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66925"/>
  <mc:AlternateContent xmlns:mc="http://schemas.openxmlformats.org/markup-compatibility/2006">
    <mc:Choice Requires="x15">
      <x15ac:absPath xmlns:x15ac="http://schemas.microsoft.com/office/spreadsheetml/2010/11/ac" url="S:\Corporate Services\Corporate Services\Freedom of Information\"/>
    </mc:Choice>
  </mc:AlternateContent>
  <xr:revisionPtr revIDLastSave="0" documentId="8_{052327FB-7833-4ECC-B7B8-2460F58D3EA0}" xr6:coauthVersionLast="47" xr6:coauthVersionMax="47" xr10:uidLastSave="{00000000-0000-0000-0000-000000000000}"/>
  <bookViews>
    <workbookView xWindow="28680" yWindow="-120" windowWidth="29040" windowHeight="15840" activeTab="2" xr2:uid="{DBA92582-E69F-4A20-A56B-FDF32F1510ED}"/>
  </bookViews>
  <sheets>
    <sheet name="ToC" sheetId="14" r:id="rId1"/>
    <sheet name="Guide" sheetId="23" r:id="rId2"/>
    <sheet name="Cover Sheet" sheetId="28" r:id="rId3"/>
    <sheet name="Learners and Staff" sheetId="37" r:id="rId4"/>
    <sheet name="I&amp;E Monthly" sheetId="1" r:id="rId5"/>
    <sheet name="I&amp;E Annual" sheetId="20" r:id="rId6"/>
    <sheet name="I&amp;E Profiles" sheetId="22" r:id="rId7"/>
    <sheet name="Opening Balances" sheetId="16" r:id="rId8"/>
    <sheet name="Investing Inputs" sheetId="26" r:id="rId9"/>
    <sheet name="Loans" sheetId="9" r:id="rId10"/>
    <sheet name="BS Forecasts" sheetId="6" r:id="rId11"/>
    <sheet name="User Template" sheetId="38" r:id="rId12"/>
    <sheet name="Fin Stat" sheetId="30" r:id="rId13"/>
    <sheet name="Ratios" sheetId="32" r:id="rId14"/>
    <sheet name="Financial Health" sheetId="12" r:id="rId15"/>
    <sheet name="Cash Flow Summary" sheetId="33" r:id="rId16"/>
    <sheet name="WC Dashboard" sheetId="36" r:id="rId17"/>
    <sheet name="Dashboard" sheetId="13" r:id="rId18"/>
    <sheet name="Dash Data" sheetId="35" r:id="rId19"/>
    <sheet name="Timeline" sheetId="3" r:id="rId20"/>
    <sheet name="Parameters" sheetId="11" r:id="rId21"/>
    <sheet name="List of Colleges" sheetId="45" r:id="rId22"/>
    <sheet name="Template" sheetId="4" r:id="rId23"/>
    <sheet name="MetaData (hidden)" sheetId="41" state="hidden" r:id="rId24"/>
    <sheet name="MetaDataRef (hidden)" sheetId="44" state="hidden" r:id="rId25"/>
  </sheets>
  <definedNames>
    <definedName name="_xlnm._FilterDatabase" localSheetId="10" hidden="1">'BS Forecasts'!$A$7:$EX$264</definedName>
    <definedName name="_xlnm._FilterDatabase" localSheetId="15" hidden="1">'Cash Flow Summary'!$V$79:$Y$101</definedName>
    <definedName name="_xlnm._FilterDatabase" localSheetId="2" hidden="1">'Cover Sheet'!$A$7:$EX$76</definedName>
    <definedName name="_xlnm._FilterDatabase" localSheetId="18" hidden="1">'Dash Data'!$V$11:$Y$95</definedName>
    <definedName name="_xlnm._FilterDatabase" localSheetId="17" hidden="1">Dashboard!$V$98:$Y$146</definedName>
    <definedName name="_xlnm._FilterDatabase" localSheetId="12" hidden="1">'Fin Stat'!$A$7:$EX$213</definedName>
    <definedName name="_xlnm._FilterDatabase" localSheetId="14" hidden="1">'Financial Health'!$V$14:$Y$61</definedName>
    <definedName name="_xlnm._FilterDatabase" localSheetId="5" hidden="1">'I&amp;E Annual'!$A$7:$EX$205</definedName>
    <definedName name="_xlnm._FilterDatabase" localSheetId="4" hidden="1">'I&amp;E Monthly'!$A$7:$EY$204</definedName>
    <definedName name="_xlnm._FilterDatabase" localSheetId="6" hidden="1">'I&amp;E Profiles'!$V$98:$Y$181</definedName>
    <definedName name="_xlnm._FilterDatabase" localSheetId="8" hidden="1">'Investing Inputs'!$A$7:$EX$337</definedName>
    <definedName name="_xlnm._FilterDatabase" localSheetId="3" hidden="1">'Learners and Staff'!$A$7:$EX$26</definedName>
    <definedName name="_xlnm._FilterDatabase" localSheetId="9" hidden="1">Loans!$A$7:$EX$1152</definedName>
    <definedName name="_xlnm._FilterDatabase" localSheetId="23" hidden="1">'MetaData (hidden)'!$G$1:$G$38502</definedName>
    <definedName name="_xlnm._FilterDatabase" localSheetId="7" hidden="1">'Opening Balances'!$A$7:$EX$83</definedName>
    <definedName name="_xlnm._FilterDatabase" localSheetId="20" hidden="1">Parameters!$S$8:$Y$214</definedName>
    <definedName name="_xlnm._FilterDatabase" localSheetId="13" hidden="1">Ratios!$A$7:$CG$68</definedName>
    <definedName name="_xlnm._FilterDatabase" localSheetId="22" hidden="1">Template!$V$12:$Y$31</definedName>
    <definedName name="_xlnm._FilterDatabase" localSheetId="19" hidden="1">Timeline!$V$8:$Y$38</definedName>
    <definedName name="_xlnm._FilterDatabase" localSheetId="11" hidden="1">'User Template'!$A$1:$B$3</definedName>
    <definedName name="_xlnm._FilterDatabase" localSheetId="16" hidden="1">'WC Dashboard'!$V$16:$Y$36</definedName>
    <definedName name="al">'I&amp;E Monthly'!$D$8</definedName>
    <definedName name="Annual">Parameters!$D$22</definedName>
    <definedName name="Annual_IE">Parameters!$D$22</definedName>
    <definedName name="CollegeNameInput">'Cover Sheet'!$E$10</definedName>
    <definedName name="creditor_signage" localSheetId="2">'Cover Sheet'!$H$13</definedName>
    <definedName name="creditor_signage" localSheetId="17">Dashboard!$H$99</definedName>
    <definedName name="creditor_signage" localSheetId="12">'Fin Stat'!$H$144</definedName>
    <definedName name="creditor_signage" localSheetId="14">'Financial Health'!$H$15</definedName>
    <definedName name="creditor_signage" localSheetId="6">'I&amp;E Profiles'!$AD$98</definedName>
    <definedName name="creditor_signage" localSheetId="13">Ratios!$H$16</definedName>
    <definedName name="creditor_signage" localSheetId="11">'User Template'!$H$13</definedName>
    <definedName name="creditor_signage" localSheetId="16">'WC Dashboard'!$H$17</definedName>
    <definedName name="creditor_signage">Template!$H$13</definedName>
    <definedName name="debtor_signage" localSheetId="2">'Cover Sheet'!$H$12</definedName>
    <definedName name="debtor_signage" localSheetId="17">Dashboard!$H$98</definedName>
    <definedName name="debtor_signage" localSheetId="14">'Financial Health'!$H$14</definedName>
    <definedName name="debtor_signage" localSheetId="6">'I&amp;E Profiles'!$AD$97</definedName>
    <definedName name="debtor_signage" localSheetId="9">Loans!$O$13</definedName>
    <definedName name="debtor_signage" localSheetId="13">Ratios!$H$15</definedName>
    <definedName name="debtor_signage" localSheetId="11">'User Template'!$H$12</definedName>
    <definedName name="debtor_signage" localSheetId="16">'WC Dashboard'!$H$16</definedName>
    <definedName name="debtor_signage">Template!$H$12</definedName>
    <definedName name="first_FY_month">Parameters!$E$17</definedName>
    <definedName name="last_FY_month">Parameters!$E$18</definedName>
    <definedName name="list_Capex">'Investing Inputs'!$C$8:$C$199</definedName>
    <definedName name="List_YesNo">Parameters!$D$25:$D$26</definedName>
    <definedName name="MetaDataLastRow">OFFSET('MetaData (hidden)'!$A$1,MAX(1,COUNTA('MetaData (hidden)'!$A:$A)-1),0,1,1)</definedName>
    <definedName name="MetaDataRef">'MetaDataRef (hidden)'!$B$2</definedName>
    <definedName name="MetaDataRefList">OFFSET('MetaData (hidden)'!$D$1,1,0,MAX(1,COUNTA('MetaData (hidden)'!$A:$A)-1),1)</definedName>
    <definedName name="MetaDataRefSheetList">'MetaDataRef (hidden)'!$B$6</definedName>
    <definedName name="MetaDataSheetList">OFFSET('MetaData (hidden)'!$A$1,1,0,MAX(1,COUNTA('MetaData (hidden)'!$A:$A)-1),1)</definedName>
    <definedName name="MetaDataTable">'MetaData (hidden)'!$A$1</definedName>
    <definedName name="monetary_units" localSheetId="15">'Cash Flow Summary'!$G$50</definedName>
    <definedName name="monetary_units" localSheetId="2">'Cover Sheet'!$G$9</definedName>
    <definedName name="monetary_units" localSheetId="12">'Fin Stat'!$G$11</definedName>
    <definedName name="monetary_units" localSheetId="6">'I&amp;E Profiles'!$G$95</definedName>
    <definedName name="monetary_units" localSheetId="8">'Investing Inputs'!$G$9</definedName>
    <definedName name="monetary_units" localSheetId="3">'Learners and Staff'!$G$8</definedName>
    <definedName name="monetary_units" localSheetId="9">Loans!$H$9</definedName>
    <definedName name="monetary_units" localSheetId="13">Ratios!$G$11</definedName>
    <definedName name="monetary_units" localSheetId="11">'User Template'!$G$9</definedName>
    <definedName name="monetary_units" localSheetId="16">'WC Dashboard'!$G$13</definedName>
    <definedName name="monetary_units">Template!$G$9</definedName>
    <definedName name="Monthly">Parameters!$D$21</definedName>
    <definedName name="Monthly_IE">Parameters!$D$21</definedName>
    <definedName name="_xlnm.Print_Area" localSheetId="10">'BS Forecasts'!$A$1:$BX$264</definedName>
    <definedName name="_xlnm.Print_Area" localSheetId="15">'Cash Flow Summary'!$A$1:$AJ$49,'Cash Flow Summary'!$A$50:$Z$102</definedName>
    <definedName name="_xlnm.Print_Area" localSheetId="2">'Cover Sheet'!$A$1:$CE$76</definedName>
    <definedName name="_xlnm.Print_Area" localSheetId="18">'Dash Data'!$A$1:$BX$103</definedName>
    <definedName name="_xlnm.Print_Area" localSheetId="17">Dashboard!$A$1:$AJ$94,Dashboard!$A$95:$AM$125,Dashboard!$A$127:$AM$147</definedName>
    <definedName name="_xlnm.Print_Area" localSheetId="12">'Fin Stat'!$A$1:$Z$209</definedName>
    <definedName name="_xlnm.Print_Area" localSheetId="14">'Financial Health'!$A$1:$CK$62</definedName>
    <definedName name="_xlnm.Print_Area" localSheetId="1">Guide!$A$1:$I$247</definedName>
    <definedName name="_xlnm.Print_Area" localSheetId="5">'I&amp;E Annual'!$A$1:$BX$204</definedName>
    <definedName name="_xlnm.Print_Area" localSheetId="4">'I&amp;E Monthly'!$A$1:$BX$204</definedName>
    <definedName name="_xlnm.Print_Area" localSheetId="6">'I&amp;E Profiles'!$A$1:$BK$182</definedName>
    <definedName name="_xlnm.Print_Area" localSheetId="8">'Investing Inputs'!$A$1:$BX$331</definedName>
    <definedName name="_xlnm.Print_Area" localSheetId="3">'Learners and Staff'!$A$1:$CA$26</definedName>
    <definedName name="_xlnm.Print_Area" localSheetId="9">Loans!$A$1:$BX$1152</definedName>
    <definedName name="_xlnm.Print_Area" localSheetId="7">'Opening Balances'!$A$1:$Y$83</definedName>
    <definedName name="_xlnm.Print_Area" localSheetId="20">Parameters!$A$1:$F$215</definedName>
    <definedName name="_xlnm.Print_Area" localSheetId="13">Ratios!$A$1:$Y$68</definedName>
    <definedName name="_xlnm.Print_Area" localSheetId="22">Template!$A$1:$BX$32</definedName>
    <definedName name="_xlnm.Print_Area" localSheetId="19">Timeline!$A$1:$BX$390</definedName>
    <definedName name="_xlnm.Print_Area" localSheetId="0">ToC!$A$1:$G$37</definedName>
    <definedName name="_xlnm.Print_Area" localSheetId="11">'User Template'!$A$1:$BX$32</definedName>
    <definedName name="_xlnm.Print_Area" localSheetId="16">'WC Dashboard'!$A$1:$AK$43</definedName>
    <definedName name="_xlnm.Print_Titles" localSheetId="10">'BS Forecasts'!$A:$F,'BS Forecasts'!$1:$7</definedName>
    <definedName name="_xlnm.Print_Titles" localSheetId="15">'Cash Flow Summary'!$A:$F,'Cash Flow Summary'!$1:$6</definedName>
    <definedName name="_xlnm.Print_Titles" localSheetId="2">'Cover Sheet'!$A:$F,'Cover Sheet'!$1:$7</definedName>
    <definedName name="_xlnm.Print_Titles" localSheetId="18">'Dash Data'!$A:$F,'Dash Data'!$1:$7</definedName>
    <definedName name="_xlnm.Print_Titles" localSheetId="17">Dashboard!$A:$F,Dashboard!$1:$7</definedName>
    <definedName name="_xlnm.Print_Titles" localSheetId="12">'Fin Stat'!$A:$F,'Fin Stat'!$1:$7</definedName>
    <definedName name="_xlnm.Print_Titles" localSheetId="14">'Financial Health'!$A:$D,'Financial Health'!$1:$7</definedName>
    <definedName name="_xlnm.Print_Titles" localSheetId="5">'I&amp;E Annual'!$A:$F,'I&amp;E Annual'!$1:$7</definedName>
    <definedName name="_xlnm.Print_Titles" localSheetId="4">'I&amp;E Monthly'!$A:$F,'I&amp;E Monthly'!$1:$7</definedName>
    <definedName name="_xlnm.Print_Titles" localSheetId="6">'I&amp;E Profiles'!$A:$E,'I&amp;E Profiles'!$1:$7</definedName>
    <definedName name="_xlnm.Print_Titles" localSheetId="8">'Investing Inputs'!$A:$F,'Investing Inputs'!$1:$7</definedName>
    <definedName name="_xlnm.Print_Titles" localSheetId="3">'Learners and Staff'!$A:$F,'Learners and Staff'!$1:$7</definedName>
    <definedName name="_xlnm.Print_Titles" localSheetId="9">Loans!$A:$H,Loans!$1:$7</definedName>
    <definedName name="_xlnm.Print_Titles" localSheetId="7">'Opening Balances'!$A:$D,'Opening Balances'!$1:$7</definedName>
    <definedName name="_xlnm.Print_Titles" localSheetId="20">Parameters!$1:$7</definedName>
    <definedName name="_xlnm.Print_Titles" localSheetId="13">Ratios!$A:$G,Ratios!$1:$7</definedName>
    <definedName name="_xlnm.Print_Titles" localSheetId="22">Template!$A:$F,Template!$1:$7</definedName>
    <definedName name="_xlnm.Print_Titles" localSheetId="19">Timeline!$A:$D,Timeline!$1:$7</definedName>
    <definedName name="_xlnm.Print_Titles" localSheetId="11">'User Template'!$A:$F,'User Template'!$1:$7</definedName>
    <definedName name="_xlnm.Print_Titles" localSheetId="16">'WC Dashboard'!$A:$F,'WC Dashboard'!$1:$7</definedName>
    <definedName name="rounding">Parameters!$D$36</definedName>
    <definedName name="Self_assessment">{"Please enter","Inadequate","Satisfactory","Good","Outstanding"}</definedName>
    <definedName name="tbl_Loans">Loans!$C$11:$T$32</definedName>
    <definedName name="TimeStamp">'MetaData (hidden)'!$M$1</definedName>
    <definedName name="zColLetter">Timeline!$C$37</definedName>
    <definedName name="zYearLabel">Timeline!$C$34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122" i="1" l="1"/>
  <c r="BJ122" i="1" s="1"/>
  <c r="AW122" i="1"/>
  <c r="BI122" i="1" s="1"/>
  <c r="AV122" i="1"/>
  <c r="BH122" i="1" s="1"/>
  <c r="AU122" i="1"/>
  <c r="BG122" i="1" s="1"/>
  <c r="AT122" i="1"/>
  <c r="BF122" i="1" s="1"/>
  <c r="AS122" i="1"/>
  <c r="BE122" i="1" s="1"/>
  <c r="AR122" i="1"/>
  <c r="BD122" i="1" s="1"/>
  <c r="AQ122" i="1"/>
  <c r="BC122" i="1" s="1"/>
  <c r="AP122" i="1"/>
  <c r="BB122" i="1" s="1"/>
  <c r="AO122" i="1"/>
  <c r="BA122" i="1" s="1"/>
  <c r="AN122" i="1"/>
  <c r="AZ122" i="1" s="1"/>
  <c r="AM122" i="1"/>
  <c r="AY122" i="1" s="1"/>
  <c r="AL122" i="1"/>
  <c r="AK122" i="1"/>
  <c r="AJ122" i="1"/>
  <c r="AI122" i="1"/>
  <c r="AH122" i="1"/>
  <c r="AG122" i="1"/>
  <c r="AF122" i="1"/>
  <c r="AE122" i="1"/>
  <c r="AD122" i="1"/>
  <c r="AC122" i="1"/>
  <c r="AB122" i="1"/>
  <c r="AA122" i="1"/>
  <c r="BJ132" i="6" l="1"/>
  <c r="BI132" i="6"/>
  <c r="BH132" i="6"/>
  <c r="BG132" i="6"/>
  <c r="BF132" i="6"/>
  <c r="BE132" i="6"/>
  <c r="BD132" i="6"/>
  <c r="BC132" i="6"/>
  <c r="BB132" i="6"/>
  <c r="BA132" i="6"/>
  <c r="AZ132" i="6"/>
  <c r="AY132" i="6"/>
  <c r="BJ209" i="26"/>
  <c r="BI209" i="26"/>
  <c r="BH209" i="26"/>
  <c r="BG209" i="26"/>
  <c r="BF209" i="26"/>
  <c r="BE209" i="26"/>
  <c r="BD209" i="26"/>
  <c r="BC209" i="26"/>
  <c r="BB209" i="26"/>
  <c r="BA209" i="26"/>
  <c r="AZ209" i="26"/>
  <c r="AY209" i="26"/>
  <c r="AN223" i="26"/>
  <c r="AX132" i="6"/>
  <c r="AW132" i="6"/>
  <c r="AV132" i="6"/>
  <c r="AU132" i="6"/>
  <c r="AT132" i="6"/>
  <c r="AS132" i="6"/>
  <c r="AR132" i="6"/>
  <c r="AQ132" i="6"/>
  <c r="AP132" i="6"/>
  <c r="AO132" i="6"/>
  <c r="AN132" i="6"/>
  <c r="AX223" i="26"/>
  <c r="AW223" i="26"/>
  <c r="AV223" i="26"/>
  <c r="AU223" i="26"/>
  <c r="AT223" i="26"/>
  <c r="AS223" i="26"/>
  <c r="AR223" i="26"/>
  <c r="AQ223" i="26"/>
  <c r="AP223" i="26"/>
  <c r="AO223" i="26"/>
  <c r="AX209" i="26"/>
  <c r="AW209" i="26"/>
  <c r="AV209" i="26"/>
  <c r="AU209" i="26"/>
  <c r="AT209" i="26"/>
  <c r="AS209" i="26"/>
  <c r="AR209" i="26"/>
  <c r="AQ209" i="26"/>
  <c r="AP209" i="26"/>
  <c r="AX124" i="6" l="1"/>
  <c r="W10" i="16" l="1"/>
  <c r="AZ21" i="1" l="1"/>
  <c r="BA21" i="1"/>
  <c r="BB21" i="1"/>
  <c r="BC21" i="1"/>
  <c r="BD21" i="1"/>
  <c r="BE21" i="1"/>
  <c r="BF21" i="1"/>
  <c r="BG21" i="1"/>
  <c r="BH21" i="1"/>
  <c r="BI21" i="1"/>
  <c r="BJ21" i="1"/>
  <c r="AY21" i="1"/>
  <c r="BG32" i="1"/>
  <c r="BH32" i="1"/>
  <c r="BI32" i="1"/>
  <c r="BJ32" i="1"/>
  <c r="AZ139" i="1"/>
  <c r="BA139" i="1"/>
  <c r="BB139" i="1"/>
  <c r="BC139" i="1"/>
  <c r="BD139" i="1"/>
  <c r="BE139" i="1"/>
  <c r="BF139" i="1"/>
  <c r="BG139" i="1"/>
  <c r="BH139" i="1"/>
  <c r="BI139" i="1"/>
  <c r="BJ139" i="1"/>
  <c r="AY139" i="1"/>
  <c r="AZ140" i="1"/>
  <c r="BA140" i="1"/>
  <c r="BB140" i="1"/>
  <c r="BC140" i="1"/>
  <c r="BE140" i="1"/>
  <c r="BF140" i="1"/>
  <c r="BH140" i="1"/>
  <c r="BI140" i="1"/>
  <c r="BJ140" i="1"/>
  <c r="AZ124" i="1"/>
  <c r="BA124" i="1"/>
  <c r="BB124" i="1"/>
  <c r="BC124" i="1"/>
  <c r="BD124" i="1"/>
  <c r="BE124" i="1"/>
  <c r="BF124" i="1"/>
  <c r="BG124" i="1"/>
  <c r="BH124" i="1"/>
  <c r="BI124" i="1"/>
  <c r="BJ124" i="1"/>
  <c r="AY124" i="1"/>
  <c r="AZ137" i="1"/>
  <c r="BA137" i="1"/>
  <c r="BB137" i="1"/>
  <c r="BC137" i="1"/>
  <c r="BD137" i="1"/>
  <c r="BE137" i="1"/>
  <c r="BF137" i="1"/>
  <c r="BG137" i="1"/>
  <c r="BH137" i="1"/>
  <c r="BI137" i="1"/>
  <c r="AY137" i="1"/>
  <c r="BJ59" i="1"/>
  <c r="BG59" i="1"/>
  <c r="BD59" i="1"/>
  <c r="AL32" i="1"/>
  <c r="AK32" i="1"/>
  <c r="AJ32" i="1"/>
  <c r="AI32" i="1"/>
  <c r="AY138" i="1"/>
  <c r="AZ138" i="1"/>
  <c r="BA138" i="1"/>
  <c r="BB138" i="1"/>
  <c r="BC138" i="1"/>
  <c r="BD138" i="1"/>
  <c r="BE138" i="1"/>
  <c r="BF138" i="1"/>
  <c r="BG138" i="1"/>
  <c r="BH138" i="1"/>
  <c r="BI138" i="1"/>
  <c r="BJ138" i="1"/>
  <c r="AY141" i="1"/>
  <c r="AZ141" i="1"/>
  <c r="BA141" i="1"/>
  <c r="BB141" i="1"/>
  <c r="BC141" i="1"/>
  <c r="BD141" i="1"/>
  <c r="BE141" i="1"/>
  <c r="BF141" i="1"/>
  <c r="BG141" i="1"/>
  <c r="BH141" i="1"/>
  <c r="BI141" i="1"/>
  <c r="BJ141" i="1"/>
  <c r="AY142" i="1"/>
  <c r="AZ142" i="1"/>
  <c r="BA142" i="1"/>
  <c r="BB142" i="1"/>
  <c r="BC142" i="1"/>
  <c r="BD142" i="1"/>
  <c r="BE142" i="1"/>
  <c r="BF142" i="1"/>
  <c r="BG142" i="1"/>
  <c r="BH142" i="1"/>
  <c r="BI142" i="1"/>
  <c r="BJ142" i="1"/>
  <c r="AY143" i="1"/>
  <c r="AZ143" i="1"/>
  <c r="BA143" i="1"/>
  <c r="BB143" i="1"/>
  <c r="BC143" i="1"/>
  <c r="BD143" i="1"/>
  <c r="BE143" i="1"/>
  <c r="BF143" i="1"/>
  <c r="BG143" i="1"/>
  <c r="BH143" i="1"/>
  <c r="BI143" i="1"/>
  <c r="BJ143" i="1"/>
  <c r="AY144" i="1"/>
  <c r="AZ144" i="1"/>
  <c r="BA144" i="1"/>
  <c r="BB144" i="1"/>
  <c r="BC144" i="1"/>
  <c r="BD144" i="1"/>
  <c r="BE144" i="1"/>
  <c r="BF144" i="1"/>
  <c r="BG144" i="1"/>
  <c r="BH144" i="1"/>
  <c r="BI144" i="1"/>
  <c r="BJ144" i="1"/>
  <c r="AY145" i="1"/>
  <c r="AZ145" i="1"/>
  <c r="BA145" i="1"/>
  <c r="BB145" i="1"/>
  <c r="BC145" i="1"/>
  <c r="BD145" i="1"/>
  <c r="BE145" i="1"/>
  <c r="BF145" i="1"/>
  <c r="BG145" i="1"/>
  <c r="BH145" i="1"/>
  <c r="BI145" i="1"/>
  <c r="BJ145" i="1"/>
  <c r="AY146" i="1"/>
  <c r="AZ146" i="1"/>
  <c r="BA146" i="1"/>
  <c r="BB146" i="1"/>
  <c r="BC146" i="1"/>
  <c r="BD146" i="1"/>
  <c r="BE146" i="1"/>
  <c r="BF146" i="1"/>
  <c r="BG146" i="1"/>
  <c r="BH146" i="1"/>
  <c r="BI146" i="1"/>
  <c r="BJ146" i="1"/>
  <c r="AY123" i="1"/>
  <c r="AZ123" i="1"/>
  <c r="BA123" i="1"/>
  <c r="BB123" i="1"/>
  <c r="BC123" i="1"/>
  <c r="BD123" i="1"/>
  <c r="BE123" i="1"/>
  <c r="BF123" i="1"/>
  <c r="BG123" i="1"/>
  <c r="BH123" i="1"/>
  <c r="BI123" i="1"/>
  <c r="BJ123" i="1"/>
  <c r="AY125" i="1"/>
  <c r="AZ125" i="1"/>
  <c r="BA125" i="1"/>
  <c r="BB125" i="1"/>
  <c r="BC125" i="1"/>
  <c r="BD125" i="1"/>
  <c r="BE125" i="1"/>
  <c r="BF125" i="1"/>
  <c r="BG125" i="1"/>
  <c r="BH125" i="1"/>
  <c r="BI125" i="1"/>
  <c r="BJ125" i="1"/>
  <c r="AY126" i="1"/>
  <c r="AZ126" i="1"/>
  <c r="BA126" i="1"/>
  <c r="BB126" i="1"/>
  <c r="BC126" i="1"/>
  <c r="BD126" i="1"/>
  <c r="BE126" i="1"/>
  <c r="BF126" i="1"/>
  <c r="BG126" i="1"/>
  <c r="BH126" i="1"/>
  <c r="BI126" i="1"/>
  <c r="BJ126" i="1"/>
  <c r="AY127" i="1"/>
  <c r="AZ127" i="1"/>
  <c r="BA127" i="1"/>
  <c r="BB127" i="1"/>
  <c r="BC127" i="1"/>
  <c r="BD127" i="1"/>
  <c r="BE127" i="1"/>
  <c r="BF127" i="1"/>
  <c r="BG127" i="1"/>
  <c r="BH127" i="1"/>
  <c r="BI127" i="1"/>
  <c r="BJ127" i="1"/>
  <c r="AY128" i="1"/>
  <c r="AZ128" i="1"/>
  <c r="BA128" i="1"/>
  <c r="BB128" i="1"/>
  <c r="BC128" i="1"/>
  <c r="BD128" i="1"/>
  <c r="BE128" i="1"/>
  <c r="BF128" i="1"/>
  <c r="BG128" i="1"/>
  <c r="BH128" i="1"/>
  <c r="BI128" i="1"/>
  <c r="BJ128" i="1"/>
  <c r="AY129" i="1"/>
  <c r="AZ129" i="1"/>
  <c r="BA129" i="1"/>
  <c r="BB129" i="1"/>
  <c r="BC129" i="1"/>
  <c r="BD129" i="1"/>
  <c r="BE129" i="1"/>
  <c r="BF129" i="1"/>
  <c r="BG129" i="1"/>
  <c r="BH129" i="1"/>
  <c r="BI129" i="1"/>
  <c r="BJ129" i="1"/>
  <c r="AZ94" i="1"/>
  <c r="BA94" i="1"/>
  <c r="BB94" i="1"/>
  <c r="BC94" i="1"/>
  <c r="BD94" i="1"/>
  <c r="BE94" i="1"/>
  <c r="BF94" i="1"/>
  <c r="BG94" i="1"/>
  <c r="BH94" i="1"/>
  <c r="BI94" i="1"/>
  <c r="BJ94" i="1"/>
  <c r="AY94" i="1"/>
  <c r="AZ89" i="1"/>
  <c r="BA89" i="1"/>
  <c r="BB89" i="1"/>
  <c r="BC89" i="1"/>
  <c r="BD89" i="1"/>
  <c r="BE89" i="1"/>
  <c r="BF89" i="1"/>
  <c r="BG89" i="1"/>
  <c r="BH89" i="1"/>
  <c r="BI89" i="1"/>
  <c r="BJ89" i="1"/>
  <c r="AY89" i="1"/>
  <c r="AZ88" i="1"/>
  <c r="BA88" i="1"/>
  <c r="BB88" i="1"/>
  <c r="BC88" i="1"/>
  <c r="BD88" i="1"/>
  <c r="BE88" i="1"/>
  <c r="BF88" i="1"/>
  <c r="BG88" i="1"/>
  <c r="BH88" i="1"/>
  <c r="BI88" i="1"/>
  <c r="BJ88" i="1"/>
  <c r="AY88" i="1"/>
  <c r="BG77" i="1"/>
  <c r="AY77" i="1"/>
  <c r="BH43" i="1"/>
  <c r="BG43" i="1"/>
  <c r="AZ43" i="1"/>
  <c r="BA43" i="1"/>
  <c r="BB43" i="1"/>
  <c r="BC43" i="1"/>
  <c r="BD43" i="1"/>
  <c r="BE43" i="1"/>
  <c r="BF43" i="1"/>
  <c r="BI43" i="1"/>
  <c r="BJ43" i="1"/>
  <c r="AY43" i="1"/>
  <c r="BE32" i="1"/>
  <c r="BF32" i="1"/>
  <c r="BD32" i="1"/>
  <c r="BC32" i="1"/>
  <c r="AZ32" i="1"/>
  <c r="BA32" i="1"/>
  <c r="BB32" i="1"/>
  <c r="AY32" i="1"/>
  <c r="BJ20" i="1"/>
  <c r="BI20" i="1"/>
  <c r="BH20" i="1"/>
  <c r="BG20" i="1"/>
  <c r="BF20" i="1"/>
  <c r="BE20" i="1"/>
  <c r="BD20" i="1"/>
  <c r="BC20" i="1"/>
  <c r="BB20" i="1"/>
  <c r="BA20" i="1"/>
  <c r="AZ20" i="1"/>
  <c r="AY20" i="1"/>
  <c r="AZ19" i="1"/>
  <c r="BA19" i="1"/>
  <c r="BB19" i="1"/>
  <c r="BC19" i="1"/>
  <c r="BD19" i="1"/>
  <c r="BE19" i="1"/>
  <c r="BF19" i="1"/>
  <c r="BG19" i="1"/>
  <c r="BH19" i="1"/>
  <c r="BI19" i="1"/>
  <c r="BJ19" i="1"/>
  <c r="AY19" i="1"/>
  <c r="AU140" i="1"/>
  <c r="BG140" i="1" s="1"/>
  <c r="AR140" i="1"/>
  <c r="BD140" i="1" s="1"/>
  <c r="AM140" i="1"/>
  <c r="AY140" i="1" s="1"/>
  <c r="AX137" i="1"/>
  <c r="BJ137" i="1" s="1"/>
  <c r="AU77" i="1" l="1"/>
  <c r="AM77" i="1"/>
  <c r="AW20" i="1"/>
  <c r="AM20" i="1"/>
  <c r="AX20" i="1"/>
  <c r="AV20" i="1"/>
  <c r="AU20" i="1"/>
  <c r="AT20" i="1"/>
  <c r="AS20" i="1"/>
  <c r="AR20" i="1"/>
  <c r="AQ20" i="1"/>
  <c r="AP20" i="1"/>
  <c r="AO20" i="1"/>
  <c r="AN20" i="1"/>
  <c r="AL137" i="1" l="1"/>
  <c r="AL80" i="1" l="1"/>
  <c r="AL20" i="1" l="1"/>
  <c r="AK20" i="1"/>
  <c r="AJ20" i="1"/>
  <c r="AI20" i="1"/>
  <c r="AH20" i="1"/>
  <c r="AG20" i="1"/>
  <c r="AF20" i="1"/>
  <c r="AE20" i="1"/>
  <c r="AD20" i="1"/>
  <c r="AC20" i="1"/>
  <c r="AB20" i="1"/>
  <c r="AA20" i="1"/>
  <c r="AI77" i="1" l="1"/>
  <c r="AA77" i="1"/>
  <c r="CC10" i="28" l="1"/>
  <c r="E15" i="28"/>
  <c r="CD15" i="28" s="1"/>
  <c r="E14" i="28"/>
  <c r="CD14" i="28" s="1"/>
  <c r="E13" i="28"/>
  <c r="CD13" i="28" s="1"/>
  <c r="E12" i="28"/>
  <c r="CD12" i="28" s="1"/>
  <c r="V76" i="16" l="1"/>
  <c r="EX75" i="35" l="1"/>
  <c r="EX10" i="28" l="1"/>
  <c r="M31" i="14" l="1"/>
  <c r="EX12" i="28" l="1"/>
  <c r="EX13" i="28"/>
  <c r="EX14" i="28"/>
  <c r="EX15" i="28"/>
  <c r="D42" i="28" l="1"/>
  <c r="D38" i="28"/>
  <c r="D56" i="28" s="1"/>
  <c r="D34" i="28"/>
  <c r="EX35" i="28" s="1"/>
  <c r="CC27" i="12"/>
  <c r="CC28" i="12"/>
  <c r="CC29" i="12"/>
  <c r="CC26" i="12"/>
  <c r="BZ28" i="12"/>
  <c r="BZ29" i="12"/>
  <c r="BZ27" i="12"/>
  <c r="BZ26" i="12"/>
  <c r="EX53" i="3" l="1"/>
  <c r="EX54" i="3"/>
  <c r="EX55" i="3"/>
  <c r="EX56" i="3"/>
  <c r="EX57" i="3"/>
  <c r="EX58" i="3"/>
  <c r="EX59" i="3"/>
  <c r="EX60" i="3"/>
  <c r="EX61" i="3"/>
  <c r="EX62" i="3"/>
  <c r="EX63" i="3"/>
  <c r="EX64" i="3"/>
  <c r="EX65" i="3"/>
  <c r="EX66" i="3"/>
  <c r="EX67" i="3"/>
  <c r="EX68" i="3"/>
  <c r="EX69" i="3"/>
  <c r="EX70" i="3"/>
  <c r="EX71" i="3"/>
  <c r="EX72" i="3"/>
  <c r="EX73" i="3"/>
  <c r="EX74" i="3"/>
  <c r="EX75" i="3"/>
  <c r="EX76" i="3"/>
  <c r="EX77" i="3"/>
  <c r="EX78" i="3"/>
  <c r="EX79" i="3"/>
  <c r="EX80" i="3"/>
  <c r="EX81" i="3"/>
  <c r="EX82" i="3"/>
  <c r="EX83" i="3"/>
  <c r="EX84" i="3"/>
  <c r="EX85" i="3"/>
  <c r="EX86" i="3"/>
  <c r="EX87" i="3"/>
  <c r="EX88" i="3"/>
  <c r="EX89" i="3"/>
  <c r="EX90" i="3"/>
  <c r="EX91" i="3"/>
  <c r="EX92" i="3"/>
  <c r="EX93" i="3"/>
  <c r="EX94" i="3"/>
  <c r="EX95" i="3"/>
  <c r="EX96" i="3"/>
  <c r="EX97" i="3"/>
  <c r="EX98" i="3"/>
  <c r="EX99" i="3"/>
  <c r="EX100" i="3"/>
  <c r="EX101" i="3"/>
  <c r="EX102" i="3"/>
  <c r="EX103" i="3"/>
  <c r="EX104" i="3"/>
  <c r="EX105" i="3"/>
  <c r="EX106" i="3"/>
  <c r="EX107" i="3"/>
  <c r="EX108" i="3"/>
  <c r="EX109" i="3"/>
  <c r="EX110" i="3"/>
  <c r="EX111" i="3"/>
  <c r="EX112" i="3"/>
  <c r="EX113" i="3"/>
  <c r="EX114" i="3"/>
  <c r="EX115" i="3"/>
  <c r="EX116" i="3"/>
  <c r="EX117" i="3"/>
  <c r="EX118" i="3"/>
  <c r="EX119" i="3"/>
  <c r="EX120" i="3"/>
  <c r="EX121" i="3"/>
  <c r="EX122" i="3"/>
  <c r="EX123" i="3"/>
  <c r="EX124" i="3"/>
  <c r="EX125" i="3"/>
  <c r="EX126" i="3"/>
  <c r="EX127" i="3"/>
  <c r="EX128" i="3"/>
  <c r="EX129" i="3"/>
  <c r="EX130" i="3"/>
  <c r="EX131" i="3"/>
  <c r="EX132" i="3"/>
  <c r="EX133" i="3"/>
  <c r="EX134" i="3"/>
  <c r="EX135" i="3"/>
  <c r="EX136" i="3"/>
  <c r="EX137" i="3"/>
  <c r="EX138" i="3"/>
  <c r="EX139" i="3"/>
  <c r="EX140" i="3"/>
  <c r="EX141" i="3"/>
  <c r="EX142" i="3"/>
  <c r="EX143" i="3"/>
  <c r="EX144" i="3"/>
  <c r="EX145" i="3"/>
  <c r="EX146" i="3"/>
  <c r="EX147" i="3"/>
  <c r="EX148" i="3"/>
  <c r="EX149" i="3"/>
  <c r="EX150" i="3"/>
  <c r="EX151" i="3"/>
  <c r="EX152" i="3"/>
  <c r="EX153" i="3"/>
  <c r="EX154" i="3"/>
  <c r="EX155" i="3"/>
  <c r="EX156" i="3"/>
  <c r="EX157" i="3"/>
  <c r="EX158" i="3"/>
  <c r="EX159" i="3"/>
  <c r="EX160" i="3"/>
  <c r="EX161" i="3"/>
  <c r="EX162" i="3"/>
  <c r="EX163" i="3"/>
  <c r="EX164" i="3"/>
  <c r="EX165" i="3"/>
  <c r="EX166" i="3"/>
  <c r="EX167" i="3"/>
  <c r="EX168" i="3"/>
  <c r="EX169" i="3"/>
  <c r="EX170" i="3"/>
  <c r="EX171" i="3"/>
  <c r="EX172" i="3"/>
  <c r="EX173" i="3"/>
  <c r="EX174" i="3"/>
  <c r="EX175" i="3"/>
  <c r="EX176" i="3"/>
  <c r="EX177" i="3"/>
  <c r="EX178" i="3"/>
  <c r="EX179" i="3"/>
  <c r="EX180" i="3"/>
  <c r="EX181" i="3"/>
  <c r="EX182" i="3"/>
  <c r="EX183" i="3"/>
  <c r="EX184" i="3"/>
  <c r="EX185" i="3"/>
  <c r="EX186" i="3"/>
  <c r="EX187" i="3"/>
  <c r="EX188" i="3"/>
  <c r="EX189" i="3"/>
  <c r="EX190" i="3"/>
  <c r="EX191" i="3"/>
  <c r="EX192" i="3"/>
  <c r="EX193" i="3"/>
  <c r="EX194" i="3"/>
  <c r="EX195" i="3"/>
  <c r="EX196" i="3"/>
  <c r="EX197" i="3"/>
  <c r="EX198" i="3"/>
  <c r="EX199" i="3"/>
  <c r="EX200" i="3"/>
  <c r="EX201" i="3"/>
  <c r="EX202" i="3"/>
  <c r="EX203" i="3"/>
  <c r="EX204" i="3"/>
  <c r="EX205" i="3"/>
  <c r="EX206" i="3"/>
  <c r="EX207" i="3"/>
  <c r="EX208" i="3"/>
  <c r="EX209" i="3"/>
  <c r="EX210" i="3"/>
  <c r="EX211" i="3"/>
  <c r="EX212" i="3"/>
  <c r="EX213" i="3"/>
  <c r="EX214" i="3"/>
  <c r="EX215" i="3"/>
  <c r="EX216" i="3"/>
  <c r="EX217" i="3"/>
  <c r="EX218" i="3"/>
  <c r="EX219" i="3"/>
  <c r="EX220" i="3"/>
  <c r="EX221" i="3"/>
  <c r="EX222" i="3"/>
  <c r="EX223" i="3"/>
  <c r="EX224" i="3"/>
  <c r="EX225" i="3"/>
  <c r="EX226" i="3"/>
  <c r="EX227" i="3"/>
  <c r="EX228" i="3"/>
  <c r="EX229" i="3"/>
  <c r="EX230" i="3"/>
  <c r="EX231" i="3"/>
  <c r="EX232" i="3"/>
  <c r="EX233" i="3"/>
  <c r="EX234" i="3"/>
  <c r="EX235" i="3"/>
  <c r="EX236" i="3"/>
  <c r="EX237" i="3"/>
  <c r="EX238" i="3"/>
  <c r="EX239" i="3"/>
  <c r="EX240" i="3"/>
  <c r="EX241" i="3"/>
  <c r="EX242" i="3"/>
  <c r="EX243" i="3"/>
  <c r="EX244" i="3"/>
  <c r="EX245" i="3"/>
  <c r="EX246" i="3"/>
  <c r="EX247" i="3"/>
  <c r="EX248" i="3"/>
  <c r="EX249" i="3"/>
  <c r="EX250" i="3"/>
  <c r="EX251" i="3"/>
  <c r="EX252" i="3"/>
  <c r="EX253" i="3"/>
  <c r="EX254" i="3"/>
  <c r="EX255" i="3"/>
  <c r="EX256" i="3"/>
  <c r="EX257" i="3"/>
  <c r="EX258" i="3"/>
  <c r="EX259" i="3"/>
  <c r="EX260" i="3"/>
  <c r="EX261" i="3"/>
  <c r="EX262" i="3"/>
  <c r="EX263" i="3"/>
  <c r="EX264" i="3"/>
  <c r="EX265" i="3"/>
  <c r="EX266" i="3"/>
  <c r="EX267" i="3"/>
  <c r="EX268" i="3"/>
  <c r="EX269" i="3"/>
  <c r="EX270" i="3"/>
  <c r="EX271" i="3"/>
  <c r="EX272" i="3"/>
  <c r="EX273" i="3"/>
  <c r="EX274" i="3"/>
  <c r="EX275" i="3"/>
  <c r="EX276" i="3"/>
  <c r="EX277" i="3"/>
  <c r="EX278" i="3"/>
  <c r="EX279" i="3"/>
  <c r="EX280" i="3"/>
  <c r="EX281" i="3"/>
  <c r="EX282" i="3"/>
  <c r="EX283" i="3"/>
  <c r="EX284" i="3"/>
  <c r="EX285" i="3"/>
  <c r="EX286" i="3"/>
  <c r="EX287" i="3"/>
  <c r="EX288" i="3"/>
  <c r="EX289" i="3"/>
  <c r="EX290" i="3"/>
  <c r="EX291" i="3"/>
  <c r="EX292" i="3"/>
  <c r="EX293" i="3"/>
  <c r="EX294" i="3"/>
  <c r="EX295" i="3"/>
  <c r="EX296" i="3"/>
  <c r="EX297" i="3"/>
  <c r="EX298" i="3"/>
  <c r="EX299" i="3"/>
  <c r="EX300" i="3"/>
  <c r="EX301" i="3"/>
  <c r="EX302" i="3"/>
  <c r="EX303" i="3"/>
  <c r="EX304" i="3"/>
  <c r="EX305" i="3"/>
  <c r="EX306" i="3"/>
  <c r="EX307" i="3"/>
  <c r="EX308" i="3"/>
  <c r="EX309" i="3"/>
  <c r="EX310" i="3"/>
  <c r="EX311" i="3"/>
  <c r="EX312" i="3"/>
  <c r="EX313" i="3"/>
  <c r="EX314" i="3"/>
  <c r="EX315" i="3"/>
  <c r="EX316" i="3"/>
  <c r="EX317" i="3"/>
  <c r="EX318" i="3"/>
  <c r="EX319" i="3"/>
  <c r="EX320" i="3"/>
  <c r="EX321" i="3"/>
  <c r="EX322" i="3"/>
  <c r="EX323" i="3"/>
  <c r="EX324" i="3"/>
  <c r="EX325" i="3"/>
  <c r="EX326" i="3"/>
  <c r="EX327" i="3"/>
  <c r="EX328" i="3"/>
  <c r="EX329" i="3"/>
  <c r="EX330" i="3"/>
  <c r="EX331" i="3"/>
  <c r="EX332" i="3"/>
  <c r="EX333" i="3"/>
  <c r="EX334" i="3"/>
  <c r="EX335" i="3"/>
  <c r="EX336" i="3"/>
  <c r="EX337" i="3"/>
  <c r="EX338" i="3"/>
  <c r="EX339" i="3"/>
  <c r="EX340" i="3"/>
  <c r="EX341" i="3"/>
  <c r="EX342" i="3"/>
  <c r="EX343" i="3"/>
  <c r="EX344" i="3"/>
  <c r="EX345" i="3"/>
  <c r="EX346" i="3"/>
  <c r="EX347" i="3"/>
  <c r="EX348" i="3"/>
  <c r="EX349" i="3"/>
  <c r="EX350" i="3"/>
  <c r="EX351" i="3"/>
  <c r="EX352" i="3"/>
  <c r="EX353" i="3"/>
  <c r="EX354" i="3"/>
  <c r="EX355" i="3"/>
  <c r="EX356" i="3"/>
  <c r="EX357" i="3"/>
  <c r="EX358" i="3"/>
  <c r="EX359" i="3"/>
  <c r="EX360" i="3"/>
  <c r="EX361" i="3"/>
  <c r="EX362" i="3"/>
  <c r="EX363" i="3"/>
  <c r="EX364" i="3"/>
  <c r="EX365" i="3"/>
  <c r="EX366" i="3"/>
  <c r="EX367" i="3"/>
  <c r="EX368" i="3"/>
  <c r="EX369" i="3"/>
  <c r="EX370" i="3"/>
  <c r="EX371" i="3"/>
  <c r="EX372" i="3"/>
  <c r="EX373" i="3"/>
  <c r="EX374" i="3"/>
  <c r="EX375" i="3"/>
  <c r="EX376" i="3"/>
  <c r="EX377" i="3"/>
  <c r="EX378" i="3"/>
  <c r="EX379" i="3"/>
  <c r="EX380" i="3"/>
  <c r="EX381" i="3"/>
  <c r="EX382" i="3"/>
  <c r="EX383" i="3"/>
  <c r="EX384" i="3"/>
  <c r="EX385" i="3"/>
  <c r="EX386" i="3"/>
  <c r="EX387" i="3"/>
  <c r="EX388" i="3"/>
  <c r="EX389" i="3"/>
  <c r="EX390" i="3"/>
  <c r="EX40" i="3"/>
  <c r="EX41" i="3"/>
  <c r="EX42" i="3"/>
  <c r="EX43" i="3"/>
  <c r="EX44" i="3"/>
  <c r="EX45" i="3"/>
  <c r="EX46" i="3"/>
  <c r="EX47" i="3"/>
  <c r="EX48" i="3"/>
  <c r="EX49" i="3"/>
  <c r="EX50" i="3"/>
  <c r="EX51" i="3"/>
  <c r="EX52" i="3"/>
  <c r="E10" i="14" a="1"/>
  <c r="E10" i="14" s="1"/>
  <c r="D67" i="23" l="1" a="1"/>
  <c r="D67" i="23" s="1"/>
  <c r="E74" i="23" a="1"/>
  <c r="E74" i="23" s="1"/>
  <c r="D47" i="23" a="1"/>
  <c r="D45" i="23" a="1"/>
  <c r="D43" i="23" a="1"/>
  <c r="D55" i="23" a="1"/>
  <c r="D62" i="23" a="1"/>
  <c r="D42" i="23" a="1"/>
  <c r="D64" i="23" a="1"/>
  <c r="D56" i="23" a="1"/>
  <c r="D54" i="23" a="1"/>
  <c r="D59" i="23" a="1"/>
  <c r="D46" i="23" a="1"/>
  <c r="D57" i="23" a="1"/>
  <c r="D64" i="23" l="1"/>
  <c r="D62" i="23"/>
  <c r="D59" i="23"/>
  <c r="D57" i="23"/>
  <c r="D46" i="23"/>
  <c r="D56" i="23"/>
  <c r="D45" i="23"/>
  <c r="D43" i="23"/>
  <c r="D54" i="23"/>
  <c r="D42" i="23"/>
  <c r="D47" i="23"/>
  <c r="D55" i="23"/>
  <c r="E211" i="23" a="1"/>
  <c r="G176" i="30" a="1"/>
  <c r="E216" i="23" a="1"/>
  <c r="E226" i="23" a="1"/>
  <c r="E176" i="30" a="1"/>
  <c r="E221" i="23" a="1"/>
  <c r="E225" i="23" a="1"/>
  <c r="E212" i="23" a="1"/>
  <c r="E213" i="23" a="1"/>
  <c r="F176" i="30" a="1"/>
  <c r="E225" i="23" l="1"/>
  <c r="E226" i="23"/>
  <c r="E221" i="23"/>
  <c r="E216" i="23"/>
  <c r="E213" i="23"/>
  <c r="E212" i="23"/>
  <c r="E211" i="23"/>
  <c r="G176" i="30"/>
  <c r="F176" i="30"/>
  <c r="E176" i="30"/>
  <c r="AA155" i="1" l="1"/>
  <c r="AA155" i="20" s="1"/>
  <c r="AB155" i="1"/>
  <c r="AB155" i="20" s="1"/>
  <c r="AC155" i="1"/>
  <c r="AC155" i="20" s="1"/>
  <c r="AD155" i="1"/>
  <c r="AD155" i="20" s="1"/>
  <c r="AE155" i="1"/>
  <c r="AE155" i="20" s="1"/>
  <c r="AF155" i="1"/>
  <c r="AF155" i="20" s="1"/>
  <c r="AG155" i="1"/>
  <c r="AG155" i="20" s="1"/>
  <c r="AH155" i="1"/>
  <c r="AH155" i="20" s="1"/>
  <c r="AI155" i="1"/>
  <c r="AI155" i="20" s="1"/>
  <c r="AJ155" i="1"/>
  <c r="AJ155" i="20" s="1"/>
  <c r="AK155" i="1"/>
  <c r="AK155" i="20" s="1"/>
  <c r="AL155" i="1"/>
  <c r="AL155" i="20" s="1"/>
  <c r="AM155" i="1"/>
  <c r="AM155" i="20" s="1"/>
  <c r="AN155" i="1"/>
  <c r="AN155" i="20" s="1"/>
  <c r="AO155" i="1"/>
  <c r="AO155" i="20" s="1"/>
  <c r="AP155" i="1"/>
  <c r="AP155" i="20" s="1"/>
  <c r="AQ155" i="1"/>
  <c r="AQ155" i="20" s="1"/>
  <c r="AR155" i="1"/>
  <c r="AR155" i="20" s="1"/>
  <c r="AS155" i="1"/>
  <c r="AS155" i="20" s="1"/>
  <c r="AT155" i="1"/>
  <c r="AT155" i="20" s="1"/>
  <c r="AU155" i="1"/>
  <c r="AU155" i="20" s="1"/>
  <c r="AV155" i="1"/>
  <c r="AV155" i="20" s="1"/>
  <c r="AW155" i="1"/>
  <c r="AW155" i="20" s="1"/>
  <c r="AX155" i="1"/>
  <c r="AX155" i="20" s="1"/>
  <c r="AY155" i="1"/>
  <c r="AY155" i="20" s="1"/>
  <c r="AZ155" i="1"/>
  <c r="AZ155" i="20" s="1"/>
  <c r="BA155" i="1"/>
  <c r="BA155" i="20" s="1"/>
  <c r="BB155" i="1"/>
  <c r="BB155" i="20" s="1"/>
  <c r="BC155" i="1"/>
  <c r="BD155" i="1"/>
  <c r="BD155" i="20" s="1"/>
  <c r="BE155" i="1"/>
  <c r="BE155" i="20" s="1"/>
  <c r="BF155" i="1"/>
  <c r="BF155" i="20" s="1"/>
  <c r="BG155" i="1"/>
  <c r="BG155" i="20" s="1"/>
  <c r="BH155" i="1"/>
  <c r="BH155" i="20" s="1"/>
  <c r="BI155" i="1"/>
  <c r="BI155" i="20" s="1"/>
  <c r="BJ155" i="1"/>
  <c r="BJ155" i="20" s="1"/>
  <c r="BP155" i="1"/>
  <c r="BP155" i="20" s="1"/>
  <c r="BQ155" i="1"/>
  <c r="BQ155" i="20" s="1"/>
  <c r="BR155" i="1"/>
  <c r="BR155" i="20" s="1"/>
  <c r="BS155" i="1"/>
  <c r="BS155" i="20" s="1"/>
  <c r="BT155" i="1"/>
  <c r="BT155" i="20" s="1"/>
  <c r="BU155" i="1"/>
  <c r="BU155" i="20" s="1"/>
  <c r="BV155" i="1"/>
  <c r="BV155" i="20" s="1"/>
  <c r="BW155" i="1"/>
  <c r="BW155" i="20" s="1"/>
  <c r="V155" i="1"/>
  <c r="BC155" i="20"/>
  <c r="AA130" i="1"/>
  <c r="AB130" i="1"/>
  <c r="AC130" i="1"/>
  <c r="AD130" i="1"/>
  <c r="AE130" i="1"/>
  <c r="AF130" i="1"/>
  <c r="AG130" i="1"/>
  <c r="AH130" i="1"/>
  <c r="AI130" i="1"/>
  <c r="AJ130" i="1"/>
  <c r="AK130" i="1"/>
  <c r="AL130" i="1"/>
  <c r="AM130" i="1"/>
  <c r="AN130" i="1"/>
  <c r="AO130" i="1"/>
  <c r="AP130" i="1"/>
  <c r="AQ130" i="1"/>
  <c r="AR130" i="1"/>
  <c r="AS130" i="1"/>
  <c r="AT130" i="1"/>
  <c r="AU130" i="1"/>
  <c r="AV130" i="1"/>
  <c r="AW130" i="1"/>
  <c r="AX130" i="1"/>
  <c r="AY130" i="1"/>
  <c r="AZ130" i="1"/>
  <c r="BA130" i="1"/>
  <c r="BB130" i="1"/>
  <c r="BC130" i="1"/>
  <c r="BD130" i="1"/>
  <c r="BE130" i="1"/>
  <c r="BF130" i="1"/>
  <c r="BG130" i="1"/>
  <c r="BH130" i="1"/>
  <c r="BI130" i="1"/>
  <c r="BJ130" i="1"/>
  <c r="BP130" i="1"/>
  <c r="BQ130" i="1"/>
  <c r="BR130" i="1"/>
  <c r="BS130" i="1"/>
  <c r="BT130" i="1"/>
  <c r="BU130" i="1"/>
  <c r="BV130" i="1"/>
  <c r="BW130" i="1"/>
  <c r="V130" i="1"/>
  <c r="AA150" i="30"/>
  <c r="AB150" i="30"/>
  <c r="AC150" i="30"/>
  <c r="AD150" i="30"/>
  <c r="AE150" i="30"/>
  <c r="AF150" i="30"/>
  <c r="AG150" i="30"/>
  <c r="AH150" i="30"/>
  <c r="AI150" i="30"/>
  <c r="AJ150" i="30"/>
  <c r="AK150" i="30"/>
  <c r="AL150" i="30"/>
  <c r="AM150" i="30"/>
  <c r="AN150" i="30"/>
  <c r="AO150" i="30"/>
  <c r="AP150" i="30"/>
  <c r="AQ150" i="30"/>
  <c r="AR150" i="30"/>
  <c r="AS150" i="30"/>
  <c r="AT150" i="30"/>
  <c r="AU150" i="30"/>
  <c r="AV150" i="30"/>
  <c r="AW150" i="30"/>
  <c r="AX150" i="30"/>
  <c r="AY150" i="30"/>
  <c r="AZ150" i="30"/>
  <c r="BA150" i="30"/>
  <c r="BB150" i="30"/>
  <c r="BC150" i="30"/>
  <c r="BD150" i="30"/>
  <c r="BE150" i="30"/>
  <c r="BF150" i="30"/>
  <c r="BG150" i="30"/>
  <c r="BH150" i="30"/>
  <c r="BI150" i="30"/>
  <c r="BJ150" i="30"/>
  <c r="BP150" i="30"/>
  <c r="BQ150" i="30"/>
  <c r="BR150" i="30"/>
  <c r="BS150" i="30"/>
  <c r="BT150" i="30"/>
  <c r="BU150" i="30"/>
  <c r="BV150" i="30"/>
  <c r="BW150" i="30"/>
  <c r="V150" i="30"/>
  <c r="A221" i="6" a="1"/>
  <c r="A221" i="6" s="1"/>
  <c r="EX209" i="6"/>
  <c r="BL209" i="6"/>
  <c r="E164" i="30" a="1"/>
  <c r="E148" i="30" a="1"/>
  <c r="F148" i="30" a="1"/>
  <c r="F150" i="30" a="1"/>
  <c r="G130" i="20" a="1"/>
  <c r="G130" i="1" a="1"/>
  <c r="G148" i="30" a="1"/>
  <c r="E150" i="30" a="1"/>
  <c r="E164" i="30" l="1"/>
  <c r="G148" i="30"/>
  <c r="F148" i="30"/>
  <c r="E148" i="30"/>
  <c r="G130" i="1"/>
  <c r="G130" i="20"/>
  <c r="E150" i="30"/>
  <c r="F150" i="30"/>
  <c r="W96" i="35" l="1"/>
  <c r="X96" i="35"/>
  <c r="Y96" i="35"/>
  <c r="V96" i="35"/>
  <c r="EX101" i="35" l="1"/>
  <c r="EX100" i="35"/>
  <c r="EX99" i="35"/>
  <c r="EX98" i="35"/>
  <c r="EX97" i="35"/>
  <c r="EX96" i="35"/>
  <c r="EX92" i="35"/>
  <c r="EX102" i="35"/>
  <c r="EX90" i="35"/>
  <c r="EX94" i="35"/>
  <c r="EX93" i="35"/>
  <c r="EX91" i="35"/>
  <c r="G705" i="9"/>
  <c r="G704" i="9"/>
  <c r="G703" i="9"/>
  <c r="G702" i="9"/>
  <c r="G701" i="9"/>
  <c r="G700" i="9"/>
  <c r="G699" i="9"/>
  <c r="G698" i="9"/>
  <c r="G697" i="9"/>
  <c r="G696" i="9"/>
  <c r="G695" i="9"/>
  <c r="G694" i="9"/>
  <c r="G693" i="9"/>
  <c r="G692" i="9"/>
  <c r="G691" i="9"/>
  <c r="G690" i="9"/>
  <c r="G689" i="9"/>
  <c r="G688" i="9"/>
  <c r="G687" i="9"/>
  <c r="G686" i="9"/>
  <c r="F663" i="9"/>
  <c r="F664" i="9"/>
  <c r="F665" i="9"/>
  <c r="F666" i="9"/>
  <c r="F667" i="9"/>
  <c r="F668" i="9"/>
  <c r="F669" i="9"/>
  <c r="F670" i="9"/>
  <c r="F671" i="9"/>
  <c r="F672" i="9"/>
  <c r="F673" i="9"/>
  <c r="F674" i="9"/>
  <c r="F675" i="9"/>
  <c r="F676" i="9"/>
  <c r="F677" i="9"/>
  <c r="F678" i="9"/>
  <c r="F679" i="9"/>
  <c r="F680" i="9"/>
  <c r="F681" i="9"/>
  <c r="F682" i="9"/>
  <c r="AG682" i="9" s="1"/>
  <c r="EX683" i="9"/>
  <c r="EX682" i="9"/>
  <c r="E682" i="9"/>
  <c r="D682" i="9"/>
  <c r="B682" i="9" a="1"/>
  <c r="B682" i="9" s="1"/>
  <c r="EX681" i="9"/>
  <c r="E681" i="9"/>
  <c r="D681" i="9"/>
  <c r="B681" i="9" a="1"/>
  <c r="B681" i="9" s="1"/>
  <c r="EX680" i="9"/>
  <c r="E680" i="9"/>
  <c r="D680" i="9"/>
  <c r="B680" i="9" a="1"/>
  <c r="B680" i="9" s="1"/>
  <c r="EX679" i="9"/>
  <c r="E679" i="9"/>
  <c r="D679" i="9"/>
  <c r="B679" i="9" a="1"/>
  <c r="B679" i="9" s="1"/>
  <c r="EX678" i="9"/>
  <c r="E678" i="9"/>
  <c r="D678" i="9"/>
  <c r="B678" i="9" a="1"/>
  <c r="B678" i="9" s="1"/>
  <c r="EX677" i="9"/>
  <c r="E677" i="9"/>
  <c r="D677" i="9"/>
  <c r="B677" i="9" a="1"/>
  <c r="B677" i="9" s="1"/>
  <c r="EX676" i="9"/>
  <c r="E676" i="9"/>
  <c r="D676" i="9"/>
  <c r="B676" i="9" a="1"/>
  <c r="B676" i="9" s="1"/>
  <c r="EX675" i="9"/>
  <c r="E675" i="9"/>
  <c r="D675" i="9"/>
  <c r="B675" i="9" a="1"/>
  <c r="B675" i="9" s="1"/>
  <c r="EX674" i="9"/>
  <c r="E674" i="9"/>
  <c r="D674" i="9"/>
  <c r="B674" i="9" a="1"/>
  <c r="B674" i="9" s="1"/>
  <c r="EX673" i="9"/>
  <c r="E673" i="9"/>
  <c r="D673" i="9"/>
  <c r="B673" i="9" a="1"/>
  <c r="B673" i="9" s="1"/>
  <c r="EX672" i="9"/>
  <c r="E672" i="9"/>
  <c r="D672" i="9"/>
  <c r="B672" i="9" a="1"/>
  <c r="B672" i="9" s="1"/>
  <c r="EX671" i="9"/>
  <c r="E671" i="9"/>
  <c r="D671" i="9"/>
  <c r="B671" i="9" a="1"/>
  <c r="B671" i="9" s="1"/>
  <c r="EX670" i="9"/>
  <c r="E670" i="9"/>
  <c r="D670" i="9"/>
  <c r="B670" i="9" a="1"/>
  <c r="B670" i="9" s="1"/>
  <c r="EX669" i="9"/>
  <c r="E669" i="9"/>
  <c r="D669" i="9"/>
  <c r="B669" i="9" a="1"/>
  <c r="B669" i="9" s="1"/>
  <c r="EX668" i="9"/>
  <c r="E668" i="9"/>
  <c r="D668" i="9"/>
  <c r="B668" i="9" a="1"/>
  <c r="B668" i="9" s="1"/>
  <c r="EX667" i="9"/>
  <c r="E667" i="9"/>
  <c r="D667" i="9"/>
  <c r="B667" i="9" a="1"/>
  <c r="B667" i="9" s="1"/>
  <c r="EX666" i="9"/>
  <c r="E666" i="9"/>
  <c r="D666" i="9"/>
  <c r="B666" i="9" a="1"/>
  <c r="B666" i="9" s="1"/>
  <c r="EX665" i="9"/>
  <c r="E665" i="9"/>
  <c r="D665" i="9"/>
  <c r="B665" i="9" a="1"/>
  <c r="B665" i="9" s="1"/>
  <c r="EX664" i="9"/>
  <c r="E664" i="9"/>
  <c r="D664" i="9"/>
  <c r="B664" i="9" a="1"/>
  <c r="B664" i="9" s="1"/>
  <c r="EX663" i="9"/>
  <c r="E663" i="9"/>
  <c r="D663" i="9"/>
  <c r="B663" i="9" a="1"/>
  <c r="B663" i="9" s="1"/>
  <c r="EX662" i="9"/>
  <c r="E662" i="9"/>
  <c r="D662" i="9"/>
  <c r="EX661" i="9"/>
  <c r="BZ169" i="26"/>
  <c r="BZ170" i="26"/>
  <c r="BZ171" i="26"/>
  <c r="BZ172" i="26"/>
  <c r="BZ173" i="26"/>
  <c r="BZ174" i="26"/>
  <c r="BZ145" i="26"/>
  <c r="BZ146" i="26"/>
  <c r="BZ147" i="26"/>
  <c r="BZ148" i="26"/>
  <c r="BZ149" i="26"/>
  <c r="BZ150" i="26"/>
  <c r="BZ119" i="26"/>
  <c r="BZ120" i="26"/>
  <c r="BZ121" i="26"/>
  <c r="BZ122" i="26"/>
  <c r="BZ123" i="26"/>
  <c r="BZ68" i="26"/>
  <c r="BZ69" i="26"/>
  <c r="BZ70" i="26"/>
  <c r="BZ71" i="26"/>
  <c r="EX17" i="12"/>
  <c r="EX18" i="12"/>
  <c r="EX19" i="12"/>
  <c r="EX299" i="26"/>
  <c r="EX10" i="3"/>
  <c r="EX11" i="3"/>
  <c r="EX12" i="3"/>
  <c r="EX13" i="3"/>
  <c r="EX14" i="3"/>
  <c r="EX15" i="3"/>
  <c r="EX16" i="3"/>
  <c r="EX17" i="3"/>
  <c r="EX18" i="3"/>
  <c r="EX19" i="3"/>
  <c r="EX20" i="3"/>
  <c r="EX21" i="3"/>
  <c r="EX22" i="3"/>
  <c r="EX23" i="3"/>
  <c r="EX24" i="3"/>
  <c r="EX25" i="3"/>
  <c r="EX26" i="3"/>
  <c r="EX27" i="3"/>
  <c r="EX28" i="3"/>
  <c r="EX29" i="3"/>
  <c r="EX30" i="3"/>
  <c r="EX31" i="3"/>
  <c r="EX32" i="3"/>
  <c r="EX33" i="3"/>
  <c r="EX34" i="3"/>
  <c r="EX35" i="3"/>
  <c r="EX36" i="3"/>
  <c r="EX37" i="3"/>
  <c r="EX38" i="3"/>
  <c r="EX39" i="3"/>
  <c r="EX9" i="3"/>
  <c r="EX8" i="3"/>
  <c r="EX10" i="35"/>
  <c r="EX11" i="35"/>
  <c r="EX12" i="35"/>
  <c r="EX13" i="35"/>
  <c r="EX14" i="35"/>
  <c r="EX15" i="35"/>
  <c r="EX16" i="35"/>
  <c r="EX17" i="35"/>
  <c r="EX18" i="35"/>
  <c r="EX19" i="35"/>
  <c r="EX20" i="35"/>
  <c r="EX21" i="35"/>
  <c r="EX22" i="35"/>
  <c r="EX23" i="35"/>
  <c r="EX24" i="35"/>
  <c r="EX25" i="35"/>
  <c r="EX26" i="35"/>
  <c r="EX27" i="35"/>
  <c r="EX28" i="35"/>
  <c r="EX29" i="35"/>
  <c r="EX30" i="35"/>
  <c r="EX31" i="35"/>
  <c r="EX32" i="35"/>
  <c r="EX33" i="35"/>
  <c r="EX34" i="35"/>
  <c r="EX35" i="35"/>
  <c r="EX36" i="35"/>
  <c r="EX37" i="35"/>
  <c r="EX38" i="35"/>
  <c r="EX39" i="35"/>
  <c r="EX40" i="35"/>
  <c r="EX41" i="35"/>
  <c r="EX42" i="35"/>
  <c r="EX43" i="35"/>
  <c r="EX44" i="35"/>
  <c r="EX45" i="35"/>
  <c r="EX46" i="35"/>
  <c r="EX47" i="35"/>
  <c r="EX48" i="35"/>
  <c r="EX49" i="35"/>
  <c r="EX50" i="35"/>
  <c r="EX51" i="35"/>
  <c r="EX52" i="35"/>
  <c r="EX53" i="35"/>
  <c r="EX54" i="35"/>
  <c r="EX55" i="35"/>
  <c r="EX56" i="35"/>
  <c r="EX57" i="35"/>
  <c r="EX58" i="35"/>
  <c r="EX59" i="35"/>
  <c r="EX60" i="35"/>
  <c r="EX61" i="35"/>
  <c r="EX62" i="35"/>
  <c r="EX63" i="35"/>
  <c r="EX64" i="35"/>
  <c r="EX65" i="35"/>
  <c r="EX66" i="35"/>
  <c r="EX67" i="35"/>
  <c r="EX68" i="35"/>
  <c r="EX69" i="35"/>
  <c r="EX71" i="35"/>
  <c r="EX72" i="35"/>
  <c r="EX73" i="35"/>
  <c r="EX74" i="35"/>
  <c r="EX76" i="35"/>
  <c r="EX77" i="35"/>
  <c r="EX78" i="35"/>
  <c r="EX79" i="35"/>
  <c r="EX80" i="35"/>
  <c r="EX81" i="35"/>
  <c r="EX82" i="35"/>
  <c r="EX83" i="35"/>
  <c r="EX84" i="35"/>
  <c r="EX85" i="35"/>
  <c r="EX86" i="35"/>
  <c r="EX87" i="35"/>
  <c r="EX88" i="35"/>
  <c r="EX89" i="35"/>
  <c r="EX95" i="35"/>
  <c r="EX103" i="35"/>
  <c r="EX9" i="35"/>
  <c r="EX8" i="35"/>
  <c r="EX52" i="33"/>
  <c r="D64" i="28"/>
  <c r="D68" i="28"/>
  <c r="B2" i="36" a="1"/>
  <c r="E178" i="23" a="1"/>
  <c r="E167" i="23" a="1"/>
  <c r="E169" i="23" a="1"/>
  <c r="E147" i="23" a="1"/>
  <c r="B2" i="33" a="1"/>
  <c r="E165" i="23" a="1"/>
  <c r="B2" i="13" a="1"/>
  <c r="E142" i="23" a="1"/>
  <c r="E161" i="23" a="1"/>
  <c r="E163" i="23" a="1"/>
  <c r="AW682" i="9" l="1"/>
  <c r="AD682" i="9"/>
  <c r="AK682" i="9"/>
  <c r="BA682" i="9"/>
  <c r="AO682" i="9"/>
  <c r="BE682" i="9"/>
  <c r="AC682" i="9"/>
  <c r="AS682" i="9"/>
  <c r="BI682" i="9"/>
  <c r="AA682" i="9"/>
  <c r="E178" i="23"/>
  <c r="E167" i="23"/>
  <c r="E165" i="23"/>
  <c r="E163" i="23"/>
  <c r="E161" i="23"/>
  <c r="E169" i="23"/>
  <c r="E142" i="23"/>
  <c r="E147" i="23"/>
  <c r="B2" i="13"/>
  <c r="B2" i="36"/>
  <c r="B2" i="33"/>
  <c r="BH682" i="9"/>
  <c r="BD682" i="9"/>
  <c r="AZ682" i="9"/>
  <c r="AV682" i="9"/>
  <c r="AR682" i="9"/>
  <c r="AN682" i="9"/>
  <c r="AJ682" i="9"/>
  <c r="AF682" i="9"/>
  <c r="AB682" i="9"/>
  <c r="BG682" i="9"/>
  <c r="BC682" i="9"/>
  <c r="AY682" i="9"/>
  <c r="AU682" i="9"/>
  <c r="AQ682" i="9"/>
  <c r="AM682" i="9"/>
  <c r="AI682" i="9"/>
  <c r="AE682" i="9"/>
  <c r="BJ682" i="9"/>
  <c r="BF682" i="9"/>
  <c r="BB682" i="9"/>
  <c r="AX682" i="9"/>
  <c r="AT682" i="9"/>
  <c r="AP682" i="9"/>
  <c r="AL682" i="9"/>
  <c r="AH682" i="9"/>
  <c r="CH13" i="9"/>
  <c r="CF13" i="9"/>
  <c r="CE14" i="9"/>
  <c r="CE13" i="9"/>
  <c r="A36" i="9" a="1"/>
  <c r="A36" i="9" s="1"/>
  <c r="A35" i="9" a="1"/>
  <c r="A35" i="9" s="1"/>
  <c r="A34" i="9" a="1"/>
  <c r="A34" i="9" s="1"/>
  <c r="A33" i="9" a="1"/>
  <c r="A33" i="9" s="1"/>
  <c r="BS1149" i="9"/>
  <c r="BQ1149" i="9"/>
  <c r="BR1149" i="9"/>
  <c r="BT1149" i="9"/>
  <c r="BU1149" i="9"/>
  <c r="BV1149" i="9"/>
  <c r="BW1149" i="9"/>
  <c r="BP1149" i="9"/>
  <c r="EX58" i="28"/>
  <c r="EX63" i="28"/>
  <c r="EX62" i="28"/>
  <c r="A2" i="38"/>
  <c r="C96" i="23" a="1"/>
  <c r="C107" i="23" a="1"/>
  <c r="C106" i="23" a="1"/>
  <c r="B2" i="9" a="1"/>
  <c r="B2" i="1" a="1"/>
  <c r="C94" i="23" a="1"/>
  <c r="B2" i="12" a="1"/>
  <c r="B2" i="30" a="1"/>
  <c r="B2" i="22" a="1"/>
  <c r="B2" i="20" a="1"/>
  <c r="B2" i="37" a="1"/>
  <c r="B2" i="6" a="1"/>
  <c r="B2" i="26" a="1"/>
  <c r="B2" i="38" a="1"/>
  <c r="B2" i="28" a="1"/>
  <c r="B2" i="32" a="1"/>
  <c r="B2" i="12" l="1"/>
  <c r="B2" i="32"/>
  <c r="B2" i="30"/>
  <c r="B2" i="38"/>
  <c r="B2" i="6"/>
  <c r="B2" i="22"/>
  <c r="B2" i="20"/>
  <c r="B2" i="1"/>
  <c r="B2" i="9"/>
  <c r="C107" i="23"/>
  <c r="C106" i="23"/>
  <c r="B2" i="26"/>
  <c r="B2" i="37"/>
  <c r="B2" i="28"/>
  <c r="C96" i="23"/>
  <c r="C94" i="23"/>
  <c r="CK323" i="26" l="1"/>
  <c r="CI319" i="26"/>
  <c r="CK326" i="26"/>
  <c r="CJ326" i="26"/>
  <c r="CI326" i="26"/>
  <c r="CK325" i="26"/>
  <c r="CJ325" i="26"/>
  <c r="CI325" i="26"/>
  <c r="CK324" i="26"/>
  <c r="CJ324" i="26"/>
  <c r="CI324" i="26"/>
  <c r="CJ323" i="26"/>
  <c r="CI323" i="26"/>
  <c r="CK322" i="26"/>
  <c r="CJ322" i="26"/>
  <c r="CI322" i="26"/>
  <c r="CK319" i="26"/>
  <c r="CJ319" i="26"/>
  <c r="CK317" i="26"/>
  <c r="CJ317" i="26"/>
  <c r="CI317" i="26"/>
  <c r="V1092" i="9"/>
  <c r="V1091" i="9"/>
  <c r="V1090" i="9"/>
  <c r="BL1092" i="9"/>
  <c r="BL1091" i="9"/>
  <c r="BL1090" i="9"/>
  <c r="V1135" i="9"/>
  <c r="A323" i="26" l="1" a="1"/>
  <c r="A323" i="26" s="1"/>
  <c r="A324" i="26" a="1"/>
  <c r="A324" i="26" s="1"/>
  <c r="A322" i="26" a="1"/>
  <c r="A322" i="26" s="1"/>
  <c r="A325" i="26" a="1"/>
  <c r="A325" i="26" s="1"/>
  <c r="BL1093" i="9"/>
  <c r="V1093" i="9"/>
  <c r="A319" i="26" a="1"/>
  <c r="A319" i="26" s="1"/>
  <c r="A317" i="26" a="1"/>
  <c r="A317" i="26" s="1"/>
  <c r="A326" i="26" a="1"/>
  <c r="A326" i="26" s="1"/>
  <c r="CC181" i="20" a="1"/>
  <c r="CC181" i="20" s="1"/>
  <c r="W37" i="20"/>
  <c r="BZ75" i="16"/>
  <c r="BZ74" i="16"/>
  <c r="BZ73" i="16"/>
  <c r="A291" i="26" l="1" a="1"/>
  <c r="A291" i="26" s="1"/>
  <c r="CB13" i="26"/>
  <c r="CE110" i="26"/>
  <c r="V261" i="26"/>
  <c r="V252" i="26"/>
  <c r="V52" i="9"/>
  <c r="V281" i="26"/>
  <c r="V240" i="26"/>
  <c r="EX31" i="28" l="1"/>
  <c r="EX32" i="28"/>
  <c r="EX33" i="28"/>
  <c r="EX34" i="28"/>
  <c r="EX37" i="28"/>
  <c r="EX38" i="28"/>
  <c r="EX41" i="28"/>
  <c r="EX42" i="28"/>
  <c r="EX45" i="28"/>
  <c r="EX46" i="28"/>
  <c r="EX47" i="28"/>
  <c r="EX48" i="28"/>
  <c r="EX50" i="28"/>
  <c r="EX51" i="28"/>
  <c r="EX52" i="28"/>
  <c r="EX53" i="28"/>
  <c r="EX54" i="28"/>
  <c r="EX55" i="28"/>
  <c r="EX57" i="28"/>
  <c r="EX59" i="28"/>
  <c r="EX60" i="28"/>
  <c r="EX61" i="28"/>
  <c r="EX64" i="28"/>
  <c r="EX65" i="28"/>
  <c r="EX66" i="28"/>
  <c r="EX67" i="28"/>
  <c r="EX68" i="28"/>
  <c r="EX69" i="28"/>
  <c r="EX70" i="28"/>
  <c r="EX71" i="28"/>
  <c r="EX72" i="28"/>
  <c r="EX73" i="28"/>
  <c r="EX74" i="28"/>
  <c r="EX75" i="28"/>
  <c r="EX76" i="28"/>
  <c r="E44" i="28"/>
  <c r="EX56" i="28"/>
  <c r="E40" i="28"/>
  <c r="EX40" i="28"/>
  <c r="EX36" i="28"/>
  <c r="E36" i="28"/>
  <c r="EX30" i="28"/>
  <c r="EX39" i="28" l="1"/>
  <c r="EX43" i="28"/>
  <c r="EX44" i="28"/>
  <c r="EX53" i="32"/>
  <c r="EX51" i="32"/>
  <c r="V209" i="30" l="1"/>
  <c r="EX136" i="30"/>
  <c r="E187" i="30" a="1"/>
  <c r="E169" i="30" a="1"/>
  <c r="E170" i="30" a="1"/>
  <c r="E170" i="30" l="1"/>
  <c r="E169" i="30"/>
  <c r="E187" i="30"/>
  <c r="CM129" i="30"/>
  <c r="CE129" i="30" s="1"/>
  <c r="CL129" i="30"/>
  <c r="CK129" i="30"/>
  <c r="CJ129" i="30"/>
  <c r="CM122" i="30"/>
  <c r="CE122" i="30" s="1"/>
  <c r="CL122" i="30"/>
  <c r="CK122" i="30"/>
  <c r="CJ122" i="30"/>
  <c r="CM113" i="30"/>
  <c r="CE113" i="30" s="1"/>
  <c r="CL113" i="30"/>
  <c r="CK113" i="30"/>
  <c r="CJ113" i="30"/>
  <c r="CM88" i="30"/>
  <c r="CE88" i="30" s="1"/>
  <c r="CL88" i="30"/>
  <c r="CK88" i="30"/>
  <c r="CJ88" i="30"/>
  <c r="CM75" i="30"/>
  <c r="CE75" i="30" s="1"/>
  <c r="CL75" i="30"/>
  <c r="CK75" i="30"/>
  <c r="CJ75" i="30"/>
  <c r="CD129" i="30" l="1"/>
  <c r="CD113" i="30"/>
  <c r="CD122" i="30"/>
  <c r="CD75" i="30"/>
  <c r="CD88" i="30"/>
  <c r="V201" i="1"/>
  <c r="V1149" i="9"/>
  <c r="V261" i="6"/>
  <c r="V262" i="6" s="1"/>
  <c r="V328" i="26"/>
  <c r="BP261" i="6"/>
  <c r="BQ261" i="6"/>
  <c r="BR261" i="6"/>
  <c r="BS261" i="6"/>
  <c r="BT261" i="6"/>
  <c r="BU261" i="6"/>
  <c r="BV261" i="6"/>
  <c r="BW261" i="6"/>
  <c r="CC12" i="22"/>
  <c r="CC11" i="22"/>
  <c r="BZ23" i="37"/>
  <c r="BZ13" i="37"/>
  <c r="CC12" i="20" a="1"/>
  <c r="CC12" i="20" s="1"/>
  <c r="CC13" i="22"/>
  <c r="BZ11" i="22"/>
  <c r="BZ12" i="22"/>
  <c r="BZ13" i="22"/>
  <c r="BZ14" i="22"/>
  <c r="BZ15" i="22"/>
  <c r="BZ16" i="22"/>
  <c r="BZ17" i="22"/>
  <c r="BZ18" i="22"/>
  <c r="BZ19" i="22"/>
  <c r="BZ20" i="22"/>
  <c r="BZ21" i="22"/>
  <c r="BZ22" i="22"/>
  <c r="BZ23" i="22"/>
  <c r="BZ24" i="22"/>
  <c r="BZ25" i="22"/>
  <c r="BZ26" i="22"/>
  <c r="BZ27" i="22"/>
  <c r="BZ28" i="22"/>
  <c r="BZ29" i="22"/>
  <c r="BZ30" i="22"/>
  <c r="BZ31" i="22"/>
  <c r="BZ32" i="22"/>
  <c r="BZ33" i="22"/>
  <c r="BZ34" i="22"/>
  <c r="BZ35" i="22"/>
  <c r="BZ36" i="22"/>
  <c r="BZ37" i="22"/>
  <c r="BZ38" i="22"/>
  <c r="BZ39" i="22"/>
  <c r="BZ40" i="22"/>
  <c r="BZ41" i="22"/>
  <c r="BZ42" i="22"/>
  <c r="BZ43" i="22"/>
  <c r="BZ44" i="22"/>
  <c r="BZ45" i="22"/>
  <c r="BZ46" i="22"/>
  <c r="BZ47" i="22"/>
  <c r="BZ48" i="22"/>
  <c r="BZ49" i="22"/>
  <c r="BZ50" i="22"/>
  <c r="BZ51" i="22"/>
  <c r="BZ52" i="22"/>
  <c r="BZ53" i="22"/>
  <c r="BZ54" i="22"/>
  <c r="BZ55" i="22"/>
  <c r="BZ56" i="22"/>
  <c r="BZ57" i="22"/>
  <c r="BZ58" i="22"/>
  <c r="BZ59" i="22"/>
  <c r="BZ60" i="22"/>
  <c r="BZ61" i="22"/>
  <c r="BZ62" i="22"/>
  <c r="BZ63" i="22"/>
  <c r="BZ64" i="22"/>
  <c r="BZ65" i="22"/>
  <c r="BZ66" i="22"/>
  <c r="BZ67" i="22"/>
  <c r="BZ68" i="22"/>
  <c r="BZ69" i="22"/>
  <c r="BZ70" i="22"/>
  <c r="BZ71" i="22"/>
  <c r="BZ72" i="22"/>
  <c r="BZ73" i="22"/>
  <c r="BZ74" i="22"/>
  <c r="BZ75" i="22"/>
  <c r="BZ76" i="22"/>
  <c r="BZ77" i="22"/>
  <c r="BZ78" i="22"/>
  <c r="BZ79" i="22"/>
  <c r="BZ80" i="22"/>
  <c r="BZ81" i="22"/>
  <c r="BZ82" i="22"/>
  <c r="BZ83" i="22"/>
  <c r="BZ84" i="22"/>
  <c r="BZ85" i="22"/>
  <c r="BZ86" i="22"/>
  <c r="BZ87" i="22"/>
  <c r="BZ88" i="22"/>
  <c r="BZ89" i="22"/>
  <c r="BZ90" i="22"/>
  <c r="BZ91" i="22"/>
  <c r="BZ92" i="22"/>
  <c r="BZ9" i="22"/>
  <c r="B2" i="16" a="1"/>
  <c r="B2" i="16" l="1"/>
  <c r="F329" i="26"/>
  <c r="EX41" i="32" l="1"/>
  <c r="EX52" i="32"/>
  <c r="EX56" i="32"/>
  <c r="EX21" i="32" l="1"/>
  <c r="CB12" i="22"/>
  <c r="I198" i="20" l="1"/>
  <c r="I181" i="20"/>
  <c r="I172" i="20"/>
  <c r="I169" i="20"/>
  <c r="I154" i="20"/>
  <c r="I148" i="20"/>
  <c r="I149" i="20"/>
  <c r="I150" i="20"/>
  <c r="I137" i="20"/>
  <c r="I138" i="20"/>
  <c r="I139" i="20"/>
  <c r="I140" i="20"/>
  <c r="I141" i="20"/>
  <c r="I142" i="20"/>
  <c r="I143" i="20"/>
  <c r="I144" i="20"/>
  <c r="I145" i="20"/>
  <c r="I146" i="20"/>
  <c r="I131" i="20"/>
  <c r="I132" i="20"/>
  <c r="I133" i="20"/>
  <c r="I122" i="20"/>
  <c r="I123" i="20"/>
  <c r="I124" i="20"/>
  <c r="I125" i="20"/>
  <c r="I126" i="20"/>
  <c r="I127" i="20"/>
  <c r="I128" i="20"/>
  <c r="I129" i="20"/>
  <c r="I115" i="20"/>
  <c r="I110" i="20"/>
  <c r="I111" i="20"/>
  <c r="I112" i="20"/>
  <c r="I101" i="20"/>
  <c r="I102" i="20"/>
  <c r="I103" i="20"/>
  <c r="I104" i="20"/>
  <c r="I105" i="20"/>
  <c r="I106" i="20"/>
  <c r="I87" i="20"/>
  <c r="I88" i="20"/>
  <c r="I89" i="20"/>
  <c r="I90" i="20"/>
  <c r="I91" i="20"/>
  <c r="I92" i="20"/>
  <c r="I93" i="20"/>
  <c r="I94" i="20"/>
  <c r="I95" i="20"/>
  <c r="I96" i="20"/>
  <c r="I97" i="20"/>
  <c r="I71" i="20"/>
  <c r="I72" i="20"/>
  <c r="I73" i="20"/>
  <c r="I74" i="20"/>
  <c r="I75" i="20"/>
  <c r="I76" i="20"/>
  <c r="I77" i="20"/>
  <c r="I78" i="20"/>
  <c r="I79" i="20"/>
  <c r="I80" i="20"/>
  <c r="I81" i="20"/>
  <c r="I82" i="20"/>
  <c r="I83" i="20"/>
  <c r="I68" i="20"/>
  <c r="I64" i="20"/>
  <c r="I65" i="20"/>
  <c r="I66" i="20"/>
  <c r="I61" i="20"/>
  <c r="I53" i="20"/>
  <c r="I54" i="20"/>
  <c r="I55" i="20"/>
  <c r="I56" i="20"/>
  <c r="I57" i="20"/>
  <c r="I58" i="20"/>
  <c r="I59" i="20"/>
  <c r="I50" i="20"/>
  <c r="I41" i="20"/>
  <c r="I42" i="20"/>
  <c r="I43" i="20"/>
  <c r="I44" i="20"/>
  <c r="I45" i="20"/>
  <c r="I46" i="20"/>
  <c r="I47" i="20"/>
  <c r="I48" i="20"/>
  <c r="I38" i="20"/>
  <c r="I32" i="20"/>
  <c r="I33" i="20"/>
  <c r="I34" i="20"/>
  <c r="I35" i="20"/>
  <c r="I36" i="20"/>
  <c r="I29" i="20"/>
  <c r="I19" i="20"/>
  <c r="I20" i="20"/>
  <c r="I21" i="20"/>
  <c r="I22" i="20"/>
  <c r="I23" i="20"/>
  <c r="I24" i="20"/>
  <c r="I25" i="20"/>
  <c r="I26" i="20"/>
  <c r="I27" i="20"/>
  <c r="I16" i="20"/>
  <c r="I11" i="20"/>
  <c r="I12" i="20"/>
  <c r="I13" i="20"/>
  <c r="I14" i="20"/>
  <c r="EX182" i="22" l="1"/>
  <c r="EX20" i="13"/>
  <c r="EX21" i="13"/>
  <c r="EX22" i="13"/>
  <c r="EX23" i="13"/>
  <c r="EX24" i="13"/>
  <c r="EX25" i="13"/>
  <c r="EX26" i="13"/>
  <c r="EX27" i="13"/>
  <c r="EX28" i="13"/>
  <c r="EX29" i="13"/>
  <c r="EX30" i="13"/>
  <c r="EX33" i="13"/>
  <c r="EX34" i="13"/>
  <c r="EX35" i="13"/>
  <c r="EX36" i="13"/>
  <c r="EX37" i="13"/>
  <c r="EX38" i="13"/>
  <c r="EX39" i="13"/>
  <c r="EX40" i="13"/>
  <c r="EX41" i="13"/>
  <c r="EX42" i="13"/>
  <c r="EX43" i="13"/>
  <c r="EX44" i="13"/>
  <c r="EX46" i="13"/>
  <c r="EX47" i="13"/>
  <c r="EX48" i="13"/>
  <c r="EX49" i="13"/>
  <c r="EX50" i="13"/>
  <c r="EX51" i="13"/>
  <c r="EX52" i="13"/>
  <c r="EX53" i="13"/>
  <c r="EX54" i="13"/>
  <c r="EX55" i="13"/>
  <c r="EX56" i="13"/>
  <c r="EX58" i="13"/>
  <c r="EX59" i="13"/>
  <c r="EX60" i="13"/>
  <c r="EX61" i="13"/>
  <c r="EX62" i="13"/>
  <c r="EX63" i="13"/>
  <c r="EX64" i="13"/>
  <c r="EX65" i="13"/>
  <c r="EX66" i="13"/>
  <c r="EX67" i="13"/>
  <c r="EX68" i="13"/>
  <c r="EX69" i="13"/>
  <c r="EX70" i="13"/>
  <c r="EX72" i="13"/>
  <c r="EX73" i="13"/>
  <c r="EX74" i="13"/>
  <c r="EX75" i="13"/>
  <c r="EX76" i="13"/>
  <c r="EX77" i="13"/>
  <c r="EX78" i="13"/>
  <c r="EX79" i="13"/>
  <c r="EX80" i="13"/>
  <c r="EX81" i="13"/>
  <c r="EX82" i="13"/>
  <c r="EX84" i="13"/>
  <c r="EX85" i="13"/>
  <c r="EX86" i="13"/>
  <c r="EX87" i="13"/>
  <c r="EX88" i="13"/>
  <c r="EX89" i="13"/>
  <c r="EX90" i="13"/>
  <c r="EX91" i="13"/>
  <c r="EX92" i="13"/>
  <c r="EX93" i="13"/>
  <c r="EX94" i="13"/>
  <c r="EX95" i="13"/>
  <c r="EX96" i="13"/>
  <c r="EX99" i="13"/>
  <c r="EX100" i="13"/>
  <c r="EX104" i="13"/>
  <c r="EX107" i="13"/>
  <c r="EX108" i="13"/>
  <c r="EX110" i="13"/>
  <c r="EX112" i="13"/>
  <c r="EX113" i="13"/>
  <c r="EX116" i="13"/>
  <c r="EX120" i="13"/>
  <c r="EX121" i="13"/>
  <c r="EX122" i="13"/>
  <c r="EX124" i="13"/>
  <c r="EX126" i="13"/>
  <c r="EX127" i="13"/>
  <c r="EX128" i="13"/>
  <c r="EX129" i="13"/>
  <c r="EX133" i="13"/>
  <c r="EX134" i="13"/>
  <c r="EX135" i="13"/>
  <c r="EX136" i="13"/>
  <c r="EX137" i="13"/>
  <c r="EX138" i="13"/>
  <c r="EX139" i="13"/>
  <c r="EX140" i="13"/>
  <c r="EX141" i="13"/>
  <c r="EX142" i="13"/>
  <c r="EX143" i="13"/>
  <c r="EX144" i="13"/>
  <c r="EX145" i="13"/>
  <c r="EX146" i="13"/>
  <c r="EX147" i="13"/>
  <c r="EX9" i="36"/>
  <c r="EX10" i="36"/>
  <c r="EX11" i="36"/>
  <c r="EX12" i="36"/>
  <c r="EX14" i="36"/>
  <c r="EX16" i="36"/>
  <c r="EX18" i="36"/>
  <c r="EX19" i="36"/>
  <c r="EX20" i="36"/>
  <c r="EX21" i="36"/>
  <c r="EX22" i="36"/>
  <c r="EX23" i="36"/>
  <c r="EX24" i="36"/>
  <c r="EX25" i="36"/>
  <c r="EX26" i="36"/>
  <c r="EX27" i="36"/>
  <c r="EX28" i="36"/>
  <c r="EX29" i="36"/>
  <c r="EX30" i="36"/>
  <c r="EX31" i="36"/>
  <c r="EX35" i="36"/>
  <c r="EX36" i="36"/>
  <c r="EX37" i="36"/>
  <c r="EX38" i="36"/>
  <c r="EX39" i="36"/>
  <c r="EX40" i="36"/>
  <c r="EX41" i="36"/>
  <c r="EX42" i="36"/>
  <c r="EX43" i="36"/>
  <c r="EX8" i="36"/>
  <c r="AA168" i="1"/>
  <c r="AB168" i="1"/>
  <c r="AC168" i="1"/>
  <c r="AD168" i="1"/>
  <c r="AE168" i="1"/>
  <c r="AF168" i="1"/>
  <c r="AG168" i="1"/>
  <c r="AH168" i="1"/>
  <c r="AI168" i="1"/>
  <c r="AJ168" i="1"/>
  <c r="AK168" i="1"/>
  <c r="AL168" i="1"/>
  <c r="AM168" i="1"/>
  <c r="AN168" i="1"/>
  <c r="AO168" i="1"/>
  <c r="AP168" i="1"/>
  <c r="AQ168" i="1"/>
  <c r="AR168" i="1"/>
  <c r="AS168" i="1"/>
  <c r="AT168" i="1"/>
  <c r="AU168" i="1"/>
  <c r="AV168" i="1"/>
  <c r="AW168" i="1"/>
  <c r="AX168" i="1"/>
  <c r="AY168" i="1"/>
  <c r="AZ168" i="1"/>
  <c r="BA168" i="1"/>
  <c r="BB168" i="1"/>
  <c r="BC168" i="1"/>
  <c r="BD168" i="1"/>
  <c r="BE168" i="1"/>
  <c r="BF168" i="1"/>
  <c r="BG168" i="1"/>
  <c r="BH168" i="1"/>
  <c r="BI168" i="1"/>
  <c r="BJ168" i="1"/>
  <c r="V168" i="1"/>
  <c r="B20" i="23"/>
  <c r="B19" i="23"/>
  <c r="EX12" i="13" l="1"/>
  <c r="EX13" i="13"/>
  <c r="E34" i="14" a="1"/>
  <c r="E34" i="14" l="1"/>
  <c r="B5" i="1" a="1"/>
  <c r="B5" i="1" s="1"/>
  <c r="B4" i="1" a="1"/>
  <c r="B4" i="1" s="1"/>
  <c r="B3" i="1" a="1"/>
  <c r="B3" i="1" s="1"/>
  <c r="B3" i="20" a="1"/>
  <c r="B3" i="20" s="1"/>
  <c r="E187" i="20" a="1"/>
  <c r="E188" i="20" a="1"/>
  <c r="G171" i="1" a="1"/>
  <c r="A3" i="1" a="1"/>
  <c r="E130" i="20" a="1"/>
  <c r="G188" i="20" a="1"/>
  <c r="E170" i="20" a="1"/>
  <c r="A3" i="20" a="1"/>
  <c r="E155" i="20" a="1"/>
  <c r="F188" i="20" a="1"/>
  <c r="E179" i="20" a="1"/>
  <c r="E171" i="20" a="1"/>
  <c r="F170" i="1" a="1"/>
  <c r="E116" i="20" a="1"/>
  <c r="F171" i="20" a="1"/>
  <c r="E163" i="20" a="1"/>
  <c r="E147" i="20" a="1"/>
  <c r="E178" i="20" a="1"/>
  <c r="G171" i="20" a="1"/>
  <c r="F170" i="20" a="1"/>
  <c r="E180" i="20" a="1"/>
  <c r="F130" i="20" a="1"/>
  <c r="E162" i="20" a="1"/>
  <c r="E187" i="20" l="1"/>
  <c r="F188" i="20"/>
  <c r="G188" i="20"/>
  <c r="E188" i="20"/>
  <c r="E178" i="20"/>
  <c r="E180" i="20"/>
  <c r="E179" i="20"/>
  <c r="F170" i="20"/>
  <c r="F171" i="20"/>
  <c r="E170" i="20"/>
  <c r="E171" i="20"/>
  <c r="G171" i="20"/>
  <c r="E162" i="20"/>
  <c r="E163" i="20"/>
  <c r="E147" i="20"/>
  <c r="E155" i="20"/>
  <c r="E130" i="20"/>
  <c r="F130" i="20"/>
  <c r="E116" i="20"/>
  <c r="G171" i="1"/>
  <c r="F170" i="1"/>
  <c r="A3" i="1"/>
  <c r="A3" i="20"/>
  <c r="B4" i="20" a="1"/>
  <c r="B4" i="20" s="1"/>
  <c r="B5" i="20" a="1"/>
  <c r="B5" i="20" s="1"/>
  <c r="BZ150" i="1"/>
  <c r="BZ149" i="1"/>
  <c r="BZ148" i="1"/>
  <c r="BZ133" i="1"/>
  <c r="BZ132" i="1"/>
  <c r="BZ131" i="1"/>
  <c r="BZ104" i="1"/>
  <c r="BZ105" i="1"/>
  <c r="BZ106" i="1"/>
  <c r="BZ95" i="1"/>
  <c r="BZ96" i="1"/>
  <c r="BZ97" i="1"/>
  <c r="BZ81" i="1"/>
  <c r="BZ82" i="1"/>
  <c r="BZ83" i="1"/>
  <c r="BZ56" i="1"/>
  <c r="BZ57" i="1"/>
  <c r="BZ58" i="1"/>
  <c r="BZ45" i="1"/>
  <c r="BZ46" i="1"/>
  <c r="BZ47" i="1"/>
  <c r="BZ33" i="1"/>
  <c r="BZ34" i="1"/>
  <c r="BZ35" i="1"/>
  <c r="BZ24" i="1"/>
  <c r="BZ25" i="1"/>
  <c r="BZ26" i="1"/>
  <c r="BZ13" i="1"/>
  <c r="BZ12" i="1"/>
  <c r="F130" i="1" a="1"/>
  <c r="F130" i="1" l="1"/>
  <c r="C72" i="1" l="1"/>
  <c r="C73" i="1"/>
  <c r="C74" i="1"/>
  <c r="C75" i="1"/>
  <c r="C76" i="1"/>
  <c r="C77" i="1"/>
  <c r="C78" i="1"/>
  <c r="EX78" i="1" s="1"/>
  <c r="C79" i="1"/>
  <c r="EX79" i="1" s="1"/>
  <c r="C80" i="1"/>
  <c r="EX80" i="1" s="1"/>
  <c r="AB60" i="1"/>
  <c r="AC84" i="1"/>
  <c r="V84" i="1"/>
  <c r="AA113" i="1"/>
  <c r="AB113" i="1"/>
  <c r="AC113" i="1"/>
  <c r="AD113" i="1"/>
  <c r="AE113" i="1"/>
  <c r="AF113" i="1"/>
  <c r="AG113"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BH113" i="1"/>
  <c r="BI113" i="1"/>
  <c r="BJ113" i="1"/>
  <c r="V113" i="1"/>
  <c r="EX69" i="1"/>
  <c r="EX69" i="20"/>
  <c r="EX112" i="20"/>
  <c r="CC112" i="20" a="1"/>
  <c r="CC112" i="20" s="1"/>
  <c r="V112" i="20"/>
  <c r="F112" i="20" a="1"/>
  <c r="F112" i="20" s="1"/>
  <c r="BL112" i="1"/>
  <c r="CM112" i="1" s="1"/>
  <c r="CE112" i="1" s="1"/>
  <c r="C112" i="1"/>
  <c r="EX112" i="1" s="1"/>
  <c r="EX80" i="20"/>
  <c r="CC80" i="20" a="1"/>
  <c r="CC80" i="20" s="1"/>
  <c r="V80" i="20"/>
  <c r="BL80" i="20" s="1"/>
  <c r="F80" i="20" a="1"/>
  <c r="F80" i="20" s="1"/>
  <c r="BL80" i="1"/>
  <c r="CM80" i="1" s="1"/>
  <c r="CE80" i="1" s="1"/>
  <c r="EX79" i="20"/>
  <c r="CC79" i="20" a="1"/>
  <c r="CC79" i="20" s="1"/>
  <c r="V79" i="20"/>
  <c r="BL79" i="20" s="1"/>
  <c r="F79" i="20" a="1"/>
  <c r="F79" i="20" s="1"/>
  <c r="BL79" i="1"/>
  <c r="CM79" i="1" s="1"/>
  <c r="CE79" i="1" s="1"/>
  <c r="EX78" i="20"/>
  <c r="CC78" i="20" a="1"/>
  <c r="CC78" i="20" s="1"/>
  <c r="V78" i="20"/>
  <c r="F78" i="20" a="1"/>
  <c r="F78" i="20" s="1"/>
  <c r="BL78" i="1"/>
  <c r="CM78" i="1" s="1"/>
  <c r="CE78" i="1" s="1"/>
  <c r="W48" i="35"/>
  <c r="X48" i="35"/>
  <c r="Y48" i="35"/>
  <c r="V48" i="35"/>
  <c r="BL112" i="20" l="1"/>
  <c r="CN112" i="20" s="1"/>
  <c r="CF112" i="20" s="1"/>
  <c r="CN80" i="20"/>
  <c r="CF80" i="20" s="1"/>
  <c r="CN79" i="20"/>
  <c r="CF79" i="20" s="1"/>
  <c r="BL78" i="20"/>
  <c r="CN78" i="20" s="1"/>
  <c r="CF78" i="20" s="1"/>
  <c r="A23" i="37" l="1" a="1"/>
  <c r="A23" i="37" s="1"/>
  <c r="A13" i="37" a="1"/>
  <c r="A13" i="37" s="1"/>
  <c r="BZ12" i="37"/>
  <c r="A12" i="37" s="1" a="1"/>
  <c r="A12" i="37" s="1"/>
  <c r="BZ50" i="28"/>
  <c r="BZ2" i="28" s="1" a="1"/>
  <c r="BZ2" i="28" s="1"/>
  <c r="A10" i="28" a="1"/>
  <c r="A10" i="28" s="1"/>
  <c r="A15" i="28" a="1"/>
  <c r="A15" i="28" s="1"/>
  <c r="A14" i="28" a="1"/>
  <c r="A14" i="28" s="1"/>
  <c r="A13" i="28" a="1"/>
  <c r="A13" i="28" s="1"/>
  <c r="B13" i="14" a="1"/>
  <c r="A12" i="28" l="1" a="1"/>
  <c r="A12" i="28" s="1"/>
  <c r="B13" i="14"/>
  <c r="CH58" i="32"/>
  <c r="CG58" i="32"/>
  <c r="CF58" i="32"/>
  <c r="CE58" i="32"/>
  <c r="CE49" i="32"/>
  <c r="C32" i="36"/>
  <c r="EX32" i="36" s="1"/>
  <c r="CB58" i="32" l="1"/>
  <c r="A58" i="32" s="1" a="1"/>
  <c r="A58" i="32" s="1"/>
  <c r="AA53" i="35" l="1"/>
  <c r="AB53" i="35"/>
  <c r="AC53" i="35"/>
  <c r="AD53" i="35"/>
  <c r="AE53" i="35"/>
  <c r="AF53" i="35"/>
  <c r="AG53" i="35"/>
  <c r="AH53" i="35"/>
  <c r="AI53" i="35"/>
  <c r="AJ53" i="35"/>
  <c r="AK53" i="35"/>
  <c r="AL53" i="35"/>
  <c r="AM53" i="35"/>
  <c r="AN53" i="35"/>
  <c r="AO53" i="35"/>
  <c r="AP53" i="35"/>
  <c r="AQ53" i="35"/>
  <c r="AR53" i="35"/>
  <c r="AS53" i="35"/>
  <c r="AT53" i="35"/>
  <c r="AU53" i="35"/>
  <c r="AV53" i="35"/>
  <c r="AW53" i="35"/>
  <c r="AX53" i="35"/>
  <c r="AY53" i="35"/>
  <c r="AZ53" i="35"/>
  <c r="BA53" i="35"/>
  <c r="BB53" i="35"/>
  <c r="BC53" i="35"/>
  <c r="BD53" i="35"/>
  <c r="BE53" i="35"/>
  <c r="BF53" i="35"/>
  <c r="BG53" i="35"/>
  <c r="BH53" i="35"/>
  <c r="BI53" i="35"/>
  <c r="BJ53" i="35"/>
  <c r="BL53" i="35"/>
  <c r="BM53" i="35"/>
  <c r="BN53" i="35"/>
  <c r="BO53" i="35"/>
  <c r="BP53" i="35"/>
  <c r="BQ53" i="35"/>
  <c r="BR53" i="35"/>
  <c r="BS53" i="35"/>
  <c r="BT53" i="35"/>
  <c r="BU53" i="35"/>
  <c r="BV53" i="35"/>
  <c r="BW53" i="35"/>
  <c r="W58" i="35"/>
  <c r="X58" i="35"/>
  <c r="Y58" i="35"/>
  <c r="V58" i="35"/>
  <c r="W53" i="35"/>
  <c r="X53" i="35"/>
  <c r="Y53" i="35"/>
  <c r="V53" i="35"/>
  <c r="W45" i="35"/>
  <c r="X45" i="35"/>
  <c r="Y45" i="35"/>
  <c r="V45" i="35"/>
  <c r="W41" i="35"/>
  <c r="X41" i="35"/>
  <c r="Y41" i="35"/>
  <c r="V41" i="35"/>
  <c r="W36" i="35"/>
  <c r="X36" i="35"/>
  <c r="Y36" i="35"/>
  <c r="V36" i="35"/>
  <c r="EX16" i="13"/>
  <c r="D84" i="13"/>
  <c r="D72" i="13"/>
  <c r="D46" i="13"/>
  <c r="D19" i="13"/>
  <c r="C19" i="13"/>
  <c r="D18" i="13"/>
  <c r="D33" i="13"/>
  <c r="E31" i="13"/>
  <c r="C31" i="13"/>
  <c r="D31" i="13"/>
  <c r="CL32" i="12"/>
  <c r="A32" i="12" s="1" a="1"/>
  <c r="A32" i="12" s="1"/>
  <c r="CL60" i="12"/>
  <c r="A60" i="12" s="1" a="1"/>
  <c r="A60" i="12" s="1"/>
  <c r="CM30" i="12"/>
  <c r="EX24" i="12"/>
  <c r="EX19" i="13" l="1"/>
  <c r="EX31" i="13"/>
  <c r="C100" i="33"/>
  <c r="C99" i="33"/>
  <c r="C89" i="33"/>
  <c r="C79" i="33"/>
  <c r="X329" i="26"/>
  <c r="Y329" i="26"/>
  <c r="AA329" i="26"/>
  <c r="AB329" i="26"/>
  <c r="AC329" i="26"/>
  <c r="AD329" i="26"/>
  <c r="AE329" i="26"/>
  <c r="AF329" i="26"/>
  <c r="AG329" i="26"/>
  <c r="AH329" i="26"/>
  <c r="AI329" i="26"/>
  <c r="AJ329" i="26"/>
  <c r="AK329" i="26"/>
  <c r="AL329" i="26"/>
  <c r="AM329" i="26"/>
  <c r="AN329" i="26"/>
  <c r="AO329" i="26"/>
  <c r="AP329" i="26"/>
  <c r="AQ329" i="26"/>
  <c r="AR329" i="26"/>
  <c r="AS329" i="26"/>
  <c r="AT329" i="26"/>
  <c r="AU329" i="26"/>
  <c r="AV329" i="26"/>
  <c r="AW329" i="26"/>
  <c r="AX329" i="26"/>
  <c r="AY329" i="26"/>
  <c r="AZ329" i="26"/>
  <c r="BA329" i="26"/>
  <c r="BB329" i="26"/>
  <c r="BC329" i="26"/>
  <c r="BD329" i="26"/>
  <c r="BE329" i="26"/>
  <c r="BF329" i="26"/>
  <c r="BG329" i="26"/>
  <c r="BH329" i="26"/>
  <c r="BI329" i="26"/>
  <c r="BJ329" i="26"/>
  <c r="X1150" i="9"/>
  <c r="W329" i="26"/>
  <c r="Y1150" i="9"/>
  <c r="AA1150" i="9"/>
  <c r="AB1150" i="9"/>
  <c r="AC1150" i="9"/>
  <c r="AD1150" i="9"/>
  <c r="AE1150" i="9"/>
  <c r="AF1150" i="9"/>
  <c r="AG1150" i="9"/>
  <c r="AH1150" i="9"/>
  <c r="AI1150" i="9"/>
  <c r="AJ1150" i="9"/>
  <c r="AK1150" i="9"/>
  <c r="AL1150" i="9"/>
  <c r="AM1150" i="9"/>
  <c r="AN1150" i="9"/>
  <c r="AO1150" i="9"/>
  <c r="AP1150" i="9"/>
  <c r="AQ1150" i="9"/>
  <c r="AR1150" i="9"/>
  <c r="AS1150" i="9"/>
  <c r="AT1150" i="9"/>
  <c r="AU1150" i="9"/>
  <c r="AV1150" i="9"/>
  <c r="AW1150" i="9"/>
  <c r="AX1150" i="9"/>
  <c r="AY1150" i="9"/>
  <c r="AZ1150" i="9"/>
  <c r="BA1150" i="9"/>
  <c r="BB1150" i="9"/>
  <c r="BC1150" i="9"/>
  <c r="BD1150" i="9"/>
  <c r="BE1150" i="9"/>
  <c r="BF1150" i="9"/>
  <c r="BG1150" i="9"/>
  <c r="BH1150" i="9"/>
  <c r="BI1150" i="9"/>
  <c r="BJ1150" i="9"/>
  <c r="W1150" i="9"/>
  <c r="AC262" i="6"/>
  <c r="W262" i="6"/>
  <c r="W81" i="16"/>
  <c r="X262" i="6"/>
  <c r="Y262" i="6"/>
  <c r="AA262" i="6"/>
  <c r="AB262" i="6"/>
  <c r="AD262" i="6"/>
  <c r="AE262" i="6"/>
  <c r="AF262" i="6"/>
  <c r="AG262" i="6"/>
  <c r="AH262" i="6"/>
  <c r="AI262" i="6"/>
  <c r="AJ262" i="6"/>
  <c r="AK262" i="6"/>
  <c r="AL262" i="6"/>
  <c r="AM262" i="6"/>
  <c r="AN262" i="6"/>
  <c r="AO262" i="6"/>
  <c r="AP262" i="6"/>
  <c r="AQ262" i="6"/>
  <c r="AR262" i="6"/>
  <c r="AS262" i="6"/>
  <c r="AT262" i="6"/>
  <c r="AU262" i="6"/>
  <c r="AV262" i="6"/>
  <c r="AW262" i="6"/>
  <c r="AX262" i="6"/>
  <c r="AY262" i="6"/>
  <c r="AZ262" i="6"/>
  <c r="BA262" i="6"/>
  <c r="BB262" i="6"/>
  <c r="BC262" i="6"/>
  <c r="BD262" i="6"/>
  <c r="BE262" i="6"/>
  <c r="BF262" i="6"/>
  <c r="BG262" i="6"/>
  <c r="BH262" i="6"/>
  <c r="BI262" i="6"/>
  <c r="BJ262" i="6"/>
  <c r="X202" i="1"/>
  <c r="Y202" i="1"/>
  <c r="AA202" i="1"/>
  <c r="AB202" i="1"/>
  <c r="AC202" i="1"/>
  <c r="AD202" i="1"/>
  <c r="AE202" i="1"/>
  <c r="AF202" i="1"/>
  <c r="AG202" i="1"/>
  <c r="AH202" i="1"/>
  <c r="AI202" i="1"/>
  <c r="AJ202" i="1"/>
  <c r="AK202" i="1"/>
  <c r="AL202" i="1"/>
  <c r="AM202" i="1"/>
  <c r="AN202" i="1"/>
  <c r="AO202" i="1"/>
  <c r="AP202" i="1"/>
  <c r="AQ202" i="1"/>
  <c r="AR202" i="1"/>
  <c r="AS202" i="1"/>
  <c r="AT202" i="1"/>
  <c r="AU202" i="1"/>
  <c r="AV202" i="1"/>
  <c r="AW202" i="1"/>
  <c r="AX202" i="1"/>
  <c r="AY202" i="1"/>
  <c r="AZ202" i="1"/>
  <c r="BA202" i="1"/>
  <c r="BB202" i="1"/>
  <c r="BC202" i="1"/>
  <c r="BD202" i="1"/>
  <c r="BE202" i="1"/>
  <c r="BF202" i="1"/>
  <c r="BG202" i="1"/>
  <c r="BH202" i="1"/>
  <c r="BI202" i="1"/>
  <c r="BJ202" i="1"/>
  <c r="W202" i="1"/>
  <c r="F32" i="44" l="1"/>
  <c r="G32" i="44"/>
  <c r="H32" i="44"/>
  <c r="I32" i="44"/>
  <c r="J32" i="44"/>
  <c r="K32" i="44"/>
  <c r="L32" i="44"/>
  <c r="M32" i="44"/>
  <c r="N32" i="44"/>
  <c r="O32" i="44"/>
  <c r="P32" i="44"/>
  <c r="Q32" i="44"/>
  <c r="R32" i="44"/>
  <c r="S32" i="44"/>
  <c r="T32" i="44"/>
  <c r="U32" i="44"/>
  <c r="V32" i="44"/>
  <c r="W32" i="44"/>
  <c r="X32" i="44"/>
  <c r="Y32" i="44"/>
  <c r="AB15" i="1" l="1"/>
  <c r="AA107" i="1"/>
  <c r="EX16" i="32" l="1"/>
  <c r="C88" i="33" l="1"/>
  <c r="AA202" i="30"/>
  <c r="AA88" i="33" s="1"/>
  <c r="AB202" i="30"/>
  <c r="AB88" i="33" s="1"/>
  <c r="AC202" i="30"/>
  <c r="AC88" i="33" s="1"/>
  <c r="AD202" i="30"/>
  <c r="AD88" i="33" s="1"/>
  <c r="AE202" i="30"/>
  <c r="AE88" i="33" s="1"/>
  <c r="AF202" i="30"/>
  <c r="AF88" i="33" s="1"/>
  <c r="AG202" i="30"/>
  <c r="AG88" i="33" s="1"/>
  <c r="AH202" i="30"/>
  <c r="AH88" i="33" s="1"/>
  <c r="AI202" i="30"/>
  <c r="AI88" i="33" s="1"/>
  <c r="AJ202" i="30"/>
  <c r="AJ88" i="33" s="1"/>
  <c r="AK202" i="30"/>
  <c r="AK88" i="33" s="1"/>
  <c r="AL202" i="30"/>
  <c r="AL88" i="33" s="1"/>
  <c r="AM202" i="30"/>
  <c r="AM88" i="33" s="1"/>
  <c r="AN202" i="30"/>
  <c r="AN88" i="33" s="1"/>
  <c r="AO202" i="30"/>
  <c r="AO88" i="33" s="1"/>
  <c r="AP202" i="30"/>
  <c r="AP88" i="33" s="1"/>
  <c r="AQ202" i="30"/>
  <c r="AQ88" i="33" s="1"/>
  <c r="AR202" i="30"/>
  <c r="AR88" i="33" s="1"/>
  <c r="AS202" i="30"/>
  <c r="AS88" i="33" s="1"/>
  <c r="AT202" i="30"/>
  <c r="AT88" i="33" s="1"/>
  <c r="AU202" i="30"/>
  <c r="AU88" i="33" s="1"/>
  <c r="AV202" i="30"/>
  <c r="AV88" i="33" s="1"/>
  <c r="AW202" i="30"/>
  <c r="AW88" i="33" s="1"/>
  <c r="AX202" i="30"/>
  <c r="AX88" i="33" s="1"/>
  <c r="AY202" i="30"/>
  <c r="AY88" i="33" s="1"/>
  <c r="AZ202" i="30"/>
  <c r="AZ88" i="33" s="1"/>
  <c r="BA202" i="30"/>
  <c r="BA88" i="33" s="1"/>
  <c r="BB202" i="30"/>
  <c r="BB88" i="33" s="1"/>
  <c r="BC202" i="30"/>
  <c r="BC88" i="33" s="1"/>
  <c r="BD202" i="30"/>
  <c r="BD88" i="33" s="1"/>
  <c r="BE202" i="30"/>
  <c r="BE88" i="33" s="1"/>
  <c r="BF202" i="30"/>
  <c r="BF88" i="33" s="1"/>
  <c r="BG202" i="30"/>
  <c r="BG88" i="33" s="1"/>
  <c r="BH202" i="30"/>
  <c r="BH88" i="33" s="1"/>
  <c r="BI202" i="30"/>
  <c r="BI88" i="33" s="1"/>
  <c r="BJ202" i="30"/>
  <c r="BJ88" i="33" s="1"/>
  <c r="BP202" i="30"/>
  <c r="BP88" i="33" s="1"/>
  <c r="BQ202" i="30"/>
  <c r="BQ88" i="33" s="1"/>
  <c r="BR202" i="30"/>
  <c r="BR88" i="33" s="1"/>
  <c r="BS202" i="30"/>
  <c r="BS88" i="33" s="1"/>
  <c r="BT202" i="30"/>
  <c r="BT88" i="33" s="1"/>
  <c r="BU202" i="30"/>
  <c r="BU88" i="33" s="1"/>
  <c r="BV202" i="30"/>
  <c r="BV88" i="33" s="1"/>
  <c r="BW202" i="30"/>
  <c r="BW88" i="33" s="1"/>
  <c r="V202" i="30"/>
  <c r="C52" i="30"/>
  <c r="C182" i="1"/>
  <c r="D52" i="30" a="1"/>
  <c r="V88" i="33" l="1"/>
  <c r="D52" i="30"/>
  <c r="B6" i="16" l="1" a="1"/>
  <c r="B6" i="16" s="1"/>
  <c r="EX19" i="32"/>
  <c r="EX18" i="32"/>
  <c r="EX95" i="33" l="1"/>
  <c r="EX94" i="33"/>
  <c r="EX91" i="33"/>
  <c r="EX90" i="33"/>
  <c r="C77" i="33"/>
  <c r="EX81" i="33"/>
  <c r="EX80" i="33"/>
  <c r="EX71" i="33"/>
  <c r="EX70" i="33"/>
  <c r="EX65" i="33"/>
  <c r="EX63" i="33"/>
  <c r="D66" i="33"/>
  <c r="C66" i="33"/>
  <c r="EX60" i="33"/>
  <c r="EX55" i="33"/>
  <c r="D58" i="33"/>
  <c r="C58" i="33"/>
  <c r="D56" i="33"/>
  <c r="C56" i="33"/>
  <c r="EX64" i="33"/>
  <c r="EX62" i="33"/>
  <c r="EX61" i="33"/>
  <c r="EX59" i="33"/>
  <c r="EX57" i="33"/>
  <c r="EX1147" i="9"/>
  <c r="EX1146" i="9"/>
  <c r="EX1145" i="9"/>
  <c r="EX1144" i="9"/>
  <c r="EX1141" i="9"/>
  <c r="EX1140" i="9"/>
  <c r="EX1139" i="9"/>
  <c r="EX1138" i="9"/>
  <c r="EX1135" i="9"/>
  <c r="EX1134" i="9"/>
  <c r="EX1133" i="9"/>
  <c r="EX1132" i="9"/>
  <c r="EX1129" i="9"/>
  <c r="EX1128" i="9"/>
  <c r="EX1127" i="9"/>
  <c r="EX1126" i="9"/>
  <c r="EX1123" i="9"/>
  <c r="EX1122" i="9"/>
  <c r="EX1121" i="9"/>
  <c r="EX1120" i="9"/>
  <c r="EX1117" i="9"/>
  <c r="EX1116" i="9"/>
  <c r="EX1115" i="9"/>
  <c r="EX1114" i="9"/>
  <c r="EX1111" i="9"/>
  <c r="EX1110" i="9"/>
  <c r="EX1109" i="9"/>
  <c r="EX1108" i="9"/>
  <c r="EX1099" i="9"/>
  <c r="EX1098" i="9"/>
  <c r="EX1097" i="9"/>
  <c r="EX1096" i="9"/>
  <c r="EX1093" i="9"/>
  <c r="EX1092" i="9"/>
  <c r="EX1091" i="9"/>
  <c r="EX1090" i="9"/>
  <c r="EX1087" i="9"/>
  <c r="EX1086" i="9"/>
  <c r="EX1085" i="9"/>
  <c r="EX1084" i="9"/>
  <c r="EX1105" i="9"/>
  <c r="EX1104" i="9"/>
  <c r="EX1103" i="9"/>
  <c r="EX1102" i="9"/>
  <c r="D200" i="30"/>
  <c r="D199" i="30"/>
  <c r="EX1107" i="9"/>
  <c r="EX1106" i="9"/>
  <c r="EX196" i="30"/>
  <c r="E196" i="30" a="1"/>
  <c r="E195" i="30" a="1"/>
  <c r="E200" i="30" a="1"/>
  <c r="E199" i="30" a="1"/>
  <c r="EX200" i="30" l="1"/>
  <c r="EX56" i="33"/>
  <c r="EX66" i="33"/>
  <c r="E200" i="30"/>
  <c r="E199" i="30"/>
  <c r="E196" i="30"/>
  <c r="E195" i="30"/>
  <c r="EX210" i="30" l="1"/>
  <c r="D125" i="22" l="1"/>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EX179" i="22"/>
  <c r="EX178" i="22"/>
  <c r="EX177" i="22"/>
  <c r="EX176" i="22"/>
  <c r="EX175" i="22"/>
  <c r="EX174" i="22"/>
  <c r="EX173" i="22"/>
  <c r="EX172" i="22"/>
  <c r="EX171" i="22"/>
  <c r="EX170" i="22"/>
  <c r="EX169" i="22"/>
  <c r="EX168" i="22"/>
  <c r="EX167" i="22"/>
  <c r="EX166" i="22"/>
  <c r="EX165" i="22"/>
  <c r="EX164" i="22"/>
  <c r="EX163" i="22"/>
  <c r="EX162" i="22"/>
  <c r="EX161" i="22"/>
  <c r="EX160" i="22"/>
  <c r="EX159" i="22"/>
  <c r="EX158" i="22"/>
  <c r="EX157" i="22"/>
  <c r="EX156" i="22"/>
  <c r="EX155" i="22"/>
  <c r="EX154" i="22"/>
  <c r="EX153" i="22"/>
  <c r="EX152" i="22"/>
  <c r="EX151" i="22"/>
  <c r="EX150" i="22"/>
  <c r="EX149" i="22"/>
  <c r="EX148" i="22"/>
  <c r="EX147" i="22"/>
  <c r="EX146" i="22"/>
  <c r="EX145" i="22"/>
  <c r="EX144" i="22"/>
  <c r="EX143" i="22"/>
  <c r="EX142" i="22"/>
  <c r="EX141" i="22"/>
  <c r="EX140" i="22"/>
  <c r="EX139" i="22"/>
  <c r="EX138" i="22"/>
  <c r="EX137" i="22"/>
  <c r="EX136" i="22"/>
  <c r="EX135" i="22"/>
  <c r="EX134" i="22"/>
  <c r="EX133" i="22"/>
  <c r="EX132" i="22"/>
  <c r="EX131" i="22"/>
  <c r="EX130" i="22"/>
  <c r="EX129" i="22"/>
  <c r="EX128" i="22"/>
  <c r="EX127" i="22"/>
  <c r="EX126" i="22"/>
  <c r="EX125" i="22"/>
  <c r="EX92" i="22"/>
  <c r="CD92" i="22"/>
  <c r="CC92" i="22"/>
  <c r="CB92" i="22"/>
  <c r="EX91" i="22"/>
  <c r="CD91" i="22"/>
  <c r="CC91" i="22"/>
  <c r="CB91" i="22"/>
  <c r="EX90" i="22"/>
  <c r="CD90" i="22"/>
  <c r="CC90" i="22"/>
  <c r="CB90" i="22"/>
  <c r="EX89" i="22"/>
  <c r="CD89" i="22"/>
  <c r="CC89" i="22"/>
  <c r="CB89" i="22"/>
  <c r="EX88" i="22"/>
  <c r="CD88" i="22"/>
  <c r="CC88" i="22"/>
  <c r="CB88" i="22"/>
  <c r="EX87" i="22"/>
  <c r="CD87" i="22"/>
  <c r="CC87" i="22"/>
  <c r="CB87" i="22"/>
  <c r="EX86" i="22"/>
  <c r="CD86" i="22"/>
  <c r="CC86" i="22"/>
  <c r="CB86" i="22"/>
  <c r="EX85" i="22"/>
  <c r="CD85" i="22"/>
  <c r="CC85" i="22"/>
  <c r="CB85" i="22"/>
  <c r="EX84" i="22"/>
  <c r="CD84" i="22"/>
  <c r="CC84" i="22"/>
  <c r="CB84" i="22"/>
  <c r="EX83" i="22"/>
  <c r="CD83" i="22"/>
  <c r="CC83" i="22"/>
  <c r="CB83" i="22"/>
  <c r="EX82" i="22"/>
  <c r="CD82" i="22"/>
  <c r="CC82" i="22"/>
  <c r="CB82" i="22"/>
  <c r="EX81" i="22"/>
  <c r="CD81" i="22"/>
  <c r="CC81" i="22"/>
  <c r="CB81" i="22"/>
  <c r="EX80" i="22"/>
  <c r="CD80" i="22"/>
  <c r="CC80" i="22"/>
  <c r="CB80" i="22"/>
  <c r="EX79" i="22"/>
  <c r="CD79" i="22"/>
  <c r="CC79" i="22"/>
  <c r="CB79" i="22"/>
  <c r="EX78" i="22"/>
  <c r="CD78" i="22"/>
  <c r="CC78" i="22"/>
  <c r="CB78" i="22"/>
  <c r="EX77" i="22"/>
  <c r="CD77" i="22"/>
  <c r="CC77" i="22"/>
  <c r="CB77" i="22"/>
  <c r="EX76" i="22"/>
  <c r="CD76" i="22"/>
  <c r="CC76" i="22"/>
  <c r="CB76" i="22"/>
  <c r="EX75" i="22"/>
  <c r="CD75" i="22"/>
  <c r="CC75" i="22"/>
  <c r="CB75" i="22"/>
  <c r="EX74" i="22"/>
  <c r="CD74" i="22"/>
  <c r="CC74" i="22"/>
  <c r="CB74" i="22"/>
  <c r="EX73" i="22"/>
  <c r="CD73" i="22"/>
  <c r="CC73" i="22"/>
  <c r="CB73" i="22"/>
  <c r="EX72" i="22"/>
  <c r="CD72" i="22"/>
  <c r="CC72" i="22"/>
  <c r="CB72" i="22"/>
  <c r="EX71" i="22"/>
  <c r="CD71" i="22"/>
  <c r="CC71" i="22"/>
  <c r="CB71" i="22"/>
  <c r="EX70" i="22"/>
  <c r="CD70" i="22"/>
  <c r="CC70" i="22"/>
  <c r="CB70" i="22"/>
  <c r="EX69" i="22"/>
  <c r="CD69" i="22"/>
  <c r="CC69" i="22"/>
  <c r="CB69" i="22"/>
  <c r="EX68" i="22"/>
  <c r="CD68" i="22"/>
  <c r="CC68" i="22"/>
  <c r="CB68" i="22"/>
  <c r="EX67" i="22"/>
  <c r="CD67" i="22"/>
  <c r="CC67" i="22"/>
  <c r="CB67" i="22"/>
  <c r="EX66" i="22"/>
  <c r="CD66" i="22"/>
  <c r="CC66" i="22"/>
  <c r="CB66" i="22"/>
  <c r="EX65" i="22"/>
  <c r="CD65" i="22"/>
  <c r="CC65" i="22"/>
  <c r="CB65" i="22"/>
  <c r="EX64" i="22"/>
  <c r="CD64" i="22"/>
  <c r="CC64" i="22"/>
  <c r="CB64" i="22"/>
  <c r="EX63" i="22"/>
  <c r="CD63" i="22"/>
  <c r="CC63" i="22"/>
  <c r="CB63" i="22"/>
  <c r="EX62" i="22"/>
  <c r="CD62" i="22"/>
  <c r="CC62" i="22"/>
  <c r="CB62" i="22"/>
  <c r="EX61" i="22"/>
  <c r="CD61" i="22"/>
  <c r="CC61" i="22"/>
  <c r="CB61" i="22"/>
  <c r="EX60" i="22"/>
  <c r="CD60" i="22"/>
  <c r="CC60" i="22"/>
  <c r="CB60" i="22"/>
  <c r="EX59" i="22"/>
  <c r="CD59" i="22"/>
  <c r="CC59" i="22"/>
  <c r="CB59" i="22"/>
  <c r="EX58" i="22"/>
  <c r="CD58" i="22"/>
  <c r="CC58" i="22"/>
  <c r="CB58" i="22"/>
  <c r="EX57" i="22"/>
  <c r="CD57" i="22"/>
  <c r="CC57" i="22"/>
  <c r="CB57" i="22"/>
  <c r="EX56" i="22"/>
  <c r="CD56" i="22"/>
  <c r="CC56" i="22"/>
  <c r="CB56" i="22"/>
  <c r="EX55" i="22"/>
  <c r="CD55" i="22"/>
  <c r="CC55" i="22"/>
  <c r="CB55" i="22"/>
  <c r="EX54" i="22"/>
  <c r="CD54" i="22"/>
  <c r="CC54" i="22"/>
  <c r="CB54" i="22"/>
  <c r="EX53" i="22"/>
  <c r="CD53" i="22"/>
  <c r="CC53" i="22"/>
  <c r="CB53" i="22"/>
  <c r="EX52" i="22"/>
  <c r="CD52" i="22"/>
  <c r="CC52" i="22"/>
  <c r="CB52" i="22"/>
  <c r="EX51" i="22"/>
  <c r="CD51" i="22"/>
  <c r="CC51" i="22"/>
  <c r="CB51" i="22"/>
  <c r="EX50" i="22"/>
  <c r="CD50" i="22"/>
  <c r="CC50" i="22"/>
  <c r="CB50" i="22"/>
  <c r="EX49" i="22"/>
  <c r="CD49" i="22"/>
  <c r="CC49" i="22"/>
  <c r="CB49" i="22"/>
  <c r="EX48" i="22"/>
  <c r="CD48" i="22"/>
  <c r="CC48" i="22"/>
  <c r="CB48" i="22"/>
  <c r="EX47" i="22"/>
  <c r="CD47" i="22"/>
  <c r="CC47" i="22"/>
  <c r="CB47" i="22"/>
  <c r="EX46" i="22"/>
  <c r="CD46" i="22"/>
  <c r="CC46" i="22"/>
  <c r="CB46" i="22"/>
  <c r="EX45" i="22"/>
  <c r="CD45" i="22"/>
  <c r="CC45" i="22"/>
  <c r="CB45" i="22"/>
  <c r="EX44" i="22"/>
  <c r="CD44" i="22"/>
  <c r="CC44" i="22"/>
  <c r="CB44" i="22"/>
  <c r="EX43" i="22"/>
  <c r="CD43" i="22"/>
  <c r="CC43" i="22"/>
  <c r="CB43" i="22"/>
  <c r="EX42" i="22"/>
  <c r="CD42" i="22"/>
  <c r="CC42" i="22"/>
  <c r="CB42" i="22"/>
  <c r="EX41" i="22"/>
  <c r="CD41" i="22"/>
  <c r="CC41" i="22"/>
  <c r="CB41" i="22"/>
  <c r="EX40" i="22"/>
  <c r="CD40" i="22"/>
  <c r="CC40" i="22"/>
  <c r="CB40" i="22"/>
  <c r="EX39" i="22"/>
  <c r="CD39" i="22"/>
  <c r="CC39" i="22"/>
  <c r="CB39" i="22"/>
  <c r="EX38" i="22"/>
  <c r="CD38" i="22"/>
  <c r="CC38" i="22"/>
  <c r="CB38" i="22"/>
  <c r="A46" i="22" l="1" a="1"/>
  <c r="A46" i="22" s="1"/>
  <c r="A58" i="22" a="1"/>
  <c r="A58" i="22" s="1"/>
  <c r="A70" i="22" a="1"/>
  <c r="A70" i="22" s="1"/>
  <c r="A82" i="22" a="1"/>
  <c r="A82" i="22" s="1"/>
  <c r="A49" i="22" a="1"/>
  <c r="A49" i="22" s="1"/>
  <c r="A61" i="22" a="1"/>
  <c r="A61" i="22" s="1"/>
  <c r="A73" i="22" a="1"/>
  <c r="A73" i="22" s="1"/>
  <c r="A85" i="22" a="1"/>
  <c r="A85" i="22" s="1"/>
  <c r="A43" i="22" a="1"/>
  <c r="A43" i="22" s="1"/>
  <c r="A55" i="22" a="1"/>
  <c r="A55" i="22" s="1"/>
  <c r="A67" i="22" a="1"/>
  <c r="A67" i="22" s="1"/>
  <c r="A79" i="22" a="1"/>
  <c r="A79" i="22" s="1"/>
  <c r="A91" i="22" a="1"/>
  <c r="A91" i="22" s="1"/>
  <c r="A40" i="22" a="1"/>
  <c r="A40" i="22" s="1"/>
  <c r="A52" i="22" a="1"/>
  <c r="A52" i="22" s="1"/>
  <c r="A64" i="22" a="1"/>
  <c r="A64" i="22" s="1"/>
  <c r="A76" i="22" a="1"/>
  <c r="A76" i="22" s="1"/>
  <c r="A88" i="22" a="1"/>
  <c r="A88" i="22" s="1"/>
  <c r="A44" i="22" a="1"/>
  <c r="A44" i="22" s="1"/>
  <c r="A50" i="22" a="1"/>
  <c r="A50" i="22" s="1"/>
  <c r="A53" i="22" a="1"/>
  <c r="A53" i="22" s="1"/>
  <c r="A56" i="22" a="1"/>
  <c r="A56" i="22" s="1"/>
  <c r="A62" i="22" a="1"/>
  <c r="A62" i="22" s="1"/>
  <c r="A65" i="22" a="1"/>
  <c r="A65" i="22" s="1"/>
  <c r="A68" i="22" a="1"/>
  <c r="A68" i="22" s="1"/>
  <c r="A71" i="22" a="1"/>
  <c r="A71" i="22" s="1"/>
  <c r="A74" i="22" a="1"/>
  <c r="A74" i="22" s="1"/>
  <c r="A77" i="22" a="1"/>
  <c r="A77" i="22" s="1"/>
  <c r="A80" i="22" a="1"/>
  <c r="A80" i="22" s="1"/>
  <c r="A83" i="22" a="1"/>
  <c r="A83" i="22" s="1"/>
  <c r="A86" i="22" a="1"/>
  <c r="A86" i="22" s="1"/>
  <c r="A89" i="22" a="1"/>
  <c r="A89" i="22" s="1"/>
  <c r="A92" i="22" a="1"/>
  <c r="A92" i="22" s="1"/>
  <c r="A38" i="22" a="1"/>
  <c r="A38" i="22" s="1"/>
  <c r="A41" i="22" a="1"/>
  <c r="A41" i="22" s="1"/>
  <c r="A47" i="22" a="1"/>
  <c r="A47" i="22" s="1"/>
  <c r="A59" i="22" a="1"/>
  <c r="A59" i="22" s="1"/>
  <c r="A39" i="22" a="1"/>
  <c r="A39" i="22" s="1"/>
  <c r="A42" i="22" a="1"/>
  <c r="A42" i="22" s="1"/>
  <c r="A45" i="22" a="1"/>
  <c r="A45" i="22" s="1"/>
  <c r="A48" i="22" a="1"/>
  <c r="A48" i="22" s="1"/>
  <c r="A51" i="22" a="1"/>
  <c r="A51" i="22" s="1"/>
  <c r="A54" i="22" a="1"/>
  <c r="A54" i="22" s="1"/>
  <c r="A57" i="22" a="1"/>
  <c r="A57" i="22" s="1"/>
  <c r="A60" i="22" a="1"/>
  <c r="A60" i="22" s="1"/>
  <c r="A63" i="22" a="1"/>
  <c r="A63" i="22" s="1"/>
  <c r="A66" i="22" a="1"/>
  <c r="A66" i="22" s="1"/>
  <c r="A69" i="22" a="1"/>
  <c r="A69" i="22" s="1"/>
  <c r="A72" i="22" a="1"/>
  <c r="A72" i="22" s="1"/>
  <c r="A75" i="22" a="1"/>
  <c r="A75" i="22" s="1"/>
  <c r="A78" i="22" a="1"/>
  <c r="A78" i="22" s="1"/>
  <c r="A81" i="22" a="1"/>
  <c r="A81" i="22" s="1"/>
  <c r="A84" i="22" a="1"/>
  <c r="A84" i="22" s="1"/>
  <c r="A87" i="22" a="1"/>
  <c r="A87" i="22" s="1"/>
  <c r="A90" i="22" a="1"/>
  <c r="A90" i="22" s="1"/>
  <c r="CC11" i="20" a="1"/>
  <c r="CC11" i="20" s="1"/>
  <c r="EX46" i="12"/>
  <c r="R37" i="3" l="1"/>
  <c r="S37" i="3"/>
  <c r="T37" i="3"/>
  <c r="R4" i="44" l="1"/>
  <c r="S4" i="44"/>
  <c r="T4" i="44"/>
  <c r="V3" i="44"/>
  <c r="W3" i="44"/>
  <c r="X3" i="44"/>
  <c r="Y3" i="44"/>
  <c r="EX64" i="9" l="1"/>
  <c r="EX63" i="9"/>
  <c r="EX62" i="9"/>
  <c r="EX61" i="9"/>
  <c r="EX60" i="9"/>
  <c r="EX59" i="9"/>
  <c r="EX58" i="9"/>
  <c r="EX57" i="9"/>
  <c r="EX56" i="9"/>
  <c r="EX55" i="9"/>
  <c r="EX54" i="9"/>
  <c r="EX53" i="9"/>
  <c r="EX52" i="9"/>
  <c r="EX51" i="9"/>
  <c r="EX50" i="9"/>
  <c r="EX49" i="9"/>
  <c r="EX48" i="9"/>
  <c r="EX83" i="9"/>
  <c r="EX82" i="9"/>
  <c r="EX81" i="9"/>
  <c r="EX80" i="9"/>
  <c r="EX79" i="9"/>
  <c r="EX78" i="9"/>
  <c r="EX77" i="9"/>
  <c r="EX76" i="9"/>
  <c r="EX75" i="9"/>
  <c r="EX74" i="9"/>
  <c r="EX73" i="9"/>
  <c r="EX72" i="9"/>
  <c r="EX71" i="9"/>
  <c r="EX70" i="9"/>
  <c r="EX69" i="9"/>
  <c r="EX68" i="9"/>
  <c r="EX67" i="9"/>
  <c r="EX102" i="9"/>
  <c r="EX101" i="9"/>
  <c r="EX100" i="9"/>
  <c r="EX99" i="9"/>
  <c r="EX98" i="9"/>
  <c r="EX97" i="9"/>
  <c r="EX96" i="9"/>
  <c r="EX95" i="9"/>
  <c r="EX94" i="9"/>
  <c r="EX93" i="9"/>
  <c r="EX92" i="9"/>
  <c r="EX91" i="9"/>
  <c r="EX90" i="9"/>
  <c r="EX89" i="9"/>
  <c r="EX88" i="9"/>
  <c r="EX87" i="9"/>
  <c r="EX86" i="9"/>
  <c r="EX121" i="9"/>
  <c r="EX120" i="9"/>
  <c r="EX119" i="9"/>
  <c r="EX118" i="9"/>
  <c r="EX117" i="9"/>
  <c r="EX116" i="9"/>
  <c r="EX115" i="9"/>
  <c r="EX114" i="9"/>
  <c r="EX113" i="9"/>
  <c r="EX112" i="9"/>
  <c r="EX111" i="9"/>
  <c r="EX110" i="9"/>
  <c r="EX109" i="9"/>
  <c r="EX108" i="9"/>
  <c r="EX107" i="9"/>
  <c r="EX106" i="9"/>
  <c r="EX105" i="9"/>
  <c r="EX140" i="9"/>
  <c r="EX139" i="9"/>
  <c r="EX138" i="9"/>
  <c r="EX137" i="9"/>
  <c r="EX136" i="9"/>
  <c r="EX135" i="9"/>
  <c r="EX134" i="9"/>
  <c r="EX133" i="9"/>
  <c r="EX132" i="9"/>
  <c r="EX131" i="9"/>
  <c r="EX130" i="9"/>
  <c r="EX129" i="9"/>
  <c r="EX128" i="9"/>
  <c r="EX127" i="9"/>
  <c r="EX126" i="9"/>
  <c r="EX125" i="9"/>
  <c r="EX124" i="9"/>
  <c r="EX159" i="9"/>
  <c r="EX158" i="9"/>
  <c r="EX157" i="9"/>
  <c r="EX156" i="9"/>
  <c r="EX155" i="9"/>
  <c r="EX154" i="9"/>
  <c r="EX153" i="9"/>
  <c r="EX152" i="9"/>
  <c r="EX151" i="9"/>
  <c r="EX150" i="9"/>
  <c r="EX149" i="9"/>
  <c r="EX148" i="9"/>
  <c r="EX147" i="9"/>
  <c r="EX146" i="9"/>
  <c r="EX145" i="9"/>
  <c r="EX144" i="9"/>
  <c r="EX143" i="9"/>
  <c r="EX178" i="9"/>
  <c r="EX177" i="9"/>
  <c r="EX176" i="9"/>
  <c r="EX175" i="9"/>
  <c r="EX174" i="9"/>
  <c r="EX173" i="9"/>
  <c r="EX172" i="9"/>
  <c r="EX171" i="9"/>
  <c r="EX170" i="9"/>
  <c r="EX169" i="9"/>
  <c r="EX168" i="9"/>
  <c r="EX167" i="9"/>
  <c r="EX166" i="9"/>
  <c r="EX165" i="9"/>
  <c r="EX164" i="9"/>
  <c r="EX163" i="9"/>
  <c r="EX162" i="9"/>
  <c r="EX197" i="9"/>
  <c r="EX196" i="9"/>
  <c r="EX195" i="9"/>
  <c r="EX194" i="9"/>
  <c r="EX193" i="9"/>
  <c r="EX192" i="9"/>
  <c r="EX191" i="9"/>
  <c r="EX190" i="9"/>
  <c r="EX189" i="9"/>
  <c r="EX188" i="9"/>
  <c r="EX187" i="9"/>
  <c r="EX186" i="9"/>
  <c r="EX185" i="9"/>
  <c r="EX184" i="9"/>
  <c r="EX183" i="9"/>
  <c r="EX182" i="9"/>
  <c r="EX181" i="9"/>
  <c r="EX216" i="9"/>
  <c r="EX215" i="9"/>
  <c r="EX214" i="9"/>
  <c r="EX213" i="9"/>
  <c r="EX212" i="9"/>
  <c r="EX211" i="9"/>
  <c r="EX210" i="9"/>
  <c r="EX209" i="9"/>
  <c r="EX208" i="9"/>
  <c r="EX207" i="9"/>
  <c r="EX206" i="9"/>
  <c r="EX205" i="9"/>
  <c r="EX204" i="9"/>
  <c r="EX203" i="9"/>
  <c r="EX202" i="9"/>
  <c r="EX201" i="9"/>
  <c r="EX200" i="9"/>
  <c r="EX235" i="9"/>
  <c r="EX234" i="9"/>
  <c r="EX233" i="9"/>
  <c r="EX232" i="9"/>
  <c r="EX231" i="9"/>
  <c r="EX230" i="9"/>
  <c r="EX229" i="9"/>
  <c r="EX228" i="9"/>
  <c r="EX227" i="9"/>
  <c r="EX226" i="9"/>
  <c r="EX225" i="9"/>
  <c r="EX224" i="9"/>
  <c r="EX223" i="9"/>
  <c r="EX222" i="9"/>
  <c r="EX221" i="9"/>
  <c r="EX220" i="9"/>
  <c r="EX219" i="9"/>
  <c r="EX254" i="9"/>
  <c r="EX253" i="9"/>
  <c r="EX252" i="9"/>
  <c r="EX251" i="9"/>
  <c r="EX250" i="9"/>
  <c r="EX249" i="9"/>
  <c r="EX248" i="9"/>
  <c r="EX247" i="9"/>
  <c r="EX246" i="9"/>
  <c r="EX245" i="9"/>
  <c r="EX244" i="9"/>
  <c r="EX243" i="9"/>
  <c r="EX242" i="9"/>
  <c r="EX241" i="9"/>
  <c r="EX240" i="9"/>
  <c r="EX239" i="9"/>
  <c r="EX238" i="9"/>
  <c r="EX273" i="9"/>
  <c r="EX272" i="9"/>
  <c r="EX271" i="9"/>
  <c r="EX270" i="9"/>
  <c r="EX269" i="9"/>
  <c r="EX268" i="9"/>
  <c r="EX267" i="9"/>
  <c r="EX266" i="9"/>
  <c r="EX265" i="9"/>
  <c r="EX264" i="9"/>
  <c r="EX263" i="9"/>
  <c r="EX262" i="9"/>
  <c r="EX261" i="9"/>
  <c r="EX260" i="9"/>
  <c r="EX259" i="9"/>
  <c r="EX258" i="9"/>
  <c r="EX257" i="9"/>
  <c r="EX292" i="9"/>
  <c r="EX291" i="9"/>
  <c r="EX290" i="9"/>
  <c r="EX289" i="9"/>
  <c r="EX288" i="9"/>
  <c r="EX287" i="9"/>
  <c r="EX286" i="9"/>
  <c r="EX285" i="9"/>
  <c r="EX284" i="9"/>
  <c r="EX283" i="9"/>
  <c r="EX282" i="9"/>
  <c r="EX281" i="9"/>
  <c r="EX280" i="9"/>
  <c r="EX279" i="9"/>
  <c r="EX278" i="9"/>
  <c r="EX277" i="9"/>
  <c r="EX276" i="9"/>
  <c r="EX311" i="9"/>
  <c r="EX310" i="9"/>
  <c r="EX309" i="9"/>
  <c r="EX308" i="9"/>
  <c r="EX307" i="9"/>
  <c r="EX306" i="9"/>
  <c r="EX305" i="9"/>
  <c r="EX304" i="9"/>
  <c r="EX303" i="9"/>
  <c r="EX302" i="9"/>
  <c r="EX301" i="9"/>
  <c r="EX300" i="9"/>
  <c r="EX299" i="9"/>
  <c r="EX298" i="9"/>
  <c r="EX297" i="9"/>
  <c r="EX296" i="9"/>
  <c r="EX295" i="9"/>
  <c r="EX330" i="9"/>
  <c r="EX329" i="9"/>
  <c r="EX328" i="9"/>
  <c r="EX327" i="9"/>
  <c r="EX326" i="9"/>
  <c r="EX325" i="9"/>
  <c r="EX324" i="9"/>
  <c r="EX323" i="9"/>
  <c r="EX322" i="9"/>
  <c r="EX321" i="9"/>
  <c r="EX320" i="9"/>
  <c r="EX319" i="9"/>
  <c r="EX318" i="9"/>
  <c r="EX317" i="9"/>
  <c r="EX316" i="9"/>
  <c r="EX315" i="9"/>
  <c r="EX314" i="9"/>
  <c r="EX349" i="9"/>
  <c r="EX348" i="9"/>
  <c r="EX347" i="9"/>
  <c r="EX346" i="9"/>
  <c r="EX345" i="9"/>
  <c r="EX344" i="9"/>
  <c r="EX343" i="9"/>
  <c r="EX342" i="9"/>
  <c r="EX341" i="9"/>
  <c r="EX340" i="9"/>
  <c r="EX339" i="9"/>
  <c r="EX338" i="9"/>
  <c r="EX337" i="9"/>
  <c r="EX336" i="9"/>
  <c r="EX335" i="9"/>
  <c r="EX334" i="9"/>
  <c r="EX333" i="9"/>
  <c r="EX368" i="9"/>
  <c r="EX367" i="9"/>
  <c r="EX366" i="9"/>
  <c r="EX365" i="9"/>
  <c r="EX364" i="9"/>
  <c r="EX363" i="9"/>
  <c r="EX362" i="9"/>
  <c r="EX361" i="9"/>
  <c r="EX360" i="9"/>
  <c r="EX359" i="9"/>
  <c r="EX358" i="9"/>
  <c r="EX357" i="9"/>
  <c r="EX356" i="9"/>
  <c r="EX355" i="9"/>
  <c r="EX354" i="9"/>
  <c r="EX353" i="9"/>
  <c r="EX352" i="9"/>
  <c r="EX387" i="9"/>
  <c r="EX386" i="9"/>
  <c r="EX385" i="9"/>
  <c r="EX384" i="9"/>
  <c r="EX383" i="9"/>
  <c r="EX382" i="9"/>
  <c r="EX381" i="9"/>
  <c r="EX380" i="9"/>
  <c r="EX379" i="9"/>
  <c r="EX378" i="9"/>
  <c r="EX377" i="9"/>
  <c r="EX376" i="9"/>
  <c r="EX375" i="9"/>
  <c r="EX374" i="9"/>
  <c r="EX373" i="9"/>
  <c r="EX372" i="9"/>
  <c r="EX371" i="9"/>
  <c r="EX406" i="9"/>
  <c r="EX405" i="9"/>
  <c r="EX404" i="9"/>
  <c r="EX403" i="9"/>
  <c r="EX402" i="9"/>
  <c r="EX401" i="9"/>
  <c r="EX400" i="9"/>
  <c r="EX399" i="9"/>
  <c r="EX398" i="9"/>
  <c r="EX397" i="9"/>
  <c r="EX396" i="9"/>
  <c r="EX395" i="9"/>
  <c r="EX394" i="9"/>
  <c r="EX393" i="9"/>
  <c r="EX392" i="9"/>
  <c r="EX391" i="9"/>
  <c r="EX390" i="9"/>
  <c r="EX412" i="9"/>
  <c r="EX425" i="9"/>
  <c r="EX424" i="9"/>
  <c r="EX423" i="9"/>
  <c r="EX422" i="9"/>
  <c r="EX421" i="9"/>
  <c r="EX420" i="9"/>
  <c r="EX409" i="9"/>
  <c r="CD15" i="9"/>
  <c r="CD16" i="9"/>
  <c r="CD17" i="9"/>
  <c r="CD18" i="9"/>
  <c r="CD19" i="9"/>
  <c r="CD20" i="9"/>
  <c r="CD21" i="9"/>
  <c r="CD22" i="9"/>
  <c r="CD23" i="9"/>
  <c r="CD24" i="9"/>
  <c r="CD25" i="9"/>
  <c r="CD26" i="9"/>
  <c r="CD27" i="9"/>
  <c r="CD28" i="9"/>
  <c r="CD29" i="9"/>
  <c r="CD30" i="9"/>
  <c r="CD31" i="9"/>
  <c r="CD32" i="9"/>
  <c r="E346" i="3"/>
  <c r="E347" i="3"/>
  <c r="E348" i="3"/>
  <c r="AL348" i="3" s="1"/>
  <c r="E349" i="3"/>
  <c r="BF349" i="3" s="1"/>
  <c r="E350" i="3"/>
  <c r="AB350" i="3" s="1"/>
  <c r="E351" i="3"/>
  <c r="AJ351" i="3" s="1"/>
  <c r="E352" i="3"/>
  <c r="AP352" i="3" s="1"/>
  <c r="E353" i="3"/>
  <c r="AT353" i="3" s="1"/>
  <c r="E354" i="3"/>
  <c r="AB354" i="3" s="1"/>
  <c r="E355" i="3"/>
  <c r="AE355" i="3" s="1"/>
  <c r="E356" i="3"/>
  <c r="AF356" i="3" s="1"/>
  <c r="E357" i="3"/>
  <c r="AG357" i="3" s="1"/>
  <c r="E358" i="3"/>
  <c r="AE358" i="3" s="1"/>
  <c r="E359" i="3"/>
  <c r="AB359" i="3" s="1"/>
  <c r="E360" i="3"/>
  <c r="AI360" i="3" s="1"/>
  <c r="E361" i="3"/>
  <c r="AB361" i="3" s="1"/>
  <c r="E362" i="3"/>
  <c r="AE362" i="3" s="1"/>
  <c r="E363" i="3"/>
  <c r="AB363" i="3" s="1"/>
  <c r="E364" i="3"/>
  <c r="AB364" i="3" s="1"/>
  <c r="E365" i="3"/>
  <c r="AF365" i="3" s="1"/>
  <c r="D365" i="3"/>
  <c r="D364" i="3"/>
  <c r="D363" i="3"/>
  <c r="D362" i="3"/>
  <c r="D361" i="3"/>
  <c r="D360" i="3"/>
  <c r="D359" i="3"/>
  <c r="D358" i="3"/>
  <c r="D357" i="3"/>
  <c r="D356" i="3"/>
  <c r="D355" i="3"/>
  <c r="D354" i="3"/>
  <c r="D353" i="3"/>
  <c r="D352" i="3"/>
  <c r="D351" i="3"/>
  <c r="D350" i="3"/>
  <c r="D349" i="3"/>
  <c r="D348" i="3"/>
  <c r="D347" i="3"/>
  <c r="D346" i="3"/>
  <c r="D345" i="3"/>
  <c r="F425" i="9"/>
  <c r="E425" i="9"/>
  <c r="EX426" i="9"/>
  <c r="CS426" i="9"/>
  <c r="CS425" i="9"/>
  <c r="F406" i="9"/>
  <c r="E406" i="9"/>
  <c r="EX407" i="9"/>
  <c r="CS407" i="9"/>
  <c r="CS406" i="9"/>
  <c r="F387" i="9"/>
  <c r="E387" i="9"/>
  <c r="EX388" i="9"/>
  <c r="CS388" i="9"/>
  <c r="CS387" i="9"/>
  <c r="F368" i="9"/>
  <c r="E368" i="9"/>
  <c r="CS368" i="9"/>
  <c r="CS367" i="9"/>
  <c r="F349" i="9"/>
  <c r="E349" i="9"/>
  <c r="CS349" i="9"/>
  <c r="CS348" i="9"/>
  <c r="F330" i="9"/>
  <c r="E330" i="9"/>
  <c r="CS330" i="9"/>
  <c r="CS329" i="9"/>
  <c r="F311" i="9"/>
  <c r="E311" i="9"/>
  <c r="CS311" i="9"/>
  <c r="CS310" i="9"/>
  <c r="F292" i="9"/>
  <c r="E292" i="9"/>
  <c r="CS292" i="9"/>
  <c r="CS291" i="9"/>
  <c r="F273" i="9"/>
  <c r="E273" i="9"/>
  <c r="CS273" i="9"/>
  <c r="CS272" i="9"/>
  <c r="F254" i="9"/>
  <c r="E254" i="9"/>
  <c r="CS254" i="9"/>
  <c r="CS253" i="9"/>
  <c r="F235" i="9"/>
  <c r="E235" i="9"/>
  <c r="CS235" i="9"/>
  <c r="CS234" i="9"/>
  <c r="F216" i="9"/>
  <c r="E216" i="9"/>
  <c r="CS216" i="9"/>
  <c r="CS215" i="9"/>
  <c r="F197" i="9"/>
  <c r="E197" i="9"/>
  <c r="CS197" i="9"/>
  <c r="CS196" i="9"/>
  <c r="F178" i="9"/>
  <c r="E178" i="9"/>
  <c r="CS178" i="9"/>
  <c r="CS177" i="9"/>
  <c r="F159" i="9"/>
  <c r="E159" i="9"/>
  <c r="CS159" i="9"/>
  <c r="CS158" i="9"/>
  <c r="F140" i="9"/>
  <c r="E140" i="9"/>
  <c r="CS140" i="9"/>
  <c r="CS139" i="9"/>
  <c r="F121" i="9"/>
  <c r="E121" i="9"/>
  <c r="CS121" i="9"/>
  <c r="F102" i="9"/>
  <c r="E102" i="9"/>
  <c r="F83" i="9"/>
  <c r="CS102" i="9"/>
  <c r="E83" i="9"/>
  <c r="CS83" i="9"/>
  <c r="CS120" i="9"/>
  <c r="CS64" i="9"/>
  <c r="CS101" i="9"/>
  <c r="F64" i="9"/>
  <c r="E64" i="9"/>
  <c r="CS82" i="9"/>
  <c r="CS63" i="9"/>
  <c r="EX1137" i="9"/>
  <c r="EX1136" i="9"/>
  <c r="EX1119" i="9"/>
  <c r="EX1118" i="9"/>
  <c r="EX1113" i="9"/>
  <c r="EX1112" i="9"/>
  <c r="AA615" i="9"/>
  <c r="AB615" i="9"/>
  <c r="AC615" i="9"/>
  <c r="AD615" i="9"/>
  <c r="AE615" i="9"/>
  <c r="AF615" i="9"/>
  <c r="AG615" i="9"/>
  <c r="AH615" i="9"/>
  <c r="AI615" i="9"/>
  <c r="AJ615" i="9"/>
  <c r="AK615" i="9"/>
  <c r="AL615" i="9"/>
  <c r="AM615" i="9"/>
  <c r="AN615" i="9"/>
  <c r="AO615" i="9"/>
  <c r="AP615" i="9"/>
  <c r="AQ615" i="9"/>
  <c r="AR615" i="9"/>
  <c r="AS615" i="9"/>
  <c r="AT615" i="9"/>
  <c r="AU615" i="9"/>
  <c r="AV615" i="9"/>
  <c r="AW615" i="9"/>
  <c r="AX615" i="9"/>
  <c r="AY615" i="9"/>
  <c r="AZ615" i="9"/>
  <c r="BA615" i="9"/>
  <c r="BB615" i="9"/>
  <c r="BC615" i="9"/>
  <c r="BD615" i="9"/>
  <c r="BE615" i="9"/>
  <c r="BF615" i="9"/>
  <c r="BG615" i="9"/>
  <c r="BH615" i="9"/>
  <c r="BI615" i="9"/>
  <c r="BJ615" i="9"/>
  <c r="BP615" i="9"/>
  <c r="BQ615" i="9"/>
  <c r="BR615" i="9"/>
  <c r="BS615" i="9"/>
  <c r="BT615" i="9"/>
  <c r="BU615" i="9"/>
  <c r="BV615" i="9"/>
  <c r="BW615" i="9"/>
  <c r="AA616" i="9"/>
  <c r="AB616" i="9"/>
  <c r="AC616" i="9"/>
  <c r="AD616" i="9"/>
  <c r="AE616" i="9"/>
  <c r="AF616" i="9"/>
  <c r="AG616" i="9"/>
  <c r="AH616" i="9"/>
  <c r="AI616" i="9"/>
  <c r="AJ616" i="9"/>
  <c r="AK616" i="9"/>
  <c r="AL616" i="9"/>
  <c r="AM616" i="9"/>
  <c r="AN616" i="9"/>
  <c r="AO616" i="9"/>
  <c r="AP616" i="9"/>
  <c r="AQ616" i="9"/>
  <c r="AR616" i="9"/>
  <c r="AS616" i="9"/>
  <c r="AT616" i="9"/>
  <c r="AU616" i="9"/>
  <c r="AV616" i="9"/>
  <c r="AW616" i="9"/>
  <c r="AX616" i="9"/>
  <c r="AY616" i="9"/>
  <c r="AZ616" i="9"/>
  <c r="BA616" i="9"/>
  <c r="BB616" i="9"/>
  <c r="BC616" i="9"/>
  <c r="BD616" i="9"/>
  <c r="BE616" i="9"/>
  <c r="BF616" i="9"/>
  <c r="BG616" i="9"/>
  <c r="BH616" i="9"/>
  <c r="BI616" i="9"/>
  <c r="BJ616" i="9"/>
  <c r="BP616" i="9"/>
  <c r="BQ616" i="9"/>
  <c r="BR616" i="9"/>
  <c r="BS616" i="9"/>
  <c r="BT616" i="9"/>
  <c r="BU616" i="9"/>
  <c r="BV616" i="9"/>
  <c r="BW616" i="9"/>
  <c r="AA617" i="9"/>
  <c r="AB617" i="9"/>
  <c r="AC617" i="9"/>
  <c r="AD617" i="9"/>
  <c r="AE617" i="9"/>
  <c r="AF617" i="9"/>
  <c r="AG617" i="9"/>
  <c r="AH617" i="9"/>
  <c r="AI617" i="9"/>
  <c r="AJ617" i="9"/>
  <c r="AK617" i="9"/>
  <c r="AL617" i="9"/>
  <c r="AM617" i="9"/>
  <c r="AN617" i="9"/>
  <c r="AO617" i="9"/>
  <c r="AP617" i="9"/>
  <c r="AQ617" i="9"/>
  <c r="AR617" i="9"/>
  <c r="AS617" i="9"/>
  <c r="AT617" i="9"/>
  <c r="AU617" i="9"/>
  <c r="AV617" i="9"/>
  <c r="AW617" i="9"/>
  <c r="AX617" i="9"/>
  <c r="AY617" i="9"/>
  <c r="AZ617" i="9"/>
  <c r="BA617" i="9"/>
  <c r="BB617" i="9"/>
  <c r="BC617" i="9"/>
  <c r="BD617" i="9"/>
  <c r="BE617" i="9"/>
  <c r="BF617" i="9"/>
  <c r="BG617" i="9"/>
  <c r="BH617" i="9"/>
  <c r="BI617" i="9"/>
  <c r="BJ617" i="9"/>
  <c r="BP617" i="9"/>
  <c r="BQ617" i="9"/>
  <c r="BR617" i="9"/>
  <c r="BS617" i="9"/>
  <c r="BT617" i="9"/>
  <c r="BU617" i="9"/>
  <c r="BV617" i="9"/>
  <c r="BW617" i="9"/>
  <c r="AA618" i="9"/>
  <c r="AB618" i="9"/>
  <c r="AC618" i="9"/>
  <c r="AD618" i="9"/>
  <c r="AE618" i="9"/>
  <c r="AF618" i="9"/>
  <c r="AG618" i="9"/>
  <c r="AH618" i="9"/>
  <c r="AI618" i="9"/>
  <c r="AJ618" i="9"/>
  <c r="AK618" i="9"/>
  <c r="AL618" i="9"/>
  <c r="AM618" i="9"/>
  <c r="AN618" i="9"/>
  <c r="AO618" i="9"/>
  <c r="AP618" i="9"/>
  <c r="AQ618" i="9"/>
  <c r="AR618" i="9"/>
  <c r="AS618" i="9"/>
  <c r="AT618" i="9"/>
  <c r="AU618" i="9"/>
  <c r="AV618" i="9"/>
  <c r="AW618" i="9"/>
  <c r="AX618" i="9"/>
  <c r="AY618" i="9"/>
  <c r="AZ618" i="9"/>
  <c r="BA618" i="9"/>
  <c r="BB618" i="9"/>
  <c r="BC618" i="9"/>
  <c r="BD618" i="9"/>
  <c r="BE618" i="9"/>
  <c r="BF618" i="9"/>
  <c r="BG618" i="9"/>
  <c r="BH618" i="9"/>
  <c r="BI618" i="9"/>
  <c r="BJ618" i="9"/>
  <c r="BP618" i="9"/>
  <c r="BQ618" i="9"/>
  <c r="BR618" i="9"/>
  <c r="BS618" i="9"/>
  <c r="BT618" i="9"/>
  <c r="BU618" i="9"/>
  <c r="BV618" i="9"/>
  <c r="BW618" i="9"/>
  <c r="AA619" i="9"/>
  <c r="AB619" i="9"/>
  <c r="AC619" i="9"/>
  <c r="AD619" i="9"/>
  <c r="AE619" i="9"/>
  <c r="AF619" i="9"/>
  <c r="AG619" i="9"/>
  <c r="AH619" i="9"/>
  <c r="AI619" i="9"/>
  <c r="AJ619" i="9"/>
  <c r="AK619" i="9"/>
  <c r="AL619" i="9"/>
  <c r="AM619" i="9"/>
  <c r="AN619" i="9"/>
  <c r="AO619" i="9"/>
  <c r="AP619" i="9"/>
  <c r="AQ619" i="9"/>
  <c r="AR619" i="9"/>
  <c r="AS619" i="9"/>
  <c r="AT619" i="9"/>
  <c r="AU619" i="9"/>
  <c r="AV619" i="9"/>
  <c r="AW619" i="9"/>
  <c r="AX619" i="9"/>
  <c r="AY619" i="9"/>
  <c r="AZ619" i="9"/>
  <c r="BA619" i="9"/>
  <c r="BB619" i="9"/>
  <c r="BC619" i="9"/>
  <c r="BD619" i="9"/>
  <c r="BE619" i="9"/>
  <c r="BF619" i="9"/>
  <c r="BG619" i="9"/>
  <c r="BH619" i="9"/>
  <c r="BI619" i="9"/>
  <c r="BJ619" i="9"/>
  <c r="BP619" i="9"/>
  <c r="BQ619" i="9"/>
  <c r="BR619" i="9"/>
  <c r="BS619" i="9"/>
  <c r="BT619" i="9"/>
  <c r="BU619" i="9"/>
  <c r="BV619" i="9"/>
  <c r="BW619" i="9"/>
  <c r="AA620" i="9"/>
  <c r="AB620" i="9"/>
  <c r="AC620" i="9"/>
  <c r="AD620" i="9"/>
  <c r="AE620" i="9"/>
  <c r="AF620" i="9"/>
  <c r="AG620" i="9"/>
  <c r="AH620" i="9"/>
  <c r="AI620" i="9"/>
  <c r="AJ620" i="9"/>
  <c r="AK620" i="9"/>
  <c r="AL620" i="9"/>
  <c r="AM620" i="9"/>
  <c r="AN620" i="9"/>
  <c r="AO620" i="9"/>
  <c r="AP620" i="9"/>
  <c r="AQ620" i="9"/>
  <c r="AR620" i="9"/>
  <c r="AS620" i="9"/>
  <c r="AT620" i="9"/>
  <c r="AU620" i="9"/>
  <c r="AV620" i="9"/>
  <c r="AW620" i="9"/>
  <c r="AX620" i="9"/>
  <c r="AY620" i="9"/>
  <c r="AZ620" i="9"/>
  <c r="BA620" i="9"/>
  <c r="BB620" i="9"/>
  <c r="BC620" i="9"/>
  <c r="BD620" i="9"/>
  <c r="BE620" i="9"/>
  <c r="BF620" i="9"/>
  <c r="BG620" i="9"/>
  <c r="BH620" i="9"/>
  <c r="BI620" i="9"/>
  <c r="BJ620" i="9"/>
  <c r="BP620" i="9"/>
  <c r="BQ620" i="9"/>
  <c r="BR620" i="9"/>
  <c r="BS620" i="9"/>
  <c r="BT620" i="9"/>
  <c r="BU620" i="9"/>
  <c r="BV620" i="9"/>
  <c r="BW620" i="9"/>
  <c r="AA621" i="9"/>
  <c r="AB621" i="9"/>
  <c r="AC621" i="9"/>
  <c r="AD621" i="9"/>
  <c r="AE621" i="9"/>
  <c r="AF621" i="9"/>
  <c r="AG621" i="9"/>
  <c r="AH621" i="9"/>
  <c r="AI621" i="9"/>
  <c r="AJ621" i="9"/>
  <c r="AK621" i="9"/>
  <c r="AL621" i="9"/>
  <c r="AM621" i="9"/>
  <c r="AN621" i="9"/>
  <c r="AO621" i="9"/>
  <c r="AP621" i="9"/>
  <c r="AQ621" i="9"/>
  <c r="AR621" i="9"/>
  <c r="AS621" i="9"/>
  <c r="AT621" i="9"/>
  <c r="AU621" i="9"/>
  <c r="AV621" i="9"/>
  <c r="AW621" i="9"/>
  <c r="AX621" i="9"/>
  <c r="AY621" i="9"/>
  <c r="AZ621" i="9"/>
  <c r="BA621" i="9"/>
  <c r="BB621" i="9"/>
  <c r="BC621" i="9"/>
  <c r="BD621" i="9"/>
  <c r="BE621" i="9"/>
  <c r="BF621" i="9"/>
  <c r="BG621" i="9"/>
  <c r="BH621" i="9"/>
  <c r="BI621" i="9"/>
  <c r="BJ621" i="9"/>
  <c r="BP621" i="9"/>
  <c r="BQ621" i="9"/>
  <c r="BR621" i="9"/>
  <c r="BS621" i="9"/>
  <c r="BT621" i="9"/>
  <c r="BU621" i="9"/>
  <c r="BV621" i="9"/>
  <c r="BW621" i="9"/>
  <c r="AA622" i="9"/>
  <c r="AB622" i="9"/>
  <c r="AC622" i="9"/>
  <c r="AD622" i="9"/>
  <c r="AE622" i="9"/>
  <c r="AF622" i="9"/>
  <c r="AG622" i="9"/>
  <c r="AH622" i="9"/>
  <c r="AI622" i="9"/>
  <c r="AJ622" i="9"/>
  <c r="AK622" i="9"/>
  <c r="AL622" i="9"/>
  <c r="AM622" i="9"/>
  <c r="AN622" i="9"/>
  <c r="AO622" i="9"/>
  <c r="AP622" i="9"/>
  <c r="AQ622" i="9"/>
  <c r="AR622" i="9"/>
  <c r="AS622" i="9"/>
  <c r="AT622" i="9"/>
  <c r="AU622" i="9"/>
  <c r="AV622" i="9"/>
  <c r="AW622" i="9"/>
  <c r="AX622" i="9"/>
  <c r="AY622" i="9"/>
  <c r="AZ622" i="9"/>
  <c r="BA622" i="9"/>
  <c r="BB622" i="9"/>
  <c r="BC622" i="9"/>
  <c r="BD622" i="9"/>
  <c r="BE622" i="9"/>
  <c r="BF622" i="9"/>
  <c r="BG622" i="9"/>
  <c r="BH622" i="9"/>
  <c r="BI622" i="9"/>
  <c r="BJ622" i="9"/>
  <c r="BP622" i="9"/>
  <c r="BQ622" i="9"/>
  <c r="BR622" i="9"/>
  <c r="BS622" i="9"/>
  <c r="BT622" i="9"/>
  <c r="BU622" i="9"/>
  <c r="BV622" i="9"/>
  <c r="BW622" i="9"/>
  <c r="AA623" i="9"/>
  <c r="AB623" i="9"/>
  <c r="AC623" i="9"/>
  <c r="AD623" i="9"/>
  <c r="AE623" i="9"/>
  <c r="AF623" i="9"/>
  <c r="AG623" i="9"/>
  <c r="AH623" i="9"/>
  <c r="AI623" i="9"/>
  <c r="AJ623" i="9"/>
  <c r="AK623" i="9"/>
  <c r="AL623" i="9"/>
  <c r="AM623" i="9"/>
  <c r="AN623" i="9"/>
  <c r="AO623" i="9"/>
  <c r="AP623" i="9"/>
  <c r="AQ623" i="9"/>
  <c r="AR623" i="9"/>
  <c r="AS623" i="9"/>
  <c r="AT623" i="9"/>
  <c r="AU623" i="9"/>
  <c r="AV623" i="9"/>
  <c r="AW623" i="9"/>
  <c r="AX623" i="9"/>
  <c r="AY623" i="9"/>
  <c r="AZ623" i="9"/>
  <c r="BA623" i="9"/>
  <c r="BB623" i="9"/>
  <c r="BC623" i="9"/>
  <c r="BD623" i="9"/>
  <c r="BE623" i="9"/>
  <c r="BF623" i="9"/>
  <c r="BG623" i="9"/>
  <c r="BH623" i="9"/>
  <c r="BI623" i="9"/>
  <c r="BJ623" i="9"/>
  <c r="BP623" i="9"/>
  <c r="BQ623" i="9"/>
  <c r="BR623" i="9"/>
  <c r="BS623" i="9"/>
  <c r="BT623" i="9"/>
  <c r="BU623" i="9"/>
  <c r="BV623" i="9"/>
  <c r="BW623" i="9"/>
  <c r="AA624" i="9"/>
  <c r="AB624" i="9"/>
  <c r="AC624" i="9"/>
  <c r="AD624" i="9"/>
  <c r="AE624" i="9"/>
  <c r="AF624" i="9"/>
  <c r="AG624" i="9"/>
  <c r="AH624" i="9"/>
  <c r="AI624" i="9"/>
  <c r="AJ624" i="9"/>
  <c r="AK624" i="9"/>
  <c r="AL624" i="9"/>
  <c r="AM624" i="9"/>
  <c r="AN624" i="9"/>
  <c r="AO624" i="9"/>
  <c r="AP624" i="9"/>
  <c r="AQ624" i="9"/>
  <c r="AR624" i="9"/>
  <c r="AS624" i="9"/>
  <c r="AT624" i="9"/>
  <c r="AU624" i="9"/>
  <c r="AV624" i="9"/>
  <c r="AW624" i="9"/>
  <c r="AX624" i="9"/>
  <c r="AY624" i="9"/>
  <c r="AZ624" i="9"/>
  <c r="BA624" i="9"/>
  <c r="BB624" i="9"/>
  <c r="BC624" i="9"/>
  <c r="BD624" i="9"/>
  <c r="BE624" i="9"/>
  <c r="BF624" i="9"/>
  <c r="BG624" i="9"/>
  <c r="BH624" i="9"/>
  <c r="BI624" i="9"/>
  <c r="BJ624" i="9"/>
  <c r="BP624" i="9"/>
  <c r="BQ624" i="9"/>
  <c r="BR624" i="9"/>
  <c r="BS624" i="9"/>
  <c r="BT624" i="9"/>
  <c r="BU624" i="9"/>
  <c r="BV624" i="9"/>
  <c r="BW624" i="9"/>
  <c r="AA625" i="9"/>
  <c r="AB625" i="9"/>
  <c r="AC625" i="9"/>
  <c r="AD625" i="9"/>
  <c r="AE625" i="9"/>
  <c r="AF625" i="9"/>
  <c r="AG625" i="9"/>
  <c r="AH625" i="9"/>
  <c r="AI625" i="9"/>
  <c r="AJ625" i="9"/>
  <c r="AK625" i="9"/>
  <c r="AL625" i="9"/>
  <c r="AM625" i="9"/>
  <c r="AN625" i="9"/>
  <c r="AO625" i="9"/>
  <c r="AP625" i="9"/>
  <c r="AQ625" i="9"/>
  <c r="AR625" i="9"/>
  <c r="AS625" i="9"/>
  <c r="AT625" i="9"/>
  <c r="AU625" i="9"/>
  <c r="AV625" i="9"/>
  <c r="AW625" i="9"/>
  <c r="AX625" i="9"/>
  <c r="AY625" i="9"/>
  <c r="AZ625" i="9"/>
  <c r="BA625" i="9"/>
  <c r="BB625" i="9"/>
  <c r="BC625" i="9"/>
  <c r="BD625" i="9"/>
  <c r="BE625" i="9"/>
  <c r="BF625" i="9"/>
  <c r="BG625" i="9"/>
  <c r="BH625" i="9"/>
  <c r="BI625" i="9"/>
  <c r="BJ625" i="9"/>
  <c r="BP625" i="9"/>
  <c r="BQ625" i="9"/>
  <c r="BR625" i="9"/>
  <c r="BS625" i="9"/>
  <c r="BT625" i="9"/>
  <c r="BU625" i="9"/>
  <c r="BV625" i="9"/>
  <c r="BW625" i="9"/>
  <c r="AA626" i="9"/>
  <c r="AB626" i="9"/>
  <c r="AC626" i="9"/>
  <c r="AD626" i="9"/>
  <c r="AE626" i="9"/>
  <c r="AF626" i="9"/>
  <c r="AG626" i="9"/>
  <c r="AH626" i="9"/>
  <c r="AI626" i="9"/>
  <c r="AJ626" i="9"/>
  <c r="AK626" i="9"/>
  <c r="AL626" i="9"/>
  <c r="AM626" i="9"/>
  <c r="AN626" i="9"/>
  <c r="AO626" i="9"/>
  <c r="AP626" i="9"/>
  <c r="AQ626" i="9"/>
  <c r="AR626" i="9"/>
  <c r="AS626" i="9"/>
  <c r="AT626" i="9"/>
  <c r="AU626" i="9"/>
  <c r="AV626" i="9"/>
  <c r="AW626" i="9"/>
  <c r="AX626" i="9"/>
  <c r="AY626" i="9"/>
  <c r="AZ626" i="9"/>
  <c r="BA626" i="9"/>
  <c r="BB626" i="9"/>
  <c r="BC626" i="9"/>
  <c r="BD626" i="9"/>
  <c r="BE626" i="9"/>
  <c r="BF626" i="9"/>
  <c r="BG626" i="9"/>
  <c r="BH626" i="9"/>
  <c r="BI626" i="9"/>
  <c r="BJ626" i="9"/>
  <c r="BP626" i="9"/>
  <c r="BQ626" i="9"/>
  <c r="BR626" i="9"/>
  <c r="BS626" i="9"/>
  <c r="BT626" i="9"/>
  <c r="BU626" i="9"/>
  <c r="BV626" i="9"/>
  <c r="BW626" i="9"/>
  <c r="AA627" i="9"/>
  <c r="AB627" i="9"/>
  <c r="AC627" i="9"/>
  <c r="AD627" i="9"/>
  <c r="AE627" i="9"/>
  <c r="AF627" i="9"/>
  <c r="AG627" i="9"/>
  <c r="AH627" i="9"/>
  <c r="AI627" i="9"/>
  <c r="AJ627" i="9"/>
  <c r="AK627" i="9"/>
  <c r="AL627" i="9"/>
  <c r="AM627" i="9"/>
  <c r="AN627" i="9"/>
  <c r="AO627" i="9"/>
  <c r="AP627" i="9"/>
  <c r="AQ627" i="9"/>
  <c r="AR627" i="9"/>
  <c r="AS627" i="9"/>
  <c r="AT627" i="9"/>
  <c r="AU627" i="9"/>
  <c r="AV627" i="9"/>
  <c r="AW627" i="9"/>
  <c r="AX627" i="9"/>
  <c r="AY627" i="9"/>
  <c r="AZ627" i="9"/>
  <c r="BA627" i="9"/>
  <c r="BB627" i="9"/>
  <c r="BC627" i="9"/>
  <c r="BD627" i="9"/>
  <c r="BE627" i="9"/>
  <c r="BF627" i="9"/>
  <c r="BG627" i="9"/>
  <c r="BH627" i="9"/>
  <c r="BI627" i="9"/>
  <c r="BJ627" i="9"/>
  <c r="BP627" i="9"/>
  <c r="BQ627" i="9"/>
  <c r="BR627" i="9"/>
  <c r="BS627" i="9"/>
  <c r="BT627" i="9"/>
  <c r="BU627" i="9"/>
  <c r="BV627" i="9"/>
  <c r="BW627" i="9"/>
  <c r="AA628" i="9"/>
  <c r="AB628" i="9"/>
  <c r="AC628" i="9"/>
  <c r="AD628" i="9"/>
  <c r="AE628" i="9"/>
  <c r="AF628" i="9"/>
  <c r="AG628" i="9"/>
  <c r="AH628" i="9"/>
  <c r="AI628" i="9"/>
  <c r="AJ628" i="9"/>
  <c r="AK628" i="9"/>
  <c r="AL628" i="9"/>
  <c r="AM628" i="9"/>
  <c r="AN628" i="9"/>
  <c r="AO628" i="9"/>
  <c r="AP628" i="9"/>
  <c r="AQ628" i="9"/>
  <c r="AR628" i="9"/>
  <c r="AS628" i="9"/>
  <c r="AT628" i="9"/>
  <c r="AU628" i="9"/>
  <c r="AV628" i="9"/>
  <c r="AW628" i="9"/>
  <c r="AX628" i="9"/>
  <c r="AY628" i="9"/>
  <c r="AZ628" i="9"/>
  <c r="BA628" i="9"/>
  <c r="BB628" i="9"/>
  <c r="BC628" i="9"/>
  <c r="BD628" i="9"/>
  <c r="BE628" i="9"/>
  <c r="BF628" i="9"/>
  <c r="BG628" i="9"/>
  <c r="BH628" i="9"/>
  <c r="BI628" i="9"/>
  <c r="BJ628" i="9"/>
  <c r="BP628" i="9"/>
  <c r="BQ628" i="9"/>
  <c r="BR628" i="9"/>
  <c r="BS628" i="9"/>
  <c r="BT628" i="9"/>
  <c r="BU628" i="9"/>
  <c r="BV628" i="9"/>
  <c r="BW628" i="9"/>
  <c r="AA629" i="9"/>
  <c r="AB629" i="9"/>
  <c r="AC629" i="9"/>
  <c r="AD629" i="9"/>
  <c r="AE629" i="9"/>
  <c r="AF629" i="9"/>
  <c r="AG629" i="9"/>
  <c r="AH629" i="9"/>
  <c r="AI629" i="9"/>
  <c r="AJ629" i="9"/>
  <c r="AK629" i="9"/>
  <c r="AL629" i="9"/>
  <c r="AM629" i="9"/>
  <c r="AN629" i="9"/>
  <c r="AO629" i="9"/>
  <c r="AP629" i="9"/>
  <c r="AQ629" i="9"/>
  <c r="AR629" i="9"/>
  <c r="AS629" i="9"/>
  <c r="AT629" i="9"/>
  <c r="AU629" i="9"/>
  <c r="AV629" i="9"/>
  <c r="AW629" i="9"/>
  <c r="AX629" i="9"/>
  <c r="AY629" i="9"/>
  <c r="AZ629" i="9"/>
  <c r="BA629" i="9"/>
  <c r="BB629" i="9"/>
  <c r="BC629" i="9"/>
  <c r="BD629" i="9"/>
  <c r="BE629" i="9"/>
  <c r="BF629" i="9"/>
  <c r="BG629" i="9"/>
  <c r="BH629" i="9"/>
  <c r="BI629" i="9"/>
  <c r="BJ629" i="9"/>
  <c r="BP629" i="9"/>
  <c r="BQ629" i="9"/>
  <c r="BR629" i="9"/>
  <c r="BS629" i="9"/>
  <c r="BT629" i="9"/>
  <c r="BU629" i="9"/>
  <c r="BV629" i="9"/>
  <c r="BW629" i="9"/>
  <c r="AA630" i="9"/>
  <c r="AB630" i="9"/>
  <c r="AC630" i="9"/>
  <c r="AD630" i="9"/>
  <c r="AE630" i="9"/>
  <c r="AF630" i="9"/>
  <c r="AG630" i="9"/>
  <c r="AH630" i="9"/>
  <c r="AI630" i="9"/>
  <c r="AJ630" i="9"/>
  <c r="AK630" i="9"/>
  <c r="AL630" i="9"/>
  <c r="AM630" i="9"/>
  <c r="AN630" i="9"/>
  <c r="AO630" i="9"/>
  <c r="AP630" i="9"/>
  <c r="AQ630" i="9"/>
  <c r="AR630" i="9"/>
  <c r="AS630" i="9"/>
  <c r="AT630" i="9"/>
  <c r="AU630" i="9"/>
  <c r="AV630" i="9"/>
  <c r="AW630" i="9"/>
  <c r="AX630" i="9"/>
  <c r="AY630" i="9"/>
  <c r="AZ630" i="9"/>
  <c r="BA630" i="9"/>
  <c r="BB630" i="9"/>
  <c r="BC630" i="9"/>
  <c r="BD630" i="9"/>
  <c r="BE630" i="9"/>
  <c r="BF630" i="9"/>
  <c r="BG630" i="9"/>
  <c r="BH630" i="9"/>
  <c r="BI630" i="9"/>
  <c r="BJ630" i="9"/>
  <c r="BP630" i="9"/>
  <c r="BQ630" i="9"/>
  <c r="BR630" i="9"/>
  <c r="BS630" i="9"/>
  <c r="BT630" i="9"/>
  <c r="BU630" i="9"/>
  <c r="BV630" i="9"/>
  <c r="BW630" i="9"/>
  <c r="AA631" i="9"/>
  <c r="AB631" i="9"/>
  <c r="AC631" i="9"/>
  <c r="AD631" i="9"/>
  <c r="AE631" i="9"/>
  <c r="AF631" i="9"/>
  <c r="AG631" i="9"/>
  <c r="AH631" i="9"/>
  <c r="AI631" i="9"/>
  <c r="AJ631" i="9"/>
  <c r="AK631" i="9"/>
  <c r="AL631" i="9"/>
  <c r="AM631" i="9"/>
  <c r="AN631" i="9"/>
  <c r="AO631" i="9"/>
  <c r="AP631" i="9"/>
  <c r="AQ631" i="9"/>
  <c r="AR631" i="9"/>
  <c r="AS631" i="9"/>
  <c r="AT631" i="9"/>
  <c r="AU631" i="9"/>
  <c r="AV631" i="9"/>
  <c r="AW631" i="9"/>
  <c r="AX631" i="9"/>
  <c r="AY631" i="9"/>
  <c r="AZ631" i="9"/>
  <c r="BA631" i="9"/>
  <c r="BB631" i="9"/>
  <c r="BC631" i="9"/>
  <c r="BD631" i="9"/>
  <c r="BE631" i="9"/>
  <c r="BF631" i="9"/>
  <c r="BG631" i="9"/>
  <c r="BH631" i="9"/>
  <c r="BI631" i="9"/>
  <c r="BJ631" i="9"/>
  <c r="BP631" i="9"/>
  <c r="BQ631" i="9"/>
  <c r="BR631" i="9"/>
  <c r="BS631" i="9"/>
  <c r="BT631" i="9"/>
  <c r="BU631" i="9"/>
  <c r="BV631" i="9"/>
  <c r="BW631" i="9"/>
  <c r="AA632" i="9"/>
  <c r="AB632" i="9"/>
  <c r="AC632" i="9"/>
  <c r="AD632" i="9"/>
  <c r="AE632" i="9"/>
  <c r="AF632" i="9"/>
  <c r="AG632" i="9"/>
  <c r="AH632" i="9"/>
  <c r="AI632" i="9"/>
  <c r="AJ632" i="9"/>
  <c r="AK632" i="9"/>
  <c r="AL632" i="9"/>
  <c r="AM632" i="9"/>
  <c r="AN632" i="9"/>
  <c r="AO632" i="9"/>
  <c r="AP632" i="9"/>
  <c r="AQ632" i="9"/>
  <c r="AR632" i="9"/>
  <c r="AS632" i="9"/>
  <c r="AT632" i="9"/>
  <c r="AU632" i="9"/>
  <c r="AV632" i="9"/>
  <c r="AW632" i="9"/>
  <c r="AX632" i="9"/>
  <c r="AY632" i="9"/>
  <c r="AZ632" i="9"/>
  <c r="BA632" i="9"/>
  <c r="BB632" i="9"/>
  <c r="BC632" i="9"/>
  <c r="BD632" i="9"/>
  <c r="BE632" i="9"/>
  <c r="BF632" i="9"/>
  <c r="BG632" i="9"/>
  <c r="BH632" i="9"/>
  <c r="BI632" i="9"/>
  <c r="BJ632" i="9"/>
  <c r="BP632" i="9"/>
  <c r="BQ632" i="9"/>
  <c r="BR632" i="9"/>
  <c r="BS632" i="9"/>
  <c r="BT632" i="9"/>
  <c r="BU632" i="9"/>
  <c r="BV632" i="9"/>
  <c r="BW632" i="9"/>
  <c r="AA633" i="9"/>
  <c r="AB633" i="9"/>
  <c r="AC633" i="9"/>
  <c r="AD633" i="9"/>
  <c r="AE633" i="9"/>
  <c r="AF633" i="9"/>
  <c r="AG633" i="9"/>
  <c r="AH633" i="9"/>
  <c r="AI633" i="9"/>
  <c r="AJ633" i="9"/>
  <c r="AK633" i="9"/>
  <c r="AL633" i="9"/>
  <c r="AM633" i="9"/>
  <c r="AN633" i="9"/>
  <c r="AO633" i="9"/>
  <c r="AP633" i="9"/>
  <c r="AQ633" i="9"/>
  <c r="AR633" i="9"/>
  <c r="AS633" i="9"/>
  <c r="AT633" i="9"/>
  <c r="AU633" i="9"/>
  <c r="AV633" i="9"/>
  <c r="AW633" i="9"/>
  <c r="AX633" i="9"/>
  <c r="AY633" i="9"/>
  <c r="AZ633" i="9"/>
  <c r="BA633" i="9"/>
  <c r="BB633" i="9"/>
  <c r="BC633" i="9"/>
  <c r="BD633" i="9"/>
  <c r="BE633" i="9"/>
  <c r="BF633" i="9"/>
  <c r="BG633" i="9"/>
  <c r="BH633" i="9"/>
  <c r="BI633" i="9"/>
  <c r="BJ633" i="9"/>
  <c r="BP633" i="9"/>
  <c r="BQ633" i="9"/>
  <c r="BR633" i="9"/>
  <c r="BS633" i="9"/>
  <c r="BT633" i="9"/>
  <c r="BU633" i="9"/>
  <c r="BV633" i="9"/>
  <c r="BW633" i="9"/>
  <c r="AA634" i="9"/>
  <c r="AB634" i="9"/>
  <c r="AC634" i="9"/>
  <c r="AD634" i="9"/>
  <c r="AE634" i="9"/>
  <c r="AF634" i="9"/>
  <c r="AG634" i="9"/>
  <c r="AH634" i="9"/>
  <c r="AI634" i="9"/>
  <c r="AJ634" i="9"/>
  <c r="AK634" i="9"/>
  <c r="AL634" i="9"/>
  <c r="AM634" i="9"/>
  <c r="AN634" i="9"/>
  <c r="AO634" i="9"/>
  <c r="AP634" i="9"/>
  <c r="AQ634" i="9"/>
  <c r="AR634" i="9"/>
  <c r="AS634" i="9"/>
  <c r="AT634" i="9"/>
  <c r="AU634" i="9"/>
  <c r="AV634" i="9"/>
  <c r="AW634" i="9"/>
  <c r="AX634" i="9"/>
  <c r="AY634" i="9"/>
  <c r="AZ634" i="9"/>
  <c r="BA634" i="9"/>
  <c r="BB634" i="9"/>
  <c r="BC634" i="9"/>
  <c r="BD634" i="9"/>
  <c r="BE634" i="9"/>
  <c r="BF634" i="9"/>
  <c r="BG634" i="9"/>
  <c r="BH634" i="9"/>
  <c r="BI634" i="9"/>
  <c r="BJ634" i="9"/>
  <c r="BP634" i="9"/>
  <c r="BQ634" i="9"/>
  <c r="BR634" i="9"/>
  <c r="BS634" i="9"/>
  <c r="BT634" i="9"/>
  <c r="BU634" i="9"/>
  <c r="BV634" i="9"/>
  <c r="BW634" i="9"/>
  <c r="V634" i="9"/>
  <c r="CS424" i="9"/>
  <c r="CS423" i="9"/>
  <c r="BL423" i="9"/>
  <c r="V633" i="9"/>
  <c r="V632" i="9"/>
  <c r="V631" i="9"/>
  <c r="V630" i="9"/>
  <c r="V629" i="9"/>
  <c r="V628" i="9"/>
  <c r="V627" i="9"/>
  <c r="V626" i="9"/>
  <c r="V625" i="9"/>
  <c r="V624" i="9"/>
  <c r="V623" i="9"/>
  <c r="V622" i="9"/>
  <c r="V621" i="9"/>
  <c r="V620" i="9"/>
  <c r="V619" i="9"/>
  <c r="V618" i="9"/>
  <c r="V617" i="9"/>
  <c r="V616" i="9"/>
  <c r="V615" i="9"/>
  <c r="D613" i="9"/>
  <c r="EX634" i="9"/>
  <c r="E634" i="9"/>
  <c r="D634" i="9"/>
  <c r="B634" i="9" a="1"/>
  <c r="B634" i="9" s="1"/>
  <c r="EX633" i="9"/>
  <c r="E633" i="9"/>
  <c r="D633" i="9"/>
  <c r="B633" i="9" a="1"/>
  <c r="B633" i="9" s="1"/>
  <c r="EX632" i="9"/>
  <c r="E632" i="9"/>
  <c r="D632" i="9"/>
  <c r="B632" i="9" a="1"/>
  <c r="B632" i="9" s="1"/>
  <c r="EX631" i="9"/>
  <c r="E631" i="9"/>
  <c r="D631" i="9"/>
  <c r="B631" i="9" a="1"/>
  <c r="B631" i="9" s="1"/>
  <c r="EX630" i="9"/>
  <c r="E630" i="9"/>
  <c r="D630" i="9"/>
  <c r="B630" i="9" a="1"/>
  <c r="B630" i="9" s="1"/>
  <c r="EX629" i="9"/>
  <c r="E629" i="9"/>
  <c r="D629" i="9"/>
  <c r="B629" i="9" a="1"/>
  <c r="B629" i="9" s="1"/>
  <c r="EX628" i="9"/>
  <c r="E628" i="9"/>
  <c r="D628" i="9"/>
  <c r="B628" i="9" a="1"/>
  <c r="B628" i="9" s="1"/>
  <c r="EX627" i="9"/>
  <c r="E627" i="9"/>
  <c r="D627" i="9"/>
  <c r="B627" i="9" a="1"/>
  <c r="B627" i="9" s="1"/>
  <c r="EX626" i="9"/>
  <c r="E626" i="9"/>
  <c r="D626" i="9"/>
  <c r="B626" i="9" a="1"/>
  <c r="B626" i="9" s="1"/>
  <c r="EX625" i="9"/>
  <c r="E625" i="9"/>
  <c r="D625" i="9"/>
  <c r="B625" i="9" a="1"/>
  <c r="B625" i="9" s="1"/>
  <c r="EX624" i="9"/>
  <c r="E624" i="9"/>
  <c r="D624" i="9"/>
  <c r="B624" i="9" a="1"/>
  <c r="B624" i="9" s="1"/>
  <c r="EX623" i="9"/>
  <c r="E623" i="9"/>
  <c r="D623" i="9"/>
  <c r="B623" i="9" a="1"/>
  <c r="B623" i="9" s="1"/>
  <c r="EX622" i="9"/>
  <c r="E622" i="9"/>
  <c r="D622" i="9"/>
  <c r="B622" i="9" a="1"/>
  <c r="B622" i="9" s="1"/>
  <c r="EX621" i="9"/>
  <c r="E621" i="9"/>
  <c r="D621" i="9"/>
  <c r="B621" i="9" a="1"/>
  <c r="B621" i="9" s="1"/>
  <c r="EX620" i="9"/>
  <c r="E620" i="9"/>
  <c r="D620" i="9"/>
  <c r="B620" i="9" a="1"/>
  <c r="B620" i="9" s="1"/>
  <c r="EX619" i="9"/>
  <c r="E619" i="9"/>
  <c r="D619" i="9"/>
  <c r="B619" i="9" a="1"/>
  <c r="B619" i="9" s="1"/>
  <c r="EX618" i="9"/>
  <c r="E618" i="9"/>
  <c r="D618" i="9"/>
  <c r="B618" i="9" a="1"/>
  <c r="B618" i="9" s="1"/>
  <c r="EX617" i="9"/>
  <c r="E617" i="9"/>
  <c r="D617" i="9"/>
  <c r="B617" i="9" a="1"/>
  <c r="B617" i="9" s="1"/>
  <c r="EX616" i="9"/>
  <c r="E616" i="9"/>
  <c r="D616" i="9"/>
  <c r="B616" i="9" a="1"/>
  <c r="B616" i="9" s="1"/>
  <c r="EX615" i="9"/>
  <c r="E615" i="9"/>
  <c r="D615" i="9"/>
  <c r="B615" i="9" a="1"/>
  <c r="B615" i="9" s="1"/>
  <c r="EX614" i="9"/>
  <c r="E614" i="9"/>
  <c r="D614" i="9"/>
  <c r="EX613" i="9"/>
  <c r="EX612" i="9"/>
  <c r="CS405" i="9"/>
  <c r="CS404" i="9"/>
  <c r="BL404" i="9"/>
  <c r="CS386" i="9"/>
  <c r="CS385" i="9"/>
  <c r="BL385" i="9"/>
  <c r="EX369" i="9"/>
  <c r="CS369" i="9"/>
  <c r="CS366" i="9"/>
  <c r="BL366" i="9"/>
  <c r="EX350" i="9"/>
  <c r="CS350" i="9"/>
  <c r="CS347" i="9"/>
  <c r="BL347" i="9"/>
  <c r="EX331" i="9"/>
  <c r="CS331" i="9"/>
  <c r="CS328" i="9"/>
  <c r="BL328" i="9"/>
  <c r="EX312" i="9"/>
  <c r="CS312" i="9"/>
  <c r="CS309" i="9"/>
  <c r="BL309" i="9"/>
  <c r="EX293" i="9"/>
  <c r="CS293" i="9"/>
  <c r="CS290" i="9"/>
  <c r="BL290" i="9"/>
  <c r="EX274" i="9"/>
  <c r="CS274" i="9"/>
  <c r="CS271" i="9"/>
  <c r="BL271" i="9"/>
  <c r="EX255" i="9"/>
  <c r="CS255" i="9"/>
  <c r="CS252" i="9"/>
  <c r="BL252" i="9"/>
  <c r="EX236" i="9"/>
  <c r="CS236" i="9"/>
  <c r="CS233" i="9"/>
  <c r="BL233" i="9"/>
  <c r="EX217" i="9"/>
  <c r="CS217" i="9"/>
  <c r="CS214" i="9"/>
  <c r="BL214" i="9"/>
  <c r="EX198" i="9"/>
  <c r="CS198" i="9"/>
  <c r="CS195" i="9"/>
  <c r="BL195" i="9"/>
  <c r="EX179" i="9"/>
  <c r="CS179" i="9"/>
  <c r="CS176" i="9"/>
  <c r="BL176" i="9"/>
  <c r="EX160" i="9"/>
  <c r="CS160" i="9"/>
  <c r="CS157" i="9"/>
  <c r="BL157" i="9"/>
  <c r="EX141" i="9"/>
  <c r="CS141" i="9"/>
  <c r="CS138" i="9"/>
  <c r="BL138" i="9"/>
  <c r="EX122" i="9"/>
  <c r="CS122" i="9"/>
  <c r="CS119" i="9"/>
  <c r="BL119" i="9"/>
  <c r="EX103" i="9"/>
  <c r="CS103" i="9"/>
  <c r="CS100" i="9"/>
  <c r="BL100" i="9"/>
  <c r="EX84" i="9"/>
  <c r="CS84" i="9"/>
  <c r="CS81" i="9"/>
  <c r="BL81" i="9"/>
  <c r="EX65" i="9"/>
  <c r="CS65" i="9"/>
  <c r="CS62" i="9"/>
  <c r="BL62" i="9"/>
  <c r="E40" i="9"/>
  <c r="EX10" i="9"/>
  <c r="G36" i="44"/>
  <c r="F36" i="44"/>
  <c r="E36" i="44"/>
  <c r="D36" i="44"/>
  <c r="E32" i="44"/>
  <c r="D32" i="44"/>
  <c r="C27" i="44"/>
  <c r="C26" i="44"/>
  <c r="C25" i="44"/>
  <c r="C24" i="44"/>
  <c r="C22" i="44"/>
  <c r="C21" i="44"/>
  <c r="C20" i="44"/>
  <c r="C19" i="44"/>
  <c r="C18" i="44"/>
  <c r="C17" i="44"/>
  <c r="C15" i="44"/>
  <c r="C14" i="44"/>
  <c r="C13" i="44"/>
  <c r="C12" i="44"/>
  <c r="C11" i="44"/>
  <c r="C10" i="44"/>
  <c r="C9" i="44"/>
  <c r="C8" i="44"/>
  <c r="C7" i="44"/>
  <c r="C6" i="44"/>
  <c r="BL616" i="9" l="1"/>
  <c r="BL619" i="9"/>
  <c r="BL621" i="9"/>
  <c r="BL623" i="9"/>
  <c r="BL627" i="9"/>
  <c r="BL615" i="9"/>
  <c r="BL1140" i="9" s="1"/>
  <c r="BL618" i="9"/>
  <c r="BL620" i="9"/>
  <c r="BL622" i="9"/>
  <c r="BL624" i="9"/>
  <c r="BL626" i="9"/>
  <c r="BL628" i="9"/>
  <c r="BL629" i="9"/>
  <c r="BL630" i="9"/>
  <c r="BL631" i="9"/>
  <c r="BL632" i="9"/>
  <c r="BL617" i="9"/>
  <c r="BL625" i="9"/>
  <c r="BL633" i="9"/>
  <c r="BL634" i="9"/>
  <c r="BC1138" i="9"/>
  <c r="AF357" i="3"/>
  <c r="AQ349" i="3"/>
  <c r="BH1139" i="9"/>
  <c r="AC365" i="3"/>
  <c r="AK353" i="3"/>
  <c r="BD362" i="3"/>
  <c r="AL358" i="3"/>
  <c r="AH362" i="3"/>
  <c r="AQ1138" i="9"/>
  <c r="AA354" i="3"/>
  <c r="AJ361" i="3"/>
  <c r="AV354" i="3"/>
  <c r="BH358" i="3"/>
  <c r="BI365" i="3"/>
  <c r="AV364" i="3"/>
  <c r="AX362" i="3"/>
  <c r="AC362" i="3"/>
  <c r="BH360" i="3"/>
  <c r="BB358" i="3"/>
  <c r="AG358" i="3"/>
  <c r="AY356" i="3"/>
  <c r="AP354" i="3"/>
  <c r="AX352" i="3"/>
  <c r="AT348" i="3"/>
  <c r="AZ365" i="3"/>
  <c r="AF364" i="3"/>
  <c r="AS362" i="3"/>
  <c r="BE361" i="3"/>
  <c r="AR360" i="3"/>
  <c r="AW358" i="3"/>
  <c r="AB358" i="3"/>
  <c r="AI356" i="3"/>
  <c r="AH354" i="3"/>
  <c r="AV350" i="3"/>
  <c r="AA362" i="3"/>
  <c r="AN365" i="3"/>
  <c r="BI362" i="3"/>
  <c r="AN362" i="3"/>
  <c r="AS361" i="3"/>
  <c r="AB360" i="3"/>
  <c r="AR358" i="3"/>
  <c r="AV357" i="3"/>
  <c r="BC354" i="3"/>
  <c r="BF353" i="3"/>
  <c r="AF350" i="3"/>
  <c r="AP363" i="3"/>
  <c r="AH363" i="3"/>
  <c r="AU359" i="3"/>
  <c r="BF355" i="3"/>
  <c r="AN355" i="3"/>
  <c r="AS351" i="3"/>
  <c r="AC351" i="3"/>
  <c r="AN1139" i="9"/>
  <c r="AA361" i="3"/>
  <c r="AA353" i="3"/>
  <c r="BH365" i="3"/>
  <c r="AV365" i="3"/>
  <c r="AK365" i="3"/>
  <c r="AB365" i="3"/>
  <c r="AU364" i="3"/>
  <c r="AE364" i="3"/>
  <c r="BC363" i="3"/>
  <c r="AU363" i="3"/>
  <c r="AM363" i="3"/>
  <c r="AE363" i="3"/>
  <c r="BH362" i="3"/>
  <c r="BB362" i="3"/>
  <c r="AW362" i="3"/>
  <c r="AR362" i="3"/>
  <c r="AL362" i="3"/>
  <c r="AG362" i="3"/>
  <c r="AB362" i="3"/>
  <c r="BA361" i="3"/>
  <c r="AR361" i="3"/>
  <c r="AG361" i="3"/>
  <c r="BC360" i="3"/>
  <c r="AM360" i="3"/>
  <c r="BJ359" i="3"/>
  <c r="BB359" i="3"/>
  <c r="AT359" i="3"/>
  <c r="AL359" i="3"/>
  <c r="AD359" i="3"/>
  <c r="BF358" i="3"/>
  <c r="BA358" i="3"/>
  <c r="AV358" i="3"/>
  <c r="AP358" i="3"/>
  <c r="AK358" i="3"/>
  <c r="AF358" i="3"/>
  <c r="BE357" i="3"/>
  <c r="AO357" i="3"/>
  <c r="BH356" i="3"/>
  <c r="AR356" i="3"/>
  <c r="AB356" i="3"/>
  <c r="BC355" i="3"/>
  <c r="AU355" i="3"/>
  <c r="AJ355" i="3"/>
  <c r="BH354" i="3"/>
  <c r="BB354" i="3"/>
  <c r="AU354" i="3"/>
  <c r="AM354" i="3"/>
  <c r="AF354" i="3"/>
  <c r="BE353" i="3"/>
  <c r="AI353" i="3"/>
  <c r="AW352" i="3"/>
  <c r="BH351" i="3"/>
  <c r="AR351" i="3"/>
  <c r="AB351" i="3"/>
  <c r="AU350" i="3"/>
  <c r="AE350" i="3"/>
  <c r="AP349" i="3"/>
  <c r="AS348" i="3"/>
  <c r="AX363" i="3"/>
  <c r="BC359" i="3"/>
  <c r="AM359" i="3"/>
  <c r="AX355" i="3"/>
  <c r="AC355" i="3"/>
  <c r="BI351" i="3"/>
  <c r="AA1139" i="9"/>
  <c r="AA358" i="3"/>
  <c r="AA350" i="3"/>
  <c r="BD365" i="3"/>
  <c r="AS365" i="3"/>
  <c r="AJ365" i="3"/>
  <c r="BD364" i="3"/>
  <c r="AN364" i="3"/>
  <c r="BJ363" i="3"/>
  <c r="BB363" i="3"/>
  <c r="AT363" i="3"/>
  <c r="AL363" i="3"/>
  <c r="AD363" i="3"/>
  <c r="BF362" i="3"/>
  <c r="BA362" i="3"/>
  <c r="AV362" i="3"/>
  <c r="AP362" i="3"/>
  <c r="AK362" i="3"/>
  <c r="AF362" i="3"/>
  <c r="BI361" i="3"/>
  <c r="AZ361" i="3"/>
  <c r="AO361" i="3"/>
  <c r="AC361" i="3"/>
  <c r="AZ360" i="3"/>
  <c r="AJ360" i="3"/>
  <c r="BG359" i="3"/>
  <c r="AY359" i="3"/>
  <c r="AQ359" i="3"/>
  <c r="AI359" i="3"/>
  <c r="BJ358" i="3"/>
  <c r="BE358" i="3"/>
  <c r="AZ358" i="3"/>
  <c r="AT358" i="3"/>
  <c r="AO358" i="3"/>
  <c r="AJ358" i="3"/>
  <c r="AD358" i="3"/>
  <c r="BD357" i="3"/>
  <c r="AN357" i="3"/>
  <c r="BG356" i="3"/>
  <c r="AQ356" i="3"/>
  <c r="BJ355" i="3"/>
  <c r="BB355" i="3"/>
  <c r="AS355" i="3"/>
  <c r="AI355" i="3"/>
  <c r="BG354" i="3"/>
  <c r="AZ354" i="3"/>
  <c r="AR354" i="3"/>
  <c r="AL354" i="3"/>
  <c r="AE354" i="3"/>
  <c r="AU353" i="3"/>
  <c r="BI352" i="3"/>
  <c r="AH352" i="3"/>
  <c r="BA351" i="3"/>
  <c r="AK351" i="3"/>
  <c r="BD350" i="3"/>
  <c r="AN350" i="3"/>
  <c r="BG349" i="3"/>
  <c r="BJ348" i="3"/>
  <c r="AD348" i="3"/>
  <c r="BF363" i="3"/>
  <c r="AE359" i="3"/>
  <c r="BP1140" i="9"/>
  <c r="AA365" i="3"/>
  <c r="AA357" i="3"/>
  <c r="AA349" i="3"/>
  <c r="BA365" i="3"/>
  <c r="AR365" i="3"/>
  <c r="BC364" i="3"/>
  <c r="AM364" i="3"/>
  <c r="BG363" i="3"/>
  <c r="AY363" i="3"/>
  <c r="AQ363" i="3"/>
  <c r="AI363" i="3"/>
  <c r="BJ362" i="3"/>
  <c r="BE362" i="3"/>
  <c r="AZ362" i="3"/>
  <c r="AT362" i="3"/>
  <c r="AO362" i="3"/>
  <c r="AJ362" i="3"/>
  <c r="AD362" i="3"/>
  <c r="BH361" i="3"/>
  <c r="AW361" i="3"/>
  <c r="AK361" i="3"/>
  <c r="AU360" i="3"/>
  <c r="AE360" i="3"/>
  <c r="BF359" i="3"/>
  <c r="AX359" i="3"/>
  <c r="AP359" i="3"/>
  <c r="AH359" i="3"/>
  <c r="BI358" i="3"/>
  <c r="BD358" i="3"/>
  <c r="AX358" i="3"/>
  <c r="AS358" i="3"/>
  <c r="AN358" i="3"/>
  <c r="AH358" i="3"/>
  <c r="AC358" i="3"/>
  <c r="AW357" i="3"/>
  <c r="AZ356" i="3"/>
  <c r="AJ356" i="3"/>
  <c r="BG355" i="3"/>
  <c r="AY355" i="3"/>
  <c r="AO355" i="3"/>
  <c r="BF354" i="3"/>
  <c r="AX354" i="3"/>
  <c r="AQ354" i="3"/>
  <c r="AJ354" i="3"/>
  <c r="BH352" i="3"/>
  <c r="AG352" i="3"/>
  <c r="AZ351" i="3"/>
  <c r="BC350" i="3"/>
  <c r="AM350" i="3"/>
  <c r="BI348" i="3"/>
  <c r="AC348" i="3"/>
  <c r="AE1138" i="9"/>
  <c r="AU1138" i="9"/>
  <c r="AF1139" i="9"/>
  <c r="AV1139" i="9"/>
  <c r="BP1139" i="9"/>
  <c r="AI1138" i="9"/>
  <c r="AY1138" i="9"/>
  <c r="BP1138" i="9"/>
  <c r="AJ1139" i="9"/>
  <c r="AZ1139" i="9"/>
  <c r="BT1139" i="9"/>
  <c r="BD1139" i="9"/>
  <c r="BT1138" i="9"/>
  <c r="AM1138" i="9"/>
  <c r="AD365" i="3"/>
  <c r="AH365" i="3"/>
  <c r="AL365" i="3"/>
  <c r="AP365" i="3"/>
  <c r="AT365" i="3"/>
  <c r="AX365" i="3"/>
  <c r="BB365" i="3"/>
  <c r="BF365" i="3"/>
  <c r="BJ365" i="3"/>
  <c r="AE365" i="3"/>
  <c r="AI365" i="3"/>
  <c r="AM365" i="3"/>
  <c r="AQ365" i="3"/>
  <c r="AU365" i="3"/>
  <c r="AY365" i="3"/>
  <c r="BC365" i="3"/>
  <c r="BG365" i="3"/>
  <c r="AD361" i="3"/>
  <c r="AH361" i="3"/>
  <c r="AL361" i="3"/>
  <c r="AP361" i="3"/>
  <c r="AT361" i="3"/>
  <c r="AX361" i="3"/>
  <c r="BB361" i="3"/>
  <c r="BF361" i="3"/>
  <c r="BJ361" i="3"/>
  <c r="AE361" i="3"/>
  <c r="AI361" i="3"/>
  <c r="AM361" i="3"/>
  <c r="AQ361" i="3"/>
  <c r="AU361" i="3"/>
  <c r="AY361" i="3"/>
  <c r="BC361" i="3"/>
  <c r="BG361" i="3"/>
  <c r="AD357" i="3"/>
  <c r="AH357" i="3"/>
  <c r="AL357" i="3"/>
  <c r="AP357" i="3"/>
  <c r="AT357" i="3"/>
  <c r="AX357" i="3"/>
  <c r="BB357" i="3"/>
  <c r="BF357" i="3"/>
  <c r="BJ357" i="3"/>
  <c r="AE357" i="3"/>
  <c r="AI357" i="3"/>
  <c r="AM357" i="3"/>
  <c r="AQ357" i="3"/>
  <c r="AU357" i="3"/>
  <c r="AY357" i="3"/>
  <c r="BC357" i="3"/>
  <c r="BG357" i="3"/>
  <c r="AB353" i="3"/>
  <c r="AF353" i="3"/>
  <c r="AJ353" i="3"/>
  <c r="AN353" i="3"/>
  <c r="AR353" i="3"/>
  <c r="AV353" i="3"/>
  <c r="AZ353" i="3"/>
  <c r="BD353" i="3"/>
  <c r="BH353" i="3"/>
  <c r="AG353" i="3"/>
  <c r="AL353" i="3"/>
  <c r="AQ353" i="3"/>
  <c r="AW353" i="3"/>
  <c r="BB353" i="3"/>
  <c r="BG353" i="3"/>
  <c r="AC353" i="3"/>
  <c r="AH353" i="3"/>
  <c r="AM353" i="3"/>
  <c r="AS353" i="3"/>
  <c r="AX353" i="3"/>
  <c r="BC353" i="3"/>
  <c r="BI353" i="3"/>
  <c r="AB349" i="3"/>
  <c r="AF349" i="3"/>
  <c r="AJ349" i="3"/>
  <c r="AN349" i="3"/>
  <c r="AR349" i="3"/>
  <c r="AV349" i="3"/>
  <c r="AZ349" i="3"/>
  <c r="BD349" i="3"/>
  <c r="BH349" i="3"/>
  <c r="AC349" i="3"/>
  <c r="AG349" i="3"/>
  <c r="AK349" i="3"/>
  <c r="AO349" i="3"/>
  <c r="AS349" i="3"/>
  <c r="AW349" i="3"/>
  <c r="BA349" i="3"/>
  <c r="BE349" i="3"/>
  <c r="BI349" i="3"/>
  <c r="AD349" i="3"/>
  <c r="AL349" i="3"/>
  <c r="AT349" i="3"/>
  <c r="BB349" i="3"/>
  <c r="BJ349" i="3"/>
  <c r="AE349" i="3"/>
  <c r="AM349" i="3"/>
  <c r="AU349" i="3"/>
  <c r="BC349" i="3"/>
  <c r="BE365" i="3"/>
  <c r="AW365" i="3"/>
  <c r="AO365" i="3"/>
  <c r="AG365" i="3"/>
  <c r="BH364" i="3"/>
  <c r="AZ364" i="3"/>
  <c r="AR364" i="3"/>
  <c r="AJ364" i="3"/>
  <c r="BD361" i="3"/>
  <c r="AV361" i="3"/>
  <c r="AN361" i="3"/>
  <c r="AF361" i="3"/>
  <c r="BG360" i="3"/>
  <c r="AY360" i="3"/>
  <c r="AQ360" i="3"/>
  <c r="BI357" i="3"/>
  <c r="BA357" i="3"/>
  <c r="AS357" i="3"/>
  <c r="AK357" i="3"/>
  <c r="AC357" i="3"/>
  <c r="BD356" i="3"/>
  <c r="AV356" i="3"/>
  <c r="AN356" i="3"/>
  <c r="BA353" i="3"/>
  <c r="AP353" i="3"/>
  <c r="AE353" i="3"/>
  <c r="BD352" i="3"/>
  <c r="AY349" i="3"/>
  <c r="AI349" i="3"/>
  <c r="BB348" i="3"/>
  <c r="BT1140" i="9"/>
  <c r="BG1140" i="9"/>
  <c r="BC1140" i="9"/>
  <c r="AY1140" i="9"/>
  <c r="AU1140" i="9"/>
  <c r="AQ1140" i="9"/>
  <c r="AM1140" i="9"/>
  <c r="AI1140" i="9"/>
  <c r="AE1140" i="9"/>
  <c r="AA1140" i="9"/>
  <c r="AR1139" i="9"/>
  <c r="BG1138" i="9"/>
  <c r="AA1138" i="9"/>
  <c r="AC364" i="3"/>
  <c r="AG364" i="3"/>
  <c r="AK364" i="3"/>
  <c r="AO364" i="3"/>
  <c r="AS364" i="3"/>
  <c r="AW364" i="3"/>
  <c r="BA364" i="3"/>
  <c r="BE364" i="3"/>
  <c r="BI364" i="3"/>
  <c r="AD364" i="3"/>
  <c r="AH364" i="3"/>
  <c r="AL364" i="3"/>
  <c r="AP364" i="3"/>
  <c r="AT364" i="3"/>
  <c r="AX364" i="3"/>
  <c r="BB364" i="3"/>
  <c r="BF364" i="3"/>
  <c r="BJ364" i="3"/>
  <c r="AA364" i="3"/>
  <c r="AC360" i="3"/>
  <c r="AG360" i="3"/>
  <c r="AK360" i="3"/>
  <c r="AO360" i="3"/>
  <c r="AS360" i="3"/>
  <c r="AW360" i="3"/>
  <c r="BA360" i="3"/>
  <c r="BE360" i="3"/>
  <c r="BI360" i="3"/>
  <c r="AD360" i="3"/>
  <c r="AH360" i="3"/>
  <c r="AL360" i="3"/>
  <c r="AP360" i="3"/>
  <c r="AT360" i="3"/>
  <c r="AX360" i="3"/>
  <c r="BB360" i="3"/>
  <c r="BF360" i="3"/>
  <c r="BJ360" i="3"/>
  <c r="AA360" i="3"/>
  <c r="AC356" i="3"/>
  <c r="AG356" i="3"/>
  <c r="AK356" i="3"/>
  <c r="AO356" i="3"/>
  <c r="AS356" i="3"/>
  <c r="AW356" i="3"/>
  <c r="BA356" i="3"/>
  <c r="BE356" i="3"/>
  <c r="BI356" i="3"/>
  <c r="AD356" i="3"/>
  <c r="AH356" i="3"/>
  <c r="AL356" i="3"/>
  <c r="AP356" i="3"/>
  <c r="AT356" i="3"/>
  <c r="AX356" i="3"/>
  <c r="BB356" i="3"/>
  <c r="BF356" i="3"/>
  <c r="BJ356" i="3"/>
  <c r="AA356" i="3"/>
  <c r="AE352" i="3"/>
  <c r="AI352" i="3"/>
  <c r="AM352" i="3"/>
  <c r="AQ352" i="3"/>
  <c r="AU352" i="3"/>
  <c r="AY352" i="3"/>
  <c r="BC352" i="3"/>
  <c r="BG352" i="3"/>
  <c r="AB352" i="3"/>
  <c r="AF352" i="3"/>
  <c r="AJ352" i="3"/>
  <c r="AN352" i="3"/>
  <c r="AR352" i="3"/>
  <c r="AV352" i="3"/>
  <c r="AC352" i="3"/>
  <c r="AK352" i="3"/>
  <c r="AS352" i="3"/>
  <c r="AZ352" i="3"/>
  <c r="BE352" i="3"/>
  <c r="BJ352" i="3"/>
  <c r="AD352" i="3"/>
  <c r="AL352" i="3"/>
  <c r="AT352" i="3"/>
  <c r="BA352" i="3"/>
  <c r="BF352" i="3"/>
  <c r="AA352" i="3"/>
  <c r="AE348" i="3"/>
  <c r="AI348" i="3"/>
  <c r="AM348" i="3"/>
  <c r="AQ348" i="3"/>
  <c r="AU348" i="3"/>
  <c r="AY348" i="3"/>
  <c r="BC348" i="3"/>
  <c r="BG348" i="3"/>
  <c r="AB348" i="3"/>
  <c r="AF348" i="3"/>
  <c r="AJ348" i="3"/>
  <c r="AN348" i="3"/>
  <c r="AR348" i="3"/>
  <c r="AV348" i="3"/>
  <c r="AZ348" i="3"/>
  <c r="BD348" i="3"/>
  <c r="BH348" i="3"/>
  <c r="AG348" i="3"/>
  <c r="AO348" i="3"/>
  <c r="AW348" i="3"/>
  <c r="BE348" i="3"/>
  <c r="AH348" i="3"/>
  <c r="AP348" i="3"/>
  <c r="AX348" i="3"/>
  <c r="BF348" i="3"/>
  <c r="AA348" i="3"/>
  <c r="BG364" i="3"/>
  <c r="AY364" i="3"/>
  <c r="AQ364" i="3"/>
  <c r="AI364" i="3"/>
  <c r="BD360" i="3"/>
  <c r="AV360" i="3"/>
  <c r="AN360" i="3"/>
  <c r="AF360" i="3"/>
  <c r="BH357" i="3"/>
  <c r="AZ357" i="3"/>
  <c r="AR357" i="3"/>
  <c r="AJ357" i="3"/>
  <c r="AB357" i="3"/>
  <c r="BC356" i="3"/>
  <c r="AU356" i="3"/>
  <c r="AM356" i="3"/>
  <c r="AE356" i="3"/>
  <c r="BJ353" i="3"/>
  <c r="AY353" i="3"/>
  <c r="AO353" i="3"/>
  <c r="AD353" i="3"/>
  <c r="BB352" i="3"/>
  <c r="AO352" i="3"/>
  <c r="AX349" i="3"/>
  <c r="AH349" i="3"/>
  <c r="BA348" i="3"/>
  <c r="AK348" i="3"/>
  <c r="AD355" i="3"/>
  <c r="AH355" i="3"/>
  <c r="AL355" i="3"/>
  <c r="AP355" i="3"/>
  <c r="AT355" i="3"/>
  <c r="AD351" i="3"/>
  <c r="AH351" i="3"/>
  <c r="AL351" i="3"/>
  <c r="AP351" i="3"/>
  <c r="AT351" i="3"/>
  <c r="AX351" i="3"/>
  <c r="BB351" i="3"/>
  <c r="BF351" i="3"/>
  <c r="BJ351" i="3"/>
  <c r="AE351" i="3"/>
  <c r="AI351" i="3"/>
  <c r="AM351" i="3"/>
  <c r="AQ351" i="3"/>
  <c r="AU351" i="3"/>
  <c r="AY351" i="3"/>
  <c r="BC351" i="3"/>
  <c r="BG351" i="3"/>
  <c r="BI363" i="3"/>
  <c r="BE363" i="3"/>
  <c r="BA363" i="3"/>
  <c r="AW363" i="3"/>
  <c r="AS363" i="3"/>
  <c r="AO363" i="3"/>
  <c r="AK363" i="3"/>
  <c r="AG363" i="3"/>
  <c r="AC363" i="3"/>
  <c r="BI359" i="3"/>
  <c r="BE359" i="3"/>
  <c r="BA359" i="3"/>
  <c r="AW359" i="3"/>
  <c r="AS359" i="3"/>
  <c r="AO359" i="3"/>
  <c r="AK359" i="3"/>
  <c r="AG359" i="3"/>
  <c r="AC359" i="3"/>
  <c r="BI355" i="3"/>
  <c r="BE355" i="3"/>
  <c r="BA355" i="3"/>
  <c r="AW355" i="3"/>
  <c r="AR355" i="3"/>
  <c r="AM355" i="3"/>
  <c r="AG355" i="3"/>
  <c r="AB355" i="3"/>
  <c r="BE351" i="3"/>
  <c r="AW351" i="3"/>
  <c r="AO351" i="3"/>
  <c r="AG351" i="3"/>
  <c r="BH350" i="3"/>
  <c r="AZ350" i="3"/>
  <c r="AR350" i="3"/>
  <c r="AJ350" i="3"/>
  <c r="AB1140" i="9"/>
  <c r="AB1139" i="9"/>
  <c r="BU1140" i="9"/>
  <c r="AC354" i="3"/>
  <c r="AG354" i="3"/>
  <c r="AK354" i="3"/>
  <c r="AO354" i="3"/>
  <c r="AS354" i="3"/>
  <c r="AW354" i="3"/>
  <c r="BA354" i="3"/>
  <c r="BE354" i="3"/>
  <c r="BI354" i="3"/>
  <c r="AC350" i="3"/>
  <c r="AG350" i="3"/>
  <c r="AK350" i="3"/>
  <c r="AO350" i="3"/>
  <c r="AS350" i="3"/>
  <c r="AW350" i="3"/>
  <c r="BA350" i="3"/>
  <c r="BE350" i="3"/>
  <c r="BI350" i="3"/>
  <c r="AD350" i="3"/>
  <c r="AH350" i="3"/>
  <c r="AL350" i="3"/>
  <c r="AP350" i="3"/>
  <c r="AT350" i="3"/>
  <c r="AX350" i="3"/>
  <c r="BB350" i="3"/>
  <c r="BF350" i="3"/>
  <c r="BJ350" i="3"/>
  <c r="AA363" i="3"/>
  <c r="AA359" i="3"/>
  <c r="AA355" i="3"/>
  <c r="AA351" i="3"/>
  <c r="BH363" i="3"/>
  <c r="BD363" i="3"/>
  <c r="AZ363" i="3"/>
  <c r="AV363" i="3"/>
  <c r="AR363" i="3"/>
  <c r="AN363" i="3"/>
  <c r="AJ363" i="3"/>
  <c r="AF363" i="3"/>
  <c r="BG362" i="3"/>
  <c r="BC362" i="3"/>
  <c r="AY362" i="3"/>
  <c r="AU362" i="3"/>
  <c r="AQ362" i="3"/>
  <c r="AM362" i="3"/>
  <c r="AI362" i="3"/>
  <c r="BH359" i="3"/>
  <c r="BD359" i="3"/>
  <c r="AZ359" i="3"/>
  <c r="AV359" i="3"/>
  <c r="AR359" i="3"/>
  <c r="AN359" i="3"/>
  <c r="AJ359" i="3"/>
  <c r="AF359" i="3"/>
  <c r="BG358" i="3"/>
  <c r="BC358" i="3"/>
  <c r="AY358" i="3"/>
  <c r="AU358" i="3"/>
  <c r="AQ358" i="3"/>
  <c r="AM358" i="3"/>
  <c r="AI358" i="3"/>
  <c r="BH355" i="3"/>
  <c r="BD355" i="3"/>
  <c r="AZ355" i="3"/>
  <c r="AV355" i="3"/>
  <c r="AQ355" i="3"/>
  <c r="AK355" i="3"/>
  <c r="AF355" i="3"/>
  <c r="BJ354" i="3"/>
  <c r="BD354" i="3"/>
  <c r="AY354" i="3"/>
  <c r="AT354" i="3"/>
  <c r="AN354" i="3"/>
  <c r="AI354" i="3"/>
  <c r="AD354" i="3"/>
  <c r="BD351" i="3"/>
  <c r="AV351" i="3"/>
  <c r="AN351" i="3"/>
  <c r="AF351" i="3"/>
  <c r="BG350" i="3"/>
  <c r="AY350" i="3"/>
  <c r="AQ350" i="3"/>
  <c r="AI350" i="3"/>
  <c r="V1140" i="9"/>
  <c r="BW1140" i="9"/>
  <c r="BS1140" i="9"/>
  <c r="BJ1140" i="9"/>
  <c r="BF1140" i="9"/>
  <c r="BB1140" i="9"/>
  <c r="AX1140" i="9"/>
  <c r="AT1140" i="9"/>
  <c r="AP1140" i="9"/>
  <c r="AL1140" i="9"/>
  <c r="AH1140" i="9"/>
  <c r="AD1140" i="9"/>
  <c r="BW1139" i="9"/>
  <c r="BS1139" i="9"/>
  <c r="BG1139" i="9"/>
  <c r="BC1139" i="9"/>
  <c r="AY1139" i="9"/>
  <c r="AU1139" i="9"/>
  <c r="AQ1139" i="9"/>
  <c r="AM1139" i="9"/>
  <c r="AI1139" i="9"/>
  <c r="AE1139" i="9"/>
  <c r="BW1138" i="9"/>
  <c r="BS1138" i="9"/>
  <c r="BJ1138" i="9"/>
  <c r="BF1138" i="9"/>
  <c r="BB1138" i="9"/>
  <c r="AX1138" i="9"/>
  <c r="AT1138" i="9"/>
  <c r="AP1138" i="9"/>
  <c r="AL1138" i="9"/>
  <c r="AH1138" i="9"/>
  <c r="AD1138" i="9"/>
  <c r="BV1140" i="9"/>
  <c r="BR1140" i="9"/>
  <c r="BI1140" i="9"/>
  <c r="BE1140" i="9"/>
  <c r="BA1140" i="9"/>
  <c r="AW1140" i="9"/>
  <c r="AS1140" i="9"/>
  <c r="AO1140" i="9"/>
  <c r="AK1140" i="9"/>
  <c r="AG1140" i="9"/>
  <c r="AC1140" i="9"/>
  <c r="V1138" i="9"/>
  <c r="BV1139" i="9"/>
  <c r="BR1139" i="9"/>
  <c r="BJ1139" i="9"/>
  <c r="BF1139" i="9"/>
  <c r="BB1139" i="9"/>
  <c r="AX1139" i="9"/>
  <c r="AT1139" i="9"/>
  <c r="AP1139" i="9"/>
  <c r="AL1139" i="9"/>
  <c r="AH1139" i="9"/>
  <c r="AD1139" i="9"/>
  <c r="BV1138" i="9"/>
  <c r="BR1138" i="9"/>
  <c r="BI1138" i="9"/>
  <c r="BE1138" i="9"/>
  <c r="BA1138" i="9"/>
  <c r="AW1138" i="9"/>
  <c r="AS1138" i="9"/>
  <c r="AO1138" i="9"/>
  <c r="AK1138" i="9"/>
  <c r="AG1138" i="9"/>
  <c r="AC1138" i="9"/>
  <c r="BQ1140" i="9"/>
  <c r="BH1140" i="9"/>
  <c r="BD1140" i="9"/>
  <c r="AZ1140" i="9"/>
  <c r="AV1140" i="9"/>
  <c r="AR1140" i="9"/>
  <c r="AN1140" i="9"/>
  <c r="AJ1140" i="9"/>
  <c r="AF1140" i="9"/>
  <c r="V1139" i="9"/>
  <c r="BU1139" i="9"/>
  <c r="BQ1139" i="9"/>
  <c r="BI1139" i="9"/>
  <c r="BE1139" i="9"/>
  <c r="BA1139" i="9"/>
  <c r="AW1139" i="9"/>
  <c r="AS1139" i="9"/>
  <c r="AO1139" i="9"/>
  <c r="AK1139" i="9"/>
  <c r="AG1139" i="9"/>
  <c r="AC1139" i="9"/>
  <c r="BU1138" i="9"/>
  <c r="BQ1138" i="9"/>
  <c r="BH1138" i="9"/>
  <c r="BD1138" i="9"/>
  <c r="AZ1138" i="9"/>
  <c r="AV1138" i="9"/>
  <c r="AR1138" i="9"/>
  <c r="AN1138" i="9"/>
  <c r="AJ1138" i="9"/>
  <c r="AF1138" i="9"/>
  <c r="AB1138" i="9"/>
  <c r="CE15" i="9"/>
  <c r="CE16" i="9"/>
  <c r="CE17" i="9"/>
  <c r="CE18" i="9"/>
  <c r="CE19" i="9"/>
  <c r="CE20" i="9"/>
  <c r="CE21" i="9"/>
  <c r="CE22" i="9"/>
  <c r="CE23" i="9"/>
  <c r="CE24" i="9"/>
  <c r="CE25" i="9"/>
  <c r="CE26" i="9"/>
  <c r="CE27" i="9"/>
  <c r="CE28" i="9"/>
  <c r="CE29" i="9"/>
  <c r="CE30" i="9"/>
  <c r="CE31" i="9"/>
  <c r="CE32" i="9"/>
  <c r="BL1139" i="9" l="1"/>
  <c r="BL1138" i="9"/>
  <c r="BE1141" i="9"/>
  <c r="BE196" i="30" s="1"/>
  <c r="BT1141" i="9"/>
  <c r="BT196" i="30" s="1"/>
  <c r="AQ1141" i="9"/>
  <c r="AQ196" i="30" s="1"/>
  <c r="BG1141" i="9"/>
  <c r="BG196" i="30" s="1"/>
  <c r="AE1141" i="9"/>
  <c r="AE196" i="30" s="1"/>
  <c r="AB1141" i="9"/>
  <c r="AB196" i="30" s="1"/>
  <c r="BH1141" i="9"/>
  <c r="BH196" i="30" s="1"/>
  <c r="BC1141" i="9"/>
  <c r="BC196" i="30" s="1"/>
  <c r="BR1141" i="9"/>
  <c r="BR196" i="30" s="1"/>
  <c r="AK1141" i="9"/>
  <c r="AK196" i="30" s="1"/>
  <c r="BA1141" i="9"/>
  <c r="BA196" i="30" s="1"/>
  <c r="BU1141" i="9"/>
  <c r="BU196" i="30" s="1"/>
  <c r="AN1141" i="9"/>
  <c r="AN196" i="30" s="1"/>
  <c r="BD1141" i="9"/>
  <c r="BD196" i="30" s="1"/>
  <c r="AC1141" i="9"/>
  <c r="AC196" i="30" s="1"/>
  <c r="AS1141" i="9"/>
  <c r="AS196" i="30" s="1"/>
  <c r="AD1141" i="9"/>
  <c r="AD196" i="30" s="1"/>
  <c r="AT1141" i="9"/>
  <c r="AT196" i="30" s="1"/>
  <c r="BJ1141" i="9"/>
  <c r="BJ196" i="30" s="1"/>
  <c r="AI1141" i="9"/>
  <c r="AI196" i="30" s="1"/>
  <c r="AY1141" i="9"/>
  <c r="AY196" i="30" s="1"/>
  <c r="AA1141" i="9"/>
  <c r="AA196" i="30" s="1"/>
  <c r="AX1141" i="9"/>
  <c r="AX196" i="30" s="1"/>
  <c r="AG1141" i="9"/>
  <c r="AG196" i="30" s="1"/>
  <c r="BV1141" i="9"/>
  <c r="BV196" i="30" s="1"/>
  <c r="AM1141" i="9"/>
  <c r="AM196" i="30" s="1"/>
  <c r="BP1141" i="9"/>
  <c r="BP196" i="30" s="1"/>
  <c r="AJ1141" i="9"/>
  <c r="AJ196" i="30" s="1"/>
  <c r="AZ1141" i="9"/>
  <c r="AZ196" i="30" s="1"/>
  <c r="AO1141" i="9"/>
  <c r="AO196" i="30" s="1"/>
  <c r="V1141" i="9"/>
  <c r="V196" i="30" s="1"/>
  <c r="AL1141" i="9"/>
  <c r="AL196" i="30" s="1"/>
  <c r="BB1141" i="9"/>
  <c r="BB196" i="30" s="1"/>
  <c r="AW1141" i="9"/>
  <c r="AW196" i="30" s="1"/>
  <c r="AU1141" i="9"/>
  <c r="AU196" i="30" s="1"/>
  <c r="BF1141" i="9"/>
  <c r="BF196" i="30" s="1"/>
  <c r="AF1141" i="9"/>
  <c r="AF196" i="30" s="1"/>
  <c r="AV1141" i="9"/>
  <c r="AV196" i="30" s="1"/>
  <c r="AP1141" i="9"/>
  <c r="AP196" i="30" s="1"/>
  <c r="BQ1141" i="9"/>
  <c r="BQ196" i="30" s="1"/>
  <c r="BI1141" i="9"/>
  <c r="BI196" i="30" s="1"/>
  <c r="AH1141" i="9"/>
  <c r="AH196" i="30" s="1"/>
  <c r="BS1141" i="9"/>
  <c r="BS196" i="30" s="1"/>
  <c r="BW1141" i="9"/>
  <c r="BW196" i="30" s="1"/>
  <c r="AR1141" i="9"/>
  <c r="AR196" i="30" s="1"/>
  <c r="AA477" i="9"/>
  <c r="AB477" i="9"/>
  <c r="AC477" i="9"/>
  <c r="AD477" i="9"/>
  <c r="AE477" i="9"/>
  <c r="AF477" i="9"/>
  <c r="AG477" i="9"/>
  <c r="AH477" i="9"/>
  <c r="AI477" i="9"/>
  <c r="AJ477" i="9"/>
  <c r="AK477" i="9"/>
  <c r="AL477" i="9"/>
  <c r="AM477" i="9"/>
  <c r="AN477" i="9"/>
  <c r="AO477" i="9"/>
  <c r="AP477" i="9"/>
  <c r="AQ477" i="9"/>
  <c r="AR477" i="9"/>
  <c r="AS477" i="9"/>
  <c r="AT477" i="9"/>
  <c r="AU477" i="9"/>
  <c r="AV477" i="9"/>
  <c r="AW477" i="9"/>
  <c r="AX477" i="9"/>
  <c r="AY477" i="9"/>
  <c r="AZ477" i="9"/>
  <c r="BA477" i="9"/>
  <c r="BB477" i="9"/>
  <c r="BC477" i="9"/>
  <c r="BD477" i="9"/>
  <c r="BE477" i="9"/>
  <c r="BF477" i="9"/>
  <c r="BG477" i="9"/>
  <c r="BH477" i="9"/>
  <c r="BI477" i="9"/>
  <c r="BJ477" i="9"/>
  <c r="BP477" i="9"/>
  <c r="BQ477" i="9"/>
  <c r="BR477" i="9"/>
  <c r="BS477" i="9"/>
  <c r="BT477" i="9"/>
  <c r="BU477" i="9"/>
  <c r="BV477" i="9"/>
  <c r="BW477" i="9"/>
  <c r="AA478" i="9"/>
  <c r="AB478" i="9"/>
  <c r="AC478" i="9"/>
  <c r="AD478" i="9"/>
  <c r="AE478" i="9"/>
  <c r="AF478" i="9"/>
  <c r="AG478" i="9"/>
  <c r="AH478" i="9"/>
  <c r="AI478" i="9"/>
  <c r="AJ478" i="9"/>
  <c r="AK478" i="9"/>
  <c r="AL478" i="9"/>
  <c r="AM478" i="9"/>
  <c r="AN478" i="9"/>
  <c r="AO478" i="9"/>
  <c r="AP478" i="9"/>
  <c r="AQ478" i="9"/>
  <c r="AR478" i="9"/>
  <c r="AS478" i="9"/>
  <c r="AT478" i="9"/>
  <c r="AU478" i="9"/>
  <c r="AV478" i="9"/>
  <c r="AW478" i="9"/>
  <c r="AX478" i="9"/>
  <c r="AY478" i="9"/>
  <c r="AZ478" i="9"/>
  <c r="BA478" i="9"/>
  <c r="BB478" i="9"/>
  <c r="BC478" i="9"/>
  <c r="BD478" i="9"/>
  <c r="BE478" i="9"/>
  <c r="BF478" i="9"/>
  <c r="BG478" i="9"/>
  <c r="BH478" i="9"/>
  <c r="BI478" i="9"/>
  <c r="BJ478" i="9"/>
  <c r="BP478" i="9"/>
  <c r="BQ478" i="9"/>
  <c r="BR478" i="9"/>
  <c r="BS478" i="9"/>
  <c r="BT478" i="9"/>
  <c r="BU478" i="9"/>
  <c r="BV478" i="9"/>
  <c r="BW478" i="9"/>
  <c r="AA479" i="9"/>
  <c r="AB479" i="9"/>
  <c r="AC479" i="9"/>
  <c r="AD479" i="9"/>
  <c r="AE479" i="9"/>
  <c r="AF479" i="9"/>
  <c r="AG479" i="9"/>
  <c r="AH479" i="9"/>
  <c r="AI479" i="9"/>
  <c r="AJ479" i="9"/>
  <c r="AK479" i="9"/>
  <c r="AL479" i="9"/>
  <c r="AM479" i="9"/>
  <c r="AN479" i="9"/>
  <c r="AO479" i="9"/>
  <c r="AP479" i="9"/>
  <c r="AQ479" i="9"/>
  <c r="AR479" i="9"/>
  <c r="AS479" i="9"/>
  <c r="AT479" i="9"/>
  <c r="AU479" i="9"/>
  <c r="AV479" i="9"/>
  <c r="AW479" i="9"/>
  <c r="AX479" i="9"/>
  <c r="AY479" i="9"/>
  <c r="AZ479" i="9"/>
  <c r="BA479" i="9"/>
  <c r="BB479" i="9"/>
  <c r="BC479" i="9"/>
  <c r="BD479" i="9"/>
  <c r="BE479" i="9"/>
  <c r="BF479" i="9"/>
  <c r="BG479" i="9"/>
  <c r="BH479" i="9"/>
  <c r="BI479" i="9"/>
  <c r="BJ479" i="9"/>
  <c r="BP479" i="9"/>
  <c r="BQ479" i="9"/>
  <c r="BR479" i="9"/>
  <c r="BS479" i="9"/>
  <c r="BT479" i="9"/>
  <c r="BU479" i="9"/>
  <c r="BV479" i="9"/>
  <c r="BW479" i="9"/>
  <c r="AA480" i="9"/>
  <c r="AB480" i="9"/>
  <c r="AC480" i="9"/>
  <c r="AD480" i="9"/>
  <c r="AE480" i="9"/>
  <c r="AF480" i="9"/>
  <c r="AG480" i="9"/>
  <c r="AH480" i="9"/>
  <c r="AI480" i="9"/>
  <c r="AJ480" i="9"/>
  <c r="AK480" i="9"/>
  <c r="AL480" i="9"/>
  <c r="AM480" i="9"/>
  <c r="AN480" i="9"/>
  <c r="AO480" i="9"/>
  <c r="AP480" i="9"/>
  <c r="AQ480" i="9"/>
  <c r="AR480" i="9"/>
  <c r="AS480" i="9"/>
  <c r="AT480" i="9"/>
  <c r="AU480" i="9"/>
  <c r="AV480" i="9"/>
  <c r="AW480" i="9"/>
  <c r="AX480" i="9"/>
  <c r="AY480" i="9"/>
  <c r="AZ480" i="9"/>
  <c r="BA480" i="9"/>
  <c r="BB480" i="9"/>
  <c r="BC480" i="9"/>
  <c r="BD480" i="9"/>
  <c r="BE480" i="9"/>
  <c r="BF480" i="9"/>
  <c r="BG480" i="9"/>
  <c r="BH480" i="9"/>
  <c r="BI480" i="9"/>
  <c r="BJ480" i="9"/>
  <c r="BP480" i="9"/>
  <c r="BQ480" i="9"/>
  <c r="BR480" i="9"/>
  <c r="BS480" i="9"/>
  <c r="BT480" i="9"/>
  <c r="BU480" i="9"/>
  <c r="BV480" i="9"/>
  <c r="BW480" i="9"/>
  <c r="AA481" i="9"/>
  <c r="AB481" i="9"/>
  <c r="AC481" i="9"/>
  <c r="AD481" i="9"/>
  <c r="AE481" i="9"/>
  <c r="AF481" i="9"/>
  <c r="AG481" i="9"/>
  <c r="AH481" i="9"/>
  <c r="AI481" i="9"/>
  <c r="AJ481" i="9"/>
  <c r="AK481" i="9"/>
  <c r="AL481" i="9"/>
  <c r="AM481" i="9"/>
  <c r="AN481" i="9"/>
  <c r="AO481" i="9"/>
  <c r="AP481" i="9"/>
  <c r="AQ481" i="9"/>
  <c r="AR481" i="9"/>
  <c r="AS481" i="9"/>
  <c r="AT481" i="9"/>
  <c r="AU481" i="9"/>
  <c r="AV481" i="9"/>
  <c r="AW481" i="9"/>
  <c r="AX481" i="9"/>
  <c r="AY481" i="9"/>
  <c r="AZ481" i="9"/>
  <c r="BA481" i="9"/>
  <c r="BB481" i="9"/>
  <c r="BC481" i="9"/>
  <c r="BD481" i="9"/>
  <c r="BE481" i="9"/>
  <c r="BF481" i="9"/>
  <c r="BG481" i="9"/>
  <c r="BH481" i="9"/>
  <c r="BI481" i="9"/>
  <c r="BJ481" i="9"/>
  <c r="BP481" i="9"/>
  <c r="BQ481" i="9"/>
  <c r="BR481" i="9"/>
  <c r="BS481" i="9"/>
  <c r="BT481" i="9"/>
  <c r="BU481" i="9"/>
  <c r="BV481" i="9"/>
  <c r="BW481" i="9"/>
  <c r="AA482" i="9"/>
  <c r="AB482" i="9"/>
  <c r="AC482" i="9"/>
  <c r="AD482" i="9"/>
  <c r="AE482" i="9"/>
  <c r="AF482" i="9"/>
  <c r="AG482" i="9"/>
  <c r="AH482" i="9"/>
  <c r="AI482" i="9"/>
  <c r="AJ482" i="9"/>
  <c r="AK482" i="9"/>
  <c r="AL482" i="9"/>
  <c r="AM482" i="9"/>
  <c r="AN482" i="9"/>
  <c r="AO482" i="9"/>
  <c r="AP482" i="9"/>
  <c r="AQ482" i="9"/>
  <c r="AR482" i="9"/>
  <c r="AS482" i="9"/>
  <c r="AT482" i="9"/>
  <c r="AU482" i="9"/>
  <c r="AV482" i="9"/>
  <c r="AW482" i="9"/>
  <c r="AX482" i="9"/>
  <c r="AY482" i="9"/>
  <c r="AZ482" i="9"/>
  <c r="BA482" i="9"/>
  <c r="BB482" i="9"/>
  <c r="BC482" i="9"/>
  <c r="BD482" i="9"/>
  <c r="BE482" i="9"/>
  <c r="BF482" i="9"/>
  <c r="BG482" i="9"/>
  <c r="BH482" i="9"/>
  <c r="BI482" i="9"/>
  <c r="BJ482" i="9"/>
  <c r="BP482" i="9"/>
  <c r="BQ482" i="9"/>
  <c r="BR482" i="9"/>
  <c r="BS482" i="9"/>
  <c r="BT482" i="9"/>
  <c r="BU482" i="9"/>
  <c r="BV482" i="9"/>
  <c r="BW482" i="9"/>
  <c r="AA483" i="9"/>
  <c r="AB483" i="9"/>
  <c r="AC483" i="9"/>
  <c r="AD483" i="9"/>
  <c r="AE483" i="9"/>
  <c r="AF483" i="9"/>
  <c r="AG483" i="9"/>
  <c r="AH483" i="9"/>
  <c r="AI483" i="9"/>
  <c r="AJ483" i="9"/>
  <c r="AK483" i="9"/>
  <c r="AL483" i="9"/>
  <c r="AM483" i="9"/>
  <c r="AN483" i="9"/>
  <c r="AO483" i="9"/>
  <c r="AP483" i="9"/>
  <c r="AQ483" i="9"/>
  <c r="AR483" i="9"/>
  <c r="AS483" i="9"/>
  <c r="AT483" i="9"/>
  <c r="AU483" i="9"/>
  <c r="AV483" i="9"/>
  <c r="AW483" i="9"/>
  <c r="AX483" i="9"/>
  <c r="AY483" i="9"/>
  <c r="AZ483" i="9"/>
  <c r="BA483" i="9"/>
  <c r="BB483" i="9"/>
  <c r="BC483" i="9"/>
  <c r="BD483" i="9"/>
  <c r="BE483" i="9"/>
  <c r="BF483" i="9"/>
  <c r="BG483" i="9"/>
  <c r="BH483" i="9"/>
  <c r="BI483" i="9"/>
  <c r="BJ483" i="9"/>
  <c r="BP483" i="9"/>
  <c r="BQ483" i="9"/>
  <c r="BR483" i="9"/>
  <c r="BS483" i="9"/>
  <c r="BT483" i="9"/>
  <c r="BU483" i="9"/>
  <c r="BV483" i="9"/>
  <c r="BW483" i="9"/>
  <c r="AA484" i="9"/>
  <c r="AB484" i="9"/>
  <c r="AC484" i="9"/>
  <c r="AD484" i="9"/>
  <c r="AE484" i="9"/>
  <c r="AF484" i="9"/>
  <c r="AG484" i="9"/>
  <c r="AH484" i="9"/>
  <c r="AI484" i="9"/>
  <c r="AJ484" i="9"/>
  <c r="AK484" i="9"/>
  <c r="AL484" i="9"/>
  <c r="AM484" i="9"/>
  <c r="AN484" i="9"/>
  <c r="AO484" i="9"/>
  <c r="AP484" i="9"/>
  <c r="AQ484" i="9"/>
  <c r="AR484" i="9"/>
  <c r="AS484" i="9"/>
  <c r="AT484" i="9"/>
  <c r="AU484" i="9"/>
  <c r="AV484" i="9"/>
  <c r="AW484" i="9"/>
  <c r="AX484" i="9"/>
  <c r="AY484" i="9"/>
  <c r="AZ484" i="9"/>
  <c r="BA484" i="9"/>
  <c r="BB484" i="9"/>
  <c r="BC484" i="9"/>
  <c r="BD484" i="9"/>
  <c r="BE484" i="9"/>
  <c r="BF484" i="9"/>
  <c r="BG484" i="9"/>
  <c r="BH484" i="9"/>
  <c r="BI484" i="9"/>
  <c r="BJ484" i="9"/>
  <c r="BP484" i="9"/>
  <c r="BQ484" i="9"/>
  <c r="BR484" i="9"/>
  <c r="BS484" i="9"/>
  <c r="BT484" i="9"/>
  <c r="BU484" i="9"/>
  <c r="BV484" i="9"/>
  <c r="BW484" i="9"/>
  <c r="AA485" i="9"/>
  <c r="AB485" i="9"/>
  <c r="AC485" i="9"/>
  <c r="AD485" i="9"/>
  <c r="AE485" i="9"/>
  <c r="AF485" i="9"/>
  <c r="AG485" i="9"/>
  <c r="AH485" i="9"/>
  <c r="AI485" i="9"/>
  <c r="AJ485" i="9"/>
  <c r="AK485" i="9"/>
  <c r="AL485" i="9"/>
  <c r="AM485" i="9"/>
  <c r="AN485" i="9"/>
  <c r="AO485" i="9"/>
  <c r="AP485" i="9"/>
  <c r="AQ485" i="9"/>
  <c r="AR485" i="9"/>
  <c r="AS485" i="9"/>
  <c r="AT485" i="9"/>
  <c r="AU485" i="9"/>
  <c r="AV485" i="9"/>
  <c r="AW485" i="9"/>
  <c r="AX485" i="9"/>
  <c r="AY485" i="9"/>
  <c r="AZ485" i="9"/>
  <c r="BA485" i="9"/>
  <c r="BB485" i="9"/>
  <c r="BC485" i="9"/>
  <c r="BD485" i="9"/>
  <c r="BE485" i="9"/>
  <c r="BF485" i="9"/>
  <c r="BG485" i="9"/>
  <c r="BH485" i="9"/>
  <c r="BI485" i="9"/>
  <c r="BJ485" i="9"/>
  <c r="BP485" i="9"/>
  <c r="BQ485" i="9"/>
  <c r="BR485" i="9"/>
  <c r="BS485" i="9"/>
  <c r="BT485" i="9"/>
  <c r="BU485" i="9"/>
  <c r="BV485" i="9"/>
  <c r="BW485" i="9"/>
  <c r="AA486" i="9"/>
  <c r="AB486" i="9"/>
  <c r="AC486" i="9"/>
  <c r="AD486" i="9"/>
  <c r="AE486" i="9"/>
  <c r="AF486" i="9"/>
  <c r="AG486" i="9"/>
  <c r="AH486" i="9"/>
  <c r="AI486" i="9"/>
  <c r="AJ486" i="9"/>
  <c r="AK486" i="9"/>
  <c r="AL486" i="9"/>
  <c r="AM486" i="9"/>
  <c r="AN486" i="9"/>
  <c r="AO486" i="9"/>
  <c r="AP486" i="9"/>
  <c r="AQ486" i="9"/>
  <c r="AR486" i="9"/>
  <c r="AS486" i="9"/>
  <c r="AT486" i="9"/>
  <c r="AU486" i="9"/>
  <c r="AV486" i="9"/>
  <c r="AW486" i="9"/>
  <c r="AX486" i="9"/>
  <c r="AY486" i="9"/>
  <c r="AZ486" i="9"/>
  <c r="BA486" i="9"/>
  <c r="BB486" i="9"/>
  <c r="BC486" i="9"/>
  <c r="BD486" i="9"/>
  <c r="BE486" i="9"/>
  <c r="BF486" i="9"/>
  <c r="BG486" i="9"/>
  <c r="BH486" i="9"/>
  <c r="BI486" i="9"/>
  <c r="BJ486" i="9"/>
  <c r="BP486" i="9"/>
  <c r="BQ486" i="9"/>
  <c r="BR486" i="9"/>
  <c r="BS486" i="9"/>
  <c r="BT486" i="9"/>
  <c r="BU486" i="9"/>
  <c r="BV486" i="9"/>
  <c r="BW486" i="9"/>
  <c r="AA487" i="9"/>
  <c r="AB487" i="9"/>
  <c r="AC487" i="9"/>
  <c r="AD487" i="9"/>
  <c r="AE487" i="9"/>
  <c r="AF487" i="9"/>
  <c r="AG487" i="9"/>
  <c r="AH487" i="9"/>
  <c r="AI487" i="9"/>
  <c r="AJ487" i="9"/>
  <c r="AK487" i="9"/>
  <c r="AL487" i="9"/>
  <c r="AM487" i="9"/>
  <c r="AN487" i="9"/>
  <c r="AO487" i="9"/>
  <c r="AP487" i="9"/>
  <c r="AQ487" i="9"/>
  <c r="AR487" i="9"/>
  <c r="AS487" i="9"/>
  <c r="AT487" i="9"/>
  <c r="AU487" i="9"/>
  <c r="AV487" i="9"/>
  <c r="AW487" i="9"/>
  <c r="AX487" i="9"/>
  <c r="AY487" i="9"/>
  <c r="AZ487" i="9"/>
  <c r="BA487" i="9"/>
  <c r="BB487" i="9"/>
  <c r="BC487" i="9"/>
  <c r="BD487" i="9"/>
  <c r="BE487" i="9"/>
  <c r="BF487" i="9"/>
  <c r="BG487" i="9"/>
  <c r="BH487" i="9"/>
  <c r="BI487" i="9"/>
  <c r="BJ487" i="9"/>
  <c r="BP487" i="9"/>
  <c r="BQ487" i="9"/>
  <c r="BR487" i="9"/>
  <c r="BS487" i="9"/>
  <c r="BT487" i="9"/>
  <c r="BU487" i="9"/>
  <c r="BV487" i="9"/>
  <c r="BW487" i="9"/>
  <c r="AA488" i="9"/>
  <c r="AB488" i="9"/>
  <c r="AC488" i="9"/>
  <c r="AD488" i="9"/>
  <c r="AE488" i="9"/>
  <c r="AF488" i="9"/>
  <c r="AG488" i="9"/>
  <c r="AH488" i="9"/>
  <c r="AI488" i="9"/>
  <c r="AJ488" i="9"/>
  <c r="AK488" i="9"/>
  <c r="AL488" i="9"/>
  <c r="AM488" i="9"/>
  <c r="AN488" i="9"/>
  <c r="AO488" i="9"/>
  <c r="AP488" i="9"/>
  <c r="AQ488" i="9"/>
  <c r="AR488" i="9"/>
  <c r="AS488" i="9"/>
  <c r="AT488" i="9"/>
  <c r="AU488" i="9"/>
  <c r="AV488" i="9"/>
  <c r="AW488" i="9"/>
  <c r="AX488" i="9"/>
  <c r="AY488" i="9"/>
  <c r="AZ488" i="9"/>
  <c r="BA488" i="9"/>
  <c r="BB488" i="9"/>
  <c r="BC488" i="9"/>
  <c r="BD488" i="9"/>
  <c r="BE488" i="9"/>
  <c r="BF488" i="9"/>
  <c r="BG488" i="9"/>
  <c r="BH488" i="9"/>
  <c r="BI488" i="9"/>
  <c r="BJ488" i="9"/>
  <c r="BP488" i="9"/>
  <c r="BQ488" i="9"/>
  <c r="BR488" i="9"/>
  <c r="BS488" i="9"/>
  <c r="BT488" i="9"/>
  <c r="BU488" i="9"/>
  <c r="BV488" i="9"/>
  <c r="BW488" i="9"/>
  <c r="AA489" i="9"/>
  <c r="AB489" i="9"/>
  <c r="AC489" i="9"/>
  <c r="AD489" i="9"/>
  <c r="AE489" i="9"/>
  <c r="AF489" i="9"/>
  <c r="AG489" i="9"/>
  <c r="AH489" i="9"/>
  <c r="AI489" i="9"/>
  <c r="AJ489" i="9"/>
  <c r="AK489" i="9"/>
  <c r="AL489" i="9"/>
  <c r="AM489" i="9"/>
  <c r="AN489" i="9"/>
  <c r="AO489" i="9"/>
  <c r="AP489" i="9"/>
  <c r="AQ489" i="9"/>
  <c r="AR489" i="9"/>
  <c r="AS489" i="9"/>
  <c r="AT489" i="9"/>
  <c r="AU489" i="9"/>
  <c r="AV489" i="9"/>
  <c r="AW489" i="9"/>
  <c r="AX489" i="9"/>
  <c r="AY489" i="9"/>
  <c r="AZ489" i="9"/>
  <c r="BA489" i="9"/>
  <c r="BB489" i="9"/>
  <c r="BC489" i="9"/>
  <c r="BD489" i="9"/>
  <c r="BE489" i="9"/>
  <c r="BF489" i="9"/>
  <c r="BG489" i="9"/>
  <c r="BH489" i="9"/>
  <c r="BI489" i="9"/>
  <c r="BJ489" i="9"/>
  <c r="BP489" i="9"/>
  <c r="BQ489" i="9"/>
  <c r="BR489" i="9"/>
  <c r="BS489" i="9"/>
  <c r="BT489" i="9"/>
  <c r="BU489" i="9"/>
  <c r="BV489" i="9"/>
  <c r="BW489" i="9"/>
  <c r="AA490" i="9"/>
  <c r="AB490" i="9"/>
  <c r="AC490" i="9"/>
  <c r="AD490" i="9"/>
  <c r="AE490" i="9"/>
  <c r="AF490" i="9"/>
  <c r="AG490" i="9"/>
  <c r="AH490" i="9"/>
  <c r="AI490" i="9"/>
  <c r="AJ490" i="9"/>
  <c r="AK490" i="9"/>
  <c r="AL490" i="9"/>
  <c r="AM490" i="9"/>
  <c r="AN490" i="9"/>
  <c r="AO490" i="9"/>
  <c r="AP490" i="9"/>
  <c r="AQ490" i="9"/>
  <c r="AR490" i="9"/>
  <c r="AS490" i="9"/>
  <c r="AT490" i="9"/>
  <c r="AU490" i="9"/>
  <c r="AV490" i="9"/>
  <c r="AW490" i="9"/>
  <c r="AX490" i="9"/>
  <c r="AY490" i="9"/>
  <c r="AZ490" i="9"/>
  <c r="BA490" i="9"/>
  <c r="BB490" i="9"/>
  <c r="BC490" i="9"/>
  <c r="BD490" i="9"/>
  <c r="BE490" i="9"/>
  <c r="BF490" i="9"/>
  <c r="BG490" i="9"/>
  <c r="BH490" i="9"/>
  <c r="BI490" i="9"/>
  <c r="BJ490" i="9"/>
  <c r="BP490" i="9"/>
  <c r="BQ490" i="9"/>
  <c r="BR490" i="9"/>
  <c r="BS490" i="9"/>
  <c r="BT490" i="9"/>
  <c r="BU490" i="9"/>
  <c r="BV490" i="9"/>
  <c r="BW490" i="9"/>
  <c r="AA491" i="9"/>
  <c r="AB491" i="9"/>
  <c r="AC491" i="9"/>
  <c r="AD491" i="9"/>
  <c r="AE491" i="9"/>
  <c r="AF491" i="9"/>
  <c r="AG491" i="9"/>
  <c r="AH491" i="9"/>
  <c r="AI491" i="9"/>
  <c r="AJ491" i="9"/>
  <c r="AK491" i="9"/>
  <c r="AL491" i="9"/>
  <c r="AM491" i="9"/>
  <c r="AN491" i="9"/>
  <c r="AO491" i="9"/>
  <c r="AP491" i="9"/>
  <c r="AQ491" i="9"/>
  <c r="AR491" i="9"/>
  <c r="AS491" i="9"/>
  <c r="AT491" i="9"/>
  <c r="AU491" i="9"/>
  <c r="AV491" i="9"/>
  <c r="AW491" i="9"/>
  <c r="AX491" i="9"/>
  <c r="AY491" i="9"/>
  <c r="AZ491" i="9"/>
  <c r="BA491" i="9"/>
  <c r="BB491" i="9"/>
  <c r="BC491" i="9"/>
  <c r="BD491" i="9"/>
  <c r="BE491" i="9"/>
  <c r="BF491" i="9"/>
  <c r="BG491" i="9"/>
  <c r="BH491" i="9"/>
  <c r="BI491" i="9"/>
  <c r="BJ491" i="9"/>
  <c r="BP491" i="9"/>
  <c r="BQ491" i="9"/>
  <c r="BR491" i="9"/>
  <c r="BS491" i="9"/>
  <c r="BT491" i="9"/>
  <c r="BU491" i="9"/>
  <c r="BV491" i="9"/>
  <c r="BW491" i="9"/>
  <c r="AA492" i="9"/>
  <c r="AB492" i="9"/>
  <c r="AC492" i="9"/>
  <c r="AD492" i="9"/>
  <c r="AE492" i="9"/>
  <c r="AF492" i="9"/>
  <c r="AG492" i="9"/>
  <c r="AH492" i="9"/>
  <c r="AI492" i="9"/>
  <c r="AJ492" i="9"/>
  <c r="AK492" i="9"/>
  <c r="AL492" i="9"/>
  <c r="AM492" i="9"/>
  <c r="AN492" i="9"/>
  <c r="AO492" i="9"/>
  <c r="AP492" i="9"/>
  <c r="AQ492" i="9"/>
  <c r="AR492" i="9"/>
  <c r="AS492" i="9"/>
  <c r="AT492" i="9"/>
  <c r="AU492" i="9"/>
  <c r="AV492" i="9"/>
  <c r="AW492" i="9"/>
  <c r="AX492" i="9"/>
  <c r="AY492" i="9"/>
  <c r="AZ492" i="9"/>
  <c r="BA492" i="9"/>
  <c r="BB492" i="9"/>
  <c r="BC492" i="9"/>
  <c r="BD492" i="9"/>
  <c r="BE492" i="9"/>
  <c r="BF492" i="9"/>
  <c r="BG492" i="9"/>
  <c r="BH492" i="9"/>
  <c r="BI492" i="9"/>
  <c r="BJ492" i="9"/>
  <c r="BP492" i="9"/>
  <c r="BQ492" i="9"/>
  <c r="BR492" i="9"/>
  <c r="BS492" i="9"/>
  <c r="BT492" i="9"/>
  <c r="BU492" i="9"/>
  <c r="BV492" i="9"/>
  <c r="BW492" i="9"/>
  <c r="AA493" i="9"/>
  <c r="AB493" i="9"/>
  <c r="AC493" i="9"/>
  <c r="AD493" i="9"/>
  <c r="AE493" i="9"/>
  <c r="AF493" i="9"/>
  <c r="AG493" i="9"/>
  <c r="AH493" i="9"/>
  <c r="AI493" i="9"/>
  <c r="AJ493" i="9"/>
  <c r="AK493" i="9"/>
  <c r="AL493" i="9"/>
  <c r="AM493" i="9"/>
  <c r="AN493" i="9"/>
  <c r="AO493" i="9"/>
  <c r="AP493" i="9"/>
  <c r="AQ493" i="9"/>
  <c r="AR493" i="9"/>
  <c r="AS493" i="9"/>
  <c r="AT493" i="9"/>
  <c r="AU493" i="9"/>
  <c r="AV493" i="9"/>
  <c r="AW493" i="9"/>
  <c r="AX493" i="9"/>
  <c r="AY493" i="9"/>
  <c r="AZ493" i="9"/>
  <c r="BA493" i="9"/>
  <c r="BB493" i="9"/>
  <c r="BC493" i="9"/>
  <c r="BD493" i="9"/>
  <c r="BE493" i="9"/>
  <c r="BF493" i="9"/>
  <c r="BG493" i="9"/>
  <c r="BH493" i="9"/>
  <c r="BI493" i="9"/>
  <c r="BJ493" i="9"/>
  <c r="BP493" i="9"/>
  <c r="BQ493" i="9"/>
  <c r="BR493" i="9"/>
  <c r="BS493" i="9"/>
  <c r="BT493" i="9"/>
  <c r="BU493" i="9"/>
  <c r="BV493" i="9"/>
  <c r="BW493" i="9"/>
  <c r="AA494" i="9"/>
  <c r="AB494" i="9"/>
  <c r="AC494" i="9"/>
  <c r="AD494" i="9"/>
  <c r="AE494" i="9"/>
  <c r="AF494" i="9"/>
  <c r="AG494" i="9"/>
  <c r="AH494" i="9"/>
  <c r="AI494" i="9"/>
  <c r="AJ494" i="9"/>
  <c r="AK494" i="9"/>
  <c r="AL494" i="9"/>
  <c r="AM494" i="9"/>
  <c r="AN494" i="9"/>
  <c r="AO494" i="9"/>
  <c r="AP494" i="9"/>
  <c r="AQ494" i="9"/>
  <c r="AR494" i="9"/>
  <c r="AS494" i="9"/>
  <c r="AT494" i="9"/>
  <c r="AU494" i="9"/>
  <c r="AV494" i="9"/>
  <c r="AW494" i="9"/>
  <c r="AX494" i="9"/>
  <c r="AY494" i="9"/>
  <c r="AZ494" i="9"/>
  <c r="BA494" i="9"/>
  <c r="BB494" i="9"/>
  <c r="BC494" i="9"/>
  <c r="BD494" i="9"/>
  <c r="BE494" i="9"/>
  <c r="BF494" i="9"/>
  <c r="BG494" i="9"/>
  <c r="BH494" i="9"/>
  <c r="BI494" i="9"/>
  <c r="BJ494" i="9"/>
  <c r="BP494" i="9"/>
  <c r="BQ494" i="9"/>
  <c r="BR494" i="9"/>
  <c r="BS494" i="9"/>
  <c r="BT494" i="9"/>
  <c r="BU494" i="9"/>
  <c r="BV494" i="9"/>
  <c r="BW494" i="9"/>
  <c r="AA495" i="9"/>
  <c r="AB495" i="9"/>
  <c r="AC495" i="9"/>
  <c r="AD495" i="9"/>
  <c r="AE495" i="9"/>
  <c r="AF495" i="9"/>
  <c r="AG495" i="9"/>
  <c r="AH495" i="9"/>
  <c r="AI495" i="9"/>
  <c r="AJ495" i="9"/>
  <c r="AK495" i="9"/>
  <c r="AL495" i="9"/>
  <c r="AM495" i="9"/>
  <c r="AN495" i="9"/>
  <c r="AO495" i="9"/>
  <c r="AP495" i="9"/>
  <c r="AQ495" i="9"/>
  <c r="AR495" i="9"/>
  <c r="AS495" i="9"/>
  <c r="AT495" i="9"/>
  <c r="AU495" i="9"/>
  <c r="AV495" i="9"/>
  <c r="AW495" i="9"/>
  <c r="AX495" i="9"/>
  <c r="AY495" i="9"/>
  <c r="AZ495" i="9"/>
  <c r="BA495" i="9"/>
  <c r="BB495" i="9"/>
  <c r="BC495" i="9"/>
  <c r="BD495" i="9"/>
  <c r="BE495" i="9"/>
  <c r="BF495" i="9"/>
  <c r="BG495" i="9"/>
  <c r="BH495" i="9"/>
  <c r="BI495" i="9"/>
  <c r="BJ495" i="9"/>
  <c r="BP495" i="9"/>
  <c r="BQ495" i="9"/>
  <c r="BR495" i="9"/>
  <c r="BS495" i="9"/>
  <c r="BT495" i="9"/>
  <c r="BU495" i="9"/>
  <c r="BV495" i="9"/>
  <c r="BW495" i="9"/>
  <c r="AA496" i="9"/>
  <c r="AB496" i="9"/>
  <c r="AC496" i="9"/>
  <c r="AD496" i="9"/>
  <c r="AE496" i="9"/>
  <c r="AF496" i="9"/>
  <c r="AG496" i="9"/>
  <c r="AH496" i="9"/>
  <c r="AI496" i="9"/>
  <c r="AJ496" i="9"/>
  <c r="AK496" i="9"/>
  <c r="AL496" i="9"/>
  <c r="AM496" i="9"/>
  <c r="AN496" i="9"/>
  <c r="AO496" i="9"/>
  <c r="AP496" i="9"/>
  <c r="AQ496" i="9"/>
  <c r="AR496" i="9"/>
  <c r="AS496" i="9"/>
  <c r="AT496" i="9"/>
  <c r="AU496" i="9"/>
  <c r="AV496" i="9"/>
  <c r="AW496" i="9"/>
  <c r="AX496" i="9"/>
  <c r="AY496" i="9"/>
  <c r="AZ496" i="9"/>
  <c r="BA496" i="9"/>
  <c r="BB496" i="9"/>
  <c r="BC496" i="9"/>
  <c r="BD496" i="9"/>
  <c r="BE496" i="9"/>
  <c r="BF496" i="9"/>
  <c r="BG496" i="9"/>
  <c r="BH496" i="9"/>
  <c r="BI496" i="9"/>
  <c r="BJ496" i="9"/>
  <c r="BP496" i="9"/>
  <c r="BQ496" i="9"/>
  <c r="BR496" i="9"/>
  <c r="BS496" i="9"/>
  <c r="BT496" i="9"/>
  <c r="BU496" i="9"/>
  <c r="BV496" i="9"/>
  <c r="BW496" i="9"/>
  <c r="V496" i="9"/>
  <c r="V495" i="9"/>
  <c r="V494" i="9"/>
  <c r="V493" i="9"/>
  <c r="V492" i="9"/>
  <c r="V491" i="9"/>
  <c r="V490" i="9"/>
  <c r="V489" i="9"/>
  <c r="V488" i="9"/>
  <c r="V487" i="9"/>
  <c r="V486" i="9"/>
  <c r="V485" i="9"/>
  <c r="V484" i="9"/>
  <c r="V483" i="9"/>
  <c r="V482" i="9"/>
  <c r="V481" i="9"/>
  <c r="V480" i="9"/>
  <c r="V479" i="9"/>
  <c r="V478" i="9"/>
  <c r="V477" i="9"/>
  <c r="CS412" i="9"/>
  <c r="BL412" i="9"/>
  <c r="CS393" i="9"/>
  <c r="BL393" i="9"/>
  <c r="CS374" i="9"/>
  <c r="BL374" i="9"/>
  <c r="CS355" i="9"/>
  <c r="BL355" i="9"/>
  <c r="CS336" i="9"/>
  <c r="BL336" i="9"/>
  <c r="CS317" i="9"/>
  <c r="BL317" i="9"/>
  <c r="CS298" i="9"/>
  <c r="BL298" i="9"/>
  <c r="CS279" i="9"/>
  <c r="BL279" i="9"/>
  <c r="CS260" i="9"/>
  <c r="BL260" i="9"/>
  <c r="CS241" i="9"/>
  <c r="BL241" i="9"/>
  <c r="CS222" i="9"/>
  <c r="BL222" i="9"/>
  <c r="CS203" i="9"/>
  <c r="BL203" i="9"/>
  <c r="CS184" i="9"/>
  <c r="BL184" i="9"/>
  <c r="CS165" i="9"/>
  <c r="BL165" i="9"/>
  <c r="CS146" i="9"/>
  <c r="BL146" i="9"/>
  <c r="CS127" i="9"/>
  <c r="BL127" i="9"/>
  <c r="CS108" i="9"/>
  <c r="BL108" i="9"/>
  <c r="CS89" i="9"/>
  <c r="BL89" i="9"/>
  <c r="CS70" i="9"/>
  <c r="BL70" i="9"/>
  <c r="CS54" i="9"/>
  <c r="CS50" i="9"/>
  <c r="CS51" i="9"/>
  <c r="BL51" i="9"/>
  <c r="CK23" i="9"/>
  <c r="BL1141" i="9" l="1"/>
  <c r="BL196" i="30" s="1"/>
  <c r="CM196" i="30" s="1"/>
  <c r="CE196" i="30" s="1"/>
  <c r="C125" i="13"/>
  <c r="EX125" i="13" s="1"/>
  <c r="C123" i="13"/>
  <c r="EX123" i="13" s="1"/>
  <c r="C119" i="13"/>
  <c r="EX119" i="13" s="1"/>
  <c r="C118" i="13"/>
  <c r="EX118" i="13" s="1"/>
  <c r="C117" i="13"/>
  <c r="EX117" i="13" s="1"/>
  <c r="C115" i="13"/>
  <c r="EX115" i="13" s="1"/>
  <c r="C114" i="13"/>
  <c r="EX114" i="13" s="1"/>
  <c r="C111" i="13"/>
  <c r="EX111" i="13" s="1"/>
  <c r="C83" i="13"/>
  <c r="C71" i="13"/>
  <c r="C57" i="13"/>
  <c r="C45" i="13"/>
  <c r="C32" i="13"/>
  <c r="EX32" i="13" s="1"/>
  <c r="C15" i="13"/>
  <c r="C14" i="13"/>
  <c r="EX14" i="13" s="1"/>
  <c r="EX9" i="13"/>
  <c r="EX10" i="13"/>
  <c r="EX11" i="13"/>
  <c r="EX17" i="13"/>
  <c r="EX8" i="13"/>
  <c r="EX9" i="33"/>
  <c r="EX10" i="33"/>
  <c r="EX11" i="33"/>
  <c r="EX12" i="33"/>
  <c r="EX13" i="33"/>
  <c r="EX14" i="33"/>
  <c r="EX15" i="33"/>
  <c r="EX16" i="33"/>
  <c r="EX17" i="33"/>
  <c r="EX18" i="33"/>
  <c r="EX19" i="33"/>
  <c r="EX20" i="33"/>
  <c r="EX21" i="33"/>
  <c r="EX22" i="33"/>
  <c r="EX23" i="33"/>
  <c r="EX24" i="33"/>
  <c r="EX25" i="33"/>
  <c r="EX26" i="33"/>
  <c r="EX27" i="33"/>
  <c r="EX28" i="33"/>
  <c r="EX29" i="33"/>
  <c r="EX30" i="33"/>
  <c r="EX31" i="33"/>
  <c r="EX32" i="33"/>
  <c r="EX33" i="33"/>
  <c r="EX34" i="33"/>
  <c r="EX35" i="33"/>
  <c r="EX36" i="33"/>
  <c r="EX37" i="33"/>
  <c r="EX38" i="33"/>
  <c r="EX39" i="33"/>
  <c r="EX40" i="33"/>
  <c r="EX41" i="33"/>
  <c r="EX42" i="33"/>
  <c r="EX43" i="33"/>
  <c r="EX44" i="33"/>
  <c r="EX45" i="33"/>
  <c r="EX46" i="33"/>
  <c r="EX47" i="33"/>
  <c r="EX48" i="33"/>
  <c r="EX49" i="33"/>
  <c r="EX50" i="33"/>
  <c r="EX51" i="33"/>
  <c r="EX67" i="33"/>
  <c r="EX69" i="33"/>
  <c r="EX82" i="33"/>
  <c r="EX92" i="33"/>
  <c r="EX96" i="33"/>
  <c r="EX98" i="33"/>
  <c r="EX101" i="33"/>
  <c r="EX102" i="33"/>
  <c r="EX8" i="33"/>
  <c r="EX43" i="12"/>
  <c r="EX44" i="12"/>
  <c r="EX45" i="12"/>
  <c r="EX41" i="12"/>
  <c r="EX42" i="12"/>
  <c r="EX47" i="12"/>
  <c r="EX48" i="12"/>
  <c r="EX49" i="12"/>
  <c r="EX50" i="12"/>
  <c r="EX51" i="12"/>
  <c r="EX52" i="12"/>
  <c r="EX53" i="12"/>
  <c r="EX54" i="12"/>
  <c r="EX55" i="12"/>
  <c r="EX56" i="12"/>
  <c r="EX57" i="12"/>
  <c r="EX58" i="12"/>
  <c r="EX59" i="12"/>
  <c r="EX60" i="12"/>
  <c r="EX36" i="12"/>
  <c r="EX20" i="12"/>
  <c r="EX21" i="12"/>
  <c r="EX22" i="12"/>
  <c r="EX23" i="12"/>
  <c r="EX25" i="12"/>
  <c r="EX26" i="12"/>
  <c r="EX27" i="12"/>
  <c r="EX28" i="12"/>
  <c r="EX29" i="12"/>
  <c r="EX30" i="12"/>
  <c r="EX31" i="12"/>
  <c r="EX32" i="12"/>
  <c r="EX62" i="12"/>
  <c r="EX61" i="12"/>
  <c r="EX35" i="12"/>
  <c r="EX34" i="12"/>
  <c r="EX33" i="12"/>
  <c r="EX13" i="12"/>
  <c r="EX12" i="12"/>
  <c r="EX11" i="12"/>
  <c r="EX10" i="12"/>
  <c r="EX9" i="12"/>
  <c r="EX8" i="12"/>
  <c r="EX68" i="32"/>
  <c r="EX67" i="32"/>
  <c r="EX66" i="32"/>
  <c r="EX65" i="32"/>
  <c r="EX64" i="32"/>
  <c r="EX63" i="32"/>
  <c r="EX62" i="32"/>
  <c r="EX61" i="32"/>
  <c r="EX60" i="32"/>
  <c r="EX59" i="32"/>
  <c r="EX58" i="32"/>
  <c r="EX57" i="32"/>
  <c r="EX54" i="32"/>
  <c r="EX55" i="32"/>
  <c r="EX50" i="32"/>
  <c r="EX49" i="32"/>
  <c r="EX48" i="32"/>
  <c r="EX47" i="32"/>
  <c r="EX46" i="32"/>
  <c r="EX44" i="32"/>
  <c r="EX42" i="32"/>
  <c r="EX40" i="32"/>
  <c r="EX39" i="32"/>
  <c r="EX38" i="32"/>
  <c r="EX36" i="32"/>
  <c r="EX35" i="32"/>
  <c r="EX32" i="32"/>
  <c r="EX34" i="32"/>
  <c r="EX30" i="32"/>
  <c r="EX29" i="32"/>
  <c r="EX26" i="32"/>
  <c r="EX25" i="32"/>
  <c r="EX23" i="32"/>
  <c r="EX22" i="32"/>
  <c r="EX20" i="32"/>
  <c r="EX17" i="32"/>
  <c r="EX15" i="32"/>
  <c r="EX14" i="32"/>
  <c r="EX13" i="32"/>
  <c r="EX12" i="32"/>
  <c r="EX11" i="32"/>
  <c r="EX10" i="32"/>
  <c r="EX9" i="32"/>
  <c r="EX8" i="32"/>
  <c r="EX9" i="28"/>
  <c r="EX11" i="28"/>
  <c r="EX16" i="28"/>
  <c r="EX17" i="28"/>
  <c r="EX18" i="28"/>
  <c r="EX19" i="28"/>
  <c r="EX20" i="28"/>
  <c r="EX21" i="28"/>
  <c r="EX22" i="28"/>
  <c r="EX23" i="28"/>
  <c r="EX24" i="28"/>
  <c r="EX25" i="28"/>
  <c r="EX26" i="28"/>
  <c r="EX27" i="28"/>
  <c r="EX28" i="28"/>
  <c r="EX29" i="28"/>
  <c r="EX8" i="28"/>
  <c r="EX9" i="37"/>
  <c r="EX10" i="37"/>
  <c r="EX11" i="37"/>
  <c r="EX12" i="37"/>
  <c r="EX13" i="37"/>
  <c r="EX14" i="37"/>
  <c r="EX15" i="37"/>
  <c r="EX16" i="37"/>
  <c r="EX17" i="37"/>
  <c r="EX18" i="37"/>
  <c r="EX19" i="37"/>
  <c r="EX20" i="37"/>
  <c r="EX21" i="37"/>
  <c r="EX22" i="37"/>
  <c r="EX23" i="37"/>
  <c r="EX24" i="37"/>
  <c r="EX25" i="37"/>
  <c r="EX26" i="37"/>
  <c r="EX8" i="37"/>
  <c r="EX9" i="1"/>
  <c r="EX10" i="1"/>
  <c r="EX12" i="1"/>
  <c r="EX13" i="1"/>
  <c r="EX17" i="1"/>
  <c r="EX18" i="1"/>
  <c r="EX24" i="1"/>
  <c r="EX25" i="1"/>
  <c r="EX26" i="1"/>
  <c r="EX30" i="1"/>
  <c r="EX31" i="1"/>
  <c r="EX33" i="1"/>
  <c r="EX34" i="1"/>
  <c r="EX35" i="1"/>
  <c r="EX39" i="1"/>
  <c r="EX40" i="1"/>
  <c r="EX45" i="1"/>
  <c r="EX46" i="1"/>
  <c r="EX47" i="1"/>
  <c r="EX51" i="1"/>
  <c r="EX52" i="1"/>
  <c r="EX56" i="1"/>
  <c r="EX57" i="1"/>
  <c r="EX58" i="1"/>
  <c r="EX62" i="1"/>
  <c r="EX63" i="1"/>
  <c r="EX70" i="1"/>
  <c r="EX81" i="1"/>
  <c r="EX82" i="1"/>
  <c r="EX83" i="1"/>
  <c r="EX85" i="1"/>
  <c r="EX86" i="1"/>
  <c r="EX95" i="1"/>
  <c r="EX96" i="1"/>
  <c r="EX97" i="1"/>
  <c r="EX99" i="1"/>
  <c r="EX100" i="1"/>
  <c r="EX104" i="1"/>
  <c r="EX105" i="1"/>
  <c r="EX106" i="1"/>
  <c r="EX108" i="1"/>
  <c r="EX109" i="1"/>
  <c r="EX114" i="1"/>
  <c r="EX118" i="1"/>
  <c r="EX120" i="1"/>
  <c r="EX121" i="1"/>
  <c r="EX131" i="1"/>
  <c r="EX132" i="1"/>
  <c r="EX133" i="1"/>
  <c r="EX135" i="1"/>
  <c r="EX136" i="1"/>
  <c r="EX148" i="1"/>
  <c r="EX149" i="1"/>
  <c r="EX150" i="1"/>
  <c r="EX152" i="1"/>
  <c r="EX153" i="1"/>
  <c r="EX157" i="1"/>
  <c r="EX159" i="1"/>
  <c r="EX161" i="1"/>
  <c r="EX164" i="1"/>
  <c r="EX166" i="1"/>
  <c r="EX167" i="1"/>
  <c r="EX174" i="1"/>
  <c r="EX176" i="1"/>
  <c r="EX177" i="1"/>
  <c r="EX184" i="1"/>
  <c r="EX186" i="1"/>
  <c r="EX190" i="1"/>
  <c r="EX191" i="1"/>
  <c r="EX192" i="1"/>
  <c r="EX200" i="1"/>
  <c r="EX201" i="1"/>
  <c r="EX202" i="1"/>
  <c r="EX203" i="1"/>
  <c r="EX204" i="1"/>
  <c r="EX8" i="1"/>
  <c r="EX199" i="20"/>
  <c r="C193" i="20"/>
  <c r="C197" i="20"/>
  <c r="C196" i="20"/>
  <c r="C195" i="20"/>
  <c r="C194" i="20"/>
  <c r="EX9" i="20"/>
  <c r="EX10" i="20"/>
  <c r="EX11" i="20"/>
  <c r="EX12" i="20"/>
  <c r="EX13" i="20"/>
  <c r="EX14" i="20"/>
  <c r="EX15" i="20"/>
  <c r="EX16" i="20"/>
  <c r="EX17" i="20"/>
  <c r="EX18" i="20"/>
  <c r="EX19" i="20"/>
  <c r="EX20" i="20"/>
  <c r="EX21" i="20"/>
  <c r="EX22" i="20"/>
  <c r="EX23" i="20"/>
  <c r="EX24" i="20"/>
  <c r="EX25" i="20"/>
  <c r="EX26" i="20"/>
  <c r="EX27" i="20"/>
  <c r="EX28" i="20"/>
  <c r="EX29" i="20"/>
  <c r="EX30" i="20"/>
  <c r="EX31" i="20"/>
  <c r="EX32" i="20"/>
  <c r="EX33" i="20"/>
  <c r="EX34" i="20"/>
  <c r="EX35" i="20"/>
  <c r="EX36" i="20"/>
  <c r="EX37" i="20"/>
  <c r="EX38" i="20"/>
  <c r="EX39" i="20"/>
  <c r="EX40" i="20"/>
  <c r="EX41" i="20"/>
  <c r="EX42" i="20"/>
  <c r="EX43" i="20"/>
  <c r="EX44" i="20"/>
  <c r="EX45" i="20"/>
  <c r="EX46" i="20"/>
  <c r="EX47" i="20"/>
  <c r="EX48" i="20"/>
  <c r="EX49" i="20"/>
  <c r="EX50" i="20"/>
  <c r="EX51" i="20"/>
  <c r="EX52" i="20"/>
  <c r="EX53" i="20"/>
  <c r="EX54" i="20"/>
  <c r="EX55" i="20"/>
  <c r="EX56" i="20"/>
  <c r="EX57" i="20"/>
  <c r="EX58" i="20"/>
  <c r="EX59" i="20"/>
  <c r="EX60" i="20"/>
  <c r="EX61" i="20"/>
  <c r="EX62" i="20"/>
  <c r="EX63" i="20"/>
  <c r="EX64" i="20"/>
  <c r="EX65" i="20"/>
  <c r="EX66" i="20"/>
  <c r="EX67" i="20"/>
  <c r="EX68" i="20"/>
  <c r="EX70" i="20"/>
  <c r="EX71" i="20"/>
  <c r="EX72" i="20"/>
  <c r="EX73" i="20"/>
  <c r="EX74" i="20"/>
  <c r="EX75" i="20"/>
  <c r="EX76" i="20"/>
  <c r="EX81" i="20"/>
  <c r="EX82" i="20"/>
  <c r="EX83" i="20"/>
  <c r="EX84" i="20"/>
  <c r="EX85" i="20"/>
  <c r="EX86" i="20"/>
  <c r="EX87" i="20"/>
  <c r="EX88" i="20"/>
  <c r="EX89" i="20"/>
  <c r="EX90" i="20"/>
  <c r="EX91" i="20"/>
  <c r="EX92" i="20"/>
  <c r="EX93" i="20"/>
  <c r="EX94" i="20"/>
  <c r="EX95" i="20"/>
  <c r="EX96" i="20"/>
  <c r="EX97" i="20"/>
  <c r="EX98" i="20"/>
  <c r="EX99" i="20"/>
  <c r="EX100" i="20"/>
  <c r="EX101" i="20"/>
  <c r="EX102" i="20"/>
  <c r="EX103" i="20"/>
  <c r="EX182" i="20"/>
  <c r="EX104" i="20"/>
  <c r="EX105" i="20"/>
  <c r="EX106" i="20"/>
  <c r="EX107" i="20"/>
  <c r="EX108" i="20"/>
  <c r="EX109" i="20"/>
  <c r="EX110" i="20"/>
  <c r="EX111" i="20"/>
  <c r="EX77" i="20"/>
  <c r="EX113" i="20"/>
  <c r="EX114" i="20"/>
  <c r="EX115" i="20"/>
  <c r="EX116" i="20"/>
  <c r="EX117" i="20"/>
  <c r="EX118" i="20"/>
  <c r="EX119" i="20"/>
  <c r="EX120" i="20"/>
  <c r="EX121" i="20"/>
  <c r="EX122" i="20"/>
  <c r="EX123" i="20"/>
  <c r="EX124" i="20"/>
  <c r="EX125" i="20"/>
  <c r="EX126" i="20"/>
  <c r="EX127" i="20"/>
  <c r="EX128" i="20"/>
  <c r="EX129" i="20"/>
  <c r="EX130" i="20"/>
  <c r="EX131" i="20"/>
  <c r="EX132" i="20"/>
  <c r="EX133" i="20"/>
  <c r="EX134" i="20"/>
  <c r="EX135" i="20"/>
  <c r="EX136" i="20"/>
  <c r="EX137" i="20"/>
  <c r="EX138" i="20"/>
  <c r="EX139" i="20"/>
  <c r="EX140" i="20"/>
  <c r="EX141" i="20"/>
  <c r="EX142" i="20"/>
  <c r="EX143" i="20"/>
  <c r="EX144" i="20"/>
  <c r="EX145" i="20"/>
  <c r="EX146" i="20"/>
  <c r="EX147" i="20"/>
  <c r="EX148" i="20"/>
  <c r="EX149" i="20"/>
  <c r="EX150" i="20"/>
  <c r="EX151" i="20"/>
  <c r="EX152" i="20"/>
  <c r="EX153" i="20"/>
  <c r="EX154" i="20"/>
  <c r="EX155" i="20"/>
  <c r="EX156" i="20"/>
  <c r="EX157" i="20"/>
  <c r="EX158" i="20"/>
  <c r="EX159" i="20"/>
  <c r="EX160" i="20"/>
  <c r="EX161" i="20"/>
  <c r="EX162" i="20"/>
  <c r="EX163" i="20"/>
  <c r="EX164" i="20"/>
  <c r="EX165" i="20"/>
  <c r="EX166" i="20"/>
  <c r="EX167" i="20"/>
  <c r="EX168" i="20"/>
  <c r="EX169" i="20"/>
  <c r="EX170" i="20"/>
  <c r="EX171" i="20"/>
  <c r="EX172" i="20"/>
  <c r="EX173" i="20"/>
  <c r="EX174" i="20"/>
  <c r="EX175" i="20"/>
  <c r="EX176" i="20"/>
  <c r="EX177" i="20"/>
  <c r="EX178" i="20"/>
  <c r="EX179" i="20"/>
  <c r="EX180" i="20"/>
  <c r="EX181" i="20"/>
  <c r="EX183" i="20"/>
  <c r="EX184" i="20"/>
  <c r="EX185" i="20"/>
  <c r="EX186" i="20"/>
  <c r="EX187" i="20"/>
  <c r="EX188" i="20"/>
  <c r="EX189" i="20"/>
  <c r="EX190" i="20"/>
  <c r="EX191" i="20"/>
  <c r="EX192" i="20"/>
  <c r="EX200" i="20"/>
  <c r="EX201" i="20"/>
  <c r="EX202" i="20"/>
  <c r="EX203" i="20"/>
  <c r="EX204" i="20"/>
  <c r="EX8" i="20"/>
  <c r="EX97" i="22"/>
  <c r="EX98" i="22"/>
  <c r="EX99" i="22"/>
  <c r="EX100" i="22"/>
  <c r="EX101" i="22"/>
  <c r="EX102" i="22"/>
  <c r="EX103" i="22"/>
  <c r="EX104" i="22"/>
  <c r="EX105" i="22"/>
  <c r="EX106" i="22"/>
  <c r="EX107" i="22"/>
  <c r="EX108" i="22"/>
  <c r="EX109" i="22"/>
  <c r="EX110" i="22"/>
  <c r="EX111" i="22"/>
  <c r="EX112" i="22"/>
  <c r="EX113" i="22"/>
  <c r="EX114" i="22"/>
  <c r="EX115" i="22"/>
  <c r="EX116" i="22"/>
  <c r="EX117" i="22"/>
  <c r="EX118" i="22"/>
  <c r="EX119" i="22"/>
  <c r="EX120" i="22"/>
  <c r="EX121" i="22"/>
  <c r="EX122" i="22"/>
  <c r="EX123" i="22"/>
  <c r="EX124" i="22"/>
  <c r="EX96" i="22"/>
  <c r="EX181" i="22"/>
  <c r="EX180" i="22"/>
  <c r="EX95" i="22"/>
  <c r="EX94" i="22"/>
  <c r="EX93" i="22"/>
  <c r="EX37" i="22"/>
  <c r="EX36" i="22"/>
  <c r="EX35" i="22"/>
  <c r="EX34" i="22"/>
  <c r="EX33" i="22"/>
  <c r="EX32" i="22"/>
  <c r="EX31" i="22"/>
  <c r="EX30" i="22"/>
  <c r="EX29" i="22"/>
  <c r="EX28" i="22"/>
  <c r="EX27" i="22"/>
  <c r="EX26" i="22"/>
  <c r="EX25" i="22"/>
  <c r="EX24" i="22"/>
  <c r="EX23" i="22"/>
  <c r="EX22" i="22"/>
  <c r="EX21" i="22"/>
  <c r="EX20" i="22"/>
  <c r="EX19" i="22"/>
  <c r="EX18" i="22"/>
  <c r="EX17" i="22"/>
  <c r="EX16" i="22"/>
  <c r="EX15" i="22"/>
  <c r="EX14" i="22"/>
  <c r="EX13" i="22"/>
  <c r="EX12" i="22"/>
  <c r="EX11" i="22"/>
  <c r="EX10" i="22"/>
  <c r="EX9" i="22"/>
  <c r="EX8" i="22"/>
  <c r="EX147" i="30" l="1"/>
  <c r="EX211" i="30"/>
  <c r="EX209" i="30"/>
  <c r="EX208" i="30"/>
  <c r="EX207" i="30"/>
  <c r="EX206" i="30"/>
  <c r="EX205" i="30"/>
  <c r="EX204" i="30"/>
  <c r="EX203" i="30"/>
  <c r="EX201" i="30"/>
  <c r="EX199" i="30"/>
  <c r="EX198" i="30"/>
  <c r="EX197" i="30"/>
  <c r="EX195" i="30"/>
  <c r="EX194" i="30"/>
  <c r="EX193" i="30"/>
  <c r="EX192" i="30"/>
  <c r="EX191" i="30"/>
  <c r="EX190" i="30"/>
  <c r="EX189" i="30"/>
  <c r="EX188" i="30"/>
  <c r="EX186" i="30"/>
  <c r="EX185" i="30"/>
  <c r="EX184" i="30"/>
  <c r="EX183" i="30"/>
  <c r="EX182" i="30"/>
  <c r="EX181" i="30"/>
  <c r="EX180" i="30"/>
  <c r="EX179" i="30"/>
  <c r="EX178" i="30"/>
  <c r="EX177" i="30"/>
  <c r="EX176" i="30"/>
  <c r="EX175" i="30"/>
  <c r="EX174" i="30"/>
  <c r="EX173" i="30"/>
  <c r="EX202" i="30"/>
  <c r="EX172" i="30"/>
  <c r="EX171" i="30"/>
  <c r="EX163" i="30"/>
  <c r="EX170" i="30"/>
  <c r="EX169" i="30"/>
  <c r="EX187" i="30"/>
  <c r="EX168" i="30"/>
  <c r="EX167" i="30"/>
  <c r="EX162" i="30"/>
  <c r="EX161" i="30"/>
  <c r="EX159" i="30"/>
  <c r="EX166" i="30"/>
  <c r="EX165" i="30"/>
  <c r="EX164" i="30"/>
  <c r="EX160" i="30"/>
  <c r="EX158" i="30"/>
  <c r="EX157" i="30"/>
  <c r="EX156" i="30"/>
  <c r="EX155" i="30"/>
  <c r="EX154" i="30"/>
  <c r="EX153" i="30"/>
  <c r="EX152" i="30"/>
  <c r="EX151" i="30"/>
  <c r="EX150" i="30"/>
  <c r="EX149" i="30"/>
  <c r="EX148" i="30"/>
  <c r="EX146" i="30"/>
  <c r="EX145" i="30"/>
  <c r="EX143" i="30"/>
  <c r="EX142" i="30"/>
  <c r="EX141" i="30"/>
  <c r="EX140" i="30"/>
  <c r="EX139" i="30"/>
  <c r="EX138" i="30"/>
  <c r="EX137" i="30"/>
  <c r="EX135" i="30"/>
  <c r="EX134" i="30"/>
  <c r="EX133" i="30"/>
  <c r="EX129" i="30"/>
  <c r="EX128" i="30"/>
  <c r="EX127" i="30"/>
  <c r="EX122" i="30"/>
  <c r="EX121" i="30"/>
  <c r="EX120" i="30"/>
  <c r="EX113" i="30"/>
  <c r="EX112" i="30"/>
  <c r="EX111" i="30"/>
  <c r="EX110" i="30"/>
  <c r="EX109" i="30"/>
  <c r="EX108" i="30"/>
  <c r="EX107" i="30"/>
  <c r="EX88" i="30"/>
  <c r="EX87" i="30"/>
  <c r="EX86" i="30"/>
  <c r="EX75" i="30"/>
  <c r="EX74" i="30"/>
  <c r="EX73" i="30"/>
  <c r="EX65" i="30"/>
  <c r="EX64" i="30"/>
  <c r="EX63" i="30"/>
  <c r="EX62" i="30"/>
  <c r="EX60" i="30"/>
  <c r="EX58" i="30"/>
  <c r="EX57" i="30"/>
  <c r="EX56" i="30"/>
  <c r="EX54" i="30"/>
  <c r="EX47" i="30"/>
  <c r="EX45" i="30"/>
  <c r="EX38" i="30"/>
  <c r="EX37" i="30"/>
  <c r="EX36" i="30"/>
  <c r="EX32" i="30"/>
  <c r="EX30" i="30"/>
  <c r="EX25" i="30"/>
  <c r="EX13" i="30"/>
  <c r="EX12" i="30"/>
  <c r="EX11" i="30"/>
  <c r="EX10" i="30"/>
  <c r="EX9" i="30"/>
  <c r="EX8" i="30"/>
  <c r="EX44" i="16" l="1"/>
  <c r="EX43" i="16"/>
  <c r="EX42" i="16"/>
  <c r="EX63" i="16"/>
  <c r="EX58" i="16"/>
  <c r="EX59" i="16"/>
  <c r="EX60" i="16"/>
  <c r="EX61" i="16"/>
  <c r="EX62" i="16"/>
  <c r="EX57" i="16"/>
  <c r="EX38" i="16"/>
  <c r="EX39" i="16"/>
  <c r="EX40" i="16"/>
  <c r="EX41" i="16"/>
  <c r="EX37" i="16"/>
  <c r="EX9" i="16"/>
  <c r="EX10" i="16"/>
  <c r="EX11" i="16"/>
  <c r="EX12" i="16"/>
  <c r="EX13" i="16"/>
  <c r="EX14" i="16"/>
  <c r="EX15" i="16"/>
  <c r="EX16" i="16"/>
  <c r="EX17" i="16"/>
  <c r="EX18" i="16"/>
  <c r="EX19" i="16"/>
  <c r="EX20" i="16"/>
  <c r="EX21" i="16"/>
  <c r="EX22" i="16"/>
  <c r="EX23" i="16"/>
  <c r="EX24" i="16"/>
  <c r="EX25" i="16"/>
  <c r="EX26" i="16"/>
  <c r="EX27" i="16"/>
  <c r="EX28" i="16"/>
  <c r="EX29" i="16"/>
  <c r="EX30" i="16"/>
  <c r="EX31" i="16"/>
  <c r="EX32" i="16"/>
  <c r="EX33" i="16"/>
  <c r="EX34" i="16"/>
  <c r="EX35" i="16"/>
  <c r="EX36" i="16"/>
  <c r="EX45" i="16"/>
  <c r="EX46" i="16"/>
  <c r="EX47" i="16"/>
  <c r="EX48" i="16"/>
  <c r="EX49" i="16"/>
  <c r="EX50" i="16"/>
  <c r="EX51" i="16"/>
  <c r="EX52" i="16"/>
  <c r="EX53" i="16"/>
  <c r="EX54" i="16"/>
  <c r="EX55" i="16"/>
  <c r="EX56" i="16"/>
  <c r="EX64" i="16"/>
  <c r="EX65" i="16"/>
  <c r="EX66" i="16"/>
  <c r="EX67" i="16"/>
  <c r="EX68" i="16"/>
  <c r="EX69" i="16"/>
  <c r="EX70" i="16"/>
  <c r="EX71" i="16"/>
  <c r="EX72" i="16"/>
  <c r="EX73" i="16"/>
  <c r="EX74" i="16"/>
  <c r="EX75" i="16"/>
  <c r="EX76" i="16"/>
  <c r="EX77" i="16"/>
  <c r="EX78" i="16"/>
  <c r="EX79" i="16"/>
  <c r="EX80" i="16"/>
  <c r="EX81" i="16"/>
  <c r="EX82" i="16"/>
  <c r="EX83" i="16"/>
  <c r="EX8" i="16"/>
  <c r="EX179" i="26"/>
  <c r="EX180" i="26"/>
  <c r="EX181" i="26"/>
  <c r="EX182" i="26"/>
  <c r="EX183" i="26"/>
  <c r="EX184" i="26"/>
  <c r="EX185" i="26"/>
  <c r="EX186" i="26"/>
  <c r="EX187" i="26"/>
  <c r="EX188" i="26"/>
  <c r="EX189" i="26"/>
  <c r="EX190" i="26"/>
  <c r="EX191" i="26"/>
  <c r="EX192" i="26"/>
  <c r="EX193" i="26"/>
  <c r="EX178" i="26"/>
  <c r="EX155" i="26"/>
  <c r="EX156" i="26"/>
  <c r="EX157" i="26"/>
  <c r="EX158" i="26"/>
  <c r="EX159" i="26"/>
  <c r="EX160" i="26"/>
  <c r="EX161" i="26"/>
  <c r="EX162" i="26"/>
  <c r="EX163" i="26"/>
  <c r="EX164" i="26"/>
  <c r="EX165" i="26"/>
  <c r="EX166" i="26"/>
  <c r="EX167" i="26"/>
  <c r="EX168" i="26"/>
  <c r="EX154" i="26"/>
  <c r="EX131" i="26"/>
  <c r="EX132" i="26"/>
  <c r="EX133" i="26"/>
  <c r="EX134" i="26"/>
  <c r="EX135" i="26"/>
  <c r="EX136" i="26"/>
  <c r="EX137" i="26"/>
  <c r="EX138" i="26"/>
  <c r="EX139" i="26"/>
  <c r="EX140" i="26"/>
  <c r="EX141" i="26"/>
  <c r="EX142" i="26"/>
  <c r="EX143" i="26"/>
  <c r="EX144" i="26"/>
  <c r="EX130" i="26"/>
  <c r="EX105" i="26"/>
  <c r="EX106" i="26"/>
  <c r="EX107" i="26"/>
  <c r="EX108" i="26"/>
  <c r="EX109" i="26"/>
  <c r="EX110" i="26"/>
  <c r="EX111" i="26"/>
  <c r="EX112" i="26"/>
  <c r="EX113" i="26"/>
  <c r="EX114" i="26"/>
  <c r="EX115" i="26"/>
  <c r="EX116" i="26"/>
  <c r="EX117" i="26"/>
  <c r="EX118" i="26"/>
  <c r="EX104" i="26"/>
  <c r="EX79" i="26"/>
  <c r="EX80" i="26"/>
  <c r="EX81" i="26"/>
  <c r="EX82" i="26"/>
  <c r="EX83" i="26"/>
  <c r="EX84" i="26"/>
  <c r="EX85" i="26"/>
  <c r="EX86" i="26"/>
  <c r="EX87" i="26"/>
  <c r="EX88" i="26"/>
  <c r="EX89" i="26"/>
  <c r="EX90" i="26"/>
  <c r="EX91" i="26"/>
  <c r="EX92" i="26"/>
  <c r="EX78" i="26"/>
  <c r="EX54" i="26"/>
  <c r="EX55" i="26"/>
  <c r="EX56" i="26"/>
  <c r="EX57" i="26"/>
  <c r="EX58" i="26"/>
  <c r="EX59" i="26"/>
  <c r="EX60" i="26"/>
  <c r="EX61" i="26"/>
  <c r="EX62" i="26"/>
  <c r="EX63" i="26"/>
  <c r="EX64" i="26"/>
  <c r="EX65" i="26"/>
  <c r="EX66" i="26"/>
  <c r="EX67" i="26"/>
  <c r="EX53" i="26"/>
  <c r="EX14" i="26"/>
  <c r="EX15" i="26"/>
  <c r="EX16" i="26"/>
  <c r="EX17" i="26"/>
  <c r="EX18" i="26"/>
  <c r="EX19" i="26"/>
  <c r="EX20" i="26"/>
  <c r="EX21" i="26"/>
  <c r="EX22" i="26"/>
  <c r="EX23" i="26"/>
  <c r="EX24" i="26"/>
  <c r="EX25" i="26"/>
  <c r="EX26" i="26"/>
  <c r="EX27" i="26"/>
  <c r="EX13" i="26"/>
  <c r="EX319" i="26"/>
  <c r="EX317" i="26"/>
  <c r="EX313" i="26"/>
  <c r="EX311" i="26"/>
  <c r="EX307" i="26"/>
  <c r="EX305" i="26"/>
  <c r="EX288" i="26"/>
  <c r="EX289" i="26"/>
  <c r="EX281" i="26"/>
  <c r="EX9" i="26"/>
  <c r="EX10" i="26"/>
  <c r="EX11" i="26"/>
  <c r="EX12" i="26"/>
  <c r="EX28" i="26"/>
  <c r="EX29" i="26"/>
  <c r="EX30" i="26"/>
  <c r="EX31" i="26"/>
  <c r="EX32" i="26"/>
  <c r="EX33" i="26"/>
  <c r="EX34" i="26"/>
  <c r="EX35" i="26"/>
  <c r="EX36" i="26"/>
  <c r="EX37" i="26"/>
  <c r="EX38" i="26"/>
  <c r="EX39" i="26"/>
  <c r="EX40" i="26"/>
  <c r="EX41" i="26"/>
  <c r="EX42" i="26"/>
  <c r="EX43" i="26"/>
  <c r="EX44" i="26"/>
  <c r="EX45" i="26"/>
  <c r="EX46" i="26"/>
  <c r="EX47" i="26"/>
  <c r="EX48" i="26"/>
  <c r="EX49" i="26"/>
  <c r="EX50" i="26"/>
  <c r="EX51" i="26"/>
  <c r="EX52" i="26"/>
  <c r="EX68" i="26"/>
  <c r="EX69" i="26"/>
  <c r="EX70" i="26"/>
  <c r="EX71" i="26"/>
  <c r="EX72" i="26"/>
  <c r="EX73" i="26"/>
  <c r="EX74" i="26"/>
  <c r="EX75" i="26"/>
  <c r="EX76" i="26"/>
  <c r="EX77" i="26"/>
  <c r="EX93" i="26"/>
  <c r="EX94" i="26"/>
  <c r="EX95" i="26"/>
  <c r="EX96" i="26"/>
  <c r="EX97" i="26"/>
  <c r="EX98" i="26"/>
  <c r="EX99" i="26"/>
  <c r="EX100" i="26"/>
  <c r="EX101" i="26"/>
  <c r="EX102" i="26"/>
  <c r="EX103" i="26"/>
  <c r="EX119" i="26"/>
  <c r="EX120" i="26"/>
  <c r="EX121" i="26"/>
  <c r="EX122" i="26"/>
  <c r="EX123" i="26"/>
  <c r="EX124" i="26"/>
  <c r="EX125" i="26"/>
  <c r="EX126" i="26"/>
  <c r="EX127" i="26"/>
  <c r="EX128" i="26"/>
  <c r="EX129" i="26"/>
  <c r="EX145" i="26"/>
  <c r="EX146" i="26"/>
  <c r="EX147" i="26"/>
  <c r="EX148" i="26"/>
  <c r="EX149" i="26"/>
  <c r="EX150" i="26"/>
  <c r="EX151" i="26"/>
  <c r="EX152" i="26"/>
  <c r="EX153" i="26"/>
  <c r="EX169" i="26"/>
  <c r="EX170" i="26"/>
  <c r="EX171" i="26"/>
  <c r="EX172" i="26"/>
  <c r="EX173" i="26"/>
  <c r="EX174" i="26"/>
  <c r="EX175" i="26"/>
  <c r="EX176" i="26"/>
  <c r="EX177" i="26"/>
  <c r="EX194" i="26"/>
  <c r="EX195" i="26"/>
  <c r="EX196" i="26"/>
  <c r="EX197" i="26"/>
  <c r="EX198" i="26"/>
  <c r="EX199" i="26"/>
  <c r="EX200" i="26"/>
  <c r="EX201" i="26"/>
  <c r="EX202" i="26"/>
  <c r="EX213" i="26"/>
  <c r="EX214" i="26"/>
  <c r="EX215" i="26"/>
  <c r="EX216" i="26"/>
  <c r="EX227" i="26"/>
  <c r="EX228" i="26"/>
  <c r="EX229" i="26"/>
  <c r="EX230" i="26"/>
  <c r="EX241" i="26"/>
  <c r="EX242" i="26"/>
  <c r="EX243" i="26"/>
  <c r="EX244" i="26"/>
  <c r="EX253" i="26"/>
  <c r="EX254" i="26"/>
  <c r="EX255" i="26"/>
  <c r="EX256" i="26"/>
  <c r="EX262" i="26"/>
  <c r="EX263" i="26"/>
  <c r="EX264" i="26"/>
  <c r="EX265" i="26"/>
  <c r="EX272" i="26"/>
  <c r="EX273" i="26"/>
  <c r="EX274" i="26"/>
  <c r="EX275" i="26"/>
  <c r="EX282" i="26"/>
  <c r="EX283" i="26"/>
  <c r="EX290" i="26"/>
  <c r="EX291" i="26"/>
  <c r="EX292" i="26"/>
  <c r="EX293" i="26"/>
  <c r="EX300" i="26"/>
  <c r="EX301" i="26"/>
  <c r="EX302" i="26"/>
  <c r="EX303" i="26"/>
  <c r="EX304" i="26"/>
  <c r="EX306" i="26"/>
  <c r="EX308" i="26"/>
  <c r="EX309" i="26"/>
  <c r="EX310" i="26"/>
  <c r="EX312" i="26"/>
  <c r="EX314" i="26"/>
  <c r="EX315" i="26"/>
  <c r="EX316" i="26"/>
  <c r="EX318" i="26"/>
  <c r="EX320" i="26"/>
  <c r="EX321" i="26"/>
  <c r="EX322" i="26"/>
  <c r="EX323" i="26"/>
  <c r="EX324" i="26"/>
  <c r="EX325" i="26"/>
  <c r="EX326" i="26"/>
  <c r="EX327" i="26"/>
  <c r="EX328" i="26"/>
  <c r="EX329" i="26"/>
  <c r="EX330" i="26"/>
  <c r="EX331" i="26"/>
  <c r="EX8" i="26"/>
  <c r="EX254" i="6"/>
  <c r="EX252" i="6"/>
  <c r="EX248" i="6"/>
  <c r="EX246" i="6"/>
  <c r="EX55" i="6"/>
  <c r="EX59" i="6"/>
  <c r="EX63" i="6"/>
  <c r="EX68" i="6"/>
  <c r="EX69" i="6"/>
  <c r="EX82" i="6"/>
  <c r="EX94" i="6"/>
  <c r="EX100" i="6"/>
  <c r="EX107" i="6"/>
  <c r="EX108" i="6"/>
  <c r="EX109" i="6"/>
  <c r="EX110" i="6"/>
  <c r="EX111" i="6"/>
  <c r="EX112" i="6"/>
  <c r="EX106" i="6"/>
  <c r="EX117" i="6"/>
  <c r="EX124" i="6"/>
  <c r="EX125" i="6"/>
  <c r="EX126" i="6"/>
  <c r="EX127" i="6"/>
  <c r="EX128" i="6"/>
  <c r="EX129" i="6"/>
  <c r="EX130" i="6"/>
  <c r="EX131" i="6"/>
  <c r="EX132" i="6"/>
  <c r="EX133" i="6"/>
  <c r="EX134" i="6"/>
  <c r="EX135" i="6"/>
  <c r="EX136" i="6"/>
  <c r="EX123" i="6"/>
  <c r="EX148" i="6"/>
  <c r="EX182" i="6"/>
  <c r="EX183" i="6"/>
  <c r="EX184" i="6"/>
  <c r="EX185" i="6"/>
  <c r="EX186" i="6"/>
  <c r="EX187" i="6"/>
  <c r="EX188" i="6"/>
  <c r="EX189" i="6"/>
  <c r="EX190" i="6"/>
  <c r="EX191" i="6"/>
  <c r="EX196" i="6"/>
  <c r="EX197" i="6"/>
  <c r="EX198" i="6"/>
  <c r="EX199" i="6"/>
  <c r="EX200" i="6"/>
  <c r="EX205" i="6"/>
  <c r="EX206" i="6"/>
  <c r="EX207" i="6"/>
  <c r="EX208" i="6"/>
  <c r="EX210" i="6"/>
  <c r="EX215" i="6"/>
  <c r="EX216" i="6"/>
  <c r="EX221" i="6"/>
  <c r="EX222" i="6"/>
  <c r="EX227" i="6"/>
  <c r="EX232" i="6"/>
  <c r="EX233" i="6"/>
  <c r="EX43" i="6"/>
  <c r="EX41" i="6"/>
  <c r="EX42" i="6"/>
  <c r="EX44" i="6"/>
  <c r="EX22" i="6"/>
  <c r="EX21" i="6"/>
  <c r="EX20" i="6"/>
  <c r="EX24" i="6"/>
  <c r="EX419" i="9"/>
  <c r="EX418" i="9"/>
  <c r="EX417" i="9"/>
  <c r="EX416" i="9"/>
  <c r="EX415" i="9"/>
  <c r="EX414" i="9"/>
  <c r="EX413" i="9"/>
  <c r="EX411" i="9"/>
  <c r="EX410" i="9"/>
  <c r="EX1081" i="9"/>
  <c r="EX1152" i="9"/>
  <c r="EX1151" i="9"/>
  <c r="EX1150" i="9"/>
  <c r="EX1149" i="9"/>
  <c r="EX1148" i="9"/>
  <c r="EX1131" i="9"/>
  <c r="EX1130" i="9"/>
  <c r="EX1125" i="9"/>
  <c r="EX1124" i="9"/>
  <c r="EX1143" i="9"/>
  <c r="EX1142" i="9"/>
  <c r="EX1101" i="9"/>
  <c r="EX1100" i="9"/>
  <c r="EX1095" i="9"/>
  <c r="EX1094" i="9"/>
  <c r="EX1089" i="9"/>
  <c r="EX1088" i="9"/>
  <c r="EX1083" i="9"/>
  <c r="EX1082" i="9"/>
  <c r="EX1080" i="9"/>
  <c r="EX1059" i="9"/>
  <c r="EX1058" i="9"/>
  <c r="EX1057" i="9"/>
  <c r="EX1056" i="9"/>
  <c r="EX1055" i="9"/>
  <c r="EX1054" i="9"/>
  <c r="EX1053" i="9"/>
  <c r="EX1052" i="9"/>
  <c r="EX1051" i="9"/>
  <c r="EX1050" i="9"/>
  <c r="EX1049" i="9"/>
  <c r="EX1048" i="9"/>
  <c r="EX1047" i="9"/>
  <c r="EX1046" i="9"/>
  <c r="EX1045" i="9"/>
  <c r="EX1044" i="9"/>
  <c r="EX1043" i="9"/>
  <c r="EX1042" i="9"/>
  <c r="EX1041" i="9"/>
  <c r="EX1040" i="9"/>
  <c r="EX1039" i="9"/>
  <c r="EX1038" i="9"/>
  <c r="EX1037" i="9"/>
  <c r="EX1036" i="9"/>
  <c r="EX1035" i="9"/>
  <c r="EX1034" i="9"/>
  <c r="EX1033" i="9"/>
  <c r="EX1032" i="9"/>
  <c r="EX1031" i="9"/>
  <c r="EX1030" i="9"/>
  <c r="EX1029" i="9"/>
  <c r="EX1028" i="9"/>
  <c r="EX1027" i="9"/>
  <c r="EX1026" i="9"/>
  <c r="EX1025" i="9"/>
  <c r="EX1024" i="9"/>
  <c r="EX1023" i="9"/>
  <c r="EX1022" i="9"/>
  <c r="EX1021" i="9"/>
  <c r="EX1020" i="9"/>
  <c r="EX1019" i="9"/>
  <c r="EX1018" i="9"/>
  <c r="EX1017" i="9"/>
  <c r="EX1016" i="9"/>
  <c r="EX1015" i="9"/>
  <c r="EX1014" i="9"/>
  <c r="EX1013" i="9"/>
  <c r="EX1012" i="9"/>
  <c r="EX1011" i="9"/>
  <c r="EX1010" i="9"/>
  <c r="EX1009" i="9"/>
  <c r="EX1008" i="9"/>
  <c r="EX1007" i="9"/>
  <c r="EX1006" i="9"/>
  <c r="EX1005" i="9"/>
  <c r="EX1004" i="9"/>
  <c r="EX1003" i="9"/>
  <c r="EX1002" i="9"/>
  <c r="EX1001" i="9"/>
  <c r="EX1000" i="9"/>
  <c r="EX999" i="9"/>
  <c r="EX998" i="9"/>
  <c r="EX997" i="9"/>
  <c r="EX996" i="9"/>
  <c r="EX995" i="9"/>
  <c r="EX994" i="9"/>
  <c r="EX993" i="9"/>
  <c r="EX992" i="9"/>
  <c r="EX991" i="9"/>
  <c r="EX990" i="9"/>
  <c r="EX989" i="9"/>
  <c r="EX988" i="9"/>
  <c r="EX987" i="9"/>
  <c r="EX986" i="9"/>
  <c r="EX985" i="9"/>
  <c r="EX984" i="9"/>
  <c r="EX983" i="9"/>
  <c r="EX982" i="9"/>
  <c r="EX981" i="9"/>
  <c r="EX980" i="9"/>
  <c r="EX979" i="9"/>
  <c r="EX978" i="9"/>
  <c r="EX977" i="9"/>
  <c r="EX976" i="9"/>
  <c r="EX975" i="9"/>
  <c r="EX974" i="9"/>
  <c r="EX973" i="9"/>
  <c r="EX972" i="9"/>
  <c r="EX971" i="9"/>
  <c r="EX970" i="9"/>
  <c r="EX969" i="9"/>
  <c r="EX968" i="9"/>
  <c r="EX967" i="9"/>
  <c r="EX966" i="9"/>
  <c r="EX965" i="9"/>
  <c r="EX944" i="9"/>
  <c r="EX943" i="9"/>
  <c r="EX942" i="9"/>
  <c r="EX941" i="9"/>
  <c r="EX940" i="9"/>
  <c r="EX939" i="9"/>
  <c r="EX938" i="9"/>
  <c r="EX937" i="9"/>
  <c r="EX936" i="9"/>
  <c r="EX935" i="9"/>
  <c r="EX934" i="9"/>
  <c r="EX933" i="9"/>
  <c r="EX932" i="9"/>
  <c r="EX931" i="9"/>
  <c r="EX930" i="9"/>
  <c r="EX929" i="9"/>
  <c r="EX928" i="9"/>
  <c r="EX927" i="9"/>
  <c r="EX926" i="9"/>
  <c r="EX925" i="9"/>
  <c r="EX924" i="9"/>
  <c r="EX923" i="9"/>
  <c r="EX922" i="9"/>
  <c r="EX921" i="9"/>
  <c r="EX920" i="9"/>
  <c r="EX919" i="9"/>
  <c r="EX918" i="9"/>
  <c r="EX917" i="9"/>
  <c r="EX916" i="9"/>
  <c r="EX915" i="9"/>
  <c r="EX914" i="9"/>
  <c r="EX913" i="9"/>
  <c r="EX912" i="9"/>
  <c r="EX911" i="9"/>
  <c r="EX910" i="9"/>
  <c r="EX909" i="9"/>
  <c r="EX908" i="9"/>
  <c r="EX907" i="9"/>
  <c r="EX906" i="9"/>
  <c r="EX905" i="9"/>
  <c r="EX904" i="9"/>
  <c r="EX903" i="9"/>
  <c r="EX902" i="9"/>
  <c r="EX901" i="9"/>
  <c r="EX900" i="9"/>
  <c r="EX899" i="9"/>
  <c r="EX898" i="9"/>
  <c r="EX897" i="9"/>
  <c r="EX896" i="9"/>
  <c r="EX895" i="9"/>
  <c r="EX894" i="9"/>
  <c r="EX873" i="9"/>
  <c r="EX872" i="9"/>
  <c r="EX871" i="9"/>
  <c r="EX850" i="9"/>
  <c r="EX849" i="9"/>
  <c r="EX848" i="9"/>
  <c r="EX827" i="9"/>
  <c r="EX826" i="9"/>
  <c r="EX825" i="9"/>
  <c r="EX824" i="9"/>
  <c r="EX823" i="9"/>
  <c r="EX822" i="9"/>
  <c r="EX821" i="9"/>
  <c r="EX820" i="9"/>
  <c r="EX819" i="9"/>
  <c r="EX818" i="9"/>
  <c r="EX817" i="9"/>
  <c r="EX816" i="9"/>
  <c r="EX815" i="9"/>
  <c r="EX814" i="9"/>
  <c r="EX813" i="9"/>
  <c r="EX812" i="9"/>
  <c r="EX811" i="9"/>
  <c r="EX810" i="9"/>
  <c r="EX809" i="9"/>
  <c r="EX808" i="9"/>
  <c r="EX807" i="9"/>
  <c r="EX806" i="9"/>
  <c r="EX805" i="9"/>
  <c r="EX804" i="9"/>
  <c r="EX803" i="9"/>
  <c r="EX802" i="9"/>
  <c r="EX801" i="9"/>
  <c r="EX800" i="9"/>
  <c r="EX799" i="9"/>
  <c r="EX798" i="9"/>
  <c r="EX797" i="9"/>
  <c r="EX796" i="9"/>
  <c r="EX795" i="9"/>
  <c r="EX794" i="9"/>
  <c r="EX793" i="9"/>
  <c r="EX792" i="9"/>
  <c r="EX791" i="9"/>
  <c r="EX790" i="9"/>
  <c r="EX789" i="9"/>
  <c r="EX788" i="9"/>
  <c r="EX787" i="9"/>
  <c r="EX786" i="9"/>
  <c r="EX785" i="9"/>
  <c r="EX784" i="9"/>
  <c r="EX783" i="9"/>
  <c r="EX782" i="9"/>
  <c r="EX781" i="9"/>
  <c r="EX780" i="9"/>
  <c r="EX779" i="9"/>
  <c r="EX778" i="9"/>
  <c r="EX777" i="9"/>
  <c r="EX776" i="9"/>
  <c r="EX775" i="9"/>
  <c r="EX774" i="9"/>
  <c r="EX773" i="9"/>
  <c r="EX772" i="9"/>
  <c r="EX771" i="9"/>
  <c r="EX770" i="9"/>
  <c r="EX769" i="9"/>
  <c r="EX768" i="9"/>
  <c r="EX767" i="9"/>
  <c r="EX766" i="9"/>
  <c r="EX765" i="9"/>
  <c r="EX764" i="9"/>
  <c r="EX763" i="9"/>
  <c r="EX762" i="9"/>
  <c r="EX761" i="9"/>
  <c r="EX760" i="9"/>
  <c r="EX759" i="9"/>
  <c r="EX758" i="9"/>
  <c r="EX757" i="9"/>
  <c r="EX756" i="9"/>
  <c r="EX755" i="9"/>
  <c r="EX754" i="9"/>
  <c r="EX753" i="9"/>
  <c r="EX752" i="9"/>
  <c r="EX751" i="9"/>
  <c r="EX750" i="9"/>
  <c r="EX749" i="9"/>
  <c r="EX748" i="9"/>
  <c r="EX747" i="9"/>
  <c r="EX746" i="9"/>
  <c r="EX745" i="9"/>
  <c r="EX744" i="9"/>
  <c r="EX743" i="9"/>
  <c r="EX742" i="9"/>
  <c r="EX741" i="9"/>
  <c r="EX740" i="9"/>
  <c r="EX739" i="9"/>
  <c r="EX738" i="9"/>
  <c r="EX737" i="9"/>
  <c r="EX736" i="9"/>
  <c r="EX735" i="9"/>
  <c r="EX734" i="9"/>
  <c r="EX733" i="9"/>
  <c r="EX732" i="9"/>
  <c r="EX731" i="9"/>
  <c r="EX730" i="9"/>
  <c r="EX729" i="9"/>
  <c r="EX728" i="9"/>
  <c r="EX727" i="9"/>
  <c r="EX726" i="9"/>
  <c r="EX725" i="9"/>
  <c r="EX724" i="9"/>
  <c r="EX723" i="9"/>
  <c r="EX722" i="9"/>
  <c r="EX721" i="9"/>
  <c r="EX720" i="9"/>
  <c r="EX719" i="9"/>
  <c r="EX718" i="9"/>
  <c r="EX717" i="9"/>
  <c r="EX716" i="9"/>
  <c r="EX715" i="9"/>
  <c r="EX714" i="9"/>
  <c r="EX713" i="9"/>
  <c r="EX712" i="9"/>
  <c r="EX711" i="9"/>
  <c r="EX710" i="9"/>
  <c r="EX709" i="9"/>
  <c r="EX708" i="9"/>
  <c r="EX707" i="9"/>
  <c r="EX706" i="9"/>
  <c r="EX705" i="9"/>
  <c r="EX704" i="9"/>
  <c r="EX703" i="9"/>
  <c r="EX702" i="9"/>
  <c r="EX701" i="9"/>
  <c r="EX700" i="9"/>
  <c r="EX699" i="9"/>
  <c r="EX698" i="9"/>
  <c r="EX697" i="9"/>
  <c r="EX696" i="9"/>
  <c r="EX695" i="9"/>
  <c r="EX694" i="9"/>
  <c r="EX693" i="9"/>
  <c r="EX692" i="9"/>
  <c r="EX691" i="9"/>
  <c r="EX690" i="9"/>
  <c r="EX689" i="9"/>
  <c r="EX688" i="9"/>
  <c r="EX687" i="9"/>
  <c r="EX686" i="9"/>
  <c r="EX685" i="9"/>
  <c r="EX684" i="9"/>
  <c r="EX660" i="9"/>
  <c r="EX659" i="9"/>
  <c r="EX658" i="9"/>
  <c r="EX657" i="9"/>
  <c r="EX656" i="9"/>
  <c r="EX655" i="9"/>
  <c r="EX654" i="9"/>
  <c r="EX653" i="9"/>
  <c r="EX652" i="9"/>
  <c r="EX651" i="9"/>
  <c r="EX650" i="9"/>
  <c r="EX649" i="9"/>
  <c r="EX648" i="9"/>
  <c r="EX647" i="9"/>
  <c r="EX646" i="9"/>
  <c r="EX645" i="9"/>
  <c r="EX644" i="9"/>
  <c r="EX643" i="9"/>
  <c r="EX642" i="9"/>
  <c r="EX641" i="9"/>
  <c r="EX640" i="9"/>
  <c r="EX639" i="9"/>
  <c r="EX638" i="9"/>
  <c r="EX637" i="9"/>
  <c r="EX636" i="9"/>
  <c r="EX635" i="9"/>
  <c r="EX611" i="9"/>
  <c r="EX610" i="9"/>
  <c r="EX609" i="9"/>
  <c r="EX608" i="9"/>
  <c r="EX607" i="9"/>
  <c r="EX606" i="9"/>
  <c r="EX605" i="9"/>
  <c r="EX604" i="9"/>
  <c r="EX603" i="9"/>
  <c r="EX602" i="9"/>
  <c r="EX601" i="9"/>
  <c r="EX600" i="9"/>
  <c r="EX599" i="9"/>
  <c r="EX598" i="9"/>
  <c r="EX597" i="9"/>
  <c r="EX596" i="9"/>
  <c r="EX595" i="9"/>
  <c r="EX594" i="9"/>
  <c r="EX593" i="9"/>
  <c r="EX592" i="9"/>
  <c r="EX591" i="9"/>
  <c r="EX590" i="9"/>
  <c r="EX589" i="9"/>
  <c r="EX588" i="9"/>
  <c r="EX587" i="9"/>
  <c r="EX586" i="9"/>
  <c r="EX585" i="9"/>
  <c r="EX584" i="9"/>
  <c r="EX583" i="9"/>
  <c r="EX582" i="9"/>
  <c r="EX581" i="9"/>
  <c r="EX580" i="9"/>
  <c r="EX579" i="9"/>
  <c r="EX578" i="9"/>
  <c r="EX577" i="9"/>
  <c r="EX576" i="9"/>
  <c r="EX575" i="9"/>
  <c r="EX574" i="9"/>
  <c r="EX573" i="9"/>
  <c r="EX572" i="9"/>
  <c r="EX571" i="9"/>
  <c r="EX570" i="9"/>
  <c r="EX569" i="9"/>
  <c r="EX568" i="9"/>
  <c r="EX567" i="9"/>
  <c r="EX566" i="9"/>
  <c r="EX565" i="9"/>
  <c r="EX564" i="9"/>
  <c r="EX563" i="9"/>
  <c r="EX562" i="9"/>
  <c r="EX561" i="9"/>
  <c r="EX560" i="9"/>
  <c r="EX559" i="9"/>
  <c r="EX558" i="9"/>
  <c r="EX557" i="9"/>
  <c r="EX556" i="9"/>
  <c r="EX555" i="9"/>
  <c r="EX554" i="9"/>
  <c r="EX553" i="9"/>
  <c r="EX552" i="9"/>
  <c r="EX551" i="9"/>
  <c r="EX550" i="9"/>
  <c r="EX549" i="9"/>
  <c r="EX548" i="9"/>
  <c r="EX547" i="9"/>
  <c r="EX546" i="9"/>
  <c r="EX545" i="9"/>
  <c r="EX544" i="9"/>
  <c r="EX543" i="9"/>
  <c r="EX542" i="9"/>
  <c r="EX541" i="9"/>
  <c r="EX540" i="9"/>
  <c r="EX539" i="9"/>
  <c r="EX538" i="9"/>
  <c r="EX537" i="9"/>
  <c r="EX536" i="9"/>
  <c r="EX535" i="9"/>
  <c r="EX534" i="9"/>
  <c r="EX533" i="9"/>
  <c r="EX532" i="9"/>
  <c r="EX531" i="9"/>
  <c r="EX530" i="9"/>
  <c r="EX529" i="9"/>
  <c r="EX528" i="9"/>
  <c r="EX527" i="9"/>
  <c r="EX526" i="9"/>
  <c r="EX525" i="9"/>
  <c r="EX524" i="9"/>
  <c r="EX523" i="9"/>
  <c r="EX522" i="9"/>
  <c r="EX521" i="9"/>
  <c r="EX520" i="9"/>
  <c r="EX519" i="9"/>
  <c r="EX518" i="9"/>
  <c r="EX517" i="9"/>
  <c r="EX516" i="9"/>
  <c r="EX515" i="9"/>
  <c r="EX514" i="9"/>
  <c r="EX513" i="9"/>
  <c r="EX512" i="9"/>
  <c r="EX511" i="9"/>
  <c r="EX510" i="9"/>
  <c r="EX509" i="9"/>
  <c r="EX508" i="9"/>
  <c r="EX507" i="9"/>
  <c r="EX506" i="9"/>
  <c r="EX505" i="9"/>
  <c r="EX504" i="9"/>
  <c r="EX503" i="9"/>
  <c r="EX502" i="9"/>
  <c r="EX501" i="9"/>
  <c r="EX500" i="9"/>
  <c r="EX499" i="9"/>
  <c r="EX498" i="9"/>
  <c r="EX497" i="9"/>
  <c r="EX496" i="9"/>
  <c r="EX495" i="9"/>
  <c r="EX494" i="9"/>
  <c r="EX493" i="9"/>
  <c r="EX492" i="9"/>
  <c r="EX491" i="9"/>
  <c r="EX490" i="9"/>
  <c r="EX489" i="9"/>
  <c r="EX488" i="9"/>
  <c r="EX487" i="9"/>
  <c r="EX486" i="9"/>
  <c r="EX485" i="9"/>
  <c r="EX484" i="9"/>
  <c r="EX483" i="9"/>
  <c r="EX482" i="9"/>
  <c r="EX481" i="9"/>
  <c r="EX480" i="9"/>
  <c r="EX479" i="9"/>
  <c r="EX478" i="9"/>
  <c r="EX477" i="9"/>
  <c r="EX476" i="9"/>
  <c r="EX475" i="9"/>
  <c r="EX474" i="9"/>
  <c r="EX473" i="9"/>
  <c r="EX472" i="9"/>
  <c r="EX471" i="9"/>
  <c r="EX470" i="9"/>
  <c r="EX469" i="9"/>
  <c r="EX468" i="9"/>
  <c r="EX467" i="9"/>
  <c r="EX466" i="9"/>
  <c r="EX465" i="9"/>
  <c r="EX464" i="9"/>
  <c r="EX463" i="9"/>
  <c r="EX462" i="9"/>
  <c r="EX461" i="9"/>
  <c r="EX460" i="9"/>
  <c r="EX459" i="9"/>
  <c r="EX458" i="9"/>
  <c r="EX457" i="9"/>
  <c r="EX456" i="9"/>
  <c r="EX455" i="9"/>
  <c r="EX454" i="9"/>
  <c r="EX453" i="9"/>
  <c r="EX452" i="9"/>
  <c r="EX451" i="9"/>
  <c r="EX450" i="9"/>
  <c r="EX449" i="9"/>
  <c r="EX448" i="9"/>
  <c r="EX447" i="9"/>
  <c r="EX446" i="9"/>
  <c r="EX445" i="9"/>
  <c r="EX444" i="9"/>
  <c r="EX443" i="9"/>
  <c r="EX442" i="9"/>
  <c r="EX441" i="9"/>
  <c r="EX440" i="9"/>
  <c r="EX439" i="9"/>
  <c r="EX438" i="9"/>
  <c r="EX437" i="9"/>
  <c r="EX436" i="9"/>
  <c r="EX435" i="9"/>
  <c r="EX434" i="9"/>
  <c r="EX433" i="9"/>
  <c r="EX432" i="9"/>
  <c r="EX431" i="9"/>
  <c r="EX430" i="9"/>
  <c r="EX429" i="9"/>
  <c r="EX428" i="9"/>
  <c r="EX427" i="9"/>
  <c r="EX408" i="9"/>
  <c r="EX389" i="9"/>
  <c r="EX370" i="9"/>
  <c r="EX351" i="9"/>
  <c r="EX332" i="9"/>
  <c r="EX313" i="9"/>
  <c r="EX294" i="9"/>
  <c r="EX275" i="9"/>
  <c r="EX256" i="9"/>
  <c r="EX237" i="9"/>
  <c r="EX218" i="9"/>
  <c r="EX199" i="9"/>
  <c r="EX180" i="9"/>
  <c r="EX161" i="9"/>
  <c r="EX142" i="9"/>
  <c r="EX123" i="9"/>
  <c r="EX104" i="9"/>
  <c r="EX85" i="9"/>
  <c r="EX66" i="9"/>
  <c r="EX47" i="9"/>
  <c r="EX46" i="9"/>
  <c r="EX45" i="9"/>
  <c r="EX44" i="9"/>
  <c r="EX43" i="9"/>
  <c r="EX42" i="9"/>
  <c r="EX41" i="9"/>
  <c r="EX40" i="9"/>
  <c r="EX39" i="9"/>
  <c r="EX38" i="9"/>
  <c r="EX37" i="9"/>
  <c r="EX36" i="9"/>
  <c r="EX35" i="9"/>
  <c r="EX34" i="9"/>
  <c r="EX33" i="9"/>
  <c r="EX9" i="9"/>
  <c r="EX11" i="9"/>
  <c r="EX12" i="9"/>
  <c r="EX8" i="9"/>
  <c r="EX250" i="6"/>
  <c r="EX224" i="6"/>
  <c r="EX225" i="6"/>
  <c r="EX229" i="6"/>
  <c r="EX230" i="6"/>
  <c r="EX235" i="6"/>
  <c r="EX236" i="6"/>
  <c r="EX237" i="6"/>
  <c r="EX238" i="6"/>
  <c r="EX239" i="6"/>
  <c r="EX241" i="6"/>
  <c r="EX243" i="6"/>
  <c r="EX244" i="6"/>
  <c r="EX245" i="6"/>
  <c r="EX247" i="6"/>
  <c r="EX249" i="6"/>
  <c r="EX251" i="6"/>
  <c r="EX253" i="6"/>
  <c r="EX255" i="6"/>
  <c r="EX256" i="6"/>
  <c r="EX257" i="6"/>
  <c r="EX258" i="6"/>
  <c r="EX259" i="6"/>
  <c r="EX260" i="6"/>
  <c r="EX261" i="6"/>
  <c r="EX262" i="6"/>
  <c r="EX263" i="6"/>
  <c r="EX264" i="6"/>
  <c r="EX219" i="6"/>
  <c r="EX218" i="6"/>
  <c r="EX213" i="6"/>
  <c r="EX212" i="6"/>
  <c r="EX203" i="6"/>
  <c r="EX202" i="6"/>
  <c r="EX194" i="6"/>
  <c r="EX193" i="6"/>
  <c r="EX9" i="6"/>
  <c r="EX10" i="6"/>
  <c r="EX11" i="6"/>
  <c r="EX12" i="6"/>
  <c r="EX13" i="6"/>
  <c r="EX14" i="6"/>
  <c r="EX15" i="6"/>
  <c r="EX16" i="6"/>
  <c r="EX17" i="6"/>
  <c r="EX18" i="6"/>
  <c r="EX19" i="6"/>
  <c r="EX23" i="6"/>
  <c r="EX26" i="6"/>
  <c r="EX27" i="6"/>
  <c r="EX29" i="6"/>
  <c r="EX30" i="6"/>
  <c r="EX32" i="6"/>
  <c r="EX33" i="6"/>
  <c r="EX35" i="6"/>
  <c r="EX36" i="6"/>
  <c r="EX38" i="6"/>
  <c r="EX39" i="6"/>
  <c r="EX45" i="6"/>
  <c r="EX46" i="6"/>
  <c r="EX48" i="6"/>
  <c r="EX49" i="6"/>
  <c r="EX50" i="6"/>
  <c r="EX51" i="6"/>
  <c r="EX53" i="6"/>
  <c r="EX54" i="6"/>
  <c r="EX57" i="6"/>
  <c r="EX58" i="6"/>
  <c r="EX61" i="6"/>
  <c r="EX62" i="6"/>
  <c r="EX65" i="6"/>
  <c r="EX66" i="6"/>
  <c r="EX71" i="6"/>
  <c r="EX72" i="6"/>
  <c r="EX74" i="6"/>
  <c r="EX75" i="6"/>
  <c r="EX77" i="6"/>
  <c r="EX78" i="6"/>
  <c r="EX80" i="6"/>
  <c r="EX81" i="6"/>
  <c r="EX84" i="6"/>
  <c r="EX85" i="6"/>
  <c r="EX87" i="6"/>
  <c r="EX88" i="6"/>
  <c r="EX89" i="6"/>
  <c r="EX90" i="6"/>
  <c r="EX92" i="6"/>
  <c r="EX93" i="6"/>
  <c r="EX95" i="6"/>
  <c r="EX98" i="6"/>
  <c r="EX99" i="6"/>
  <c r="EX101" i="6"/>
  <c r="EX104" i="6"/>
  <c r="EX105" i="6"/>
  <c r="EX115" i="6"/>
  <c r="EX116" i="6"/>
  <c r="EX118" i="6"/>
  <c r="EX121" i="6"/>
  <c r="EX122" i="6"/>
  <c r="EX137" i="6"/>
  <c r="EX140" i="6"/>
  <c r="EX141" i="6"/>
  <c r="EX143" i="6"/>
  <c r="EX144" i="6"/>
  <c r="EX146" i="6"/>
  <c r="EX147" i="6"/>
  <c r="EX149" i="6"/>
  <c r="EX152" i="6"/>
  <c r="EX153" i="6"/>
  <c r="EX155" i="6"/>
  <c r="EX156" i="6"/>
  <c r="EX158" i="6"/>
  <c r="EX159" i="6"/>
  <c r="EX161" i="6"/>
  <c r="EX162" i="6"/>
  <c r="EX164" i="6"/>
  <c r="EX165" i="6"/>
  <c r="EX167" i="6"/>
  <c r="EX168" i="6"/>
  <c r="EX170" i="6"/>
  <c r="EX171" i="6"/>
  <c r="EX173" i="6"/>
  <c r="EX174" i="6"/>
  <c r="EX176" i="6"/>
  <c r="EX177" i="6"/>
  <c r="EX179" i="6"/>
  <c r="EX180" i="6"/>
  <c r="EX8" i="6"/>
  <c r="A6" i="1" a="1"/>
  <c r="A6" i="1" s="1"/>
  <c r="CM150" i="1"/>
  <c r="CE150" i="1" s="1"/>
  <c r="CM149" i="1"/>
  <c r="CE149" i="1" s="1"/>
  <c r="CM148" i="1"/>
  <c r="CE148" i="1" s="1"/>
  <c r="CM133" i="1"/>
  <c r="CE133" i="1" s="1"/>
  <c r="CM132" i="1"/>
  <c r="CE132" i="1" s="1"/>
  <c r="CM131" i="1"/>
  <c r="CE131" i="1" s="1"/>
  <c r="CM106" i="1"/>
  <c r="CE106" i="1" s="1"/>
  <c r="CM105" i="1"/>
  <c r="CE105" i="1" s="1"/>
  <c r="CM104" i="1"/>
  <c r="CE104" i="1" s="1"/>
  <c r="CM97" i="1"/>
  <c r="CE97" i="1" s="1"/>
  <c r="CM96" i="1"/>
  <c r="CE96" i="1" s="1"/>
  <c r="CM95" i="1"/>
  <c r="CE95" i="1" s="1"/>
  <c r="CM83" i="1"/>
  <c r="CE83" i="1" s="1"/>
  <c r="CM82" i="1"/>
  <c r="CE82" i="1" s="1"/>
  <c r="CM81" i="1"/>
  <c r="CE81" i="1" s="1"/>
  <c r="CM58" i="1"/>
  <c r="CE58" i="1" s="1"/>
  <c r="CM57" i="1"/>
  <c r="CE57" i="1" s="1"/>
  <c r="CM56" i="1"/>
  <c r="CE56" i="1" s="1"/>
  <c r="CM47" i="1"/>
  <c r="CE47" i="1" s="1"/>
  <c r="CM46" i="1"/>
  <c r="CE46" i="1" s="1"/>
  <c r="CM45" i="1"/>
  <c r="CE45" i="1" s="1"/>
  <c r="CM35" i="1"/>
  <c r="CE35" i="1" s="1"/>
  <c r="CM34" i="1"/>
  <c r="CE34" i="1" s="1"/>
  <c r="CM33" i="1"/>
  <c r="CE33" i="1" s="1"/>
  <c r="CM26" i="1"/>
  <c r="CE26" i="1" s="1"/>
  <c r="CM25" i="1"/>
  <c r="CE25" i="1" s="1"/>
  <c r="CM24" i="1"/>
  <c r="CE24" i="1" s="1"/>
  <c r="CM13" i="1"/>
  <c r="CE13" i="1" s="1"/>
  <c r="CM12" i="1"/>
  <c r="CE12" i="1" s="1"/>
  <c r="V137" i="20" l="1"/>
  <c r="V143" i="20"/>
  <c r="C40" i="12" l="1"/>
  <c r="EX40" i="12" s="1"/>
  <c r="EX28" i="32" s="1"/>
  <c r="C39" i="12"/>
  <c r="EX39" i="12" s="1"/>
  <c r="EX31" i="32" s="1"/>
  <c r="C38" i="12"/>
  <c r="EX38" i="12" s="1"/>
  <c r="C37" i="12"/>
  <c r="EX37" i="12" s="1"/>
  <c r="C27" i="32"/>
  <c r="EX27" i="32" l="1"/>
  <c r="Q37" i="3"/>
  <c r="Q4" i="44" s="1"/>
  <c r="P37" i="3"/>
  <c r="P4" i="44" s="1"/>
  <c r="O37" i="3"/>
  <c r="O4" i="44" s="1"/>
  <c r="N37" i="3"/>
  <c r="N4" i="44" s="1"/>
  <c r="M37" i="3"/>
  <c r="M4" i="44" s="1"/>
  <c r="L37" i="3"/>
  <c r="L4" i="44" s="1"/>
  <c r="K37" i="3"/>
  <c r="K4" i="44" s="1"/>
  <c r="J37" i="3"/>
  <c r="J4" i="44" s="1"/>
  <c r="I37" i="3"/>
  <c r="I4" i="44" s="1"/>
  <c r="H37" i="3"/>
  <c r="H4" i="44" s="1"/>
  <c r="G37" i="3"/>
  <c r="G4" i="44" s="1"/>
  <c r="F37" i="3"/>
  <c r="F4" i="44" s="1"/>
  <c r="E37" i="3"/>
  <c r="E4" i="44" s="1"/>
  <c r="D37" i="3"/>
  <c r="D4" i="44" s="1"/>
  <c r="C16" i="12" l="1"/>
  <c r="EX16" i="12" s="1"/>
  <c r="EX33" i="32" s="1"/>
  <c r="C15" i="12"/>
  <c r="EX15" i="12" s="1"/>
  <c r="C14" i="12"/>
  <c r="EX14" i="12" s="1"/>
  <c r="C71" i="30"/>
  <c r="C61" i="30"/>
  <c r="C45" i="32" s="1"/>
  <c r="C18" i="13" s="1"/>
  <c r="C59" i="30"/>
  <c r="C55" i="30"/>
  <c r="C53" i="30"/>
  <c r="C51" i="30"/>
  <c r="C50" i="30"/>
  <c r="C49" i="30"/>
  <c r="C48" i="30"/>
  <c r="C46" i="30"/>
  <c r="C44" i="30"/>
  <c r="C43" i="30"/>
  <c r="C42" i="30"/>
  <c r="C41" i="30"/>
  <c r="C40" i="30"/>
  <c r="C39" i="30"/>
  <c r="C35" i="30"/>
  <c r="C34" i="30"/>
  <c r="C33" i="30"/>
  <c r="C31" i="30"/>
  <c r="EX31" i="30" s="1"/>
  <c r="C29" i="30"/>
  <c r="C28" i="30"/>
  <c r="C27" i="30"/>
  <c r="C26" i="30"/>
  <c r="C23" i="30"/>
  <c r="C24" i="30" s="1"/>
  <c r="C22" i="30"/>
  <c r="C21" i="30"/>
  <c r="C20" i="30"/>
  <c r="C19" i="30"/>
  <c r="C18" i="30"/>
  <c r="C17" i="30"/>
  <c r="C16" i="30"/>
  <c r="C14" i="30"/>
  <c r="C15" i="30"/>
  <c r="C231" i="6"/>
  <c r="EX231" i="6" s="1"/>
  <c r="C234" i="6"/>
  <c r="EX234" i="6" s="1"/>
  <c r="C226" i="6"/>
  <c r="EX226" i="6" s="1"/>
  <c r="C228" i="6"/>
  <c r="EX228" i="6" s="1"/>
  <c r="C220" i="6"/>
  <c r="EX220" i="6" s="1"/>
  <c r="C223" i="6"/>
  <c r="EX223" i="6" s="1"/>
  <c r="C214" i="6"/>
  <c r="EX214" i="6" s="1"/>
  <c r="C217" i="6"/>
  <c r="EX217" i="6" s="1"/>
  <c r="C204" i="6"/>
  <c r="EX204" i="6" s="1"/>
  <c r="C211" i="6"/>
  <c r="EX211" i="6" s="1"/>
  <c r="C195" i="6"/>
  <c r="EX195" i="6" s="1"/>
  <c r="C201" i="6"/>
  <c r="EX201" i="6" s="1"/>
  <c r="C181" i="6"/>
  <c r="EX181" i="6" s="1"/>
  <c r="C192" i="6"/>
  <c r="EX192" i="6" s="1"/>
  <c r="C178" i="6"/>
  <c r="EX178" i="6" s="1"/>
  <c r="C175" i="6"/>
  <c r="EX175" i="6" s="1"/>
  <c r="C172" i="6"/>
  <c r="EX172" i="6" s="1"/>
  <c r="C169" i="6"/>
  <c r="EX169" i="6" s="1"/>
  <c r="C166" i="6"/>
  <c r="EX166" i="6" s="1"/>
  <c r="C163" i="6"/>
  <c r="EX163" i="6" s="1"/>
  <c r="C160" i="6"/>
  <c r="EX160" i="6" s="1"/>
  <c r="C157" i="6"/>
  <c r="EX157" i="6" s="1"/>
  <c r="C151" i="6"/>
  <c r="EX151" i="6" s="1"/>
  <c r="C150" i="6"/>
  <c r="EX150" i="6" s="1"/>
  <c r="C154" i="6"/>
  <c r="EX154" i="6" s="1"/>
  <c r="C145" i="6"/>
  <c r="EX145" i="6" s="1"/>
  <c r="C142" i="6"/>
  <c r="EX142" i="6" s="1"/>
  <c r="C139" i="6"/>
  <c r="EX139" i="6" s="1"/>
  <c r="C138" i="6"/>
  <c r="EX138" i="6" s="1"/>
  <c r="C120" i="6"/>
  <c r="EX120" i="6" s="1"/>
  <c r="C119" i="6"/>
  <c r="EX119" i="6" s="1"/>
  <c r="C114" i="6"/>
  <c r="EX114" i="6" s="1"/>
  <c r="C113" i="6"/>
  <c r="EX113" i="6" s="1"/>
  <c r="C103" i="6"/>
  <c r="EX103" i="6" s="1"/>
  <c r="C102" i="6"/>
  <c r="EX102" i="6" s="1"/>
  <c r="C97" i="6"/>
  <c r="EX97" i="6" s="1"/>
  <c r="C96" i="6"/>
  <c r="EX96" i="6" s="1"/>
  <c r="C91" i="6"/>
  <c r="EX91" i="6" s="1"/>
  <c r="C86" i="6"/>
  <c r="EX86" i="6" s="1"/>
  <c r="C79" i="6"/>
  <c r="EX79" i="6" s="1"/>
  <c r="C76" i="6"/>
  <c r="EX76" i="6" s="1"/>
  <c r="C73" i="6"/>
  <c r="EX73" i="6" s="1"/>
  <c r="C67" i="6"/>
  <c r="EX67" i="6" s="1"/>
  <c r="C70" i="6"/>
  <c r="EX70" i="6" s="1"/>
  <c r="C64" i="6"/>
  <c r="EX64" i="6" s="1"/>
  <c r="C60" i="6"/>
  <c r="EX60" i="6" s="1"/>
  <c r="C56" i="6"/>
  <c r="EX56" i="6" s="1"/>
  <c r="C52" i="6"/>
  <c r="C47" i="6"/>
  <c r="EX47" i="6" s="1"/>
  <c r="C40" i="6"/>
  <c r="EX40" i="6" s="1"/>
  <c r="C1061" i="9"/>
  <c r="C1062" i="9"/>
  <c r="C1063" i="9"/>
  <c r="C1064" i="9"/>
  <c r="C1065" i="9"/>
  <c r="C1066" i="9"/>
  <c r="C1067" i="9"/>
  <c r="C1068" i="9"/>
  <c r="C1069" i="9"/>
  <c r="C1070" i="9"/>
  <c r="C1071" i="9"/>
  <c r="C1072" i="9"/>
  <c r="C1073" i="9"/>
  <c r="C1074" i="9"/>
  <c r="C1075" i="9"/>
  <c r="C1076" i="9"/>
  <c r="C1077" i="9"/>
  <c r="C1078" i="9"/>
  <c r="C1079" i="9"/>
  <c r="C1060" i="9"/>
  <c r="C6" i="1"/>
  <c r="C6" i="20"/>
  <c r="M16" i="14" s="1"/>
  <c r="C6" i="16"/>
  <c r="M18" i="14" s="1"/>
  <c r="C6" i="26"/>
  <c r="C6" i="9"/>
  <c r="C6" i="6"/>
  <c r="C6" i="38"/>
  <c r="C6" i="30"/>
  <c r="C6" i="32"/>
  <c r="C6" i="12"/>
  <c r="M26" i="14" s="1"/>
  <c r="C6" i="33"/>
  <c r="C6" i="36"/>
  <c r="C6" i="13"/>
  <c r="C6" i="37"/>
  <c r="M14" i="14" s="1"/>
  <c r="C6" i="28"/>
  <c r="M13" i="14" s="1"/>
  <c r="C276" i="26"/>
  <c r="EX276" i="26" s="1"/>
  <c r="C266" i="26"/>
  <c r="C257" i="26"/>
  <c r="C245" i="26"/>
  <c r="C231" i="26"/>
  <c r="C217" i="26"/>
  <c r="C203" i="26"/>
  <c r="C199" i="1"/>
  <c r="EX199" i="1" s="1"/>
  <c r="C198" i="1"/>
  <c r="EX198" i="1" s="1"/>
  <c r="C197" i="1"/>
  <c r="C196" i="1"/>
  <c r="C195" i="1"/>
  <c r="C194" i="1"/>
  <c r="C193" i="1"/>
  <c r="C189" i="1"/>
  <c r="EX189" i="1" s="1"/>
  <c r="C188" i="1"/>
  <c r="EX188" i="1" s="1"/>
  <c r="C187" i="1"/>
  <c r="EX187" i="1" s="1"/>
  <c r="C185" i="1"/>
  <c r="EX185" i="1" s="1"/>
  <c r="C183" i="1"/>
  <c r="EX183" i="1" s="1"/>
  <c r="C181" i="1"/>
  <c r="EX181" i="1" s="1"/>
  <c r="C180" i="1"/>
  <c r="EX180" i="1" s="1"/>
  <c r="C179" i="1"/>
  <c r="EX179" i="1" s="1"/>
  <c r="C178" i="1"/>
  <c r="EX178" i="1" s="1"/>
  <c r="C175" i="1"/>
  <c r="EX175" i="1" s="1"/>
  <c r="C173" i="1"/>
  <c r="EX173" i="1" s="1"/>
  <c r="C172" i="1"/>
  <c r="EX172" i="1" s="1"/>
  <c r="C171" i="1"/>
  <c r="EX171" i="1" s="1"/>
  <c r="C170" i="1"/>
  <c r="EX170" i="1" s="1"/>
  <c r="C169" i="1"/>
  <c r="EX169" i="1" s="1"/>
  <c r="C168" i="1"/>
  <c r="EX168" i="1" s="1"/>
  <c r="C165" i="1"/>
  <c r="EX165" i="1" s="1"/>
  <c r="C163" i="1"/>
  <c r="EX163" i="1" s="1"/>
  <c r="C162" i="1"/>
  <c r="EX162" i="1" s="1"/>
  <c r="C160" i="1"/>
  <c r="EX160" i="1" s="1"/>
  <c r="C158" i="1"/>
  <c r="EX158" i="1" s="1"/>
  <c r="C156" i="1"/>
  <c r="EX156" i="1" s="1"/>
  <c r="C155" i="1"/>
  <c r="EX155" i="1" s="1"/>
  <c r="C154" i="1"/>
  <c r="EX154" i="1" s="1"/>
  <c r="C151" i="1"/>
  <c r="EX151" i="1" s="1"/>
  <c r="C147" i="1"/>
  <c r="EX147" i="1" s="1"/>
  <c r="C146" i="1"/>
  <c r="EX146" i="1" s="1"/>
  <c r="C145" i="1"/>
  <c r="EX145" i="1" s="1"/>
  <c r="C144" i="1"/>
  <c r="EX144" i="1" s="1"/>
  <c r="C143" i="1"/>
  <c r="EX143" i="1" s="1"/>
  <c r="C142" i="1"/>
  <c r="EX142" i="1" s="1"/>
  <c r="C141" i="1"/>
  <c r="EX141" i="1" s="1"/>
  <c r="C140" i="1"/>
  <c r="EX140" i="1" s="1"/>
  <c r="C139" i="1"/>
  <c r="EX139" i="1" s="1"/>
  <c r="C138" i="1"/>
  <c r="EX138" i="1" s="1"/>
  <c r="C137" i="1"/>
  <c r="EX137" i="1" s="1"/>
  <c r="C134" i="1"/>
  <c r="EX134" i="1" s="1"/>
  <c r="C130" i="1"/>
  <c r="EX130" i="1" s="1"/>
  <c r="C129" i="1"/>
  <c r="EX129" i="1" s="1"/>
  <c r="C128" i="1"/>
  <c r="EX128" i="1" s="1"/>
  <c r="C127" i="1"/>
  <c r="EX127" i="1" s="1"/>
  <c r="C126" i="1"/>
  <c r="EX126" i="1" s="1"/>
  <c r="C125" i="1"/>
  <c r="EX125" i="1" s="1"/>
  <c r="C124" i="1"/>
  <c r="EX124" i="1" s="1"/>
  <c r="C123" i="1"/>
  <c r="EX123" i="1" s="1"/>
  <c r="C122" i="1"/>
  <c r="EX122" i="1" s="1"/>
  <c r="C119" i="1"/>
  <c r="EX119" i="1" s="1"/>
  <c r="C117" i="1"/>
  <c r="EX117" i="1" s="1"/>
  <c r="C116" i="1"/>
  <c r="EX116" i="1" s="1"/>
  <c r="C115" i="1"/>
  <c r="EX115" i="1" s="1"/>
  <c r="C113" i="1"/>
  <c r="EX113" i="1" s="1"/>
  <c r="EX77" i="1"/>
  <c r="C111" i="1"/>
  <c r="EX111" i="1" s="1"/>
  <c r="C110" i="1"/>
  <c r="EX110" i="1" s="1"/>
  <c r="C107" i="1"/>
  <c r="EX107" i="1" s="1"/>
  <c r="EX182" i="1"/>
  <c r="C103" i="1"/>
  <c r="EX103" i="1" s="1"/>
  <c r="C102" i="1"/>
  <c r="EX102" i="1" s="1"/>
  <c r="C101" i="1"/>
  <c r="EX101" i="1" s="1"/>
  <c r="C98" i="1"/>
  <c r="EX98" i="1" s="1"/>
  <c r="C94" i="1"/>
  <c r="EX94" i="1" s="1"/>
  <c r="C93" i="1"/>
  <c r="EX93" i="1" s="1"/>
  <c r="C92" i="1"/>
  <c r="EX92" i="1" s="1"/>
  <c r="C91" i="1"/>
  <c r="EX91" i="1" s="1"/>
  <c r="C90" i="1"/>
  <c r="EX90" i="1" s="1"/>
  <c r="C89" i="1"/>
  <c r="EX89" i="1" s="1"/>
  <c r="C88" i="1"/>
  <c r="EX88" i="1" s="1"/>
  <c r="C87" i="1"/>
  <c r="EX87" i="1" s="1"/>
  <c r="C84" i="1"/>
  <c r="EX84" i="1" s="1"/>
  <c r="EX76" i="1"/>
  <c r="EX75" i="1"/>
  <c r="EX74" i="1"/>
  <c r="EX73" i="1"/>
  <c r="EX72" i="1"/>
  <c r="C71" i="1"/>
  <c r="EX71" i="1" s="1"/>
  <c r="C68" i="1"/>
  <c r="EX68" i="1" s="1"/>
  <c r="C67" i="1"/>
  <c r="EX67" i="1" s="1"/>
  <c r="C66" i="1"/>
  <c r="EX66" i="1" s="1"/>
  <c r="C65" i="1"/>
  <c r="EX65" i="1" s="1"/>
  <c r="C64" i="1"/>
  <c r="EX64" i="1" s="1"/>
  <c r="C61" i="1"/>
  <c r="EX61" i="1" s="1"/>
  <c r="C60" i="1"/>
  <c r="EX60" i="1" s="1"/>
  <c r="C59" i="1"/>
  <c r="EX59" i="1" s="1"/>
  <c r="C55" i="1"/>
  <c r="EX55" i="1" s="1"/>
  <c r="C54" i="1"/>
  <c r="EX54" i="1" s="1"/>
  <c r="C53" i="1"/>
  <c r="EX53" i="1" s="1"/>
  <c r="C50" i="1"/>
  <c r="EX50" i="1" s="1"/>
  <c r="C49" i="1"/>
  <c r="EX49" i="1" s="1"/>
  <c r="C48" i="1"/>
  <c r="EX48" i="1" s="1"/>
  <c r="C44" i="1"/>
  <c r="EX44" i="1" s="1"/>
  <c r="C43" i="1"/>
  <c r="EX43" i="1" s="1"/>
  <c r="C42" i="1"/>
  <c r="EX42" i="1" s="1"/>
  <c r="C41" i="1"/>
  <c r="EX41" i="1" s="1"/>
  <c r="C38" i="1"/>
  <c r="EX38" i="1" s="1"/>
  <c r="C37" i="1"/>
  <c r="EX37" i="1" s="1"/>
  <c r="C36" i="1"/>
  <c r="EX36" i="1" s="1"/>
  <c r="C32" i="1"/>
  <c r="EX32" i="1" s="1"/>
  <c r="C29" i="1"/>
  <c r="EX29" i="1" s="1"/>
  <c r="C28" i="1"/>
  <c r="EX28" i="1" s="1"/>
  <c r="C27" i="1"/>
  <c r="EX27" i="1" s="1"/>
  <c r="C23" i="1"/>
  <c r="EX23" i="1" s="1"/>
  <c r="C22" i="1"/>
  <c r="EX22" i="1" s="1"/>
  <c r="C21" i="1"/>
  <c r="EX21" i="1" s="1"/>
  <c r="C20" i="1"/>
  <c r="EX20" i="1" s="1"/>
  <c r="C19" i="1"/>
  <c r="EX19" i="1" s="1"/>
  <c r="C16" i="1"/>
  <c r="EX16" i="1" s="1"/>
  <c r="C15" i="1"/>
  <c r="EX15" i="1" s="1"/>
  <c r="C14" i="1"/>
  <c r="EX14" i="1" s="1"/>
  <c r="C11" i="1"/>
  <c r="EX11" i="1" s="1"/>
  <c r="BZ69" i="16"/>
  <c r="BZ68" i="16"/>
  <c r="BZ67" i="16"/>
  <c r="BZ66" i="16"/>
  <c r="BZ62" i="16"/>
  <c r="BZ61" i="16"/>
  <c r="BZ60" i="16"/>
  <c r="BZ59" i="16"/>
  <c r="BZ58" i="16"/>
  <c r="BZ57" i="16"/>
  <c r="BZ53" i="16"/>
  <c r="BZ51" i="16"/>
  <c r="BZ50" i="16"/>
  <c r="BZ49" i="16"/>
  <c r="BZ48" i="16"/>
  <c r="BZ47" i="16"/>
  <c r="BZ46" i="16"/>
  <c r="BZ45" i="16"/>
  <c r="BZ44" i="16"/>
  <c r="BZ43" i="16"/>
  <c r="BZ42" i="16"/>
  <c r="BZ41" i="16"/>
  <c r="BZ40" i="16"/>
  <c r="BZ39" i="16"/>
  <c r="BZ38" i="16"/>
  <c r="BZ37" i="16"/>
  <c r="BZ36" i="16"/>
  <c r="W54" i="16"/>
  <c r="V54" i="16"/>
  <c r="BZ54" i="16" l="1"/>
  <c r="EX24" i="30"/>
  <c r="C144" i="30"/>
  <c r="EX144" i="30" s="1"/>
  <c r="C54" i="33"/>
  <c r="C78" i="30"/>
  <c r="EX52" i="6"/>
  <c r="C98" i="13"/>
  <c r="EX98" i="13" s="1"/>
  <c r="EX29" i="30"/>
  <c r="C103" i="13"/>
  <c r="EX103" i="13" s="1"/>
  <c r="EX45" i="32"/>
  <c r="C102" i="13"/>
  <c r="EX102" i="13" s="1"/>
  <c r="C101" i="13"/>
  <c r="EX101" i="13" s="1"/>
  <c r="C105" i="13"/>
  <c r="EX105" i="13" s="1"/>
  <c r="C72" i="30"/>
  <c r="C37" i="32"/>
  <c r="C79" i="30"/>
  <c r="C97" i="13"/>
  <c r="EX97" i="13" s="1"/>
  <c r="EX23" i="30"/>
  <c r="C106" i="13"/>
  <c r="EX106" i="13" s="1"/>
  <c r="C77" i="30"/>
  <c r="C43" i="32"/>
  <c r="C76" i="30"/>
  <c r="BZ26" i="16"/>
  <c r="BZ25" i="16"/>
  <c r="BZ30" i="16"/>
  <c r="BZ28" i="16"/>
  <c r="BZ27" i="16"/>
  <c r="BZ24" i="16"/>
  <c r="BZ23" i="16"/>
  <c r="BZ22" i="16"/>
  <c r="BZ21" i="16"/>
  <c r="EX37" i="32" l="1"/>
  <c r="M25" i="14"/>
  <c r="C109" i="13"/>
  <c r="EX109" i="13" s="1"/>
  <c r="EX43" i="32"/>
  <c r="AA148" i="30"/>
  <c r="AB148" i="30"/>
  <c r="AC148" i="30"/>
  <c r="AD148" i="30"/>
  <c r="AE148" i="30"/>
  <c r="AF148" i="30"/>
  <c r="AG148" i="30"/>
  <c r="AH148" i="30"/>
  <c r="AI148" i="30"/>
  <c r="AJ148" i="30"/>
  <c r="AK148" i="30"/>
  <c r="AL148" i="30"/>
  <c r="AM148" i="30"/>
  <c r="AN148" i="30"/>
  <c r="AO148" i="30"/>
  <c r="AP148" i="30"/>
  <c r="AQ148" i="30"/>
  <c r="AR148" i="30"/>
  <c r="AS148" i="30"/>
  <c r="AT148" i="30"/>
  <c r="AU148" i="30"/>
  <c r="AV148" i="30"/>
  <c r="AW148" i="30"/>
  <c r="AX148" i="30"/>
  <c r="AY148" i="30"/>
  <c r="AZ148" i="30"/>
  <c r="BA148" i="30"/>
  <c r="BB148" i="30"/>
  <c r="BC148" i="30"/>
  <c r="BD148" i="30"/>
  <c r="BE148" i="30"/>
  <c r="BF148" i="30"/>
  <c r="BG148" i="30"/>
  <c r="BH148" i="30"/>
  <c r="BI148" i="30"/>
  <c r="BJ148" i="30"/>
  <c r="BP148" i="30"/>
  <c r="BQ148" i="30"/>
  <c r="BR148" i="30"/>
  <c r="BS148" i="30"/>
  <c r="BT148" i="30"/>
  <c r="BU148" i="30"/>
  <c r="BV148" i="30"/>
  <c r="BW148" i="30"/>
  <c r="V148" i="30"/>
  <c r="BL182" i="1"/>
  <c r="CM182" i="1" s="1"/>
  <c r="CE182" i="1" s="1"/>
  <c r="E202" i="30" a="1"/>
  <c r="E202" i="30" l="1"/>
  <c r="AA182" i="20" l="1"/>
  <c r="AE182" i="20"/>
  <c r="AM182" i="20"/>
  <c r="AQ182" i="20"/>
  <c r="AU182" i="20"/>
  <c r="BC182" i="20"/>
  <c r="BG182" i="20"/>
  <c r="V182" i="20"/>
  <c r="AI182" i="20"/>
  <c r="AY182" i="20"/>
  <c r="AD182" i="20"/>
  <c r="AG182" i="20"/>
  <c r="AH182" i="20"/>
  <c r="AJ182" i="20"/>
  <c r="AK182" i="20"/>
  <c r="AL182" i="20"/>
  <c r="AN182" i="20"/>
  <c r="AO182" i="20"/>
  <c r="AP182" i="20"/>
  <c r="AR182" i="20"/>
  <c r="AS182" i="20"/>
  <c r="AT182" i="20"/>
  <c r="AV182" i="20"/>
  <c r="AW182" i="20"/>
  <c r="AX182" i="20"/>
  <c r="AZ182" i="20"/>
  <c r="BA182" i="20"/>
  <c r="BB182" i="20"/>
  <c r="BD182" i="20"/>
  <c r="BE182" i="20"/>
  <c r="BF182" i="20"/>
  <c r="BH182" i="20"/>
  <c r="BI182" i="20"/>
  <c r="BJ182" i="20"/>
  <c r="CC182" i="20" a="1"/>
  <c r="CC182" i="20" s="1"/>
  <c r="BL82" i="6"/>
  <c r="BL202" i="30" s="1"/>
  <c r="BL43" i="6"/>
  <c r="BL288" i="26"/>
  <c r="CS288" i="26" s="1"/>
  <c r="CK288" i="26" s="1"/>
  <c r="BL269" i="26"/>
  <c r="CS269" i="26" s="1"/>
  <c r="CK269" i="26" s="1"/>
  <c r="BL260" i="26"/>
  <c r="CS260" i="26" s="1"/>
  <c r="CK260" i="26" s="1"/>
  <c r="BL238" i="26"/>
  <c r="CS238" i="26" s="1"/>
  <c r="CK238" i="26" s="1"/>
  <c r="BL250" i="26"/>
  <c r="CS250" i="26" s="1"/>
  <c r="CK250" i="26" s="1"/>
  <c r="BL224" i="26"/>
  <c r="CS224" i="26" s="1"/>
  <c r="CK224" i="26" s="1"/>
  <c r="BL88" i="33" l="1"/>
  <c r="CM202" i="30"/>
  <c r="CE202" i="30" s="1"/>
  <c r="AB182" i="20"/>
  <c r="AC182" i="20"/>
  <c r="AF182" i="20"/>
  <c r="AA186" i="30" l="1"/>
  <c r="AB186" i="30"/>
  <c r="AC186" i="30"/>
  <c r="AD186" i="30"/>
  <c r="AE186" i="30"/>
  <c r="AF186" i="30"/>
  <c r="AG186" i="30"/>
  <c r="AH186" i="30"/>
  <c r="AI186" i="30"/>
  <c r="AJ186" i="30"/>
  <c r="AK186" i="30"/>
  <c r="AL186" i="30"/>
  <c r="AM186" i="30"/>
  <c r="AN186" i="30"/>
  <c r="AO186" i="30"/>
  <c r="AP186" i="30"/>
  <c r="AQ186" i="30"/>
  <c r="AR186" i="30"/>
  <c r="AS186" i="30"/>
  <c r="AT186" i="30"/>
  <c r="AU186" i="30"/>
  <c r="AV186" i="30"/>
  <c r="AW186" i="30"/>
  <c r="AX186" i="30"/>
  <c r="AY186" i="30"/>
  <c r="AZ186" i="30"/>
  <c r="BA186" i="30"/>
  <c r="BB186" i="30"/>
  <c r="BC186" i="30"/>
  <c r="BD186" i="30"/>
  <c r="BE186" i="30"/>
  <c r="BF186" i="30"/>
  <c r="BG186" i="30"/>
  <c r="BH186" i="30"/>
  <c r="BI186" i="30"/>
  <c r="BJ186" i="30"/>
  <c r="BP186" i="30"/>
  <c r="BQ186" i="30"/>
  <c r="BR186" i="30"/>
  <c r="BS186" i="30"/>
  <c r="BT186" i="30"/>
  <c r="BU186" i="30"/>
  <c r="BV186" i="30"/>
  <c r="BW186" i="30"/>
  <c r="V186" i="30"/>
  <c r="V226" i="26"/>
  <c r="V212" i="26"/>
  <c r="BL305" i="26"/>
  <c r="CS305" i="26" s="1"/>
  <c r="CK305" i="26" s="1"/>
  <c r="V319" i="26"/>
  <c r="V313" i="26"/>
  <c r="V307" i="26"/>
  <c r="BW319" i="26"/>
  <c r="BV319" i="26"/>
  <c r="BU319" i="26"/>
  <c r="BT319" i="26"/>
  <c r="BS319" i="26"/>
  <c r="BR319" i="26"/>
  <c r="BQ319" i="26"/>
  <c r="BP319" i="26"/>
  <c r="BJ319" i="26"/>
  <c r="BI319" i="26"/>
  <c r="BH319" i="26"/>
  <c r="BG319" i="26"/>
  <c r="BF319" i="26"/>
  <c r="BE319" i="26"/>
  <c r="BD319" i="26"/>
  <c r="BC319" i="26"/>
  <c r="BB319" i="26"/>
  <c r="BA319" i="26"/>
  <c r="AZ319" i="26"/>
  <c r="AY319" i="26"/>
  <c r="AX319" i="26"/>
  <c r="AW319" i="26"/>
  <c r="AV319" i="26"/>
  <c r="AU319" i="26"/>
  <c r="AT319" i="26"/>
  <c r="AS319" i="26"/>
  <c r="AR319" i="26"/>
  <c r="AQ319" i="26"/>
  <c r="AP319" i="26"/>
  <c r="AO319" i="26"/>
  <c r="AN319" i="26"/>
  <c r="AM319" i="26"/>
  <c r="AL319" i="26"/>
  <c r="AK319" i="26"/>
  <c r="AJ319" i="26"/>
  <c r="AI319" i="26"/>
  <c r="AH319" i="26"/>
  <c r="AG319" i="26"/>
  <c r="AF319" i="26"/>
  <c r="AE319" i="26"/>
  <c r="AD319" i="26"/>
  <c r="AC319" i="26"/>
  <c r="AB319" i="26"/>
  <c r="AA319" i="26"/>
  <c r="BL317" i="26"/>
  <c r="BL319" i="26" s="1"/>
  <c r="BW313" i="26"/>
  <c r="BV313" i="26"/>
  <c r="BU313" i="26"/>
  <c r="BT313" i="26"/>
  <c r="BS313" i="26"/>
  <c r="BR313" i="26"/>
  <c r="BQ313" i="26"/>
  <c r="BP313" i="26"/>
  <c r="BJ313" i="26"/>
  <c r="BI313" i="26"/>
  <c r="BH313" i="26"/>
  <c r="BG313" i="26"/>
  <c r="BF313" i="26"/>
  <c r="BE313" i="26"/>
  <c r="BD313" i="26"/>
  <c r="BC313" i="26"/>
  <c r="BB313" i="26"/>
  <c r="BA313" i="26"/>
  <c r="AZ313" i="26"/>
  <c r="AY313" i="26"/>
  <c r="AX313" i="26"/>
  <c r="AW313" i="26"/>
  <c r="AV313" i="26"/>
  <c r="AU313" i="26"/>
  <c r="AT313" i="26"/>
  <c r="AS313" i="26"/>
  <c r="AR313" i="26"/>
  <c r="AQ313" i="26"/>
  <c r="AP313" i="26"/>
  <c r="AO313" i="26"/>
  <c r="AN313" i="26"/>
  <c r="AM313" i="26"/>
  <c r="AL313" i="26"/>
  <c r="AK313" i="26"/>
  <c r="AJ313" i="26"/>
  <c r="AI313" i="26"/>
  <c r="AH313" i="26"/>
  <c r="AG313" i="26"/>
  <c r="AF313" i="26"/>
  <c r="AE313" i="26"/>
  <c r="AD313" i="26"/>
  <c r="AC313" i="26"/>
  <c r="AB313" i="26"/>
  <c r="AA313" i="26"/>
  <c r="BL311" i="26"/>
  <c r="BW307" i="26"/>
  <c r="BV307" i="26"/>
  <c r="BU307" i="26"/>
  <c r="BT307" i="26"/>
  <c r="BS307" i="26"/>
  <c r="BR307" i="26"/>
  <c r="BQ307" i="26"/>
  <c r="BP307" i="26"/>
  <c r="BJ307" i="26"/>
  <c r="BI307" i="26"/>
  <c r="BH307" i="26"/>
  <c r="BG307" i="26"/>
  <c r="BF307" i="26"/>
  <c r="BE307" i="26"/>
  <c r="BD307" i="26"/>
  <c r="BC307" i="26"/>
  <c r="BB307" i="26"/>
  <c r="BA307" i="26"/>
  <c r="AZ307" i="26"/>
  <c r="AY307" i="26"/>
  <c r="AX307" i="26"/>
  <c r="AW307" i="26"/>
  <c r="AV307" i="26"/>
  <c r="AU307" i="26"/>
  <c r="AT307" i="26"/>
  <c r="AS307" i="26"/>
  <c r="AR307" i="26"/>
  <c r="AQ307" i="26"/>
  <c r="AP307" i="26"/>
  <c r="AO307" i="26"/>
  <c r="AN307" i="26"/>
  <c r="AM307" i="26"/>
  <c r="AL307" i="26"/>
  <c r="AK307" i="26"/>
  <c r="AJ307" i="26"/>
  <c r="AI307" i="26"/>
  <c r="AH307" i="26"/>
  <c r="AG307" i="26"/>
  <c r="AF307" i="26"/>
  <c r="AE307" i="26"/>
  <c r="AD307" i="26"/>
  <c r="AC307" i="26"/>
  <c r="AB307" i="26"/>
  <c r="AA307" i="26"/>
  <c r="D5" i="6"/>
  <c r="C5" i="6" a="1"/>
  <c r="C5" i="6" s="1"/>
  <c r="CE140" i="26"/>
  <c r="CE144" i="26"/>
  <c r="CE132" i="26"/>
  <c r="CE133" i="26"/>
  <c r="CE134" i="26"/>
  <c r="CE135" i="26"/>
  <c r="CE136" i="26"/>
  <c r="CE137" i="26"/>
  <c r="CE138" i="26"/>
  <c r="CE139" i="26"/>
  <c r="CE141" i="26"/>
  <c r="CE142" i="26"/>
  <c r="CE143" i="26"/>
  <c r="CE116" i="26"/>
  <c r="CE105" i="26"/>
  <c r="CE106" i="26"/>
  <c r="CE107" i="26"/>
  <c r="CE108" i="26"/>
  <c r="CE109" i="26"/>
  <c r="CE111" i="26"/>
  <c r="CE112" i="26"/>
  <c r="CE113" i="26"/>
  <c r="CE114" i="26"/>
  <c r="CE115" i="26"/>
  <c r="CE117" i="26"/>
  <c r="CE118" i="26"/>
  <c r="CE80" i="26"/>
  <c r="CE81" i="26"/>
  <c r="CE82" i="26"/>
  <c r="CE83" i="26"/>
  <c r="CE84" i="26"/>
  <c r="CE85" i="26"/>
  <c r="CE86" i="26"/>
  <c r="CE87" i="26"/>
  <c r="CE88" i="26"/>
  <c r="CE89" i="26"/>
  <c r="CE90" i="26"/>
  <c r="CE91" i="26"/>
  <c r="CE92" i="26"/>
  <c r="CE54" i="26"/>
  <c r="CE55" i="26"/>
  <c r="CE56" i="26"/>
  <c r="CE57" i="26"/>
  <c r="CE58" i="26"/>
  <c r="CE59" i="26"/>
  <c r="CE60" i="26"/>
  <c r="CE61" i="26"/>
  <c r="CE62" i="26"/>
  <c r="CE63" i="26"/>
  <c r="CE64" i="26"/>
  <c r="CE65" i="26"/>
  <c r="CE66" i="26"/>
  <c r="CE67" i="26"/>
  <c r="BZ66" i="26"/>
  <c r="BZ144" i="26"/>
  <c r="BZ143" i="26"/>
  <c r="BZ142" i="26"/>
  <c r="BZ141" i="26"/>
  <c r="BZ140" i="26"/>
  <c r="BZ139" i="26"/>
  <c r="BZ138" i="26"/>
  <c r="BZ137" i="26"/>
  <c r="BZ136" i="26"/>
  <c r="BZ135" i="26"/>
  <c r="BZ134" i="26"/>
  <c r="BZ133" i="26"/>
  <c r="BZ132" i="26"/>
  <c r="BZ131" i="26"/>
  <c r="BZ130" i="26"/>
  <c r="BZ118" i="26"/>
  <c r="BZ117" i="26"/>
  <c r="BZ116" i="26"/>
  <c r="BZ115" i="26"/>
  <c r="BZ114" i="26"/>
  <c r="BZ113" i="26"/>
  <c r="BZ112" i="26"/>
  <c r="BZ111" i="26"/>
  <c r="BZ110" i="26"/>
  <c r="BZ109" i="26"/>
  <c r="BZ108" i="26"/>
  <c r="BZ107" i="26"/>
  <c r="BZ106" i="26"/>
  <c r="BZ105" i="26"/>
  <c r="BZ104" i="26"/>
  <c r="BZ67" i="26"/>
  <c r="BZ65" i="26"/>
  <c r="BZ64" i="26"/>
  <c r="BZ63" i="26"/>
  <c r="BZ62" i="26"/>
  <c r="BZ61" i="26"/>
  <c r="BZ60" i="26"/>
  <c r="BZ59" i="26"/>
  <c r="BZ58" i="26"/>
  <c r="BZ57" i="26"/>
  <c r="BZ56" i="26"/>
  <c r="BZ55" i="26"/>
  <c r="BZ54" i="26"/>
  <c r="BZ53" i="26"/>
  <c r="V231" i="6"/>
  <c r="V226" i="6"/>
  <c r="V220" i="6"/>
  <c r="V204" i="6"/>
  <c r="V214" i="6"/>
  <c r="V195" i="6"/>
  <c r="V181" i="6"/>
  <c r="V123" i="6"/>
  <c r="V106" i="6"/>
  <c r="V67" i="6"/>
  <c r="V40" i="6"/>
  <c r="V276" i="26"/>
  <c r="V266" i="26"/>
  <c r="V257" i="26"/>
  <c r="V231" i="26"/>
  <c r="V245" i="26"/>
  <c r="V217" i="26"/>
  <c r="V203" i="26"/>
  <c r="E184" i="30" a="1"/>
  <c r="G183" i="30" a="1"/>
  <c r="G185" i="30" a="1"/>
  <c r="H189" i="30" a="1"/>
  <c r="G184" i="30" a="1"/>
  <c r="F189" i="30" a="1"/>
  <c r="G189" i="30" a="1"/>
  <c r="F184" i="30" a="1"/>
  <c r="E188" i="30" a="1"/>
  <c r="G182" i="30" a="1"/>
  <c r="E189" i="30" a="1"/>
  <c r="BL313" i="26" l="1"/>
  <c r="CS313" i="26" s="1"/>
  <c r="CK313" i="26" s="1"/>
  <c r="CS311" i="26"/>
  <c r="CK311" i="26" s="1"/>
  <c r="BL307" i="26"/>
  <c r="CS307" i="26" s="1"/>
  <c r="CK307" i="26" s="1"/>
  <c r="H189" i="30"/>
  <c r="G189" i="30"/>
  <c r="F189" i="30"/>
  <c r="E189" i="30"/>
  <c r="E188" i="30"/>
  <c r="G182" i="30"/>
  <c r="G183" i="30"/>
  <c r="G185" i="30"/>
  <c r="G184" i="30"/>
  <c r="F184" i="30"/>
  <c r="E184" i="30"/>
  <c r="BZ11" i="16" l="1"/>
  <c r="BZ14" i="16"/>
  <c r="BZ15" i="16"/>
  <c r="BZ13" i="16"/>
  <c r="BZ12" i="16"/>
  <c r="BZ16" i="16"/>
  <c r="BZ10" i="16"/>
  <c r="G42" i="9"/>
  <c r="G41" i="9"/>
  <c r="G40" i="9"/>
  <c r="H43" i="9"/>
  <c r="E35" i="9"/>
  <c r="H35" i="9" s="1"/>
  <c r="E34" i="9"/>
  <c r="H34" i="9" s="1"/>
  <c r="E33" i="9"/>
  <c r="H33" i="9" s="1"/>
  <c r="E42" i="9"/>
  <c r="E41" i="9"/>
  <c r="G158" i="30" a="1"/>
  <c r="F34" i="9" l="1"/>
  <c r="G33" i="9"/>
  <c r="F35" i="9"/>
  <c r="F33" i="9"/>
  <c r="G158" i="30"/>
  <c r="G43" i="9"/>
  <c r="H36" i="9"/>
  <c r="J43" i="9" s="1"/>
  <c r="CC43" i="9" s="1"/>
  <c r="G34" i="9"/>
  <c r="G35" i="9"/>
  <c r="I41" i="9" l="1"/>
  <c r="I40" i="9"/>
  <c r="I42" i="9"/>
  <c r="F36" i="9"/>
  <c r="G36" i="9"/>
  <c r="CB42" i="9" l="1"/>
  <c r="CB40" i="9"/>
  <c r="CB41" i="9"/>
  <c r="A41" i="9" s="1" a="1"/>
  <c r="A41" i="9" s="1"/>
  <c r="I43" i="9"/>
  <c r="A42" i="9" l="1" a="1"/>
  <c r="A42" i="9" s="1"/>
  <c r="CB43" i="9"/>
  <c r="A40" i="9" a="1"/>
  <c r="A40" i="9" s="1"/>
  <c r="V69" i="6"/>
  <c r="BP69" i="6"/>
  <c r="BQ69" i="6"/>
  <c r="BR69" i="6"/>
  <c r="BS69" i="6"/>
  <c r="BT69" i="6"/>
  <c r="BU69" i="6"/>
  <c r="BV69" i="6"/>
  <c r="BW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BA69" i="6"/>
  <c r="BB69" i="6"/>
  <c r="BC69" i="6"/>
  <c r="BD69" i="6"/>
  <c r="BE69" i="6"/>
  <c r="BF69" i="6"/>
  <c r="BG69" i="6"/>
  <c r="BH69" i="6"/>
  <c r="BI69" i="6"/>
  <c r="BJ69" i="6"/>
  <c r="AA69" i="6"/>
  <c r="A43" i="9" l="1" a="1"/>
  <c r="A43" i="9" s="1"/>
  <c r="E152" i="30" a="1"/>
  <c r="E153" i="30" a="1"/>
  <c r="E153" i="30" l="1"/>
  <c r="E152" i="30"/>
  <c r="AA147" i="1"/>
  <c r="AB147" i="1"/>
  <c r="AC147" i="1"/>
  <c r="AD147" i="1"/>
  <c r="AE147" i="1"/>
  <c r="AF147" i="1"/>
  <c r="AG147" i="1"/>
  <c r="AH147" i="1"/>
  <c r="AI147" i="1"/>
  <c r="AJ147" i="1"/>
  <c r="AK147" i="1"/>
  <c r="AL147" i="1"/>
  <c r="AM147" i="1"/>
  <c r="AN147" i="1"/>
  <c r="AO147" i="1"/>
  <c r="AP147" i="1"/>
  <c r="AQ147" i="1"/>
  <c r="AR147" i="1"/>
  <c r="AS147" i="1"/>
  <c r="AT147" i="1"/>
  <c r="AU147" i="1"/>
  <c r="AV147" i="1"/>
  <c r="AW147" i="1"/>
  <c r="AX147" i="1"/>
  <c r="AY147" i="1"/>
  <c r="AZ147" i="1"/>
  <c r="BA147" i="1"/>
  <c r="BB147" i="1"/>
  <c r="BC147" i="1"/>
  <c r="BD147" i="1"/>
  <c r="BE147" i="1"/>
  <c r="BF147" i="1"/>
  <c r="BG147" i="1"/>
  <c r="BH147" i="1"/>
  <c r="BI147" i="1"/>
  <c r="BJ147" i="1"/>
  <c r="BP147" i="1"/>
  <c r="BQ147" i="1"/>
  <c r="BR147" i="1"/>
  <c r="BS147" i="1"/>
  <c r="BT147" i="1"/>
  <c r="BU147" i="1"/>
  <c r="BV147" i="1"/>
  <c r="BW147" i="1"/>
  <c r="V147" i="1"/>
  <c r="AA171" i="30"/>
  <c r="AB171" i="30"/>
  <c r="AC171" i="30"/>
  <c r="AD171" i="30"/>
  <c r="AE171" i="30"/>
  <c r="AF171" i="30"/>
  <c r="AG171" i="30"/>
  <c r="AH171" i="30"/>
  <c r="AI171" i="30"/>
  <c r="AJ171" i="30"/>
  <c r="AK171" i="30"/>
  <c r="AL171" i="30"/>
  <c r="AM171" i="30"/>
  <c r="AN171" i="30"/>
  <c r="AO171" i="30"/>
  <c r="AP171" i="30"/>
  <c r="AQ171" i="30"/>
  <c r="AR171" i="30"/>
  <c r="AS171" i="30"/>
  <c r="AT171" i="30"/>
  <c r="AU171" i="30"/>
  <c r="AV171" i="30"/>
  <c r="AW171" i="30"/>
  <c r="AX171" i="30"/>
  <c r="AY171" i="30"/>
  <c r="AZ171" i="30"/>
  <c r="BA171" i="30"/>
  <c r="BB171" i="30"/>
  <c r="BC171" i="30"/>
  <c r="BD171" i="30"/>
  <c r="BE171" i="30"/>
  <c r="BF171" i="30"/>
  <c r="BG171" i="30"/>
  <c r="BH171" i="30"/>
  <c r="BI171" i="30"/>
  <c r="BJ171" i="30"/>
  <c r="BP171" i="30"/>
  <c r="BQ171" i="30"/>
  <c r="BR171" i="30"/>
  <c r="BS171" i="30"/>
  <c r="BT171" i="30"/>
  <c r="BU171" i="30"/>
  <c r="BV171" i="30"/>
  <c r="BW171" i="30"/>
  <c r="V171" i="30"/>
  <c r="E147" i="1" a="1"/>
  <c r="V151" i="1" l="1"/>
  <c r="E147" i="1"/>
  <c r="Z217" i="6"/>
  <c r="BL216" i="6"/>
  <c r="BL171" i="30" s="1"/>
  <c r="CM171" i="30" s="1"/>
  <c r="CE171" i="30" s="1"/>
  <c r="E171" i="30" a="1"/>
  <c r="E171" i="30" l="1"/>
  <c r="V86" i="6"/>
  <c r="V178" i="6"/>
  <c r="V106" i="30" s="1"/>
  <c r="AA106" i="30"/>
  <c r="AB106" i="30"/>
  <c r="AC106" i="30"/>
  <c r="AD106" i="30"/>
  <c r="AE106" i="30"/>
  <c r="AF106" i="30"/>
  <c r="AG106" i="30"/>
  <c r="AH106" i="30"/>
  <c r="AI106" i="30"/>
  <c r="AJ106" i="30"/>
  <c r="AK106" i="30"/>
  <c r="AL106" i="30"/>
  <c r="AM106" i="30"/>
  <c r="AN106" i="30"/>
  <c r="AO106" i="30"/>
  <c r="AP106" i="30"/>
  <c r="AQ106" i="30"/>
  <c r="AR106" i="30"/>
  <c r="AS106" i="30"/>
  <c r="AT106" i="30"/>
  <c r="AU106" i="30"/>
  <c r="AV106" i="30"/>
  <c r="AW106" i="30"/>
  <c r="AX106" i="30"/>
  <c r="AY106" i="30"/>
  <c r="AZ106" i="30"/>
  <c r="BA106" i="30"/>
  <c r="BB106" i="30"/>
  <c r="BC106" i="30"/>
  <c r="BD106" i="30"/>
  <c r="BE106" i="30"/>
  <c r="BF106" i="30"/>
  <c r="BG106" i="30"/>
  <c r="BH106" i="30"/>
  <c r="BI106" i="30"/>
  <c r="BJ106" i="30"/>
  <c r="BP106" i="30"/>
  <c r="BQ106" i="30"/>
  <c r="BR106" i="30"/>
  <c r="BS106" i="30"/>
  <c r="BT106" i="30"/>
  <c r="BU106" i="30"/>
  <c r="BV106" i="30"/>
  <c r="BW106" i="30"/>
  <c r="C106" i="30"/>
  <c r="E172" i="30" a="1"/>
  <c r="BW163" i="30" l="1"/>
  <c r="BS163" i="30"/>
  <c r="BI163" i="30"/>
  <c r="BE163" i="30"/>
  <c r="BA163" i="30"/>
  <c r="AW163" i="30"/>
  <c r="AS163" i="30"/>
  <c r="AO163" i="30"/>
  <c r="AK163" i="30"/>
  <c r="AG163" i="30"/>
  <c r="AC163" i="30"/>
  <c r="BT163" i="30"/>
  <c r="BG163" i="30"/>
  <c r="BC163" i="30"/>
  <c r="AY163" i="30"/>
  <c r="AU163" i="30"/>
  <c r="AQ163" i="30"/>
  <c r="AM163" i="30"/>
  <c r="AI163" i="30"/>
  <c r="AE163" i="30"/>
  <c r="AA163" i="30"/>
  <c r="BJ163" i="30"/>
  <c r="BF163" i="30"/>
  <c r="BB163" i="30"/>
  <c r="AX163" i="30"/>
  <c r="AT163" i="30"/>
  <c r="AP163" i="30"/>
  <c r="AL163" i="30"/>
  <c r="AH163" i="30"/>
  <c r="AD163" i="30"/>
  <c r="BV163" i="30"/>
  <c r="BU163" i="30"/>
  <c r="BQ163" i="30"/>
  <c r="BH163" i="30"/>
  <c r="BD163" i="30"/>
  <c r="AZ163" i="30"/>
  <c r="AV163" i="30"/>
  <c r="AR163" i="30"/>
  <c r="AN163" i="30"/>
  <c r="AJ163" i="30"/>
  <c r="AF163" i="30"/>
  <c r="AB163" i="30"/>
  <c r="BR163" i="30"/>
  <c r="E172" i="30"/>
  <c r="BL178" i="6"/>
  <c r="BL106" i="30" s="1"/>
  <c r="CM106" i="30" s="1"/>
  <c r="CE106" i="30" s="1"/>
  <c r="AA83" i="30"/>
  <c r="AB83" i="30"/>
  <c r="AC83" i="30"/>
  <c r="AD83" i="30"/>
  <c r="AE83" i="30"/>
  <c r="AF83" i="30"/>
  <c r="AG83" i="30"/>
  <c r="AH83" i="30"/>
  <c r="AI83" i="30"/>
  <c r="AJ83" i="30"/>
  <c r="AK83" i="30"/>
  <c r="AL83" i="30"/>
  <c r="AM83" i="30"/>
  <c r="AN83" i="30"/>
  <c r="AO83" i="30"/>
  <c r="AP83" i="30"/>
  <c r="AQ83" i="30"/>
  <c r="AR83" i="30"/>
  <c r="AS83" i="30"/>
  <c r="AT83" i="30"/>
  <c r="AU83" i="30"/>
  <c r="AV83" i="30"/>
  <c r="AW83" i="30"/>
  <c r="AX83" i="30"/>
  <c r="AY83" i="30"/>
  <c r="AZ83" i="30"/>
  <c r="BA83" i="30"/>
  <c r="BB83" i="30"/>
  <c r="BC83" i="30"/>
  <c r="BD83" i="30"/>
  <c r="BE83" i="30"/>
  <c r="BF83" i="30"/>
  <c r="BG83" i="30"/>
  <c r="BH83" i="30"/>
  <c r="BI83" i="30"/>
  <c r="BJ83" i="30"/>
  <c r="BP83" i="30"/>
  <c r="BQ83" i="30"/>
  <c r="BR83" i="30"/>
  <c r="BS83" i="30"/>
  <c r="BT83" i="30"/>
  <c r="BU83" i="30"/>
  <c r="BV83" i="30"/>
  <c r="BW83" i="30"/>
  <c r="C83" i="30"/>
  <c r="V79" i="6"/>
  <c r="V83" i="30" s="1"/>
  <c r="W31" i="16"/>
  <c r="E163" i="30" a="1"/>
  <c r="D106" i="30" a="1"/>
  <c r="D83" i="30" a="1"/>
  <c r="BV172" i="30" l="1"/>
  <c r="BR172" i="30"/>
  <c r="BI172" i="30"/>
  <c r="BE172" i="30"/>
  <c r="BA172" i="30"/>
  <c r="AW172" i="30"/>
  <c r="AS172" i="30"/>
  <c r="AO172" i="30"/>
  <c r="AK172" i="30"/>
  <c r="AG172" i="30"/>
  <c r="AC172" i="30"/>
  <c r="E163" i="30"/>
  <c r="D106" i="30"/>
  <c r="EX106" i="30" s="1"/>
  <c r="BU172" i="30"/>
  <c r="BQ172" i="30"/>
  <c r="BH172" i="30"/>
  <c r="BD172" i="30"/>
  <c r="AZ172" i="30"/>
  <c r="AV172" i="30"/>
  <c r="AR172" i="30"/>
  <c r="AN172" i="30"/>
  <c r="AJ172" i="30"/>
  <c r="AF172" i="30"/>
  <c r="AB172" i="30"/>
  <c r="BW172" i="30"/>
  <c r="BS172" i="30"/>
  <c r="BJ172" i="30"/>
  <c r="BF172" i="30"/>
  <c r="BB172" i="30"/>
  <c r="AX172" i="30"/>
  <c r="AT172" i="30"/>
  <c r="AP172" i="30"/>
  <c r="AL172" i="30"/>
  <c r="AH172" i="30"/>
  <c r="AD172" i="30"/>
  <c r="BT172" i="30"/>
  <c r="BG172" i="30"/>
  <c r="BC172" i="30"/>
  <c r="AY172" i="30"/>
  <c r="AU172" i="30"/>
  <c r="AQ172" i="30"/>
  <c r="AM172" i="30"/>
  <c r="AI172" i="30"/>
  <c r="AE172" i="30"/>
  <c r="AA172" i="30"/>
  <c r="D83" i="30"/>
  <c r="BL79" i="6"/>
  <c r="BL83" i="30" s="1"/>
  <c r="CM83" i="30" s="1"/>
  <c r="CE83" i="30" s="1"/>
  <c r="EX83" i="30" l="1"/>
  <c r="AA188" i="1"/>
  <c r="AA147" i="20" s="1"/>
  <c r="AB188" i="1"/>
  <c r="AB147" i="20" s="1"/>
  <c r="AC188" i="1"/>
  <c r="AC147" i="20" s="1"/>
  <c r="AD188" i="1"/>
  <c r="AD147" i="20" s="1"/>
  <c r="AE188" i="1"/>
  <c r="AE147" i="20" s="1"/>
  <c r="AF188" i="1"/>
  <c r="AF147" i="20" s="1"/>
  <c r="AG188" i="1"/>
  <c r="AG147" i="20" s="1"/>
  <c r="AH188" i="1"/>
  <c r="AH147" i="20" s="1"/>
  <c r="AI188" i="1"/>
  <c r="AI147" i="20" s="1"/>
  <c r="AJ188" i="1"/>
  <c r="AJ147" i="20" s="1"/>
  <c r="AK188" i="1"/>
  <c r="AK147" i="20" s="1"/>
  <c r="AL188" i="1"/>
  <c r="AL147" i="20" s="1"/>
  <c r="AM188" i="1"/>
  <c r="AM147" i="20" s="1"/>
  <c r="AN188" i="1"/>
  <c r="AN147" i="20" s="1"/>
  <c r="AO188" i="1"/>
  <c r="AO147" i="20" s="1"/>
  <c r="AP188" i="1"/>
  <c r="AP147" i="20" s="1"/>
  <c r="AQ188" i="1"/>
  <c r="AQ147" i="20" s="1"/>
  <c r="AR188" i="1"/>
  <c r="AR147" i="20" s="1"/>
  <c r="AS188" i="1"/>
  <c r="AS147" i="20" s="1"/>
  <c r="AT188" i="1"/>
  <c r="AT147" i="20" s="1"/>
  <c r="AU188" i="1"/>
  <c r="AU147" i="20" s="1"/>
  <c r="AV188" i="1"/>
  <c r="AV147" i="20" s="1"/>
  <c r="AW188" i="1"/>
  <c r="AW147" i="20" s="1"/>
  <c r="AX188" i="1"/>
  <c r="AX147" i="20" s="1"/>
  <c r="AY188" i="1"/>
  <c r="AY147" i="20" s="1"/>
  <c r="AZ188" i="1"/>
  <c r="AZ147" i="20" s="1"/>
  <c r="BA188" i="1"/>
  <c r="BA147" i="20" s="1"/>
  <c r="BB188" i="1"/>
  <c r="BB147" i="20" s="1"/>
  <c r="BC188" i="1"/>
  <c r="BC147" i="20" s="1"/>
  <c r="BD188" i="1"/>
  <c r="BD147" i="20" s="1"/>
  <c r="BE188" i="1"/>
  <c r="BE147" i="20" s="1"/>
  <c r="BF188" i="1"/>
  <c r="BF147" i="20" s="1"/>
  <c r="BG188" i="1"/>
  <c r="BG147" i="20" s="1"/>
  <c r="BH188" i="1"/>
  <c r="BH147" i="20" s="1"/>
  <c r="BI188" i="1"/>
  <c r="BI147" i="20" s="1"/>
  <c r="BJ188" i="1"/>
  <c r="BJ147" i="20" s="1"/>
  <c r="BP188" i="1"/>
  <c r="BP147" i="20" s="1"/>
  <c r="BQ188" i="1"/>
  <c r="BQ147" i="20" s="1"/>
  <c r="BR188" i="1"/>
  <c r="BR147" i="20" s="1"/>
  <c r="BS188" i="1"/>
  <c r="BS147" i="20" s="1"/>
  <c r="BT188" i="1"/>
  <c r="BT147" i="20" s="1"/>
  <c r="BU188" i="1"/>
  <c r="BU147" i="20" s="1"/>
  <c r="BV188" i="1"/>
  <c r="BV147" i="20" s="1"/>
  <c r="BW188" i="1"/>
  <c r="BW147" i="20" s="1"/>
  <c r="V188" i="1"/>
  <c r="AA171" i="1"/>
  <c r="AB171" i="1"/>
  <c r="AC171" i="1"/>
  <c r="AD171" i="1"/>
  <c r="AE171" i="1"/>
  <c r="AF171" i="1"/>
  <c r="AG171" i="1"/>
  <c r="AH171" i="1"/>
  <c r="AI171" i="1"/>
  <c r="AJ171" i="1"/>
  <c r="AK171" i="1"/>
  <c r="AL171" i="1"/>
  <c r="AM171" i="1"/>
  <c r="AN171" i="1"/>
  <c r="AO171" i="1"/>
  <c r="AP171" i="1"/>
  <c r="AQ171" i="1"/>
  <c r="AR171" i="1"/>
  <c r="AS171" i="1"/>
  <c r="AT171" i="1"/>
  <c r="AU171" i="1"/>
  <c r="AV171" i="1"/>
  <c r="AW171" i="1"/>
  <c r="AX171" i="1"/>
  <c r="AY171" i="1"/>
  <c r="AZ171" i="1"/>
  <c r="BA171" i="1"/>
  <c r="BB171" i="1"/>
  <c r="BC171" i="1"/>
  <c r="BD171" i="1"/>
  <c r="BE171" i="1"/>
  <c r="BF171" i="1"/>
  <c r="BG171" i="1"/>
  <c r="BH171" i="1"/>
  <c r="BI171" i="1"/>
  <c r="BJ171" i="1"/>
  <c r="BP171" i="1"/>
  <c r="BQ171" i="1"/>
  <c r="BR171" i="1"/>
  <c r="BS171" i="1"/>
  <c r="BT171" i="1"/>
  <c r="BU171" i="1"/>
  <c r="BV171" i="1"/>
  <c r="BW171" i="1"/>
  <c r="AA134" i="1"/>
  <c r="V171" i="1"/>
  <c r="V147" i="20" l="1"/>
  <c r="V162" i="1" l="1"/>
  <c r="G159" i="30" a="1"/>
  <c r="E160" i="30" a="1"/>
  <c r="E161" i="30" a="1"/>
  <c r="E161" i="30" l="1"/>
  <c r="G159" i="30"/>
  <c r="E160" i="30"/>
  <c r="V47" i="6" l="1"/>
  <c r="W17" i="16"/>
  <c r="V17" i="16"/>
  <c r="D72" i="30" a="1"/>
  <c r="BL47" i="6" l="1"/>
  <c r="BL72" i="30" s="1"/>
  <c r="V72" i="30"/>
  <c r="D72" i="30"/>
  <c r="CM72" i="30" l="1"/>
  <c r="CE72" i="30" s="1"/>
  <c r="EX72" i="30"/>
  <c r="AA72" i="30"/>
  <c r="AA160" i="30" s="1"/>
  <c r="AB72" i="30" l="1"/>
  <c r="AB160" i="30" s="1"/>
  <c r="D9" i="35"/>
  <c r="E180" i="1" a="1"/>
  <c r="AC72" i="30" l="1"/>
  <c r="AC160" i="30" s="1"/>
  <c r="E180" i="1"/>
  <c r="V201" i="30"/>
  <c r="V197" i="30"/>
  <c r="BP197" i="30"/>
  <c r="BP84" i="33" s="1"/>
  <c r="BQ197" i="30"/>
  <c r="BQ84" i="33" s="1"/>
  <c r="BR197" i="30"/>
  <c r="BR84" i="33" s="1"/>
  <c r="BS197" i="30"/>
  <c r="BS84" i="33" s="1"/>
  <c r="BT197" i="30"/>
  <c r="BT84" i="33" s="1"/>
  <c r="BU197" i="30"/>
  <c r="BU84" i="33" s="1"/>
  <c r="BV197" i="30"/>
  <c r="BV84" i="33" s="1"/>
  <c r="BW197" i="30"/>
  <c r="BW84" i="33" s="1"/>
  <c r="BP201" i="30"/>
  <c r="BP87" i="33" s="1"/>
  <c r="BQ201" i="30"/>
  <c r="BQ87" i="33" s="1"/>
  <c r="BR201" i="30"/>
  <c r="BR87" i="33" s="1"/>
  <c r="BS201" i="30"/>
  <c r="BS87" i="33" s="1"/>
  <c r="BT201" i="30"/>
  <c r="BT87" i="33" s="1"/>
  <c r="BU201" i="30"/>
  <c r="BU87" i="33" s="1"/>
  <c r="BV201" i="30"/>
  <c r="BV87" i="33" s="1"/>
  <c r="BW201" i="30"/>
  <c r="BW87" i="33" s="1"/>
  <c r="BQ188" i="30"/>
  <c r="BR188" i="30"/>
  <c r="BS188" i="30"/>
  <c r="BT188" i="30"/>
  <c r="BU188" i="30"/>
  <c r="BV188" i="30"/>
  <c r="BW188" i="30"/>
  <c r="BP181" i="30"/>
  <c r="BQ181" i="30"/>
  <c r="BR181" i="30"/>
  <c r="BS181" i="30"/>
  <c r="BT181" i="30"/>
  <c r="BU181" i="30"/>
  <c r="BV181" i="30"/>
  <c r="BW181" i="30"/>
  <c r="BP189" i="30"/>
  <c r="BQ189" i="30"/>
  <c r="BR189" i="30"/>
  <c r="BS189" i="30"/>
  <c r="BT189" i="30"/>
  <c r="BU189" i="30"/>
  <c r="BV189" i="30"/>
  <c r="BW189" i="30"/>
  <c r="BP190" i="30"/>
  <c r="BP77" i="33" s="1"/>
  <c r="BQ190" i="30"/>
  <c r="BQ77" i="33" s="1"/>
  <c r="BR190" i="30"/>
  <c r="BR77" i="33" s="1"/>
  <c r="BS190" i="30"/>
  <c r="BS77" i="33" s="1"/>
  <c r="BT190" i="30"/>
  <c r="BT77" i="33" s="1"/>
  <c r="BU190" i="30"/>
  <c r="BU77" i="33" s="1"/>
  <c r="BV190" i="30"/>
  <c r="BV77" i="33" s="1"/>
  <c r="BW190" i="30"/>
  <c r="BW77" i="33" s="1"/>
  <c r="V189" i="30"/>
  <c r="V181" i="30"/>
  <c r="V149" i="30"/>
  <c r="BP149" i="30"/>
  <c r="BP57" i="33" s="1"/>
  <c r="BQ149" i="30"/>
  <c r="BQ57" i="33" s="1"/>
  <c r="BR149" i="30"/>
  <c r="BR57" i="33" s="1"/>
  <c r="BS149" i="30"/>
  <c r="BS57" i="33" s="1"/>
  <c r="BT149" i="30"/>
  <c r="BT57" i="33" s="1"/>
  <c r="BU149" i="30"/>
  <c r="BU57" i="33" s="1"/>
  <c r="BV149" i="30"/>
  <c r="BV57" i="33" s="1"/>
  <c r="BW149" i="30"/>
  <c r="BW57" i="33" s="1"/>
  <c r="V84" i="33" l="1"/>
  <c r="V57" i="33"/>
  <c r="W208" i="30"/>
  <c r="V119" i="13"/>
  <c r="AD72" i="30"/>
  <c r="AD160" i="30" s="1"/>
  <c r="D9" i="12"/>
  <c r="V70" i="16"/>
  <c r="AE72" i="30" l="1"/>
  <c r="AE160" i="30" s="1"/>
  <c r="AF72" i="30" l="1"/>
  <c r="AF160" i="30" s="1"/>
  <c r="AG72" i="30" l="1"/>
  <c r="AG160" i="30" s="1"/>
  <c r="AH72" i="30" l="1"/>
  <c r="AH160" i="30" s="1"/>
  <c r="V136" i="6"/>
  <c r="V148" i="6"/>
  <c r="AI72" i="30" l="1"/>
  <c r="AI160" i="30" s="1"/>
  <c r="AJ72" i="30" l="1"/>
  <c r="AJ160" i="30" s="1"/>
  <c r="W30" i="3"/>
  <c r="X30" i="3" s="1"/>
  <c r="Y30" i="3" s="1"/>
  <c r="AK72" i="30" l="1"/>
  <c r="AK160" i="30" s="1"/>
  <c r="D50" i="30" a="1"/>
  <c r="AL72" i="30" l="1"/>
  <c r="AL160" i="30" s="1"/>
  <c r="D50" i="30"/>
  <c r="EX50" i="30" l="1"/>
  <c r="AM72" i="30"/>
  <c r="AM160" i="30" s="1"/>
  <c r="AN72" i="30" l="1"/>
  <c r="AN160" i="30" s="1"/>
  <c r="AO72" i="30" l="1"/>
  <c r="AO160" i="30" s="1"/>
  <c r="BL214" i="6"/>
  <c r="AP72" i="30" l="1"/>
  <c r="AP160" i="30" s="1"/>
  <c r="AQ72" i="30" l="1"/>
  <c r="AQ160" i="30" s="1"/>
  <c r="AR72" i="30" l="1"/>
  <c r="AR160" i="30" s="1"/>
  <c r="AS72" i="30" l="1"/>
  <c r="AS160" i="30" s="1"/>
  <c r="CJ13" i="9"/>
  <c r="AT72" i="30" l="1"/>
  <c r="AT160" i="30" s="1"/>
  <c r="AU72" i="30" l="1"/>
  <c r="AU160" i="30" s="1"/>
  <c r="E23" i="28"/>
  <c r="CB19" i="28" s="1"/>
  <c r="A19" i="28" s="1" a="1"/>
  <c r="A19" i="28" s="1"/>
  <c r="AV72" i="30" l="1"/>
  <c r="AV160" i="30" s="1"/>
  <c r="E25" i="28"/>
  <c r="E27" i="28" s="1"/>
  <c r="E8" i="3"/>
  <c r="CB21" i="28" l="1"/>
  <c r="A21" i="28" s="1" a="1"/>
  <c r="A21" i="28" s="1"/>
  <c r="A2" i="28" s="1" a="1"/>
  <c r="A2" i="28" s="1"/>
  <c r="AW72" i="30"/>
  <c r="AW160" i="30" s="1"/>
  <c r="W8" i="3"/>
  <c r="W7" i="16" s="1"/>
  <c r="AA8" i="3"/>
  <c r="E10" i="3"/>
  <c r="AA10" i="3" l="1"/>
  <c r="AB8" i="3" s="1"/>
  <c r="AX72" i="30"/>
  <c r="AX160" i="30" s="1"/>
  <c r="W10" i="3"/>
  <c r="W4" i="3" s="1"/>
  <c r="W2" i="44" s="1" a="1"/>
  <c r="W2" i="44" s="1"/>
  <c r="V8" i="3"/>
  <c r="V7" i="16" s="1"/>
  <c r="BM8" i="3"/>
  <c r="BM10" i="3" s="1"/>
  <c r="BM5" i="3" s="1"/>
  <c r="AA4" i="3" l="1"/>
  <c r="AA2" i="44" s="1" a="1"/>
  <c r="AA2" i="44" s="1"/>
  <c r="AY72" i="30"/>
  <c r="AY160" i="30" s="1"/>
  <c r="V10" i="3"/>
  <c r="V5" i="3" s="1"/>
  <c r="V5" i="16" s="1"/>
  <c r="BL8" i="3"/>
  <c r="X8" i="3"/>
  <c r="X10" i="3" s="1"/>
  <c r="BM4" i="3"/>
  <c r="BM2" i="44" s="1" a="1"/>
  <c r="BM2" i="44" s="1"/>
  <c r="W12" i="3"/>
  <c r="AZ72" i="30" l="1"/>
  <c r="AZ160" i="30" s="1"/>
  <c r="V4" i="3"/>
  <c r="V2" i="44" s="1" a="1"/>
  <c r="V2" i="44" s="1"/>
  <c r="BN8" i="3"/>
  <c r="X4" i="3"/>
  <c r="X2" i="44" s="1" a="1"/>
  <c r="X2" i="44" s="1"/>
  <c r="BL10" i="3"/>
  <c r="BL5" i="3" s="1"/>
  <c r="V4" i="16" l="1"/>
  <c r="BA72" i="30"/>
  <c r="BA160" i="30" s="1"/>
  <c r="X4" i="9"/>
  <c r="BL4" i="3"/>
  <c r="BL2" i="44" s="1" a="1"/>
  <c r="BL2" i="44" s="1"/>
  <c r="BN10" i="3"/>
  <c r="BN5" i="3" s="1"/>
  <c r="BL6" i="4" a="1"/>
  <c r="BL6" i="4" s="1"/>
  <c r="V6" i="4" a="1"/>
  <c r="V6" i="4" s="1"/>
  <c r="A6" i="4" a="1"/>
  <c r="A6" i="4" s="1"/>
  <c r="BL6" i="3" a="1"/>
  <c r="BL6" i="3" s="1"/>
  <c r="V6" i="3" a="1"/>
  <c r="V6" i="3" s="1"/>
  <c r="A6" i="3" a="1"/>
  <c r="A6" i="3" s="1"/>
  <c r="BL6" i="11" a="1"/>
  <c r="BL6" i="11" s="1"/>
  <c r="S6" i="11" a="1"/>
  <c r="S6" i="11" s="1"/>
  <c r="BL6" i="35" a="1"/>
  <c r="BL6" i="35" s="1"/>
  <c r="V6" i="35" a="1"/>
  <c r="V6" i="35" s="1"/>
  <c r="A6" i="35" a="1"/>
  <c r="A6" i="35" s="1"/>
  <c r="A6" i="36" a="1"/>
  <c r="A6" i="36" s="1"/>
  <c r="BL6" i="33" a="1"/>
  <c r="BL6" i="33" s="1"/>
  <c r="V6" i="33" a="1"/>
  <c r="V6" i="33" s="1"/>
  <c r="A6" i="33" a="1"/>
  <c r="A6" i="33" s="1"/>
  <c r="BL6" i="12" a="1"/>
  <c r="BL6" i="12" s="1"/>
  <c r="A6" i="12" a="1"/>
  <c r="A6" i="12" s="1"/>
  <c r="BL6" i="32" a="1"/>
  <c r="BL6" i="32" s="1"/>
  <c r="V6" i="32" a="1"/>
  <c r="V6" i="32" s="1"/>
  <c r="A6" i="32" a="1"/>
  <c r="A6" i="32" s="1"/>
  <c r="BL141" i="30" a="1"/>
  <c r="BL141" i="30" s="1"/>
  <c r="V141" i="30" a="1"/>
  <c r="V141" i="30" s="1"/>
  <c r="BL63" i="30" a="1"/>
  <c r="BL63" i="30" s="1"/>
  <c r="V63" i="30" a="1"/>
  <c r="V63" i="30" s="1"/>
  <c r="BL11" i="30" a="1"/>
  <c r="BL11" i="30" s="1"/>
  <c r="V11" i="30" a="1"/>
  <c r="V11" i="30" s="1"/>
  <c r="BL6" i="30" a="1"/>
  <c r="BL6" i="30" s="1"/>
  <c r="V6" i="30" a="1"/>
  <c r="V6" i="30" s="1"/>
  <c r="A6" i="30" a="1"/>
  <c r="A6" i="30" s="1"/>
  <c r="B5" i="30" a="1"/>
  <c r="B5" i="30" s="1"/>
  <c r="B4" i="30" a="1"/>
  <c r="B4" i="30" s="1"/>
  <c r="B3" i="30" a="1"/>
  <c r="B3" i="30" s="1"/>
  <c r="BL6" i="38" a="1"/>
  <c r="BL6" i="38" s="1"/>
  <c r="V6" i="38" a="1"/>
  <c r="V6" i="38" s="1"/>
  <c r="A6" i="38" a="1"/>
  <c r="A6" i="38" s="1"/>
  <c r="BL6" i="6" a="1"/>
  <c r="BL6" i="6" s="1"/>
  <c r="V6" i="6" a="1"/>
  <c r="V6" i="6" s="1"/>
  <c r="A6" i="6" a="1"/>
  <c r="A6" i="6" s="1"/>
  <c r="B5" i="6" a="1"/>
  <c r="B5" i="6" s="1"/>
  <c r="B4" i="6" a="1"/>
  <c r="B4" i="6" s="1"/>
  <c r="B3" i="6" a="1"/>
  <c r="B3" i="6" s="1"/>
  <c r="B1079" i="9" a="1"/>
  <c r="B1079" i="9" s="1"/>
  <c r="EX1079" i="9" s="1"/>
  <c r="B1078" i="9" a="1"/>
  <c r="B1078" i="9" s="1"/>
  <c r="EX1078" i="9" s="1"/>
  <c r="B1077" i="9" a="1"/>
  <c r="B1077" i="9" s="1"/>
  <c r="EX1077" i="9" s="1"/>
  <c r="B1076" i="9" a="1"/>
  <c r="B1076" i="9" s="1"/>
  <c r="EX1076" i="9" s="1"/>
  <c r="B1075" i="9" a="1"/>
  <c r="B1075" i="9" s="1"/>
  <c r="EX1075" i="9" s="1"/>
  <c r="B1074" i="9" a="1"/>
  <c r="B1074" i="9" s="1"/>
  <c r="EX1074" i="9" s="1"/>
  <c r="B1073" i="9" a="1"/>
  <c r="B1073" i="9" s="1"/>
  <c r="EX1073" i="9" s="1"/>
  <c r="B1072" i="9" a="1"/>
  <c r="B1072" i="9" s="1"/>
  <c r="EX1072" i="9" s="1"/>
  <c r="B1071" i="9" a="1"/>
  <c r="B1071" i="9" s="1"/>
  <c r="EX1071" i="9" s="1"/>
  <c r="B1070" i="9" a="1"/>
  <c r="B1070" i="9" s="1"/>
  <c r="EX1070" i="9" s="1"/>
  <c r="B1069" i="9" a="1"/>
  <c r="B1069" i="9" s="1"/>
  <c r="EX1069" i="9" s="1"/>
  <c r="B1068" i="9" a="1"/>
  <c r="B1068" i="9" s="1"/>
  <c r="EX1068" i="9" s="1"/>
  <c r="B1067" i="9" a="1"/>
  <c r="B1067" i="9" s="1"/>
  <c r="EX1067" i="9" s="1"/>
  <c r="B1066" i="9" a="1"/>
  <c r="B1066" i="9" s="1"/>
  <c r="EX1066" i="9" s="1"/>
  <c r="B1065" i="9" a="1"/>
  <c r="B1065" i="9" s="1"/>
  <c r="EX1065" i="9" s="1"/>
  <c r="B1064" i="9" a="1"/>
  <c r="B1064" i="9" s="1"/>
  <c r="EX1064" i="9" s="1"/>
  <c r="B1063" i="9" a="1"/>
  <c r="B1063" i="9" s="1"/>
  <c r="EX1063" i="9" s="1"/>
  <c r="B1062" i="9" a="1"/>
  <c r="B1062" i="9" s="1"/>
  <c r="EX1062" i="9" s="1"/>
  <c r="B1061" i="9" a="1"/>
  <c r="B1061" i="9" s="1"/>
  <c r="EX1061" i="9" s="1"/>
  <c r="B1060" i="9" a="1"/>
  <c r="B1060" i="9" s="1"/>
  <c r="EX1060" i="9" s="1"/>
  <c r="B1056" i="9" a="1"/>
  <c r="B1056" i="9" s="1"/>
  <c r="B1055" i="9" a="1"/>
  <c r="B1055" i="9" s="1"/>
  <c r="B1054" i="9" a="1"/>
  <c r="B1054" i="9" s="1"/>
  <c r="B1053" i="9" a="1"/>
  <c r="B1053" i="9" s="1"/>
  <c r="B1052" i="9" a="1"/>
  <c r="B1052" i="9" s="1"/>
  <c r="B1051" i="9" a="1"/>
  <c r="B1051" i="9" s="1"/>
  <c r="B1050" i="9" a="1"/>
  <c r="B1050" i="9" s="1"/>
  <c r="B1049" i="9" a="1"/>
  <c r="B1049" i="9" s="1"/>
  <c r="B1048" i="9" a="1"/>
  <c r="B1048" i="9" s="1"/>
  <c r="B1047" i="9" a="1"/>
  <c r="B1047" i="9" s="1"/>
  <c r="B1046" i="9" a="1"/>
  <c r="B1046" i="9" s="1"/>
  <c r="B1045" i="9" a="1"/>
  <c r="B1045" i="9" s="1"/>
  <c r="B1044" i="9" a="1"/>
  <c r="B1044" i="9" s="1"/>
  <c r="B1043" i="9" a="1"/>
  <c r="B1043" i="9" s="1"/>
  <c r="B1042" i="9" a="1"/>
  <c r="B1042" i="9" s="1"/>
  <c r="B1041" i="9" a="1"/>
  <c r="B1041" i="9" s="1"/>
  <c r="B1040" i="9" a="1"/>
  <c r="B1040" i="9" s="1"/>
  <c r="B1039" i="9" a="1"/>
  <c r="B1039" i="9" s="1"/>
  <c r="B1038" i="9" a="1"/>
  <c r="B1038" i="9" s="1"/>
  <c r="B1037" i="9" a="1"/>
  <c r="B1037" i="9" s="1"/>
  <c r="B1033" i="9" a="1"/>
  <c r="B1033" i="9" s="1"/>
  <c r="B1032" i="9" a="1"/>
  <c r="B1032" i="9" s="1"/>
  <c r="B1031" i="9" a="1"/>
  <c r="B1031" i="9" s="1"/>
  <c r="B1030" i="9" a="1"/>
  <c r="B1030" i="9" s="1"/>
  <c r="B1029" i="9" a="1"/>
  <c r="B1029" i="9" s="1"/>
  <c r="B1028" i="9" a="1"/>
  <c r="B1028" i="9" s="1"/>
  <c r="B1027" i="9" a="1"/>
  <c r="B1027" i="9" s="1"/>
  <c r="B1026" i="9" a="1"/>
  <c r="B1026" i="9" s="1"/>
  <c r="B1025" i="9" a="1"/>
  <c r="B1025" i="9" s="1"/>
  <c r="B1024" i="9" a="1"/>
  <c r="B1024" i="9" s="1"/>
  <c r="B1023" i="9" a="1"/>
  <c r="B1023" i="9" s="1"/>
  <c r="B1022" i="9" a="1"/>
  <c r="B1022" i="9" s="1"/>
  <c r="B1021" i="9" a="1"/>
  <c r="B1021" i="9" s="1"/>
  <c r="B1020" i="9" a="1"/>
  <c r="B1020" i="9" s="1"/>
  <c r="B1019" i="9" a="1"/>
  <c r="B1019" i="9" s="1"/>
  <c r="B1018" i="9" a="1"/>
  <c r="B1018" i="9" s="1"/>
  <c r="B1017" i="9" a="1"/>
  <c r="B1017" i="9" s="1"/>
  <c r="B1016" i="9" a="1"/>
  <c r="B1016" i="9" s="1"/>
  <c r="B1015" i="9" a="1"/>
  <c r="B1015" i="9" s="1"/>
  <c r="B1014" i="9" a="1"/>
  <c r="B1014" i="9" s="1"/>
  <c r="B1010" i="9" a="1"/>
  <c r="B1010" i="9" s="1"/>
  <c r="B1009" i="9" a="1"/>
  <c r="B1009" i="9" s="1"/>
  <c r="B1008" i="9" a="1"/>
  <c r="B1008" i="9" s="1"/>
  <c r="B1007" i="9" a="1"/>
  <c r="B1007" i="9" s="1"/>
  <c r="B1006" i="9" a="1"/>
  <c r="B1006" i="9" s="1"/>
  <c r="B1005" i="9" a="1"/>
  <c r="B1005" i="9" s="1"/>
  <c r="B1004" i="9" a="1"/>
  <c r="B1004" i="9" s="1"/>
  <c r="B1003" i="9" a="1"/>
  <c r="B1003" i="9" s="1"/>
  <c r="B1002" i="9" a="1"/>
  <c r="B1002" i="9" s="1"/>
  <c r="B1001" i="9" a="1"/>
  <c r="B1001" i="9" s="1"/>
  <c r="B1000" i="9" a="1"/>
  <c r="B1000" i="9" s="1"/>
  <c r="B999" i="9" a="1"/>
  <c r="B999" i="9" s="1"/>
  <c r="B998" i="9" a="1"/>
  <c r="B998" i="9" s="1"/>
  <c r="B997" i="9" a="1"/>
  <c r="B997" i="9" s="1"/>
  <c r="B996" i="9" a="1"/>
  <c r="B996" i="9" s="1"/>
  <c r="B995" i="9" a="1"/>
  <c r="B995" i="9" s="1"/>
  <c r="B994" i="9" a="1"/>
  <c r="B994" i="9" s="1"/>
  <c r="B993" i="9" a="1"/>
  <c r="B993" i="9" s="1"/>
  <c r="B992" i="9" a="1"/>
  <c r="B992" i="9" s="1"/>
  <c r="B991" i="9" a="1"/>
  <c r="B991" i="9" s="1"/>
  <c r="B987" i="9" a="1"/>
  <c r="B987" i="9" s="1"/>
  <c r="B986" i="9" a="1"/>
  <c r="B986" i="9" s="1"/>
  <c r="B985" i="9" a="1"/>
  <c r="B985" i="9" s="1"/>
  <c r="B984" i="9" a="1"/>
  <c r="B984" i="9" s="1"/>
  <c r="B983" i="9" a="1"/>
  <c r="B983" i="9" s="1"/>
  <c r="B982" i="9" a="1"/>
  <c r="B982" i="9" s="1"/>
  <c r="B981" i="9" a="1"/>
  <c r="B981" i="9" s="1"/>
  <c r="B980" i="9" a="1"/>
  <c r="B980" i="9" s="1"/>
  <c r="B979" i="9" a="1"/>
  <c r="B979" i="9" s="1"/>
  <c r="B978" i="9" a="1"/>
  <c r="B978" i="9" s="1"/>
  <c r="B977" i="9" a="1"/>
  <c r="B977" i="9" s="1"/>
  <c r="B976" i="9" a="1"/>
  <c r="B976" i="9" s="1"/>
  <c r="B975" i="9" a="1"/>
  <c r="B975" i="9" s="1"/>
  <c r="B974" i="9" a="1"/>
  <c r="B974" i="9" s="1"/>
  <c r="B973" i="9" a="1"/>
  <c r="B973" i="9" s="1"/>
  <c r="B972" i="9" a="1"/>
  <c r="B972" i="9" s="1"/>
  <c r="B971" i="9" a="1"/>
  <c r="B971" i="9" s="1"/>
  <c r="B970" i="9" a="1"/>
  <c r="B970" i="9" s="1"/>
  <c r="B969" i="9" a="1"/>
  <c r="B969" i="9" s="1"/>
  <c r="B968" i="9" a="1"/>
  <c r="B968" i="9" s="1"/>
  <c r="B964" i="9" a="1"/>
  <c r="B964" i="9" s="1"/>
  <c r="EX964" i="9" s="1"/>
  <c r="B963" i="9" a="1"/>
  <c r="B963" i="9" s="1"/>
  <c r="EX963" i="9" s="1"/>
  <c r="B962" i="9" a="1"/>
  <c r="B962" i="9" s="1"/>
  <c r="EX962" i="9" s="1"/>
  <c r="B961" i="9" a="1"/>
  <c r="B961" i="9" s="1"/>
  <c r="EX961" i="9" s="1"/>
  <c r="B960" i="9" a="1"/>
  <c r="B960" i="9" s="1"/>
  <c r="EX960" i="9" s="1"/>
  <c r="B959" i="9" a="1"/>
  <c r="B959" i="9" s="1"/>
  <c r="EX959" i="9" s="1"/>
  <c r="B958" i="9" a="1"/>
  <c r="B958" i="9" s="1"/>
  <c r="EX958" i="9" s="1"/>
  <c r="B957" i="9" a="1"/>
  <c r="B957" i="9" s="1"/>
  <c r="EX957" i="9" s="1"/>
  <c r="B956" i="9" a="1"/>
  <c r="B956" i="9" s="1"/>
  <c r="EX956" i="9" s="1"/>
  <c r="B955" i="9" a="1"/>
  <c r="B955" i="9" s="1"/>
  <c r="EX955" i="9" s="1"/>
  <c r="B954" i="9" a="1"/>
  <c r="B954" i="9" s="1"/>
  <c r="EX954" i="9" s="1"/>
  <c r="B953" i="9" a="1"/>
  <c r="B953" i="9" s="1"/>
  <c r="EX953" i="9" s="1"/>
  <c r="B952" i="9" a="1"/>
  <c r="B952" i="9" s="1"/>
  <c r="EX952" i="9" s="1"/>
  <c r="B951" i="9" a="1"/>
  <c r="B951" i="9" s="1"/>
  <c r="EX951" i="9" s="1"/>
  <c r="B950" i="9" a="1"/>
  <c r="B950" i="9" s="1"/>
  <c r="EX950" i="9" s="1"/>
  <c r="B949" i="9" a="1"/>
  <c r="B949" i="9" s="1"/>
  <c r="EX949" i="9" s="1"/>
  <c r="B948" i="9" a="1"/>
  <c r="B948" i="9" s="1"/>
  <c r="EX948" i="9" s="1"/>
  <c r="B947" i="9" a="1"/>
  <c r="B947" i="9" s="1"/>
  <c r="EX947" i="9" s="1"/>
  <c r="B946" i="9" a="1"/>
  <c r="B946" i="9" s="1"/>
  <c r="EX946" i="9" s="1"/>
  <c r="B945" i="9" a="1"/>
  <c r="B945" i="9" s="1"/>
  <c r="EX945" i="9" s="1"/>
  <c r="B941" i="9" a="1"/>
  <c r="B941" i="9" s="1"/>
  <c r="B940" i="9" a="1"/>
  <c r="B940" i="9" s="1"/>
  <c r="B939" i="9" a="1"/>
  <c r="B939" i="9" s="1"/>
  <c r="B938" i="9" a="1"/>
  <c r="B938" i="9" s="1"/>
  <c r="B937" i="9" a="1"/>
  <c r="B937" i="9" s="1"/>
  <c r="B936" i="9" a="1"/>
  <c r="B936" i="9" s="1"/>
  <c r="B935" i="9" a="1"/>
  <c r="B935" i="9" s="1"/>
  <c r="B934" i="9" a="1"/>
  <c r="B934" i="9" s="1"/>
  <c r="B933" i="9" a="1"/>
  <c r="B933" i="9" s="1"/>
  <c r="B932" i="9" a="1"/>
  <c r="B932" i="9" s="1"/>
  <c r="B931" i="9" a="1"/>
  <c r="B931" i="9" s="1"/>
  <c r="B930" i="9" a="1"/>
  <c r="B930" i="9" s="1"/>
  <c r="B929" i="9" a="1"/>
  <c r="B929" i="9" s="1"/>
  <c r="B928" i="9" a="1"/>
  <c r="B928" i="9" s="1"/>
  <c r="B927" i="9" a="1"/>
  <c r="B927" i="9" s="1"/>
  <c r="B926" i="9" a="1"/>
  <c r="B926" i="9" s="1"/>
  <c r="B925" i="9" a="1"/>
  <c r="B925" i="9" s="1"/>
  <c r="B924" i="9" a="1"/>
  <c r="B924" i="9" s="1"/>
  <c r="B923" i="9" a="1"/>
  <c r="B923" i="9" s="1"/>
  <c r="B922" i="9" a="1"/>
  <c r="B922" i="9" s="1"/>
  <c r="B918" i="9" a="1"/>
  <c r="B918" i="9" s="1"/>
  <c r="B917" i="9" a="1"/>
  <c r="B917" i="9" s="1"/>
  <c r="B916" i="9" a="1"/>
  <c r="B916" i="9" s="1"/>
  <c r="B915" i="9" a="1"/>
  <c r="B915" i="9" s="1"/>
  <c r="B914" i="9" a="1"/>
  <c r="B914" i="9" s="1"/>
  <c r="B913" i="9" a="1"/>
  <c r="B913" i="9" s="1"/>
  <c r="B912" i="9" a="1"/>
  <c r="B912" i="9" s="1"/>
  <c r="B911" i="9" a="1"/>
  <c r="B911" i="9" s="1"/>
  <c r="B910" i="9" a="1"/>
  <c r="B910" i="9" s="1"/>
  <c r="B909" i="9" a="1"/>
  <c r="B909" i="9" s="1"/>
  <c r="B908" i="9" a="1"/>
  <c r="B908" i="9" s="1"/>
  <c r="B907" i="9" a="1"/>
  <c r="B907" i="9" s="1"/>
  <c r="B906" i="9" a="1"/>
  <c r="B906" i="9" s="1"/>
  <c r="B905" i="9" a="1"/>
  <c r="B905" i="9" s="1"/>
  <c r="B904" i="9" a="1"/>
  <c r="B904" i="9" s="1"/>
  <c r="B903" i="9" a="1"/>
  <c r="B903" i="9" s="1"/>
  <c r="B902" i="9" a="1"/>
  <c r="B902" i="9" s="1"/>
  <c r="B901" i="9" a="1"/>
  <c r="B901" i="9" s="1"/>
  <c r="B900" i="9" a="1"/>
  <c r="B900" i="9" s="1"/>
  <c r="B899" i="9" a="1"/>
  <c r="B899" i="9" s="1"/>
  <c r="B893" i="9" a="1"/>
  <c r="B893" i="9" s="1"/>
  <c r="EX893" i="9" s="1"/>
  <c r="B892" i="9" a="1"/>
  <c r="B892" i="9" s="1"/>
  <c r="EX892" i="9" s="1"/>
  <c r="B891" i="9" a="1"/>
  <c r="B891" i="9" s="1"/>
  <c r="EX891" i="9" s="1"/>
  <c r="B890" i="9" a="1"/>
  <c r="B890" i="9" s="1"/>
  <c r="EX890" i="9" s="1"/>
  <c r="B889" i="9" a="1"/>
  <c r="B889" i="9" s="1"/>
  <c r="EX889" i="9" s="1"/>
  <c r="B888" i="9" a="1"/>
  <c r="B888" i="9" s="1"/>
  <c r="EX888" i="9" s="1"/>
  <c r="B887" i="9" a="1"/>
  <c r="B887" i="9" s="1"/>
  <c r="EX887" i="9" s="1"/>
  <c r="B886" i="9" a="1"/>
  <c r="B886" i="9" s="1"/>
  <c r="EX886" i="9" s="1"/>
  <c r="B885" i="9" a="1"/>
  <c r="B885" i="9" s="1"/>
  <c r="EX885" i="9" s="1"/>
  <c r="B884" i="9" a="1"/>
  <c r="B884" i="9" s="1"/>
  <c r="EX884" i="9" s="1"/>
  <c r="B883" i="9" a="1"/>
  <c r="B883" i="9" s="1"/>
  <c r="EX883" i="9" s="1"/>
  <c r="B882" i="9" a="1"/>
  <c r="B882" i="9" s="1"/>
  <c r="EX882" i="9" s="1"/>
  <c r="B881" i="9" a="1"/>
  <c r="B881" i="9" s="1"/>
  <c r="EX881" i="9" s="1"/>
  <c r="B880" i="9" a="1"/>
  <c r="B880" i="9" s="1"/>
  <c r="EX880" i="9" s="1"/>
  <c r="B879" i="9" a="1"/>
  <c r="B879" i="9" s="1"/>
  <c r="EX879" i="9" s="1"/>
  <c r="B878" i="9" a="1"/>
  <c r="B878" i="9" s="1"/>
  <c r="EX878" i="9" s="1"/>
  <c r="B877" i="9" a="1"/>
  <c r="B877" i="9" s="1"/>
  <c r="EX877" i="9" s="1"/>
  <c r="B876" i="9" a="1"/>
  <c r="B876" i="9" s="1"/>
  <c r="EX876" i="9" s="1"/>
  <c r="B875" i="9" a="1"/>
  <c r="B875" i="9" s="1"/>
  <c r="EX875" i="9" s="1"/>
  <c r="B874" i="9" a="1"/>
  <c r="B874" i="9" s="1"/>
  <c r="EX874" i="9" s="1"/>
  <c r="B870" i="9" a="1"/>
  <c r="B870" i="9" s="1"/>
  <c r="EX870" i="9" s="1"/>
  <c r="B869" i="9" a="1"/>
  <c r="B869" i="9" s="1"/>
  <c r="EX869" i="9" s="1"/>
  <c r="B868" i="9" a="1"/>
  <c r="B868" i="9" s="1"/>
  <c r="EX868" i="9" s="1"/>
  <c r="B867" i="9" a="1"/>
  <c r="B867" i="9" s="1"/>
  <c r="EX867" i="9" s="1"/>
  <c r="B866" i="9" a="1"/>
  <c r="B866" i="9" s="1"/>
  <c r="EX866" i="9" s="1"/>
  <c r="B865" i="9" a="1"/>
  <c r="B865" i="9" s="1"/>
  <c r="EX865" i="9" s="1"/>
  <c r="B864" i="9" a="1"/>
  <c r="B864" i="9" s="1"/>
  <c r="EX864" i="9" s="1"/>
  <c r="B863" i="9" a="1"/>
  <c r="B863" i="9" s="1"/>
  <c r="EX863" i="9" s="1"/>
  <c r="B862" i="9" a="1"/>
  <c r="B862" i="9" s="1"/>
  <c r="EX862" i="9" s="1"/>
  <c r="B861" i="9" a="1"/>
  <c r="B861" i="9" s="1"/>
  <c r="EX861" i="9" s="1"/>
  <c r="B860" i="9" a="1"/>
  <c r="B860" i="9" s="1"/>
  <c r="EX860" i="9" s="1"/>
  <c r="B859" i="9" a="1"/>
  <c r="B859" i="9" s="1"/>
  <c r="EX859" i="9" s="1"/>
  <c r="B858" i="9" a="1"/>
  <c r="B858" i="9" s="1"/>
  <c r="EX858" i="9" s="1"/>
  <c r="B857" i="9" a="1"/>
  <c r="B857" i="9" s="1"/>
  <c r="EX857" i="9" s="1"/>
  <c r="B856" i="9" a="1"/>
  <c r="B856" i="9" s="1"/>
  <c r="EX856" i="9" s="1"/>
  <c r="B855" i="9" a="1"/>
  <c r="B855" i="9" s="1"/>
  <c r="EX855" i="9" s="1"/>
  <c r="B854" i="9" a="1"/>
  <c r="B854" i="9" s="1"/>
  <c r="EX854" i="9" s="1"/>
  <c r="B853" i="9" a="1"/>
  <c r="B853" i="9" s="1"/>
  <c r="EX853" i="9" s="1"/>
  <c r="B852" i="9" a="1"/>
  <c r="B852" i="9" s="1"/>
  <c r="EX852" i="9" s="1"/>
  <c r="B851" i="9" a="1"/>
  <c r="B851" i="9" s="1"/>
  <c r="EX851" i="9" s="1"/>
  <c r="B847" i="9" a="1"/>
  <c r="B847" i="9" s="1"/>
  <c r="EX847" i="9" s="1"/>
  <c r="B846" i="9" a="1"/>
  <c r="B846" i="9" s="1"/>
  <c r="EX846" i="9" s="1"/>
  <c r="B845" i="9" a="1"/>
  <c r="B845" i="9" s="1"/>
  <c r="EX845" i="9" s="1"/>
  <c r="B844" i="9" a="1"/>
  <c r="B844" i="9" s="1"/>
  <c r="EX844" i="9" s="1"/>
  <c r="B843" i="9" a="1"/>
  <c r="B843" i="9" s="1"/>
  <c r="EX843" i="9" s="1"/>
  <c r="B842" i="9" a="1"/>
  <c r="B842" i="9" s="1"/>
  <c r="EX842" i="9" s="1"/>
  <c r="B841" i="9" a="1"/>
  <c r="B841" i="9" s="1"/>
  <c r="EX841" i="9" s="1"/>
  <c r="B840" i="9" a="1"/>
  <c r="B840" i="9" s="1"/>
  <c r="EX840" i="9" s="1"/>
  <c r="B839" i="9" a="1"/>
  <c r="B839" i="9" s="1"/>
  <c r="EX839" i="9" s="1"/>
  <c r="B838" i="9" a="1"/>
  <c r="B838" i="9" s="1"/>
  <c r="EX838" i="9" s="1"/>
  <c r="B837" i="9" a="1"/>
  <c r="B837" i="9" s="1"/>
  <c r="EX837" i="9" s="1"/>
  <c r="B836" i="9" a="1"/>
  <c r="B836" i="9" s="1"/>
  <c r="EX836" i="9" s="1"/>
  <c r="B835" i="9" a="1"/>
  <c r="B835" i="9" s="1"/>
  <c r="EX835" i="9" s="1"/>
  <c r="B834" i="9" a="1"/>
  <c r="B834" i="9" s="1"/>
  <c r="EX834" i="9" s="1"/>
  <c r="B833" i="9" a="1"/>
  <c r="B833" i="9" s="1"/>
  <c r="EX833" i="9" s="1"/>
  <c r="B832" i="9" a="1"/>
  <c r="B832" i="9" s="1"/>
  <c r="EX832" i="9" s="1"/>
  <c r="B831" i="9" a="1"/>
  <c r="B831" i="9" s="1"/>
  <c r="EX831" i="9" s="1"/>
  <c r="B830" i="9" a="1"/>
  <c r="B830" i="9" s="1"/>
  <c r="EX830" i="9" s="1"/>
  <c r="B829" i="9" a="1"/>
  <c r="B829" i="9" s="1"/>
  <c r="EX829" i="9" s="1"/>
  <c r="B828" i="9" a="1"/>
  <c r="B828" i="9" s="1"/>
  <c r="EX828" i="9" s="1"/>
  <c r="B820" i="9" a="1"/>
  <c r="B820" i="9" s="1"/>
  <c r="B819" i="9" a="1"/>
  <c r="B819" i="9" s="1"/>
  <c r="B818" i="9" a="1"/>
  <c r="B818" i="9" s="1"/>
  <c r="B817" i="9" a="1"/>
  <c r="B817" i="9" s="1"/>
  <c r="B816" i="9" a="1"/>
  <c r="B816" i="9" s="1"/>
  <c r="B815" i="9" a="1"/>
  <c r="B815" i="9" s="1"/>
  <c r="B814" i="9" a="1"/>
  <c r="B814" i="9" s="1"/>
  <c r="B813" i="9" a="1"/>
  <c r="B813" i="9" s="1"/>
  <c r="B812" i="9" a="1"/>
  <c r="B812" i="9" s="1"/>
  <c r="B811" i="9" a="1"/>
  <c r="B811" i="9" s="1"/>
  <c r="B810" i="9" a="1"/>
  <c r="B810" i="9" s="1"/>
  <c r="B809" i="9" a="1"/>
  <c r="B809" i="9" s="1"/>
  <c r="B808" i="9" a="1"/>
  <c r="B808" i="9" s="1"/>
  <c r="B807" i="9" a="1"/>
  <c r="B807" i="9" s="1"/>
  <c r="B806" i="9" a="1"/>
  <c r="B806" i="9" s="1"/>
  <c r="B805" i="9" a="1"/>
  <c r="B805" i="9" s="1"/>
  <c r="B804" i="9" a="1"/>
  <c r="B804" i="9" s="1"/>
  <c r="B803" i="9" a="1"/>
  <c r="B803" i="9" s="1"/>
  <c r="B802" i="9" a="1"/>
  <c r="B802" i="9" s="1"/>
  <c r="B801" i="9" a="1"/>
  <c r="B801" i="9" s="1"/>
  <c r="B797" i="9" a="1"/>
  <c r="B797" i="9" s="1"/>
  <c r="B796" i="9" a="1"/>
  <c r="B796" i="9" s="1"/>
  <c r="B795" i="9" a="1"/>
  <c r="B795" i="9" s="1"/>
  <c r="B794" i="9" a="1"/>
  <c r="B794" i="9" s="1"/>
  <c r="B793" i="9" a="1"/>
  <c r="B793" i="9" s="1"/>
  <c r="B792" i="9" a="1"/>
  <c r="B792" i="9" s="1"/>
  <c r="B791" i="9" a="1"/>
  <c r="B791" i="9" s="1"/>
  <c r="B790" i="9" a="1"/>
  <c r="B790" i="9" s="1"/>
  <c r="B789" i="9" a="1"/>
  <c r="B789" i="9" s="1"/>
  <c r="B788" i="9" a="1"/>
  <c r="B788" i="9" s="1"/>
  <c r="B787" i="9" a="1"/>
  <c r="B787" i="9" s="1"/>
  <c r="B786" i="9" a="1"/>
  <c r="B786" i="9" s="1"/>
  <c r="B785" i="9" a="1"/>
  <c r="B785" i="9" s="1"/>
  <c r="B784" i="9" a="1"/>
  <c r="B784" i="9" s="1"/>
  <c r="B783" i="9" a="1"/>
  <c r="B783" i="9" s="1"/>
  <c r="B782" i="9" a="1"/>
  <c r="B782" i="9" s="1"/>
  <c r="B781" i="9" a="1"/>
  <c r="B781" i="9" s="1"/>
  <c r="B780" i="9" a="1"/>
  <c r="B780" i="9" s="1"/>
  <c r="B779" i="9" a="1"/>
  <c r="B779" i="9" s="1"/>
  <c r="B778" i="9" a="1"/>
  <c r="B778" i="9" s="1"/>
  <c r="B774" i="9" a="1"/>
  <c r="B774" i="9" s="1"/>
  <c r="B773" i="9" a="1"/>
  <c r="B773" i="9" s="1"/>
  <c r="B772" i="9" a="1"/>
  <c r="B772" i="9" s="1"/>
  <c r="B771" i="9" a="1"/>
  <c r="B771" i="9" s="1"/>
  <c r="B770" i="9" a="1"/>
  <c r="B770" i="9" s="1"/>
  <c r="B769" i="9" a="1"/>
  <c r="B769" i="9" s="1"/>
  <c r="B768" i="9" a="1"/>
  <c r="B768" i="9" s="1"/>
  <c r="B767" i="9" a="1"/>
  <c r="B767" i="9" s="1"/>
  <c r="B766" i="9" a="1"/>
  <c r="B766" i="9" s="1"/>
  <c r="B765" i="9" a="1"/>
  <c r="B765" i="9" s="1"/>
  <c r="B764" i="9" a="1"/>
  <c r="B764" i="9" s="1"/>
  <c r="B763" i="9" a="1"/>
  <c r="B763" i="9" s="1"/>
  <c r="B762" i="9" a="1"/>
  <c r="B762" i="9" s="1"/>
  <c r="B761" i="9" a="1"/>
  <c r="B761" i="9" s="1"/>
  <c r="B760" i="9" a="1"/>
  <c r="B760" i="9" s="1"/>
  <c r="B759" i="9" a="1"/>
  <c r="B759" i="9" s="1"/>
  <c r="B758" i="9" a="1"/>
  <c r="B758" i="9" s="1"/>
  <c r="B757" i="9" a="1"/>
  <c r="B757" i="9" s="1"/>
  <c r="B756" i="9" a="1"/>
  <c r="B756" i="9" s="1"/>
  <c r="B755" i="9" a="1"/>
  <c r="B755" i="9" s="1"/>
  <c r="B751" i="9" a="1"/>
  <c r="B751" i="9" s="1"/>
  <c r="B750" i="9" a="1"/>
  <c r="B750" i="9" s="1"/>
  <c r="B749" i="9" a="1"/>
  <c r="B749" i="9" s="1"/>
  <c r="B748" i="9" a="1"/>
  <c r="B748" i="9" s="1"/>
  <c r="B747" i="9" a="1"/>
  <c r="B747" i="9" s="1"/>
  <c r="B746" i="9" a="1"/>
  <c r="B746" i="9" s="1"/>
  <c r="B745" i="9" a="1"/>
  <c r="B745" i="9" s="1"/>
  <c r="B744" i="9" a="1"/>
  <c r="B744" i="9" s="1"/>
  <c r="B743" i="9" a="1"/>
  <c r="B743" i="9" s="1"/>
  <c r="B742" i="9" a="1"/>
  <c r="B742" i="9" s="1"/>
  <c r="B741" i="9" a="1"/>
  <c r="B741" i="9" s="1"/>
  <c r="B740" i="9" a="1"/>
  <c r="B740" i="9" s="1"/>
  <c r="B739" i="9" a="1"/>
  <c r="B739" i="9" s="1"/>
  <c r="B738" i="9" a="1"/>
  <c r="B738" i="9" s="1"/>
  <c r="B737" i="9" a="1"/>
  <c r="B737" i="9" s="1"/>
  <c r="B736" i="9" a="1"/>
  <c r="B736" i="9" s="1"/>
  <c r="B735" i="9" a="1"/>
  <c r="B735" i="9" s="1"/>
  <c r="B734" i="9" a="1"/>
  <c r="B734" i="9" s="1"/>
  <c r="B733" i="9" a="1"/>
  <c r="B733" i="9" s="1"/>
  <c r="B732" i="9" a="1"/>
  <c r="B732" i="9" s="1"/>
  <c r="B728" i="9" a="1"/>
  <c r="B728" i="9" s="1"/>
  <c r="B727" i="9" a="1"/>
  <c r="B727" i="9" s="1"/>
  <c r="B726" i="9" a="1"/>
  <c r="B726" i="9" s="1"/>
  <c r="B725" i="9" a="1"/>
  <c r="B725" i="9" s="1"/>
  <c r="B724" i="9" a="1"/>
  <c r="B724" i="9" s="1"/>
  <c r="B723" i="9" a="1"/>
  <c r="B723" i="9" s="1"/>
  <c r="B722" i="9" a="1"/>
  <c r="B722" i="9" s="1"/>
  <c r="B721" i="9" a="1"/>
  <c r="B721" i="9" s="1"/>
  <c r="B720" i="9" a="1"/>
  <c r="B720" i="9" s="1"/>
  <c r="B719" i="9" a="1"/>
  <c r="B719" i="9" s="1"/>
  <c r="B718" i="9" a="1"/>
  <c r="B718" i="9" s="1"/>
  <c r="B717" i="9" a="1"/>
  <c r="B717" i="9" s="1"/>
  <c r="B716" i="9" a="1"/>
  <c r="B716" i="9" s="1"/>
  <c r="B715" i="9" a="1"/>
  <c r="B715" i="9" s="1"/>
  <c r="B714" i="9" a="1"/>
  <c r="B714" i="9" s="1"/>
  <c r="B713" i="9" a="1"/>
  <c r="B713" i="9" s="1"/>
  <c r="B712" i="9" a="1"/>
  <c r="B712" i="9" s="1"/>
  <c r="B711" i="9" a="1"/>
  <c r="B711" i="9" s="1"/>
  <c r="B710" i="9" a="1"/>
  <c r="B710" i="9" s="1"/>
  <c r="B709" i="9" a="1"/>
  <c r="B709" i="9" s="1"/>
  <c r="B705" i="9" a="1"/>
  <c r="B705" i="9" s="1"/>
  <c r="B704" i="9" a="1"/>
  <c r="B704" i="9" s="1"/>
  <c r="B703" i="9" a="1"/>
  <c r="B703" i="9" s="1"/>
  <c r="B702" i="9" a="1"/>
  <c r="B702" i="9" s="1"/>
  <c r="B701" i="9" a="1"/>
  <c r="B701" i="9" s="1"/>
  <c r="B700" i="9" a="1"/>
  <c r="B700" i="9" s="1"/>
  <c r="B699" i="9" a="1"/>
  <c r="B699" i="9" s="1"/>
  <c r="B698" i="9" a="1"/>
  <c r="B698" i="9" s="1"/>
  <c r="B697" i="9" a="1"/>
  <c r="B697" i="9" s="1"/>
  <c r="B696" i="9" a="1"/>
  <c r="B696" i="9" s="1"/>
  <c r="B695" i="9" a="1"/>
  <c r="B695" i="9" s="1"/>
  <c r="B694" i="9" a="1"/>
  <c r="B694" i="9" s="1"/>
  <c r="B693" i="9" a="1"/>
  <c r="B693" i="9" s="1"/>
  <c r="B692" i="9" a="1"/>
  <c r="B692" i="9" s="1"/>
  <c r="B691" i="9" a="1"/>
  <c r="B691" i="9" s="1"/>
  <c r="B690" i="9" a="1"/>
  <c r="B690" i="9" s="1"/>
  <c r="B689" i="9" a="1"/>
  <c r="B689" i="9" s="1"/>
  <c r="B688" i="9" a="1"/>
  <c r="B688" i="9" s="1"/>
  <c r="B687" i="9" a="1"/>
  <c r="B687" i="9" s="1"/>
  <c r="B686" i="9" a="1"/>
  <c r="B686" i="9" s="1"/>
  <c r="B659" i="9" a="1"/>
  <c r="B659" i="9" s="1"/>
  <c r="B658" i="9" a="1"/>
  <c r="B658" i="9" s="1"/>
  <c r="B657" i="9" a="1"/>
  <c r="B657" i="9" s="1"/>
  <c r="B656" i="9" a="1"/>
  <c r="B656" i="9" s="1"/>
  <c r="B655" i="9" a="1"/>
  <c r="B655" i="9" s="1"/>
  <c r="B654" i="9" a="1"/>
  <c r="B654" i="9" s="1"/>
  <c r="B653" i="9" a="1"/>
  <c r="B653" i="9" s="1"/>
  <c r="B652" i="9" a="1"/>
  <c r="B652" i="9" s="1"/>
  <c r="B651" i="9" a="1"/>
  <c r="B651" i="9" s="1"/>
  <c r="B650" i="9" a="1"/>
  <c r="B650" i="9" s="1"/>
  <c r="B649" i="9" a="1"/>
  <c r="B649" i="9" s="1"/>
  <c r="B648" i="9" a="1"/>
  <c r="B648" i="9" s="1"/>
  <c r="B647" i="9" a="1"/>
  <c r="B647" i="9" s="1"/>
  <c r="B646" i="9" a="1"/>
  <c r="B646" i="9" s="1"/>
  <c r="B645" i="9" a="1"/>
  <c r="B645" i="9" s="1"/>
  <c r="B644" i="9" a="1"/>
  <c r="B644" i="9" s="1"/>
  <c r="B643" i="9" a="1"/>
  <c r="B643" i="9" s="1"/>
  <c r="B642" i="9" a="1"/>
  <c r="B642" i="9" s="1"/>
  <c r="B641" i="9" a="1"/>
  <c r="B641" i="9" s="1"/>
  <c r="B640" i="9" a="1"/>
  <c r="B640" i="9" s="1"/>
  <c r="B611" i="9" a="1"/>
  <c r="B611" i="9" s="1"/>
  <c r="B610" i="9" a="1"/>
  <c r="B610" i="9" s="1"/>
  <c r="B609" i="9" a="1"/>
  <c r="B609" i="9" s="1"/>
  <c r="B608" i="9" a="1"/>
  <c r="B608" i="9" s="1"/>
  <c r="B607" i="9" a="1"/>
  <c r="B607" i="9" s="1"/>
  <c r="B606" i="9" a="1"/>
  <c r="B606" i="9" s="1"/>
  <c r="B605" i="9" a="1"/>
  <c r="B605" i="9" s="1"/>
  <c r="B604" i="9" a="1"/>
  <c r="B604" i="9" s="1"/>
  <c r="B603" i="9" a="1"/>
  <c r="B603" i="9" s="1"/>
  <c r="B602" i="9" a="1"/>
  <c r="B602" i="9" s="1"/>
  <c r="B601" i="9" a="1"/>
  <c r="B601" i="9" s="1"/>
  <c r="B600" i="9" a="1"/>
  <c r="B600" i="9" s="1"/>
  <c r="B599" i="9" a="1"/>
  <c r="B599" i="9" s="1"/>
  <c r="B598" i="9" a="1"/>
  <c r="B598" i="9" s="1"/>
  <c r="B597" i="9" a="1"/>
  <c r="B597" i="9" s="1"/>
  <c r="B596" i="9" a="1"/>
  <c r="B596" i="9" s="1"/>
  <c r="B595" i="9" a="1"/>
  <c r="B595" i="9" s="1"/>
  <c r="B594" i="9" a="1"/>
  <c r="B594" i="9" s="1"/>
  <c r="B593" i="9" a="1"/>
  <c r="B593" i="9" s="1"/>
  <c r="B592" i="9" a="1"/>
  <c r="B592" i="9" s="1"/>
  <c r="B588" i="9" a="1"/>
  <c r="B588" i="9" s="1"/>
  <c r="B587" i="9" a="1"/>
  <c r="B587" i="9" s="1"/>
  <c r="B586" i="9" a="1"/>
  <c r="B586" i="9" s="1"/>
  <c r="B585" i="9" a="1"/>
  <c r="B585" i="9" s="1"/>
  <c r="B584" i="9" a="1"/>
  <c r="B584" i="9" s="1"/>
  <c r="B583" i="9" a="1"/>
  <c r="B583" i="9" s="1"/>
  <c r="B582" i="9" a="1"/>
  <c r="B582" i="9" s="1"/>
  <c r="B581" i="9" a="1"/>
  <c r="B581" i="9" s="1"/>
  <c r="B580" i="9" a="1"/>
  <c r="B580" i="9" s="1"/>
  <c r="B579" i="9" a="1"/>
  <c r="B579" i="9" s="1"/>
  <c r="B578" i="9" a="1"/>
  <c r="B578" i="9" s="1"/>
  <c r="B577" i="9" a="1"/>
  <c r="B577" i="9" s="1"/>
  <c r="B576" i="9" a="1"/>
  <c r="B576" i="9" s="1"/>
  <c r="B575" i="9" a="1"/>
  <c r="B575" i="9" s="1"/>
  <c r="B574" i="9" a="1"/>
  <c r="B574" i="9" s="1"/>
  <c r="B573" i="9" a="1"/>
  <c r="B573" i="9" s="1"/>
  <c r="B572" i="9" a="1"/>
  <c r="B572" i="9" s="1"/>
  <c r="B571" i="9" a="1"/>
  <c r="B571" i="9" s="1"/>
  <c r="B570" i="9" a="1"/>
  <c r="B570" i="9" s="1"/>
  <c r="B569" i="9" a="1"/>
  <c r="B569" i="9" s="1"/>
  <c r="B565" i="9" a="1"/>
  <c r="B565" i="9" s="1"/>
  <c r="B564" i="9" a="1"/>
  <c r="B564" i="9" s="1"/>
  <c r="B563" i="9" a="1"/>
  <c r="B563" i="9" s="1"/>
  <c r="B562" i="9" a="1"/>
  <c r="B562" i="9" s="1"/>
  <c r="B561" i="9" a="1"/>
  <c r="B561" i="9" s="1"/>
  <c r="B560" i="9" a="1"/>
  <c r="B560" i="9" s="1"/>
  <c r="B559" i="9" a="1"/>
  <c r="B559" i="9" s="1"/>
  <c r="B558" i="9" a="1"/>
  <c r="B558" i="9" s="1"/>
  <c r="B557" i="9" a="1"/>
  <c r="B557" i="9" s="1"/>
  <c r="B556" i="9" a="1"/>
  <c r="B556" i="9" s="1"/>
  <c r="B555" i="9" a="1"/>
  <c r="B555" i="9" s="1"/>
  <c r="B554" i="9" a="1"/>
  <c r="B554" i="9" s="1"/>
  <c r="B553" i="9" a="1"/>
  <c r="B553" i="9" s="1"/>
  <c r="B552" i="9" a="1"/>
  <c r="B552" i="9" s="1"/>
  <c r="B551" i="9" a="1"/>
  <c r="B551" i="9" s="1"/>
  <c r="B550" i="9" a="1"/>
  <c r="B550" i="9" s="1"/>
  <c r="B549" i="9" a="1"/>
  <c r="B549" i="9" s="1"/>
  <c r="B548" i="9" a="1"/>
  <c r="B548" i="9" s="1"/>
  <c r="B547" i="9" a="1"/>
  <c r="B547" i="9" s="1"/>
  <c r="B546" i="9" a="1"/>
  <c r="B546" i="9" s="1"/>
  <c r="B542" i="9" a="1"/>
  <c r="B542" i="9" s="1"/>
  <c r="B541" i="9" a="1"/>
  <c r="B541" i="9" s="1"/>
  <c r="B540" i="9" a="1"/>
  <c r="B540" i="9" s="1"/>
  <c r="B539" i="9" a="1"/>
  <c r="B539" i="9" s="1"/>
  <c r="B538" i="9" a="1"/>
  <c r="B538" i="9" s="1"/>
  <c r="B537" i="9" a="1"/>
  <c r="B537" i="9" s="1"/>
  <c r="B536" i="9" a="1"/>
  <c r="B536" i="9" s="1"/>
  <c r="B535" i="9" a="1"/>
  <c r="B535" i="9" s="1"/>
  <c r="B534" i="9" a="1"/>
  <c r="B534" i="9" s="1"/>
  <c r="B533" i="9" a="1"/>
  <c r="B533" i="9" s="1"/>
  <c r="B532" i="9" a="1"/>
  <c r="B532" i="9" s="1"/>
  <c r="B531" i="9" a="1"/>
  <c r="B531" i="9" s="1"/>
  <c r="B530" i="9" a="1"/>
  <c r="B530" i="9" s="1"/>
  <c r="B529" i="9" a="1"/>
  <c r="B529" i="9" s="1"/>
  <c r="B528" i="9" a="1"/>
  <c r="B528" i="9" s="1"/>
  <c r="B527" i="9" a="1"/>
  <c r="B527" i="9" s="1"/>
  <c r="B526" i="9" a="1"/>
  <c r="B526" i="9" s="1"/>
  <c r="B525" i="9" a="1"/>
  <c r="B525" i="9" s="1"/>
  <c r="B524" i="9" a="1"/>
  <c r="B524" i="9" s="1"/>
  <c r="B523" i="9" a="1"/>
  <c r="B523" i="9" s="1"/>
  <c r="B519" i="9" a="1"/>
  <c r="B519" i="9" s="1"/>
  <c r="B518" i="9" a="1"/>
  <c r="B518" i="9" s="1"/>
  <c r="B517" i="9" a="1"/>
  <c r="B517" i="9" s="1"/>
  <c r="B516" i="9" a="1"/>
  <c r="B516" i="9" s="1"/>
  <c r="B515" i="9" a="1"/>
  <c r="B515" i="9" s="1"/>
  <c r="B514" i="9" a="1"/>
  <c r="B514" i="9" s="1"/>
  <c r="B513" i="9" a="1"/>
  <c r="B513" i="9" s="1"/>
  <c r="B512" i="9" a="1"/>
  <c r="B512" i="9" s="1"/>
  <c r="B511" i="9" a="1"/>
  <c r="B511" i="9" s="1"/>
  <c r="B510" i="9" a="1"/>
  <c r="B510" i="9" s="1"/>
  <c r="B509" i="9" a="1"/>
  <c r="B509" i="9" s="1"/>
  <c r="B508" i="9" a="1"/>
  <c r="B508" i="9" s="1"/>
  <c r="B507" i="9" a="1"/>
  <c r="B507" i="9" s="1"/>
  <c r="B506" i="9" a="1"/>
  <c r="B506" i="9" s="1"/>
  <c r="B505" i="9" a="1"/>
  <c r="B505" i="9" s="1"/>
  <c r="B504" i="9" a="1"/>
  <c r="B504" i="9" s="1"/>
  <c r="B503" i="9" a="1"/>
  <c r="B503" i="9" s="1"/>
  <c r="B502" i="9" a="1"/>
  <c r="B502" i="9" s="1"/>
  <c r="B501" i="9" a="1"/>
  <c r="B501" i="9" s="1"/>
  <c r="B500" i="9" a="1"/>
  <c r="B500" i="9" s="1"/>
  <c r="B496" i="9" a="1"/>
  <c r="B496" i="9" s="1"/>
  <c r="B495" i="9" a="1"/>
  <c r="B495" i="9" s="1"/>
  <c r="B494" i="9" a="1"/>
  <c r="B494" i="9" s="1"/>
  <c r="B493" i="9" a="1"/>
  <c r="B493" i="9" s="1"/>
  <c r="B492" i="9" a="1"/>
  <c r="B492" i="9" s="1"/>
  <c r="B491" i="9" a="1"/>
  <c r="B491" i="9" s="1"/>
  <c r="B490" i="9" a="1"/>
  <c r="B490" i="9" s="1"/>
  <c r="B489" i="9" a="1"/>
  <c r="B489" i="9" s="1"/>
  <c r="B488" i="9" a="1"/>
  <c r="B488" i="9" s="1"/>
  <c r="B487" i="9" a="1"/>
  <c r="B487" i="9" s="1"/>
  <c r="B486" i="9" a="1"/>
  <c r="B486" i="9" s="1"/>
  <c r="B485" i="9" a="1"/>
  <c r="B485" i="9" s="1"/>
  <c r="B484" i="9" a="1"/>
  <c r="B484" i="9" s="1"/>
  <c r="B483" i="9" a="1"/>
  <c r="B483" i="9" s="1"/>
  <c r="B482" i="9" a="1"/>
  <c r="B482" i="9" s="1"/>
  <c r="B481" i="9" a="1"/>
  <c r="B481" i="9" s="1"/>
  <c r="B480" i="9" a="1"/>
  <c r="B480" i="9" s="1"/>
  <c r="B479" i="9" a="1"/>
  <c r="B479" i="9" s="1"/>
  <c r="B478" i="9" a="1"/>
  <c r="B478" i="9" s="1"/>
  <c r="B477" i="9" a="1"/>
  <c r="B477" i="9" s="1"/>
  <c r="B473" i="9" a="1"/>
  <c r="B473" i="9" s="1"/>
  <c r="B472" i="9" a="1"/>
  <c r="B472" i="9" s="1"/>
  <c r="B471" i="9" a="1"/>
  <c r="B471" i="9" s="1"/>
  <c r="B470" i="9" a="1"/>
  <c r="B470" i="9" s="1"/>
  <c r="B469" i="9" a="1"/>
  <c r="B469" i="9" s="1"/>
  <c r="B468" i="9" a="1"/>
  <c r="B468" i="9" s="1"/>
  <c r="B467" i="9" a="1"/>
  <c r="B467" i="9" s="1"/>
  <c r="B466" i="9" a="1"/>
  <c r="B466" i="9" s="1"/>
  <c r="B465" i="9" a="1"/>
  <c r="B465" i="9" s="1"/>
  <c r="B464" i="9" a="1"/>
  <c r="B464" i="9" s="1"/>
  <c r="B463" i="9" a="1"/>
  <c r="B463" i="9" s="1"/>
  <c r="B462" i="9" a="1"/>
  <c r="B462" i="9" s="1"/>
  <c r="B461" i="9" a="1"/>
  <c r="B461" i="9" s="1"/>
  <c r="B460" i="9" a="1"/>
  <c r="B460" i="9" s="1"/>
  <c r="B459" i="9" a="1"/>
  <c r="B459" i="9" s="1"/>
  <c r="B458" i="9" a="1"/>
  <c r="B458" i="9" s="1"/>
  <c r="B457" i="9" a="1"/>
  <c r="B457" i="9" s="1"/>
  <c r="B456" i="9" a="1"/>
  <c r="B456" i="9" s="1"/>
  <c r="B455" i="9" a="1"/>
  <c r="B455" i="9" s="1"/>
  <c r="B454" i="9" a="1"/>
  <c r="B454" i="9" s="1"/>
  <c r="B450" i="9" a="1"/>
  <c r="B450" i="9" s="1"/>
  <c r="B449" i="9" a="1"/>
  <c r="B449" i="9" s="1"/>
  <c r="B448" i="9" a="1"/>
  <c r="B448" i="9" s="1"/>
  <c r="B447" i="9" a="1"/>
  <c r="B447" i="9" s="1"/>
  <c r="B446" i="9" a="1"/>
  <c r="B446" i="9" s="1"/>
  <c r="B445" i="9" a="1"/>
  <c r="B445" i="9" s="1"/>
  <c r="B444" i="9" a="1"/>
  <c r="B444" i="9" s="1"/>
  <c r="B443" i="9" a="1"/>
  <c r="B443" i="9" s="1"/>
  <c r="B442" i="9" a="1"/>
  <c r="B442" i="9" s="1"/>
  <c r="B441" i="9" a="1"/>
  <c r="B441" i="9" s="1"/>
  <c r="B440" i="9" a="1"/>
  <c r="B440" i="9" s="1"/>
  <c r="B439" i="9" a="1"/>
  <c r="B439" i="9" s="1"/>
  <c r="B438" i="9" a="1"/>
  <c r="B438" i="9" s="1"/>
  <c r="B437" i="9" a="1"/>
  <c r="B437" i="9" s="1"/>
  <c r="B436" i="9" a="1"/>
  <c r="B436" i="9" s="1"/>
  <c r="B435" i="9" a="1"/>
  <c r="B435" i="9" s="1"/>
  <c r="B434" i="9" a="1"/>
  <c r="B434" i="9" s="1"/>
  <c r="B433" i="9" a="1"/>
  <c r="B433" i="9" s="1"/>
  <c r="B432" i="9" a="1"/>
  <c r="B432" i="9" s="1"/>
  <c r="B431" i="9" a="1"/>
  <c r="B431" i="9" s="1"/>
  <c r="B32" i="9" a="1"/>
  <c r="B32" i="9" s="1"/>
  <c r="B31" i="9" a="1"/>
  <c r="B31" i="9" s="1"/>
  <c r="B30" i="9" a="1"/>
  <c r="B30" i="9" s="1"/>
  <c r="B29" i="9" a="1"/>
  <c r="B29" i="9" s="1"/>
  <c r="B28" i="9" a="1"/>
  <c r="B28" i="9" s="1"/>
  <c r="B27" i="9" a="1"/>
  <c r="B27" i="9" s="1"/>
  <c r="B26" i="9" a="1"/>
  <c r="B26" i="9" s="1"/>
  <c r="B25" i="9" a="1"/>
  <c r="B25" i="9" s="1"/>
  <c r="B24" i="9" a="1"/>
  <c r="B24" i="9" s="1"/>
  <c r="B23" i="9" a="1"/>
  <c r="B23" i="9" s="1"/>
  <c r="B22" i="9" a="1"/>
  <c r="B22" i="9" s="1"/>
  <c r="B21" i="9" a="1"/>
  <c r="B21" i="9" s="1"/>
  <c r="B20" i="9" a="1"/>
  <c r="B20" i="9" s="1"/>
  <c r="B19" i="9" a="1"/>
  <c r="B19" i="9" s="1"/>
  <c r="B18" i="9" a="1"/>
  <c r="B18" i="9" s="1"/>
  <c r="B17" i="9" a="1"/>
  <c r="B17" i="9" s="1"/>
  <c r="B16" i="9" a="1"/>
  <c r="B16" i="9" s="1"/>
  <c r="B15" i="9" a="1"/>
  <c r="B15" i="9" s="1"/>
  <c r="B14" i="9" a="1"/>
  <c r="B14" i="9" s="1"/>
  <c r="B13" i="9" a="1"/>
  <c r="B13" i="9" s="1"/>
  <c r="BL6" i="9" a="1"/>
  <c r="BL6" i="9" s="1"/>
  <c r="V6" i="9" a="1"/>
  <c r="V6" i="9" s="1"/>
  <c r="A6" i="9" a="1"/>
  <c r="A6" i="9" s="1"/>
  <c r="C5" i="9" a="1"/>
  <c r="C5" i="9" s="1"/>
  <c r="B5" i="9" a="1"/>
  <c r="B5" i="9" s="1"/>
  <c r="C4" i="9" a="1"/>
  <c r="C4" i="9" s="1"/>
  <c r="B4" i="9" a="1"/>
  <c r="B4" i="9" s="1"/>
  <c r="C3" i="9" a="1"/>
  <c r="C3" i="9" s="1"/>
  <c r="B3" i="9" a="1"/>
  <c r="B3" i="9" s="1"/>
  <c r="BL6" i="26" a="1"/>
  <c r="BL6" i="26" s="1"/>
  <c r="V6" i="26" a="1"/>
  <c r="V6" i="26" s="1"/>
  <c r="A6" i="26" a="1"/>
  <c r="A6" i="26" s="1"/>
  <c r="C5" i="26" a="1"/>
  <c r="C5" i="26" s="1"/>
  <c r="B5" i="26" a="1"/>
  <c r="B5" i="26" s="1"/>
  <c r="C4" i="26" a="1"/>
  <c r="C4" i="26" s="1"/>
  <c r="B4" i="26" a="1"/>
  <c r="B4" i="26" s="1"/>
  <c r="C3" i="26" a="1"/>
  <c r="C3" i="26" s="1"/>
  <c r="B3" i="26" a="1"/>
  <c r="B3" i="26" s="1"/>
  <c r="BL6" i="16" a="1"/>
  <c r="BL6" i="16" s="1"/>
  <c r="A6" i="16" a="1"/>
  <c r="A6" i="16" s="1"/>
  <c r="B4" i="16" a="1"/>
  <c r="B4" i="16" s="1"/>
  <c r="B3" i="16" a="1"/>
  <c r="B3" i="16" s="1"/>
  <c r="BL6" i="22" a="1"/>
  <c r="BL6" i="22" s="1"/>
  <c r="V6" i="22" a="1"/>
  <c r="V6" i="22" s="1"/>
  <c r="A6" i="22" a="1"/>
  <c r="A6" i="22" s="1"/>
  <c r="F150" i="20" a="1"/>
  <c r="F150" i="20" s="1"/>
  <c r="F149" i="20" a="1"/>
  <c r="F149" i="20" s="1"/>
  <c r="F148" i="20" a="1"/>
  <c r="F148" i="20" s="1"/>
  <c r="F133" i="20" a="1"/>
  <c r="F133" i="20" s="1"/>
  <c r="F132" i="20" a="1"/>
  <c r="F132" i="20" s="1"/>
  <c r="F131" i="20" a="1"/>
  <c r="F131" i="20" s="1"/>
  <c r="F106" i="20" a="1"/>
  <c r="F106" i="20" s="1"/>
  <c r="F105" i="20" a="1"/>
  <c r="F105" i="20" s="1"/>
  <c r="F104" i="20" a="1"/>
  <c r="F104" i="20" s="1"/>
  <c r="F97" i="20" a="1"/>
  <c r="F97" i="20" s="1"/>
  <c r="F96" i="20" a="1"/>
  <c r="F96" i="20" s="1"/>
  <c r="F95" i="20" a="1"/>
  <c r="F95" i="20" s="1"/>
  <c r="F83" i="20" a="1"/>
  <c r="F83" i="20" s="1"/>
  <c r="F82" i="20" a="1"/>
  <c r="F82" i="20" s="1"/>
  <c r="F81" i="20" a="1"/>
  <c r="F81" i="20" s="1"/>
  <c r="F58" i="20" a="1"/>
  <c r="F58" i="20" s="1"/>
  <c r="F57" i="20" a="1"/>
  <c r="F57" i="20" s="1"/>
  <c r="F56" i="20" a="1"/>
  <c r="F56" i="20" s="1"/>
  <c r="F47" i="20" a="1"/>
  <c r="F47" i="20" s="1"/>
  <c r="F46" i="20" a="1"/>
  <c r="F46" i="20" s="1"/>
  <c r="F45" i="20" a="1"/>
  <c r="F45" i="20" s="1"/>
  <c r="F35" i="20" a="1"/>
  <c r="F35" i="20" s="1"/>
  <c r="F34" i="20" a="1"/>
  <c r="F34" i="20" s="1"/>
  <c r="F33" i="20" a="1"/>
  <c r="F33" i="20" s="1"/>
  <c r="F26" i="20" a="1"/>
  <c r="F26" i="20" s="1"/>
  <c r="F25" i="20" a="1"/>
  <c r="F25" i="20" s="1"/>
  <c r="F24" i="20" a="1"/>
  <c r="F24" i="20" s="1"/>
  <c r="F13" i="20" a="1"/>
  <c r="F13" i="20" s="1"/>
  <c r="F12" i="20" a="1"/>
  <c r="F12" i="20" s="1"/>
  <c r="BL6" i="20" a="1"/>
  <c r="BL6" i="20" s="1"/>
  <c r="V6" i="20" a="1"/>
  <c r="V6" i="20" s="1"/>
  <c r="A6" i="20" a="1"/>
  <c r="A6" i="20" s="1"/>
  <c r="BL6" i="1" a="1"/>
  <c r="BL6" i="1" s="1"/>
  <c r="V6" i="1" a="1"/>
  <c r="V6" i="1" s="1"/>
  <c r="A6" i="37" a="1"/>
  <c r="A6" i="37" s="1"/>
  <c r="D49" i="28"/>
  <c r="EX49" i="28" s="1"/>
  <c r="BL6" i="28" a="1"/>
  <c r="BL6" i="28" s="1"/>
  <c r="V6" i="28" a="1"/>
  <c r="V6" i="28" s="1"/>
  <c r="A6" i="28" a="1"/>
  <c r="A6" i="28" s="1"/>
  <c r="C108" i="23" a="1"/>
  <c r="C108" i="23" s="1"/>
  <c r="C98" i="23" a="1"/>
  <c r="C98" i="23" s="1"/>
  <c r="M19" i="14" l="1"/>
  <c r="M20" i="14"/>
  <c r="EX20" i="9"/>
  <c r="B353" i="3"/>
  <c r="EX28" i="9"/>
  <c r="B361" i="3"/>
  <c r="EX13" i="9"/>
  <c r="B346" i="3"/>
  <c r="EX17" i="9"/>
  <c r="B350" i="3"/>
  <c r="EX21" i="9"/>
  <c r="B354" i="3"/>
  <c r="EX25" i="9"/>
  <c r="B358" i="3"/>
  <c r="EX29" i="9"/>
  <c r="B362" i="3"/>
  <c r="EX16" i="9"/>
  <c r="B349" i="3"/>
  <c r="EX14" i="9"/>
  <c r="B347" i="3"/>
  <c r="EX26" i="9"/>
  <c r="B359" i="3"/>
  <c r="EX24" i="9"/>
  <c r="B357" i="3"/>
  <c r="EX32" i="9"/>
  <c r="B365" i="3"/>
  <c r="EX18" i="9"/>
  <c r="B351" i="3"/>
  <c r="EX22" i="9"/>
  <c r="B355" i="3"/>
  <c r="EX30" i="9"/>
  <c r="B363" i="3"/>
  <c r="EX15" i="9"/>
  <c r="B348" i="3"/>
  <c r="EX19" i="9"/>
  <c r="B352" i="3"/>
  <c r="EX23" i="9"/>
  <c r="B356" i="3"/>
  <c r="EX27" i="9"/>
  <c r="B360" i="3"/>
  <c r="EX31" i="9"/>
  <c r="B364" i="3"/>
  <c r="BB72" i="30"/>
  <c r="BB160" i="30" s="1"/>
  <c r="BN4" i="3"/>
  <c r="BN2" i="44" s="1" a="1"/>
  <c r="BN2" i="44" s="1"/>
  <c r="D240" i="6"/>
  <c r="EX240" i="6" s="1"/>
  <c r="D242" i="6"/>
  <c r="EX242" i="6" s="1"/>
  <c r="AA242" i="6"/>
  <c r="BC72" i="30" l="1"/>
  <c r="BC160" i="30" s="1"/>
  <c r="BQ67" i="6"/>
  <c r="BR67" i="6"/>
  <c r="BS67" i="6"/>
  <c r="BT67" i="6"/>
  <c r="BU67" i="6"/>
  <c r="BV67" i="6"/>
  <c r="BW67" i="6"/>
  <c r="BJ67" i="6"/>
  <c r="BD72" i="30" l="1"/>
  <c r="BD160" i="30" s="1"/>
  <c r="B2" i="11" a="1"/>
  <c r="A3" i="3" a="1"/>
  <c r="C103" i="23" a="1"/>
  <c r="A3" i="4" a="1"/>
  <c r="C110" i="23" a="1"/>
  <c r="E11" i="14" a="1"/>
  <c r="E218" i="23" a="1"/>
  <c r="E20" i="14" a="1"/>
  <c r="C97" i="23" a="1"/>
  <c r="C91" i="23" a="1"/>
  <c r="A3" i="37" a="1"/>
  <c r="A2" i="23" a="1"/>
  <c r="E14" i="14" a="1"/>
  <c r="E243" i="23" a="1"/>
  <c r="E235" i="23" a="1"/>
  <c r="C92" i="23" a="1"/>
  <c r="E13" i="14" a="1"/>
  <c r="E178" i="1" a="1"/>
  <c r="E32" i="14" a="1"/>
  <c r="A3" i="26" a="1"/>
  <c r="E22" i="14" a="1"/>
  <c r="C104" i="23" a="1"/>
  <c r="E215" i="23" a="1"/>
  <c r="A3" i="38" a="1"/>
  <c r="A3" i="11" a="1"/>
  <c r="E174" i="23" a="1"/>
  <c r="A3" i="22" a="1"/>
  <c r="E179" i="1" a="1"/>
  <c r="C232" i="23" a="1"/>
  <c r="E33" i="14" a="1"/>
  <c r="C105" i="23" a="1"/>
  <c r="B2" i="3" a="1"/>
  <c r="C221" i="23" a="1"/>
  <c r="C100" i="23" a="1"/>
  <c r="E116" i="1" a="1"/>
  <c r="C93" i="23" a="1"/>
  <c r="C95" i="23" a="1"/>
  <c r="C102" i="23" a="1"/>
  <c r="A3" i="9" a="1"/>
  <c r="C209" i="23" a="1"/>
  <c r="E237" i="23" a="1"/>
  <c r="A3" i="28" a="1"/>
  <c r="E19" i="14" a="1"/>
  <c r="E17" i="14" a="1"/>
  <c r="C101" i="23" a="1"/>
  <c r="E35" i="14" a="1"/>
  <c r="E239" i="23" a="1"/>
  <c r="B2" i="4" a="1"/>
  <c r="E241" i="23" a="1"/>
  <c r="BE72" i="30" l="1"/>
  <c r="BE160" i="30" s="1"/>
  <c r="E33" i="14"/>
  <c r="B25" i="44" s="1"/>
  <c r="A3" i="28"/>
  <c r="A3" i="37"/>
  <c r="E14" i="14"/>
  <c r="B7" i="44" s="1"/>
  <c r="A3" i="26"/>
  <c r="E178" i="1"/>
  <c r="B2" i="4"/>
  <c r="E11" i="14"/>
  <c r="E13" i="14"/>
  <c r="B6" i="44" s="1"/>
  <c r="C105" i="23"/>
  <c r="E174" i="23"/>
  <c r="E239" i="23"/>
  <c r="C104" i="23"/>
  <c r="B2" i="3"/>
  <c r="C93" i="23"/>
  <c r="E22" i="14"/>
  <c r="B15" i="44" s="1"/>
  <c r="C232" i="23"/>
  <c r="E179" i="1"/>
  <c r="C91" i="23"/>
  <c r="C97" i="23"/>
  <c r="E241" i="23"/>
  <c r="E20" i="14"/>
  <c r="B13" i="44" s="1"/>
  <c r="A3" i="9"/>
  <c r="C95" i="23"/>
  <c r="C92" i="23"/>
  <c r="E243" i="23"/>
  <c r="A3" i="4"/>
  <c r="A3" i="22"/>
  <c r="C102" i="23"/>
  <c r="C209" i="23"/>
  <c r="C221" i="23"/>
  <c r="E215" i="23"/>
  <c r="E17" i="14"/>
  <c r="C101" i="23"/>
  <c r="C100" i="23"/>
  <c r="E32" i="14"/>
  <c r="B26" i="44" s="1"/>
  <c r="E218" i="23"/>
  <c r="B2" i="11"/>
  <c r="C110" i="23"/>
  <c r="E237" i="23"/>
  <c r="A3" i="3"/>
  <c r="C103" i="23"/>
  <c r="A2" i="23"/>
  <c r="E35" i="14"/>
  <c r="B27" i="44" s="1"/>
  <c r="E19" i="14"/>
  <c r="B12" i="44" s="1"/>
  <c r="A3" i="38"/>
  <c r="E116" i="1"/>
  <c r="E235" i="23"/>
  <c r="A3" i="11"/>
  <c r="E170" i="1" a="1"/>
  <c r="C117" i="23" a="1"/>
  <c r="D82" i="30" a="1"/>
  <c r="D126" i="30" a="1"/>
  <c r="A3" i="6" a="1"/>
  <c r="C124" i="23" a="1"/>
  <c r="A3" i="35" a="1"/>
  <c r="D21" i="30" a="1"/>
  <c r="E162" i="1" a="1"/>
  <c r="D90" i="30" a="1"/>
  <c r="D100" i="30" a="1"/>
  <c r="C131" i="23" a="1"/>
  <c r="D98" i="30" a="1"/>
  <c r="F185" i="30" a="1"/>
  <c r="D49" i="30" a="1"/>
  <c r="D26" i="30" a="1"/>
  <c r="E198" i="30" a="1"/>
  <c r="D79" i="30" a="1"/>
  <c r="D17" i="30" a="1"/>
  <c r="E180" i="23" a="1"/>
  <c r="D39" i="30" a="1"/>
  <c r="E187" i="1" a="1"/>
  <c r="D124" i="30" a="1"/>
  <c r="D117" i="30" a="1"/>
  <c r="E168" i="30" a="1"/>
  <c r="D20" i="30" a="1"/>
  <c r="E15" i="14" a="1"/>
  <c r="D71" i="30" a="1"/>
  <c r="D15" i="30" a="1"/>
  <c r="D80" i="30" a="1"/>
  <c r="D42" i="30" a="1"/>
  <c r="D108" i="13" a="1"/>
  <c r="E162" i="30" a="1"/>
  <c r="D40" i="30" a="1"/>
  <c r="C122" i="23" a="1"/>
  <c r="D89" i="30" a="1"/>
  <c r="D28" i="30" a="1"/>
  <c r="E166" i="30" a="1"/>
  <c r="D48" i="30" a="1"/>
  <c r="E149" i="30" a="1"/>
  <c r="A3" i="33" a="1"/>
  <c r="F159" i="30" a="1"/>
  <c r="C119" i="23" a="1"/>
  <c r="F151" i="30" a="1"/>
  <c r="D119" i="30" a="1"/>
  <c r="D66" i="30" a="1"/>
  <c r="E157" i="30" a="1"/>
  <c r="D103" i="30" a="1"/>
  <c r="D95" i="30" a="1"/>
  <c r="C132" i="23" a="1"/>
  <c r="D123" i="30" a="1"/>
  <c r="E18" i="14" a="1"/>
  <c r="D99" i="30" a="1"/>
  <c r="D116" i="30" a="1"/>
  <c r="F183" i="30" a="1"/>
  <c r="C127" i="23" a="1"/>
  <c r="E185" i="30" a="1"/>
  <c r="E140" i="23" a="1"/>
  <c r="E150" i="23" a="1"/>
  <c r="A3" i="12" a="1"/>
  <c r="D84" i="30" a="1"/>
  <c r="D101" i="30" a="1"/>
  <c r="C121" i="23" a="1"/>
  <c r="E148" i="23" a="1"/>
  <c r="E165" i="30" a="1"/>
  <c r="D105" i="30" a="1"/>
  <c r="B2" i="35" a="1"/>
  <c r="D132" i="30" a="1"/>
  <c r="C123" i="23" a="1"/>
  <c r="D93" i="30" a="1"/>
  <c r="E24" i="14" a="1"/>
  <c r="A3" i="16" a="1"/>
  <c r="E191" i="30" a="1"/>
  <c r="E155" i="1" a="1"/>
  <c r="D78" i="30" a="1"/>
  <c r="D91" i="30" a="1"/>
  <c r="E152" i="23" a="1"/>
  <c r="A3" i="32" a="1"/>
  <c r="D114" i="30" a="1"/>
  <c r="E190" i="30" a="1"/>
  <c r="E183" i="30" a="1"/>
  <c r="E144" i="23" a="1"/>
  <c r="F158" i="30" a="1"/>
  <c r="E21" i="14" a="1"/>
  <c r="D77" i="30" a="1"/>
  <c r="E180" i="30" a="1"/>
  <c r="C116" i="23" a="1"/>
  <c r="E167" i="30" a="1"/>
  <c r="D43" i="30" a="1"/>
  <c r="F182" i="30" a="1"/>
  <c r="E16" i="14" a="1"/>
  <c r="E27" i="14" a="1"/>
  <c r="E130" i="1" a="1"/>
  <c r="D81" i="30" a="1"/>
  <c r="G151" i="30" a="1"/>
  <c r="D19" i="30" a="1"/>
  <c r="E171" i="1" a="1"/>
  <c r="E181" i="30" a="1"/>
  <c r="D115" i="30" a="1"/>
  <c r="E26" i="14" a="1"/>
  <c r="A3" i="36" a="1"/>
  <c r="E29" i="14" a="1"/>
  <c r="D14" i="30" a="1"/>
  <c r="E188" i="1" a="1"/>
  <c r="D34" i="30" a="1"/>
  <c r="E159" i="30" a="1"/>
  <c r="C130" i="23" a="1"/>
  <c r="C129" i="23" a="1"/>
  <c r="D118" i="30" a="1"/>
  <c r="D131" i="30" a="1"/>
  <c r="D96" i="30" a="1"/>
  <c r="D18" i="30" a="1"/>
  <c r="A3" i="30" a="1"/>
  <c r="D27" i="30" a="1"/>
  <c r="E158" i="30" a="1"/>
  <c r="E201" i="30" a="1"/>
  <c r="D51" i="30" a="1"/>
  <c r="E159" i="23" a="1"/>
  <c r="G188" i="1" a="1"/>
  <c r="D94" i="30" a="1"/>
  <c r="D33" i="30" a="1"/>
  <c r="D16" i="30" a="1"/>
  <c r="D76" i="30" a="1"/>
  <c r="E182" i="30" a="1"/>
  <c r="H151" i="30" a="1"/>
  <c r="C125" i="23" a="1"/>
  <c r="E25" i="14" a="1"/>
  <c r="D104" i="30" a="1"/>
  <c r="F13" i="30" a="1"/>
  <c r="D41" i="30" a="1"/>
  <c r="C109" i="23" a="1"/>
  <c r="C120" i="23" a="1"/>
  <c r="H159" i="30" a="1"/>
  <c r="E197" i="30" a="1"/>
  <c r="E28" i="14" a="1"/>
  <c r="E163" i="1" a="1"/>
  <c r="D85" i="30" a="1"/>
  <c r="E176" i="23" a="1"/>
  <c r="E151" i="30" a="1"/>
  <c r="A3" i="13" a="1"/>
  <c r="D22" i="30" a="1"/>
  <c r="C128" i="23" a="1"/>
  <c r="C99" i="23" a="1"/>
  <c r="D67" i="30" a="1"/>
  <c r="D97" i="30" a="1"/>
  <c r="E31" i="14" a="1"/>
  <c r="F171" i="1" a="1"/>
  <c r="C126" i="23" a="1"/>
  <c r="D125" i="30" a="1"/>
  <c r="D92" i="30" a="1"/>
  <c r="D130" i="30" a="1"/>
  <c r="D102" i="30" a="1"/>
  <c r="E171" i="23" a="1"/>
  <c r="F188" i="1" a="1"/>
  <c r="C118" i="23" a="1"/>
  <c r="E13" i="30" a="1"/>
  <c r="N17" i="14" l="1" a="1"/>
  <c r="N17" i="14" s="1"/>
  <c r="B10" i="44"/>
  <c r="BF72" i="30"/>
  <c r="BF160" i="30" s="1"/>
  <c r="E188" i="1"/>
  <c r="E162" i="1"/>
  <c r="E31" i="14"/>
  <c r="B24" i="44" s="1"/>
  <c r="C126" i="23"/>
  <c r="D98" i="30"/>
  <c r="D40" i="30"/>
  <c r="EX40" i="30" s="1"/>
  <c r="E151" i="30"/>
  <c r="C128" i="23"/>
  <c r="D102" i="30"/>
  <c r="E140" i="23"/>
  <c r="D130" i="30"/>
  <c r="D91" i="30"/>
  <c r="E13" i="30"/>
  <c r="F158" i="30"/>
  <c r="E176" i="23"/>
  <c r="C131" i="23"/>
  <c r="D49" i="30"/>
  <c r="EX49" i="30" s="1"/>
  <c r="D28" i="30"/>
  <c r="EX28" i="30" s="1"/>
  <c r="E148" i="23"/>
  <c r="E144" i="23"/>
  <c r="E191" i="30"/>
  <c r="E190" i="30"/>
  <c r="D18" i="30"/>
  <c r="EX18" i="30" s="1"/>
  <c r="C117" i="23"/>
  <c r="D114" i="30"/>
  <c r="D16" i="30"/>
  <c r="EX16" i="30" s="1"/>
  <c r="E150" i="23"/>
  <c r="C118" i="23"/>
  <c r="D22" i="30"/>
  <c r="D132" i="30"/>
  <c r="E18" i="14"/>
  <c r="B11" i="44" s="1"/>
  <c r="C124" i="23"/>
  <c r="A3" i="36"/>
  <c r="D42" i="30"/>
  <c r="EX42" i="30" s="1"/>
  <c r="A3" i="33"/>
  <c r="D104" i="30"/>
  <c r="C129" i="23"/>
  <c r="F182" i="30"/>
  <c r="E166" i="30"/>
  <c r="E182" i="30"/>
  <c r="D15" i="30"/>
  <c r="EX15" i="30" s="1"/>
  <c r="E197" i="30"/>
  <c r="E21" i="14"/>
  <c r="B14" i="44" s="1"/>
  <c r="E159" i="30"/>
  <c r="D101" i="30"/>
  <c r="D66" i="30"/>
  <c r="E130" i="1"/>
  <c r="C99" i="23"/>
  <c r="D67" i="30"/>
  <c r="E28" i="14"/>
  <c r="B21" i="44" s="1"/>
  <c r="D19" i="30"/>
  <c r="EX19" i="30" s="1"/>
  <c r="E171" i="1"/>
  <c r="F13" i="30"/>
  <c r="E157" i="30"/>
  <c r="C122" i="23"/>
  <c r="D95" i="30"/>
  <c r="F159" i="30"/>
  <c r="F151" i="30"/>
  <c r="D96" i="30"/>
  <c r="A3" i="32"/>
  <c r="D131" i="30"/>
  <c r="E15" i="14"/>
  <c r="B8" i="44" s="1"/>
  <c r="E162" i="30"/>
  <c r="D17" i="30"/>
  <c r="E180" i="30"/>
  <c r="C120" i="23"/>
  <c r="D94" i="30"/>
  <c r="E167" i="30"/>
  <c r="F185" i="30"/>
  <c r="D108" i="13"/>
  <c r="D81" i="30"/>
  <c r="D119" i="30"/>
  <c r="H151" i="30"/>
  <c r="C109" i="23"/>
  <c r="D117" i="30"/>
  <c r="F188" i="1"/>
  <c r="E168" i="30"/>
  <c r="D80" i="30"/>
  <c r="E180" i="23"/>
  <c r="D43" i="30"/>
  <c r="EX43" i="30" s="1"/>
  <c r="D51" i="30"/>
  <c r="EX51" i="30" s="1"/>
  <c r="D84" i="30"/>
  <c r="A3" i="30"/>
  <c r="D26" i="30"/>
  <c r="EX26" i="30" s="1"/>
  <c r="D125" i="30"/>
  <c r="C121" i="23"/>
  <c r="E201" i="30"/>
  <c r="D89" i="30"/>
  <c r="F171" i="1"/>
  <c r="D76" i="30"/>
  <c r="EX76" i="30" s="1"/>
  <c r="A3" i="12"/>
  <c r="D71" i="30"/>
  <c r="EX71" i="30" s="1"/>
  <c r="E25" i="14"/>
  <c r="B18" i="44" s="1"/>
  <c r="E158" i="30"/>
  <c r="D34" i="30"/>
  <c r="EX34" i="30" s="1"/>
  <c r="D124" i="30"/>
  <c r="H159" i="30"/>
  <c r="D33" i="30"/>
  <c r="EX33" i="30" s="1"/>
  <c r="A3" i="35"/>
  <c r="D99" i="30"/>
  <c r="D103" i="30"/>
  <c r="E27" i="14"/>
  <c r="B20" i="44" s="1"/>
  <c r="D14" i="30"/>
  <c r="EX14" i="30" s="1"/>
  <c r="E185" i="30"/>
  <c r="D100" i="30"/>
  <c r="G188" i="1"/>
  <c r="D92" i="30"/>
  <c r="D90" i="30"/>
  <c r="D21" i="30"/>
  <c r="EX21" i="30" s="1"/>
  <c r="E163" i="1"/>
  <c r="D41" i="30"/>
  <c r="EX41" i="30" s="1"/>
  <c r="A3" i="6"/>
  <c r="E152" i="23"/>
  <c r="D105" i="30"/>
  <c r="B2" i="35"/>
  <c r="C119" i="23"/>
  <c r="E181" i="30"/>
  <c r="E26" i="14"/>
  <c r="B19" i="44" s="1"/>
  <c r="C130" i="23"/>
  <c r="D93" i="30"/>
  <c r="E187" i="1"/>
  <c r="D39" i="30"/>
  <c r="EX39" i="30" s="1"/>
  <c r="G151" i="30"/>
  <c r="D48" i="30"/>
  <c r="EX48" i="30" s="1"/>
  <c r="D27" i="30"/>
  <c r="EX27" i="30" s="1"/>
  <c r="F183" i="30"/>
  <c r="E159" i="23"/>
  <c r="D79" i="30"/>
  <c r="EX79" i="30" s="1"/>
  <c r="C127" i="23"/>
  <c r="D78" i="30"/>
  <c r="EX78" i="30" s="1"/>
  <c r="D118" i="30"/>
  <c r="E198" i="30"/>
  <c r="E183" i="30"/>
  <c r="E29" i="14"/>
  <c r="B22" i="44" s="1"/>
  <c r="E24" i="14"/>
  <c r="B17" i="44" s="1"/>
  <c r="C116" i="23"/>
  <c r="E170" i="1"/>
  <c r="D97" i="30"/>
  <c r="E155" i="1"/>
  <c r="D115" i="30"/>
  <c r="E171" i="23"/>
  <c r="D123" i="30"/>
  <c r="A3" i="16"/>
  <c r="C125" i="23"/>
  <c r="E149" i="30"/>
  <c r="C123" i="23"/>
  <c r="D77" i="30"/>
  <c r="EX77" i="30" s="1"/>
  <c r="E165" i="30"/>
  <c r="A3" i="13"/>
  <c r="D126" i="30"/>
  <c r="D20" i="30"/>
  <c r="EX20" i="30" s="1"/>
  <c r="D85" i="30"/>
  <c r="C132" i="23"/>
  <c r="D116" i="30"/>
  <c r="D82" i="30"/>
  <c r="E16" i="14"/>
  <c r="B9" i="44" s="1"/>
  <c r="V98" i="1"/>
  <c r="V107" i="1"/>
  <c r="V67" i="1"/>
  <c r="V60" i="1"/>
  <c r="V49" i="1"/>
  <c r="V37" i="1"/>
  <c r="V28" i="1"/>
  <c r="V115" i="20"/>
  <c r="AA98" i="1"/>
  <c r="AB98" i="1"/>
  <c r="AC98" i="1"/>
  <c r="AD98" i="1"/>
  <c r="AE98" i="1"/>
  <c r="AF98" i="1"/>
  <c r="AG98"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BH98" i="1"/>
  <c r="BI98" i="1"/>
  <c r="BJ98" i="1"/>
  <c r="AY151" i="1"/>
  <c r="EX22" i="30" l="1"/>
  <c r="D75" i="35"/>
  <c r="EX17" i="30"/>
  <c r="D70" i="35"/>
  <c r="BG72" i="30"/>
  <c r="BG160" i="30" s="1"/>
  <c r="BH72" i="30" l="1"/>
  <c r="BH160" i="30" s="1"/>
  <c r="AA156" i="1"/>
  <c r="AA151" i="1"/>
  <c r="AA194" i="1"/>
  <c r="AA84" i="1"/>
  <c r="AA67" i="1"/>
  <c r="AA60" i="1"/>
  <c r="AA49" i="1"/>
  <c r="AA37" i="1"/>
  <c r="AA28" i="1"/>
  <c r="AA15" i="1"/>
  <c r="BJ72" i="30" l="1"/>
  <c r="BI72" i="30"/>
  <c r="BI160" i="30" s="1"/>
  <c r="AA162" i="1"/>
  <c r="AA162" i="20" s="1"/>
  <c r="W70" i="16"/>
  <c r="BZ70" i="16" s="1"/>
  <c r="V15" i="1"/>
  <c r="V156" i="1"/>
  <c r="CP16" i="1" l="1"/>
  <c r="V194" i="1"/>
  <c r="BJ160" i="30"/>
  <c r="V196" i="1"/>
  <c r="V162" i="20"/>
  <c r="AA196" i="1"/>
  <c r="V134" i="1"/>
  <c r="V195" i="1"/>
  <c r="V150" i="20" l="1"/>
  <c r="AA158" i="1"/>
  <c r="AA195" i="1"/>
  <c r="V158" i="1"/>
  <c r="AB163" i="1"/>
  <c r="BW37" i="3" l="1"/>
  <c r="BW4" i="44" s="1"/>
  <c r="BV37" i="3"/>
  <c r="BV4" i="44" s="1"/>
  <c r="BU37" i="3"/>
  <c r="BU4" i="44" s="1"/>
  <c r="BT37" i="3"/>
  <c r="BT4" i="44" s="1"/>
  <c r="BS37" i="3"/>
  <c r="BS4" i="44" s="1"/>
  <c r="BR37" i="3"/>
  <c r="BR4" i="44" s="1"/>
  <c r="BQ37" i="3"/>
  <c r="BQ4" i="44" s="1"/>
  <c r="BP37" i="3"/>
  <c r="BP4" i="44" s="1"/>
  <c r="BO37" i="3"/>
  <c r="BO4" i="44" s="1"/>
  <c r="BN37" i="3"/>
  <c r="BN4" i="44" s="1"/>
  <c r="BM37" i="3"/>
  <c r="BM4" i="44" s="1"/>
  <c r="BL37" i="3"/>
  <c r="BL4" i="44" s="1"/>
  <c r="BJ37" i="3"/>
  <c r="BJ4" i="44" s="1"/>
  <c r="BI37" i="3"/>
  <c r="BI4" i="44" s="1"/>
  <c r="BH37" i="3"/>
  <c r="BH4" i="44" s="1"/>
  <c r="BG37" i="3"/>
  <c r="BG4" i="44" s="1"/>
  <c r="BF37" i="3"/>
  <c r="BF4" i="44" s="1"/>
  <c r="BE37" i="3"/>
  <c r="BE4" i="44" s="1"/>
  <c r="BD37" i="3"/>
  <c r="BD4" i="44" s="1"/>
  <c r="BC37" i="3"/>
  <c r="BC4" i="44" s="1"/>
  <c r="BB37" i="3"/>
  <c r="BB4" i="44" s="1"/>
  <c r="BA37" i="3"/>
  <c r="BA4" i="44" s="1"/>
  <c r="AZ37" i="3"/>
  <c r="AZ4" i="44" s="1"/>
  <c r="AY37" i="3"/>
  <c r="AY4" i="44" s="1"/>
  <c r="AX37" i="3"/>
  <c r="AX4" i="44" s="1"/>
  <c r="AW37" i="3"/>
  <c r="AW4" i="44" s="1"/>
  <c r="AV37" i="3"/>
  <c r="AV4" i="44" s="1"/>
  <c r="AU37" i="3"/>
  <c r="AU4" i="44" s="1"/>
  <c r="AT37" i="3"/>
  <c r="AT4" i="44" s="1"/>
  <c r="AS37" i="3"/>
  <c r="AS4" i="44" s="1"/>
  <c r="AR37" i="3"/>
  <c r="AR4" i="44" s="1"/>
  <c r="AQ37" i="3"/>
  <c r="AQ4" i="44" s="1"/>
  <c r="AP37" i="3"/>
  <c r="AP4" i="44" s="1"/>
  <c r="AO37" i="3"/>
  <c r="AO4" i="44" s="1"/>
  <c r="AN37" i="3"/>
  <c r="AN4" i="44" s="1"/>
  <c r="AM37" i="3"/>
  <c r="AM4" i="44" s="1"/>
  <c r="AL37" i="3"/>
  <c r="AL4" i="44" s="1"/>
  <c r="AK37" i="3"/>
  <c r="AK4" i="44" s="1"/>
  <c r="AJ37" i="3"/>
  <c r="AJ4" i="44" s="1"/>
  <c r="AI37" i="3"/>
  <c r="AI4" i="44" s="1"/>
  <c r="AH37" i="3"/>
  <c r="AH4" i="44" s="1"/>
  <c r="AG37" i="3"/>
  <c r="AG4" i="44" s="1"/>
  <c r="AF37" i="3"/>
  <c r="AF4" i="44" s="1"/>
  <c r="AE37" i="3"/>
  <c r="AE4" i="44" s="1"/>
  <c r="AD37" i="3"/>
  <c r="AD4" i="44" s="1"/>
  <c r="AC37" i="3"/>
  <c r="AC4" i="44" s="1"/>
  <c r="AB37" i="3"/>
  <c r="AB4" i="44" s="1"/>
  <c r="AA37" i="3"/>
  <c r="AA4" i="44" s="1"/>
  <c r="U37" i="3"/>
  <c r="U4" i="44" s="1"/>
  <c r="Y37" i="3"/>
  <c r="Y4" i="44" s="1"/>
  <c r="X37" i="3"/>
  <c r="X4" i="44" s="1"/>
  <c r="W37" i="3"/>
  <c r="W4" i="44" s="1"/>
  <c r="V37" i="3"/>
  <c r="V4" i="44" s="1"/>
  <c r="BW34" i="3"/>
  <c r="BW3" i="44" s="1"/>
  <c r="BV34" i="3"/>
  <c r="BV3" i="44" s="1"/>
  <c r="BU34" i="3"/>
  <c r="BU3" i="44" s="1"/>
  <c r="BT34" i="3"/>
  <c r="BT3" i="44" s="1"/>
  <c r="BS34" i="3"/>
  <c r="BS3" i="44" s="1"/>
  <c r="BR34" i="3"/>
  <c r="BR3" i="44" s="1"/>
  <c r="BQ34" i="3"/>
  <c r="BQ3" i="44" s="1"/>
  <c r="BP34" i="3"/>
  <c r="BP3" i="44" s="1"/>
  <c r="BO34" i="3"/>
  <c r="BO3" i="44" s="1"/>
  <c r="BN34" i="3"/>
  <c r="BN3" i="44" s="1"/>
  <c r="BM34" i="3"/>
  <c r="BM3" i="44" s="1"/>
  <c r="BL34" i="3"/>
  <c r="BL3" i="44" s="1"/>
  <c r="BJ34" i="3"/>
  <c r="BJ3" i="44" s="1"/>
  <c r="BI34" i="3"/>
  <c r="BI3" i="44" s="1"/>
  <c r="BH34" i="3"/>
  <c r="BH3" i="44" s="1"/>
  <c r="BG34" i="3"/>
  <c r="BG3" i="44" s="1"/>
  <c r="BF34" i="3"/>
  <c r="BF3" i="44" s="1"/>
  <c r="BE34" i="3"/>
  <c r="BE3" i="44" s="1"/>
  <c r="BD34" i="3"/>
  <c r="BD3" i="44" s="1"/>
  <c r="BC34" i="3"/>
  <c r="BC3" i="44" s="1"/>
  <c r="BB34" i="3"/>
  <c r="BB3" i="44" s="1"/>
  <c r="BA34" i="3"/>
  <c r="BA3" i="44" s="1"/>
  <c r="AZ34" i="3"/>
  <c r="AZ3" i="44" s="1"/>
  <c r="AY34" i="3"/>
  <c r="AY3" i="44" s="1"/>
  <c r="AX34" i="3"/>
  <c r="AX3" i="44" s="1"/>
  <c r="AW34" i="3"/>
  <c r="AW3" i="44" s="1"/>
  <c r="AV34" i="3"/>
  <c r="AV3" i="44" s="1"/>
  <c r="AU34" i="3"/>
  <c r="AU3" i="44" s="1"/>
  <c r="AT34" i="3"/>
  <c r="AT3" i="44" s="1"/>
  <c r="AS34" i="3"/>
  <c r="AS3" i="44" s="1"/>
  <c r="AR34" i="3"/>
  <c r="AR3" i="44" s="1"/>
  <c r="AQ34" i="3"/>
  <c r="AQ3" i="44" s="1"/>
  <c r="AP34" i="3"/>
  <c r="AP3" i="44" s="1"/>
  <c r="AO34" i="3"/>
  <c r="AO3" i="44" s="1"/>
  <c r="AN34" i="3"/>
  <c r="AN3" i="44" s="1"/>
  <c r="AM34" i="3"/>
  <c r="AM3" i="44" s="1"/>
  <c r="AL34" i="3"/>
  <c r="AL3" i="44" s="1"/>
  <c r="AK34" i="3"/>
  <c r="AK3" i="44" s="1"/>
  <c r="AJ34" i="3"/>
  <c r="AJ3" i="44" s="1"/>
  <c r="AI34" i="3"/>
  <c r="AI3" i="44" s="1"/>
  <c r="AH34" i="3"/>
  <c r="AH3" i="44" s="1"/>
  <c r="AG34" i="3"/>
  <c r="AG3" i="44" s="1"/>
  <c r="AF34" i="3"/>
  <c r="AF3" i="44" s="1"/>
  <c r="AE34" i="3"/>
  <c r="AE3" i="44" s="1"/>
  <c r="AD34" i="3"/>
  <c r="AD3" i="44" s="1"/>
  <c r="AC34" i="3"/>
  <c r="AC3" i="44" s="1"/>
  <c r="AB34" i="3"/>
  <c r="AB3" i="44" s="1"/>
  <c r="AA34" i="3"/>
  <c r="AA3" i="44" s="1"/>
  <c r="BL1135" i="9" l="1"/>
  <c r="C117" i="30"/>
  <c r="EX117" i="30" s="1"/>
  <c r="BP93" i="30"/>
  <c r="BQ93" i="30"/>
  <c r="BR93" i="30"/>
  <c r="BS93" i="30"/>
  <c r="BT93" i="30"/>
  <c r="BU93" i="30"/>
  <c r="BV93" i="30"/>
  <c r="BW93" i="30"/>
  <c r="C93" i="30"/>
  <c r="EX93" i="30" s="1"/>
  <c r="V119" i="6"/>
  <c r="V93" i="30" s="1"/>
  <c r="D1079" i="9"/>
  <c r="D1078" i="9"/>
  <c r="D1077" i="9"/>
  <c r="D1076" i="9"/>
  <c r="D1075" i="9"/>
  <c r="D1074" i="9"/>
  <c r="D1073" i="9"/>
  <c r="D1072" i="9"/>
  <c r="D1071" i="9"/>
  <c r="D1070" i="9"/>
  <c r="D1069" i="9"/>
  <c r="D1068" i="9"/>
  <c r="D1067" i="9"/>
  <c r="D1066" i="9"/>
  <c r="D1065" i="9"/>
  <c r="D1064" i="9"/>
  <c r="D1063" i="9"/>
  <c r="D1062" i="9"/>
  <c r="D1061" i="9"/>
  <c r="D1060" i="9"/>
  <c r="D1056" i="9"/>
  <c r="D1055" i="9"/>
  <c r="D1054" i="9"/>
  <c r="D1053" i="9"/>
  <c r="D1052" i="9"/>
  <c r="D1051" i="9"/>
  <c r="D1050" i="9"/>
  <c r="D1049" i="9"/>
  <c r="D1048" i="9"/>
  <c r="D1047" i="9"/>
  <c r="D1046" i="9"/>
  <c r="D1045" i="9"/>
  <c r="D1044" i="9"/>
  <c r="D1043" i="9"/>
  <c r="D1042" i="9"/>
  <c r="D1041" i="9"/>
  <c r="D1040" i="9"/>
  <c r="D1039" i="9"/>
  <c r="D1038" i="9"/>
  <c r="D1037" i="9"/>
  <c r="BP968" i="9"/>
  <c r="BJ899" i="9" s="1"/>
  <c r="D1033" i="9"/>
  <c r="D1032" i="9"/>
  <c r="D1031" i="9"/>
  <c r="D1030" i="9"/>
  <c r="D1029" i="9"/>
  <c r="D1028" i="9"/>
  <c r="D1027" i="9"/>
  <c r="D1026" i="9"/>
  <c r="D1025" i="9"/>
  <c r="D1024" i="9"/>
  <c r="D1023" i="9"/>
  <c r="D1022" i="9"/>
  <c r="D1021" i="9"/>
  <c r="D1020" i="9"/>
  <c r="D1019" i="9"/>
  <c r="D1018" i="9"/>
  <c r="D1017" i="9"/>
  <c r="D1016" i="9"/>
  <c r="D1015" i="9"/>
  <c r="D1014" i="9"/>
  <c r="D55" i="30"/>
  <c r="EX55" i="30" s="1"/>
  <c r="D53" i="30"/>
  <c r="D46" i="30"/>
  <c r="D44" i="30"/>
  <c r="D35" i="30"/>
  <c r="AA190" i="30"/>
  <c r="AA77" i="33" s="1"/>
  <c r="AB190" i="30"/>
  <c r="AB77" i="33" s="1"/>
  <c r="AC190" i="30"/>
  <c r="AC77" i="33" s="1"/>
  <c r="AD190" i="30"/>
  <c r="AD77" i="33" s="1"/>
  <c r="AE190" i="30"/>
  <c r="AE77" i="33" s="1"/>
  <c r="AF190" i="30"/>
  <c r="AF77" i="33" s="1"/>
  <c r="AG190" i="30"/>
  <c r="AG77" i="33" s="1"/>
  <c r="AH190" i="30"/>
  <c r="AH77" i="33" s="1"/>
  <c r="AI190" i="30"/>
  <c r="AI77" i="33" s="1"/>
  <c r="AJ190" i="30"/>
  <c r="AJ77" i="33" s="1"/>
  <c r="AK190" i="30"/>
  <c r="AK77" i="33" s="1"/>
  <c r="AL190" i="30"/>
  <c r="AL77" i="33" s="1"/>
  <c r="AM190" i="30"/>
  <c r="AM77" i="33" s="1"/>
  <c r="AN190" i="30"/>
  <c r="AN77" i="33" s="1"/>
  <c r="AO190" i="30"/>
  <c r="AO77" i="33" s="1"/>
  <c r="AP190" i="30"/>
  <c r="AP77" i="33" s="1"/>
  <c r="AQ190" i="30"/>
  <c r="AQ77" i="33" s="1"/>
  <c r="AR190" i="30"/>
  <c r="AR77" i="33" s="1"/>
  <c r="AS190" i="30"/>
  <c r="AS77" i="33" s="1"/>
  <c r="AT190" i="30"/>
  <c r="AT77" i="33" s="1"/>
  <c r="AU190" i="30"/>
  <c r="AU77" i="33" s="1"/>
  <c r="AV190" i="30"/>
  <c r="AV77" i="33" s="1"/>
  <c r="AW190" i="30"/>
  <c r="AW77" i="33" s="1"/>
  <c r="AX190" i="30"/>
  <c r="AX77" i="33" s="1"/>
  <c r="AY190" i="30"/>
  <c r="AY77" i="33" s="1"/>
  <c r="AZ190" i="30"/>
  <c r="AZ77" i="33" s="1"/>
  <c r="BA190" i="30"/>
  <c r="BA77" i="33" s="1"/>
  <c r="BB190" i="30"/>
  <c r="BB77" i="33" s="1"/>
  <c r="BC190" i="30"/>
  <c r="BC77" i="33" s="1"/>
  <c r="BD190" i="30"/>
  <c r="BD77" i="33" s="1"/>
  <c r="BE190" i="30"/>
  <c r="BE77" i="33" s="1"/>
  <c r="BF190" i="30"/>
  <c r="BF77" i="33" s="1"/>
  <c r="BG190" i="30"/>
  <c r="BG77" i="33" s="1"/>
  <c r="BH190" i="30"/>
  <c r="BH77" i="33" s="1"/>
  <c r="BI190" i="30"/>
  <c r="BI77" i="33" s="1"/>
  <c r="BJ190" i="30"/>
  <c r="BJ77" i="33" s="1"/>
  <c r="EX46" i="30" l="1"/>
  <c r="D54" i="33"/>
  <c r="EX54" i="33" s="1"/>
  <c r="EX53" i="30"/>
  <c r="EX44" i="30"/>
  <c r="EX35" i="30"/>
  <c r="D59" i="30"/>
  <c r="EX59" i="30" s="1"/>
  <c r="AA188" i="20"/>
  <c r="AB188" i="20"/>
  <c r="AF188" i="20"/>
  <c r="AI188" i="20"/>
  <c r="AJ188" i="20"/>
  <c r="AQ188" i="20"/>
  <c r="AR188" i="20"/>
  <c r="AY188" i="20"/>
  <c r="BG188" i="20"/>
  <c r="BH188" i="20"/>
  <c r="BP188" i="20"/>
  <c r="BW188" i="20"/>
  <c r="BE188" i="20" l="1"/>
  <c r="AO188" i="20"/>
  <c r="BU188" i="20"/>
  <c r="BA188" i="20"/>
  <c r="AK188" i="20"/>
  <c r="BQ188" i="20"/>
  <c r="AW188" i="20"/>
  <c r="BI188" i="20"/>
  <c r="AS188" i="20"/>
  <c r="BD188" i="20"/>
  <c r="AV188" i="20"/>
  <c r="AN188" i="20"/>
  <c r="BT188" i="20"/>
  <c r="AZ188" i="20"/>
  <c r="AE188" i="20"/>
  <c r="BJ188" i="20"/>
  <c r="BF188" i="20"/>
  <c r="BB188" i="20"/>
  <c r="AX188" i="20"/>
  <c r="AT188" i="20"/>
  <c r="AP188" i="20"/>
  <c r="AL188" i="20"/>
  <c r="AH188" i="20"/>
  <c r="AD188" i="20"/>
  <c r="BS188" i="20"/>
  <c r="V188" i="20"/>
  <c r="BC188" i="20"/>
  <c r="AU188" i="20"/>
  <c r="AM188" i="20"/>
  <c r="AC188" i="20"/>
  <c r="BV188" i="20"/>
  <c r="BR188" i="20"/>
  <c r="AG188" i="20"/>
  <c r="W15" i="20"/>
  <c r="BW106" i="20" l="1"/>
  <c r="BV106" i="20"/>
  <c r="BU106" i="20"/>
  <c r="BT106" i="20"/>
  <c r="BS106" i="20"/>
  <c r="BR106" i="20"/>
  <c r="BQ106" i="20"/>
  <c r="BP106" i="20"/>
  <c r="BW105" i="20"/>
  <c r="BV105" i="20"/>
  <c r="BU105" i="20"/>
  <c r="BT105" i="20"/>
  <c r="BS105" i="20"/>
  <c r="BR105" i="20"/>
  <c r="BQ105" i="20"/>
  <c r="BP105" i="20"/>
  <c r="BW47" i="20"/>
  <c r="BV47" i="20"/>
  <c r="BU47" i="20"/>
  <c r="BT47" i="20"/>
  <c r="BS47" i="20"/>
  <c r="BR47" i="20"/>
  <c r="BQ47" i="20"/>
  <c r="BP47" i="20"/>
  <c r="BW26" i="20"/>
  <c r="BV26" i="20"/>
  <c r="BU26" i="20"/>
  <c r="BT26" i="20"/>
  <c r="BS26" i="20"/>
  <c r="BR26" i="20"/>
  <c r="BQ26" i="20"/>
  <c r="BP26" i="20"/>
  <c r="V198" i="20"/>
  <c r="V181" i="20"/>
  <c r="BL181" i="20" s="1"/>
  <c r="CN181" i="20" s="1"/>
  <c r="CF181" i="20" s="1"/>
  <c r="CC172" i="20" a="1"/>
  <c r="CC172" i="20" s="1"/>
  <c r="V169" i="20"/>
  <c r="BL169" i="20" s="1"/>
  <c r="CN169" i="20" s="1"/>
  <c r="CF169" i="20" s="1"/>
  <c r="V154" i="20"/>
  <c r="CC154" i="20" a="1"/>
  <c r="CC154" i="20" s="1"/>
  <c r="CC150" i="20" a="1"/>
  <c r="CC150" i="20" s="1"/>
  <c r="BL150" i="20"/>
  <c r="CN150" i="20" s="1"/>
  <c r="CF150" i="20" s="1"/>
  <c r="CC149" i="20" a="1"/>
  <c r="CC149" i="20" s="1"/>
  <c r="CC148" i="20" a="1"/>
  <c r="CC148" i="20" s="1"/>
  <c r="CC146" i="20" a="1"/>
  <c r="CC146" i="20" s="1"/>
  <c r="CC144" i="20" a="1"/>
  <c r="CC144" i="20" s="1"/>
  <c r="CC133" i="20" a="1"/>
  <c r="CC133" i="20" s="1"/>
  <c r="V133" i="20"/>
  <c r="CC132" i="20" a="1"/>
  <c r="CC132" i="20" s="1"/>
  <c r="CC131" i="20" a="1"/>
  <c r="CC131" i="20" s="1"/>
  <c r="V131" i="20"/>
  <c r="BL131" i="20" s="1"/>
  <c r="CN131" i="20" s="1"/>
  <c r="CF131" i="20" s="1"/>
  <c r="V128" i="20"/>
  <c r="CC128" i="20" a="1"/>
  <c r="CC128" i="20" s="1"/>
  <c r="V127" i="20"/>
  <c r="BL127" i="20" s="1"/>
  <c r="CN127" i="20" s="1"/>
  <c r="CF127" i="20" s="1"/>
  <c r="CC126" i="20" a="1"/>
  <c r="CC126" i="20" s="1"/>
  <c r="V126" i="20"/>
  <c r="CC125" i="20" a="1"/>
  <c r="CC125" i="20" s="1"/>
  <c r="V125" i="20"/>
  <c r="BL125" i="20" s="1"/>
  <c r="CN125" i="20" s="1"/>
  <c r="CF125" i="20" s="1"/>
  <c r="V124" i="20"/>
  <c r="CC124" i="20" a="1"/>
  <c r="CC124" i="20" s="1"/>
  <c r="V123" i="20"/>
  <c r="BL123" i="20" s="1"/>
  <c r="CN123" i="20" s="1"/>
  <c r="CF123" i="20" s="1"/>
  <c r="CC122" i="20" a="1"/>
  <c r="CC122" i="20" s="1"/>
  <c r="V122" i="20"/>
  <c r="CC115" i="20" a="1"/>
  <c r="CC115" i="20" s="1"/>
  <c r="BL115" i="20"/>
  <c r="CN115" i="20" s="1"/>
  <c r="CF115" i="20" s="1"/>
  <c r="V77" i="20"/>
  <c r="BL77" i="20" s="1"/>
  <c r="CN77" i="20" s="1"/>
  <c r="CF77" i="20" s="1"/>
  <c r="CC77" i="20" a="1"/>
  <c r="CC77" i="20" s="1"/>
  <c r="V111" i="20"/>
  <c r="BL111" i="20" s="1"/>
  <c r="CN111" i="20" s="1"/>
  <c r="CF111" i="20" s="1"/>
  <c r="CC110" i="20" a="1"/>
  <c r="CC110" i="20" s="1"/>
  <c r="V110" i="20"/>
  <c r="CC106" i="20" a="1"/>
  <c r="CC106" i="20" s="1"/>
  <c r="V106" i="20"/>
  <c r="BL106" i="20" s="1"/>
  <c r="CN106" i="20" s="1"/>
  <c r="CF106" i="20" s="1"/>
  <c r="CC105" i="20" a="1"/>
  <c r="CC105" i="20" s="1"/>
  <c r="V105" i="20"/>
  <c r="BL105" i="20" s="1"/>
  <c r="CN105" i="20" s="1"/>
  <c r="CF105" i="20" s="1"/>
  <c r="CC104" i="20" a="1"/>
  <c r="CC104" i="20" s="1"/>
  <c r="V104" i="20"/>
  <c r="CC103" i="20" a="1"/>
  <c r="CC103" i="20" s="1"/>
  <c r="V103" i="20"/>
  <c r="BL103" i="20" s="1"/>
  <c r="CN103" i="20" s="1"/>
  <c r="CF103" i="20" s="1"/>
  <c r="CC102" i="20" a="1"/>
  <c r="CC102" i="20" s="1"/>
  <c r="V102" i="20"/>
  <c r="BL102" i="20" s="1"/>
  <c r="CN102" i="20" s="1"/>
  <c r="CF102" i="20" s="1"/>
  <c r="V101" i="20"/>
  <c r="CC101" i="20" a="1"/>
  <c r="CC101" i="20" s="1"/>
  <c r="CC97" i="20" a="1"/>
  <c r="CC97" i="20" s="1"/>
  <c r="CC96" i="20" a="1"/>
  <c r="CC96" i="20" s="1"/>
  <c r="CC95" i="20" a="1"/>
  <c r="CC95" i="20" s="1"/>
  <c r="CC94" i="20" a="1"/>
  <c r="CC94" i="20" s="1"/>
  <c r="V94" i="20"/>
  <c r="BL94" i="20" s="1"/>
  <c r="CN94" i="20" s="1"/>
  <c r="CF94" i="20" s="1"/>
  <c r="V93" i="20"/>
  <c r="BL93" i="20" s="1"/>
  <c r="CN93" i="20" s="1"/>
  <c r="CF93" i="20" s="1"/>
  <c r="CC93" i="20" a="1"/>
  <c r="CC93" i="20" s="1"/>
  <c r="V92" i="20"/>
  <c r="CC91" i="20" a="1"/>
  <c r="CC91" i="20" s="1"/>
  <c r="V91" i="20"/>
  <c r="BL91" i="20" s="1"/>
  <c r="CN91" i="20" s="1"/>
  <c r="CF91" i="20" s="1"/>
  <c r="CC90" i="20" a="1"/>
  <c r="CC90" i="20" s="1"/>
  <c r="V90" i="20"/>
  <c r="V89" i="20"/>
  <c r="BL89" i="20" s="1"/>
  <c r="CN89" i="20" s="1"/>
  <c r="CF89" i="20" s="1"/>
  <c r="CC89" i="20" a="1"/>
  <c r="CC89" i="20" s="1"/>
  <c r="V88" i="20"/>
  <c r="CC87" i="20" a="1"/>
  <c r="CC87" i="20" s="1"/>
  <c r="V87" i="20"/>
  <c r="CC83" i="20" a="1"/>
  <c r="CC83" i="20" s="1"/>
  <c r="V83" i="20"/>
  <c r="BL83" i="20" s="1"/>
  <c r="CN83" i="20" s="1"/>
  <c r="CF83" i="20" s="1"/>
  <c r="CC82" i="20" a="1"/>
  <c r="CC82" i="20" s="1"/>
  <c r="V82" i="20"/>
  <c r="BL82" i="20" s="1"/>
  <c r="CN82" i="20" s="1"/>
  <c r="CF82" i="20" s="1"/>
  <c r="CC81" i="20" a="1"/>
  <c r="CC81" i="20" s="1"/>
  <c r="V81" i="20"/>
  <c r="CC76" i="20" a="1"/>
  <c r="CC76" i="20" s="1"/>
  <c r="V76" i="20"/>
  <c r="BL76" i="20" s="1"/>
  <c r="CN76" i="20" s="1"/>
  <c r="CF76" i="20" s="1"/>
  <c r="CC75" i="20" a="1"/>
  <c r="CC75" i="20" s="1"/>
  <c r="V75" i="20"/>
  <c r="V74" i="20"/>
  <c r="BL74" i="20" s="1"/>
  <c r="CN74" i="20" s="1"/>
  <c r="CF74" i="20" s="1"/>
  <c r="CC74" i="20" a="1"/>
  <c r="CC74" i="20" s="1"/>
  <c r="CC73" i="20" a="1"/>
  <c r="CC73" i="20" s="1"/>
  <c r="V73" i="20"/>
  <c r="BL73" i="20" s="1"/>
  <c r="CC72" i="20" a="1"/>
  <c r="CC72" i="20" s="1"/>
  <c r="V72" i="20"/>
  <c r="V71" i="20"/>
  <c r="CC71" i="20" a="1"/>
  <c r="CC71" i="20" s="1"/>
  <c r="V68" i="20"/>
  <c r="CC66" i="20" a="1"/>
  <c r="CC66" i="20" s="1"/>
  <c r="V66" i="20"/>
  <c r="BL66" i="20" s="1"/>
  <c r="CN66" i="20" s="1"/>
  <c r="CF66" i="20" s="1"/>
  <c r="CC65" i="20" a="1"/>
  <c r="CC65" i="20" s="1"/>
  <c r="V65" i="20"/>
  <c r="V64" i="20"/>
  <c r="BL64" i="20" s="1"/>
  <c r="CN64" i="20" s="1"/>
  <c r="CF64" i="20" s="1"/>
  <c r="CC64" i="20" a="1"/>
  <c r="CC64" i="20" s="1"/>
  <c r="V61" i="20"/>
  <c r="BL61" i="20" s="1"/>
  <c r="CN61" i="20" s="1"/>
  <c r="CF61" i="20" s="1"/>
  <c r="CC59" i="20" a="1"/>
  <c r="CC59" i="20" s="1"/>
  <c r="V59" i="20"/>
  <c r="BL59" i="20" s="1"/>
  <c r="CN59" i="20" s="1"/>
  <c r="CF59" i="20" s="1"/>
  <c r="CC58" i="20" a="1"/>
  <c r="CC58" i="20" s="1"/>
  <c r="V58" i="20"/>
  <c r="CC57" i="20" a="1"/>
  <c r="CC57" i="20" s="1"/>
  <c r="V57" i="20"/>
  <c r="BL57" i="20" s="1"/>
  <c r="CN57" i="20" s="1"/>
  <c r="CF57" i="20" s="1"/>
  <c r="CC56" i="20" a="1"/>
  <c r="CC56" i="20" s="1"/>
  <c r="V56" i="20"/>
  <c r="BL56" i="20" s="1"/>
  <c r="CN56" i="20" s="1"/>
  <c r="CF56" i="20" s="1"/>
  <c r="CC55" i="20" a="1"/>
  <c r="CC55" i="20" s="1"/>
  <c r="V55" i="20"/>
  <c r="BL55" i="20" s="1"/>
  <c r="CN55" i="20" s="1"/>
  <c r="CF55" i="20" s="1"/>
  <c r="V54" i="20"/>
  <c r="BL54" i="20" s="1"/>
  <c r="CN54" i="20" s="1"/>
  <c r="CF54" i="20" s="1"/>
  <c r="V53" i="20"/>
  <c r="BL53" i="20" s="1"/>
  <c r="CN53" i="20" s="1"/>
  <c r="CF53" i="20" s="1"/>
  <c r="CC50" i="20" a="1"/>
  <c r="CC50" i="20" s="1"/>
  <c r="V50" i="20"/>
  <c r="CC48" i="20" a="1"/>
  <c r="CC48" i="20" s="1"/>
  <c r="V48" i="20"/>
  <c r="BL48" i="20" s="1"/>
  <c r="CN48" i="20" s="1"/>
  <c r="CF48" i="20" s="1"/>
  <c r="CC47" i="20" a="1"/>
  <c r="CC47" i="20" s="1"/>
  <c r="V47" i="20"/>
  <c r="CC46" i="20" a="1"/>
  <c r="CC46" i="20" s="1"/>
  <c r="V46" i="20"/>
  <c r="BL46" i="20" s="1"/>
  <c r="CN46" i="20" s="1"/>
  <c r="CF46" i="20" s="1"/>
  <c r="CC45" i="20" a="1"/>
  <c r="CC45" i="20" s="1"/>
  <c r="V45" i="20"/>
  <c r="V44" i="20"/>
  <c r="CC44" i="20" a="1"/>
  <c r="CC44" i="20" s="1"/>
  <c r="V43" i="20"/>
  <c r="CC42" i="20" a="1"/>
  <c r="CC42" i="20" s="1"/>
  <c r="V42" i="20"/>
  <c r="BL42" i="20" s="1"/>
  <c r="CN42" i="20" s="1"/>
  <c r="CF42" i="20" s="1"/>
  <c r="CC41" i="20" a="1"/>
  <c r="CC41" i="20" s="1"/>
  <c r="V41" i="20"/>
  <c r="BL41" i="20" s="1"/>
  <c r="CN41" i="20" s="1"/>
  <c r="CF41" i="20" s="1"/>
  <c r="V38" i="20"/>
  <c r="CC38" i="20" a="1"/>
  <c r="CC38" i="20" s="1"/>
  <c r="V36" i="20"/>
  <c r="CC35" i="20" a="1"/>
  <c r="CC35" i="20" s="1"/>
  <c r="V35" i="20"/>
  <c r="BL35" i="20" s="1"/>
  <c r="CN35" i="20" s="1"/>
  <c r="CF35" i="20" s="1"/>
  <c r="CC34" i="20" a="1"/>
  <c r="CC34" i="20" s="1"/>
  <c r="V34" i="20"/>
  <c r="BL34" i="20" s="1"/>
  <c r="CN34" i="20" s="1"/>
  <c r="CF34" i="20" s="1"/>
  <c r="CC33" i="20" a="1"/>
  <c r="CC33" i="20" s="1"/>
  <c r="V33" i="20"/>
  <c r="V32" i="20"/>
  <c r="CC29" i="20" a="1"/>
  <c r="CC29" i="20" s="1"/>
  <c r="V29" i="20"/>
  <c r="BL29" i="20" s="1"/>
  <c r="CN29" i="20" s="1"/>
  <c r="CF29" i="20" s="1"/>
  <c r="CC27" i="20" a="1"/>
  <c r="CC27" i="20" s="1"/>
  <c r="V27" i="20"/>
  <c r="BL27" i="20" s="1"/>
  <c r="CN27" i="20" s="1"/>
  <c r="CF27" i="20" s="1"/>
  <c r="CC26" i="20" a="1"/>
  <c r="CC26" i="20" s="1"/>
  <c r="V26" i="20"/>
  <c r="CC25" i="20" a="1"/>
  <c r="CC25" i="20" s="1"/>
  <c r="V25" i="20"/>
  <c r="CC24" i="20" a="1"/>
  <c r="CC24" i="20" s="1"/>
  <c r="V24" i="20"/>
  <c r="BL24" i="20" s="1"/>
  <c r="CN24" i="20" s="1"/>
  <c r="CF24" i="20" s="1"/>
  <c r="CC23" i="20" a="1"/>
  <c r="CC23" i="20" s="1"/>
  <c r="V23" i="20"/>
  <c r="BL23" i="20" s="1"/>
  <c r="CN23" i="20" s="1"/>
  <c r="CF23" i="20" s="1"/>
  <c r="V22" i="20"/>
  <c r="BL22" i="20" s="1"/>
  <c r="CN22" i="20" s="1"/>
  <c r="CF22" i="20" s="1"/>
  <c r="CC22" i="20" a="1"/>
  <c r="CC22" i="20" s="1"/>
  <c r="V21" i="20"/>
  <c r="CC20" i="20" a="1"/>
  <c r="CC20" i="20" s="1"/>
  <c r="V20" i="20"/>
  <c r="BL20" i="20" s="1"/>
  <c r="CN20" i="20" s="1"/>
  <c r="CF20" i="20" s="1"/>
  <c r="CC19" i="20" a="1"/>
  <c r="CC19" i="20" s="1"/>
  <c r="V19" i="20"/>
  <c r="BL19" i="20" s="1"/>
  <c r="CN19" i="20" s="1"/>
  <c r="CF19" i="20" s="1"/>
  <c r="V16" i="20"/>
  <c r="BL16" i="20" s="1"/>
  <c r="CN16" i="20" s="1"/>
  <c r="CF16" i="20" s="1"/>
  <c r="CC16" i="20" a="1"/>
  <c r="CC16" i="20" s="1"/>
  <c r="V14" i="20"/>
  <c r="CC13" i="20" a="1"/>
  <c r="CC13" i="20" s="1"/>
  <c r="V13" i="20"/>
  <c r="BL13" i="20" s="1"/>
  <c r="CN13" i="20" s="1"/>
  <c r="CF13" i="20" s="1"/>
  <c r="V12" i="20"/>
  <c r="G7" i="20"/>
  <c r="BL68" i="1"/>
  <c r="CM68" i="1" s="1"/>
  <c r="CE68" i="1" s="1"/>
  <c r="BL66" i="1"/>
  <c r="CM66" i="1" s="1"/>
  <c r="CE66" i="1" s="1"/>
  <c r="BL65" i="1"/>
  <c r="CM65" i="1" s="1"/>
  <c r="CE65" i="1" s="1"/>
  <c r="BL64" i="1"/>
  <c r="CM64" i="1" s="1"/>
  <c r="CE64" i="1" s="1"/>
  <c r="BL53" i="1"/>
  <c r="CM53" i="1" s="1"/>
  <c r="CE53" i="1" s="1"/>
  <c r="F172" i="20" a="1"/>
  <c r="F154" i="20" a="1"/>
  <c r="F128" i="20" a="1"/>
  <c r="F124" i="20" a="1"/>
  <c r="F77" i="20" a="1"/>
  <c r="F101" i="20" a="1"/>
  <c r="F93" i="20" a="1"/>
  <c r="F89" i="20" a="1"/>
  <c r="F74" i="20" a="1"/>
  <c r="F71" i="20" a="1"/>
  <c r="F64" i="20" a="1"/>
  <c r="F55" i="20" a="1"/>
  <c r="F48" i="20" a="1"/>
  <c r="F44" i="20" a="1"/>
  <c r="F38" i="20" a="1"/>
  <c r="F22" i="20" a="1"/>
  <c r="F16" i="20" a="1"/>
  <c r="F125" i="20" a="1"/>
  <c r="F115" i="20" a="1"/>
  <c r="F102" i="20" a="1"/>
  <c r="F94" i="20" a="1"/>
  <c r="F90" i="20" a="1"/>
  <c r="F75" i="20" a="1"/>
  <c r="F72" i="20" a="1"/>
  <c r="F65" i="20" a="1"/>
  <c r="F50" i="20" a="1"/>
  <c r="F41" i="20" a="1"/>
  <c r="F27" i="20" a="1"/>
  <c r="F23" i="20" a="1"/>
  <c r="F19" i="20" a="1"/>
  <c r="F54" i="20" a="1"/>
  <c r="F36" i="20" a="1"/>
  <c r="F146" i="20" a="1"/>
  <c r="F144" i="20" a="1"/>
  <c r="F142" i="20" a="1"/>
  <c r="F140" i="20" a="1"/>
  <c r="F138" i="20" a="1"/>
  <c r="F129" i="20" a="1"/>
  <c r="F181" i="20" a="1"/>
  <c r="F126" i="20" a="1"/>
  <c r="F122" i="20" a="1"/>
  <c r="F110" i="20" a="1"/>
  <c r="F103" i="20" a="1"/>
  <c r="F91" i="20" a="1"/>
  <c r="F87" i="20" a="1"/>
  <c r="F76" i="20" a="1"/>
  <c r="F73" i="20" a="1"/>
  <c r="F66" i="20" a="1"/>
  <c r="F59" i="20" a="1"/>
  <c r="F53" i="20" a="1"/>
  <c r="F42" i="20" a="1"/>
  <c r="F29" i="20" a="1"/>
  <c r="F20" i="20" a="1"/>
  <c r="F198" i="20" a="1"/>
  <c r="F169" i="20" a="1"/>
  <c r="F145" i="20" a="1"/>
  <c r="F143" i="20" a="1"/>
  <c r="F141" i="20" a="1"/>
  <c r="F139" i="20" a="1"/>
  <c r="F137" i="20" a="1"/>
  <c r="F127" i="20" a="1"/>
  <c r="F123" i="20" a="1"/>
  <c r="F111" i="20" a="1"/>
  <c r="F92" i="20" a="1"/>
  <c r="F88" i="20" a="1"/>
  <c r="F68" i="20" a="1"/>
  <c r="F61" i="20" a="1"/>
  <c r="F43" i="20" a="1"/>
  <c r="F32" i="20" a="1"/>
  <c r="F21" i="20" a="1"/>
  <c r="F14" i="20" a="1"/>
  <c r="V37" i="20" l="1"/>
  <c r="CN73" i="20"/>
  <c r="CF73" i="20" s="1"/>
  <c r="CH130" i="20"/>
  <c r="CB11" i="20"/>
  <c r="CI12" i="20"/>
  <c r="CH12" i="20"/>
  <c r="CH13" i="20"/>
  <c r="CJ12" i="20"/>
  <c r="CJ13" i="20"/>
  <c r="CI13" i="20"/>
  <c r="BL71" i="20"/>
  <c r="CN71" i="20" s="1"/>
  <c r="CF71" i="20" s="1"/>
  <c r="BL110" i="20"/>
  <c r="CN110" i="20" s="1"/>
  <c r="CF110" i="20" s="1"/>
  <c r="CJ112" i="20"/>
  <c r="CI112" i="20"/>
  <c r="CB112" i="20"/>
  <c r="CH112" i="20"/>
  <c r="CJ80" i="20"/>
  <c r="CH80" i="20"/>
  <c r="CI80" i="20"/>
  <c r="CB80" i="20"/>
  <c r="CH79" i="20"/>
  <c r="CJ79" i="20"/>
  <c r="CI79" i="20"/>
  <c r="CB79" i="20"/>
  <c r="CJ78" i="20"/>
  <c r="CI78" i="20"/>
  <c r="CB78" i="20"/>
  <c r="CH78" i="20"/>
  <c r="F21" i="20"/>
  <c r="F32" i="20"/>
  <c r="F43" i="20"/>
  <c r="F61" i="20"/>
  <c r="F68" i="20"/>
  <c r="F88" i="20"/>
  <c r="F92" i="20"/>
  <c r="F111" i="20"/>
  <c r="F123" i="20"/>
  <c r="F127" i="20"/>
  <c r="F137" i="20"/>
  <c r="F139" i="20"/>
  <c r="F141" i="20"/>
  <c r="F143" i="20"/>
  <c r="F145" i="20"/>
  <c r="F169" i="20"/>
  <c r="F198" i="20"/>
  <c r="F20" i="20"/>
  <c r="F29" i="20"/>
  <c r="F42" i="20"/>
  <c r="F53" i="20"/>
  <c r="F59" i="20"/>
  <c r="F66" i="20"/>
  <c r="F73" i="20"/>
  <c r="F76" i="20"/>
  <c r="F87" i="20"/>
  <c r="F91" i="20"/>
  <c r="F103" i="20"/>
  <c r="F110" i="20"/>
  <c r="F122" i="20"/>
  <c r="F126" i="20"/>
  <c r="F181" i="20"/>
  <c r="F129" i="20"/>
  <c r="F138" i="20"/>
  <c r="F140" i="20"/>
  <c r="F142" i="20"/>
  <c r="F144" i="20"/>
  <c r="F146" i="20"/>
  <c r="F14" i="20"/>
  <c r="F36" i="20"/>
  <c r="F54" i="20"/>
  <c r="F19" i="20"/>
  <c r="F23" i="20"/>
  <c r="F27" i="20"/>
  <c r="F41" i="20"/>
  <c r="F50" i="20"/>
  <c r="F65" i="20"/>
  <c r="F72" i="20"/>
  <c r="F75" i="20"/>
  <c r="F90" i="20"/>
  <c r="F94" i="20"/>
  <c r="F102" i="20"/>
  <c r="F115" i="20"/>
  <c r="F125" i="20"/>
  <c r="F16" i="20"/>
  <c r="F22" i="20"/>
  <c r="F38" i="20"/>
  <c r="F44" i="20"/>
  <c r="F48" i="20"/>
  <c r="F55" i="20"/>
  <c r="F64" i="20"/>
  <c r="F71" i="20"/>
  <c r="F74" i="20"/>
  <c r="F89" i="20"/>
  <c r="F93" i="20"/>
  <c r="F101" i="20"/>
  <c r="F77" i="20"/>
  <c r="F124" i="20"/>
  <c r="F128" i="20"/>
  <c r="F154" i="20"/>
  <c r="F172" i="20"/>
  <c r="CC137" i="20" a="1"/>
  <c r="CC137" i="20" s="1"/>
  <c r="CC139" i="20" a="1"/>
  <c r="CC139" i="20" s="1"/>
  <c r="CC141" i="20" a="1"/>
  <c r="CC141" i="20" s="1"/>
  <c r="CC143" i="20" a="1"/>
  <c r="CC143" i="20" s="1"/>
  <c r="CC145" i="20" a="1"/>
  <c r="CC145" i="20" s="1"/>
  <c r="CC169" i="20" a="1"/>
  <c r="CC169" i="20" s="1"/>
  <c r="CC198" i="20" a="1"/>
  <c r="CC198" i="20" s="1"/>
  <c r="CC14" i="20" a="1"/>
  <c r="CC14" i="20" s="1"/>
  <c r="CC21" i="20" a="1"/>
  <c r="CC21" i="20" s="1"/>
  <c r="CC32" i="20" a="1"/>
  <c r="CC32" i="20" s="1"/>
  <c r="CC36" i="20" a="1"/>
  <c r="CC36" i="20" s="1"/>
  <c r="CC43" i="20" a="1"/>
  <c r="CC43" i="20" s="1"/>
  <c r="CC54" i="20" a="1"/>
  <c r="CC54" i="20" s="1"/>
  <c r="CC61" i="20" a="1"/>
  <c r="CC61" i="20" s="1"/>
  <c r="CC68" i="20" a="1"/>
  <c r="CC68" i="20" s="1"/>
  <c r="CC88" i="20" a="1"/>
  <c r="CC88" i="20" s="1"/>
  <c r="CC92" i="20" a="1"/>
  <c r="CC92" i="20" s="1"/>
  <c r="CC111" i="20" a="1"/>
  <c r="CC111" i="20" s="1"/>
  <c r="CC123" i="20" a="1"/>
  <c r="CC123" i="20" s="1"/>
  <c r="CC127" i="20" a="1"/>
  <c r="CC127" i="20" s="1"/>
  <c r="CC53" i="20" a="1"/>
  <c r="CC53" i="20" s="1"/>
  <c r="CC129" i="20" a="1"/>
  <c r="CC129" i="20" s="1"/>
  <c r="CC138" i="20" a="1"/>
  <c r="CC138" i="20" s="1"/>
  <c r="CC140" i="20" a="1"/>
  <c r="CC140" i="20" s="1"/>
  <c r="CC142" i="20" a="1"/>
  <c r="CC142" i="20" s="1"/>
  <c r="BL101" i="20"/>
  <c r="CN101" i="20" s="1"/>
  <c r="CF101" i="20" s="1"/>
  <c r="CJ182" i="20"/>
  <c r="CI182" i="20"/>
  <c r="CB182" i="20"/>
  <c r="CH182" i="20"/>
  <c r="CJ147" i="20"/>
  <c r="CH147" i="20"/>
  <c r="CI147" i="20"/>
  <c r="CH24" i="20"/>
  <c r="CJ188" i="20"/>
  <c r="CI188" i="20"/>
  <c r="CH188" i="20"/>
  <c r="CJ199" i="20"/>
  <c r="CI189" i="20"/>
  <c r="CH185" i="20"/>
  <c r="CJ175" i="20"/>
  <c r="CI173" i="20"/>
  <c r="CH165" i="20"/>
  <c r="CJ158" i="20"/>
  <c r="CI156" i="20"/>
  <c r="CH151" i="20"/>
  <c r="CJ119" i="20"/>
  <c r="CI117" i="20"/>
  <c r="CH113" i="20"/>
  <c r="CJ98" i="20"/>
  <c r="CI84" i="20"/>
  <c r="CH67" i="20"/>
  <c r="CJ49" i="20"/>
  <c r="CI37" i="20"/>
  <c r="CH28" i="20"/>
  <c r="CJ197" i="20"/>
  <c r="CI196" i="20"/>
  <c r="CH195" i="20"/>
  <c r="CJ193" i="20"/>
  <c r="CI187" i="20"/>
  <c r="CJ179" i="20"/>
  <c r="CI178" i="20"/>
  <c r="CH172" i="20"/>
  <c r="CJ170" i="20"/>
  <c r="CI169" i="20"/>
  <c r="CJ163" i="20"/>
  <c r="CI162" i="20"/>
  <c r="CH155" i="20"/>
  <c r="CJ150" i="20"/>
  <c r="CI149" i="20"/>
  <c r="CH148" i="20"/>
  <c r="CJ145" i="20"/>
  <c r="CI144" i="20"/>
  <c r="CH143" i="20"/>
  <c r="CJ141" i="20"/>
  <c r="CI140" i="20"/>
  <c r="CH139" i="20"/>
  <c r="CJ137" i="20"/>
  <c r="CI133" i="20"/>
  <c r="CH132" i="20"/>
  <c r="CJ130" i="20"/>
  <c r="CI129" i="20"/>
  <c r="CH128" i="20"/>
  <c r="CJ126" i="20"/>
  <c r="CI125" i="20"/>
  <c r="CI199" i="20"/>
  <c r="CH189" i="20"/>
  <c r="CJ183" i="20"/>
  <c r="CI175" i="20"/>
  <c r="CH173" i="20"/>
  <c r="CJ160" i="20"/>
  <c r="CI158" i="20"/>
  <c r="CH156" i="20"/>
  <c r="CJ134" i="20"/>
  <c r="CI119" i="20"/>
  <c r="CH117" i="20"/>
  <c r="CJ107" i="20"/>
  <c r="CI98" i="20"/>
  <c r="CH84" i="20"/>
  <c r="CJ60" i="20"/>
  <c r="CI49" i="20"/>
  <c r="CH37" i="20"/>
  <c r="CJ15" i="20"/>
  <c r="CJ198" i="20"/>
  <c r="CI197" i="20"/>
  <c r="CH196" i="20"/>
  <c r="CJ194" i="20"/>
  <c r="CI193" i="20"/>
  <c r="CH187" i="20"/>
  <c r="CJ180" i="20"/>
  <c r="CI179" i="20"/>
  <c r="CH178" i="20"/>
  <c r="CJ171" i="20"/>
  <c r="CI170" i="20"/>
  <c r="CH169" i="20"/>
  <c r="CI163" i="20"/>
  <c r="CH162" i="20"/>
  <c r="CJ154" i="20"/>
  <c r="CI150" i="20"/>
  <c r="CH149" i="20"/>
  <c r="CJ146" i="20"/>
  <c r="CI145" i="20"/>
  <c r="CH144" i="20"/>
  <c r="CJ142" i="20"/>
  <c r="CI141" i="20"/>
  <c r="CH140" i="20"/>
  <c r="CJ138" i="20"/>
  <c r="CI137" i="20"/>
  <c r="CH133" i="20"/>
  <c r="CJ131" i="20"/>
  <c r="CI130" i="20"/>
  <c r="CH129" i="20"/>
  <c r="CJ127" i="20"/>
  <c r="CI126" i="20"/>
  <c r="CH125" i="20"/>
  <c r="CH199" i="20"/>
  <c r="CJ185" i="20"/>
  <c r="CI183" i="20"/>
  <c r="CH175" i="20"/>
  <c r="CJ165" i="20"/>
  <c r="CI160" i="20"/>
  <c r="CH158" i="20"/>
  <c r="CJ151" i="20"/>
  <c r="CI134" i="20"/>
  <c r="CH119" i="20"/>
  <c r="CJ113" i="20"/>
  <c r="CI107" i="20"/>
  <c r="CH98" i="20"/>
  <c r="CJ67" i="20"/>
  <c r="CI60" i="20"/>
  <c r="CH49" i="20"/>
  <c r="CJ28" i="20"/>
  <c r="CI15" i="20"/>
  <c r="CI198" i="20"/>
  <c r="CH197" i="20"/>
  <c r="CJ195" i="20"/>
  <c r="CI194" i="20"/>
  <c r="CH193" i="20"/>
  <c r="CI185" i="20"/>
  <c r="CJ156" i="20"/>
  <c r="CH134" i="20"/>
  <c r="CI67" i="20"/>
  <c r="CI195" i="20"/>
  <c r="CI154" i="20"/>
  <c r="CJ148" i="20"/>
  <c r="CH145" i="20"/>
  <c r="CI142" i="20"/>
  <c r="CJ139" i="20"/>
  <c r="CH137" i="20"/>
  <c r="CI131" i="20"/>
  <c r="CI127" i="20"/>
  <c r="CJ124" i="20"/>
  <c r="CI123" i="20"/>
  <c r="CH122" i="20"/>
  <c r="CJ115" i="20"/>
  <c r="CI77" i="20"/>
  <c r="CH111" i="20"/>
  <c r="CJ106" i="20"/>
  <c r="CI105" i="20"/>
  <c r="CH104" i="20"/>
  <c r="CJ102" i="20"/>
  <c r="CI101" i="20"/>
  <c r="CH97" i="20"/>
  <c r="CJ95" i="20"/>
  <c r="CI94" i="20"/>
  <c r="CH93" i="20"/>
  <c r="CJ91" i="20"/>
  <c r="CI90" i="20"/>
  <c r="CH89" i="20"/>
  <c r="CJ87" i="20"/>
  <c r="CI83" i="20"/>
  <c r="CH82" i="20"/>
  <c r="CJ76" i="20"/>
  <c r="CI75" i="20"/>
  <c r="CH74" i="20"/>
  <c r="CJ73" i="20"/>
  <c r="CI72" i="20"/>
  <c r="CH71" i="20"/>
  <c r="CJ66" i="20"/>
  <c r="CI65" i="20"/>
  <c r="CH64" i="20"/>
  <c r="CJ59" i="20"/>
  <c r="CI58" i="20"/>
  <c r="CH57" i="20"/>
  <c r="CH55" i="20"/>
  <c r="CJ53" i="20"/>
  <c r="CI50" i="20"/>
  <c r="CH48" i="20"/>
  <c r="CJ46" i="20"/>
  <c r="CI45" i="20"/>
  <c r="CH44" i="20"/>
  <c r="CJ42" i="20"/>
  <c r="CI41" i="20"/>
  <c r="CH38" i="20"/>
  <c r="CJ173" i="20"/>
  <c r="CH160" i="20"/>
  <c r="CI113" i="20"/>
  <c r="CJ37" i="20"/>
  <c r="CH15" i="20"/>
  <c r="CH194" i="20"/>
  <c r="CJ187" i="20"/>
  <c r="CJ178" i="20"/>
  <c r="CJ162" i="20"/>
  <c r="CH154" i="20"/>
  <c r="CI148" i="20"/>
  <c r="CJ144" i="20"/>
  <c r="CH142" i="20"/>
  <c r="CI139" i="20"/>
  <c r="CJ133" i="20"/>
  <c r="CH131" i="20"/>
  <c r="CJ129" i="20"/>
  <c r="CH127" i="20"/>
  <c r="CI124" i="20"/>
  <c r="CH123" i="20"/>
  <c r="CJ116" i="20"/>
  <c r="CI115" i="20"/>
  <c r="CH77" i="20"/>
  <c r="CJ110" i="20"/>
  <c r="CI106" i="20"/>
  <c r="CH105" i="20"/>
  <c r="CJ103" i="20"/>
  <c r="CI102" i="20"/>
  <c r="CH101" i="20"/>
  <c r="CJ96" i="20"/>
  <c r="CI95" i="20"/>
  <c r="CH94" i="20"/>
  <c r="CJ92" i="20"/>
  <c r="CI91" i="20"/>
  <c r="CH90" i="20"/>
  <c r="CJ88" i="20"/>
  <c r="CI87" i="20"/>
  <c r="CH83" i="20"/>
  <c r="CJ81" i="20"/>
  <c r="CI76" i="20"/>
  <c r="CH75" i="20"/>
  <c r="CI73" i="20"/>
  <c r="CH72" i="20"/>
  <c r="CJ68" i="20"/>
  <c r="CI66" i="20"/>
  <c r="CH65" i="20"/>
  <c r="CJ61" i="20"/>
  <c r="CI59" i="20"/>
  <c r="CH58" i="20"/>
  <c r="CJ56" i="20"/>
  <c r="CJ54" i="20"/>
  <c r="CI53" i="20"/>
  <c r="CH50" i="20"/>
  <c r="CJ47" i="20"/>
  <c r="CI46" i="20"/>
  <c r="CH45" i="20"/>
  <c r="CJ43" i="20"/>
  <c r="CI42" i="20"/>
  <c r="CH41" i="20"/>
  <c r="CJ36" i="20"/>
  <c r="CI35" i="20"/>
  <c r="CH34" i="20"/>
  <c r="CJ32" i="20"/>
  <c r="CI29" i="20"/>
  <c r="CH27" i="20"/>
  <c r="CJ25" i="20"/>
  <c r="CI24" i="20"/>
  <c r="CH23" i="20"/>
  <c r="CJ21" i="20"/>
  <c r="CJ189" i="20"/>
  <c r="CI151" i="20"/>
  <c r="CH60" i="20"/>
  <c r="CH198" i="20"/>
  <c r="CH179" i="20"/>
  <c r="CI171" i="20"/>
  <c r="CJ155" i="20"/>
  <c r="CI146" i="20"/>
  <c r="CH141" i="20"/>
  <c r="CJ132" i="20"/>
  <c r="CJ128" i="20"/>
  <c r="CH124" i="20"/>
  <c r="CH115" i="20"/>
  <c r="CI110" i="20"/>
  <c r="CJ104" i="20"/>
  <c r="CH102" i="20"/>
  <c r="CI96" i="20"/>
  <c r="CJ93" i="20"/>
  <c r="CH91" i="20"/>
  <c r="CI88" i="20"/>
  <c r="CJ82" i="20"/>
  <c r="CH76" i="20"/>
  <c r="CJ71" i="20"/>
  <c r="CH66" i="20"/>
  <c r="CI61" i="20"/>
  <c r="CJ57" i="20"/>
  <c r="CI54" i="20"/>
  <c r="CJ48" i="20"/>
  <c r="CH46" i="20"/>
  <c r="CI43" i="20"/>
  <c r="CJ38" i="20"/>
  <c r="CJ35" i="20"/>
  <c r="CJ33" i="20"/>
  <c r="CH32" i="20"/>
  <c r="CI27" i="20"/>
  <c r="CI25" i="20"/>
  <c r="CJ23" i="20"/>
  <c r="CH22" i="20"/>
  <c r="CI20" i="20"/>
  <c r="CH19" i="20"/>
  <c r="CI33" i="20"/>
  <c r="CJ29" i="20"/>
  <c r="CJ26" i="20"/>
  <c r="CH25" i="20"/>
  <c r="CI23" i="20"/>
  <c r="CI21" i="20"/>
  <c r="CH20" i="20"/>
  <c r="CJ16" i="20"/>
  <c r="CH183" i="20"/>
  <c r="CJ84" i="20"/>
  <c r="CI180" i="20"/>
  <c r="CJ172" i="20"/>
  <c r="CH170" i="20"/>
  <c r="CH163" i="20"/>
  <c r="CH150" i="20"/>
  <c r="CJ143" i="20"/>
  <c r="CI138" i="20"/>
  <c r="CH126" i="20"/>
  <c r="CJ122" i="20"/>
  <c r="CI116" i="20"/>
  <c r="CJ111" i="20"/>
  <c r="CH106" i="20"/>
  <c r="CI103" i="20"/>
  <c r="CH95" i="20"/>
  <c r="CI92" i="20"/>
  <c r="CJ89" i="20"/>
  <c r="CI81" i="20"/>
  <c r="CH73" i="20"/>
  <c r="CI68" i="20"/>
  <c r="CH59" i="20"/>
  <c r="CJ55" i="20"/>
  <c r="CH53" i="20"/>
  <c r="CJ44" i="20"/>
  <c r="CI36" i="20"/>
  <c r="CH29" i="20"/>
  <c r="CI26" i="20"/>
  <c r="CJ22" i="20"/>
  <c r="CJ19" i="20"/>
  <c r="CJ117" i="20"/>
  <c r="CI172" i="20"/>
  <c r="CI143" i="20"/>
  <c r="CH138" i="20"/>
  <c r="CJ125" i="20"/>
  <c r="CH116" i="20"/>
  <c r="CJ105" i="20"/>
  <c r="CI97" i="20"/>
  <c r="CI89" i="20"/>
  <c r="CH81" i="20"/>
  <c r="CI74" i="20"/>
  <c r="CH68" i="20"/>
  <c r="CJ58" i="20"/>
  <c r="CI55" i="20"/>
  <c r="CH47" i="20"/>
  <c r="CJ41" i="20"/>
  <c r="CI34" i="20"/>
  <c r="CI32" i="20"/>
  <c r="CH26" i="20"/>
  <c r="CJ20" i="20"/>
  <c r="CH16" i="20"/>
  <c r="CI165" i="20"/>
  <c r="CH107" i="20"/>
  <c r="CJ196" i="20"/>
  <c r="CH171" i="20"/>
  <c r="CI155" i="20"/>
  <c r="CH146" i="20"/>
  <c r="CJ140" i="20"/>
  <c r="CI132" i="20"/>
  <c r="CI128" i="20"/>
  <c r="CJ123" i="20"/>
  <c r="CJ77" i="20"/>
  <c r="CH110" i="20"/>
  <c r="CI104" i="20"/>
  <c r="CJ101" i="20"/>
  <c r="CH96" i="20"/>
  <c r="CI93" i="20"/>
  <c r="CJ90" i="20"/>
  <c r="CH88" i="20"/>
  <c r="CI82" i="20"/>
  <c r="CJ75" i="20"/>
  <c r="CI71" i="20"/>
  <c r="CJ65" i="20"/>
  <c r="CH61" i="20"/>
  <c r="CI57" i="20"/>
  <c r="CH54" i="20"/>
  <c r="CI48" i="20"/>
  <c r="CJ45" i="20"/>
  <c r="CH43" i="20"/>
  <c r="CI38" i="20"/>
  <c r="CH35" i="20"/>
  <c r="CJ97" i="20"/>
  <c r="CH87" i="20"/>
  <c r="CJ74" i="20"/>
  <c r="CJ64" i="20"/>
  <c r="CI56" i="20"/>
  <c r="CI47" i="20"/>
  <c r="CH42" i="20"/>
  <c r="CJ34" i="20"/>
  <c r="CH33" i="20"/>
  <c r="CJ24" i="20"/>
  <c r="CH21" i="20"/>
  <c r="CI16" i="20"/>
  <c r="CI28" i="20"/>
  <c r="CH180" i="20"/>
  <c r="CJ169" i="20"/>
  <c r="CJ149" i="20"/>
  <c r="CI122" i="20"/>
  <c r="CI111" i="20"/>
  <c r="CH103" i="20"/>
  <c r="CJ94" i="20"/>
  <c r="CH92" i="20"/>
  <c r="CJ83" i="20"/>
  <c r="CJ72" i="20"/>
  <c r="CI64" i="20"/>
  <c r="CH56" i="20"/>
  <c r="CJ50" i="20"/>
  <c r="CI44" i="20"/>
  <c r="CH36" i="20"/>
  <c r="CJ27" i="20"/>
  <c r="CI22" i="20"/>
  <c r="CI19" i="20"/>
  <c r="CB46" i="20"/>
  <c r="BL87" i="20"/>
  <c r="CN87" i="20" s="1"/>
  <c r="CF87" i="20" s="1"/>
  <c r="CB14" i="20"/>
  <c r="CB105" i="20"/>
  <c r="CB29" i="20"/>
  <c r="CB43" i="20"/>
  <c r="CB44" i="20"/>
  <c r="CB102" i="20"/>
  <c r="CB181" i="20"/>
  <c r="CB150" i="20"/>
  <c r="CB149" i="20"/>
  <c r="CB145" i="20"/>
  <c r="CB141" i="20"/>
  <c r="CB137" i="20"/>
  <c r="CB198" i="20"/>
  <c r="CB154" i="20"/>
  <c r="CB148" i="20"/>
  <c r="CB146" i="20"/>
  <c r="CB133" i="20"/>
  <c r="CB132" i="20"/>
  <c r="CB128" i="20"/>
  <c r="CB144" i="20"/>
  <c r="CB142" i="20"/>
  <c r="CB140" i="20"/>
  <c r="CB139" i="20"/>
  <c r="CB138" i="20"/>
  <c r="CB131" i="20"/>
  <c r="CB129" i="20"/>
  <c r="CB115" i="20"/>
  <c r="CB77" i="20"/>
  <c r="CB111" i="20"/>
  <c r="CB110" i="20"/>
  <c r="CB106" i="20"/>
  <c r="CB104" i="20"/>
  <c r="CB96" i="20"/>
  <c r="CB94" i="20"/>
  <c r="CB93" i="20"/>
  <c r="CB92" i="20"/>
  <c r="CB91" i="20"/>
  <c r="CB90" i="20"/>
  <c r="CB89" i="20"/>
  <c r="CB88" i="20"/>
  <c r="CB87" i="20"/>
  <c r="CB83" i="20"/>
  <c r="CB81" i="20"/>
  <c r="CB126" i="20"/>
  <c r="CB124" i="20"/>
  <c r="CB122" i="20"/>
  <c r="CB143" i="20"/>
  <c r="CB127" i="20"/>
  <c r="CB125" i="20"/>
  <c r="CB103" i="20"/>
  <c r="CB101" i="20"/>
  <c r="CB95" i="20"/>
  <c r="CB76" i="20"/>
  <c r="CB74" i="20"/>
  <c r="CB57" i="20"/>
  <c r="CB55" i="20"/>
  <c r="CB54" i="20"/>
  <c r="CB53" i="20"/>
  <c r="CB97" i="20"/>
  <c r="CB41" i="20"/>
  <c r="CB38" i="20"/>
  <c r="CB36" i="20"/>
  <c r="CB35" i="20"/>
  <c r="CB27" i="20"/>
  <c r="CB26" i="20"/>
  <c r="CB12" i="20"/>
  <c r="CB75" i="20"/>
  <c r="CB22" i="20"/>
  <c r="CB21" i="20"/>
  <c r="CB123" i="20"/>
  <c r="CB73" i="20"/>
  <c r="CB71" i="20"/>
  <c r="CB66" i="20"/>
  <c r="CB64" i="20"/>
  <c r="CB59" i="20"/>
  <c r="CB56" i="20"/>
  <c r="CB50" i="20"/>
  <c r="CB48" i="20"/>
  <c r="CB47" i="20"/>
  <c r="CB45" i="20"/>
  <c r="CB33" i="20"/>
  <c r="CB169" i="20"/>
  <c r="CB82" i="20"/>
  <c r="CB34" i="20"/>
  <c r="CB25" i="20"/>
  <c r="CB23" i="20"/>
  <c r="CB20" i="20"/>
  <c r="CB19" i="20"/>
  <c r="CB16" i="20"/>
  <c r="CB13" i="20"/>
  <c r="CB24" i="20"/>
  <c r="CB32" i="20"/>
  <c r="CB58" i="20"/>
  <c r="CB61" i="20"/>
  <c r="CB65" i="20"/>
  <c r="CB68" i="20"/>
  <c r="CB72" i="20"/>
  <c r="CB42" i="20"/>
  <c r="CB172" i="20"/>
  <c r="BL21" i="20"/>
  <c r="CN21" i="20" s="1"/>
  <c r="CF21" i="20" s="1"/>
  <c r="BL12" i="20"/>
  <c r="CN12" i="20" s="1"/>
  <c r="BL25" i="20"/>
  <c r="CN25" i="20" s="1"/>
  <c r="CF25" i="20" s="1"/>
  <c r="BL47" i="20"/>
  <c r="CN47" i="20" s="1"/>
  <c r="CF47" i="20" s="1"/>
  <c r="BL75" i="20"/>
  <c r="CN75" i="20" s="1"/>
  <c r="CF75" i="20" s="1"/>
  <c r="BL88" i="20"/>
  <c r="CN88" i="20" s="1"/>
  <c r="CF88" i="20" s="1"/>
  <c r="BL38" i="20"/>
  <c r="CN38" i="20" s="1"/>
  <c r="CF38" i="20" s="1"/>
  <c r="BL26" i="20"/>
  <c r="CN26" i="20" s="1"/>
  <c r="CF26" i="20" s="1"/>
  <c r="BL33" i="20"/>
  <c r="CN33" i="20" s="1"/>
  <c r="CF33" i="20" s="1"/>
  <c r="BL14" i="20"/>
  <c r="CN14" i="20" s="1"/>
  <c r="CF14" i="20" s="1"/>
  <c r="BL44" i="20"/>
  <c r="BL58" i="20"/>
  <c r="CN58" i="20" s="1"/>
  <c r="CF58" i="20" s="1"/>
  <c r="BL32" i="20"/>
  <c r="CN32" i="20" s="1"/>
  <c r="CF32" i="20" s="1"/>
  <c r="BL36" i="20"/>
  <c r="CN36" i="20" s="1"/>
  <c r="CF36" i="20" s="1"/>
  <c r="BL43" i="20"/>
  <c r="CN43" i="20" s="1"/>
  <c r="CF43" i="20" s="1"/>
  <c r="BL45" i="20"/>
  <c r="CN45" i="20" s="1"/>
  <c r="CF45" i="20" s="1"/>
  <c r="BL65" i="20"/>
  <c r="CN65" i="20" s="1"/>
  <c r="CF65" i="20" s="1"/>
  <c r="BL50" i="20"/>
  <c r="CN50" i="20" s="1"/>
  <c r="CF50" i="20" s="1"/>
  <c r="BL72" i="20"/>
  <c r="CN72" i="20" s="1"/>
  <c r="CF72" i="20" s="1"/>
  <c r="BL68" i="20"/>
  <c r="CN68" i="20" s="1"/>
  <c r="CF68" i="20" s="1"/>
  <c r="BL81" i="20"/>
  <c r="CN81" i="20" s="1"/>
  <c r="CF81" i="20" s="1"/>
  <c r="BL90" i="20"/>
  <c r="CN90" i="20" s="1"/>
  <c r="CF90" i="20" s="1"/>
  <c r="BL92" i="20"/>
  <c r="CN92" i="20" s="1"/>
  <c r="CF92" i="20" s="1"/>
  <c r="BL104" i="20"/>
  <c r="CN104" i="20" s="1"/>
  <c r="CF104" i="20" s="1"/>
  <c r="BL124" i="20"/>
  <c r="CN124" i="20" s="1"/>
  <c r="CF124" i="20" s="1"/>
  <c r="BL122" i="20"/>
  <c r="CN122" i="20" s="1"/>
  <c r="CF122" i="20" s="1"/>
  <c r="BL128" i="20"/>
  <c r="CN128" i="20" s="1"/>
  <c r="CF128" i="20" s="1"/>
  <c r="BL126" i="20"/>
  <c r="CN126" i="20" s="1"/>
  <c r="CF126" i="20" s="1"/>
  <c r="BL198" i="20"/>
  <c r="CN198" i="20" s="1"/>
  <c r="CF198" i="20" s="1"/>
  <c r="BL137" i="20"/>
  <c r="CN137" i="20" s="1"/>
  <c r="CF137" i="20" s="1"/>
  <c r="BL154" i="20"/>
  <c r="CN154" i="20" s="1"/>
  <c r="CF154" i="20" s="1"/>
  <c r="BL133" i="20"/>
  <c r="CN133" i="20" s="1"/>
  <c r="CF133" i="20" s="1"/>
  <c r="BL143" i="20"/>
  <c r="CN143" i="20" s="1"/>
  <c r="CF143" i="20" s="1"/>
  <c r="CH31" i="9"/>
  <c r="CH14" i="9"/>
  <c r="CH15" i="9"/>
  <c r="CH16" i="9"/>
  <c r="CH17" i="9"/>
  <c r="CH18" i="9"/>
  <c r="CH19" i="9"/>
  <c r="CH20" i="9"/>
  <c r="CH21" i="9"/>
  <c r="CH22" i="9"/>
  <c r="CH23" i="9"/>
  <c r="CH24" i="9"/>
  <c r="CH25" i="9"/>
  <c r="CH26" i="9"/>
  <c r="CH27" i="9"/>
  <c r="CH28" i="9"/>
  <c r="CH29" i="9"/>
  <c r="CH30" i="9"/>
  <c r="CG13" i="9"/>
  <c r="E1061" i="9"/>
  <c r="E1062" i="9"/>
  <c r="E1063" i="9"/>
  <c r="E1064" i="9"/>
  <c r="E1065" i="9"/>
  <c r="E1066" i="9"/>
  <c r="E1067" i="9"/>
  <c r="E1068" i="9"/>
  <c r="E1069" i="9"/>
  <c r="E1070" i="9"/>
  <c r="E1071" i="9"/>
  <c r="E1072" i="9"/>
  <c r="E1073" i="9"/>
  <c r="E1074" i="9"/>
  <c r="E1075" i="9"/>
  <c r="E1076" i="9"/>
  <c r="E1077" i="9"/>
  <c r="E1078" i="9"/>
  <c r="E1079" i="9"/>
  <c r="E1060" i="9"/>
  <c r="F11" i="20" a="1"/>
  <c r="CN44" i="20" l="1"/>
  <c r="CF44" i="20" s="1"/>
  <c r="CD130" i="20"/>
  <c r="CF12" i="20"/>
  <c r="CD78" i="20"/>
  <c r="CD112" i="20"/>
  <c r="CD80" i="20"/>
  <c r="CD79" i="20"/>
  <c r="F11" i="20"/>
  <c r="CD182" i="20"/>
  <c r="CD180" i="20"/>
  <c r="CD147" i="20"/>
  <c r="CD188" i="20"/>
  <c r="CD179" i="20"/>
  <c r="CD42" i="20"/>
  <c r="CD150" i="20"/>
  <c r="CD21" i="20"/>
  <c r="CD163" i="20"/>
  <c r="CD35" i="20"/>
  <c r="CD61" i="20"/>
  <c r="CD110" i="20"/>
  <c r="CD53" i="20"/>
  <c r="CD73" i="20"/>
  <c r="CD95" i="20"/>
  <c r="CD24" i="20"/>
  <c r="CD141" i="20"/>
  <c r="CD98" i="20"/>
  <c r="CD199" i="20"/>
  <c r="CD87" i="20"/>
  <c r="CD76" i="20"/>
  <c r="CD131" i="20"/>
  <c r="CD137" i="20"/>
  <c r="CD134" i="20"/>
  <c r="CD119" i="20"/>
  <c r="CD54" i="20"/>
  <c r="CD96" i="20"/>
  <c r="CD171" i="20"/>
  <c r="CD26" i="20"/>
  <c r="CD47" i="20"/>
  <c r="CD29" i="20"/>
  <c r="CD13" i="20"/>
  <c r="CD32" i="20"/>
  <c r="CD102" i="20"/>
  <c r="CD124" i="20"/>
  <c r="CD41" i="20"/>
  <c r="CD58" i="20"/>
  <c r="CD127" i="20"/>
  <c r="CD154" i="20"/>
  <c r="CD194" i="20"/>
  <c r="CD160" i="20"/>
  <c r="CD48" i="20"/>
  <c r="CD93" i="20"/>
  <c r="CD197" i="20"/>
  <c r="CD49" i="20"/>
  <c r="CD175" i="20"/>
  <c r="CD125" i="20"/>
  <c r="CD144" i="20"/>
  <c r="CD178" i="20"/>
  <c r="CD117" i="20"/>
  <c r="CD132" i="20"/>
  <c r="CD155" i="20"/>
  <c r="CD113" i="20"/>
  <c r="CD56" i="20"/>
  <c r="CD92" i="20"/>
  <c r="CD116" i="20"/>
  <c r="CD15" i="20"/>
  <c r="CD71" i="20"/>
  <c r="CD122" i="20"/>
  <c r="CD43" i="20"/>
  <c r="CD88" i="20"/>
  <c r="CD146" i="20"/>
  <c r="CD81" i="20"/>
  <c r="CD59" i="20"/>
  <c r="CD106" i="20"/>
  <c r="CD126" i="20"/>
  <c r="CD46" i="20"/>
  <c r="CD91" i="20"/>
  <c r="CD34" i="20"/>
  <c r="CD75" i="20"/>
  <c r="CD101" i="20"/>
  <c r="CD142" i="20"/>
  <c r="CD44" i="20"/>
  <c r="CD64" i="20"/>
  <c r="CD89" i="20"/>
  <c r="CD111" i="20"/>
  <c r="CD145" i="20"/>
  <c r="CD193" i="20"/>
  <c r="CD158" i="20"/>
  <c r="CD140" i="20"/>
  <c r="CD169" i="20"/>
  <c r="CD84" i="20"/>
  <c r="CD189" i="20"/>
  <c r="CD128" i="20"/>
  <c r="CD148" i="20"/>
  <c r="CD172" i="20"/>
  <c r="CD67" i="20"/>
  <c r="CD185" i="20"/>
  <c r="CD22" i="20"/>
  <c r="CD83" i="20"/>
  <c r="CD105" i="20"/>
  <c r="CD36" i="20"/>
  <c r="CD33" i="20"/>
  <c r="CD16" i="20"/>
  <c r="CD170" i="20"/>
  <c r="CD183" i="20"/>
  <c r="CD25" i="20"/>
  <c r="CD19" i="20"/>
  <c r="CD198" i="20"/>
  <c r="CD27" i="20"/>
  <c r="CD50" i="20"/>
  <c r="CD72" i="20"/>
  <c r="CD94" i="20"/>
  <c r="CD123" i="20"/>
  <c r="CD38" i="20"/>
  <c r="CD57" i="20"/>
  <c r="CD82" i="20"/>
  <c r="CD104" i="20"/>
  <c r="CD133" i="20"/>
  <c r="CD162" i="20"/>
  <c r="CD196" i="20"/>
  <c r="CD37" i="20"/>
  <c r="CD173" i="20"/>
  <c r="CD143" i="20"/>
  <c r="CD28" i="20"/>
  <c r="CD165" i="20"/>
  <c r="CD103" i="20"/>
  <c r="CD107" i="20"/>
  <c r="CD68" i="20"/>
  <c r="CD138" i="20"/>
  <c r="CD20" i="20"/>
  <c r="CD12" i="20"/>
  <c r="CD66" i="20"/>
  <c r="CD115" i="20"/>
  <c r="CD60" i="20"/>
  <c r="CD23" i="20"/>
  <c r="CD45" i="20"/>
  <c r="CD65" i="20"/>
  <c r="CD90" i="20"/>
  <c r="CD77" i="20"/>
  <c r="CD55" i="20"/>
  <c r="CD74" i="20"/>
  <c r="CD97" i="20"/>
  <c r="CD129" i="20"/>
  <c r="CD149" i="20"/>
  <c r="CD187" i="20"/>
  <c r="CD156" i="20"/>
  <c r="CD139" i="20"/>
  <c r="CD195" i="20"/>
  <c r="CD151" i="20"/>
  <c r="BL24" i="30"/>
  <c r="V24" i="30" s="1"/>
  <c r="CM24" i="30" s="1"/>
  <c r="CE24" i="30" s="1"/>
  <c r="E1030" i="9"/>
  <c r="E1053" i="9"/>
  <c r="E1018" i="9"/>
  <c r="E1041" i="9"/>
  <c r="E1029" i="9"/>
  <c r="E1052" i="9"/>
  <c r="E1014" i="9"/>
  <c r="E1037" i="9"/>
  <c r="E1026" i="9"/>
  <c r="E1049" i="9"/>
  <c r="E1022" i="9"/>
  <c r="E1045" i="9"/>
  <c r="E1033" i="9"/>
  <c r="E1056" i="9"/>
  <c r="E1025" i="9"/>
  <c r="E1048" i="9"/>
  <c r="E1021" i="9"/>
  <c r="E1044" i="9"/>
  <c r="E1017" i="9"/>
  <c r="E1040" i="9"/>
  <c r="E1032" i="9"/>
  <c r="E1055" i="9"/>
  <c r="E1028" i="9"/>
  <c r="E1051" i="9"/>
  <c r="E1024" i="9"/>
  <c r="E1047" i="9"/>
  <c r="E1020" i="9"/>
  <c r="E1043" i="9"/>
  <c r="E1016" i="9"/>
  <c r="E1039" i="9"/>
  <c r="E1031" i="9"/>
  <c r="E1054" i="9"/>
  <c r="E1027" i="9"/>
  <c r="E1050" i="9"/>
  <c r="E1023" i="9"/>
  <c r="E1046" i="9"/>
  <c r="E1019" i="9"/>
  <c r="E1042" i="9"/>
  <c r="E1015" i="9"/>
  <c r="E1038" i="9"/>
  <c r="B137" i="11" l="1"/>
  <c r="B140" i="11"/>
  <c r="B141" i="11"/>
  <c r="B142" i="11"/>
  <c r="B143" i="11"/>
  <c r="B144" i="11"/>
  <c r="B145" i="11"/>
  <c r="B146" i="11"/>
  <c r="B147" i="11"/>
  <c r="B139" i="11"/>
  <c r="AA197" i="30" l="1"/>
  <c r="AA84" i="33" s="1"/>
  <c r="AB197" i="30"/>
  <c r="AB84" i="33" s="1"/>
  <c r="AC197" i="30"/>
  <c r="AC84" i="33" s="1"/>
  <c r="AD197" i="30"/>
  <c r="AD84" i="33" s="1"/>
  <c r="AE197" i="30"/>
  <c r="AE84" i="33" s="1"/>
  <c r="AF197" i="30"/>
  <c r="AF84" i="33" s="1"/>
  <c r="AG197" i="30"/>
  <c r="AG84" i="33" s="1"/>
  <c r="AH197" i="30"/>
  <c r="AH84" i="33" s="1"/>
  <c r="AI197" i="30"/>
  <c r="AI84" i="33" s="1"/>
  <c r="AJ197" i="30"/>
  <c r="AJ84" i="33" s="1"/>
  <c r="AK197" i="30"/>
  <c r="AK84" i="33" s="1"/>
  <c r="AL197" i="30"/>
  <c r="AL84" i="33" s="1"/>
  <c r="AM197" i="30"/>
  <c r="AM84" i="33" s="1"/>
  <c r="AN197" i="30"/>
  <c r="AN84" i="33" s="1"/>
  <c r="AO197" i="30"/>
  <c r="AO84" i="33" s="1"/>
  <c r="AP197" i="30"/>
  <c r="AP84" i="33" s="1"/>
  <c r="AQ197" i="30"/>
  <c r="AQ84" i="33" s="1"/>
  <c r="AR197" i="30"/>
  <c r="AR84" i="33" s="1"/>
  <c r="AS197" i="30"/>
  <c r="AS84" i="33" s="1"/>
  <c r="AT197" i="30"/>
  <c r="AT84" i="33" s="1"/>
  <c r="AU197" i="30"/>
  <c r="AU84" i="33" s="1"/>
  <c r="AV197" i="30"/>
  <c r="AV84" i="33" s="1"/>
  <c r="AW197" i="30"/>
  <c r="AW84" i="33" s="1"/>
  <c r="AX197" i="30"/>
  <c r="AX84" i="33" s="1"/>
  <c r="AY197" i="30"/>
  <c r="AY84" i="33" s="1"/>
  <c r="AZ197" i="30"/>
  <c r="AZ84" i="33" s="1"/>
  <c r="BA197" i="30"/>
  <c r="BA84" i="33" s="1"/>
  <c r="BB197" i="30"/>
  <c r="BB84" i="33" s="1"/>
  <c r="BC197" i="30"/>
  <c r="BC84" i="33" s="1"/>
  <c r="BD197" i="30"/>
  <c r="BD84" i="33" s="1"/>
  <c r="BE197" i="30"/>
  <c r="BE84" i="33" s="1"/>
  <c r="BF197" i="30"/>
  <c r="BF84" i="33" s="1"/>
  <c r="BG197" i="30"/>
  <c r="BG84" i="33" s="1"/>
  <c r="BH197" i="30"/>
  <c r="BH84" i="33" s="1"/>
  <c r="BI197" i="30"/>
  <c r="BI84" i="33" s="1"/>
  <c r="BJ197" i="30"/>
  <c r="BJ84" i="33" s="1"/>
  <c r="BL110" i="6"/>
  <c r="BL197" i="30" s="1"/>
  <c r="BL198" i="1"/>
  <c r="CM198" i="1" s="1"/>
  <c r="CE198" i="1" s="1"/>
  <c r="H197" i="20"/>
  <c r="D197" i="20"/>
  <c r="H196" i="20"/>
  <c r="D196" i="20"/>
  <c r="H195" i="20"/>
  <c r="D195" i="20"/>
  <c r="EX195" i="20" s="1"/>
  <c r="H194" i="20"/>
  <c r="D194" i="20"/>
  <c r="D193" i="20"/>
  <c r="EX193" i="20" s="1"/>
  <c r="H194" i="1"/>
  <c r="H197" i="1"/>
  <c r="H196" i="1"/>
  <c r="H195" i="1"/>
  <c r="D193" i="1"/>
  <c r="EX193" i="1" s="1"/>
  <c r="D194" i="1"/>
  <c r="EX194" i="1" s="1"/>
  <c r="D197" i="1"/>
  <c r="EX197" i="1" s="1"/>
  <c r="D196" i="1"/>
  <c r="EX196" i="1" s="1"/>
  <c r="D195" i="1"/>
  <c r="EX195" i="1" s="1"/>
  <c r="BL84" i="33" l="1"/>
  <c r="CM197" i="30"/>
  <c r="CE197" i="30" s="1"/>
  <c r="EX197" i="20"/>
  <c r="EX198" i="20"/>
  <c r="EX194" i="20"/>
  <c r="D61" i="30"/>
  <c r="EX61" i="30" s="1"/>
  <c r="EX196" i="20"/>
  <c r="E685" i="9" l="1"/>
  <c r="E686" i="9"/>
  <c r="E687" i="9"/>
  <c r="E688" i="9"/>
  <c r="E689" i="9"/>
  <c r="E690" i="9"/>
  <c r="E691" i="9"/>
  <c r="E692" i="9"/>
  <c r="E693" i="9"/>
  <c r="E694" i="9"/>
  <c r="E695" i="9"/>
  <c r="E696" i="9"/>
  <c r="E697" i="9"/>
  <c r="E698" i="9"/>
  <c r="E699" i="9"/>
  <c r="E700" i="9"/>
  <c r="E701" i="9"/>
  <c r="E702" i="9"/>
  <c r="E703" i="9"/>
  <c r="E704" i="9"/>
  <c r="E705" i="9"/>
  <c r="V60" i="9" l="1"/>
  <c r="W57" i="9" l="1"/>
  <c r="AA57" i="9" s="1"/>
  <c r="V79" i="9"/>
  <c r="W76" i="9" s="1"/>
  <c r="V98" i="9"/>
  <c r="W95" i="9" s="1"/>
  <c r="V117" i="9"/>
  <c r="W114" i="9" s="1"/>
  <c r="V136" i="9"/>
  <c r="W133" i="9" s="1"/>
  <c r="V155" i="9"/>
  <c r="W152" i="9" s="1"/>
  <c r="V174" i="9"/>
  <c r="W171" i="9" s="1"/>
  <c r="V193" i="9"/>
  <c r="W190" i="9" s="1"/>
  <c r="V212" i="9"/>
  <c r="W209" i="9" s="1"/>
  <c r="V231" i="9"/>
  <c r="W228" i="9" s="1"/>
  <c r="V250" i="9"/>
  <c r="W247" i="9" s="1"/>
  <c r="V269" i="9"/>
  <c r="W266" i="9" s="1"/>
  <c r="V288" i="9"/>
  <c r="W285" i="9" s="1"/>
  <c r="V307" i="9"/>
  <c r="W304" i="9" s="1"/>
  <c r="V326" i="9"/>
  <c r="W323" i="9" s="1"/>
  <c r="V345" i="9"/>
  <c r="W342" i="9" s="1"/>
  <c r="V364" i="9"/>
  <c r="W361" i="9" s="1"/>
  <c r="V383" i="9"/>
  <c r="W380" i="9" s="1"/>
  <c r="V402" i="9"/>
  <c r="W399" i="9" s="1"/>
  <c r="V421" i="9"/>
  <c r="W418" i="9" s="1"/>
  <c r="CD28" i="22"/>
  <c r="CC27" i="22"/>
  <c r="AA60" i="9" l="1"/>
  <c r="AB57" i="9" s="1"/>
  <c r="AB60" i="9" s="1"/>
  <c r="AC57" i="9" s="1"/>
  <c r="AC60" i="9" s="1"/>
  <c r="AD57" i="9" s="1"/>
  <c r="AD60" i="9" s="1"/>
  <c r="AE57" i="9" s="1"/>
  <c r="AE60" i="9" s="1"/>
  <c r="AF57" i="9" s="1"/>
  <c r="AF60" i="9" s="1"/>
  <c r="AG57" i="9" s="1"/>
  <c r="AG60" i="9" s="1"/>
  <c r="AH57" i="9" s="1"/>
  <c r="AH60" i="9" s="1"/>
  <c r="AI57" i="9" s="1"/>
  <c r="AI60" i="9" s="1"/>
  <c r="AJ57" i="9" s="1"/>
  <c r="AJ60" i="9" s="1"/>
  <c r="AK57" i="9" s="1"/>
  <c r="AK60" i="9" s="1"/>
  <c r="AL57" i="9" s="1"/>
  <c r="AL60" i="9" s="1"/>
  <c r="AM57" i="9" s="1"/>
  <c r="AM60" i="9" s="1"/>
  <c r="AN57" i="9" s="1"/>
  <c r="AN60" i="9" s="1"/>
  <c r="AO57" i="9" s="1"/>
  <c r="AO60" i="9" s="1"/>
  <c r="AP57" i="9" s="1"/>
  <c r="AP60" i="9" s="1"/>
  <c r="AQ57" i="9" s="1"/>
  <c r="AQ60" i="9" s="1"/>
  <c r="AR57" i="9" s="1"/>
  <c r="AR60" i="9" s="1"/>
  <c r="AS57" i="9" s="1"/>
  <c r="AS60" i="9" s="1"/>
  <c r="AT57" i="9" s="1"/>
  <c r="AT60" i="9" s="1"/>
  <c r="AU57" i="9" s="1"/>
  <c r="AU60" i="9" s="1"/>
  <c r="AV57" i="9" s="1"/>
  <c r="AV60" i="9" s="1"/>
  <c r="AW57" i="9" s="1"/>
  <c r="AW60" i="9" s="1"/>
  <c r="AX57" i="9" s="1"/>
  <c r="AX60" i="9" s="1"/>
  <c r="AY57" i="9" s="1"/>
  <c r="AY60" i="9" s="1"/>
  <c r="AZ57" i="9" s="1"/>
  <c r="AZ60" i="9" s="1"/>
  <c r="BA57" i="9" s="1"/>
  <c r="BA60" i="9" s="1"/>
  <c r="BB57" i="9" s="1"/>
  <c r="BB60" i="9" s="1"/>
  <c r="BC57" i="9" s="1"/>
  <c r="BC60" i="9" s="1"/>
  <c r="BD57" i="9" s="1"/>
  <c r="BD60" i="9" s="1"/>
  <c r="BE57" i="9" s="1"/>
  <c r="BE60" i="9" s="1"/>
  <c r="BF57" i="9" s="1"/>
  <c r="BF60" i="9" s="1"/>
  <c r="BG57" i="9" s="1"/>
  <c r="BG60" i="9" s="1"/>
  <c r="BH57" i="9" s="1"/>
  <c r="BH60" i="9" s="1"/>
  <c r="BI57" i="9" s="1"/>
  <c r="BI60" i="9" s="1"/>
  <c r="BJ57" i="9" s="1"/>
  <c r="BJ60" i="9" s="1"/>
  <c r="AA171" i="9"/>
  <c r="AA95" i="9"/>
  <c r="AA380" i="9"/>
  <c r="AA304" i="9"/>
  <c r="AA228" i="9"/>
  <c r="AA152" i="9"/>
  <c r="AA323" i="9"/>
  <c r="AA133" i="9"/>
  <c r="AA399" i="9"/>
  <c r="AA247" i="9"/>
  <c r="AA361" i="9"/>
  <c r="AA285" i="9"/>
  <c r="AA209" i="9"/>
  <c r="AA418" i="9"/>
  <c r="AA342" i="9"/>
  <c r="AA266" i="9"/>
  <c r="AA190" i="9"/>
  <c r="AA114" i="9"/>
  <c r="BZ17" i="37" l="1"/>
  <c r="A17" i="37" s="1" a="1"/>
  <c r="A17" i="37" s="1"/>
  <c r="E41" i="26"/>
  <c r="AA100" i="30" l="1"/>
  <c r="AB100" i="30"/>
  <c r="AC100" i="30"/>
  <c r="AD100" i="30"/>
  <c r="AE100" i="30"/>
  <c r="AF100" i="30"/>
  <c r="AG100" i="30"/>
  <c r="AH100" i="30"/>
  <c r="AI100" i="30"/>
  <c r="AJ100" i="30"/>
  <c r="AK100" i="30"/>
  <c r="AL100" i="30"/>
  <c r="AM100" i="30"/>
  <c r="AN100" i="30"/>
  <c r="AO100" i="30"/>
  <c r="AP100" i="30"/>
  <c r="AQ100" i="30"/>
  <c r="AR100" i="30"/>
  <c r="AS100" i="30"/>
  <c r="AT100" i="30"/>
  <c r="AU100" i="30"/>
  <c r="AV100" i="30"/>
  <c r="AW100" i="30"/>
  <c r="AX100" i="30"/>
  <c r="AY100" i="30"/>
  <c r="AZ100" i="30"/>
  <c r="BA100" i="30"/>
  <c r="BB100" i="30"/>
  <c r="BC100" i="30"/>
  <c r="BD100" i="30"/>
  <c r="BE100" i="30"/>
  <c r="BF100" i="30"/>
  <c r="BG100" i="30"/>
  <c r="BH100" i="30"/>
  <c r="BI100" i="30"/>
  <c r="BJ100" i="30"/>
  <c r="BP100" i="30"/>
  <c r="BQ100" i="30"/>
  <c r="BR100" i="30"/>
  <c r="BS100" i="30"/>
  <c r="BT100" i="30"/>
  <c r="BU100" i="30"/>
  <c r="BV100" i="30"/>
  <c r="BW100" i="30"/>
  <c r="C100" i="30"/>
  <c r="EX100" i="30" s="1"/>
  <c r="V160" i="6"/>
  <c r="V100" i="30" s="1"/>
  <c r="BW170" i="30" l="1"/>
  <c r="BS170" i="30"/>
  <c r="BV170" i="30"/>
  <c r="BR170" i="30"/>
  <c r="BT170" i="30"/>
  <c r="BU170" i="30"/>
  <c r="BQ170" i="30"/>
  <c r="BJ170" i="30"/>
  <c r="BF170" i="30"/>
  <c r="BB170" i="30"/>
  <c r="AX170" i="30"/>
  <c r="AT170" i="30"/>
  <c r="AP170" i="30"/>
  <c r="AL170" i="30"/>
  <c r="AH170" i="30"/>
  <c r="AD170" i="30"/>
  <c r="BH170" i="30"/>
  <c r="BC170" i="30"/>
  <c r="AZ170" i="30"/>
  <c r="AU170" i="30"/>
  <c r="AR170" i="30"/>
  <c r="AM170" i="30"/>
  <c r="AI170" i="30"/>
  <c r="AE170" i="30"/>
  <c r="BI170" i="30"/>
  <c r="BE170" i="30"/>
  <c r="BA170" i="30"/>
  <c r="AW170" i="30"/>
  <c r="AS170" i="30"/>
  <c r="AO170" i="30"/>
  <c r="AK170" i="30"/>
  <c r="AC170" i="30"/>
  <c r="AG170" i="30"/>
  <c r="AB170" i="30"/>
  <c r="AA170" i="30"/>
  <c r="BD170" i="30"/>
  <c r="AV170" i="30"/>
  <c r="AN170" i="30"/>
  <c r="AJ170" i="30"/>
  <c r="AF170" i="30"/>
  <c r="BG170" i="30"/>
  <c r="AY170" i="30"/>
  <c r="AQ170" i="30"/>
  <c r="BL160" i="6"/>
  <c r="BL100" i="30" s="1"/>
  <c r="CM100" i="30" s="1"/>
  <c r="CE100" i="30" s="1"/>
  <c r="D34" i="36" l="1"/>
  <c r="C34" i="36"/>
  <c r="D33" i="36"/>
  <c r="C33" i="36"/>
  <c r="Y24" i="37"/>
  <c r="X24" i="37"/>
  <c r="W24" i="37"/>
  <c r="V24" i="37"/>
  <c r="Y19" i="37"/>
  <c r="X19" i="37"/>
  <c r="W19" i="37"/>
  <c r="V19" i="37"/>
  <c r="W14" i="37"/>
  <c r="X14" i="37"/>
  <c r="Y14" i="37"/>
  <c r="V14" i="37"/>
  <c r="V96" i="6"/>
  <c r="V102" i="6"/>
  <c r="EX33" i="36" l="1"/>
  <c r="EX34" i="36"/>
  <c r="V91" i="30"/>
  <c r="V90" i="30"/>
  <c r="CU68" i="1" l="1"/>
  <c r="BL67" i="1"/>
  <c r="CM67" i="1" s="1"/>
  <c r="CE67" i="1" s="1"/>
  <c r="CP68" i="1"/>
  <c r="EF68" i="1" l="1"/>
  <c r="BL11" i="1" l="1"/>
  <c r="CM11" i="1" s="1"/>
  <c r="CE11" i="1" s="1"/>
  <c r="X15" i="20"/>
  <c r="Y15" i="20"/>
  <c r="V63" i="16" l="1"/>
  <c r="BL124" i="6" l="1"/>
  <c r="BL125" i="6"/>
  <c r="BL126" i="6"/>
  <c r="BL127" i="6"/>
  <c r="BL128" i="6"/>
  <c r="BL129" i="6"/>
  <c r="BL130" i="6"/>
  <c r="BL131" i="6"/>
  <c r="BL132" i="6"/>
  <c r="BL133" i="6"/>
  <c r="BL134" i="6"/>
  <c r="BL135" i="6"/>
  <c r="BL182" i="6"/>
  <c r="BL183" i="6"/>
  <c r="BL184" i="6"/>
  <c r="BL149" i="30" s="1"/>
  <c r="CM149" i="30" s="1"/>
  <c r="CE149" i="30" s="1"/>
  <c r="BL185" i="6"/>
  <c r="BL186" i="6"/>
  <c r="BL187" i="6"/>
  <c r="BL188" i="6"/>
  <c r="BL189" i="6"/>
  <c r="BL190" i="6"/>
  <c r="BL191" i="6"/>
  <c r="BL196" i="6"/>
  <c r="BL155" i="1" s="1"/>
  <c r="BL197" i="6"/>
  <c r="BL198" i="6"/>
  <c r="BL199" i="6"/>
  <c r="BL200" i="6"/>
  <c r="BL205" i="6"/>
  <c r="BL206" i="6"/>
  <c r="BL207" i="6"/>
  <c r="BL208" i="6"/>
  <c r="BL210" i="6"/>
  <c r="BL231" i="6"/>
  <c r="BL130" i="1" l="1"/>
  <c r="CM130" i="1" s="1"/>
  <c r="CE130" i="1" s="1"/>
  <c r="BL150" i="30"/>
  <c r="CM150" i="30" s="1"/>
  <c r="CE150" i="30" s="1"/>
  <c r="BL148" i="30"/>
  <c r="CM148" i="30" s="1"/>
  <c r="CE148" i="30" s="1"/>
  <c r="BL171" i="1"/>
  <c r="CM171" i="1" s="1"/>
  <c r="CE171" i="1" s="1"/>
  <c r="BL188" i="1"/>
  <c r="CM188" i="1" s="1"/>
  <c r="CE188" i="1" s="1"/>
  <c r="BL181" i="30"/>
  <c r="CM181" i="30" s="1"/>
  <c r="CE181" i="30" s="1"/>
  <c r="BL189" i="30"/>
  <c r="CM189" i="30" s="1"/>
  <c r="CE189" i="30" s="1"/>
  <c r="BL57" i="33" l="1"/>
  <c r="BL188" i="20"/>
  <c r="CN188" i="20" s="1"/>
  <c r="CF188" i="20" s="1"/>
  <c r="BL252" i="6"/>
  <c r="BL246" i="6"/>
  <c r="BL240" i="6"/>
  <c r="BL215" i="6"/>
  <c r="BL147" i="1" s="1"/>
  <c r="CM147" i="1" s="1"/>
  <c r="CE147" i="1" s="1"/>
  <c r="BL204" i="6"/>
  <c r="BL195" i="6"/>
  <c r="BL181" i="6"/>
  <c r="BL67" i="6"/>
  <c r="BL123" i="6"/>
  <c r="BL108" i="6"/>
  <c r="BL109" i="6"/>
  <c r="BL201" i="30" s="1"/>
  <c r="BL63" i="6"/>
  <c r="BL59" i="6"/>
  <c r="BL55" i="6"/>
  <c r="BL87" i="33" l="1"/>
  <c r="CM201" i="30"/>
  <c r="CE201" i="30" s="1"/>
  <c r="BL147" i="20"/>
  <c r="CN147" i="20" s="1"/>
  <c r="CF147" i="20" s="1"/>
  <c r="BL69" i="6"/>
  <c r="V11" i="20"/>
  <c r="BL11" i="20" l="1"/>
  <c r="CN11" i="20" s="1"/>
  <c r="E155" i="26"/>
  <c r="F155" i="26"/>
  <c r="D155" i="26"/>
  <c r="G155" i="26"/>
  <c r="E156" i="26"/>
  <c r="F156" i="26"/>
  <c r="D156" i="26"/>
  <c r="G156" i="26"/>
  <c r="E157" i="26"/>
  <c r="F157" i="26"/>
  <c r="D157" i="26"/>
  <c r="G157" i="26"/>
  <c r="E158" i="26"/>
  <c r="F158" i="26"/>
  <c r="D158" i="26"/>
  <c r="G158" i="26"/>
  <c r="E159" i="26"/>
  <c r="F159" i="26"/>
  <c r="D159" i="26"/>
  <c r="G159" i="26"/>
  <c r="E160" i="26"/>
  <c r="F160" i="26"/>
  <c r="D160" i="26"/>
  <c r="G160" i="26"/>
  <c r="E161" i="26"/>
  <c r="F161" i="26"/>
  <c r="D161" i="26"/>
  <c r="G161" i="26"/>
  <c r="E162" i="26"/>
  <c r="F162" i="26"/>
  <c r="D162" i="26"/>
  <c r="G162" i="26"/>
  <c r="E163" i="26"/>
  <c r="F163" i="26"/>
  <c r="D163" i="26"/>
  <c r="G163" i="26"/>
  <c r="E164" i="26"/>
  <c r="F164" i="26"/>
  <c r="D164" i="26"/>
  <c r="G164" i="26"/>
  <c r="E165" i="26"/>
  <c r="F165" i="26"/>
  <c r="D165" i="26"/>
  <c r="G165" i="26"/>
  <c r="E166" i="26"/>
  <c r="F166" i="26"/>
  <c r="D166" i="26"/>
  <c r="G166" i="26"/>
  <c r="E167" i="26"/>
  <c r="F167" i="26"/>
  <c r="D167" i="26"/>
  <c r="G167" i="26"/>
  <c r="E168" i="26"/>
  <c r="F168" i="26"/>
  <c r="D168" i="26"/>
  <c r="G168" i="26"/>
  <c r="G154" i="26"/>
  <c r="F154" i="26"/>
  <c r="D154" i="26"/>
  <c r="E154" i="26"/>
  <c r="CF11" i="20" l="1"/>
  <c r="BZ160" i="26"/>
  <c r="BZ159" i="26"/>
  <c r="BZ158" i="26"/>
  <c r="BZ157" i="26"/>
  <c r="BZ156" i="26"/>
  <c r="BZ155" i="26"/>
  <c r="BZ167" i="26"/>
  <c r="BZ163" i="26"/>
  <c r="BZ168" i="26"/>
  <c r="BZ166" i="26"/>
  <c r="BZ165" i="26"/>
  <c r="BZ164" i="26"/>
  <c r="BZ162" i="26"/>
  <c r="BZ161" i="26"/>
  <c r="BZ154" i="26"/>
  <c r="AB189" i="30" l="1"/>
  <c r="AA181" i="30"/>
  <c r="AB181" i="30"/>
  <c r="AC181" i="30"/>
  <c r="AD181" i="30"/>
  <c r="AE181" i="30"/>
  <c r="AF181" i="30"/>
  <c r="AG181" i="30"/>
  <c r="AH181" i="30"/>
  <c r="AI181" i="30"/>
  <c r="AJ181" i="30"/>
  <c r="AK181" i="30"/>
  <c r="AL181" i="30"/>
  <c r="AM181" i="30"/>
  <c r="AN181" i="30"/>
  <c r="AO181" i="30"/>
  <c r="AP181" i="30"/>
  <c r="AQ181" i="30"/>
  <c r="AR181" i="30"/>
  <c r="AS181" i="30"/>
  <c r="AT181" i="30"/>
  <c r="AU181" i="30"/>
  <c r="AV181" i="30"/>
  <c r="AW181" i="30"/>
  <c r="AX181" i="30"/>
  <c r="AY181" i="30"/>
  <c r="AZ181" i="30"/>
  <c r="BA181" i="30"/>
  <c r="BB181" i="30"/>
  <c r="BC181" i="30"/>
  <c r="BD181" i="30"/>
  <c r="BE181" i="30"/>
  <c r="BF181" i="30"/>
  <c r="BG181" i="30"/>
  <c r="BH181" i="30"/>
  <c r="BI181" i="30"/>
  <c r="BJ181" i="30"/>
  <c r="BP90" i="30"/>
  <c r="BQ90" i="30"/>
  <c r="BR90" i="30"/>
  <c r="BS90" i="30"/>
  <c r="BT90" i="30"/>
  <c r="BU90" i="30"/>
  <c r="BV90" i="30"/>
  <c r="BW90" i="30"/>
  <c r="BP91" i="30"/>
  <c r="BQ91" i="30"/>
  <c r="BR91" i="30"/>
  <c r="BS91" i="30"/>
  <c r="BT91" i="30"/>
  <c r="BU91" i="30"/>
  <c r="BV91" i="30"/>
  <c r="BW91" i="30"/>
  <c r="AA92" i="30"/>
  <c r="AB92" i="30"/>
  <c r="AC92" i="30"/>
  <c r="AD92" i="30"/>
  <c r="AE92" i="30"/>
  <c r="AF92" i="30"/>
  <c r="AG92" i="30"/>
  <c r="AH92" i="30"/>
  <c r="AI92" i="30"/>
  <c r="AJ92" i="30"/>
  <c r="AK92" i="30"/>
  <c r="AL92" i="30"/>
  <c r="AM92" i="30"/>
  <c r="AN92" i="30"/>
  <c r="AO92" i="30"/>
  <c r="AP92" i="30"/>
  <c r="AQ92" i="30"/>
  <c r="AR92" i="30"/>
  <c r="AS92" i="30"/>
  <c r="AT92" i="30"/>
  <c r="AU92" i="30"/>
  <c r="AV92" i="30"/>
  <c r="AW92" i="30"/>
  <c r="AX92" i="30"/>
  <c r="BP92" i="30"/>
  <c r="BQ92" i="30"/>
  <c r="BR92" i="30"/>
  <c r="BS92" i="30"/>
  <c r="BT92" i="30"/>
  <c r="BU92" i="30"/>
  <c r="BV92" i="30"/>
  <c r="BW92" i="30"/>
  <c r="AA95" i="30"/>
  <c r="AB95" i="30"/>
  <c r="AC95" i="30"/>
  <c r="AD95" i="30"/>
  <c r="AE95" i="30"/>
  <c r="AF95" i="30"/>
  <c r="AG95" i="30"/>
  <c r="AH95" i="30"/>
  <c r="AI95" i="30"/>
  <c r="AJ95" i="30"/>
  <c r="AK95" i="30"/>
  <c r="AL95" i="30"/>
  <c r="AM95" i="30"/>
  <c r="AN95" i="30"/>
  <c r="AO95" i="30"/>
  <c r="AP95" i="30"/>
  <c r="AQ95" i="30"/>
  <c r="AR95" i="30"/>
  <c r="AS95" i="30"/>
  <c r="AT95" i="30"/>
  <c r="AU95" i="30"/>
  <c r="AV95" i="30"/>
  <c r="AW95" i="30"/>
  <c r="AX95" i="30"/>
  <c r="AY95" i="30"/>
  <c r="AZ95" i="30"/>
  <c r="BA95" i="30"/>
  <c r="BB95" i="30"/>
  <c r="BC95" i="30"/>
  <c r="BD95" i="30"/>
  <c r="BE95" i="30"/>
  <c r="BF95" i="30"/>
  <c r="BG95" i="30"/>
  <c r="BH95" i="30"/>
  <c r="BI95" i="30"/>
  <c r="BJ95" i="30"/>
  <c r="BP95" i="30"/>
  <c r="BQ95" i="30"/>
  <c r="BR95" i="30"/>
  <c r="BS95" i="30"/>
  <c r="BT95" i="30"/>
  <c r="BU95" i="30"/>
  <c r="BV95" i="30"/>
  <c r="BW95" i="30"/>
  <c r="AA105" i="30"/>
  <c r="AC105" i="30"/>
  <c r="AD105" i="30"/>
  <c r="AF105" i="30"/>
  <c r="AG105" i="30"/>
  <c r="AI105" i="30"/>
  <c r="AJ105" i="30"/>
  <c r="AL105" i="30"/>
  <c r="AM105" i="30"/>
  <c r="AO105" i="30"/>
  <c r="AP105" i="30"/>
  <c r="AR105" i="30"/>
  <c r="AS105" i="30"/>
  <c r="AU105" i="30"/>
  <c r="AV105" i="30"/>
  <c r="AX105" i="30"/>
  <c r="AY105" i="30"/>
  <c r="BA105" i="30"/>
  <c r="BB105" i="30"/>
  <c r="BD105" i="30"/>
  <c r="BE105" i="30"/>
  <c r="BG105" i="30"/>
  <c r="BH105" i="30"/>
  <c r="BJ105" i="30"/>
  <c r="BP105" i="30"/>
  <c r="BQ105" i="30"/>
  <c r="BR105" i="30"/>
  <c r="BS105" i="30"/>
  <c r="BT105" i="30"/>
  <c r="BU105" i="30"/>
  <c r="BV105" i="30"/>
  <c r="BW105" i="30"/>
  <c r="AA96" i="30"/>
  <c r="AB96" i="30"/>
  <c r="AC96" i="30"/>
  <c r="AD96" i="30"/>
  <c r="AE96" i="30"/>
  <c r="AF96" i="30"/>
  <c r="AG96" i="30"/>
  <c r="AH96" i="30"/>
  <c r="AI96" i="30"/>
  <c r="AJ96" i="30"/>
  <c r="AK96" i="30"/>
  <c r="AL96" i="30"/>
  <c r="AM96" i="30"/>
  <c r="AN96" i="30"/>
  <c r="AO96" i="30"/>
  <c r="AP96" i="30"/>
  <c r="AQ96" i="30"/>
  <c r="AR96" i="30"/>
  <c r="AS96" i="30"/>
  <c r="AT96" i="30"/>
  <c r="AU96" i="30"/>
  <c r="AV96" i="30"/>
  <c r="AW96" i="30"/>
  <c r="AX96" i="30"/>
  <c r="AY96" i="30"/>
  <c r="AZ96" i="30"/>
  <c r="BA96" i="30"/>
  <c r="BB96" i="30"/>
  <c r="BC96" i="30"/>
  <c r="BD96" i="30"/>
  <c r="BE96" i="30"/>
  <c r="BF96" i="30"/>
  <c r="BG96" i="30"/>
  <c r="BH96" i="30"/>
  <c r="BI96" i="30"/>
  <c r="BJ96" i="30"/>
  <c r="BP96" i="30"/>
  <c r="BQ96" i="30"/>
  <c r="BR96" i="30"/>
  <c r="BS96" i="30"/>
  <c r="BT96" i="30"/>
  <c r="BU96" i="30"/>
  <c r="BV96" i="30"/>
  <c r="BW96" i="30"/>
  <c r="AA97" i="30"/>
  <c r="AB97" i="30"/>
  <c r="AC97" i="30"/>
  <c r="AD97" i="30"/>
  <c r="AE97" i="30"/>
  <c r="AF97" i="30"/>
  <c r="AG97" i="30"/>
  <c r="AH97" i="30"/>
  <c r="AI97" i="30"/>
  <c r="AJ97" i="30"/>
  <c r="AK97" i="30"/>
  <c r="AL97" i="30"/>
  <c r="AM97" i="30"/>
  <c r="AN97" i="30"/>
  <c r="AO97" i="30"/>
  <c r="AP97" i="30"/>
  <c r="AQ97" i="30"/>
  <c r="AR97" i="30"/>
  <c r="AS97" i="30"/>
  <c r="AT97" i="30"/>
  <c r="AU97" i="30"/>
  <c r="AV97" i="30"/>
  <c r="AW97" i="30"/>
  <c r="AX97" i="30"/>
  <c r="AY97" i="30"/>
  <c r="AZ97" i="30"/>
  <c r="BA97" i="30"/>
  <c r="BB97" i="30"/>
  <c r="BC97" i="30"/>
  <c r="BD97" i="30"/>
  <c r="BE97" i="30"/>
  <c r="BF97" i="30"/>
  <c r="BG97" i="30"/>
  <c r="BH97" i="30"/>
  <c r="BI97" i="30"/>
  <c r="BJ97" i="30"/>
  <c r="BP97" i="30"/>
  <c r="BQ97" i="30"/>
  <c r="BR97" i="30"/>
  <c r="BS97" i="30"/>
  <c r="BT97" i="30"/>
  <c r="BU97" i="30"/>
  <c r="BV97" i="30"/>
  <c r="BW97" i="30"/>
  <c r="AA99" i="30"/>
  <c r="AB99" i="30"/>
  <c r="AC99" i="30"/>
  <c r="AD99" i="30"/>
  <c r="AE99" i="30"/>
  <c r="AF99" i="30"/>
  <c r="AG99" i="30"/>
  <c r="AH99" i="30"/>
  <c r="AI99" i="30"/>
  <c r="AJ99" i="30"/>
  <c r="AK99" i="30"/>
  <c r="AL99" i="30"/>
  <c r="AM99" i="30"/>
  <c r="AN99" i="30"/>
  <c r="AO99" i="30"/>
  <c r="AP99" i="30"/>
  <c r="AQ99" i="30"/>
  <c r="AR99" i="30"/>
  <c r="AS99" i="30"/>
  <c r="AT99" i="30"/>
  <c r="AU99" i="30"/>
  <c r="AV99" i="30"/>
  <c r="AW99" i="30"/>
  <c r="AX99" i="30"/>
  <c r="AY99" i="30"/>
  <c r="AZ99" i="30"/>
  <c r="BA99" i="30"/>
  <c r="BB99" i="30"/>
  <c r="BC99" i="30"/>
  <c r="BD99" i="30"/>
  <c r="BE99" i="30"/>
  <c r="BF99" i="30"/>
  <c r="BG99" i="30"/>
  <c r="BH99" i="30"/>
  <c r="BI99" i="30"/>
  <c r="BJ99" i="30"/>
  <c r="BP99" i="30"/>
  <c r="BQ99" i="30"/>
  <c r="BR99" i="30"/>
  <c r="BS99" i="30"/>
  <c r="BT99" i="30"/>
  <c r="BU99" i="30"/>
  <c r="BV99" i="30"/>
  <c r="BW99" i="30"/>
  <c r="AA101" i="30"/>
  <c r="AB101" i="30"/>
  <c r="AC101" i="30"/>
  <c r="AD101" i="30"/>
  <c r="AE101" i="30"/>
  <c r="AF101" i="30"/>
  <c r="AG101" i="30"/>
  <c r="AH101" i="30"/>
  <c r="AI101" i="30"/>
  <c r="AJ101" i="30"/>
  <c r="AK101" i="30"/>
  <c r="AL101" i="30"/>
  <c r="AM101" i="30"/>
  <c r="AN101" i="30"/>
  <c r="AO101" i="30"/>
  <c r="AP101" i="30"/>
  <c r="AQ101" i="30"/>
  <c r="AR101" i="30"/>
  <c r="AS101" i="30"/>
  <c r="AT101" i="30"/>
  <c r="AU101" i="30"/>
  <c r="AV101" i="30"/>
  <c r="AW101" i="30"/>
  <c r="AX101" i="30"/>
  <c r="AY101" i="30"/>
  <c r="AZ101" i="30"/>
  <c r="BA101" i="30"/>
  <c r="BB101" i="30"/>
  <c r="BC101" i="30"/>
  <c r="BD101" i="30"/>
  <c r="BE101" i="30"/>
  <c r="BF101" i="30"/>
  <c r="BG101" i="30"/>
  <c r="BH101" i="30"/>
  <c r="BI101" i="30"/>
  <c r="BJ101" i="30"/>
  <c r="BP101" i="30"/>
  <c r="BQ101" i="30"/>
  <c r="BR101" i="30"/>
  <c r="BS101" i="30"/>
  <c r="BT101" i="30"/>
  <c r="BU101" i="30"/>
  <c r="BV101" i="30"/>
  <c r="BW101" i="30"/>
  <c r="AA102" i="30"/>
  <c r="AB102" i="30"/>
  <c r="AC102" i="30"/>
  <c r="AD102" i="30"/>
  <c r="AE102" i="30"/>
  <c r="AF102" i="30"/>
  <c r="AG102" i="30"/>
  <c r="AH102" i="30"/>
  <c r="AI102" i="30"/>
  <c r="AJ102" i="30"/>
  <c r="AK102" i="30"/>
  <c r="AL102" i="30"/>
  <c r="AM102" i="30"/>
  <c r="AN102" i="30"/>
  <c r="AO102" i="30"/>
  <c r="AP102" i="30"/>
  <c r="AQ102" i="30"/>
  <c r="AR102" i="30"/>
  <c r="AS102" i="30"/>
  <c r="AT102" i="30"/>
  <c r="AU102" i="30"/>
  <c r="AV102" i="30"/>
  <c r="AW102" i="30"/>
  <c r="AX102" i="30"/>
  <c r="AY102" i="30"/>
  <c r="AZ102" i="30"/>
  <c r="BA102" i="30"/>
  <c r="BB102" i="30"/>
  <c r="BC102" i="30"/>
  <c r="BD102" i="30"/>
  <c r="BE102" i="30"/>
  <c r="BF102" i="30"/>
  <c r="BG102" i="30"/>
  <c r="BH102" i="30"/>
  <c r="BI102" i="30"/>
  <c r="BJ102" i="30"/>
  <c r="BP102" i="30"/>
  <c r="BQ102" i="30"/>
  <c r="BR102" i="30"/>
  <c r="BS102" i="30"/>
  <c r="BT102" i="30"/>
  <c r="BU102" i="30"/>
  <c r="BV102" i="30"/>
  <c r="BW102" i="30"/>
  <c r="AA103" i="30"/>
  <c r="AB103" i="30"/>
  <c r="AC103" i="30"/>
  <c r="AD103" i="30"/>
  <c r="AE103" i="30"/>
  <c r="AF103" i="30"/>
  <c r="AG103" i="30"/>
  <c r="AH103" i="30"/>
  <c r="AI103" i="30"/>
  <c r="AJ103" i="30"/>
  <c r="AK103" i="30"/>
  <c r="AL103" i="30"/>
  <c r="AM103" i="30"/>
  <c r="AN103" i="30"/>
  <c r="AO103" i="30"/>
  <c r="AP103" i="30"/>
  <c r="AQ103" i="30"/>
  <c r="AR103" i="30"/>
  <c r="AS103" i="30"/>
  <c r="AT103" i="30"/>
  <c r="AU103" i="30"/>
  <c r="AV103" i="30"/>
  <c r="AW103" i="30"/>
  <c r="AX103" i="30"/>
  <c r="AY103" i="30"/>
  <c r="AZ103" i="30"/>
  <c r="BA103" i="30"/>
  <c r="BB103" i="30"/>
  <c r="BC103" i="30"/>
  <c r="BD103" i="30"/>
  <c r="BE103" i="30"/>
  <c r="BF103" i="30"/>
  <c r="BG103" i="30"/>
  <c r="BH103" i="30"/>
  <c r="BI103" i="30"/>
  <c r="BJ103" i="30"/>
  <c r="BP103" i="30"/>
  <c r="BQ103" i="30"/>
  <c r="BR103" i="30"/>
  <c r="BS103" i="30"/>
  <c r="BT103" i="30"/>
  <c r="BU103" i="30"/>
  <c r="BV103" i="30"/>
  <c r="BW103" i="30"/>
  <c r="AA94" i="30"/>
  <c r="AB94" i="30"/>
  <c r="AC94" i="30"/>
  <c r="AD94" i="30"/>
  <c r="AE94" i="30"/>
  <c r="AF94" i="30"/>
  <c r="AG94" i="30"/>
  <c r="AH94" i="30"/>
  <c r="AI94" i="30"/>
  <c r="AJ94" i="30"/>
  <c r="AK94" i="30"/>
  <c r="AL94" i="30"/>
  <c r="AM94" i="30"/>
  <c r="AN94" i="30"/>
  <c r="AO94" i="30"/>
  <c r="AP94" i="30"/>
  <c r="AQ94" i="30"/>
  <c r="AR94" i="30"/>
  <c r="AS94" i="30"/>
  <c r="AT94" i="30"/>
  <c r="AU94" i="30"/>
  <c r="AV94" i="30"/>
  <c r="AW94" i="30"/>
  <c r="AX94" i="30"/>
  <c r="AY94" i="30"/>
  <c r="AZ94" i="30"/>
  <c r="BA94" i="30"/>
  <c r="BB94" i="30"/>
  <c r="BC94" i="30"/>
  <c r="BD94" i="30"/>
  <c r="BE94" i="30"/>
  <c r="BF94" i="30"/>
  <c r="BG94" i="30"/>
  <c r="BH94" i="30"/>
  <c r="BI94" i="30"/>
  <c r="BJ94" i="30"/>
  <c r="BP94" i="30"/>
  <c r="BQ94" i="30"/>
  <c r="BR94" i="30"/>
  <c r="BS94" i="30"/>
  <c r="BT94" i="30"/>
  <c r="BU94" i="30"/>
  <c r="BV94" i="30"/>
  <c r="BW94" i="30"/>
  <c r="AA80" i="30"/>
  <c r="AB80" i="30"/>
  <c r="AC80" i="30"/>
  <c r="AD80" i="30"/>
  <c r="AE80" i="30"/>
  <c r="AF80" i="30"/>
  <c r="AG80" i="30"/>
  <c r="AH80" i="30"/>
  <c r="AI80" i="30"/>
  <c r="AJ80" i="30"/>
  <c r="AK80" i="30"/>
  <c r="AL80" i="30"/>
  <c r="AM80" i="30"/>
  <c r="AN80" i="30"/>
  <c r="AO80" i="30"/>
  <c r="AP80" i="30"/>
  <c r="AQ80" i="30"/>
  <c r="AR80" i="30"/>
  <c r="AS80" i="30"/>
  <c r="AT80" i="30"/>
  <c r="AU80" i="30"/>
  <c r="AV80" i="30"/>
  <c r="AW80" i="30"/>
  <c r="AX80" i="30"/>
  <c r="AY80" i="30"/>
  <c r="AZ80" i="30"/>
  <c r="BA80" i="30"/>
  <c r="BB80" i="30"/>
  <c r="BC80" i="30"/>
  <c r="BD80" i="30"/>
  <c r="BE80" i="30"/>
  <c r="BF80" i="30"/>
  <c r="BG80" i="30"/>
  <c r="BH80" i="30"/>
  <c r="BI80" i="30"/>
  <c r="BJ80" i="30"/>
  <c r="BP80" i="30"/>
  <c r="BQ80" i="30"/>
  <c r="BR80" i="30"/>
  <c r="BS80" i="30"/>
  <c r="BT80" i="30"/>
  <c r="BU80" i="30"/>
  <c r="BV80" i="30"/>
  <c r="BW80" i="30"/>
  <c r="AA104" i="30"/>
  <c r="AB104" i="30"/>
  <c r="AC104" i="30"/>
  <c r="AD104" i="30"/>
  <c r="AE104" i="30"/>
  <c r="AF104" i="30"/>
  <c r="AG104" i="30"/>
  <c r="AH104" i="30"/>
  <c r="AI104" i="30"/>
  <c r="AJ104" i="30"/>
  <c r="AK104" i="30"/>
  <c r="AL104" i="30"/>
  <c r="AM104" i="30"/>
  <c r="AN104" i="30"/>
  <c r="AO104" i="30"/>
  <c r="AP104" i="30"/>
  <c r="AQ104" i="30"/>
  <c r="AR104" i="30"/>
  <c r="AS104" i="30"/>
  <c r="AT104" i="30"/>
  <c r="AU104" i="30"/>
  <c r="AV104" i="30"/>
  <c r="AW104" i="30"/>
  <c r="AX104" i="30"/>
  <c r="AY104" i="30"/>
  <c r="AZ104" i="30"/>
  <c r="BA104" i="30"/>
  <c r="BB104" i="30"/>
  <c r="BC104" i="30"/>
  <c r="BD104" i="30"/>
  <c r="BE104" i="30"/>
  <c r="BF104" i="30"/>
  <c r="BG104" i="30"/>
  <c r="BH104" i="30"/>
  <c r="BI104" i="30"/>
  <c r="BJ104" i="30"/>
  <c r="BP104" i="30"/>
  <c r="BQ104" i="30"/>
  <c r="BR104" i="30"/>
  <c r="BS104" i="30"/>
  <c r="BT104" i="30"/>
  <c r="BU104" i="30"/>
  <c r="BV104" i="30"/>
  <c r="BW104" i="30"/>
  <c r="C78" i="33"/>
  <c r="AA149" i="30"/>
  <c r="AA57" i="33" s="1"/>
  <c r="AB149" i="30"/>
  <c r="AB57" i="33" s="1"/>
  <c r="AC149" i="30"/>
  <c r="AC57" i="33" s="1"/>
  <c r="AD149" i="30"/>
  <c r="AD57" i="33" s="1"/>
  <c r="AE149" i="30"/>
  <c r="AE57" i="33" s="1"/>
  <c r="AF149" i="30"/>
  <c r="AF57" i="33" s="1"/>
  <c r="AG149" i="30"/>
  <c r="AG57" i="33" s="1"/>
  <c r="AH149" i="30"/>
  <c r="AH57" i="33" s="1"/>
  <c r="AI149" i="30"/>
  <c r="AI57" i="33" s="1"/>
  <c r="AJ149" i="30"/>
  <c r="AJ57" i="33" s="1"/>
  <c r="AK149" i="30"/>
  <c r="AK57" i="33" s="1"/>
  <c r="AL149" i="30"/>
  <c r="AL57" i="33" s="1"/>
  <c r="AM149" i="30"/>
  <c r="AM57" i="33" s="1"/>
  <c r="AN149" i="30"/>
  <c r="AN57" i="33" s="1"/>
  <c r="AO149" i="30"/>
  <c r="AO57" i="33" s="1"/>
  <c r="AP149" i="30"/>
  <c r="AP57" i="33" s="1"/>
  <c r="AQ149" i="30"/>
  <c r="AQ57" i="33" s="1"/>
  <c r="AR149" i="30"/>
  <c r="AR57" i="33" s="1"/>
  <c r="AS149" i="30"/>
  <c r="AS57" i="33" s="1"/>
  <c r="AT149" i="30"/>
  <c r="AT57" i="33" s="1"/>
  <c r="AU149" i="30"/>
  <c r="AU57" i="33" s="1"/>
  <c r="AV149" i="30"/>
  <c r="AV57" i="33" s="1"/>
  <c r="AW149" i="30"/>
  <c r="AW57" i="33" s="1"/>
  <c r="AX149" i="30"/>
  <c r="AX57" i="33" s="1"/>
  <c r="AY149" i="30"/>
  <c r="AY57" i="33" s="1"/>
  <c r="AZ149" i="30"/>
  <c r="AZ57" i="33" s="1"/>
  <c r="BA149" i="30"/>
  <c r="BA57" i="33" s="1"/>
  <c r="BB149" i="30"/>
  <c r="BB57" i="33" s="1"/>
  <c r="BC149" i="30"/>
  <c r="BC57" i="33" s="1"/>
  <c r="BD149" i="30"/>
  <c r="BD57" i="33" s="1"/>
  <c r="BE149" i="30"/>
  <c r="BE57" i="33" s="1"/>
  <c r="BF149" i="30"/>
  <c r="BF57" i="33" s="1"/>
  <c r="BG149" i="30"/>
  <c r="BG57" i="33" s="1"/>
  <c r="BH149" i="30"/>
  <c r="BH57" i="33" s="1"/>
  <c r="BI149" i="30"/>
  <c r="BI57" i="33" s="1"/>
  <c r="BJ149" i="30"/>
  <c r="BJ57" i="33" s="1"/>
  <c r="CK32" i="9"/>
  <c r="CK14" i="9"/>
  <c r="CK15" i="9"/>
  <c r="CK16" i="9"/>
  <c r="CK17" i="9"/>
  <c r="CK18" i="9"/>
  <c r="CK19" i="9"/>
  <c r="CK20" i="9"/>
  <c r="CK21" i="9"/>
  <c r="CK22" i="9"/>
  <c r="CK24" i="9"/>
  <c r="CK25" i="9"/>
  <c r="CK26" i="9"/>
  <c r="CK27" i="9"/>
  <c r="CK28" i="9"/>
  <c r="CK29" i="9"/>
  <c r="CK30" i="9"/>
  <c r="CK31" i="9"/>
  <c r="CK13" i="9"/>
  <c r="BW163" i="1"/>
  <c r="BW131" i="20" s="1"/>
  <c r="BV163" i="1"/>
  <c r="BV131" i="20" s="1"/>
  <c r="BU163" i="1"/>
  <c r="BU131" i="20" s="1"/>
  <c r="BT163" i="1"/>
  <c r="BT131" i="20" s="1"/>
  <c r="BS163" i="1"/>
  <c r="BS131" i="20" s="1"/>
  <c r="BR163" i="1"/>
  <c r="BR131" i="20" s="1"/>
  <c r="BQ163" i="1"/>
  <c r="BQ131" i="20" s="1"/>
  <c r="AC163" i="1"/>
  <c r="AD163" i="1"/>
  <c r="AE163" i="1"/>
  <c r="AF163" i="1"/>
  <c r="AG163" i="1"/>
  <c r="AH163" i="1"/>
  <c r="AI163" i="1"/>
  <c r="AJ163" i="1"/>
  <c r="AK163" i="1"/>
  <c r="AL163" i="1"/>
  <c r="AM163" i="1"/>
  <c r="AN163" i="1"/>
  <c r="AO163" i="1"/>
  <c r="AP163" i="1"/>
  <c r="AQ163" i="1"/>
  <c r="AR163" i="1"/>
  <c r="AS163" i="1"/>
  <c r="AT163" i="1"/>
  <c r="AU163" i="1"/>
  <c r="AV163" i="1"/>
  <c r="AW163" i="1"/>
  <c r="AX163" i="1"/>
  <c r="AY163" i="1"/>
  <c r="AZ163" i="1"/>
  <c r="BA163" i="1"/>
  <c r="BB163" i="1"/>
  <c r="BC163" i="1"/>
  <c r="BD163" i="1"/>
  <c r="BE163" i="1"/>
  <c r="BF163" i="1"/>
  <c r="BG163" i="1"/>
  <c r="BH163" i="1"/>
  <c r="BI163" i="1"/>
  <c r="BJ163" i="1"/>
  <c r="AB162" i="1"/>
  <c r="AC162" i="1"/>
  <c r="AC195" i="1" s="1"/>
  <c r="AD162" i="1"/>
  <c r="AD195" i="1" s="1"/>
  <c r="AE162" i="1"/>
  <c r="AF162" i="1"/>
  <c r="AF195" i="1" s="1"/>
  <c r="AG162" i="1"/>
  <c r="AG195" i="1" s="1"/>
  <c r="AH162" i="1"/>
  <c r="AI162" i="1"/>
  <c r="AI195" i="1" s="1"/>
  <c r="AJ162" i="1"/>
  <c r="AJ195" i="1" s="1"/>
  <c r="AK162" i="1"/>
  <c r="AL162" i="1"/>
  <c r="AL195" i="1" s="1"/>
  <c r="AM162" i="1"/>
  <c r="AM195" i="1" s="1"/>
  <c r="AN162" i="1"/>
  <c r="AO162" i="1"/>
  <c r="AO195" i="1" s="1"/>
  <c r="AP162" i="1"/>
  <c r="AP195" i="1" s="1"/>
  <c r="AQ162" i="1"/>
  <c r="AR162" i="1"/>
  <c r="AR195" i="1" s="1"/>
  <c r="AS162" i="1"/>
  <c r="AS195" i="1" s="1"/>
  <c r="AT162" i="1"/>
  <c r="AU162" i="1"/>
  <c r="AU195" i="1" s="1"/>
  <c r="AV162" i="1"/>
  <c r="AV195" i="1" s="1"/>
  <c r="AW162" i="1"/>
  <c r="AX162" i="1"/>
  <c r="AX195" i="1" s="1"/>
  <c r="AY162" i="1"/>
  <c r="AY195" i="1" s="1"/>
  <c r="AZ162" i="1"/>
  <c r="BA162" i="1"/>
  <c r="BA195" i="1" s="1"/>
  <c r="BB162" i="1"/>
  <c r="BB195" i="1" s="1"/>
  <c r="BC162" i="1"/>
  <c r="BD162" i="1"/>
  <c r="BD195" i="1" s="1"/>
  <c r="BE162" i="1"/>
  <c r="BE195" i="1" s="1"/>
  <c r="BF162" i="1"/>
  <c r="BG162" i="1"/>
  <c r="BG195" i="1" s="1"/>
  <c r="BH162" i="1"/>
  <c r="BH195" i="1" s="1"/>
  <c r="BI162" i="1"/>
  <c r="BJ162" i="1"/>
  <c r="BJ195" i="1" s="1"/>
  <c r="BP162" i="1"/>
  <c r="BP195" i="1" s="1"/>
  <c r="BQ162" i="1"/>
  <c r="BQ195" i="1" s="1"/>
  <c r="BR162" i="1"/>
  <c r="BR195" i="1" s="1"/>
  <c r="BS162" i="1"/>
  <c r="BS195" i="1" s="1"/>
  <c r="BT162" i="1"/>
  <c r="BT195" i="1" s="1"/>
  <c r="BU162" i="1"/>
  <c r="BU195" i="1" s="1"/>
  <c r="BV162" i="1"/>
  <c r="BV195" i="1" s="1"/>
  <c r="BW162" i="1"/>
  <c r="BW195" i="1" s="1"/>
  <c r="BL1" i="20"/>
  <c r="AA1" i="20"/>
  <c r="V1" i="20"/>
  <c r="D1" i="20"/>
  <c r="EX78" i="33" l="1"/>
  <c r="BT166" i="30"/>
  <c r="BG166" i="30"/>
  <c r="BC166" i="30"/>
  <c r="AY166" i="30"/>
  <c r="AU166" i="30"/>
  <c r="AQ166" i="30"/>
  <c r="AM166" i="30"/>
  <c r="AI166" i="30"/>
  <c r="AE166" i="30"/>
  <c r="BV166" i="30"/>
  <c r="BR166" i="30"/>
  <c r="BI166" i="30"/>
  <c r="BE166" i="30"/>
  <c r="BA166" i="30"/>
  <c r="AW166" i="30"/>
  <c r="AS166" i="30"/>
  <c r="AO166" i="30"/>
  <c r="AK166" i="30"/>
  <c r="AG166" i="30"/>
  <c r="AC166" i="30"/>
  <c r="BW166" i="30"/>
  <c r="BS166" i="30"/>
  <c r="BJ166" i="30"/>
  <c r="BF166" i="30"/>
  <c r="BB166" i="30"/>
  <c r="AX166" i="30"/>
  <c r="AT166" i="30"/>
  <c r="AP166" i="30"/>
  <c r="AL166" i="30"/>
  <c r="AH166" i="30"/>
  <c r="AD166" i="30"/>
  <c r="BU166" i="30"/>
  <c r="BQ166" i="30"/>
  <c r="BH166" i="30"/>
  <c r="BD166" i="30"/>
  <c r="AZ166" i="30"/>
  <c r="AV166" i="30"/>
  <c r="AR166" i="30"/>
  <c r="AN166" i="30"/>
  <c r="AJ166" i="30"/>
  <c r="AF166" i="30"/>
  <c r="AB166" i="30"/>
  <c r="BV168" i="30"/>
  <c r="BR168" i="30"/>
  <c r="BT168" i="30"/>
  <c r="BT167" i="30"/>
  <c r="BT169" i="30"/>
  <c r="BV167" i="30"/>
  <c r="BR167" i="30"/>
  <c r="BV169" i="30"/>
  <c r="BR169" i="30"/>
  <c r="BV162" i="30"/>
  <c r="BV63" i="33" s="1"/>
  <c r="BR162" i="30"/>
  <c r="BR63" i="33" s="1"/>
  <c r="BT162" i="30"/>
  <c r="BT63" i="33" s="1"/>
  <c r="BT159" i="30"/>
  <c r="BW168" i="30"/>
  <c r="BS168" i="30"/>
  <c r="BW167" i="30"/>
  <c r="BS167" i="30"/>
  <c r="BW169" i="30"/>
  <c r="BS169" i="30"/>
  <c r="BW162" i="30"/>
  <c r="BW63" i="33" s="1"/>
  <c r="BS162" i="30"/>
  <c r="BS63" i="33" s="1"/>
  <c r="BW159" i="30"/>
  <c r="BS159" i="30"/>
  <c r="BV159" i="30"/>
  <c r="BR159" i="30"/>
  <c r="BU168" i="30"/>
  <c r="BQ168" i="30"/>
  <c r="BU167" i="30"/>
  <c r="BQ167" i="30"/>
  <c r="BU169" i="30"/>
  <c r="BQ169" i="30"/>
  <c r="BU162" i="30"/>
  <c r="BU63" i="33" s="1"/>
  <c r="BQ162" i="30"/>
  <c r="BQ63" i="33" s="1"/>
  <c r="BU159" i="30"/>
  <c r="BQ159" i="30"/>
  <c r="AE169" i="30"/>
  <c r="AE159" i="30"/>
  <c r="BU196" i="1"/>
  <c r="BU162" i="20"/>
  <c r="BQ196" i="1"/>
  <c r="BQ162" i="20"/>
  <c r="BR196" i="1"/>
  <c r="BR162" i="20"/>
  <c r="BP196" i="1"/>
  <c r="BP162" i="20"/>
  <c r="BV196" i="1"/>
  <c r="BV162" i="20"/>
  <c r="BT196" i="1"/>
  <c r="BT162" i="20"/>
  <c r="BW196" i="1"/>
  <c r="BW162" i="20"/>
  <c r="BS196" i="1"/>
  <c r="BS162" i="20"/>
  <c r="BH169" i="30"/>
  <c r="BD169" i="30"/>
  <c r="AZ169" i="30"/>
  <c r="AV169" i="30"/>
  <c r="AR169" i="30"/>
  <c r="AN169" i="30"/>
  <c r="AJ169" i="30"/>
  <c r="AF169" i="30"/>
  <c r="AB169" i="30"/>
  <c r="BJ169" i="30"/>
  <c r="BF169" i="30"/>
  <c r="BB169" i="30"/>
  <c r="AX169" i="30"/>
  <c r="AT169" i="30"/>
  <c r="AP169" i="30"/>
  <c r="AL169" i="30"/>
  <c r="AH169" i="30"/>
  <c r="AD169" i="30"/>
  <c r="BF196" i="1"/>
  <c r="BF162" i="20"/>
  <c r="AX196" i="1"/>
  <c r="AX162" i="20"/>
  <c r="AP196" i="1"/>
  <c r="AP162" i="20"/>
  <c r="AH196" i="1"/>
  <c r="AH162" i="20"/>
  <c r="BE196" i="1"/>
  <c r="BE162" i="20"/>
  <c r="AW196" i="1"/>
  <c r="AW162" i="20"/>
  <c r="AK196" i="1"/>
  <c r="AK162" i="20"/>
  <c r="AC196" i="1"/>
  <c r="AC162" i="20"/>
  <c r="BH196" i="1"/>
  <c r="BH162" i="20"/>
  <c r="BD196" i="1"/>
  <c r="BD162" i="20"/>
  <c r="AZ196" i="1"/>
  <c r="AZ162" i="20"/>
  <c r="AV196" i="1"/>
  <c r="AV162" i="20"/>
  <c r="AR196" i="1"/>
  <c r="AR162" i="20"/>
  <c r="AN196" i="1"/>
  <c r="AN162" i="20"/>
  <c r="AJ196" i="1"/>
  <c r="AJ162" i="20"/>
  <c r="AF196" i="1"/>
  <c r="AF162" i="20"/>
  <c r="AB196" i="1"/>
  <c r="AB162" i="20"/>
  <c r="BJ196" i="1"/>
  <c r="BJ162" i="20"/>
  <c r="BB196" i="1"/>
  <c r="BB162" i="20"/>
  <c r="AT196" i="1"/>
  <c r="AT162" i="20"/>
  <c r="AL196" i="1"/>
  <c r="AL162" i="20"/>
  <c r="BI196" i="1"/>
  <c r="BI162" i="20"/>
  <c r="BA196" i="1"/>
  <c r="BA162" i="20"/>
  <c r="AS196" i="1"/>
  <c r="AS162" i="20"/>
  <c r="AO196" i="1"/>
  <c r="AO162" i="20"/>
  <c r="AG196" i="1"/>
  <c r="AG162" i="20"/>
  <c r="BG196" i="1"/>
  <c r="BG162" i="20"/>
  <c r="BC196" i="1"/>
  <c r="BC162" i="20"/>
  <c r="AY196" i="1"/>
  <c r="AY162" i="20"/>
  <c r="AU196" i="1"/>
  <c r="AU162" i="20"/>
  <c r="AQ196" i="1"/>
  <c r="AQ162" i="20"/>
  <c r="AM196" i="1"/>
  <c r="AM162" i="20"/>
  <c r="AI196" i="1"/>
  <c r="AI162" i="20"/>
  <c r="AE196" i="1"/>
  <c r="AE162" i="20"/>
  <c r="AD196" i="1"/>
  <c r="AD162" i="20"/>
  <c r="BG169" i="30"/>
  <c r="BC169" i="30"/>
  <c r="AY169" i="30"/>
  <c r="AU169" i="30"/>
  <c r="AQ169" i="30"/>
  <c r="AM169" i="30"/>
  <c r="AI169" i="30"/>
  <c r="BI169" i="30"/>
  <c r="BE169" i="30"/>
  <c r="BA169" i="30"/>
  <c r="AW169" i="30"/>
  <c r="AS169" i="30"/>
  <c r="AO169" i="30"/>
  <c r="AK169" i="30"/>
  <c r="AG169" i="30"/>
  <c r="AC169" i="30"/>
  <c r="AG159" i="30"/>
  <c r="AB167" i="30"/>
  <c r="AC159" i="30"/>
  <c r="AC168" i="30"/>
  <c r="AC167" i="30"/>
  <c r="AB159" i="30"/>
  <c r="D5" i="38" l="1"/>
  <c r="D4" i="38"/>
  <c r="D3" i="38"/>
  <c r="BL1" i="38"/>
  <c r="AA1" i="38"/>
  <c r="V1" i="38"/>
  <c r="D1" i="38"/>
  <c r="A22" i="14"/>
  <c r="W40" i="35" l="1"/>
  <c r="X40" i="35"/>
  <c r="Y40" i="35"/>
  <c r="W44" i="35"/>
  <c r="X44" i="35"/>
  <c r="Y44" i="35"/>
  <c r="EX89" i="33"/>
  <c r="C84" i="33"/>
  <c r="C85" i="33"/>
  <c r="EX85" i="33" s="1"/>
  <c r="C87" i="33"/>
  <c r="EX87" i="33" s="1"/>
  <c r="EX84" i="33" l="1"/>
  <c r="EX83" i="33"/>
  <c r="EX86" i="33"/>
  <c r="C73" i="33" l="1"/>
  <c r="C75" i="33"/>
  <c r="C76" i="33"/>
  <c r="C72" i="33"/>
  <c r="EX73" i="33" l="1"/>
  <c r="EX72" i="33"/>
  <c r="EX76" i="33"/>
  <c r="EX75" i="33"/>
  <c r="EX74" i="33"/>
  <c r="BZ22" i="37" l="1"/>
  <c r="A22" i="37" s="1" a="1"/>
  <c r="A22" i="37" s="1"/>
  <c r="BZ18" i="37"/>
  <c r="A18" i="37" s="1" a="1"/>
  <c r="A18" i="37" s="1"/>
  <c r="D5" i="37"/>
  <c r="D4" i="37"/>
  <c r="D3" i="37"/>
  <c r="V1" i="37"/>
  <c r="A2" i="37" l="1" a="1"/>
  <c r="A2" i="37" s="1"/>
  <c r="A14" i="14" s="1"/>
  <c r="E369" i="3" l="1"/>
  <c r="E370" i="3"/>
  <c r="E371" i="3"/>
  <c r="E372" i="3"/>
  <c r="E373" i="3"/>
  <c r="E374" i="3"/>
  <c r="E375" i="3"/>
  <c r="E376" i="3"/>
  <c r="E377" i="3"/>
  <c r="E378" i="3"/>
  <c r="E379" i="3"/>
  <c r="E380" i="3"/>
  <c r="E381" i="3"/>
  <c r="E382" i="3"/>
  <c r="E383" i="3"/>
  <c r="E384" i="3"/>
  <c r="E385" i="3"/>
  <c r="E386" i="3"/>
  <c r="E387" i="3"/>
  <c r="E388" i="3"/>
  <c r="E964" i="9"/>
  <c r="D964" i="9"/>
  <c r="E963" i="9"/>
  <c r="D963" i="9"/>
  <c r="E962" i="9"/>
  <c r="D962" i="9"/>
  <c r="E961" i="9"/>
  <c r="D961" i="9"/>
  <c r="E960" i="9"/>
  <c r="D960" i="9"/>
  <c r="E959" i="9"/>
  <c r="D959" i="9"/>
  <c r="E958" i="9"/>
  <c r="D958" i="9"/>
  <c r="E957" i="9"/>
  <c r="D957" i="9"/>
  <c r="E956" i="9"/>
  <c r="D956" i="9"/>
  <c r="E955" i="9"/>
  <c r="D955" i="9"/>
  <c r="E954" i="9"/>
  <c r="D954" i="9"/>
  <c r="E953" i="9"/>
  <c r="D953" i="9"/>
  <c r="E952" i="9"/>
  <c r="D952" i="9"/>
  <c r="E951" i="9"/>
  <c r="D951" i="9"/>
  <c r="E950" i="9"/>
  <c r="D950" i="9"/>
  <c r="E949" i="9"/>
  <c r="D949" i="9"/>
  <c r="E948" i="9"/>
  <c r="D948" i="9"/>
  <c r="E947" i="9"/>
  <c r="D947" i="9"/>
  <c r="E946" i="9"/>
  <c r="D946" i="9"/>
  <c r="E945" i="9"/>
  <c r="D945" i="9"/>
  <c r="E944" i="9"/>
  <c r="D944" i="9"/>
  <c r="D388" i="3"/>
  <c r="D387" i="3"/>
  <c r="D386" i="3"/>
  <c r="D385" i="3"/>
  <c r="D384" i="3"/>
  <c r="D383" i="3"/>
  <c r="D382" i="3"/>
  <c r="D381" i="3"/>
  <c r="D380" i="3"/>
  <c r="D379" i="3"/>
  <c r="D378" i="3"/>
  <c r="D377" i="3"/>
  <c r="D376" i="3"/>
  <c r="D375" i="3"/>
  <c r="D374" i="3"/>
  <c r="D373" i="3"/>
  <c r="D372" i="3"/>
  <c r="D371" i="3"/>
  <c r="D370" i="3"/>
  <c r="D369" i="3"/>
  <c r="D368" i="3"/>
  <c r="E342" i="3"/>
  <c r="E341" i="3"/>
  <c r="E340" i="3"/>
  <c r="E339" i="3"/>
  <c r="E338" i="3"/>
  <c r="E337" i="3"/>
  <c r="E336" i="3"/>
  <c r="E335" i="3"/>
  <c r="E334" i="3"/>
  <c r="E333" i="3"/>
  <c r="E332" i="3"/>
  <c r="E331" i="3"/>
  <c r="E330" i="3"/>
  <c r="E329" i="3"/>
  <c r="E328" i="3"/>
  <c r="E327" i="3"/>
  <c r="E326" i="3"/>
  <c r="E325" i="3"/>
  <c r="E324" i="3"/>
  <c r="E323" i="3"/>
  <c r="D342" i="3"/>
  <c r="D341" i="3"/>
  <c r="D340" i="3"/>
  <c r="D339" i="3"/>
  <c r="D338" i="3"/>
  <c r="D337" i="3"/>
  <c r="D336" i="3"/>
  <c r="D335" i="3"/>
  <c r="D334" i="3"/>
  <c r="D333" i="3"/>
  <c r="D332" i="3"/>
  <c r="D331" i="3"/>
  <c r="D330" i="3"/>
  <c r="D329" i="3"/>
  <c r="D328" i="3"/>
  <c r="D327" i="3"/>
  <c r="D326" i="3"/>
  <c r="D325" i="3"/>
  <c r="D324" i="3"/>
  <c r="D323" i="3"/>
  <c r="D322" i="3"/>
  <c r="E301" i="3"/>
  <c r="E302" i="3"/>
  <c r="E303" i="3"/>
  <c r="E304" i="3"/>
  <c r="E305" i="3"/>
  <c r="E306" i="3"/>
  <c r="E307" i="3"/>
  <c r="E308" i="3"/>
  <c r="E309" i="3"/>
  <c r="E310" i="3"/>
  <c r="E311" i="3"/>
  <c r="E312" i="3"/>
  <c r="E313" i="3"/>
  <c r="E314" i="3"/>
  <c r="E315" i="3"/>
  <c r="E316" i="3"/>
  <c r="E317" i="3"/>
  <c r="E318" i="3"/>
  <c r="E319" i="3"/>
  <c r="E300" i="3"/>
  <c r="D319" i="3"/>
  <c r="D318" i="3"/>
  <c r="D317" i="3"/>
  <c r="D316" i="3"/>
  <c r="D315" i="3"/>
  <c r="D314" i="3"/>
  <c r="D313" i="3"/>
  <c r="D312" i="3"/>
  <c r="D311" i="3"/>
  <c r="D310" i="3"/>
  <c r="D309" i="3"/>
  <c r="D308" i="3"/>
  <c r="D307" i="3"/>
  <c r="D306" i="3"/>
  <c r="D305" i="3"/>
  <c r="D304" i="3"/>
  <c r="D303" i="3"/>
  <c r="D302" i="3"/>
  <c r="D301" i="3"/>
  <c r="D300" i="3"/>
  <c r="D299" i="3"/>
  <c r="E1010" i="9"/>
  <c r="D1010" i="9"/>
  <c r="E1009" i="9"/>
  <c r="D1009" i="9"/>
  <c r="E1008" i="9"/>
  <c r="D1008" i="9"/>
  <c r="E1007" i="9"/>
  <c r="D1007" i="9"/>
  <c r="E1006" i="9"/>
  <c r="D1006" i="9"/>
  <c r="E1005" i="9"/>
  <c r="D1005" i="9"/>
  <c r="E1004" i="9"/>
  <c r="D1004" i="9"/>
  <c r="E1003" i="9"/>
  <c r="D1003" i="9"/>
  <c r="E1002" i="9"/>
  <c r="D1002" i="9"/>
  <c r="E1001" i="9"/>
  <c r="D1001" i="9"/>
  <c r="E1000" i="9"/>
  <c r="D1000" i="9"/>
  <c r="E999" i="9"/>
  <c r="D999" i="9"/>
  <c r="E998" i="9"/>
  <c r="D998" i="9"/>
  <c r="E997" i="9"/>
  <c r="D997" i="9"/>
  <c r="E996" i="9"/>
  <c r="D996" i="9"/>
  <c r="E995" i="9"/>
  <c r="D995" i="9"/>
  <c r="E994" i="9"/>
  <c r="D994" i="9"/>
  <c r="E993" i="9"/>
  <c r="D993" i="9"/>
  <c r="E992" i="9"/>
  <c r="D992" i="9"/>
  <c r="E991" i="9"/>
  <c r="D991" i="9"/>
  <c r="E990" i="9"/>
  <c r="D990" i="9"/>
  <c r="D989" i="9"/>
  <c r="BW987" i="9"/>
  <c r="BV987" i="9"/>
  <c r="BU987" i="9"/>
  <c r="BT987" i="9"/>
  <c r="BS987" i="9"/>
  <c r="BR987" i="9"/>
  <c r="BQ987" i="9"/>
  <c r="BP987" i="9"/>
  <c r="BJ918" i="9" s="1"/>
  <c r="BJ987" i="9"/>
  <c r="BI987" i="9"/>
  <c r="BH987" i="9"/>
  <c r="BG987" i="9"/>
  <c r="BF987" i="9"/>
  <c r="BE987" i="9"/>
  <c r="BD987" i="9"/>
  <c r="BC987" i="9"/>
  <c r="BB987" i="9"/>
  <c r="BA987" i="9"/>
  <c r="AZ987" i="9"/>
  <c r="AY987" i="9"/>
  <c r="AX987" i="9"/>
  <c r="AW987" i="9"/>
  <c r="AV987" i="9"/>
  <c r="AU987" i="9"/>
  <c r="AT987" i="9"/>
  <c r="AS987" i="9"/>
  <c r="AR987" i="9"/>
  <c r="AQ987" i="9"/>
  <c r="AP987" i="9"/>
  <c r="AO987" i="9"/>
  <c r="AN987" i="9"/>
  <c r="AM987" i="9"/>
  <c r="AL987" i="9"/>
  <c r="AK987" i="9"/>
  <c r="AJ987" i="9"/>
  <c r="AI987" i="9"/>
  <c r="AH987" i="9"/>
  <c r="AG987" i="9"/>
  <c r="AF987" i="9"/>
  <c r="AE987" i="9"/>
  <c r="AD987" i="9"/>
  <c r="AC987" i="9"/>
  <c r="AB987" i="9"/>
  <c r="AA987" i="9"/>
  <c r="V987" i="9"/>
  <c r="E987" i="9"/>
  <c r="D987" i="9"/>
  <c r="BW986" i="9"/>
  <c r="BV986" i="9"/>
  <c r="BU986" i="9"/>
  <c r="BT986" i="9"/>
  <c r="BS986" i="9"/>
  <c r="BR986" i="9"/>
  <c r="BQ986" i="9"/>
  <c r="BP986" i="9"/>
  <c r="BJ917" i="9" s="1"/>
  <c r="BJ986" i="9"/>
  <c r="BI986" i="9"/>
  <c r="BH986" i="9"/>
  <c r="BG986" i="9"/>
  <c r="BF986" i="9"/>
  <c r="BE986" i="9"/>
  <c r="BD986" i="9"/>
  <c r="BC986" i="9"/>
  <c r="BB986" i="9"/>
  <c r="BA986" i="9"/>
  <c r="AZ986" i="9"/>
  <c r="AY986" i="9"/>
  <c r="AX986" i="9"/>
  <c r="AW986" i="9"/>
  <c r="AV986" i="9"/>
  <c r="AU986" i="9"/>
  <c r="AT986" i="9"/>
  <c r="AS986" i="9"/>
  <c r="AR986" i="9"/>
  <c r="AQ986" i="9"/>
  <c r="AP986" i="9"/>
  <c r="AO986" i="9"/>
  <c r="AN986" i="9"/>
  <c r="AM986" i="9"/>
  <c r="AL986" i="9"/>
  <c r="AK986" i="9"/>
  <c r="AJ986" i="9"/>
  <c r="AI986" i="9"/>
  <c r="AH986" i="9"/>
  <c r="AG986" i="9"/>
  <c r="AF986" i="9"/>
  <c r="AE986" i="9"/>
  <c r="AD986" i="9"/>
  <c r="AC986" i="9"/>
  <c r="AB986" i="9"/>
  <c r="AA986" i="9"/>
  <c r="V986" i="9"/>
  <c r="E986" i="9"/>
  <c r="D986" i="9"/>
  <c r="BW985" i="9"/>
  <c r="BV985" i="9"/>
  <c r="BU985" i="9"/>
  <c r="BT985" i="9"/>
  <c r="BS985" i="9"/>
  <c r="BR985" i="9"/>
  <c r="BQ985" i="9"/>
  <c r="BP985" i="9"/>
  <c r="BJ916" i="9" s="1"/>
  <c r="BJ985" i="9"/>
  <c r="BI985" i="9"/>
  <c r="BH985" i="9"/>
  <c r="BG985" i="9"/>
  <c r="BF985" i="9"/>
  <c r="BE985" i="9"/>
  <c r="BD985" i="9"/>
  <c r="BC985" i="9"/>
  <c r="BB985" i="9"/>
  <c r="BA985" i="9"/>
  <c r="AZ985" i="9"/>
  <c r="AY985" i="9"/>
  <c r="AX985" i="9"/>
  <c r="AW985" i="9"/>
  <c r="AV985" i="9"/>
  <c r="AU985" i="9"/>
  <c r="AT985" i="9"/>
  <c r="AS985" i="9"/>
  <c r="AR985" i="9"/>
  <c r="AQ985" i="9"/>
  <c r="AP985" i="9"/>
  <c r="AO985" i="9"/>
  <c r="AN985" i="9"/>
  <c r="AM985" i="9"/>
  <c r="AL985" i="9"/>
  <c r="AK985" i="9"/>
  <c r="AJ985" i="9"/>
  <c r="AI985" i="9"/>
  <c r="AH985" i="9"/>
  <c r="AG985" i="9"/>
  <c r="AF985" i="9"/>
  <c r="AE985" i="9"/>
  <c r="AD985" i="9"/>
  <c r="AC985" i="9"/>
  <c r="AB985" i="9"/>
  <c r="AA985" i="9"/>
  <c r="V985" i="9"/>
  <c r="E985" i="9"/>
  <c r="D985" i="9"/>
  <c r="BW984" i="9"/>
  <c r="BV984" i="9"/>
  <c r="BU984" i="9"/>
  <c r="BT984" i="9"/>
  <c r="BS984" i="9"/>
  <c r="BR984" i="9"/>
  <c r="BQ984" i="9"/>
  <c r="BP984" i="9"/>
  <c r="BJ915" i="9" s="1"/>
  <c r="BJ984" i="9"/>
  <c r="BI984" i="9"/>
  <c r="BH984" i="9"/>
  <c r="BG984" i="9"/>
  <c r="BF984" i="9"/>
  <c r="BE984" i="9"/>
  <c r="BD984" i="9"/>
  <c r="BC984" i="9"/>
  <c r="BB984" i="9"/>
  <c r="BA984" i="9"/>
  <c r="AZ984" i="9"/>
  <c r="AY984" i="9"/>
  <c r="AX984" i="9"/>
  <c r="AW984" i="9"/>
  <c r="AV984" i="9"/>
  <c r="AU984" i="9"/>
  <c r="AT984" i="9"/>
  <c r="AS984" i="9"/>
  <c r="AR984" i="9"/>
  <c r="AQ984" i="9"/>
  <c r="AP984" i="9"/>
  <c r="AO984" i="9"/>
  <c r="AN984" i="9"/>
  <c r="AM984" i="9"/>
  <c r="AL984" i="9"/>
  <c r="AK984" i="9"/>
  <c r="AJ984" i="9"/>
  <c r="AI984" i="9"/>
  <c r="AH984" i="9"/>
  <c r="AG984" i="9"/>
  <c r="AF984" i="9"/>
  <c r="AE984" i="9"/>
  <c r="AD984" i="9"/>
  <c r="AC984" i="9"/>
  <c r="AB984" i="9"/>
  <c r="AA984" i="9"/>
  <c r="V984" i="9"/>
  <c r="E984" i="9"/>
  <c r="D984" i="9"/>
  <c r="BW983" i="9"/>
  <c r="BV983" i="9"/>
  <c r="BU983" i="9"/>
  <c r="BT983" i="9"/>
  <c r="BS983" i="9"/>
  <c r="BR983" i="9"/>
  <c r="BQ983" i="9"/>
  <c r="BP983" i="9"/>
  <c r="BJ914" i="9" s="1"/>
  <c r="BJ983" i="9"/>
  <c r="BI983" i="9"/>
  <c r="BH983" i="9"/>
  <c r="BG983" i="9"/>
  <c r="BF983" i="9"/>
  <c r="BE983" i="9"/>
  <c r="BD983" i="9"/>
  <c r="BC983" i="9"/>
  <c r="BB983" i="9"/>
  <c r="BA983" i="9"/>
  <c r="AZ983" i="9"/>
  <c r="AY983" i="9"/>
  <c r="AX983" i="9"/>
  <c r="AW983" i="9"/>
  <c r="AV983" i="9"/>
  <c r="AU983" i="9"/>
  <c r="AT983" i="9"/>
  <c r="AS983" i="9"/>
  <c r="AR983" i="9"/>
  <c r="AQ983" i="9"/>
  <c r="AP983" i="9"/>
  <c r="AO983" i="9"/>
  <c r="AN983" i="9"/>
  <c r="AM983" i="9"/>
  <c r="AL983" i="9"/>
  <c r="AK983" i="9"/>
  <c r="AJ983" i="9"/>
  <c r="AI983" i="9"/>
  <c r="AH983" i="9"/>
  <c r="AG983" i="9"/>
  <c r="AF983" i="9"/>
  <c r="AE983" i="9"/>
  <c r="AD983" i="9"/>
  <c r="AC983" i="9"/>
  <c r="AB983" i="9"/>
  <c r="AA983" i="9"/>
  <c r="V983" i="9"/>
  <c r="E983" i="9"/>
  <c r="D983" i="9"/>
  <c r="BW982" i="9"/>
  <c r="BV982" i="9"/>
  <c r="BU982" i="9"/>
  <c r="BT982" i="9"/>
  <c r="BS982" i="9"/>
  <c r="BR982" i="9"/>
  <c r="BQ982" i="9"/>
  <c r="BP982" i="9"/>
  <c r="BJ913" i="9" s="1"/>
  <c r="BJ982" i="9"/>
  <c r="BI982" i="9"/>
  <c r="BH982" i="9"/>
  <c r="BG982" i="9"/>
  <c r="BF982" i="9"/>
  <c r="BE982" i="9"/>
  <c r="BD982" i="9"/>
  <c r="BC982" i="9"/>
  <c r="BB982" i="9"/>
  <c r="BA982" i="9"/>
  <c r="AZ982" i="9"/>
  <c r="AY982" i="9"/>
  <c r="AX982" i="9"/>
  <c r="AW982" i="9"/>
  <c r="AV982" i="9"/>
  <c r="AU982" i="9"/>
  <c r="AT982" i="9"/>
  <c r="AS982" i="9"/>
  <c r="AR982" i="9"/>
  <c r="AQ982" i="9"/>
  <c r="AP982" i="9"/>
  <c r="AO982" i="9"/>
  <c r="AN982" i="9"/>
  <c r="AM982" i="9"/>
  <c r="AL982" i="9"/>
  <c r="AK982" i="9"/>
  <c r="AJ982" i="9"/>
  <c r="AI982" i="9"/>
  <c r="AH982" i="9"/>
  <c r="AG982" i="9"/>
  <c r="AF982" i="9"/>
  <c r="AE982" i="9"/>
  <c r="AD982" i="9"/>
  <c r="AC982" i="9"/>
  <c r="AB982" i="9"/>
  <c r="AA982" i="9"/>
  <c r="V982" i="9"/>
  <c r="E982" i="9"/>
  <c r="D982" i="9"/>
  <c r="BW981" i="9"/>
  <c r="BV981" i="9"/>
  <c r="BU981" i="9"/>
  <c r="BT981" i="9"/>
  <c r="BS981" i="9"/>
  <c r="BR981" i="9"/>
  <c r="BQ981" i="9"/>
  <c r="BP981" i="9"/>
  <c r="BJ912" i="9" s="1"/>
  <c r="BJ981" i="9"/>
  <c r="BI981" i="9"/>
  <c r="BH981" i="9"/>
  <c r="BG981" i="9"/>
  <c r="BF981" i="9"/>
  <c r="BE981" i="9"/>
  <c r="BD981" i="9"/>
  <c r="BC981" i="9"/>
  <c r="BB981" i="9"/>
  <c r="BA981" i="9"/>
  <c r="AZ981" i="9"/>
  <c r="AY981" i="9"/>
  <c r="AX981" i="9"/>
  <c r="AW981" i="9"/>
  <c r="AV981" i="9"/>
  <c r="AU981" i="9"/>
  <c r="AT981" i="9"/>
  <c r="AS981" i="9"/>
  <c r="AR981" i="9"/>
  <c r="AQ981" i="9"/>
  <c r="AP981" i="9"/>
  <c r="AO981" i="9"/>
  <c r="AN981" i="9"/>
  <c r="AM981" i="9"/>
  <c r="AL981" i="9"/>
  <c r="AK981" i="9"/>
  <c r="AJ981" i="9"/>
  <c r="AI981" i="9"/>
  <c r="AH981" i="9"/>
  <c r="AG981" i="9"/>
  <c r="AF981" i="9"/>
  <c r="AE981" i="9"/>
  <c r="AD981" i="9"/>
  <c r="AC981" i="9"/>
  <c r="AB981" i="9"/>
  <c r="AA981" i="9"/>
  <c r="V981" i="9"/>
  <c r="E981" i="9"/>
  <c r="D981" i="9"/>
  <c r="BW980" i="9"/>
  <c r="BV980" i="9"/>
  <c r="BU980" i="9"/>
  <c r="BT980" i="9"/>
  <c r="BS980" i="9"/>
  <c r="BR980" i="9"/>
  <c r="BQ980" i="9"/>
  <c r="BP980" i="9"/>
  <c r="BJ911" i="9" s="1"/>
  <c r="BJ980" i="9"/>
  <c r="BI980" i="9"/>
  <c r="BH980" i="9"/>
  <c r="BG980" i="9"/>
  <c r="BF980" i="9"/>
  <c r="BE980" i="9"/>
  <c r="BD980" i="9"/>
  <c r="BC980" i="9"/>
  <c r="BB980" i="9"/>
  <c r="BA980" i="9"/>
  <c r="AZ980" i="9"/>
  <c r="AY980" i="9"/>
  <c r="AX980" i="9"/>
  <c r="AW980" i="9"/>
  <c r="AV980" i="9"/>
  <c r="AU980" i="9"/>
  <c r="AT980" i="9"/>
  <c r="AS980" i="9"/>
  <c r="AR980" i="9"/>
  <c r="AQ980" i="9"/>
  <c r="AP980" i="9"/>
  <c r="AO980" i="9"/>
  <c r="AN980" i="9"/>
  <c r="AM980" i="9"/>
  <c r="AL980" i="9"/>
  <c r="AK980" i="9"/>
  <c r="AJ980" i="9"/>
  <c r="AI980" i="9"/>
  <c r="AH980" i="9"/>
  <c r="AG980" i="9"/>
  <c r="AF980" i="9"/>
  <c r="AE980" i="9"/>
  <c r="AD980" i="9"/>
  <c r="AC980" i="9"/>
  <c r="AB980" i="9"/>
  <c r="AA980" i="9"/>
  <c r="V980" i="9"/>
  <c r="E980" i="9"/>
  <c r="D980" i="9"/>
  <c r="BW979" i="9"/>
  <c r="BV979" i="9"/>
  <c r="BU979" i="9"/>
  <c r="BT979" i="9"/>
  <c r="BS979" i="9"/>
  <c r="BR979" i="9"/>
  <c r="BQ979" i="9"/>
  <c r="BP979" i="9"/>
  <c r="BJ910" i="9" s="1"/>
  <c r="BJ979" i="9"/>
  <c r="BI979" i="9"/>
  <c r="BH979" i="9"/>
  <c r="BG979" i="9"/>
  <c r="BF979" i="9"/>
  <c r="BE979" i="9"/>
  <c r="BD979" i="9"/>
  <c r="BC979" i="9"/>
  <c r="BB979" i="9"/>
  <c r="BA979" i="9"/>
  <c r="AZ979" i="9"/>
  <c r="AY979" i="9"/>
  <c r="AX979" i="9"/>
  <c r="AW979" i="9"/>
  <c r="AV979" i="9"/>
  <c r="AU979" i="9"/>
  <c r="AT979" i="9"/>
  <c r="AS979" i="9"/>
  <c r="AR979" i="9"/>
  <c r="AQ979" i="9"/>
  <c r="AP979" i="9"/>
  <c r="AO979" i="9"/>
  <c r="AN979" i="9"/>
  <c r="AM979" i="9"/>
  <c r="AL979" i="9"/>
  <c r="AK979" i="9"/>
  <c r="AJ979" i="9"/>
  <c r="AI979" i="9"/>
  <c r="AH979" i="9"/>
  <c r="AG979" i="9"/>
  <c r="AF979" i="9"/>
  <c r="AE979" i="9"/>
  <c r="AD979" i="9"/>
  <c r="AC979" i="9"/>
  <c r="AB979" i="9"/>
  <c r="AA979" i="9"/>
  <c r="V979" i="9"/>
  <c r="E979" i="9"/>
  <c r="D979" i="9"/>
  <c r="BW978" i="9"/>
  <c r="BV978" i="9"/>
  <c r="BU978" i="9"/>
  <c r="BT978" i="9"/>
  <c r="BS978" i="9"/>
  <c r="BR978" i="9"/>
  <c r="BQ978" i="9"/>
  <c r="BP978" i="9"/>
  <c r="BJ909" i="9" s="1"/>
  <c r="BJ978" i="9"/>
  <c r="BI978" i="9"/>
  <c r="BH978" i="9"/>
  <c r="BG978" i="9"/>
  <c r="BF978" i="9"/>
  <c r="BE978" i="9"/>
  <c r="BD978" i="9"/>
  <c r="BC978" i="9"/>
  <c r="BB978" i="9"/>
  <c r="BA978" i="9"/>
  <c r="AZ978" i="9"/>
  <c r="AY978" i="9"/>
  <c r="AX978" i="9"/>
  <c r="AW978" i="9"/>
  <c r="AV978" i="9"/>
  <c r="AU978" i="9"/>
  <c r="AT978" i="9"/>
  <c r="AS978" i="9"/>
  <c r="AR978" i="9"/>
  <c r="AQ978" i="9"/>
  <c r="AP978" i="9"/>
  <c r="AO978" i="9"/>
  <c r="AN978" i="9"/>
  <c r="AM978" i="9"/>
  <c r="AL978" i="9"/>
  <c r="AK978" i="9"/>
  <c r="AJ978" i="9"/>
  <c r="AI978" i="9"/>
  <c r="AH978" i="9"/>
  <c r="AG978" i="9"/>
  <c r="AF978" i="9"/>
  <c r="AE978" i="9"/>
  <c r="AD978" i="9"/>
  <c r="AC978" i="9"/>
  <c r="AB978" i="9"/>
  <c r="AA978" i="9"/>
  <c r="V978" i="9"/>
  <c r="E978" i="9"/>
  <c r="D978" i="9"/>
  <c r="BW977" i="9"/>
  <c r="BV977" i="9"/>
  <c r="BU977" i="9"/>
  <c r="BT977" i="9"/>
  <c r="BS977" i="9"/>
  <c r="BR977" i="9"/>
  <c r="BQ977" i="9"/>
  <c r="BP977" i="9"/>
  <c r="BJ908" i="9" s="1"/>
  <c r="BJ977" i="9"/>
  <c r="BI977" i="9"/>
  <c r="BH977" i="9"/>
  <c r="BG977" i="9"/>
  <c r="BF977" i="9"/>
  <c r="BE977" i="9"/>
  <c r="BD977" i="9"/>
  <c r="BC977" i="9"/>
  <c r="BB977" i="9"/>
  <c r="BA977" i="9"/>
  <c r="AZ977" i="9"/>
  <c r="AY977" i="9"/>
  <c r="AX977" i="9"/>
  <c r="AW977" i="9"/>
  <c r="AV977" i="9"/>
  <c r="AU977" i="9"/>
  <c r="AT977" i="9"/>
  <c r="AS977" i="9"/>
  <c r="AR977" i="9"/>
  <c r="AQ977" i="9"/>
  <c r="AP977" i="9"/>
  <c r="AO977" i="9"/>
  <c r="AN977" i="9"/>
  <c r="AM977" i="9"/>
  <c r="AL977" i="9"/>
  <c r="AK977" i="9"/>
  <c r="AJ977" i="9"/>
  <c r="AI977" i="9"/>
  <c r="AH977" i="9"/>
  <c r="AG977" i="9"/>
  <c r="AF977" i="9"/>
  <c r="AE977" i="9"/>
  <c r="AD977" i="9"/>
  <c r="AC977" i="9"/>
  <c r="AB977" i="9"/>
  <c r="AA977" i="9"/>
  <c r="V977" i="9"/>
  <c r="E977" i="9"/>
  <c r="D977" i="9"/>
  <c r="BW976" i="9"/>
  <c r="BV976" i="9"/>
  <c r="BU976" i="9"/>
  <c r="BT976" i="9"/>
  <c r="BS976" i="9"/>
  <c r="BR976" i="9"/>
  <c r="BQ976" i="9"/>
  <c r="BP976" i="9"/>
  <c r="BJ907" i="9" s="1"/>
  <c r="BJ976" i="9"/>
  <c r="BI976" i="9"/>
  <c r="BH976" i="9"/>
  <c r="BG976" i="9"/>
  <c r="BF976" i="9"/>
  <c r="BE976" i="9"/>
  <c r="BD976" i="9"/>
  <c r="BC976" i="9"/>
  <c r="BB976" i="9"/>
  <c r="BA976" i="9"/>
  <c r="AZ976" i="9"/>
  <c r="AY976" i="9"/>
  <c r="AX976" i="9"/>
  <c r="AW976" i="9"/>
  <c r="AV976" i="9"/>
  <c r="AU976" i="9"/>
  <c r="AT976" i="9"/>
  <c r="AS976" i="9"/>
  <c r="AR976" i="9"/>
  <c r="AQ976" i="9"/>
  <c r="AP976" i="9"/>
  <c r="AO976" i="9"/>
  <c r="AN976" i="9"/>
  <c r="AM976" i="9"/>
  <c r="AL976" i="9"/>
  <c r="AK976" i="9"/>
  <c r="AJ976" i="9"/>
  <c r="AI976" i="9"/>
  <c r="AH976" i="9"/>
  <c r="AG976" i="9"/>
  <c r="AF976" i="9"/>
  <c r="AE976" i="9"/>
  <c r="AD976" i="9"/>
  <c r="AC976" i="9"/>
  <c r="AB976" i="9"/>
  <c r="AA976" i="9"/>
  <c r="V976" i="9"/>
  <c r="E976" i="9"/>
  <c r="D976" i="9"/>
  <c r="BW975" i="9"/>
  <c r="BV975" i="9"/>
  <c r="BU975" i="9"/>
  <c r="BT975" i="9"/>
  <c r="BS975" i="9"/>
  <c r="BR975" i="9"/>
  <c r="BQ975" i="9"/>
  <c r="BP975" i="9"/>
  <c r="BJ906" i="9" s="1"/>
  <c r="BJ975" i="9"/>
  <c r="BI975" i="9"/>
  <c r="BH975" i="9"/>
  <c r="BG975" i="9"/>
  <c r="BF975" i="9"/>
  <c r="BE975" i="9"/>
  <c r="BD975" i="9"/>
  <c r="BC975" i="9"/>
  <c r="BB975" i="9"/>
  <c r="BA975" i="9"/>
  <c r="AZ975" i="9"/>
  <c r="AY975" i="9"/>
  <c r="AX975" i="9"/>
  <c r="AW975" i="9"/>
  <c r="AV975" i="9"/>
  <c r="AU975" i="9"/>
  <c r="AT975" i="9"/>
  <c r="AS975" i="9"/>
  <c r="AR975" i="9"/>
  <c r="AQ975" i="9"/>
  <c r="AP975" i="9"/>
  <c r="AO975" i="9"/>
  <c r="AN975" i="9"/>
  <c r="AM975" i="9"/>
  <c r="AL975" i="9"/>
  <c r="AK975" i="9"/>
  <c r="AJ975" i="9"/>
  <c r="AI975" i="9"/>
  <c r="AH975" i="9"/>
  <c r="AG975" i="9"/>
  <c r="AF975" i="9"/>
  <c r="AE975" i="9"/>
  <c r="AD975" i="9"/>
  <c r="AC975" i="9"/>
  <c r="AB975" i="9"/>
  <c r="AA975" i="9"/>
  <c r="V975" i="9"/>
  <c r="E975" i="9"/>
  <c r="D975" i="9"/>
  <c r="BW974" i="9"/>
  <c r="BV974" i="9"/>
  <c r="BU974" i="9"/>
  <c r="BT974" i="9"/>
  <c r="BS974" i="9"/>
  <c r="BR974" i="9"/>
  <c r="BQ974" i="9"/>
  <c r="BP974" i="9"/>
  <c r="BJ905" i="9" s="1"/>
  <c r="BJ974" i="9"/>
  <c r="BI974" i="9"/>
  <c r="BH974" i="9"/>
  <c r="BG974" i="9"/>
  <c r="BF974" i="9"/>
  <c r="BE974" i="9"/>
  <c r="BD974" i="9"/>
  <c r="BC974" i="9"/>
  <c r="BB974" i="9"/>
  <c r="BA974" i="9"/>
  <c r="AZ974" i="9"/>
  <c r="AY974" i="9"/>
  <c r="AX974" i="9"/>
  <c r="AW974" i="9"/>
  <c r="AV974" i="9"/>
  <c r="AU974" i="9"/>
  <c r="AT974" i="9"/>
  <c r="AS974" i="9"/>
  <c r="AR974" i="9"/>
  <c r="AQ974" i="9"/>
  <c r="AP974" i="9"/>
  <c r="AO974" i="9"/>
  <c r="AN974" i="9"/>
  <c r="AM974" i="9"/>
  <c r="AL974" i="9"/>
  <c r="AK974" i="9"/>
  <c r="AJ974" i="9"/>
  <c r="AI974" i="9"/>
  <c r="AH974" i="9"/>
  <c r="AG974" i="9"/>
  <c r="AF974" i="9"/>
  <c r="AE974" i="9"/>
  <c r="AD974" i="9"/>
  <c r="AC974" i="9"/>
  <c r="AB974" i="9"/>
  <c r="AA974" i="9"/>
  <c r="V974" i="9"/>
  <c r="E974" i="9"/>
  <c r="D974" i="9"/>
  <c r="BW973" i="9"/>
  <c r="BV973" i="9"/>
  <c r="BU973" i="9"/>
  <c r="BT973" i="9"/>
  <c r="BS973" i="9"/>
  <c r="BR973" i="9"/>
  <c r="BQ973" i="9"/>
  <c r="BP973" i="9"/>
  <c r="BJ904" i="9" s="1"/>
  <c r="BJ973" i="9"/>
  <c r="BI973" i="9"/>
  <c r="BH973" i="9"/>
  <c r="BG973" i="9"/>
  <c r="BF973" i="9"/>
  <c r="BE973" i="9"/>
  <c r="BD973" i="9"/>
  <c r="BC973" i="9"/>
  <c r="BB973" i="9"/>
  <c r="BA973" i="9"/>
  <c r="AZ973" i="9"/>
  <c r="AY973" i="9"/>
  <c r="AX973" i="9"/>
  <c r="AW973" i="9"/>
  <c r="AV973" i="9"/>
  <c r="AU973" i="9"/>
  <c r="AT973" i="9"/>
  <c r="AS973" i="9"/>
  <c r="AR973" i="9"/>
  <c r="AQ973" i="9"/>
  <c r="AP973" i="9"/>
  <c r="AO973" i="9"/>
  <c r="AN973" i="9"/>
  <c r="AM973" i="9"/>
  <c r="AL973" i="9"/>
  <c r="AK973" i="9"/>
  <c r="AJ973" i="9"/>
  <c r="AI973" i="9"/>
  <c r="AH973" i="9"/>
  <c r="AG973" i="9"/>
  <c r="AF973" i="9"/>
  <c r="AE973" i="9"/>
  <c r="AD973" i="9"/>
  <c r="AC973" i="9"/>
  <c r="AB973" i="9"/>
  <c r="AA973" i="9"/>
  <c r="V973" i="9"/>
  <c r="E973" i="9"/>
  <c r="D973" i="9"/>
  <c r="BW972" i="9"/>
  <c r="BV972" i="9"/>
  <c r="BU972" i="9"/>
  <c r="BT972" i="9"/>
  <c r="BS972" i="9"/>
  <c r="BR972" i="9"/>
  <c r="BQ972" i="9"/>
  <c r="BP972" i="9"/>
  <c r="BJ903" i="9" s="1"/>
  <c r="BJ972" i="9"/>
  <c r="BI972" i="9"/>
  <c r="BH972" i="9"/>
  <c r="BG972" i="9"/>
  <c r="BF972" i="9"/>
  <c r="BE972" i="9"/>
  <c r="BD972" i="9"/>
  <c r="BC972" i="9"/>
  <c r="BB972" i="9"/>
  <c r="BA972" i="9"/>
  <c r="AZ972" i="9"/>
  <c r="AY972" i="9"/>
  <c r="AX972" i="9"/>
  <c r="AW972" i="9"/>
  <c r="AV972" i="9"/>
  <c r="AU972" i="9"/>
  <c r="AT972" i="9"/>
  <c r="AS972" i="9"/>
  <c r="AR972" i="9"/>
  <c r="AQ972" i="9"/>
  <c r="AP972" i="9"/>
  <c r="AO972" i="9"/>
  <c r="AN972" i="9"/>
  <c r="AM972" i="9"/>
  <c r="AL972" i="9"/>
  <c r="AK972" i="9"/>
  <c r="AJ972" i="9"/>
  <c r="AI972" i="9"/>
  <c r="AH972" i="9"/>
  <c r="AG972" i="9"/>
  <c r="AF972" i="9"/>
  <c r="AE972" i="9"/>
  <c r="AD972" i="9"/>
  <c r="AC972" i="9"/>
  <c r="AB972" i="9"/>
  <c r="AA972" i="9"/>
  <c r="V972" i="9"/>
  <c r="E972" i="9"/>
  <c r="D972" i="9"/>
  <c r="BW971" i="9"/>
  <c r="BV971" i="9"/>
  <c r="BU971" i="9"/>
  <c r="BT971" i="9"/>
  <c r="BS971" i="9"/>
  <c r="BR971" i="9"/>
  <c r="BQ971" i="9"/>
  <c r="BP971" i="9"/>
  <c r="BJ902" i="9" s="1"/>
  <c r="BJ971" i="9"/>
  <c r="BI971" i="9"/>
  <c r="BH971" i="9"/>
  <c r="BG971" i="9"/>
  <c r="BF971" i="9"/>
  <c r="BE971" i="9"/>
  <c r="BD971" i="9"/>
  <c r="BC971" i="9"/>
  <c r="BB971" i="9"/>
  <c r="BA971" i="9"/>
  <c r="AZ971" i="9"/>
  <c r="AY971" i="9"/>
  <c r="AX971" i="9"/>
  <c r="AW971" i="9"/>
  <c r="AV971" i="9"/>
  <c r="AU971" i="9"/>
  <c r="AT971" i="9"/>
  <c r="AS971" i="9"/>
  <c r="AR971" i="9"/>
  <c r="AQ971" i="9"/>
  <c r="AP971" i="9"/>
  <c r="AO971" i="9"/>
  <c r="AN971" i="9"/>
  <c r="AM971" i="9"/>
  <c r="AL971" i="9"/>
  <c r="AK971" i="9"/>
  <c r="AJ971" i="9"/>
  <c r="AI971" i="9"/>
  <c r="AH971" i="9"/>
  <c r="AG971" i="9"/>
  <c r="AF971" i="9"/>
  <c r="AE971" i="9"/>
  <c r="AD971" i="9"/>
  <c r="AC971" i="9"/>
  <c r="AB971" i="9"/>
  <c r="AA971" i="9"/>
  <c r="V971" i="9"/>
  <c r="E971" i="9"/>
  <c r="D971" i="9"/>
  <c r="BW970" i="9"/>
  <c r="BV970" i="9"/>
  <c r="BU970" i="9"/>
  <c r="BT970" i="9"/>
  <c r="BS970" i="9"/>
  <c r="BR970" i="9"/>
  <c r="BQ970" i="9"/>
  <c r="BP970" i="9"/>
  <c r="BJ901" i="9" s="1"/>
  <c r="BJ970" i="9"/>
  <c r="BI970" i="9"/>
  <c r="BH970" i="9"/>
  <c r="BG970" i="9"/>
  <c r="BF970" i="9"/>
  <c r="BE970" i="9"/>
  <c r="BD970" i="9"/>
  <c r="BC970" i="9"/>
  <c r="BB970" i="9"/>
  <c r="BA970" i="9"/>
  <c r="AZ970" i="9"/>
  <c r="AY970" i="9"/>
  <c r="AX970" i="9"/>
  <c r="AW970" i="9"/>
  <c r="AV970" i="9"/>
  <c r="AU970" i="9"/>
  <c r="AT970" i="9"/>
  <c r="AS970" i="9"/>
  <c r="AR970" i="9"/>
  <c r="AQ970" i="9"/>
  <c r="AP970" i="9"/>
  <c r="AO970" i="9"/>
  <c r="AN970" i="9"/>
  <c r="AM970" i="9"/>
  <c r="AL970" i="9"/>
  <c r="AK970" i="9"/>
  <c r="AJ970" i="9"/>
  <c r="AI970" i="9"/>
  <c r="AH970" i="9"/>
  <c r="AG970" i="9"/>
  <c r="AF970" i="9"/>
  <c r="AE970" i="9"/>
  <c r="AD970" i="9"/>
  <c r="AC970" i="9"/>
  <c r="AB970" i="9"/>
  <c r="AA970" i="9"/>
  <c r="V970" i="9"/>
  <c r="E970" i="9"/>
  <c r="D970" i="9"/>
  <c r="BW969" i="9"/>
  <c r="BV969" i="9"/>
  <c r="BU969" i="9"/>
  <c r="BT969" i="9"/>
  <c r="BS969" i="9"/>
  <c r="BR969" i="9"/>
  <c r="BQ969" i="9"/>
  <c r="BP969" i="9"/>
  <c r="BJ900" i="9" s="1"/>
  <c r="BJ969" i="9"/>
  <c r="BI969" i="9"/>
  <c r="BH969" i="9"/>
  <c r="BG969" i="9"/>
  <c r="BF969" i="9"/>
  <c r="BE969" i="9"/>
  <c r="BD969" i="9"/>
  <c r="BC969" i="9"/>
  <c r="BB969" i="9"/>
  <c r="BA969" i="9"/>
  <c r="AZ969" i="9"/>
  <c r="AY969" i="9"/>
  <c r="AX969" i="9"/>
  <c r="AW969" i="9"/>
  <c r="AV969" i="9"/>
  <c r="AU969" i="9"/>
  <c r="AT969" i="9"/>
  <c r="AS969" i="9"/>
  <c r="AR969" i="9"/>
  <c r="AQ969" i="9"/>
  <c r="AP969" i="9"/>
  <c r="AO969" i="9"/>
  <c r="AN969" i="9"/>
  <c r="AM969" i="9"/>
  <c r="AL969" i="9"/>
  <c r="AK969" i="9"/>
  <c r="AJ969" i="9"/>
  <c r="AI969" i="9"/>
  <c r="AH969" i="9"/>
  <c r="AG969" i="9"/>
  <c r="AF969" i="9"/>
  <c r="AE969" i="9"/>
  <c r="AD969" i="9"/>
  <c r="AC969" i="9"/>
  <c r="AB969" i="9"/>
  <c r="AA969" i="9"/>
  <c r="V969" i="9"/>
  <c r="E969" i="9"/>
  <c r="D969" i="9"/>
  <c r="BW968" i="9"/>
  <c r="BV968" i="9"/>
  <c r="BU968" i="9"/>
  <c r="BT968" i="9"/>
  <c r="BS968" i="9"/>
  <c r="BR968" i="9"/>
  <c r="BQ968" i="9"/>
  <c r="BJ968" i="9"/>
  <c r="BI968" i="9"/>
  <c r="BH968" i="9"/>
  <c r="BG968" i="9"/>
  <c r="BF968" i="9"/>
  <c r="BE968" i="9"/>
  <c r="BD968" i="9"/>
  <c r="BC968" i="9"/>
  <c r="BB968" i="9"/>
  <c r="BA968" i="9"/>
  <c r="AZ968" i="9"/>
  <c r="AY968" i="9"/>
  <c r="AX968" i="9"/>
  <c r="AW968" i="9"/>
  <c r="AV968" i="9"/>
  <c r="AU968" i="9"/>
  <c r="AT968" i="9"/>
  <c r="AS968" i="9"/>
  <c r="AR968" i="9"/>
  <c r="AQ968" i="9"/>
  <c r="AP968" i="9"/>
  <c r="AO968" i="9"/>
  <c r="AN968" i="9"/>
  <c r="AM968" i="9"/>
  <c r="AL968" i="9"/>
  <c r="AJ968" i="9"/>
  <c r="AI968" i="9"/>
  <c r="AG968" i="9"/>
  <c r="AF968" i="9"/>
  <c r="AD968" i="9"/>
  <c r="AC968" i="9"/>
  <c r="AA968" i="9"/>
  <c r="V968" i="9"/>
  <c r="E968" i="9"/>
  <c r="D968" i="9"/>
  <c r="E967" i="9"/>
  <c r="D967" i="9"/>
  <c r="D966" i="9"/>
  <c r="E941" i="9"/>
  <c r="D941" i="9"/>
  <c r="E940" i="9"/>
  <c r="D940" i="9"/>
  <c r="E939" i="9"/>
  <c r="D939" i="9"/>
  <c r="E938" i="9"/>
  <c r="D938" i="9"/>
  <c r="E937" i="9"/>
  <c r="D937" i="9"/>
  <c r="E936" i="9"/>
  <c r="D936" i="9"/>
  <c r="E935" i="9"/>
  <c r="D935" i="9"/>
  <c r="E934" i="9"/>
  <c r="D934" i="9"/>
  <c r="E933" i="9"/>
  <c r="D933" i="9"/>
  <c r="E932" i="9"/>
  <c r="D932" i="9"/>
  <c r="E931" i="9"/>
  <c r="D931" i="9"/>
  <c r="E930" i="9"/>
  <c r="D930" i="9"/>
  <c r="E929" i="9"/>
  <c r="D929" i="9"/>
  <c r="E928" i="9"/>
  <c r="D928" i="9"/>
  <c r="E927" i="9"/>
  <c r="D927" i="9"/>
  <c r="E926" i="9"/>
  <c r="D926" i="9"/>
  <c r="E925" i="9"/>
  <c r="D925" i="9"/>
  <c r="E924" i="9"/>
  <c r="D924" i="9"/>
  <c r="E923" i="9"/>
  <c r="D923" i="9"/>
  <c r="E922" i="9"/>
  <c r="D922" i="9"/>
  <c r="E921" i="9"/>
  <c r="D921" i="9"/>
  <c r="E918" i="9"/>
  <c r="D918" i="9"/>
  <c r="E917" i="9"/>
  <c r="D917" i="9"/>
  <c r="E916" i="9"/>
  <c r="D916" i="9"/>
  <c r="E915" i="9"/>
  <c r="D915" i="9"/>
  <c r="E914" i="9"/>
  <c r="D914" i="9"/>
  <c r="E913" i="9"/>
  <c r="D913" i="9"/>
  <c r="E912" i="9"/>
  <c r="D912" i="9"/>
  <c r="E911" i="9"/>
  <c r="D911" i="9"/>
  <c r="E910" i="9"/>
  <c r="D910" i="9"/>
  <c r="E909" i="9"/>
  <c r="D909" i="9"/>
  <c r="E908" i="9"/>
  <c r="D908" i="9"/>
  <c r="E907" i="9"/>
  <c r="D907" i="9"/>
  <c r="E906" i="9"/>
  <c r="D906" i="9"/>
  <c r="E905" i="9"/>
  <c r="D905" i="9"/>
  <c r="E904" i="9"/>
  <c r="D904" i="9"/>
  <c r="E903" i="9"/>
  <c r="D903" i="9"/>
  <c r="E902" i="9"/>
  <c r="D902" i="9"/>
  <c r="E901" i="9"/>
  <c r="D901" i="9"/>
  <c r="E900" i="9"/>
  <c r="D900" i="9"/>
  <c r="E899" i="9"/>
  <c r="D899" i="9"/>
  <c r="E898" i="9"/>
  <c r="D898" i="9"/>
  <c r="E140" i="3"/>
  <c r="CJ14" i="9"/>
  <c r="CJ15" i="9"/>
  <c r="CJ16" i="9"/>
  <c r="CJ17" i="9"/>
  <c r="CJ18" i="9"/>
  <c r="CJ19" i="9"/>
  <c r="CJ20" i="9"/>
  <c r="CJ21" i="9"/>
  <c r="CJ22" i="9"/>
  <c r="CJ23" i="9"/>
  <c r="CJ24" i="9"/>
  <c r="CJ25" i="9"/>
  <c r="CJ26" i="9"/>
  <c r="CJ27" i="9"/>
  <c r="CJ28" i="9"/>
  <c r="CJ29" i="9"/>
  <c r="CJ30" i="9"/>
  <c r="CJ31" i="9"/>
  <c r="CJ32" i="9"/>
  <c r="AA1102" i="9" l="1"/>
  <c r="AE1102" i="9"/>
  <c r="AI1102" i="9"/>
  <c r="AM1102" i="9"/>
  <c r="AQ1102" i="9"/>
  <c r="AU1102" i="9"/>
  <c r="AY1102" i="9"/>
  <c r="BC1102" i="9"/>
  <c r="BG1102" i="9"/>
  <c r="BP1102" i="9"/>
  <c r="BT1102" i="9"/>
  <c r="AA1103" i="9"/>
  <c r="AE1103" i="9"/>
  <c r="AI1103" i="9"/>
  <c r="AM1103" i="9"/>
  <c r="AQ1103" i="9"/>
  <c r="AU1103" i="9"/>
  <c r="AY1103" i="9"/>
  <c r="BC1103" i="9"/>
  <c r="BG1103" i="9"/>
  <c r="BS1103" i="9"/>
  <c r="BW1103" i="9"/>
  <c r="AD1104" i="9"/>
  <c r="AL1104" i="9"/>
  <c r="AP1104" i="9"/>
  <c r="AT1104" i="9"/>
  <c r="BB1104" i="9"/>
  <c r="BJ1104" i="9"/>
  <c r="V1102" i="9"/>
  <c r="AB1102" i="9"/>
  <c r="AF1102" i="9"/>
  <c r="AJ1102" i="9"/>
  <c r="AN1102" i="9"/>
  <c r="AR1102" i="9"/>
  <c r="AV1102" i="9"/>
  <c r="AZ1102" i="9"/>
  <c r="BD1102" i="9"/>
  <c r="BH1102" i="9"/>
  <c r="BQ1102" i="9"/>
  <c r="BU1102" i="9"/>
  <c r="AB1103" i="9"/>
  <c r="AF1103" i="9"/>
  <c r="AJ1103" i="9"/>
  <c r="AN1103" i="9"/>
  <c r="AR1103" i="9"/>
  <c r="AV1103" i="9"/>
  <c r="AZ1103" i="9"/>
  <c r="BD1103" i="9"/>
  <c r="BH1103" i="9"/>
  <c r="BP1103" i="9"/>
  <c r="BT1103" i="9"/>
  <c r="AA1104" i="9"/>
  <c r="AI1104" i="9"/>
  <c r="AM1104" i="9"/>
  <c r="AQ1104" i="9"/>
  <c r="AU1104" i="9"/>
  <c r="AY1104" i="9"/>
  <c r="BC1104" i="9"/>
  <c r="BG1104" i="9"/>
  <c r="BS1104" i="9"/>
  <c r="BW1104" i="9"/>
  <c r="AV1104" i="9"/>
  <c r="BD1104" i="9"/>
  <c r="BP1104" i="9"/>
  <c r="V1103" i="9"/>
  <c r="AC1102" i="9"/>
  <c r="AG1102" i="9"/>
  <c r="AK1102" i="9"/>
  <c r="AO1102" i="9"/>
  <c r="AS1102" i="9"/>
  <c r="AW1102" i="9"/>
  <c r="BA1102" i="9"/>
  <c r="BE1102" i="9"/>
  <c r="BI1102" i="9"/>
  <c r="BR1102" i="9"/>
  <c r="BV1102" i="9"/>
  <c r="AC1103" i="9"/>
  <c r="AG1103" i="9"/>
  <c r="AK1103" i="9"/>
  <c r="AO1103" i="9"/>
  <c r="AS1103" i="9"/>
  <c r="AW1103" i="9"/>
  <c r="BA1103" i="9"/>
  <c r="BE1103" i="9"/>
  <c r="BI1103" i="9"/>
  <c r="BQ1103" i="9"/>
  <c r="BU1103" i="9"/>
  <c r="AF1104" i="9"/>
  <c r="AJ1104" i="9"/>
  <c r="AN1104" i="9"/>
  <c r="AR1104" i="9"/>
  <c r="AZ1104" i="9"/>
  <c r="BH1104" i="9"/>
  <c r="BT1104" i="9"/>
  <c r="AD1102" i="9"/>
  <c r="AH1102" i="9"/>
  <c r="AL1102" i="9"/>
  <c r="AP1102" i="9"/>
  <c r="AT1102" i="9"/>
  <c r="AX1102" i="9"/>
  <c r="BB1102" i="9"/>
  <c r="BF1102" i="9"/>
  <c r="BJ1102" i="9"/>
  <c r="BS1102" i="9"/>
  <c r="BW1102" i="9"/>
  <c r="AD1103" i="9"/>
  <c r="AH1103" i="9"/>
  <c r="AL1103" i="9"/>
  <c r="AP1103" i="9"/>
  <c r="AT1103" i="9"/>
  <c r="AX1103" i="9"/>
  <c r="BB1103" i="9"/>
  <c r="BF1103" i="9"/>
  <c r="BJ1103" i="9"/>
  <c r="BR1103" i="9"/>
  <c r="BV1103" i="9"/>
  <c r="AC1104" i="9"/>
  <c r="AG1104" i="9"/>
  <c r="AO1104" i="9"/>
  <c r="AS1104" i="9"/>
  <c r="AW1104" i="9"/>
  <c r="BA1104" i="9"/>
  <c r="BE1104" i="9"/>
  <c r="BI1104" i="9"/>
  <c r="BQ1104" i="9"/>
  <c r="BU1104" i="9"/>
  <c r="V1104" i="9"/>
  <c r="AX1104" i="9"/>
  <c r="BF1104" i="9"/>
  <c r="BR1104" i="9"/>
  <c r="BV1104" i="9"/>
  <c r="BL96" i="6"/>
  <c r="BL90" i="30" s="1"/>
  <c r="CM90" i="30" s="1"/>
  <c r="CE90" i="30" s="1"/>
  <c r="BL102" i="6"/>
  <c r="BL91" i="30" s="1"/>
  <c r="CM91" i="30" s="1"/>
  <c r="CE91" i="30" s="1"/>
  <c r="BL50" i="9"/>
  <c r="D79" i="35"/>
  <c r="D77" i="35"/>
  <c r="D76" i="35"/>
  <c r="D66" i="35"/>
  <c r="D15" i="13"/>
  <c r="EX15" i="13" s="1"/>
  <c r="D130" i="13"/>
  <c r="EX130" i="13" s="1"/>
  <c r="D131" i="13"/>
  <c r="EX131" i="13" s="1"/>
  <c r="D132" i="13"/>
  <c r="EX132" i="13" s="1"/>
  <c r="BL968" i="9" l="1"/>
  <c r="BL477" i="9"/>
  <c r="E57" i="35" l="1"/>
  <c r="E52" i="35"/>
  <c r="V52" i="35" s="1"/>
  <c r="D60" i="35"/>
  <c r="D56" i="35"/>
  <c r="D55" i="35"/>
  <c r="D51" i="35"/>
  <c r="E83" i="13"/>
  <c r="D83" i="13"/>
  <c r="EX83" i="13" s="1"/>
  <c r="E71" i="13"/>
  <c r="D71" i="13"/>
  <c r="EX71" i="13" s="1"/>
  <c r="V44" i="35"/>
  <c r="D49" i="35"/>
  <c r="E44" i="35"/>
  <c r="E45" i="13"/>
  <c r="D47" i="35"/>
  <c r="D43" i="35"/>
  <c r="D57" i="13"/>
  <c r="EX57" i="13" s="1"/>
  <c r="D45" i="13"/>
  <c r="EX45" i="13" s="1"/>
  <c r="V40" i="35"/>
  <c r="D39" i="35"/>
  <c r="D38" i="35"/>
  <c r="D35" i="35"/>
  <c r="D34" i="35"/>
  <c r="D32" i="35"/>
  <c r="D31" i="35"/>
  <c r="EX18" i="13"/>
  <c r="AA52" i="35" l="1"/>
  <c r="AE52" i="35"/>
  <c r="AI52" i="35"/>
  <c r="AM52" i="35"/>
  <c r="AQ52" i="35"/>
  <c r="AU52" i="35"/>
  <c r="AY52" i="35"/>
  <c r="BC52" i="35"/>
  <c r="BG52" i="35"/>
  <c r="BL52" i="35"/>
  <c r="BP52" i="35"/>
  <c r="BT52" i="35"/>
  <c r="W52" i="35"/>
  <c r="AC52" i="35"/>
  <c r="AG52" i="35"/>
  <c r="AO52" i="35"/>
  <c r="AW52" i="35"/>
  <c r="BE52" i="35"/>
  <c r="BN52" i="35"/>
  <c r="BV52" i="35"/>
  <c r="AH52" i="35"/>
  <c r="AP52" i="35"/>
  <c r="AX52" i="35"/>
  <c r="BF52" i="35"/>
  <c r="BO52" i="35"/>
  <c r="BW52" i="35"/>
  <c r="AB52" i="35"/>
  <c r="AF52" i="35"/>
  <c r="AJ52" i="35"/>
  <c r="AN52" i="35"/>
  <c r="AR52" i="35"/>
  <c r="AV52" i="35"/>
  <c r="AZ52" i="35"/>
  <c r="BD52" i="35"/>
  <c r="BH52" i="35"/>
  <c r="BM52" i="35"/>
  <c r="BQ52" i="35"/>
  <c r="BU52" i="35"/>
  <c r="X52" i="35"/>
  <c r="AK52" i="35"/>
  <c r="AS52" i="35"/>
  <c r="BA52" i="35"/>
  <c r="BI52" i="35"/>
  <c r="BR52" i="35"/>
  <c r="Y52" i="35"/>
  <c r="AD52" i="35"/>
  <c r="AL52" i="35"/>
  <c r="AT52" i="35"/>
  <c r="BB52" i="35"/>
  <c r="BJ52" i="35"/>
  <c r="BS52" i="35"/>
  <c r="X57" i="35"/>
  <c r="Y57" i="35"/>
  <c r="W57" i="35"/>
  <c r="V57" i="35"/>
  <c r="D5" i="36"/>
  <c r="D4" i="36"/>
  <c r="D3" i="36"/>
  <c r="V1" i="36"/>
  <c r="D1" i="36"/>
  <c r="A2" i="36"/>
  <c r="C93" i="33"/>
  <c r="D23" i="35"/>
  <c r="D24" i="35"/>
  <c r="D25" i="35"/>
  <c r="EX79" i="33"/>
  <c r="C68" i="33"/>
  <c r="EX68" i="33" l="1"/>
  <c r="EX99" i="33"/>
  <c r="EX100" i="33"/>
  <c r="EX93" i="33"/>
  <c r="D5" i="35"/>
  <c r="D4" i="35"/>
  <c r="D3" i="35"/>
  <c r="BL1" i="35"/>
  <c r="AA1" i="35"/>
  <c r="V1" i="35"/>
  <c r="D1" i="35"/>
  <c r="D5" i="33" l="1"/>
  <c r="D4" i="33"/>
  <c r="D3" i="33"/>
  <c r="BL1" i="33"/>
  <c r="AA1" i="33"/>
  <c r="V1" i="33"/>
  <c r="D1" i="33"/>
  <c r="D5" i="32" l="1"/>
  <c r="D4" i="32"/>
  <c r="D3" i="32"/>
  <c r="BL1" i="32"/>
  <c r="AA1" i="32"/>
  <c r="V1" i="32"/>
  <c r="D1" i="32"/>
  <c r="BL209" i="30" l="1"/>
  <c r="V97" i="33"/>
  <c r="V83" i="6"/>
  <c r="V19" i="32" s="1"/>
  <c r="AA201" i="30"/>
  <c r="AA87" i="33" s="1"/>
  <c r="AB201" i="30"/>
  <c r="AB87" i="33" s="1"/>
  <c r="AC201" i="30"/>
  <c r="AC87" i="33" s="1"/>
  <c r="AD201" i="30"/>
  <c r="AD87" i="33" s="1"/>
  <c r="AE201" i="30"/>
  <c r="AE87" i="33" s="1"/>
  <c r="AF201" i="30"/>
  <c r="AF87" i="33" s="1"/>
  <c r="AG201" i="30"/>
  <c r="AG87" i="33" s="1"/>
  <c r="AH201" i="30"/>
  <c r="AH87" i="33" s="1"/>
  <c r="AI201" i="30"/>
  <c r="AI87" i="33" s="1"/>
  <c r="AJ201" i="30"/>
  <c r="AJ87" i="33" s="1"/>
  <c r="AK201" i="30"/>
  <c r="AK87" i="33" s="1"/>
  <c r="AL201" i="30"/>
  <c r="AL87" i="33" s="1"/>
  <c r="AM201" i="30"/>
  <c r="AM87" i="33" s="1"/>
  <c r="AN201" i="30"/>
  <c r="AN87" i="33" s="1"/>
  <c r="AO201" i="30"/>
  <c r="AO87" i="33" s="1"/>
  <c r="AP201" i="30"/>
  <c r="AP87" i="33" s="1"/>
  <c r="AQ201" i="30"/>
  <c r="AQ87" i="33" s="1"/>
  <c r="AR201" i="30"/>
  <c r="AR87" i="33" s="1"/>
  <c r="AS201" i="30"/>
  <c r="AS87" i="33" s="1"/>
  <c r="AT201" i="30"/>
  <c r="AT87" i="33" s="1"/>
  <c r="AU201" i="30"/>
  <c r="AU87" i="33" s="1"/>
  <c r="AV201" i="30"/>
  <c r="AV87" i="33" s="1"/>
  <c r="AW201" i="30"/>
  <c r="AW87" i="33" s="1"/>
  <c r="AX201" i="30"/>
  <c r="AX87" i="33" s="1"/>
  <c r="AY201" i="30"/>
  <c r="AY87" i="33" s="1"/>
  <c r="AZ201" i="30"/>
  <c r="AZ87" i="33" s="1"/>
  <c r="BA201" i="30"/>
  <c r="BA87" i="33" s="1"/>
  <c r="BB201" i="30"/>
  <c r="BB87" i="33" s="1"/>
  <c r="BC201" i="30"/>
  <c r="BC87" i="33" s="1"/>
  <c r="BD201" i="30"/>
  <c r="BD87" i="33" s="1"/>
  <c r="BE201" i="30"/>
  <c r="BE87" i="33" s="1"/>
  <c r="BF201" i="30"/>
  <c r="BF87" i="33" s="1"/>
  <c r="BG201" i="30"/>
  <c r="BG87" i="33" s="1"/>
  <c r="BH201" i="30"/>
  <c r="BH87" i="33" s="1"/>
  <c r="BI201" i="30"/>
  <c r="BI87" i="33" s="1"/>
  <c r="AB188" i="30"/>
  <c r="AC188" i="30"/>
  <c r="AD188" i="30"/>
  <c r="AE188" i="30"/>
  <c r="AF188" i="30"/>
  <c r="AG188" i="30"/>
  <c r="AH188" i="30"/>
  <c r="AI188" i="30"/>
  <c r="AJ188" i="30"/>
  <c r="AK188" i="30"/>
  <c r="AL188" i="30"/>
  <c r="AM188" i="30"/>
  <c r="AN188" i="30"/>
  <c r="AO188" i="30"/>
  <c r="AP188" i="30"/>
  <c r="AQ188" i="30"/>
  <c r="AR188" i="30"/>
  <c r="AS188" i="30"/>
  <c r="AT188" i="30"/>
  <c r="AU188" i="30"/>
  <c r="AV188" i="30"/>
  <c r="AW188" i="30"/>
  <c r="AX188" i="30"/>
  <c r="AY188" i="30"/>
  <c r="AZ188" i="30"/>
  <c r="BA188" i="30"/>
  <c r="BB188" i="30"/>
  <c r="BC188" i="30"/>
  <c r="BD188" i="30"/>
  <c r="BE188" i="30"/>
  <c r="BF188" i="30"/>
  <c r="BG188" i="30"/>
  <c r="BH188" i="30"/>
  <c r="BI188" i="30"/>
  <c r="BJ188" i="30"/>
  <c r="AA189" i="30"/>
  <c r="AC189" i="30"/>
  <c r="AD189" i="30"/>
  <c r="AE189" i="30"/>
  <c r="AF189" i="30"/>
  <c r="AG189" i="30"/>
  <c r="AH189" i="30"/>
  <c r="AI189" i="30"/>
  <c r="AJ189" i="30"/>
  <c r="AK189" i="30"/>
  <c r="AL189" i="30"/>
  <c r="AM189" i="30"/>
  <c r="AN189" i="30"/>
  <c r="AO189" i="30"/>
  <c r="AP189" i="30"/>
  <c r="AQ189" i="30"/>
  <c r="AR189" i="30"/>
  <c r="AS189" i="30"/>
  <c r="AT189" i="30"/>
  <c r="AU189" i="30"/>
  <c r="AV189" i="30"/>
  <c r="AW189" i="30"/>
  <c r="AX189" i="30"/>
  <c r="AY189" i="30"/>
  <c r="AZ189" i="30"/>
  <c r="BA189" i="30"/>
  <c r="BB189" i="30"/>
  <c r="BC189" i="30"/>
  <c r="BD189" i="30"/>
  <c r="BE189" i="30"/>
  <c r="BF189" i="30"/>
  <c r="BG189" i="30"/>
  <c r="BH189" i="30"/>
  <c r="BI189" i="30"/>
  <c r="BJ189" i="30"/>
  <c r="E34" i="26"/>
  <c r="BM208" i="30" l="1"/>
  <c r="BL97" i="33"/>
  <c r="V84" i="30"/>
  <c r="AA208" i="30"/>
  <c r="BT76" i="33"/>
  <c r="BC76" i="33"/>
  <c r="AU76" i="33"/>
  <c r="AM76" i="33"/>
  <c r="AA76" i="33"/>
  <c r="BG75" i="33"/>
  <c r="AU75" i="33"/>
  <c r="AM75" i="33"/>
  <c r="AE75" i="33"/>
  <c r="BS76" i="33"/>
  <c r="BF76" i="33"/>
  <c r="AX76" i="33"/>
  <c r="AP76" i="33"/>
  <c r="AD76" i="33"/>
  <c r="BT75" i="33"/>
  <c r="BB75" i="33"/>
  <c r="AT75" i="33"/>
  <c r="AL75" i="33"/>
  <c r="BV76" i="33"/>
  <c r="BR76" i="33"/>
  <c r="BI76" i="33"/>
  <c r="BE76" i="33"/>
  <c r="BA76" i="33"/>
  <c r="AW76" i="33"/>
  <c r="AS76" i="33"/>
  <c r="AO76" i="33"/>
  <c r="AK76" i="33"/>
  <c r="AG76" i="33"/>
  <c r="AC76" i="33"/>
  <c r="BW75" i="33"/>
  <c r="BS75" i="33"/>
  <c r="BI75" i="33"/>
  <c r="BE75" i="33"/>
  <c r="BA75" i="33"/>
  <c r="AW75" i="33"/>
  <c r="AS75" i="33"/>
  <c r="AO75" i="33"/>
  <c r="AK75" i="33"/>
  <c r="AG75" i="33"/>
  <c r="AC75" i="33"/>
  <c r="V76" i="33"/>
  <c r="BP76" i="33"/>
  <c r="BG76" i="33"/>
  <c r="AY76" i="33"/>
  <c r="AQ76" i="33"/>
  <c r="AI76" i="33"/>
  <c r="AE76" i="33"/>
  <c r="BU75" i="33"/>
  <c r="BQ75" i="33"/>
  <c r="BC75" i="33"/>
  <c r="AY75" i="33"/>
  <c r="AQ75" i="33"/>
  <c r="AI75" i="33"/>
  <c r="BW76" i="33"/>
  <c r="BJ76" i="33"/>
  <c r="BB76" i="33"/>
  <c r="AT76" i="33"/>
  <c r="AL76" i="33"/>
  <c r="AH76" i="33"/>
  <c r="BJ75" i="33"/>
  <c r="BF75" i="33"/>
  <c r="AX75" i="33"/>
  <c r="AP75" i="33"/>
  <c r="AH75" i="33"/>
  <c r="AD75" i="33"/>
  <c r="BU76" i="33"/>
  <c r="BQ76" i="33"/>
  <c r="BH76" i="33"/>
  <c r="BD76" i="33"/>
  <c r="AZ76" i="33"/>
  <c r="AV76" i="33"/>
  <c r="AR76" i="33"/>
  <c r="AN76" i="33"/>
  <c r="AJ76" i="33"/>
  <c r="AF76" i="33"/>
  <c r="AB76" i="33"/>
  <c r="BV75" i="33"/>
  <c r="BR75" i="33"/>
  <c r="BH75" i="33"/>
  <c r="BD75" i="33"/>
  <c r="AZ75" i="33"/>
  <c r="AV75" i="33"/>
  <c r="AR75" i="33"/>
  <c r="AN75" i="33"/>
  <c r="AJ75" i="33"/>
  <c r="AF75" i="33"/>
  <c r="AB75" i="33"/>
  <c r="V87" i="33"/>
  <c r="F179" i="26"/>
  <c r="F180" i="26"/>
  <c r="F181" i="26"/>
  <c r="F182" i="26"/>
  <c r="F183" i="26"/>
  <c r="F184" i="26"/>
  <c r="F185" i="26"/>
  <c r="F186" i="26"/>
  <c r="F187" i="26"/>
  <c r="F188" i="26"/>
  <c r="F189" i="26"/>
  <c r="F190" i="26"/>
  <c r="F191" i="26"/>
  <c r="F192" i="26"/>
  <c r="F178" i="26"/>
  <c r="D178" i="26"/>
  <c r="D179" i="26"/>
  <c r="D180" i="26"/>
  <c r="D181" i="26"/>
  <c r="D182" i="26"/>
  <c r="D183" i="26"/>
  <c r="D184" i="26"/>
  <c r="D185" i="26"/>
  <c r="D186" i="26"/>
  <c r="D187" i="26"/>
  <c r="D188" i="26"/>
  <c r="D189" i="26"/>
  <c r="D190" i="26"/>
  <c r="D191" i="26"/>
  <c r="D192" i="26"/>
  <c r="E179" i="26"/>
  <c r="E180" i="26"/>
  <c r="E181" i="26"/>
  <c r="E182" i="26"/>
  <c r="E183" i="26"/>
  <c r="E184" i="26"/>
  <c r="E185" i="26"/>
  <c r="E186" i="26"/>
  <c r="E187" i="26"/>
  <c r="E188" i="26"/>
  <c r="E189" i="26"/>
  <c r="E190" i="26"/>
  <c r="E191" i="26"/>
  <c r="E192" i="26"/>
  <c r="E178" i="26"/>
  <c r="G178" i="26"/>
  <c r="G179" i="26" l="1"/>
  <c r="G180" i="26"/>
  <c r="G181" i="26"/>
  <c r="G182" i="26"/>
  <c r="G183" i="26"/>
  <c r="G184" i="26"/>
  <c r="G185" i="26"/>
  <c r="G186" i="26"/>
  <c r="G187" i="26"/>
  <c r="G188" i="26"/>
  <c r="G189" i="26"/>
  <c r="G190" i="26"/>
  <c r="G191" i="26"/>
  <c r="G192" i="26"/>
  <c r="V73" i="33" l="1"/>
  <c r="BP73" i="33"/>
  <c r="BG73" i="33"/>
  <c r="AY73" i="33"/>
  <c r="AQ73" i="33"/>
  <c r="AI73" i="33"/>
  <c r="AE73" i="33"/>
  <c r="BW73" i="33"/>
  <c r="BJ73" i="33"/>
  <c r="BB73" i="33"/>
  <c r="AX73" i="33"/>
  <c r="AP73" i="33"/>
  <c r="AH73" i="33"/>
  <c r="AD73" i="33"/>
  <c r="BV73" i="33"/>
  <c r="BR73" i="33"/>
  <c r="BI73" i="33"/>
  <c r="BE73" i="33"/>
  <c r="BA73" i="33"/>
  <c r="AW73" i="33"/>
  <c r="AS73" i="33"/>
  <c r="AO73" i="33"/>
  <c r="AK73" i="33"/>
  <c r="AG73" i="33"/>
  <c r="AC73" i="33"/>
  <c r="BT73" i="33"/>
  <c r="BC73" i="33"/>
  <c r="AU73" i="33"/>
  <c r="AM73" i="33"/>
  <c r="AA73" i="33"/>
  <c r="BS73" i="33"/>
  <c r="BF73" i="33"/>
  <c r="AT73" i="33"/>
  <c r="AL73" i="33"/>
  <c r="BU73" i="33"/>
  <c r="BQ73" i="33"/>
  <c r="BH73" i="33"/>
  <c r="BD73" i="33"/>
  <c r="AZ73" i="33"/>
  <c r="AV73" i="33"/>
  <c r="AR73" i="33"/>
  <c r="AN73" i="33"/>
  <c r="AJ73" i="33"/>
  <c r="AF73" i="33"/>
  <c r="AB73" i="33"/>
  <c r="D6" i="30"/>
  <c r="E893" i="9" l="1"/>
  <c r="D893" i="9"/>
  <c r="F893" i="9"/>
  <c r="E892" i="9"/>
  <c r="D892" i="9"/>
  <c r="F892" i="9"/>
  <c r="E891" i="9"/>
  <c r="D891" i="9"/>
  <c r="F891" i="9"/>
  <c r="E890" i="9"/>
  <c r="D890" i="9"/>
  <c r="F890" i="9"/>
  <c r="E889" i="9"/>
  <c r="D889" i="9"/>
  <c r="F889" i="9"/>
  <c r="E888" i="9"/>
  <c r="D888" i="9"/>
  <c r="F888" i="9"/>
  <c r="E887" i="9"/>
  <c r="D887" i="9"/>
  <c r="F887" i="9"/>
  <c r="E886" i="9"/>
  <c r="D886" i="9"/>
  <c r="F886" i="9"/>
  <c r="E885" i="9"/>
  <c r="D885" i="9"/>
  <c r="F885" i="9"/>
  <c r="E884" i="9"/>
  <c r="D884" i="9"/>
  <c r="F884" i="9"/>
  <c r="E883" i="9"/>
  <c r="D883" i="9"/>
  <c r="F883" i="9"/>
  <c r="E882" i="9"/>
  <c r="D882" i="9"/>
  <c r="F882" i="9"/>
  <c r="E881" i="9"/>
  <c r="D881" i="9"/>
  <c r="F881" i="9"/>
  <c r="E880" i="9"/>
  <c r="D880" i="9"/>
  <c r="F880" i="9"/>
  <c r="E879" i="9"/>
  <c r="D879" i="9"/>
  <c r="F879" i="9"/>
  <c r="E878" i="9"/>
  <c r="D878" i="9"/>
  <c r="F878" i="9"/>
  <c r="E877" i="9"/>
  <c r="D877" i="9"/>
  <c r="F877" i="9"/>
  <c r="E876" i="9"/>
  <c r="D876" i="9"/>
  <c r="F876" i="9"/>
  <c r="E875" i="9"/>
  <c r="D875" i="9"/>
  <c r="F875" i="9"/>
  <c r="E874" i="9"/>
  <c r="D874" i="9"/>
  <c r="F874" i="9"/>
  <c r="E870" i="9"/>
  <c r="D870" i="9"/>
  <c r="F870" i="9"/>
  <c r="E869" i="9"/>
  <c r="D869" i="9"/>
  <c r="F869" i="9"/>
  <c r="E868" i="9"/>
  <c r="D868" i="9"/>
  <c r="F868" i="9"/>
  <c r="E867" i="9"/>
  <c r="D867" i="9"/>
  <c r="F867" i="9"/>
  <c r="E866" i="9"/>
  <c r="D866" i="9"/>
  <c r="F866" i="9"/>
  <c r="E865" i="9"/>
  <c r="D865" i="9"/>
  <c r="F865" i="9"/>
  <c r="E864" i="9"/>
  <c r="D864" i="9"/>
  <c r="F864" i="9"/>
  <c r="E863" i="9"/>
  <c r="D863" i="9"/>
  <c r="F863" i="9"/>
  <c r="E862" i="9"/>
  <c r="D862" i="9"/>
  <c r="F862" i="9"/>
  <c r="E861" i="9"/>
  <c r="D861" i="9"/>
  <c r="F861" i="9"/>
  <c r="E860" i="9"/>
  <c r="D860" i="9"/>
  <c r="F860" i="9"/>
  <c r="E859" i="9"/>
  <c r="D859" i="9"/>
  <c r="F859" i="9"/>
  <c r="E858" i="9"/>
  <c r="D858" i="9"/>
  <c r="F858" i="9"/>
  <c r="E857" i="9"/>
  <c r="D857" i="9"/>
  <c r="F857" i="9"/>
  <c r="E856" i="9"/>
  <c r="D856" i="9"/>
  <c r="F856" i="9"/>
  <c r="E855" i="9"/>
  <c r="D855" i="9"/>
  <c r="F855" i="9"/>
  <c r="E854" i="9"/>
  <c r="D854" i="9"/>
  <c r="F854" i="9"/>
  <c r="E853" i="9"/>
  <c r="D853" i="9"/>
  <c r="F853" i="9"/>
  <c r="E852" i="9"/>
  <c r="D852" i="9"/>
  <c r="F852" i="9"/>
  <c r="E851" i="9"/>
  <c r="D851" i="9"/>
  <c r="F851" i="9"/>
  <c r="E847" i="9"/>
  <c r="D847" i="9"/>
  <c r="F847" i="9"/>
  <c r="E846" i="9"/>
  <c r="D846" i="9"/>
  <c r="F846" i="9"/>
  <c r="E845" i="9"/>
  <c r="D845" i="9"/>
  <c r="F845" i="9"/>
  <c r="E844" i="9"/>
  <c r="D844" i="9"/>
  <c r="F844" i="9"/>
  <c r="E843" i="9"/>
  <c r="D843" i="9"/>
  <c r="F843" i="9"/>
  <c r="E842" i="9"/>
  <c r="D842" i="9"/>
  <c r="F842" i="9"/>
  <c r="E841" i="9"/>
  <c r="D841" i="9"/>
  <c r="F841" i="9"/>
  <c r="E840" i="9"/>
  <c r="D840" i="9"/>
  <c r="F840" i="9"/>
  <c r="E839" i="9"/>
  <c r="D839" i="9"/>
  <c r="F839" i="9"/>
  <c r="E838" i="9"/>
  <c r="D838" i="9"/>
  <c r="F838" i="9"/>
  <c r="E837" i="9"/>
  <c r="D837" i="9"/>
  <c r="F837" i="9"/>
  <c r="E836" i="9"/>
  <c r="D836" i="9"/>
  <c r="F836" i="9"/>
  <c r="E835" i="9"/>
  <c r="D835" i="9"/>
  <c r="F835" i="9"/>
  <c r="E834" i="9"/>
  <c r="D834" i="9"/>
  <c r="F834" i="9"/>
  <c r="E833" i="9"/>
  <c r="D833" i="9"/>
  <c r="F833" i="9"/>
  <c r="E832" i="9"/>
  <c r="D832" i="9"/>
  <c r="F832" i="9"/>
  <c r="E831" i="9"/>
  <c r="D831" i="9"/>
  <c r="F831" i="9"/>
  <c r="E830" i="9"/>
  <c r="D830" i="9"/>
  <c r="F830" i="9"/>
  <c r="E829" i="9"/>
  <c r="D829" i="9"/>
  <c r="F829" i="9"/>
  <c r="E828" i="9"/>
  <c r="D828" i="9"/>
  <c r="F828" i="9"/>
  <c r="F820" i="9"/>
  <c r="E820" i="9"/>
  <c r="D820" i="9"/>
  <c r="F819" i="9"/>
  <c r="E819" i="9"/>
  <c r="D819" i="9"/>
  <c r="F818" i="9"/>
  <c r="E818" i="9"/>
  <c r="D818" i="9"/>
  <c r="F817" i="9"/>
  <c r="E817" i="9"/>
  <c r="D817" i="9"/>
  <c r="F816" i="9"/>
  <c r="E816" i="9"/>
  <c r="D816" i="9"/>
  <c r="F815" i="9"/>
  <c r="E815" i="9"/>
  <c r="D815" i="9"/>
  <c r="F814" i="9"/>
  <c r="E814" i="9"/>
  <c r="D814" i="9"/>
  <c r="F813" i="9"/>
  <c r="E813" i="9"/>
  <c r="D813" i="9"/>
  <c r="F812" i="9"/>
  <c r="E812" i="9"/>
  <c r="D812" i="9"/>
  <c r="F811" i="9"/>
  <c r="E811" i="9"/>
  <c r="D811" i="9"/>
  <c r="F810" i="9"/>
  <c r="E810" i="9"/>
  <c r="D810" i="9"/>
  <c r="F809" i="9"/>
  <c r="E809" i="9"/>
  <c r="D809" i="9"/>
  <c r="F808" i="9"/>
  <c r="E808" i="9"/>
  <c r="D808" i="9"/>
  <c r="F807" i="9"/>
  <c r="E807" i="9"/>
  <c r="D807" i="9"/>
  <c r="F806" i="9"/>
  <c r="E806" i="9"/>
  <c r="D806" i="9"/>
  <c r="F805" i="9"/>
  <c r="E805" i="9"/>
  <c r="D805" i="9"/>
  <c r="F804" i="9"/>
  <c r="E804" i="9"/>
  <c r="D804" i="9"/>
  <c r="F803" i="9"/>
  <c r="E803" i="9"/>
  <c r="D803" i="9"/>
  <c r="F802" i="9"/>
  <c r="E802" i="9"/>
  <c r="D802" i="9"/>
  <c r="F801" i="9"/>
  <c r="E801" i="9"/>
  <c r="D801" i="9"/>
  <c r="E800" i="9"/>
  <c r="D800" i="9"/>
  <c r="G797" i="9"/>
  <c r="E797" i="9"/>
  <c r="D797" i="9"/>
  <c r="G796" i="9"/>
  <c r="E796" i="9"/>
  <c r="D796" i="9"/>
  <c r="G795" i="9"/>
  <c r="E795" i="9"/>
  <c r="D795" i="9"/>
  <c r="G794" i="9"/>
  <c r="E794" i="9"/>
  <c r="D794" i="9"/>
  <c r="G793" i="9"/>
  <c r="E793" i="9"/>
  <c r="D793" i="9"/>
  <c r="G792" i="9"/>
  <c r="E792" i="9"/>
  <c r="D792" i="9"/>
  <c r="G791" i="9"/>
  <c r="E791" i="9"/>
  <c r="D791" i="9"/>
  <c r="G790" i="9"/>
  <c r="E790" i="9"/>
  <c r="D790" i="9"/>
  <c r="G789" i="9"/>
  <c r="E789" i="9"/>
  <c r="D789" i="9"/>
  <c r="G788" i="9"/>
  <c r="E788" i="9"/>
  <c r="D788" i="9"/>
  <c r="G787" i="9"/>
  <c r="E787" i="9"/>
  <c r="D787" i="9"/>
  <c r="G786" i="9"/>
  <c r="E786" i="9"/>
  <c r="D786" i="9"/>
  <c r="G785" i="9"/>
  <c r="E785" i="9"/>
  <c r="D785" i="9"/>
  <c r="G784" i="9"/>
  <c r="E784" i="9"/>
  <c r="D784" i="9"/>
  <c r="G783" i="9"/>
  <c r="E783" i="9"/>
  <c r="D783" i="9"/>
  <c r="G782" i="9"/>
  <c r="E782" i="9"/>
  <c r="D782" i="9"/>
  <c r="G781" i="9"/>
  <c r="E781" i="9"/>
  <c r="D781" i="9"/>
  <c r="G780" i="9"/>
  <c r="E780" i="9"/>
  <c r="D780" i="9"/>
  <c r="G779" i="9"/>
  <c r="E779" i="9"/>
  <c r="D779" i="9"/>
  <c r="G778" i="9"/>
  <c r="E778" i="9"/>
  <c r="D778" i="9"/>
  <c r="E777" i="9"/>
  <c r="D777" i="9"/>
  <c r="E774" i="9"/>
  <c r="D774" i="9"/>
  <c r="E773" i="9"/>
  <c r="D773" i="9"/>
  <c r="E772" i="9"/>
  <c r="D772" i="9"/>
  <c r="E771" i="9"/>
  <c r="D771" i="9"/>
  <c r="E770" i="9"/>
  <c r="D770" i="9"/>
  <c r="E769" i="9"/>
  <c r="D769" i="9"/>
  <c r="E768" i="9"/>
  <c r="D768" i="9"/>
  <c r="E767" i="9"/>
  <c r="D767" i="9"/>
  <c r="E766" i="9"/>
  <c r="D766" i="9"/>
  <c r="E765" i="9"/>
  <c r="D765" i="9"/>
  <c r="E764" i="9"/>
  <c r="D764" i="9"/>
  <c r="E763" i="9"/>
  <c r="D763" i="9"/>
  <c r="E762" i="9"/>
  <c r="D762" i="9"/>
  <c r="E761" i="9"/>
  <c r="D761" i="9"/>
  <c r="E760" i="9"/>
  <c r="D760" i="9"/>
  <c r="E759" i="9"/>
  <c r="D759" i="9"/>
  <c r="E758" i="9"/>
  <c r="D758" i="9"/>
  <c r="E757" i="9"/>
  <c r="D757" i="9"/>
  <c r="E756" i="9"/>
  <c r="D756" i="9"/>
  <c r="E755" i="9"/>
  <c r="D755" i="9"/>
  <c r="E754" i="9"/>
  <c r="D754" i="9"/>
  <c r="E751" i="9"/>
  <c r="D751" i="9"/>
  <c r="E750" i="9"/>
  <c r="D750" i="9"/>
  <c r="E749" i="9"/>
  <c r="D749" i="9"/>
  <c r="E748" i="9"/>
  <c r="D748" i="9"/>
  <c r="E747" i="9"/>
  <c r="D747" i="9"/>
  <c r="E746" i="9"/>
  <c r="D746" i="9"/>
  <c r="E745" i="9"/>
  <c r="D745" i="9"/>
  <c r="E744" i="9"/>
  <c r="D744" i="9"/>
  <c r="E743" i="9"/>
  <c r="D743" i="9"/>
  <c r="E742" i="9"/>
  <c r="D742" i="9"/>
  <c r="E741" i="9"/>
  <c r="D741" i="9"/>
  <c r="E740" i="9"/>
  <c r="D740" i="9"/>
  <c r="E739" i="9"/>
  <c r="D739" i="9"/>
  <c r="E738" i="9"/>
  <c r="D738" i="9"/>
  <c r="E737" i="9"/>
  <c r="D737" i="9"/>
  <c r="E736" i="9"/>
  <c r="D736" i="9"/>
  <c r="E735" i="9"/>
  <c r="D735" i="9"/>
  <c r="E734" i="9"/>
  <c r="D734" i="9"/>
  <c r="E733" i="9"/>
  <c r="D733" i="9"/>
  <c r="E732" i="9"/>
  <c r="D732" i="9"/>
  <c r="E731" i="9"/>
  <c r="D731" i="9"/>
  <c r="F728" i="9"/>
  <c r="E728" i="9"/>
  <c r="D728" i="9"/>
  <c r="F727" i="9"/>
  <c r="E727" i="9"/>
  <c r="D727" i="9"/>
  <c r="F726" i="9"/>
  <c r="E726" i="9"/>
  <c r="D726" i="9"/>
  <c r="F725" i="9"/>
  <c r="E725" i="9"/>
  <c r="D725" i="9"/>
  <c r="F724" i="9"/>
  <c r="E724" i="9"/>
  <c r="D724" i="9"/>
  <c r="F723" i="9"/>
  <c r="E723" i="9"/>
  <c r="D723" i="9"/>
  <c r="F722" i="9"/>
  <c r="E722" i="9"/>
  <c r="D722" i="9"/>
  <c r="F721" i="9"/>
  <c r="E721" i="9"/>
  <c r="D721" i="9"/>
  <c r="F720" i="9"/>
  <c r="E720" i="9"/>
  <c r="D720" i="9"/>
  <c r="F719" i="9"/>
  <c r="E719" i="9"/>
  <c r="D719" i="9"/>
  <c r="F718" i="9"/>
  <c r="E718" i="9"/>
  <c r="D718" i="9"/>
  <c r="F717" i="9"/>
  <c r="E717" i="9"/>
  <c r="D717" i="9"/>
  <c r="F716" i="9"/>
  <c r="E716" i="9"/>
  <c r="D716" i="9"/>
  <c r="F715" i="9"/>
  <c r="E715" i="9"/>
  <c r="D715" i="9"/>
  <c r="F714" i="9"/>
  <c r="E714" i="9"/>
  <c r="D714" i="9"/>
  <c r="F713" i="9"/>
  <c r="E713" i="9"/>
  <c r="D713" i="9"/>
  <c r="F712" i="9"/>
  <c r="E712" i="9"/>
  <c r="D712" i="9"/>
  <c r="F711" i="9"/>
  <c r="E711" i="9"/>
  <c r="D711" i="9"/>
  <c r="F710" i="9"/>
  <c r="E710" i="9"/>
  <c r="D710" i="9"/>
  <c r="F709" i="9"/>
  <c r="E709" i="9"/>
  <c r="D709" i="9"/>
  <c r="E708" i="9"/>
  <c r="D708" i="9"/>
  <c r="CK705" i="9"/>
  <c r="A705" i="9" s="1" a="1"/>
  <c r="A705" i="9" s="1"/>
  <c r="F705" i="9"/>
  <c r="D705" i="9"/>
  <c r="CK704" i="9"/>
  <c r="A704" i="9" s="1" a="1"/>
  <c r="A704" i="9" s="1"/>
  <c r="F704" i="9"/>
  <c r="D704" i="9"/>
  <c r="CK703" i="9"/>
  <c r="A703" i="9" s="1" a="1"/>
  <c r="A703" i="9" s="1"/>
  <c r="F703" i="9"/>
  <c r="D703" i="9"/>
  <c r="CK702" i="9"/>
  <c r="A702" i="9" s="1" a="1"/>
  <c r="A702" i="9" s="1"/>
  <c r="F702" i="9"/>
  <c r="D702" i="9"/>
  <c r="CK701" i="9"/>
  <c r="A701" i="9" s="1" a="1"/>
  <c r="A701" i="9" s="1"/>
  <c r="F701" i="9"/>
  <c r="D701" i="9"/>
  <c r="CK700" i="9"/>
  <c r="A700" i="9" s="1" a="1"/>
  <c r="A700" i="9" s="1"/>
  <c r="F700" i="9"/>
  <c r="D700" i="9"/>
  <c r="CK699" i="9"/>
  <c r="A699" i="9" s="1" a="1"/>
  <c r="A699" i="9" s="1"/>
  <c r="F699" i="9"/>
  <c r="D699" i="9"/>
  <c r="CK698" i="9"/>
  <c r="A698" i="9" s="1" a="1"/>
  <c r="A698" i="9" s="1"/>
  <c r="F698" i="9"/>
  <c r="D698" i="9"/>
  <c r="CK697" i="9"/>
  <c r="A697" i="9" s="1" a="1"/>
  <c r="A697" i="9" s="1"/>
  <c r="F697" i="9"/>
  <c r="D697" i="9"/>
  <c r="CK696" i="9"/>
  <c r="A696" i="9" s="1" a="1"/>
  <c r="A696" i="9" s="1"/>
  <c r="F696" i="9"/>
  <c r="D696" i="9"/>
  <c r="CK695" i="9"/>
  <c r="A695" i="9" s="1" a="1"/>
  <c r="A695" i="9" s="1"/>
  <c r="F695" i="9"/>
  <c r="D695" i="9"/>
  <c r="CK694" i="9"/>
  <c r="A694" i="9" s="1" a="1"/>
  <c r="A694" i="9" s="1"/>
  <c r="F694" i="9"/>
  <c r="D694" i="9"/>
  <c r="CK693" i="9"/>
  <c r="A693" i="9" s="1" a="1"/>
  <c r="A693" i="9" s="1"/>
  <c r="F693" i="9"/>
  <c r="D693" i="9"/>
  <c r="CK692" i="9"/>
  <c r="A692" i="9" s="1" a="1"/>
  <c r="A692" i="9" s="1"/>
  <c r="F692" i="9"/>
  <c r="D692" i="9"/>
  <c r="CK691" i="9"/>
  <c r="A691" i="9" s="1" a="1"/>
  <c r="A691" i="9" s="1"/>
  <c r="F691" i="9"/>
  <c r="D691" i="9"/>
  <c r="CK690" i="9"/>
  <c r="A690" i="9" s="1" a="1"/>
  <c r="A690" i="9" s="1"/>
  <c r="F690" i="9"/>
  <c r="D690" i="9"/>
  <c r="CK689" i="9"/>
  <c r="A689" i="9" s="1" a="1"/>
  <c r="A689" i="9" s="1"/>
  <c r="F689" i="9"/>
  <c r="D689" i="9"/>
  <c r="CK688" i="9"/>
  <c r="A688" i="9" s="1" a="1"/>
  <c r="A688" i="9" s="1"/>
  <c r="F688" i="9"/>
  <c r="D688" i="9"/>
  <c r="CK687" i="9"/>
  <c r="A687" i="9" s="1" a="1"/>
  <c r="A687" i="9" s="1"/>
  <c r="F687" i="9"/>
  <c r="D687" i="9"/>
  <c r="CK686" i="9"/>
  <c r="F686" i="9"/>
  <c r="D686" i="9"/>
  <c r="D685" i="9"/>
  <c r="G659" i="9"/>
  <c r="E659" i="9"/>
  <c r="D659" i="9"/>
  <c r="G658" i="9"/>
  <c r="E658" i="9"/>
  <c r="D658" i="9"/>
  <c r="G657" i="9"/>
  <c r="E657" i="9"/>
  <c r="D657" i="9"/>
  <c r="G656" i="9"/>
  <c r="E656" i="9"/>
  <c r="D656" i="9"/>
  <c r="G655" i="9"/>
  <c r="E655" i="9"/>
  <c r="D655" i="9"/>
  <c r="G654" i="9"/>
  <c r="E654" i="9"/>
  <c r="D654" i="9"/>
  <c r="G653" i="9"/>
  <c r="E653" i="9"/>
  <c r="D653" i="9"/>
  <c r="G652" i="9"/>
  <c r="E652" i="9"/>
  <c r="D652" i="9"/>
  <c r="G651" i="9"/>
  <c r="E651" i="9"/>
  <c r="D651" i="9"/>
  <c r="G650" i="9"/>
  <c r="E650" i="9"/>
  <c r="D650" i="9"/>
  <c r="G649" i="9"/>
  <c r="E649" i="9"/>
  <c r="D649" i="9"/>
  <c r="G648" i="9"/>
  <c r="E648" i="9"/>
  <c r="D648" i="9"/>
  <c r="G647" i="9"/>
  <c r="E647" i="9"/>
  <c r="D647" i="9"/>
  <c r="G646" i="9"/>
  <c r="E646" i="9"/>
  <c r="D646" i="9"/>
  <c r="G645" i="9"/>
  <c r="E645" i="9"/>
  <c r="D645" i="9"/>
  <c r="G644" i="9"/>
  <c r="E644" i="9"/>
  <c r="D644" i="9"/>
  <c r="G643" i="9"/>
  <c r="E643" i="9"/>
  <c r="D643" i="9"/>
  <c r="G642" i="9"/>
  <c r="E642" i="9"/>
  <c r="D642" i="9"/>
  <c r="G641" i="9"/>
  <c r="E641" i="9"/>
  <c r="D641" i="9"/>
  <c r="G640" i="9"/>
  <c r="E640" i="9"/>
  <c r="D640" i="9"/>
  <c r="E639" i="9"/>
  <c r="D639" i="9"/>
  <c r="E611" i="9"/>
  <c r="D611" i="9"/>
  <c r="E610" i="9"/>
  <c r="D610" i="9"/>
  <c r="E609" i="9"/>
  <c r="D609" i="9"/>
  <c r="E608" i="9"/>
  <c r="D608" i="9"/>
  <c r="E607" i="9"/>
  <c r="D607" i="9"/>
  <c r="E606" i="9"/>
  <c r="D606" i="9"/>
  <c r="E605" i="9"/>
  <c r="D605" i="9"/>
  <c r="E604" i="9"/>
  <c r="D604" i="9"/>
  <c r="E603" i="9"/>
  <c r="D603" i="9"/>
  <c r="E602" i="9"/>
  <c r="D602" i="9"/>
  <c r="E601" i="9"/>
  <c r="D601" i="9"/>
  <c r="E600" i="9"/>
  <c r="D600" i="9"/>
  <c r="E599" i="9"/>
  <c r="D599" i="9"/>
  <c r="E598" i="9"/>
  <c r="D598" i="9"/>
  <c r="E597" i="9"/>
  <c r="D597" i="9"/>
  <c r="E596" i="9"/>
  <c r="D596" i="9"/>
  <c r="E595" i="9"/>
  <c r="D595" i="9"/>
  <c r="E594" i="9"/>
  <c r="D594" i="9"/>
  <c r="E593" i="9"/>
  <c r="D593" i="9"/>
  <c r="E592" i="9"/>
  <c r="D592" i="9"/>
  <c r="E591" i="9"/>
  <c r="D591" i="9"/>
  <c r="D590" i="9"/>
  <c r="BW588" i="9"/>
  <c r="BW870" i="9" s="1"/>
  <c r="BV588" i="9"/>
  <c r="BV870" i="9" s="1"/>
  <c r="BU588" i="9"/>
  <c r="BU870" i="9" s="1"/>
  <c r="BT588" i="9"/>
  <c r="BT870" i="9" s="1"/>
  <c r="BS588" i="9"/>
  <c r="BS870" i="9" s="1"/>
  <c r="BR588" i="9"/>
  <c r="BR870" i="9" s="1"/>
  <c r="BQ588" i="9"/>
  <c r="BQ870" i="9" s="1"/>
  <c r="BP588" i="9"/>
  <c r="BP870" i="9" s="1"/>
  <c r="BJ588" i="9"/>
  <c r="BI588" i="9"/>
  <c r="BH588" i="9"/>
  <c r="BG588" i="9"/>
  <c r="BF588" i="9"/>
  <c r="BE588" i="9"/>
  <c r="BD588" i="9"/>
  <c r="BC588" i="9"/>
  <c r="BB588" i="9"/>
  <c r="BA588" i="9"/>
  <c r="AZ588" i="9"/>
  <c r="AY588" i="9"/>
  <c r="AX588" i="9"/>
  <c r="AW588" i="9"/>
  <c r="AV588" i="9"/>
  <c r="AU588" i="9"/>
  <c r="AT588" i="9"/>
  <c r="AS588" i="9"/>
  <c r="AR588" i="9"/>
  <c r="AQ588" i="9"/>
  <c r="AP588" i="9"/>
  <c r="AO588" i="9"/>
  <c r="AN588" i="9"/>
  <c r="AM588" i="9"/>
  <c r="AL588" i="9"/>
  <c r="AK588" i="9"/>
  <c r="AJ588" i="9"/>
  <c r="AI588" i="9"/>
  <c r="AH588" i="9"/>
  <c r="AG588" i="9"/>
  <c r="AF588" i="9"/>
  <c r="AE588" i="9"/>
  <c r="AD588" i="9"/>
  <c r="AC588" i="9"/>
  <c r="AB588" i="9"/>
  <c r="AA588" i="9"/>
  <c r="V588" i="9"/>
  <c r="V774" i="9" s="1"/>
  <c r="E588" i="9"/>
  <c r="D588" i="9"/>
  <c r="BW587" i="9"/>
  <c r="BW869" i="9" s="1"/>
  <c r="BV587" i="9"/>
  <c r="BV869" i="9" s="1"/>
  <c r="BU587" i="9"/>
  <c r="BU869" i="9" s="1"/>
  <c r="BT587" i="9"/>
  <c r="BT869" i="9" s="1"/>
  <c r="BS587" i="9"/>
  <c r="BS869" i="9" s="1"/>
  <c r="BR587" i="9"/>
  <c r="BR869" i="9" s="1"/>
  <c r="BQ587" i="9"/>
  <c r="BQ869" i="9" s="1"/>
  <c r="BP587" i="9"/>
  <c r="BP869" i="9" s="1"/>
  <c r="BJ587" i="9"/>
  <c r="BI587" i="9"/>
  <c r="BH587" i="9"/>
  <c r="BG587" i="9"/>
  <c r="BF587" i="9"/>
  <c r="BE587" i="9"/>
  <c r="BD587" i="9"/>
  <c r="BC587" i="9"/>
  <c r="BB587" i="9"/>
  <c r="BA587" i="9"/>
  <c r="AZ587" i="9"/>
  <c r="AY587" i="9"/>
  <c r="AX587" i="9"/>
  <c r="AW587" i="9"/>
  <c r="AV587" i="9"/>
  <c r="AU587" i="9"/>
  <c r="AT587" i="9"/>
  <c r="AS587" i="9"/>
  <c r="AR587" i="9"/>
  <c r="AQ587" i="9"/>
  <c r="AP587" i="9"/>
  <c r="AO587" i="9"/>
  <c r="AN587" i="9"/>
  <c r="AM587" i="9"/>
  <c r="AL587" i="9"/>
  <c r="AK587" i="9"/>
  <c r="AJ587" i="9"/>
  <c r="AI587" i="9"/>
  <c r="AH587" i="9"/>
  <c r="AG587" i="9"/>
  <c r="AF587" i="9"/>
  <c r="AE587" i="9"/>
  <c r="AD587" i="9"/>
  <c r="AC587" i="9"/>
  <c r="AB587" i="9"/>
  <c r="AA587" i="9"/>
  <c r="V587" i="9"/>
  <c r="V773" i="9" s="1"/>
  <c r="E587" i="9"/>
  <c r="D587" i="9"/>
  <c r="BW586" i="9"/>
  <c r="BW868" i="9" s="1"/>
  <c r="BV586" i="9"/>
  <c r="BV868" i="9" s="1"/>
  <c r="BU586" i="9"/>
  <c r="BU868" i="9" s="1"/>
  <c r="BT586" i="9"/>
  <c r="BT868" i="9" s="1"/>
  <c r="BS586" i="9"/>
  <c r="BS868" i="9" s="1"/>
  <c r="BR586" i="9"/>
  <c r="BR868" i="9" s="1"/>
  <c r="BQ586" i="9"/>
  <c r="BQ868" i="9" s="1"/>
  <c r="BP586" i="9"/>
  <c r="BP868" i="9" s="1"/>
  <c r="BJ586" i="9"/>
  <c r="BI586" i="9"/>
  <c r="BH586" i="9"/>
  <c r="BG586" i="9"/>
  <c r="BF586" i="9"/>
  <c r="BE586" i="9"/>
  <c r="BD586" i="9"/>
  <c r="BC586" i="9"/>
  <c r="BB586" i="9"/>
  <c r="BA586" i="9"/>
  <c r="AZ586" i="9"/>
  <c r="AY586" i="9"/>
  <c r="AX586" i="9"/>
  <c r="AW586" i="9"/>
  <c r="AV586" i="9"/>
  <c r="AU586" i="9"/>
  <c r="AT586" i="9"/>
  <c r="AS586" i="9"/>
  <c r="AR586" i="9"/>
  <c r="AQ586" i="9"/>
  <c r="AP586" i="9"/>
  <c r="AO586" i="9"/>
  <c r="AN586" i="9"/>
  <c r="AM586" i="9"/>
  <c r="AL586" i="9"/>
  <c r="AK586" i="9"/>
  <c r="AJ586" i="9"/>
  <c r="AI586" i="9"/>
  <c r="AH586" i="9"/>
  <c r="AG586" i="9"/>
  <c r="AF586" i="9"/>
  <c r="AE586" i="9"/>
  <c r="AD586" i="9"/>
  <c r="AC586" i="9"/>
  <c r="AB586" i="9"/>
  <c r="AA586" i="9"/>
  <c r="V586" i="9"/>
  <c r="V772" i="9" s="1"/>
  <c r="E586" i="9"/>
  <c r="D586" i="9"/>
  <c r="BW585" i="9"/>
  <c r="BW867" i="9" s="1"/>
  <c r="BV585" i="9"/>
  <c r="BV867" i="9" s="1"/>
  <c r="BU585" i="9"/>
  <c r="BU867" i="9" s="1"/>
  <c r="BT585" i="9"/>
  <c r="BT867" i="9" s="1"/>
  <c r="BS585" i="9"/>
  <c r="BS867" i="9" s="1"/>
  <c r="BR585" i="9"/>
  <c r="BR867" i="9" s="1"/>
  <c r="BQ585" i="9"/>
  <c r="BQ867" i="9" s="1"/>
  <c r="BP585" i="9"/>
  <c r="BP867" i="9" s="1"/>
  <c r="BJ585" i="9"/>
  <c r="BI585" i="9"/>
  <c r="BH585" i="9"/>
  <c r="BG585" i="9"/>
  <c r="BF585" i="9"/>
  <c r="BE585" i="9"/>
  <c r="BD585" i="9"/>
  <c r="BC585" i="9"/>
  <c r="BB585" i="9"/>
  <c r="BA585" i="9"/>
  <c r="AZ585" i="9"/>
  <c r="AY585" i="9"/>
  <c r="AX585" i="9"/>
  <c r="AW585" i="9"/>
  <c r="AV585" i="9"/>
  <c r="AU585" i="9"/>
  <c r="AT585" i="9"/>
  <c r="AS585" i="9"/>
  <c r="AR585" i="9"/>
  <c r="AQ585" i="9"/>
  <c r="AP585" i="9"/>
  <c r="AO585" i="9"/>
  <c r="AN585" i="9"/>
  <c r="AM585" i="9"/>
  <c r="AL585" i="9"/>
  <c r="AK585" i="9"/>
  <c r="AJ585" i="9"/>
  <c r="AI585" i="9"/>
  <c r="AH585" i="9"/>
  <c r="AG585" i="9"/>
  <c r="AF585" i="9"/>
  <c r="AE585" i="9"/>
  <c r="AD585" i="9"/>
  <c r="AC585" i="9"/>
  <c r="AB585" i="9"/>
  <c r="AA585" i="9"/>
  <c r="V585" i="9"/>
  <c r="V771" i="9" s="1"/>
  <c r="E585" i="9"/>
  <c r="D585" i="9"/>
  <c r="BW584" i="9"/>
  <c r="BW866" i="9" s="1"/>
  <c r="BV584" i="9"/>
  <c r="BV866" i="9" s="1"/>
  <c r="BU584" i="9"/>
  <c r="BU866" i="9" s="1"/>
  <c r="BT584" i="9"/>
  <c r="BT866" i="9" s="1"/>
  <c r="BS584" i="9"/>
  <c r="BS866" i="9" s="1"/>
  <c r="BR584" i="9"/>
  <c r="BR866" i="9" s="1"/>
  <c r="BQ584" i="9"/>
  <c r="BQ866" i="9" s="1"/>
  <c r="BP584" i="9"/>
  <c r="BP866" i="9" s="1"/>
  <c r="BJ584" i="9"/>
  <c r="BI584" i="9"/>
  <c r="BH584" i="9"/>
  <c r="BG584" i="9"/>
  <c r="BF584" i="9"/>
  <c r="BE584" i="9"/>
  <c r="BD584" i="9"/>
  <c r="BC584" i="9"/>
  <c r="BB584" i="9"/>
  <c r="BA584" i="9"/>
  <c r="AZ584" i="9"/>
  <c r="AY584" i="9"/>
  <c r="AX584" i="9"/>
  <c r="AW584" i="9"/>
  <c r="AV584" i="9"/>
  <c r="AU584" i="9"/>
  <c r="AT584" i="9"/>
  <c r="AS584" i="9"/>
  <c r="AR584" i="9"/>
  <c r="AQ584" i="9"/>
  <c r="AP584" i="9"/>
  <c r="AO584" i="9"/>
  <c r="AN584" i="9"/>
  <c r="AM584" i="9"/>
  <c r="AL584" i="9"/>
  <c r="AK584" i="9"/>
  <c r="AJ584" i="9"/>
  <c r="AI584" i="9"/>
  <c r="AH584" i="9"/>
  <c r="AG584" i="9"/>
  <c r="AF584" i="9"/>
  <c r="AE584" i="9"/>
  <c r="AD584" i="9"/>
  <c r="AC584" i="9"/>
  <c r="AB584" i="9"/>
  <c r="AA584" i="9"/>
  <c r="V584" i="9"/>
  <c r="V770" i="9" s="1"/>
  <c r="E584" i="9"/>
  <c r="D584" i="9"/>
  <c r="BW583" i="9"/>
  <c r="BW865" i="9" s="1"/>
  <c r="BV583" i="9"/>
  <c r="BV865" i="9" s="1"/>
  <c r="BU583" i="9"/>
  <c r="BU865" i="9" s="1"/>
  <c r="BT583" i="9"/>
  <c r="BT865" i="9" s="1"/>
  <c r="BS583" i="9"/>
  <c r="BS865" i="9" s="1"/>
  <c r="BR583" i="9"/>
  <c r="BR865" i="9" s="1"/>
  <c r="BQ583" i="9"/>
  <c r="BQ865" i="9" s="1"/>
  <c r="BP583" i="9"/>
  <c r="BP865" i="9" s="1"/>
  <c r="BJ583" i="9"/>
  <c r="BI583" i="9"/>
  <c r="BH583" i="9"/>
  <c r="BG583" i="9"/>
  <c r="BF583" i="9"/>
  <c r="BE583" i="9"/>
  <c r="BD583" i="9"/>
  <c r="BC583" i="9"/>
  <c r="BB583" i="9"/>
  <c r="BA583" i="9"/>
  <c r="AZ583" i="9"/>
  <c r="AY583" i="9"/>
  <c r="AX583" i="9"/>
  <c r="AW583" i="9"/>
  <c r="AV583" i="9"/>
  <c r="AU583" i="9"/>
  <c r="AT583" i="9"/>
  <c r="AS583" i="9"/>
  <c r="AR583" i="9"/>
  <c r="AQ583" i="9"/>
  <c r="AP583" i="9"/>
  <c r="AO583" i="9"/>
  <c r="AN583" i="9"/>
  <c r="AM583" i="9"/>
  <c r="AL583" i="9"/>
  <c r="AK583" i="9"/>
  <c r="AJ583" i="9"/>
  <c r="AI583" i="9"/>
  <c r="AH583" i="9"/>
  <c r="AG583" i="9"/>
  <c r="AF583" i="9"/>
  <c r="AE583" i="9"/>
  <c r="AD583" i="9"/>
  <c r="AC583" i="9"/>
  <c r="AB583" i="9"/>
  <c r="AA583" i="9"/>
  <c r="V583" i="9"/>
  <c r="V769" i="9" s="1"/>
  <c r="E583" i="9"/>
  <c r="D583" i="9"/>
  <c r="BW582" i="9"/>
  <c r="BW864" i="9" s="1"/>
  <c r="BV582" i="9"/>
  <c r="BV864" i="9" s="1"/>
  <c r="BU582" i="9"/>
  <c r="BU864" i="9" s="1"/>
  <c r="BT582" i="9"/>
  <c r="BT864" i="9" s="1"/>
  <c r="BS582" i="9"/>
  <c r="BS864" i="9" s="1"/>
  <c r="BR582" i="9"/>
  <c r="BR864" i="9" s="1"/>
  <c r="BQ582" i="9"/>
  <c r="BQ864" i="9" s="1"/>
  <c r="BP582" i="9"/>
  <c r="BP864" i="9" s="1"/>
  <c r="BJ582" i="9"/>
  <c r="BI582" i="9"/>
  <c r="BH582" i="9"/>
  <c r="BG582" i="9"/>
  <c r="BF582" i="9"/>
  <c r="BE582" i="9"/>
  <c r="BD582" i="9"/>
  <c r="BC582" i="9"/>
  <c r="BB582" i="9"/>
  <c r="BA582" i="9"/>
  <c r="AZ582" i="9"/>
  <c r="AY582" i="9"/>
  <c r="AX582" i="9"/>
  <c r="AW582" i="9"/>
  <c r="AV582" i="9"/>
  <c r="AU582" i="9"/>
  <c r="AT582" i="9"/>
  <c r="AS582" i="9"/>
  <c r="AR582" i="9"/>
  <c r="AQ582" i="9"/>
  <c r="AP582" i="9"/>
  <c r="AO582" i="9"/>
  <c r="AN582" i="9"/>
  <c r="AM582" i="9"/>
  <c r="AL582" i="9"/>
  <c r="AK582" i="9"/>
  <c r="AJ582" i="9"/>
  <c r="AI582" i="9"/>
  <c r="AH582" i="9"/>
  <c r="AG582" i="9"/>
  <c r="AF582" i="9"/>
  <c r="AE582" i="9"/>
  <c r="AD582" i="9"/>
  <c r="AC582" i="9"/>
  <c r="AB582" i="9"/>
  <c r="AA582" i="9"/>
  <c r="V582" i="9"/>
  <c r="V768" i="9" s="1"/>
  <c r="E582" i="9"/>
  <c r="D582" i="9"/>
  <c r="BW581" i="9"/>
  <c r="BW863" i="9" s="1"/>
  <c r="BV581" i="9"/>
  <c r="BV863" i="9" s="1"/>
  <c r="BU581" i="9"/>
  <c r="BU863" i="9" s="1"/>
  <c r="BT581" i="9"/>
  <c r="BT863" i="9" s="1"/>
  <c r="BS581" i="9"/>
  <c r="BS863" i="9" s="1"/>
  <c r="BR581" i="9"/>
  <c r="BR863" i="9" s="1"/>
  <c r="BQ581" i="9"/>
  <c r="BQ863" i="9" s="1"/>
  <c r="BP581" i="9"/>
  <c r="BP863" i="9" s="1"/>
  <c r="BJ581" i="9"/>
  <c r="BI581" i="9"/>
  <c r="BH581" i="9"/>
  <c r="BG581" i="9"/>
  <c r="BF581" i="9"/>
  <c r="BE581" i="9"/>
  <c r="BD581" i="9"/>
  <c r="BC581" i="9"/>
  <c r="BB581" i="9"/>
  <c r="BA581" i="9"/>
  <c r="AZ581" i="9"/>
  <c r="AY581" i="9"/>
  <c r="AX581" i="9"/>
  <c r="AW581" i="9"/>
  <c r="AV581" i="9"/>
  <c r="AU581" i="9"/>
  <c r="AT581" i="9"/>
  <c r="AS581" i="9"/>
  <c r="AR581" i="9"/>
  <c r="AQ581" i="9"/>
  <c r="AP581" i="9"/>
  <c r="AO581" i="9"/>
  <c r="AN581" i="9"/>
  <c r="AM581" i="9"/>
  <c r="AL581" i="9"/>
  <c r="AK581" i="9"/>
  <c r="AJ581" i="9"/>
  <c r="AI581" i="9"/>
  <c r="AH581" i="9"/>
  <c r="AG581" i="9"/>
  <c r="AF581" i="9"/>
  <c r="AE581" i="9"/>
  <c r="AD581" i="9"/>
  <c r="AC581" i="9"/>
  <c r="AB581" i="9"/>
  <c r="AA581" i="9"/>
  <c r="V581" i="9"/>
  <c r="V767" i="9" s="1"/>
  <c r="E581" i="9"/>
  <c r="D581" i="9"/>
  <c r="BW580" i="9"/>
  <c r="BW862" i="9" s="1"/>
  <c r="BV580" i="9"/>
  <c r="BV862" i="9" s="1"/>
  <c r="BU580" i="9"/>
  <c r="BU862" i="9" s="1"/>
  <c r="BT580" i="9"/>
  <c r="BT862" i="9" s="1"/>
  <c r="BS580" i="9"/>
  <c r="BS862" i="9" s="1"/>
  <c r="BR580" i="9"/>
  <c r="BR862" i="9" s="1"/>
  <c r="BQ580" i="9"/>
  <c r="BQ862" i="9" s="1"/>
  <c r="BP580" i="9"/>
  <c r="BP862" i="9" s="1"/>
  <c r="BJ580" i="9"/>
  <c r="BI580" i="9"/>
  <c r="BH580" i="9"/>
  <c r="BG580" i="9"/>
  <c r="BF580" i="9"/>
  <c r="BE580" i="9"/>
  <c r="BD580" i="9"/>
  <c r="BC580" i="9"/>
  <c r="BB580" i="9"/>
  <c r="BA580" i="9"/>
  <c r="AZ580" i="9"/>
  <c r="AY580" i="9"/>
  <c r="AX580" i="9"/>
  <c r="AW580" i="9"/>
  <c r="AV580" i="9"/>
  <c r="AU580" i="9"/>
  <c r="AT580" i="9"/>
  <c r="AS580" i="9"/>
  <c r="AR580" i="9"/>
  <c r="AQ580" i="9"/>
  <c r="AP580" i="9"/>
  <c r="AO580" i="9"/>
  <c r="AN580" i="9"/>
  <c r="AM580" i="9"/>
  <c r="AL580" i="9"/>
  <c r="AK580" i="9"/>
  <c r="AJ580" i="9"/>
  <c r="AI580" i="9"/>
  <c r="AH580" i="9"/>
  <c r="AG580" i="9"/>
  <c r="AF580" i="9"/>
  <c r="AE580" i="9"/>
  <c r="AD580" i="9"/>
  <c r="AC580" i="9"/>
  <c r="AB580" i="9"/>
  <c r="AA580" i="9"/>
  <c r="V580" i="9"/>
  <c r="V766" i="9" s="1"/>
  <c r="E580" i="9"/>
  <c r="D580" i="9"/>
  <c r="BW579" i="9"/>
  <c r="BW861" i="9" s="1"/>
  <c r="BV579" i="9"/>
  <c r="BV861" i="9" s="1"/>
  <c r="BU579" i="9"/>
  <c r="BU861" i="9" s="1"/>
  <c r="BT579" i="9"/>
  <c r="BT861" i="9" s="1"/>
  <c r="BS579" i="9"/>
  <c r="BS861" i="9" s="1"/>
  <c r="BR579" i="9"/>
  <c r="BR861" i="9" s="1"/>
  <c r="BQ579" i="9"/>
  <c r="BQ861" i="9" s="1"/>
  <c r="BP579" i="9"/>
  <c r="BP861" i="9" s="1"/>
  <c r="BJ579" i="9"/>
  <c r="BI579" i="9"/>
  <c r="BH579" i="9"/>
  <c r="BG579" i="9"/>
  <c r="BF579" i="9"/>
  <c r="BE579" i="9"/>
  <c r="BD579" i="9"/>
  <c r="BC579" i="9"/>
  <c r="BB579" i="9"/>
  <c r="BA579" i="9"/>
  <c r="AZ579" i="9"/>
  <c r="AY579" i="9"/>
  <c r="AX579" i="9"/>
  <c r="AW579" i="9"/>
  <c r="AV579" i="9"/>
  <c r="AU579" i="9"/>
  <c r="AT579" i="9"/>
  <c r="AS579" i="9"/>
  <c r="AR579" i="9"/>
  <c r="AQ579" i="9"/>
  <c r="AP579" i="9"/>
  <c r="AO579" i="9"/>
  <c r="AN579" i="9"/>
  <c r="AM579" i="9"/>
  <c r="AL579" i="9"/>
  <c r="AK579" i="9"/>
  <c r="AJ579" i="9"/>
  <c r="AI579" i="9"/>
  <c r="AH579" i="9"/>
  <c r="AG579" i="9"/>
  <c r="AF579" i="9"/>
  <c r="AE579" i="9"/>
  <c r="AD579" i="9"/>
  <c r="AC579" i="9"/>
  <c r="AB579" i="9"/>
  <c r="AA579" i="9"/>
  <c r="V579" i="9"/>
  <c r="V765" i="9" s="1"/>
  <c r="E579" i="9"/>
  <c r="D579" i="9"/>
  <c r="BW578" i="9"/>
  <c r="BW860" i="9" s="1"/>
  <c r="BV578" i="9"/>
  <c r="BV860" i="9" s="1"/>
  <c r="BU578" i="9"/>
  <c r="BU860" i="9" s="1"/>
  <c r="BT578" i="9"/>
  <c r="BT860" i="9" s="1"/>
  <c r="BS578" i="9"/>
  <c r="BS860" i="9" s="1"/>
  <c r="BR578" i="9"/>
  <c r="BR860" i="9" s="1"/>
  <c r="BQ578" i="9"/>
  <c r="BQ860" i="9" s="1"/>
  <c r="BP578" i="9"/>
  <c r="BP860" i="9" s="1"/>
  <c r="BJ578" i="9"/>
  <c r="BI578" i="9"/>
  <c r="BH578" i="9"/>
  <c r="BG578" i="9"/>
  <c r="BF578" i="9"/>
  <c r="BE578" i="9"/>
  <c r="BD578" i="9"/>
  <c r="BC578" i="9"/>
  <c r="BB578" i="9"/>
  <c r="BA578" i="9"/>
  <c r="AZ578" i="9"/>
  <c r="AY578" i="9"/>
  <c r="AX578" i="9"/>
  <c r="AW578" i="9"/>
  <c r="AV578" i="9"/>
  <c r="AU578" i="9"/>
  <c r="AT578" i="9"/>
  <c r="AS578" i="9"/>
  <c r="AR578" i="9"/>
  <c r="AQ578" i="9"/>
  <c r="AP578" i="9"/>
  <c r="AO578" i="9"/>
  <c r="AN578" i="9"/>
  <c r="AM578" i="9"/>
  <c r="AL578" i="9"/>
  <c r="AK578" i="9"/>
  <c r="AJ578" i="9"/>
  <c r="AI578" i="9"/>
  <c r="AH578" i="9"/>
  <c r="AG578" i="9"/>
  <c r="AF578" i="9"/>
  <c r="AE578" i="9"/>
  <c r="AD578" i="9"/>
  <c r="AC578" i="9"/>
  <c r="AB578" i="9"/>
  <c r="AA578" i="9"/>
  <c r="V578" i="9"/>
  <c r="V764" i="9" s="1"/>
  <c r="E578" i="9"/>
  <c r="D578" i="9"/>
  <c r="BW577" i="9"/>
  <c r="BW859" i="9" s="1"/>
  <c r="BV577" i="9"/>
  <c r="BV859" i="9" s="1"/>
  <c r="BU577" i="9"/>
  <c r="BU859" i="9" s="1"/>
  <c r="BT577" i="9"/>
  <c r="BT859" i="9" s="1"/>
  <c r="BS577" i="9"/>
  <c r="BS859" i="9" s="1"/>
  <c r="BR577" i="9"/>
  <c r="BR859" i="9" s="1"/>
  <c r="BQ577" i="9"/>
  <c r="BQ859" i="9" s="1"/>
  <c r="BP577" i="9"/>
  <c r="BP859" i="9" s="1"/>
  <c r="BJ577" i="9"/>
  <c r="BI577" i="9"/>
  <c r="BH577" i="9"/>
  <c r="BG577" i="9"/>
  <c r="BF577" i="9"/>
  <c r="BE577" i="9"/>
  <c r="BD577" i="9"/>
  <c r="BC577" i="9"/>
  <c r="BB577" i="9"/>
  <c r="BA577" i="9"/>
  <c r="AZ577" i="9"/>
  <c r="AY577" i="9"/>
  <c r="AX577" i="9"/>
  <c r="AW577" i="9"/>
  <c r="AV577" i="9"/>
  <c r="AU577" i="9"/>
  <c r="AT577" i="9"/>
  <c r="AS577" i="9"/>
  <c r="AR577" i="9"/>
  <c r="AQ577" i="9"/>
  <c r="AP577" i="9"/>
  <c r="AO577" i="9"/>
  <c r="AN577" i="9"/>
  <c r="AM577" i="9"/>
  <c r="AL577" i="9"/>
  <c r="AK577" i="9"/>
  <c r="AJ577" i="9"/>
  <c r="AI577" i="9"/>
  <c r="AH577" i="9"/>
  <c r="AG577" i="9"/>
  <c r="AF577" i="9"/>
  <c r="AE577" i="9"/>
  <c r="AD577" i="9"/>
  <c r="AC577" i="9"/>
  <c r="AB577" i="9"/>
  <c r="AA577" i="9"/>
  <c r="V577" i="9"/>
  <c r="V763" i="9" s="1"/>
  <c r="E577" i="9"/>
  <c r="D577" i="9"/>
  <c r="BW576" i="9"/>
  <c r="BW858" i="9" s="1"/>
  <c r="BV576" i="9"/>
  <c r="BV858" i="9" s="1"/>
  <c r="BU576" i="9"/>
  <c r="BU858" i="9" s="1"/>
  <c r="BT576" i="9"/>
  <c r="BT858" i="9" s="1"/>
  <c r="BS576" i="9"/>
  <c r="BS858" i="9" s="1"/>
  <c r="BR576" i="9"/>
  <c r="BR858" i="9" s="1"/>
  <c r="BQ576" i="9"/>
  <c r="BQ858" i="9" s="1"/>
  <c r="BP576" i="9"/>
  <c r="BP858" i="9" s="1"/>
  <c r="BJ576" i="9"/>
  <c r="BI576" i="9"/>
  <c r="BH576" i="9"/>
  <c r="BG576" i="9"/>
  <c r="BF576" i="9"/>
  <c r="BE576" i="9"/>
  <c r="BD576" i="9"/>
  <c r="BC576" i="9"/>
  <c r="BB576" i="9"/>
  <c r="BA576" i="9"/>
  <c r="AZ576" i="9"/>
  <c r="AY576" i="9"/>
  <c r="AX576" i="9"/>
  <c r="AW576" i="9"/>
  <c r="AV576" i="9"/>
  <c r="AU576" i="9"/>
  <c r="AT576" i="9"/>
  <c r="AS576" i="9"/>
  <c r="AR576" i="9"/>
  <c r="AQ576" i="9"/>
  <c r="AP576" i="9"/>
  <c r="AO576" i="9"/>
  <c r="AN576" i="9"/>
  <c r="AM576" i="9"/>
  <c r="AL576" i="9"/>
  <c r="AK576" i="9"/>
  <c r="AJ576" i="9"/>
  <c r="AI576" i="9"/>
  <c r="AH576" i="9"/>
  <c r="AG576" i="9"/>
  <c r="AF576" i="9"/>
  <c r="AE576" i="9"/>
  <c r="AD576" i="9"/>
  <c r="AC576" i="9"/>
  <c r="AB576" i="9"/>
  <c r="AA576" i="9"/>
  <c r="V576" i="9"/>
  <c r="V762" i="9" s="1"/>
  <c r="E576" i="9"/>
  <c r="D576" i="9"/>
  <c r="BW575" i="9"/>
  <c r="BW857" i="9" s="1"/>
  <c r="BV575" i="9"/>
  <c r="BV857" i="9" s="1"/>
  <c r="BU575" i="9"/>
  <c r="BU857" i="9" s="1"/>
  <c r="BT575" i="9"/>
  <c r="BT857" i="9" s="1"/>
  <c r="BS575" i="9"/>
  <c r="BS857" i="9" s="1"/>
  <c r="BR575" i="9"/>
  <c r="BR857" i="9" s="1"/>
  <c r="BQ575" i="9"/>
  <c r="BQ857" i="9" s="1"/>
  <c r="BP575" i="9"/>
  <c r="BP857" i="9" s="1"/>
  <c r="BJ575" i="9"/>
  <c r="BI575" i="9"/>
  <c r="BH575" i="9"/>
  <c r="BG575" i="9"/>
  <c r="BF575" i="9"/>
  <c r="BE575" i="9"/>
  <c r="BD575" i="9"/>
  <c r="BC575" i="9"/>
  <c r="BB575" i="9"/>
  <c r="BA575" i="9"/>
  <c r="AZ575" i="9"/>
  <c r="AY575" i="9"/>
  <c r="AX575" i="9"/>
  <c r="AW575" i="9"/>
  <c r="AV575" i="9"/>
  <c r="AU575" i="9"/>
  <c r="AT575" i="9"/>
  <c r="AS575" i="9"/>
  <c r="AR575" i="9"/>
  <c r="AQ575" i="9"/>
  <c r="AP575" i="9"/>
  <c r="AO575" i="9"/>
  <c r="AN575" i="9"/>
  <c r="AM575" i="9"/>
  <c r="AL575" i="9"/>
  <c r="AK575" i="9"/>
  <c r="AJ575" i="9"/>
  <c r="AI575" i="9"/>
  <c r="AH575" i="9"/>
  <c r="AG575" i="9"/>
  <c r="AF575" i="9"/>
  <c r="AE575" i="9"/>
  <c r="AD575" i="9"/>
  <c r="AC575" i="9"/>
  <c r="AB575" i="9"/>
  <c r="AA575" i="9"/>
  <c r="V575" i="9"/>
  <c r="V761" i="9" s="1"/>
  <c r="E575" i="9"/>
  <c r="D575" i="9"/>
  <c r="BW574" i="9"/>
  <c r="BW856" i="9" s="1"/>
  <c r="BV574" i="9"/>
  <c r="BV856" i="9" s="1"/>
  <c r="BU574" i="9"/>
  <c r="BU856" i="9" s="1"/>
  <c r="BT574" i="9"/>
  <c r="BT856" i="9" s="1"/>
  <c r="BS574" i="9"/>
  <c r="BS856" i="9" s="1"/>
  <c r="BR574" i="9"/>
  <c r="BR856" i="9" s="1"/>
  <c r="BQ574" i="9"/>
  <c r="BQ856" i="9" s="1"/>
  <c r="BP574" i="9"/>
  <c r="BP856" i="9" s="1"/>
  <c r="BJ574" i="9"/>
  <c r="BI574" i="9"/>
  <c r="BH574" i="9"/>
  <c r="BG574" i="9"/>
  <c r="BF574" i="9"/>
  <c r="BE574" i="9"/>
  <c r="BD574" i="9"/>
  <c r="BC574" i="9"/>
  <c r="BB574" i="9"/>
  <c r="BA574" i="9"/>
  <c r="AZ574" i="9"/>
  <c r="AY574" i="9"/>
  <c r="AX574" i="9"/>
  <c r="AW574" i="9"/>
  <c r="AV574" i="9"/>
  <c r="AU574" i="9"/>
  <c r="AT574" i="9"/>
  <c r="AS574" i="9"/>
  <c r="AR574" i="9"/>
  <c r="AQ574" i="9"/>
  <c r="AP574" i="9"/>
  <c r="AO574" i="9"/>
  <c r="AN574" i="9"/>
  <c r="AM574" i="9"/>
  <c r="AL574" i="9"/>
  <c r="AK574" i="9"/>
  <c r="AJ574" i="9"/>
  <c r="AI574" i="9"/>
  <c r="AH574" i="9"/>
  <c r="AG574" i="9"/>
  <c r="AF574" i="9"/>
  <c r="AE574" i="9"/>
  <c r="AD574" i="9"/>
  <c r="AC574" i="9"/>
  <c r="AB574" i="9"/>
  <c r="AA574" i="9"/>
  <c r="V574" i="9"/>
  <c r="V760" i="9" s="1"/>
  <c r="E574" i="9"/>
  <c r="D574" i="9"/>
  <c r="BW573" i="9"/>
  <c r="BW855" i="9" s="1"/>
  <c r="BV573" i="9"/>
  <c r="BV855" i="9" s="1"/>
  <c r="BU573" i="9"/>
  <c r="BU855" i="9" s="1"/>
  <c r="BT573" i="9"/>
  <c r="BT855" i="9" s="1"/>
  <c r="BS573" i="9"/>
  <c r="BS855" i="9" s="1"/>
  <c r="BR573" i="9"/>
  <c r="BR855" i="9" s="1"/>
  <c r="BQ573" i="9"/>
  <c r="BQ855" i="9" s="1"/>
  <c r="BP573" i="9"/>
  <c r="BP855" i="9" s="1"/>
  <c r="BJ573" i="9"/>
  <c r="BI573" i="9"/>
  <c r="BH573" i="9"/>
  <c r="BG573" i="9"/>
  <c r="BF573" i="9"/>
  <c r="BE573" i="9"/>
  <c r="BD573" i="9"/>
  <c r="BC573" i="9"/>
  <c r="BB573" i="9"/>
  <c r="BA573" i="9"/>
  <c r="AZ573" i="9"/>
  <c r="AY573" i="9"/>
  <c r="AX573" i="9"/>
  <c r="AW573" i="9"/>
  <c r="AV573" i="9"/>
  <c r="AU573" i="9"/>
  <c r="AT573" i="9"/>
  <c r="AS573" i="9"/>
  <c r="AR573" i="9"/>
  <c r="AQ573" i="9"/>
  <c r="AP573" i="9"/>
  <c r="AO573" i="9"/>
  <c r="AN573" i="9"/>
  <c r="AM573" i="9"/>
  <c r="AL573" i="9"/>
  <c r="AK573" i="9"/>
  <c r="AJ573" i="9"/>
  <c r="AI573" i="9"/>
  <c r="AH573" i="9"/>
  <c r="AG573" i="9"/>
  <c r="AF573" i="9"/>
  <c r="AE573" i="9"/>
  <c r="AD573" i="9"/>
  <c r="AC573" i="9"/>
  <c r="AB573" i="9"/>
  <c r="AA573" i="9"/>
  <c r="V573" i="9"/>
  <c r="V759" i="9" s="1"/>
  <c r="E573" i="9"/>
  <c r="D573" i="9"/>
  <c r="BW572" i="9"/>
  <c r="BW854" i="9" s="1"/>
  <c r="BV572" i="9"/>
  <c r="BV854" i="9" s="1"/>
  <c r="BU572" i="9"/>
  <c r="BU854" i="9" s="1"/>
  <c r="BT572" i="9"/>
  <c r="BT854" i="9" s="1"/>
  <c r="BS572" i="9"/>
  <c r="BS854" i="9" s="1"/>
  <c r="BR572" i="9"/>
  <c r="BR854" i="9" s="1"/>
  <c r="BQ572" i="9"/>
  <c r="BQ854" i="9" s="1"/>
  <c r="BP572" i="9"/>
  <c r="BP854" i="9" s="1"/>
  <c r="BJ572" i="9"/>
  <c r="BI572" i="9"/>
  <c r="BH572" i="9"/>
  <c r="BG572" i="9"/>
  <c r="BF572" i="9"/>
  <c r="BE572" i="9"/>
  <c r="BD572" i="9"/>
  <c r="BC572" i="9"/>
  <c r="BB572" i="9"/>
  <c r="BA572" i="9"/>
  <c r="AZ572" i="9"/>
  <c r="AY572" i="9"/>
  <c r="AX572" i="9"/>
  <c r="AW572" i="9"/>
  <c r="AV572" i="9"/>
  <c r="AU572" i="9"/>
  <c r="AT572" i="9"/>
  <c r="AS572" i="9"/>
  <c r="AR572" i="9"/>
  <c r="AQ572" i="9"/>
  <c r="AP572" i="9"/>
  <c r="AO572" i="9"/>
  <c r="AN572" i="9"/>
  <c r="AM572" i="9"/>
  <c r="AL572" i="9"/>
  <c r="AK572" i="9"/>
  <c r="AJ572" i="9"/>
  <c r="AI572" i="9"/>
  <c r="AH572" i="9"/>
  <c r="AG572" i="9"/>
  <c r="AF572" i="9"/>
  <c r="AE572" i="9"/>
  <c r="AD572" i="9"/>
  <c r="AC572" i="9"/>
  <c r="AB572" i="9"/>
  <c r="AA572" i="9"/>
  <c r="V572" i="9"/>
  <c r="V758" i="9" s="1"/>
  <c r="E572" i="9"/>
  <c r="D572" i="9"/>
  <c r="BW571" i="9"/>
  <c r="BW853" i="9" s="1"/>
  <c r="BV571" i="9"/>
  <c r="BV853" i="9" s="1"/>
  <c r="BU571" i="9"/>
  <c r="BU853" i="9" s="1"/>
  <c r="BT571" i="9"/>
  <c r="BT853" i="9" s="1"/>
  <c r="BS571" i="9"/>
  <c r="BS853" i="9" s="1"/>
  <c r="BR571" i="9"/>
  <c r="BR853" i="9" s="1"/>
  <c r="BQ571" i="9"/>
  <c r="BQ853" i="9" s="1"/>
  <c r="BP571" i="9"/>
  <c r="BP853" i="9" s="1"/>
  <c r="BJ571" i="9"/>
  <c r="BI571" i="9"/>
  <c r="BH571" i="9"/>
  <c r="BG571" i="9"/>
  <c r="BF571" i="9"/>
  <c r="BE571" i="9"/>
  <c r="BD571" i="9"/>
  <c r="BC571" i="9"/>
  <c r="BB571" i="9"/>
  <c r="BA571" i="9"/>
  <c r="AZ571" i="9"/>
  <c r="AY571" i="9"/>
  <c r="AX571" i="9"/>
  <c r="AW571" i="9"/>
  <c r="AV571" i="9"/>
  <c r="AU571" i="9"/>
  <c r="AT571" i="9"/>
  <c r="AS571" i="9"/>
  <c r="AR571" i="9"/>
  <c r="AQ571" i="9"/>
  <c r="AP571" i="9"/>
  <c r="AO571" i="9"/>
  <c r="AN571" i="9"/>
  <c r="AM571" i="9"/>
  <c r="AL571" i="9"/>
  <c r="AK571" i="9"/>
  <c r="AJ571" i="9"/>
  <c r="AI571" i="9"/>
  <c r="AH571" i="9"/>
  <c r="AG571" i="9"/>
  <c r="AF571" i="9"/>
  <c r="AE571" i="9"/>
  <c r="AD571" i="9"/>
  <c r="AC571" i="9"/>
  <c r="AB571" i="9"/>
  <c r="AA571" i="9"/>
  <c r="V571" i="9"/>
  <c r="V757" i="9" s="1"/>
  <c r="E571" i="9"/>
  <c r="D571" i="9"/>
  <c r="BW570" i="9"/>
  <c r="BW852" i="9" s="1"/>
  <c r="BV570" i="9"/>
  <c r="BV852" i="9" s="1"/>
  <c r="BU570" i="9"/>
  <c r="BU852" i="9" s="1"/>
  <c r="BT570" i="9"/>
  <c r="BT852" i="9" s="1"/>
  <c r="BS570" i="9"/>
  <c r="BS852" i="9" s="1"/>
  <c r="BR570" i="9"/>
  <c r="BR852" i="9" s="1"/>
  <c r="BQ570" i="9"/>
  <c r="BQ852" i="9" s="1"/>
  <c r="BP570" i="9"/>
  <c r="BP852" i="9" s="1"/>
  <c r="BJ570" i="9"/>
  <c r="BI570" i="9"/>
  <c r="BH570" i="9"/>
  <c r="BG570" i="9"/>
  <c r="BF570" i="9"/>
  <c r="BE570" i="9"/>
  <c r="BD570" i="9"/>
  <c r="BC570" i="9"/>
  <c r="BB570" i="9"/>
  <c r="BA570" i="9"/>
  <c r="AZ570" i="9"/>
  <c r="AY570" i="9"/>
  <c r="AX570" i="9"/>
  <c r="AW570" i="9"/>
  <c r="AV570" i="9"/>
  <c r="AU570" i="9"/>
  <c r="AT570" i="9"/>
  <c r="AS570" i="9"/>
  <c r="AR570" i="9"/>
  <c r="AQ570" i="9"/>
  <c r="AP570" i="9"/>
  <c r="AO570" i="9"/>
  <c r="AN570" i="9"/>
  <c r="AM570" i="9"/>
  <c r="AL570" i="9"/>
  <c r="AK570" i="9"/>
  <c r="AJ570" i="9"/>
  <c r="AI570" i="9"/>
  <c r="AH570" i="9"/>
  <c r="AG570" i="9"/>
  <c r="AF570" i="9"/>
  <c r="AE570" i="9"/>
  <c r="AD570" i="9"/>
  <c r="AC570" i="9"/>
  <c r="AB570" i="9"/>
  <c r="AA570" i="9"/>
  <c r="V570" i="9"/>
  <c r="V756" i="9" s="1"/>
  <c r="E570" i="9"/>
  <c r="D570" i="9"/>
  <c r="BW569" i="9"/>
  <c r="BW851" i="9" s="1"/>
  <c r="BV569" i="9"/>
  <c r="BV851" i="9" s="1"/>
  <c r="BU569" i="9"/>
  <c r="BU851" i="9" s="1"/>
  <c r="BT569" i="9"/>
  <c r="BT851" i="9" s="1"/>
  <c r="BS569" i="9"/>
  <c r="BS851" i="9" s="1"/>
  <c r="BR569" i="9"/>
  <c r="BR851" i="9" s="1"/>
  <c r="BQ569" i="9"/>
  <c r="BQ851" i="9" s="1"/>
  <c r="BP569" i="9"/>
  <c r="BP851" i="9" s="1"/>
  <c r="BJ569" i="9"/>
  <c r="BI569" i="9"/>
  <c r="BH569" i="9"/>
  <c r="BG569" i="9"/>
  <c r="BF569" i="9"/>
  <c r="BE569" i="9"/>
  <c r="BD569" i="9"/>
  <c r="BC569" i="9"/>
  <c r="BB569" i="9"/>
  <c r="BA569" i="9"/>
  <c r="AZ569" i="9"/>
  <c r="AY569" i="9"/>
  <c r="AX569" i="9"/>
  <c r="AW569" i="9"/>
  <c r="AV569" i="9"/>
  <c r="AU569" i="9"/>
  <c r="AT569" i="9"/>
  <c r="AS569" i="9"/>
  <c r="AR569" i="9"/>
  <c r="AQ569" i="9"/>
  <c r="AP569" i="9"/>
  <c r="AO569" i="9"/>
  <c r="AN569" i="9"/>
  <c r="AM569" i="9"/>
  <c r="AL569" i="9"/>
  <c r="AK569" i="9"/>
  <c r="AJ569" i="9"/>
  <c r="AI569" i="9"/>
  <c r="AH569" i="9"/>
  <c r="AG569" i="9"/>
  <c r="AF569" i="9"/>
  <c r="AE569" i="9"/>
  <c r="AD569" i="9"/>
  <c r="AC569" i="9"/>
  <c r="AB569" i="9"/>
  <c r="AA569" i="9"/>
  <c r="V569" i="9"/>
  <c r="E569" i="9"/>
  <c r="D569" i="9"/>
  <c r="E568" i="9"/>
  <c r="D568" i="9"/>
  <c r="D567" i="9"/>
  <c r="BW565" i="9"/>
  <c r="BW847" i="9" s="1"/>
  <c r="BV565" i="9"/>
  <c r="BV847" i="9" s="1"/>
  <c r="BU565" i="9"/>
  <c r="BU847" i="9" s="1"/>
  <c r="BT565" i="9"/>
  <c r="BT847" i="9" s="1"/>
  <c r="BS565" i="9"/>
  <c r="BS847" i="9" s="1"/>
  <c r="BR565" i="9"/>
  <c r="BR847" i="9" s="1"/>
  <c r="BQ565" i="9"/>
  <c r="BQ847" i="9" s="1"/>
  <c r="BP565" i="9"/>
  <c r="BP847" i="9" s="1"/>
  <c r="BJ565" i="9"/>
  <c r="BI565" i="9"/>
  <c r="BH565" i="9"/>
  <c r="BG565" i="9"/>
  <c r="BF565" i="9"/>
  <c r="BE565" i="9"/>
  <c r="BD565" i="9"/>
  <c r="BC565" i="9"/>
  <c r="BB565" i="9"/>
  <c r="BA565" i="9"/>
  <c r="AZ565" i="9"/>
  <c r="AY565" i="9"/>
  <c r="AX565" i="9"/>
  <c r="AW565" i="9"/>
  <c r="AV565" i="9"/>
  <c r="AU565" i="9"/>
  <c r="AT565" i="9"/>
  <c r="AS565" i="9"/>
  <c r="AR565" i="9"/>
  <c r="AQ565" i="9"/>
  <c r="AP565" i="9"/>
  <c r="AO565" i="9"/>
  <c r="AN565" i="9"/>
  <c r="AM565" i="9"/>
  <c r="AL565" i="9"/>
  <c r="AK565" i="9"/>
  <c r="AJ565" i="9"/>
  <c r="AI565" i="9"/>
  <c r="AH565" i="9"/>
  <c r="AG565" i="9"/>
  <c r="AF565" i="9"/>
  <c r="AE565" i="9"/>
  <c r="AD565" i="9"/>
  <c r="AC565" i="9"/>
  <c r="AB565" i="9"/>
  <c r="AA565" i="9"/>
  <c r="V565" i="9"/>
  <c r="V705" i="9" s="1"/>
  <c r="E565" i="9"/>
  <c r="D565" i="9"/>
  <c r="BW564" i="9"/>
  <c r="BW846" i="9" s="1"/>
  <c r="BV564" i="9"/>
  <c r="BV846" i="9" s="1"/>
  <c r="BU564" i="9"/>
  <c r="BU846" i="9" s="1"/>
  <c r="BT564" i="9"/>
  <c r="BT846" i="9" s="1"/>
  <c r="BS564" i="9"/>
  <c r="BS846" i="9" s="1"/>
  <c r="BR564" i="9"/>
  <c r="BR846" i="9" s="1"/>
  <c r="BQ564" i="9"/>
  <c r="BQ846" i="9" s="1"/>
  <c r="BP564" i="9"/>
  <c r="BP846" i="9" s="1"/>
  <c r="BJ564" i="9"/>
  <c r="BI564" i="9"/>
  <c r="BH564" i="9"/>
  <c r="BG564" i="9"/>
  <c r="BF564" i="9"/>
  <c r="BE564" i="9"/>
  <c r="BD564" i="9"/>
  <c r="BC564" i="9"/>
  <c r="BB564" i="9"/>
  <c r="BA564" i="9"/>
  <c r="AZ564" i="9"/>
  <c r="AY564" i="9"/>
  <c r="AX564" i="9"/>
  <c r="AW564" i="9"/>
  <c r="AV564" i="9"/>
  <c r="AU564" i="9"/>
  <c r="AT564" i="9"/>
  <c r="AS564" i="9"/>
  <c r="AR564" i="9"/>
  <c r="AQ564" i="9"/>
  <c r="AP564" i="9"/>
  <c r="AO564" i="9"/>
  <c r="AN564" i="9"/>
  <c r="AM564" i="9"/>
  <c r="AL564" i="9"/>
  <c r="AK564" i="9"/>
  <c r="AJ564" i="9"/>
  <c r="AI564" i="9"/>
  <c r="AH564" i="9"/>
  <c r="AG564" i="9"/>
  <c r="AF564" i="9"/>
  <c r="AE564" i="9"/>
  <c r="AD564" i="9"/>
  <c r="AC564" i="9"/>
  <c r="AB564" i="9"/>
  <c r="AA564" i="9"/>
  <c r="V564" i="9"/>
  <c r="E564" i="9"/>
  <c r="D564" i="9"/>
  <c r="BW563" i="9"/>
  <c r="BW845" i="9" s="1"/>
  <c r="BV563" i="9"/>
  <c r="BV845" i="9" s="1"/>
  <c r="BU563" i="9"/>
  <c r="BU845" i="9" s="1"/>
  <c r="BT563" i="9"/>
  <c r="BT845" i="9" s="1"/>
  <c r="BS563" i="9"/>
  <c r="BS845" i="9" s="1"/>
  <c r="BR563" i="9"/>
  <c r="BR845" i="9" s="1"/>
  <c r="BQ563" i="9"/>
  <c r="BQ845" i="9" s="1"/>
  <c r="BP563" i="9"/>
  <c r="BP845" i="9" s="1"/>
  <c r="BJ563" i="9"/>
  <c r="BI563" i="9"/>
  <c r="BH563" i="9"/>
  <c r="BG563" i="9"/>
  <c r="BF563" i="9"/>
  <c r="BE563" i="9"/>
  <c r="BD563" i="9"/>
  <c r="BC563" i="9"/>
  <c r="BB563" i="9"/>
  <c r="BA563" i="9"/>
  <c r="AZ563" i="9"/>
  <c r="AY563" i="9"/>
  <c r="AX563" i="9"/>
  <c r="AW563" i="9"/>
  <c r="AV563" i="9"/>
  <c r="AU563" i="9"/>
  <c r="AT563" i="9"/>
  <c r="AS563" i="9"/>
  <c r="AR563" i="9"/>
  <c r="AQ563" i="9"/>
  <c r="AP563" i="9"/>
  <c r="AO563" i="9"/>
  <c r="AN563" i="9"/>
  <c r="AM563" i="9"/>
  <c r="AL563" i="9"/>
  <c r="AK563" i="9"/>
  <c r="AJ563" i="9"/>
  <c r="AI563" i="9"/>
  <c r="AH563" i="9"/>
  <c r="AG563" i="9"/>
  <c r="AF563" i="9"/>
  <c r="AE563" i="9"/>
  <c r="AD563" i="9"/>
  <c r="AC563" i="9"/>
  <c r="AB563" i="9"/>
  <c r="AA563" i="9"/>
  <c r="V563" i="9"/>
  <c r="E563" i="9"/>
  <c r="D563" i="9"/>
  <c r="BW562" i="9"/>
  <c r="BW844" i="9" s="1"/>
  <c r="BV562" i="9"/>
  <c r="BV844" i="9" s="1"/>
  <c r="BU562" i="9"/>
  <c r="BU844" i="9" s="1"/>
  <c r="BT562" i="9"/>
  <c r="BT844" i="9" s="1"/>
  <c r="BS562" i="9"/>
  <c r="BS844" i="9" s="1"/>
  <c r="BR562" i="9"/>
  <c r="BR844" i="9" s="1"/>
  <c r="BQ562" i="9"/>
  <c r="BQ844" i="9" s="1"/>
  <c r="BP562" i="9"/>
  <c r="BP844" i="9" s="1"/>
  <c r="BJ562" i="9"/>
  <c r="BI562" i="9"/>
  <c r="BH562" i="9"/>
  <c r="BG562" i="9"/>
  <c r="BF562" i="9"/>
  <c r="BE562" i="9"/>
  <c r="BD562" i="9"/>
  <c r="BC562" i="9"/>
  <c r="BB562" i="9"/>
  <c r="BA562" i="9"/>
  <c r="AZ562" i="9"/>
  <c r="AY562" i="9"/>
  <c r="AX562" i="9"/>
  <c r="AW562" i="9"/>
  <c r="AV562" i="9"/>
  <c r="AU562" i="9"/>
  <c r="AT562" i="9"/>
  <c r="AS562" i="9"/>
  <c r="AR562" i="9"/>
  <c r="AQ562" i="9"/>
  <c r="AP562" i="9"/>
  <c r="AO562" i="9"/>
  <c r="AN562" i="9"/>
  <c r="AM562" i="9"/>
  <c r="AL562" i="9"/>
  <c r="AK562" i="9"/>
  <c r="AJ562" i="9"/>
  <c r="AI562" i="9"/>
  <c r="AH562" i="9"/>
  <c r="AG562" i="9"/>
  <c r="AF562" i="9"/>
  <c r="AE562" i="9"/>
  <c r="AD562" i="9"/>
  <c r="AC562" i="9"/>
  <c r="AB562" i="9"/>
  <c r="AA562" i="9"/>
  <c r="V562" i="9"/>
  <c r="E562" i="9"/>
  <c r="D562" i="9"/>
  <c r="BW561" i="9"/>
  <c r="BW843" i="9" s="1"/>
  <c r="BV561" i="9"/>
  <c r="BV843" i="9" s="1"/>
  <c r="BU561" i="9"/>
  <c r="BU843" i="9" s="1"/>
  <c r="BT561" i="9"/>
  <c r="BT843" i="9" s="1"/>
  <c r="BS561" i="9"/>
  <c r="BS843" i="9" s="1"/>
  <c r="BR561" i="9"/>
  <c r="BR843" i="9" s="1"/>
  <c r="BQ561" i="9"/>
  <c r="BQ843" i="9" s="1"/>
  <c r="BP561" i="9"/>
  <c r="BP843" i="9" s="1"/>
  <c r="BJ561" i="9"/>
  <c r="BI561" i="9"/>
  <c r="BH561" i="9"/>
  <c r="BG561" i="9"/>
  <c r="BF561" i="9"/>
  <c r="BE561" i="9"/>
  <c r="BD561" i="9"/>
  <c r="BC561" i="9"/>
  <c r="BB561" i="9"/>
  <c r="BA561" i="9"/>
  <c r="AZ561" i="9"/>
  <c r="AY561" i="9"/>
  <c r="AX561" i="9"/>
  <c r="AW561" i="9"/>
  <c r="AV561" i="9"/>
  <c r="AU561" i="9"/>
  <c r="AT561" i="9"/>
  <c r="AS561" i="9"/>
  <c r="AR561" i="9"/>
  <c r="AQ561" i="9"/>
  <c r="AP561" i="9"/>
  <c r="AO561" i="9"/>
  <c r="AN561" i="9"/>
  <c r="AM561" i="9"/>
  <c r="AL561" i="9"/>
  <c r="AK561" i="9"/>
  <c r="AJ561" i="9"/>
  <c r="AI561" i="9"/>
  <c r="AH561" i="9"/>
  <c r="AG561" i="9"/>
  <c r="AF561" i="9"/>
  <c r="AE561" i="9"/>
  <c r="AD561" i="9"/>
  <c r="AC561" i="9"/>
  <c r="AB561" i="9"/>
  <c r="AA561" i="9"/>
  <c r="V561" i="9"/>
  <c r="E561" i="9"/>
  <c r="D561" i="9"/>
  <c r="BW560" i="9"/>
  <c r="BW842" i="9" s="1"/>
  <c r="BV560" i="9"/>
  <c r="BV842" i="9" s="1"/>
  <c r="BU560" i="9"/>
  <c r="BU842" i="9" s="1"/>
  <c r="BT560" i="9"/>
  <c r="BT842" i="9" s="1"/>
  <c r="BS560" i="9"/>
  <c r="BS842" i="9" s="1"/>
  <c r="BR560" i="9"/>
  <c r="BR842" i="9" s="1"/>
  <c r="BQ560" i="9"/>
  <c r="BQ842" i="9" s="1"/>
  <c r="BP560" i="9"/>
  <c r="BP842" i="9" s="1"/>
  <c r="BJ560" i="9"/>
  <c r="BI560" i="9"/>
  <c r="BH560" i="9"/>
  <c r="BG560" i="9"/>
  <c r="BF560" i="9"/>
  <c r="BE560" i="9"/>
  <c r="BD560" i="9"/>
  <c r="BC560" i="9"/>
  <c r="BB560" i="9"/>
  <c r="BA560" i="9"/>
  <c r="AZ560" i="9"/>
  <c r="AY560" i="9"/>
  <c r="AX560" i="9"/>
  <c r="AW560" i="9"/>
  <c r="AV560" i="9"/>
  <c r="AU560" i="9"/>
  <c r="AT560" i="9"/>
  <c r="AS560" i="9"/>
  <c r="AR560" i="9"/>
  <c r="AQ560" i="9"/>
  <c r="AP560" i="9"/>
  <c r="AO560" i="9"/>
  <c r="AN560" i="9"/>
  <c r="AM560" i="9"/>
  <c r="AL560" i="9"/>
  <c r="AK560" i="9"/>
  <c r="AJ560" i="9"/>
  <c r="AI560" i="9"/>
  <c r="AH560" i="9"/>
  <c r="AG560" i="9"/>
  <c r="AF560" i="9"/>
  <c r="AE560" i="9"/>
  <c r="AD560" i="9"/>
  <c r="AC560" i="9"/>
  <c r="AB560" i="9"/>
  <c r="AA560" i="9"/>
  <c r="V560" i="9"/>
  <c r="E560" i="9"/>
  <c r="D560" i="9"/>
  <c r="BW559" i="9"/>
  <c r="BW841" i="9" s="1"/>
  <c r="BV559" i="9"/>
  <c r="BV841" i="9" s="1"/>
  <c r="BU559" i="9"/>
  <c r="BU841" i="9" s="1"/>
  <c r="BT559" i="9"/>
  <c r="BT841" i="9" s="1"/>
  <c r="BS559" i="9"/>
  <c r="BS841" i="9" s="1"/>
  <c r="BR559" i="9"/>
  <c r="BR841" i="9" s="1"/>
  <c r="BQ559" i="9"/>
  <c r="BQ841" i="9" s="1"/>
  <c r="BP559" i="9"/>
  <c r="BP841" i="9" s="1"/>
  <c r="BJ559" i="9"/>
  <c r="BI559" i="9"/>
  <c r="BH559" i="9"/>
  <c r="BG559" i="9"/>
  <c r="BF559" i="9"/>
  <c r="BE559" i="9"/>
  <c r="BD559" i="9"/>
  <c r="BC559" i="9"/>
  <c r="BB559" i="9"/>
  <c r="BA559" i="9"/>
  <c r="AZ559" i="9"/>
  <c r="AY559" i="9"/>
  <c r="AX559" i="9"/>
  <c r="AW559" i="9"/>
  <c r="AV559" i="9"/>
  <c r="AU559" i="9"/>
  <c r="AT559" i="9"/>
  <c r="AS559" i="9"/>
  <c r="AR559" i="9"/>
  <c r="AQ559" i="9"/>
  <c r="AP559" i="9"/>
  <c r="AO559" i="9"/>
  <c r="AN559" i="9"/>
  <c r="AM559" i="9"/>
  <c r="AL559" i="9"/>
  <c r="AK559" i="9"/>
  <c r="AJ559" i="9"/>
  <c r="AI559" i="9"/>
  <c r="AH559" i="9"/>
  <c r="AG559" i="9"/>
  <c r="AF559" i="9"/>
  <c r="AE559" i="9"/>
  <c r="AD559" i="9"/>
  <c r="AC559" i="9"/>
  <c r="AB559" i="9"/>
  <c r="AA559" i="9"/>
  <c r="V559" i="9"/>
  <c r="E559" i="9"/>
  <c r="D559" i="9"/>
  <c r="BW558" i="9"/>
  <c r="BW840" i="9" s="1"/>
  <c r="BV558" i="9"/>
  <c r="BV840" i="9" s="1"/>
  <c r="BU558" i="9"/>
  <c r="BU840" i="9" s="1"/>
  <c r="BT558" i="9"/>
  <c r="BT840" i="9" s="1"/>
  <c r="BS558" i="9"/>
  <c r="BS840" i="9" s="1"/>
  <c r="BR558" i="9"/>
  <c r="BR840" i="9" s="1"/>
  <c r="BQ558" i="9"/>
  <c r="BQ840" i="9" s="1"/>
  <c r="BP558" i="9"/>
  <c r="BP840" i="9" s="1"/>
  <c r="BJ558" i="9"/>
  <c r="BI558" i="9"/>
  <c r="BH558" i="9"/>
  <c r="BG558" i="9"/>
  <c r="BF558" i="9"/>
  <c r="BE558" i="9"/>
  <c r="BD558" i="9"/>
  <c r="BC558" i="9"/>
  <c r="BB558" i="9"/>
  <c r="BA558" i="9"/>
  <c r="AZ558" i="9"/>
  <c r="AY558" i="9"/>
  <c r="AX558" i="9"/>
  <c r="AW558" i="9"/>
  <c r="AV558" i="9"/>
  <c r="AU558" i="9"/>
  <c r="AT558" i="9"/>
  <c r="AS558" i="9"/>
  <c r="AR558" i="9"/>
  <c r="AQ558" i="9"/>
  <c r="AP558" i="9"/>
  <c r="AO558" i="9"/>
  <c r="AN558" i="9"/>
  <c r="AM558" i="9"/>
  <c r="AL558" i="9"/>
  <c r="AK558" i="9"/>
  <c r="AJ558" i="9"/>
  <c r="AI558" i="9"/>
  <c r="AH558" i="9"/>
  <c r="AG558" i="9"/>
  <c r="AF558" i="9"/>
  <c r="AE558" i="9"/>
  <c r="AD558" i="9"/>
  <c r="AC558" i="9"/>
  <c r="AB558" i="9"/>
  <c r="AA558" i="9"/>
  <c r="V558" i="9"/>
  <c r="E558" i="9"/>
  <c r="D558" i="9"/>
  <c r="BW557" i="9"/>
  <c r="BW839" i="9" s="1"/>
  <c r="BV557" i="9"/>
  <c r="BV839" i="9" s="1"/>
  <c r="BU557" i="9"/>
  <c r="BU839" i="9" s="1"/>
  <c r="BT557" i="9"/>
  <c r="BT839" i="9" s="1"/>
  <c r="BS557" i="9"/>
  <c r="BS839" i="9" s="1"/>
  <c r="BR557" i="9"/>
  <c r="BR839" i="9" s="1"/>
  <c r="BQ557" i="9"/>
  <c r="BQ839" i="9" s="1"/>
  <c r="BP557" i="9"/>
  <c r="BP839" i="9" s="1"/>
  <c r="BJ557" i="9"/>
  <c r="BI557" i="9"/>
  <c r="BH557" i="9"/>
  <c r="BG557" i="9"/>
  <c r="BF557" i="9"/>
  <c r="BE557" i="9"/>
  <c r="BD557" i="9"/>
  <c r="BC557" i="9"/>
  <c r="BB557" i="9"/>
  <c r="BA557" i="9"/>
  <c r="AZ557" i="9"/>
  <c r="AY557" i="9"/>
  <c r="AX557" i="9"/>
  <c r="AW557" i="9"/>
  <c r="AV557" i="9"/>
  <c r="AU557" i="9"/>
  <c r="AT557" i="9"/>
  <c r="AS557" i="9"/>
  <c r="AR557" i="9"/>
  <c r="AQ557" i="9"/>
  <c r="AP557" i="9"/>
  <c r="AO557" i="9"/>
  <c r="AN557" i="9"/>
  <c r="AM557" i="9"/>
  <c r="AL557" i="9"/>
  <c r="AK557" i="9"/>
  <c r="AJ557" i="9"/>
  <c r="AI557" i="9"/>
  <c r="AH557" i="9"/>
  <c r="AG557" i="9"/>
  <c r="AF557" i="9"/>
  <c r="AE557" i="9"/>
  <c r="AD557" i="9"/>
  <c r="AC557" i="9"/>
  <c r="AB557" i="9"/>
  <c r="AA557" i="9"/>
  <c r="V557" i="9"/>
  <c r="E557" i="9"/>
  <c r="D557" i="9"/>
  <c r="BW556" i="9"/>
  <c r="BW838" i="9" s="1"/>
  <c r="BV556" i="9"/>
  <c r="BV838" i="9" s="1"/>
  <c r="BU556" i="9"/>
  <c r="BU838" i="9" s="1"/>
  <c r="BT556" i="9"/>
  <c r="BT838" i="9" s="1"/>
  <c r="BS556" i="9"/>
  <c r="BS838" i="9" s="1"/>
  <c r="BR556" i="9"/>
  <c r="BR838" i="9" s="1"/>
  <c r="BQ556" i="9"/>
  <c r="BQ838" i="9" s="1"/>
  <c r="BP556" i="9"/>
  <c r="BP838" i="9" s="1"/>
  <c r="BJ556" i="9"/>
  <c r="BI556" i="9"/>
  <c r="BH556" i="9"/>
  <c r="BG556" i="9"/>
  <c r="BF556" i="9"/>
  <c r="BE556" i="9"/>
  <c r="BD556" i="9"/>
  <c r="BC556" i="9"/>
  <c r="BB556" i="9"/>
  <c r="BA556" i="9"/>
  <c r="AZ556" i="9"/>
  <c r="AY556" i="9"/>
  <c r="AX556" i="9"/>
  <c r="AW556" i="9"/>
  <c r="AV556" i="9"/>
  <c r="AU556" i="9"/>
  <c r="AT556" i="9"/>
  <c r="AS556" i="9"/>
  <c r="AR556" i="9"/>
  <c r="AQ556" i="9"/>
  <c r="AP556" i="9"/>
  <c r="AO556" i="9"/>
  <c r="AN556" i="9"/>
  <c r="AM556" i="9"/>
  <c r="AL556" i="9"/>
  <c r="AK556" i="9"/>
  <c r="AJ556" i="9"/>
  <c r="AI556" i="9"/>
  <c r="AH556" i="9"/>
  <c r="AG556" i="9"/>
  <c r="AF556" i="9"/>
  <c r="AE556" i="9"/>
  <c r="AD556" i="9"/>
  <c r="AC556" i="9"/>
  <c r="AB556" i="9"/>
  <c r="AA556" i="9"/>
  <c r="V556" i="9"/>
  <c r="E556" i="9"/>
  <c r="D556" i="9"/>
  <c r="BW555" i="9"/>
  <c r="BW837" i="9" s="1"/>
  <c r="BV555" i="9"/>
  <c r="BV837" i="9" s="1"/>
  <c r="BU555" i="9"/>
  <c r="BU837" i="9" s="1"/>
  <c r="BT555" i="9"/>
  <c r="BT837" i="9" s="1"/>
  <c r="BS555" i="9"/>
  <c r="BS837" i="9" s="1"/>
  <c r="BR555" i="9"/>
  <c r="BR837" i="9" s="1"/>
  <c r="BQ555" i="9"/>
  <c r="BQ837" i="9" s="1"/>
  <c r="BP555" i="9"/>
  <c r="BP837" i="9" s="1"/>
  <c r="BJ555" i="9"/>
  <c r="BI555" i="9"/>
  <c r="BH555" i="9"/>
  <c r="BG555" i="9"/>
  <c r="BF555" i="9"/>
  <c r="BE555" i="9"/>
  <c r="BD555" i="9"/>
  <c r="BC555" i="9"/>
  <c r="BB555" i="9"/>
  <c r="BA555" i="9"/>
  <c r="AZ555" i="9"/>
  <c r="AY555" i="9"/>
  <c r="AX555" i="9"/>
  <c r="AW555" i="9"/>
  <c r="AV555" i="9"/>
  <c r="AU555" i="9"/>
  <c r="AT555" i="9"/>
  <c r="AS555" i="9"/>
  <c r="AR555" i="9"/>
  <c r="AQ555" i="9"/>
  <c r="AP555" i="9"/>
  <c r="AO555" i="9"/>
  <c r="AN555" i="9"/>
  <c r="AM555" i="9"/>
  <c r="AL555" i="9"/>
  <c r="AK555" i="9"/>
  <c r="AJ555" i="9"/>
  <c r="AI555" i="9"/>
  <c r="AH555" i="9"/>
  <c r="AG555" i="9"/>
  <c r="AF555" i="9"/>
  <c r="AE555" i="9"/>
  <c r="AD555" i="9"/>
  <c r="AC555" i="9"/>
  <c r="AB555" i="9"/>
  <c r="AA555" i="9"/>
  <c r="V555" i="9"/>
  <c r="E555" i="9"/>
  <c r="D555" i="9"/>
  <c r="BW554" i="9"/>
  <c r="BW836" i="9" s="1"/>
  <c r="BV554" i="9"/>
  <c r="BV836" i="9" s="1"/>
  <c r="BU554" i="9"/>
  <c r="BU836" i="9" s="1"/>
  <c r="BT554" i="9"/>
  <c r="BT836" i="9" s="1"/>
  <c r="BS554" i="9"/>
  <c r="BS836" i="9" s="1"/>
  <c r="BR554" i="9"/>
  <c r="BR836" i="9" s="1"/>
  <c r="BQ554" i="9"/>
  <c r="BQ836" i="9" s="1"/>
  <c r="BP554" i="9"/>
  <c r="BP836" i="9" s="1"/>
  <c r="BJ554" i="9"/>
  <c r="BI554" i="9"/>
  <c r="BH554" i="9"/>
  <c r="BG554" i="9"/>
  <c r="BF554" i="9"/>
  <c r="BE554" i="9"/>
  <c r="BD554" i="9"/>
  <c r="BC554" i="9"/>
  <c r="BB554" i="9"/>
  <c r="BA554" i="9"/>
  <c r="AZ554" i="9"/>
  <c r="AY554" i="9"/>
  <c r="AX554" i="9"/>
  <c r="AW554" i="9"/>
  <c r="AV554" i="9"/>
  <c r="AU554" i="9"/>
  <c r="AT554" i="9"/>
  <c r="AS554" i="9"/>
  <c r="AR554" i="9"/>
  <c r="AQ554" i="9"/>
  <c r="AP554" i="9"/>
  <c r="AO554" i="9"/>
  <c r="AN554" i="9"/>
  <c r="AM554" i="9"/>
  <c r="AL554" i="9"/>
  <c r="AK554" i="9"/>
  <c r="AJ554" i="9"/>
  <c r="AI554" i="9"/>
  <c r="AH554" i="9"/>
  <c r="AG554" i="9"/>
  <c r="AF554" i="9"/>
  <c r="AE554" i="9"/>
  <c r="AD554" i="9"/>
  <c r="AC554" i="9"/>
  <c r="AB554" i="9"/>
  <c r="AA554" i="9"/>
  <c r="V554" i="9"/>
  <c r="E554" i="9"/>
  <c r="D554" i="9"/>
  <c r="BW553" i="9"/>
  <c r="BW835" i="9" s="1"/>
  <c r="BV553" i="9"/>
  <c r="BV835" i="9" s="1"/>
  <c r="BU553" i="9"/>
  <c r="BU835" i="9" s="1"/>
  <c r="BT553" i="9"/>
  <c r="BT835" i="9" s="1"/>
  <c r="BS553" i="9"/>
  <c r="BS835" i="9" s="1"/>
  <c r="BR553" i="9"/>
  <c r="BR835" i="9" s="1"/>
  <c r="BQ553" i="9"/>
  <c r="BQ835" i="9" s="1"/>
  <c r="BP553" i="9"/>
  <c r="BP835" i="9" s="1"/>
  <c r="BJ553" i="9"/>
  <c r="BI553" i="9"/>
  <c r="BH553" i="9"/>
  <c r="BG553" i="9"/>
  <c r="BF553" i="9"/>
  <c r="BE553" i="9"/>
  <c r="BD553" i="9"/>
  <c r="BC553" i="9"/>
  <c r="BB553" i="9"/>
  <c r="BA553" i="9"/>
  <c r="AZ553" i="9"/>
  <c r="AY553" i="9"/>
  <c r="AX553" i="9"/>
  <c r="AW553" i="9"/>
  <c r="AV553" i="9"/>
  <c r="AU553" i="9"/>
  <c r="AT553" i="9"/>
  <c r="AS553" i="9"/>
  <c r="AR553" i="9"/>
  <c r="AQ553" i="9"/>
  <c r="AP553" i="9"/>
  <c r="AO553" i="9"/>
  <c r="AN553" i="9"/>
  <c r="AM553" i="9"/>
  <c r="AL553" i="9"/>
  <c r="AK553" i="9"/>
  <c r="AJ553" i="9"/>
  <c r="AI553" i="9"/>
  <c r="AH553" i="9"/>
  <c r="AG553" i="9"/>
  <c r="AF553" i="9"/>
  <c r="AE553" i="9"/>
  <c r="AD553" i="9"/>
  <c r="AC553" i="9"/>
  <c r="AB553" i="9"/>
  <c r="AA553" i="9"/>
  <c r="V553" i="9"/>
  <c r="E553" i="9"/>
  <c r="D553" i="9"/>
  <c r="BW552" i="9"/>
  <c r="BW834" i="9" s="1"/>
  <c r="BV552" i="9"/>
  <c r="BV834" i="9" s="1"/>
  <c r="BU552" i="9"/>
  <c r="BU834" i="9" s="1"/>
  <c r="BT552" i="9"/>
  <c r="BT834" i="9" s="1"/>
  <c r="BS552" i="9"/>
  <c r="BS834" i="9" s="1"/>
  <c r="BR552" i="9"/>
  <c r="BR834" i="9" s="1"/>
  <c r="BQ552" i="9"/>
  <c r="BQ834" i="9" s="1"/>
  <c r="BP552" i="9"/>
  <c r="BP834" i="9" s="1"/>
  <c r="BJ552" i="9"/>
  <c r="BI552" i="9"/>
  <c r="BH552" i="9"/>
  <c r="BG552" i="9"/>
  <c r="BF552" i="9"/>
  <c r="BE552" i="9"/>
  <c r="BD552" i="9"/>
  <c r="BC552" i="9"/>
  <c r="BB552" i="9"/>
  <c r="BA552" i="9"/>
  <c r="AZ552" i="9"/>
  <c r="AY552" i="9"/>
  <c r="AX552" i="9"/>
  <c r="AW552" i="9"/>
  <c r="AV552" i="9"/>
  <c r="AU552" i="9"/>
  <c r="AT552" i="9"/>
  <c r="AS552" i="9"/>
  <c r="AR552" i="9"/>
  <c r="AQ552" i="9"/>
  <c r="AP552" i="9"/>
  <c r="AO552" i="9"/>
  <c r="AN552" i="9"/>
  <c r="AM552" i="9"/>
  <c r="AL552" i="9"/>
  <c r="AK552" i="9"/>
  <c r="AJ552" i="9"/>
  <c r="AI552" i="9"/>
  <c r="AH552" i="9"/>
  <c r="AG552" i="9"/>
  <c r="AF552" i="9"/>
  <c r="AE552" i="9"/>
  <c r="AD552" i="9"/>
  <c r="AC552" i="9"/>
  <c r="AB552" i="9"/>
  <c r="AA552" i="9"/>
  <c r="V552" i="9"/>
  <c r="E552" i="9"/>
  <c r="D552" i="9"/>
  <c r="BW551" i="9"/>
  <c r="BW833" i="9" s="1"/>
  <c r="BV551" i="9"/>
  <c r="BV833" i="9" s="1"/>
  <c r="BU551" i="9"/>
  <c r="BU833" i="9" s="1"/>
  <c r="BT551" i="9"/>
  <c r="BT833" i="9" s="1"/>
  <c r="BS551" i="9"/>
  <c r="BS833" i="9" s="1"/>
  <c r="BR551" i="9"/>
  <c r="BR833" i="9" s="1"/>
  <c r="BQ551" i="9"/>
  <c r="BQ833" i="9" s="1"/>
  <c r="BP551" i="9"/>
  <c r="BP833" i="9" s="1"/>
  <c r="BJ551" i="9"/>
  <c r="BI551" i="9"/>
  <c r="BH551" i="9"/>
  <c r="BG551" i="9"/>
  <c r="BF551" i="9"/>
  <c r="BE551" i="9"/>
  <c r="BD551" i="9"/>
  <c r="BC551" i="9"/>
  <c r="BB551" i="9"/>
  <c r="BA551" i="9"/>
  <c r="AZ551" i="9"/>
  <c r="AY551" i="9"/>
  <c r="AX551" i="9"/>
  <c r="AW551" i="9"/>
  <c r="AV551" i="9"/>
  <c r="AU551" i="9"/>
  <c r="AT551" i="9"/>
  <c r="AS551" i="9"/>
  <c r="AR551" i="9"/>
  <c r="AQ551" i="9"/>
  <c r="AP551" i="9"/>
  <c r="AO551" i="9"/>
  <c r="AN551" i="9"/>
  <c r="AM551" i="9"/>
  <c r="AL551" i="9"/>
  <c r="AK551" i="9"/>
  <c r="AJ551" i="9"/>
  <c r="AI551" i="9"/>
  <c r="AH551" i="9"/>
  <c r="AG551" i="9"/>
  <c r="AF551" i="9"/>
  <c r="AE551" i="9"/>
  <c r="AD551" i="9"/>
  <c r="AC551" i="9"/>
  <c r="AB551" i="9"/>
  <c r="AA551" i="9"/>
  <c r="V551" i="9"/>
  <c r="E551" i="9"/>
  <c r="D551" i="9"/>
  <c r="BW550" i="9"/>
  <c r="BW832" i="9" s="1"/>
  <c r="BV550" i="9"/>
  <c r="BV832" i="9" s="1"/>
  <c r="BU550" i="9"/>
  <c r="BU832" i="9" s="1"/>
  <c r="BT550" i="9"/>
  <c r="BT832" i="9" s="1"/>
  <c r="BS550" i="9"/>
  <c r="BS832" i="9" s="1"/>
  <c r="BR550" i="9"/>
  <c r="BR832" i="9" s="1"/>
  <c r="BQ550" i="9"/>
  <c r="BQ832" i="9" s="1"/>
  <c r="BP550" i="9"/>
  <c r="BP832" i="9" s="1"/>
  <c r="BJ550" i="9"/>
  <c r="BI550" i="9"/>
  <c r="BH550" i="9"/>
  <c r="BG550" i="9"/>
  <c r="BF550" i="9"/>
  <c r="BE550" i="9"/>
  <c r="BD550" i="9"/>
  <c r="BC550" i="9"/>
  <c r="BB550" i="9"/>
  <c r="BA550" i="9"/>
  <c r="AZ550" i="9"/>
  <c r="AY550" i="9"/>
  <c r="AX550" i="9"/>
  <c r="AW550" i="9"/>
  <c r="AV550" i="9"/>
  <c r="AU550" i="9"/>
  <c r="AT550" i="9"/>
  <c r="AS550" i="9"/>
  <c r="AR550" i="9"/>
  <c r="AQ550" i="9"/>
  <c r="AP550" i="9"/>
  <c r="AO550" i="9"/>
  <c r="AN550" i="9"/>
  <c r="AM550" i="9"/>
  <c r="AL550" i="9"/>
  <c r="AK550" i="9"/>
  <c r="AJ550" i="9"/>
  <c r="AI550" i="9"/>
  <c r="AH550" i="9"/>
  <c r="AG550" i="9"/>
  <c r="AF550" i="9"/>
  <c r="AE550" i="9"/>
  <c r="AD550" i="9"/>
  <c r="AC550" i="9"/>
  <c r="AB550" i="9"/>
  <c r="AA550" i="9"/>
  <c r="V550" i="9"/>
  <c r="E550" i="9"/>
  <c r="D550" i="9"/>
  <c r="BW549" i="9"/>
  <c r="BW831" i="9" s="1"/>
  <c r="BV549" i="9"/>
  <c r="BV831" i="9" s="1"/>
  <c r="BU549" i="9"/>
  <c r="BU831" i="9" s="1"/>
  <c r="BT549" i="9"/>
  <c r="BT831" i="9" s="1"/>
  <c r="BS549" i="9"/>
  <c r="BS831" i="9" s="1"/>
  <c r="BR549" i="9"/>
  <c r="BR831" i="9" s="1"/>
  <c r="BQ549" i="9"/>
  <c r="BQ831" i="9" s="1"/>
  <c r="BP549" i="9"/>
  <c r="BP831" i="9" s="1"/>
  <c r="BJ549" i="9"/>
  <c r="BI549" i="9"/>
  <c r="BH549" i="9"/>
  <c r="BG549" i="9"/>
  <c r="BF549" i="9"/>
  <c r="BE549" i="9"/>
  <c r="BD549" i="9"/>
  <c r="BC549" i="9"/>
  <c r="BB549" i="9"/>
  <c r="BA549" i="9"/>
  <c r="AZ549" i="9"/>
  <c r="AY549" i="9"/>
  <c r="AX549" i="9"/>
  <c r="AW549" i="9"/>
  <c r="AV549" i="9"/>
  <c r="AU549" i="9"/>
  <c r="AT549" i="9"/>
  <c r="AS549" i="9"/>
  <c r="AR549" i="9"/>
  <c r="AQ549" i="9"/>
  <c r="AP549" i="9"/>
  <c r="AO549" i="9"/>
  <c r="AN549" i="9"/>
  <c r="AM549" i="9"/>
  <c r="AL549" i="9"/>
  <c r="AK549" i="9"/>
  <c r="AJ549" i="9"/>
  <c r="AI549" i="9"/>
  <c r="AH549" i="9"/>
  <c r="AG549" i="9"/>
  <c r="AF549" i="9"/>
  <c r="AE549" i="9"/>
  <c r="AD549" i="9"/>
  <c r="AC549" i="9"/>
  <c r="AB549" i="9"/>
  <c r="AA549" i="9"/>
  <c r="V549" i="9"/>
  <c r="E549" i="9"/>
  <c r="D549" i="9"/>
  <c r="BW548" i="9"/>
  <c r="BW830" i="9" s="1"/>
  <c r="BV548" i="9"/>
  <c r="BV830" i="9" s="1"/>
  <c r="BU548" i="9"/>
  <c r="BU830" i="9" s="1"/>
  <c r="BT548" i="9"/>
  <c r="BT830" i="9" s="1"/>
  <c r="BS548" i="9"/>
  <c r="BS830" i="9" s="1"/>
  <c r="BR548" i="9"/>
  <c r="BR830" i="9" s="1"/>
  <c r="BQ548" i="9"/>
  <c r="BQ830" i="9" s="1"/>
  <c r="BP548" i="9"/>
  <c r="BP830" i="9" s="1"/>
  <c r="BJ548" i="9"/>
  <c r="BI548" i="9"/>
  <c r="BH548" i="9"/>
  <c r="BG548" i="9"/>
  <c r="BF548" i="9"/>
  <c r="BE548" i="9"/>
  <c r="BD548" i="9"/>
  <c r="BC548" i="9"/>
  <c r="BB548" i="9"/>
  <c r="BA548" i="9"/>
  <c r="AZ548" i="9"/>
  <c r="AY548" i="9"/>
  <c r="AX548" i="9"/>
  <c r="AW548" i="9"/>
  <c r="AV548" i="9"/>
  <c r="AU548" i="9"/>
  <c r="AT548" i="9"/>
  <c r="AS548" i="9"/>
  <c r="AR548" i="9"/>
  <c r="AQ548" i="9"/>
  <c r="AP548" i="9"/>
  <c r="AO548" i="9"/>
  <c r="AN548" i="9"/>
  <c r="AM548" i="9"/>
  <c r="AL548" i="9"/>
  <c r="AK548" i="9"/>
  <c r="AJ548" i="9"/>
  <c r="AI548" i="9"/>
  <c r="AH548" i="9"/>
  <c r="AG548" i="9"/>
  <c r="AF548" i="9"/>
  <c r="AE548" i="9"/>
  <c r="AD548" i="9"/>
  <c r="AC548" i="9"/>
  <c r="AB548" i="9"/>
  <c r="AA548" i="9"/>
  <c r="V548" i="9"/>
  <c r="E548" i="9"/>
  <c r="D548" i="9"/>
  <c r="BW547" i="9"/>
  <c r="BW829" i="9" s="1"/>
  <c r="BV547" i="9"/>
  <c r="BV829" i="9" s="1"/>
  <c r="BU547" i="9"/>
  <c r="BU829" i="9" s="1"/>
  <c r="BT547" i="9"/>
  <c r="BT829" i="9" s="1"/>
  <c r="BS547" i="9"/>
  <c r="BS829" i="9" s="1"/>
  <c r="BR547" i="9"/>
  <c r="BR829" i="9" s="1"/>
  <c r="BQ547" i="9"/>
  <c r="BQ829" i="9" s="1"/>
  <c r="BP547" i="9"/>
  <c r="BP829" i="9" s="1"/>
  <c r="BJ547" i="9"/>
  <c r="BI547" i="9"/>
  <c r="BH547" i="9"/>
  <c r="BG547" i="9"/>
  <c r="BF547" i="9"/>
  <c r="BE547" i="9"/>
  <c r="BD547" i="9"/>
  <c r="BC547" i="9"/>
  <c r="BB547" i="9"/>
  <c r="BA547" i="9"/>
  <c r="AZ547" i="9"/>
  <c r="AY547" i="9"/>
  <c r="AX547" i="9"/>
  <c r="AW547" i="9"/>
  <c r="AV547" i="9"/>
  <c r="AU547" i="9"/>
  <c r="AT547" i="9"/>
  <c r="AS547" i="9"/>
  <c r="AR547" i="9"/>
  <c r="AQ547" i="9"/>
  <c r="AP547" i="9"/>
  <c r="AO547" i="9"/>
  <c r="AN547" i="9"/>
  <c r="AM547" i="9"/>
  <c r="AL547" i="9"/>
  <c r="AK547" i="9"/>
  <c r="AJ547" i="9"/>
  <c r="AI547" i="9"/>
  <c r="AH547" i="9"/>
  <c r="AG547" i="9"/>
  <c r="AF547" i="9"/>
  <c r="AE547" i="9"/>
  <c r="AD547" i="9"/>
  <c r="AC547" i="9"/>
  <c r="AB547" i="9"/>
  <c r="AA547" i="9"/>
  <c r="V547" i="9"/>
  <c r="E547" i="9"/>
  <c r="D547" i="9"/>
  <c r="BW546" i="9"/>
  <c r="BW828" i="9" s="1"/>
  <c r="BV546" i="9"/>
  <c r="BV828" i="9" s="1"/>
  <c r="BU546" i="9"/>
  <c r="BU828" i="9" s="1"/>
  <c r="BT546" i="9"/>
  <c r="BT828" i="9" s="1"/>
  <c r="BS546" i="9"/>
  <c r="BS828" i="9" s="1"/>
  <c r="BR546" i="9"/>
  <c r="BR828" i="9" s="1"/>
  <c r="BQ546" i="9"/>
  <c r="BQ828" i="9" s="1"/>
  <c r="BP546" i="9"/>
  <c r="BP828" i="9" s="1"/>
  <c r="BJ546" i="9"/>
  <c r="BI546" i="9"/>
  <c r="BH546" i="9"/>
  <c r="BG546" i="9"/>
  <c r="BF546" i="9"/>
  <c r="BE546" i="9"/>
  <c r="BD546" i="9"/>
  <c r="BC546" i="9"/>
  <c r="BB546" i="9"/>
  <c r="BA546" i="9"/>
  <c r="AZ546" i="9"/>
  <c r="AY546" i="9"/>
  <c r="AX546" i="9"/>
  <c r="AW546" i="9"/>
  <c r="AV546" i="9"/>
  <c r="AU546" i="9"/>
  <c r="AT546" i="9"/>
  <c r="AS546" i="9"/>
  <c r="AR546" i="9"/>
  <c r="AQ546" i="9"/>
  <c r="AP546" i="9"/>
  <c r="AO546" i="9"/>
  <c r="AN546" i="9"/>
  <c r="AM546" i="9"/>
  <c r="AL546" i="9"/>
  <c r="AK546" i="9"/>
  <c r="AJ546" i="9"/>
  <c r="AI546" i="9"/>
  <c r="AH546" i="9"/>
  <c r="AG546" i="9"/>
  <c r="AF546" i="9"/>
  <c r="AE546" i="9"/>
  <c r="AD546" i="9"/>
  <c r="AC546" i="9"/>
  <c r="AB546" i="9"/>
  <c r="AA546" i="9"/>
  <c r="V546" i="9"/>
  <c r="V686" i="9" s="1"/>
  <c r="BL686" i="9" s="1"/>
  <c r="E546" i="9"/>
  <c r="D546" i="9"/>
  <c r="E545" i="9"/>
  <c r="D545" i="9"/>
  <c r="D544" i="9"/>
  <c r="V542" i="9"/>
  <c r="E542" i="9"/>
  <c r="D542" i="9"/>
  <c r="V541" i="9"/>
  <c r="E541" i="9"/>
  <c r="D541" i="9"/>
  <c r="V540" i="9"/>
  <c r="E540" i="9"/>
  <c r="D540" i="9"/>
  <c r="V539" i="9"/>
  <c r="E539" i="9"/>
  <c r="D539" i="9"/>
  <c r="V538" i="9"/>
  <c r="E538" i="9"/>
  <c r="D538" i="9"/>
  <c r="V537" i="9"/>
  <c r="E537" i="9"/>
  <c r="D537" i="9"/>
  <c r="V536" i="9"/>
  <c r="E536" i="9"/>
  <c r="D536" i="9"/>
  <c r="V535" i="9"/>
  <c r="E535" i="9"/>
  <c r="D535" i="9"/>
  <c r="V534" i="9"/>
  <c r="E534" i="9"/>
  <c r="D534" i="9"/>
  <c r="V533" i="9"/>
  <c r="E533" i="9"/>
  <c r="D533" i="9"/>
  <c r="V532" i="9"/>
  <c r="E532" i="9"/>
  <c r="D532" i="9"/>
  <c r="V531" i="9"/>
  <c r="E531" i="9"/>
  <c r="D531" i="9"/>
  <c r="V530" i="9"/>
  <c r="E530" i="9"/>
  <c r="D530" i="9"/>
  <c r="V529" i="9"/>
  <c r="E529" i="9"/>
  <c r="D529" i="9"/>
  <c r="V528" i="9"/>
  <c r="E528" i="9"/>
  <c r="D528" i="9"/>
  <c r="V527" i="9"/>
  <c r="E527" i="9"/>
  <c r="D527" i="9"/>
  <c r="V526" i="9"/>
  <c r="E526" i="9"/>
  <c r="D526" i="9"/>
  <c r="V525" i="9"/>
  <c r="E525" i="9"/>
  <c r="D525" i="9"/>
  <c r="V524" i="9"/>
  <c r="E524" i="9"/>
  <c r="D524" i="9"/>
  <c r="V523" i="9"/>
  <c r="E523" i="9"/>
  <c r="D523" i="9"/>
  <c r="E522" i="9"/>
  <c r="D522" i="9"/>
  <c r="D521" i="9"/>
  <c r="E519" i="9"/>
  <c r="D519" i="9"/>
  <c r="E518" i="9"/>
  <c r="D518" i="9"/>
  <c r="E517" i="9"/>
  <c r="D517" i="9"/>
  <c r="E516" i="9"/>
  <c r="D516" i="9"/>
  <c r="E515" i="9"/>
  <c r="D515" i="9"/>
  <c r="E514" i="9"/>
  <c r="D514" i="9"/>
  <c r="E513" i="9"/>
  <c r="D513" i="9"/>
  <c r="E512" i="9"/>
  <c r="D512" i="9"/>
  <c r="E511" i="9"/>
  <c r="D511" i="9"/>
  <c r="E510" i="9"/>
  <c r="D510" i="9"/>
  <c r="E509" i="9"/>
  <c r="D509" i="9"/>
  <c r="E508" i="9"/>
  <c r="D508" i="9"/>
  <c r="E507" i="9"/>
  <c r="D507" i="9"/>
  <c r="E506" i="9"/>
  <c r="D506" i="9"/>
  <c r="E505" i="9"/>
  <c r="D505" i="9"/>
  <c r="E504" i="9"/>
  <c r="D504" i="9"/>
  <c r="E503" i="9"/>
  <c r="D503" i="9"/>
  <c r="E502" i="9"/>
  <c r="D502" i="9"/>
  <c r="E501" i="9"/>
  <c r="D501" i="9"/>
  <c r="E500" i="9"/>
  <c r="D500" i="9"/>
  <c r="E499" i="9"/>
  <c r="D499" i="9"/>
  <c r="D498" i="9"/>
  <c r="E496" i="9"/>
  <c r="D496" i="9"/>
  <c r="E495" i="9"/>
  <c r="D495" i="9"/>
  <c r="E494" i="9"/>
  <c r="D494" i="9"/>
  <c r="E493" i="9"/>
  <c r="D493" i="9"/>
  <c r="E492" i="9"/>
  <c r="D492" i="9"/>
  <c r="E491" i="9"/>
  <c r="D491" i="9"/>
  <c r="E490" i="9"/>
  <c r="D490" i="9"/>
  <c r="E489" i="9"/>
  <c r="D489" i="9"/>
  <c r="E488" i="9"/>
  <c r="D488" i="9"/>
  <c r="E487" i="9"/>
  <c r="D487" i="9"/>
  <c r="E486" i="9"/>
  <c r="D486" i="9"/>
  <c r="E485" i="9"/>
  <c r="D485" i="9"/>
  <c r="E484" i="9"/>
  <c r="D484" i="9"/>
  <c r="E483" i="9"/>
  <c r="D483" i="9"/>
  <c r="E482" i="9"/>
  <c r="D482" i="9"/>
  <c r="E481" i="9"/>
  <c r="D481" i="9"/>
  <c r="E480" i="9"/>
  <c r="D480" i="9"/>
  <c r="E479" i="9"/>
  <c r="D479" i="9"/>
  <c r="E478" i="9"/>
  <c r="D478" i="9"/>
  <c r="E477" i="9"/>
  <c r="D477" i="9"/>
  <c r="E476" i="9"/>
  <c r="D476" i="9"/>
  <c r="BW473" i="9"/>
  <c r="BV473" i="9"/>
  <c r="BU473" i="9"/>
  <c r="BT473" i="9"/>
  <c r="BS473" i="9"/>
  <c r="BR473" i="9"/>
  <c r="BQ473" i="9"/>
  <c r="BP473" i="9"/>
  <c r="BJ473" i="9"/>
  <c r="BI473" i="9"/>
  <c r="BH473" i="9"/>
  <c r="BG473" i="9"/>
  <c r="BF473" i="9"/>
  <c r="BE473" i="9"/>
  <c r="BD473" i="9"/>
  <c r="BC473" i="9"/>
  <c r="BB473" i="9"/>
  <c r="BA473" i="9"/>
  <c r="AZ473" i="9"/>
  <c r="AY473" i="9"/>
  <c r="AX473" i="9"/>
  <c r="AW473" i="9"/>
  <c r="AV473" i="9"/>
  <c r="AU473" i="9"/>
  <c r="AT473" i="9"/>
  <c r="AS473" i="9"/>
  <c r="AR473" i="9"/>
  <c r="AQ473" i="9"/>
  <c r="AP473" i="9"/>
  <c r="AO473" i="9"/>
  <c r="AN473" i="9"/>
  <c r="AM473" i="9"/>
  <c r="AL473" i="9"/>
  <c r="AK473" i="9"/>
  <c r="AJ473" i="9"/>
  <c r="AI473" i="9"/>
  <c r="AH473" i="9"/>
  <c r="AG473" i="9"/>
  <c r="AF473" i="9"/>
  <c r="AE473" i="9"/>
  <c r="AD473" i="9"/>
  <c r="AC473" i="9"/>
  <c r="AB473" i="9"/>
  <c r="AA473" i="9"/>
  <c r="V473" i="9"/>
  <c r="E473" i="9"/>
  <c r="D473" i="9"/>
  <c r="BW472" i="9"/>
  <c r="BV472" i="9"/>
  <c r="BU472" i="9"/>
  <c r="BT472" i="9"/>
  <c r="BS472" i="9"/>
  <c r="BR472" i="9"/>
  <c r="BQ472" i="9"/>
  <c r="BP472" i="9"/>
  <c r="BJ472" i="9"/>
  <c r="BI472" i="9"/>
  <c r="BH472" i="9"/>
  <c r="BG472" i="9"/>
  <c r="BF472" i="9"/>
  <c r="BE472" i="9"/>
  <c r="BD472" i="9"/>
  <c r="BC472" i="9"/>
  <c r="BB472" i="9"/>
  <c r="BA472" i="9"/>
  <c r="AZ472" i="9"/>
  <c r="AY472" i="9"/>
  <c r="AX472" i="9"/>
  <c r="AW472" i="9"/>
  <c r="AV472" i="9"/>
  <c r="AU472" i="9"/>
  <c r="AT472" i="9"/>
  <c r="AS472" i="9"/>
  <c r="AR472" i="9"/>
  <c r="AQ472" i="9"/>
  <c r="AP472" i="9"/>
  <c r="AO472" i="9"/>
  <c r="AN472" i="9"/>
  <c r="AM472" i="9"/>
  <c r="AL472" i="9"/>
  <c r="AK472" i="9"/>
  <c r="AJ472" i="9"/>
  <c r="AI472" i="9"/>
  <c r="AH472" i="9"/>
  <c r="AG472" i="9"/>
  <c r="AF472" i="9"/>
  <c r="AE472" i="9"/>
  <c r="AD472" i="9"/>
  <c r="AC472" i="9"/>
  <c r="AB472" i="9"/>
  <c r="AA472" i="9"/>
  <c r="V472" i="9"/>
  <c r="E472" i="9"/>
  <c r="D472" i="9"/>
  <c r="BW471" i="9"/>
  <c r="BV471" i="9"/>
  <c r="BU471" i="9"/>
  <c r="BT471" i="9"/>
  <c r="BS471" i="9"/>
  <c r="BR471" i="9"/>
  <c r="BQ471" i="9"/>
  <c r="BP471" i="9"/>
  <c r="BJ471" i="9"/>
  <c r="BI471" i="9"/>
  <c r="BH471" i="9"/>
  <c r="BG471" i="9"/>
  <c r="BF471" i="9"/>
  <c r="BE471" i="9"/>
  <c r="BD471" i="9"/>
  <c r="BC471" i="9"/>
  <c r="BB471" i="9"/>
  <c r="BA471" i="9"/>
  <c r="AZ471" i="9"/>
  <c r="AY471" i="9"/>
  <c r="AX471" i="9"/>
  <c r="AW471" i="9"/>
  <c r="AV471" i="9"/>
  <c r="AU471" i="9"/>
  <c r="AT471" i="9"/>
  <c r="AS471" i="9"/>
  <c r="AR471" i="9"/>
  <c r="AQ471" i="9"/>
  <c r="AP471" i="9"/>
  <c r="AO471" i="9"/>
  <c r="AN471" i="9"/>
  <c r="AM471" i="9"/>
  <c r="AL471" i="9"/>
  <c r="AK471" i="9"/>
  <c r="AJ471" i="9"/>
  <c r="AI471" i="9"/>
  <c r="AH471" i="9"/>
  <c r="AG471" i="9"/>
  <c r="AF471" i="9"/>
  <c r="AE471" i="9"/>
  <c r="AD471" i="9"/>
  <c r="AC471" i="9"/>
  <c r="AB471" i="9"/>
  <c r="AA471" i="9"/>
  <c r="V471" i="9"/>
  <c r="E471" i="9"/>
  <c r="D471" i="9"/>
  <c r="BW470" i="9"/>
  <c r="BV470" i="9"/>
  <c r="BU470" i="9"/>
  <c r="BT470" i="9"/>
  <c r="BS470" i="9"/>
  <c r="BR470" i="9"/>
  <c r="BQ470" i="9"/>
  <c r="BP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V470" i="9"/>
  <c r="E470" i="9"/>
  <c r="D470" i="9"/>
  <c r="BW469" i="9"/>
  <c r="BV469" i="9"/>
  <c r="BU469" i="9"/>
  <c r="BT469" i="9"/>
  <c r="BS469" i="9"/>
  <c r="BR469" i="9"/>
  <c r="BQ469" i="9"/>
  <c r="BP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V469" i="9"/>
  <c r="E469" i="9"/>
  <c r="D469" i="9"/>
  <c r="BW468" i="9"/>
  <c r="BV468" i="9"/>
  <c r="BU468" i="9"/>
  <c r="BT468" i="9"/>
  <c r="BS468" i="9"/>
  <c r="BR468" i="9"/>
  <c r="BQ468" i="9"/>
  <c r="BP468" i="9"/>
  <c r="BJ468" i="9"/>
  <c r="BI468" i="9"/>
  <c r="BH468" i="9"/>
  <c r="BG468" i="9"/>
  <c r="BF468" i="9"/>
  <c r="BE468" i="9"/>
  <c r="BD468" i="9"/>
  <c r="BC468" i="9"/>
  <c r="BB468" i="9"/>
  <c r="BA468" i="9"/>
  <c r="AZ468" i="9"/>
  <c r="AY468" i="9"/>
  <c r="AX468" i="9"/>
  <c r="AW468" i="9"/>
  <c r="AV468" i="9"/>
  <c r="AU468" i="9"/>
  <c r="AT468" i="9"/>
  <c r="AS468" i="9"/>
  <c r="AR468" i="9"/>
  <c r="AQ468" i="9"/>
  <c r="AP468" i="9"/>
  <c r="AO468" i="9"/>
  <c r="AN468" i="9"/>
  <c r="AM468" i="9"/>
  <c r="AL468" i="9"/>
  <c r="AK468" i="9"/>
  <c r="AJ468" i="9"/>
  <c r="AI468" i="9"/>
  <c r="AH468" i="9"/>
  <c r="AG468" i="9"/>
  <c r="AF468" i="9"/>
  <c r="AE468" i="9"/>
  <c r="AD468" i="9"/>
  <c r="AC468" i="9"/>
  <c r="AB468" i="9"/>
  <c r="AA468" i="9"/>
  <c r="V468" i="9"/>
  <c r="E468" i="9"/>
  <c r="D468" i="9"/>
  <c r="BW467" i="9"/>
  <c r="BV467" i="9"/>
  <c r="BU467" i="9"/>
  <c r="BT467" i="9"/>
  <c r="BS467" i="9"/>
  <c r="BR467" i="9"/>
  <c r="BQ467" i="9"/>
  <c r="BP467" i="9"/>
  <c r="BJ467" i="9"/>
  <c r="BI467" i="9"/>
  <c r="BH467" i="9"/>
  <c r="BG467" i="9"/>
  <c r="BF467" i="9"/>
  <c r="BE467" i="9"/>
  <c r="BD467" i="9"/>
  <c r="BC467" i="9"/>
  <c r="BB467" i="9"/>
  <c r="BA467" i="9"/>
  <c r="AZ467" i="9"/>
  <c r="AY467" i="9"/>
  <c r="AX467" i="9"/>
  <c r="AW467" i="9"/>
  <c r="AV467" i="9"/>
  <c r="AU467" i="9"/>
  <c r="AT467" i="9"/>
  <c r="AS467" i="9"/>
  <c r="AR467" i="9"/>
  <c r="AQ467" i="9"/>
  <c r="AP467" i="9"/>
  <c r="AO467" i="9"/>
  <c r="AN467" i="9"/>
  <c r="AM467" i="9"/>
  <c r="AL467" i="9"/>
  <c r="AK467" i="9"/>
  <c r="AJ467" i="9"/>
  <c r="AI467" i="9"/>
  <c r="AH467" i="9"/>
  <c r="AG467" i="9"/>
  <c r="AF467" i="9"/>
  <c r="AE467" i="9"/>
  <c r="AD467" i="9"/>
  <c r="AC467" i="9"/>
  <c r="AB467" i="9"/>
  <c r="AA467" i="9"/>
  <c r="V467" i="9"/>
  <c r="E467" i="9"/>
  <c r="D467" i="9"/>
  <c r="BW466" i="9"/>
  <c r="BV466" i="9"/>
  <c r="BU466" i="9"/>
  <c r="BT466" i="9"/>
  <c r="BS466" i="9"/>
  <c r="BR466" i="9"/>
  <c r="BQ466" i="9"/>
  <c r="BP466" i="9"/>
  <c r="BJ466" i="9"/>
  <c r="BI466" i="9"/>
  <c r="BH466" i="9"/>
  <c r="BG466" i="9"/>
  <c r="BF466" i="9"/>
  <c r="BE466" i="9"/>
  <c r="BD466" i="9"/>
  <c r="BC466" i="9"/>
  <c r="BB466" i="9"/>
  <c r="BA466" i="9"/>
  <c r="AZ466" i="9"/>
  <c r="AY466" i="9"/>
  <c r="AX466" i="9"/>
  <c r="AW466" i="9"/>
  <c r="AV466" i="9"/>
  <c r="AU466" i="9"/>
  <c r="AT466" i="9"/>
  <c r="AS466" i="9"/>
  <c r="AR466" i="9"/>
  <c r="AQ466" i="9"/>
  <c r="AP466" i="9"/>
  <c r="AO466" i="9"/>
  <c r="AN466" i="9"/>
  <c r="AM466" i="9"/>
  <c r="AL466" i="9"/>
  <c r="AK466" i="9"/>
  <c r="AJ466" i="9"/>
  <c r="AI466" i="9"/>
  <c r="AH466" i="9"/>
  <c r="AG466" i="9"/>
  <c r="AF466" i="9"/>
  <c r="AE466" i="9"/>
  <c r="AD466" i="9"/>
  <c r="AC466" i="9"/>
  <c r="AB466" i="9"/>
  <c r="AA466" i="9"/>
  <c r="V466" i="9"/>
  <c r="E466" i="9"/>
  <c r="D466" i="9"/>
  <c r="BW465" i="9"/>
  <c r="BV465" i="9"/>
  <c r="BU465" i="9"/>
  <c r="BT465" i="9"/>
  <c r="BS465" i="9"/>
  <c r="BR465" i="9"/>
  <c r="BQ465" i="9"/>
  <c r="BP465" i="9"/>
  <c r="BJ465" i="9"/>
  <c r="BI465" i="9"/>
  <c r="BH465" i="9"/>
  <c r="BG465" i="9"/>
  <c r="BF465" i="9"/>
  <c r="BE465" i="9"/>
  <c r="BD465" i="9"/>
  <c r="BC465" i="9"/>
  <c r="BB465" i="9"/>
  <c r="BA465" i="9"/>
  <c r="AZ465" i="9"/>
  <c r="AY465" i="9"/>
  <c r="AX465" i="9"/>
  <c r="AW465" i="9"/>
  <c r="AV465" i="9"/>
  <c r="AU465" i="9"/>
  <c r="AT465" i="9"/>
  <c r="AS465" i="9"/>
  <c r="AR465" i="9"/>
  <c r="AQ465" i="9"/>
  <c r="AP465" i="9"/>
  <c r="AO465" i="9"/>
  <c r="AN465" i="9"/>
  <c r="AM465" i="9"/>
  <c r="AL465" i="9"/>
  <c r="AK465" i="9"/>
  <c r="AJ465" i="9"/>
  <c r="AI465" i="9"/>
  <c r="AH465" i="9"/>
  <c r="AG465" i="9"/>
  <c r="AF465" i="9"/>
  <c r="AE465" i="9"/>
  <c r="AD465" i="9"/>
  <c r="AC465" i="9"/>
  <c r="AB465" i="9"/>
  <c r="AA465" i="9"/>
  <c r="V465" i="9"/>
  <c r="E465" i="9"/>
  <c r="D465" i="9"/>
  <c r="BW464" i="9"/>
  <c r="BV464" i="9"/>
  <c r="BU464" i="9"/>
  <c r="BT464" i="9"/>
  <c r="BS464" i="9"/>
  <c r="BR464" i="9"/>
  <c r="BQ464" i="9"/>
  <c r="BP464" i="9"/>
  <c r="BJ464" i="9"/>
  <c r="BI464" i="9"/>
  <c r="BH464" i="9"/>
  <c r="BG464" i="9"/>
  <c r="BF464" i="9"/>
  <c r="BE464" i="9"/>
  <c r="BD464" i="9"/>
  <c r="BC464" i="9"/>
  <c r="BB464" i="9"/>
  <c r="BA464" i="9"/>
  <c r="AZ464" i="9"/>
  <c r="AY464" i="9"/>
  <c r="AX464" i="9"/>
  <c r="AW464" i="9"/>
  <c r="AV464" i="9"/>
  <c r="AU464" i="9"/>
  <c r="AT464" i="9"/>
  <c r="AS464" i="9"/>
  <c r="AR464" i="9"/>
  <c r="AQ464" i="9"/>
  <c r="AP464" i="9"/>
  <c r="AO464" i="9"/>
  <c r="AN464" i="9"/>
  <c r="AM464" i="9"/>
  <c r="AL464" i="9"/>
  <c r="AK464" i="9"/>
  <c r="AJ464" i="9"/>
  <c r="AI464" i="9"/>
  <c r="AH464" i="9"/>
  <c r="AG464" i="9"/>
  <c r="AF464" i="9"/>
  <c r="AE464" i="9"/>
  <c r="AD464" i="9"/>
  <c r="AC464" i="9"/>
  <c r="AB464" i="9"/>
  <c r="AA464" i="9"/>
  <c r="V464" i="9"/>
  <c r="E464" i="9"/>
  <c r="D464" i="9"/>
  <c r="BW463" i="9"/>
  <c r="BV463" i="9"/>
  <c r="BU463" i="9"/>
  <c r="BT463" i="9"/>
  <c r="BS463" i="9"/>
  <c r="BR463" i="9"/>
  <c r="BQ463" i="9"/>
  <c r="BP463" i="9"/>
  <c r="BJ463" i="9"/>
  <c r="BI463" i="9"/>
  <c r="BH463" i="9"/>
  <c r="BG463" i="9"/>
  <c r="BF463" i="9"/>
  <c r="BE463" i="9"/>
  <c r="BD463" i="9"/>
  <c r="BC463" i="9"/>
  <c r="BB463" i="9"/>
  <c r="BA463" i="9"/>
  <c r="AZ463" i="9"/>
  <c r="AY463" i="9"/>
  <c r="AX463" i="9"/>
  <c r="AW463" i="9"/>
  <c r="AV463" i="9"/>
  <c r="AU463" i="9"/>
  <c r="AT463" i="9"/>
  <c r="AS463" i="9"/>
  <c r="AR463" i="9"/>
  <c r="AQ463" i="9"/>
  <c r="AP463" i="9"/>
  <c r="AO463" i="9"/>
  <c r="AN463" i="9"/>
  <c r="AM463" i="9"/>
  <c r="AL463" i="9"/>
  <c r="AK463" i="9"/>
  <c r="AJ463" i="9"/>
  <c r="AI463" i="9"/>
  <c r="AH463" i="9"/>
  <c r="AG463" i="9"/>
  <c r="AF463" i="9"/>
  <c r="AE463" i="9"/>
  <c r="AD463" i="9"/>
  <c r="AC463" i="9"/>
  <c r="AB463" i="9"/>
  <c r="AA463" i="9"/>
  <c r="V463" i="9"/>
  <c r="E463" i="9"/>
  <c r="D463" i="9"/>
  <c r="BW462" i="9"/>
  <c r="BV462" i="9"/>
  <c r="BU462" i="9"/>
  <c r="BT462" i="9"/>
  <c r="BS462" i="9"/>
  <c r="BR462" i="9"/>
  <c r="BQ462" i="9"/>
  <c r="BP462" i="9"/>
  <c r="BJ462" i="9"/>
  <c r="BI462" i="9"/>
  <c r="BH462" i="9"/>
  <c r="BG462" i="9"/>
  <c r="BF462" i="9"/>
  <c r="BE462" i="9"/>
  <c r="BD462" i="9"/>
  <c r="BC462" i="9"/>
  <c r="BB462" i="9"/>
  <c r="BA462" i="9"/>
  <c r="AZ462" i="9"/>
  <c r="AY462" i="9"/>
  <c r="AX462" i="9"/>
  <c r="AW462" i="9"/>
  <c r="AV462" i="9"/>
  <c r="AU462" i="9"/>
  <c r="AT462" i="9"/>
  <c r="AS462" i="9"/>
  <c r="AR462" i="9"/>
  <c r="AQ462" i="9"/>
  <c r="AP462" i="9"/>
  <c r="AO462" i="9"/>
  <c r="AN462" i="9"/>
  <c r="AM462" i="9"/>
  <c r="AL462" i="9"/>
  <c r="AK462" i="9"/>
  <c r="AJ462" i="9"/>
  <c r="AI462" i="9"/>
  <c r="AH462" i="9"/>
  <c r="AG462" i="9"/>
  <c r="AF462" i="9"/>
  <c r="AE462" i="9"/>
  <c r="AD462" i="9"/>
  <c r="AC462" i="9"/>
  <c r="AB462" i="9"/>
  <c r="AA462" i="9"/>
  <c r="V462" i="9"/>
  <c r="E462" i="9"/>
  <c r="D462" i="9"/>
  <c r="BW461" i="9"/>
  <c r="BV461" i="9"/>
  <c r="BU461" i="9"/>
  <c r="BT461" i="9"/>
  <c r="BS461" i="9"/>
  <c r="BR461" i="9"/>
  <c r="BQ461" i="9"/>
  <c r="BP461" i="9"/>
  <c r="BJ461" i="9"/>
  <c r="BI461" i="9"/>
  <c r="BH461" i="9"/>
  <c r="BG461" i="9"/>
  <c r="BF461" i="9"/>
  <c r="BE461" i="9"/>
  <c r="BD461" i="9"/>
  <c r="BC461" i="9"/>
  <c r="BB461" i="9"/>
  <c r="BA461" i="9"/>
  <c r="AZ461" i="9"/>
  <c r="AY461" i="9"/>
  <c r="AX461" i="9"/>
  <c r="AW461" i="9"/>
  <c r="AV461" i="9"/>
  <c r="AU461" i="9"/>
  <c r="AT461" i="9"/>
  <c r="AS461" i="9"/>
  <c r="AR461" i="9"/>
  <c r="AQ461" i="9"/>
  <c r="AP461" i="9"/>
  <c r="AO461" i="9"/>
  <c r="AN461" i="9"/>
  <c r="AM461" i="9"/>
  <c r="AL461" i="9"/>
  <c r="AK461" i="9"/>
  <c r="AJ461" i="9"/>
  <c r="AI461" i="9"/>
  <c r="AH461" i="9"/>
  <c r="AG461" i="9"/>
  <c r="AF461" i="9"/>
  <c r="AE461" i="9"/>
  <c r="AD461" i="9"/>
  <c r="AC461" i="9"/>
  <c r="AB461" i="9"/>
  <c r="AA461" i="9"/>
  <c r="V461" i="9"/>
  <c r="E461" i="9"/>
  <c r="D461" i="9"/>
  <c r="BW460" i="9"/>
  <c r="BV460" i="9"/>
  <c r="BU460" i="9"/>
  <c r="BT460" i="9"/>
  <c r="BS460" i="9"/>
  <c r="BR460" i="9"/>
  <c r="BQ460" i="9"/>
  <c r="BP460" i="9"/>
  <c r="BJ460" i="9"/>
  <c r="BI460" i="9"/>
  <c r="BH460" i="9"/>
  <c r="BG460" i="9"/>
  <c r="BF460" i="9"/>
  <c r="BE460" i="9"/>
  <c r="BD460" i="9"/>
  <c r="BC460" i="9"/>
  <c r="BB460" i="9"/>
  <c r="BA460" i="9"/>
  <c r="AZ460" i="9"/>
  <c r="AY460" i="9"/>
  <c r="AX460" i="9"/>
  <c r="AW460" i="9"/>
  <c r="AV460" i="9"/>
  <c r="AU460" i="9"/>
  <c r="AT460" i="9"/>
  <c r="AS460" i="9"/>
  <c r="AR460" i="9"/>
  <c r="AQ460" i="9"/>
  <c r="AP460" i="9"/>
  <c r="AO460" i="9"/>
  <c r="AN460" i="9"/>
  <c r="AM460" i="9"/>
  <c r="AL460" i="9"/>
  <c r="AK460" i="9"/>
  <c r="AJ460" i="9"/>
  <c r="AI460" i="9"/>
  <c r="AH460" i="9"/>
  <c r="AG460" i="9"/>
  <c r="AF460" i="9"/>
  <c r="AE460" i="9"/>
  <c r="AD460" i="9"/>
  <c r="AC460" i="9"/>
  <c r="AB460" i="9"/>
  <c r="AA460" i="9"/>
  <c r="V460" i="9"/>
  <c r="E460" i="9"/>
  <c r="D460" i="9"/>
  <c r="BW459" i="9"/>
  <c r="BV459" i="9"/>
  <c r="BU459" i="9"/>
  <c r="BT459" i="9"/>
  <c r="BS459" i="9"/>
  <c r="BR459" i="9"/>
  <c r="BQ459" i="9"/>
  <c r="BP459" i="9"/>
  <c r="BJ459" i="9"/>
  <c r="BI459" i="9"/>
  <c r="BH459" i="9"/>
  <c r="BG459" i="9"/>
  <c r="BF459" i="9"/>
  <c r="BE459" i="9"/>
  <c r="BD459" i="9"/>
  <c r="BC459" i="9"/>
  <c r="BB459" i="9"/>
  <c r="BA459" i="9"/>
  <c r="AZ459" i="9"/>
  <c r="AY459" i="9"/>
  <c r="AX459" i="9"/>
  <c r="AW459" i="9"/>
  <c r="AV459" i="9"/>
  <c r="AU459" i="9"/>
  <c r="AT459" i="9"/>
  <c r="AS459" i="9"/>
  <c r="AR459" i="9"/>
  <c r="AQ459" i="9"/>
  <c r="AP459" i="9"/>
  <c r="AO459" i="9"/>
  <c r="AN459" i="9"/>
  <c r="AM459" i="9"/>
  <c r="AL459" i="9"/>
  <c r="AK459" i="9"/>
  <c r="AJ459" i="9"/>
  <c r="AI459" i="9"/>
  <c r="AH459" i="9"/>
  <c r="AG459" i="9"/>
  <c r="AF459" i="9"/>
  <c r="AE459" i="9"/>
  <c r="AD459" i="9"/>
  <c r="AC459" i="9"/>
  <c r="AB459" i="9"/>
  <c r="AA459" i="9"/>
  <c r="V459" i="9"/>
  <c r="E459" i="9"/>
  <c r="D459" i="9"/>
  <c r="BW458" i="9"/>
  <c r="BV458" i="9"/>
  <c r="BU458" i="9"/>
  <c r="BT458" i="9"/>
  <c r="BS458" i="9"/>
  <c r="BR458" i="9"/>
  <c r="BQ458" i="9"/>
  <c r="BP458" i="9"/>
  <c r="BJ458" i="9"/>
  <c r="BI458" i="9"/>
  <c r="BH458" i="9"/>
  <c r="BG458" i="9"/>
  <c r="BF458" i="9"/>
  <c r="BE458" i="9"/>
  <c r="BD458" i="9"/>
  <c r="BC458" i="9"/>
  <c r="BB458" i="9"/>
  <c r="BA458" i="9"/>
  <c r="AZ458" i="9"/>
  <c r="AY458" i="9"/>
  <c r="AX458" i="9"/>
  <c r="AW458" i="9"/>
  <c r="AV458" i="9"/>
  <c r="AU458" i="9"/>
  <c r="AT458" i="9"/>
  <c r="AS458" i="9"/>
  <c r="AR458" i="9"/>
  <c r="AQ458" i="9"/>
  <c r="AP458" i="9"/>
  <c r="AO458" i="9"/>
  <c r="AN458" i="9"/>
  <c r="AM458" i="9"/>
  <c r="AL458" i="9"/>
  <c r="AK458" i="9"/>
  <c r="AJ458" i="9"/>
  <c r="AI458" i="9"/>
  <c r="AH458" i="9"/>
  <c r="AG458" i="9"/>
  <c r="AF458" i="9"/>
  <c r="AE458" i="9"/>
  <c r="AD458" i="9"/>
  <c r="AC458" i="9"/>
  <c r="AB458" i="9"/>
  <c r="AA458" i="9"/>
  <c r="V458" i="9"/>
  <c r="E458" i="9"/>
  <c r="D458" i="9"/>
  <c r="BW457" i="9"/>
  <c r="BV457" i="9"/>
  <c r="BU457" i="9"/>
  <c r="BT457" i="9"/>
  <c r="BS457" i="9"/>
  <c r="BR457" i="9"/>
  <c r="BQ457" i="9"/>
  <c r="BP457" i="9"/>
  <c r="BJ457" i="9"/>
  <c r="BI457" i="9"/>
  <c r="BH457" i="9"/>
  <c r="BG457" i="9"/>
  <c r="BF457" i="9"/>
  <c r="BE457" i="9"/>
  <c r="BD457" i="9"/>
  <c r="BC457" i="9"/>
  <c r="BB457" i="9"/>
  <c r="BA457" i="9"/>
  <c r="AZ457" i="9"/>
  <c r="AY457" i="9"/>
  <c r="AX457" i="9"/>
  <c r="AW457" i="9"/>
  <c r="AV457" i="9"/>
  <c r="AU457" i="9"/>
  <c r="AT457" i="9"/>
  <c r="AS457" i="9"/>
  <c r="AR457" i="9"/>
  <c r="AQ457" i="9"/>
  <c r="AP457" i="9"/>
  <c r="AO457" i="9"/>
  <c r="AN457" i="9"/>
  <c r="AM457" i="9"/>
  <c r="AL457" i="9"/>
  <c r="AK457" i="9"/>
  <c r="AJ457" i="9"/>
  <c r="AI457" i="9"/>
  <c r="AH457" i="9"/>
  <c r="AG457" i="9"/>
  <c r="AF457" i="9"/>
  <c r="AE457" i="9"/>
  <c r="AD457" i="9"/>
  <c r="AC457" i="9"/>
  <c r="AB457" i="9"/>
  <c r="AA457" i="9"/>
  <c r="V457" i="9"/>
  <c r="E457" i="9"/>
  <c r="D457" i="9"/>
  <c r="BW456" i="9"/>
  <c r="BV456" i="9"/>
  <c r="BU456" i="9"/>
  <c r="BT456" i="9"/>
  <c r="BS456" i="9"/>
  <c r="BR456" i="9"/>
  <c r="BQ456" i="9"/>
  <c r="BP456" i="9"/>
  <c r="BJ456" i="9"/>
  <c r="BI456" i="9"/>
  <c r="BH456" i="9"/>
  <c r="BG456" i="9"/>
  <c r="BF456" i="9"/>
  <c r="BE456" i="9"/>
  <c r="BD456" i="9"/>
  <c r="BC456" i="9"/>
  <c r="BB456" i="9"/>
  <c r="BA456" i="9"/>
  <c r="AZ456" i="9"/>
  <c r="AY456" i="9"/>
  <c r="AX456" i="9"/>
  <c r="AW456" i="9"/>
  <c r="AV456" i="9"/>
  <c r="AU456" i="9"/>
  <c r="AT456" i="9"/>
  <c r="AS456" i="9"/>
  <c r="AR456" i="9"/>
  <c r="AQ456" i="9"/>
  <c r="AP456" i="9"/>
  <c r="AO456" i="9"/>
  <c r="AN456" i="9"/>
  <c r="AM456" i="9"/>
  <c r="AL456" i="9"/>
  <c r="AK456" i="9"/>
  <c r="AJ456" i="9"/>
  <c r="AI456" i="9"/>
  <c r="AH456" i="9"/>
  <c r="AG456" i="9"/>
  <c r="AF456" i="9"/>
  <c r="AE456" i="9"/>
  <c r="AD456" i="9"/>
  <c r="AC456" i="9"/>
  <c r="AB456" i="9"/>
  <c r="AA456" i="9"/>
  <c r="V456" i="9"/>
  <c r="E456" i="9"/>
  <c r="D456" i="9"/>
  <c r="BW455" i="9"/>
  <c r="BV455" i="9"/>
  <c r="BU455" i="9"/>
  <c r="BT455" i="9"/>
  <c r="BS455" i="9"/>
  <c r="BR455" i="9"/>
  <c r="BQ455" i="9"/>
  <c r="BP455" i="9"/>
  <c r="BJ455" i="9"/>
  <c r="BI455" i="9"/>
  <c r="BH455" i="9"/>
  <c r="BG455" i="9"/>
  <c r="BF455" i="9"/>
  <c r="BE455" i="9"/>
  <c r="BD455" i="9"/>
  <c r="BC455" i="9"/>
  <c r="BB455" i="9"/>
  <c r="BA455" i="9"/>
  <c r="AZ455" i="9"/>
  <c r="AY455" i="9"/>
  <c r="AX455" i="9"/>
  <c r="AW455" i="9"/>
  <c r="AV455" i="9"/>
  <c r="AU455" i="9"/>
  <c r="AT455" i="9"/>
  <c r="AS455" i="9"/>
  <c r="AR455" i="9"/>
  <c r="AQ455" i="9"/>
  <c r="AP455" i="9"/>
  <c r="AO455" i="9"/>
  <c r="AN455" i="9"/>
  <c r="AM455" i="9"/>
  <c r="AL455" i="9"/>
  <c r="AK455" i="9"/>
  <c r="AJ455" i="9"/>
  <c r="AI455" i="9"/>
  <c r="AH455" i="9"/>
  <c r="AG455" i="9"/>
  <c r="AF455" i="9"/>
  <c r="AE455" i="9"/>
  <c r="AD455" i="9"/>
  <c r="AC455" i="9"/>
  <c r="AB455" i="9"/>
  <c r="AA455" i="9"/>
  <c r="V455" i="9"/>
  <c r="E455" i="9"/>
  <c r="D455" i="9"/>
  <c r="BW454" i="9"/>
  <c r="BV454" i="9"/>
  <c r="BU454" i="9"/>
  <c r="BT454" i="9"/>
  <c r="BS454" i="9"/>
  <c r="BR454" i="9"/>
  <c r="BQ454" i="9"/>
  <c r="BP454" i="9"/>
  <c r="BJ454" i="9"/>
  <c r="BI454" i="9"/>
  <c r="BH454" i="9"/>
  <c r="BG454" i="9"/>
  <c r="BF454" i="9"/>
  <c r="BE454" i="9"/>
  <c r="BD454" i="9"/>
  <c r="BC454" i="9"/>
  <c r="BB454" i="9"/>
  <c r="BA454" i="9"/>
  <c r="AZ454" i="9"/>
  <c r="AY454" i="9"/>
  <c r="AX454" i="9"/>
  <c r="AW454" i="9"/>
  <c r="AV454" i="9"/>
  <c r="AU454" i="9"/>
  <c r="AT454" i="9"/>
  <c r="AS454" i="9"/>
  <c r="AR454" i="9"/>
  <c r="AQ454" i="9"/>
  <c r="AP454" i="9"/>
  <c r="AO454" i="9"/>
  <c r="AN454" i="9"/>
  <c r="AM454" i="9"/>
  <c r="AL454" i="9"/>
  <c r="AK454" i="9"/>
  <c r="AJ454" i="9"/>
  <c r="AI454" i="9"/>
  <c r="AH454" i="9"/>
  <c r="AG454" i="9"/>
  <c r="AF454" i="9"/>
  <c r="AE454" i="9"/>
  <c r="AD454" i="9"/>
  <c r="AC454" i="9"/>
  <c r="AB454" i="9"/>
  <c r="AA454" i="9"/>
  <c r="V454" i="9"/>
  <c r="E454" i="9"/>
  <c r="D454" i="9"/>
  <c r="E453" i="9"/>
  <c r="D453" i="9"/>
  <c r="D452" i="9"/>
  <c r="V450" i="9"/>
  <c r="E450" i="9"/>
  <c r="D450" i="9"/>
  <c r="V449" i="9"/>
  <c r="E449" i="9"/>
  <c r="D449" i="9"/>
  <c r="V448" i="9"/>
  <c r="E448" i="9"/>
  <c r="D448" i="9"/>
  <c r="V447" i="9"/>
  <c r="E447" i="9"/>
  <c r="D447" i="9"/>
  <c r="V446" i="9"/>
  <c r="E446" i="9"/>
  <c r="D446" i="9"/>
  <c r="V445" i="9"/>
  <c r="E445" i="9"/>
  <c r="D445" i="9"/>
  <c r="V444" i="9"/>
  <c r="E444" i="9"/>
  <c r="D444" i="9"/>
  <c r="V443" i="9"/>
  <c r="E443" i="9"/>
  <c r="D443" i="9"/>
  <c r="V442" i="9"/>
  <c r="E442" i="9"/>
  <c r="D442" i="9"/>
  <c r="V441" i="9"/>
  <c r="E441" i="9"/>
  <c r="D441" i="9"/>
  <c r="V440" i="9"/>
  <c r="E440" i="9"/>
  <c r="D440" i="9"/>
  <c r="V439" i="9"/>
  <c r="E439" i="9"/>
  <c r="D439" i="9"/>
  <c r="V438" i="9"/>
  <c r="E438" i="9"/>
  <c r="D438" i="9"/>
  <c r="V437" i="9"/>
  <c r="E437" i="9"/>
  <c r="D437" i="9"/>
  <c r="V436" i="9"/>
  <c r="E436" i="9"/>
  <c r="D436" i="9"/>
  <c r="V435" i="9"/>
  <c r="E435" i="9"/>
  <c r="D435" i="9"/>
  <c r="V434" i="9"/>
  <c r="E434" i="9"/>
  <c r="D434" i="9"/>
  <c r="V433" i="9"/>
  <c r="E433" i="9"/>
  <c r="D433" i="9"/>
  <c r="V432" i="9"/>
  <c r="E432" i="9"/>
  <c r="D432" i="9"/>
  <c r="E431" i="9"/>
  <c r="D431" i="9"/>
  <c r="E430" i="9"/>
  <c r="D430" i="9"/>
  <c r="D429" i="9"/>
  <c r="A686" i="9" l="1" a="1"/>
  <c r="A686" i="9" s="1"/>
  <c r="BV1110" i="9"/>
  <c r="BV1109" i="9"/>
  <c r="BB1108" i="9"/>
  <c r="BU1109" i="9"/>
  <c r="BA1108" i="9"/>
  <c r="BC1110" i="9"/>
  <c r="AJ1109" i="9"/>
  <c r="V1108" i="9"/>
  <c r="AM1109" i="9"/>
  <c r="BR1110" i="9"/>
  <c r="BR1109" i="9"/>
  <c r="AX1108" i="9"/>
  <c r="BQ1109" i="9"/>
  <c r="AW1108" i="9"/>
  <c r="AY1110" i="9"/>
  <c r="AF1109" i="9"/>
  <c r="BJ1110" i="9"/>
  <c r="AI1109" i="9"/>
  <c r="BF1110" i="9"/>
  <c r="BJ1109" i="9"/>
  <c r="AT1108" i="9"/>
  <c r="BI1109" i="9"/>
  <c r="AS1108" i="9"/>
  <c r="AU1110" i="9"/>
  <c r="AB1109" i="9"/>
  <c r="BB1110" i="9"/>
  <c r="AE1109" i="9"/>
  <c r="AX1110" i="9"/>
  <c r="BF1109" i="9"/>
  <c r="AP1108" i="9"/>
  <c r="BE1109" i="9"/>
  <c r="AO1108" i="9"/>
  <c r="AQ1110" i="9"/>
  <c r="BU1108" i="9"/>
  <c r="AT1110" i="9"/>
  <c r="AA1109" i="9"/>
  <c r="AQ1108" i="9"/>
  <c r="V1110" i="9"/>
  <c r="BB1109" i="9"/>
  <c r="AL1108" i="9"/>
  <c r="BA1109" i="9"/>
  <c r="AK1108" i="9"/>
  <c r="AM1110" i="9"/>
  <c r="BQ1108" i="9"/>
  <c r="AP1110" i="9"/>
  <c r="BT1108" i="9"/>
  <c r="BU1110" i="9"/>
  <c r="AX1109" i="9"/>
  <c r="AH1108" i="9"/>
  <c r="AW1109" i="9"/>
  <c r="AG1108" i="9"/>
  <c r="AI1110" i="9"/>
  <c r="AL1110" i="9"/>
  <c r="BP1108" i="9"/>
  <c r="BQ1110" i="9"/>
  <c r="AT1109" i="9"/>
  <c r="AD1108" i="9"/>
  <c r="AS1109" i="9"/>
  <c r="AC1108" i="9"/>
  <c r="BH1108" i="9"/>
  <c r="BI1110" i="9"/>
  <c r="AP1109" i="9"/>
  <c r="AO1109" i="9"/>
  <c r="AA1110" i="9"/>
  <c r="BD1108" i="9"/>
  <c r="AD1110" i="9"/>
  <c r="BE1110" i="9"/>
  <c r="AL1109" i="9"/>
  <c r="BT1110" i="9"/>
  <c r="AK1109" i="9"/>
  <c r="V1109" i="9"/>
  <c r="BT1109" i="9"/>
  <c r="AZ1108" i="9"/>
  <c r="BW1109" i="9"/>
  <c r="BC1108" i="9"/>
  <c r="BA1110" i="9"/>
  <c r="AH1109" i="9"/>
  <c r="BH1110" i="9"/>
  <c r="AG1109" i="9"/>
  <c r="BP1110" i="9"/>
  <c r="BP1109" i="9"/>
  <c r="AV1108" i="9"/>
  <c r="BS1109" i="9"/>
  <c r="AY1108" i="9"/>
  <c r="AW1110" i="9"/>
  <c r="AD1109" i="9"/>
  <c r="AZ1110" i="9"/>
  <c r="AC1109" i="9"/>
  <c r="BD1110" i="9"/>
  <c r="BH1109" i="9"/>
  <c r="AR1108" i="9"/>
  <c r="AU1108" i="9"/>
  <c r="AS1110" i="9"/>
  <c r="BW1108" i="9"/>
  <c r="AR1110" i="9"/>
  <c r="BV1108" i="9"/>
  <c r="AV1110" i="9"/>
  <c r="BD1109" i="9"/>
  <c r="AN1108" i="9"/>
  <c r="BG1109" i="9"/>
  <c r="AO1110" i="9"/>
  <c r="BS1108" i="9"/>
  <c r="AN1110" i="9"/>
  <c r="BR1108" i="9"/>
  <c r="BW1110" i="9"/>
  <c r="AZ1109" i="9"/>
  <c r="AJ1108" i="9"/>
  <c r="BC1109" i="9"/>
  <c r="AM1108" i="9"/>
  <c r="AJ1110" i="9"/>
  <c r="BS1110" i="9"/>
  <c r="AV1109" i="9"/>
  <c r="AF1108" i="9"/>
  <c r="AY1109" i="9"/>
  <c r="AI1108" i="9"/>
  <c r="AG1110" i="9"/>
  <c r="BJ1108" i="9"/>
  <c r="AF1110" i="9"/>
  <c r="BI1108" i="9"/>
  <c r="AR1109" i="9"/>
  <c r="AB1108" i="9"/>
  <c r="AU1109" i="9"/>
  <c r="AE1108" i="9"/>
  <c r="AC1110" i="9"/>
  <c r="BF1108" i="9"/>
  <c r="BE1108" i="9"/>
  <c r="BG1110" i="9"/>
  <c r="AN1109" i="9"/>
  <c r="AQ1109" i="9"/>
  <c r="AA1108" i="9"/>
  <c r="BG1108" i="9"/>
  <c r="BW1122" i="9"/>
  <c r="BW1146" i="9" s="1"/>
  <c r="BS1122" i="9"/>
  <c r="BS1146" i="9" s="1"/>
  <c r="BU1121" i="9"/>
  <c r="BU1145" i="9" s="1"/>
  <c r="BQ1121" i="9"/>
  <c r="BQ1145" i="9" s="1"/>
  <c r="BW1120" i="9"/>
  <c r="BS1120" i="9"/>
  <c r="BT1122" i="9"/>
  <c r="BT1146" i="9" s="1"/>
  <c r="BR1121" i="9"/>
  <c r="BR1145" i="9" s="1"/>
  <c r="BV1122" i="9"/>
  <c r="BV1146" i="9" s="1"/>
  <c r="BR1122" i="9"/>
  <c r="BR1146" i="9" s="1"/>
  <c r="BT1121" i="9"/>
  <c r="BT1145" i="9" s="1"/>
  <c r="BP1121" i="9"/>
  <c r="BP1145" i="9" s="1"/>
  <c r="BV1120" i="9"/>
  <c r="BR1120" i="9"/>
  <c r="BV1121" i="9"/>
  <c r="BV1145" i="9" s="1"/>
  <c r="BP1120" i="9"/>
  <c r="BU1122" i="9"/>
  <c r="BU1146" i="9" s="1"/>
  <c r="BQ1122" i="9"/>
  <c r="BQ1146" i="9" s="1"/>
  <c r="BW1121" i="9"/>
  <c r="BW1145" i="9" s="1"/>
  <c r="BS1121" i="9"/>
  <c r="BS1145" i="9" s="1"/>
  <c r="BU1120" i="9"/>
  <c r="BQ1120" i="9"/>
  <c r="BP1122" i="9"/>
  <c r="BP1146" i="9" s="1"/>
  <c r="BT1120" i="9"/>
  <c r="BT1116" i="9"/>
  <c r="BP1116" i="9"/>
  <c r="BV1115" i="9"/>
  <c r="BR1115" i="9"/>
  <c r="BT1114" i="9"/>
  <c r="BP1114" i="9"/>
  <c r="BQ1116" i="9"/>
  <c r="BQ1114" i="9"/>
  <c r="BW1116" i="9"/>
  <c r="BS1116" i="9"/>
  <c r="BU1115" i="9"/>
  <c r="BQ1115" i="9"/>
  <c r="BW1114" i="9"/>
  <c r="BS1114" i="9"/>
  <c r="BU1116" i="9"/>
  <c r="BS1115" i="9"/>
  <c r="BV1116" i="9"/>
  <c r="BR1116" i="9"/>
  <c r="BT1115" i="9"/>
  <c r="BP1115" i="9"/>
  <c r="BV1114" i="9"/>
  <c r="BR1114" i="9"/>
  <c r="BW1115" i="9"/>
  <c r="BU1114" i="9"/>
  <c r="V810" i="9"/>
  <c r="BL810" i="9" s="1"/>
  <c r="V801" i="9"/>
  <c r="BL801" i="9" s="1"/>
  <c r="V805" i="9"/>
  <c r="BL805" i="9" s="1"/>
  <c r="V809" i="9"/>
  <c r="BL809" i="9" s="1"/>
  <c r="V813" i="9"/>
  <c r="BL813" i="9" s="1"/>
  <c r="V817" i="9"/>
  <c r="BL817" i="9" s="1"/>
  <c r="V804" i="9"/>
  <c r="BL804" i="9" s="1"/>
  <c r="V808" i="9"/>
  <c r="BL808" i="9" s="1"/>
  <c r="V812" i="9"/>
  <c r="BL812" i="9" s="1"/>
  <c r="V816" i="9"/>
  <c r="BL816" i="9" s="1"/>
  <c r="V820" i="9"/>
  <c r="BL820" i="9" s="1"/>
  <c r="V802" i="9"/>
  <c r="BL802" i="9" s="1"/>
  <c r="V806" i="9"/>
  <c r="BL806" i="9" s="1"/>
  <c r="V814" i="9"/>
  <c r="BL814" i="9" s="1"/>
  <c r="V818" i="9"/>
  <c r="BL818" i="9" s="1"/>
  <c r="V803" i="9"/>
  <c r="BL803" i="9" s="1"/>
  <c r="V807" i="9"/>
  <c r="BL807" i="9" s="1"/>
  <c r="V811" i="9"/>
  <c r="BL811" i="9" s="1"/>
  <c r="V815" i="9"/>
  <c r="BL815" i="9" s="1"/>
  <c r="V819" i="9"/>
  <c r="BL819" i="9" s="1"/>
  <c r="V778" i="9"/>
  <c r="V755" i="9"/>
  <c r="C130" i="30"/>
  <c r="EX130" i="30" s="1"/>
  <c r="C131" i="30"/>
  <c r="EX131" i="30" s="1"/>
  <c r="C132" i="30"/>
  <c r="EX132" i="30" s="1"/>
  <c r="C123" i="30"/>
  <c r="EX123" i="30" s="1"/>
  <c r="C124" i="30"/>
  <c r="EX124" i="30" s="1"/>
  <c r="C125" i="30"/>
  <c r="EX125" i="30" s="1"/>
  <c r="C126" i="30"/>
  <c r="EX126" i="30" s="1"/>
  <c r="C118" i="30"/>
  <c r="EX118" i="30" s="1"/>
  <c r="C119" i="30"/>
  <c r="EX119" i="30" s="1"/>
  <c r="C116" i="30"/>
  <c r="EX116" i="30" s="1"/>
  <c r="C115" i="30"/>
  <c r="EX115" i="30" s="1"/>
  <c r="C114" i="30"/>
  <c r="EX114" i="30" s="1"/>
  <c r="C94" i="30"/>
  <c r="EX94" i="30" s="1"/>
  <c r="C103" i="30"/>
  <c r="EX103" i="30" s="1"/>
  <c r="C90" i="30"/>
  <c r="EX90" i="30" s="1"/>
  <c r="C91" i="30"/>
  <c r="EX91" i="30" s="1"/>
  <c r="C92" i="30"/>
  <c r="EX92" i="30" s="1"/>
  <c r="AD162" i="30"/>
  <c r="AD63" i="33" s="1"/>
  <c r="AP162" i="30"/>
  <c r="AP63" i="33" s="1"/>
  <c r="BB162" i="30"/>
  <c r="BB63" i="33" s="1"/>
  <c r="AG167" i="30"/>
  <c r="AK167" i="30"/>
  <c r="AO167" i="30"/>
  <c r="AS167" i="30"/>
  <c r="AW167" i="30"/>
  <c r="BA167" i="30"/>
  <c r="BE167" i="30"/>
  <c r="BI167" i="30"/>
  <c r="C89" i="30"/>
  <c r="EX89" i="30" s="1"/>
  <c r="C95" i="30"/>
  <c r="EX95" i="30" s="1"/>
  <c r="C105" i="30"/>
  <c r="EX105" i="30" s="1"/>
  <c r="C96" i="30"/>
  <c r="EX96" i="30" s="1"/>
  <c r="C97" i="30"/>
  <c r="EX97" i="30" s="1"/>
  <c r="C99" i="30"/>
  <c r="EX99" i="30" s="1"/>
  <c r="C101" i="30"/>
  <c r="EX101" i="30" s="1"/>
  <c r="C102" i="30"/>
  <c r="EX102" i="30" s="1"/>
  <c r="C80" i="30"/>
  <c r="EX80" i="30" s="1"/>
  <c r="C104" i="30"/>
  <c r="EX104" i="30" s="1"/>
  <c r="BP77" i="30"/>
  <c r="BQ77" i="30"/>
  <c r="BR77" i="30"/>
  <c r="BS77" i="30"/>
  <c r="BT77" i="30"/>
  <c r="BU77" i="30"/>
  <c r="BV77" i="30"/>
  <c r="BW77" i="30"/>
  <c r="BP78" i="30"/>
  <c r="BQ78" i="30"/>
  <c r="BR78" i="30"/>
  <c r="BS78" i="30"/>
  <c r="BT78" i="30"/>
  <c r="BU78" i="30"/>
  <c r="BV78" i="30"/>
  <c r="BW78" i="30"/>
  <c r="BP79" i="30"/>
  <c r="BQ79" i="30"/>
  <c r="BR79" i="30"/>
  <c r="BS79" i="30"/>
  <c r="BT79" i="30"/>
  <c r="BU79" i="30"/>
  <c r="BV79" i="30"/>
  <c r="BW79" i="30"/>
  <c r="AA81" i="30"/>
  <c r="AB81" i="30"/>
  <c r="AC81" i="30"/>
  <c r="AD81" i="30"/>
  <c r="AE81" i="30"/>
  <c r="AF81" i="30"/>
  <c r="AG81" i="30"/>
  <c r="AH81" i="30"/>
  <c r="AI81" i="30"/>
  <c r="AJ81" i="30"/>
  <c r="AK81" i="30"/>
  <c r="AL81" i="30"/>
  <c r="AM81" i="30"/>
  <c r="AN81" i="30"/>
  <c r="AO81" i="30"/>
  <c r="AP81" i="30"/>
  <c r="AQ81" i="30"/>
  <c r="AR81" i="30"/>
  <c r="AS81" i="30"/>
  <c r="AT81" i="30"/>
  <c r="AU81" i="30"/>
  <c r="AV81" i="30"/>
  <c r="AW81" i="30"/>
  <c r="AX81" i="30"/>
  <c r="AY81" i="30"/>
  <c r="AZ81" i="30"/>
  <c r="BA81" i="30"/>
  <c r="BB81" i="30"/>
  <c r="BC81" i="30"/>
  <c r="BD81" i="30"/>
  <c r="BE81" i="30"/>
  <c r="BF81" i="30"/>
  <c r="BG81" i="30"/>
  <c r="BH81" i="30"/>
  <c r="BI81" i="30"/>
  <c r="BJ81" i="30"/>
  <c r="BP81" i="30"/>
  <c r="BQ81" i="30"/>
  <c r="BR81" i="30"/>
  <c r="BS81" i="30"/>
  <c r="BT81" i="30"/>
  <c r="BU81" i="30"/>
  <c r="BV81" i="30"/>
  <c r="BW81" i="30"/>
  <c r="AA82" i="30"/>
  <c r="AB82" i="30"/>
  <c r="AC82" i="30"/>
  <c r="AD82" i="30"/>
  <c r="AE82" i="30"/>
  <c r="AF82" i="30"/>
  <c r="AG82" i="30"/>
  <c r="AH82" i="30"/>
  <c r="AI82" i="30"/>
  <c r="AJ82" i="30"/>
  <c r="AK82" i="30"/>
  <c r="AL82" i="30"/>
  <c r="AM82" i="30"/>
  <c r="AN82" i="30"/>
  <c r="AO82" i="30"/>
  <c r="AP82" i="30"/>
  <c r="AQ82" i="30"/>
  <c r="AR82" i="30"/>
  <c r="AS82" i="30"/>
  <c r="AT82" i="30"/>
  <c r="AU82" i="30"/>
  <c r="AV82" i="30"/>
  <c r="AW82" i="30"/>
  <c r="AX82" i="30"/>
  <c r="AY82" i="30"/>
  <c r="AZ82" i="30"/>
  <c r="BA82" i="30"/>
  <c r="BB82" i="30"/>
  <c r="BC82" i="30"/>
  <c r="BD82" i="30"/>
  <c r="BE82" i="30"/>
  <c r="BF82" i="30"/>
  <c r="BG82" i="30"/>
  <c r="BH82" i="30"/>
  <c r="BI82" i="30"/>
  <c r="BJ82" i="30"/>
  <c r="BP82" i="30"/>
  <c r="BQ82" i="30"/>
  <c r="BR82" i="30"/>
  <c r="BS82" i="30"/>
  <c r="BT82" i="30"/>
  <c r="BU82" i="30"/>
  <c r="BV82" i="30"/>
  <c r="BW82" i="30"/>
  <c r="AA85" i="30"/>
  <c r="AB85" i="30"/>
  <c r="AC85" i="30"/>
  <c r="AD85" i="30"/>
  <c r="AE85" i="30"/>
  <c r="AF85" i="30"/>
  <c r="AG85" i="30"/>
  <c r="AH85" i="30"/>
  <c r="AI85" i="30"/>
  <c r="AJ85" i="30"/>
  <c r="AK85" i="30"/>
  <c r="AL85" i="30"/>
  <c r="AM85" i="30"/>
  <c r="AN85" i="30"/>
  <c r="AO85" i="30"/>
  <c r="AP85" i="30"/>
  <c r="AQ85" i="30"/>
  <c r="AR85" i="30"/>
  <c r="AS85" i="30"/>
  <c r="AT85" i="30"/>
  <c r="AU85" i="30"/>
  <c r="AV85" i="30"/>
  <c r="AW85" i="30"/>
  <c r="AX85" i="30"/>
  <c r="AY85" i="30"/>
  <c r="AZ85" i="30"/>
  <c r="BA85" i="30"/>
  <c r="BB85" i="30"/>
  <c r="BC85" i="30"/>
  <c r="BD85" i="30"/>
  <c r="BE85" i="30"/>
  <c r="BF85" i="30"/>
  <c r="BG85" i="30"/>
  <c r="BH85" i="30"/>
  <c r="BI85" i="30"/>
  <c r="BJ85" i="30"/>
  <c r="BP85" i="30"/>
  <c r="BQ85" i="30"/>
  <c r="BR85" i="30"/>
  <c r="BS85" i="30"/>
  <c r="BT85" i="30"/>
  <c r="BU85" i="30"/>
  <c r="BV85" i="30"/>
  <c r="BW85" i="30"/>
  <c r="C85" i="30"/>
  <c r="EX85" i="30" s="1"/>
  <c r="C81" i="30"/>
  <c r="EX81" i="30" s="1"/>
  <c r="C82" i="30"/>
  <c r="EX82" i="30" s="1"/>
  <c r="D75" i="30"/>
  <c r="D65" i="30"/>
  <c r="BR1111" i="9" l="1"/>
  <c r="BR200" i="30" s="1"/>
  <c r="BB1111" i="9"/>
  <c r="BB200" i="30" s="1"/>
  <c r="BV1111" i="9"/>
  <c r="BV200" i="30" s="1"/>
  <c r="BA1111" i="9"/>
  <c r="BA200" i="30" s="1"/>
  <c r="AT1111" i="9"/>
  <c r="AT200" i="30" s="1"/>
  <c r="AS1111" i="9"/>
  <c r="AS200" i="30" s="1"/>
  <c r="AZ1111" i="9"/>
  <c r="AZ200" i="30" s="1"/>
  <c r="BE1111" i="9"/>
  <c r="BE200" i="30" s="1"/>
  <c r="AG1111" i="9"/>
  <c r="AG200" i="30" s="1"/>
  <c r="BH1111" i="9"/>
  <c r="BH200" i="30" s="1"/>
  <c r="AD1111" i="9"/>
  <c r="AD200" i="30" s="1"/>
  <c r="BW1111" i="9"/>
  <c r="BW200" i="30" s="1"/>
  <c r="AL1111" i="9"/>
  <c r="AL200" i="30" s="1"/>
  <c r="BJ1111" i="9"/>
  <c r="BJ200" i="30" s="1"/>
  <c r="BQ1111" i="9"/>
  <c r="BQ200" i="30" s="1"/>
  <c r="AO1111" i="9"/>
  <c r="AO200" i="30" s="1"/>
  <c r="AU1111" i="9"/>
  <c r="AU200" i="30" s="1"/>
  <c r="AF1111" i="9"/>
  <c r="AF200" i="30" s="1"/>
  <c r="AC1111" i="9"/>
  <c r="AC200" i="30" s="1"/>
  <c r="AR1111" i="9"/>
  <c r="AR200" i="30" s="1"/>
  <c r="AN1111" i="9"/>
  <c r="AN200" i="30" s="1"/>
  <c r="BS1111" i="9"/>
  <c r="BS200" i="30" s="1"/>
  <c r="BD1111" i="9"/>
  <c r="BD200" i="30" s="1"/>
  <c r="BI1111" i="9"/>
  <c r="BI200" i="30" s="1"/>
  <c r="AI1111" i="9"/>
  <c r="AI200" i="30" s="1"/>
  <c r="AY1111" i="9"/>
  <c r="AY200" i="30" s="1"/>
  <c r="BP1111" i="9"/>
  <c r="BP200" i="30" s="1"/>
  <c r="AP1111" i="9"/>
  <c r="AP200" i="30" s="1"/>
  <c r="BF1111" i="9"/>
  <c r="BF200" i="30" s="1"/>
  <c r="V1111" i="9"/>
  <c r="V200" i="30" s="1"/>
  <c r="AM1111" i="9"/>
  <c r="AM200" i="30" s="1"/>
  <c r="BC1111" i="9"/>
  <c r="BC200" i="30" s="1"/>
  <c r="BT1111" i="9"/>
  <c r="BT200" i="30" s="1"/>
  <c r="AJ1111" i="9"/>
  <c r="AJ200" i="30" s="1"/>
  <c r="BU1111" i="9"/>
  <c r="BU200" i="30" s="1"/>
  <c r="AA1111" i="9"/>
  <c r="AA200" i="30" s="1"/>
  <c r="AQ1111" i="9"/>
  <c r="AQ200" i="30" s="1"/>
  <c r="BG1111" i="9"/>
  <c r="BG200" i="30" s="1"/>
  <c r="AX1111" i="9"/>
  <c r="AX200" i="30" s="1"/>
  <c r="AV1111" i="9"/>
  <c r="AV200" i="30" s="1"/>
  <c r="AW1111" i="9"/>
  <c r="AW200" i="30" s="1"/>
  <c r="BQ1123" i="9"/>
  <c r="BQ1144" i="9"/>
  <c r="BR1123" i="9"/>
  <c r="BR1144" i="9"/>
  <c r="BS1123" i="9"/>
  <c r="BS1144" i="9"/>
  <c r="BU1117" i="9"/>
  <c r="BU195" i="30" s="1"/>
  <c r="BU83" i="33" s="1"/>
  <c r="BP1117" i="9"/>
  <c r="BP195" i="30" s="1"/>
  <c r="BP83" i="33" s="1"/>
  <c r="BU1123" i="9"/>
  <c r="BU1144" i="9"/>
  <c r="BV1123" i="9"/>
  <c r="BV1144" i="9"/>
  <c r="BW1123" i="9"/>
  <c r="BW1144" i="9"/>
  <c r="BR1117" i="9"/>
  <c r="BR195" i="30" s="1"/>
  <c r="BR83" i="33" s="1"/>
  <c r="BQ1117" i="9"/>
  <c r="BQ195" i="30" s="1"/>
  <c r="BQ83" i="33" s="1"/>
  <c r="BT1123" i="9"/>
  <c r="BT1144" i="9"/>
  <c r="BV1117" i="9"/>
  <c r="BV195" i="30" s="1"/>
  <c r="BV83" i="33" s="1"/>
  <c r="BS1117" i="9"/>
  <c r="BS195" i="30" s="1"/>
  <c r="BS83" i="33" s="1"/>
  <c r="BW1117" i="9"/>
  <c r="BW195" i="30" s="1"/>
  <c r="BW83" i="33" s="1"/>
  <c r="BT1117" i="9"/>
  <c r="BT195" i="30" s="1"/>
  <c r="BT83" i="33" s="1"/>
  <c r="BP1123" i="9"/>
  <c r="BP1144" i="9"/>
  <c r="BW158" i="30"/>
  <c r="BS158" i="30"/>
  <c r="BV158" i="30"/>
  <c r="BR158" i="30"/>
  <c r="BT158" i="30"/>
  <c r="BU158" i="30"/>
  <c r="BQ158" i="30"/>
  <c r="BS164" i="30"/>
  <c r="BU165" i="30"/>
  <c r="BQ165" i="30"/>
  <c r="BU164" i="30"/>
  <c r="BQ164" i="30"/>
  <c r="BV165" i="30"/>
  <c r="BR165" i="30"/>
  <c r="BV164" i="30"/>
  <c r="BR164" i="30"/>
  <c r="BW164" i="30"/>
  <c r="BW165" i="30"/>
  <c r="BS165" i="30"/>
  <c r="BW157" i="30"/>
  <c r="BV157" i="30"/>
  <c r="BR157" i="30"/>
  <c r="BU157" i="30"/>
  <c r="BQ157" i="30"/>
  <c r="BS157" i="30"/>
  <c r="BT165" i="30"/>
  <c r="BT164" i="30"/>
  <c r="BT157" i="30"/>
  <c r="AC165" i="30"/>
  <c r="C17" i="36"/>
  <c r="AD164" i="30"/>
  <c r="AC164" i="30"/>
  <c r="BH165" i="30"/>
  <c r="BD165" i="30"/>
  <c r="AZ165" i="30"/>
  <c r="AV165" i="30"/>
  <c r="AR165" i="30"/>
  <c r="AN165" i="30"/>
  <c r="AJ165" i="30"/>
  <c r="AF165" i="30"/>
  <c r="AB165" i="30"/>
  <c r="BI164" i="30"/>
  <c r="BE164" i="30"/>
  <c r="BA164" i="30"/>
  <c r="AW164" i="30"/>
  <c r="AS164" i="30"/>
  <c r="AO164" i="30"/>
  <c r="AK164" i="30"/>
  <c r="AG164" i="30"/>
  <c r="BG164" i="30"/>
  <c r="C13" i="36"/>
  <c r="BC164" i="30"/>
  <c r="AY164" i="30"/>
  <c r="AU164" i="30"/>
  <c r="AQ164" i="30"/>
  <c r="AM164" i="30"/>
  <c r="AI164" i="30"/>
  <c r="AE164" i="30"/>
  <c r="C15" i="36"/>
  <c r="BH164" i="30"/>
  <c r="BD164" i="30"/>
  <c r="AZ164" i="30"/>
  <c r="AV164" i="30"/>
  <c r="AR164" i="30"/>
  <c r="AN164" i="30"/>
  <c r="AJ164" i="30"/>
  <c r="AF164" i="30"/>
  <c r="AB164" i="30"/>
  <c r="BJ164" i="30"/>
  <c r="BF164" i="30"/>
  <c r="BB164" i="30"/>
  <c r="AX164" i="30"/>
  <c r="AT164" i="30"/>
  <c r="AP164" i="30"/>
  <c r="AL164" i="30"/>
  <c r="AH164" i="30"/>
  <c r="BJ165" i="30"/>
  <c r="BF165" i="30"/>
  <c r="BB165" i="30"/>
  <c r="AX165" i="30"/>
  <c r="AT165" i="30"/>
  <c r="AP165" i="30"/>
  <c r="AL165" i="30"/>
  <c r="AH165" i="30"/>
  <c r="BG167" i="30"/>
  <c r="BC167" i="30"/>
  <c r="AY167" i="30"/>
  <c r="AU167" i="30"/>
  <c r="AQ167" i="30"/>
  <c r="AM167" i="30"/>
  <c r="AI167" i="30"/>
  <c r="AE167" i="30"/>
  <c r="AD165" i="30"/>
  <c r="BJ168" i="30"/>
  <c r="BF168" i="30"/>
  <c r="BB168" i="30"/>
  <c r="AX168" i="30"/>
  <c r="AT168" i="30"/>
  <c r="AP168" i="30"/>
  <c r="AL168" i="30"/>
  <c r="AH168" i="30"/>
  <c r="AD168" i="30"/>
  <c r="BH167" i="30"/>
  <c r="BD167" i="30"/>
  <c r="AZ167" i="30"/>
  <c r="AV167" i="30"/>
  <c r="AR167" i="30"/>
  <c r="AN167" i="30"/>
  <c r="AJ167" i="30"/>
  <c r="AF167" i="30"/>
  <c r="BI165" i="30"/>
  <c r="BE165" i="30"/>
  <c r="BA165" i="30"/>
  <c r="AW165" i="30"/>
  <c r="AS165" i="30"/>
  <c r="AO165" i="30"/>
  <c r="AK165" i="30"/>
  <c r="AG165" i="30"/>
  <c r="BC159" i="30"/>
  <c r="AQ159" i="30"/>
  <c r="BG159" i="30"/>
  <c r="AY159" i="30"/>
  <c r="AU159" i="30"/>
  <c r="AM159" i="30"/>
  <c r="AI159" i="30"/>
  <c r="BH159" i="30"/>
  <c r="BD159" i="30"/>
  <c r="AZ159" i="30"/>
  <c r="AV159" i="30"/>
  <c r="AR159" i="30"/>
  <c r="AN159" i="30"/>
  <c r="AJ159" i="30"/>
  <c r="AF159" i="30"/>
  <c r="BJ159" i="30"/>
  <c r="BF159" i="30"/>
  <c r="BB159" i="30"/>
  <c r="AX159" i="30"/>
  <c r="AT159" i="30"/>
  <c r="AP159" i="30"/>
  <c r="AL159" i="30"/>
  <c r="AH159" i="30"/>
  <c r="AD159" i="30"/>
  <c r="BG165" i="30"/>
  <c r="BC165" i="30"/>
  <c r="AY165" i="30"/>
  <c r="AU165" i="30"/>
  <c r="AQ165" i="30"/>
  <c r="AM165" i="30"/>
  <c r="AI165" i="30"/>
  <c r="AE165" i="30"/>
  <c r="BH168" i="30"/>
  <c r="BD168" i="30"/>
  <c r="AZ168" i="30"/>
  <c r="AV168" i="30"/>
  <c r="AR168" i="30"/>
  <c r="AN168" i="30"/>
  <c r="AJ168" i="30"/>
  <c r="AF168" i="30"/>
  <c r="AB168" i="30"/>
  <c r="BJ167" i="30"/>
  <c r="BF167" i="30"/>
  <c r="BB167" i="30"/>
  <c r="AX167" i="30"/>
  <c r="AT167" i="30"/>
  <c r="AP167" i="30"/>
  <c r="AL167" i="30"/>
  <c r="AH167" i="30"/>
  <c r="AD167" i="30"/>
  <c r="BH162" i="30"/>
  <c r="BH63" i="33" s="1"/>
  <c r="AV162" i="30"/>
  <c r="AV63" i="33" s="1"/>
  <c r="BI159" i="30"/>
  <c r="BE159" i="30"/>
  <c r="BA159" i="30"/>
  <c r="AW159" i="30"/>
  <c r="AS159" i="30"/>
  <c r="AO159" i="30"/>
  <c r="AK159" i="30"/>
  <c r="BI168" i="30"/>
  <c r="BE168" i="30"/>
  <c r="BA168" i="30"/>
  <c r="AW168" i="30"/>
  <c r="AS168" i="30"/>
  <c r="AO168" i="30"/>
  <c r="AK168" i="30"/>
  <c r="AG168" i="30"/>
  <c r="BE162" i="30"/>
  <c r="BE63" i="33" s="1"/>
  <c r="AS162" i="30"/>
  <c r="AS63" i="33" s="1"/>
  <c r="AG162" i="30"/>
  <c r="AG63" i="33" s="1"/>
  <c r="AJ162" i="30"/>
  <c r="AJ63" i="33" s="1"/>
  <c r="BG168" i="30"/>
  <c r="BC168" i="30"/>
  <c r="AY168" i="30"/>
  <c r="AU168" i="30"/>
  <c r="AQ168" i="30"/>
  <c r="AM168" i="30"/>
  <c r="AI168" i="30"/>
  <c r="AE168" i="30"/>
  <c r="AY162" i="30"/>
  <c r="AY63" i="33" s="1"/>
  <c r="AM162" i="30"/>
  <c r="AM63" i="33" s="1"/>
  <c r="M28" i="14" l="1"/>
  <c r="BU61" i="33"/>
  <c r="BS61" i="33"/>
  <c r="BQ61" i="33"/>
  <c r="BV61" i="33"/>
  <c r="BR61" i="33"/>
  <c r="BT61" i="33"/>
  <c r="BW61" i="33"/>
  <c r="D5" i="30"/>
  <c r="D4" i="30"/>
  <c r="D3" i="30"/>
  <c r="BL1" i="30"/>
  <c r="AA1" i="30"/>
  <c r="V1" i="30"/>
  <c r="D1" i="30"/>
  <c r="E181" i="3" l="1"/>
  <c r="D181" i="3"/>
  <c r="E180" i="3"/>
  <c r="D180" i="3"/>
  <c r="E179" i="3"/>
  <c r="D179" i="3"/>
  <c r="E178" i="3"/>
  <c r="D178" i="3"/>
  <c r="E177" i="3"/>
  <c r="D177" i="3"/>
  <c r="E176" i="3"/>
  <c r="D176" i="3"/>
  <c r="E175" i="3"/>
  <c r="D175" i="3"/>
  <c r="E174" i="3"/>
  <c r="D174" i="3"/>
  <c r="E173" i="3"/>
  <c r="D173" i="3"/>
  <c r="E172" i="3"/>
  <c r="D172" i="3"/>
  <c r="E171" i="3"/>
  <c r="D171" i="3"/>
  <c r="E170" i="3"/>
  <c r="D170" i="3"/>
  <c r="E169" i="3"/>
  <c r="D169" i="3"/>
  <c r="E168" i="3"/>
  <c r="D168" i="3"/>
  <c r="E167" i="3"/>
  <c r="D167" i="3"/>
  <c r="E166" i="3"/>
  <c r="D166" i="3"/>
  <c r="E165" i="3"/>
  <c r="D165" i="3"/>
  <c r="E164" i="3"/>
  <c r="D164" i="3"/>
  <c r="E163" i="3"/>
  <c r="D163" i="3"/>
  <c r="E162" i="3"/>
  <c r="D162" i="3"/>
  <c r="D161" i="3"/>
  <c r="F255" i="3"/>
  <c r="F256" i="3"/>
  <c r="F257" i="3"/>
  <c r="F258" i="3"/>
  <c r="F259" i="3"/>
  <c r="F260" i="3"/>
  <c r="F261" i="3"/>
  <c r="F262" i="3"/>
  <c r="F263" i="3"/>
  <c r="F264" i="3"/>
  <c r="F265" i="3"/>
  <c r="F266" i="3"/>
  <c r="F267" i="3"/>
  <c r="F268" i="3"/>
  <c r="F269" i="3"/>
  <c r="F270" i="3"/>
  <c r="F271" i="3"/>
  <c r="F272" i="3"/>
  <c r="F273" i="3"/>
  <c r="F254" i="3"/>
  <c r="D296" i="3"/>
  <c r="D295" i="3"/>
  <c r="D294" i="3"/>
  <c r="D293" i="3"/>
  <c r="D292" i="3"/>
  <c r="D291" i="3"/>
  <c r="D290" i="3"/>
  <c r="D289" i="3"/>
  <c r="D288" i="3"/>
  <c r="D287" i="3"/>
  <c r="D286" i="3"/>
  <c r="D285" i="3"/>
  <c r="D284" i="3"/>
  <c r="D283" i="3"/>
  <c r="D282" i="3"/>
  <c r="D281" i="3"/>
  <c r="D280" i="3"/>
  <c r="D279" i="3"/>
  <c r="D278" i="3"/>
  <c r="D277" i="3"/>
  <c r="D276" i="3"/>
  <c r="E273" i="3"/>
  <c r="D273" i="3"/>
  <c r="E272" i="3"/>
  <c r="D272" i="3"/>
  <c r="E271" i="3"/>
  <c r="D271" i="3"/>
  <c r="E270" i="3"/>
  <c r="D270" i="3"/>
  <c r="E269" i="3"/>
  <c r="D269" i="3"/>
  <c r="E268" i="3"/>
  <c r="D268" i="3"/>
  <c r="E267" i="3"/>
  <c r="D267" i="3"/>
  <c r="E266" i="3"/>
  <c r="D266" i="3"/>
  <c r="E265" i="3"/>
  <c r="D265" i="3"/>
  <c r="E264" i="3"/>
  <c r="D264" i="3"/>
  <c r="E263" i="3"/>
  <c r="D263" i="3"/>
  <c r="E262" i="3"/>
  <c r="D262" i="3"/>
  <c r="E261" i="3"/>
  <c r="D261" i="3"/>
  <c r="E260" i="3"/>
  <c r="D260" i="3"/>
  <c r="E259" i="3"/>
  <c r="D259" i="3"/>
  <c r="E258" i="3"/>
  <c r="D258" i="3"/>
  <c r="E257" i="3"/>
  <c r="D257" i="3"/>
  <c r="E256" i="3"/>
  <c r="D256" i="3"/>
  <c r="E255" i="3"/>
  <c r="D255" i="3"/>
  <c r="E254" i="3"/>
  <c r="D254" i="3"/>
  <c r="D253" i="3"/>
  <c r="F164" i="3"/>
  <c r="CS421" i="9"/>
  <c r="CS59" i="9"/>
  <c r="CS60" i="9"/>
  <c r="CS61" i="9"/>
  <c r="CS66" i="9"/>
  <c r="CS67" i="9"/>
  <c r="CS68" i="9"/>
  <c r="CS69" i="9"/>
  <c r="CS71" i="9"/>
  <c r="CS72" i="9"/>
  <c r="CS73" i="9"/>
  <c r="CS74" i="9"/>
  <c r="CS75" i="9"/>
  <c r="CS76" i="9"/>
  <c r="CS77" i="9"/>
  <c r="CS78" i="9"/>
  <c r="CS79" i="9"/>
  <c r="CS80" i="9"/>
  <c r="CS85" i="9"/>
  <c r="CS86" i="9"/>
  <c r="CS87" i="9"/>
  <c r="CS88" i="9"/>
  <c r="CS90" i="9"/>
  <c r="CS91" i="9"/>
  <c r="CS92" i="9"/>
  <c r="CS93" i="9"/>
  <c r="CS94" i="9"/>
  <c r="CS95" i="9"/>
  <c r="CS96" i="9"/>
  <c r="CS97" i="9"/>
  <c r="CS98" i="9"/>
  <c r="CS99" i="9"/>
  <c r="CS104" i="9"/>
  <c r="CS105" i="9"/>
  <c r="CS106" i="9"/>
  <c r="CS107" i="9"/>
  <c r="CS109" i="9"/>
  <c r="CS110" i="9"/>
  <c r="CS111" i="9"/>
  <c r="CS112" i="9"/>
  <c r="CS113" i="9"/>
  <c r="CS114" i="9"/>
  <c r="CS115" i="9"/>
  <c r="CS116" i="9"/>
  <c r="CS117" i="9"/>
  <c r="CS118" i="9"/>
  <c r="CS123" i="9"/>
  <c r="CS124" i="9"/>
  <c r="CS125" i="9"/>
  <c r="CS126" i="9"/>
  <c r="CS128" i="9"/>
  <c r="CS129" i="9"/>
  <c r="CS130" i="9"/>
  <c r="CS131" i="9"/>
  <c r="CS132" i="9"/>
  <c r="CS133" i="9"/>
  <c r="CS134" i="9"/>
  <c r="CS135" i="9"/>
  <c r="CS136" i="9"/>
  <c r="CS137" i="9"/>
  <c r="CS142" i="9"/>
  <c r="CS143" i="9"/>
  <c r="CS144" i="9"/>
  <c r="CS145" i="9"/>
  <c r="CS147" i="9"/>
  <c r="CS148" i="9"/>
  <c r="CS149" i="9"/>
  <c r="CS150" i="9"/>
  <c r="CS151" i="9"/>
  <c r="CS152" i="9"/>
  <c r="CS153" i="9"/>
  <c r="CS154" i="9"/>
  <c r="CS155" i="9"/>
  <c r="CS156" i="9"/>
  <c r="CS161" i="9"/>
  <c r="CS162" i="9"/>
  <c r="CS163" i="9"/>
  <c r="CS164" i="9"/>
  <c r="CS166" i="9"/>
  <c r="CS167" i="9"/>
  <c r="CS168" i="9"/>
  <c r="CS169" i="9"/>
  <c r="CS170" i="9"/>
  <c r="CS171" i="9"/>
  <c r="CS172" i="9"/>
  <c r="CS173" i="9"/>
  <c r="CS174" i="9"/>
  <c r="CS175" i="9"/>
  <c r="CS180" i="9"/>
  <c r="CS181" i="9"/>
  <c r="CS182" i="9"/>
  <c r="CS183" i="9"/>
  <c r="CS185" i="9"/>
  <c r="CS186" i="9"/>
  <c r="CS187" i="9"/>
  <c r="CS188" i="9"/>
  <c r="CS189" i="9"/>
  <c r="CS190" i="9"/>
  <c r="CS191" i="9"/>
  <c r="CS192" i="9"/>
  <c r="CS193" i="9"/>
  <c r="CS194" i="9"/>
  <c r="CS199" i="9"/>
  <c r="CS200" i="9"/>
  <c r="CS201" i="9"/>
  <c r="CS202" i="9"/>
  <c r="CS204" i="9"/>
  <c r="CS205" i="9"/>
  <c r="CS206" i="9"/>
  <c r="CS207" i="9"/>
  <c r="CS208" i="9"/>
  <c r="CS209" i="9"/>
  <c r="CS210" i="9"/>
  <c r="CS211" i="9"/>
  <c r="CS212" i="9"/>
  <c r="CS213" i="9"/>
  <c r="CS218" i="9"/>
  <c r="CS219" i="9"/>
  <c r="CS220" i="9"/>
  <c r="CS221" i="9"/>
  <c r="CS223" i="9"/>
  <c r="CS224" i="9"/>
  <c r="CS225" i="9"/>
  <c r="CS226" i="9"/>
  <c r="CS227" i="9"/>
  <c r="CS228" i="9"/>
  <c r="CS229" i="9"/>
  <c r="CS230" i="9"/>
  <c r="CS231" i="9"/>
  <c r="CS232" i="9"/>
  <c r="CS237" i="9"/>
  <c r="CS238" i="9"/>
  <c r="CS239" i="9"/>
  <c r="CS240" i="9"/>
  <c r="CS242" i="9"/>
  <c r="CS243" i="9"/>
  <c r="CS244" i="9"/>
  <c r="CS245" i="9"/>
  <c r="CS246" i="9"/>
  <c r="CS247" i="9"/>
  <c r="CS248" i="9"/>
  <c r="CS249" i="9"/>
  <c r="CS250" i="9"/>
  <c r="CS251" i="9"/>
  <c r="CS256" i="9"/>
  <c r="CS257" i="9"/>
  <c r="CS258" i="9"/>
  <c r="CS259" i="9"/>
  <c r="CS261" i="9"/>
  <c r="CS262" i="9"/>
  <c r="CS263" i="9"/>
  <c r="CS264" i="9"/>
  <c r="CS265" i="9"/>
  <c r="CS266" i="9"/>
  <c r="CS267" i="9"/>
  <c r="CS268" i="9"/>
  <c r="CS269" i="9"/>
  <c r="CS270" i="9"/>
  <c r="CS275" i="9"/>
  <c r="CS276" i="9"/>
  <c r="CS277" i="9"/>
  <c r="CS278" i="9"/>
  <c r="CS280" i="9"/>
  <c r="CS281" i="9"/>
  <c r="CS282" i="9"/>
  <c r="CS283" i="9"/>
  <c r="CS284" i="9"/>
  <c r="CS285" i="9"/>
  <c r="CS286" i="9"/>
  <c r="CS287" i="9"/>
  <c r="CS288" i="9"/>
  <c r="CS289" i="9"/>
  <c r="CS294" i="9"/>
  <c r="CS295" i="9"/>
  <c r="CS296" i="9"/>
  <c r="CS297" i="9"/>
  <c r="CS299" i="9"/>
  <c r="CS300" i="9"/>
  <c r="CS301" i="9"/>
  <c r="CS302" i="9"/>
  <c r="CS303" i="9"/>
  <c r="CS304" i="9"/>
  <c r="CS305" i="9"/>
  <c r="CS306" i="9"/>
  <c r="CS307" i="9"/>
  <c r="CS308" i="9"/>
  <c r="CS313" i="9"/>
  <c r="CS314" i="9"/>
  <c r="CS315" i="9"/>
  <c r="CS316" i="9"/>
  <c r="CS318" i="9"/>
  <c r="CS319" i="9"/>
  <c r="CS320" i="9"/>
  <c r="CS321" i="9"/>
  <c r="CS322" i="9"/>
  <c r="CS323" i="9"/>
  <c r="CS324" i="9"/>
  <c r="CS325" i="9"/>
  <c r="CS326" i="9"/>
  <c r="CS327" i="9"/>
  <c r="CS332" i="9"/>
  <c r="CS333" i="9"/>
  <c r="CS334" i="9"/>
  <c r="CS335" i="9"/>
  <c r="CS337" i="9"/>
  <c r="CS338" i="9"/>
  <c r="CS339" i="9"/>
  <c r="CS340" i="9"/>
  <c r="CS341" i="9"/>
  <c r="CS342" i="9"/>
  <c r="CS343" i="9"/>
  <c r="CS344" i="9"/>
  <c r="CS345" i="9"/>
  <c r="CS346" i="9"/>
  <c r="CS351" i="9"/>
  <c r="CS352" i="9"/>
  <c r="CS353" i="9"/>
  <c r="CS354" i="9"/>
  <c r="CS356" i="9"/>
  <c r="CS357" i="9"/>
  <c r="CS358" i="9"/>
  <c r="CS359" i="9"/>
  <c r="CS360" i="9"/>
  <c r="CS361" i="9"/>
  <c r="CS362" i="9"/>
  <c r="CS363" i="9"/>
  <c r="CS364" i="9"/>
  <c r="CS365" i="9"/>
  <c r="CS370" i="9"/>
  <c r="CS371" i="9"/>
  <c r="CS372" i="9"/>
  <c r="CS373" i="9"/>
  <c r="CS375" i="9"/>
  <c r="CS376" i="9"/>
  <c r="CS377" i="9"/>
  <c r="CS378" i="9"/>
  <c r="CS379" i="9"/>
  <c r="CS380" i="9"/>
  <c r="CS381" i="9"/>
  <c r="CS382" i="9"/>
  <c r="CS383" i="9"/>
  <c r="CS384" i="9"/>
  <c r="CS389" i="9"/>
  <c r="CS390" i="9"/>
  <c r="CS391" i="9"/>
  <c r="CS392" i="9"/>
  <c r="CS394" i="9"/>
  <c r="CS395" i="9"/>
  <c r="CS396" i="9"/>
  <c r="CS397" i="9"/>
  <c r="CS398" i="9"/>
  <c r="CS399" i="9"/>
  <c r="CS400" i="9"/>
  <c r="CS401" i="9"/>
  <c r="CS402" i="9"/>
  <c r="CS403" i="9"/>
  <c r="CS408" i="9"/>
  <c r="CS409" i="9"/>
  <c r="CS410" i="9"/>
  <c r="CS411" i="9"/>
  <c r="CS413" i="9"/>
  <c r="CS414" i="9"/>
  <c r="CS415" i="9"/>
  <c r="CS416" i="9"/>
  <c r="CS417" i="9"/>
  <c r="CS418" i="9"/>
  <c r="CS419" i="9"/>
  <c r="CS420" i="9"/>
  <c r="CS48" i="9"/>
  <c r="CS49" i="9"/>
  <c r="CS52" i="9"/>
  <c r="CS53" i="9"/>
  <c r="CS55" i="9"/>
  <c r="CS56" i="9"/>
  <c r="CS57" i="9"/>
  <c r="CS58" i="9"/>
  <c r="F162" i="3"/>
  <c r="V797" i="9"/>
  <c r="V796" i="9"/>
  <c r="V795" i="9"/>
  <c r="V793" i="9"/>
  <c r="V792" i="9"/>
  <c r="V791" i="9"/>
  <c r="V790" i="9"/>
  <c r="V788" i="9"/>
  <c r="V787" i="9"/>
  <c r="V786" i="9"/>
  <c r="V785" i="9"/>
  <c r="V783" i="9"/>
  <c r="V782" i="9"/>
  <c r="V781" i="9"/>
  <c r="V780" i="9"/>
  <c r="V779" i="9"/>
  <c r="BL778" i="9"/>
  <c r="BL705" i="9"/>
  <c r="V701" i="9"/>
  <c r="BL701" i="9" s="1"/>
  <c r="V700" i="9"/>
  <c r="BL700" i="9" s="1"/>
  <c r="V696" i="9"/>
  <c r="BL696" i="9" s="1"/>
  <c r="V695" i="9"/>
  <c r="BL695" i="9" s="1"/>
  <c r="V691" i="9"/>
  <c r="BL691" i="9" s="1"/>
  <c r="V690" i="9"/>
  <c r="BL690" i="9" s="1"/>
  <c r="V689" i="9"/>
  <c r="BL689" i="9" s="1"/>
  <c r="V688" i="9"/>
  <c r="BL688" i="9" s="1"/>
  <c r="V687" i="9"/>
  <c r="BL687" i="9" s="1"/>
  <c r="BL786" i="9" l="1"/>
  <c r="BL788" i="9"/>
  <c r="BL782" i="9"/>
  <c r="BL797" i="9"/>
  <c r="BL779" i="9"/>
  <c r="BL780" i="9"/>
  <c r="BL783" i="9"/>
  <c r="BL791" i="9"/>
  <c r="BL796" i="9"/>
  <c r="BL793" i="9"/>
  <c r="BL790" i="9"/>
  <c r="BL795" i="9"/>
  <c r="BL781" i="9"/>
  <c r="BL785" i="9"/>
  <c r="BL787" i="9"/>
  <c r="BL792" i="9"/>
  <c r="AP1098" i="9"/>
  <c r="V853" i="9"/>
  <c r="AZ1096" i="9"/>
  <c r="AE1097" i="9"/>
  <c r="V1098" i="9"/>
  <c r="AJ1096" i="9"/>
  <c r="BW1098" i="9"/>
  <c r="V1097" i="9"/>
  <c r="BJ1098" i="9"/>
  <c r="AD1098" i="9"/>
  <c r="AY1097" i="9"/>
  <c r="BU1096" i="9"/>
  <c r="AN1096" i="9"/>
  <c r="BF1098" i="9"/>
  <c r="AU1097" i="9"/>
  <c r="BQ1096" i="9"/>
  <c r="V1096" i="9"/>
  <c r="AC1096" i="9"/>
  <c r="AG1096" i="9"/>
  <c r="AK1096" i="9"/>
  <c r="AO1096" i="9"/>
  <c r="AS1096" i="9"/>
  <c r="AW1096" i="9"/>
  <c r="BA1096" i="9"/>
  <c r="BE1096" i="9"/>
  <c r="BI1096" i="9"/>
  <c r="BR1096" i="9"/>
  <c r="BV1096" i="9"/>
  <c r="AB1097" i="9"/>
  <c r="AF1097" i="9"/>
  <c r="AJ1097" i="9"/>
  <c r="AN1097" i="9"/>
  <c r="AR1097" i="9"/>
  <c r="AV1097" i="9"/>
  <c r="AZ1097" i="9"/>
  <c r="BD1097" i="9"/>
  <c r="BH1097" i="9"/>
  <c r="BQ1097" i="9"/>
  <c r="BU1097" i="9"/>
  <c r="AA1098" i="9"/>
  <c r="AE1098" i="9"/>
  <c r="AI1098" i="9"/>
  <c r="AM1098" i="9"/>
  <c r="AQ1098" i="9"/>
  <c r="AU1098" i="9"/>
  <c r="AY1098" i="9"/>
  <c r="BC1098" i="9"/>
  <c r="BG1098" i="9"/>
  <c r="BP1098" i="9"/>
  <c r="BT1098" i="9"/>
  <c r="AD1096" i="9"/>
  <c r="AH1096" i="9"/>
  <c r="AL1096" i="9"/>
  <c r="AP1096" i="9"/>
  <c r="AT1096" i="9"/>
  <c r="AX1096" i="9"/>
  <c r="BB1096" i="9"/>
  <c r="BF1096" i="9"/>
  <c r="BJ1096" i="9"/>
  <c r="BS1096" i="9"/>
  <c r="BW1096" i="9"/>
  <c r="AC1097" i="9"/>
  <c r="AG1097" i="9"/>
  <c r="AK1097" i="9"/>
  <c r="AO1097" i="9"/>
  <c r="AS1097" i="9"/>
  <c r="AW1097" i="9"/>
  <c r="BA1097" i="9"/>
  <c r="BE1097" i="9"/>
  <c r="BI1097" i="9"/>
  <c r="BR1097" i="9"/>
  <c r="BV1097" i="9"/>
  <c r="AB1098" i="9"/>
  <c r="AF1098" i="9"/>
  <c r="AJ1098" i="9"/>
  <c r="AN1098" i="9"/>
  <c r="AR1098" i="9"/>
  <c r="AV1098" i="9"/>
  <c r="AZ1098" i="9"/>
  <c r="BD1098" i="9"/>
  <c r="BH1098" i="9"/>
  <c r="BQ1098" i="9"/>
  <c r="BU1098" i="9"/>
  <c r="AA1096" i="9"/>
  <c r="AE1096" i="9"/>
  <c r="AI1096" i="9"/>
  <c r="AM1096" i="9"/>
  <c r="AQ1096" i="9"/>
  <c r="AU1096" i="9"/>
  <c r="AY1096" i="9"/>
  <c r="BC1096" i="9"/>
  <c r="BG1096" i="9"/>
  <c r="BP1096" i="9"/>
  <c r="BT1096" i="9"/>
  <c r="AD1097" i="9"/>
  <c r="AH1097" i="9"/>
  <c r="AL1097" i="9"/>
  <c r="AP1097" i="9"/>
  <c r="AT1097" i="9"/>
  <c r="AX1097" i="9"/>
  <c r="BB1097" i="9"/>
  <c r="BF1097" i="9"/>
  <c r="BJ1097" i="9"/>
  <c r="BS1097" i="9"/>
  <c r="BW1097" i="9"/>
  <c r="AC1098" i="9"/>
  <c r="AG1098" i="9"/>
  <c r="AK1098" i="9"/>
  <c r="AO1098" i="9"/>
  <c r="AS1098" i="9"/>
  <c r="AW1098" i="9"/>
  <c r="BA1098" i="9"/>
  <c r="BE1098" i="9"/>
  <c r="BI1098" i="9"/>
  <c r="BR1098" i="9"/>
  <c r="BV1098" i="9"/>
  <c r="AB1096" i="9"/>
  <c r="AR1096" i="9"/>
  <c r="BH1096" i="9"/>
  <c r="AM1097" i="9"/>
  <c r="BC1097" i="9"/>
  <c r="BT1097" i="9"/>
  <c r="AH1098" i="9"/>
  <c r="AX1098" i="9"/>
  <c r="AF1096" i="9"/>
  <c r="AV1096" i="9"/>
  <c r="AA1097" i="9"/>
  <c r="AQ1097" i="9"/>
  <c r="BG1097" i="9"/>
  <c r="AL1098" i="9"/>
  <c r="BB1098" i="9"/>
  <c r="BS1098" i="9"/>
  <c r="AT1098" i="9"/>
  <c r="BP1097" i="9"/>
  <c r="AI1097" i="9"/>
  <c r="BD1096" i="9"/>
  <c r="V854" i="9"/>
  <c r="V861" i="9"/>
  <c r="V865" i="9"/>
  <c r="V869" i="9"/>
  <c r="V870" i="9"/>
  <c r="V830" i="9"/>
  <c r="V838" i="9"/>
  <c r="V842" i="9"/>
  <c r="V866" i="9"/>
  <c r="V858" i="9"/>
  <c r="V847" i="9"/>
  <c r="V831" i="9"/>
  <c r="V843" i="9"/>
  <c r="V832" i="9"/>
  <c r="V828" i="9"/>
  <c r="V868" i="9"/>
  <c r="V864" i="9"/>
  <c r="V860" i="9"/>
  <c r="V856" i="9"/>
  <c r="V852" i="9"/>
  <c r="V829" i="9"/>
  <c r="V833" i="9"/>
  <c r="V837" i="9"/>
  <c r="V851" i="9"/>
  <c r="V863" i="9"/>
  <c r="V859" i="9"/>
  <c r="V855" i="9"/>
  <c r="D250" i="3"/>
  <c r="D249" i="3"/>
  <c r="D248" i="3"/>
  <c r="D247" i="3"/>
  <c r="D246" i="3"/>
  <c r="D245" i="3"/>
  <c r="D244" i="3"/>
  <c r="D243" i="3"/>
  <c r="D242" i="3"/>
  <c r="D241" i="3"/>
  <c r="D240" i="3"/>
  <c r="D239" i="3"/>
  <c r="D238" i="3"/>
  <c r="D237" i="3"/>
  <c r="D236" i="3"/>
  <c r="D235" i="3"/>
  <c r="D234" i="3"/>
  <c r="D233" i="3"/>
  <c r="D232" i="3"/>
  <c r="D231" i="3"/>
  <c r="D230" i="3"/>
  <c r="V1099" i="9" l="1"/>
  <c r="V198" i="30" s="1"/>
  <c r="AV1099" i="9"/>
  <c r="AV198" i="30" s="1"/>
  <c r="AV85" i="33" s="1"/>
  <c r="AY1099" i="9"/>
  <c r="AY198" i="30" s="1"/>
  <c r="AY85" i="33" s="1"/>
  <c r="AZ1099" i="9"/>
  <c r="AZ198" i="30" s="1"/>
  <c r="AZ85" i="33" s="1"/>
  <c r="AQ1099" i="9"/>
  <c r="AQ198" i="30" s="1"/>
  <c r="AQ85" i="33" s="1"/>
  <c r="BW1099" i="9"/>
  <c r="BW198" i="30" s="1"/>
  <c r="BW85" i="33" s="1"/>
  <c r="BF1099" i="9"/>
  <c r="BF198" i="30" s="1"/>
  <c r="BF85" i="33" s="1"/>
  <c r="AP1099" i="9"/>
  <c r="AP198" i="30" s="1"/>
  <c r="AP85" i="33" s="1"/>
  <c r="BP1099" i="9"/>
  <c r="BP198" i="30" s="1"/>
  <c r="BP85" i="33" s="1"/>
  <c r="BC1099" i="9"/>
  <c r="BC198" i="30" s="1"/>
  <c r="BC85" i="33" s="1"/>
  <c r="AJ1099" i="9"/>
  <c r="AJ198" i="30" s="1"/>
  <c r="AJ85" i="33" s="1"/>
  <c r="AX1099" i="9"/>
  <c r="AX198" i="30" s="1"/>
  <c r="AX85" i="33" s="1"/>
  <c r="AW1099" i="9"/>
  <c r="AW198" i="30" s="1"/>
  <c r="AW85" i="33" s="1"/>
  <c r="AG1099" i="9"/>
  <c r="AG198" i="30" s="1"/>
  <c r="AG85" i="33" s="1"/>
  <c r="AF1099" i="9"/>
  <c r="AF198" i="30" s="1"/>
  <c r="AF85" i="33" s="1"/>
  <c r="BH1099" i="9"/>
  <c r="BH198" i="30" s="1"/>
  <c r="BH85" i="33" s="1"/>
  <c r="AU1099" i="9"/>
  <c r="AU198" i="30" s="1"/>
  <c r="AU85" i="33" s="1"/>
  <c r="AE1099" i="9"/>
  <c r="AE198" i="30" s="1"/>
  <c r="AE85" i="33" s="1"/>
  <c r="BJ1099" i="9"/>
  <c r="BJ198" i="30" s="1"/>
  <c r="BJ85" i="33" s="1"/>
  <c r="AT1099" i="9"/>
  <c r="AT198" i="30" s="1"/>
  <c r="AT85" i="33" s="1"/>
  <c r="AD1099" i="9"/>
  <c r="AD198" i="30" s="1"/>
  <c r="AD85" i="33" s="1"/>
  <c r="BI1099" i="9"/>
  <c r="BI198" i="30" s="1"/>
  <c r="BI85" i="33" s="1"/>
  <c r="AS1099" i="9"/>
  <c r="AS198" i="30" s="1"/>
  <c r="AS85" i="33" s="1"/>
  <c r="AC1099" i="9"/>
  <c r="AC198" i="30" s="1"/>
  <c r="AC85" i="33" s="1"/>
  <c r="AI1099" i="9"/>
  <c r="AI198" i="30" s="1"/>
  <c r="AI85" i="33" s="1"/>
  <c r="AH1099" i="9"/>
  <c r="AH198" i="30" s="1"/>
  <c r="AH85" i="33" s="1"/>
  <c r="AR1099" i="9"/>
  <c r="AR198" i="30" s="1"/>
  <c r="AR85" i="33" s="1"/>
  <c r="BG1099" i="9"/>
  <c r="BG198" i="30" s="1"/>
  <c r="BG85" i="33" s="1"/>
  <c r="AA1099" i="9"/>
  <c r="AA198" i="30" s="1"/>
  <c r="AA85" i="33" s="1"/>
  <c r="BV1099" i="9"/>
  <c r="BV198" i="30" s="1"/>
  <c r="BV85" i="33" s="1"/>
  <c r="BE1099" i="9"/>
  <c r="BE198" i="30" s="1"/>
  <c r="BE85" i="33" s="1"/>
  <c r="AO1099" i="9"/>
  <c r="AO198" i="30" s="1"/>
  <c r="AO85" i="33" s="1"/>
  <c r="BQ1099" i="9"/>
  <c r="BQ198" i="30" s="1"/>
  <c r="BQ85" i="33" s="1"/>
  <c r="AN1099" i="9"/>
  <c r="AN198" i="30" s="1"/>
  <c r="AN85" i="33" s="1"/>
  <c r="BD1099" i="9"/>
  <c r="BD198" i="30" s="1"/>
  <c r="BD85" i="33" s="1"/>
  <c r="AB1099" i="9"/>
  <c r="AB198" i="30" s="1"/>
  <c r="AB85" i="33" s="1"/>
  <c r="BT1099" i="9"/>
  <c r="BT198" i="30" s="1"/>
  <c r="BT85" i="33" s="1"/>
  <c r="AM1099" i="9"/>
  <c r="AM198" i="30" s="1"/>
  <c r="AM85" i="33" s="1"/>
  <c r="BS1099" i="9"/>
  <c r="BS198" i="30" s="1"/>
  <c r="BS85" i="33" s="1"/>
  <c r="BB1099" i="9"/>
  <c r="BB198" i="30" s="1"/>
  <c r="BB85" i="33" s="1"/>
  <c r="AL1099" i="9"/>
  <c r="AL198" i="30" s="1"/>
  <c r="AL85" i="33" s="1"/>
  <c r="BR1099" i="9"/>
  <c r="BR198" i="30" s="1"/>
  <c r="BR85" i="33" s="1"/>
  <c r="BA1099" i="9"/>
  <c r="BA198" i="30" s="1"/>
  <c r="BA85" i="33" s="1"/>
  <c r="AK1099" i="9"/>
  <c r="AK198" i="30" s="1"/>
  <c r="AK85" i="33" s="1"/>
  <c r="BU1099" i="9"/>
  <c r="BU198" i="30" s="1"/>
  <c r="BU85" i="33" s="1"/>
  <c r="F209" i="3"/>
  <c r="F210" i="3"/>
  <c r="F211" i="3"/>
  <c r="F212" i="3"/>
  <c r="F213" i="3"/>
  <c r="F214" i="3"/>
  <c r="F215" i="3"/>
  <c r="F216" i="3"/>
  <c r="F217" i="3"/>
  <c r="F218" i="3"/>
  <c r="F219" i="3"/>
  <c r="F220" i="3"/>
  <c r="F221" i="3"/>
  <c r="F222" i="3"/>
  <c r="F223" i="3"/>
  <c r="F224" i="3"/>
  <c r="F225" i="3"/>
  <c r="F226" i="3"/>
  <c r="F227" i="3"/>
  <c r="F208" i="3"/>
  <c r="F73" i="11"/>
  <c r="E204" i="3" l="1"/>
  <c r="D204" i="3"/>
  <c r="E203" i="3"/>
  <c r="D203" i="3"/>
  <c r="E202" i="3"/>
  <c r="D202" i="3"/>
  <c r="E201" i="3"/>
  <c r="D201" i="3"/>
  <c r="E200" i="3"/>
  <c r="D200" i="3"/>
  <c r="E199" i="3"/>
  <c r="D199" i="3"/>
  <c r="E198" i="3"/>
  <c r="D198" i="3"/>
  <c r="E197" i="3"/>
  <c r="D197" i="3"/>
  <c r="E196" i="3"/>
  <c r="D196" i="3"/>
  <c r="E195" i="3"/>
  <c r="D195" i="3"/>
  <c r="E194" i="3"/>
  <c r="D194" i="3"/>
  <c r="E193" i="3"/>
  <c r="D193" i="3"/>
  <c r="E192" i="3"/>
  <c r="D192" i="3"/>
  <c r="E191" i="3"/>
  <c r="D191" i="3"/>
  <c r="E190" i="3"/>
  <c r="D190" i="3"/>
  <c r="E189" i="3"/>
  <c r="D189" i="3"/>
  <c r="E188" i="3"/>
  <c r="D188" i="3"/>
  <c r="E187" i="3"/>
  <c r="D187" i="3"/>
  <c r="E186" i="3"/>
  <c r="D186" i="3"/>
  <c r="E185" i="3"/>
  <c r="D185" i="3"/>
  <c r="D184" i="3"/>
  <c r="E227" i="3"/>
  <c r="D227" i="3"/>
  <c r="E226" i="3"/>
  <c r="D226" i="3"/>
  <c r="E225" i="3"/>
  <c r="D225" i="3"/>
  <c r="E224" i="3"/>
  <c r="D224" i="3"/>
  <c r="E223" i="3"/>
  <c r="D223" i="3"/>
  <c r="E222" i="3"/>
  <c r="D222" i="3"/>
  <c r="E221" i="3"/>
  <c r="D221" i="3"/>
  <c r="E220" i="3"/>
  <c r="D220" i="3"/>
  <c r="E219" i="3"/>
  <c r="D219" i="3"/>
  <c r="E218" i="3"/>
  <c r="D218" i="3"/>
  <c r="E217" i="3"/>
  <c r="D217" i="3"/>
  <c r="E216" i="3"/>
  <c r="D216" i="3"/>
  <c r="E215" i="3"/>
  <c r="D215" i="3"/>
  <c r="E214" i="3"/>
  <c r="D214" i="3"/>
  <c r="E213" i="3"/>
  <c r="D213" i="3"/>
  <c r="E212" i="3"/>
  <c r="D212" i="3"/>
  <c r="E211" i="3"/>
  <c r="D211" i="3"/>
  <c r="E210" i="3"/>
  <c r="D210" i="3"/>
  <c r="E209" i="3"/>
  <c r="D209" i="3"/>
  <c r="E208" i="3"/>
  <c r="D208" i="3"/>
  <c r="D207" i="3"/>
  <c r="E158" i="3"/>
  <c r="E157" i="3"/>
  <c r="E156" i="3"/>
  <c r="E155" i="3"/>
  <c r="E154" i="3"/>
  <c r="E153" i="3"/>
  <c r="E152" i="3"/>
  <c r="E151" i="3"/>
  <c r="E150" i="3"/>
  <c r="E149" i="3"/>
  <c r="E148" i="3"/>
  <c r="E147" i="3"/>
  <c r="E146" i="3"/>
  <c r="E145" i="3"/>
  <c r="E144" i="3"/>
  <c r="E143" i="3"/>
  <c r="E142" i="3"/>
  <c r="E141" i="3"/>
  <c r="E139" i="3"/>
  <c r="F89" i="3"/>
  <c r="E89" i="3"/>
  <c r="D89" i="3"/>
  <c r="F88" i="3"/>
  <c r="E88" i="3"/>
  <c r="D88" i="3"/>
  <c r="F87" i="3"/>
  <c r="E87" i="3"/>
  <c r="D87" i="3"/>
  <c r="F86" i="3"/>
  <c r="E86" i="3"/>
  <c r="D86" i="3"/>
  <c r="F85" i="3"/>
  <c r="E85" i="3"/>
  <c r="D85" i="3"/>
  <c r="F84" i="3"/>
  <c r="E84" i="3"/>
  <c r="D84" i="3"/>
  <c r="F83" i="3"/>
  <c r="E83" i="3"/>
  <c r="D83" i="3"/>
  <c r="F82" i="3"/>
  <c r="E82" i="3"/>
  <c r="D82" i="3"/>
  <c r="F81" i="3"/>
  <c r="E81" i="3"/>
  <c r="D81" i="3"/>
  <c r="F80" i="3"/>
  <c r="E80" i="3"/>
  <c r="D80" i="3"/>
  <c r="F79" i="3"/>
  <c r="E79" i="3"/>
  <c r="D79" i="3"/>
  <c r="F78" i="3"/>
  <c r="E78" i="3"/>
  <c r="D78" i="3"/>
  <c r="F77" i="3"/>
  <c r="E77" i="3"/>
  <c r="D77" i="3"/>
  <c r="F76" i="3"/>
  <c r="E76" i="3"/>
  <c r="D76" i="3"/>
  <c r="F75" i="3"/>
  <c r="E75" i="3"/>
  <c r="D75" i="3"/>
  <c r="F74" i="3"/>
  <c r="E74" i="3"/>
  <c r="D74" i="3"/>
  <c r="F73" i="3"/>
  <c r="E73" i="3"/>
  <c r="D73" i="3"/>
  <c r="F72" i="3"/>
  <c r="E72" i="3"/>
  <c r="D72" i="3"/>
  <c r="F71" i="3"/>
  <c r="E71" i="3"/>
  <c r="D71" i="3"/>
  <c r="F70" i="3"/>
  <c r="E70" i="3"/>
  <c r="D70" i="3"/>
  <c r="D69" i="3"/>
  <c r="D158" i="3"/>
  <c r="D157" i="3"/>
  <c r="D156" i="3"/>
  <c r="D155" i="3"/>
  <c r="D154" i="3"/>
  <c r="D153" i="3"/>
  <c r="D152" i="3"/>
  <c r="D151" i="3"/>
  <c r="D150" i="3"/>
  <c r="D149" i="3"/>
  <c r="D148" i="3"/>
  <c r="D147" i="3"/>
  <c r="D146" i="3"/>
  <c r="D145" i="3"/>
  <c r="D144" i="3"/>
  <c r="D143" i="3"/>
  <c r="D142" i="3"/>
  <c r="D141" i="3"/>
  <c r="D140" i="3"/>
  <c r="D139" i="3"/>
  <c r="F135" i="3"/>
  <c r="E135" i="3"/>
  <c r="D135" i="3"/>
  <c r="F134" i="3"/>
  <c r="E134" i="3"/>
  <c r="D134" i="3"/>
  <c r="F133" i="3"/>
  <c r="E133" i="3"/>
  <c r="D133" i="3"/>
  <c r="F132" i="3"/>
  <c r="E132" i="3"/>
  <c r="D132" i="3"/>
  <c r="F131" i="3"/>
  <c r="E131" i="3"/>
  <c r="D131" i="3"/>
  <c r="F130" i="3"/>
  <c r="E130" i="3"/>
  <c r="D130" i="3"/>
  <c r="F129" i="3"/>
  <c r="E129" i="3"/>
  <c r="D129" i="3"/>
  <c r="F128" i="3"/>
  <c r="E128" i="3"/>
  <c r="D128" i="3"/>
  <c r="F127" i="3"/>
  <c r="E127" i="3"/>
  <c r="D127" i="3"/>
  <c r="F126" i="3"/>
  <c r="E126" i="3"/>
  <c r="D126" i="3"/>
  <c r="F125" i="3"/>
  <c r="E125" i="3"/>
  <c r="D125" i="3"/>
  <c r="F124" i="3"/>
  <c r="E124" i="3"/>
  <c r="D124" i="3"/>
  <c r="F123" i="3"/>
  <c r="E123" i="3"/>
  <c r="D123" i="3"/>
  <c r="F122" i="3"/>
  <c r="E122" i="3"/>
  <c r="D122" i="3"/>
  <c r="F121" i="3"/>
  <c r="E121" i="3"/>
  <c r="D121" i="3"/>
  <c r="F120" i="3"/>
  <c r="E120" i="3"/>
  <c r="D120" i="3"/>
  <c r="F119" i="3"/>
  <c r="E119" i="3"/>
  <c r="D119" i="3"/>
  <c r="F118" i="3"/>
  <c r="E118" i="3"/>
  <c r="D118" i="3"/>
  <c r="F117" i="3"/>
  <c r="E117" i="3"/>
  <c r="D117" i="3"/>
  <c r="F116" i="3"/>
  <c r="E116" i="3"/>
  <c r="D116" i="3"/>
  <c r="F112" i="3"/>
  <c r="E112" i="3"/>
  <c r="D112" i="3"/>
  <c r="F111" i="3"/>
  <c r="E111" i="3"/>
  <c r="D111" i="3"/>
  <c r="F110" i="3"/>
  <c r="E110" i="3"/>
  <c r="D110" i="3"/>
  <c r="F109" i="3"/>
  <c r="E109" i="3"/>
  <c r="D109" i="3"/>
  <c r="F108" i="3"/>
  <c r="E108" i="3"/>
  <c r="D108" i="3"/>
  <c r="F107" i="3"/>
  <c r="E107" i="3"/>
  <c r="D107" i="3"/>
  <c r="F106" i="3"/>
  <c r="E106" i="3"/>
  <c r="D106" i="3"/>
  <c r="F105" i="3"/>
  <c r="E105" i="3"/>
  <c r="D105" i="3"/>
  <c r="F104" i="3"/>
  <c r="E104" i="3"/>
  <c r="D104" i="3"/>
  <c r="F103" i="3"/>
  <c r="E103" i="3"/>
  <c r="D103" i="3"/>
  <c r="F102" i="3"/>
  <c r="E102" i="3"/>
  <c r="D102" i="3"/>
  <c r="F101" i="3"/>
  <c r="E101" i="3"/>
  <c r="D101" i="3"/>
  <c r="F100" i="3"/>
  <c r="E100" i="3"/>
  <c r="D100" i="3"/>
  <c r="F99" i="3"/>
  <c r="E99" i="3"/>
  <c r="D99" i="3"/>
  <c r="F98" i="3"/>
  <c r="E98" i="3"/>
  <c r="D98" i="3"/>
  <c r="F97" i="3"/>
  <c r="E97" i="3"/>
  <c r="D97" i="3"/>
  <c r="F96" i="3"/>
  <c r="E96" i="3"/>
  <c r="D96" i="3"/>
  <c r="F95" i="3"/>
  <c r="E95" i="3"/>
  <c r="D95" i="3"/>
  <c r="F94" i="3"/>
  <c r="E94" i="3"/>
  <c r="D94" i="3"/>
  <c r="F93" i="3"/>
  <c r="E93" i="3"/>
  <c r="D93" i="3"/>
  <c r="F66" i="3"/>
  <c r="F65" i="3"/>
  <c r="F64" i="3"/>
  <c r="F63" i="3"/>
  <c r="F62" i="3"/>
  <c r="F61" i="3"/>
  <c r="F60" i="3"/>
  <c r="F59" i="3"/>
  <c r="F58" i="3"/>
  <c r="F57" i="3"/>
  <c r="F56" i="3"/>
  <c r="F55" i="3"/>
  <c r="F54" i="3"/>
  <c r="F53" i="3"/>
  <c r="F52" i="3"/>
  <c r="F51" i="3"/>
  <c r="F50" i="3"/>
  <c r="F49" i="3"/>
  <c r="F48" i="3"/>
  <c r="F47" i="3"/>
  <c r="E66" i="3"/>
  <c r="E65" i="3"/>
  <c r="E64" i="3"/>
  <c r="E63" i="3"/>
  <c r="E62" i="3"/>
  <c r="E61" i="3"/>
  <c r="E60" i="3"/>
  <c r="E59" i="3"/>
  <c r="E58" i="3"/>
  <c r="E57" i="3"/>
  <c r="E56" i="3"/>
  <c r="E55" i="3"/>
  <c r="E54" i="3"/>
  <c r="E53" i="3"/>
  <c r="E52" i="3"/>
  <c r="E51" i="3"/>
  <c r="E50" i="3"/>
  <c r="E49" i="3"/>
  <c r="E48" i="3"/>
  <c r="E47" i="3"/>
  <c r="D138" i="3"/>
  <c r="F641" i="9" l="1"/>
  <c r="F642" i="9"/>
  <c r="AA642" i="9" s="1"/>
  <c r="AA665" i="9" s="1"/>
  <c r="F643" i="9"/>
  <c r="AA643" i="9" s="1"/>
  <c r="AA666" i="9" s="1"/>
  <c r="F644" i="9"/>
  <c r="AA644" i="9" s="1"/>
  <c r="AA667" i="9" s="1"/>
  <c r="F645" i="9"/>
  <c r="AA645" i="9" s="1"/>
  <c r="AA668" i="9" s="1"/>
  <c r="F646" i="9"/>
  <c r="AA646" i="9" s="1"/>
  <c r="AA669" i="9" s="1"/>
  <c r="F647" i="9"/>
  <c r="AA647" i="9" s="1"/>
  <c r="AA670" i="9" s="1"/>
  <c r="F648" i="9"/>
  <c r="AA648" i="9" s="1"/>
  <c r="AA671" i="9" s="1"/>
  <c r="F649" i="9"/>
  <c r="AA649" i="9" s="1"/>
  <c r="AA672" i="9" s="1"/>
  <c r="F650" i="9"/>
  <c r="AA650" i="9" s="1"/>
  <c r="AA673" i="9" s="1"/>
  <c r="F651" i="9"/>
  <c r="AA651" i="9" s="1"/>
  <c r="AA674" i="9" s="1"/>
  <c r="F652" i="9"/>
  <c r="AA652" i="9" s="1"/>
  <c r="AA675" i="9" s="1"/>
  <c r="F653" i="9"/>
  <c r="AA653" i="9" s="1"/>
  <c r="AA676" i="9" s="1"/>
  <c r="F654" i="9"/>
  <c r="AA654" i="9" s="1"/>
  <c r="AA677" i="9" s="1"/>
  <c r="F655" i="9"/>
  <c r="AA655" i="9" s="1"/>
  <c r="AA678" i="9" s="1"/>
  <c r="F656" i="9"/>
  <c r="AA656" i="9" s="1"/>
  <c r="AA679" i="9" s="1"/>
  <c r="F657" i="9"/>
  <c r="AA657" i="9" s="1"/>
  <c r="AA680" i="9" s="1"/>
  <c r="F658" i="9"/>
  <c r="AA658" i="9" s="1"/>
  <c r="AA681" i="9" s="1"/>
  <c r="F659" i="9"/>
  <c r="AA659" i="9" s="1"/>
  <c r="F640" i="9"/>
  <c r="F163" i="3"/>
  <c r="F165" i="3"/>
  <c r="F166" i="3"/>
  <c r="F167" i="3"/>
  <c r="F168" i="3"/>
  <c r="F169" i="3"/>
  <c r="F170" i="3"/>
  <c r="F171" i="3"/>
  <c r="F172" i="3"/>
  <c r="F173" i="3"/>
  <c r="F174" i="3"/>
  <c r="F175" i="3"/>
  <c r="F176" i="3"/>
  <c r="F177" i="3"/>
  <c r="F178" i="3"/>
  <c r="F179" i="3"/>
  <c r="F180" i="3"/>
  <c r="F181" i="3"/>
  <c r="AA640" i="9" l="1"/>
  <c r="AA663" i="9" s="1"/>
  <c r="AB640" i="9"/>
  <c r="AB663" i="9" s="1"/>
  <c r="AB641" i="9"/>
  <c r="AB664" i="9" s="1"/>
  <c r="AA641" i="9"/>
  <c r="AA664" i="9" s="1"/>
  <c r="BB656" i="9"/>
  <c r="BB679" i="9" s="1"/>
  <c r="AV656" i="9"/>
  <c r="AV679" i="9" s="1"/>
  <c r="AF656" i="9"/>
  <c r="AF679" i="9" s="1"/>
  <c r="BE656" i="9"/>
  <c r="BE679" i="9" s="1"/>
  <c r="AI656" i="9"/>
  <c r="AI679" i="9" s="1"/>
  <c r="AX656" i="9"/>
  <c r="AX679" i="9" s="1"/>
  <c r="AP656" i="9"/>
  <c r="AP679" i="9" s="1"/>
  <c r="BA656" i="9"/>
  <c r="BA679" i="9" s="1"/>
  <c r="AG656" i="9"/>
  <c r="AG679" i="9" s="1"/>
  <c r="BH656" i="9"/>
  <c r="BH679" i="9" s="1"/>
  <c r="AR656" i="9"/>
  <c r="AR679" i="9" s="1"/>
  <c r="AB656" i="9"/>
  <c r="AB679" i="9" s="1"/>
  <c r="AY656" i="9"/>
  <c r="AY679" i="9" s="1"/>
  <c r="AD656" i="9"/>
  <c r="AD679" i="9" s="1"/>
  <c r="AQ656" i="9"/>
  <c r="AQ679" i="9" s="1"/>
  <c r="AH656" i="9"/>
  <c r="AH679" i="9" s="1"/>
  <c r="AL656" i="9"/>
  <c r="AL679" i="9" s="1"/>
  <c r="BG656" i="9"/>
  <c r="BG679" i="9" s="1"/>
  <c r="BD656" i="9"/>
  <c r="BD679" i="9" s="1"/>
  <c r="AN656" i="9"/>
  <c r="AN679" i="9" s="1"/>
  <c r="AT656" i="9"/>
  <c r="AT679" i="9" s="1"/>
  <c r="AK656" i="9"/>
  <c r="AK679" i="9" s="1"/>
  <c r="BC656" i="9"/>
  <c r="BC679" i="9" s="1"/>
  <c r="BI656" i="9"/>
  <c r="BI679" i="9" s="1"/>
  <c r="AS656" i="9"/>
  <c r="AS679" i="9" s="1"/>
  <c r="AJ656" i="9"/>
  <c r="AJ679" i="9" s="1"/>
  <c r="AC656" i="9"/>
  <c r="AC679" i="9" s="1"/>
  <c r="AE656" i="9"/>
  <c r="AE679" i="9" s="1"/>
  <c r="AM656" i="9"/>
  <c r="AM679" i="9" s="1"/>
  <c r="BF656" i="9"/>
  <c r="BF679" i="9" s="1"/>
  <c r="BJ656" i="9"/>
  <c r="BJ679" i="9" s="1"/>
  <c r="AW656" i="9"/>
  <c r="AW679" i="9" s="1"/>
  <c r="AU656" i="9"/>
  <c r="AU679" i="9" s="1"/>
  <c r="AO656" i="9"/>
  <c r="AO679" i="9" s="1"/>
  <c r="AZ656" i="9"/>
  <c r="AZ679" i="9" s="1"/>
  <c r="BJ652" i="9"/>
  <c r="BJ675" i="9" s="1"/>
  <c r="BC652" i="9"/>
  <c r="BC675" i="9" s="1"/>
  <c r="AW652" i="9"/>
  <c r="AW675" i="9" s="1"/>
  <c r="AO652" i="9"/>
  <c r="AO675" i="9" s="1"/>
  <c r="AH652" i="9"/>
  <c r="AH675" i="9" s="1"/>
  <c r="BG652" i="9"/>
  <c r="BG675" i="9" s="1"/>
  <c r="AY652" i="9"/>
  <c r="AY675" i="9" s="1"/>
  <c r="AS652" i="9"/>
  <c r="AS675" i="9" s="1"/>
  <c r="AL652" i="9"/>
  <c r="AL675" i="9" s="1"/>
  <c r="AD652" i="9"/>
  <c r="AD675" i="9" s="1"/>
  <c r="BE652" i="9"/>
  <c r="BE675" i="9" s="1"/>
  <c r="AX652" i="9"/>
  <c r="AX675" i="9" s="1"/>
  <c r="AQ652" i="9"/>
  <c r="AQ675" i="9" s="1"/>
  <c r="AI652" i="9"/>
  <c r="AI675" i="9" s="1"/>
  <c r="AC652" i="9"/>
  <c r="AC675" i="9" s="1"/>
  <c r="AG652" i="9"/>
  <c r="AG675" i="9" s="1"/>
  <c r="BI652" i="9"/>
  <c r="BI675" i="9" s="1"/>
  <c r="AM652" i="9"/>
  <c r="AM675" i="9" s="1"/>
  <c r="BD652" i="9"/>
  <c r="BD675" i="9" s="1"/>
  <c r="AN652" i="9"/>
  <c r="AN675" i="9" s="1"/>
  <c r="AE652" i="9"/>
  <c r="AE675" i="9" s="1"/>
  <c r="BA652" i="9"/>
  <c r="BA675" i="9" s="1"/>
  <c r="AT652" i="9"/>
  <c r="AT675" i="9" s="1"/>
  <c r="AZ652" i="9"/>
  <c r="AZ675" i="9" s="1"/>
  <c r="AJ652" i="9"/>
  <c r="AJ675" i="9" s="1"/>
  <c r="AK652" i="9"/>
  <c r="AK675" i="9" s="1"/>
  <c r="BF652" i="9"/>
  <c r="BF675" i="9" s="1"/>
  <c r="AV652" i="9"/>
  <c r="AV675" i="9" s="1"/>
  <c r="AP652" i="9"/>
  <c r="AP675" i="9" s="1"/>
  <c r="BH652" i="9"/>
  <c r="BH675" i="9" s="1"/>
  <c r="AR652" i="9"/>
  <c r="AR675" i="9" s="1"/>
  <c r="AU652" i="9"/>
  <c r="AU675" i="9" s="1"/>
  <c r="AB652" i="9"/>
  <c r="AB675" i="9" s="1"/>
  <c r="BB652" i="9"/>
  <c r="BB675" i="9" s="1"/>
  <c r="AF652" i="9"/>
  <c r="AF675" i="9" s="1"/>
  <c r="BG644" i="9"/>
  <c r="BG667" i="9" s="1"/>
  <c r="BA644" i="9"/>
  <c r="BA667" i="9" s="1"/>
  <c r="AV644" i="9"/>
  <c r="AV667" i="9" s="1"/>
  <c r="AQ644" i="9"/>
  <c r="AQ667" i="9" s="1"/>
  <c r="AK644" i="9"/>
  <c r="AK667" i="9" s="1"/>
  <c r="AF644" i="9"/>
  <c r="AF667" i="9" s="1"/>
  <c r="BH644" i="9"/>
  <c r="BH667" i="9" s="1"/>
  <c r="BC644" i="9"/>
  <c r="BC667" i="9" s="1"/>
  <c r="AW644" i="9"/>
  <c r="AW667" i="9" s="1"/>
  <c r="AR644" i="9"/>
  <c r="AR667" i="9" s="1"/>
  <c r="AM644" i="9"/>
  <c r="AM667" i="9" s="1"/>
  <c r="AB644" i="9"/>
  <c r="AB667" i="9" s="1"/>
  <c r="AG644" i="9"/>
  <c r="AG667" i="9" s="1"/>
  <c r="BI644" i="9"/>
  <c r="BI667" i="9" s="1"/>
  <c r="BD644" i="9"/>
  <c r="BD667" i="9" s="1"/>
  <c r="AY644" i="9"/>
  <c r="AY667" i="9" s="1"/>
  <c r="AS644" i="9"/>
  <c r="AS667" i="9" s="1"/>
  <c r="AN644" i="9"/>
  <c r="AN667" i="9" s="1"/>
  <c r="AI644" i="9"/>
  <c r="AI667" i="9" s="1"/>
  <c r="AC644" i="9"/>
  <c r="AC667" i="9" s="1"/>
  <c r="AO644" i="9"/>
  <c r="AO667" i="9" s="1"/>
  <c r="AH644" i="9"/>
  <c r="AH667" i="9" s="1"/>
  <c r="AX644" i="9"/>
  <c r="AX667" i="9" s="1"/>
  <c r="AU644" i="9"/>
  <c r="AU667" i="9" s="1"/>
  <c r="AL644" i="9"/>
  <c r="AL667" i="9" s="1"/>
  <c r="BB644" i="9"/>
  <c r="BB667" i="9" s="1"/>
  <c r="AE644" i="9"/>
  <c r="AE667" i="9" s="1"/>
  <c r="AZ644" i="9"/>
  <c r="AZ667" i="9" s="1"/>
  <c r="AP644" i="9"/>
  <c r="AP667" i="9" s="1"/>
  <c r="BF644" i="9"/>
  <c r="BF667" i="9" s="1"/>
  <c r="BE644" i="9"/>
  <c r="BE667" i="9" s="1"/>
  <c r="BJ644" i="9"/>
  <c r="BJ667" i="9" s="1"/>
  <c r="AD644" i="9"/>
  <c r="AD667" i="9" s="1"/>
  <c r="AJ644" i="9"/>
  <c r="AJ667" i="9" s="1"/>
  <c r="AT644" i="9"/>
  <c r="AT667" i="9" s="1"/>
  <c r="AT659" i="9"/>
  <c r="BD659" i="9"/>
  <c r="AJ659" i="9"/>
  <c r="BF659" i="9"/>
  <c r="AP659" i="9"/>
  <c r="AI659" i="9"/>
  <c r="AD659" i="9"/>
  <c r="AY659" i="9"/>
  <c r="AQ659" i="9"/>
  <c r="BI659" i="9"/>
  <c r="AS659" i="9"/>
  <c r="AC659" i="9"/>
  <c r="AX659" i="9"/>
  <c r="AB659" i="9"/>
  <c r="BB659" i="9"/>
  <c r="AL659" i="9"/>
  <c r="BG659" i="9"/>
  <c r="AZ659" i="9"/>
  <c r="BE659" i="9"/>
  <c r="AO659" i="9"/>
  <c r="BA659" i="9"/>
  <c r="AM659" i="9"/>
  <c r="AU659" i="9"/>
  <c r="BC659" i="9"/>
  <c r="AR659" i="9"/>
  <c r="AV659" i="9"/>
  <c r="AW659" i="9"/>
  <c r="BH659" i="9"/>
  <c r="AH659" i="9"/>
  <c r="BJ659" i="9"/>
  <c r="AF659" i="9"/>
  <c r="AG659" i="9"/>
  <c r="AN659" i="9"/>
  <c r="AE659" i="9"/>
  <c r="AK659" i="9"/>
  <c r="AX655" i="9"/>
  <c r="AX678" i="9" s="1"/>
  <c r="AM655" i="9"/>
  <c r="AM678" i="9" s="1"/>
  <c r="AB655" i="9"/>
  <c r="AB678" i="9" s="1"/>
  <c r="AF655" i="9"/>
  <c r="AF678" i="9" s="1"/>
  <c r="BC655" i="9"/>
  <c r="BC678" i="9" s="1"/>
  <c r="AQ655" i="9"/>
  <c r="AQ678" i="9" s="1"/>
  <c r="AH655" i="9"/>
  <c r="AH678" i="9" s="1"/>
  <c r="AR655" i="9"/>
  <c r="AR678" i="9" s="1"/>
  <c r="AL655" i="9"/>
  <c r="AL678" i="9" s="1"/>
  <c r="AI655" i="9"/>
  <c r="AI678" i="9" s="1"/>
  <c r="BF655" i="9"/>
  <c r="BF678" i="9" s="1"/>
  <c r="BD655" i="9"/>
  <c r="BD678" i="9" s="1"/>
  <c r="AV655" i="9"/>
  <c r="AV678" i="9" s="1"/>
  <c r="AN655" i="9"/>
  <c r="AN678" i="9" s="1"/>
  <c r="AT655" i="9"/>
  <c r="AT678" i="9" s="1"/>
  <c r="BA655" i="9"/>
  <c r="BA678" i="9" s="1"/>
  <c r="BB655" i="9"/>
  <c r="BB678" i="9" s="1"/>
  <c r="AK655" i="9"/>
  <c r="AK678" i="9" s="1"/>
  <c r="AJ655" i="9"/>
  <c r="AJ678" i="9" s="1"/>
  <c r="BH655" i="9"/>
  <c r="BH678" i="9" s="1"/>
  <c r="AU655" i="9"/>
  <c r="AU678" i="9" s="1"/>
  <c r="BG655" i="9"/>
  <c r="BG678" i="9" s="1"/>
  <c r="AZ655" i="9"/>
  <c r="AZ678" i="9" s="1"/>
  <c r="AY655" i="9"/>
  <c r="AY678" i="9" s="1"/>
  <c r="AW655" i="9"/>
  <c r="AW678" i="9" s="1"/>
  <c r="AG655" i="9"/>
  <c r="AG678" i="9" s="1"/>
  <c r="AP655" i="9"/>
  <c r="AP678" i="9" s="1"/>
  <c r="BI655" i="9"/>
  <c r="BI678" i="9" s="1"/>
  <c r="AC655" i="9"/>
  <c r="AC678" i="9" s="1"/>
  <c r="BE655" i="9"/>
  <c r="BE678" i="9" s="1"/>
  <c r="AE655" i="9"/>
  <c r="AE678" i="9" s="1"/>
  <c r="BJ655" i="9"/>
  <c r="BJ678" i="9" s="1"/>
  <c r="AS655" i="9"/>
  <c r="AS678" i="9" s="1"/>
  <c r="AD655" i="9"/>
  <c r="AD678" i="9" s="1"/>
  <c r="AO655" i="9"/>
  <c r="AO678" i="9" s="1"/>
  <c r="BB651" i="9"/>
  <c r="BB674" i="9" s="1"/>
  <c r="AS651" i="9"/>
  <c r="AS674" i="9" s="1"/>
  <c r="AL651" i="9"/>
  <c r="AL674" i="9" s="1"/>
  <c r="BF651" i="9"/>
  <c r="BF674" i="9" s="1"/>
  <c r="BI651" i="9"/>
  <c r="BI674" i="9" s="1"/>
  <c r="BD651" i="9"/>
  <c r="BD674" i="9" s="1"/>
  <c r="AN651" i="9"/>
  <c r="AN674" i="9" s="1"/>
  <c r="AU651" i="9"/>
  <c r="AU674" i="9" s="1"/>
  <c r="AE651" i="9"/>
  <c r="AE674" i="9" s="1"/>
  <c r="AX651" i="9"/>
  <c r="AX674" i="9" s="1"/>
  <c r="AD651" i="9"/>
  <c r="AD674" i="9" s="1"/>
  <c r="AG651" i="9"/>
  <c r="AG674" i="9" s="1"/>
  <c r="BE651" i="9"/>
  <c r="BE674" i="9" s="1"/>
  <c r="AZ651" i="9"/>
  <c r="AZ674" i="9" s="1"/>
  <c r="AJ651" i="9"/>
  <c r="AJ674" i="9" s="1"/>
  <c r="BH651" i="9"/>
  <c r="BH674" i="9" s="1"/>
  <c r="AQ651" i="9"/>
  <c r="AQ674" i="9" s="1"/>
  <c r="BG651" i="9"/>
  <c r="BG674" i="9" s="1"/>
  <c r="AT651" i="9"/>
  <c r="AT674" i="9" s="1"/>
  <c r="AK651" i="9"/>
  <c r="AK674" i="9" s="1"/>
  <c r="AO651" i="9"/>
  <c r="AO674" i="9" s="1"/>
  <c r="AV651" i="9"/>
  <c r="AV674" i="9" s="1"/>
  <c r="AF651" i="9"/>
  <c r="AF674" i="9" s="1"/>
  <c r="BC651" i="9"/>
  <c r="BC674" i="9" s="1"/>
  <c r="AM651" i="9"/>
  <c r="AM674" i="9" s="1"/>
  <c r="AH651" i="9"/>
  <c r="AH674" i="9" s="1"/>
  <c r="BA651" i="9"/>
  <c r="BA674" i="9" s="1"/>
  <c r="AR651" i="9"/>
  <c r="AR674" i="9" s="1"/>
  <c r="AP651" i="9"/>
  <c r="AP674" i="9" s="1"/>
  <c r="AW651" i="9"/>
  <c r="AW674" i="9" s="1"/>
  <c r="AB651" i="9"/>
  <c r="AB674" i="9" s="1"/>
  <c r="AI651" i="9"/>
  <c r="AI674" i="9" s="1"/>
  <c r="AC651" i="9"/>
  <c r="AC674" i="9" s="1"/>
  <c r="AY651" i="9"/>
  <c r="AY674" i="9" s="1"/>
  <c r="BJ651" i="9"/>
  <c r="BJ674" i="9" s="1"/>
  <c r="AF643" i="9"/>
  <c r="AF666" i="9" s="1"/>
  <c r="BC643" i="9"/>
  <c r="BC666" i="9" s="1"/>
  <c r="AM643" i="9"/>
  <c r="AM666" i="9" s="1"/>
  <c r="AT643" i="9"/>
  <c r="AT666" i="9" s="1"/>
  <c r="AS643" i="9"/>
  <c r="AS666" i="9" s="1"/>
  <c r="AW643" i="9"/>
  <c r="AW666" i="9" s="1"/>
  <c r="AB643" i="9"/>
  <c r="AB666" i="9" s="1"/>
  <c r="AP643" i="9"/>
  <c r="AP666" i="9" s="1"/>
  <c r="BF643" i="9"/>
  <c r="BF666" i="9" s="1"/>
  <c r="AY643" i="9"/>
  <c r="AY666" i="9" s="1"/>
  <c r="AI643" i="9"/>
  <c r="AI666" i="9" s="1"/>
  <c r="BJ643" i="9"/>
  <c r="BJ666" i="9" s="1"/>
  <c r="AO643" i="9"/>
  <c r="AO666" i="9" s="1"/>
  <c r="BI643" i="9"/>
  <c r="BI666" i="9" s="1"/>
  <c r="AN643" i="9"/>
  <c r="AN666" i="9" s="1"/>
  <c r="AR643" i="9"/>
  <c r="AR666" i="9" s="1"/>
  <c r="AV643" i="9"/>
  <c r="AV666" i="9" s="1"/>
  <c r="BA643" i="9"/>
  <c r="BA666" i="9" s="1"/>
  <c r="AU643" i="9"/>
  <c r="AU666" i="9" s="1"/>
  <c r="AE643" i="9"/>
  <c r="AE666" i="9" s="1"/>
  <c r="BE643" i="9"/>
  <c r="BE666" i="9" s="1"/>
  <c r="AJ643" i="9"/>
  <c r="AJ666" i="9" s="1"/>
  <c r="BD643" i="9"/>
  <c r="BD666" i="9" s="1"/>
  <c r="AH643" i="9"/>
  <c r="AH666" i="9" s="1"/>
  <c r="BH643" i="9"/>
  <c r="BH666" i="9" s="1"/>
  <c r="AL643" i="9"/>
  <c r="AL666" i="9" s="1"/>
  <c r="AZ643" i="9"/>
  <c r="AZ666" i="9" s="1"/>
  <c r="BB643" i="9"/>
  <c r="BB666" i="9" s="1"/>
  <c r="AK643" i="9"/>
  <c r="AK666" i="9" s="1"/>
  <c r="BG643" i="9"/>
  <c r="BG666" i="9" s="1"/>
  <c r="AD643" i="9"/>
  <c r="AD666" i="9" s="1"/>
  <c r="AG643" i="9"/>
  <c r="AG666" i="9" s="1"/>
  <c r="AC643" i="9"/>
  <c r="AC666" i="9" s="1"/>
  <c r="AQ643" i="9"/>
  <c r="AQ666" i="9" s="1"/>
  <c r="AX643" i="9"/>
  <c r="AX666" i="9" s="1"/>
  <c r="BG658" i="9"/>
  <c r="BG681" i="9" s="1"/>
  <c r="BA658" i="9"/>
  <c r="BA681" i="9" s="1"/>
  <c r="AV658" i="9"/>
  <c r="AV681" i="9" s="1"/>
  <c r="AQ658" i="9"/>
  <c r="AQ681" i="9" s="1"/>
  <c r="AK658" i="9"/>
  <c r="AK681" i="9" s="1"/>
  <c r="AF658" i="9"/>
  <c r="AF681" i="9" s="1"/>
  <c r="BH658" i="9"/>
  <c r="BH681" i="9" s="1"/>
  <c r="BC658" i="9"/>
  <c r="BC681" i="9" s="1"/>
  <c r="AW658" i="9"/>
  <c r="AW681" i="9" s="1"/>
  <c r="AR658" i="9"/>
  <c r="AR681" i="9" s="1"/>
  <c r="AG658" i="9"/>
  <c r="AG681" i="9" s="1"/>
  <c r="BI658" i="9"/>
  <c r="BI681" i="9" s="1"/>
  <c r="BD658" i="9"/>
  <c r="BD681" i="9" s="1"/>
  <c r="AY658" i="9"/>
  <c r="AY681" i="9" s="1"/>
  <c r="AS658" i="9"/>
  <c r="AS681" i="9" s="1"/>
  <c r="AN658" i="9"/>
  <c r="AN681" i="9" s="1"/>
  <c r="AI658" i="9"/>
  <c r="AI681" i="9" s="1"/>
  <c r="AC658" i="9"/>
  <c r="AC681" i="9" s="1"/>
  <c r="AM658" i="9"/>
  <c r="AM681" i="9" s="1"/>
  <c r="AB658" i="9"/>
  <c r="AB681" i="9" s="1"/>
  <c r="AJ658" i="9"/>
  <c r="AJ681" i="9" s="1"/>
  <c r="BE658" i="9"/>
  <c r="BE681" i="9" s="1"/>
  <c r="AO658" i="9"/>
  <c r="AO681" i="9" s="1"/>
  <c r="AU658" i="9"/>
  <c r="AU681" i="9" s="1"/>
  <c r="AE658" i="9"/>
  <c r="AE681" i="9" s="1"/>
  <c r="AD658" i="9"/>
  <c r="AD681" i="9" s="1"/>
  <c r="AT658" i="9"/>
  <c r="AT681" i="9" s="1"/>
  <c r="BJ658" i="9"/>
  <c r="BJ681" i="9" s="1"/>
  <c r="AL658" i="9"/>
  <c r="AL681" i="9" s="1"/>
  <c r="BF658" i="9"/>
  <c r="BF681" i="9" s="1"/>
  <c r="AZ658" i="9"/>
  <c r="AZ681" i="9" s="1"/>
  <c r="AH658" i="9"/>
  <c r="AH681" i="9" s="1"/>
  <c r="AX658" i="9"/>
  <c r="AX681" i="9" s="1"/>
  <c r="BB658" i="9"/>
  <c r="BB681" i="9" s="1"/>
  <c r="AP658" i="9"/>
  <c r="AP681" i="9" s="1"/>
  <c r="AO654" i="9"/>
  <c r="AO677" i="9" s="1"/>
  <c r="AK654" i="9"/>
  <c r="AK677" i="9" s="1"/>
  <c r="BG654" i="9"/>
  <c r="BG677" i="9" s="1"/>
  <c r="AB654" i="9"/>
  <c r="AB677" i="9" s="1"/>
  <c r="AW654" i="9"/>
  <c r="AW677" i="9" s="1"/>
  <c r="AS654" i="9"/>
  <c r="AS677" i="9" s="1"/>
  <c r="AU654" i="9"/>
  <c r="AU677" i="9" s="1"/>
  <c r="AQ654" i="9"/>
  <c r="AQ677" i="9" s="1"/>
  <c r="AG654" i="9"/>
  <c r="AG677" i="9" s="1"/>
  <c r="BC654" i="9"/>
  <c r="BC677" i="9" s="1"/>
  <c r="AC654" i="9"/>
  <c r="AC677" i="9" s="1"/>
  <c r="AY654" i="9"/>
  <c r="AY677" i="9" s="1"/>
  <c r="AE654" i="9"/>
  <c r="AE677" i="9" s="1"/>
  <c r="AZ654" i="9"/>
  <c r="AZ677" i="9" s="1"/>
  <c r="AV654" i="9"/>
  <c r="AV677" i="9" s="1"/>
  <c r="AM654" i="9"/>
  <c r="AM677" i="9" s="1"/>
  <c r="BH654" i="9"/>
  <c r="BH677" i="9" s="1"/>
  <c r="AI654" i="9"/>
  <c r="AI677" i="9" s="1"/>
  <c r="BD654" i="9"/>
  <c r="BD677" i="9" s="1"/>
  <c r="AF654" i="9"/>
  <c r="AF677" i="9" s="1"/>
  <c r="AR654" i="9"/>
  <c r="AR677" i="9" s="1"/>
  <c r="AL654" i="9"/>
  <c r="AL677" i="9" s="1"/>
  <c r="BB654" i="9"/>
  <c r="BB677" i="9" s="1"/>
  <c r="AT654" i="9"/>
  <c r="AT677" i="9" s="1"/>
  <c r="BI654" i="9"/>
  <c r="BI677" i="9" s="1"/>
  <c r="AJ654" i="9"/>
  <c r="AJ677" i="9" s="1"/>
  <c r="BA654" i="9"/>
  <c r="BA677" i="9" s="1"/>
  <c r="AP654" i="9"/>
  <c r="AP677" i="9" s="1"/>
  <c r="BF654" i="9"/>
  <c r="BF677" i="9" s="1"/>
  <c r="AD654" i="9"/>
  <c r="AD677" i="9" s="1"/>
  <c r="AX654" i="9"/>
  <c r="AX677" i="9" s="1"/>
  <c r="BE654" i="9"/>
  <c r="BE677" i="9" s="1"/>
  <c r="AN654" i="9"/>
  <c r="AN677" i="9" s="1"/>
  <c r="BJ654" i="9"/>
  <c r="BJ677" i="9" s="1"/>
  <c r="AH654" i="9"/>
  <c r="AH677" i="9" s="1"/>
  <c r="AE650" i="9"/>
  <c r="AE673" i="9" s="1"/>
  <c r="AU650" i="9"/>
  <c r="AU673" i="9" s="1"/>
  <c r="AW650" i="9"/>
  <c r="AW673" i="9" s="1"/>
  <c r="AG650" i="9"/>
  <c r="AG673" i="9" s="1"/>
  <c r="BH650" i="9"/>
  <c r="BH673" i="9" s="1"/>
  <c r="AR650" i="9"/>
  <c r="AR673" i="9" s="1"/>
  <c r="AB650" i="9"/>
  <c r="AB673" i="9" s="1"/>
  <c r="BF650" i="9"/>
  <c r="BF673" i="9" s="1"/>
  <c r="AI650" i="9"/>
  <c r="AI673" i="9" s="1"/>
  <c r="AD650" i="9"/>
  <c r="AD673" i="9" s="1"/>
  <c r="BJ650" i="9"/>
  <c r="BJ673" i="9" s="1"/>
  <c r="BC650" i="9"/>
  <c r="BC673" i="9" s="1"/>
  <c r="BI650" i="9"/>
  <c r="BI673" i="9" s="1"/>
  <c r="AS650" i="9"/>
  <c r="AS673" i="9" s="1"/>
  <c r="AC650" i="9"/>
  <c r="AC673" i="9" s="1"/>
  <c r="BD650" i="9"/>
  <c r="BD673" i="9" s="1"/>
  <c r="AN650" i="9"/>
  <c r="AN673" i="9" s="1"/>
  <c r="AH650" i="9"/>
  <c r="AH673" i="9" s="1"/>
  <c r="AQ650" i="9"/>
  <c r="AQ673" i="9" s="1"/>
  <c r="AL650" i="9"/>
  <c r="AL673" i="9" s="1"/>
  <c r="AM650" i="9"/>
  <c r="AM673" i="9" s="1"/>
  <c r="BE650" i="9"/>
  <c r="BE673" i="9" s="1"/>
  <c r="AO650" i="9"/>
  <c r="AO673" i="9" s="1"/>
  <c r="AZ650" i="9"/>
  <c r="AZ673" i="9" s="1"/>
  <c r="AJ650" i="9"/>
  <c r="AJ673" i="9" s="1"/>
  <c r="AP650" i="9"/>
  <c r="AP673" i="9" s="1"/>
  <c r="AY650" i="9"/>
  <c r="AY673" i="9" s="1"/>
  <c r="AT650" i="9"/>
  <c r="AT673" i="9" s="1"/>
  <c r="BA650" i="9"/>
  <c r="BA673" i="9" s="1"/>
  <c r="AF650" i="9"/>
  <c r="AF673" i="9" s="1"/>
  <c r="BG650" i="9"/>
  <c r="BG673" i="9" s="1"/>
  <c r="AV650" i="9"/>
  <c r="AV673" i="9" s="1"/>
  <c r="AK650" i="9"/>
  <c r="AK673" i="9" s="1"/>
  <c r="AX650" i="9"/>
  <c r="AX673" i="9" s="1"/>
  <c r="BB650" i="9"/>
  <c r="BB673" i="9" s="1"/>
  <c r="BG646" i="9"/>
  <c r="BG669" i="9" s="1"/>
  <c r="AQ646" i="9"/>
  <c r="AQ669" i="9" s="1"/>
  <c r="AT646" i="9"/>
  <c r="AT669" i="9" s="1"/>
  <c r="AY646" i="9"/>
  <c r="AY669" i="9" s="1"/>
  <c r="BB646" i="9"/>
  <c r="BB669" i="9" s="1"/>
  <c r="BC646" i="9"/>
  <c r="BC669" i="9" s="1"/>
  <c r="AW646" i="9"/>
  <c r="AW669" i="9" s="1"/>
  <c r="AG646" i="9"/>
  <c r="AG669" i="9" s="1"/>
  <c r="BH646" i="9"/>
  <c r="BH669" i="9" s="1"/>
  <c r="AR646" i="9"/>
  <c r="AR669" i="9" s="1"/>
  <c r="AB646" i="9"/>
  <c r="AB669" i="9" s="1"/>
  <c r="BF646" i="9"/>
  <c r="BF669" i="9" s="1"/>
  <c r="BJ646" i="9"/>
  <c r="BJ669" i="9" s="1"/>
  <c r="AE646" i="9"/>
  <c r="AE669" i="9" s="1"/>
  <c r="BI646" i="9"/>
  <c r="BI669" i="9" s="1"/>
  <c r="AS646" i="9"/>
  <c r="AS669" i="9" s="1"/>
  <c r="AC646" i="9"/>
  <c r="AC669" i="9" s="1"/>
  <c r="BD646" i="9"/>
  <c r="BD669" i="9" s="1"/>
  <c r="AN646" i="9"/>
  <c r="AN669" i="9" s="1"/>
  <c r="AH646" i="9"/>
  <c r="AH669" i="9" s="1"/>
  <c r="AM646" i="9"/>
  <c r="AM669" i="9" s="1"/>
  <c r="BE646" i="9"/>
  <c r="BE669" i="9" s="1"/>
  <c r="AO646" i="9"/>
  <c r="AO669" i="9" s="1"/>
  <c r="AZ646" i="9"/>
  <c r="AZ669" i="9" s="1"/>
  <c r="AJ646" i="9"/>
  <c r="AJ669" i="9" s="1"/>
  <c r="AP646" i="9"/>
  <c r="AP669" i="9" s="1"/>
  <c r="AI646" i="9"/>
  <c r="AI669" i="9" s="1"/>
  <c r="AV646" i="9"/>
  <c r="AV669" i="9" s="1"/>
  <c r="AD646" i="9"/>
  <c r="AD669" i="9" s="1"/>
  <c r="AL646" i="9"/>
  <c r="AL669" i="9" s="1"/>
  <c r="AU646" i="9"/>
  <c r="AU669" i="9" s="1"/>
  <c r="BA646" i="9"/>
  <c r="BA669" i="9" s="1"/>
  <c r="AF646" i="9"/>
  <c r="AF669" i="9" s="1"/>
  <c r="AK646" i="9"/>
  <c r="AK669" i="9" s="1"/>
  <c r="AX646" i="9"/>
  <c r="AX669" i="9" s="1"/>
  <c r="BF642" i="9"/>
  <c r="BF665" i="9" s="1"/>
  <c r="AD642" i="9"/>
  <c r="AD665" i="9" s="1"/>
  <c r="AH642" i="9"/>
  <c r="AH665" i="9" s="1"/>
  <c r="AP642" i="9"/>
  <c r="AP665" i="9" s="1"/>
  <c r="BJ642" i="9"/>
  <c r="BJ665" i="9" s="1"/>
  <c r="AX642" i="9"/>
  <c r="AX665" i="9" s="1"/>
  <c r="AW642" i="9"/>
  <c r="AW665" i="9" s="1"/>
  <c r="AG642" i="9"/>
  <c r="AG665" i="9" s="1"/>
  <c r="BH642" i="9"/>
  <c r="BH665" i="9" s="1"/>
  <c r="AR642" i="9"/>
  <c r="AR665" i="9" s="1"/>
  <c r="AB642" i="9"/>
  <c r="AB665" i="9" s="1"/>
  <c r="BC642" i="9"/>
  <c r="BC665" i="9" s="1"/>
  <c r="AM642" i="9"/>
  <c r="AM665" i="9" s="1"/>
  <c r="BI642" i="9"/>
  <c r="BI665" i="9" s="1"/>
  <c r="AS642" i="9"/>
  <c r="AS665" i="9" s="1"/>
  <c r="AC642" i="9"/>
  <c r="AC665" i="9" s="1"/>
  <c r="BD642" i="9"/>
  <c r="BD665" i="9" s="1"/>
  <c r="AN642" i="9"/>
  <c r="AN665" i="9" s="1"/>
  <c r="AY642" i="9"/>
  <c r="AY665" i="9" s="1"/>
  <c r="AI642" i="9"/>
  <c r="AI665" i="9" s="1"/>
  <c r="BB642" i="9"/>
  <c r="BB665" i="9" s="1"/>
  <c r="BE642" i="9"/>
  <c r="BE665" i="9" s="1"/>
  <c r="AO642" i="9"/>
  <c r="AO665" i="9" s="1"/>
  <c r="AZ642" i="9"/>
  <c r="AZ665" i="9" s="1"/>
  <c r="AJ642" i="9"/>
  <c r="AJ665" i="9" s="1"/>
  <c r="AU642" i="9"/>
  <c r="AU665" i="9" s="1"/>
  <c r="AE642" i="9"/>
  <c r="AE665" i="9" s="1"/>
  <c r="AL642" i="9"/>
  <c r="AL665" i="9" s="1"/>
  <c r="AQ642" i="9"/>
  <c r="AQ665" i="9" s="1"/>
  <c r="BG642" i="9"/>
  <c r="BG665" i="9" s="1"/>
  <c r="AV642" i="9"/>
  <c r="AV665" i="9" s="1"/>
  <c r="AK642" i="9"/>
  <c r="AK665" i="9" s="1"/>
  <c r="BA642" i="9"/>
  <c r="BA665" i="9" s="1"/>
  <c r="AF642" i="9"/>
  <c r="AF665" i="9" s="1"/>
  <c r="AT642" i="9"/>
  <c r="AT665" i="9" s="1"/>
  <c r="AU648" i="9"/>
  <c r="AU671" i="9" s="1"/>
  <c r="AJ648" i="9"/>
  <c r="AJ671" i="9" s="1"/>
  <c r="AF648" i="9"/>
  <c r="AF671" i="9" s="1"/>
  <c r="BA648" i="9"/>
  <c r="BA671" i="9" s="1"/>
  <c r="AE648" i="9"/>
  <c r="AE671" i="9" s="1"/>
  <c r="AM648" i="9"/>
  <c r="AM671" i="9" s="1"/>
  <c r="BH648" i="9"/>
  <c r="BH671" i="9" s="1"/>
  <c r="AN648" i="9"/>
  <c r="AN671" i="9" s="1"/>
  <c r="BI648" i="9"/>
  <c r="BI671" i="9" s="1"/>
  <c r="BE648" i="9"/>
  <c r="BE671" i="9" s="1"/>
  <c r="AK648" i="9"/>
  <c r="AK671" i="9" s="1"/>
  <c r="BG648" i="9"/>
  <c r="BG671" i="9" s="1"/>
  <c r="AO648" i="9"/>
  <c r="AO671" i="9" s="1"/>
  <c r="AR648" i="9"/>
  <c r="AR671" i="9" s="1"/>
  <c r="AS648" i="9"/>
  <c r="AS671" i="9" s="1"/>
  <c r="AD648" i="9"/>
  <c r="AD671" i="9" s="1"/>
  <c r="AT648" i="9"/>
  <c r="AT671" i="9" s="1"/>
  <c r="BJ648" i="9"/>
  <c r="BJ671" i="9" s="1"/>
  <c r="AQ648" i="9"/>
  <c r="AQ671" i="9" s="1"/>
  <c r="AZ648" i="9"/>
  <c r="AZ671" i="9" s="1"/>
  <c r="AB648" i="9"/>
  <c r="AB671" i="9" s="1"/>
  <c r="AW648" i="9"/>
  <c r="AW671" i="9" s="1"/>
  <c r="AC648" i="9"/>
  <c r="AC671" i="9" s="1"/>
  <c r="AY648" i="9"/>
  <c r="AY671" i="9" s="1"/>
  <c r="AH648" i="9"/>
  <c r="AH671" i="9" s="1"/>
  <c r="AX648" i="9"/>
  <c r="AX671" i="9" s="1"/>
  <c r="AL648" i="9"/>
  <c r="AL671" i="9" s="1"/>
  <c r="AG648" i="9"/>
  <c r="AG671" i="9" s="1"/>
  <c r="AP648" i="9"/>
  <c r="AP671" i="9" s="1"/>
  <c r="BD648" i="9"/>
  <c r="BD671" i="9" s="1"/>
  <c r="BC648" i="9"/>
  <c r="BC671" i="9" s="1"/>
  <c r="AI648" i="9"/>
  <c r="AI671" i="9" s="1"/>
  <c r="BB648" i="9"/>
  <c r="BB671" i="9" s="1"/>
  <c r="AV648" i="9"/>
  <c r="AV671" i="9" s="1"/>
  <c r="BF648" i="9"/>
  <c r="BF671" i="9" s="1"/>
  <c r="AG647" i="9"/>
  <c r="AG670" i="9" s="1"/>
  <c r="BE647" i="9"/>
  <c r="BE670" i="9" s="1"/>
  <c r="AZ647" i="9"/>
  <c r="AZ670" i="9" s="1"/>
  <c r="AJ647" i="9"/>
  <c r="AJ670" i="9" s="1"/>
  <c r="AU647" i="9"/>
  <c r="AU670" i="9" s="1"/>
  <c r="AE647" i="9"/>
  <c r="AE670" i="9" s="1"/>
  <c r="AX647" i="9"/>
  <c r="AX670" i="9" s="1"/>
  <c r="BA647" i="9"/>
  <c r="BA670" i="9" s="1"/>
  <c r="AT647" i="9"/>
  <c r="AT670" i="9" s="1"/>
  <c r="AW647" i="9"/>
  <c r="AW670" i="9" s="1"/>
  <c r="AV647" i="9"/>
  <c r="AV670" i="9" s="1"/>
  <c r="AF647" i="9"/>
  <c r="AF670" i="9" s="1"/>
  <c r="BG647" i="9"/>
  <c r="BG670" i="9" s="1"/>
  <c r="AQ647" i="9"/>
  <c r="AQ670" i="9" s="1"/>
  <c r="BF647" i="9"/>
  <c r="BF670" i="9" s="1"/>
  <c r="AC647" i="9"/>
  <c r="AC670" i="9" s="1"/>
  <c r="BI647" i="9"/>
  <c r="BI670" i="9" s="1"/>
  <c r="BB647" i="9"/>
  <c r="BB670" i="9" s="1"/>
  <c r="AO647" i="9"/>
  <c r="AO670" i="9" s="1"/>
  <c r="BH647" i="9"/>
  <c r="BH670" i="9" s="1"/>
  <c r="AR647" i="9"/>
  <c r="AR670" i="9" s="1"/>
  <c r="AB647" i="9"/>
  <c r="AB670" i="9" s="1"/>
  <c r="BC647" i="9"/>
  <c r="BC670" i="9" s="1"/>
  <c r="AM647" i="9"/>
  <c r="AM670" i="9" s="1"/>
  <c r="AH647" i="9"/>
  <c r="AH670" i="9" s="1"/>
  <c r="AK647" i="9"/>
  <c r="AK670" i="9" s="1"/>
  <c r="AD647" i="9"/>
  <c r="AD670" i="9" s="1"/>
  <c r="BJ647" i="9"/>
  <c r="BJ670" i="9" s="1"/>
  <c r="AY647" i="9"/>
  <c r="AY670" i="9" s="1"/>
  <c r="AL647" i="9"/>
  <c r="AL670" i="9" s="1"/>
  <c r="BD647" i="9"/>
  <c r="BD670" i="9" s="1"/>
  <c r="AI647" i="9"/>
  <c r="AI670" i="9" s="1"/>
  <c r="AN647" i="9"/>
  <c r="AN670" i="9" s="1"/>
  <c r="AP647" i="9"/>
  <c r="AP670" i="9" s="1"/>
  <c r="AS647" i="9"/>
  <c r="AS670" i="9" s="1"/>
  <c r="AK657" i="9"/>
  <c r="AK680" i="9" s="1"/>
  <c r="BE657" i="9"/>
  <c r="BE680" i="9" s="1"/>
  <c r="AT657" i="9"/>
  <c r="AT680" i="9" s="1"/>
  <c r="AB657" i="9"/>
  <c r="AB680" i="9" s="1"/>
  <c r="AD657" i="9"/>
  <c r="AD680" i="9" s="1"/>
  <c r="BH657" i="9"/>
  <c r="BH680" i="9" s="1"/>
  <c r="AL657" i="9"/>
  <c r="AL680" i="9" s="1"/>
  <c r="AF657" i="9"/>
  <c r="AF680" i="9" s="1"/>
  <c r="AJ657" i="9"/>
  <c r="AJ680" i="9" s="1"/>
  <c r="BC657" i="9"/>
  <c r="BC680" i="9" s="1"/>
  <c r="AM657" i="9"/>
  <c r="AM680" i="9" s="1"/>
  <c r="AS657" i="9"/>
  <c r="AS680" i="9" s="1"/>
  <c r="AG657" i="9"/>
  <c r="AG680" i="9" s="1"/>
  <c r="BJ657" i="9"/>
  <c r="BJ680" i="9" s="1"/>
  <c r="AW657" i="9"/>
  <c r="AW680" i="9" s="1"/>
  <c r="AP657" i="9"/>
  <c r="AP680" i="9" s="1"/>
  <c r="AR657" i="9"/>
  <c r="AR680" i="9" s="1"/>
  <c r="AY657" i="9"/>
  <c r="AY680" i="9" s="1"/>
  <c r="AI657" i="9"/>
  <c r="AI680" i="9" s="1"/>
  <c r="BI657" i="9"/>
  <c r="BI680" i="9" s="1"/>
  <c r="AN657" i="9"/>
  <c r="AN680" i="9" s="1"/>
  <c r="AO657" i="9"/>
  <c r="AO680" i="9" s="1"/>
  <c r="BF657" i="9"/>
  <c r="BF680" i="9" s="1"/>
  <c r="BA657" i="9"/>
  <c r="BA680" i="9" s="1"/>
  <c r="AU657" i="9"/>
  <c r="AU680" i="9" s="1"/>
  <c r="BD657" i="9"/>
  <c r="BD680" i="9" s="1"/>
  <c r="AV657" i="9"/>
  <c r="AV680" i="9" s="1"/>
  <c r="AQ657" i="9"/>
  <c r="AQ680" i="9" s="1"/>
  <c r="AX657" i="9"/>
  <c r="AX680" i="9" s="1"/>
  <c r="BB657" i="9"/>
  <c r="BB680" i="9" s="1"/>
  <c r="AZ657" i="9"/>
  <c r="AZ680" i="9" s="1"/>
  <c r="BG657" i="9"/>
  <c r="BG680" i="9" s="1"/>
  <c r="AE657" i="9"/>
  <c r="AE680" i="9" s="1"/>
  <c r="AH657" i="9"/>
  <c r="AH680" i="9" s="1"/>
  <c r="AC657" i="9"/>
  <c r="AC680" i="9" s="1"/>
  <c r="BH653" i="9"/>
  <c r="BH676" i="9" s="1"/>
  <c r="AL653" i="9"/>
  <c r="AL676" i="9" s="1"/>
  <c r="AW653" i="9"/>
  <c r="AW676" i="9" s="1"/>
  <c r="AB653" i="9"/>
  <c r="AB676" i="9" s="1"/>
  <c r="AX653" i="9"/>
  <c r="AX676" i="9" s="1"/>
  <c r="BI653" i="9"/>
  <c r="BI676" i="9" s="1"/>
  <c r="AG653" i="9"/>
  <c r="AG676" i="9" s="1"/>
  <c r="AH653" i="9"/>
  <c r="AH676" i="9" s="1"/>
  <c r="AD653" i="9"/>
  <c r="AD676" i="9" s="1"/>
  <c r="AZ653" i="9"/>
  <c r="AZ676" i="9" s="1"/>
  <c r="BC653" i="9"/>
  <c r="BC676" i="9" s="1"/>
  <c r="AM653" i="9"/>
  <c r="AM676" i="9" s="1"/>
  <c r="AF653" i="9"/>
  <c r="AF676" i="9" s="1"/>
  <c r="BA653" i="9"/>
  <c r="BA676" i="9" s="1"/>
  <c r="AC653" i="9"/>
  <c r="AC676" i="9" s="1"/>
  <c r="AR653" i="9"/>
  <c r="AR676" i="9" s="1"/>
  <c r="AS653" i="9"/>
  <c r="AS676" i="9" s="1"/>
  <c r="AJ653" i="9"/>
  <c r="AJ676" i="9" s="1"/>
  <c r="BE653" i="9"/>
  <c r="BE676" i="9" s="1"/>
  <c r="AO653" i="9"/>
  <c r="AO676" i="9" s="1"/>
  <c r="BG653" i="9"/>
  <c r="BG676" i="9" s="1"/>
  <c r="AI653" i="9"/>
  <c r="AI676" i="9" s="1"/>
  <c r="AP653" i="9"/>
  <c r="AP676" i="9" s="1"/>
  <c r="BF653" i="9"/>
  <c r="BF676" i="9" s="1"/>
  <c r="BB653" i="9"/>
  <c r="BB676" i="9" s="1"/>
  <c r="AK653" i="9"/>
  <c r="AK676" i="9" s="1"/>
  <c r="BD653" i="9"/>
  <c r="BD676" i="9" s="1"/>
  <c r="AT653" i="9"/>
  <c r="AT676" i="9" s="1"/>
  <c r="AY653" i="9"/>
  <c r="AY676" i="9" s="1"/>
  <c r="AE653" i="9"/>
  <c r="AE676" i="9" s="1"/>
  <c r="AV653" i="9"/>
  <c r="AV676" i="9" s="1"/>
  <c r="AN653" i="9"/>
  <c r="AN676" i="9" s="1"/>
  <c r="BJ653" i="9"/>
  <c r="BJ676" i="9" s="1"/>
  <c r="AU653" i="9"/>
  <c r="AU676" i="9" s="1"/>
  <c r="AQ653" i="9"/>
  <c r="AQ676" i="9" s="1"/>
  <c r="BH649" i="9"/>
  <c r="BH672" i="9" s="1"/>
  <c r="AZ649" i="9"/>
  <c r="AZ672" i="9" s="1"/>
  <c r="AR649" i="9"/>
  <c r="AR672" i="9" s="1"/>
  <c r="AJ649" i="9"/>
  <c r="AJ672" i="9" s="1"/>
  <c r="AB649" i="9"/>
  <c r="AB672" i="9" s="1"/>
  <c r="AE649" i="9"/>
  <c r="AE672" i="9" s="1"/>
  <c r="BC649" i="9"/>
  <c r="BC672" i="9" s="1"/>
  <c r="AU649" i="9"/>
  <c r="AU672" i="9" s="1"/>
  <c r="AM649" i="9"/>
  <c r="AM672" i="9" s="1"/>
  <c r="BD649" i="9"/>
  <c r="BD672" i="9" s="1"/>
  <c r="AQ649" i="9"/>
  <c r="AQ672" i="9" s="1"/>
  <c r="AF649" i="9"/>
  <c r="AF672" i="9" s="1"/>
  <c r="AY649" i="9"/>
  <c r="AY672" i="9" s="1"/>
  <c r="AK649" i="9"/>
  <c r="AK672" i="9" s="1"/>
  <c r="BA649" i="9"/>
  <c r="BA672" i="9" s="1"/>
  <c r="AH649" i="9"/>
  <c r="AH672" i="9" s="1"/>
  <c r="AX649" i="9"/>
  <c r="AX672" i="9" s="1"/>
  <c r="AN649" i="9"/>
  <c r="AN672" i="9" s="1"/>
  <c r="BG649" i="9"/>
  <c r="BG672" i="9" s="1"/>
  <c r="AO649" i="9"/>
  <c r="AO672" i="9" s="1"/>
  <c r="BE649" i="9"/>
  <c r="BE672" i="9" s="1"/>
  <c r="AC649" i="9"/>
  <c r="AC672" i="9" s="1"/>
  <c r="BI649" i="9"/>
  <c r="BI672" i="9" s="1"/>
  <c r="AL649" i="9"/>
  <c r="AL672" i="9" s="1"/>
  <c r="BF649" i="9"/>
  <c r="BF672" i="9" s="1"/>
  <c r="BB649" i="9"/>
  <c r="BB672" i="9" s="1"/>
  <c r="AV649" i="9"/>
  <c r="AV672" i="9" s="1"/>
  <c r="AG649" i="9"/>
  <c r="AG672" i="9" s="1"/>
  <c r="AP649" i="9"/>
  <c r="AP672" i="9" s="1"/>
  <c r="BJ649" i="9"/>
  <c r="BJ672" i="9" s="1"/>
  <c r="AT649" i="9"/>
  <c r="AT672" i="9" s="1"/>
  <c r="AI649" i="9"/>
  <c r="AI672" i="9" s="1"/>
  <c r="AW649" i="9"/>
  <c r="AW672" i="9" s="1"/>
  <c r="AS649" i="9"/>
  <c r="AS672" i="9" s="1"/>
  <c r="AD649" i="9"/>
  <c r="AD672" i="9" s="1"/>
  <c r="AE645" i="9"/>
  <c r="AE668" i="9" s="1"/>
  <c r="BA645" i="9"/>
  <c r="BA668" i="9" s="1"/>
  <c r="AK645" i="9"/>
  <c r="AK668" i="9" s="1"/>
  <c r="BD645" i="9"/>
  <c r="BD668" i="9" s="1"/>
  <c r="AI645" i="9"/>
  <c r="AI668" i="9" s="1"/>
  <c r="BC645" i="9"/>
  <c r="BC668" i="9" s="1"/>
  <c r="AH645" i="9"/>
  <c r="AH668" i="9" s="1"/>
  <c r="BB645" i="9"/>
  <c r="BB668" i="9" s="1"/>
  <c r="AF645" i="9"/>
  <c r="AF668" i="9" s="1"/>
  <c r="AZ645" i="9"/>
  <c r="AZ668" i="9" s="1"/>
  <c r="AW645" i="9"/>
  <c r="AW668" i="9" s="1"/>
  <c r="AG645" i="9"/>
  <c r="AG668" i="9" s="1"/>
  <c r="AY645" i="9"/>
  <c r="AY668" i="9" s="1"/>
  <c r="AD645" i="9"/>
  <c r="AD668" i="9" s="1"/>
  <c r="AX645" i="9"/>
  <c r="AX668" i="9" s="1"/>
  <c r="AB645" i="9"/>
  <c r="AB668" i="9" s="1"/>
  <c r="AV645" i="9"/>
  <c r="AV668" i="9" s="1"/>
  <c r="AP645" i="9"/>
  <c r="AP668" i="9" s="1"/>
  <c r="AU645" i="9"/>
  <c r="AU668" i="9" s="1"/>
  <c r="BI645" i="9"/>
  <c r="BI668" i="9" s="1"/>
  <c r="AS645" i="9"/>
  <c r="AS668" i="9" s="1"/>
  <c r="AC645" i="9"/>
  <c r="AC668" i="9" s="1"/>
  <c r="AT645" i="9"/>
  <c r="AT668" i="9" s="1"/>
  <c r="AR645" i="9"/>
  <c r="AR668" i="9" s="1"/>
  <c r="AQ645" i="9"/>
  <c r="AQ668" i="9" s="1"/>
  <c r="BF645" i="9"/>
  <c r="BF668" i="9" s="1"/>
  <c r="BE645" i="9"/>
  <c r="BE668" i="9" s="1"/>
  <c r="BH645" i="9"/>
  <c r="BH668" i="9" s="1"/>
  <c r="AJ645" i="9"/>
  <c r="AJ668" i="9" s="1"/>
  <c r="AN645" i="9"/>
  <c r="AN668" i="9" s="1"/>
  <c r="AO645" i="9"/>
  <c r="AO668" i="9" s="1"/>
  <c r="AM645" i="9"/>
  <c r="AM668" i="9" s="1"/>
  <c r="AL645" i="9"/>
  <c r="AL668" i="9" s="1"/>
  <c r="BG645" i="9"/>
  <c r="BG668" i="9" s="1"/>
  <c r="BJ645" i="9"/>
  <c r="BJ668" i="9" s="1"/>
  <c r="AV641" i="9"/>
  <c r="AV664" i="9" s="1"/>
  <c r="AQ641" i="9"/>
  <c r="AQ664" i="9" s="1"/>
  <c r="AZ641" i="9"/>
  <c r="AZ664" i="9" s="1"/>
  <c r="AN641" i="9"/>
  <c r="AN664" i="9" s="1"/>
  <c r="BC641" i="9"/>
  <c r="BC664" i="9" s="1"/>
  <c r="AK641" i="9"/>
  <c r="AK664" i="9" s="1"/>
  <c r="BA641" i="9"/>
  <c r="BA664" i="9" s="1"/>
  <c r="AP641" i="9"/>
  <c r="AP664" i="9" s="1"/>
  <c r="BF641" i="9"/>
  <c r="BF664" i="9" s="1"/>
  <c r="AY641" i="9"/>
  <c r="AY664" i="9" s="1"/>
  <c r="BH641" i="9"/>
  <c r="BH664" i="9" s="1"/>
  <c r="AE641" i="9"/>
  <c r="AE664" i="9" s="1"/>
  <c r="AO641" i="9"/>
  <c r="AO664" i="9" s="1"/>
  <c r="BE641" i="9"/>
  <c r="BE664" i="9" s="1"/>
  <c r="AD641" i="9"/>
  <c r="AD664" i="9" s="1"/>
  <c r="AT641" i="9"/>
  <c r="AT664" i="9" s="1"/>
  <c r="BJ641" i="9"/>
  <c r="BJ664" i="9" s="1"/>
  <c r="BG641" i="9"/>
  <c r="BG664" i="9" s="1"/>
  <c r="AF641" i="9"/>
  <c r="AF664" i="9" s="1"/>
  <c r="AJ641" i="9"/>
  <c r="AJ664" i="9" s="1"/>
  <c r="AM641" i="9"/>
  <c r="AM664" i="9" s="1"/>
  <c r="AC641" i="9"/>
  <c r="AC664" i="9" s="1"/>
  <c r="AS641" i="9"/>
  <c r="AS664" i="9" s="1"/>
  <c r="BI641" i="9"/>
  <c r="BI664" i="9" s="1"/>
  <c r="AH641" i="9"/>
  <c r="AH664" i="9" s="1"/>
  <c r="AX641" i="9"/>
  <c r="AX664" i="9" s="1"/>
  <c r="AR641" i="9"/>
  <c r="AR664" i="9" s="1"/>
  <c r="AU641" i="9"/>
  <c r="AU664" i="9" s="1"/>
  <c r="BB641" i="9"/>
  <c r="BB664" i="9" s="1"/>
  <c r="AI641" i="9"/>
  <c r="AI664" i="9" s="1"/>
  <c r="AW641" i="9"/>
  <c r="AW664" i="9" s="1"/>
  <c r="BD641" i="9"/>
  <c r="BD664" i="9" s="1"/>
  <c r="AG641" i="9"/>
  <c r="AG664" i="9" s="1"/>
  <c r="AL641" i="9"/>
  <c r="AL664" i="9" s="1"/>
  <c r="BI640" i="9"/>
  <c r="BI663" i="9" s="1"/>
  <c r="BD640" i="9"/>
  <c r="BD663" i="9" s="1"/>
  <c r="AY640" i="9"/>
  <c r="AY663" i="9" s="1"/>
  <c r="AS640" i="9"/>
  <c r="AS663" i="9" s="1"/>
  <c r="AN640" i="9"/>
  <c r="AN663" i="9" s="1"/>
  <c r="AI640" i="9"/>
  <c r="AI663" i="9" s="1"/>
  <c r="AC640" i="9"/>
  <c r="AC663" i="9" s="1"/>
  <c r="BH640" i="9"/>
  <c r="BH663" i="9" s="1"/>
  <c r="BC640" i="9"/>
  <c r="BC663" i="9" s="1"/>
  <c r="AW640" i="9"/>
  <c r="AW663" i="9" s="1"/>
  <c r="AR640" i="9"/>
  <c r="AR663" i="9" s="1"/>
  <c r="AM640" i="9"/>
  <c r="AM663" i="9" s="1"/>
  <c r="AG640" i="9"/>
  <c r="AG663" i="9" s="1"/>
  <c r="BG640" i="9"/>
  <c r="BG663" i="9" s="1"/>
  <c r="BA640" i="9"/>
  <c r="BA663" i="9" s="1"/>
  <c r="AV640" i="9"/>
  <c r="AV663" i="9" s="1"/>
  <c r="AQ640" i="9"/>
  <c r="AQ663" i="9" s="1"/>
  <c r="AK640" i="9"/>
  <c r="AK663" i="9" s="1"/>
  <c r="AF640" i="9"/>
  <c r="AF663" i="9" s="1"/>
  <c r="BE640" i="9"/>
  <c r="BE663" i="9" s="1"/>
  <c r="AZ640" i="9"/>
  <c r="AZ663" i="9" s="1"/>
  <c r="AU640" i="9"/>
  <c r="AU663" i="9" s="1"/>
  <c r="AO640" i="9"/>
  <c r="AO663" i="9" s="1"/>
  <c r="AJ640" i="9"/>
  <c r="AJ663" i="9" s="1"/>
  <c r="AE640" i="9"/>
  <c r="AE663" i="9" s="1"/>
  <c r="AD640" i="9"/>
  <c r="AD663" i="9" s="1"/>
  <c r="AT640" i="9"/>
  <c r="AT663" i="9" s="1"/>
  <c r="BJ640" i="9"/>
  <c r="BJ663" i="9" s="1"/>
  <c r="AH640" i="9"/>
  <c r="AH663" i="9" s="1"/>
  <c r="AX640" i="9"/>
  <c r="AX663" i="9" s="1"/>
  <c r="AL640" i="9"/>
  <c r="AL663" i="9" s="1"/>
  <c r="BB640" i="9"/>
  <c r="BB663" i="9" s="1"/>
  <c r="AP640" i="9"/>
  <c r="AP663" i="9" s="1"/>
  <c r="BF640" i="9"/>
  <c r="BF663" i="9" s="1"/>
  <c r="F157" i="3"/>
  <c r="F203" i="3"/>
  <c r="F153" i="3"/>
  <c r="F199" i="3"/>
  <c r="F149" i="3"/>
  <c r="F195" i="3"/>
  <c r="F145" i="3"/>
  <c r="F191" i="3"/>
  <c r="F141" i="3"/>
  <c r="F187" i="3"/>
  <c r="F202" i="3"/>
  <c r="F156" i="3"/>
  <c r="F198" i="3"/>
  <c r="F152" i="3"/>
  <c r="F194" i="3"/>
  <c r="F148" i="3"/>
  <c r="F190" i="3"/>
  <c r="F144" i="3"/>
  <c r="F186" i="3"/>
  <c r="F140" i="3"/>
  <c r="F201" i="3"/>
  <c r="F155" i="3"/>
  <c r="F197" i="3"/>
  <c r="F151" i="3"/>
  <c r="F193" i="3"/>
  <c r="F147" i="3"/>
  <c r="F189" i="3"/>
  <c r="F143" i="3"/>
  <c r="F204" i="3"/>
  <c r="F158" i="3"/>
  <c r="F200" i="3"/>
  <c r="F154" i="3"/>
  <c r="F196" i="3"/>
  <c r="F150" i="3"/>
  <c r="F192" i="3"/>
  <c r="F146" i="3"/>
  <c r="F188" i="3"/>
  <c r="F142" i="3"/>
  <c r="F139" i="3"/>
  <c r="F185" i="3"/>
  <c r="V234" i="6" l="1"/>
  <c r="V228" i="6"/>
  <c r="V223" i="6"/>
  <c r="V175" i="6"/>
  <c r="V105" i="30" s="1"/>
  <c r="V217" i="6"/>
  <c r="V211" i="6"/>
  <c r="V201" i="6"/>
  <c r="V192" i="6"/>
  <c r="V172" i="6"/>
  <c r="V104" i="30" s="1"/>
  <c r="V70" i="6"/>
  <c r="V68" i="6" s="1"/>
  <c r="V138" i="6"/>
  <c r="V94" i="30" s="1"/>
  <c r="BL136" i="6"/>
  <c r="V169" i="6"/>
  <c r="V166" i="6"/>
  <c r="V102" i="30" s="1"/>
  <c r="V163" i="6"/>
  <c r="V101" i="30" s="1"/>
  <c r="V157" i="6"/>
  <c r="V99" i="30" s="1"/>
  <c r="V150" i="6"/>
  <c r="V97" i="30" s="1"/>
  <c r="BL148" i="6"/>
  <c r="V145" i="6"/>
  <c r="V96" i="30" s="1"/>
  <c r="V142" i="6"/>
  <c r="V113" i="6"/>
  <c r="V92" i="30" s="1"/>
  <c r="V111" i="6"/>
  <c r="BL111" i="6" s="1"/>
  <c r="V85" i="30"/>
  <c r="V76" i="6"/>
  <c r="V82" i="30" s="1"/>
  <c r="V73" i="6"/>
  <c r="V81" i="30" s="1"/>
  <c r="V64" i="6"/>
  <c r="V60" i="6"/>
  <c r="V56" i="6"/>
  <c r="V44" i="6"/>
  <c r="W40" i="6" s="1"/>
  <c r="BL281" i="26"/>
  <c r="CS281" i="26" s="1"/>
  <c r="CK281" i="26" s="1"/>
  <c r="D265" i="26"/>
  <c r="D256" i="26"/>
  <c r="D230" i="26"/>
  <c r="D244" i="26"/>
  <c r="D216" i="26"/>
  <c r="D202" i="26"/>
  <c r="V271" i="26"/>
  <c r="BL271" i="26" s="1"/>
  <c r="CS271" i="26" s="1"/>
  <c r="CK271" i="26" s="1"/>
  <c r="BL240" i="26"/>
  <c r="CS240" i="26" s="1"/>
  <c r="CK240" i="26" s="1"/>
  <c r="BL252" i="26"/>
  <c r="CS252" i="26" s="1"/>
  <c r="CK252" i="26" s="1"/>
  <c r="BL226" i="26"/>
  <c r="CS226" i="26" s="1"/>
  <c r="CK226" i="26" s="1"/>
  <c r="BL212" i="26"/>
  <c r="CS212" i="26" s="1"/>
  <c r="CK212" i="26" s="1"/>
  <c r="F416" i="9"/>
  <c r="F397" i="9"/>
  <c r="F396" i="9"/>
  <c r="F378" i="9"/>
  <c r="F377" i="9"/>
  <c r="F359" i="9"/>
  <c r="F358" i="9"/>
  <c r="F340" i="9"/>
  <c r="F339" i="9"/>
  <c r="F321" i="9"/>
  <c r="F320" i="9"/>
  <c r="F302" i="9"/>
  <c r="F301" i="9"/>
  <c r="F283" i="9"/>
  <c r="F282" i="9"/>
  <c r="F264" i="9"/>
  <c r="F263" i="9"/>
  <c r="F245" i="9"/>
  <c r="F244" i="9"/>
  <c r="F226" i="9"/>
  <c r="F225" i="9"/>
  <c r="F207" i="9"/>
  <c r="F206" i="9"/>
  <c r="F188" i="9"/>
  <c r="F187" i="9"/>
  <c r="F169" i="9"/>
  <c r="F168" i="9"/>
  <c r="F150" i="9"/>
  <c r="F149" i="9"/>
  <c r="F131" i="9"/>
  <c r="F130" i="9"/>
  <c r="F112" i="9"/>
  <c r="F111" i="9"/>
  <c r="F93" i="9"/>
  <c r="F92" i="9"/>
  <c r="F74" i="9"/>
  <c r="F55" i="9"/>
  <c r="F73" i="9"/>
  <c r="BL420" i="9"/>
  <c r="BL419" i="9"/>
  <c r="BL418" i="9"/>
  <c r="BL542" i="9" s="1"/>
  <c r="BL411" i="9"/>
  <c r="BL410" i="9"/>
  <c r="BL409" i="9"/>
  <c r="BL401" i="9"/>
  <c r="BL400" i="9"/>
  <c r="BL399" i="9"/>
  <c r="BL541" i="9" s="1"/>
  <c r="BL392" i="9"/>
  <c r="BL391" i="9"/>
  <c r="BL390" i="9"/>
  <c r="BL382" i="9"/>
  <c r="BL381" i="9"/>
  <c r="BL380" i="9"/>
  <c r="BL540" i="9" s="1"/>
  <c r="BL373" i="9"/>
  <c r="BL372" i="9"/>
  <c r="BL371" i="9"/>
  <c r="BL363" i="9"/>
  <c r="BL362" i="9"/>
  <c r="BL361" i="9"/>
  <c r="BL539" i="9" s="1"/>
  <c r="BL354" i="9"/>
  <c r="BL353" i="9"/>
  <c r="BL352" i="9"/>
  <c r="BL344" i="9"/>
  <c r="BL343" i="9"/>
  <c r="BL342" i="9"/>
  <c r="BL538" i="9" s="1"/>
  <c r="BL335" i="9"/>
  <c r="BL334" i="9"/>
  <c r="BL333" i="9"/>
  <c r="BL325" i="9"/>
  <c r="BL324" i="9"/>
  <c r="BL323" i="9"/>
  <c r="BL537" i="9" s="1"/>
  <c r="BL316" i="9"/>
  <c r="BL315" i="9"/>
  <c r="BL314" i="9"/>
  <c r="BL306" i="9"/>
  <c r="BL305" i="9"/>
  <c r="BL304" i="9"/>
  <c r="BL536" i="9" s="1"/>
  <c r="BL297" i="9"/>
  <c r="BL296" i="9"/>
  <c r="BL295" i="9"/>
  <c r="BL287" i="9"/>
  <c r="BL286" i="9"/>
  <c r="BL285" i="9"/>
  <c r="BL535" i="9" s="1"/>
  <c r="BL278" i="9"/>
  <c r="BL277" i="9"/>
  <c r="BL276" i="9"/>
  <c r="BL268" i="9"/>
  <c r="BL267" i="9"/>
  <c r="BL266" i="9"/>
  <c r="BL534" i="9" s="1"/>
  <c r="BL259" i="9"/>
  <c r="BL258" i="9"/>
  <c r="BL257" i="9"/>
  <c r="BL249" i="9"/>
  <c r="BL248" i="9"/>
  <c r="BL247" i="9"/>
  <c r="BL533" i="9" s="1"/>
  <c r="BL240" i="9"/>
  <c r="BL239" i="9"/>
  <c r="BL238" i="9"/>
  <c r="BL230" i="9"/>
  <c r="BL229" i="9"/>
  <c r="BL228" i="9"/>
  <c r="BL532" i="9" s="1"/>
  <c r="BL221" i="9"/>
  <c r="BL220" i="9"/>
  <c r="BL219" i="9"/>
  <c r="BL211" i="9"/>
  <c r="BL210" i="9"/>
  <c r="BL209" i="9"/>
  <c r="BL531" i="9" s="1"/>
  <c r="BL202" i="9"/>
  <c r="BL201" i="9"/>
  <c r="BL200" i="9"/>
  <c r="BL192" i="9"/>
  <c r="BL191" i="9"/>
  <c r="BL190" i="9"/>
  <c r="BL530" i="9" s="1"/>
  <c r="BL183" i="9"/>
  <c r="BL182" i="9"/>
  <c r="BL181" i="9"/>
  <c r="BL173" i="9"/>
  <c r="BL172" i="9"/>
  <c r="BL171" i="9"/>
  <c r="BL529" i="9" s="1"/>
  <c r="BL164" i="9"/>
  <c r="BL163" i="9"/>
  <c r="BL162" i="9"/>
  <c r="BL154" i="9"/>
  <c r="BL153" i="9"/>
  <c r="BL152" i="9"/>
  <c r="BL528" i="9" s="1"/>
  <c r="BL145" i="9"/>
  <c r="BL144" i="9"/>
  <c r="BL143" i="9"/>
  <c r="BL135" i="9"/>
  <c r="BL134" i="9"/>
  <c r="BL133" i="9"/>
  <c r="BL527" i="9" s="1"/>
  <c r="BL126" i="9"/>
  <c r="BL125" i="9"/>
  <c r="BL124" i="9"/>
  <c r="BL116" i="9"/>
  <c r="BL115" i="9"/>
  <c r="BL114" i="9"/>
  <c r="BL526" i="9" s="1"/>
  <c r="BL107" i="9"/>
  <c r="BL106" i="9"/>
  <c r="BL105" i="9"/>
  <c r="BL97" i="9"/>
  <c r="BL96" i="9"/>
  <c r="BL95" i="9"/>
  <c r="BL525" i="9" s="1"/>
  <c r="BL88" i="9"/>
  <c r="BL87" i="9"/>
  <c r="BL86" i="9"/>
  <c r="BL78" i="9"/>
  <c r="BL77" i="9"/>
  <c r="BL76" i="9"/>
  <c r="BL524" i="9" s="1"/>
  <c r="BL69" i="9"/>
  <c r="BL68" i="9"/>
  <c r="BL67" i="9"/>
  <c r="BL57" i="9"/>
  <c r="BL523" i="9" s="1"/>
  <c r="BL59" i="9"/>
  <c r="BL58" i="9"/>
  <c r="BL49" i="9"/>
  <c r="CG14" i="9"/>
  <c r="CG15" i="9"/>
  <c r="CG32" i="9"/>
  <c r="CG31" i="9"/>
  <c r="CG30" i="9"/>
  <c r="CG29" i="9"/>
  <c r="CG28" i="9"/>
  <c r="CG27" i="9"/>
  <c r="CG26" i="9"/>
  <c r="CG25" i="9"/>
  <c r="CG24" i="9"/>
  <c r="CG23" i="9"/>
  <c r="CG22" i="9"/>
  <c r="CG21" i="9"/>
  <c r="CG20" i="9"/>
  <c r="CG19" i="9"/>
  <c r="CG18" i="9"/>
  <c r="CG17" i="9"/>
  <c r="CG16" i="9"/>
  <c r="CH32" i="9"/>
  <c r="E168" i="1" a="1"/>
  <c r="F168" i="20" a="1"/>
  <c r="E168" i="20" a="1"/>
  <c r="G168" i="1" a="1"/>
  <c r="F168" i="1" a="1"/>
  <c r="G168" i="20" a="1"/>
  <c r="E186" i="30" a="1"/>
  <c r="BL578" i="9" l="1"/>
  <c r="BL580" i="9"/>
  <c r="BL584" i="9"/>
  <c r="BL588" i="9"/>
  <c r="BL870" i="9" s="1"/>
  <c r="BL478" i="9"/>
  <c r="BL480" i="9"/>
  <c r="BL482" i="9"/>
  <c r="BL552" i="9"/>
  <c r="BL484" i="9"/>
  <c r="BL554" i="9"/>
  <c r="BL486" i="9"/>
  <c r="BL488" i="9"/>
  <c r="BL558" i="9"/>
  <c r="BL490" i="9"/>
  <c r="BL492" i="9"/>
  <c r="BL562" i="9"/>
  <c r="BL494" i="9"/>
  <c r="BL564" i="9"/>
  <c r="BL496" i="9"/>
  <c r="BL585" i="9"/>
  <c r="BL574" i="9"/>
  <c r="BL575" i="9"/>
  <c r="BL579" i="9"/>
  <c r="BL479" i="9"/>
  <c r="BL481" i="9"/>
  <c r="BL483" i="9"/>
  <c r="BL553" i="9"/>
  <c r="BL485" i="9"/>
  <c r="BL487" i="9"/>
  <c r="BL557" i="9"/>
  <c r="BL489" i="9"/>
  <c r="BL559" i="9"/>
  <c r="BL491" i="9"/>
  <c r="BL493" i="9"/>
  <c r="BL563" i="9"/>
  <c r="BL495" i="9"/>
  <c r="V227" i="6"/>
  <c r="V258" i="6" s="1"/>
  <c r="F168" i="1"/>
  <c r="F168" i="20"/>
  <c r="G168" i="1"/>
  <c r="G168" i="20"/>
  <c r="E168" i="1"/>
  <c r="E168" i="20"/>
  <c r="EX218" i="26"/>
  <c r="EX222" i="26"/>
  <c r="EX226" i="26"/>
  <c r="EX221" i="26"/>
  <c r="EX219" i="26"/>
  <c r="EX223" i="26"/>
  <c r="EX220" i="26"/>
  <c r="EX224" i="26"/>
  <c r="EX225" i="26"/>
  <c r="EX217" i="26"/>
  <c r="EX249" i="26"/>
  <c r="EX252" i="26"/>
  <c r="EX248" i="26"/>
  <c r="EX246" i="26"/>
  <c r="EX247" i="26"/>
  <c r="EX251" i="26"/>
  <c r="EX250" i="26"/>
  <c r="EX245" i="26"/>
  <c r="D41" i="11"/>
  <c r="E70" i="26" s="1"/>
  <c r="EX234" i="26"/>
  <c r="EX238" i="26"/>
  <c r="EX235" i="26"/>
  <c r="EX239" i="26"/>
  <c r="EX232" i="26"/>
  <c r="EX237" i="26"/>
  <c r="EX236" i="26"/>
  <c r="EX240" i="26"/>
  <c r="EX233" i="26"/>
  <c r="EX231" i="26"/>
  <c r="EX269" i="26"/>
  <c r="EX270" i="26"/>
  <c r="EX268" i="26"/>
  <c r="EX267" i="26"/>
  <c r="EX271" i="26"/>
  <c r="EX266" i="26"/>
  <c r="EX206" i="26"/>
  <c r="EX210" i="26"/>
  <c r="EX207" i="26"/>
  <c r="EX211" i="26"/>
  <c r="EX204" i="26"/>
  <c r="EX205" i="26"/>
  <c r="EX208" i="26"/>
  <c r="EX212" i="26"/>
  <c r="EX209" i="26"/>
  <c r="EX203" i="26"/>
  <c r="EX258" i="26"/>
  <c r="EX259" i="26"/>
  <c r="EX260" i="26"/>
  <c r="EX261" i="26"/>
  <c r="EX257" i="26"/>
  <c r="V71" i="30"/>
  <c r="V79" i="30"/>
  <c r="BL70" i="6"/>
  <c r="V80" i="30"/>
  <c r="AA163" i="1"/>
  <c r="V103" i="30"/>
  <c r="BL60" i="6"/>
  <c r="V78" i="30"/>
  <c r="BL56" i="6"/>
  <c r="V77" i="30"/>
  <c r="BL142" i="6"/>
  <c r="V95" i="30"/>
  <c r="E186" i="30"/>
  <c r="W214" i="6"/>
  <c r="BL217" i="6"/>
  <c r="F415" i="9"/>
  <c r="BL44" i="6"/>
  <c r="AA188" i="30"/>
  <c r="BL261" i="26"/>
  <c r="CS261" i="26" s="1"/>
  <c r="CK261" i="26" s="1"/>
  <c r="CF32" i="9"/>
  <c r="V413" i="9"/>
  <c r="W409" i="9" s="1"/>
  <c r="CF28" i="9"/>
  <c r="V337" i="9"/>
  <c r="W333" i="9" s="1"/>
  <c r="CF24" i="9"/>
  <c r="V261" i="9"/>
  <c r="W257" i="9" s="1"/>
  <c r="CF20" i="9"/>
  <c r="V185" i="9"/>
  <c r="W181" i="9" s="1"/>
  <c r="CF16" i="9"/>
  <c r="V109" i="9"/>
  <c r="W105" i="9" s="1"/>
  <c r="CF29" i="9"/>
  <c r="V356" i="9"/>
  <c r="W352" i="9" s="1"/>
  <c r="CF21" i="9"/>
  <c r="V204" i="9"/>
  <c r="W200" i="9" s="1"/>
  <c r="CF31" i="9"/>
  <c r="V394" i="9"/>
  <c r="W390" i="9" s="1"/>
  <c r="CF27" i="9"/>
  <c r="V318" i="9"/>
  <c r="W314" i="9" s="1"/>
  <c r="CF23" i="9"/>
  <c r="V242" i="9"/>
  <c r="W238" i="9" s="1"/>
  <c r="CF19" i="9"/>
  <c r="V166" i="9"/>
  <c r="W162" i="9" s="1"/>
  <c r="CF15" i="9"/>
  <c r="V90" i="9"/>
  <c r="W86" i="9" s="1"/>
  <c r="CF25" i="9"/>
  <c r="V280" i="9"/>
  <c r="W276" i="9" s="1"/>
  <c r="CF17" i="9"/>
  <c r="V128" i="9"/>
  <c r="W124" i="9" s="1"/>
  <c r="CF30" i="9"/>
  <c r="V375" i="9"/>
  <c r="W371" i="9" s="1"/>
  <c r="CF26" i="9"/>
  <c r="V299" i="9"/>
  <c r="W295" i="9" s="1"/>
  <c r="CF22" i="9"/>
  <c r="V223" i="9"/>
  <c r="W219" i="9" s="1"/>
  <c r="CF18" i="9"/>
  <c r="V147" i="9"/>
  <c r="W143" i="9" s="1"/>
  <c r="CF14" i="9"/>
  <c r="V71" i="9"/>
  <c r="W67" i="9" s="1"/>
  <c r="B369" i="3"/>
  <c r="V124" i="30"/>
  <c r="BL201" i="6"/>
  <c r="V130" i="30"/>
  <c r="BL223" i="6"/>
  <c r="V125" i="30"/>
  <c r="BL211" i="6"/>
  <c r="V131" i="30"/>
  <c r="BL228" i="6"/>
  <c r="V123" i="30"/>
  <c r="BL192" i="6"/>
  <c r="V132" i="30"/>
  <c r="BL234" i="6"/>
  <c r="D49" i="11"/>
  <c r="BL86" i="6"/>
  <c r="BL145" i="6"/>
  <c r="BL163" i="6"/>
  <c r="BL138" i="6"/>
  <c r="BL139" i="6" s="1"/>
  <c r="BL175" i="6"/>
  <c r="BL64" i="6"/>
  <c r="BL166" i="6"/>
  <c r="BL73" i="6"/>
  <c r="BL113" i="6"/>
  <c r="BL150" i="6"/>
  <c r="BL151" i="6" s="1"/>
  <c r="BL169" i="6"/>
  <c r="BL172" i="6"/>
  <c r="BL76" i="6"/>
  <c r="BL157" i="6"/>
  <c r="V126" i="30"/>
  <c r="B300" i="3"/>
  <c r="B323" i="3"/>
  <c r="BL432" i="9"/>
  <c r="BL970" i="9"/>
  <c r="BL434" i="9"/>
  <c r="BL972" i="9"/>
  <c r="BL436" i="9"/>
  <c r="BL974" i="9"/>
  <c r="BL438" i="9"/>
  <c r="BL976" i="9"/>
  <c r="BL440" i="9"/>
  <c r="BL978" i="9"/>
  <c r="BL442" i="9"/>
  <c r="BL980" i="9"/>
  <c r="BL444" i="9"/>
  <c r="BL982" i="9"/>
  <c r="BL446" i="9"/>
  <c r="BL984" i="9"/>
  <c r="BL448" i="9"/>
  <c r="BL986" i="9"/>
  <c r="BL450" i="9"/>
  <c r="BL455" i="9"/>
  <c r="BL457" i="9"/>
  <c r="BL459" i="9"/>
  <c r="BL461" i="9"/>
  <c r="BL463" i="9"/>
  <c r="BL465" i="9"/>
  <c r="BL467" i="9"/>
  <c r="BL469" i="9"/>
  <c r="BL471" i="9"/>
  <c r="BL473" i="9"/>
  <c r="BL454" i="9"/>
  <c r="BL969" i="9"/>
  <c r="BL433" i="9"/>
  <c r="BL971" i="9"/>
  <c r="BL435" i="9"/>
  <c r="BL973" i="9"/>
  <c r="BL437" i="9"/>
  <c r="BL975" i="9"/>
  <c r="BL439" i="9"/>
  <c r="BL977" i="9"/>
  <c r="BL441" i="9"/>
  <c r="BL979" i="9"/>
  <c r="BL443" i="9"/>
  <c r="BL981" i="9"/>
  <c r="BL445" i="9"/>
  <c r="BL983" i="9"/>
  <c r="BL447" i="9"/>
  <c r="BL985" i="9"/>
  <c r="BL449" i="9"/>
  <c r="BL987" i="9"/>
  <c r="BL456" i="9"/>
  <c r="BL458" i="9"/>
  <c r="BL460" i="9"/>
  <c r="BL462" i="9"/>
  <c r="BL464" i="9"/>
  <c r="BL466" i="9"/>
  <c r="BL468" i="9"/>
  <c r="BL470" i="9"/>
  <c r="BL472" i="9"/>
  <c r="B162" i="3"/>
  <c r="BL548" i="9"/>
  <c r="BL830" i="9" s="1"/>
  <c r="BL550" i="9"/>
  <c r="BL832" i="9" s="1"/>
  <c r="BL556" i="9"/>
  <c r="BL838" i="9" s="1"/>
  <c r="BL560" i="9"/>
  <c r="BL842" i="9" s="1"/>
  <c r="BL571" i="9"/>
  <c r="BL853" i="9" s="1"/>
  <c r="BL573" i="9"/>
  <c r="BL855" i="9" s="1"/>
  <c r="BL577" i="9"/>
  <c r="BL859" i="9" s="1"/>
  <c r="BL581" i="9"/>
  <c r="BL863" i="9" s="1"/>
  <c r="BL583" i="9"/>
  <c r="BL865" i="9" s="1"/>
  <c r="BL587" i="9"/>
  <c r="BL869" i="9" s="1"/>
  <c r="BL546" i="9"/>
  <c r="BL828" i="9" s="1"/>
  <c r="BL569" i="9"/>
  <c r="BL851" i="9" s="1"/>
  <c r="BL547" i="9"/>
  <c r="BL829" i="9" s="1"/>
  <c r="BL549" i="9"/>
  <c r="BL831" i="9" s="1"/>
  <c r="BL551" i="9"/>
  <c r="BL833" i="9" s="1"/>
  <c r="BL555" i="9"/>
  <c r="BL837" i="9" s="1"/>
  <c r="BL561" i="9"/>
  <c r="BL843" i="9" s="1"/>
  <c r="BL565" i="9"/>
  <c r="BL847" i="9" s="1"/>
  <c r="BL570" i="9"/>
  <c r="BL852" i="9" s="1"/>
  <c r="BL572" i="9"/>
  <c r="BL854" i="9" s="1"/>
  <c r="BL576" i="9"/>
  <c r="BL858" i="9" s="1"/>
  <c r="BL582" i="9"/>
  <c r="BL864" i="9" s="1"/>
  <c r="BL586" i="9"/>
  <c r="BL868" i="9" s="1"/>
  <c r="BL861" i="9"/>
  <c r="BL856" i="9"/>
  <c r="BL860" i="9"/>
  <c r="BL866" i="9"/>
  <c r="B277" i="3"/>
  <c r="B254" i="3"/>
  <c r="B185" i="3"/>
  <c r="B231" i="3"/>
  <c r="B70" i="3"/>
  <c r="B208" i="3"/>
  <c r="B139" i="3"/>
  <c r="B116" i="3"/>
  <c r="B93" i="3"/>
  <c r="B47" i="3"/>
  <c r="BL1104" i="9" l="1"/>
  <c r="BL1110" i="9" s="1"/>
  <c r="BL227" i="6"/>
  <c r="BL258" i="6" s="1"/>
  <c r="AA166" i="30"/>
  <c r="CJ168" i="20"/>
  <c r="I7" i="20"/>
  <c r="CH168" i="20"/>
  <c r="CI168" i="20"/>
  <c r="BL1102" i="9"/>
  <c r="BL1108" i="9" s="1"/>
  <c r="BL1096" i="9"/>
  <c r="BL1097" i="9"/>
  <c r="BL1103" i="9"/>
  <c r="BL1109" i="9" s="1"/>
  <c r="D286" i="26"/>
  <c r="EX286" i="26" s="1"/>
  <c r="E44" i="26"/>
  <c r="AB44" i="26" s="1"/>
  <c r="E37" i="26"/>
  <c r="AB37" i="26" s="1"/>
  <c r="E30" i="26"/>
  <c r="AH30" i="26" s="1"/>
  <c r="D298" i="26"/>
  <c r="EX298" i="26" s="1"/>
  <c r="D326" i="26"/>
  <c r="BM214" i="6"/>
  <c r="AA214" i="6"/>
  <c r="AA217" i="6" s="1"/>
  <c r="AA75" i="33"/>
  <c r="AA169" i="30"/>
  <c r="AA143" i="9"/>
  <c r="AA147" i="9" s="1"/>
  <c r="AA162" i="9"/>
  <c r="AA166" i="9" s="1"/>
  <c r="AA200" i="9"/>
  <c r="AA204" i="9" s="1"/>
  <c r="AA105" i="9"/>
  <c r="AA109" i="9" s="1"/>
  <c r="AA124" i="9"/>
  <c r="AA128" i="9" s="1"/>
  <c r="AA257" i="9"/>
  <c r="AA261" i="9" s="1"/>
  <c r="AA219" i="9"/>
  <c r="AA223" i="9" s="1"/>
  <c r="AA371" i="9"/>
  <c r="AA375" i="9" s="1"/>
  <c r="AA276" i="9"/>
  <c r="AA280" i="9" s="1"/>
  <c r="AA86" i="9"/>
  <c r="AA90" i="9" s="1"/>
  <c r="AA238" i="9"/>
  <c r="AA242" i="9" s="1"/>
  <c r="AA390" i="9"/>
  <c r="AA394" i="9" s="1"/>
  <c r="AA352" i="9"/>
  <c r="AA356" i="9" s="1"/>
  <c r="AA181" i="9"/>
  <c r="AA185" i="9" s="1"/>
  <c r="AA333" i="9"/>
  <c r="AA337" i="9" s="1"/>
  <c r="AA295" i="9"/>
  <c r="AA299" i="9" s="1"/>
  <c r="AA314" i="9"/>
  <c r="AA318" i="9" s="1"/>
  <c r="AA409" i="9"/>
  <c r="AA413" i="9" s="1"/>
  <c r="E173" i="26"/>
  <c r="E197" i="26"/>
  <c r="E149" i="26"/>
  <c r="AA168" i="30"/>
  <c r="AA162" i="30"/>
  <c r="AA63" i="33" s="1"/>
  <c r="AA167" i="30"/>
  <c r="AA165" i="30"/>
  <c r="AA164" i="30"/>
  <c r="AA159" i="30"/>
  <c r="BL1098" i="9"/>
  <c r="H48" i="30" a="1"/>
  <c r="AT30" i="26" l="1"/>
  <c r="AB286" i="26"/>
  <c r="AH44" i="26"/>
  <c r="AH286" i="26" s="1"/>
  <c r="BU44" i="26"/>
  <c r="BU286" i="26" s="1"/>
  <c r="AS44" i="26"/>
  <c r="AS286" i="26" s="1"/>
  <c r="AM44" i="26"/>
  <c r="AM286" i="26" s="1"/>
  <c r="V44" i="26"/>
  <c r="BR30" i="26"/>
  <c r="BR232" i="26" s="1"/>
  <c r="CD168" i="20"/>
  <c r="BL1111" i="9"/>
  <c r="BL200" i="30" s="1"/>
  <c r="CM200" i="30" s="1"/>
  <c r="CE200" i="30" s="1"/>
  <c r="BL1099" i="9"/>
  <c r="BL198" i="30" s="1"/>
  <c r="CM198" i="30" s="1"/>
  <c r="CE198" i="30" s="1"/>
  <c r="BH30" i="26"/>
  <c r="BH232" i="26" s="1"/>
  <c r="AG44" i="26"/>
  <c r="AG286" i="26" s="1"/>
  <c r="AP44" i="26"/>
  <c r="AP286" i="26" s="1"/>
  <c r="AK30" i="26"/>
  <c r="AK232" i="26" s="1"/>
  <c r="AR30" i="26"/>
  <c r="AR232" i="26" s="1"/>
  <c r="AD30" i="26"/>
  <c r="AD232" i="26" s="1"/>
  <c r="BV30" i="26"/>
  <c r="BV232" i="26" s="1"/>
  <c r="BP30" i="26"/>
  <c r="BP232" i="26" s="1"/>
  <c r="AA30" i="26"/>
  <c r="AA232" i="26" s="1"/>
  <c r="BT30" i="26"/>
  <c r="BT232" i="26" s="1"/>
  <c r="AI30" i="26"/>
  <c r="AI232" i="26" s="1"/>
  <c r="BJ30" i="26"/>
  <c r="BJ232" i="26" s="1"/>
  <c r="BI44" i="26"/>
  <c r="BI286" i="26" s="1"/>
  <c r="AK44" i="26"/>
  <c r="AK286" i="26" s="1"/>
  <c r="AD44" i="26"/>
  <c r="AD286" i="26" s="1"/>
  <c r="BH37" i="26"/>
  <c r="AE44" i="26"/>
  <c r="AE286" i="26" s="1"/>
  <c r="BJ44" i="26"/>
  <c r="BJ286" i="26" s="1"/>
  <c r="BE44" i="26"/>
  <c r="BE286" i="26" s="1"/>
  <c r="AU44" i="26"/>
  <c r="AU286" i="26" s="1"/>
  <c r="BJ37" i="26"/>
  <c r="BG37" i="26"/>
  <c r="AZ44" i="26"/>
  <c r="AZ286" i="26" s="1"/>
  <c r="AJ44" i="26"/>
  <c r="AJ286" i="26" s="1"/>
  <c r="BP44" i="26"/>
  <c r="BP286" i="26" s="1"/>
  <c r="AQ44" i="26"/>
  <c r="AQ286" i="26" s="1"/>
  <c r="BU37" i="26"/>
  <c r="AL37" i="26"/>
  <c r="AQ37" i="26"/>
  <c r="AC37" i="26"/>
  <c r="BR37" i="26"/>
  <c r="AA37" i="26"/>
  <c r="AI44" i="26"/>
  <c r="AI286" i="26" s="1"/>
  <c r="AA44" i="26"/>
  <c r="AW44" i="26"/>
  <c r="AW286" i="26" s="1"/>
  <c r="AF44" i="26"/>
  <c r="AF286" i="26" s="1"/>
  <c r="BA44" i="26"/>
  <c r="BA286" i="26" s="1"/>
  <c r="BQ44" i="26"/>
  <c r="BQ286" i="26" s="1"/>
  <c r="BS44" i="26"/>
  <c r="BS286" i="26" s="1"/>
  <c r="AT44" i="26"/>
  <c r="AT286" i="26" s="1"/>
  <c r="AS37" i="26"/>
  <c r="AJ37" i="26"/>
  <c r="AV37" i="26"/>
  <c r="AC44" i="26"/>
  <c r="AC286" i="26" s="1"/>
  <c r="BD44" i="26"/>
  <c r="BD286" i="26" s="1"/>
  <c r="AV44" i="26"/>
  <c r="AV286" i="26" s="1"/>
  <c r="AN44" i="26"/>
  <c r="AN286" i="26" s="1"/>
  <c r="BB44" i="26"/>
  <c r="BB286" i="26" s="1"/>
  <c r="BV44" i="26"/>
  <c r="BV286" i="26" s="1"/>
  <c r="BH44" i="26"/>
  <c r="BH286" i="26" s="1"/>
  <c r="BT44" i="26"/>
  <c r="BT286" i="26" s="1"/>
  <c r="AL44" i="26"/>
  <c r="AL286" i="26" s="1"/>
  <c r="V37" i="26"/>
  <c r="AH37" i="26"/>
  <c r="AZ37" i="26"/>
  <c r="BI37" i="26"/>
  <c r="BQ37" i="26"/>
  <c r="BB37" i="26"/>
  <c r="AG37" i="26"/>
  <c r="BM37" i="26"/>
  <c r="AP37" i="26"/>
  <c r="BT37" i="26"/>
  <c r="BC37" i="26"/>
  <c r="AM37" i="26"/>
  <c r="X37" i="26"/>
  <c r="BO37" i="26"/>
  <c r="Y37" i="26"/>
  <c r="AO37" i="26"/>
  <c r="AX37" i="26"/>
  <c r="BE37" i="26"/>
  <c r="BS37" i="26"/>
  <c r="AW37" i="26"/>
  <c r="W37" i="26"/>
  <c r="BF37" i="26"/>
  <c r="AK37" i="26"/>
  <c r="BP37" i="26"/>
  <c r="AY37" i="26"/>
  <c r="AI37" i="26"/>
  <c r="BD37" i="26"/>
  <c r="BV37" i="26"/>
  <c r="AD37" i="26"/>
  <c r="AN37" i="26"/>
  <c r="AT37" i="26"/>
  <c r="BN37" i="26"/>
  <c r="AR37" i="26"/>
  <c r="BW37" i="26"/>
  <c r="BA37" i="26"/>
  <c r="AF37" i="26"/>
  <c r="BL37" i="26"/>
  <c r="AU37" i="26"/>
  <c r="AE37" i="26"/>
  <c r="BE30" i="26"/>
  <c r="BE232" i="26" s="1"/>
  <c r="BC30" i="26"/>
  <c r="BC232" i="26" s="1"/>
  <c r="BI30" i="26"/>
  <c r="BI232" i="26" s="1"/>
  <c r="AC30" i="26"/>
  <c r="BG30" i="26"/>
  <c r="BG232" i="26" s="1"/>
  <c r="V30" i="26"/>
  <c r="BD30" i="26"/>
  <c r="BD232" i="26" s="1"/>
  <c r="AN30" i="26"/>
  <c r="AB30" i="26"/>
  <c r="AB232" i="26" s="1"/>
  <c r="BF30" i="26"/>
  <c r="BF232" i="26" s="1"/>
  <c r="AP30" i="26"/>
  <c r="BA30" i="26"/>
  <c r="BA232" i="26" s="1"/>
  <c r="AY30" i="26"/>
  <c r="AY232" i="26" s="1"/>
  <c r="AJ30" i="26"/>
  <c r="AJ232" i="26" s="1"/>
  <c r="BB30" i="26"/>
  <c r="BB232" i="26" s="1"/>
  <c r="AL30" i="26"/>
  <c r="AW30" i="26"/>
  <c r="AW232" i="26" s="1"/>
  <c r="AU30" i="26"/>
  <c r="AU232" i="26" s="1"/>
  <c r="AO30" i="26"/>
  <c r="AO232" i="26" s="1"/>
  <c r="BU30" i="26"/>
  <c r="BU232" i="26" s="1"/>
  <c r="AZ30" i="26"/>
  <c r="AZ232" i="26" s="1"/>
  <c r="BW30" i="26"/>
  <c r="BW232" i="26" s="1"/>
  <c r="AG30" i="26"/>
  <c r="AG232" i="26" s="1"/>
  <c r="AE30" i="26"/>
  <c r="AS30" i="26"/>
  <c r="AS232" i="26" s="1"/>
  <c r="AM30" i="26"/>
  <c r="AM232" i="26" s="1"/>
  <c r="AQ30" i="26"/>
  <c r="BQ30" i="26"/>
  <c r="BQ232" i="26" s="1"/>
  <c r="AV30" i="26"/>
  <c r="AV232" i="26" s="1"/>
  <c r="AF30" i="26"/>
  <c r="AF232" i="26" s="1"/>
  <c r="BS30" i="26"/>
  <c r="BS232" i="26" s="1"/>
  <c r="AX30" i="26"/>
  <c r="AX232" i="26" s="1"/>
  <c r="AX44" i="26"/>
  <c r="AX286" i="26" s="1"/>
  <c r="BR44" i="26"/>
  <c r="BR286" i="26" s="1"/>
  <c r="BF44" i="26"/>
  <c r="BF286" i="26" s="1"/>
  <c r="BC44" i="26"/>
  <c r="BC286" i="26" s="1"/>
  <c r="AO44" i="26"/>
  <c r="AO286" i="26" s="1"/>
  <c r="BG44" i="26"/>
  <c r="BG286" i="26" s="1"/>
  <c r="BW44" i="26"/>
  <c r="BW286" i="26" s="1"/>
  <c r="AR44" i="26"/>
  <c r="AR286" i="26" s="1"/>
  <c r="AY44" i="26"/>
  <c r="AY286" i="26" s="1"/>
  <c r="AH232" i="26"/>
  <c r="AT232" i="26"/>
  <c r="H48" i="30"/>
  <c r="V326" i="26"/>
  <c r="V270" i="26" s="1"/>
  <c r="AD326" i="26"/>
  <c r="AD270" i="26" s="1"/>
  <c r="AH326" i="26"/>
  <c r="AH270" i="26" s="1"/>
  <c r="AL326" i="26"/>
  <c r="AL270" i="26" s="1"/>
  <c r="AP326" i="26"/>
  <c r="AP270" i="26" s="1"/>
  <c r="AT326" i="26"/>
  <c r="AT270" i="26" s="1"/>
  <c r="AX326" i="26"/>
  <c r="AX270" i="26" s="1"/>
  <c r="BB326" i="26"/>
  <c r="BB270" i="26" s="1"/>
  <c r="BF326" i="26"/>
  <c r="BF270" i="26" s="1"/>
  <c r="BJ326" i="26"/>
  <c r="BJ270" i="26" s="1"/>
  <c r="BS326" i="26"/>
  <c r="BS270" i="26" s="1"/>
  <c r="BW326" i="26"/>
  <c r="BW270" i="26" s="1"/>
  <c r="AA326" i="26"/>
  <c r="AA270" i="26" s="1"/>
  <c r="AE326" i="26"/>
  <c r="AE270" i="26" s="1"/>
  <c r="AI326" i="26"/>
  <c r="AI270" i="26" s="1"/>
  <c r="AM326" i="26"/>
  <c r="AM270" i="26" s="1"/>
  <c r="AQ326" i="26"/>
  <c r="AQ270" i="26" s="1"/>
  <c r="AU326" i="26"/>
  <c r="AU270" i="26" s="1"/>
  <c r="AY326" i="26"/>
  <c r="AY270" i="26" s="1"/>
  <c r="BC326" i="26"/>
  <c r="BC270" i="26" s="1"/>
  <c r="BG326" i="26"/>
  <c r="BG270" i="26" s="1"/>
  <c r="BL326" i="26"/>
  <c r="BL270" i="26" s="1"/>
  <c r="BP326" i="26"/>
  <c r="BP270" i="26" s="1"/>
  <c r="BT326" i="26"/>
  <c r="BT270" i="26" s="1"/>
  <c r="AB326" i="26"/>
  <c r="AB270" i="26" s="1"/>
  <c r="AJ326" i="26"/>
  <c r="AJ270" i="26" s="1"/>
  <c r="AR326" i="26"/>
  <c r="AR270" i="26" s="1"/>
  <c r="AZ326" i="26"/>
  <c r="AZ270" i="26" s="1"/>
  <c r="BH326" i="26"/>
  <c r="BH270" i="26" s="1"/>
  <c r="BQ326" i="26"/>
  <c r="BQ270" i="26" s="1"/>
  <c r="AC326" i="26"/>
  <c r="AC270" i="26" s="1"/>
  <c r="AK326" i="26"/>
  <c r="AK270" i="26" s="1"/>
  <c r="AS326" i="26"/>
  <c r="AS270" i="26" s="1"/>
  <c r="BA326" i="26"/>
  <c r="BA270" i="26" s="1"/>
  <c r="BI326" i="26"/>
  <c r="BI270" i="26" s="1"/>
  <c r="BR326" i="26"/>
  <c r="BR270" i="26" s="1"/>
  <c r="AF326" i="26"/>
  <c r="AF270" i="26" s="1"/>
  <c r="AG326" i="26"/>
  <c r="AG270" i="26" s="1"/>
  <c r="AW326" i="26"/>
  <c r="AW270" i="26" s="1"/>
  <c r="AN326" i="26"/>
  <c r="AN270" i="26" s="1"/>
  <c r="BD326" i="26"/>
  <c r="BD270" i="26" s="1"/>
  <c r="BU326" i="26"/>
  <c r="BU270" i="26" s="1"/>
  <c r="AO326" i="26"/>
  <c r="AO270" i="26" s="1"/>
  <c r="BE326" i="26"/>
  <c r="BE270" i="26" s="1"/>
  <c r="BV326" i="26"/>
  <c r="BV270" i="26" s="1"/>
  <c r="AV326" i="26"/>
  <c r="AV270" i="26" s="1"/>
  <c r="AA126" i="30"/>
  <c r="BL1105" i="9"/>
  <c r="BL199" i="30" s="1"/>
  <c r="CB14" i="26"/>
  <c r="CB15" i="26"/>
  <c r="CB16" i="26"/>
  <c r="CB17" i="26"/>
  <c r="CB18" i="26"/>
  <c r="CB19" i="26"/>
  <c r="CB20" i="26"/>
  <c r="CB21" i="26"/>
  <c r="CB22" i="26"/>
  <c r="CB23" i="26"/>
  <c r="CB24" i="26"/>
  <c r="CB25" i="26"/>
  <c r="CB26" i="26"/>
  <c r="CB27" i="26"/>
  <c r="BZ37" i="26" l="1"/>
  <c r="CS270" i="26"/>
  <c r="CK270" i="26" s="1"/>
  <c r="CS37" i="26"/>
  <c r="CK37" i="26" s="1"/>
  <c r="AQ184" i="30"/>
  <c r="V286" i="26"/>
  <c r="AH184" i="30"/>
  <c r="AA286" i="26"/>
  <c r="AE184" i="30"/>
  <c r="AK184" i="30"/>
  <c r="V184" i="30"/>
  <c r="BP184" i="30"/>
  <c r="V232" i="26"/>
  <c r="AD184" i="30"/>
  <c r="AB184" i="30"/>
  <c r="BL86" i="33"/>
  <c r="BL85" i="33"/>
  <c r="AA184" i="30"/>
  <c r="AP184" i="30"/>
  <c r="AI184" i="30"/>
  <c r="BV184" i="30"/>
  <c r="AS184" i="30"/>
  <c r="AU184" i="30"/>
  <c r="AF184" i="30"/>
  <c r="AO184" i="30"/>
  <c r="AL184" i="30"/>
  <c r="AT184" i="30"/>
  <c r="AZ184" i="30"/>
  <c r="AQ232" i="26"/>
  <c r="AM184" i="30"/>
  <c r="BW184" i="30"/>
  <c r="BJ184" i="30"/>
  <c r="AL232" i="26"/>
  <c r="BE184" i="30"/>
  <c r="BT184" i="30"/>
  <c r="BB184" i="30"/>
  <c r="AP232" i="26"/>
  <c r="BI184" i="30"/>
  <c r="AW184" i="30"/>
  <c r="AJ184" i="30"/>
  <c r="BF184" i="30"/>
  <c r="BS184" i="30"/>
  <c r="AV184" i="30"/>
  <c r="AY184" i="30"/>
  <c r="BH184" i="30"/>
  <c r="AN184" i="30"/>
  <c r="AC184" i="30"/>
  <c r="BD184" i="30"/>
  <c r="AG184" i="30"/>
  <c r="BR184" i="30"/>
  <c r="AN232" i="26"/>
  <c r="AE232" i="26"/>
  <c r="AC232" i="26"/>
  <c r="AR184" i="30"/>
  <c r="BQ184" i="30"/>
  <c r="AX184" i="30"/>
  <c r="BU184" i="30"/>
  <c r="BG184" i="30"/>
  <c r="BA184" i="30"/>
  <c r="BC184" i="30"/>
  <c r="AB214" i="6"/>
  <c r="BL14" i="1"/>
  <c r="CM14" i="1" s="1"/>
  <c r="CE14" i="1" s="1"/>
  <c r="AB217" i="6" l="1"/>
  <c r="AC214" i="6" s="1"/>
  <c r="AC217" i="6" s="1"/>
  <c r="V114" i="6"/>
  <c r="AD214" i="6" l="1"/>
  <c r="AD217" i="6" s="1"/>
  <c r="AC126" i="30"/>
  <c r="V116" i="30"/>
  <c r="CP58" i="12" l="1"/>
  <c r="CO58" i="12"/>
  <c r="CN58" i="12"/>
  <c r="CM58" i="12"/>
  <c r="CO30" i="12"/>
  <c r="CP30" i="12"/>
  <c r="CN30" i="12"/>
  <c r="A58" i="12" l="1" a="1"/>
  <c r="A58" i="12" s="1"/>
  <c r="A30" i="12" a="1"/>
  <c r="A30" i="12" s="1"/>
  <c r="AE214" i="6"/>
  <c r="AE217" i="6" s="1"/>
  <c r="AD126" i="30"/>
  <c r="AC163" i="20"/>
  <c r="AG163" i="20"/>
  <c r="AS163" i="20"/>
  <c r="AW163" i="20"/>
  <c r="BI163" i="20"/>
  <c r="CB9" i="22"/>
  <c r="V1105" i="9"/>
  <c r="AA171" i="20"/>
  <c r="AB171" i="20"/>
  <c r="AC171" i="20"/>
  <c r="AD171" i="20"/>
  <c r="AE171" i="20"/>
  <c r="AF171" i="20"/>
  <c r="AG171" i="20"/>
  <c r="AH171" i="20"/>
  <c r="AI171" i="20"/>
  <c r="AJ171" i="20"/>
  <c r="AK171" i="20"/>
  <c r="AL171" i="20"/>
  <c r="AM171" i="20"/>
  <c r="AN171" i="20"/>
  <c r="AO171" i="20"/>
  <c r="AP171" i="20"/>
  <c r="AQ171" i="20"/>
  <c r="AR171" i="20"/>
  <c r="AS171" i="20"/>
  <c r="AT171" i="20"/>
  <c r="AU171" i="20"/>
  <c r="AV171" i="20"/>
  <c r="AW171" i="20"/>
  <c r="AX171" i="20"/>
  <c r="AY171" i="20"/>
  <c r="AZ171" i="20"/>
  <c r="BA171" i="20"/>
  <c r="BB171" i="20"/>
  <c r="BC171" i="20"/>
  <c r="BD171" i="20"/>
  <c r="BE171" i="20"/>
  <c r="BF171" i="20"/>
  <c r="BG171" i="20"/>
  <c r="BH171" i="20"/>
  <c r="BI171" i="20"/>
  <c r="BJ171" i="20"/>
  <c r="BP171" i="20"/>
  <c r="BQ171" i="20"/>
  <c r="BR171" i="20"/>
  <c r="BS171" i="20"/>
  <c r="BT171" i="20"/>
  <c r="BU171" i="20"/>
  <c r="BV171" i="20"/>
  <c r="BW171" i="20"/>
  <c r="V171" i="20"/>
  <c r="AA130" i="20"/>
  <c r="AC130" i="20"/>
  <c r="AD130" i="20"/>
  <c r="AF130" i="20"/>
  <c r="AG130" i="20"/>
  <c r="AI130" i="20"/>
  <c r="AJ130" i="20"/>
  <c r="AL130" i="20"/>
  <c r="AM130" i="20"/>
  <c r="AO130" i="20"/>
  <c r="AP130" i="20"/>
  <c r="AR130" i="20"/>
  <c r="AS130" i="20"/>
  <c r="AU130" i="20"/>
  <c r="AV130" i="20"/>
  <c r="AX130" i="20"/>
  <c r="AY130" i="20"/>
  <c r="BA130" i="20"/>
  <c r="BB130" i="20"/>
  <c r="BD130" i="20"/>
  <c r="BE130" i="20"/>
  <c r="BG130" i="20"/>
  <c r="BH130" i="20"/>
  <c r="BJ130" i="20"/>
  <c r="BP130" i="20"/>
  <c r="BQ130" i="20"/>
  <c r="BR130" i="20"/>
  <c r="BS130" i="20"/>
  <c r="BT130" i="20"/>
  <c r="BU130" i="20"/>
  <c r="BV130" i="20"/>
  <c r="BW130" i="20"/>
  <c r="V130" i="20"/>
  <c r="BV163" i="20"/>
  <c r="A2" i="12" l="1" a="1"/>
  <c r="A2" i="12" s="1"/>
  <c r="V199" i="30"/>
  <c r="CM199" i="30" s="1"/>
  <c r="CE199" i="30" s="1"/>
  <c r="AF214" i="6"/>
  <c r="AF217" i="6" s="1"/>
  <c r="V195" i="20"/>
  <c r="D13" i="36"/>
  <c r="EX13" i="36" s="1"/>
  <c r="D17" i="36"/>
  <c r="EX17" i="36" s="1"/>
  <c r="D72" i="35"/>
  <c r="D68" i="35"/>
  <c r="D73" i="35"/>
  <c r="D69" i="35"/>
  <c r="D67" i="35"/>
  <c r="D74" i="35"/>
  <c r="D71" i="35"/>
  <c r="AL163" i="20"/>
  <c r="AT163" i="20"/>
  <c r="BJ163" i="20"/>
  <c r="AD163" i="20"/>
  <c r="BW163" i="20"/>
  <c r="BB163" i="20"/>
  <c r="BT163" i="20"/>
  <c r="AX163" i="20"/>
  <c r="AH163" i="20"/>
  <c r="BS163" i="20"/>
  <c r="BF163" i="20"/>
  <c r="AP163" i="20"/>
  <c r="BC163" i="20"/>
  <c r="AU163" i="20"/>
  <c r="AM163" i="20"/>
  <c r="AE163" i="20"/>
  <c r="BR163" i="20"/>
  <c r="BE163" i="20"/>
  <c r="BA163" i="20"/>
  <c r="AO163" i="20"/>
  <c r="AK163" i="20"/>
  <c r="BG163" i="20"/>
  <c r="AY163" i="20"/>
  <c r="AQ163" i="20"/>
  <c r="AI163" i="20"/>
  <c r="BU163" i="20"/>
  <c r="BQ163" i="20"/>
  <c r="BH163" i="20"/>
  <c r="BD163" i="20"/>
  <c r="AZ163" i="20"/>
  <c r="AV163" i="20"/>
  <c r="AR163" i="20"/>
  <c r="AN163" i="20"/>
  <c r="AJ163" i="20"/>
  <c r="AF163" i="20"/>
  <c r="AB163" i="20"/>
  <c r="V86" i="33" l="1"/>
  <c r="D13" i="35"/>
  <c r="D15" i="35"/>
  <c r="D15" i="36"/>
  <c r="EX15" i="36" s="1"/>
  <c r="AG214" i="6" l="1"/>
  <c r="AG217" i="6" s="1"/>
  <c r="AF126" i="30"/>
  <c r="D1" i="4"/>
  <c r="D1" i="37" s="1"/>
  <c r="D1" i="11"/>
  <c r="D1" i="13"/>
  <c r="D1" i="12"/>
  <c r="D1" i="9"/>
  <c r="D1" i="6"/>
  <c r="D1" i="26"/>
  <c r="D1" i="16"/>
  <c r="D1" i="22"/>
  <c r="D1" i="1"/>
  <c r="D1" i="28"/>
  <c r="C1" i="23"/>
  <c r="E1" i="14"/>
  <c r="BW254" i="6" l="1"/>
  <c r="BV254" i="6"/>
  <c r="BU254" i="6"/>
  <c r="BT254" i="6"/>
  <c r="BS254" i="6"/>
  <c r="BR254" i="6"/>
  <c r="BQ254" i="6"/>
  <c r="BP254" i="6"/>
  <c r="BJ254" i="6"/>
  <c r="BI254" i="6"/>
  <c r="BH254" i="6"/>
  <c r="BG254" i="6"/>
  <c r="BF254" i="6"/>
  <c r="BE254" i="6"/>
  <c r="BD254" i="6"/>
  <c r="BC254" i="6"/>
  <c r="BB254" i="6"/>
  <c r="BA254" i="6"/>
  <c r="AZ254" i="6"/>
  <c r="AY254" i="6"/>
  <c r="AX254" i="6"/>
  <c r="AW254" i="6"/>
  <c r="AV254" i="6"/>
  <c r="AU254" i="6"/>
  <c r="AT254" i="6"/>
  <c r="AS254" i="6"/>
  <c r="AR254" i="6"/>
  <c r="AQ254" i="6"/>
  <c r="AP254" i="6"/>
  <c r="AO254" i="6"/>
  <c r="AN254" i="6"/>
  <c r="AM254" i="6"/>
  <c r="AL254" i="6"/>
  <c r="AK254" i="6"/>
  <c r="AJ254" i="6"/>
  <c r="AI254" i="6"/>
  <c r="AH254" i="6"/>
  <c r="AG254" i="6"/>
  <c r="AF254" i="6"/>
  <c r="AE254" i="6"/>
  <c r="AD254" i="6"/>
  <c r="AC254" i="6"/>
  <c r="AB254" i="6"/>
  <c r="AA254" i="6"/>
  <c r="BW248" i="6"/>
  <c r="BV248" i="6"/>
  <c r="BU248" i="6"/>
  <c r="BT248" i="6"/>
  <c r="BS248" i="6"/>
  <c r="BR248" i="6"/>
  <c r="BQ248" i="6"/>
  <c r="BP248" i="6"/>
  <c r="BJ248" i="6"/>
  <c r="BI248" i="6"/>
  <c r="BH248" i="6"/>
  <c r="BG248" i="6"/>
  <c r="BF248" i="6"/>
  <c r="BE248" i="6"/>
  <c r="BD248" i="6"/>
  <c r="BC248" i="6"/>
  <c r="BB248" i="6"/>
  <c r="BA248" i="6"/>
  <c r="AZ248" i="6"/>
  <c r="AY248" i="6"/>
  <c r="AX248" i="6"/>
  <c r="AW248" i="6"/>
  <c r="AV248" i="6"/>
  <c r="AU248" i="6"/>
  <c r="AT248" i="6"/>
  <c r="AS248" i="6"/>
  <c r="AR248" i="6"/>
  <c r="AQ248" i="6"/>
  <c r="AP248" i="6"/>
  <c r="AO248" i="6"/>
  <c r="AN248" i="6"/>
  <c r="AM248" i="6"/>
  <c r="AL248" i="6"/>
  <c r="AK248" i="6"/>
  <c r="AJ248" i="6"/>
  <c r="AI248" i="6"/>
  <c r="AH248" i="6"/>
  <c r="AG248" i="6"/>
  <c r="AF248" i="6"/>
  <c r="AE248" i="6"/>
  <c r="AD248" i="6"/>
  <c r="AC248" i="6"/>
  <c r="AB248" i="6"/>
  <c r="AA248" i="6"/>
  <c r="BW242" i="6"/>
  <c r="BV242" i="6"/>
  <c r="BU242" i="6"/>
  <c r="BT242" i="6"/>
  <c r="BS242" i="6"/>
  <c r="BR242" i="6"/>
  <c r="BQ242" i="6"/>
  <c r="BP242" i="6"/>
  <c r="BJ242" i="6"/>
  <c r="BI242" i="6"/>
  <c r="BH242" i="6"/>
  <c r="BG242" i="6"/>
  <c r="BF242" i="6"/>
  <c r="BE242" i="6"/>
  <c r="BD242" i="6"/>
  <c r="BC242" i="6"/>
  <c r="BB242" i="6"/>
  <c r="BA242" i="6"/>
  <c r="AZ242" i="6"/>
  <c r="AY242" i="6"/>
  <c r="AX242" i="6"/>
  <c r="AW242" i="6"/>
  <c r="AV242" i="6"/>
  <c r="AU242" i="6"/>
  <c r="AT242" i="6"/>
  <c r="AS242" i="6"/>
  <c r="AR242" i="6"/>
  <c r="AQ242" i="6"/>
  <c r="AP242" i="6"/>
  <c r="AO242" i="6"/>
  <c r="AN242" i="6"/>
  <c r="AM242" i="6"/>
  <c r="AL242" i="6"/>
  <c r="AK242" i="6"/>
  <c r="AJ242" i="6"/>
  <c r="AI242" i="6"/>
  <c r="AH242" i="6"/>
  <c r="AG242" i="6"/>
  <c r="AF242" i="6"/>
  <c r="AE242" i="6"/>
  <c r="AD242" i="6"/>
  <c r="AC242" i="6"/>
  <c r="AB242" i="6"/>
  <c r="V15" i="20"/>
  <c r="CP38" i="1"/>
  <c r="CP29" i="1"/>
  <c r="CU29" i="1"/>
  <c r="BL181" i="1"/>
  <c r="CM181" i="1" s="1"/>
  <c r="CE181" i="1" s="1"/>
  <c r="BL169" i="1"/>
  <c r="CM169" i="1" s="1"/>
  <c r="CE169" i="1" s="1"/>
  <c r="BL154" i="1"/>
  <c r="CM154" i="1" s="1"/>
  <c r="CE154" i="1" s="1"/>
  <c r="BL110" i="1"/>
  <c r="BL111" i="1"/>
  <c r="CM111" i="1" s="1"/>
  <c r="CE111" i="1" s="1"/>
  <c r="BL77" i="1"/>
  <c r="CM77" i="1" s="1"/>
  <c r="CE77" i="1" s="1"/>
  <c r="BL137" i="1"/>
  <c r="CM137" i="1" s="1"/>
  <c r="CE137" i="1" s="1"/>
  <c r="BL138" i="1"/>
  <c r="CM138" i="1" s="1"/>
  <c r="CE138" i="1" s="1"/>
  <c r="BL139" i="1"/>
  <c r="CM139" i="1" s="1"/>
  <c r="CE139" i="1" s="1"/>
  <c r="BL140" i="1"/>
  <c r="CM140" i="1" s="1"/>
  <c r="CE140" i="1" s="1"/>
  <c r="BL141" i="1"/>
  <c r="CM141" i="1" s="1"/>
  <c r="CE141" i="1" s="1"/>
  <c r="BL142" i="1"/>
  <c r="CM142" i="1" s="1"/>
  <c r="CE142" i="1" s="1"/>
  <c r="BL143" i="1"/>
  <c r="CM143" i="1" s="1"/>
  <c r="CE143" i="1" s="1"/>
  <c r="BL144" i="1"/>
  <c r="CM144" i="1" s="1"/>
  <c r="CE144" i="1" s="1"/>
  <c r="BL145" i="1"/>
  <c r="CM145" i="1" s="1"/>
  <c r="CE145" i="1" s="1"/>
  <c r="BL146" i="1"/>
  <c r="CM146" i="1" s="1"/>
  <c r="CE146" i="1" s="1"/>
  <c r="BL122" i="1"/>
  <c r="CM122" i="1" s="1"/>
  <c r="CE122" i="1" s="1"/>
  <c r="BL123" i="1"/>
  <c r="CM123" i="1" s="1"/>
  <c r="CE123" i="1" s="1"/>
  <c r="BL124" i="1"/>
  <c r="CM124" i="1" s="1"/>
  <c r="CE124" i="1" s="1"/>
  <c r="BL125" i="1"/>
  <c r="CM125" i="1" s="1"/>
  <c r="CE125" i="1" s="1"/>
  <c r="BL126" i="1"/>
  <c r="CM126" i="1" s="1"/>
  <c r="CE126" i="1" s="1"/>
  <c r="BL127" i="1"/>
  <c r="CM127" i="1" s="1"/>
  <c r="CE127" i="1" s="1"/>
  <c r="BL128" i="1"/>
  <c r="CM128" i="1" s="1"/>
  <c r="CE128" i="1" s="1"/>
  <c r="BL129" i="1"/>
  <c r="CM129" i="1" s="1"/>
  <c r="CE129" i="1" s="1"/>
  <c r="BL101" i="1"/>
  <c r="CM101" i="1" s="1"/>
  <c r="CE101" i="1" s="1"/>
  <c r="BL102" i="1"/>
  <c r="CM102" i="1" s="1"/>
  <c r="CE102" i="1" s="1"/>
  <c r="BL115" i="1"/>
  <c r="CM115" i="1" s="1"/>
  <c r="CE115" i="1" s="1"/>
  <c r="BL103" i="1"/>
  <c r="CM103" i="1" s="1"/>
  <c r="CE103" i="1" s="1"/>
  <c r="BL87" i="1"/>
  <c r="CM87" i="1" s="1"/>
  <c r="CE87" i="1" s="1"/>
  <c r="BL88" i="1"/>
  <c r="CM88" i="1" s="1"/>
  <c r="CE88" i="1" s="1"/>
  <c r="BL89" i="1"/>
  <c r="CM89" i="1" s="1"/>
  <c r="CE89" i="1" s="1"/>
  <c r="BL90" i="1"/>
  <c r="CM90" i="1" s="1"/>
  <c r="CE90" i="1" s="1"/>
  <c r="BL91" i="1"/>
  <c r="CM91" i="1" s="1"/>
  <c r="CE91" i="1" s="1"/>
  <c r="BL92" i="1"/>
  <c r="CM92" i="1" s="1"/>
  <c r="CE92" i="1" s="1"/>
  <c r="BL93" i="1"/>
  <c r="CM93" i="1" s="1"/>
  <c r="CE93" i="1" s="1"/>
  <c r="BL94" i="1"/>
  <c r="CM94" i="1" s="1"/>
  <c r="CE94" i="1" s="1"/>
  <c r="BL71" i="1"/>
  <c r="CM71" i="1" s="1"/>
  <c r="CE71" i="1" s="1"/>
  <c r="BL72" i="1"/>
  <c r="CM72" i="1" s="1"/>
  <c r="CE72" i="1" s="1"/>
  <c r="BL73" i="1"/>
  <c r="CM73" i="1" s="1"/>
  <c r="CE73" i="1" s="1"/>
  <c r="BL74" i="1"/>
  <c r="CM74" i="1" s="1"/>
  <c r="CE74" i="1" s="1"/>
  <c r="BL75" i="1"/>
  <c r="CM75" i="1" s="1"/>
  <c r="CE75" i="1" s="1"/>
  <c r="BL61" i="1"/>
  <c r="CM61" i="1" s="1"/>
  <c r="CE61" i="1" s="1"/>
  <c r="BL54" i="1"/>
  <c r="CM54" i="1" s="1"/>
  <c r="CE54" i="1" s="1"/>
  <c r="BL55" i="1"/>
  <c r="CM55" i="1" s="1"/>
  <c r="CE55" i="1" s="1"/>
  <c r="BL59" i="1"/>
  <c r="CM59" i="1" s="1"/>
  <c r="CE59" i="1" s="1"/>
  <c r="BL50" i="1"/>
  <c r="CM50" i="1" s="1"/>
  <c r="CE50" i="1" s="1"/>
  <c r="BL41" i="1"/>
  <c r="CM41" i="1" s="1"/>
  <c r="CE41" i="1" s="1"/>
  <c r="BL42" i="1"/>
  <c r="CM42" i="1" s="1"/>
  <c r="CE42" i="1" s="1"/>
  <c r="BL43" i="1"/>
  <c r="CM43" i="1" s="1"/>
  <c r="CE43" i="1" s="1"/>
  <c r="BL44" i="1"/>
  <c r="CM44" i="1" s="1"/>
  <c r="CE44" i="1" s="1"/>
  <c r="BL48" i="1"/>
  <c r="CM48" i="1" s="1"/>
  <c r="CE48" i="1" s="1"/>
  <c r="BL38" i="1"/>
  <c r="CM38" i="1" s="1"/>
  <c r="CE38" i="1" s="1"/>
  <c r="BL32" i="1"/>
  <c r="CM32" i="1" s="1"/>
  <c r="CE32" i="1" s="1"/>
  <c r="BL76" i="1"/>
  <c r="CM76" i="1" s="1"/>
  <c r="CE76" i="1" s="1"/>
  <c r="BL36" i="1"/>
  <c r="CM36" i="1" s="1"/>
  <c r="CE36" i="1" s="1"/>
  <c r="BL29" i="1"/>
  <c r="CM29" i="1" s="1"/>
  <c r="CE29" i="1" s="1"/>
  <c r="BL19" i="1"/>
  <c r="CM19" i="1" s="1"/>
  <c r="CE19" i="1" s="1"/>
  <c r="BL20" i="1"/>
  <c r="CM20" i="1" s="1"/>
  <c r="CE20" i="1" s="1"/>
  <c r="BL21" i="1"/>
  <c r="CM21" i="1" s="1"/>
  <c r="CE21" i="1" s="1"/>
  <c r="BL22" i="1"/>
  <c r="CM22" i="1" s="1"/>
  <c r="CE22" i="1" s="1"/>
  <c r="BL23" i="1"/>
  <c r="CM23" i="1" s="1"/>
  <c r="CE23" i="1" s="1"/>
  <c r="BL27" i="1"/>
  <c r="CM27" i="1" s="1"/>
  <c r="CE27" i="1" s="1"/>
  <c r="BL16" i="1"/>
  <c r="CM16" i="1" s="1"/>
  <c r="CE16" i="1" s="1"/>
  <c r="CM155" i="1" l="1"/>
  <c r="CE155" i="1" s="1"/>
  <c r="BL155" i="20"/>
  <c r="CM110" i="1"/>
  <c r="CE110" i="1" s="1"/>
  <c r="BL113" i="1"/>
  <c r="BL182" i="20"/>
  <c r="BL15" i="1"/>
  <c r="AG126" i="30"/>
  <c r="AH214" i="6"/>
  <c r="AH217" i="6" s="1"/>
  <c r="CU38" i="1"/>
  <c r="BL151" i="1"/>
  <c r="CM151" i="1" s="1"/>
  <c r="CE151" i="1" s="1"/>
  <c r="BL134" i="1"/>
  <c r="CM134" i="1" s="1"/>
  <c r="CE134" i="1" s="1"/>
  <c r="BL107" i="1"/>
  <c r="CM107" i="1" s="1"/>
  <c r="CE107" i="1" s="1"/>
  <c r="BL84" i="1"/>
  <c r="CM84" i="1" s="1"/>
  <c r="CE84" i="1" s="1"/>
  <c r="BL37" i="1"/>
  <c r="CM37" i="1" s="1"/>
  <c r="CE37" i="1" s="1"/>
  <c r="BL28" i="1"/>
  <c r="CM28" i="1" s="1"/>
  <c r="CE28" i="1" s="1"/>
  <c r="BL49" i="1"/>
  <c r="CM49" i="1" s="1"/>
  <c r="CE49" i="1" s="1"/>
  <c r="BL60" i="1"/>
  <c r="CM60" i="1" s="1"/>
  <c r="CE60" i="1" s="1"/>
  <c r="BL1" i="28"/>
  <c r="AA1" i="28"/>
  <c r="V1" i="28"/>
  <c r="W231" i="6"/>
  <c r="D259" i="6"/>
  <c r="AA259" i="6" s="1"/>
  <c r="D258" i="6"/>
  <c r="D257" i="6"/>
  <c r="D63" i="11"/>
  <c r="D62" i="11"/>
  <c r="D61" i="11"/>
  <c r="BL226" i="6"/>
  <c r="W226" i="6"/>
  <c r="BM226" i="6" s="1"/>
  <c r="BL220" i="6"/>
  <c r="W220" i="6"/>
  <c r="W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AB67" i="6"/>
  <c r="AB68" i="6" s="1"/>
  <c r="V139" i="6"/>
  <c r="AC151" i="6"/>
  <c r="AC119" i="30" s="1"/>
  <c r="AA151" i="6"/>
  <c r="AA119" i="30" s="1"/>
  <c r="AB151" i="6"/>
  <c r="AB119" i="30" s="1"/>
  <c r="AD151" i="6"/>
  <c r="AD119" i="30" s="1"/>
  <c r="AE151" i="6"/>
  <c r="AE119" i="30" s="1"/>
  <c r="AF151" i="6"/>
  <c r="AF119" i="30" s="1"/>
  <c r="AG151" i="6"/>
  <c r="AG119" i="30" s="1"/>
  <c r="AH151" i="6"/>
  <c r="AH119" i="30" s="1"/>
  <c r="AI151" i="6"/>
  <c r="AI119" i="30" s="1"/>
  <c r="AJ151" i="6"/>
  <c r="AJ119" i="30" s="1"/>
  <c r="AK151" i="6"/>
  <c r="AK119" i="30" s="1"/>
  <c r="AL151" i="6"/>
  <c r="AL119" i="30" s="1"/>
  <c r="AM151" i="6"/>
  <c r="AM119" i="30" s="1"/>
  <c r="AN151" i="6"/>
  <c r="AN119" i="30" s="1"/>
  <c r="AO151" i="6"/>
  <c r="AO119" i="30" s="1"/>
  <c r="AP151" i="6"/>
  <c r="AP119" i="30" s="1"/>
  <c r="AQ151" i="6"/>
  <c r="AQ119" i="30" s="1"/>
  <c r="AR151" i="6"/>
  <c r="AR119" i="30" s="1"/>
  <c r="AS151" i="6"/>
  <c r="AS119" i="30" s="1"/>
  <c r="AT151" i="6"/>
  <c r="AT119" i="30" s="1"/>
  <c r="AU151" i="6"/>
  <c r="AU119" i="30" s="1"/>
  <c r="AV151" i="6"/>
  <c r="AV119" i="30" s="1"/>
  <c r="AW151" i="6"/>
  <c r="AW119" i="30" s="1"/>
  <c r="AX151" i="6"/>
  <c r="AX119" i="30" s="1"/>
  <c r="AY151" i="6"/>
  <c r="AY119" i="30" s="1"/>
  <c r="AZ151" i="6"/>
  <c r="AZ119" i="30" s="1"/>
  <c r="BA151" i="6"/>
  <c r="BA119" i="30" s="1"/>
  <c r="BB151" i="6"/>
  <c r="BB119" i="30" s="1"/>
  <c r="BC151" i="6"/>
  <c r="BC119" i="30" s="1"/>
  <c r="BD151" i="6"/>
  <c r="BD119" i="30" s="1"/>
  <c r="BE151" i="6"/>
  <c r="BE119" i="30" s="1"/>
  <c r="BF151" i="6"/>
  <c r="BF119" i="30" s="1"/>
  <c r="BG151" i="6"/>
  <c r="BG119" i="30" s="1"/>
  <c r="BH151" i="6"/>
  <c r="BH119" i="30" s="1"/>
  <c r="BI151" i="6"/>
  <c r="BI119" i="30" s="1"/>
  <c r="BJ151" i="6"/>
  <c r="BJ119" i="30" s="1"/>
  <c r="BP151" i="6"/>
  <c r="BP119" i="30" s="1"/>
  <c r="BQ151" i="6"/>
  <c r="BQ119" i="30" s="1"/>
  <c r="BR151" i="6"/>
  <c r="BR119" i="30" s="1"/>
  <c r="BS151" i="6"/>
  <c r="BS119" i="30" s="1"/>
  <c r="BT151" i="6"/>
  <c r="BT119" i="30" s="1"/>
  <c r="BU151" i="6"/>
  <c r="BU119" i="30" s="1"/>
  <c r="BV151" i="6"/>
  <c r="BV119" i="30" s="1"/>
  <c r="BW151" i="6"/>
  <c r="BW119" i="30" s="1"/>
  <c r="V151" i="6"/>
  <c r="W204" i="6"/>
  <c r="W195" i="6"/>
  <c r="W181" i="6"/>
  <c r="W123" i="6"/>
  <c r="V154" i="6"/>
  <c r="V98" i="30" s="1"/>
  <c r="C98" i="30"/>
  <c r="EX98" i="30" s="1"/>
  <c r="BL106" i="6"/>
  <c r="W106" i="6"/>
  <c r="V52" i="6"/>
  <c r="BL40" i="6"/>
  <c r="C25" i="6"/>
  <c r="EX25" i="6" s="1"/>
  <c r="BL276" i="26"/>
  <c r="BL277" i="26"/>
  <c r="CS277" i="26" s="1"/>
  <c r="CK277" i="26" s="1"/>
  <c r="BL280" i="26"/>
  <c r="CS280" i="26" s="1"/>
  <c r="CK280" i="26" s="1"/>
  <c r="BL279" i="26"/>
  <c r="CS279" i="26" s="1"/>
  <c r="CK279" i="26" s="1"/>
  <c r="BL278" i="26"/>
  <c r="CS278" i="26" s="1"/>
  <c r="CK278" i="26" s="1"/>
  <c r="CM15" i="1" l="1"/>
  <c r="CE15" i="1" s="1"/>
  <c r="CN182" i="20"/>
  <c r="CF182" i="20" s="1"/>
  <c r="C66" i="30"/>
  <c r="EX66" i="30" s="1"/>
  <c r="EF16" i="1"/>
  <c r="EF61" i="1"/>
  <c r="EF50" i="1"/>
  <c r="EF29" i="1"/>
  <c r="EF38" i="1"/>
  <c r="V76" i="30"/>
  <c r="BV161" i="30"/>
  <c r="BR161" i="30"/>
  <c r="BI161" i="30"/>
  <c r="BI62" i="33" s="1"/>
  <c r="BE161" i="30"/>
  <c r="BE62" i="33" s="1"/>
  <c r="AW161" i="30"/>
  <c r="AW62" i="33" s="1"/>
  <c r="BU161" i="30"/>
  <c r="BQ161" i="30"/>
  <c r="AG161" i="30"/>
  <c r="AG62" i="33" s="1"/>
  <c r="BM231" i="6"/>
  <c r="AB161" i="30"/>
  <c r="AB62" i="33" s="1"/>
  <c r="BA161" i="30"/>
  <c r="BA62" i="33" s="1"/>
  <c r="AS161" i="30"/>
  <c r="AS62" i="33" s="1"/>
  <c r="AO161" i="30"/>
  <c r="AO62" i="33" s="1"/>
  <c r="AK161" i="30"/>
  <c r="AK62" i="33" s="1"/>
  <c r="AF161" i="30"/>
  <c r="AF62" i="33" s="1"/>
  <c r="BH161" i="30"/>
  <c r="BH62" i="33" s="1"/>
  <c r="BD161" i="30"/>
  <c r="BD62" i="33" s="1"/>
  <c r="AZ161" i="30"/>
  <c r="AZ62" i="33" s="1"/>
  <c r="AV161" i="30"/>
  <c r="AV62" i="33" s="1"/>
  <c r="AR161" i="30"/>
  <c r="AR62" i="33" s="1"/>
  <c r="AN161" i="30"/>
  <c r="AN62" i="33" s="1"/>
  <c r="AJ161" i="30"/>
  <c r="AJ62" i="33" s="1"/>
  <c r="BT161" i="30"/>
  <c r="BG161" i="30"/>
  <c r="BG62" i="33" s="1"/>
  <c r="BC161" i="30"/>
  <c r="BC62" i="33" s="1"/>
  <c r="AY161" i="30"/>
  <c r="AY62" i="33" s="1"/>
  <c r="AU161" i="30"/>
  <c r="AU62" i="33" s="1"/>
  <c r="AQ161" i="30"/>
  <c r="AQ62" i="33" s="1"/>
  <c r="AM161" i="30"/>
  <c r="AM62" i="33" s="1"/>
  <c r="AI161" i="30"/>
  <c r="AI62" i="33" s="1"/>
  <c r="AE161" i="30"/>
  <c r="AE62" i="33" s="1"/>
  <c r="AD161" i="30"/>
  <c r="AD62" i="33" s="1"/>
  <c r="BW161" i="30"/>
  <c r="BS161" i="30"/>
  <c r="BJ161" i="30"/>
  <c r="BJ62" i="33" s="1"/>
  <c r="BF161" i="30"/>
  <c r="BF62" i="33" s="1"/>
  <c r="BB161" i="30"/>
  <c r="BB62" i="33" s="1"/>
  <c r="AX161" i="30"/>
  <c r="AX62" i="33" s="1"/>
  <c r="AT161" i="30"/>
  <c r="AT62" i="33" s="1"/>
  <c r="AP161" i="30"/>
  <c r="AP62" i="33" s="1"/>
  <c r="AL161" i="30"/>
  <c r="AL62" i="33" s="1"/>
  <c r="AH161" i="30"/>
  <c r="AH62" i="33" s="1"/>
  <c r="AC161" i="30"/>
  <c r="AC62" i="33" s="1"/>
  <c r="AI214" i="6"/>
  <c r="AI217" i="6" s="1"/>
  <c r="BM181" i="6"/>
  <c r="BM67" i="6"/>
  <c r="V118" i="30"/>
  <c r="AA106" i="6"/>
  <c r="V119" i="30"/>
  <c r="BM123" i="6"/>
  <c r="BV68" i="6"/>
  <c r="AL257" i="6"/>
  <c r="AL222" i="6" s="1"/>
  <c r="BM204" i="6"/>
  <c r="AA195" i="6"/>
  <c r="BM195" i="6"/>
  <c r="AA231" i="6"/>
  <c r="A13" i="14"/>
  <c r="BC258" i="6"/>
  <c r="BC227" i="6" s="1"/>
  <c r="BT68" i="6"/>
  <c r="BI259" i="6"/>
  <c r="BI233" i="6" s="1"/>
  <c r="BI187" i="1" s="1"/>
  <c r="BW68" i="6"/>
  <c r="BI68" i="6"/>
  <c r="BA68" i="6"/>
  <c r="AS68" i="6"/>
  <c r="AK68" i="6"/>
  <c r="AC68" i="6"/>
  <c r="AS259" i="6"/>
  <c r="AS233" i="6" s="1"/>
  <c r="AS187" i="1" s="1"/>
  <c r="BV257" i="6"/>
  <c r="BV222" i="6" s="1"/>
  <c r="AY258" i="6"/>
  <c r="AY227" i="6" s="1"/>
  <c r="BB257" i="6"/>
  <c r="BB222" i="6" s="1"/>
  <c r="BF68" i="6"/>
  <c r="AX68" i="6"/>
  <c r="AP68" i="6"/>
  <c r="AH68" i="6"/>
  <c r="AC259" i="6"/>
  <c r="AC233" i="6" s="1"/>
  <c r="AC187" i="1" s="1"/>
  <c r="BE68" i="6"/>
  <c r="AW68" i="6"/>
  <c r="AO68" i="6"/>
  <c r="AG68" i="6"/>
  <c r="AA257" i="6"/>
  <c r="AA222" i="6" s="1"/>
  <c r="BV259" i="6"/>
  <c r="BV233" i="6" s="1"/>
  <c r="BV187" i="1" s="1"/>
  <c r="BE259" i="6"/>
  <c r="BE233" i="6" s="1"/>
  <c r="BE187" i="1" s="1"/>
  <c r="AO259" i="6"/>
  <c r="AO233" i="6" s="1"/>
  <c r="AO187" i="1" s="1"/>
  <c r="BR257" i="6"/>
  <c r="BR222" i="6" s="1"/>
  <c r="AX257" i="6"/>
  <c r="AX222" i="6" s="1"/>
  <c r="AH257" i="6"/>
  <c r="AH222" i="6" s="1"/>
  <c r="BU68" i="6"/>
  <c r="AE258" i="6"/>
  <c r="AE227" i="6" s="1"/>
  <c r="BR259" i="6"/>
  <c r="BR233" i="6" s="1"/>
  <c r="BR187" i="1" s="1"/>
  <c r="BA259" i="6"/>
  <c r="BA233" i="6" s="1"/>
  <c r="BA187" i="1" s="1"/>
  <c r="AK259" i="6"/>
  <c r="AK233" i="6" s="1"/>
  <c r="AK187" i="1" s="1"/>
  <c r="BT258" i="6"/>
  <c r="BT227" i="6" s="1"/>
  <c r="AM258" i="6"/>
  <c r="AM227" i="6" s="1"/>
  <c r="BJ257" i="6"/>
  <c r="BJ222" i="6" s="1"/>
  <c r="AT257" i="6"/>
  <c r="AT222" i="6" s="1"/>
  <c r="AD257" i="6"/>
  <c r="AD222" i="6" s="1"/>
  <c r="BJ68" i="6"/>
  <c r="BB68" i="6"/>
  <c r="AT68" i="6"/>
  <c r="AL68" i="6"/>
  <c r="AD68" i="6"/>
  <c r="AA220" i="6"/>
  <c r="AW259" i="6"/>
  <c r="AW233" i="6" s="1"/>
  <c r="AW187" i="1" s="1"/>
  <c r="AG259" i="6"/>
  <c r="AG233" i="6" s="1"/>
  <c r="AG187" i="1" s="1"/>
  <c r="BP258" i="6"/>
  <c r="BP227" i="6" s="1"/>
  <c r="AI258" i="6"/>
  <c r="AI227" i="6" s="1"/>
  <c r="BF257" i="6"/>
  <c r="BF222" i="6" s="1"/>
  <c r="AP257" i="6"/>
  <c r="AP222" i="6" s="1"/>
  <c r="BH68" i="6"/>
  <c r="BD68" i="6"/>
  <c r="AZ68" i="6"/>
  <c r="AU258" i="6"/>
  <c r="AU227" i="6" s="1"/>
  <c r="AA123" i="6"/>
  <c r="AA136" i="6" s="1"/>
  <c r="AA67" i="6"/>
  <c r="AA68" i="6" s="1"/>
  <c r="BG68" i="6"/>
  <c r="BC68" i="6"/>
  <c r="AY68" i="6"/>
  <c r="AU68" i="6"/>
  <c r="AQ68" i="6"/>
  <c r="AM68" i="6"/>
  <c r="AI68" i="6"/>
  <c r="AE68" i="6"/>
  <c r="AB258" i="6"/>
  <c r="AB227" i="6" s="1"/>
  <c r="AF258" i="6"/>
  <c r="AF227" i="6" s="1"/>
  <c r="AJ258" i="6"/>
  <c r="AJ227" i="6" s="1"/>
  <c r="AN258" i="6"/>
  <c r="AN227" i="6" s="1"/>
  <c r="AR258" i="6"/>
  <c r="AR227" i="6" s="1"/>
  <c r="AV258" i="6"/>
  <c r="AV227" i="6" s="1"/>
  <c r="AZ258" i="6"/>
  <c r="AZ227" i="6" s="1"/>
  <c r="BD258" i="6"/>
  <c r="BD227" i="6" s="1"/>
  <c r="BH258" i="6"/>
  <c r="BH227" i="6" s="1"/>
  <c r="BQ258" i="6"/>
  <c r="BQ227" i="6" s="1"/>
  <c r="BU258" i="6"/>
  <c r="BU227" i="6" s="1"/>
  <c r="AC258" i="6"/>
  <c r="AC227" i="6" s="1"/>
  <c r="AG258" i="6"/>
  <c r="AG227" i="6" s="1"/>
  <c r="AK258" i="6"/>
  <c r="AK227" i="6" s="1"/>
  <c r="AO258" i="6"/>
  <c r="AO227" i="6" s="1"/>
  <c r="AS258" i="6"/>
  <c r="AS227" i="6" s="1"/>
  <c r="AW258" i="6"/>
  <c r="AW227" i="6" s="1"/>
  <c r="BA258" i="6"/>
  <c r="BA227" i="6" s="1"/>
  <c r="BE258" i="6"/>
  <c r="BE227" i="6" s="1"/>
  <c r="BI258" i="6"/>
  <c r="BI227" i="6" s="1"/>
  <c r="BR258" i="6"/>
  <c r="BR227" i="6" s="1"/>
  <c r="BV258" i="6"/>
  <c r="BV227" i="6" s="1"/>
  <c r="AD258" i="6"/>
  <c r="AD227" i="6" s="1"/>
  <c r="AH258" i="6"/>
  <c r="AH227" i="6" s="1"/>
  <c r="AL258" i="6"/>
  <c r="AL227" i="6" s="1"/>
  <c r="AP258" i="6"/>
  <c r="AP227" i="6" s="1"/>
  <c r="AT258" i="6"/>
  <c r="AT227" i="6" s="1"/>
  <c r="AX258" i="6"/>
  <c r="AX227" i="6" s="1"/>
  <c r="BB258" i="6"/>
  <c r="BB227" i="6" s="1"/>
  <c r="BF258" i="6"/>
  <c r="BF227" i="6" s="1"/>
  <c r="BJ258" i="6"/>
  <c r="BJ227" i="6" s="1"/>
  <c r="BS258" i="6"/>
  <c r="BS227" i="6" s="1"/>
  <c r="BW258" i="6"/>
  <c r="BW227" i="6" s="1"/>
  <c r="BG258" i="6"/>
  <c r="BG227" i="6" s="1"/>
  <c r="AQ258" i="6"/>
  <c r="AQ227" i="6" s="1"/>
  <c r="AA258" i="6"/>
  <c r="AA227" i="6" s="1"/>
  <c r="AV68" i="6"/>
  <c r="AR68" i="6"/>
  <c r="AN68" i="6"/>
  <c r="AJ68" i="6"/>
  <c r="AF68" i="6"/>
  <c r="BM220" i="6"/>
  <c r="BU259" i="6"/>
  <c r="BU233" i="6" s="1"/>
  <c r="BU187" i="1" s="1"/>
  <c r="BQ259" i="6"/>
  <c r="BQ233" i="6" s="1"/>
  <c r="BQ187" i="1" s="1"/>
  <c r="BH259" i="6"/>
  <c r="BH233" i="6" s="1"/>
  <c r="BH187" i="1" s="1"/>
  <c r="BD259" i="6"/>
  <c r="BD233" i="6" s="1"/>
  <c r="BD187" i="1" s="1"/>
  <c r="AZ259" i="6"/>
  <c r="AZ233" i="6" s="1"/>
  <c r="AZ187" i="1" s="1"/>
  <c r="AV259" i="6"/>
  <c r="AV233" i="6" s="1"/>
  <c r="AV187" i="1" s="1"/>
  <c r="AR259" i="6"/>
  <c r="AR233" i="6" s="1"/>
  <c r="AR187" i="1" s="1"/>
  <c r="AN259" i="6"/>
  <c r="AN233" i="6" s="1"/>
  <c r="AN187" i="1" s="1"/>
  <c r="AJ259" i="6"/>
  <c r="AJ233" i="6" s="1"/>
  <c r="AJ187" i="1" s="1"/>
  <c r="AF259" i="6"/>
  <c r="AF233" i="6" s="1"/>
  <c r="AF187" i="1" s="1"/>
  <c r="AB259" i="6"/>
  <c r="AB233" i="6" s="1"/>
  <c r="AB187" i="1" s="1"/>
  <c r="BU257" i="6"/>
  <c r="BU222" i="6" s="1"/>
  <c r="BQ257" i="6"/>
  <c r="BQ222" i="6" s="1"/>
  <c r="BI257" i="6"/>
  <c r="BI222" i="6" s="1"/>
  <c r="BE257" i="6"/>
  <c r="BE222" i="6" s="1"/>
  <c r="BA257" i="6"/>
  <c r="BA222" i="6" s="1"/>
  <c r="AW257" i="6"/>
  <c r="AW222" i="6" s="1"/>
  <c r="AS257" i="6"/>
  <c r="AS222" i="6" s="1"/>
  <c r="AO257" i="6"/>
  <c r="AO222" i="6" s="1"/>
  <c r="AK257" i="6"/>
  <c r="AK222" i="6" s="1"/>
  <c r="AG257" i="6"/>
  <c r="AG222" i="6" s="1"/>
  <c r="AC257" i="6"/>
  <c r="AC222" i="6" s="1"/>
  <c r="BT259" i="6"/>
  <c r="BT233" i="6" s="1"/>
  <c r="BT187" i="1" s="1"/>
  <c r="BP259" i="6"/>
  <c r="BP233" i="6" s="1"/>
  <c r="BP187" i="1" s="1"/>
  <c r="BG259" i="6"/>
  <c r="BG233" i="6" s="1"/>
  <c r="BG187" i="1" s="1"/>
  <c r="BC259" i="6"/>
  <c r="BC233" i="6" s="1"/>
  <c r="BC187" i="1" s="1"/>
  <c r="AY259" i="6"/>
  <c r="AY233" i="6" s="1"/>
  <c r="AY187" i="1" s="1"/>
  <c r="AU259" i="6"/>
  <c r="AU233" i="6" s="1"/>
  <c r="AU187" i="1" s="1"/>
  <c r="AQ259" i="6"/>
  <c r="AQ233" i="6" s="1"/>
  <c r="AQ187" i="1" s="1"/>
  <c r="AM259" i="6"/>
  <c r="AM233" i="6" s="1"/>
  <c r="AM187" i="1" s="1"/>
  <c r="AI259" i="6"/>
  <c r="AI233" i="6" s="1"/>
  <c r="AI187" i="1" s="1"/>
  <c r="AE259" i="6"/>
  <c r="AE233" i="6" s="1"/>
  <c r="AE187" i="1" s="1"/>
  <c r="AA233" i="6"/>
  <c r="AA187" i="1" s="1"/>
  <c r="BT257" i="6"/>
  <c r="BT222" i="6" s="1"/>
  <c r="BP257" i="6"/>
  <c r="BP222" i="6" s="1"/>
  <c r="BH257" i="6"/>
  <c r="BH222" i="6" s="1"/>
  <c r="BD257" i="6"/>
  <c r="BD222" i="6" s="1"/>
  <c r="AZ257" i="6"/>
  <c r="AZ222" i="6" s="1"/>
  <c r="AV257" i="6"/>
  <c r="AV222" i="6" s="1"/>
  <c r="AR257" i="6"/>
  <c r="AR222" i="6" s="1"/>
  <c r="AN257" i="6"/>
  <c r="AN222" i="6" s="1"/>
  <c r="AJ257" i="6"/>
  <c r="AJ222" i="6" s="1"/>
  <c r="AF257" i="6"/>
  <c r="AF222" i="6" s="1"/>
  <c r="AB257" i="6"/>
  <c r="AB222" i="6" s="1"/>
  <c r="BW259" i="6"/>
  <c r="BW233" i="6" s="1"/>
  <c r="BW187" i="1" s="1"/>
  <c r="BS259" i="6"/>
  <c r="BS233" i="6" s="1"/>
  <c r="BS187" i="1" s="1"/>
  <c r="BJ259" i="6"/>
  <c r="BJ233" i="6" s="1"/>
  <c r="BJ187" i="1" s="1"/>
  <c r="BF259" i="6"/>
  <c r="BF233" i="6" s="1"/>
  <c r="BF187" i="1" s="1"/>
  <c r="BB259" i="6"/>
  <c r="BB233" i="6" s="1"/>
  <c r="BB187" i="1" s="1"/>
  <c r="AX259" i="6"/>
  <c r="AX233" i="6" s="1"/>
  <c r="AX187" i="1" s="1"/>
  <c r="AT259" i="6"/>
  <c r="AT233" i="6" s="1"/>
  <c r="AT187" i="1" s="1"/>
  <c r="AP259" i="6"/>
  <c r="AP233" i="6" s="1"/>
  <c r="AP187" i="1" s="1"/>
  <c r="AL259" i="6"/>
  <c r="AL233" i="6" s="1"/>
  <c r="AL187" i="1" s="1"/>
  <c r="AH259" i="6"/>
  <c r="AH233" i="6" s="1"/>
  <c r="AH187" i="1" s="1"/>
  <c r="AD259" i="6"/>
  <c r="AD233" i="6" s="1"/>
  <c r="AD187" i="1" s="1"/>
  <c r="BW257" i="6"/>
  <c r="BW222" i="6" s="1"/>
  <c r="BS257" i="6"/>
  <c r="BS222" i="6" s="1"/>
  <c r="BG257" i="6"/>
  <c r="BG222" i="6" s="1"/>
  <c r="BC257" i="6"/>
  <c r="BC222" i="6" s="1"/>
  <c r="AY257" i="6"/>
  <c r="AY222" i="6" s="1"/>
  <c r="AU257" i="6"/>
  <c r="AU222" i="6" s="1"/>
  <c r="AQ257" i="6"/>
  <c r="AQ222" i="6" s="1"/>
  <c r="AM257" i="6"/>
  <c r="AM222" i="6" s="1"/>
  <c r="AI257" i="6"/>
  <c r="AI222" i="6" s="1"/>
  <c r="AE257" i="6"/>
  <c r="AE222" i="6" s="1"/>
  <c r="AA226" i="6"/>
  <c r="AA181" i="6"/>
  <c r="AA192" i="6" s="1"/>
  <c r="AA123" i="30" s="1"/>
  <c r="AA204" i="6"/>
  <c r="BM106" i="6"/>
  <c r="AA40" i="6"/>
  <c r="BM40" i="6"/>
  <c r="AA161" i="30" l="1"/>
  <c r="AA62" i="33" s="1"/>
  <c r="AA211" i="6"/>
  <c r="AA125" i="30" s="1"/>
  <c r="AD187" i="20"/>
  <c r="BJ187" i="20"/>
  <c r="AM187" i="20"/>
  <c r="BC187" i="20"/>
  <c r="BT187" i="20"/>
  <c r="AN187" i="20"/>
  <c r="BD187" i="20"/>
  <c r="BU187" i="20"/>
  <c r="AT187" i="20"/>
  <c r="AH187" i="20"/>
  <c r="AX187" i="20"/>
  <c r="AQ187" i="20"/>
  <c r="BG187" i="20"/>
  <c r="AB187" i="20"/>
  <c r="AR187" i="20"/>
  <c r="BH187" i="20"/>
  <c r="AK187" i="20"/>
  <c r="AO187" i="20"/>
  <c r="AC187" i="20"/>
  <c r="AL187" i="20"/>
  <c r="BS187" i="20"/>
  <c r="AE187" i="20"/>
  <c r="AU187" i="20"/>
  <c r="AF187" i="20"/>
  <c r="AV187" i="20"/>
  <c r="AG187" i="20"/>
  <c r="BA187" i="20"/>
  <c r="BE187" i="20"/>
  <c r="BB187" i="20"/>
  <c r="AP187" i="20"/>
  <c r="BF187" i="20"/>
  <c r="BW187" i="20"/>
  <c r="AI187" i="20"/>
  <c r="AY187" i="20"/>
  <c r="BP187" i="20"/>
  <c r="AJ187" i="20"/>
  <c r="AZ187" i="20"/>
  <c r="BQ187" i="20"/>
  <c r="AW187" i="20"/>
  <c r="BR187" i="20"/>
  <c r="BV187" i="20"/>
  <c r="AS187" i="20"/>
  <c r="BI187" i="20"/>
  <c r="AB181" i="6"/>
  <c r="AB123" i="6"/>
  <c r="AB136" i="6" s="1"/>
  <c r="AA139" i="6"/>
  <c r="AA118" i="30" s="1"/>
  <c r="AA228" i="6"/>
  <c r="AB204" i="6" l="1"/>
  <c r="AB211" i="6" s="1"/>
  <c r="AB125" i="30" s="1"/>
  <c r="AA187" i="20"/>
  <c r="AJ214" i="6"/>
  <c r="AJ217" i="6" s="1"/>
  <c r="AI126" i="30"/>
  <c r="AB226" i="6"/>
  <c r="AB228" i="6" s="1"/>
  <c r="AA131" i="30"/>
  <c r="AC123" i="6"/>
  <c r="AC136" i="6" s="1"/>
  <c r="AB139" i="6"/>
  <c r="AB118" i="30" s="1"/>
  <c r="AC204" i="6" l="1"/>
  <c r="AC211" i="6" s="1"/>
  <c r="AC226" i="6"/>
  <c r="AC228" i="6" s="1"/>
  <c r="AB131" i="30"/>
  <c r="AD123" i="6"/>
  <c r="AD136" i="6" s="1"/>
  <c r="AC139" i="6"/>
  <c r="AC118" i="30" s="1"/>
  <c r="AC125" i="30" l="1"/>
  <c r="AD204" i="6"/>
  <c r="AJ126" i="30"/>
  <c r="AK214" i="6"/>
  <c r="AK217" i="6" s="1"/>
  <c r="AD226" i="6"/>
  <c r="AD228" i="6" s="1"/>
  <c r="AC131" i="30"/>
  <c r="AE123" i="6"/>
  <c r="AE136" i="6" s="1"/>
  <c r="AD139" i="6"/>
  <c r="AD118" i="30" s="1"/>
  <c r="AD211" i="6" l="1"/>
  <c r="AD125" i="30" s="1"/>
  <c r="AL214" i="6"/>
  <c r="AL217" i="6" s="1"/>
  <c r="AE226" i="6"/>
  <c r="AE228" i="6" s="1"/>
  <c r="AD131" i="30"/>
  <c r="AF123" i="6"/>
  <c r="AF136" i="6" s="1"/>
  <c r="AE139" i="6"/>
  <c r="AE118" i="30" s="1"/>
  <c r="D291" i="26"/>
  <c r="AE204" i="6" l="1"/>
  <c r="AE211" i="6" s="1"/>
  <c r="AF226" i="6"/>
  <c r="AF228" i="6" s="1"/>
  <c r="AE131" i="30"/>
  <c r="AG123" i="6"/>
  <c r="AG136" i="6" s="1"/>
  <c r="AF139" i="6"/>
  <c r="AF118" i="30" s="1"/>
  <c r="AL126" i="30" l="1"/>
  <c r="AM214" i="6"/>
  <c r="AM217" i="6" s="1"/>
  <c r="AE125" i="30"/>
  <c r="AF204" i="6"/>
  <c r="AG226" i="6"/>
  <c r="AG228" i="6" s="1"/>
  <c r="AF131" i="30"/>
  <c r="AH123" i="6"/>
  <c r="AH136" i="6" s="1"/>
  <c r="AG139" i="6"/>
  <c r="AG118" i="30" s="1"/>
  <c r="AF211" i="6" l="1"/>
  <c r="AH226" i="6"/>
  <c r="AH228" i="6" s="1"/>
  <c r="AG131" i="30"/>
  <c r="AI123" i="6"/>
  <c r="AI136" i="6" s="1"/>
  <c r="AH139" i="6"/>
  <c r="AH118" i="30" s="1"/>
  <c r="AF125" i="30" l="1"/>
  <c r="AG204" i="6"/>
  <c r="AN214" i="6"/>
  <c r="AN217" i="6" s="1"/>
  <c r="AM126" i="30"/>
  <c r="AI226" i="6"/>
  <c r="AI228" i="6" s="1"/>
  <c r="AH131" i="30"/>
  <c r="AJ123" i="6"/>
  <c r="AJ136" i="6" s="1"/>
  <c r="AI139" i="6"/>
  <c r="AI118" i="30" s="1"/>
  <c r="AO214" i="6" l="1"/>
  <c r="AO217" i="6" s="1"/>
  <c r="AG211" i="6"/>
  <c r="AJ226" i="6"/>
  <c r="AJ228" i="6" s="1"/>
  <c r="AI131" i="30"/>
  <c r="AK123" i="6"/>
  <c r="AK136" i="6" s="1"/>
  <c r="AJ139" i="6"/>
  <c r="AJ118" i="30" s="1"/>
  <c r="AG125" i="30" l="1"/>
  <c r="AH204" i="6"/>
  <c r="AK226" i="6"/>
  <c r="AK228" i="6" s="1"/>
  <c r="AJ131" i="30"/>
  <c r="AL123" i="6"/>
  <c r="AL136" i="6" s="1"/>
  <c r="AK139" i="6"/>
  <c r="AK118" i="30" s="1"/>
  <c r="AP214" i="6" l="1"/>
  <c r="AP217" i="6" s="1"/>
  <c r="AO126" i="30"/>
  <c r="AH211" i="6"/>
  <c r="AL226" i="6"/>
  <c r="AL228" i="6" s="1"/>
  <c r="AK131" i="30"/>
  <c r="AM123" i="6"/>
  <c r="AM136" i="6" s="1"/>
  <c r="AL139" i="6"/>
  <c r="AL118" i="30" s="1"/>
  <c r="AH125" i="30" l="1"/>
  <c r="AI204" i="6"/>
  <c r="AM226" i="6"/>
  <c r="AM228" i="6" s="1"/>
  <c r="AL131" i="30"/>
  <c r="AN123" i="6"/>
  <c r="AN136" i="6" s="1"/>
  <c r="AM139" i="6"/>
  <c r="AM118" i="30" s="1"/>
  <c r="AQ214" i="6" l="1"/>
  <c r="AQ217" i="6" s="1"/>
  <c r="AP126" i="30"/>
  <c r="AI211" i="6"/>
  <c r="AN226" i="6"/>
  <c r="AN228" i="6" s="1"/>
  <c r="AM131" i="30"/>
  <c r="AO123" i="6"/>
  <c r="AO136" i="6" s="1"/>
  <c r="AN139" i="6"/>
  <c r="AN118" i="30" s="1"/>
  <c r="AI125" i="30" l="1"/>
  <c r="AJ204" i="6"/>
  <c r="AR214" i="6"/>
  <c r="AR217" i="6" s="1"/>
  <c r="AO226" i="6"/>
  <c r="AO228" i="6" s="1"/>
  <c r="AN131" i="30"/>
  <c r="AP123" i="6"/>
  <c r="AP136" i="6" s="1"/>
  <c r="AO139" i="6"/>
  <c r="AO118" i="30" s="1"/>
  <c r="AJ211" i="6" l="1"/>
  <c r="AP226" i="6"/>
  <c r="AP228" i="6" s="1"/>
  <c r="AO131" i="30"/>
  <c r="AQ123" i="6"/>
  <c r="AQ136" i="6" s="1"/>
  <c r="AP139" i="6"/>
  <c r="AP118" i="30" s="1"/>
  <c r="AJ125" i="30" l="1"/>
  <c r="AK204" i="6"/>
  <c r="AS214" i="6"/>
  <c r="AS217" i="6" s="1"/>
  <c r="AR126" i="30"/>
  <c r="AQ226" i="6"/>
  <c r="AQ228" i="6" s="1"/>
  <c r="AP131" i="30"/>
  <c r="AR123" i="6"/>
  <c r="AR136" i="6" s="1"/>
  <c r="AQ139" i="6"/>
  <c r="AQ118" i="30" s="1"/>
  <c r="AK211" i="6" l="1"/>
  <c r="AR226" i="6"/>
  <c r="AR228" i="6" s="1"/>
  <c r="AQ131" i="30"/>
  <c r="AS123" i="6"/>
  <c r="AS136" i="6" s="1"/>
  <c r="AR139" i="6"/>
  <c r="AR118" i="30" s="1"/>
  <c r="AK125" i="30" l="1"/>
  <c r="AL204" i="6"/>
  <c r="AS126" i="30"/>
  <c r="AT214" i="6"/>
  <c r="AT217" i="6" s="1"/>
  <c r="AS226" i="6"/>
  <c r="AS228" i="6" s="1"/>
  <c r="AR131" i="30"/>
  <c r="AT123" i="6"/>
  <c r="AT136" i="6" s="1"/>
  <c r="AS139" i="6"/>
  <c r="AS118" i="30" s="1"/>
  <c r="AU214" i="6" l="1"/>
  <c r="AU217" i="6" s="1"/>
  <c r="AL211" i="6"/>
  <c r="AT226" i="6"/>
  <c r="AT228" i="6" s="1"/>
  <c r="AS131" i="30"/>
  <c r="AU123" i="6"/>
  <c r="AU136" i="6" s="1"/>
  <c r="AT139" i="6"/>
  <c r="AT118" i="30" s="1"/>
  <c r="AL125" i="30" l="1"/>
  <c r="AM204" i="6"/>
  <c r="AU226" i="6"/>
  <c r="AU228" i="6" s="1"/>
  <c r="AT131" i="30"/>
  <c r="AV123" i="6"/>
  <c r="AV136" i="6" s="1"/>
  <c r="AU139" i="6"/>
  <c r="AU118" i="30" s="1"/>
  <c r="AM211" i="6" l="1"/>
  <c r="AU126" i="30"/>
  <c r="AV214" i="6"/>
  <c r="AV217" i="6" s="1"/>
  <c r="AV226" i="6"/>
  <c r="AV228" i="6" s="1"/>
  <c r="AU131" i="30"/>
  <c r="AW123" i="6"/>
  <c r="AW136" i="6" s="1"/>
  <c r="AV139" i="6"/>
  <c r="AV118" i="30" s="1"/>
  <c r="AM125" i="30" l="1"/>
  <c r="AN204" i="6"/>
  <c r="AW226" i="6"/>
  <c r="AW228" i="6" s="1"/>
  <c r="AV131" i="30"/>
  <c r="AX123" i="6"/>
  <c r="AX136" i="6" s="1"/>
  <c r="AW139" i="6"/>
  <c r="AW118" i="30" s="1"/>
  <c r="AN211" i="6" l="1"/>
  <c r="AW214" i="6"/>
  <c r="AW217" i="6" s="1"/>
  <c r="AV126" i="30"/>
  <c r="AX226" i="6"/>
  <c r="AX228" i="6" s="1"/>
  <c r="AW131" i="30"/>
  <c r="AY123" i="6"/>
  <c r="AY136" i="6" s="1"/>
  <c r="AX139" i="6"/>
  <c r="AX118" i="30" s="1"/>
  <c r="AX214" i="6" l="1"/>
  <c r="AX217" i="6" s="1"/>
  <c r="AN125" i="30"/>
  <c r="AO204" i="6"/>
  <c r="AY226" i="6"/>
  <c r="AY228" i="6" s="1"/>
  <c r="AX131" i="30"/>
  <c r="AZ123" i="6"/>
  <c r="AZ136" i="6" s="1"/>
  <c r="AY139" i="6"/>
  <c r="AY118" i="30" s="1"/>
  <c r="AO211" i="6" l="1"/>
  <c r="AZ226" i="6"/>
  <c r="AZ228" i="6" s="1"/>
  <c r="AY131" i="30"/>
  <c r="BA123" i="6"/>
  <c r="BA136" i="6" s="1"/>
  <c r="AZ139" i="6"/>
  <c r="AZ118" i="30" s="1"/>
  <c r="AY214" i="6" l="1"/>
  <c r="AY217" i="6" s="1"/>
  <c r="AX126" i="30"/>
  <c r="AO125" i="30"/>
  <c r="AP204" i="6"/>
  <c r="BA226" i="6"/>
  <c r="BA228" i="6" s="1"/>
  <c r="AZ131" i="30"/>
  <c r="BB123" i="6"/>
  <c r="BB136" i="6" s="1"/>
  <c r="BA139" i="6"/>
  <c r="BA118" i="30" s="1"/>
  <c r="AP211" i="6" l="1"/>
  <c r="BB226" i="6"/>
  <c r="BB228" i="6" s="1"/>
  <c r="BA131" i="30"/>
  <c r="BC123" i="6"/>
  <c r="BC136" i="6" s="1"/>
  <c r="BB139" i="6"/>
  <c r="BB118" i="30" s="1"/>
  <c r="AY126" i="30" l="1"/>
  <c r="AZ214" i="6"/>
  <c r="AZ217" i="6" s="1"/>
  <c r="AP125" i="30"/>
  <c r="AQ204" i="6"/>
  <c r="BC226" i="6"/>
  <c r="BC228" i="6" s="1"/>
  <c r="BB131" i="30"/>
  <c r="BD123" i="6"/>
  <c r="BD136" i="6" s="1"/>
  <c r="BC139" i="6"/>
  <c r="BC118" i="30" s="1"/>
  <c r="AQ211" i="6" l="1"/>
  <c r="BA214" i="6"/>
  <c r="BA217" i="6" s="1"/>
  <c r="BD226" i="6"/>
  <c r="BD228" i="6" s="1"/>
  <c r="BC131" i="30"/>
  <c r="BE123" i="6"/>
  <c r="BE136" i="6" s="1"/>
  <c r="BD139" i="6"/>
  <c r="BD118" i="30" s="1"/>
  <c r="AQ125" i="30" l="1"/>
  <c r="AR204" i="6"/>
  <c r="BE226" i="6"/>
  <c r="BE228" i="6" s="1"/>
  <c r="BD131" i="30"/>
  <c r="BF123" i="6"/>
  <c r="BF136" i="6" s="1"/>
  <c r="BE139" i="6"/>
  <c r="BE118" i="30" s="1"/>
  <c r="AR211" i="6" l="1"/>
  <c r="BB214" i="6"/>
  <c r="BB217" i="6" s="1"/>
  <c r="BA126" i="30"/>
  <c r="BF226" i="6"/>
  <c r="BF228" i="6" s="1"/>
  <c r="BE131" i="30"/>
  <c r="BG123" i="6"/>
  <c r="BG136" i="6" s="1"/>
  <c r="BF139" i="6"/>
  <c r="BF118" i="30" s="1"/>
  <c r="AR125" i="30" l="1"/>
  <c r="AS204" i="6"/>
  <c r="BG226" i="6"/>
  <c r="BG228" i="6" s="1"/>
  <c r="BF131" i="30"/>
  <c r="BH123" i="6"/>
  <c r="BH136" i="6" s="1"/>
  <c r="BG139" i="6"/>
  <c r="BG118" i="30" s="1"/>
  <c r="AS211" i="6" l="1"/>
  <c r="BC214" i="6"/>
  <c r="BC217" i="6" s="1"/>
  <c r="BB126" i="30"/>
  <c r="BH226" i="6"/>
  <c r="BH228" i="6" s="1"/>
  <c r="BG131" i="30"/>
  <c r="BI123" i="6"/>
  <c r="BI136" i="6" s="1"/>
  <c r="BH139" i="6"/>
  <c r="BH118" i="30" s="1"/>
  <c r="BD214" i="6" l="1"/>
  <c r="BD217" i="6" s="1"/>
  <c r="AS125" i="30"/>
  <c r="AT204" i="6"/>
  <c r="BI226" i="6"/>
  <c r="BI228" i="6" s="1"/>
  <c r="BH131" i="30"/>
  <c r="BJ123" i="6"/>
  <c r="BJ136" i="6" s="1"/>
  <c r="BJ139" i="6" s="1"/>
  <c r="BJ118" i="30" s="1"/>
  <c r="BI139" i="6"/>
  <c r="BI118" i="30" s="1"/>
  <c r="AT211" i="6" l="1"/>
  <c r="BJ226" i="6"/>
  <c r="BJ228" i="6" s="1"/>
  <c r="BJ131" i="30" s="1"/>
  <c r="BI131" i="30"/>
  <c r="W276" i="26"/>
  <c r="AT125" i="30" l="1"/>
  <c r="AU204" i="6"/>
  <c r="BE214" i="6"/>
  <c r="BE217" i="6" s="1"/>
  <c r="BD126" i="30"/>
  <c r="AA276" i="26"/>
  <c r="AA281" i="26" s="1"/>
  <c r="BM276" i="26"/>
  <c r="V34" i="6"/>
  <c r="V69" i="30" s="1"/>
  <c r="D33" i="6"/>
  <c r="C34" i="6"/>
  <c r="D30" i="6"/>
  <c r="C31" i="6"/>
  <c r="V25" i="6"/>
  <c r="V28" i="6"/>
  <c r="V67" i="30" s="1"/>
  <c r="V37" i="6"/>
  <c r="V70" i="30" s="1"/>
  <c r="C37" i="6"/>
  <c r="D36" i="6"/>
  <c r="C28" i="6"/>
  <c r="EX28" i="6" s="1"/>
  <c r="D48" i="11"/>
  <c r="BL266" i="26"/>
  <c r="W266" i="26"/>
  <c r="D42" i="11"/>
  <c r="CB67" i="26"/>
  <c r="CB66" i="26"/>
  <c r="CB65" i="26"/>
  <c r="CB64" i="26"/>
  <c r="CB63" i="26"/>
  <c r="CB62" i="26"/>
  <c r="CB61" i="26"/>
  <c r="CB60" i="26"/>
  <c r="CB59" i="26"/>
  <c r="CB58" i="26"/>
  <c r="CB57" i="26"/>
  <c r="CB56" i="26"/>
  <c r="CB55" i="26"/>
  <c r="CB54" i="26"/>
  <c r="CB53" i="26"/>
  <c r="BL246" i="26"/>
  <c r="BL245" i="26"/>
  <c r="BL257" i="26"/>
  <c r="W257" i="26"/>
  <c r="BL231" i="26"/>
  <c r="W231" i="26"/>
  <c r="D70" i="30" a="1"/>
  <c r="D68" i="30" a="1"/>
  <c r="D69" i="30" a="1"/>
  <c r="BL186" i="30" l="1"/>
  <c r="CM186" i="30" s="1"/>
  <c r="CE186" i="30" s="1"/>
  <c r="CS246" i="26"/>
  <c r="CK246" i="26" s="1"/>
  <c r="EX31" i="6"/>
  <c r="EX37" i="6"/>
  <c r="EX34" i="6"/>
  <c r="C68" i="30"/>
  <c r="C67" i="30"/>
  <c r="EX67" i="30" s="1"/>
  <c r="C69" i="30"/>
  <c r="C70" i="30"/>
  <c r="E172" i="26"/>
  <c r="D325" i="26"/>
  <c r="E31" i="26"/>
  <c r="V66" i="30"/>
  <c r="AU211" i="6"/>
  <c r="D68" i="30"/>
  <c r="D70" i="30"/>
  <c r="D69" i="30"/>
  <c r="BM231" i="26"/>
  <c r="E45" i="26"/>
  <c r="D287" i="26"/>
  <c r="EX287" i="26" s="1"/>
  <c r="AA257" i="26"/>
  <c r="D280" i="26"/>
  <c r="EX280" i="26" s="1"/>
  <c r="E196" i="26"/>
  <c r="E38" i="26"/>
  <c r="E148" i="26"/>
  <c r="D297" i="26"/>
  <c r="EX297" i="26" s="1"/>
  <c r="E96" i="26"/>
  <c r="E122" i="26"/>
  <c r="BN122" i="26" s="1"/>
  <c r="BM266" i="26"/>
  <c r="AA266" i="26"/>
  <c r="AA231" i="26"/>
  <c r="BM257" i="26"/>
  <c r="G48" i="30" a="1"/>
  <c r="EX69" i="30" l="1"/>
  <c r="EX70" i="30"/>
  <c r="EX68" i="30"/>
  <c r="AD325" i="26"/>
  <c r="AH325" i="26"/>
  <c r="AL325" i="26"/>
  <c r="AP325" i="26"/>
  <c r="AT325" i="26"/>
  <c r="AX325" i="26"/>
  <c r="BB325" i="26"/>
  <c r="BF325" i="26"/>
  <c r="BJ325" i="26"/>
  <c r="BS325" i="26"/>
  <c r="BW325" i="26"/>
  <c r="V325" i="26"/>
  <c r="AA325" i="26"/>
  <c r="AE325" i="26"/>
  <c r="AI325" i="26"/>
  <c r="AM325" i="26"/>
  <c r="AQ325" i="26"/>
  <c r="AU325" i="26"/>
  <c r="AY325" i="26"/>
  <c r="BC325" i="26"/>
  <c r="BG325" i="26"/>
  <c r="BL325" i="26"/>
  <c r="BP325" i="26"/>
  <c r="BT325" i="26"/>
  <c r="AF325" i="26"/>
  <c r="AN325" i="26"/>
  <c r="AV325" i="26"/>
  <c r="BD325" i="26"/>
  <c r="BU325" i="26"/>
  <c r="AG325" i="26"/>
  <c r="AO325" i="26"/>
  <c r="AW325" i="26"/>
  <c r="BE325" i="26"/>
  <c r="BV325" i="26"/>
  <c r="AB325" i="26"/>
  <c r="AJ325" i="26"/>
  <c r="AR325" i="26"/>
  <c r="AZ325" i="26"/>
  <c r="BH325" i="26"/>
  <c r="BQ325" i="26"/>
  <c r="BA325" i="26"/>
  <c r="AC325" i="26"/>
  <c r="BI325" i="26"/>
  <c r="AK325" i="26"/>
  <c r="BR325" i="26"/>
  <c r="AS325" i="26"/>
  <c r="W38" i="26"/>
  <c r="AD38" i="26"/>
  <c r="AH38" i="26"/>
  <c r="AL38" i="26"/>
  <c r="AP38" i="26"/>
  <c r="AT38" i="26"/>
  <c r="AX38" i="26"/>
  <c r="BB38" i="26"/>
  <c r="BF38" i="26"/>
  <c r="BJ38" i="26"/>
  <c r="BO38" i="26"/>
  <c r="BS38" i="26"/>
  <c r="BW38" i="26"/>
  <c r="AA38" i="26"/>
  <c r="AF38" i="26"/>
  <c r="AK38" i="26"/>
  <c r="AQ38" i="26"/>
  <c r="AV38" i="26"/>
  <c r="BA38" i="26"/>
  <c r="BG38" i="26"/>
  <c r="BM38" i="26"/>
  <c r="BR38" i="26"/>
  <c r="X38" i="26"/>
  <c r="AB38" i="26"/>
  <c r="AG38" i="26"/>
  <c r="AM38" i="26"/>
  <c r="AR38" i="26"/>
  <c r="AW38" i="26"/>
  <c r="BC38" i="26"/>
  <c r="BH38" i="26"/>
  <c r="BN38" i="26"/>
  <c r="AJ38" i="26"/>
  <c r="AU38" i="26"/>
  <c r="BE38" i="26"/>
  <c r="BQ38" i="26"/>
  <c r="AC38" i="26"/>
  <c r="AN38" i="26"/>
  <c r="AY38" i="26"/>
  <c r="BI38" i="26"/>
  <c r="BT38" i="26"/>
  <c r="AE38" i="26"/>
  <c r="AO38" i="26"/>
  <c r="AZ38" i="26"/>
  <c r="BL38" i="26"/>
  <c r="BU38" i="26"/>
  <c r="Y38" i="26"/>
  <c r="AI38" i="26"/>
  <c r="AS38" i="26"/>
  <c r="BD38" i="26"/>
  <c r="BP38" i="26"/>
  <c r="BV38" i="26"/>
  <c r="Y45" i="26"/>
  <c r="AB45" i="26"/>
  <c r="AF45" i="26"/>
  <c r="AF287" i="26" s="1"/>
  <c r="AJ45" i="26"/>
  <c r="AJ287" i="26" s="1"/>
  <c r="AN45" i="26"/>
  <c r="AN287" i="26" s="1"/>
  <c r="AR45" i="26"/>
  <c r="AR287" i="26" s="1"/>
  <c r="AV45" i="26"/>
  <c r="AV287" i="26" s="1"/>
  <c r="AZ45" i="26"/>
  <c r="AZ287" i="26" s="1"/>
  <c r="BD45" i="26"/>
  <c r="BD287" i="26" s="1"/>
  <c r="BH45" i="26"/>
  <c r="BH287" i="26" s="1"/>
  <c r="BM45" i="26"/>
  <c r="BQ45" i="26"/>
  <c r="BQ287" i="26" s="1"/>
  <c r="BU45" i="26"/>
  <c r="BU287" i="26" s="1"/>
  <c r="AD45" i="26"/>
  <c r="AD287" i="26" s="1"/>
  <c r="AI45" i="26"/>
  <c r="AI287" i="26" s="1"/>
  <c r="AO45" i="26"/>
  <c r="AO287" i="26" s="1"/>
  <c r="AT45" i="26"/>
  <c r="AT287" i="26" s="1"/>
  <c r="AY45" i="26"/>
  <c r="AY287" i="26" s="1"/>
  <c r="BE45" i="26"/>
  <c r="BE287" i="26" s="1"/>
  <c r="BJ45" i="26"/>
  <c r="BJ287" i="26" s="1"/>
  <c r="BP45" i="26"/>
  <c r="BP287" i="26" s="1"/>
  <c r="BV45" i="26"/>
  <c r="AE45" i="26"/>
  <c r="AE287" i="26" s="1"/>
  <c r="AK45" i="26"/>
  <c r="AK287" i="26" s="1"/>
  <c r="AP45" i="26"/>
  <c r="AP287" i="26" s="1"/>
  <c r="AU45" i="26"/>
  <c r="AU287" i="26" s="1"/>
  <c r="BA45" i="26"/>
  <c r="BA287" i="26" s="1"/>
  <c r="BF45" i="26"/>
  <c r="BF287" i="26" s="1"/>
  <c r="BL45" i="26"/>
  <c r="BL287" i="26" s="1"/>
  <c r="BR45" i="26"/>
  <c r="BR287" i="26" s="1"/>
  <c r="BW45" i="26"/>
  <c r="BW287" i="26" s="1"/>
  <c r="W45" i="26"/>
  <c r="AA45" i="26"/>
  <c r="AG45" i="26"/>
  <c r="AG287" i="26" s="1"/>
  <c r="AL45" i="26"/>
  <c r="AL287" i="26" s="1"/>
  <c r="AQ45" i="26"/>
  <c r="AQ287" i="26" s="1"/>
  <c r="AW45" i="26"/>
  <c r="AW287" i="26" s="1"/>
  <c r="BB45" i="26"/>
  <c r="BB287" i="26" s="1"/>
  <c r="BG45" i="26"/>
  <c r="BG287" i="26" s="1"/>
  <c r="BN45" i="26"/>
  <c r="BS45" i="26"/>
  <c r="BS287" i="26" s="1"/>
  <c r="X45" i="26"/>
  <c r="AC45" i="26"/>
  <c r="AC287" i="26" s="1"/>
  <c r="AH45" i="26"/>
  <c r="AH287" i="26" s="1"/>
  <c r="AM45" i="26"/>
  <c r="AM287" i="26" s="1"/>
  <c r="AS45" i="26"/>
  <c r="AS287" i="26" s="1"/>
  <c r="AX45" i="26"/>
  <c r="AX287" i="26" s="1"/>
  <c r="BC45" i="26"/>
  <c r="BC287" i="26" s="1"/>
  <c r="BI45" i="26"/>
  <c r="BI287" i="26" s="1"/>
  <c r="BO45" i="26"/>
  <c r="BT45" i="26"/>
  <c r="BT287" i="26" s="1"/>
  <c r="V45" i="26"/>
  <c r="V38" i="26"/>
  <c r="AD31" i="26"/>
  <c r="AD258" i="26" s="1"/>
  <c r="AH31" i="26"/>
  <c r="AH258" i="26" s="1"/>
  <c r="AL31" i="26"/>
  <c r="AL258" i="26" s="1"/>
  <c r="AP31" i="26"/>
  <c r="AP258" i="26" s="1"/>
  <c r="AT31" i="26"/>
  <c r="AT258" i="26" s="1"/>
  <c r="AX31" i="26"/>
  <c r="AX258" i="26" s="1"/>
  <c r="BB31" i="26"/>
  <c r="BB258" i="26" s="1"/>
  <c r="BF31" i="26"/>
  <c r="BF258" i="26" s="1"/>
  <c r="BJ31" i="26"/>
  <c r="BJ258" i="26" s="1"/>
  <c r="BS31" i="26"/>
  <c r="BW31" i="26"/>
  <c r="AB31" i="26"/>
  <c r="AB258" i="26" s="1"/>
  <c r="AA31" i="26"/>
  <c r="AA258" i="26" s="1"/>
  <c r="AF31" i="26"/>
  <c r="AF258" i="26" s="1"/>
  <c r="AJ31" i="26"/>
  <c r="AJ258" i="26" s="1"/>
  <c r="AN31" i="26"/>
  <c r="AN258" i="26" s="1"/>
  <c r="AR31" i="26"/>
  <c r="AR258" i="26" s="1"/>
  <c r="AV31" i="26"/>
  <c r="AV258" i="26" s="1"/>
  <c r="AZ31" i="26"/>
  <c r="AZ258" i="26" s="1"/>
  <c r="BD31" i="26"/>
  <c r="BD258" i="26" s="1"/>
  <c r="BH31" i="26"/>
  <c r="BH258" i="26" s="1"/>
  <c r="BQ31" i="26"/>
  <c r="BU31" i="26"/>
  <c r="AE31" i="26"/>
  <c r="AE258" i="26" s="1"/>
  <c r="AM31" i="26"/>
  <c r="AM258" i="26" s="1"/>
  <c r="AU31" i="26"/>
  <c r="AU258" i="26" s="1"/>
  <c r="BC31" i="26"/>
  <c r="BC258" i="26" s="1"/>
  <c r="BT31" i="26"/>
  <c r="AI31" i="26"/>
  <c r="AI258" i="26" s="1"/>
  <c r="AY31" i="26"/>
  <c r="AY258" i="26" s="1"/>
  <c r="AC31" i="26"/>
  <c r="AC258" i="26" s="1"/>
  <c r="AS31" i="26"/>
  <c r="AS258" i="26" s="1"/>
  <c r="BR31" i="26"/>
  <c r="AG31" i="26"/>
  <c r="AG258" i="26" s="1"/>
  <c r="AO31" i="26"/>
  <c r="AO258" i="26" s="1"/>
  <c r="AW31" i="26"/>
  <c r="AW258" i="26" s="1"/>
  <c r="BE31" i="26"/>
  <c r="BE258" i="26" s="1"/>
  <c r="BV31" i="26"/>
  <c r="AQ31" i="26"/>
  <c r="AQ258" i="26" s="1"/>
  <c r="BG31" i="26"/>
  <c r="BG258" i="26" s="1"/>
  <c r="BP31" i="26"/>
  <c r="AK31" i="26"/>
  <c r="AK258" i="26" s="1"/>
  <c r="BA31" i="26"/>
  <c r="BA258" i="26" s="1"/>
  <c r="BI31" i="26"/>
  <c r="BI258" i="26" s="1"/>
  <c r="V31" i="26"/>
  <c r="AU125" i="30"/>
  <c r="AV204" i="6"/>
  <c r="BF214" i="6"/>
  <c r="BF217" i="6" s="1"/>
  <c r="BE126" i="30"/>
  <c r="G48" i="30"/>
  <c r="BV287" i="26"/>
  <c r="AJ122" i="26"/>
  <c r="AC122" i="26"/>
  <c r="AN122" i="26"/>
  <c r="AO122" i="26"/>
  <c r="AZ122" i="26"/>
  <c r="BI122" i="26"/>
  <c r="BV122" i="26"/>
  <c r="BV235" i="26" s="1"/>
  <c r="BD122" i="26"/>
  <c r="AS122" i="26"/>
  <c r="BE122" i="26"/>
  <c r="AB122" i="26"/>
  <c r="AR122" i="26"/>
  <c r="BH122" i="26"/>
  <c r="AG122" i="26"/>
  <c r="AW122" i="26"/>
  <c r="BU96" i="26"/>
  <c r="BU234" i="26" s="1"/>
  <c r="BQ96" i="26"/>
  <c r="BQ234" i="26" s="1"/>
  <c r="BM96" i="26"/>
  <c r="BH96" i="26"/>
  <c r="BD96" i="26"/>
  <c r="AZ96" i="26"/>
  <c r="AV96" i="26"/>
  <c r="AR96" i="26"/>
  <c r="AN96" i="26"/>
  <c r="AJ96" i="26"/>
  <c r="AF96" i="26"/>
  <c r="AB96" i="26"/>
  <c r="Y96" i="26"/>
  <c r="BT96" i="26"/>
  <c r="BT234" i="26" s="1"/>
  <c r="BP96" i="26"/>
  <c r="BP234" i="26" s="1"/>
  <c r="BL96" i="26"/>
  <c r="BG96" i="26"/>
  <c r="BC96" i="26"/>
  <c r="AY96" i="26"/>
  <c r="AU96" i="26"/>
  <c r="AQ96" i="26"/>
  <c r="AM96" i="26"/>
  <c r="AI96" i="26"/>
  <c r="AE96" i="26"/>
  <c r="AA96" i="26"/>
  <c r="X96" i="26"/>
  <c r="BW96" i="26"/>
  <c r="BW234" i="26" s="1"/>
  <c r="BS96" i="26"/>
  <c r="BS234" i="26" s="1"/>
  <c r="BO96" i="26"/>
  <c r="BJ96" i="26"/>
  <c r="BF96" i="26"/>
  <c r="BB96" i="26"/>
  <c r="AX96" i="26"/>
  <c r="AT96" i="26"/>
  <c r="AP96" i="26"/>
  <c r="AL96" i="26"/>
  <c r="AH96" i="26"/>
  <c r="AD96" i="26"/>
  <c r="W96" i="26"/>
  <c r="BV96" i="26"/>
  <c r="BV234" i="26" s="1"/>
  <c r="BE96" i="26"/>
  <c r="AO96" i="26"/>
  <c r="BI96" i="26"/>
  <c r="AC96" i="26"/>
  <c r="BR96" i="26"/>
  <c r="BR234" i="26" s="1"/>
  <c r="BA96" i="26"/>
  <c r="AK96" i="26"/>
  <c r="V96" i="26"/>
  <c r="CS96" i="26" s="1"/>
  <c r="CK96" i="26" s="1"/>
  <c r="BN96" i="26"/>
  <c r="AW96" i="26"/>
  <c r="AG96" i="26"/>
  <c r="AS96" i="26"/>
  <c r="Y122" i="26"/>
  <c r="AA122" i="26"/>
  <c r="AI122" i="26"/>
  <c r="AQ122" i="26"/>
  <c r="AY122" i="26"/>
  <c r="BG122" i="26"/>
  <c r="BP122" i="26"/>
  <c r="BP235" i="26" s="1"/>
  <c r="BU122" i="26"/>
  <c r="BU235" i="26" s="1"/>
  <c r="W122" i="26"/>
  <c r="AD122" i="26"/>
  <c r="AL122" i="26"/>
  <c r="AT122" i="26"/>
  <c r="BB122" i="26"/>
  <c r="BJ122" i="26"/>
  <c r="BQ122" i="26"/>
  <c r="BW122" i="26"/>
  <c r="X122" i="26"/>
  <c r="AE122" i="26"/>
  <c r="AM122" i="26"/>
  <c r="AU122" i="26"/>
  <c r="BC122" i="26"/>
  <c r="BL122" i="26"/>
  <c r="BS122" i="26"/>
  <c r="BS235" i="26" s="1"/>
  <c r="AH122" i="26"/>
  <c r="BO122" i="26"/>
  <c r="V122" i="26"/>
  <c r="AP122" i="26"/>
  <c r="BT122" i="26"/>
  <c r="BT235" i="26" s="1"/>
  <c r="AX122" i="26"/>
  <c r="BF122" i="26"/>
  <c r="AF122" i="26"/>
  <c r="AV122" i="26"/>
  <c r="BM122" i="26"/>
  <c r="AK122" i="26"/>
  <c r="BA122" i="26"/>
  <c r="BR122" i="26"/>
  <c r="BR235" i="26" s="1"/>
  <c r="CS122" i="26" l="1"/>
  <c r="CK122" i="26" s="1"/>
  <c r="BZ45" i="26"/>
  <c r="CS38" i="26"/>
  <c r="CK38" i="26" s="1"/>
  <c r="BZ38" i="26"/>
  <c r="CS45" i="26"/>
  <c r="CK45" i="26" s="1"/>
  <c r="X287" i="26"/>
  <c r="Y287" i="26"/>
  <c r="W287" i="26"/>
  <c r="V234" i="26"/>
  <c r="BO287" i="26"/>
  <c r="AB287" i="26"/>
  <c r="V235" i="26"/>
  <c r="AA287" i="26"/>
  <c r="BM287" i="26"/>
  <c r="V287" i="26"/>
  <c r="CS287" i="26" s="1"/>
  <c r="CK287" i="26" s="1"/>
  <c r="BN287" i="26"/>
  <c r="AS239" i="26"/>
  <c r="AC239" i="26"/>
  <c r="AZ239" i="26"/>
  <c r="AW239" i="26"/>
  <c r="BU239" i="26"/>
  <c r="AN239" i="26"/>
  <c r="BP239" i="26"/>
  <c r="AY239" i="26"/>
  <c r="AI239" i="26"/>
  <c r="V239" i="26"/>
  <c r="BJ239" i="26"/>
  <c r="AT239" i="26"/>
  <c r="AD239" i="26"/>
  <c r="BR239" i="26"/>
  <c r="BA239" i="26"/>
  <c r="AR239" i="26"/>
  <c r="BV239" i="26"/>
  <c r="AO239" i="26"/>
  <c r="AF239" i="26"/>
  <c r="BL239" i="26"/>
  <c r="AU239" i="26"/>
  <c r="AE239" i="26"/>
  <c r="BW239" i="26"/>
  <c r="BF239" i="26"/>
  <c r="AP239" i="26"/>
  <c r="AK239" i="26"/>
  <c r="BQ239" i="26"/>
  <c r="AJ239" i="26"/>
  <c r="AG239" i="26"/>
  <c r="BD239" i="26"/>
  <c r="BG239" i="26"/>
  <c r="AQ239" i="26"/>
  <c r="AA239" i="26"/>
  <c r="BS239" i="26"/>
  <c r="BB239" i="26"/>
  <c r="AL239" i="26"/>
  <c r="BI239" i="26"/>
  <c r="BH239" i="26"/>
  <c r="AB239" i="26"/>
  <c r="BE239" i="26"/>
  <c r="AV239" i="26"/>
  <c r="BT239" i="26"/>
  <c r="BC239" i="26"/>
  <c r="AM239" i="26"/>
  <c r="AX239" i="26"/>
  <c r="AH239" i="26"/>
  <c r="BS258" i="26"/>
  <c r="BS185" i="30"/>
  <c r="V185" i="30"/>
  <c r="BW258" i="26"/>
  <c r="BW185" i="30"/>
  <c r="BV258" i="26"/>
  <c r="BV185" i="30"/>
  <c r="BU258" i="26"/>
  <c r="BU185" i="30"/>
  <c r="BP258" i="26"/>
  <c r="BP185" i="30"/>
  <c r="BT258" i="26"/>
  <c r="BT185" i="30"/>
  <c r="BQ258" i="26"/>
  <c r="BQ185" i="30"/>
  <c r="BR258" i="26"/>
  <c r="BR185" i="30"/>
  <c r="AV211" i="6"/>
  <c r="BG214" i="6"/>
  <c r="BG217" i="6" s="1"/>
  <c r="V258" i="26"/>
  <c r="BG185" i="30"/>
  <c r="AH185" i="30"/>
  <c r="AZ185" i="30"/>
  <c r="AY185" i="30"/>
  <c r="AL185" i="30"/>
  <c r="AG185" i="30"/>
  <c r="BD185" i="30"/>
  <c r="AW185" i="30"/>
  <c r="AX185" i="30"/>
  <c r="BF185" i="30"/>
  <c r="AB185" i="30"/>
  <c r="BB185" i="30"/>
  <c r="AS185" i="30"/>
  <c r="AD185" i="30"/>
  <c r="AN185" i="30"/>
  <c r="AT185" i="30"/>
  <c r="AV185" i="30"/>
  <c r="AO185" i="30"/>
  <c r="AF185" i="30"/>
  <c r="BJ185" i="30"/>
  <c r="BI185" i="30"/>
  <c r="AP185" i="30"/>
  <c r="AJ185" i="30"/>
  <c r="BE185" i="30"/>
  <c r="AA185" i="30"/>
  <c r="AR185" i="30"/>
  <c r="AM185" i="30"/>
  <c r="BC185" i="30"/>
  <c r="BA185" i="30"/>
  <c r="AU185" i="30"/>
  <c r="AI185" i="30"/>
  <c r="AC185" i="30"/>
  <c r="AQ185" i="30"/>
  <c r="BH185" i="30"/>
  <c r="AE185" i="30"/>
  <c r="AK185" i="30"/>
  <c r="BW235" i="26"/>
  <c r="BQ235" i="26"/>
  <c r="CS239" i="26" l="1"/>
  <c r="CK239" i="26" s="1"/>
  <c r="V31" i="6"/>
  <c r="V68" i="30" s="1"/>
  <c r="AV125" i="30"/>
  <c r="AW204" i="6"/>
  <c r="AW211" i="6" l="1"/>
  <c r="BH214" i="6"/>
  <c r="BH217" i="6" s="1"/>
  <c r="BG126" i="30"/>
  <c r="V168" i="20"/>
  <c r="D40" i="11"/>
  <c r="D39" i="11"/>
  <c r="E42" i="26" s="1"/>
  <c r="D47" i="11"/>
  <c r="D46" i="11"/>
  <c r="D45" i="11"/>
  <c r="D322" i="26" s="1"/>
  <c r="W245" i="26"/>
  <c r="BL217" i="26"/>
  <c r="W217" i="26"/>
  <c r="BL210" i="26"/>
  <c r="CS210" i="26" s="1"/>
  <c r="CK210" i="26" s="1"/>
  <c r="BL203" i="26"/>
  <c r="X28" i="20"/>
  <c r="Y28" i="20"/>
  <c r="Y37" i="20" l="1"/>
  <c r="X37" i="20"/>
  <c r="E170" i="26"/>
  <c r="D323" i="26"/>
  <c r="E171" i="26"/>
  <c r="D324" i="26"/>
  <c r="V322" i="26"/>
  <c r="AD322" i="26"/>
  <c r="AH322" i="26"/>
  <c r="AL322" i="26"/>
  <c r="AP322" i="26"/>
  <c r="AT322" i="26"/>
  <c r="AX322" i="26"/>
  <c r="BB322" i="26"/>
  <c r="BF322" i="26"/>
  <c r="BJ322" i="26"/>
  <c r="BP322" i="26"/>
  <c r="BT322" i="26"/>
  <c r="AA322" i="26"/>
  <c r="AE322" i="26"/>
  <c r="AI322" i="26"/>
  <c r="AM322" i="26"/>
  <c r="AQ322" i="26"/>
  <c r="AU322" i="26"/>
  <c r="AY322" i="26"/>
  <c r="BC322" i="26"/>
  <c r="BG322" i="26"/>
  <c r="BQ322" i="26"/>
  <c r="BU322" i="26"/>
  <c r="AB322" i="26"/>
  <c r="AF322" i="26"/>
  <c r="AJ322" i="26"/>
  <c r="AN322" i="26"/>
  <c r="AR322" i="26"/>
  <c r="AV322" i="26"/>
  <c r="AZ322" i="26"/>
  <c r="BD322" i="26"/>
  <c r="BH322" i="26"/>
  <c r="BR322" i="26"/>
  <c r="BV322" i="26"/>
  <c r="AG322" i="26"/>
  <c r="AW322" i="26"/>
  <c r="BL322" i="26"/>
  <c r="AK322" i="26"/>
  <c r="BA322" i="26"/>
  <c r="BS322" i="26"/>
  <c r="AO322" i="26"/>
  <c r="BE322" i="26"/>
  <c r="BW322" i="26"/>
  <c r="AC322" i="26"/>
  <c r="AS322" i="26"/>
  <c r="BI322" i="26"/>
  <c r="E43" i="26"/>
  <c r="AD43" i="26" s="1"/>
  <c r="AD285" i="26" s="1"/>
  <c r="AA42" i="26"/>
  <c r="AE42" i="26"/>
  <c r="AD42" i="26"/>
  <c r="AI42" i="26"/>
  <c r="AM42" i="26"/>
  <c r="AQ42" i="26"/>
  <c r="AU42" i="26"/>
  <c r="AY42" i="26"/>
  <c r="BC42" i="26"/>
  <c r="BG42" i="26"/>
  <c r="BP42" i="26"/>
  <c r="BP284" i="26" s="1"/>
  <c r="BT42" i="26"/>
  <c r="BT284" i="26" s="1"/>
  <c r="AB42" i="26"/>
  <c r="AH42" i="26"/>
  <c r="AN42" i="26"/>
  <c r="AS42" i="26"/>
  <c r="AX42" i="26"/>
  <c r="BD42" i="26"/>
  <c r="BI42" i="26"/>
  <c r="BU42" i="26"/>
  <c r="BU284" i="26" s="1"/>
  <c r="AC42" i="26"/>
  <c r="AJ42" i="26"/>
  <c r="AO42" i="26"/>
  <c r="AT42" i="26"/>
  <c r="AZ42" i="26"/>
  <c r="BE42" i="26"/>
  <c r="BJ42" i="26"/>
  <c r="BQ42" i="26"/>
  <c r="BQ284" i="26" s="1"/>
  <c r="BV42" i="26"/>
  <c r="BV284" i="26" s="1"/>
  <c r="AF42" i="26"/>
  <c r="AK42" i="26"/>
  <c r="AP42" i="26"/>
  <c r="AV42" i="26"/>
  <c r="BA42" i="26"/>
  <c r="BF42" i="26"/>
  <c r="BR42" i="26"/>
  <c r="BR284" i="26" s="1"/>
  <c r="BW42" i="26"/>
  <c r="BW284" i="26" s="1"/>
  <c r="AG42" i="26"/>
  <c r="AL42" i="26"/>
  <c r="AR42" i="26"/>
  <c r="AW42" i="26"/>
  <c r="BB42" i="26"/>
  <c r="BH42" i="26"/>
  <c r="BS42" i="26"/>
  <c r="BS284" i="26" s="1"/>
  <c r="V42" i="26"/>
  <c r="AW125" i="30"/>
  <c r="AX204" i="6"/>
  <c r="AA217" i="26"/>
  <c r="AA245" i="26"/>
  <c r="E169" i="26"/>
  <c r="CC131" i="26"/>
  <c r="CC135" i="26"/>
  <c r="CC139" i="26"/>
  <c r="CC143" i="26"/>
  <c r="CC142" i="26"/>
  <c r="CC132" i="26"/>
  <c r="CC136" i="26"/>
  <c r="CC140" i="26"/>
  <c r="CC144" i="26"/>
  <c r="CC134" i="26"/>
  <c r="CC133" i="26"/>
  <c r="CC137" i="26"/>
  <c r="CC141" i="26"/>
  <c r="CC130" i="26"/>
  <c r="CC138" i="26"/>
  <c r="E193" i="26"/>
  <c r="D279" i="26"/>
  <c r="EX279" i="26" s="1"/>
  <c r="E195" i="26"/>
  <c r="D278" i="26"/>
  <c r="EX278" i="26" s="1"/>
  <c r="E194" i="26"/>
  <c r="D284" i="26"/>
  <c r="EX284" i="26" s="1"/>
  <c r="E35" i="26"/>
  <c r="D285" i="26"/>
  <c r="EX285" i="26" s="1"/>
  <c r="E36" i="26"/>
  <c r="D277" i="26"/>
  <c r="EX277" i="26" s="1"/>
  <c r="CC106" i="26"/>
  <c r="CC110" i="26"/>
  <c r="CC114" i="26"/>
  <c r="CC104" i="26"/>
  <c r="CC82" i="26"/>
  <c r="CC86" i="26"/>
  <c r="CC90" i="26"/>
  <c r="CC65" i="26"/>
  <c r="CC57" i="26"/>
  <c r="CC61" i="26"/>
  <c r="CC66" i="26"/>
  <c r="CC107" i="26"/>
  <c r="CC111" i="26"/>
  <c r="CC115" i="26"/>
  <c r="CC79" i="26"/>
  <c r="CC83" i="26"/>
  <c r="CC87" i="26"/>
  <c r="CC91" i="26"/>
  <c r="CC54" i="26"/>
  <c r="CC58" i="26"/>
  <c r="CC62" i="26"/>
  <c r="CC67" i="26"/>
  <c r="CC117" i="26"/>
  <c r="CC108" i="26"/>
  <c r="CC112" i="26"/>
  <c r="CC116" i="26"/>
  <c r="CC80" i="26"/>
  <c r="CC84" i="26"/>
  <c r="CC88" i="26"/>
  <c r="CC92" i="26"/>
  <c r="CC55" i="26"/>
  <c r="CC59" i="26"/>
  <c r="CC63" i="26"/>
  <c r="CC53" i="26"/>
  <c r="CC105" i="26"/>
  <c r="CC109" i="26"/>
  <c r="CC113" i="26"/>
  <c r="CC118" i="26"/>
  <c r="CC85" i="26"/>
  <c r="CC89" i="26"/>
  <c r="CC56" i="26"/>
  <c r="CC60" i="26"/>
  <c r="CC81" i="26"/>
  <c r="CC78" i="26"/>
  <c r="CC64" i="26"/>
  <c r="E147" i="26"/>
  <c r="D296" i="26"/>
  <c r="EX296" i="26" s="1"/>
  <c r="E145" i="26"/>
  <c r="D294" i="26"/>
  <c r="EX294" i="26" s="1"/>
  <c r="E146" i="26"/>
  <c r="D295" i="26"/>
  <c r="EX295" i="26" s="1"/>
  <c r="E95" i="26"/>
  <c r="E121" i="26"/>
  <c r="E93" i="26"/>
  <c r="E119" i="26"/>
  <c r="E120" i="26"/>
  <c r="E94" i="26"/>
  <c r="E28" i="26"/>
  <c r="E68" i="26"/>
  <c r="V68" i="26" s="1"/>
  <c r="E29" i="26"/>
  <c r="E69" i="26"/>
  <c r="BM245" i="26"/>
  <c r="BM217" i="26"/>
  <c r="E48" i="30" a="1"/>
  <c r="F48" i="30" a="1"/>
  <c r="AB43" i="26" l="1"/>
  <c r="AB285" i="26" s="1"/>
  <c r="BI43" i="26"/>
  <c r="BI285" i="26" s="1"/>
  <c r="BG43" i="26"/>
  <c r="BG285" i="26" s="1"/>
  <c r="AN43" i="26"/>
  <c r="AN285" i="26" s="1"/>
  <c r="BV43" i="26"/>
  <c r="BV285" i="26" s="1"/>
  <c r="BO43" i="26"/>
  <c r="BN43" i="26"/>
  <c r="AZ43" i="26"/>
  <c r="AZ285" i="26" s="1"/>
  <c r="AX43" i="26"/>
  <c r="AX285" i="26" s="1"/>
  <c r="BC43" i="26"/>
  <c r="BC285" i="26" s="1"/>
  <c r="BA43" i="26"/>
  <c r="BA285" i="26" s="1"/>
  <c r="AU43" i="26"/>
  <c r="AU285" i="26" s="1"/>
  <c r="AI43" i="26"/>
  <c r="AI285" i="26" s="1"/>
  <c r="AP43" i="26"/>
  <c r="AP285" i="26" s="1"/>
  <c r="AG43" i="26"/>
  <c r="AG285" i="26" s="1"/>
  <c r="AF43" i="26"/>
  <c r="AF285" i="26" s="1"/>
  <c r="BU43" i="26"/>
  <c r="BU285" i="26" s="1"/>
  <c r="BU289" i="26" s="1"/>
  <c r="BS43" i="26"/>
  <c r="BS285" i="26" s="1"/>
  <c r="BS289" i="26" s="1"/>
  <c r="W43" i="26"/>
  <c r="X49" i="20"/>
  <c r="X60" i="20" s="1"/>
  <c r="X67" i="20" s="1"/>
  <c r="X84" i="20"/>
  <c r="X98" i="20" s="1"/>
  <c r="Y49" i="20"/>
  <c r="Y60" i="20" s="1"/>
  <c r="Y67" i="20" s="1"/>
  <c r="Y84" i="20"/>
  <c r="Y98" i="20" s="1"/>
  <c r="AW43" i="26"/>
  <c r="AW285" i="26" s="1"/>
  <c r="X43" i="26"/>
  <c r="AQ43" i="26"/>
  <c r="AQ285" i="26" s="1"/>
  <c r="BQ43" i="26"/>
  <c r="BQ285" i="26" s="1"/>
  <c r="BQ289" i="26" s="1"/>
  <c r="AO43" i="26"/>
  <c r="AO285" i="26" s="1"/>
  <c r="BD43" i="26"/>
  <c r="BD285" i="26" s="1"/>
  <c r="AC43" i="26"/>
  <c r="AC285" i="26" s="1"/>
  <c r="BF43" i="26"/>
  <c r="BF285" i="26" s="1"/>
  <c r="AL43" i="26"/>
  <c r="AL285" i="26" s="1"/>
  <c r="BT43" i="26"/>
  <c r="BT285" i="26" s="1"/>
  <c r="BT289" i="26" s="1"/>
  <c r="AR43" i="26"/>
  <c r="AR285" i="26" s="1"/>
  <c r="BM43" i="26"/>
  <c r="AK43" i="26"/>
  <c r="AK285" i="26" s="1"/>
  <c r="BL43" i="26"/>
  <c r="AE43" i="26"/>
  <c r="AE285" i="26" s="1"/>
  <c r="AY43" i="26"/>
  <c r="AY285" i="26" s="1"/>
  <c r="BW43" i="26"/>
  <c r="BW285" i="26" s="1"/>
  <c r="BW289" i="26" s="1"/>
  <c r="BB43" i="26"/>
  <c r="BB285" i="26" s="1"/>
  <c r="AH43" i="26"/>
  <c r="AH285" i="26" s="1"/>
  <c r="V43" i="26"/>
  <c r="BH43" i="26"/>
  <c r="BH285" i="26" s="1"/>
  <c r="AM43" i="26"/>
  <c r="AM285" i="26" s="1"/>
  <c r="BR43" i="26"/>
  <c r="BR285" i="26" s="1"/>
  <c r="BR289" i="26" s="1"/>
  <c r="AV43" i="26"/>
  <c r="AV285" i="26" s="1"/>
  <c r="AA43" i="26"/>
  <c r="BE43" i="26"/>
  <c r="BE285" i="26" s="1"/>
  <c r="AJ43" i="26"/>
  <c r="AJ285" i="26" s="1"/>
  <c r="BP43" i="26"/>
  <c r="BP285" i="26" s="1"/>
  <c r="BP289" i="26" s="1"/>
  <c r="AS43" i="26"/>
  <c r="AS285" i="26" s="1"/>
  <c r="Y43" i="26"/>
  <c r="BJ43" i="26"/>
  <c r="BJ285" i="26" s="1"/>
  <c r="AT43" i="26"/>
  <c r="AT285" i="26" s="1"/>
  <c r="BV289" i="26"/>
  <c r="AC211" i="26"/>
  <c r="BS211" i="26"/>
  <c r="AW211" i="26"/>
  <c r="BH211" i="26"/>
  <c r="AR211" i="26"/>
  <c r="AB211" i="26"/>
  <c r="BC211" i="26"/>
  <c r="AM211" i="26"/>
  <c r="BT211" i="26"/>
  <c r="BB211" i="26"/>
  <c r="AL211" i="26"/>
  <c r="BW211" i="26"/>
  <c r="BA211" i="26"/>
  <c r="AG211" i="26"/>
  <c r="BD211" i="26"/>
  <c r="AN211" i="26"/>
  <c r="BU211" i="26"/>
  <c r="AY211" i="26"/>
  <c r="AI211" i="26"/>
  <c r="BP211" i="26"/>
  <c r="AX211" i="26"/>
  <c r="AH211" i="26"/>
  <c r="BI211" i="26"/>
  <c r="BE211" i="26"/>
  <c r="AK211" i="26"/>
  <c r="BV211" i="26"/>
  <c r="AZ211" i="26"/>
  <c r="AJ211" i="26"/>
  <c r="BQ211" i="26"/>
  <c r="AU211" i="26"/>
  <c r="AE211" i="26"/>
  <c r="BJ211" i="26"/>
  <c r="AT211" i="26"/>
  <c r="AD211" i="26"/>
  <c r="AS211" i="26"/>
  <c r="AO211" i="26"/>
  <c r="BL211" i="26"/>
  <c r="BR211" i="26"/>
  <c r="AV211" i="26"/>
  <c r="AF211" i="26"/>
  <c r="BG211" i="26"/>
  <c r="AQ211" i="26"/>
  <c r="AA211" i="26"/>
  <c r="BF211" i="26"/>
  <c r="AP211" i="26"/>
  <c r="V211" i="26"/>
  <c r="AB324" i="26"/>
  <c r="AF324" i="26"/>
  <c r="AJ324" i="26"/>
  <c r="AN324" i="26"/>
  <c r="AR324" i="26"/>
  <c r="AV324" i="26"/>
  <c r="AZ324" i="26"/>
  <c r="BD324" i="26"/>
  <c r="BH324" i="26"/>
  <c r="BS324" i="26"/>
  <c r="BW324" i="26"/>
  <c r="AC324" i="26"/>
  <c r="AG324" i="26"/>
  <c r="AK324" i="26"/>
  <c r="AO324" i="26"/>
  <c r="AS324" i="26"/>
  <c r="AW324" i="26"/>
  <c r="BA324" i="26"/>
  <c r="BE324" i="26"/>
  <c r="BI324" i="26"/>
  <c r="BT324" i="26"/>
  <c r="V324" i="26"/>
  <c r="AH324" i="26"/>
  <c r="AP324" i="26"/>
  <c r="AX324" i="26"/>
  <c r="BF324" i="26"/>
  <c r="BP324" i="26"/>
  <c r="AA324" i="26"/>
  <c r="AI324" i="26"/>
  <c r="AQ324" i="26"/>
  <c r="AY324" i="26"/>
  <c r="BG324" i="26"/>
  <c r="BR324" i="26"/>
  <c r="AD324" i="26"/>
  <c r="AL324" i="26"/>
  <c r="AT324" i="26"/>
  <c r="BB324" i="26"/>
  <c r="BJ324" i="26"/>
  <c r="BU324" i="26"/>
  <c r="AM324" i="26"/>
  <c r="BV324" i="26"/>
  <c r="AU324" i="26"/>
  <c r="BC324" i="26"/>
  <c r="AE324" i="26"/>
  <c r="BQ324" i="26"/>
  <c r="BL324" i="26"/>
  <c r="AA323" i="26"/>
  <c r="AF323" i="26"/>
  <c r="AJ323" i="26"/>
  <c r="AN323" i="26"/>
  <c r="AR323" i="26"/>
  <c r="AV323" i="26"/>
  <c r="AZ323" i="26"/>
  <c r="BD323" i="26"/>
  <c r="BH323" i="26"/>
  <c r="BQ323" i="26"/>
  <c r="BU323" i="26"/>
  <c r="AC323" i="26"/>
  <c r="AG323" i="26"/>
  <c r="AK323" i="26"/>
  <c r="AO323" i="26"/>
  <c r="AS323" i="26"/>
  <c r="AW323" i="26"/>
  <c r="BA323" i="26"/>
  <c r="BE323" i="26"/>
  <c r="BI323" i="26"/>
  <c r="BR323" i="26"/>
  <c r="BV323" i="26"/>
  <c r="AB323" i="26"/>
  <c r="AD323" i="26"/>
  <c r="AL323" i="26"/>
  <c r="AT323" i="26"/>
  <c r="BB323" i="26"/>
  <c r="BJ323" i="26"/>
  <c r="BS323" i="26"/>
  <c r="AE323" i="26"/>
  <c r="AM323" i="26"/>
  <c r="AU323" i="26"/>
  <c r="BC323" i="26"/>
  <c r="BL323" i="26"/>
  <c r="BT323" i="26"/>
  <c r="V323" i="26"/>
  <c r="AH323" i="26"/>
  <c r="AP323" i="26"/>
  <c r="AX323" i="26"/>
  <c r="BF323" i="26"/>
  <c r="BW323" i="26"/>
  <c r="BG323" i="26"/>
  <c r="AI323" i="26"/>
  <c r="BP323" i="26"/>
  <c r="AQ323" i="26"/>
  <c r="AY323" i="26"/>
  <c r="V69" i="26"/>
  <c r="AC69" i="26"/>
  <c r="AG69" i="26"/>
  <c r="AK69" i="26"/>
  <c r="AO69" i="26"/>
  <c r="AS69" i="26"/>
  <c r="AW69" i="26"/>
  <c r="BA69" i="26"/>
  <c r="BE69" i="26"/>
  <c r="BI69" i="26"/>
  <c r="BN69" i="26"/>
  <c r="BR69" i="26"/>
  <c r="BR219" i="26" s="1"/>
  <c r="BV69" i="26"/>
  <c r="BV219" i="26" s="1"/>
  <c r="W69" i="26"/>
  <c r="AD69" i="26"/>
  <c r="AH69" i="26"/>
  <c r="AA69" i="26"/>
  <c r="AI69" i="26"/>
  <c r="AN69" i="26"/>
  <c r="AT69" i="26"/>
  <c r="AY69" i="26"/>
  <c r="BD69" i="26"/>
  <c r="BJ69" i="26"/>
  <c r="BP69" i="26"/>
  <c r="BP219" i="26" s="1"/>
  <c r="BU69" i="26"/>
  <c r="BU219" i="26" s="1"/>
  <c r="AB69" i="26"/>
  <c r="AJ69" i="26"/>
  <c r="AP69" i="26"/>
  <c r="AU69" i="26"/>
  <c r="AZ69" i="26"/>
  <c r="BF69" i="26"/>
  <c r="BL69" i="26"/>
  <c r="BQ69" i="26"/>
  <c r="BQ219" i="26" s="1"/>
  <c r="BW69" i="26"/>
  <c r="X69" i="26"/>
  <c r="AE69" i="26"/>
  <c r="AL69" i="26"/>
  <c r="AQ69" i="26"/>
  <c r="AV69" i="26"/>
  <c r="BB69" i="26"/>
  <c r="BG69" i="26"/>
  <c r="BM69" i="26"/>
  <c r="BS69" i="26"/>
  <c r="BS219" i="26" s="1"/>
  <c r="Y69" i="26"/>
  <c r="AF69" i="26"/>
  <c r="AM69" i="26"/>
  <c r="AR69" i="26"/>
  <c r="AX69" i="26"/>
  <c r="BC69" i="26"/>
  <c r="BH69" i="26"/>
  <c r="BO69" i="26"/>
  <c r="BT69" i="26"/>
  <c r="BT219" i="26" s="1"/>
  <c r="BS68" i="26"/>
  <c r="BS205" i="26" s="1"/>
  <c r="BW68" i="26"/>
  <c r="BL68" i="26"/>
  <c r="CS68" i="26" s="1"/>
  <c r="CK68" i="26" s="1"/>
  <c r="BP68" i="26"/>
  <c r="BT68" i="26"/>
  <c r="BU68" i="26"/>
  <c r="BV68" i="26"/>
  <c r="BQ68" i="26"/>
  <c r="BR68" i="26"/>
  <c r="AC35" i="26"/>
  <c r="AG35" i="26"/>
  <c r="AK35" i="26"/>
  <c r="AO35" i="26"/>
  <c r="AS35" i="26"/>
  <c r="AW35" i="26"/>
  <c r="BA35" i="26"/>
  <c r="BE35" i="26"/>
  <c r="BI35" i="26"/>
  <c r="BN35" i="26"/>
  <c r="BR35" i="26"/>
  <c r="BV35" i="26"/>
  <c r="AE35" i="26"/>
  <c r="AJ35" i="26"/>
  <c r="AP35" i="26"/>
  <c r="AU35" i="26"/>
  <c r="AZ35" i="26"/>
  <c r="BF35" i="26"/>
  <c r="BL35" i="26"/>
  <c r="BQ35" i="26"/>
  <c r="BW35" i="26"/>
  <c r="W35" i="26"/>
  <c r="AA35" i="26"/>
  <c r="AF35" i="26"/>
  <c r="AL35" i="26"/>
  <c r="AQ35" i="26"/>
  <c r="AV35" i="26"/>
  <c r="BB35" i="26"/>
  <c r="BG35" i="26"/>
  <c r="BM35" i="26"/>
  <c r="BS35" i="26"/>
  <c r="Y35" i="26"/>
  <c r="AI35" i="26"/>
  <c r="AT35" i="26"/>
  <c r="BD35" i="26"/>
  <c r="BP35" i="26"/>
  <c r="AB35" i="26"/>
  <c r="AM35" i="26"/>
  <c r="AX35" i="26"/>
  <c r="BH35" i="26"/>
  <c r="BT35" i="26"/>
  <c r="AD35" i="26"/>
  <c r="AN35" i="26"/>
  <c r="AY35" i="26"/>
  <c r="BJ35" i="26"/>
  <c r="BU35" i="26"/>
  <c r="X35" i="26"/>
  <c r="AH35" i="26"/>
  <c r="AR35" i="26"/>
  <c r="BC35" i="26"/>
  <c r="BO35" i="26"/>
  <c r="BA46" i="26"/>
  <c r="AF46" i="26"/>
  <c r="BI46" i="26"/>
  <c r="AB36" i="26"/>
  <c r="AF36" i="26"/>
  <c r="AJ36" i="26"/>
  <c r="AN36" i="26"/>
  <c r="AR36" i="26"/>
  <c r="AV36" i="26"/>
  <c r="AZ36" i="26"/>
  <c r="BD36" i="26"/>
  <c r="BH36" i="26"/>
  <c r="BQ36" i="26"/>
  <c r="BU36" i="26"/>
  <c r="AE36" i="26"/>
  <c r="AK36" i="26"/>
  <c r="AP36" i="26"/>
  <c r="AU36" i="26"/>
  <c r="BA36" i="26"/>
  <c r="BF36" i="26"/>
  <c r="BR36" i="26"/>
  <c r="BW36" i="26"/>
  <c r="AA36" i="26"/>
  <c r="AG36" i="26"/>
  <c r="AL36" i="26"/>
  <c r="AQ36" i="26"/>
  <c r="AW36" i="26"/>
  <c r="BB36" i="26"/>
  <c r="BG36" i="26"/>
  <c r="BS36" i="26"/>
  <c r="AI36" i="26"/>
  <c r="AT36" i="26"/>
  <c r="BE36" i="26"/>
  <c r="BP36" i="26"/>
  <c r="AC36" i="26"/>
  <c r="AM36" i="26"/>
  <c r="AX36" i="26"/>
  <c r="BI36" i="26"/>
  <c r="BT36" i="26"/>
  <c r="AD36" i="26"/>
  <c r="AO36" i="26"/>
  <c r="AY36" i="26"/>
  <c r="BJ36" i="26"/>
  <c r="BV36" i="26"/>
  <c r="AH36" i="26"/>
  <c r="AS36" i="26"/>
  <c r="BC36" i="26"/>
  <c r="AD46" i="26"/>
  <c r="BS46" i="26"/>
  <c r="AB46" i="26"/>
  <c r="BG46" i="26"/>
  <c r="V35" i="26"/>
  <c r="V36" i="26"/>
  <c r="AD29" i="26"/>
  <c r="AH29" i="26"/>
  <c r="AL29" i="26"/>
  <c r="AP29" i="26"/>
  <c r="AT29" i="26"/>
  <c r="AX29" i="26"/>
  <c r="BB29" i="26"/>
  <c r="BF29" i="26"/>
  <c r="BJ29" i="26"/>
  <c r="BS29" i="26"/>
  <c r="BW29" i="26"/>
  <c r="AU29" i="26"/>
  <c r="AY29" i="26"/>
  <c r="AE29" i="26"/>
  <c r="AI29" i="26"/>
  <c r="AM29" i="26"/>
  <c r="AQ29" i="26"/>
  <c r="AA29" i="26"/>
  <c r="AF29" i="26"/>
  <c r="AJ29" i="26"/>
  <c r="AN29" i="26"/>
  <c r="AR29" i="26"/>
  <c r="AV29" i="26"/>
  <c r="AZ29" i="26"/>
  <c r="BD29" i="26"/>
  <c r="BH29" i="26"/>
  <c r="BQ29" i="26"/>
  <c r="BU29" i="26"/>
  <c r="AO29" i="26"/>
  <c r="BC29" i="26"/>
  <c r="BT29" i="26"/>
  <c r="V29" i="26"/>
  <c r="BA29" i="26"/>
  <c r="AC29" i="26"/>
  <c r="AS29" i="26"/>
  <c r="BE29" i="26"/>
  <c r="BV29" i="26"/>
  <c r="AB29" i="26"/>
  <c r="AG29" i="26"/>
  <c r="AW29" i="26"/>
  <c r="BG29" i="26"/>
  <c r="BP29" i="26"/>
  <c r="AK29" i="26"/>
  <c r="BI29" i="26"/>
  <c r="BR29" i="26"/>
  <c r="AB28" i="26"/>
  <c r="AD28" i="26"/>
  <c r="AH28" i="26"/>
  <c r="AL28" i="26"/>
  <c r="AP28" i="26"/>
  <c r="AT28" i="26"/>
  <c r="AX28" i="26"/>
  <c r="BB28" i="26"/>
  <c r="BF28" i="26"/>
  <c r="BJ28" i="26"/>
  <c r="BS28" i="26"/>
  <c r="BW28" i="26"/>
  <c r="V28" i="26"/>
  <c r="AE28" i="26"/>
  <c r="AI28" i="26"/>
  <c r="AM28" i="26"/>
  <c r="AQ28" i="26"/>
  <c r="AU28" i="26"/>
  <c r="AY28" i="26"/>
  <c r="BC28" i="26"/>
  <c r="BG28" i="26"/>
  <c r="BP28" i="26"/>
  <c r="BT28" i="26"/>
  <c r="AA28" i="26"/>
  <c r="AF28" i="26"/>
  <c r="AJ28" i="26"/>
  <c r="AN28" i="26"/>
  <c r="AR28" i="26"/>
  <c r="AV28" i="26"/>
  <c r="AZ28" i="26"/>
  <c r="BD28" i="26"/>
  <c r="BH28" i="26"/>
  <c r="BQ28" i="26"/>
  <c r="BU28" i="26"/>
  <c r="AC28" i="26"/>
  <c r="AS28" i="26"/>
  <c r="BI28" i="26"/>
  <c r="AG28" i="26"/>
  <c r="AW28" i="26"/>
  <c r="AK28" i="26"/>
  <c r="BA28" i="26"/>
  <c r="BR28" i="26"/>
  <c r="AO28" i="26"/>
  <c r="BE28" i="26"/>
  <c r="BV28" i="26"/>
  <c r="AX211" i="6"/>
  <c r="BI214" i="6"/>
  <c r="BI217" i="6" s="1"/>
  <c r="BH126" i="30"/>
  <c r="F48" i="30"/>
  <c r="E48" i="30"/>
  <c r="AF284" i="26"/>
  <c r="BD284" i="26"/>
  <c r="AI284" i="26"/>
  <c r="AZ284" i="26"/>
  <c r="AR284" i="26"/>
  <c r="BB284" i="26"/>
  <c r="AL284" i="26"/>
  <c r="AV284" i="26"/>
  <c r="AA284" i="26"/>
  <c r="BE284" i="26"/>
  <c r="AY284" i="26"/>
  <c r="AC284" i="26"/>
  <c r="AO284" i="26"/>
  <c r="BH284" i="26"/>
  <c r="AM284" i="26"/>
  <c r="AX284" i="26"/>
  <c r="AX289" i="26" s="1"/>
  <c r="AH284" i="26"/>
  <c r="AK284" i="26"/>
  <c r="BA284" i="26"/>
  <c r="AJ284" i="26"/>
  <c r="BI284" i="26"/>
  <c r="BI289" i="26" s="1"/>
  <c r="AN284" i="26"/>
  <c r="V284" i="26"/>
  <c r="AW284" i="26"/>
  <c r="AB284" i="26"/>
  <c r="BF284" i="26"/>
  <c r="AP284" i="26"/>
  <c r="BG284" i="26"/>
  <c r="BG289" i="26" s="1"/>
  <c r="AQ284" i="26"/>
  <c r="AU284" i="26"/>
  <c r="AS284" i="26"/>
  <c r="AE284" i="26"/>
  <c r="AE289" i="26" s="1"/>
  <c r="BC284" i="26"/>
  <c r="AG284" i="26"/>
  <c r="BJ284" i="26"/>
  <c r="AT284" i="26"/>
  <c r="AD284" i="26"/>
  <c r="AD289" i="26" s="1"/>
  <c r="V119" i="26"/>
  <c r="BW94" i="26"/>
  <c r="BW220" i="26" s="1"/>
  <c r="BS94" i="26"/>
  <c r="BS220" i="26" s="1"/>
  <c r="BV94" i="26"/>
  <c r="BV220" i="26" s="1"/>
  <c r="BR94" i="26"/>
  <c r="BR220" i="26" s="1"/>
  <c r="V94" i="26"/>
  <c r="BU94" i="26"/>
  <c r="BU220" i="26" s="1"/>
  <c r="BQ94" i="26"/>
  <c r="BQ220" i="26" s="1"/>
  <c r="BT94" i="26"/>
  <c r="BT220" i="26" s="1"/>
  <c r="BP94" i="26"/>
  <c r="BP220" i="26" s="1"/>
  <c r="BW121" i="26"/>
  <c r="V121" i="26"/>
  <c r="BS121" i="26"/>
  <c r="BQ121" i="26"/>
  <c r="BT121" i="26"/>
  <c r="BV121" i="26"/>
  <c r="BP121" i="26"/>
  <c r="BR121" i="26"/>
  <c r="BU121" i="26"/>
  <c r="BR119" i="26"/>
  <c r="BV119" i="26"/>
  <c r="BU119" i="26"/>
  <c r="BQ119" i="26"/>
  <c r="BT119" i="26"/>
  <c r="BP119" i="26"/>
  <c r="BW119" i="26"/>
  <c r="BS119" i="26"/>
  <c r="AZ289" i="26" l="1"/>
  <c r="AZ46" i="26"/>
  <c r="AN289" i="26"/>
  <c r="AB289" i="26"/>
  <c r="AC289" i="26"/>
  <c r="AP289" i="26"/>
  <c r="AG46" i="26"/>
  <c r="AX46" i="26"/>
  <c r="BV46" i="26"/>
  <c r="AN46" i="26"/>
  <c r="BZ35" i="26"/>
  <c r="CS43" i="26"/>
  <c r="CK43" i="26" s="1"/>
  <c r="BZ43" i="26"/>
  <c r="BA289" i="26"/>
  <c r="CS35" i="26"/>
  <c r="CK35" i="26" s="1"/>
  <c r="AG289" i="26"/>
  <c r="CS211" i="26"/>
  <c r="CK211" i="26" s="1"/>
  <c r="V46" i="26"/>
  <c r="AT289" i="26"/>
  <c r="AV289" i="26"/>
  <c r="AP46" i="26"/>
  <c r="AE46" i="26"/>
  <c r="BC289" i="26"/>
  <c r="AQ289" i="26"/>
  <c r="AH289" i="26"/>
  <c r="AR289" i="26"/>
  <c r="AH46" i="26"/>
  <c r="CS69" i="26"/>
  <c r="CK69" i="26" s="1"/>
  <c r="AA285" i="26"/>
  <c r="V207" i="26"/>
  <c r="V285" i="26"/>
  <c r="V220" i="26"/>
  <c r="V182" i="30"/>
  <c r="AW289" i="26"/>
  <c r="AS289" i="26"/>
  <c r="AL289" i="26"/>
  <c r="AK46" i="26"/>
  <c r="AU46" i="26"/>
  <c r="AL46" i="26"/>
  <c r="AU289" i="26"/>
  <c r="AK289" i="26"/>
  <c r="BH289" i="26"/>
  <c r="AS182" i="30"/>
  <c r="AW46" i="26"/>
  <c r="BH46" i="26"/>
  <c r="AO289" i="26"/>
  <c r="AF289" i="26"/>
  <c r="BW46" i="26"/>
  <c r="AO46" i="26"/>
  <c r="AM289" i="26"/>
  <c r="AI289" i="26"/>
  <c r="BE46" i="26"/>
  <c r="AM46" i="26"/>
  <c r="BD46" i="26"/>
  <c r="AC46" i="26"/>
  <c r="BC46" i="26"/>
  <c r="AQ46" i="26"/>
  <c r="AR46" i="26"/>
  <c r="BE289" i="26"/>
  <c r="BB289" i="26"/>
  <c r="BD289" i="26"/>
  <c r="BT46" i="26"/>
  <c r="BU46" i="26"/>
  <c r="AK183" i="30"/>
  <c r="AK83" i="35" s="1"/>
  <c r="AA289" i="26"/>
  <c r="BD182" i="30"/>
  <c r="AN182" i="30"/>
  <c r="BS182" i="30"/>
  <c r="AX182" i="30"/>
  <c r="BB46" i="26"/>
  <c r="AS46" i="26"/>
  <c r="AA46" i="26"/>
  <c r="AI46" i="26"/>
  <c r="AG182" i="30"/>
  <c r="AB183" i="30"/>
  <c r="AB83" i="35" s="1"/>
  <c r="BH183" i="30"/>
  <c r="BH83" i="35" s="1"/>
  <c r="AR183" i="30"/>
  <c r="AR83" i="35" s="1"/>
  <c r="BE182" i="30"/>
  <c r="BH182" i="30"/>
  <c r="BB182" i="30"/>
  <c r="BV183" i="30"/>
  <c r="BV83" i="35" s="1"/>
  <c r="AT183" i="30"/>
  <c r="AT83" i="35" s="1"/>
  <c r="AD183" i="30"/>
  <c r="AD83" i="35" s="1"/>
  <c r="AO182" i="30"/>
  <c r="AY182" i="30"/>
  <c r="AH182" i="30"/>
  <c r="AC182" i="30"/>
  <c r="AW183" i="30"/>
  <c r="AW83" i="35" s="1"/>
  <c r="AT46" i="26"/>
  <c r="BP46" i="26"/>
  <c r="AV46" i="26"/>
  <c r="AZ182" i="30"/>
  <c r="BP182" i="30"/>
  <c r="AU182" i="30"/>
  <c r="AE182" i="30"/>
  <c r="AS183" i="30"/>
  <c r="AS83" i="35" s="1"/>
  <c r="BW183" i="30"/>
  <c r="BW83" i="35" s="1"/>
  <c r="BV182" i="30"/>
  <c r="BI182" i="30"/>
  <c r="BQ182" i="30"/>
  <c r="AF182" i="30"/>
  <c r="AX183" i="30"/>
  <c r="AX83" i="35" s="1"/>
  <c r="AH183" i="30"/>
  <c r="AH83" i="35" s="1"/>
  <c r="BQ46" i="26"/>
  <c r="AY289" i="26"/>
  <c r="AY46" i="26"/>
  <c r="BF289" i="26"/>
  <c r="BF46" i="26"/>
  <c r="BJ182" i="30"/>
  <c r="AV182" i="30"/>
  <c r="AP182" i="30"/>
  <c r="AA182" i="30"/>
  <c r="BR46" i="26"/>
  <c r="AJ289" i="26"/>
  <c r="AJ46" i="26"/>
  <c r="BJ46" i="26"/>
  <c r="BG182" i="30"/>
  <c r="BJ289" i="26"/>
  <c r="AW182" i="30"/>
  <c r="BR182" i="30"/>
  <c r="AJ182" i="30"/>
  <c r="BA182" i="30"/>
  <c r="AQ182" i="30"/>
  <c r="BF182" i="30"/>
  <c r="BU182" i="30"/>
  <c r="AK182" i="30"/>
  <c r="BT182" i="30"/>
  <c r="AI182" i="30"/>
  <c r="AR182" i="30"/>
  <c r="BW182" i="30"/>
  <c r="AL182" i="30"/>
  <c r="AT182" i="30"/>
  <c r="AD182" i="30"/>
  <c r="BC182" i="30"/>
  <c r="AM182" i="30"/>
  <c r="AC183" i="30"/>
  <c r="AA183" i="30"/>
  <c r="BQ183" i="30"/>
  <c r="AV183" i="30"/>
  <c r="AF183" i="30"/>
  <c r="BR183" i="30"/>
  <c r="BR83" i="35" s="1"/>
  <c r="BG183" i="30"/>
  <c r="BG83" i="35" s="1"/>
  <c r="BA183" i="30"/>
  <c r="BA83" i="35" s="1"/>
  <c r="BD183" i="30"/>
  <c r="AN183" i="30"/>
  <c r="AQ183" i="30"/>
  <c r="AQ83" i="35" s="1"/>
  <c r="BU183" i="30"/>
  <c r="BU83" i="35" s="1"/>
  <c r="AZ183" i="30"/>
  <c r="AJ183" i="30"/>
  <c r="AJ83" i="35" s="1"/>
  <c r="BP183" i="30"/>
  <c r="BI183" i="30"/>
  <c r="V183" i="30"/>
  <c r="AU183" i="30"/>
  <c r="BC183" i="30"/>
  <c r="BC83" i="35" s="1"/>
  <c r="BS183" i="30"/>
  <c r="AY183" i="30"/>
  <c r="BT183" i="30"/>
  <c r="BT83" i="35" s="1"/>
  <c r="AI183" i="30"/>
  <c r="AI83" i="35" s="1"/>
  <c r="AO183" i="30"/>
  <c r="BJ183" i="30"/>
  <c r="AG183" i="30"/>
  <c r="BB183" i="30"/>
  <c r="AL183" i="30"/>
  <c r="AL83" i="35" s="1"/>
  <c r="BE183" i="30"/>
  <c r="AM183" i="30"/>
  <c r="AM83" i="35" s="1"/>
  <c r="BF183" i="30"/>
  <c r="BF83" i="35" s="1"/>
  <c r="AP183" i="30"/>
  <c r="AB32" i="26"/>
  <c r="AB182" i="30"/>
  <c r="AE183" i="30"/>
  <c r="BC251" i="26"/>
  <c r="BU251" i="26"/>
  <c r="AL251" i="26"/>
  <c r="AY251" i="26"/>
  <c r="BP251" i="26"/>
  <c r="AH251" i="26"/>
  <c r="BE251" i="26"/>
  <c r="AO251" i="26"/>
  <c r="BW251" i="26"/>
  <c r="AZ251" i="26"/>
  <c r="AJ251" i="26"/>
  <c r="BL251" i="26"/>
  <c r="AU251" i="26"/>
  <c r="BJ251" i="26"/>
  <c r="AD251" i="26"/>
  <c r="AQ251" i="26"/>
  <c r="BF251" i="26"/>
  <c r="V251" i="26"/>
  <c r="BA251" i="26"/>
  <c r="AK251" i="26"/>
  <c r="BS251" i="26"/>
  <c r="AV251" i="26"/>
  <c r="AF251" i="26"/>
  <c r="BQ251" i="26"/>
  <c r="BV251" i="26"/>
  <c r="BB251" i="26"/>
  <c r="BR251" i="26"/>
  <c r="AI251" i="26"/>
  <c r="AX251" i="26"/>
  <c r="BT251" i="26"/>
  <c r="AW251" i="26"/>
  <c r="AG251" i="26"/>
  <c r="BH251" i="26"/>
  <c r="AR251" i="26"/>
  <c r="AB251" i="26"/>
  <c r="AE251" i="26"/>
  <c r="AM251" i="26"/>
  <c r="AT251" i="26"/>
  <c r="BG251" i="26"/>
  <c r="AA251" i="26"/>
  <c r="AP251" i="26"/>
  <c r="BI251" i="26"/>
  <c r="AS251" i="26"/>
  <c r="AC251" i="26"/>
  <c r="BD251" i="26"/>
  <c r="AN251" i="26"/>
  <c r="AQ225" i="26"/>
  <c r="AX225" i="26"/>
  <c r="BT225" i="26"/>
  <c r="AM225" i="26"/>
  <c r="BB225" i="26"/>
  <c r="BR225" i="26"/>
  <c r="BA225" i="26"/>
  <c r="AK225" i="26"/>
  <c r="BU225" i="26"/>
  <c r="BD225" i="26"/>
  <c r="AN225" i="26"/>
  <c r="BP225" i="26"/>
  <c r="BW225" i="26"/>
  <c r="AP225" i="26"/>
  <c r="BL225" i="26"/>
  <c r="AE225" i="26"/>
  <c r="AT225" i="26"/>
  <c r="AB225" i="26"/>
  <c r="AW225" i="26"/>
  <c r="AG225" i="26"/>
  <c r="BQ225" i="26"/>
  <c r="AZ225" i="26"/>
  <c r="AJ225" i="26"/>
  <c r="AI225" i="26"/>
  <c r="AH225" i="26"/>
  <c r="BC225" i="26"/>
  <c r="BS225" i="26"/>
  <c r="AL225" i="26"/>
  <c r="BI225" i="26"/>
  <c r="AS225" i="26"/>
  <c r="AC225" i="26"/>
  <c r="AV225" i="26"/>
  <c r="AF225" i="26"/>
  <c r="AY225" i="26"/>
  <c r="BG225" i="26"/>
  <c r="BF225" i="26"/>
  <c r="V225" i="26"/>
  <c r="AU225" i="26"/>
  <c r="BJ225" i="26"/>
  <c r="AD225" i="26"/>
  <c r="BV225" i="26"/>
  <c r="BE225" i="26"/>
  <c r="AO225" i="26"/>
  <c r="BH225" i="26"/>
  <c r="AR225" i="26"/>
  <c r="AA225" i="26"/>
  <c r="V219" i="26"/>
  <c r="BW219" i="26"/>
  <c r="BC39" i="26"/>
  <c r="BC116" i="1" s="1"/>
  <c r="BU39" i="26"/>
  <c r="BU116" i="1" s="1"/>
  <c r="BU95" i="20" s="1"/>
  <c r="AD39" i="26"/>
  <c r="AD116" i="1" s="1"/>
  <c r="AM39" i="26"/>
  <c r="AM116" i="1" s="1"/>
  <c r="AT39" i="26"/>
  <c r="AT116" i="1" s="1"/>
  <c r="AQ39" i="26"/>
  <c r="AQ116" i="1" s="1"/>
  <c r="BF39" i="26"/>
  <c r="BF116" i="1" s="1"/>
  <c r="AJ39" i="26"/>
  <c r="AJ116" i="1" s="1"/>
  <c r="BR39" i="26"/>
  <c r="BR116" i="1" s="1"/>
  <c r="BR95" i="20" s="1"/>
  <c r="BA39" i="26"/>
  <c r="BA116" i="1" s="1"/>
  <c r="AK39" i="26"/>
  <c r="AK116" i="1" s="1"/>
  <c r="AR39" i="26"/>
  <c r="AR116" i="1" s="1"/>
  <c r="BJ39" i="26"/>
  <c r="BJ116" i="1" s="1"/>
  <c r="BT39" i="26"/>
  <c r="BT116" i="1" s="1"/>
  <c r="BT95" i="20" s="1"/>
  <c r="AB39" i="26"/>
  <c r="AB116" i="1" s="1"/>
  <c r="AI39" i="26"/>
  <c r="AI116" i="1" s="1"/>
  <c r="BG39" i="26"/>
  <c r="BG116" i="1" s="1"/>
  <c r="AL39" i="26"/>
  <c r="AL116" i="1" s="1"/>
  <c r="BW39" i="26"/>
  <c r="BW116" i="1" s="1"/>
  <c r="BW95" i="20" s="1"/>
  <c r="AZ39" i="26"/>
  <c r="AZ116" i="1" s="1"/>
  <c r="AE39" i="26"/>
  <c r="AE116" i="1" s="1"/>
  <c r="AW39" i="26"/>
  <c r="AW116" i="1" s="1"/>
  <c r="AG39" i="26"/>
  <c r="AG116" i="1" s="1"/>
  <c r="AH39" i="26"/>
  <c r="AH116" i="1" s="1"/>
  <c r="AY39" i="26"/>
  <c r="AY116" i="1" s="1"/>
  <c r="BH39" i="26"/>
  <c r="BH116" i="1" s="1"/>
  <c r="BP39" i="26"/>
  <c r="BP116" i="1" s="1"/>
  <c r="BP95" i="20" s="1"/>
  <c r="BB39" i="26"/>
  <c r="BB116" i="1" s="1"/>
  <c r="AF39" i="26"/>
  <c r="AF116" i="1" s="1"/>
  <c r="BQ39" i="26"/>
  <c r="BQ116" i="1" s="1"/>
  <c r="BQ95" i="20" s="1"/>
  <c r="AU39" i="26"/>
  <c r="AU116" i="1" s="1"/>
  <c r="BI39" i="26"/>
  <c r="BI116" i="1" s="1"/>
  <c r="AS39" i="26"/>
  <c r="AS116" i="1" s="1"/>
  <c r="AC39" i="26"/>
  <c r="AC116" i="1" s="1"/>
  <c r="AN39" i="26"/>
  <c r="AN116" i="1" s="1"/>
  <c r="AX39" i="26"/>
  <c r="AX116" i="1" s="1"/>
  <c r="BD39" i="26"/>
  <c r="BD116" i="1" s="1"/>
  <c r="BS39" i="26"/>
  <c r="BS116" i="1" s="1"/>
  <c r="BS95" i="20" s="1"/>
  <c r="AV39" i="26"/>
  <c r="AV116" i="1" s="1"/>
  <c r="AA39" i="26"/>
  <c r="AA116" i="1" s="1"/>
  <c r="AA117" i="1" s="1"/>
  <c r="AA119" i="1" s="1"/>
  <c r="AP39" i="26"/>
  <c r="AP116" i="1" s="1"/>
  <c r="BV39" i="26"/>
  <c r="BV116" i="1" s="1"/>
  <c r="BV95" i="20" s="1"/>
  <c r="BE39" i="26"/>
  <c r="BE116" i="1" s="1"/>
  <c r="AO39" i="26"/>
  <c r="AO116" i="1" s="1"/>
  <c r="V39" i="26"/>
  <c r="V32" i="26"/>
  <c r="BW32" i="26"/>
  <c r="BJ214" i="6"/>
  <c r="BJ217" i="6" s="1"/>
  <c r="AX125" i="30"/>
  <c r="AY204" i="6"/>
  <c r="AA204" i="26"/>
  <c r="AY204" i="26"/>
  <c r="BJ32" i="26"/>
  <c r="AC32" i="26"/>
  <c r="AP32" i="26"/>
  <c r="BA32" i="26"/>
  <c r="AN32" i="26"/>
  <c r="AJ32" i="26"/>
  <c r="AV32" i="26"/>
  <c r="BT32" i="26"/>
  <c r="BR32" i="26"/>
  <c r="AY32" i="26"/>
  <c r="AH32" i="26"/>
  <c r="AZ32" i="26"/>
  <c r="BD32" i="26"/>
  <c r="BE32" i="26"/>
  <c r="AD32" i="26"/>
  <c r="BS207" i="26"/>
  <c r="AL32" i="26"/>
  <c r="AU32" i="26"/>
  <c r="BQ205" i="26"/>
  <c r="BU205" i="26"/>
  <c r="BQ207" i="26"/>
  <c r="AK32" i="26"/>
  <c r="BI32" i="26"/>
  <c r="AW32" i="26"/>
  <c r="AO32" i="26"/>
  <c r="BV32" i="26"/>
  <c r="BP32" i="26"/>
  <c r="AT32" i="26"/>
  <c r="AA32" i="26"/>
  <c r="BC32" i="26"/>
  <c r="BT205" i="26"/>
  <c r="BR205" i="26"/>
  <c r="BW207" i="26"/>
  <c r="BU207" i="26"/>
  <c r="AR32" i="26"/>
  <c r="BS32" i="26"/>
  <c r="BB32" i="26"/>
  <c r="BV205" i="26"/>
  <c r="AS32" i="26"/>
  <c r="BQ32" i="26"/>
  <c r="AI32" i="26"/>
  <c r="AE32" i="26"/>
  <c r="AX32" i="26"/>
  <c r="BW205" i="26"/>
  <c r="BP207" i="26"/>
  <c r="AG32" i="26"/>
  <c r="BU32" i="26"/>
  <c r="AF32" i="26"/>
  <c r="BH32" i="26"/>
  <c r="AQ32" i="26"/>
  <c r="AM32" i="26"/>
  <c r="BG32" i="26"/>
  <c r="BF32" i="26"/>
  <c r="V205" i="26"/>
  <c r="BP205" i="26"/>
  <c r="BT207" i="26"/>
  <c r="BR207" i="26"/>
  <c r="AV218" i="26"/>
  <c r="AJ218" i="26"/>
  <c r="AN218" i="26"/>
  <c r="AQ218" i="26"/>
  <c r="BS218" i="26"/>
  <c r="AS218" i="26"/>
  <c r="BT218" i="26"/>
  <c r="AO218" i="26"/>
  <c r="BJ218" i="26"/>
  <c r="AE218" i="26"/>
  <c r="BA218" i="26"/>
  <c r="BW218" i="26"/>
  <c r="AR218" i="26"/>
  <c r="BU218" i="26"/>
  <c r="AA218" i="26"/>
  <c r="AW218" i="26"/>
  <c r="AC218" i="26"/>
  <c r="AX218" i="26"/>
  <c r="AT218" i="26"/>
  <c r="BP218" i="26"/>
  <c r="AK218" i="26"/>
  <c r="BF218" i="26"/>
  <c r="AB218" i="26"/>
  <c r="AF218" i="26"/>
  <c r="AG218" i="26"/>
  <c r="BB218" i="26"/>
  <c r="AH218" i="26"/>
  <c r="BC218" i="26"/>
  <c r="AD218" i="26"/>
  <c r="AY218" i="26"/>
  <c r="BQ218" i="26"/>
  <c r="AP218" i="26"/>
  <c r="BR218" i="26"/>
  <c r="BD218" i="26"/>
  <c r="BV218" i="26"/>
  <c r="BH218" i="26"/>
  <c r="AL218" i="26"/>
  <c r="BG218" i="26"/>
  <c r="AM218" i="26"/>
  <c r="BI218" i="26"/>
  <c r="AI218" i="26"/>
  <c r="BE218" i="26"/>
  <c r="AU218" i="26"/>
  <c r="AZ218" i="26"/>
  <c r="AJ204" i="26"/>
  <c r="AS204" i="26"/>
  <c r="BA204" i="26"/>
  <c r="BQ204" i="26"/>
  <c r="V204" i="26"/>
  <c r="AI204" i="26"/>
  <c r="AV204" i="26"/>
  <c r="AT204" i="26"/>
  <c r="BC204" i="26"/>
  <c r="AP204" i="26"/>
  <c r="AG204" i="26"/>
  <c r="BU204" i="26"/>
  <c r="AF204" i="26"/>
  <c r="BH204" i="26"/>
  <c r="AQ204" i="26"/>
  <c r="AC204" i="26"/>
  <c r="BB204" i="26"/>
  <c r="AE204" i="26"/>
  <c r="BT204" i="26"/>
  <c r="AX204" i="26"/>
  <c r="V218" i="26"/>
  <c r="BR204" i="26"/>
  <c r="AZ204" i="26"/>
  <c r="AR204" i="26"/>
  <c r="BD204" i="26"/>
  <c r="BE204" i="26"/>
  <c r="AN204" i="26"/>
  <c r="AD204" i="26"/>
  <c r="BJ204" i="26"/>
  <c r="AM204" i="26"/>
  <c r="BG204" i="26"/>
  <c r="BF204" i="26"/>
  <c r="AK204" i="26"/>
  <c r="BI204" i="26"/>
  <c r="AB204" i="26"/>
  <c r="AW204" i="26"/>
  <c r="AO204" i="26"/>
  <c r="BV204" i="26"/>
  <c r="BP204" i="26"/>
  <c r="AL204" i="26"/>
  <c r="BS204" i="26"/>
  <c r="AU204" i="26"/>
  <c r="AH204" i="26"/>
  <c r="BW204" i="26"/>
  <c r="BU248" i="26"/>
  <c r="BT248" i="26"/>
  <c r="BW248" i="26"/>
  <c r="BR248" i="26"/>
  <c r="BQ248" i="26"/>
  <c r="BP248" i="26"/>
  <c r="BS248" i="26"/>
  <c r="BV207" i="26"/>
  <c r="BV248" i="26"/>
  <c r="V248" i="26"/>
  <c r="V289" i="26" l="1"/>
  <c r="CS225" i="26"/>
  <c r="CK225" i="26" s="1"/>
  <c r="CS251" i="26"/>
  <c r="CK251" i="26" s="1"/>
  <c r="AE83" i="35"/>
  <c r="BB83" i="35"/>
  <c r="BP83" i="35"/>
  <c r="AG83" i="35"/>
  <c r="AU83" i="35"/>
  <c r="AN83" i="35"/>
  <c r="AA83" i="35"/>
  <c r="BQ83" i="35"/>
  <c r="BE83" i="35"/>
  <c r="BJ83" i="35"/>
  <c r="AY83" i="35"/>
  <c r="V83" i="35"/>
  <c r="AZ83" i="35"/>
  <c r="BD83" i="35"/>
  <c r="AF83" i="35"/>
  <c r="AC83" i="35"/>
  <c r="AP83" i="35"/>
  <c r="AO83" i="35"/>
  <c r="BS83" i="35"/>
  <c r="BI83" i="35"/>
  <c r="AV83" i="35"/>
  <c r="V116" i="1"/>
  <c r="AY211" i="6"/>
  <c r="BJ126" i="30"/>
  <c r="AA197" i="1"/>
  <c r="AA160" i="1"/>
  <c r="AA165" i="1" s="1"/>
  <c r="AS116" i="20"/>
  <c r="BC116" i="20"/>
  <c r="AG116" i="20"/>
  <c r="AK116" i="20"/>
  <c r="AT116" i="20"/>
  <c r="AH116" i="20"/>
  <c r="AB116" i="20"/>
  <c r="AV116" i="20"/>
  <c r="BI116" i="20"/>
  <c r="AE116" i="20"/>
  <c r="AR116" i="20"/>
  <c r="AW116" i="20"/>
  <c r="AI116" i="20"/>
  <c r="BA116" i="20"/>
  <c r="BJ116" i="20"/>
  <c r="BG116" i="20"/>
  <c r="AO116" i="20"/>
  <c r="AX116" i="20"/>
  <c r="AL116" i="20"/>
  <c r="AU116" i="20"/>
  <c r="AF116" i="20"/>
  <c r="AP116" i="20"/>
  <c r="AY116" i="20"/>
  <c r="AM116" i="20"/>
  <c r="AQ116" i="20"/>
  <c r="BE116" i="20"/>
  <c r="AA116" i="20"/>
  <c r="AC116" i="20"/>
  <c r="BB116" i="20"/>
  <c r="BH116" i="20"/>
  <c r="BF116" i="20"/>
  <c r="AD116" i="20"/>
  <c r="AJ116" i="20"/>
  <c r="AZ116" i="20"/>
  <c r="AN116" i="20"/>
  <c r="BD116" i="20"/>
  <c r="V85" i="33"/>
  <c r="W203" i="26"/>
  <c r="CB130" i="26"/>
  <c r="CB144" i="26"/>
  <c r="CB143" i="26"/>
  <c r="CB142" i="26"/>
  <c r="CB141" i="26"/>
  <c r="CB140" i="26"/>
  <c r="CB139" i="26"/>
  <c r="CB138" i="26"/>
  <c r="CB137" i="26"/>
  <c r="CB136" i="26"/>
  <c r="CB135" i="26"/>
  <c r="CB134" i="26"/>
  <c r="CB133" i="26"/>
  <c r="CB132" i="26"/>
  <c r="CB131" i="26"/>
  <c r="BL27" i="26"/>
  <c r="CS27" i="26" s="1"/>
  <c r="CK27" i="26" s="1"/>
  <c r="BL26" i="26"/>
  <c r="CS26" i="26" s="1"/>
  <c r="CK26" i="26" s="1"/>
  <c r="BL25" i="26"/>
  <c r="CS25" i="26" s="1"/>
  <c r="CK25" i="26" s="1"/>
  <c r="BL24" i="26"/>
  <c r="CS24" i="26" s="1"/>
  <c r="CK24" i="26" s="1"/>
  <c r="BL23" i="26"/>
  <c r="CS23" i="26" s="1"/>
  <c r="CK23" i="26" s="1"/>
  <c r="BL22" i="26"/>
  <c r="CS22" i="26" s="1"/>
  <c r="CK22" i="26" s="1"/>
  <c r="BL21" i="26"/>
  <c r="CS21" i="26" s="1"/>
  <c r="CK21" i="26" s="1"/>
  <c r="BL20" i="26"/>
  <c r="CS20" i="26" s="1"/>
  <c r="CK20" i="26" s="1"/>
  <c r="BL19" i="26"/>
  <c r="CS19" i="26" s="1"/>
  <c r="CK19" i="26" s="1"/>
  <c r="BL18" i="26"/>
  <c r="CS18" i="26" s="1"/>
  <c r="CK18" i="26" s="1"/>
  <c r="BL17" i="26"/>
  <c r="CS17" i="26" s="1"/>
  <c r="CK17" i="26" s="1"/>
  <c r="BL16" i="26"/>
  <c r="CS16" i="26" s="1"/>
  <c r="CK16" i="26" s="1"/>
  <c r="BL15" i="26"/>
  <c r="CS15" i="26" s="1"/>
  <c r="CK15" i="26" s="1"/>
  <c r="BL14" i="26"/>
  <c r="CS14" i="26" s="1"/>
  <c r="CK14" i="26" s="1"/>
  <c r="BL13" i="26"/>
  <c r="CS13" i="26" s="1"/>
  <c r="CK13" i="26" s="1"/>
  <c r="CB118" i="26"/>
  <c r="CB117" i="26"/>
  <c r="CB116" i="26"/>
  <c r="CB115" i="26"/>
  <c r="CB114" i="26"/>
  <c r="CB113" i="26"/>
  <c r="CB112" i="26"/>
  <c r="CB111" i="26"/>
  <c r="CB110" i="26"/>
  <c r="CB109" i="26"/>
  <c r="CB108" i="26"/>
  <c r="CB107" i="26"/>
  <c r="CB106" i="26"/>
  <c r="CB105" i="26"/>
  <c r="CB104" i="26"/>
  <c r="CB78" i="26"/>
  <c r="CB90" i="26"/>
  <c r="CB79" i="26"/>
  <c r="CB80" i="26"/>
  <c r="CB81" i="26"/>
  <c r="CB82" i="26"/>
  <c r="CB83" i="26"/>
  <c r="CB84" i="26"/>
  <c r="CB85" i="26"/>
  <c r="CB86" i="26"/>
  <c r="CB87" i="26"/>
  <c r="CB88" i="26"/>
  <c r="CB89" i="26"/>
  <c r="CB91" i="26"/>
  <c r="CB92" i="26"/>
  <c r="D5" i="26"/>
  <c r="D4" i="26"/>
  <c r="D3" i="26"/>
  <c r="BL1" i="26"/>
  <c r="AA1" i="26"/>
  <c r="V1" i="26"/>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00" i="22"/>
  <c r="CD37" i="22"/>
  <c r="CC37" i="22"/>
  <c r="CB37" i="22"/>
  <c r="CD36" i="22"/>
  <c r="CC36" i="22"/>
  <c r="CB36" i="22"/>
  <c r="A36" i="22" s="1" a="1"/>
  <c r="A36" i="22" s="1"/>
  <c r="CD35" i="22"/>
  <c r="CC35" i="22"/>
  <c r="CB35" i="22"/>
  <c r="CD34" i="22"/>
  <c r="CC34" i="22"/>
  <c r="CB34" i="22"/>
  <c r="CD33" i="22"/>
  <c r="CC33" i="22"/>
  <c r="CB33" i="22"/>
  <c r="CD32" i="22"/>
  <c r="CC32" i="22"/>
  <c r="CB32" i="22"/>
  <c r="A32" i="22" s="1" a="1"/>
  <c r="A32" i="22" s="1"/>
  <c r="CD31" i="22"/>
  <c r="CC31" i="22"/>
  <c r="CB31" i="22"/>
  <c r="CD30" i="22"/>
  <c r="CC30" i="22"/>
  <c r="CB30" i="22"/>
  <c r="CD29" i="22"/>
  <c r="CC29" i="22"/>
  <c r="CB29" i="22"/>
  <c r="CC28" i="22"/>
  <c r="CB28" i="22"/>
  <c r="CD27" i="22"/>
  <c r="CB27" i="22"/>
  <c r="CD26" i="22"/>
  <c r="CC26" i="22"/>
  <c r="CB26" i="22"/>
  <c r="CD25" i="22"/>
  <c r="CC25" i="22"/>
  <c r="CB25" i="22"/>
  <c r="CD24" i="22"/>
  <c r="CC24" i="22"/>
  <c r="CB24" i="22"/>
  <c r="CD23" i="22"/>
  <c r="CC23" i="22"/>
  <c r="CB23" i="22"/>
  <c r="CD22" i="22"/>
  <c r="CC22" i="22"/>
  <c r="CB22" i="22"/>
  <c r="CD21" i="22"/>
  <c r="CC21" i="22"/>
  <c r="CB21" i="22"/>
  <c r="CD20" i="22"/>
  <c r="CC20" i="22"/>
  <c r="CB20" i="22"/>
  <c r="CD19" i="22"/>
  <c r="CC19" i="22"/>
  <c r="CB19" i="22"/>
  <c r="CD18" i="22"/>
  <c r="CC18" i="22"/>
  <c r="CB18" i="22"/>
  <c r="CD17" i="22"/>
  <c r="CC17" i="22"/>
  <c r="CB17" i="22"/>
  <c r="CD16" i="22"/>
  <c r="CC16" i="22"/>
  <c r="CB16" i="22"/>
  <c r="CD15" i="22"/>
  <c r="CC15" i="22"/>
  <c r="CB15" i="22"/>
  <c r="CD14" i="22"/>
  <c r="CC14" i="22"/>
  <c r="CB14" i="22"/>
  <c r="CD13" i="22"/>
  <c r="CB13" i="22"/>
  <c r="CD12" i="22"/>
  <c r="A12" i="22" s="1" a="1"/>
  <c r="A12" i="22" s="1"/>
  <c r="CD11" i="22"/>
  <c r="CB11"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CD9" i="22"/>
  <c r="CC9" i="22"/>
  <c r="A9" i="22" s="1" a="1"/>
  <c r="A9" i="22" s="1"/>
  <c r="A28" i="22" l="1" a="1"/>
  <c r="A28" i="22" s="1"/>
  <c r="A35" i="22" a="1"/>
  <c r="A35" i="22" s="1"/>
  <c r="A31" i="22" a="1"/>
  <c r="A31" i="22" s="1"/>
  <c r="A13" i="22" a="1"/>
  <c r="A13" i="22" s="1"/>
  <c r="A14" i="22" a="1"/>
  <c r="A14" i="22" s="1"/>
  <c r="A18" i="22" a="1"/>
  <c r="A18" i="22" s="1"/>
  <c r="A22" i="22" a="1"/>
  <c r="A22" i="22" s="1"/>
  <c r="A26" i="22" a="1"/>
  <c r="A26" i="22" s="1"/>
  <c r="A17" i="22" a="1"/>
  <c r="A17" i="22" s="1"/>
  <c r="A21" i="22" a="1"/>
  <c r="A21" i="22" s="1"/>
  <c r="A25" i="22" a="1"/>
  <c r="A25" i="22" s="1"/>
  <c r="V107" i="6"/>
  <c r="A16" i="22" a="1"/>
  <c r="A16" i="22" s="1"/>
  <c r="A20" i="22" a="1"/>
  <c r="A20" i="22" s="1"/>
  <c r="A24" i="22" a="1"/>
  <c r="A24" i="22" s="1"/>
  <c r="A30" i="22" a="1"/>
  <c r="A30" i="22" s="1"/>
  <c r="A34" i="22" a="1"/>
  <c r="A34" i="22" s="1"/>
  <c r="BZ10" i="22"/>
  <c r="A11" i="22" a="1"/>
  <c r="A11" i="22" s="1"/>
  <c r="A15" i="22" a="1"/>
  <c r="A15" i="22" s="1"/>
  <c r="A19" i="22" a="1"/>
  <c r="A19" i="22" s="1"/>
  <c r="A23" i="22" a="1"/>
  <c r="A23" i="22" s="1"/>
  <c r="A27" i="22" a="1"/>
  <c r="A27" i="22" s="1"/>
  <c r="A29" i="22" a="1"/>
  <c r="A29" i="22" s="1"/>
  <c r="A33" i="22" a="1"/>
  <c r="A33" i="22" s="1"/>
  <c r="A37" i="22" a="1"/>
  <c r="A37" i="22" s="1"/>
  <c r="BL31" i="26"/>
  <c r="BL42" i="26"/>
  <c r="CS42" i="26" s="1"/>
  <c r="CK42" i="26" s="1"/>
  <c r="V95" i="20"/>
  <c r="BL95" i="20" s="1"/>
  <c r="CN95" i="20" s="1"/>
  <c r="CF95" i="20" s="1"/>
  <c r="V117" i="1"/>
  <c r="BL29" i="26"/>
  <c r="CS29" i="26" s="1"/>
  <c r="CK29" i="26" s="1"/>
  <c r="BL36" i="26"/>
  <c r="CS36" i="26" s="1"/>
  <c r="CK36" i="26" s="1"/>
  <c r="BL44" i="26"/>
  <c r="CS44" i="26" s="1"/>
  <c r="CK44" i="26" s="1"/>
  <c r="BL30" i="26"/>
  <c r="CS30" i="26" s="1"/>
  <c r="CK30" i="26" s="1"/>
  <c r="BL28" i="26"/>
  <c r="CS28" i="26" s="1"/>
  <c r="CK28" i="26" s="1"/>
  <c r="V116" i="20"/>
  <c r="V152" i="30" s="1"/>
  <c r="AY125" i="30"/>
  <c r="AZ204" i="6"/>
  <c r="AA193" i="1"/>
  <c r="AA203" i="26"/>
  <c r="BL119" i="26"/>
  <c r="CS119" i="26" s="1"/>
  <c r="CK119" i="26" s="1"/>
  <c r="BL94" i="26"/>
  <c r="CS94" i="26" s="1"/>
  <c r="CK94" i="26" s="1"/>
  <c r="BM203" i="26"/>
  <c r="BL121" i="26"/>
  <c r="CD10" i="22"/>
  <c r="CB10" i="22"/>
  <c r="CC10" i="22"/>
  <c r="BL185" i="30" l="1"/>
  <c r="CM185" i="30" s="1"/>
  <c r="CE185" i="30" s="1"/>
  <c r="CS31" i="26"/>
  <c r="CK31" i="26" s="1"/>
  <c r="BL248" i="26"/>
  <c r="CS248" i="26" s="1"/>
  <c r="CK248" i="26" s="1"/>
  <c r="CS121" i="26"/>
  <c r="CK121" i="26" s="1"/>
  <c r="BL39" i="26"/>
  <c r="BL284" i="26"/>
  <c r="CS284" i="26" s="1"/>
  <c r="CK284" i="26" s="1"/>
  <c r="BL220" i="26"/>
  <c r="CS220" i="26" s="1"/>
  <c r="CK220" i="26" s="1"/>
  <c r="A10" i="22" a="1"/>
  <c r="A10" i="22" s="1"/>
  <c r="V119" i="1"/>
  <c r="V160" i="1" s="1"/>
  <c r="BL182" i="30"/>
  <c r="V197" i="1"/>
  <c r="V96" i="20"/>
  <c r="BL96" i="20" s="1"/>
  <c r="CN96" i="20" s="1"/>
  <c r="CF96" i="20" s="1"/>
  <c r="V97" i="20"/>
  <c r="BL97" i="20" s="1"/>
  <c r="CN97" i="20" s="1"/>
  <c r="CF97" i="20" s="1"/>
  <c r="BL232" i="26"/>
  <c r="CS232" i="26" s="1"/>
  <c r="CK232" i="26" s="1"/>
  <c r="BL184" i="30"/>
  <c r="CM184" i="30" s="1"/>
  <c r="CE184" i="30" s="1"/>
  <c r="BL183" i="30"/>
  <c r="BL286" i="26"/>
  <c r="CS286" i="26" s="1"/>
  <c r="CK286" i="26" s="1"/>
  <c r="BL46" i="26"/>
  <c r="CS46" i="26" s="1"/>
  <c r="CK46" i="26" s="1"/>
  <c r="V117" i="20"/>
  <c r="V153" i="30" s="1"/>
  <c r="AZ211" i="6"/>
  <c r="BL258" i="26"/>
  <c r="CS258" i="26" s="1"/>
  <c r="CK258" i="26" s="1"/>
  <c r="V172" i="20"/>
  <c r="BL172" i="1"/>
  <c r="CM172" i="1" s="1"/>
  <c r="CE172" i="1" s="1"/>
  <c r="BL285" i="26"/>
  <c r="CS285" i="26" s="1"/>
  <c r="CK285" i="26" s="1"/>
  <c r="BL32" i="26"/>
  <c r="CS32" i="26" s="1"/>
  <c r="CK32" i="26" s="1"/>
  <c r="BL207" i="26"/>
  <c r="CS207" i="26" s="1"/>
  <c r="CK207" i="26" s="1"/>
  <c r="BL204" i="26"/>
  <c r="CS204" i="26" s="1"/>
  <c r="CK204" i="26" s="1"/>
  <c r="BL34" i="6"/>
  <c r="W14" i="3"/>
  <c r="X14" i="3" s="1"/>
  <c r="Y14" i="3" s="1"/>
  <c r="CM182" i="30" l="1"/>
  <c r="CE182" i="30" s="1"/>
  <c r="BL116" i="1"/>
  <c r="CS39" i="26"/>
  <c r="CK39" i="26" s="1"/>
  <c r="V59" i="33"/>
  <c r="BL83" i="35"/>
  <c r="CM183" i="30"/>
  <c r="CE183" i="30" s="1"/>
  <c r="BL172" i="20"/>
  <c r="CN172" i="20" s="1"/>
  <c r="CF172" i="20" s="1"/>
  <c r="V28" i="20"/>
  <c r="V197" i="20"/>
  <c r="V129" i="20"/>
  <c r="BL129" i="20" s="1"/>
  <c r="CN129" i="20" s="1"/>
  <c r="CF129" i="20" s="1"/>
  <c r="BL289" i="26"/>
  <c r="CS289" i="26" s="1"/>
  <c r="CK289" i="26" s="1"/>
  <c r="AZ125" i="30"/>
  <c r="BA204" i="6"/>
  <c r="BL69" i="30"/>
  <c r="CM69" i="30" s="1"/>
  <c r="CE69" i="30" s="1"/>
  <c r="CM116" i="1" l="1"/>
  <c r="CE116" i="1" s="1"/>
  <c r="BL117" i="1"/>
  <c r="BL116" i="20"/>
  <c r="BL153" i="30"/>
  <c r="CM153" i="30" s="1"/>
  <c r="CE153" i="30" s="1"/>
  <c r="V132" i="20"/>
  <c r="BL132" i="20" s="1"/>
  <c r="CN132" i="20" s="1"/>
  <c r="CF132" i="20" s="1"/>
  <c r="BA211" i="6"/>
  <c r="BL107" i="6"/>
  <c r="BL15" i="20"/>
  <c r="BL152" i="30" l="1"/>
  <c r="CM152" i="30" s="1"/>
  <c r="CE152" i="30" s="1"/>
  <c r="BL117" i="20"/>
  <c r="BL197" i="20" s="1"/>
  <c r="CN197" i="20" s="1"/>
  <c r="CF197" i="20" s="1"/>
  <c r="CN116" i="20"/>
  <c r="CF116" i="20" s="1"/>
  <c r="BL197" i="1"/>
  <c r="CM197" i="1" s="1"/>
  <c r="CE197" i="1" s="1"/>
  <c r="CM117" i="1"/>
  <c r="CE117" i="1" s="1"/>
  <c r="CN15" i="20"/>
  <c r="CF15" i="20" s="1"/>
  <c r="V149" i="20"/>
  <c r="BL149" i="20" s="1"/>
  <c r="CN149" i="20" s="1"/>
  <c r="CF149" i="20" s="1"/>
  <c r="BA125" i="30"/>
  <c r="BB204" i="6"/>
  <c r="BL28" i="20"/>
  <c r="BL22" i="30" l="1"/>
  <c r="V22" i="30" s="1"/>
  <c r="BL59" i="33"/>
  <c r="BL24" i="32"/>
  <c r="V24" i="32" s="1"/>
  <c r="CN117" i="20"/>
  <c r="CF117" i="20" s="1"/>
  <c r="V155" i="20"/>
  <c r="CN155" i="20" s="1"/>
  <c r="CF155" i="20" s="1"/>
  <c r="BL13" i="30"/>
  <c r="V13" i="30" s="1"/>
  <c r="CM13" i="30" s="1"/>
  <c r="CE13" i="30" s="1"/>
  <c r="CN28" i="20"/>
  <c r="CF28" i="20" s="1"/>
  <c r="BB211" i="6"/>
  <c r="BL37" i="20"/>
  <c r="D5" i="22"/>
  <c r="D4" i="22"/>
  <c r="D3" i="22"/>
  <c r="BL1" i="22"/>
  <c r="AA1" i="22"/>
  <c r="V1" i="22"/>
  <c r="W28" i="20"/>
  <c r="V49" i="20"/>
  <c r="H6" i="20"/>
  <c r="D6" i="20"/>
  <c r="D5" i="20"/>
  <c r="D4" i="20"/>
  <c r="D3" i="20"/>
  <c r="CM22" i="30" l="1"/>
  <c r="CE22" i="30" s="1"/>
  <c r="V75" i="35"/>
  <c r="CE24" i="32"/>
  <c r="CN37" i="20"/>
  <c r="CF37" i="20" s="1"/>
  <c r="BL156" i="20"/>
  <c r="BL28" i="30" s="1"/>
  <c r="V28" i="30" s="1"/>
  <c r="CM28" i="30" s="1"/>
  <c r="CE28" i="30" s="1"/>
  <c r="V156" i="20"/>
  <c r="V60" i="20"/>
  <c r="BB125" i="30"/>
  <c r="BC204" i="6"/>
  <c r="BL14" i="30"/>
  <c r="BL49" i="20"/>
  <c r="CN49" i="20" s="1"/>
  <c r="CF49" i="20" s="1"/>
  <c r="V84" i="20" l="1"/>
  <c r="V67" i="20"/>
  <c r="V98" i="20" s="1"/>
  <c r="CN156" i="20"/>
  <c r="CF156" i="20" s="1"/>
  <c r="W49" i="20"/>
  <c r="BC211" i="6"/>
  <c r="V14" i="30"/>
  <c r="CM14" i="30" s="1"/>
  <c r="CE14" i="30" s="1"/>
  <c r="BL15" i="30"/>
  <c r="V15" i="30" s="1"/>
  <c r="CM15" i="30" s="1"/>
  <c r="CE15" i="30" s="1"/>
  <c r="BL60" i="20"/>
  <c r="W60" i="20"/>
  <c r="CN60" i="20" l="1"/>
  <c r="CF60" i="20" s="1"/>
  <c r="BL67" i="20"/>
  <c r="BL17" i="30" s="1"/>
  <c r="V17" i="30" s="1"/>
  <c r="W67" i="20"/>
  <c r="W84" i="20" s="1"/>
  <c r="W98" i="20" s="1"/>
  <c r="V107" i="20"/>
  <c r="BC125" i="30"/>
  <c r="BD204" i="6"/>
  <c r="BL16" i="30"/>
  <c r="V16" i="30" s="1"/>
  <c r="CM16" i="30" s="1"/>
  <c r="CE16" i="30" s="1"/>
  <c r="CM17" i="30" l="1"/>
  <c r="CE17" i="30" s="1"/>
  <c r="V70" i="35"/>
  <c r="CN67" i="20"/>
  <c r="CF67" i="20" s="1"/>
  <c r="V113" i="20"/>
  <c r="V194" i="20" s="1"/>
  <c r="BL84" i="20"/>
  <c r="BD211" i="6"/>
  <c r="W76" i="16"/>
  <c r="H6" i="16"/>
  <c r="D6" i="16"/>
  <c r="D5" i="16"/>
  <c r="D4" i="16"/>
  <c r="D3" i="16"/>
  <c r="BL1" i="16"/>
  <c r="AA1" i="16"/>
  <c r="V1" i="16"/>
  <c r="BL18" i="30" l="1"/>
  <c r="V18" i="30" s="1"/>
  <c r="CM18" i="30" s="1"/>
  <c r="CE18" i="30" s="1"/>
  <c r="CN84" i="20"/>
  <c r="CF84" i="20" s="1"/>
  <c r="BL98" i="20"/>
  <c r="CN98" i="20" s="1"/>
  <c r="CF98" i="20" s="1"/>
  <c r="BD125" i="30"/>
  <c r="BE204" i="6"/>
  <c r="BL107" i="20" l="1"/>
  <c r="BE211" i="6"/>
  <c r="B388" i="3"/>
  <c r="B387" i="3"/>
  <c r="B386" i="3"/>
  <c r="B385" i="3"/>
  <c r="B384" i="3"/>
  <c r="B383" i="3"/>
  <c r="B382" i="3"/>
  <c r="B381" i="3"/>
  <c r="B380" i="3"/>
  <c r="B379" i="3"/>
  <c r="B378" i="3"/>
  <c r="B377" i="3"/>
  <c r="B376" i="3"/>
  <c r="B375" i="3"/>
  <c r="B374" i="3"/>
  <c r="B373" i="3"/>
  <c r="B372" i="3"/>
  <c r="B371" i="3"/>
  <c r="B370" i="3"/>
  <c r="B308" i="3"/>
  <c r="B331" i="3"/>
  <c r="B301" i="3"/>
  <c r="B324" i="3"/>
  <c r="B305" i="3"/>
  <c r="B328" i="3"/>
  <c r="B309" i="3"/>
  <c r="B332" i="3"/>
  <c r="B313" i="3"/>
  <c r="B336" i="3"/>
  <c r="B317" i="3"/>
  <c r="B340" i="3"/>
  <c r="B302" i="3"/>
  <c r="B325" i="3"/>
  <c r="B306" i="3"/>
  <c r="B329" i="3"/>
  <c r="B310" i="3"/>
  <c r="B333" i="3"/>
  <c r="B314" i="3"/>
  <c r="B337" i="3"/>
  <c r="B318" i="3"/>
  <c r="B341" i="3"/>
  <c r="B303" i="3"/>
  <c r="B326" i="3"/>
  <c r="B307" i="3"/>
  <c r="B330" i="3"/>
  <c r="B311" i="3"/>
  <c r="B334" i="3"/>
  <c r="B315" i="3"/>
  <c r="B338" i="3"/>
  <c r="B319" i="3"/>
  <c r="B342" i="3"/>
  <c r="B304" i="3"/>
  <c r="B327" i="3"/>
  <c r="B312" i="3"/>
  <c r="B335" i="3"/>
  <c r="B316" i="3"/>
  <c r="B339" i="3"/>
  <c r="B167" i="3"/>
  <c r="B175" i="3"/>
  <c r="B172" i="3"/>
  <c r="B163" i="3"/>
  <c r="B171" i="3"/>
  <c r="B179" i="3"/>
  <c r="B164" i="3"/>
  <c r="B168" i="3"/>
  <c r="B176" i="3"/>
  <c r="B180" i="3"/>
  <c r="B165" i="3"/>
  <c r="B169" i="3"/>
  <c r="B173" i="3"/>
  <c r="B177" i="3"/>
  <c r="B181" i="3"/>
  <c r="B166" i="3"/>
  <c r="B170" i="3"/>
  <c r="B174" i="3"/>
  <c r="B178" i="3"/>
  <c r="B281" i="3"/>
  <c r="B258" i="3"/>
  <c r="B289" i="3"/>
  <c r="B266" i="3"/>
  <c r="B282" i="3"/>
  <c r="B259" i="3"/>
  <c r="B290" i="3"/>
  <c r="B267" i="3"/>
  <c r="B279" i="3"/>
  <c r="B256" i="3"/>
  <c r="B283" i="3"/>
  <c r="B260" i="3"/>
  <c r="B287" i="3"/>
  <c r="B264" i="3"/>
  <c r="B291" i="3"/>
  <c r="B268" i="3"/>
  <c r="B295" i="3"/>
  <c r="B272" i="3"/>
  <c r="B285" i="3"/>
  <c r="B262" i="3"/>
  <c r="B293" i="3"/>
  <c r="B270" i="3"/>
  <c r="B278" i="3"/>
  <c r="B255" i="3"/>
  <c r="B286" i="3"/>
  <c r="B263" i="3"/>
  <c r="B294" i="3"/>
  <c r="B271" i="3"/>
  <c r="B280" i="3"/>
  <c r="B257" i="3"/>
  <c r="B284" i="3"/>
  <c r="B261" i="3"/>
  <c r="B288" i="3"/>
  <c r="B265" i="3"/>
  <c r="B292" i="3"/>
  <c r="B269" i="3"/>
  <c r="B296" i="3"/>
  <c r="B273" i="3"/>
  <c r="B189" i="3"/>
  <c r="B235" i="3"/>
  <c r="B193" i="3"/>
  <c r="B239" i="3"/>
  <c r="B197" i="3"/>
  <c r="B243" i="3"/>
  <c r="B201" i="3"/>
  <c r="B247" i="3"/>
  <c r="B186" i="3"/>
  <c r="B232" i="3"/>
  <c r="B190" i="3"/>
  <c r="B236" i="3"/>
  <c r="B194" i="3"/>
  <c r="B240" i="3"/>
  <c r="B198" i="3"/>
  <c r="B244" i="3"/>
  <c r="B202" i="3"/>
  <c r="B248" i="3"/>
  <c r="B191" i="3"/>
  <c r="B237" i="3"/>
  <c r="B195" i="3"/>
  <c r="B241" i="3"/>
  <c r="B199" i="3"/>
  <c r="B245" i="3"/>
  <c r="B203" i="3"/>
  <c r="B249" i="3"/>
  <c r="B187" i="3"/>
  <c r="B233" i="3"/>
  <c r="B188" i="3"/>
  <c r="B234" i="3"/>
  <c r="B192" i="3"/>
  <c r="B238" i="3"/>
  <c r="B196" i="3"/>
  <c r="B242" i="3"/>
  <c r="B200" i="3"/>
  <c r="B246" i="3"/>
  <c r="B204" i="3"/>
  <c r="B250" i="3"/>
  <c r="B74" i="3"/>
  <c r="B212" i="3"/>
  <c r="B78" i="3"/>
  <c r="B216" i="3"/>
  <c r="B82" i="3"/>
  <c r="B220" i="3"/>
  <c r="B86" i="3"/>
  <c r="B224" i="3"/>
  <c r="B71" i="3"/>
  <c r="B209" i="3"/>
  <c r="B75" i="3"/>
  <c r="B213" i="3"/>
  <c r="B79" i="3"/>
  <c r="B217" i="3"/>
  <c r="B83" i="3"/>
  <c r="B221" i="3"/>
  <c r="B87" i="3"/>
  <c r="B225" i="3"/>
  <c r="B72" i="3"/>
  <c r="B210" i="3"/>
  <c r="B76" i="3"/>
  <c r="B214" i="3"/>
  <c r="B80" i="3"/>
  <c r="B218" i="3"/>
  <c r="B84" i="3"/>
  <c r="B222" i="3"/>
  <c r="B88" i="3"/>
  <c r="B226" i="3"/>
  <c r="B73" i="3"/>
  <c r="B211" i="3"/>
  <c r="B77" i="3"/>
  <c r="B215" i="3"/>
  <c r="B81" i="3"/>
  <c r="B219" i="3"/>
  <c r="B85" i="3"/>
  <c r="B223" i="3"/>
  <c r="B89" i="3"/>
  <c r="B227" i="3"/>
  <c r="B51" i="3"/>
  <c r="B143" i="3"/>
  <c r="B120" i="3"/>
  <c r="B97" i="3"/>
  <c r="B55" i="3"/>
  <c r="B147" i="3"/>
  <c r="B124" i="3"/>
  <c r="B101" i="3"/>
  <c r="B59" i="3"/>
  <c r="B151" i="3"/>
  <c r="B128" i="3"/>
  <c r="B105" i="3"/>
  <c r="B63" i="3"/>
  <c r="B155" i="3"/>
  <c r="B132" i="3"/>
  <c r="B109" i="3"/>
  <c r="B140" i="3"/>
  <c r="B117" i="3"/>
  <c r="B94" i="3"/>
  <c r="B52" i="3"/>
  <c r="B144" i="3"/>
  <c r="B121" i="3"/>
  <c r="B98" i="3"/>
  <c r="B56" i="3"/>
  <c r="B148" i="3"/>
  <c r="B125" i="3"/>
  <c r="B102" i="3"/>
  <c r="B60" i="3"/>
  <c r="B152" i="3"/>
  <c r="B129" i="3"/>
  <c r="B106" i="3"/>
  <c r="B64" i="3"/>
  <c r="B156" i="3"/>
  <c r="B133" i="3"/>
  <c r="B110" i="3"/>
  <c r="B49" i="3"/>
  <c r="B141" i="3"/>
  <c r="B118" i="3"/>
  <c r="B95" i="3"/>
  <c r="B53" i="3"/>
  <c r="B145" i="3"/>
  <c r="B122" i="3"/>
  <c r="B99" i="3"/>
  <c r="B57" i="3"/>
  <c r="B149" i="3"/>
  <c r="B126" i="3"/>
  <c r="B103" i="3"/>
  <c r="B61" i="3"/>
  <c r="B153" i="3"/>
  <c r="B130" i="3"/>
  <c r="B107" i="3"/>
  <c r="B65" i="3"/>
  <c r="B157" i="3"/>
  <c r="B134" i="3"/>
  <c r="B111" i="3"/>
  <c r="B50" i="3"/>
  <c r="B142" i="3"/>
  <c r="B119" i="3"/>
  <c r="B96" i="3"/>
  <c r="B54" i="3"/>
  <c r="B146" i="3"/>
  <c r="B123" i="3"/>
  <c r="B100" i="3"/>
  <c r="B58" i="3"/>
  <c r="B150" i="3"/>
  <c r="B127" i="3"/>
  <c r="B104" i="3"/>
  <c r="B62" i="3"/>
  <c r="B154" i="3"/>
  <c r="B131" i="3"/>
  <c r="B108" i="3"/>
  <c r="B66" i="3"/>
  <c r="B158" i="3"/>
  <c r="B135" i="3"/>
  <c r="B112" i="3"/>
  <c r="B48" i="3"/>
  <c r="BL421" i="9"/>
  <c r="BL375" i="9"/>
  <c r="BL383" i="9"/>
  <c r="BL356" i="9"/>
  <c r="BL364" i="9"/>
  <c r="BL337" i="9"/>
  <c r="BL345" i="9"/>
  <c r="BL326" i="9"/>
  <c r="BL318" i="9"/>
  <c r="BL299" i="9"/>
  <c r="BL307" i="9"/>
  <c r="BL280" i="9"/>
  <c r="BL288" i="9"/>
  <c r="BL269" i="9"/>
  <c r="BL261" i="9"/>
  <c r="BL250" i="9"/>
  <c r="BL242" i="9"/>
  <c r="BL223" i="9"/>
  <c r="BL231" i="9"/>
  <c r="BL204" i="9"/>
  <c r="BL212" i="9"/>
  <c r="BL185" i="9"/>
  <c r="BL193" i="9"/>
  <c r="BL166" i="9"/>
  <c r="BL174" i="9"/>
  <c r="BL147" i="9"/>
  <c r="BL155" i="9"/>
  <c r="BL128" i="9"/>
  <c r="BL136" i="9"/>
  <c r="BL109" i="9"/>
  <c r="BL117" i="9"/>
  <c r="BL90" i="9"/>
  <c r="BL98" i="9"/>
  <c r="BL71" i="9"/>
  <c r="BL79" i="9"/>
  <c r="BL60" i="9"/>
  <c r="BL20" i="30" l="1"/>
  <c r="V20" i="30" s="1"/>
  <c r="CM20" i="30" s="1"/>
  <c r="CE20" i="30" s="1"/>
  <c r="BL113" i="20"/>
  <c r="CN107" i="20"/>
  <c r="CF107" i="20" s="1"/>
  <c r="BE125" i="30"/>
  <c r="BF204" i="6"/>
  <c r="V610" i="9"/>
  <c r="BL402" i="9"/>
  <c r="V1010" i="9"/>
  <c r="BL413" i="9"/>
  <c r="V1009" i="9"/>
  <c r="BL394" i="9"/>
  <c r="V596" i="9"/>
  <c r="V878" i="9" s="1"/>
  <c r="V600" i="9"/>
  <c r="V993" i="9"/>
  <c r="V995" i="9"/>
  <c r="V997" i="9"/>
  <c r="V999" i="9"/>
  <c r="V1003" i="9"/>
  <c r="V606" i="9"/>
  <c r="V888" i="9" s="1"/>
  <c r="V1007" i="9"/>
  <c r="V1001" i="9"/>
  <c r="V1005" i="9"/>
  <c r="V608" i="9"/>
  <c r="V890" i="9" s="1"/>
  <c r="V597" i="9"/>
  <c r="V879" i="9" s="1"/>
  <c r="V601" i="9"/>
  <c r="V883" i="9" s="1"/>
  <c r="V1002" i="9"/>
  <c r="V605" i="9"/>
  <c r="V607" i="9"/>
  <c r="V889" i="9" s="1"/>
  <c r="V594" i="9"/>
  <c r="V876" i="9" s="1"/>
  <c r="V992" i="9"/>
  <c r="V994" i="9"/>
  <c r="V996" i="9"/>
  <c r="V998" i="9"/>
  <c r="V1000" i="9"/>
  <c r="V603" i="9"/>
  <c r="V885" i="9" s="1"/>
  <c r="V1004" i="9"/>
  <c r="V1006" i="9"/>
  <c r="V1008" i="9"/>
  <c r="V511" i="9"/>
  <c r="V501" i="9"/>
  <c r="V503" i="9"/>
  <c r="V505" i="9"/>
  <c r="V507" i="9"/>
  <c r="V509" i="9"/>
  <c r="V513" i="9"/>
  <c r="V515" i="9"/>
  <c r="V517" i="9"/>
  <c r="V519" i="9"/>
  <c r="V510" i="9"/>
  <c r="V514" i="9"/>
  <c r="V518" i="9"/>
  <c r="V502" i="9"/>
  <c r="V504" i="9"/>
  <c r="V506" i="9"/>
  <c r="V508" i="9"/>
  <c r="V512" i="9"/>
  <c r="V516" i="9"/>
  <c r="V598" i="9"/>
  <c r="V880" i="9" s="1"/>
  <c r="V604" i="9"/>
  <c r="V886" i="9" s="1"/>
  <c r="V602" i="9"/>
  <c r="V884" i="9" s="1"/>
  <c r="V592" i="9"/>
  <c r="V593" i="9"/>
  <c r="V875" i="9" s="1"/>
  <c r="V595" i="9"/>
  <c r="V877" i="9" s="1"/>
  <c r="V599" i="9"/>
  <c r="V881" i="9" s="1"/>
  <c r="V609" i="9"/>
  <c r="V891" i="9" s="1"/>
  <c r="V611" i="9"/>
  <c r="V893" i="9" s="1"/>
  <c r="W542" i="9"/>
  <c r="W541" i="9"/>
  <c r="W540" i="9"/>
  <c r="W539" i="9"/>
  <c r="W538" i="9"/>
  <c r="W537" i="9"/>
  <c r="W536" i="9"/>
  <c r="W535" i="9"/>
  <c r="W534" i="9"/>
  <c r="W533" i="9"/>
  <c r="W532" i="9"/>
  <c r="W531" i="9"/>
  <c r="W530" i="9"/>
  <c r="W529" i="9"/>
  <c r="W528" i="9"/>
  <c r="W527" i="9"/>
  <c r="W526" i="9"/>
  <c r="W525" i="9"/>
  <c r="W524" i="9"/>
  <c r="W523" i="9"/>
  <c r="V244" i="9"/>
  <c r="V320" i="9"/>
  <c r="V396" i="9"/>
  <c r="V92" i="9"/>
  <c r="V130" i="9"/>
  <c r="V168" i="9"/>
  <c r="V206" i="9"/>
  <c r="V282" i="9"/>
  <c r="V358" i="9"/>
  <c r="V263" i="9"/>
  <c r="V73" i="9"/>
  <c r="V111" i="9"/>
  <c r="V149" i="9"/>
  <c r="V187" i="9"/>
  <c r="V225" i="9"/>
  <c r="V301" i="9"/>
  <c r="V339" i="9"/>
  <c r="V377" i="9"/>
  <c r="V415" i="9"/>
  <c r="CN113" i="20" l="1"/>
  <c r="CF113" i="20" s="1"/>
  <c r="BL21" i="30"/>
  <c r="V21" i="30" s="1"/>
  <c r="CM21" i="30" s="1"/>
  <c r="CE21" i="30" s="1"/>
  <c r="BL194" i="20"/>
  <c r="CN194" i="20" s="1"/>
  <c r="CF194" i="20" s="1"/>
  <c r="BF211" i="6"/>
  <c r="V882" i="9"/>
  <c r="BL415" i="9"/>
  <c r="BL519" i="9"/>
  <c r="BL1010" i="9"/>
  <c r="V892" i="9"/>
  <c r="BL518" i="9"/>
  <c r="BL1009" i="9"/>
  <c r="BL396" i="9"/>
  <c r="V887" i="9"/>
  <c r="BL503" i="9"/>
  <c r="BL994" i="9"/>
  <c r="BL111" i="9"/>
  <c r="BL244" i="9"/>
  <c r="BL510" i="9"/>
  <c r="BL1001" i="9"/>
  <c r="BL206" i="9"/>
  <c r="BL508" i="9"/>
  <c r="BL999" i="9"/>
  <c r="BL130" i="9"/>
  <c r="BL504" i="9"/>
  <c r="BL995" i="9"/>
  <c r="BL377" i="9"/>
  <c r="BL517" i="9"/>
  <c r="BL1008" i="9"/>
  <c r="BL513" i="9"/>
  <c r="BL1004" i="9"/>
  <c r="BL301" i="9"/>
  <c r="BL509" i="9"/>
  <c r="BL1000" i="9"/>
  <c r="BL225" i="9"/>
  <c r="BL505" i="9"/>
  <c r="BL996" i="9"/>
  <c r="BL149" i="9"/>
  <c r="BL501" i="9"/>
  <c r="BL73" i="9"/>
  <c r="BL992" i="9"/>
  <c r="BL511" i="9"/>
  <c r="BL1002" i="9"/>
  <c r="BL263" i="9"/>
  <c r="BL320" i="9"/>
  <c r="BL514" i="9"/>
  <c r="BL1005" i="9"/>
  <c r="BL516" i="9"/>
  <c r="BL1007" i="9"/>
  <c r="BL358" i="9"/>
  <c r="BL512" i="9"/>
  <c r="BL282" i="9"/>
  <c r="BL1003" i="9"/>
  <c r="BL506" i="9"/>
  <c r="BL997" i="9"/>
  <c r="BL168" i="9"/>
  <c r="BL502" i="9"/>
  <c r="BL92" i="9"/>
  <c r="BL993" i="9"/>
  <c r="BL515" i="9"/>
  <c r="BL339" i="9"/>
  <c r="BL1006" i="9"/>
  <c r="BL187" i="9"/>
  <c r="BL507" i="9"/>
  <c r="BL998" i="9"/>
  <c r="W433" i="9"/>
  <c r="W443" i="9"/>
  <c r="W450" i="9"/>
  <c r="W440" i="9"/>
  <c r="W434" i="9"/>
  <c r="W438" i="9"/>
  <c r="W444" i="9"/>
  <c r="W435" i="9"/>
  <c r="W445" i="9"/>
  <c r="W436" i="9"/>
  <c r="W447" i="9"/>
  <c r="W439" i="9"/>
  <c r="V1085" i="9"/>
  <c r="V1127" i="9"/>
  <c r="V702" i="9"/>
  <c r="BL702" i="9" s="1"/>
  <c r="V694" i="9"/>
  <c r="BL694" i="9" s="1"/>
  <c r="BL836" i="9" s="1"/>
  <c r="V703" i="9"/>
  <c r="BL703" i="9" s="1"/>
  <c r="V699" i="9"/>
  <c r="BL699" i="9" s="1"/>
  <c r="BL841" i="9" s="1"/>
  <c r="V692" i="9"/>
  <c r="BL692" i="9" s="1"/>
  <c r="V697" i="9"/>
  <c r="BL697" i="9" s="1"/>
  <c r="V704" i="9"/>
  <c r="BL704" i="9" s="1"/>
  <c r="BL846" i="9" s="1"/>
  <c r="V693" i="9"/>
  <c r="BL693" i="9" s="1"/>
  <c r="V698" i="9"/>
  <c r="BL698" i="9" s="1"/>
  <c r="AA542" i="9"/>
  <c r="AA541" i="9"/>
  <c r="AA537" i="9"/>
  <c r="BM323" i="9"/>
  <c r="BM537" i="9" s="1"/>
  <c r="AA534" i="9"/>
  <c r="BM209" i="9"/>
  <c r="BM531" i="9" s="1"/>
  <c r="AA536" i="9"/>
  <c r="AA527" i="9"/>
  <c r="AA531" i="9"/>
  <c r="BM228" i="9"/>
  <c r="BM532" i="9" s="1"/>
  <c r="BM361" i="9"/>
  <c r="BM539" i="9" s="1"/>
  <c r="AA525" i="9"/>
  <c r="BM171" i="9"/>
  <c r="BM529" i="9" s="1"/>
  <c r="AA533" i="9"/>
  <c r="BM285" i="9"/>
  <c r="BM535" i="9" s="1"/>
  <c r="BM380" i="9"/>
  <c r="BM540" i="9" s="1"/>
  <c r="BM399" i="9"/>
  <c r="BM541" i="9" s="1"/>
  <c r="BM418" i="9"/>
  <c r="BM542" i="9" s="1"/>
  <c r="BM304" i="9"/>
  <c r="BM536" i="9" s="1"/>
  <c r="AA538" i="9"/>
  <c r="AA540" i="9"/>
  <c r="BM190" i="9"/>
  <c r="BM530" i="9" s="1"/>
  <c r="BM266" i="9"/>
  <c r="BM534" i="9" s="1"/>
  <c r="BM342" i="9"/>
  <c r="BM538" i="9" s="1"/>
  <c r="BM133" i="9"/>
  <c r="BM527" i="9" s="1"/>
  <c r="AA529" i="9"/>
  <c r="BM247" i="9"/>
  <c r="BM533" i="9" s="1"/>
  <c r="AA535" i="9"/>
  <c r="AA539" i="9"/>
  <c r="AA526" i="9"/>
  <c r="AA532" i="9"/>
  <c r="BM76" i="9"/>
  <c r="BM524" i="9" s="1"/>
  <c r="BM152" i="9"/>
  <c r="BM528" i="9" s="1"/>
  <c r="BM114" i="9"/>
  <c r="BM526" i="9" s="1"/>
  <c r="AA528" i="9"/>
  <c r="AA530" i="9"/>
  <c r="BM95" i="9"/>
  <c r="BM525" i="9" s="1"/>
  <c r="AA76" i="9"/>
  <c r="BM57" i="9"/>
  <c r="BM523" i="9" s="1"/>
  <c r="BM409" i="9"/>
  <c r="BM352" i="9"/>
  <c r="BM314" i="9"/>
  <c r="BM295" i="9"/>
  <c r="BM276" i="9"/>
  <c r="BM219" i="9"/>
  <c r="BM200" i="9"/>
  <c r="BM181" i="9"/>
  <c r="BM143" i="9"/>
  <c r="BM124" i="9"/>
  <c r="BM105" i="9"/>
  <c r="BM86" i="9"/>
  <c r="D5" i="13"/>
  <c r="D4" i="13"/>
  <c r="D3" i="13"/>
  <c r="V1" i="13"/>
  <c r="A2" i="13"/>
  <c r="D5" i="12"/>
  <c r="D4" i="12"/>
  <c r="D3" i="12"/>
  <c r="BL1" i="12"/>
  <c r="AA1" i="12"/>
  <c r="V1" i="12"/>
  <c r="V836" i="9" l="1"/>
  <c r="V835" i="9"/>
  <c r="V841" i="9"/>
  <c r="V839" i="9"/>
  <c r="BL834" i="9"/>
  <c r="V840" i="9"/>
  <c r="V846" i="9"/>
  <c r="V834" i="9"/>
  <c r="V845" i="9"/>
  <c r="V844" i="9"/>
  <c r="BL844" i="9"/>
  <c r="BL839" i="9"/>
  <c r="AA524" i="9"/>
  <c r="BF125" i="30"/>
  <c r="BG204" i="6"/>
  <c r="AA523" i="9"/>
  <c r="BL1085" i="9"/>
  <c r="V94" i="6"/>
  <c r="BM434" i="9"/>
  <c r="W446" i="9"/>
  <c r="W448" i="9"/>
  <c r="BM433" i="9"/>
  <c r="AA434" i="9"/>
  <c r="BM438" i="9"/>
  <c r="AA439" i="9"/>
  <c r="BM444" i="9"/>
  <c r="AA445" i="9"/>
  <c r="BM450" i="9"/>
  <c r="W441" i="9"/>
  <c r="W449" i="9"/>
  <c r="AA433" i="9"/>
  <c r="AA435" i="9"/>
  <c r="BM436" i="9"/>
  <c r="AA438" i="9"/>
  <c r="BM443" i="9"/>
  <c r="AA444" i="9"/>
  <c r="BM435" i="9"/>
  <c r="BM440" i="9"/>
  <c r="AA447" i="9"/>
  <c r="AA436" i="9"/>
  <c r="BM439" i="9"/>
  <c r="AA440" i="9"/>
  <c r="AA443" i="9"/>
  <c r="BM445" i="9"/>
  <c r="BM447" i="9"/>
  <c r="AA450" i="9"/>
  <c r="W442" i="9"/>
  <c r="V88" i="35"/>
  <c r="BM162" i="9"/>
  <c r="W437" i="9"/>
  <c r="AA67" i="9"/>
  <c r="AA71" i="9" s="1"/>
  <c r="W432" i="9"/>
  <c r="BM238" i="9"/>
  <c r="BM390" i="9"/>
  <c r="BM371" i="9"/>
  <c r="BM333" i="9"/>
  <c r="BM67" i="9"/>
  <c r="BM257" i="9"/>
  <c r="AA1105" i="9"/>
  <c r="AA199" i="30" s="1"/>
  <c r="AA86" i="33" s="1"/>
  <c r="AA1010" i="9"/>
  <c r="AA1003" i="9"/>
  <c r="AA994" i="9"/>
  <c r="AA998" i="9"/>
  <c r="AA1004" i="9"/>
  <c r="AA995" i="9"/>
  <c r="AA1000" i="9"/>
  <c r="AA1005" i="9"/>
  <c r="AA993" i="9"/>
  <c r="AA999" i="9"/>
  <c r="AA1007" i="9"/>
  <c r="AA996" i="9"/>
  <c r="A26" i="14"/>
  <c r="V1121" i="9" l="1"/>
  <c r="V1145" i="9" s="1"/>
  <c r="V1120" i="9"/>
  <c r="V1144" i="9" s="1"/>
  <c r="V1122" i="9"/>
  <c r="V1146" i="9" s="1"/>
  <c r="BG211" i="6"/>
  <c r="BL88" i="35"/>
  <c r="BL94" i="6"/>
  <c r="V97" i="6"/>
  <c r="V114" i="30" s="1"/>
  <c r="BM446" i="9"/>
  <c r="AA441" i="9"/>
  <c r="BM442" i="9"/>
  <c r="BM432" i="9"/>
  <c r="BM449" i="9"/>
  <c r="BM441" i="9"/>
  <c r="AA442" i="9"/>
  <c r="BM448" i="9"/>
  <c r="BM437" i="9"/>
  <c r="AA449" i="9"/>
  <c r="AA448" i="9"/>
  <c r="AA432" i="9"/>
  <c r="AA513" i="9"/>
  <c r="AA504" i="9"/>
  <c r="AA512" i="9"/>
  <c r="AA505" i="9"/>
  <c r="AA502" i="9"/>
  <c r="AA503" i="9"/>
  <c r="AA519" i="9"/>
  <c r="AA509" i="9"/>
  <c r="AA516" i="9"/>
  <c r="AA514" i="9"/>
  <c r="AA507" i="9"/>
  <c r="AA508" i="9"/>
  <c r="AA992" i="9"/>
  <c r="AA997" i="9"/>
  <c r="AA437" i="9"/>
  <c r="AA1006" i="9"/>
  <c r="AA446" i="9"/>
  <c r="AA1008" i="9"/>
  <c r="AA1001" i="9"/>
  <c r="AA1009" i="9"/>
  <c r="AA1002" i="9"/>
  <c r="AA206" i="9"/>
  <c r="AA320" i="9"/>
  <c r="AA225" i="9"/>
  <c r="AB219" i="9" s="1"/>
  <c r="AB223" i="9" s="1"/>
  <c r="AA130" i="9"/>
  <c r="AA301" i="9"/>
  <c r="AA187" i="9"/>
  <c r="AB181" i="9" s="1"/>
  <c r="AB185" i="9" s="1"/>
  <c r="AA111" i="9"/>
  <c r="AA149" i="9"/>
  <c r="AA358" i="9"/>
  <c r="AA92" i="9"/>
  <c r="AA282" i="9"/>
  <c r="AB276" i="9" s="1"/>
  <c r="AB280" i="9" s="1"/>
  <c r="AA415" i="9"/>
  <c r="AB409" i="9" s="1"/>
  <c r="AB413" i="9" s="1"/>
  <c r="AB105" i="9"/>
  <c r="AB109" i="9" s="1"/>
  <c r="AB124" i="9"/>
  <c r="AB128" i="9" s="1"/>
  <c r="AB86" i="9"/>
  <c r="AB90" i="9" s="1"/>
  <c r="AB143" i="9"/>
  <c r="AB147" i="9" s="1"/>
  <c r="AB352" i="9"/>
  <c r="AB356" i="9" s="1"/>
  <c r="AB314" i="9"/>
  <c r="AB318" i="9" s="1"/>
  <c r="D115" i="3"/>
  <c r="D92" i="3"/>
  <c r="D46" i="3"/>
  <c r="D47" i="3"/>
  <c r="D48" i="3"/>
  <c r="D49" i="3"/>
  <c r="D50" i="3"/>
  <c r="D51" i="3"/>
  <c r="D52" i="3"/>
  <c r="D53" i="3"/>
  <c r="D54" i="3"/>
  <c r="D55" i="3"/>
  <c r="D56" i="3"/>
  <c r="D57" i="3"/>
  <c r="D58" i="3"/>
  <c r="D59" i="3"/>
  <c r="D60" i="3"/>
  <c r="D61" i="3"/>
  <c r="D62" i="3"/>
  <c r="D63" i="3"/>
  <c r="D64" i="3"/>
  <c r="D65" i="3"/>
  <c r="D66" i="3"/>
  <c r="V1147" i="9" l="1"/>
  <c r="V170" i="1" s="1"/>
  <c r="V170" i="20" s="1"/>
  <c r="V173" i="20" s="1"/>
  <c r="V1123" i="9"/>
  <c r="V138" i="20"/>
  <c r="BL138" i="20" s="1"/>
  <c r="CN138" i="20" s="1"/>
  <c r="CF138" i="20" s="1"/>
  <c r="BG125" i="30"/>
  <c r="BH204" i="6"/>
  <c r="BL97" i="6"/>
  <c r="BL114" i="30" s="1"/>
  <c r="CM114" i="30" s="1"/>
  <c r="CE114" i="30" s="1"/>
  <c r="AB445" i="9"/>
  <c r="AB434" i="9"/>
  <c r="AB447" i="9"/>
  <c r="AB436" i="9"/>
  <c r="AB433" i="9"/>
  <c r="AB450" i="9"/>
  <c r="AB440" i="9"/>
  <c r="AB435" i="9"/>
  <c r="AB443" i="9"/>
  <c r="AB438" i="9"/>
  <c r="AA501" i="9"/>
  <c r="AA515" i="9"/>
  <c r="AA517" i="9"/>
  <c r="AA506" i="9"/>
  <c r="AB67" i="9"/>
  <c r="AB71" i="9" s="1"/>
  <c r="AB73" i="9" s="1"/>
  <c r="AA73" i="9"/>
  <c r="AB162" i="9"/>
  <c r="AB166" i="9" s="1"/>
  <c r="AA168" i="9"/>
  <c r="AB333" i="9"/>
  <c r="AB337" i="9" s="1"/>
  <c r="AA339" i="9"/>
  <c r="AA396" i="9"/>
  <c r="AA518" i="9"/>
  <c r="AA511" i="9"/>
  <c r="AB238" i="9"/>
  <c r="AB242" i="9" s="1"/>
  <c r="AA510" i="9"/>
  <c r="AA244" i="9"/>
  <c r="AA377" i="9"/>
  <c r="AB390" i="9"/>
  <c r="AB394" i="9" s="1"/>
  <c r="AB257" i="9"/>
  <c r="AB261" i="9" s="1"/>
  <c r="AA263" i="9"/>
  <c r="AB295" i="9"/>
  <c r="AB299" i="9" s="1"/>
  <c r="AB200" i="9"/>
  <c r="AB204" i="9" s="1"/>
  <c r="AB371" i="9"/>
  <c r="AB375" i="9" s="1"/>
  <c r="AB1010" i="9"/>
  <c r="AB1003" i="9"/>
  <c r="AB995" i="9"/>
  <c r="AB1000" i="9"/>
  <c r="AB993" i="9"/>
  <c r="AB1007" i="9"/>
  <c r="AB994" i="9"/>
  <c r="AB996" i="9"/>
  <c r="AB1005" i="9"/>
  <c r="AB998" i="9"/>
  <c r="D5" i="11"/>
  <c r="D4" i="11"/>
  <c r="D3" i="11"/>
  <c r="BL1" i="11"/>
  <c r="AA1" i="11"/>
  <c r="X1" i="11"/>
  <c r="S1" i="11"/>
  <c r="V173" i="1" l="1"/>
  <c r="AA1085" i="9"/>
  <c r="AA88" i="35" s="1"/>
  <c r="V139" i="20"/>
  <c r="BH211" i="6"/>
  <c r="AB432" i="9"/>
  <c r="AB446" i="9"/>
  <c r="AB437" i="9"/>
  <c r="AB439" i="9"/>
  <c r="AB444" i="9"/>
  <c r="AB449" i="9"/>
  <c r="AB448" i="9"/>
  <c r="AB441" i="9"/>
  <c r="AB509" i="9"/>
  <c r="AB504" i="9"/>
  <c r="AB505" i="9"/>
  <c r="AB503" i="9"/>
  <c r="AB507" i="9"/>
  <c r="AB516" i="9"/>
  <c r="AB512" i="9"/>
  <c r="AB514" i="9"/>
  <c r="AB502" i="9"/>
  <c r="AB519" i="9"/>
  <c r="AB992" i="9"/>
  <c r="AB1001" i="9"/>
  <c r="AB1006" i="9"/>
  <c r="AB997" i="9"/>
  <c r="AB1002" i="9"/>
  <c r="AB442" i="9"/>
  <c r="AB1004" i="9"/>
  <c r="AB1009" i="9"/>
  <c r="AB1008" i="9"/>
  <c r="AB999" i="9"/>
  <c r="AB415" i="9"/>
  <c r="AC409" i="9" s="1"/>
  <c r="AC413" i="9" s="1"/>
  <c r="AB282" i="9"/>
  <c r="AC276" i="9" s="1"/>
  <c r="AC280" i="9" s="1"/>
  <c r="AB130" i="9"/>
  <c r="AC124" i="9" s="1"/>
  <c r="AC128" i="9" s="1"/>
  <c r="AB92" i="9"/>
  <c r="AC86" i="9" s="1"/>
  <c r="AC90" i="9" s="1"/>
  <c r="AB111" i="9"/>
  <c r="AB225" i="9"/>
  <c r="AC219" i="9" s="1"/>
  <c r="AC223" i="9" s="1"/>
  <c r="AB358" i="9"/>
  <c r="AC352" i="9" s="1"/>
  <c r="AC356" i="9" s="1"/>
  <c r="AB149" i="9"/>
  <c r="AC143" i="9" s="1"/>
  <c r="AC147" i="9" s="1"/>
  <c r="AB187" i="9"/>
  <c r="AC181" i="9" s="1"/>
  <c r="AC185" i="9" s="1"/>
  <c r="AB320" i="9"/>
  <c r="AC314" i="9" s="1"/>
  <c r="AC318" i="9" s="1"/>
  <c r="AA94" i="6" l="1"/>
  <c r="BL139" i="20"/>
  <c r="V119" i="20"/>
  <c r="V134" i="20" s="1"/>
  <c r="BH125" i="30"/>
  <c r="BI204" i="6"/>
  <c r="AC436" i="9"/>
  <c r="AC433" i="9"/>
  <c r="AC445" i="9"/>
  <c r="AC447" i="9"/>
  <c r="AC435" i="9"/>
  <c r="AC438" i="9"/>
  <c r="AC440" i="9"/>
  <c r="AC443" i="9"/>
  <c r="AC450" i="9"/>
  <c r="AB513" i="9"/>
  <c r="AB515" i="9"/>
  <c r="AB510" i="9"/>
  <c r="AB517" i="9"/>
  <c r="AB511" i="9"/>
  <c r="AB501" i="9"/>
  <c r="AB518" i="9"/>
  <c r="AB506" i="9"/>
  <c r="AB244" i="9"/>
  <c r="AC162" i="9"/>
  <c r="AC166" i="9" s="1"/>
  <c r="AB339" i="9"/>
  <c r="AB168" i="9"/>
  <c r="AB263" i="9"/>
  <c r="AB206" i="9"/>
  <c r="AB508" i="9"/>
  <c r="AB301" i="9"/>
  <c r="AC295" i="9" s="1"/>
  <c r="AC299" i="9" s="1"/>
  <c r="AB377" i="9"/>
  <c r="AB396" i="9"/>
  <c r="AC333" i="9"/>
  <c r="AC337" i="9" s="1"/>
  <c r="AC371" i="9"/>
  <c r="AC375" i="9" s="1"/>
  <c r="AC105" i="9"/>
  <c r="AC109" i="9" s="1"/>
  <c r="AC67" i="9"/>
  <c r="AC71" i="9" s="1"/>
  <c r="AC390" i="9"/>
  <c r="AC394" i="9" s="1"/>
  <c r="AC257" i="9"/>
  <c r="AC261" i="9" s="1"/>
  <c r="AC238" i="9"/>
  <c r="AC242" i="9" s="1"/>
  <c r="AC200" i="9"/>
  <c r="AC204" i="9" s="1"/>
  <c r="AC1003" i="9"/>
  <c r="AC1010" i="9"/>
  <c r="AC995" i="9"/>
  <c r="AC1007" i="9"/>
  <c r="AC996" i="9"/>
  <c r="AC1000" i="9"/>
  <c r="AC993" i="9"/>
  <c r="AC1005" i="9"/>
  <c r="AC998" i="9"/>
  <c r="D5" i="9"/>
  <c r="D4" i="9"/>
  <c r="D3" i="9"/>
  <c r="BL1" i="9"/>
  <c r="AA1" i="9"/>
  <c r="V1" i="9"/>
  <c r="AB1085" i="9" l="1"/>
  <c r="AB88" i="35" s="1"/>
  <c r="CN139" i="20"/>
  <c r="CF139" i="20" s="1"/>
  <c r="BL119" i="20"/>
  <c r="CN119" i="20" s="1"/>
  <c r="CF119" i="20" s="1"/>
  <c r="BI211" i="6"/>
  <c r="AC441" i="9"/>
  <c r="AC432" i="9"/>
  <c r="AC448" i="9"/>
  <c r="AC444" i="9"/>
  <c r="AC434" i="9"/>
  <c r="AC446" i="9"/>
  <c r="AC439" i="9"/>
  <c r="AC449" i="9"/>
  <c r="AC437" i="9"/>
  <c r="AC507" i="9"/>
  <c r="AC509" i="9"/>
  <c r="AC519" i="9"/>
  <c r="AC516" i="9"/>
  <c r="AC505" i="9"/>
  <c r="AC512" i="9"/>
  <c r="AC514" i="9"/>
  <c r="AC502" i="9"/>
  <c r="AC504" i="9"/>
  <c r="AC997" i="9"/>
  <c r="AC1009" i="9"/>
  <c r="AC1002" i="9"/>
  <c r="AC442" i="9"/>
  <c r="AC1004" i="9"/>
  <c r="AC1006" i="9"/>
  <c r="AC1008" i="9"/>
  <c r="AC994" i="9"/>
  <c r="AC992" i="9"/>
  <c r="AC999" i="9"/>
  <c r="AC1001" i="9"/>
  <c r="AC282" i="9"/>
  <c r="AD276" i="9" s="1"/>
  <c r="AD280" i="9" s="1"/>
  <c r="AC358" i="9"/>
  <c r="AD352" i="9" s="1"/>
  <c r="AD356" i="9" s="1"/>
  <c r="AC149" i="9"/>
  <c r="AC415" i="9"/>
  <c r="AD409" i="9" s="1"/>
  <c r="AD413" i="9" s="1"/>
  <c r="AC130" i="9"/>
  <c r="AC225" i="9"/>
  <c r="AD219" i="9" s="1"/>
  <c r="AD223" i="9" s="1"/>
  <c r="AD143" i="9"/>
  <c r="AD147" i="9" s="1"/>
  <c r="AC92" i="9"/>
  <c r="AD86" i="9" s="1"/>
  <c r="AD90" i="9" s="1"/>
  <c r="AC320" i="9"/>
  <c r="AD314" i="9"/>
  <c r="AD318" i="9" s="1"/>
  <c r="AC187" i="9"/>
  <c r="AD181" i="9" s="1"/>
  <c r="AD185" i="9" s="1"/>
  <c r="AB94" i="6" l="1"/>
  <c r="BI125" i="30"/>
  <c r="BJ204" i="6"/>
  <c r="AD436" i="9"/>
  <c r="AD443" i="9"/>
  <c r="AD438" i="9"/>
  <c r="AD433" i="9"/>
  <c r="AD450" i="9"/>
  <c r="AD445" i="9"/>
  <c r="AD440" i="9"/>
  <c r="AD447" i="9"/>
  <c r="AC508" i="9"/>
  <c r="AC511" i="9"/>
  <c r="AC503" i="9"/>
  <c r="AC513" i="9"/>
  <c r="AC506" i="9"/>
  <c r="AC518" i="9"/>
  <c r="AC263" i="9"/>
  <c r="AC396" i="9"/>
  <c r="AC168" i="9"/>
  <c r="AD162" i="9" s="1"/>
  <c r="AD166" i="9" s="1"/>
  <c r="AD390" i="9"/>
  <c r="AD394" i="9" s="1"/>
  <c r="AC301" i="9"/>
  <c r="AD67" i="9"/>
  <c r="AD71" i="9" s="1"/>
  <c r="AC501" i="9"/>
  <c r="AC244" i="9"/>
  <c r="AC510" i="9"/>
  <c r="AC377" i="9"/>
  <c r="AC517" i="9"/>
  <c r="AC339" i="9"/>
  <c r="AC515" i="9"/>
  <c r="AC206" i="9"/>
  <c r="AC111" i="9"/>
  <c r="AC73" i="9"/>
  <c r="AD200" i="9"/>
  <c r="AD204" i="9" s="1"/>
  <c r="AD295" i="9"/>
  <c r="AD299" i="9" s="1"/>
  <c r="AD371" i="9"/>
  <c r="AD375" i="9" s="1"/>
  <c r="AD257" i="9"/>
  <c r="AD261" i="9" s="1"/>
  <c r="AD124" i="9"/>
  <c r="AD128" i="9" s="1"/>
  <c r="AD333" i="9"/>
  <c r="AD337" i="9" s="1"/>
  <c r="AD105" i="9"/>
  <c r="AD109" i="9" s="1"/>
  <c r="AD238" i="9"/>
  <c r="AD242" i="9" s="1"/>
  <c r="AD1003" i="9"/>
  <c r="AD1007" i="9"/>
  <c r="AD1010" i="9"/>
  <c r="AD993" i="9"/>
  <c r="AD996" i="9"/>
  <c r="AD1000" i="9"/>
  <c r="AD998" i="9"/>
  <c r="AD1005" i="9"/>
  <c r="BM12" i="3"/>
  <c r="BM3" i="3" s="1"/>
  <c r="BM3" i="38" s="1"/>
  <c r="W3" i="3"/>
  <c r="W3" i="38" s="1"/>
  <c r="W5" i="3"/>
  <c r="BJ211" i="6" l="1"/>
  <c r="BJ125" i="30" s="1"/>
  <c r="AA43" i="3"/>
  <c r="X43" i="3"/>
  <c r="W5" i="38"/>
  <c r="W3" i="35"/>
  <c r="W3" i="37"/>
  <c r="W5" i="35"/>
  <c r="W5" i="37"/>
  <c r="BM3" i="33"/>
  <c r="BM3" i="35"/>
  <c r="AD432" i="9"/>
  <c r="AD446" i="9"/>
  <c r="AD439" i="9"/>
  <c r="AD449" i="9"/>
  <c r="AD441" i="9"/>
  <c r="AD448" i="9"/>
  <c r="AD437" i="9"/>
  <c r="AD434" i="9"/>
  <c r="AD444" i="9"/>
  <c r="AC1085" i="9"/>
  <c r="AD502" i="9"/>
  <c r="AD514" i="9"/>
  <c r="AD505" i="9"/>
  <c r="AD512" i="9"/>
  <c r="AD519" i="9"/>
  <c r="AD507" i="9"/>
  <c r="AD509" i="9"/>
  <c r="AD516" i="9"/>
  <c r="W5" i="33"/>
  <c r="W5" i="36"/>
  <c r="W3" i="33"/>
  <c r="W3" i="36"/>
  <c r="AD997" i="9"/>
  <c r="BM3" i="32"/>
  <c r="BM3" i="30"/>
  <c r="W3" i="32"/>
  <c r="W3" i="30"/>
  <c r="W5" i="32"/>
  <c r="W5" i="30"/>
  <c r="AA149" i="3"/>
  <c r="AA153" i="3"/>
  <c r="AA139" i="3"/>
  <c r="AA142" i="3"/>
  <c r="AA148" i="3"/>
  <c r="AA150" i="3"/>
  <c r="AA157" i="3"/>
  <c r="AA147" i="3"/>
  <c r="AA152" i="3"/>
  <c r="AA140" i="3"/>
  <c r="AA143" i="3"/>
  <c r="AA141" i="3"/>
  <c r="AA158" i="3"/>
  <c r="AA154" i="3"/>
  <c r="AA155" i="3"/>
  <c r="AA156" i="3"/>
  <c r="AA145" i="3"/>
  <c r="AA144" i="3"/>
  <c r="AA146" i="3"/>
  <c r="AA151" i="3"/>
  <c r="AD1009" i="9"/>
  <c r="AD992" i="9"/>
  <c r="AD1008" i="9"/>
  <c r="AD1002" i="9"/>
  <c r="AD442" i="9"/>
  <c r="AD995" i="9"/>
  <c r="AD435" i="9"/>
  <c r="AD1006" i="9"/>
  <c r="AD999" i="9"/>
  <c r="AD1004" i="9"/>
  <c r="AD994" i="9"/>
  <c r="AD1001" i="9"/>
  <c r="AD282" i="9"/>
  <c r="AE276" i="9" s="1"/>
  <c r="AE280" i="9" s="1"/>
  <c r="AD358" i="9"/>
  <c r="AE352" i="9" s="1"/>
  <c r="AE356" i="9" s="1"/>
  <c r="AD415" i="9"/>
  <c r="AE409" i="9" s="1"/>
  <c r="AE413" i="9" s="1"/>
  <c r="AD92" i="9"/>
  <c r="AE86" i="9" s="1"/>
  <c r="AE90" i="9" s="1"/>
  <c r="AD149" i="9"/>
  <c r="AE143" i="9" s="1"/>
  <c r="AE147" i="9" s="1"/>
  <c r="AD225" i="9"/>
  <c r="AE219" i="9" s="1"/>
  <c r="AE223" i="9" s="1"/>
  <c r="X147" i="3"/>
  <c r="X150" i="3"/>
  <c r="X144" i="3"/>
  <c r="X153" i="3"/>
  <c r="X157" i="3"/>
  <c r="X142" i="3"/>
  <c r="X140" i="3"/>
  <c r="X152" i="3"/>
  <c r="X141" i="3"/>
  <c r="X149" i="3"/>
  <c r="X146" i="3"/>
  <c r="X154" i="3"/>
  <c r="X143" i="3"/>
  <c r="X145" i="3"/>
  <c r="X158" i="3"/>
  <c r="X156" i="3"/>
  <c r="X155" i="3"/>
  <c r="X151" i="3"/>
  <c r="X148" i="3"/>
  <c r="X139" i="3"/>
  <c r="AA5" i="3"/>
  <c r="AD320" i="9"/>
  <c r="AE314" i="9" s="1"/>
  <c r="AE318" i="9" s="1"/>
  <c r="AD187" i="9"/>
  <c r="AE181" i="9" s="1"/>
  <c r="AE185" i="9" s="1"/>
  <c r="W5" i="26"/>
  <c r="W5" i="28"/>
  <c r="W3" i="26"/>
  <c r="W3" i="28"/>
  <c r="BM3" i="26"/>
  <c r="BM3" i="28"/>
  <c r="AA12" i="3"/>
  <c r="AA3" i="3" s="1"/>
  <c r="AA30" i="3" s="1"/>
  <c r="BN12" i="3"/>
  <c r="BN3" i="3" s="1"/>
  <c r="BN3" i="38" s="1"/>
  <c r="W3" i="16"/>
  <c r="W3" i="22"/>
  <c r="T3" i="11"/>
  <c r="W5" i="22"/>
  <c r="W5" i="20"/>
  <c r="W3" i="12"/>
  <c r="W3" i="20"/>
  <c r="J3" i="20" s="1"/>
  <c r="BL12" i="3"/>
  <c r="BL3" i="3" s="1"/>
  <c r="BL3" i="38" s="1"/>
  <c r="W3" i="13"/>
  <c r="AB3" i="13" s="1"/>
  <c r="X12" i="3"/>
  <c r="X3" i="3" s="1"/>
  <c r="X3" i="38" s="1"/>
  <c r="W3" i="9"/>
  <c r="BM3" i="22"/>
  <c r="BM3" i="20"/>
  <c r="X5" i="11"/>
  <c r="AA4" i="38"/>
  <c r="X3" i="11"/>
  <c r="BM3" i="16"/>
  <c r="BM3" i="12"/>
  <c r="BM3" i="11"/>
  <c r="BM3" i="9"/>
  <c r="W5" i="16"/>
  <c r="W5" i="12"/>
  <c r="W5" i="13"/>
  <c r="AB5" i="13" s="1"/>
  <c r="T5" i="11"/>
  <c r="W5" i="9"/>
  <c r="X5" i="3"/>
  <c r="Y8" i="3"/>
  <c r="AA3" i="38" l="1"/>
  <c r="AA39" i="3"/>
  <c r="AA347" i="3"/>
  <c r="AA346" i="3"/>
  <c r="Y10" i="3"/>
  <c r="Y43" i="3" s="1"/>
  <c r="BO8" i="3"/>
  <c r="W48" i="3"/>
  <c r="W43" i="3"/>
  <c r="AA5" i="38"/>
  <c r="AA51" i="3"/>
  <c r="AA63" i="3"/>
  <c r="AA52" i="3"/>
  <c r="AA60" i="3"/>
  <c r="AA55" i="3"/>
  <c r="AA48" i="3"/>
  <c r="AA56" i="3"/>
  <c r="AA64" i="3"/>
  <c r="AA65" i="3"/>
  <c r="AA50" i="3"/>
  <c r="AA58" i="3"/>
  <c r="AA66" i="3"/>
  <c r="AA61" i="3"/>
  <c r="AA53" i="3"/>
  <c r="AA57" i="3"/>
  <c r="AA54" i="3"/>
  <c r="AA62" i="3"/>
  <c r="AA47" i="3"/>
  <c r="AA59" i="3"/>
  <c r="AA49" i="3"/>
  <c r="W62" i="3"/>
  <c r="W58" i="3"/>
  <c r="W66" i="3"/>
  <c r="W61" i="3"/>
  <c r="W51" i="3"/>
  <c r="X5" i="38"/>
  <c r="X51" i="3"/>
  <c r="X55" i="3"/>
  <c r="X48" i="3"/>
  <c r="X56" i="3"/>
  <c r="X64" i="3"/>
  <c r="X60" i="3"/>
  <c r="X52" i="3"/>
  <c r="X63" i="3"/>
  <c r="X57" i="3"/>
  <c r="X49" i="3"/>
  <c r="X54" i="3"/>
  <c r="X62" i="3"/>
  <c r="X53" i="3"/>
  <c r="X58" i="3"/>
  <c r="X66" i="3"/>
  <c r="X61" i="3"/>
  <c r="X47" i="3"/>
  <c r="X59" i="3"/>
  <c r="X65" i="3"/>
  <c r="X50" i="3"/>
  <c r="W50" i="3"/>
  <c r="W53" i="3"/>
  <c r="W54" i="3"/>
  <c r="W63" i="3"/>
  <c r="W60" i="3"/>
  <c r="W65" i="3"/>
  <c r="W49" i="3"/>
  <c r="W64" i="3"/>
  <c r="W56" i="3"/>
  <c r="W55" i="3"/>
  <c r="W59" i="3"/>
  <c r="W57" i="3"/>
  <c r="W47" i="3"/>
  <c r="W52" i="3"/>
  <c r="X16" i="3"/>
  <c r="X4" i="38"/>
  <c r="AC94" i="6"/>
  <c r="AC88" i="35"/>
  <c r="X4" i="35"/>
  <c r="X4" i="37"/>
  <c r="X5" i="35"/>
  <c r="X5" i="37"/>
  <c r="X3" i="35"/>
  <c r="X3" i="37"/>
  <c r="AA4" i="33"/>
  <c r="AA4" i="35"/>
  <c r="BL3" i="33"/>
  <c r="BL3" i="35"/>
  <c r="AA5" i="33"/>
  <c r="AA5" i="35"/>
  <c r="AA3" i="33"/>
  <c r="AA3" i="35"/>
  <c r="BN3" i="33"/>
  <c r="BN3" i="35"/>
  <c r="AE433" i="9"/>
  <c r="AE445" i="9"/>
  <c r="AE450" i="9"/>
  <c r="AE438" i="9"/>
  <c r="AE440" i="9"/>
  <c r="AE447" i="9"/>
  <c r="AE436" i="9"/>
  <c r="AE443" i="9"/>
  <c r="AD511" i="9"/>
  <c r="AD503" i="9"/>
  <c r="AD517" i="9"/>
  <c r="AD504" i="9"/>
  <c r="AD501" i="9"/>
  <c r="AD506" i="9"/>
  <c r="AD508" i="9"/>
  <c r="AD518" i="9"/>
  <c r="X5" i="33"/>
  <c r="X5" i="36"/>
  <c r="X4" i="33"/>
  <c r="X4" i="36"/>
  <c r="X3" i="33"/>
  <c r="X3" i="36"/>
  <c r="AD168" i="9"/>
  <c r="AE162" i="9" s="1"/>
  <c r="AE166" i="9" s="1"/>
  <c r="AA16" i="3"/>
  <c r="AA18" i="3" s="1"/>
  <c r="AA4" i="32"/>
  <c r="AA4" i="30"/>
  <c r="AA174" i="3"/>
  <c r="AA197" i="3" s="1"/>
  <c r="AA179" i="3"/>
  <c r="AA202" i="3" s="1"/>
  <c r="AA164" i="3"/>
  <c r="AA187" i="3" s="1"/>
  <c r="AA170" i="3"/>
  <c r="AA193" i="3" s="1"/>
  <c r="AA165" i="3"/>
  <c r="AA188" i="3" s="1"/>
  <c r="X5" i="32"/>
  <c r="X5" i="30"/>
  <c r="BL3" i="32"/>
  <c r="BL3" i="30"/>
  <c r="AA5" i="32"/>
  <c r="AA5" i="30"/>
  <c r="AA169" i="3"/>
  <c r="AA192" i="3" s="1"/>
  <c r="AA178" i="3"/>
  <c r="AA201" i="3" s="1"/>
  <c r="AA166" i="3"/>
  <c r="AA189" i="3" s="1"/>
  <c r="AA180" i="3"/>
  <c r="AA203" i="3" s="1"/>
  <c r="AA162" i="3"/>
  <c r="AA185" i="3" s="1"/>
  <c r="X3" i="32"/>
  <c r="X3" i="30"/>
  <c r="AA3" i="32"/>
  <c r="AA3" i="30"/>
  <c r="AA167" i="3"/>
  <c r="AA190" i="3" s="1"/>
  <c r="AA177" i="3"/>
  <c r="AA200" i="3" s="1"/>
  <c r="AA163" i="3"/>
  <c r="AA186" i="3" s="1"/>
  <c r="AA173" i="3"/>
  <c r="AA196" i="3" s="1"/>
  <c r="AA176" i="3"/>
  <c r="AA199" i="3" s="1"/>
  <c r="X4" i="28"/>
  <c r="X4" i="32"/>
  <c r="X4" i="30"/>
  <c r="BN3" i="32"/>
  <c r="BN3" i="30"/>
  <c r="AA168" i="3"/>
  <c r="AA191" i="3" s="1"/>
  <c r="AA181" i="3"/>
  <c r="AA204" i="3" s="1"/>
  <c r="AA175" i="3"/>
  <c r="AA198" i="3" s="1"/>
  <c r="AA171" i="3"/>
  <c r="AA194" i="3" s="1"/>
  <c r="AA172" i="3"/>
  <c r="AA195" i="3" s="1"/>
  <c r="AD73" i="9"/>
  <c r="AD396" i="9"/>
  <c r="AD263" i="9"/>
  <c r="AD377" i="9"/>
  <c r="AD130" i="9"/>
  <c r="AE124" i="9"/>
  <c r="AE128" i="9" s="1"/>
  <c r="AD244" i="9"/>
  <c r="AD510" i="9"/>
  <c r="AD339" i="9"/>
  <c r="AD515" i="9"/>
  <c r="AD301" i="9"/>
  <c r="AD513" i="9"/>
  <c r="AD111" i="9"/>
  <c r="AD206" i="9"/>
  <c r="AE371" i="9"/>
  <c r="AE375" i="9" s="1"/>
  <c r="AE105" i="9"/>
  <c r="AE109" i="9" s="1"/>
  <c r="AE295" i="9"/>
  <c r="AE299" i="9" s="1"/>
  <c r="AE390" i="9"/>
  <c r="AE394" i="9" s="1"/>
  <c r="AE333" i="9"/>
  <c r="AE337" i="9" s="1"/>
  <c r="AE257" i="9"/>
  <c r="AE261" i="9" s="1"/>
  <c r="AE238" i="9"/>
  <c r="AE242" i="9" s="1"/>
  <c r="AE67" i="9"/>
  <c r="AE71" i="9" s="1"/>
  <c r="AE200" i="9"/>
  <c r="AE204" i="9" s="1"/>
  <c r="AA5" i="28"/>
  <c r="AA5" i="26"/>
  <c r="AE1010" i="9"/>
  <c r="AE1003" i="9"/>
  <c r="AE1007" i="9"/>
  <c r="AE993" i="9"/>
  <c r="AE996" i="9"/>
  <c r="AE1000" i="9"/>
  <c r="AA4" i="28"/>
  <c r="W150" i="3"/>
  <c r="W156" i="3"/>
  <c r="W140" i="3"/>
  <c r="W143" i="3"/>
  <c r="W145" i="3"/>
  <c r="W149" i="3"/>
  <c r="W147" i="3"/>
  <c r="W148" i="3"/>
  <c r="W157" i="3"/>
  <c r="W158" i="3"/>
  <c r="W155" i="3"/>
  <c r="W151" i="3"/>
  <c r="W144" i="3"/>
  <c r="W139" i="3"/>
  <c r="W153" i="3"/>
  <c r="W142" i="3"/>
  <c r="W154" i="3"/>
  <c r="W146" i="3"/>
  <c r="W152" i="3"/>
  <c r="W141" i="3"/>
  <c r="AA24" i="3"/>
  <c r="AE998" i="9"/>
  <c r="AE1005" i="9"/>
  <c r="X5" i="26"/>
  <c r="X192" i="26" s="1"/>
  <c r="X5" i="28"/>
  <c r="BL3" i="26"/>
  <c r="BL3" i="28"/>
  <c r="BN3" i="26"/>
  <c r="BN3" i="28"/>
  <c r="X3" i="26"/>
  <c r="X3" i="28"/>
  <c r="AA3" i="26"/>
  <c r="AA3" i="28"/>
  <c r="X4" i="26"/>
  <c r="AA22" i="3"/>
  <c r="AA4" i="26"/>
  <c r="BL24" i="3"/>
  <c r="W24" i="3"/>
  <c r="BM24" i="3"/>
  <c r="BN24" i="3"/>
  <c r="X24" i="3"/>
  <c r="X22" i="3"/>
  <c r="X4" i="16"/>
  <c r="X4" i="20"/>
  <c r="AA3" i="22"/>
  <c r="AA3" i="12"/>
  <c r="AA3" i="9"/>
  <c r="AA3" i="16"/>
  <c r="AA3" i="20"/>
  <c r="AA3" i="11"/>
  <c r="U4" i="11"/>
  <c r="X4" i="22"/>
  <c r="X4" i="12"/>
  <c r="X4" i="13"/>
  <c r="AC4" i="13" s="1"/>
  <c r="BL3" i="20"/>
  <c r="BL3" i="11"/>
  <c r="BL3" i="22"/>
  <c r="BL3" i="16"/>
  <c r="BL3" i="9"/>
  <c r="BL3" i="12"/>
  <c r="U3" i="11"/>
  <c r="X3" i="16"/>
  <c r="X3" i="9"/>
  <c r="X3" i="20"/>
  <c r="K3" i="20" s="1"/>
  <c r="X3" i="13"/>
  <c r="AC3" i="13" s="1"/>
  <c r="X3" i="22"/>
  <c r="X3" i="12"/>
  <c r="AA5" i="22"/>
  <c r="AA5" i="20"/>
  <c r="X5" i="22"/>
  <c r="X5" i="20"/>
  <c r="AA4" i="22"/>
  <c r="AA4" i="20"/>
  <c r="BN3" i="22"/>
  <c r="BN3" i="20"/>
  <c r="Y4" i="11"/>
  <c r="Y5" i="11"/>
  <c r="X5" i="16"/>
  <c r="X5" i="13"/>
  <c r="AC5" i="13" s="1"/>
  <c r="X5" i="12"/>
  <c r="U5" i="11"/>
  <c r="X5" i="9"/>
  <c r="BN3" i="16"/>
  <c r="BN3" i="12"/>
  <c r="BN3" i="11"/>
  <c r="BN3" i="9"/>
  <c r="AA5" i="16"/>
  <c r="AA5" i="12"/>
  <c r="AA5" i="11"/>
  <c r="AA5" i="9"/>
  <c r="AB10" i="3"/>
  <c r="AB4" i="3" s="1"/>
  <c r="AB2" i="44" s="1" a="1"/>
  <c r="AB2" i="44" s="1"/>
  <c r="Y3" i="11"/>
  <c r="AA4" i="12"/>
  <c r="AA4" i="16"/>
  <c r="AA4" i="11"/>
  <c r="AA4" i="9"/>
  <c r="AA698" i="9" l="1"/>
  <c r="AA696" i="9"/>
  <c r="AA697" i="9"/>
  <c r="AA695" i="9"/>
  <c r="AA691" i="9"/>
  <c r="AA686" i="9"/>
  <c r="AA828" i="9" s="1"/>
  <c r="AA692" i="9"/>
  <c r="AA689" i="9"/>
  <c r="AA687" i="9"/>
  <c r="AA702" i="9"/>
  <c r="AA701" i="9"/>
  <c r="AA700" i="9"/>
  <c r="AA704" i="9"/>
  <c r="AA694" i="9"/>
  <c r="AA690" i="9"/>
  <c r="AA688" i="9"/>
  <c r="AA830" i="9" s="1"/>
  <c r="AA693" i="9"/>
  <c r="AA705" i="9"/>
  <c r="AA703" i="9"/>
  <c r="AA699" i="9"/>
  <c r="AA11" i="20" a="1"/>
  <c r="AA11" i="20" s="1"/>
  <c r="AA198" i="20" a="1"/>
  <c r="AA198" i="20" s="1"/>
  <c r="AA148" i="20" a="1"/>
  <c r="AA148" i="20" s="1"/>
  <c r="AA146" i="20" a="1"/>
  <c r="AA146" i="20" s="1"/>
  <c r="AA145" i="20" a="1"/>
  <c r="AA145" i="20" s="1"/>
  <c r="AA169" i="20" a="1"/>
  <c r="AA169" i="20" s="1"/>
  <c r="AA149" i="20" a="1"/>
  <c r="AA149" i="20" s="1"/>
  <c r="AA181" i="20" a="1"/>
  <c r="AA181" i="20" s="1"/>
  <c r="AA172" i="20" a="1"/>
  <c r="AA172" i="20" s="1"/>
  <c r="AA131" i="20" a="1"/>
  <c r="AA131" i="20" s="1"/>
  <c r="AA129" i="20" a="1"/>
  <c r="AA129" i="20" s="1"/>
  <c r="AA128" i="20" a="1"/>
  <c r="AA128" i="20" s="1"/>
  <c r="AA127" i="20" a="1"/>
  <c r="AA127" i="20" s="1"/>
  <c r="AA150" i="20" a="1"/>
  <c r="AA150" i="20" s="1"/>
  <c r="AA154" i="20" a="1"/>
  <c r="AA154" i="20" s="1"/>
  <c r="AA144" i="20" a="1"/>
  <c r="AA144" i="20" s="1"/>
  <c r="AA142" i="20" a="1"/>
  <c r="AA142" i="20" s="1"/>
  <c r="AA140" i="20" a="1"/>
  <c r="AA140" i="20" s="1"/>
  <c r="AA138" i="20" a="1"/>
  <c r="AA138" i="20" s="1"/>
  <c r="AA133" i="20" a="1"/>
  <c r="AA133" i="20" s="1"/>
  <c r="AA126" i="20" a="1"/>
  <c r="AA126" i="20" s="1"/>
  <c r="AA125" i="20" a="1"/>
  <c r="AA125" i="20" s="1"/>
  <c r="AA124" i="20" a="1"/>
  <c r="AA124" i="20" s="1"/>
  <c r="AA123" i="20" a="1"/>
  <c r="AA123" i="20" s="1"/>
  <c r="AA122" i="20" a="1"/>
  <c r="AA122" i="20" s="1"/>
  <c r="AA115" i="20" a="1"/>
  <c r="AA115" i="20" s="1"/>
  <c r="AA112" i="20" a="1"/>
  <c r="AA112" i="20" s="1"/>
  <c r="AA111" i="20" a="1"/>
  <c r="AA111" i="20" s="1"/>
  <c r="AA110" i="20" a="1"/>
  <c r="AA110" i="20" s="1"/>
  <c r="AA106" i="20" a="1"/>
  <c r="AA106" i="20" s="1"/>
  <c r="AA141" i="20" a="1"/>
  <c r="AA141" i="20" s="1"/>
  <c r="AA137" i="20" a="1"/>
  <c r="AA137" i="20" s="1"/>
  <c r="AA105" i="20" a="1"/>
  <c r="AA105" i="20" s="1"/>
  <c r="AA139" i="20" a="1"/>
  <c r="AA139" i="20" s="1"/>
  <c r="AA132" i="20" a="1"/>
  <c r="AA132" i="20" s="1"/>
  <c r="AA104" i="20" a="1"/>
  <c r="AA104" i="20" s="1"/>
  <c r="AA103" i="20" a="1"/>
  <c r="AA103" i="20" s="1"/>
  <c r="AA102" i="20" a="1"/>
  <c r="AA102" i="20" s="1"/>
  <c r="AA101" i="20" a="1"/>
  <c r="AA101" i="20" s="1"/>
  <c r="AA97" i="20" a="1"/>
  <c r="AA97" i="20" s="1"/>
  <c r="AA96" i="20" a="1"/>
  <c r="AA96" i="20" s="1"/>
  <c r="AA95" i="20" a="1"/>
  <c r="AA95" i="20" s="1"/>
  <c r="AA94" i="20" a="1"/>
  <c r="AA94" i="20" s="1"/>
  <c r="AA93" i="20" a="1"/>
  <c r="AA93" i="20" s="1"/>
  <c r="AA92" i="20" a="1"/>
  <c r="AA92" i="20" s="1"/>
  <c r="AA91" i="20" a="1"/>
  <c r="AA91" i="20" s="1"/>
  <c r="AA90" i="20" a="1"/>
  <c r="AA90" i="20" s="1"/>
  <c r="AA89" i="20" a="1"/>
  <c r="AA89" i="20" s="1"/>
  <c r="AA88" i="20" a="1"/>
  <c r="AA88" i="20" s="1"/>
  <c r="AA87" i="20" a="1"/>
  <c r="AA87" i="20" s="1"/>
  <c r="AA83" i="20" a="1"/>
  <c r="AA83" i="20" s="1"/>
  <c r="AA143" i="20" a="1"/>
  <c r="AA143" i="20" s="1"/>
  <c r="AA79" i="20" a="1"/>
  <c r="AA79" i="20" s="1"/>
  <c r="AA75" i="20" a="1"/>
  <c r="AA75" i="20" s="1"/>
  <c r="AA71" i="20" a="1"/>
  <c r="AA71" i="20" s="1"/>
  <c r="AA64" i="20" a="1"/>
  <c r="AA64" i="20" s="1"/>
  <c r="AA57" i="20" a="1"/>
  <c r="AA57" i="20" s="1"/>
  <c r="AA53" i="20" a="1"/>
  <c r="AA53" i="20" s="1"/>
  <c r="AA46" i="20" a="1"/>
  <c r="AA46" i="20" s="1"/>
  <c r="AA41" i="20" a="1"/>
  <c r="AA41" i="20" s="1"/>
  <c r="AA38" i="20" a="1"/>
  <c r="AA38" i="20" s="1"/>
  <c r="AA36" i="20" a="1"/>
  <c r="AA36" i="20" s="1"/>
  <c r="AA35" i="20" a="1"/>
  <c r="AA35" i="20" s="1"/>
  <c r="AA34" i="20" a="1"/>
  <c r="AA34" i="20" s="1"/>
  <c r="AA33" i="20" a="1"/>
  <c r="AA33" i="20" s="1"/>
  <c r="AA32" i="20" a="1"/>
  <c r="AA32" i="20" s="1"/>
  <c r="AA29" i="20" a="1"/>
  <c r="AA29" i="20" s="1"/>
  <c r="AA27" i="20" a="1"/>
  <c r="AA27" i="20" s="1"/>
  <c r="AA26" i="20" a="1"/>
  <c r="AA26" i="20" s="1"/>
  <c r="AA25" i="20" a="1"/>
  <c r="AA25" i="20" s="1"/>
  <c r="AA24" i="20" a="1"/>
  <c r="AA24" i="20" s="1"/>
  <c r="AA23" i="20" a="1"/>
  <c r="AA23" i="20" s="1"/>
  <c r="AA22" i="20" a="1"/>
  <c r="AA22" i="20" s="1"/>
  <c r="AA21" i="20" a="1"/>
  <c r="AA21" i="20" s="1"/>
  <c r="AA20" i="20" a="1"/>
  <c r="AA20" i="20" s="1"/>
  <c r="AA19" i="20" a="1"/>
  <c r="AA19" i="20" s="1"/>
  <c r="AA16" i="20" a="1"/>
  <c r="AA16" i="20" s="1"/>
  <c r="AA14" i="20" a="1"/>
  <c r="AA14" i="20" s="1"/>
  <c r="AA13" i="20" a="1"/>
  <c r="AA13" i="20" s="1"/>
  <c r="AA12" i="20" a="1"/>
  <c r="AA12" i="20" s="1"/>
  <c r="AA76" i="20" a="1"/>
  <c r="AA76" i="20" s="1"/>
  <c r="AA65" i="20" a="1"/>
  <c r="AA65" i="20" s="1"/>
  <c r="AA58" i="20" a="1"/>
  <c r="AA58" i="20" s="1"/>
  <c r="AA44" i="20" a="1"/>
  <c r="AA44" i="20" s="1"/>
  <c r="AA82" i="20" a="1"/>
  <c r="AA82" i="20" s="1"/>
  <c r="AA78" i="20" a="1"/>
  <c r="AA78" i="20" s="1"/>
  <c r="AA74" i="20" a="1"/>
  <c r="AA74" i="20" s="1"/>
  <c r="AA68" i="20" a="1"/>
  <c r="AA68" i="20" s="1"/>
  <c r="AA61" i="20" a="1"/>
  <c r="AA61" i="20" s="1"/>
  <c r="AA56" i="20" a="1"/>
  <c r="AA56" i="20" s="1"/>
  <c r="AA50" i="20" a="1"/>
  <c r="AA50" i="20" s="1"/>
  <c r="AA45" i="20" a="1"/>
  <c r="AA45" i="20" s="1"/>
  <c r="AA43" i="20" a="1"/>
  <c r="AA43" i="20" s="1"/>
  <c r="AA47" i="20" a="1"/>
  <c r="AA47" i="20" s="1"/>
  <c r="AA42" i="20" a="1"/>
  <c r="AA42" i="20" s="1"/>
  <c r="AA81" i="20" a="1"/>
  <c r="AA81" i="20" s="1"/>
  <c r="AA77" i="20" a="1"/>
  <c r="AA77" i="20" s="1"/>
  <c r="AA73" i="20" a="1"/>
  <c r="AA73" i="20" s="1"/>
  <c r="AA66" i="20" a="1"/>
  <c r="AA66" i="20" s="1"/>
  <c r="AA59" i="20" a="1"/>
  <c r="AA59" i="20" s="1"/>
  <c r="AA55" i="20" a="1"/>
  <c r="AA55" i="20" s="1"/>
  <c r="AA48" i="20" a="1"/>
  <c r="AA48" i="20" s="1"/>
  <c r="AA80" i="20" a="1"/>
  <c r="AA80" i="20" s="1"/>
  <c r="AA72" i="20" a="1"/>
  <c r="AA72" i="20" s="1"/>
  <c r="AA54" i="20" a="1"/>
  <c r="AA54" i="20" s="1"/>
  <c r="Y139" i="3"/>
  <c r="Y155" i="3"/>
  <c r="X182" i="26"/>
  <c r="Y146" i="3"/>
  <c r="Y145" i="3"/>
  <c r="X188" i="26"/>
  <c r="X189" i="26"/>
  <c r="X187" i="26"/>
  <c r="X191" i="26"/>
  <c r="X184" i="26"/>
  <c r="AA83" i="9"/>
  <c r="AA140" i="9"/>
  <c r="AA178" i="9"/>
  <c r="AA216" i="9"/>
  <c r="AA254" i="9"/>
  <c r="AA292" i="9"/>
  <c r="AA330" i="9"/>
  <c r="AA368" i="9"/>
  <c r="AA406" i="9"/>
  <c r="AA64" i="9"/>
  <c r="AA159" i="9"/>
  <c r="AA311" i="9"/>
  <c r="AA425" i="9"/>
  <c r="AA102" i="9"/>
  <c r="AA197" i="9"/>
  <c r="AA349" i="9"/>
  <c r="AA121" i="9"/>
  <c r="AA235" i="9"/>
  <c r="AA273" i="9"/>
  <c r="AA387" i="9"/>
  <c r="X179" i="26"/>
  <c r="Y156" i="3"/>
  <c r="X186" i="26"/>
  <c r="X185" i="26"/>
  <c r="X183" i="26"/>
  <c r="AA107" i="26"/>
  <c r="Y12" i="3"/>
  <c r="Y3" i="3" s="1"/>
  <c r="Y3" i="38" s="1"/>
  <c r="X164" i="26"/>
  <c r="Y143" i="3"/>
  <c r="X178" i="26"/>
  <c r="X181" i="26"/>
  <c r="X190" i="26"/>
  <c r="X180" i="26"/>
  <c r="Y149" i="3"/>
  <c r="Y153" i="3"/>
  <c r="Y144" i="3"/>
  <c r="Y157" i="3"/>
  <c r="Y5" i="3"/>
  <c r="Y5" i="38" s="1"/>
  <c r="Y152" i="3"/>
  <c r="Y142" i="3"/>
  <c r="Y158" i="3"/>
  <c r="Y140" i="3"/>
  <c r="Y24" i="3"/>
  <c r="Y150" i="3"/>
  <c r="Y141" i="3"/>
  <c r="Y151" i="3"/>
  <c r="Y154" i="3"/>
  <c r="Y148" i="3"/>
  <c r="Y4" i="3"/>
  <c r="Y2" i="44" s="1" a="1"/>
  <c r="Y2" i="44" s="1"/>
  <c r="Y147" i="3"/>
  <c r="AA756" i="9"/>
  <c r="AA760" i="9"/>
  <c r="AA764" i="9"/>
  <c r="AA768" i="9"/>
  <c r="AA772" i="9"/>
  <c r="AA757" i="9"/>
  <c r="AA761" i="9"/>
  <c r="AA765" i="9"/>
  <c r="AA769" i="9"/>
  <c r="AA773" i="9"/>
  <c r="AA758" i="9"/>
  <c r="AA766" i="9"/>
  <c r="AA774" i="9"/>
  <c r="AA759" i="9"/>
  <c r="AA767" i="9"/>
  <c r="AA755" i="9"/>
  <c r="AA770" i="9"/>
  <c r="AA762" i="9"/>
  <c r="AA763" i="9"/>
  <c r="AA771" i="9"/>
  <c r="AA93" i="3"/>
  <c r="BO10" i="3"/>
  <c r="BO4" i="3" s="1"/>
  <c r="BO2" i="44" s="1" a="1"/>
  <c r="BO2" i="44" s="1"/>
  <c r="W129" i="3"/>
  <c r="W126" i="3"/>
  <c r="AB43" i="3"/>
  <c r="W121" i="3"/>
  <c r="W119" i="3"/>
  <c r="W132" i="3"/>
  <c r="W127" i="3"/>
  <c r="AA89" i="26"/>
  <c r="AB12" i="3"/>
  <c r="AB3" i="3" s="1"/>
  <c r="AB30" i="3" s="1"/>
  <c r="AA42" i="30"/>
  <c r="AA152" i="30"/>
  <c r="AA195" i="20"/>
  <c r="X167" i="26"/>
  <c r="W16" i="3"/>
  <c r="X18" i="3" s="1"/>
  <c r="W4" i="38"/>
  <c r="X20" i="3"/>
  <c r="X156" i="26"/>
  <c r="X155" i="26"/>
  <c r="X163" i="26"/>
  <c r="X162" i="26"/>
  <c r="X168" i="26"/>
  <c r="X165" i="26"/>
  <c r="X159" i="26"/>
  <c r="X160" i="26"/>
  <c r="X157" i="26"/>
  <c r="X161" i="26"/>
  <c r="X166" i="26"/>
  <c r="X158" i="26"/>
  <c r="X154" i="26"/>
  <c r="AA88" i="26"/>
  <c r="W4" i="35"/>
  <c r="W4" i="37"/>
  <c r="AA70" i="3"/>
  <c r="AA115" i="26"/>
  <c r="AA79" i="26"/>
  <c r="AA67" i="26"/>
  <c r="AA90" i="26"/>
  <c r="AA53" i="26"/>
  <c r="AA65" i="26"/>
  <c r="AE439" i="9"/>
  <c r="AE435" i="9"/>
  <c r="AA267" i="3"/>
  <c r="AA221" i="3"/>
  <c r="AA722" i="9" s="1"/>
  <c r="AA268" i="3"/>
  <c r="AA222" i="3"/>
  <c r="AA723" i="9" s="1"/>
  <c r="AA259" i="3"/>
  <c r="AA213" i="3"/>
  <c r="AA714" i="9" s="1"/>
  <c r="AA270" i="3"/>
  <c r="AA224" i="3"/>
  <c r="AA725" i="9" s="1"/>
  <c r="AA257" i="3"/>
  <c r="AA211" i="3"/>
  <c r="AA712" i="9" s="1"/>
  <c r="AA266" i="3"/>
  <c r="AA220" i="3"/>
  <c r="AA721" i="9" s="1"/>
  <c r="AE432" i="9"/>
  <c r="AA273" i="3"/>
  <c r="AA227" i="3"/>
  <c r="AA728" i="9" s="1"/>
  <c r="AA265" i="3"/>
  <c r="AA219" i="3"/>
  <c r="AA720" i="9" s="1"/>
  <c r="AA208" i="3"/>
  <c r="AA709" i="9" s="1"/>
  <c r="AA254" i="3"/>
  <c r="AA261" i="3"/>
  <c r="AA215" i="3"/>
  <c r="AA716" i="9" s="1"/>
  <c r="AA262" i="3"/>
  <c r="AA216" i="3"/>
  <c r="AA717" i="9" s="1"/>
  <c r="AE437" i="9"/>
  <c r="AE441" i="9"/>
  <c r="AE444" i="9"/>
  <c r="AE434" i="9"/>
  <c r="AA264" i="3"/>
  <c r="AA218" i="3"/>
  <c r="AA719" i="9" s="1"/>
  <c r="AA260" i="3"/>
  <c r="AA214" i="3"/>
  <c r="AA715" i="9" s="1"/>
  <c r="AA209" i="3"/>
  <c r="AA710" i="9" s="1"/>
  <c r="AA255" i="3"/>
  <c r="AA272" i="3"/>
  <c r="AA226" i="3"/>
  <c r="AA727" i="9" s="1"/>
  <c r="AA256" i="3"/>
  <c r="AA210" i="3"/>
  <c r="AA711" i="9" s="1"/>
  <c r="AE448" i="9"/>
  <c r="AA263" i="3"/>
  <c r="AA217" i="3"/>
  <c r="AA718" i="9" s="1"/>
  <c r="AA269" i="3"/>
  <c r="AA223" i="3"/>
  <c r="AA724" i="9" s="1"/>
  <c r="AA258" i="3"/>
  <c r="AA212" i="3"/>
  <c r="AA713" i="9" s="1"/>
  <c r="AA271" i="3"/>
  <c r="AA225" i="3"/>
  <c r="AA726" i="9" s="1"/>
  <c r="AD1085" i="9"/>
  <c r="AE507" i="9"/>
  <c r="AE502" i="9"/>
  <c r="AE516" i="9"/>
  <c r="AE509" i="9"/>
  <c r="AE512" i="9"/>
  <c r="AE514" i="9"/>
  <c r="AE505" i="9"/>
  <c r="AE519" i="9"/>
  <c r="W4" i="33"/>
  <c r="W4" i="36"/>
  <c r="AE997" i="9"/>
  <c r="AA63" i="26"/>
  <c r="AA78" i="26"/>
  <c r="AA59" i="26"/>
  <c r="AA109" i="26"/>
  <c r="AA116" i="26"/>
  <c r="AA62" i="26"/>
  <c r="AA82" i="26"/>
  <c r="AB148" i="3"/>
  <c r="AB142" i="3"/>
  <c r="AB146" i="3"/>
  <c r="AB141" i="3"/>
  <c r="AB144" i="3"/>
  <c r="AB149" i="3"/>
  <c r="AB152" i="3"/>
  <c r="AB156" i="3"/>
  <c r="AB150" i="3"/>
  <c r="AB147" i="3"/>
  <c r="AB155" i="3"/>
  <c r="AB143" i="3"/>
  <c r="AB151" i="3"/>
  <c r="AB140" i="3"/>
  <c r="AB139" i="3"/>
  <c r="W4" i="32"/>
  <c r="W4" i="30"/>
  <c r="AB154" i="3"/>
  <c r="AB158" i="3"/>
  <c r="AB153" i="3"/>
  <c r="AB157" i="3"/>
  <c r="AB145" i="3"/>
  <c r="X196" i="26"/>
  <c r="AA106" i="26"/>
  <c r="AA112" i="26"/>
  <c r="AA91" i="26"/>
  <c r="AA84" i="26"/>
  <c r="AA105" i="26"/>
  <c r="AA117" i="26"/>
  <c r="X133" i="26"/>
  <c r="AA92" i="26"/>
  <c r="AA57" i="26"/>
  <c r="AA55" i="26"/>
  <c r="AE1004" i="9"/>
  <c r="AE995" i="9"/>
  <c r="AE1006" i="9"/>
  <c r="AE446" i="9"/>
  <c r="AE1009" i="9"/>
  <c r="AE449" i="9"/>
  <c r="AE1002" i="9"/>
  <c r="AE442" i="9"/>
  <c r="AE999" i="9"/>
  <c r="AE994" i="9"/>
  <c r="AE1008" i="9"/>
  <c r="AE1001" i="9"/>
  <c r="AE992" i="9"/>
  <c r="AA66" i="26"/>
  <c r="AA54" i="26"/>
  <c r="AA85" i="26"/>
  <c r="AA61" i="26"/>
  <c r="AA113" i="26"/>
  <c r="AA118" i="26"/>
  <c r="AA111" i="26"/>
  <c r="AA104" i="26"/>
  <c r="AA60" i="26"/>
  <c r="AA83" i="26"/>
  <c r="AA87" i="26"/>
  <c r="AA64" i="26"/>
  <c r="AA58" i="26"/>
  <c r="AA81" i="26"/>
  <c r="AA86" i="26"/>
  <c r="AA234" i="26" s="1"/>
  <c r="AA110" i="26"/>
  <c r="AA114" i="26"/>
  <c r="AA108" i="26"/>
  <c r="AA56" i="26"/>
  <c r="AA80" i="26"/>
  <c r="AE415" i="9"/>
  <c r="AF409" i="9" s="1"/>
  <c r="AF413" i="9" s="1"/>
  <c r="AE282" i="9"/>
  <c r="AF276" i="9" s="1"/>
  <c r="AF280" i="9" s="1"/>
  <c r="AE149" i="9"/>
  <c r="AF143" i="9" s="1"/>
  <c r="AF147" i="9" s="1"/>
  <c r="AE92" i="9"/>
  <c r="AF86" i="9" s="1"/>
  <c r="AF90" i="9" s="1"/>
  <c r="AE358" i="9"/>
  <c r="AF352" i="9" s="1"/>
  <c r="AF356" i="9" s="1"/>
  <c r="AE225" i="9"/>
  <c r="AF219" i="9" s="1"/>
  <c r="AF223" i="9" s="1"/>
  <c r="AA71" i="3"/>
  <c r="AA74" i="3"/>
  <c r="AA83" i="3"/>
  <c r="AA79" i="3"/>
  <c r="AA86" i="3"/>
  <c r="AA85" i="3"/>
  <c r="AA76" i="3"/>
  <c r="AA87" i="3"/>
  <c r="AA82" i="3"/>
  <c r="AA77" i="3"/>
  <c r="AA75" i="3"/>
  <c r="W116" i="3"/>
  <c r="W120" i="3"/>
  <c r="W131" i="3"/>
  <c r="W133" i="3"/>
  <c r="W117" i="3"/>
  <c r="AA81" i="3"/>
  <c r="AA72" i="3"/>
  <c r="AA78" i="3"/>
  <c r="AA73" i="3"/>
  <c r="AA80" i="3"/>
  <c r="AA88" i="3"/>
  <c r="W130" i="3"/>
  <c r="W123" i="3"/>
  <c r="W135" i="3"/>
  <c r="AA89" i="3"/>
  <c r="AA84" i="3"/>
  <c r="W128" i="3"/>
  <c r="W118" i="3"/>
  <c r="W134" i="3"/>
  <c r="W124" i="3"/>
  <c r="W125" i="3"/>
  <c r="W122" i="3"/>
  <c r="AE320" i="9"/>
  <c r="AF314" i="9" s="1"/>
  <c r="AF318" i="9" s="1"/>
  <c r="AE187" i="9"/>
  <c r="AF181" i="9"/>
  <c r="AF185" i="9" s="1"/>
  <c r="X56" i="26"/>
  <c r="X92" i="26"/>
  <c r="X91" i="26"/>
  <c r="X87" i="26"/>
  <c r="X67" i="26"/>
  <c r="X83" i="26"/>
  <c r="X65" i="26"/>
  <c r="X64" i="26"/>
  <c r="X111" i="26"/>
  <c r="X80" i="26"/>
  <c r="X79" i="26"/>
  <c r="X61" i="26"/>
  <c r="X109" i="26"/>
  <c r="X143" i="26"/>
  <c r="X137" i="26"/>
  <c r="X138" i="26"/>
  <c r="X115" i="26"/>
  <c r="X112" i="26"/>
  <c r="X142" i="26"/>
  <c r="X107" i="26"/>
  <c r="X118" i="26"/>
  <c r="X116" i="26"/>
  <c r="X114" i="26"/>
  <c r="X106" i="26"/>
  <c r="X140" i="26"/>
  <c r="X53" i="26"/>
  <c r="X130" i="26"/>
  <c r="X110" i="26"/>
  <c r="X132" i="26"/>
  <c r="X131" i="26"/>
  <c r="X104" i="26"/>
  <c r="X136" i="26"/>
  <c r="X141" i="26"/>
  <c r="X84" i="26"/>
  <c r="X63" i="26"/>
  <c r="X58" i="26"/>
  <c r="X117" i="26"/>
  <c r="X134" i="26"/>
  <c r="X113" i="26"/>
  <c r="X105" i="26"/>
  <c r="X135" i="26"/>
  <c r="X108" i="26"/>
  <c r="X139" i="26"/>
  <c r="X144" i="26"/>
  <c r="X89" i="26"/>
  <c r="X85" i="26"/>
  <c r="X81" i="26"/>
  <c r="X90" i="26"/>
  <c r="X55" i="26"/>
  <c r="X59" i="26"/>
  <c r="X86" i="26"/>
  <c r="X82" i="26"/>
  <c r="X78" i="26"/>
  <c r="X88" i="26"/>
  <c r="X62" i="26"/>
  <c r="X60" i="26"/>
  <c r="X57" i="26"/>
  <c r="X66" i="26"/>
  <c r="X54" i="26"/>
  <c r="AA26" i="3"/>
  <c r="W4" i="28"/>
  <c r="AB24" i="3"/>
  <c r="AB5" i="3"/>
  <c r="AA28" i="3"/>
  <c r="W22" i="3"/>
  <c r="W28" i="3" s="1"/>
  <c r="W4" i="26"/>
  <c r="X28" i="3"/>
  <c r="X26" i="3"/>
  <c r="W4" i="22"/>
  <c r="W4" i="20"/>
  <c r="AA105" i="3"/>
  <c r="AA98" i="3"/>
  <c r="X101" i="3"/>
  <c r="X106" i="3"/>
  <c r="X112" i="3"/>
  <c r="W4" i="12"/>
  <c r="W4" i="16"/>
  <c r="W4" i="13"/>
  <c r="AB4" i="13" s="1"/>
  <c r="T4" i="11"/>
  <c r="W4" i="9"/>
  <c r="AA95" i="3"/>
  <c r="AA101" i="3"/>
  <c r="AA96" i="3"/>
  <c r="AA103" i="3"/>
  <c r="AA104" i="3"/>
  <c r="X109" i="3"/>
  <c r="X96" i="3"/>
  <c r="X98" i="3"/>
  <c r="X99" i="3"/>
  <c r="AA100" i="3"/>
  <c r="X107" i="3"/>
  <c r="AC8" i="3"/>
  <c r="AA94" i="3"/>
  <c r="AA112" i="3"/>
  <c r="AA97" i="3"/>
  <c r="AA107" i="3"/>
  <c r="AA111" i="3"/>
  <c r="X100" i="3"/>
  <c r="X104" i="3"/>
  <c r="X105" i="3"/>
  <c r="X94" i="3"/>
  <c r="X103" i="3"/>
  <c r="AA110" i="3"/>
  <c r="X97" i="3"/>
  <c r="X111" i="3"/>
  <c r="AB4" i="38"/>
  <c r="AA102" i="3"/>
  <c r="AA109" i="3"/>
  <c r="AA108" i="3"/>
  <c r="AA99" i="3"/>
  <c r="AA106" i="3"/>
  <c r="X93" i="3"/>
  <c r="X95" i="3"/>
  <c r="X108" i="3"/>
  <c r="X102" i="3"/>
  <c r="X110" i="3"/>
  <c r="X121" i="26" l="1"/>
  <c r="X194" i="26"/>
  <c r="X297" i="26"/>
  <c r="X171" i="26"/>
  <c r="X170" i="26"/>
  <c r="X172" i="26"/>
  <c r="X195" i="26"/>
  <c r="AA94" i="26"/>
  <c r="AA219" i="26"/>
  <c r="AA121" i="26"/>
  <c r="AA248" i="26" s="1"/>
  <c r="AA235" i="26"/>
  <c r="Y5" i="28"/>
  <c r="Y4" i="30"/>
  <c r="V4" i="11"/>
  <c r="Y4" i="26"/>
  <c r="Y4" i="33"/>
  <c r="Y3" i="35"/>
  <c r="Y47" i="3"/>
  <c r="Y116" i="3" s="1"/>
  <c r="Y4" i="16"/>
  <c r="Y4" i="9"/>
  <c r="Y4" i="20"/>
  <c r="Y22" i="3"/>
  <c r="Y26" i="3" s="1"/>
  <c r="Y3" i="26"/>
  <c r="Y3" i="33"/>
  <c r="Y3" i="12"/>
  <c r="Y3" i="13"/>
  <c r="AD3" i="13" s="1"/>
  <c r="Y3" i="28"/>
  <c r="Y3" i="9"/>
  <c r="Y3" i="16"/>
  <c r="Y3" i="22"/>
  <c r="Y3" i="30"/>
  <c r="V3" i="11"/>
  <c r="Y3" i="20"/>
  <c r="L3" i="20" s="1"/>
  <c r="Y3" i="32"/>
  <c r="Y3" i="36"/>
  <c r="Y3" i="37"/>
  <c r="AB3" i="38"/>
  <c r="AB39" i="3"/>
  <c r="Y50" i="3"/>
  <c r="Y119" i="3" s="1"/>
  <c r="AB347" i="3"/>
  <c r="AB346" i="3"/>
  <c r="Y52" i="3"/>
  <c r="Y121" i="3" s="1"/>
  <c r="Y62" i="3"/>
  <c r="Y131" i="3" s="1"/>
  <c r="Y61" i="3"/>
  <c r="Y130" i="3" s="1"/>
  <c r="Y63" i="3"/>
  <c r="Y132" i="3" s="1"/>
  <c r="Y5" i="36"/>
  <c r="Y53" i="3"/>
  <c r="Y122" i="3" s="1"/>
  <c r="Y60" i="3"/>
  <c r="Y129" i="3" s="1"/>
  <c r="Y5" i="12"/>
  <c r="Y5" i="13"/>
  <c r="AD5" i="13" s="1"/>
  <c r="Y5" i="30"/>
  <c r="Y5" i="35"/>
  <c r="Y57" i="3"/>
  <c r="Y126" i="3" s="1"/>
  <c r="Y56" i="3"/>
  <c r="Y125" i="3" s="1"/>
  <c r="Y16" i="3"/>
  <c r="Y18" i="3" s="1"/>
  <c r="AA837" i="9"/>
  <c r="AA829" i="9"/>
  <c r="AA838" i="9"/>
  <c r="AA843" i="9"/>
  <c r="AA841" i="9"/>
  <c r="AA844" i="9"/>
  <c r="AA832" i="9"/>
  <c r="AA831" i="9"/>
  <c r="AA836" i="9"/>
  <c r="AA839" i="9"/>
  <c r="AA847" i="9"/>
  <c r="AA833" i="9"/>
  <c r="AA842" i="9"/>
  <c r="AA834" i="9"/>
  <c r="AA846" i="9"/>
  <c r="Y5" i="9"/>
  <c r="Y5" i="16"/>
  <c r="Y5" i="20"/>
  <c r="Y5" i="26"/>
  <c r="Y155" i="26" s="1"/>
  <c r="Y5" i="32"/>
  <c r="Y5" i="33"/>
  <c r="Y54" i="3"/>
  <c r="Y123" i="3" s="1"/>
  <c r="Y66" i="3"/>
  <c r="Y135" i="3" s="1"/>
  <c r="Y65" i="3"/>
  <c r="Y134" i="3" s="1"/>
  <c r="Y48" i="3"/>
  <c r="Y117" i="3" s="1"/>
  <c r="Y51" i="3"/>
  <c r="Y120" i="3" s="1"/>
  <c r="V5" i="11"/>
  <c r="Y5" i="22"/>
  <c r="Y5" i="37"/>
  <c r="Y59" i="3"/>
  <c r="Y128" i="3" s="1"/>
  <c r="Y49" i="3"/>
  <c r="Y118" i="3" s="1"/>
  <c r="Y58" i="3"/>
  <c r="Y127" i="3" s="1"/>
  <c r="Y64" i="3"/>
  <c r="Y133" i="3" s="1"/>
  <c r="Y55" i="3"/>
  <c r="Y124" i="3" s="1"/>
  <c r="AA68" i="26"/>
  <c r="AA70" i="26"/>
  <c r="AA233" i="26" s="1"/>
  <c r="X68" i="26"/>
  <c r="X70" i="26"/>
  <c r="X95" i="26"/>
  <c r="AA95" i="26"/>
  <c r="AA117" i="20"/>
  <c r="Y4" i="32"/>
  <c r="Y4" i="35"/>
  <c r="Y4" i="38"/>
  <c r="Y4" i="12"/>
  <c r="Y4" i="28"/>
  <c r="Y20" i="3"/>
  <c r="Y4" i="13"/>
  <c r="AD4" i="13" s="1"/>
  <c r="Y4" i="22"/>
  <c r="Y4" i="36"/>
  <c r="Y4" i="37"/>
  <c r="X93" i="26"/>
  <c r="BO5" i="3"/>
  <c r="BP8" i="3"/>
  <c r="BO24" i="3"/>
  <c r="BO12" i="3"/>
  <c r="BO3" i="3" s="1"/>
  <c r="X147" i="26"/>
  <c r="AA93" i="26"/>
  <c r="X148" i="26"/>
  <c r="AA120" i="26"/>
  <c r="AA221" i="26" s="1"/>
  <c r="X120" i="26"/>
  <c r="AA24" i="30"/>
  <c r="AB5" i="38"/>
  <c r="AB51" i="3"/>
  <c r="AB63" i="3"/>
  <c r="AB52" i="3"/>
  <c r="AB55" i="3"/>
  <c r="AB48" i="3"/>
  <c r="AB60" i="3"/>
  <c r="AB53" i="3"/>
  <c r="AB56" i="3"/>
  <c r="AB64" i="3"/>
  <c r="AB65" i="3"/>
  <c r="AB50" i="3"/>
  <c r="AB58" i="3"/>
  <c r="AB66" i="3"/>
  <c r="AB57" i="3"/>
  <c r="AB54" i="3"/>
  <c r="AB62" i="3"/>
  <c r="AB47" i="3"/>
  <c r="AB59" i="3"/>
  <c r="AB49" i="3"/>
  <c r="AB61" i="3"/>
  <c r="X197" i="26"/>
  <c r="X173" i="26"/>
  <c r="AA15" i="20"/>
  <c r="X169" i="26"/>
  <c r="X146" i="26"/>
  <c r="X149" i="26"/>
  <c r="AD94" i="6"/>
  <c r="AD88" i="35"/>
  <c r="AA231" i="3"/>
  <c r="AA732" i="9" s="1"/>
  <c r="AB3" i="33"/>
  <c r="AB3" i="35"/>
  <c r="AB5" i="33"/>
  <c r="AB5" i="35"/>
  <c r="AB4" i="33"/>
  <c r="AB4" i="35"/>
  <c r="AF443" i="9"/>
  <c r="AF438" i="9"/>
  <c r="AF445" i="9"/>
  <c r="AF447" i="9"/>
  <c r="AF450" i="9"/>
  <c r="AF440" i="9"/>
  <c r="AF433" i="9"/>
  <c r="AE517" i="9"/>
  <c r="AE511" i="9"/>
  <c r="AE515" i="9"/>
  <c r="AE503" i="9"/>
  <c r="AE504" i="9"/>
  <c r="AE508" i="9"/>
  <c r="AE518" i="9"/>
  <c r="AE513" i="9"/>
  <c r="AE506" i="9"/>
  <c r="AA239" i="3"/>
  <c r="AA740" i="9" s="1"/>
  <c r="AA240" i="3"/>
  <c r="AA741" i="9" s="1"/>
  <c r="AA285" i="3"/>
  <c r="AE130" i="9"/>
  <c r="AE168" i="9"/>
  <c r="AE263" i="9"/>
  <c r="AA241" i="3"/>
  <c r="AA742" i="9" s="1"/>
  <c r="X4" i="11"/>
  <c r="AB16" i="3"/>
  <c r="AB18" i="3" s="1"/>
  <c r="AB4" i="32"/>
  <c r="AB4" i="30"/>
  <c r="AB3" i="32"/>
  <c r="AB3" i="30"/>
  <c r="AB176" i="3"/>
  <c r="AB199" i="3" s="1"/>
  <c r="AB166" i="3"/>
  <c r="AB189" i="3" s="1"/>
  <c r="AB179" i="3"/>
  <c r="AB202" i="3" s="1"/>
  <c r="AB167" i="3"/>
  <c r="AB190" i="3" s="1"/>
  <c r="AB171" i="3"/>
  <c r="AB194" i="3" s="1"/>
  <c r="AB181" i="3"/>
  <c r="AB204" i="3" s="1"/>
  <c r="AB162" i="3"/>
  <c r="AB185" i="3" s="1"/>
  <c r="AB178" i="3"/>
  <c r="AB201" i="3" s="1"/>
  <c r="AB175" i="3"/>
  <c r="AB198" i="3" s="1"/>
  <c r="AB164" i="3"/>
  <c r="AB187" i="3" s="1"/>
  <c r="AB5" i="32"/>
  <c r="AB5" i="30"/>
  <c r="AB168" i="3"/>
  <c r="AB191" i="3" s="1"/>
  <c r="AB177" i="3"/>
  <c r="AB200" i="3" s="1"/>
  <c r="AB163" i="3"/>
  <c r="AB186" i="3" s="1"/>
  <c r="AB170" i="3"/>
  <c r="AB193" i="3" s="1"/>
  <c r="AB172" i="3"/>
  <c r="AB195" i="3" s="1"/>
  <c r="AB169" i="3"/>
  <c r="AB192" i="3" s="1"/>
  <c r="AB180" i="3"/>
  <c r="AB203" i="3" s="1"/>
  <c r="AB174" i="3"/>
  <c r="AB197" i="3" s="1"/>
  <c r="AB173" i="3"/>
  <c r="AB196" i="3" s="1"/>
  <c r="AB165" i="3"/>
  <c r="AB188" i="3" s="1"/>
  <c r="X193" i="26"/>
  <c r="AA119" i="26"/>
  <c r="AE396" i="9"/>
  <c r="AE301" i="9"/>
  <c r="AE339" i="9"/>
  <c r="AE244" i="9"/>
  <c r="AE510" i="9"/>
  <c r="AF996" i="9"/>
  <c r="AF436" i="9"/>
  <c r="AE501" i="9"/>
  <c r="AE73" i="9"/>
  <c r="AF105" i="9"/>
  <c r="AF109" i="9" s="1"/>
  <c r="AE206" i="9"/>
  <c r="AE111" i="9"/>
  <c r="AA248" i="3"/>
  <c r="AA749" i="9" s="1"/>
  <c r="AE377" i="9"/>
  <c r="AF257" i="9"/>
  <c r="AF261" i="9" s="1"/>
  <c r="AF162" i="9"/>
  <c r="AF166" i="9" s="1"/>
  <c r="AF390" i="9"/>
  <c r="AF394" i="9" s="1"/>
  <c r="AF67" i="9"/>
  <c r="AF71" i="9" s="1"/>
  <c r="AF371" i="9"/>
  <c r="AF375" i="9" s="1"/>
  <c r="AF333" i="9"/>
  <c r="AF337" i="9" s="1"/>
  <c r="AF295" i="9"/>
  <c r="AF299" i="9" s="1"/>
  <c r="AF124" i="9"/>
  <c r="AF128" i="9" s="1"/>
  <c r="AF238" i="9"/>
  <c r="AF242" i="9" s="1"/>
  <c r="AF200" i="9"/>
  <c r="AF204" i="9" s="1"/>
  <c r="AA235" i="3"/>
  <c r="AA736" i="9" s="1"/>
  <c r="AA243" i="3"/>
  <c r="AA744" i="9" s="1"/>
  <c r="AA244" i="3"/>
  <c r="AA745" i="9" s="1"/>
  <c r="AA242" i="3"/>
  <c r="AA743" i="9" s="1"/>
  <c r="AA294" i="3"/>
  <c r="AA281" i="3"/>
  <c r="AA289" i="3"/>
  <c r="AA287" i="3"/>
  <c r="AA290" i="3"/>
  <c r="AA286" i="3"/>
  <c r="AA234" i="3"/>
  <c r="AA735" i="9" s="1"/>
  <c r="AA236" i="3"/>
  <c r="AA737" i="9" s="1"/>
  <c r="AA247" i="3"/>
  <c r="AA748" i="9" s="1"/>
  <c r="AA237" i="3"/>
  <c r="AA738" i="9" s="1"/>
  <c r="AA245" i="3"/>
  <c r="AA746" i="9" s="1"/>
  <c r="AA249" i="3"/>
  <c r="AA750" i="9" s="1"/>
  <c r="AA238" i="3"/>
  <c r="AA739" i="9" s="1"/>
  <c r="AA246" i="3"/>
  <c r="AA747" i="9" s="1"/>
  <c r="AF1010" i="9"/>
  <c r="AF993" i="9"/>
  <c r="AF1003" i="9"/>
  <c r="AF1007" i="9"/>
  <c r="AF1000" i="9"/>
  <c r="AA232" i="3"/>
  <c r="AA733" i="9" s="1"/>
  <c r="AA233" i="3"/>
  <c r="AA734" i="9" s="1"/>
  <c r="AA250" i="3"/>
  <c r="AA751" i="9" s="1"/>
  <c r="W26" i="3"/>
  <c r="AF998" i="9"/>
  <c r="AF1005" i="9"/>
  <c r="X94" i="26"/>
  <c r="W234" i="26"/>
  <c r="BN235" i="26"/>
  <c r="X235" i="26"/>
  <c r="BN234" i="26"/>
  <c r="X234" i="26"/>
  <c r="W235" i="26"/>
  <c r="X145" i="26"/>
  <c r="X119" i="26"/>
  <c r="W119" i="26"/>
  <c r="W219" i="26"/>
  <c r="X219" i="26"/>
  <c r="W94" i="26"/>
  <c r="AB3" i="26"/>
  <c r="AB3" i="28"/>
  <c r="AB4" i="26"/>
  <c r="AB4" i="28"/>
  <c r="AB5" i="26"/>
  <c r="AB5" i="28"/>
  <c r="BM94" i="26"/>
  <c r="BN94" i="26"/>
  <c r="BN121" i="26"/>
  <c r="BM121" i="26"/>
  <c r="AB3" i="16"/>
  <c r="AB3" i="12"/>
  <c r="AB3" i="22"/>
  <c r="AB3" i="11"/>
  <c r="AB3" i="20"/>
  <c r="AB3" i="9"/>
  <c r="AB4" i="20"/>
  <c r="AB4" i="22"/>
  <c r="AB5" i="22"/>
  <c r="AB5" i="20"/>
  <c r="AC10" i="3"/>
  <c r="AC4" i="3" s="1"/>
  <c r="AC2" i="44" s="1" a="1"/>
  <c r="AC2" i="44" s="1"/>
  <c r="AB5" i="16"/>
  <c r="AB5" i="12"/>
  <c r="AB5" i="11"/>
  <c r="AB5" i="9"/>
  <c r="AB4" i="16"/>
  <c r="AB4" i="12"/>
  <c r="AB4" i="11"/>
  <c r="AB4" i="9"/>
  <c r="AB696" i="9" l="1"/>
  <c r="AB702" i="9"/>
  <c r="AB705" i="9"/>
  <c r="AB703" i="9"/>
  <c r="AB687" i="9"/>
  <c r="AB690" i="9"/>
  <c r="AB698" i="9"/>
  <c r="AB704" i="9"/>
  <c r="AB846" i="9" s="1"/>
  <c r="AB699" i="9"/>
  <c r="AB700" i="9"/>
  <c r="AB701" i="9"/>
  <c r="AB697" i="9"/>
  <c r="AB839" i="9" s="1"/>
  <c r="AB695" i="9"/>
  <c r="AB694" i="9"/>
  <c r="AB688" i="9"/>
  <c r="AB693" i="9"/>
  <c r="AB689" i="9"/>
  <c r="AB692" i="9"/>
  <c r="AB691" i="9"/>
  <c r="AA116" i="3"/>
  <c r="AA778" i="9" s="1"/>
  <c r="AA801" i="9" s="1"/>
  <c r="AB686" i="9"/>
  <c r="AB102" i="9"/>
  <c r="AB64" i="9"/>
  <c r="Y107" i="3"/>
  <c r="X129" i="3"/>
  <c r="W220" i="26"/>
  <c r="X220" i="26"/>
  <c r="X180" i="1"/>
  <c r="X268" i="26"/>
  <c r="X221" i="26"/>
  <c r="X233" i="26"/>
  <c r="X249" i="26"/>
  <c r="X248" i="26"/>
  <c r="BM248" i="26"/>
  <c r="X298" i="26"/>
  <c r="X205" i="26"/>
  <c r="X222" i="26"/>
  <c r="BN248" i="26"/>
  <c r="X296" i="26"/>
  <c r="X236" i="26"/>
  <c r="X295" i="26"/>
  <c r="AA205" i="26"/>
  <c r="AA220" i="26"/>
  <c r="BN220" i="26"/>
  <c r="AA206" i="26"/>
  <c r="BM220" i="26"/>
  <c r="Y105" i="26"/>
  <c r="Y104" i="26"/>
  <c r="Y120" i="26" s="1"/>
  <c r="AA180" i="1"/>
  <c r="AA24" i="32"/>
  <c r="Y90" i="26"/>
  <c r="Y93" i="3"/>
  <c r="Y67" i="26"/>
  <c r="X116" i="3"/>
  <c r="Y162" i="26"/>
  <c r="AB11" i="20" a="1"/>
  <c r="AB11" i="20" s="1"/>
  <c r="AB198" i="20" a="1"/>
  <c r="AB198" i="20" s="1"/>
  <c r="AB181" i="20" a="1"/>
  <c r="AB181" i="20" s="1"/>
  <c r="AB172" i="20" a="1"/>
  <c r="AB172" i="20" s="1"/>
  <c r="AB169" i="20" a="1"/>
  <c r="AB169" i="20" s="1"/>
  <c r="AB154" i="20" a="1"/>
  <c r="AB154" i="20" s="1"/>
  <c r="AB150" i="20" a="1"/>
  <c r="AB150" i="20" s="1"/>
  <c r="AB149" i="20" a="1"/>
  <c r="AB149" i="20" s="1"/>
  <c r="AB148" i="20" a="1"/>
  <c r="AB148" i="20" s="1"/>
  <c r="AB145" i="20" a="1"/>
  <c r="AB145" i="20" s="1"/>
  <c r="AB131" i="20" a="1"/>
  <c r="AB131" i="20" s="1"/>
  <c r="AB129" i="20" a="1"/>
  <c r="AB129" i="20" s="1"/>
  <c r="AB128" i="20" a="1"/>
  <c r="AB128" i="20" s="1"/>
  <c r="AB127" i="20" a="1"/>
  <c r="AB127" i="20" s="1"/>
  <c r="AB126" i="20" a="1"/>
  <c r="AB126" i="20" s="1"/>
  <c r="AB144" i="20" a="1"/>
  <c r="AB144" i="20" s="1"/>
  <c r="AB143" i="20" a="1"/>
  <c r="AB143" i="20" s="1"/>
  <c r="AB142" i="20" a="1"/>
  <c r="AB142" i="20" s="1"/>
  <c r="AB141" i="20" a="1"/>
  <c r="AB141" i="20" s="1"/>
  <c r="AB140" i="20" a="1"/>
  <c r="AB140" i="20" s="1"/>
  <c r="AB139" i="20" a="1"/>
  <c r="AB139" i="20" s="1"/>
  <c r="AB138" i="20" a="1"/>
  <c r="AB138" i="20" s="1"/>
  <c r="AB137" i="20" a="1"/>
  <c r="AB137" i="20" s="1"/>
  <c r="AB133" i="20" a="1"/>
  <c r="AB133" i="20" s="1"/>
  <c r="AB132" i="20" a="1"/>
  <c r="AB132" i="20" s="1"/>
  <c r="AB125" i="20" a="1"/>
  <c r="AB125" i="20" s="1"/>
  <c r="AB124" i="20" a="1"/>
  <c r="AB124" i="20" s="1"/>
  <c r="AB123" i="20" a="1"/>
  <c r="AB123" i="20" s="1"/>
  <c r="AB122" i="20" a="1"/>
  <c r="AB122" i="20" s="1"/>
  <c r="AB115" i="20" a="1"/>
  <c r="AB115" i="20" s="1"/>
  <c r="AB112" i="20" a="1"/>
  <c r="AB112" i="20" s="1"/>
  <c r="AB111" i="20" a="1"/>
  <c r="AB111" i="20" s="1"/>
  <c r="AB110" i="20" a="1"/>
  <c r="AB110" i="20" s="1"/>
  <c r="AB106" i="20" a="1"/>
  <c r="AB106" i="20" s="1"/>
  <c r="AB146" i="20" a="1"/>
  <c r="AB146" i="20" s="1"/>
  <c r="AB105" i="20" a="1"/>
  <c r="AB105" i="20" s="1"/>
  <c r="AB104" i="20" a="1"/>
  <c r="AB104" i="20" s="1"/>
  <c r="AB103" i="20" a="1"/>
  <c r="AB103" i="20" s="1"/>
  <c r="AB102" i="20" a="1"/>
  <c r="AB102" i="20" s="1"/>
  <c r="AB101" i="20" a="1"/>
  <c r="AB101" i="20" s="1"/>
  <c r="AB97" i="20" a="1"/>
  <c r="AB97" i="20" s="1"/>
  <c r="AB96" i="20" a="1"/>
  <c r="AB96" i="20" s="1"/>
  <c r="AB95" i="20" a="1"/>
  <c r="AB95" i="20" s="1"/>
  <c r="AB94" i="20" a="1"/>
  <c r="AB94" i="20" s="1"/>
  <c r="AB93" i="20" a="1"/>
  <c r="AB93" i="20" s="1"/>
  <c r="AB92" i="20" a="1"/>
  <c r="AB92" i="20" s="1"/>
  <c r="AB91" i="20" a="1"/>
  <c r="AB91" i="20" s="1"/>
  <c r="AB90" i="20" a="1"/>
  <c r="AB90" i="20" s="1"/>
  <c r="AB89" i="20" a="1"/>
  <c r="AB89" i="20" s="1"/>
  <c r="AB87" i="20" a="1"/>
  <c r="AB87" i="20" s="1"/>
  <c r="AB88" i="20" a="1"/>
  <c r="AB88" i="20" s="1"/>
  <c r="AB83" i="20" a="1"/>
  <c r="AB83" i="20" s="1"/>
  <c r="AB82" i="20" a="1"/>
  <c r="AB82" i="20" s="1"/>
  <c r="AB81" i="20" a="1"/>
  <c r="AB81" i="20" s="1"/>
  <c r="AB80" i="20" a="1"/>
  <c r="AB80" i="20" s="1"/>
  <c r="AB79" i="20" a="1"/>
  <c r="AB79" i="20" s="1"/>
  <c r="AB78" i="20" a="1"/>
  <c r="AB78" i="20" s="1"/>
  <c r="AB77" i="20" a="1"/>
  <c r="AB77" i="20" s="1"/>
  <c r="AB76" i="20" a="1"/>
  <c r="AB76" i="20" s="1"/>
  <c r="AB75" i="20" a="1"/>
  <c r="AB75" i="20" s="1"/>
  <c r="AB74" i="20" a="1"/>
  <c r="AB74" i="20" s="1"/>
  <c r="AB73" i="20" a="1"/>
  <c r="AB73" i="20" s="1"/>
  <c r="AB72" i="20" a="1"/>
  <c r="AB72" i="20" s="1"/>
  <c r="AB71" i="20" a="1"/>
  <c r="AB71" i="20" s="1"/>
  <c r="AB68" i="20" a="1"/>
  <c r="AB68" i="20" s="1"/>
  <c r="AB66" i="20" a="1"/>
  <c r="AB66" i="20" s="1"/>
  <c r="AB65" i="20" a="1"/>
  <c r="AB65" i="20" s="1"/>
  <c r="AB64" i="20" a="1"/>
  <c r="AB64" i="20" s="1"/>
  <c r="AB61" i="20" a="1"/>
  <c r="AB61" i="20" s="1"/>
  <c r="AB59" i="20" a="1"/>
  <c r="AB59" i="20" s="1"/>
  <c r="AB58" i="20" a="1"/>
  <c r="AB58" i="20" s="1"/>
  <c r="AB57" i="20" a="1"/>
  <c r="AB57" i="20" s="1"/>
  <c r="AB56" i="20" a="1"/>
  <c r="AB56" i="20" s="1"/>
  <c r="AB55" i="20" a="1"/>
  <c r="AB55" i="20" s="1"/>
  <c r="AB54" i="20" a="1"/>
  <c r="AB54" i="20" s="1"/>
  <c r="AB53" i="20" a="1"/>
  <c r="AB53" i="20" s="1"/>
  <c r="AB50" i="20" a="1"/>
  <c r="AB50" i="20" s="1"/>
  <c r="AB48" i="20" a="1"/>
  <c r="AB48" i="20" s="1"/>
  <c r="AB47" i="20" a="1"/>
  <c r="AB47" i="20" s="1"/>
  <c r="AB46" i="20" a="1"/>
  <c r="AB46" i="20" s="1"/>
  <c r="AB45" i="20" a="1"/>
  <c r="AB45" i="20" s="1"/>
  <c r="AB44" i="20" a="1"/>
  <c r="AB44" i="20" s="1"/>
  <c r="AB43" i="20" a="1"/>
  <c r="AB43" i="20" s="1"/>
  <c r="AB42" i="20" a="1"/>
  <c r="AB42" i="20" s="1"/>
  <c r="AB36" i="20" a="1"/>
  <c r="AB36" i="20" s="1"/>
  <c r="AB34" i="20" a="1"/>
  <c r="AB34" i="20" s="1"/>
  <c r="AB33" i="20" a="1"/>
  <c r="AB33" i="20" s="1"/>
  <c r="AB32" i="20" a="1"/>
  <c r="AB32" i="20" s="1"/>
  <c r="AB38" i="20" a="1"/>
  <c r="AB38" i="20" s="1"/>
  <c r="AB41" i="20" a="1"/>
  <c r="AB41" i="20" s="1"/>
  <c r="AB35" i="20" a="1"/>
  <c r="AB35" i="20" s="1"/>
  <c r="AB25" i="20" a="1"/>
  <c r="AB25" i="20" s="1"/>
  <c r="AB21" i="20" a="1"/>
  <c r="AB21" i="20" s="1"/>
  <c r="AB14" i="20" a="1"/>
  <c r="AB14" i="20" s="1"/>
  <c r="AB12" i="20" a="1"/>
  <c r="AB12" i="20" s="1"/>
  <c r="AB29" i="20" a="1"/>
  <c r="AB29" i="20" s="1"/>
  <c r="AB24" i="20" a="1"/>
  <c r="AB24" i="20" s="1"/>
  <c r="AB20" i="20" a="1"/>
  <c r="AB20" i="20" s="1"/>
  <c r="AB27" i="20" a="1"/>
  <c r="AB27" i="20" s="1"/>
  <c r="AB23" i="20" a="1"/>
  <c r="AB23" i="20" s="1"/>
  <c r="AB19" i="20" a="1"/>
  <c r="AB19" i="20" s="1"/>
  <c r="AB13" i="20" a="1"/>
  <c r="AB13" i="20" s="1"/>
  <c r="AB26" i="20" a="1"/>
  <c r="AB26" i="20" s="1"/>
  <c r="AB22" i="20" a="1"/>
  <c r="AB22" i="20" s="1"/>
  <c r="AB16" i="20" a="1"/>
  <c r="AB16" i="20" s="1"/>
  <c r="AA153" i="30"/>
  <c r="AA59" i="33" s="1"/>
  <c r="Y109" i="3"/>
  <c r="X132" i="3"/>
  <c r="X121" i="3"/>
  <c r="Y28" i="3"/>
  <c r="Y106" i="3"/>
  <c r="X130" i="3"/>
  <c r="Y96" i="3"/>
  <c r="X119" i="3"/>
  <c r="Y103" i="3"/>
  <c r="X126" i="3"/>
  <c r="Y65" i="26"/>
  <c r="Y142" i="26"/>
  <c r="Y133" i="26"/>
  <c r="Y166" i="26"/>
  <c r="Y91" i="26"/>
  <c r="Y143" i="26"/>
  <c r="Y168" i="26"/>
  <c r="Y141" i="26"/>
  <c r="Y61" i="26"/>
  <c r="Y64" i="26"/>
  <c r="Y106" i="26"/>
  <c r="Y110" i="26"/>
  <c r="Y158" i="26"/>
  <c r="X131" i="3"/>
  <c r="Y108" i="3"/>
  <c r="Y99" i="3"/>
  <c r="Y98" i="3"/>
  <c r="X122" i="3"/>
  <c r="Y102" i="3"/>
  <c r="X125" i="3"/>
  <c r="AB425" i="9"/>
  <c r="AB83" i="9"/>
  <c r="AB178" i="9"/>
  <c r="AB197" i="9"/>
  <c r="AB330" i="9"/>
  <c r="AB349" i="9"/>
  <c r="AB216" i="9"/>
  <c r="AB235" i="9"/>
  <c r="AB368" i="9"/>
  <c r="AB387" i="9"/>
  <c r="AB121" i="9"/>
  <c r="AB159" i="9"/>
  <c r="AB254" i="9"/>
  <c r="AB273" i="9"/>
  <c r="AB292" i="9"/>
  <c r="AB311" i="9"/>
  <c r="AB140" i="9"/>
  <c r="AB406" i="9"/>
  <c r="Y111" i="3"/>
  <c r="X127" i="3"/>
  <c r="Y110" i="3"/>
  <c r="Y94" i="3"/>
  <c r="X133" i="3"/>
  <c r="Y104" i="3"/>
  <c r="X134" i="3"/>
  <c r="X117" i="3"/>
  <c r="X123" i="3"/>
  <c r="Y105" i="3"/>
  <c r="Y101" i="3"/>
  <c r="X120" i="3"/>
  <c r="X128" i="3"/>
  <c r="Y97" i="3"/>
  <c r="X124" i="3"/>
  <c r="Y100" i="3"/>
  <c r="Y112" i="3"/>
  <c r="Y78" i="26"/>
  <c r="Y62" i="26"/>
  <c r="Y79" i="26"/>
  <c r="Y56" i="26"/>
  <c r="Y55" i="26"/>
  <c r="Y136" i="26"/>
  <c r="Y113" i="26"/>
  <c r="Y109" i="26"/>
  <c r="Y80" i="26"/>
  <c r="Y164" i="26"/>
  <c r="Y154" i="26"/>
  <c r="Y169" i="26" s="1"/>
  <c r="Y208" i="26" s="1"/>
  <c r="Y160" i="26"/>
  <c r="AB179" i="26"/>
  <c r="AB187" i="26"/>
  <c r="AB178" i="26"/>
  <c r="AB191" i="26"/>
  <c r="AB183" i="26"/>
  <c r="AB186" i="26"/>
  <c r="AB192" i="26"/>
  <c r="AB180" i="26"/>
  <c r="AB189" i="26"/>
  <c r="AB188" i="26"/>
  <c r="AB184" i="26"/>
  <c r="AB190" i="26"/>
  <c r="AB185" i="26"/>
  <c r="AB182" i="26"/>
  <c r="AB181" i="26"/>
  <c r="Y54" i="26"/>
  <c r="Y83" i="26"/>
  <c r="Y58" i="26"/>
  <c r="Y88" i="26"/>
  <c r="Y60" i="26"/>
  <c r="Y130" i="26"/>
  <c r="Y134" i="26"/>
  <c r="Y115" i="26"/>
  <c r="Y117" i="26"/>
  <c r="Y112" i="26"/>
  <c r="Y118" i="26"/>
  <c r="Y89" i="26"/>
  <c r="Y63" i="26"/>
  <c r="Y108" i="26"/>
  <c r="Y137" i="26"/>
  <c r="Y85" i="26"/>
  <c r="Y156" i="26"/>
  <c r="Y157" i="26"/>
  <c r="Y159" i="26"/>
  <c r="Y82" i="26"/>
  <c r="Y192" i="26"/>
  <c r="Y188" i="26"/>
  <c r="Y178" i="26"/>
  <c r="Y182" i="26"/>
  <c r="Y180" i="26"/>
  <c r="Y179" i="26"/>
  <c r="Y187" i="26"/>
  <c r="Y186" i="26"/>
  <c r="Y191" i="26"/>
  <c r="Y184" i="26"/>
  <c r="Y181" i="26"/>
  <c r="Y183" i="26"/>
  <c r="Y189" i="26"/>
  <c r="Y190" i="26"/>
  <c r="Y185" i="26"/>
  <c r="Y116" i="26"/>
  <c r="Y132" i="26"/>
  <c r="Y111" i="26"/>
  <c r="Y114" i="26"/>
  <c r="Y138" i="26"/>
  <c r="Y66" i="26"/>
  <c r="X135" i="3"/>
  <c r="Y53" i="26"/>
  <c r="Y95" i="3"/>
  <c r="Y57" i="26"/>
  <c r="Y87" i="26"/>
  <c r="Y59" i="26"/>
  <c r="Y86" i="26"/>
  <c r="Y81" i="26"/>
  <c r="Y84" i="26"/>
  <c r="Y144" i="26"/>
  <c r="Y135" i="26"/>
  <c r="Y140" i="26"/>
  <c r="Y131" i="26"/>
  <c r="Y139" i="26"/>
  <c r="Y107" i="26"/>
  <c r="Y92" i="26"/>
  <c r="X118" i="3"/>
  <c r="Y163" i="26"/>
  <c r="Y165" i="26"/>
  <c r="Y167" i="26"/>
  <c r="Y161" i="26"/>
  <c r="X71" i="26"/>
  <c r="AA71" i="26"/>
  <c r="Y68" i="26"/>
  <c r="X247" i="26"/>
  <c r="AA247" i="26"/>
  <c r="AB755" i="9"/>
  <c r="BP10" i="3"/>
  <c r="BP4" i="3" s="1"/>
  <c r="BP2" i="44" s="1" a="1"/>
  <c r="BP2" i="44" s="1"/>
  <c r="BO3" i="38"/>
  <c r="BO3" i="32"/>
  <c r="BO3" i="26"/>
  <c r="BO3" i="22"/>
  <c r="BO3" i="12"/>
  <c r="BO3" i="35"/>
  <c r="BO3" i="20"/>
  <c r="BO3" i="16"/>
  <c r="BO3" i="33"/>
  <c r="BO3" i="30"/>
  <c r="BO3" i="28"/>
  <c r="BO3" i="11"/>
  <c r="BO3" i="9"/>
  <c r="AA851" i="9"/>
  <c r="AC149" i="3"/>
  <c r="AC172" i="3" s="1"/>
  <c r="AC195" i="3" s="1"/>
  <c r="AC43" i="3"/>
  <c r="AA97" i="26"/>
  <c r="X198" i="26"/>
  <c r="AA22" i="30"/>
  <c r="AA197" i="20"/>
  <c r="AB834" i="9"/>
  <c r="AB843" i="9"/>
  <c r="AB830" i="9"/>
  <c r="AB842" i="9"/>
  <c r="AB831" i="9"/>
  <c r="AB833" i="9"/>
  <c r="AB837" i="9"/>
  <c r="AB847" i="9"/>
  <c r="AB832" i="9"/>
  <c r="AB836" i="9"/>
  <c r="AB838" i="9"/>
  <c r="AB844" i="9"/>
  <c r="AB829" i="9"/>
  <c r="AB841" i="9"/>
  <c r="V874" i="9"/>
  <c r="X174" i="26"/>
  <c r="X208" i="26"/>
  <c r="AB164" i="26"/>
  <c r="AB161" i="26"/>
  <c r="AB167" i="26"/>
  <c r="AB154" i="26"/>
  <c r="AB158" i="26"/>
  <c r="AB166" i="26"/>
  <c r="AB165" i="26"/>
  <c r="AB157" i="26"/>
  <c r="AB171" i="26" s="1"/>
  <c r="AB155" i="26"/>
  <c r="AB160" i="26"/>
  <c r="AB168" i="26"/>
  <c r="AB159" i="26"/>
  <c r="AB156" i="26"/>
  <c r="AB162" i="26"/>
  <c r="AB163" i="26"/>
  <c r="X150" i="26"/>
  <c r="AA207" i="26"/>
  <c r="AA123" i="26"/>
  <c r="X206" i="26"/>
  <c r="X97" i="26"/>
  <c r="X207" i="26"/>
  <c r="X123" i="26"/>
  <c r="AA296" i="3"/>
  <c r="AA282" i="3"/>
  <c r="AA279" i="3"/>
  <c r="AA284" i="3"/>
  <c r="AA280" i="3"/>
  <c r="AA288" i="3"/>
  <c r="AA278" i="3"/>
  <c r="AA283" i="3"/>
  <c r="X294" i="26"/>
  <c r="AF439" i="9"/>
  <c r="AB257" i="3"/>
  <c r="AB211" i="3"/>
  <c r="AB712" i="9" s="1"/>
  <c r="AB269" i="3"/>
  <c r="AB223" i="3"/>
  <c r="AB724" i="9" s="1"/>
  <c r="AB256" i="3"/>
  <c r="AB210" i="3"/>
  <c r="AB711" i="9" s="1"/>
  <c r="AB258" i="3"/>
  <c r="AB212" i="3"/>
  <c r="AB713" i="9" s="1"/>
  <c r="AF441" i="9"/>
  <c r="AF448" i="9"/>
  <c r="AF437" i="9"/>
  <c r="AB265" i="3"/>
  <c r="AB219" i="3"/>
  <c r="AB720" i="9" s="1"/>
  <c r="AB264" i="3"/>
  <c r="AB218" i="3"/>
  <c r="AB719" i="9" s="1"/>
  <c r="AB260" i="3"/>
  <c r="AB214" i="3"/>
  <c r="AB715" i="9" s="1"/>
  <c r="AB267" i="3"/>
  <c r="AB221" i="3"/>
  <c r="AB722" i="9" s="1"/>
  <c r="AB263" i="3"/>
  <c r="AB217" i="3"/>
  <c r="AB718" i="9" s="1"/>
  <c r="AB268" i="3"/>
  <c r="AB222" i="3"/>
  <c r="AB723" i="9" s="1"/>
  <c r="AB261" i="3"/>
  <c r="AB215" i="3"/>
  <c r="AB716" i="9" s="1"/>
  <c r="AB273" i="3"/>
  <c r="AB227" i="3"/>
  <c r="AB728" i="9" s="1"/>
  <c r="AF432" i="9"/>
  <c r="AF434" i="9"/>
  <c r="AB266" i="3"/>
  <c r="AB220" i="3"/>
  <c r="AB721" i="9" s="1"/>
  <c r="AB262" i="3"/>
  <c r="AB216" i="3"/>
  <c r="AB717" i="9" s="1"/>
  <c r="AB270" i="3"/>
  <c r="AB224" i="3"/>
  <c r="AB725" i="9" s="1"/>
  <c r="AB259" i="3"/>
  <c r="AB213" i="3"/>
  <c r="AB714" i="9" s="1"/>
  <c r="AF444" i="9"/>
  <c r="AB272" i="3"/>
  <c r="AB226" i="3"/>
  <c r="AB727" i="9" s="1"/>
  <c r="AB209" i="3"/>
  <c r="AB710" i="9" s="1"/>
  <c r="AB255" i="3"/>
  <c r="AB208" i="3"/>
  <c r="AB709" i="9" s="1"/>
  <c r="AB254" i="3"/>
  <c r="AB271" i="3"/>
  <c r="AB225" i="3"/>
  <c r="AB726" i="9" s="1"/>
  <c r="AE1085" i="9"/>
  <c r="AF507" i="9"/>
  <c r="AF502" i="9"/>
  <c r="AF505" i="9"/>
  <c r="AF509" i="9"/>
  <c r="AF519" i="9"/>
  <c r="AF516" i="9"/>
  <c r="AF514" i="9"/>
  <c r="AF512" i="9"/>
  <c r="AC153" i="3"/>
  <c r="AC141" i="3"/>
  <c r="AC143" i="3"/>
  <c r="AC154" i="3"/>
  <c r="AC155" i="3"/>
  <c r="AC158" i="3"/>
  <c r="AC146" i="3"/>
  <c r="AC144" i="3"/>
  <c r="AC145" i="3"/>
  <c r="AC152" i="3"/>
  <c r="AC142" i="3"/>
  <c r="AC140" i="3"/>
  <c r="AC150" i="3"/>
  <c r="AC147" i="3"/>
  <c r="AC151" i="3"/>
  <c r="AC156" i="3"/>
  <c r="AC157" i="3"/>
  <c r="AC148" i="3"/>
  <c r="AC139" i="3"/>
  <c r="V77" i="35"/>
  <c r="AB54" i="26"/>
  <c r="W207" i="26"/>
  <c r="AF992" i="9"/>
  <c r="AF149" i="9"/>
  <c r="AG143" i="9" s="1"/>
  <c r="AG147" i="9" s="1"/>
  <c r="AF997" i="9"/>
  <c r="AF1006" i="9"/>
  <c r="AF446" i="9"/>
  <c r="AF1009" i="9"/>
  <c r="AF449" i="9"/>
  <c r="AF995" i="9"/>
  <c r="AF435" i="9"/>
  <c r="AF1002" i="9"/>
  <c r="AF442" i="9"/>
  <c r="V69" i="35"/>
  <c r="AF994" i="9"/>
  <c r="AF1008" i="9"/>
  <c r="AF1001" i="9"/>
  <c r="AF1004" i="9"/>
  <c r="AF999" i="9"/>
  <c r="AA295" i="3"/>
  <c r="AA292" i="3"/>
  <c r="AA293" i="3"/>
  <c r="AA291" i="3"/>
  <c r="V71" i="35"/>
  <c r="AA277" i="3"/>
  <c r="AF415" i="9"/>
  <c r="AG409" i="9" s="1"/>
  <c r="AG413" i="9" s="1"/>
  <c r="AF282" i="9"/>
  <c r="AG276" i="9" s="1"/>
  <c r="AG280" i="9" s="1"/>
  <c r="AF92" i="9"/>
  <c r="AG86" i="9" s="1"/>
  <c r="AG90" i="9" s="1"/>
  <c r="AF358" i="9"/>
  <c r="AG352" i="9" s="1"/>
  <c r="AG356" i="9" s="1"/>
  <c r="AF225" i="9"/>
  <c r="AG219" i="9" s="1"/>
  <c r="AG223" i="9" s="1"/>
  <c r="AB85" i="3"/>
  <c r="AA131" i="3"/>
  <c r="AA793" i="9" s="1"/>
  <c r="AB84" i="3"/>
  <c r="AA130" i="3"/>
  <c r="AA792" i="9" s="1"/>
  <c r="AB75" i="3"/>
  <c r="AA121" i="3"/>
  <c r="AA783" i="9" s="1"/>
  <c r="AB71" i="3"/>
  <c r="AA117" i="3"/>
  <c r="AA779" i="9" s="1"/>
  <c r="AB89" i="3"/>
  <c r="AA135" i="3"/>
  <c r="AA797" i="9" s="1"/>
  <c r="AB82" i="3"/>
  <c r="AA128" i="3"/>
  <c r="AA790" i="9" s="1"/>
  <c r="AB74" i="3"/>
  <c r="AA120" i="3"/>
  <c r="AA782" i="9" s="1"/>
  <c r="AB86" i="3"/>
  <c r="AA132" i="3"/>
  <c r="AA794" i="9" s="1"/>
  <c r="AA817" i="9" s="1"/>
  <c r="AB771" i="9" s="1"/>
  <c r="AB83" i="3"/>
  <c r="AA129" i="3"/>
  <c r="AA791" i="9" s="1"/>
  <c r="AB72" i="3"/>
  <c r="AA118" i="3"/>
  <c r="AA780" i="9" s="1"/>
  <c r="AB80" i="3"/>
  <c r="AA126" i="3"/>
  <c r="AA788" i="9" s="1"/>
  <c r="AB70" i="3"/>
  <c r="AB77" i="3"/>
  <c r="AA123" i="3"/>
  <c r="AA785" i="9" s="1"/>
  <c r="AB73" i="3"/>
  <c r="AA119" i="3"/>
  <c r="AA781" i="9" s="1"/>
  <c r="AB79" i="3"/>
  <c r="AA125" i="3"/>
  <c r="AA787" i="9" s="1"/>
  <c r="AB81" i="3"/>
  <c r="AA127" i="3"/>
  <c r="AA789" i="9" s="1"/>
  <c r="AA812" i="9" s="1"/>
  <c r="AB766" i="9" s="1"/>
  <c r="AB88" i="3"/>
  <c r="AA134" i="3"/>
  <c r="AA796" i="9" s="1"/>
  <c r="AB78" i="3"/>
  <c r="AA124" i="3"/>
  <c r="AA786" i="9" s="1"/>
  <c r="AB87" i="3"/>
  <c r="AA133" i="3"/>
  <c r="AA795" i="9" s="1"/>
  <c r="AB76" i="3"/>
  <c r="AA122" i="3"/>
  <c r="AA784" i="9" s="1"/>
  <c r="AA807" i="9" s="1"/>
  <c r="AC5" i="3"/>
  <c r="Y119" i="26"/>
  <c r="AF320" i="9"/>
  <c r="AG314" i="9" s="1"/>
  <c r="AG318" i="9" s="1"/>
  <c r="AF187" i="9"/>
  <c r="AG181" i="9" s="1"/>
  <c r="AG185" i="9" s="1"/>
  <c r="BO234" i="26"/>
  <c r="Y234" i="26"/>
  <c r="AA107" i="6"/>
  <c r="AA111" i="6" s="1"/>
  <c r="BO235" i="26"/>
  <c r="Y235" i="26"/>
  <c r="AB88" i="26"/>
  <c r="AB83" i="26"/>
  <c r="AB63" i="26"/>
  <c r="AB79" i="26"/>
  <c r="AB65" i="26"/>
  <c r="AB85" i="26"/>
  <c r="AB55" i="26"/>
  <c r="Y94" i="26"/>
  <c r="BN119" i="26"/>
  <c r="BM119" i="26"/>
  <c r="AB86" i="26"/>
  <c r="AB234" i="26" s="1"/>
  <c r="AB78" i="26"/>
  <c r="AB64" i="26"/>
  <c r="AB56" i="26"/>
  <c r="AB92" i="26"/>
  <c r="AB84" i="26"/>
  <c r="AB89" i="26"/>
  <c r="AB82" i="26"/>
  <c r="AB61" i="26"/>
  <c r="AB60" i="26"/>
  <c r="AB62" i="26"/>
  <c r="AB57" i="26"/>
  <c r="AB91" i="26"/>
  <c r="AB58" i="26"/>
  <c r="AB67" i="26"/>
  <c r="AB90" i="26"/>
  <c r="AB81" i="26"/>
  <c r="AB87" i="26"/>
  <c r="AB80" i="26"/>
  <c r="AB66" i="26"/>
  <c r="AB59" i="26"/>
  <c r="AB53" i="26"/>
  <c r="AB115" i="26"/>
  <c r="AB107" i="26"/>
  <c r="AB143" i="26"/>
  <c r="AB118" i="26"/>
  <c r="AB108" i="26"/>
  <c r="AB113" i="26"/>
  <c r="AB140" i="26"/>
  <c r="AB114" i="26"/>
  <c r="AB141" i="26"/>
  <c r="AB144" i="26"/>
  <c r="AB106" i="26"/>
  <c r="AB104" i="26"/>
  <c r="AB132" i="26"/>
  <c r="AB138" i="26"/>
  <c r="AB105" i="26"/>
  <c r="AB131" i="26"/>
  <c r="AB112" i="26"/>
  <c r="AB110" i="26"/>
  <c r="AB137" i="26"/>
  <c r="AB111" i="26"/>
  <c r="AB142" i="26"/>
  <c r="AB134" i="26"/>
  <c r="AB109" i="26"/>
  <c r="AB133" i="26"/>
  <c r="AB117" i="26"/>
  <c r="AB136" i="26"/>
  <c r="AB139" i="26"/>
  <c r="AB130" i="26"/>
  <c r="AB135" i="26"/>
  <c r="AB116" i="26"/>
  <c r="AC12" i="3"/>
  <c r="AC3" i="3" s="1"/>
  <c r="AC30" i="3" s="1"/>
  <c r="AC24" i="3"/>
  <c r="AC4" i="38"/>
  <c r="AB109" i="3"/>
  <c r="AB106" i="3"/>
  <c r="AB104" i="3"/>
  <c r="AB111" i="3"/>
  <c r="AB96" i="3"/>
  <c r="AB93" i="3"/>
  <c r="AB102" i="3"/>
  <c r="AB100" i="3"/>
  <c r="AB94" i="3"/>
  <c r="AB101" i="3"/>
  <c r="AB103" i="3"/>
  <c r="AB95" i="3"/>
  <c r="AB108" i="3"/>
  <c r="AB99" i="3"/>
  <c r="AB110" i="3"/>
  <c r="AB105" i="3"/>
  <c r="AB97" i="3"/>
  <c r="AB112" i="3"/>
  <c r="AB107" i="3"/>
  <c r="AB98" i="3"/>
  <c r="AD8" i="3"/>
  <c r="AB761" i="9" l="1"/>
  <c r="Y205" i="26"/>
  <c r="Y149" i="26"/>
  <c r="Y93" i="26"/>
  <c r="Y206" i="26" s="1"/>
  <c r="Y146" i="26"/>
  <c r="Y170" i="26"/>
  <c r="Y219" i="26"/>
  <c r="Y172" i="26"/>
  <c r="Y221" i="26"/>
  <c r="Y194" i="26"/>
  <c r="X221" i="6"/>
  <c r="X180" i="30"/>
  <c r="X72" i="33" s="1"/>
  <c r="X259" i="26"/>
  <c r="Y196" i="26"/>
  <c r="Y173" i="26"/>
  <c r="Y95" i="26"/>
  <c r="Y247" i="26" s="1"/>
  <c r="X179" i="1"/>
  <c r="X179" i="20" s="1"/>
  <c r="Y220" i="26"/>
  <c r="X267" i="26"/>
  <c r="Y145" i="26"/>
  <c r="Y193" i="26"/>
  <c r="Y294" i="26" s="1"/>
  <c r="Y171" i="26"/>
  <c r="X178" i="1"/>
  <c r="Y70" i="26"/>
  <c r="Y71" i="26" s="1"/>
  <c r="Y195" i="26"/>
  <c r="Y197" i="26"/>
  <c r="Y148" i="26"/>
  <c r="Y121" i="26"/>
  <c r="Y147" i="26"/>
  <c r="AB196" i="26"/>
  <c r="AB94" i="26"/>
  <c r="AB121" i="26"/>
  <c r="AB248" i="26" s="1"/>
  <c r="AB95" i="26"/>
  <c r="AB148" i="26"/>
  <c r="AB170" i="26"/>
  <c r="AB172" i="26"/>
  <c r="AA259" i="26"/>
  <c r="AA261" i="26" s="1"/>
  <c r="AB257" i="26" s="1"/>
  <c r="AB194" i="26"/>
  <c r="AA267" i="26"/>
  <c r="AB235" i="26"/>
  <c r="AB249" i="26"/>
  <c r="AB195" i="26"/>
  <c r="AC3" i="38"/>
  <c r="AC39" i="3"/>
  <c r="AC346" i="3"/>
  <c r="AC347" i="3"/>
  <c r="AA803" i="9"/>
  <c r="AB757" i="9" s="1"/>
  <c r="AA853" i="9"/>
  <c r="AA861" i="9"/>
  <c r="AA811" i="9"/>
  <c r="AB765" i="9" s="1"/>
  <c r="AA864" i="9"/>
  <c r="AA814" i="9"/>
  <c r="AB768" i="9" s="1"/>
  <c r="AA855" i="9"/>
  <c r="AA805" i="9"/>
  <c r="AB759" i="9" s="1"/>
  <c r="AA870" i="9"/>
  <c r="AA820" i="9"/>
  <c r="AB774" i="9" s="1"/>
  <c r="AA856" i="9"/>
  <c r="AA806" i="9"/>
  <c r="AB760" i="9" s="1"/>
  <c r="AA866" i="9"/>
  <c r="AA816" i="9"/>
  <c r="AB770" i="9" s="1"/>
  <c r="AA868" i="9"/>
  <c r="AA818" i="9"/>
  <c r="AB772" i="9" s="1"/>
  <c r="AA858" i="9"/>
  <c r="AA808" i="9"/>
  <c r="AB762" i="9" s="1"/>
  <c r="AA859" i="9"/>
  <c r="AA809" i="9"/>
  <c r="AB763" i="9" s="1"/>
  <c r="AA854" i="9"/>
  <c r="AA804" i="9"/>
  <c r="AB758" i="9" s="1"/>
  <c r="AA869" i="9"/>
  <c r="AA819" i="9"/>
  <c r="AB773" i="9" s="1"/>
  <c r="AA860" i="9"/>
  <c r="AA810" i="9"/>
  <c r="AB764" i="9" s="1"/>
  <c r="AA863" i="9"/>
  <c r="AA813" i="9"/>
  <c r="AB767" i="9" s="1"/>
  <c r="AA852" i="9"/>
  <c r="AA802" i="9"/>
  <c r="AB756" i="9" s="1"/>
  <c r="AA865" i="9"/>
  <c r="AA815" i="9"/>
  <c r="AB769" i="9" s="1"/>
  <c r="AB68" i="26"/>
  <c r="AB70" i="26"/>
  <c r="AB233" i="26" s="1"/>
  <c r="AA180" i="20"/>
  <c r="AA221" i="6"/>
  <c r="AA223" i="6" s="1"/>
  <c r="AB117" i="20"/>
  <c r="AB24" i="32" s="1"/>
  <c r="X180" i="20"/>
  <c r="BP5" i="3"/>
  <c r="BQ8" i="3"/>
  <c r="BP12" i="3"/>
  <c r="BP3" i="3" s="1"/>
  <c r="BP24" i="3"/>
  <c r="AA154" i="6"/>
  <c r="AA98" i="30" s="1"/>
  <c r="AA187" i="30" s="1"/>
  <c r="AB169" i="26"/>
  <c r="AB147" i="26"/>
  <c r="AB120" i="26"/>
  <c r="AB221" i="26" s="1"/>
  <c r="AC5" i="38"/>
  <c r="AC55" i="3"/>
  <c r="AC51" i="3"/>
  <c r="AC48" i="3"/>
  <c r="AC56" i="3"/>
  <c r="AC60" i="3"/>
  <c r="AC52" i="3"/>
  <c r="AC64" i="3"/>
  <c r="AC63" i="3"/>
  <c r="AC53" i="3"/>
  <c r="AC54" i="3"/>
  <c r="AC66" i="3"/>
  <c r="AC47" i="3"/>
  <c r="AC57" i="3"/>
  <c r="AC65" i="3"/>
  <c r="AC61" i="3"/>
  <c r="AC50" i="3"/>
  <c r="AC62" i="3"/>
  <c r="AC59" i="3"/>
  <c r="AC49" i="3"/>
  <c r="AC58" i="3"/>
  <c r="AB197" i="26"/>
  <c r="AB173" i="26"/>
  <c r="V1128" i="9"/>
  <c r="V1126" i="9"/>
  <c r="AB276" i="26"/>
  <c r="AB281" i="26" s="1"/>
  <c r="V73" i="35"/>
  <c r="X299" i="26"/>
  <c r="AB146" i="26"/>
  <c r="AB149" i="26"/>
  <c r="AE94" i="6"/>
  <c r="AE88" i="35"/>
  <c r="AC5" i="35"/>
  <c r="AC3" i="33"/>
  <c r="AC3" i="35"/>
  <c r="BM207" i="26"/>
  <c r="Y207" i="26"/>
  <c r="V67" i="35"/>
  <c r="BN207" i="26"/>
  <c r="AC4" i="33"/>
  <c r="AC4" i="35"/>
  <c r="AG447" i="9"/>
  <c r="AG433" i="9"/>
  <c r="AG438" i="9"/>
  <c r="AG443" i="9"/>
  <c r="AC264" i="3"/>
  <c r="AC218" i="3"/>
  <c r="AG445" i="9"/>
  <c r="AG440" i="9"/>
  <c r="AG450" i="9"/>
  <c r="AG436" i="9"/>
  <c r="AB828" i="9"/>
  <c r="AF504" i="9"/>
  <c r="AF515" i="9"/>
  <c r="AF508" i="9"/>
  <c r="AF506" i="9"/>
  <c r="AF513" i="9"/>
  <c r="AF517" i="9"/>
  <c r="AF511" i="9"/>
  <c r="AF518" i="9"/>
  <c r="AF501" i="9"/>
  <c r="AC5" i="26"/>
  <c r="AC5" i="33"/>
  <c r="AB106" i="6"/>
  <c r="AC16" i="3"/>
  <c r="AC18" i="3" s="1"/>
  <c r="AC4" i="32"/>
  <c r="AC4" i="30"/>
  <c r="AC180" i="3"/>
  <c r="AC203" i="3" s="1"/>
  <c r="AC174" i="3"/>
  <c r="AC197" i="3" s="1"/>
  <c r="AC165" i="3"/>
  <c r="AC188" i="3" s="1"/>
  <c r="AC169" i="3"/>
  <c r="AC192" i="3" s="1"/>
  <c r="AC177" i="3"/>
  <c r="AC200" i="3" s="1"/>
  <c r="AC179" i="3"/>
  <c r="AC202" i="3" s="1"/>
  <c r="AC170" i="3"/>
  <c r="AC193" i="3" s="1"/>
  <c r="AC175" i="3"/>
  <c r="AC198" i="3" s="1"/>
  <c r="AC181" i="3"/>
  <c r="AC204" i="3" s="1"/>
  <c r="AC166" i="3"/>
  <c r="AC189" i="3" s="1"/>
  <c r="AC3" i="28"/>
  <c r="AC3" i="32"/>
  <c r="AC3" i="30"/>
  <c r="AC173" i="3"/>
  <c r="AC196" i="3" s="1"/>
  <c r="AC168" i="3"/>
  <c r="AC191" i="3" s="1"/>
  <c r="AC164" i="3"/>
  <c r="AC187" i="3" s="1"/>
  <c r="AC5" i="32"/>
  <c r="AC5" i="30"/>
  <c r="AC171" i="3"/>
  <c r="AC194" i="3" s="1"/>
  <c r="AC163" i="3"/>
  <c r="AC186" i="3" s="1"/>
  <c r="AC167" i="3"/>
  <c r="AC190" i="3" s="1"/>
  <c r="AC178" i="3"/>
  <c r="AC201" i="3" s="1"/>
  <c r="AC176" i="3"/>
  <c r="AC199" i="3" s="1"/>
  <c r="AB193" i="26"/>
  <c r="AF73" i="9"/>
  <c r="AF263" i="9"/>
  <c r="AG996" i="9"/>
  <c r="AG257" i="9"/>
  <c r="AG261" i="9" s="1"/>
  <c r="AF339" i="9"/>
  <c r="AF130" i="9"/>
  <c r="AG333" i="9"/>
  <c r="AG337" i="9" s="1"/>
  <c r="AF168" i="9"/>
  <c r="AG162" i="9" s="1"/>
  <c r="AG166" i="9" s="1"/>
  <c r="AF503" i="9"/>
  <c r="AF396" i="9"/>
  <c r="AF244" i="9"/>
  <c r="AF510" i="9"/>
  <c r="AF111" i="9"/>
  <c r="AF301" i="9"/>
  <c r="AF377" i="9"/>
  <c r="AF206" i="9"/>
  <c r="AG238" i="9"/>
  <c r="AG242" i="9" s="1"/>
  <c r="AG295" i="9"/>
  <c r="AG299" i="9" s="1"/>
  <c r="AG390" i="9"/>
  <c r="AG394" i="9" s="1"/>
  <c r="AG371" i="9"/>
  <c r="AG375" i="9" s="1"/>
  <c r="AG200" i="9"/>
  <c r="AG204" i="9" s="1"/>
  <c r="AG67" i="9"/>
  <c r="AG71" i="9" s="1"/>
  <c r="AG105" i="9"/>
  <c r="AG109" i="9" s="1"/>
  <c r="AG124" i="9"/>
  <c r="AG128" i="9" s="1"/>
  <c r="AG1010" i="9"/>
  <c r="BO119" i="26"/>
  <c r="AG1003" i="9"/>
  <c r="AG993" i="9"/>
  <c r="AG1000" i="9"/>
  <c r="AG1007" i="9"/>
  <c r="AB249" i="3"/>
  <c r="AB750" i="9" s="1"/>
  <c r="AB232" i="3"/>
  <c r="AB733" i="9" s="1"/>
  <c r="AB233" i="3"/>
  <c r="AB734" i="9" s="1"/>
  <c r="AB236" i="3"/>
  <c r="AB737" i="9" s="1"/>
  <c r="AB231" i="3"/>
  <c r="AB732" i="9" s="1"/>
  <c r="AB237" i="3"/>
  <c r="AB738" i="9" s="1"/>
  <c r="AB242" i="3"/>
  <c r="AB743" i="9" s="1"/>
  <c r="AB240" i="3"/>
  <c r="AB741" i="9" s="1"/>
  <c r="AB244" i="3"/>
  <c r="AB745" i="9" s="1"/>
  <c r="AB245" i="3"/>
  <c r="AB746" i="9" s="1"/>
  <c r="AB248" i="3"/>
  <c r="AB749" i="9" s="1"/>
  <c r="AB234" i="3"/>
  <c r="AB735" i="9" s="1"/>
  <c r="AB241" i="3"/>
  <c r="AB742" i="9" s="1"/>
  <c r="AB247" i="3"/>
  <c r="AB748" i="9" s="1"/>
  <c r="AB250" i="3"/>
  <c r="AB751" i="9" s="1"/>
  <c r="AB239" i="3"/>
  <c r="AB740" i="9" s="1"/>
  <c r="AB238" i="3"/>
  <c r="AB739" i="9" s="1"/>
  <c r="AB243" i="3"/>
  <c r="AB744" i="9" s="1"/>
  <c r="AB235" i="3"/>
  <c r="AB736" i="9" s="1"/>
  <c r="AB246" i="3"/>
  <c r="AB747" i="9" s="1"/>
  <c r="AC4" i="28"/>
  <c r="AC5" i="28"/>
  <c r="AG998" i="9"/>
  <c r="AG1005" i="9"/>
  <c r="AA114" i="6"/>
  <c r="AA116" i="30" s="1"/>
  <c r="AB219" i="26"/>
  <c r="AC4" i="16"/>
  <c r="BO94" i="26"/>
  <c r="AB93" i="26"/>
  <c r="AB145" i="26"/>
  <c r="BO121" i="26"/>
  <c r="AB119" i="26"/>
  <c r="AC3" i="26"/>
  <c r="AC4" i="26"/>
  <c r="AC4" i="9"/>
  <c r="AC4" i="12"/>
  <c r="AC4" i="11"/>
  <c r="AC5" i="22"/>
  <c r="AC5" i="20"/>
  <c r="AC4" i="22"/>
  <c r="AC4" i="20"/>
  <c r="AC3" i="22"/>
  <c r="AC3" i="20"/>
  <c r="AC5" i="16"/>
  <c r="AC5" i="12"/>
  <c r="AC162" i="3"/>
  <c r="AC185" i="3" s="1"/>
  <c r="AC5" i="11"/>
  <c r="AC5" i="9"/>
  <c r="AD10" i="3"/>
  <c r="AD4" i="3" s="1"/>
  <c r="AD2" i="44" s="1" a="1"/>
  <c r="AD2" i="44" s="1"/>
  <c r="AC3" i="16"/>
  <c r="AC3" i="12"/>
  <c r="AC3" i="11"/>
  <c r="AC3" i="9"/>
  <c r="AA64" i="33" l="1"/>
  <c r="AA74" i="33"/>
  <c r="AC698" i="9"/>
  <c r="AC704" i="9"/>
  <c r="AC693" i="9"/>
  <c r="AC691" i="9"/>
  <c r="AC690" i="9"/>
  <c r="AC701" i="9"/>
  <c r="AC696" i="9"/>
  <c r="AC692" i="9"/>
  <c r="AC834" i="9" s="1"/>
  <c r="AC699" i="9"/>
  <c r="AC694" i="9"/>
  <c r="AC697" i="9"/>
  <c r="AC689" i="9"/>
  <c r="AC831" i="9" s="1"/>
  <c r="AC686" i="9"/>
  <c r="AC702" i="9"/>
  <c r="AC695" i="9"/>
  <c r="AC688" i="9"/>
  <c r="AC830" i="9" s="1"/>
  <c r="AC700" i="9"/>
  <c r="AC705" i="9"/>
  <c r="AC703" i="9"/>
  <c r="AC687" i="9"/>
  <c r="AC829" i="9" s="1"/>
  <c r="Y97" i="26"/>
  <c r="Y221" i="6" s="1"/>
  <c r="Y174" i="26"/>
  <c r="Y298" i="26"/>
  <c r="Y150" i="26"/>
  <c r="Y180" i="1"/>
  <c r="Y180" i="20" s="1"/>
  <c r="Y248" i="26"/>
  <c r="Y249" i="26"/>
  <c r="Y268" i="26"/>
  <c r="Y236" i="26"/>
  <c r="BO248" i="26"/>
  <c r="Y123" i="26"/>
  <c r="Y198" i="26"/>
  <c r="Y259" i="26"/>
  <c r="Y296" i="26"/>
  <c r="Y233" i="26"/>
  <c r="Y295" i="26"/>
  <c r="Y222" i="26"/>
  <c r="Y297" i="26"/>
  <c r="AA34" i="6"/>
  <c r="AA69" i="30" s="1"/>
  <c r="AB180" i="1"/>
  <c r="BO220" i="26"/>
  <c r="AB247" i="26"/>
  <c r="AB222" i="26"/>
  <c r="AB268" i="26"/>
  <c r="AB296" i="26"/>
  <c r="AB179" i="1" s="1"/>
  <c r="AB179" i="20" s="1"/>
  <c r="AB295" i="26"/>
  <c r="AB236" i="26"/>
  <c r="AB297" i="26"/>
  <c r="AB298" i="26"/>
  <c r="AB220" i="26"/>
  <c r="AC169" i="20" a="1"/>
  <c r="AC169" i="20" s="1"/>
  <c r="AC149" i="20" a="1"/>
  <c r="AC149" i="20" s="1"/>
  <c r="AC172" i="20" a="1"/>
  <c r="AC172" i="20" s="1"/>
  <c r="AC150" i="20" a="1"/>
  <c r="AC150" i="20" s="1"/>
  <c r="AC144" i="20" a="1"/>
  <c r="AC144" i="20" s="1"/>
  <c r="AC143" i="20" a="1"/>
  <c r="AC143" i="20" s="1"/>
  <c r="AC142" i="20" a="1"/>
  <c r="AC142" i="20" s="1"/>
  <c r="AC141" i="20" a="1"/>
  <c r="AC141" i="20" s="1"/>
  <c r="AC140" i="20" a="1"/>
  <c r="AC140" i="20" s="1"/>
  <c r="AC139" i="20" a="1"/>
  <c r="AC139" i="20" s="1"/>
  <c r="AC138" i="20" a="1"/>
  <c r="AC138" i="20" s="1"/>
  <c r="AC137" i="20" a="1"/>
  <c r="AC137" i="20" s="1"/>
  <c r="AC133" i="20" a="1"/>
  <c r="AC133" i="20" s="1"/>
  <c r="AC132" i="20" a="1"/>
  <c r="AC132" i="20" s="1"/>
  <c r="AC154" i="20" a="1"/>
  <c r="AC154" i="20" s="1"/>
  <c r="AC146" i="20" a="1"/>
  <c r="AC146" i="20" s="1"/>
  <c r="AC131" i="20" a="1"/>
  <c r="AC131" i="20" s="1"/>
  <c r="AC128" i="20" a="1"/>
  <c r="AC128" i="20" s="1"/>
  <c r="AC126" i="20" a="1"/>
  <c r="AC126" i="20" s="1"/>
  <c r="AC148" i="20" a="1"/>
  <c r="AC148" i="20" s="1"/>
  <c r="AC181" i="20" a="1"/>
  <c r="AC181" i="20" s="1"/>
  <c r="AC145" i="20" a="1"/>
  <c r="AC145" i="20" s="1"/>
  <c r="AC125" i="20" a="1"/>
  <c r="AC125" i="20" s="1"/>
  <c r="AC123" i="20" a="1"/>
  <c r="AC123" i="20" s="1"/>
  <c r="AC115" i="20" a="1"/>
  <c r="AC115" i="20" s="1"/>
  <c r="AC117" i="20" s="1"/>
  <c r="AC111" i="20" a="1"/>
  <c r="AC111" i="20" s="1"/>
  <c r="AC106" i="20" a="1"/>
  <c r="AC106" i="20" s="1"/>
  <c r="AC127" i="20" a="1"/>
  <c r="AC127" i="20" s="1"/>
  <c r="AC198" i="20" a="1"/>
  <c r="AC198" i="20" s="1"/>
  <c r="AC124" i="20" a="1"/>
  <c r="AC124" i="20" s="1"/>
  <c r="AC122" i="20" a="1"/>
  <c r="AC122" i="20" s="1"/>
  <c r="AC112" i="20" a="1"/>
  <c r="AC112" i="20" s="1"/>
  <c r="AC110" i="20" a="1"/>
  <c r="AC110" i="20" s="1"/>
  <c r="AC105" i="20" a="1"/>
  <c r="AC105" i="20" s="1"/>
  <c r="AC104" i="20" a="1"/>
  <c r="AC104" i="20" s="1"/>
  <c r="AC103" i="20" a="1"/>
  <c r="AC103" i="20" s="1"/>
  <c r="AC102" i="20" a="1"/>
  <c r="AC102" i="20" s="1"/>
  <c r="AC101" i="20" a="1"/>
  <c r="AC101" i="20" s="1"/>
  <c r="AC97" i="20" a="1"/>
  <c r="AC97" i="20" s="1"/>
  <c r="AC96" i="20" a="1"/>
  <c r="AC96" i="20" s="1"/>
  <c r="AC95" i="20" a="1"/>
  <c r="AC95" i="20" s="1"/>
  <c r="AC94" i="20" a="1"/>
  <c r="AC94" i="20" s="1"/>
  <c r="AC93" i="20" a="1"/>
  <c r="AC93" i="20" s="1"/>
  <c r="AC92" i="20" a="1"/>
  <c r="AC92" i="20" s="1"/>
  <c r="AC91" i="20" a="1"/>
  <c r="AC91" i="20" s="1"/>
  <c r="AC90" i="20" a="1"/>
  <c r="AC90" i="20" s="1"/>
  <c r="AC89" i="20" a="1"/>
  <c r="AC89" i="20" s="1"/>
  <c r="AC88" i="20" a="1"/>
  <c r="AC88" i="20" s="1"/>
  <c r="AC87" i="20" a="1"/>
  <c r="AC87" i="20" s="1"/>
  <c r="AC83" i="20" a="1"/>
  <c r="AC83" i="20" s="1"/>
  <c r="AC129" i="20" a="1"/>
  <c r="AC129" i="20" s="1"/>
  <c r="AC82" i="20" a="1"/>
  <c r="AC82" i="20" s="1"/>
  <c r="AC81" i="20" a="1"/>
  <c r="AC81" i="20" s="1"/>
  <c r="AC80" i="20" a="1"/>
  <c r="AC80" i="20" s="1"/>
  <c r="AC79" i="20" a="1"/>
  <c r="AC79" i="20" s="1"/>
  <c r="AC78" i="20" a="1"/>
  <c r="AC78" i="20" s="1"/>
  <c r="AC77" i="20" a="1"/>
  <c r="AC77" i="20" s="1"/>
  <c r="AC76" i="20" a="1"/>
  <c r="AC76" i="20" s="1"/>
  <c r="AC75" i="20" a="1"/>
  <c r="AC75" i="20" s="1"/>
  <c r="AC74" i="20" a="1"/>
  <c r="AC74" i="20" s="1"/>
  <c r="AC73" i="20" a="1"/>
  <c r="AC73" i="20" s="1"/>
  <c r="AC72" i="20" a="1"/>
  <c r="AC72" i="20" s="1"/>
  <c r="AC71" i="20" a="1"/>
  <c r="AC71" i="20" s="1"/>
  <c r="AC68" i="20" a="1"/>
  <c r="AC68" i="20" s="1"/>
  <c r="AC66" i="20" a="1"/>
  <c r="AC66" i="20" s="1"/>
  <c r="AC65" i="20" a="1"/>
  <c r="AC65" i="20" s="1"/>
  <c r="AC64" i="20" a="1"/>
  <c r="AC64" i="20" s="1"/>
  <c r="AC61" i="20" a="1"/>
  <c r="AC61" i="20" s="1"/>
  <c r="AC59" i="20" a="1"/>
  <c r="AC59" i="20" s="1"/>
  <c r="AC58" i="20" a="1"/>
  <c r="AC58" i="20" s="1"/>
  <c r="AC57" i="20" a="1"/>
  <c r="AC57" i="20" s="1"/>
  <c r="AC56" i="20" a="1"/>
  <c r="AC56" i="20" s="1"/>
  <c r="AC55" i="20" a="1"/>
  <c r="AC55" i="20" s="1"/>
  <c r="AC54" i="20" a="1"/>
  <c r="AC54" i="20" s="1"/>
  <c r="AC53" i="20" a="1"/>
  <c r="AC53" i="20" s="1"/>
  <c r="AC50" i="20" a="1"/>
  <c r="AC50" i="20" s="1"/>
  <c r="AC48" i="20" a="1"/>
  <c r="AC48" i="20" s="1"/>
  <c r="AC47" i="20" a="1"/>
  <c r="AC47" i="20" s="1"/>
  <c r="AC46" i="20" a="1"/>
  <c r="AC46" i="20" s="1"/>
  <c r="AC45" i="20" a="1"/>
  <c r="AC45" i="20" s="1"/>
  <c r="AC43" i="20" a="1"/>
  <c r="AC43" i="20" s="1"/>
  <c r="AC44" i="20" a="1"/>
  <c r="AC44" i="20" s="1"/>
  <c r="AC42" i="20" a="1"/>
  <c r="AC42" i="20" s="1"/>
  <c r="AC41" i="20" a="1"/>
  <c r="AC41" i="20" s="1"/>
  <c r="AC38" i="20" a="1"/>
  <c r="AC38" i="20" s="1"/>
  <c r="AC36" i="20" a="1"/>
  <c r="AC36" i="20" s="1"/>
  <c r="AC35" i="20" a="1"/>
  <c r="AC35" i="20" s="1"/>
  <c r="AC34" i="20" a="1"/>
  <c r="AC34" i="20" s="1"/>
  <c r="AC33" i="20" a="1"/>
  <c r="AC33" i="20" s="1"/>
  <c r="AC32" i="20" a="1"/>
  <c r="AC32" i="20" s="1"/>
  <c r="AC29" i="20" a="1"/>
  <c r="AC29" i="20" s="1"/>
  <c r="AC27" i="20" a="1"/>
  <c r="AC27" i="20" s="1"/>
  <c r="AC26" i="20" a="1"/>
  <c r="AC26" i="20" s="1"/>
  <c r="AC25" i="20" a="1"/>
  <c r="AC25" i="20" s="1"/>
  <c r="AC24" i="20" a="1"/>
  <c r="AC24" i="20" s="1"/>
  <c r="AC23" i="20" a="1"/>
  <c r="AC23" i="20" s="1"/>
  <c r="AC22" i="20" a="1"/>
  <c r="AC22" i="20" s="1"/>
  <c r="AC21" i="20" a="1"/>
  <c r="AC21" i="20" s="1"/>
  <c r="AC20" i="20" a="1"/>
  <c r="AC20" i="20" s="1"/>
  <c r="AC19" i="20" a="1"/>
  <c r="AC19" i="20" s="1"/>
  <c r="AC16" i="20" a="1"/>
  <c r="AC16" i="20" s="1"/>
  <c r="AC14" i="20" a="1"/>
  <c r="AC14" i="20" s="1"/>
  <c r="AC13" i="20" a="1"/>
  <c r="AC13" i="20" s="1"/>
  <c r="AC12" i="20" a="1"/>
  <c r="AC12" i="20" s="1"/>
  <c r="AB153" i="30"/>
  <c r="AC11" i="20" a="1"/>
  <c r="AC11" i="20" s="1"/>
  <c r="AA52" i="30"/>
  <c r="AC64" i="9"/>
  <c r="AC102" i="9"/>
  <c r="AC121" i="9"/>
  <c r="AC159" i="9"/>
  <c r="AC197" i="9"/>
  <c r="AC235" i="9"/>
  <c r="AC273" i="9"/>
  <c r="AC311" i="9"/>
  <c r="AC349" i="9"/>
  <c r="AC387" i="9"/>
  <c r="AC216" i="9"/>
  <c r="AC368" i="9"/>
  <c r="AC254" i="9"/>
  <c r="AC406" i="9"/>
  <c r="AC425" i="9"/>
  <c r="AC83" i="9"/>
  <c r="AC140" i="9"/>
  <c r="AC292" i="9"/>
  <c r="AC330" i="9"/>
  <c r="AC178" i="9"/>
  <c r="X178" i="20"/>
  <c r="AC192" i="26"/>
  <c r="AC180" i="26"/>
  <c r="AC194" i="26" s="1"/>
  <c r="AC295" i="26" s="1"/>
  <c r="AC183" i="26"/>
  <c r="AC185" i="26"/>
  <c r="AC188" i="26"/>
  <c r="AC179" i="26"/>
  <c r="AC182" i="26"/>
  <c r="AC181" i="26"/>
  <c r="AC195" i="26" s="1"/>
  <c r="AC296" i="26" s="1"/>
  <c r="AC189" i="26"/>
  <c r="AC184" i="26"/>
  <c r="AC190" i="26"/>
  <c r="AC178" i="26"/>
  <c r="AC186" i="26"/>
  <c r="AC187" i="26"/>
  <c r="AC191" i="26"/>
  <c r="AB208" i="26"/>
  <c r="AB71" i="26"/>
  <c r="AB205" i="26"/>
  <c r="BP3" i="38"/>
  <c r="BP3" i="30"/>
  <c r="BP3" i="20"/>
  <c r="BP3" i="9"/>
  <c r="BP3" i="33"/>
  <c r="BP3" i="16"/>
  <c r="BP3" i="28"/>
  <c r="BP3" i="26"/>
  <c r="BP3" i="12"/>
  <c r="BP3" i="32"/>
  <c r="BP3" i="22"/>
  <c r="BP3" i="11"/>
  <c r="BP3" i="35"/>
  <c r="BQ10" i="3"/>
  <c r="BQ4" i="3" s="1"/>
  <c r="BQ2" i="44" s="1" a="1"/>
  <c r="BQ2" i="44" s="1"/>
  <c r="AB220" i="6"/>
  <c r="AA130" i="30"/>
  <c r="AD156" i="3"/>
  <c r="AD179" i="3" s="1"/>
  <c r="AD202" i="3" s="1"/>
  <c r="AD43" i="3"/>
  <c r="AB198" i="26"/>
  <c r="AC846" i="9"/>
  <c r="AC843" i="9"/>
  <c r="AC847" i="9"/>
  <c r="AC841" i="9"/>
  <c r="AC832" i="9"/>
  <c r="AC836" i="9"/>
  <c r="AC839" i="9"/>
  <c r="AC837" i="9"/>
  <c r="AC838" i="9"/>
  <c r="AC842" i="9"/>
  <c r="AC833" i="9"/>
  <c r="AC844" i="9"/>
  <c r="AB174" i="26"/>
  <c r="V1129" i="9"/>
  <c r="V117" i="6" s="1"/>
  <c r="V120" i="6" s="1"/>
  <c r="V117" i="30" s="1"/>
  <c r="AC157" i="26"/>
  <c r="AC171" i="26" s="1"/>
  <c r="AC249" i="26" s="1"/>
  <c r="AC161" i="26"/>
  <c r="AC165" i="26"/>
  <c r="AC155" i="26"/>
  <c r="AC156" i="26"/>
  <c r="AC170" i="26" s="1"/>
  <c r="AC222" i="26" s="1"/>
  <c r="AC158" i="26"/>
  <c r="AC172" i="26" s="1"/>
  <c r="AC236" i="26" s="1"/>
  <c r="AC162" i="26"/>
  <c r="AC166" i="26"/>
  <c r="AC154" i="26"/>
  <c r="AC160" i="26"/>
  <c r="AC159" i="26"/>
  <c r="AC163" i="26"/>
  <c r="AC167" i="26"/>
  <c r="AC168" i="26"/>
  <c r="AC164" i="26"/>
  <c r="AC110" i="26"/>
  <c r="AC55" i="26"/>
  <c r="AB150" i="26"/>
  <c r="V66" i="35"/>
  <c r="AC60" i="26"/>
  <c r="AC139" i="26"/>
  <c r="AC88" i="26"/>
  <c r="AC118" i="26"/>
  <c r="AC130" i="26"/>
  <c r="AC89" i="26"/>
  <c r="AC54" i="26"/>
  <c r="AC113" i="26"/>
  <c r="AC131" i="26"/>
  <c r="AC90" i="26"/>
  <c r="AC134" i="26"/>
  <c r="AC148" i="26" s="1"/>
  <c r="AC80" i="26"/>
  <c r="AC61" i="26"/>
  <c r="AC133" i="26"/>
  <c r="AC147" i="26" s="1"/>
  <c r="AB207" i="26"/>
  <c r="AB123" i="26"/>
  <c r="AB289" i="3"/>
  <c r="AB291" i="3"/>
  <c r="AB278" i="3"/>
  <c r="AB284" i="3"/>
  <c r="AB287" i="3"/>
  <c r="AB290" i="3"/>
  <c r="AB295" i="3"/>
  <c r="AB283" i="3"/>
  <c r="AB292" i="3"/>
  <c r="AB285" i="3"/>
  <c r="AB280" i="3"/>
  <c r="AB286" i="3"/>
  <c r="AB282" i="3"/>
  <c r="BO207" i="26"/>
  <c r="AB206" i="26"/>
  <c r="AB97" i="26"/>
  <c r="AB293" i="3"/>
  <c r="AB294" i="26"/>
  <c r="AB281" i="3"/>
  <c r="AB296" i="3"/>
  <c r="AB294" i="3"/>
  <c r="AB288" i="3"/>
  <c r="AB279" i="3"/>
  <c r="AC269" i="3"/>
  <c r="AC223" i="3"/>
  <c r="AC724" i="9" s="1"/>
  <c r="AG448" i="9"/>
  <c r="AG441" i="9"/>
  <c r="AC268" i="3"/>
  <c r="AC222" i="3"/>
  <c r="AC723" i="9" s="1"/>
  <c r="AC263" i="3"/>
  <c r="AC217" i="3"/>
  <c r="AC718" i="9" s="1"/>
  <c r="AC256" i="3"/>
  <c r="AC210" i="3"/>
  <c r="AC711" i="9" s="1"/>
  <c r="AC267" i="3"/>
  <c r="AC221" i="3"/>
  <c r="AC722" i="9" s="1"/>
  <c r="AC257" i="3"/>
  <c r="AC211" i="3"/>
  <c r="AC712" i="9" s="1"/>
  <c r="AG434" i="9"/>
  <c r="AG437" i="9"/>
  <c r="AG442" i="9"/>
  <c r="AC270" i="3"/>
  <c r="AC224" i="3"/>
  <c r="AC260" i="3"/>
  <c r="AC214" i="3"/>
  <c r="AC715" i="9" s="1"/>
  <c r="AC262" i="3"/>
  <c r="AC216" i="3"/>
  <c r="AC266" i="3"/>
  <c r="AC220" i="3"/>
  <c r="AG432" i="9"/>
  <c r="AG446" i="9"/>
  <c r="AC259" i="3"/>
  <c r="AC213" i="3"/>
  <c r="AC714" i="9" s="1"/>
  <c r="AC265" i="3"/>
  <c r="AC219" i="3"/>
  <c r="AC720" i="9" s="1"/>
  <c r="AC258" i="3"/>
  <c r="AC212" i="3"/>
  <c r="AC713" i="9" s="1"/>
  <c r="AC271" i="3"/>
  <c r="AC225" i="3"/>
  <c r="AC726" i="9" s="1"/>
  <c r="AC272" i="3"/>
  <c r="AC226" i="3"/>
  <c r="AC727" i="9" s="1"/>
  <c r="AC208" i="3"/>
  <c r="AC709" i="9" s="1"/>
  <c r="AC254" i="3"/>
  <c r="AG439" i="9"/>
  <c r="AG444" i="9"/>
  <c r="AC273" i="3"/>
  <c r="AC227" i="3"/>
  <c r="AC728" i="9" s="1"/>
  <c r="AC209" i="3"/>
  <c r="AC710" i="9" s="1"/>
  <c r="AC255" i="3"/>
  <c r="AC261" i="3"/>
  <c r="AC215" i="3"/>
  <c r="AC716" i="9" s="1"/>
  <c r="AC83" i="26"/>
  <c r="AC86" i="26"/>
  <c r="AC234" i="26" s="1"/>
  <c r="AC67" i="26"/>
  <c r="AC56" i="26"/>
  <c r="AC143" i="26"/>
  <c r="AC136" i="26"/>
  <c r="AC107" i="26"/>
  <c r="AC112" i="26"/>
  <c r="AC140" i="26"/>
  <c r="AC132" i="26"/>
  <c r="AC146" i="26" s="1"/>
  <c r="AC87" i="26"/>
  <c r="AC81" i="26"/>
  <c r="AC63" i="26"/>
  <c r="AC57" i="26"/>
  <c r="AC137" i="26"/>
  <c r="AC92" i="26"/>
  <c r="AC91" i="26"/>
  <c r="AC84" i="26"/>
  <c r="AC79" i="26"/>
  <c r="AC95" i="26" s="1"/>
  <c r="AC180" i="1" s="1"/>
  <c r="AC62" i="26"/>
  <c r="AC59" i="26"/>
  <c r="AC53" i="26"/>
  <c r="AC141" i="26"/>
  <c r="AC116" i="26"/>
  <c r="AC104" i="26"/>
  <c r="AC114" i="26"/>
  <c r="AC111" i="26"/>
  <c r="AC105" i="26"/>
  <c r="AC109" i="26"/>
  <c r="AC85" i="26"/>
  <c r="AC78" i="26"/>
  <c r="AC82" i="26"/>
  <c r="AC64" i="26"/>
  <c r="AC58" i="26"/>
  <c r="AC66" i="26"/>
  <c r="AC65" i="26"/>
  <c r="AC142" i="26"/>
  <c r="AC117" i="26"/>
  <c r="AC144" i="26"/>
  <c r="AC115" i="26"/>
  <c r="AC135" i="26"/>
  <c r="AC108" i="26"/>
  <c r="AC138" i="26"/>
  <c r="AC106" i="26"/>
  <c r="AC196" i="26"/>
  <c r="AC297" i="26" s="1"/>
  <c r="AF1085" i="9"/>
  <c r="AG514" i="9"/>
  <c r="AG512" i="9"/>
  <c r="AG507" i="9"/>
  <c r="AG516" i="9"/>
  <c r="AG509" i="9"/>
  <c r="AG519" i="9"/>
  <c r="AG505" i="9"/>
  <c r="AG502" i="9"/>
  <c r="AD143" i="3"/>
  <c r="AD166" i="3" s="1"/>
  <c r="AD153" i="3"/>
  <c r="AD176" i="3" s="1"/>
  <c r="AD199" i="3" s="1"/>
  <c r="AD147" i="3"/>
  <c r="AD170" i="3" s="1"/>
  <c r="AD151" i="3"/>
  <c r="AD174" i="3" s="1"/>
  <c r="AD152" i="3"/>
  <c r="AD175" i="3" s="1"/>
  <c r="AD198" i="3" s="1"/>
  <c r="AD158" i="3"/>
  <c r="AD157" i="3"/>
  <c r="AD139" i="3"/>
  <c r="AD145" i="3"/>
  <c r="AD149" i="3"/>
  <c r="AD142" i="3"/>
  <c r="AD141" i="3"/>
  <c r="AD146" i="3"/>
  <c r="AD155" i="3"/>
  <c r="AD154" i="3"/>
  <c r="AD140" i="3"/>
  <c r="AD144" i="3"/>
  <c r="AD148" i="3"/>
  <c r="AD150" i="3"/>
  <c r="AG149" i="9"/>
  <c r="AG1006" i="9"/>
  <c r="AH143" i="9"/>
  <c r="AH147" i="9" s="1"/>
  <c r="AG1002" i="9"/>
  <c r="AG997" i="9"/>
  <c r="AG995" i="9"/>
  <c r="AG435" i="9"/>
  <c r="AG1009" i="9"/>
  <c r="AG449" i="9"/>
  <c r="AG1001" i="9"/>
  <c r="AG994" i="9"/>
  <c r="AG992" i="9"/>
  <c r="AG1008" i="9"/>
  <c r="AG1004" i="9"/>
  <c r="AG999" i="9"/>
  <c r="AG415" i="9"/>
  <c r="AB277" i="3"/>
  <c r="AH409" i="9"/>
  <c r="AH413" i="9" s="1"/>
  <c r="AC241" i="3"/>
  <c r="AG282" i="9"/>
  <c r="AH276" i="9" s="1"/>
  <c r="AH280" i="9" s="1"/>
  <c r="AG92" i="9"/>
  <c r="AH86" i="9" s="1"/>
  <c r="AH90" i="9" s="1"/>
  <c r="AG225" i="9"/>
  <c r="AH219" i="9" s="1"/>
  <c r="AH223" i="9" s="1"/>
  <c r="AG358" i="9"/>
  <c r="AH352" i="9"/>
  <c r="AH356" i="9" s="1"/>
  <c r="AC81" i="3"/>
  <c r="AB127" i="3"/>
  <c r="AB789" i="9" s="1"/>
  <c r="AB812" i="9" s="1"/>
  <c r="AC766" i="9" s="1"/>
  <c r="AC85" i="3"/>
  <c r="AB131" i="3"/>
  <c r="AB793" i="9" s="1"/>
  <c r="AB866" i="9" s="1"/>
  <c r="AC80" i="3"/>
  <c r="AB126" i="3"/>
  <c r="AB788" i="9" s="1"/>
  <c r="AB861" i="9" s="1"/>
  <c r="AC77" i="3"/>
  <c r="AB123" i="3"/>
  <c r="AB785" i="9" s="1"/>
  <c r="AB858" i="9" s="1"/>
  <c r="AC82" i="3"/>
  <c r="AB128" i="3"/>
  <c r="AB790" i="9" s="1"/>
  <c r="AB863" i="9" s="1"/>
  <c r="AC70" i="3"/>
  <c r="AB116" i="3"/>
  <c r="AB778" i="9" s="1"/>
  <c r="AB801" i="9" s="1"/>
  <c r="AC755" i="9" s="1"/>
  <c r="AC84" i="3"/>
  <c r="AB130" i="3"/>
  <c r="AB792" i="9" s="1"/>
  <c r="AB865" i="9" s="1"/>
  <c r="AC88" i="3"/>
  <c r="AB134" i="3"/>
  <c r="AB796" i="9" s="1"/>
  <c r="AB869" i="9" s="1"/>
  <c r="AC74" i="3"/>
  <c r="AB120" i="3"/>
  <c r="AB782" i="9" s="1"/>
  <c r="AB855" i="9" s="1"/>
  <c r="AC89" i="3"/>
  <c r="AB135" i="3"/>
  <c r="AB797" i="9" s="1"/>
  <c r="AB870" i="9" s="1"/>
  <c r="AC87" i="3"/>
  <c r="AB133" i="3"/>
  <c r="AB795" i="9" s="1"/>
  <c r="AB868" i="9" s="1"/>
  <c r="AC72" i="3"/>
  <c r="AB118" i="3"/>
  <c r="AC73" i="3"/>
  <c r="AB119" i="3"/>
  <c r="AB781" i="9" s="1"/>
  <c r="AB854" i="9" s="1"/>
  <c r="AC83" i="3"/>
  <c r="AB129" i="3"/>
  <c r="AB791" i="9" s="1"/>
  <c r="AB864" i="9" s="1"/>
  <c r="AC86" i="3"/>
  <c r="AB132" i="3"/>
  <c r="AB794" i="9" s="1"/>
  <c r="AB817" i="9" s="1"/>
  <c r="AC771" i="9" s="1"/>
  <c r="AC76" i="3"/>
  <c r="AB122" i="3"/>
  <c r="AB784" i="9" s="1"/>
  <c r="AB807" i="9" s="1"/>
  <c r="AC761" i="9" s="1"/>
  <c r="AC79" i="3"/>
  <c r="AB125" i="3"/>
  <c r="AB787" i="9" s="1"/>
  <c r="AB860" i="9" s="1"/>
  <c r="AC75" i="3"/>
  <c r="AB121" i="3"/>
  <c r="AB783" i="9" s="1"/>
  <c r="AB856" i="9" s="1"/>
  <c r="AC78" i="3"/>
  <c r="AB124" i="3"/>
  <c r="AB786" i="9" s="1"/>
  <c r="AB859" i="9" s="1"/>
  <c r="AC71" i="3"/>
  <c r="AB117" i="3"/>
  <c r="AB779" i="9" s="1"/>
  <c r="AB852" i="9" s="1"/>
  <c r="AD5" i="3"/>
  <c r="AG320" i="9"/>
  <c r="AH314" i="9" s="1"/>
  <c r="AH318" i="9" s="1"/>
  <c r="AG187" i="9"/>
  <c r="AH181" i="9" s="1"/>
  <c r="AH185" i="9" s="1"/>
  <c r="AC121" i="26"/>
  <c r="AC248" i="26" s="1"/>
  <c r="AC219" i="26"/>
  <c r="AD12" i="3"/>
  <c r="AD3" i="3" s="1"/>
  <c r="AD30" i="3" s="1"/>
  <c r="AD24" i="3"/>
  <c r="AD4" i="38"/>
  <c r="AC109" i="3"/>
  <c r="AC99" i="3"/>
  <c r="AC102" i="3"/>
  <c r="AC98" i="3"/>
  <c r="AE8" i="3"/>
  <c r="AC111" i="3"/>
  <c r="AC104" i="3"/>
  <c r="AC95" i="3"/>
  <c r="AC101" i="3"/>
  <c r="AC94" i="3"/>
  <c r="AC103" i="3"/>
  <c r="AC100" i="3"/>
  <c r="AC105" i="3"/>
  <c r="AC93" i="3"/>
  <c r="AC107" i="3"/>
  <c r="AC108" i="3"/>
  <c r="AC97" i="3"/>
  <c r="AC112" i="3"/>
  <c r="AC96" i="3"/>
  <c r="AC110" i="3"/>
  <c r="AC106" i="3"/>
  <c r="Y299" i="26" l="1"/>
  <c r="Y179" i="1"/>
  <c r="Y179" i="20" s="1"/>
  <c r="Y267" i="26"/>
  <c r="Y180" i="30"/>
  <c r="Y72" i="33" s="1"/>
  <c r="Y178" i="1"/>
  <c r="Y178" i="20" s="1"/>
  <c r="AB267" i="26"/>
  <c r="AB259" i="26"/>
  <c r="AB261" i="26" s="1"/>
  <c r="AB34" i="6" s="1"/>
  <c r="AB69" i="30" s="1"/>
  <c r="AC235" i="26"/>
  <c r="AB178" i="1"/>
  <c r="AB183" i="1" s="1"/>
  <c r="AB180" i="30"/>
  <c r="AB72" i="33" s="1"/>
  <c r="AC70" i="26"/>
  <c r="AC233" i="26" s="1"/>
  <c r="AC94" i="26"/>
  <c r="AC24" i="32"/>
  <c r="AC153" i="30"/>
  <c r="AD3" i="38"/>
  <c r="AD39" i="3"/>
  <c r="AD346" i="3"/>
  <c r="AD347" i="3"/>
  <c r="AB818" i="9"/>
  <c r="AC772" i="9" s="1"/>
  <c r="AB814" i="9"/>
  <c r="AC768" i="9" s="1"/>
  <c r="AB813" i="9"/>
  <c r="AC767" i="9" s="1"/>
  <c r="AB811" i="9"/>
  <c r="AC765" i="9" s="1"/>
  <c r="AB809" i="9"/>
  <c r="AC763" i="9" s="1"/>
  <c r="AB820" i="9"/>
  <c r="AC774" i="9" s="1"/>
  <c r="AB815" i="9"/>
  <c r="AC769" i="9" s="1"/>
  <c r="AB805" i="9"/>
  <c r="AC759" i="9" s="1"/>
  <c r="AB819" i="9"/>
  <c r="AC773" i="9" s="1"/>
  <c r="AB808" i="9"/>
  <c r="AC762" i="9" s="1"/>
  <c r="AB816" i="9"/>
  <c r="AC770" i="9" s="1"/>
  <c r="AB806" i="9"/>
  <c r="AC760" i="9" s="1"/>
  <c r="AB802" i="9"/>
  <c r="AC756" i="9" s="1"/>
  <c r="AB804" i="9"/>
  <c r="AC758" i="9" s="1"/>
  <c r="AB810" i="9"/>
  <c r="AC764" i="9" s="1"/>
  <c r="AC68" i="26"/>
  <c r="AC247" i="26"/>
  <c r="AB180" i="20"/>
  <c r="AB221" i="6"/>
  <c r="AB223" i="6" s="1"/>
  <c r="AB851" i="9"/>
  <c r="BR8" i="3"/>
  <c r="BQ5" i="3"/>
  <c r="BQ24" i="3"/>
  <c r="BQ12" i="3"/>
  <c r="BQ3" i="3" s="1"/>
  <c r="AC93" i="26"/>
  <c r="AC173" i="26"/>
  <c r="AC268" i="26" s="1"/>
  <c r="AA168" i="20"/>
  <c r="AC120" i="26"/>
  <c r="AC221" i="26" s="1"/>
  <c r="AD5" i="38"/>
  <c r="AD51" i="3"/>
  <c r="AD55" i="3"/>
  <c r="AD63" i="3"/>
  <c r="AD52" i="3"/>
  <c r="AD64" i="3"/>
  <c r="AD60" i="3"/>
  <c r="AD56" i="3"/>
  <c r="AD48" i="3"/>
  <c r="AD57" i="3"/>
  <c r="AD65" i="3"/>
  <c r="AD49" i="3"/>
  <c r="AD61" i="3"/>
  <c r="AD50" i="3"/>
  <c r="AD58" i="3"/>
  <c r="AD62" i="3"/>
  <c r="AD53" i="3"/>
  <c r="AD47" i="3"/>
  <c r="AD54" i="3"/>
  <c r="AD66" i="3"/>
  <c r="AD59" i="3"/>
  <c r="AC193" i="26"/>
  <c r="AC294" i="26" s="1"/>
  <c r="AC145" i="26"/>
  <c r="AC149" i="26"/>
  <c r="AC197" i="26"/>
  <c r="AC298" i="26" s="1"/>
  <c r="AB154" i="6"/>
  <c r="AB98" i="30" s="1"/>
  <c r="AB187" i="30" s="1"/>
  <c r="AB299" i="26"/>
  <c r="AC169" i="26"/>
  <c r="AF94" i="6"/>
  <c r="AF88" i="35"/>
  <c r="AB107" i="6"/>
  <c r="AD3" i="33"/>
  <c r="AD3" i="35"/>
  <c r="AD4" i="33"/>
  <c r="AD4" i="35"/>
  <c r="AD5" i="33"/>
  <c r="AD5" i="35"/>
  <c r="AC287" i="3"/>
  <c r="AH440" i="9"/>
  <c r="AH438" i="9"/>
  <c r="AH433" i="9"/>
  <c r="AH436" i="9"/>
  <c r="AD267" i="3"/>
  <c r="AD221" i="3"/>
  <c r="AH445" i="9"/>
  <c r="AH447" i="9"/>
  <c r="AH443" i="9"/>
  <c r="AH450" i="9"/>
  <c r="AD271" i="3"/>
  <c r="AD225" i="3"/>
  <c r="AD268" i="3"/>
  <c r="AD222" i="3"/>
  <c r="AC828" i="9"/>
  <c r="AC119" i="26"/>
  <c r="AG513" i="9"/>
  <c r="AG517" i="9"/>
  <c r="AG510" i="9"/>
  <c r="AG504" i="9"/>
  <c r="AG515" i="9"/>
  <c r="AG501" i="9"/>
  <c r="AG506" i="9"/>
  <c r="AG508" i="9"/>
  <c r="AG503" i="9"/>
  <c r="AG518" i="9"/>
  <c r="AG511" i="9"/>
  <c r="AD193" i="3"/>
  <c r="AD197" i="3"/>
  <c r="AD189" i="3"/>
  <c r="AD169" i="3"/>
  <c r="AD192" i="3" s="1"/>
  <c r="AD163" i="3"/>
  <c r="AD186" i="3" s="1"/>
  <c r="AD164" i="3"/>
  <c r="AD187" i="3" s="1"/>
  <c r="AD172" i="3"/>
  <c r="AD195" i="3" s="1"/>
  <c r="AD181" i="3"/>
  <c r="AD204" i="3" s="1"/>
  <c r="AD180" i="3"/>
  <c r="AD203" i="3" s="1"/>
  <c r="AD3" i="28"/>
  <c r="AD3" i="32"/>
  <c r="AD3" i="30"/>
  <c r="AD16" i="3"/>
  <c r="AD18" i="3" s="1"/>
  <c r="AD4" i="32"/>
  <c r="AD4" i="30"/>
  <c r="AD173" i="3"/>
  <c r="AD196" i="3" s="1"/>
  <c r="AD177" i="3"/>
  <c r="AD200" i="3" s="1"/>
  <c r="AD165" i="3"/>
  <c r="AD188" i="3" s="1"/>
  <c r="AD168" i="3"/>
  <c r="AD191" i="3" s="1"/>
  <c r="AD167" i="3"/>
  <c r="AD190" i="3" s="1"/>
  <c r="AD5" i="26"/>
  <c r="AD5" i="32"/>
  <c r="AD5" i="30"/>
  <c r="AD171" i="3"/>
  <c r="AD194" i="3" s="1"/>
  <c r="AD178" i="3"/>
  <c r="AD201" i="3" s="1"/>
  <c r="AH996" i="9"/>
  <c r="AG339" i="9"/>
  <c r="AG263" i="9"/>
  <c r="AH162" i="9"/>
  <c r="AH166" i="9" s="1"/>
  <c r="AG168" i="9"/>
  <c r="AG244" i="9"/>
  <c r="AG396" i="9"/>
  <c r="AG130" i="9"/>
  <c r="AG111" i="9"/>
  <c r="AG377" i="9"/>
  <c r="AG73" i="9"/>
  <c r="AH371" i="9"/>
  <c r="AH375" i="9" s="1"/>
  <c r="AG301" i="9"/>
  <c r="AG206" i="9"/>
  <c r="AH124" i="9"/>
  <c r="AH128" i="9" s="1"/>
  <c r="AH200" i="9"/>
  <c r="AH204" i="9" s="1"/>
  <c r="AH257" i="9"/>
  <c r="AH261" i="9" s="1"/>
  <c r="AH238" i="9"/>
  <c r="AH242" i="9" s="1"/>
  <c r="AH333" i="9"/>
  <c r="AH337" i="9" s="1"/>
  <c r="AH390" i="9"/>
  <c r="AH394" i="9" s="1"/>
  <c r="AH295" i="9"/>
  <c r="AH299" i="9" s="1"/>
  <c r="AH67" i="9"/>
  <c r="AH71" i="9" s="1"/>
  <c r="AH105" i="9"/>
  <c r="AH109" i="9" s="1"/>
  <c r="AC248" i="3"/>
  <c r="AC749" i="9" s="1"/>
  <c r="AC232" i="3"/>
  <c r="AC733" i="9" s="1"/>
  <c r="AC237" i="3"/>
  <c r="AC738" i="9" s="1"/>
  <c r="AC278" i="3"/>
  <c r="AC294" i="3"/>
  <c r="AC233" i="3"/>
  <c r="AC734" i="9" s="1"/>
  <c r="AC247" i="3"/>
  <c r="AC725" i="9"/>
  <c r="AC245" i="3"/>
  <c r="AC746" i="9" s="1"/>
  <c r="AC721" i="9"/>
  <c r="AC719" i="9"/>
  <c r="AC742" i="9" s="1"/>
  <c r="AC239" i="3"/>
  <c r="AC717" i="9"/>
  <c r="AH1010" i="9"/>
  <c r="AC235" i="3"/>
  <c r="AC736" i="9" s="1"/>
  <c r="AC293" i="3"/>
  <c r="AC281" i="3"/>
  <c r="AC243" i="3"/>
  <c r="AH1003" i="9"/>
  <c r="AH993" i="9"/>
  <c r="AH1000" i="9"/>
  <c r="AH1007" i="9"/>
  <c r="AC250" i="3"/>
  <c r="AC751" i="9" s="1"/>
  <c r="AC238" i="3"/>
  <c r="AC739" i="9" s="1"/>
  <c r="AC236" i="3"/>
  <c r="AC737" i="9" s="1"/>
  <c r="AC246" i="3"/>
  <c r="AC747" i="9" s="1"/>
  <c r="AC242" i="3"/>
  <c r="AC743" i="9" s="1"/>
  <c r="AC240" i="3"/>
  <c r="AC741" i="9" s="1"/>
  <c r="AC244" i="3"/>
  <c r="AC745" i="9" s="1"/>
  <c r="AC249" i="3"/>
  <c r="AC750" i="9" s="1"/>
  <c r="AC234" i="3"/>
  <c r="AC735" i="9" s="1"/>
  <c r="AC231" i="3"/>
  <c r="AC732" i="9" s="1"/>
  <c r="AD4" i="28"/>
  <c r="AD5" i="28"/>
  <c r="AH998" i="9"/>
  <c r="AH1005" i="9"/>
  <c r="AC276" i="26"/>
  <c r="AC179" i="1"/>
  <c r="AD3" i="26"/>
  <c r="AD4" i="12"/>
  <c r="AD4" i="26"/>
  <c r="AD4" i="9"/>
  <c r="AD4" i="16"/>
  <c r="AD4" i="11"/>
  <c r="AD5" i="22"/>
  <c r="AD5" i="20"/>
  <c r="AD4" i="22"/>
  <c r="AD4" i="20"/>
  <c r="AD3" i="22"/>
  <c r="AD3" i="20"/>
  <c r="AD5" i="16"/>
  <c r="AD5" i="12"/>
  <c r="AD162" i="3"/>
  <c r="AD185" i="3" s="1"/>
  <c r="AD5" i="11"/>
  <c r="AD5" i="9"/>
  <c r="AD3" i="16"/>
  <c r="AD3" i="12"/>
  <c r="AD3" i="11"/>
  <c r="AD3" i="9"/>
  <c r="AE10" i="3"/>
  <c r="AE4" i="3" s="1"/>
  <c r="AE2" i="44" s="1" a="1"/>
  <c r="AE2" i="44" s="1"/>
  <c r="AB64" i="33" l="1"/>
  <c r="AB74" i="33"/>
  <c r="AD686" i="9"/>
  <c r="AD689" i="9"/>
  <c r="AD696" i="9"/>
  <c r="AD703" i="9"/>
  <c r="AD690" i="9"/>
  <c r="AD698" i="9"/>
  <c r="AD692" i="9"/>
  <c r="AD700" i="9"/>
  <c r="AD687" i="9"/>
  <c r="AD691" i="9"/>
  <c r="AD705" i="9"/>
  <c r="AD701" i="9"/>
  <c r="AD688" i="9"/>
  <c r="AD695" i="9"/>
  <c r="AD702" i="9"/>
  <c r="AD693" i="9"/>
  <c r="AD697" i="9"/>
  <c r="AD704" i="9"/>
  <c r="AD699" i="9"/>
  <c r="AD694" i="9"/>
  <c r="AC740" i="9"/>
  <c r="AC748" i="9"/>
  <c r="AC744" i="9"/>
  <c r="AC257" i="26"/>
  <c r="AC71" i="26"/>
  <c r="AC206" i="26"/>
  <c r="AC220" i="26"/>
  <c r="AC178" i="1"/>
  <c r="AD172" i="20" a="1"/>
  <c r="AD172" i="20" s="1"/>
  <c r="AD150" i="20" a="1"/>
  <c r="AD150" i="20" s="1"/>
  <c r="AD181" i="20" a="1"/>
  <c r="AD181" i="20" s="1"/>
  <c r="AD154" i="20" a="1"/>
  <c r="AD154" i="20" s="1"/>
  <c r="AD146" i="20" a="1"/>
  <c r="AD146" i="20" s="1"/>
  <c r="AD145" i="20" a="1"/>
  <c r="AD145" i="20" s="1"/>
  <c r="AD149" i="20" a="1"/>
  <c r="AD149" i="20" s="1"/>
  <c r="AD198" i="20" a="1"/>
  <c r="AD198" i="20" s="1"/>
  <c r="AD148" i="20" a="1"/>
  <c r="AD148" i="20" s="1"/>
  <c r="AD144" i="20" a="1"/>
  <c r="AD144" i="20" s="1"/>
  <c r="AD142" i="20" a="1"/>
  <c r="AD142" i="20" s="1"/>
  <c r="AD140" i="20" a="1"/>
  <c r="AD140" i="20" s="1"/>
  <c r="AD138" i="20" a="1"/>
  <c r="AD138" i="20" s="1"/>
  <c r="AD133" i="20" a="1"/>
  <c r="AD133" i="20" s="1"/>
  <c r="AD129" i="20" a="1"/>
  <c r="AD129" i="20" s="1"/>
  <c r="AD127" i="20" a="1"/>
  <c r="AD127" i="20" s="1"/>
  <c r="AD143" i="20" a="1"/>
  <c r="AD143" i="20" s="1"/>
  <c r="AD141" i="20" a="1"/>
  <c r="AD141" i="20" s="1"/>
  <c r="AD128" i="20" a="1"/>
  <c r="AD128" i="20" s="1"/>
  <c r="AD139" i="20" a="1"/>
  <c r="AD139" i="20" s="1"/>
  <c r="AD132" i="20" a="1"/>
  <c r="AD132" i="20" s="1"/>
  <c r="AD124" i="20" a="1"/>
  <c r="AD124" i="20" s="1"/>
  <c r="AD122" i="20" a="1"/>
  <c r="AD122" i="20" s="1"/>
  <c r="AD131" i="20" a="1"/>
  <c r="AD131" i="20" s="1"/>
  <c r="AD126" i="20" a="1"/>
  <c r="AD126" i="20" s="1"/>
  <c r="AD111" i="20" a="1"/>
  <c r="AD111" i="20" s="1"/>
  <c r="AD137" i="20" a="1"/>
  <c r="AD137" i="20" s="1"/>
  <c r="AD125" i="20" a="1"/>
  <c r="AD125" i="20" s="1"/>
  <c r="AD110" i="20" a="1"/>
  <c r="AD110" i="20" s="1"/>
  <c r="AD169" i="20" a="1"/>
  <c r="AD169" i="20" s="1"/>
  <c r="AD123" i="20" a="1"/>
  <c r="AD123" i="20" s="1"/>
  <c r="AD115" i="20" a="1"/>
  <c r="AD115" i="20" s="1"/>
  <c r="AD106" i="20" a="1"/>
  <c r="AD106" i="20" s="1"/>
  <c r="AD101" i="20" a="1"/>
  <c r="AD101" i="20" s="1"/>
  <c r="AD94" i="20" a="1"/>
  <c r="AD94" i="20" s="1"/>
  <c r="AD90" i="20" a="1"/>
  <c r="AD90" i="20" s="1"/>
  <c r="AD82" i="20" a="1"/>
  <c r="AD82" i="20" s="1"/>
  <c r="AD81" i="20" a="1"/>
  <c r="AD81" i="20" s="1"/>
  <c r="AD80" i="20" a="1"/>
  <c r="AD80" i="20" s="1"/>
  <c r="AD79" i="20" a="1"/>
  <c r="AD79" i="20" s="1"/>
  <c r="AD78" i="20" a="1"/>
  <c r="AD78" i="20" s="1"/>
  <c r="AD77" i="20" a="1"/>
  <c r="AD77" i="20" s="1"/>
  <c r="AD76" i="20" a="1"/>
  <c r="AD76" i="20" s="1"/>
  <c r="AD75" i="20" a="1"/>
  <c r="AD75" i="20" s="1"/>
  <c r="AD74" i="20" a="1"/>
  <c r="AD74" i="20" s="1"/>
  <c r="AD73" i="20" a="1"/>
  <c r="AD73" i="20" s="1"/>
  <c r="AD72" i="20" a="1"/>
  <c r="AD72" i="20" s="1"/>
  <c r="AD71" i="20" a="1"/>
  <c r="AD71" i="20" s="1"/>
  <c r="AD68" i="20" a="1"/>
  <c r="AD68" i="20" s="1"/>
  <c r="AD66" i="20" a="1"/>
  <c r="AD66" i="20" s="1"/>
  <c r="AD65" i="20" a="1"/>
  <c r="AD65" i="20" s="1"/>
  <c r="AD64" i="20" a="1"/>
  <c r="AD64" i="20" s="1"/>
  <c r="AD61" i="20" a="1"/>
  <c r="AD61" i="20" s="1"/>
  <c r="AD59" i="20" a="1"/>
  <c r="AD59" i="20" s="1"/>
  <c r="AD58" i="20" a="1"/>
  <c r="AD58" i="20" s="1"/>
  <c r="AD57" i="20" a="1"/>
  <c r="AD57" i="20" s="1"/>
  <c r="AD56" i="20" a="1"/>
  <c r="AD56" i="20" s="1"/>
  <c r="AD55" i="20" a="1"/>
  <c r="AD55" i="20" s="1"/>
  <c r="AD54" i="20" a="1"/>
  <c r="AD54" i="20" s="1"/>
  <c r="AD53" i="20" a="1"/>
  <c r="AD53" i="20" s="1"/>
  <c r="AD50" i="20" a="1"/>
  <c r="AD50" i="20" s="1"/>
  <c r="AD48" i="20" a="1"/>
  <c r="AD48" i="20" s="1"/>
  <c r="AD47" i="20" a="1"/>
  <c r="AD47" i="20" s="1"/>
  <c r="AD46" i="20" a="1"/>
  <c r="AD46" i="20" s="1"/>
  <c r="AD45" i="20" a="1"/>
  <c r="AD45" i="20" s="1"/>
  <c r="AD44" i="20" a="1"/>
  <c r="AD44" i="20" s="1"/>
  <c r="AD43" i="20" a="1"/>
  <c r="AD43" i="20" s="1"/>
  <c r="AD42" i="20" a="1"/>
  <c r="AD42" i="20" s="1"/>
  <c r="AD112" i="20" a="1"/>
  <c r="AD112" i="20" s="1"/>
  <c r="AD104" i="20" a="1"/>
  <c r="AD104" i="20" s="1"/>
  <c r="AD97" i="20" a="1"/>
  <c r="AD97" i="20" s="1"/>
  <c r="AD93" i="20" a="1"/>
  <c r="AD93" i="20" s="1"/>
  <c r="AD89" i="20" a="1"/>
  <c r="AD89" i="20" s="1"/>
  <c r="AD88" i="20" a="1"/>
  <c r="AD88" i="20" s="1"/>
  <c r="AD83" i="20" a="1"/>
  <c r="AD83" i="20" s="1"/>
  <c r="AD103" i="20" a="1"/>
  <c r="AD103" i="20" s="1"/>
  <c r="AD96" i="20" a="1"/>
  <c r="AD96" i="20" s="1"/>
  <c r="AD92" i="20" a="1"/>
  <c r="AD92" i="20" s="1"/>
  <c r="AD87" i="20" a="1"/>
  <c r="AD87" i="20" s="1"/>
  <c r="AD16" i="20" a="1"/>
  <c r="AD16" i="20" s="1"/>
  <c r="AD12" i="20" a="1"/>
  <c r="AD12" i="20" s="1"/>
  <c r="AD105" i="20" a="1"/>
  <c r="AD105" i="20" s="1"/>
  <c r="AD91" i="20" a="1"/>
  <c r="AD91" i="20" s="1"/>
  <c r="AD102" i="20" a="1"/>
  <c r="AD102" i="20" s="1"/>
  <c r="AD41" i="20" a="1"/>
  <c r="AD41" i="20" s="1"/>
  <c r="AD38" i="20" a="1"/>
  <c r="AD38" i="20" s="1"/>
  <c r="AD36" i="20" a="1"/>
  <c r="AD36" i="20" s="1"/>
  <c r="AD35" i="20" a="1"/>
  <c r="AD35" i="20" s="1"/>
  <c r="AD34" i="20" a="1"/>
  <c r="AD34" i="20" s="1"/>
  <c r="AD33" i="20" a="1"/>
  <c r="AD33" i="20" s="1"/>
  <c r="AD32" i="20" a="1"/>
  <c r="AD32" i="20" s="1"/>
  <c r="AD29" i="20" a="1"/>
  <c r="AD29" i="20" s="1"/>
  <c r="AD27" i="20" a="1"/>
  <c r="AD27" i="20" s="1"/>
  <c r="AD26" i="20" a="1"/>
  <c r="AD26" i="20" s="1"/>
  <c r="AD25" i="20" a="1"/>
  <c r="AD25" i="20" s="1"/>
  <c r="AD24" i="20" a="1"/>
  <c r="AD24" i="20" s="1"/>
  <c r="AD23" i="20" a="1"/>
  <c r="AD23" i="20" s="1"/>
  <c r="AD22" i="20" a="1"/>
  <c r="AD22" i="20" s="1"/>
  <c r="AD21" i="20" a="1"/>
  <c r="AD21" i="20" s="1"/>
  <c r="AD20" i="20" a="1"/>
  <c r="AD20" i="20" s="1"/>
  <c r="AD19" i="20" a="1"/>
  <c r="AD19" i="20" s="1"/>
  <c r="AD14" i="20" a="1"/>
  <c r="AD14" i="20" s="1"/>
  <c r="AD13" i="20" a="1"/>
  <c r="AD13" i="20" s="1"/>
  <c r="AD95" i="20" a="1"/>
  <c r="AD95" i="20" s="1"/>
  <c r="AD11" i="20" a="1"/>
  <c r="AD11" i="20" s="1"/>
  <c r="AB52" i="30"/>
  <c r="AD64" i="9"/>
  <c r="AD235" i="9"/>
  <c r="AD254" i="9"/>
  <c r="AD387" i="9"/>
  <c r="AD406" i="9"/>
  <c r="AD83" i="9"/>
  <c r="AD121" i="9"/>
  <c r="AD140" i="9"/>
  <c r="AD273" i="9"/>
  <c r="AD292" i="9"/>
  <c r="AD159" i="9"/>
  <c r="AD178" i="9"/>
  <c r="AD216" i="9"/>
  <c r="AD197" i="9"/>
  <c r="AD311" i="9"/>
  <c r="AD330" i="9"/>
  <c r="AD349" i="9"/>
  <c r="AD368" i="9"/>
  <c r="AD102" i="9"/>
  <c r="AD425" i="9"/>
  <c r="AD131" i="26"/>
  <c r="AD188" i="26"/>
  <c r="AD187" i="26"/>
  <c r="AD179" i="26"/>
  <c r="AD186" i="26"/>
  <c r="AD192" i="26"/>
  <c r="AD184" i="26"/>
  <c r="AD190" i="26"/>
  <c r="AD185" i="26"/>
  <c r="AD182" i="26"/>
  <c r="AD183" i="26"/>
  <c r="AD189" i="26"/>
  <c r="AD180" i="26"/>
  <c r="AD194" i="26" s="1"/>
  <c r="AD295" i="26" s="1"/>
  <c r="AD191" i="26"/>
  <c r="AD181" i="26"/>
  <c r="AD195" i="26" s="1"/>
  <c r="AD296" i="26" s="1"/>
  <c r="AD178" i="26"/>
  <c r="AC205" i="26"/>
  <c r="BQ3" i="38"/>
  <c r="BQ3" i="32"/>
  <c r="BQ3" i="20"/>
  <c r="BQ3" i="12"/>
  <c r="BQ3" i="33"/>
  <c r="BQ3" i="30"/>
  <c r="BQ3" i="26"/>
  <c r="BQ3" i="11"/>
  <c r="BQ3" i="35"/>
  <c r="BQ3" i="9"/>
  <c r="BQ3" i="28"/>
  <c r="BQ3" i="22"/>
  <c r="BQ3" i="16"/>
  <c r="BR10" i="3"/>
  <c r="BR4" i="3" s="1"/>
  <c r="BR2" i="44" s="1" a="1"/>
  <c r="BR2" i="44" s="1"/>
  <c r="AE145" i="3"/>
  <c r="AE168" i="3" s="1"/>
  <c r="AE191" i="3" s="1"/>
  <c r="AE43" i="3"/>
  <c r="AC97" i="26"/>
  <c r="AC150" i="26"/>
  <c r="AC180" i="30" s="1"/>
  <c r="AD830" i="9"/>
  <c r="AC198" i="26"/>
  <c r="AB111" i="6"/>
  <c r="AD67" i="26"/>
  <c r="AC299" i="26"/>
  <c r="AD135" i="26"/>
  <c r="AD155" i="26"/>
  <c r="AD161" i="26"/>
  <c r="AD156" i="26"/>
  <c r="AD170" i="26" s="1"/>
  <c r="AD222" i="26" s="1"/>
  <c r="AD158" i="26"/>
  <c r="AD172" i="26" s="1"/>
  <c r="AD236" i="26" s="1"/>
  <c r="AD159" i="26"/>
  <c r="AD154" i="26"/>
  <c r="AD163" i="26"/>
  <c r="AD168" i="26"/>
  <c r="AD162" i="26"/>
  <c r="AD167" i="26"/>
  <c r="AD157" i="26"/>
  <c r="AD171" i="26" s="1"/>
  <c r="AD249" i="26" s="1"/>
  <c r="AD165" i="26"/>
  <c r="AD160" i="26"/>
  <c r="AD166" i="26"/>
  <c r="AD164" i="26"/>
  <c r="AC174" i="26"/>
  <c r="AC208" i="26"/>
  <c r="AD90" i="26"/>
  <c r="AD110" i="26"/>
  <c r="AD82" i="26"/>
  <c r="AD66" i="26"/>
  <c r="AD114" i="26"/>
  <c r="AD79" i="26"/>
  <c r="AD95" i="26" s="1"/>
  <c r="AD180" i="1" s="1"/>
  <c r="AD141" i="26"/>
  <c r="AD88" i="26"/>
  <c r="AD62" i="26"/>
  <c r="AD107" i="26"/>
  <c r="AD142" i="26"/>
  <c r="AD87" i="26"/>
  <c r="AD60" i="26"/>
  <c r="AD138" i="26"/>
  <c r="AD132" i="26"/>
  <c r="AD146" i="26" s="1"/>
  <c r="AD91" i="26"/>
  <c r="AD59" i="26"/>
  <c r="AD53" i="26"/>
  <c r="AD118" i="26"/>
  <c r="AD111" i="26"/>
  <c r="AD78" i="26"/>
  <c r="AD80" i="26"/>
  <c r="AD81" i="26"/>
  <c r="AD64" i="26"/>
  <c r="AD54" i="26"/>
  <c r="AD104" i="26"/>
  <c r="AD106" i="26"/>
  <c r="AD113" i="26"/>
  <c r="AD116" i="26"/>
  <c r="AD112" i="26"/>
  <c r="AD235" i="26" s="1"/>
  <c r="AD130" i="26"/>
  <c r="AD149" i="26" s="1"/>
  <c r="AD196" i="26"/>
  <c r="AD297" i="26" s="1"/>
  <c r="AD85" i="26"/>
  <c r="AD83" i="26"/>
  <c r="AD63" i="26"/>
  <c r="AD65" i="26"/>
  <c r="AD57" i="26"/>
  <c r="AD134" i="26"/>
  <c r="AD148" i="26" s="1"/>
  <c r="AD117" i="26"/>
  <c r="AD115" i="26"/>
  <c r="AD105" i="26"/>
  <c r="AD140" i="26"/>
  <c r="AD143" i="26"/>
  <c r="AD84" i="26"/>
  <c r="AD86" i="26"/>
  <c r="AD234" i="26" s="1"/>
  <c r="AD92" i="26"/>
  <c r="AD89" i="26"/>
  <c r="AD56" i="26"/>
  <c r="AD55" i="26"/>
  <c r="AD61" i="26"/>
  <c r="AD58" i="26"/>
  <c r="AD139" i="26"/>
  <c r="AD144" i="26"/>
  <c r="AD136" i="26"/>
  <c r="AD133" i="26"/>
  <c r="AD147" i="26" s="1"/>
  <c r="AD137" i="26"/>
  <c r="AD108" i="26"/>
  <c r="AD109" i="26"/>
  <c r="AC292" i="3"/>
  <c r="AC207" i="26"/>
  <c r="AC123" i="26"/>
  <c r="AC290" i="3"/>
  <c r="AC282" i="3"/>
  <c r="AC291" i="3"/>
  <c r="AC283" i="3"/>
  <c r="AC289" i="3"/>
  <c r="AC220" i="6"/>
  <c r="AB130" i="30"/>
  <c r="AC286" i="3"/>
  <c r="AC284" i="3"/>
  <c r="AC285" i="3"/>
  <c r="AC279" i="3"/>
  <c r="AC295" i="3"/>
  <c r="AC280" i="3"/>
  <c r="AC288" i="3"/>
  <c r="AC296" i="3"/>
  <c r="AD261" i="3"/>
  <c r="AD215" i="3"/>
  <c r="AD716" i="9" s="1"/>
  <c r="AD265" i="3"/>
  <c r="AD219" i="3"/>
  <c r="AD720" i="9" s="1"/>
  <c r="AD273" i="3"/>
  <c r="AD227" i="3"/>
  <c r="AD728" i="9" s="1"/>
  <c r="AD208" i="3"/>
  <c r="AD709" i="9" s="1"/>
  <c r="AD254" i="3"/>
  <c r="AH444" i="9"/>
  <c r="AH439" i="9"/>
  <c r="AH437" i="9"/>
  <c r="AD260" i="3"/>
  <c r="AD214" i="3"/>
  <c r="AD715" i="9" s="1"/>
  <c r="AD264" i="3"/>
  <c r="AD218" i="3"/>
  <c r="AD719" i="9" s="1"/>
  <c r="AD258" i="3"/>
  <c r="AD212" i="3"/>
  <c r="AD713" i="9" s="1"/>
  <c r="AH432" i="9"/>
  <c r="AH441" i="9"/>
  <c r="AH449" i="9"/>
  <c r="AH435" i="9"/>
  <c r="AH448" i="9"/>
  <c r="AD270" i="3"/>
  <c r="AD224" i="3"/>
  <c r="AD725" i="9" s="1"/>
  <c r="AD257" i="3"/>
  <c r="AD211" i="3"/>
  <c r="AD712" i="9" s="1"/>
  <c r="AD256" i="3"/>
  <c r="AD210" i="3"/>
  <c r="AD711" i="9" s="1"/>
  <c r="AD266" i="3"/>
  <c r="AD220" i="3"/>
  <c r="AD721" i="9" s="1"/>
  <c r="AH434" i="9"/>
  <c r="AD263" i="3"/>
  <c r="AD217" i="3"/>
  <c r="AD718" i="9" s="1"/>
  <c r="AD259" i="3"/>
  <c r="AD213" i="3"/>
  <c r="AD714" i="9" s="1"/>
  <c r="AD209" i="3"/>
  <c r="AD710" i="9" s="1"/>
  <c r="AD255" i="3"/>
  <c r="AD269" i="3"/>
  <c r="AD223" i="3"/>
  <c r="AD724" i="9" s="1"/>
  <c r="AD272" i="3"/>
  <c r="AD226" i="3"/>
  <c r="AD727" i="9" s="1"/>
  <c r="AD262" i="3"/>
  <c r="AD216" i="3"/>
  <c r="AD717" i="9" s="1"/>
  <c r="AG1085" i="9"/>
  <c r="AH512" i="9"/>
  <c r="AH514" i="9"/>
  <c r="AH516" i="9"/>
  <c r="AH519" i="9"/>
  <c r="AH505" i="9"/>
  <c r="AH509" i="9"/>
  <c r="AH507" i="9"/>
  <c r="AH502" i="9"/>
  <c r="AE151" i="3"/>
  <c r="AE156" i="3"/>
  <c r="AE140" i="3"/>
  <c r="AE146" i="3"/>
  <c r="AE147" i="3"/>
  <c r="AE149" i="3"/>
  <c r="AE153" i="3"/>
  <c r="AE157" i="3"/>
  <c r="AE148" i="3"/>
  <c r="AE139" i="3"/>
  <c r="AE150" i="3"/>
  <c r="AE155" i="3"/>
  <c r="AE158" i="3"/>
  <c r="AE141" i="3"/>
  <c r="AE143" i="3"/>
  <c r="AE152" i="3"/>
  <c r="AE154" i="3"/>
  <c r="AE142" i="3"/>
  <c r="AE144" i="3"/>
  <c r="AH149" i="9"/>
  <c r="AI143" i="9" s="1"/>
  <c r="AI147" i="9" s="1"/>
  <c r="AH997" i="9"/>
  <c r="AH1006" i="9"/>
  <c r="AH446" i="9"/>
  <c r="AH1002" i="9"/>
  <c r="AH442" i="9"/>
  <c r="AH1008" i="9"/>
  <c r="AH994" i="9"/>
  <c r="AH995" i="9"/>
  <c r="AH992" i="9"/>
  <c r="AH999" i="9"/>
  <c r="AH1001" i="9"/>
  <c r="AH1004" i="9"/>
  <c r="AH1009" i="9"/>
  <c r="AD722" i="9"/>
  <c r="AD723" i="9"/>
  <c r="AD726" i="9"/>
  <c r="AC277" i="3"/>
  <c r="AH415" i="9"/>
  <c r="AI409" i="9" s="1"/>
  <c r="AI413" i="9" s="1"/>
  <c r="AH282" i="9"/>
  <c r="AI276" i="9" s="1"/>
  <c r="AI280" i="9" s="1"/>
  <c r="AH92" i="9"/>
  <c r="AI86" i="9" s="1"/>
  <c r="AI90" i="9" s="1"/>
  <c r="AH225" i="9"/>
  <c r="AI219" i="9" s="1"/>
  <c r="AI223" i="9" s="1"/>
  <c r="AH358" i="9"/>
  <c r="AI352" i="9" s="1"/>
  <c r="AI356" i="9" s="1"/>
  <c r="AD86" i="3"/>
  <c r="AC132" i="3"/>
  <c r="AD74" i="3"/>
  <c r="AC120" i="3"/>
  <c r="AD73" i="3"/>
  <c r="AC119" i="3"/>
  <c r="AC781" i="9" s="1"/>
  <c r="AD81" i="3"/>
  <c r="AC127" i="3"/>
  <c r="AD77" i="3"/>
  <c r="AC123" i="3"/>
  <c r="AD84" i="3"/>
  <c r="AC130" i="3"/>
  <c r="AC792" i="9" s="1"/>
  <c r="AC815" i="9" s="1"/>
  <c r="AD769" i="9" s="1"/>
  <c r="AD76" i="3"/>
  <c r="AC122" i="3"/>
  <c r="AD70" i="3"/>
  <c r="AC116" i="3"/>
  <c r="AD75" i="3"/>
  <c r="AC121" i="3"/>
  <c r="AC783" i="9" s="1"/>
  <c r="AD78" i="3"/>
  <c r="AC124" i="3"/>
  <c r="AD87" i="3"/>
  <c r="AC133" i="3"/>
  <c r="AD71" i="3"/>
  <c r="AC117" i="3"/>
  <c r="AC779" i="9" s="1"/>
  <c r="AD85" i="3"/>
  <c r="AC131" i="3"/>
  <c r="AC793" i="9" s="1"/>
  <c r="AD80" i="3"/>
  <c r="AC126" i="3"/>
  <c r="AD88" i="3"/>
  <c r="AC134" i="3"/>
  <c r="AC796" i="9" s="1"/>
  <c r="AD82" i="3"/>
  <c r="AC128" i="3"/>
  <c r="AD72" i="3"/>
  <c r="AC118" i="3"/>
  <c r="AD79" i="3"/>
  <c r="AC125" i="3"/>
  <c r="AC787" i="9" s="1"/>
  <c r="AD89" i="3"/>
  <c r="AC135" i="3"/>
  <c r="AC797" i="9" s="1"/>
  <c r="AD83" i="3"/>
  <c r="AC129" i="3"/>
  <c r="AC791" i="9" s="1"/>
  <c r="AE5" i="3"/>
  <c r="AH320" i="9"/>
  <c r="AI314" i="9" s="1"/>
  <c r="AI318" i="9" s="1"/>
  <c r="AH187" i="9"/>
  <c r="AI181" i="9" s="1"/>
  <c r="AI185" i="9" s="1"/>
  <c r="AB168" i="20"/>
  <c r="AC179" i="20"/>
  <c r="AB178" i="20"/>
  <c r="AB183" i="20" s="1"/>
  <c r="AD121" i="26"/>
  <c r="AD219" i="26"/>
  <c r="AE12" i="3"/>
  <c r="AE3" i="3" s="1"/>
  <c r="AE30" i="3" s="1"/>
  <c r="AE24" i="3"/>
  <c r="AE4" i="38"/>
  <c r="AD100" i="3"/>
  <c r="AD107" i="3"/>
  <c r="AD99" i="3"/>
  <c r="AD93" i="3"/>
  <c r="AD111" i="3"/>
  <c r="AD98" i="3"/>
  <c r="AD105" i="3"/>
  <c r="AD95" i="3"/>
  <c r="AD96" i="3"/>
  <c r="AD101" i="3"/>
  <c r="AD110" i="3"/>
  <c r="AD94" i="3"/>
  <c r="AD108" i="3"/>
  <c r="AD103" i="3"/>
  <c r="AD104" i="3"/>
  <c r="AF8" i="3"/>
  <c r="AD109" i="3"/>
  <c r="AD102" i="3"/>
  <c r="AD112" i="3"/>
  <c r="AD106" i="3"/>
  <c r="AD97" i="3"/>
  <c r="AD145" i="26" l="1"/>
  <c r="AC778" i="9"/>
  <c r="AC801" i="9" s="1"/>
  <c r="AD755" i="9" s="1"/>
  <c r="AD248" i="26"/>
  <c r="AD119" i="26"/>
  <c r="AD207" i="26" s="1"/>
  <c r="AC259" i="26"/>
  <c r="AC261" i="26" s="1"/>
  <c r="AD257" i="26" s="1"/>
  <c r="AC221" i="6"/>
  <c r="AC223" i="6" s="1"/>
  <c r="AC130" i="30" s="1"/>
  <c r="AC267" i="26"/>
  <c r="AD94" i="26"/>
  <c r="AB50" i="30"/>
  <c r="AE3" i="38"/>
  <c r="AE39" i="3"/>
  <c r="AC183" i="1"/>
  <c r="AE347" i="3"/>
  <c r="AE346" i="3"/>
  <c r="AD837" i="9"/>
  <c r="AD831" i="9"/>
  <c r="AC869" i="9"/>
  <c r="AC819" i="9"/>
  <c r="AD773" i="9" s="1"/>
  <c r="AC854" i="9"/>
  <c r="AC804" i="9"/>
  <c r="AD758" i="9" s="1"/>
  <c r="AD832" i="9"/>
  <c r="AD843" i="9"/>
  <c r="AD841" i="9"/>
  <c r="AD839" i="9"/>
  <c r="AD846" i="9"/>
  <c r="AC870" i="9"/>
  <c r="AC820" i="9"/>
  <c r="AD774" i="9" s="1"/>
  <c r="AC866" i="9"/>
  <c r="AC816" i="9"/>
  <c r="AD770" i="9" s="1"/>
  <c r="AC856" i="9"/>
  <c r="AC806" i="9"/>
  <c r="AD760" i="9" s="1"/>
  <c r="AD838" i="9"/>
  <c r="AD844" i="9"/>
  <c r="AD836" i="9"/>
  <c r="AD834" i="9"/>
  <c r="AC864" i="9"/>
  <c r="AC814" i="9"/>
  <c r="AD768" i="9" s="1"/>
  <c r="AC860" i="9"/>
  <c r="AC810" i="9"/>
  <c r="AD764" i="9" s="1"/>
  <c r="AC852" i="9"/>
  <c r="AC802" i="9"/>
  <c r="AD756" i="9" s="1"/>
  <c r="AD829" i="9"/>
  <c r="AD842" i="9"/>
  <c r="AD833" i="9"/>
  <c r="AD847" i="9"/>
  <c r="AD68" i="26"/>
  <c r="AD70" i="26"/>
  <c r="AD233" i="26" s="1"/>
  <c r="AB114" i="6"/>
  <c r="AB116" i="30" s="1"/>
  <c r="AD247" i="26"/>
  <c r="AD117" i="20"/>
  <c r="AD24" i="32" s="1"/>
  <c r="AC180" i="20"/>
  <c r="BS8" i="3"/>
  <c r="BR5" i="3"/>
  <c r="BR12" i="3"/>
  <c r="BR3" i="3" s="1"/>
  <c r="BR24" i="3"/>
  <c r="AD193" i="26"/>
  <c r="AD294" i="26" s="1"/>
  <c r="AC178" i="20"/>
  <c r="AC72" i="33"/>
  <c r="AD120" i="26"/>
  <c r="AD221" i="26" s="1"/>
  <c r="AB48" i="30"/>
  <c r="AD93" i="26"/>
  <c r="AE5" i="38"/>
  <c r="AE51" i="3"/>
  <c r="AE63" i="3"/>
  <c r="AE52" i="3"/>
  <c r="AE60" i="3"/>
  <c r="AE56" i="3"/>
  <c r="AE55" i="3"/>
  <c r="AE48" i="3"/>
  <c r="AE53" i="3"/>
  <c r="AE64" i="3"/>
  <c r="AE65" i="3"/>
  <c r="AE50" i="3"/>
  <c r="AE58" i="3"/>
  <c r="AE66" i="3"/>
  <c r="AE47" i="3"/>
  <c r="AE49" i="3"/>
  <c r="AE61" i="3"/>
  <c r="AE57" i="3"/>
  <c r="AE54" i="3"/>
  <c r="AE62" i="3"/>
  <c r="AE59" i="3"/>
  <c r="AD173" i="26"/>
  <c r="AD268" i="26" s="1"/>
  <c r="AC106" i="6"/>
  <c r="AD197" i="26"/>
  <c r="AD298" i="26" s="1"/>
  <c r="V68" i="35"/>
  <c r="AC851" i="9"/>
  <c r="AD169" i="26"/>
  <c r="AC107" i="6"/>
  <c r="AD150" i="26"/>
  <c r="AG94" i="6"/>
  <c r="AG88" i="35"/>
  <c r="AE5" i="33"/>
  <c r="AE5" i="35"/>
  <c r="AE3" i="33"/>
  <c r="AE3" i="35"/>
  <c r="AE4" i="33"/>
  <c r="AE4" i="35"/>
  <c r="AI436" i="9"/>
  <c r="AI443" i="9"/>
  <c r="AE260" i="3"/>
  <c r="AE214" i="3"/>
  <c r="AI438" i="9"/>
  <c r="AI447" i="9"/>
  <c r="AI450" i="9"/>
  <c r="AI445" i="9"/>
  <c r="AI440" i="9"/>
  <c r="AI433" i="9"/>
  <c r="AD828" i="9"/>
  <c r="AH501" i="9"/>
  <c r="AH513" i="9"/>
  <c r="AH504" i="9"/>
  <c r="AH515" i="9"/>
  <c r="AH503" i="9"/>
  <c r="AH506" i="9"/>
  <c r="AH508" i="9"/>
  <c r="AH511" i="9"/>
  <c r="AE167" i="3"/>
  <c r="AE190" i="3" s="1"/>
  <c r="AE164" i="3"/>
  <c r="AE187" i="3" s="1"/>
  <c r="AE176" i="3"/>
  <c r="AE199" i="3" s="1"/>
  <c r="AE163" i="3"/>
  <c r="AE186" i="3" s="1"/>
  <c r="AE5" i="26"/>
  <c r="AE5" i="32"/>
  <c r="AE5" i="30"/>
  <c r="AE175" i="3"/>
  <c r="AE198" i="3" s="1"/>
  <c r="AE173" i="3"/>
  <c r="AE196" i="3" s="1"/>
  <c r="AE169" i="3"/>
  <c r="AE192" i="3" s="1"/>
  <c r="AE3" i="28"/>
  <c r="AE3" i="32"/>
  <c r="AE3" i="30"/>
  <c r="AE165" i="3"/>
  <c r="AE188" i="3" s="1"/>
  <c r="AE181" i="3"/>
  <c r="AE204" i="3" s="1"/>
  <c r="AE172" i="3"/>
  <c r="AE195" i="3" s="1"/>
  <c r="AE179" i="3"/>
  <c r="AE202" i="3" s="1"/>
  <c r="AE16" i="3"/>
  <c r="AE18" i="3" s="1"/>
  <c r="AE4" i="32"/>
  <c r="AE4" i="30"/>
  <c r="AE166" i="3"/>
  <c r="AE189" i="3" s="1"/>
  <c r="AE180" i="3"/>
  <c r="AE203" i="3" s="1"/>
  <c r="AE177" i="3"/>
  <c r="AE200" i="3" s="1"/>
  <c r="AE178" i="3"/>
  <c r="AE201" i="3" s="1"/>
  <c r="AE171" i="3"/>
  <c r="AE194" i="3" s="1"/>
  <c r="AE170" i="3"/>
  <c r="AE193" i="3" s="1"/>
  <c r="AE174" i="3"/>
  <c r="AE197" i="3" s="1"/>
  <c r="AI996" i="9"/>
  <c r="AH168" i="9"/>
  <c r="AH339" i="9"/>
  <c r="AH244" i="9"/>
  <c r="AH510" i="9"/>
  <c r="AI371" i="9"/>
  <c r="AI375" i="9" s="1"/>
  <c r="AH517" i="9"/>
  <c r="AH396" i="9"/>
  <c r="AH518" i="9"/>
  <c r="AH263" i="9"/>
  <c r="AI257" i="9" s="1"/>
  <c r="AI261" i="9" s="1"/>
  <c r="AH377" i="9"/>
  <c r="AH73" i="9"/>
  <c r="AH130" i="9"/>
  <c r="AH206" i="9"/>
  <c r="AH111" i="9"/>
  <c r="AI295" i="9"/>
  <c r="AI299" i="9" s="1"/>
  <c r="AH301" i="9"/>
  <c r="AI67" i="9"/>
  <c r="AI71" i="9" s="1"/>
  <c r="AI333" i="9"/>
  <c r="AI337" i="9" s="1"/>
  <c r="AI200" i="9"/>
  <c r="AI204" i="9" s="1"/>
  <c r="AI162" i="9"/>
  <c r="AI166" i="9" s="1"/>
  <c r="AI390" i="9"/>
  <c r="AI394" i="9" s="1"/>
  <c r="AI238" i="9"/>
  <c r="AI242" i="9" s="1"/>
  <c r="AI124" i="9"/>
  <c r="AI128" i="9" s="1"/>
  <c r="AI105" i="9"/>
  <c r="AI109" i="9" s="1"/>
  <c r="AI1010" i="9"/>
  <c r="AI1003" i="9"/>
  <c r="AI993" i="9"/>
  <c r="AI1000" i="9"/>
  <c r="AI1007" i="9"/>
  <c r="AD235" i="3"/>
  <c r="AD736" i="9" s="1"/>
  <c r="AD247" i="3"/>
  <c r="AD748" i="9" s="1"/>
  <c r="AD239" i="3"/>
  <c r="AD740" i="9" s="1"/>
  <c r="AD233" i="3"/>
  <c r="AD734" i="9" s="1"/>
  <c r="AD245" i="3"/>
  <c r="AD746" i="9" s="1"/>
  <c r="AD244" i="3"/>
  <c r="AD745" i="9" s="1"/>
  <c r="AD241" i="3"/>
  <c r="AD742" i="9" s="1"/>
  <c r="AD243" i="3"/>
  <c r="AD744" i="9" s="1"/>
  <c r="AD236" i="3"/>
  <c r="AD737" i="9" s="1"/>
  <c r="AD238" i="3"/>
  <c r="AD739" i="9" s="1"/>
  <c r="AD250" i="3"/>
  <c r="AD751" i="9" s="1"/>
  <c r="AD232" i="3"/>
  <c r="AD733" i="9" s="1"/>
  <c r="AD249" i="3"/>
  <c r="AD750" i="9" s="1"/>
  <c r="AD231" i="3"/>
  <c r="AD732" i="9" s="1"/>
  <c r="AD242" i="3"/>
  <c r="AD743" i="9" s="1"/>
  <c r="AD240" i="3"/>
  <c r="AD741" i="9" s="1"/>
  <c r="AD248" i="3"/>
  <c r="AD749" i="9" s="1"/>
  <c r="AD246" i="3"/>
  <c r="AD747" i="9" s="1"/>
  <c r="AD237" i="3"/>
  <c r="AD738" i="9" s="1"/>
  <c r="AD234" i="3"/>
  <c r="AD735" i="9" s="1"/>
  <c r="AE4" i="28"/>
  <c r="AE5" i="28"/>
  <c r="AI998" i="9"/>
  <c r="AI1005" i="9"/>
  <c r="AD179" i="1"/>
  <c r="AE3" i="26"/>
  <c r="AE4" i="16"/>
  <c r="AE4" i="26"/>
  <c r="AE4" i="11"/>
  <c r="AE4" i="12"/>
  <c r="AE4" i="20"/>
  <c r="AE4" i="22"/>
  <c r="AE4" i="9"/>
  <c r="AE5" i="22"/>
  <c r="AE5" i="20"/>
  <c r="AE3" i="20"/>
  <c r="AE3" i="22"/>
  <c r="AE5" i="16"/>
  <c r="AE5" i="12"/>
  <c r="AE162" i="3"/>
  <c r="AE185" i="3" s="1"/>
  <c r="AE5" i="11"/>
  <c r="AE5" i="9"/>
  <c r="AF10" i="3"/>
  <c r="AF4" i="3" s="1"/>
  <c r="AF2" i="44" s="1" a="1"/>
  <c r="AF2" i="44" s="1"/>
  <c r="AE3" i="16"/>
  <c r="AE3" i="12"/>
  <c r="AE3" i="11"/>
  <c r="AE3" i="9"/>
  <c r="AE701" i="9" l="1"/>
  <c r="AE688" i="9"/>
  <c r="AE689" i="9"/>
  <c r="AE687" i="9"/>
  <c r="AE691" i="9"/>
  <c r="AE693" i="9"/>
  <c r="AE686" i="9"/>
  <c r="AE704" i="9"/>
  <c r="AE694" i="9"/>
  <c r="AE702" i="9"/>
  <c r="AE696" i="9"/>
  <c r="AE705" i="9"/>
  <c r="AE703" i="9"/>
  <c r="AE695" i="9"/>
  <c r="AE690" i="9"/>
  <c r="AE698" i="9"/>
  <c r="AE700" i="9"/>
  <c r="AE697" i="9"/>
  <c r="AE692" i="9"/>
  <c r="AE699" i="9"/>
  <c r="AC34" i="6"/>
  <c r="AC69" i="30" s="1"/>
  <c r="AD220" i="26"/>
  <c r="AD97" i="26"/>
  <c r="AD205" i="26"/>
  <c r="AD178" i="1"/>
  <c r="AD183" i="1" s="1"/>
  <c r="AE181" i="20" a="1"/>
  <c r="AE181" i="20" s="1"/>
  <c r="AE154" i="20" a="1"/>
  <c r="AE154" i="20" s="1"/>
  <c r="AE146" i="20" a="1"/>
  <c r="AE146" i="20" s="1"/>
  <c r="AE145" i="20" a="1"/>
  <c r="AE145" i="20" s="1"/>
  <c r="AE198" i="20" a="1"/>
  <c r="AE198" i="20" s="1"/>
  <c r="AE148" i="20" a="1"/>
  <c r="AE148" i="20" s="1"/>
  <c r="AE172" i="20" a="1"/>
  <c r="AE172" i="20" s="1"/>
  <c r="AE169" i="20" a="1"/>
  <c r="AE169" i="20" s="1"/>
  <c r="AE131" i="20" a="1"/>
  <c r="AE131" i="20" s="1"/>
  <c r="AE129" i="20" a="1"/>
  <c r="AE129" i="20" s="1"/>
  <c r="AE128" i="20" a="1"/>
  <c r="AE128" i="20" s="1"/>
  <c r="AE127" i="20" a="1"/>
  <c r="AE127" i="20" s="1"/>
  <c r="AE126" i="20" a="1"/>
  <c r="AE126" i="20" s="1"/>
  <c r="AE143" i="20" a="1"/>
  <c r="AE143" i="20" s="1"/>
  <c r="AE141" i="20" a="1"/>
  <c r="AE141" i="20" s="1"/>
  <c r="AE139" i="20" a="1"/>
  <c r="AE139" i="20" s="1"/>
  <c r="AE137" i="20" a="1"/>
  <c r="AE137" i="20" s="1"/>
  <c r="AE132" i="20" a="1"/>
  <c r="AE132" i="20" s="1"/>
  <c r="AE125" i="20" a="1"/>
  <c r="AE125" i="20" s="1"/>
  <c r="AE124" i="20" a="1"/>
  <c r="AE124" i="20" s="1"/>
  <c r="AE123" i="20" a="1"/>
  <c r="AE123" i="20" s="1"/>
  <c r="AE122" i="20" a="1"/>
  <c r="AE122" i="20" s="1"/>
  <c r="AE115" i="20" a="1"/>
  <c r="AE115" i="20" s="1"/>
  <c r="AE117" i="20" s="1"/>
  <c r="AE112" i="20" a="1"/>
  <c r="AE112" i="20" s="1"/>
  <c r="AE111" i="20" a="1"/>
  <c r="AE111" i="20" s="1"/>
  <c r="AE110" i="20" a="1"/>
  <c r="AE110" i="20" s="1"/>
  <c r="AE106" i="20" a="1"/>
  <c r="AE106" i="20" s="1"/>
  <c r="AE149" i="20" a="1"/>
  <c r="AE149" i="20" s="1"/>
  <c r="AE150" i="20" a="1"/>
  <c r="AE150" i="20" s="1"/>
  <c r="AE140" i="20" a="1"/>
  <c r="AE140" i="20" s="1"/>
  <c r="AE133" i="20" a="1"/>
  <c r="AE133" i="20" s="1"/>
  <c r="AE105" i="20" a="1"/>
  <c r="AE105" i="20" s="1"/>
  <c r="AE144" i="20" a="1"/>
  <c r="AE144" i="20" s="1"/>
  <c r="AE138" i="20" a="1"/>
  <c r="AE138" i="20" s="1"/>
  <c r="AE142" i="20" a="1"/>
  <c r="AE142" i="20" s="1"/>
  <c r="AE104" i="20" a="1"/>
  <c r="AE104" i="20" s="1"/>
  <c r="AE103" i="20" a="1"/>
  <c r="AE103" i="20" s="1"/>
  <c r="AE102" i="20" a="1"/>
  <c r="AE102" i="20" s="1"/>
  <c r="AE101" i="20" a="1"/>
  <c r="AE101" i="20" s="1"/>
  <c r="AE97" i="20" a="1"/>
  <c r="AE97" i="20" s="1"/>
  <c r="AE96" i="20" a="1"/>
  <c r="AE96" i="20" s="1"/>
  <c r="AE95" i="20" a="1"/>
  <c r="AE95" i="20" s="1"/>
  <c r="AE94" i="20" a="1"/>
  <c r="AE94" i="20" s="1"/>
  <c r="AE93" i="20" a="1"/>
  <c r="AE93" i="20" s="1"/>
  <c r="AE92" i="20" a="1"/>
  <c r="AE92" i="20" s="1"/>
  <c r="AE91" i="20" a="1"/>
  <c r="AE91" i="20" s="1"/>
  <c r="AE90" i="20" a="1"/>
  <c r="AE90" i="20" s="1"/>
  <c r="AE89" i="20" a="1"/>
  <c r="AE89" i="20" s="1"/>
  <c r="AE88" i="20" a="1"/>
  <c r="AE88" i="20" s="1"/>
  <c r="AE87" i="20" a="1"/>
  <c r="AE87" i="20" s="1"/>
  <c r="AE83" i="20" a="1"/>
  <c r="AE83" i="20" s="1"/>
  <c r="AE82" i="20" a="1"/>
  <c r="AE82" i="20" s="1"/>
  <c r="AE78" i="20" a="1"/>
  <c r="AE78" i="20" s="1"/>
  <c r="AE74" i="20" a="1"/>
  <c r="AE74" i="20" s="1"/>
  <c r="AE68" i="20" a="1"/>
  <c r="AE68" i="20" s="1"/>
  <c r="AE61" i="20" a="1"/>
  <c r="AE61" i="20" s="1"/>
  <c r="AE56" i="20" a="1"/>
  <c r="AE56" i="20" s="1"/>
  <c r="AE50" i="20" a="1"/>
  <c r="AE50" i="20" s="1"/>
  <c r="AE41" i="20" a="1"/>
  <c r="AE41" i="20" s="1"/>
  <c r="AE38" i="20" a="1"/>
  <c r="AE38" i="20" s="1"/>
  <c r="AE36" i="20" a="1"/>
  <c r="AE36" i="20" s="1"/>
  <c r="AE35" i="20" a="1"/>
  <c r="AE35" i="20" s="1"/>
  <c r="AE34" i="20" a="1"/>
  <c r="AE34" i="20" s="1"/>
  <c r="AE33" i="20" a="1"/>
  <c r="AE33" i="20" s="1"/>
  <c r="AE32" i="20" a="1"/>
  <c r="AE32" i="20" s="1"/>
  <c r="AE29" i="20" a="1"/>
  <c r="AE29" i="20" s="1"/>
  <c r="AE27" i="20" a="1"/>
  <c r="AE27" i="20" s="1"/>
  <c r="AE26" i="20" a="1"/>
  <c r="AE26" i="20" s="1"/>
  <c r="AE25" i="20" a="1"/>
  <c r="AE25" i="20" s="1"/>
  <c r="AE24" i="20" a="1"/>
  <c r="AE24" i="20" s="1"/>
  <c r="AE23" i="20" a="1"/>
  <c r="AE23" i="20" s="1"/>
  <c r="AE22" i="20" a="1"/>
  <c r="AE22" i="20" s="1"/>
  <c r="AE21" i="20" a="1"/>
  <c r="AE21" i="20" s="1"/>
  <c r="AE20" i="20" a="1"/>
  <c r="AE20" i="20" s="1"/>
  <c r="AE19" i="20" a="1"/>
  <c r="AE19" i="20" s="1"/>
  <c r="AE16" i="20" a="1"/>
  <c r="AE16" i="20" s="1"/>
  <c r="AE14" i="20" a="1"/>
  <c r="AE14" i="20" s="1"/>
  <c r="AE13" i="20" a="1"/>
  <c r="AE13" i="20" s="1"/>
  <c r="AE12" i="20" a="1"/>
  <c r="AE12" i="20" s="1"/>
  <c r="AE75" i="20" a="1"/>
  <c r="AE75" i="20" s="1"/>
  <c r="AE64" i="20" a="1"/>
  <c r="AE64" i="20" s="1"/>
  <c r="AE57" i="20" a="1"/>
  <c r="AE57" i="20" s="1"/>
  <c r="AE81" i="20" a="1"/>
  <c r="AE81" i="20" s="1"/>
  <c r="AE77" i="20" a="1"/>
  <c r="AE77" i="20" s="1"/>
  <c r="AE73" i="20" a="1"/>
  <c r="AE73" i="20" s="1"/>
  <c r="AE66" i="20" a="1"/>
  <c r="AE66" i="20" s="1"/>
  <c r="AE59" i="20" a="1"/>
  <c r="AE59" i="20" s="1"/>
  <c r="AE55" i="20" a="1"/>
  <c r="AE55" i="20" s="1"/>
  <c r="AE48" i="20" a="1"/>
  <c r="AE48" i="20" s="1"/>
  <c r="AE44" i="20" a="1"/>
  <c r="AE44" i="20" s="1"/>
  <c r="AE42" i="20" a="1"/>
  <c r="AE42" i="20" s="1"/>
  <c r="AE80" i="20" a="1"/>
  <c r="AE80" i="20" s="1"/>
  <c r="AE76" i="20" a="1"/>
  <c r="AE76" i="20" s="1"/>
  <c r="AE72" i="20" a="1"/>
  <c r="AE72" i="20" s="1"/>
  <c r="AE65" i="20" a="1"/>
  <c r="AE65" i="20" s="1"/>
  <c r="AE58" i="20" a="1"/>
  <c r="AE58" i="20" s="1"/>
  <c r="AE54" i="20" a="1"/>
  <c r="AE54" i="20" s="1"/>
  <c r="AE47" i="20" a="1"/>
  <c r="AE47" i="20" s="1"/>
  <c r="AE79" i="20" a="1"/>
  <c r="AE79" i="20" s="1"/>
  <c r="AE71" i="20" a="1"/>
  <c r="AE71" i="20" s="1"/>
  <c r="AE53" i="20" a="1"/>
  <c r="AE53" i="20" s="1"/>
  <c r="AE46" i="20" a="1"/>
  <c r="AE46" i="20" s="1"/>
  <c r="AE45" i="20" a="1"/>
  <c r="AE45" i="20" s="1"/>
  <c r="AE43" i="20" a="1"/>
  <c r="AE43" i="20" s="1"/>
  <c r="AD153" i="30"/>
  <c r="AE11" i="20" a="1"/>
  <c r="AE11" i="20" s="1"/>
  <c r="AC50" i="30"/>
  <c r="AC52" i="30"/>
  <c r="AC183" i="20"/>
  <c r="AE83" i="9"/>
  <c r="AE102" i="9"/>
  <c r="AE140" i="9"/>
  <c r="AE178" i="9"/>
  <c r="AE216" i="9"/>
  <c r="AE254" i="9"/>
  <c r="AE292" i="9"/>
  <c r="AE330" i="9"/>
  <c r="AE368" i="9"/>
  <c r="AE406" i="9"/>
  <c r="AE121" i="9"/>
  <c r="AE273" i="9"/>
  <c r="AE159" i="9"/>
  <c r="AE311" i="9"/>
  <c r="AE64" i="9"/>
  <c r="AE197" i="9"/>
  <c r="AE235" i="9"/>
  <c r="AE425" i="9"/>
  <c r="AE349" i="9"/>
  <c r="AE387" i="9"/>
  <c r="AE187" i="26"/>
  <c r="AE191" i="26"/>
  <c r="AE182" i="26"/>
  <c r="AE192" i="26"/>
  <c r="AE190" i="26"/>
  <c r="AE179" i="26"/>
  <c r="AE193" i="26" s="1"/>
  <c r="AE185" i="26"/>
  <c r="AE183" i="26"/>
  <c r="AE188" i="26"/>
  <c r="AE178" i="26"/>
  <c r="AE181" i="26"/>
  <c r="AE195" i="26" s="1"/>
  <c r="AE296" i="26" s="1"/>
  <c r="AE184" i="26"/>
  <c r="AE180" i="26"/>
  <c r="AE194" i="26" s="1"/>
  <c r="AE295" i="26" s="1"/>
  <c r="AE186" i="26"/>
  <c r="AE189" i="26"/>
  <c r="AD71" i="26"/>
  <c r="AD180" i="20"/>
  <c r="BR3" i="38"/>
  <c r="BR3" i="30"/>
  <c r="BR3" i="16"/>
  <c r="BR3" i="12"/>
  <c r="BR3" i="32"/>
  <c r="BR3" i="20"/>
  <c r="BR3" i="9"/>
  <c r="BR3" i="33"/>
  <c r="BR3" i="28"/>
  <c r="BR3" i="26"/>
  <c r="BR3" i="22"/>
  <c r="BR3" i="11"/>
  <c r="BR3" i="35"/>
  <c r="BS10" i="3"/>
  <c r="AD220" i="6"/>
  <c r="AC281" i="26"/>
  <c r="AC154" i="6" s="1"/>
  <c r="AC98" i="30" s="1"/>
  <c r="AC187" i="30" s="1"/>
  <c r="AF151" i="3"/>
  <c r="AF174" i="3" s="1"/>
  <c r="AF43" i="3"/>
  <c r="AD206" i="26"/>
  <c r="AD123" i="26"/>
  <c r="AE830" i="9"/>
  <c r="AD198" i="26"/>
  <c r="AC111" i="6"/>
  <c r="AD299" i="26"/>
  <c r="AE159" i="26"/>
  <c r="AE167" i="26"/>
  <c r="AE162" i="26"/>
  <c r="AE165" i="26"/>
  <c r="AE168" i="26"/>
  <c r="AE161" i="26"/>
  <c r="AE156" i="26"/>
  <c r="AE170" i="26" s="1"/>
  <c r="AE222" i="26" s="1"/>
  <c r="AE166" i="26"/>
  <c r="AE158" i="26"/>
  <c r="AE172" i="26" s="1"/>
  <c r="AE236" i="26" s="1"/>
  <c r="AE154" i="26"/>
  <c r="AE163" i="26"/>
  <c r="AE155" i="26"/>
  <c r="AE160" i="26"/>
  <c r="AE157" i="26"/>
  <c r="AE171" i="26" s="1"/>
  <c r="AE249" i="26" s="1"/>
  <c r="AE164" i="26"/>
  <c r="AD174" i="26"/>
  <c r="AD208" i="26"/>
  <c r="AH1085" i="9"/>
  <c r="AH94" i="6" s="1"/>
  <c r="AD280" i="3"/>
  <c r="AD286" i="3"/>
  <c r="AD278" i="3"/>
  <c r="AD289" i="3"/>
  <c r="AD279" i="3"/>
  <c r="AD180" i="30"/>
  <c r="AD294" i="3"/>
  <c r="AD291" i="3"/>
  <c r="AD283" i="3"/>
  <c r="AD288" i="3"/>
  <c r="AD296" i="3"/>
  <c r="AD287" i="3"/>
  <c r="AD285" i="3"/>
  <c r="AD295" i="3"/>
  <c r="AD282" i="3"/>
  <c r="AD281" i="3"/>
  <c r="AD292" i="3"/>
  <c r="AD284" i="3"/>
  <c r="AD290" i="3"/>
  <c r="AD293" i="3"/>
  <c r="AI441" i="9"/>
  <c r="AI448" i="9"/>
  <c r="AE266" i="3"/>
  <c r="AE220" i="3"/>
  <c r="AE721" i="9" s="1"/>
  <c r="AE269" i="3"/>
  <c r="AE223" i="3"/>
  <c r="AE724" i="9" s="1"/>
  <c r="AE273" i="3"/>
  <c r="AE227" i="3"/>
  <c r="AE728" i="9" s="1"/>
  <c r="AE256" i="3"/>
  <c r="AE210" i="3"/>
  <c r="AE711" i="9" s="1"/>
  <c r="AE270" i="3"/>
  <c r="AE224" i="3"/>
  <c r="AE725" i="9" s="1"/>
  <c r="AE267" i="3"/>
  <c r="AE221" i="3"/>
  <c r="AE722" i="9" s="1"/>
  <c r="AE208" i="3"/>
  <c r="AE709" i="9" s="1"/>
  <c r="AE254" i="3"/>
  <c r="AI446" i="9"/>
  <c r="AE262" i="3"/>
  <c r="AE216" i="3"/>
  <c r="AE717" i="9" s="1"/>
  <c r="AE257" i="3"/>
  <c r="AE211" i="3"/>
  <c r="AE712" i="9" s="1"/>
  <c r="AI439" i="9"/>
  <c r="AE264" i="3"/>
  <c r="AE218" i="3"/>
  <c r="AE719" i="9" s="1"/>
  <c r="AE268" i="3"/>
  <c r="AE222" i="3"/>
  <c r="AE723" i="9" s="1"/>
  <c r="AI444" i="9"/>
  <c r="AI442" i="9"/>
  <c r="AI432" i="9"/>
  <c r="AE272" i="3"/>
  <c r="AE226" i="3"/>
  <c r="AE727" i="9" s="1"/>
  <c r="AE261" i="3"/>
  <c r="AE215" i="3"/>
  <c r="AE716" i="9" s="1"/>
  <c r="AE259" i="3"/>
  <c r="AE213" i="3"/>
  <c r="AE714" i="9" s="1"/>
  <c r="AI434" i="9"/>
  <c r="AE263" i="3"/>
  <c r="AE217" i="3"/>
  <c r="AE718" i="9" s="1"/>
  <c r="AE258" i="3"/>
  <c r="AE212" i="3"/>
  <c r="AE713" i="9" s="1"/>
  <c r="AE271" i="3"/>
  <c r="AE225" i="3"/>
  <c r="AE726" i="9" s="1"/>
  <c r="AE265" i="3"/>
  <c r="AE219" i="3"/>
  <c r="AE720" i="9" s="1"/>
  <c r="AE209" i="3"/>
  <c r="AE710" i="9" s="1"/>
  <c r="AE255" i="3"/>
  <c r="AE60" i="26"/>
  <c r="AI519" i="9"/>
  <c r="AI502" i="9"/>
  <c r="AI514" i="9"/>
  <c r="AI507" i="9"/>
  <c r="AI512" i="9"/>
  <c r="AI505" i="9"/>
  <c r="AI509" i="9"/>
  <c r="AI516" i="9"/>
  <c r="AD107" i="6"/>
  <c r="AE90" i="26"/>
  <c r="AE109" i="26"/>
  <c r="AE85" i="26"/>
  <c r="AE65" i="26"/>
  <c r="AE111" i="26"/>
  <c r="AE132" i="26"/>
  <c r="AE146" i="26" s="1"/>
  <c r="AE82" i="26"/>
  <c r="AE67" i="26"/>
  <c r="AE143" i="26"/>
  <c r="AE106" i="26"/>
  <c r="AE88" i="26"/>
  <c r="AE56" i="26"/>
  <c r="AE113" i="26"/>
  <c r="AE136" i="26"/>
  <c r="AE79" i="26"/>
  <c r="AE95" i="26" s="1"/>
  <c r="AE180" i="1" s="1"/>
  <c r="AE78" i="26"/>
  <c r="AE94" i="26" s="1"/>
  <c r="AE220" i="26" s="1"/>
  <c r="AE84" i="26"/>
  <c r="AE66" i="26"/>
  <c r="AE62" i="26"/>
  <c r="AE55" i="26"/>
  <c r="AE110" i="26"/>
  <c r="AE135" i="26"/>
  <c r="AE144" i="26"/>
  <c r="AE105" i="26"/>
  <c r="AE104" i="26"/>
  <c r="AE120" i="26" s="1"/>
  <c r="AE221" i="26" s="1"/>
  <c r="AE115" i="26"/>
  <c r="AE108" i="26"/>
  <c r="AE92" i="26"/>
  <c r="AE81" i="26"/>
  <c r="AE89" i="26"/>
  <c r="AE91" i="26"/>
  <c r="AE59" i="26"/>
  <c r="AE64" i="26"/>
  <c r="AE57" i="26"/>
  <c r="AE63" i="26"/>
  <c r="AE130" i="26"/>
  <c r="AE140" i="26"/>
  <c r="AE138" i="26"/>
  <c r="AE116" i="26"/>
  <c r="AE139" i="26"/>
  <c r="AE131" i="26"/>
  <c r="AE141" i="26"/>
  <c r="AE134" i="26"/>
  <c r="AE148" i="26" s="1"/>
  <c r="AE87" i="26"/>
  <c r="AE86" i="26"/>
  <c r="AE234" i="26" s="1"/>
  <c r="AE83" i="26"/>
  <c r="AE80" i="26"/>
  <c r="AE58" i="26"/>
  <c r="AE54" i="26"/>
  <c r="AE53" i="26"/>
  <c r="AE61" i="26"/>
  <c r="AE118" i="26"/>
  <c r="AE112" i="26"/>
  <c r="AE235" i="26" s="1"/>
  <c r="AE114" i="26"/>
  <c r="AE133" i="26"/>
  <c r="AE147" i="26" s="1"/>
  <c r="AE117" i="26"/>
  <c r="AE137" i="26"/>
  <c r="AE107" i="26"/>
  <c r="AE142" i="26"/>
  <c r="AE196" i="26"/>
  <c r="AE297" i="26" s="1"/>
  <c r="AF158" i="3"/>
  <c r="AF181" i="3" s="1"/>
  <c r="AF156" i="3"/>
  <c r="AF179" i="3" s="1"/>
  <c r="AF202" i="3" s="1"/>
  <c r="AF143" i="3"/>
  <c r="AF166" i="3" s="1"/>
  <c r="AF189" i="3" s="1"/>
  <c r="AF140" i="3"/>
  <c r="AF163" i="3" s="1"/>
  <c r="AF154" i="3"/>
  <c r="AF177" i="3" s="1"/>
  <c r="AF153" i="3"/>
  <c r="AF176" i="3" s="1"/>
  <c r="AF149" i="3"/>
  <c r="AF172" i="3" s="1"/>
  <c r="AF148" i="3"/>
  <c r="AF171" i="3" s="1"/>
  <c r="AF142" i="3"/>
  <c r="AF165" i="3" s="1"/>
  <c r="AF157" i="3"/>
  <c r="AF180" i="3" s="1"/>
  <c r="AF139" i="3"/>
  <c r="AF144" i="3"/>
  <c r="AF167" i="3" s="1"/>
  <c r="AF145" i="3"/>
  <c r="AF152" i="3"/>
  <c r="AF175" i="3" s="1"/>
  <c r="AF141" i="3"/>
  <c r="AF164" i="3" s="1"/>
  <c r="AF146" i="3"/>
  <c r="AF169" i="3" s="1"/>
  <c r="AF150" i="3"/>
  <c r="AF173" i="3" s="1"/>
  <c r="AF147" i="3"/>
  <c r="AF155" i="3"/>
  <c r="AF178" i="3" s="1"/>
  <c r="AI149" i="9"/>
  <c r="AJ143" i="9" s="1"/>
  <c r="AJ147" i="9" s="1"/>
  <c r="AI1008" i="9"/>
  <c r="AI1002" i="9"/>
  <c r="AI1009" i="9"/>
  <c r="AI449" i="9"/>
  <c r="AI995" i="9"/>
  <c r="AI435" i="9"/>
  <c r="AI997" i="9"/>
  <c r="AI437" i="9"/>
  <c r="AI1004" i="9"/>
  <c r="AI992" i="9"/>
  <c r="AI999" i="9"/>
  <c r="AI1006" i="9"/>
  <c r="AI1001" i="9"/>
  <c r="AI994" i="9"/>
  <c r="AE715" i="9"/>
  <c r="AD277" i="3"/>
  <c r="AI415" i="9"/>
  <c r="AJ409" i="9" s="1"/>
  <c r="AJ413" i="9" s="1"/>
  <c r="AI282" i="9"/>
  <c r="AJ276" i="9" s="1"/>
  <c r="AJ280" i="9" s="1"/>
  <c r="AI92" i="9"/>
  <c r="AJ86" i="9" s="1"/>
  <c r="AJ90" i="9" s="1"/>
  <c r="AI225" i="9"/>
  <c r="AJ219" i="9" s="1"/>
  <c r="AJ223" i="9" s="1"/>
  <c r="AI358" i="9"/>
  <c r="AJ352" i="9" s="1"/>
  <c r="AJ356" i="9" s="1"/>
  <c r="AE74" i="3"/>
  <c r="AD120" i="3"/>
  <c r="AE86" i="3"/>
  <c r="AD132" i="3"/>
  <c r="AE89" i="3"/>
  <c r="AD135" i="3"/>
  <c r="AD797" i="9" s="1"/>
  <c r="AD820" i="9" s="1"/>
  <c r="AE774" i="9" s="1"/>
  <c r="AE77" i="3"/>
  <c r="AD123" i="3"/>
  <c r="AE83" i="3"/>
  <c r="AD129" i="3"/>
  <c r="AD791" i="9" s="1"/>
  <c r="AE70" i="3"/>
  <c r="AD116" i="3"/>
  <c r="AD778" i="9" s="1"/>
  <c r="AD801" i="9" s="1"/>
  <c r="AE755" i="9" s="1"/>
  <c r="AE78" i="3"/>
  <c r="AD124" i="3"/>
  <c r="AE79" i="3"/>
  <c r="AD125" i="3"/>
  <c r="AD787" i="9" s="1"/>
  <c r="AD810" i="9" s="1"/>
  <c r="AE764" i="9" s="1"/>
  <c r="AE88" i="3"/>
  <c r="AD134" i="3"/>
  <c r="AD796" i="9" s="1"/>
  <c r="AE82" i="3"/>
  <c r="AD128" i="3"/>
  <c r="AE80" i="3"/>
  <c r="AD126" i="3"/>
  <c r="AE72" i="3"/>
  <c r="AD118" i="3"/>
  <c r="AE76" i="3"/>
  <c r="AD122" i="3"/>
  <c r="AE71" i="3"/>
  <c r="AD117" i="3"/>
  <c r="AD779" i="9" s="1"/>
  <c r="AE73" i="3"/>
  <c r="AD119" i="3"/>
  <c r="AD781" i="9" s="1"/>
  <c r="AE85" i="3"/>
  <c r="AD131" i="3"/>
  <c r="AD793" i="9" s="1"/>
  <c r="AE81" i="3"/>
  <c r="AD127" i="3"/>
  <c r="AE84" i="3"/>
  <c r="AD130" i="3"/>
  <c r="AD792" i="9" s="1"/>
  <c r="AD815" i="9" s="1"/>
  <c r="AE769" i="9" s="1"/>
  <c r="AE87" i="3"/>
  <c r="AD133" i="3"/>
  <c r="AE75" i="3"/>
  <c r="AD121" i="3"/>
  <c r="AD783" i="9" s="1"/>
  <c r="AF5" i="3"/>
  <c r="AI320" i="9"/>
  <c r="AJ314" i="9" s="1"/>
  <c r="AJ318" i="9" s="1"/>
  <c r="AI187" i="9"/>
  <c r="AJ181" i="9" s="1"/>
  <c r="AJ185" i="9" s="1"/>
  <c r="AD179" i="20"/>
  <c r="AE121" i="26"/>
  <c r="AE248" i="26" s="1"/>
  <c r="AE219" i="26"/>
  <c r="AF12" i="3"/>
  <c r="AF3" i="3" s="1"/>
  <c r="AF30" i="3" s="1"/>
  <c r="AF24" i="3"/>
  <c r="AF4" i="38"/>
  <c r="AE111" i="3"/>
  <c r="AE96" i="3"/>
  <c r="AE95" i="3"/>
  <c r="AG8" i="3"/>
  <c r="AE108" i="3"/>
  <c r="AE104" i="3"/>
  <c r="AE107" i="3"/>
  <c r="AE110" i="3"/>
  <c r="AE98" i="3"/>
  <c r="AE101" i="3"/>
  <c r="AE97" i="3"/>
  <c r="AE99" i="3"/>
  <c r="AE102" i="3"/>
  <c r="AE94" i="3"/>
  <c r="AE105" i="3"/>
  <c r="AE103" i="3"/>
  <c r="AE109" i="3"/>
  <c r="AE112" i="3"/>
  <c r="AE100" i="3"/>
  <c r="AE106" i="3"/>
  <c r="AE93" i="3"/>
  <c r="AC64" i="33" l="1"/>
  <c r="AC74" i="33"/>
  <c r="AD259" i="26"/>
  <c r="AD261" i="26" s="1"/>
  <c r="AD34" i="6" s="1"/>
  <c r="AD69" i="30" s="1"/>
  <c r="AD267" i="26"/>
  <c r="AD221" i="6"/>
  <c r="AD223" i="6" s="1"/>
  <c r="AE220" i="6" s="1"/>
  <c r="AE24" i="32"/>
  <c r="AE153" i="30"/>
  <c r="AD52" i="30"/>
  <c r="AF3" i="38"/>
  <c r="AF39" i="3"/>
  <c r="AF346" i="3"/>
  <c r="AF347" i="3"/>
  <c r="AE832" i="9"/>
  <c r="AE831" i="9"/>
  <c r="AE841" i="9"/>
  <c r="AD856" i="9"/>
  <c r="AD806" i="9"/>
  <c r="AE760" i="9" s="1"/>
  <c r="AD866" i="9"/>
  <c r="AD816" i="9"/>
  <c r="AE770" i="9" s="1"/>
  <c r="AD852" i="9"/>
  <c r="AD802" i="9"/>
  <c r="AE756" i="9" s="1"/>
  <c r="AE836" i="9"/>
  <c r="AE839" i="9"/>
  <c r="AE829" i="9"/>
  <c r="AE846" i="9"/>
  <c r="AE834" i="9"/>
  <c r="AE843" i="9"/>
  <c r="AE837" i="9"/>
  <c r="AE847" i="9"/>
  <c r="AE844" i="9"/>
  <c r="AD854" i="9"/>
  <c r="AD804" i="9"/>
  <c r="AE758" i="9" s="1"/>
  <c r="AD869" i="9"/>
  <c r="AD819" i="9"/>
  <c r="AE773" i="9" s="1"/>
  <c r="AD864" i="9"/>
  <c r="AD814" i="9"/>
  <c r="AE768" i="9" s="1"/>
  <c r="AE833" i="9"/>
  <c r="AE838" i="9"/>
  <c r="AE842" i="9"/>
  <c r="AC168" i="20"/>
  <c r="AE68" i="26"/>
  <c r="AE70" i="26"/>
  <c r="AE233" i="26" s="1"/>
  <c r="AD106" i="6"/>
  <c r="AD111" i="6" s="1"/>
  <c r="AE247" i="26"/>
  <c r="AC48" i="30"/>
  <c r="AD851" i="9"/>
  <c r="BT8" i="3"/>
  <c r="BS5" i="3"/>
  <c r="BS12" i="3"/>
  <c r="BS3" i="3" s="1"/>
  <c r="BS24" i="3"/>
  <c r="BS4" i="3"/>
  <c r="BS2" i="44" s="1" a="1"/>
  <c r="BS2" i="44" s="1"/>
  <c r="AD276" i="26"/>
  <c r="AF197" i="3"/>
  <c r="AF266" i="3" s="1"/>
  <c r="AE93" i="26"/>
  <c r="AE149" i="26"/>
  <c r="AE145" i="26"/>
  <c r="AE173" i="26"/>
  <c r="AE268" i="26" s="1"/>
  <c r="AF5" i="38"/>
  <c r="AF55" i="3"/>
  <c r="AF48" i="3"/>
  <c r="AF56" i="3"/>
  <c r="AF51" i="3"/>
  <c r="AF63" i="3"/>
  <c r="AF52" i="3"/>
  <c r="AF57" i="3"/>
  <c r="AF49" i="3"/>
  <c r="AF54" i="3"/>
  <c r="AF62" i="3"/>
  <c r="AF47" i="3"/>
  <c r="AF60" i="3"/>
  <c r="AF53" i="3"/>
  <c r="AF64" i="3"/>
  <c r="AF65" i="3"/>
  <c r="AF61" i="3"/>
  <c r="AF50" i="3"/>
  <c r="AF59" i="3"/>
  <c r="AF58" i="3"/>
  <c r="AF66" i="3"/>
  <c r="AE197" i="26"/>
  <c r="AE298" i="26" s="1"/>
  <c r="AC114" i="6"/>
  <c r="AC116" i="30" s="1"/>
  <c r="AE169" i="26"/>
  <c r="AE119" i="26"/>
  <c r="AH88" i="35"/>
  <c r="AD72" i="33"/>
  <c r="AF5" i="35"/>
  <c r="AE294" i="26"/>
  <c r="AF3" i="33"/>
  <c r="AF3" i="35"/>
  <c r="AF4" i="33"/>
  <c r="AF4" i="35"/>
  <c r="AJ436" i="9"/>
  <c r="AJ438" i="9"/>
  <c r="AJ445" i="9"/>
  <c r="AJ443" i="9"/>
  <c r="AJ447" i="9"/>
  <c r="AF258" i="3"/>
  <c r="AF212" i="3"/>
  <c r="AJ433" i="9"/>
  <c r="AJ440" i="9"/>
  <c r="AF271" i="3"/>
  <c r="AF225" i="3"/>
  <c r="AE828" i="9"/>
  <c r="AI503" i="9"/>
  <c r="AI508" i="9"/>
  <c r="AI504" i="9"/>
  <c r="AI517" i="9"/>
  <c r="AI501" i="9"/>
  <c r="AI513" i="9"/>
  <c r="AI506" i="9"/>
  <c r="AI518" i="9"/>
  <c r="AI511" i="9"/>
  <c r="AF5" i="26"/>
  <c r="AF5" i="33"/>
  <c r="AF200" i="3"/>
  <c r="AF195" i="3"/>
  <c r="AF204" i="3"/>
  <c r="AF186" i="3"/>
  <c r="AF196" i="3"/>
  <c r="AF190" i="3"/>
  <c r="AF170" i="3"/>
  <c r="AF193" i="3" s="1"/>
  <c r="AF192" i="3"/>
  <c r="AF198" i="3"/>
  <c r="AF16" i="3"/>
  <c r="AF18" i="3" s="1"/>
  <c r="AF4" i="32"/>
  <c r="AF4" i="30"/>
  <c r="AF5" i="32"/>
  <c r="AF5" i="30"/>
  <c r="AF188" i="3"/>
  <c r="AF203" i="3"/>
  <c r="AF194" i="3"/>
  <c r="AF3" i="28"/>
  <c r="AF3" i="32"/>
  <c r="AF3" i="30"/>
  <c r="AF168" i="3"/>
  <c r="AF191" i="3" s="1"/>
  <c r="AF201" i="3"/>
  <c r="AF199" i="3"/>
  <c r="AF187" i="3"/>
  <c r="AJ996" i="9"/>
  <c r="AI377" i="9"/>
  <c r="AI130" i="9"/>
  <c r="AJ162" i="9"/>
  <c r="AJ166" i="9" s="1"/>
  <c r="AI168" i="9"/>
  <c r="AI263" i="9"/>
  <c r="AJ257" i="9" s="1"/>
  <c r="AJ261" i="9" s="1"/>
  <c r="AI396" i="9"/>
  <c r="AJ1010" i="9"/>
  <c r="AJ450" i="9"/>
  <c r="AI339" i="9"/>
  <c r="AI515" i="9"/>
  <c r="AI244" i="9"/>
  <c r="AI510" i="9"/>
  <c r="AI301" i="9"/>
  <c r="AJ295" i="9" s="1"/>
  <c r="AJ299" i="9" s="1"/>
  <c r="AI73" i="9"/>
  <c r="AI206" i="9"/>
  <c r="AI111" i="9"/>
  <c r="AJ238" i="9"/>
  <c r="AJ242" i="9" s="1"/>
  <c r="AJ200" i="9"/>
  <c r="AJ204" i="9" s="1"/>
  <c r="AJ333" i="9"/>
  <c r="AJ337" i="9" s="1"/>
  <c r="AJ390" i="9"/>
  <c r="AJ394" i="9" s="1"/>
  <c r="AJ124" i="9"/>
  <c r="AJ128" i="9" s="1"/>
  <c r="AJ371" i="9"/>
  <c r="AJ375" i="9" s="1"/>
  <c r="AJ67" i="9"/>
  <c r="AJ71" i="9" s="1"/>
  <c r="AJ1003" i="9"/>
  <c r="AJ993" i="9"/>
  <c r="AJ1000" i="9"/>
  <c r="AJ1007" i="9"/>
  <c r="AE242" i="3"/>
  <c r="AE743" i="9" s="1"/>
  <c r="AE241" i="3"/>
  <c r="AE742" i="9" s="1"/>
  <c r="AE244" i="3"/>
  <c r="AE745" i="9" s="1"/>
  <c r="AE239" i="3"/>
  <c r="AE740" i="9" s="1"/>
  <c r="AE235" i="3"/>
  <c r="AE736" i="9" s="1"/>
  <c r="AE236" i="3"/>
  <c r="AE737" i="9" s="1"/>
  <c r="AE246" i="3"/>
  <c r="AE747" i="9" s="1"/>
  <c r="AE234" i="3"/>
  <c r="AE735" i="9" s="1"/>
  <c r="AE238" i="3"/>
  <c r="AE739" i="9" s="1"/>
  <c r="AE232" i="3"/>
  <c r="AE733" i="9" s="1"/>
  <c r="AE248" i="3"/>
  <c r="AE749" i="9" s="1"/>
  <c r="AE249" i="3"/>
  <c r="AE750" i="9" s="1"/>
  <c r="AE243" i="3"/>
  <c r="AE744" i="9" s="1"/>
  <c r="AE250" i="3"/>
  <c r="AE751" i="9" s="1"/>
  <c r="AE240" i="3"/>
  <c r="AE741" i="9" s="1"/>
  <c r="AE245" i="3"/>
  <c r="AE746" i="9" s="1"/>
  <c r="AE233" i="3"/>
  <c r="AE734" i="9" s="1"/>
  <c r="AE231" i="3"/>
  <c r="AE732" i="9" s="1"/>
  <c r="AE247" i="3"/>
  <c r="AE748" i="9" s="1"/>
  <c r="AE237" i="3"/>
  <c r="AE738" i="9" s="1"/>
  <c r="AF5" i="28"/>
  <c r="AJ998" i="9"/>
  <c r="AJ1005" i="9"/>
  <c r="AE107" i="6"/>
  <c r="AD178" i="20"/>
  <c r="AD183" i="20" s="1"/>
  <c r="AF4" i="20"/>
  <c r="AF4" i="28"/>
  <c r="AE179" i="1"/>
  <c r="AF4" i="9"/>
  <c r="AF3" i="26"/>
  <c r="AF4" i="26"/>
  <c r="AF4" i="16"/>
  <c r="AF4" i="11"/>
  <c r="AF4" i="22"/>
  <c r="AF4" i="12"/>
  <c r="AF5" i="22"/>
  <c r="AF5" i="20"/>
  <c r="AF3" i="22"/>
  <c r="AF3" i="20"/>
  <c r="AF5" i="16"/>
  <c r="AF5" i="12"/>
  <c r="AF162" i="3"/>
  <c r="AF185" i="3" s="1"/>
  <c r="AF5" i="11"/>
  <c r="AF5" i="9"/>
  <c r="AF159" i="9" s="1"/>
  <c r="AF3" i="16"/>
  <c r="AF3" i="12"/>
  <c r="AF3" i="11"/>
  <c r="AF3" i="9"/>
  <c r="AG10" i="3"/>
  <c r="AG4" i="3" s="1"/>
  <c r="AG2" i="44" s="1" a="1"/>
  <c r="AG2" i="44" s="1"/>
  <c r="AF697" i="9" l="1"/>
  <c r="AF704" i="9"/>
  <c r="AF686" i="9"/>
  <c r="AF696" i="9"/>
  <c r="AF695" i="9"/>
  <c r="AF705" i="9"/>
  <c r="AF700" i="9"/>
  <c r="AF688" i="9"/>
  <c r="AF830" i="9" s="1"/>
  <c r="AF698" i="9"/>
  <c r="AF703" i="9"/>
  <c r="AF701" i="9"/>
  <c r="AF691" i="9"/>
  <c r="AF687" i="9"/>
  <c r="AF699" i="9"/>
  <c r="AF690" i="9"/>
  <c r="AF689" i="9"/>
  <c r="AF692" i="9"/>
  <c r="AF693" i="9"/>
  <c r="AF702" i="9"/>
  <c r="AF694" i="9"/>
  <c r="AE207" i="26"/>
  <c r="AE206" i="26"/>
  <c r="AE205" i="26"/>
  <c r="AE178" i="1"/>
  <c r="AF198" i="20" a="1"/>
  <c r="AF198" i="20" s="1"/>
  <c r="AF181" i="20" a="1"/>
  <c r="AF181" i="20" s="1"/>
  <c r="AF172" i="20" a="1"/>
  <c r="AF172" i="20" s="1"/>
  <c r="AF169" i="20" a="1"/>
  <c r="AF169" i="20" s="1"/>
  <c r="AF154" i="20" a="1"/>
  <c r="AF154" i="20" s="1"/>
  <c r="AF150" i="20" a="1"/>
  <c r="AF150" i="20" s="1"/>
  <c r="AF149" i="20" a="1"/>
  <c r="AF149" i="20" s="1"/>
  <c r="AF148" i="20" a="1"/>
  <c r="AF148" i="20" s="1"/>
  <c r="AF146" i="20" a="1"/>
  <c r="AF146" i="20" s="1"/>
  <c r="AF131" i="20" a="1"/>
  <c r="AF131" i="20" s="1"/>
  <c r="AF129" i="20" a="1"/>
  <c r="AF129" i="20" s="1"/>
  <c r="AF128" i="20" a="1"/>
  <c r="AF128" i="20" s="1"/>
  <c r="AF127" i="20" a="1"/>
  <c r="AF127" i="20" s="1"/>
  <c r="AF126" i="20" a="1"/>
  <c r="AF126" i="20" s="1"/>
  <c r="AF144" i="20" a="1"/>
  <c r="AF144" i="20" s="1"/>
  <c r="AF143" i="20" a="1"/>
  <c r="AF143" i="20" s="1"/>
  <c r="AF142" i="20" a="1"/>
  <c r="AF142" i="20" s="1"/>
  <c r="AF141" i="20" a="1"/>
  <c r="AF141" i="20" s="1"/>
  <c r="AF140" i="20" a="1"/>
  <c r="AF140" i="20" s="1"/>
  <c r="AF139" i="20" a="1"/>
  <c r="AF139" i="20" s="1"/>
  <c r="AF138" i="20" a="1"/>
  <c r="AF138" i="20" s="1"/>
  <c r="AF137" i="20" a="1"/>
  <c r="AF137" i="20" s="1"/>
  <c r="AF133" i="20" a="1"/>
  <c r="AF133" i="20" s="1"/>
  <c r="AF132" i="20" a="1"/>
  <c r="AF132" i="20" s="1"/>
  <c r="AF125" i="20" a="1"/>
  <c r="AF125" i="20" s="1"/>
  <c r="AF124" i="20" a="1"/>
  <c r="AF124" i="20" s="1"/>
  <c r="AF123" i="20" a="1"/>
  <c r="AF123" i="20" s="1"/>
  <c r="AF122" i="20" a="1"/>
  <c r="AF122" i="20" s="1"/>
  <c r="AF115" i="20" a="1"/>
  <c r="AF115" i="20" s="1"/>
  <c r="AF117" i="20" s="1"/>
  <c r="AF112" i="20" a="1"/>
  <c r="AF112" i="20" s="1"/>
  <c r="AF111" i="20" a="1"/>
  <c r="AF111" i="20" s="1"/>
  <c r="AF110" i="20" a="1"/>
  <c r="AF110" i="20" s="1"/>
  <c r="AF106" i="20" a="1"/>
  <c r="AF106" i="20" s="1"/>
  <c r="AF145" i="20" a="1"/>
  <c r="AF145" i="20" s="1"/>
  <c r="AF104" i="20" a="1"/>
  <c r="AF104" i="20" s="1"/>
  <c r="AF103" i="20" a="1"/>
  <c r="AF103" i="20" s="1"/>
  <c r="AF102" i="20" a="1"/>
  <c r="AF102" i="20" s="1"/>
  <c r="AF101" i="20" a="1"/>
  <c r="AF101" i="20" s="1"/>
  <c r="AF97" i="20" a="1"/>
  <c r="AF97" i="20" s="1"/>
  <c r="AF96" i="20" a="1"/>
  <c r="AF96" i="20" s="1"/>
  <c r="AF95" i="20" a="1"/>
  <c r="AF95" i="20" s="1"/>
  <c r="AF94" i="20" a="1"/>
  <c r="AF94" i="20" s="1"/>
  <c r="AF93" i="20" a="1"/>
  <c r="AF93" i="20" s="1"/>
  <c r="AF92" i="20" a="1"/>
  <c r="AF92" i="20" s="1"/>
  <c r="AF91" i="20" a="1"/>
  <c r="AF91" i="20" s="1"/>
  <c r="AF90" i="20" a="1"/>
  <c r="AF90" i="20" s="1"/>
  <c r="AF89" i="20" a="1"/>
  <c r="AF89" i="20" s="1"/>
  <c r="AF105" i="20" a="1"/>
  <c r="AF105" i="20" s="1"/>
  <c r="AF88" i="20" a="1"/>
  <c r="AF88" i="20" s="1"/>
  <c r="AF83" i="20" a="1"/>
  <c r="AF83" i="20" s="1"/>
  <c r="AF87" i="20" a="1"/>
  <c r="AF87" i="20" s="1"/>
  <c r="AF82" i="20" a="1"/>
  <c r="AF82" i="20" s="1"/>
  <c r="AF81" i="20" a="1"/>
  <c r="AF81" i="20" s="1"/>
  <c r="AF80" i="20" a="1"/>
  <c r="AF80" i="20" s="1"/>
  <c r="AF79" i="20" a="1"/>
  <c r="AF79" i="20" s="1"/>
  <c r="AF78" i="20" a="1"/>
  <c r="AF78" i="20" s="1"/>
  <c r="AF77" i="20" a="1"/>
  <c r="AF77" i="20" s="1"/>
  <c r="AF76" i="20" a="1"/>
  <c r="AF76" i="20" s="1"/>
  <c r="AF75" i="20" a="1"/>
  <c r="AF75" i="20" s="1"/>
  <c r="AF74" i="20" a="1"/>
  <c r="AF74" i="20" s="1"/>
  <c r="AF73" i="20" a="1"/>
  <c r="AF73" i="20" s="1"/>
  <c r="AF72" i="20" a="1"/>
  <c r="AF72" i="20" s="1"/>
  <c r="AF71" i="20" a="1"/>
  <c r="AF71" i="20" s="1"/>
  <c r="AF68" i="20" a="1"/>
  <c r="AF68" i="20" s="1"/>
  <c r="AF66" i="20" a="1"/>
  <c r="AF66" i="20" s="1"/>
  <c r="AF65" i="20" a="1"/>
  <c r="AF65" i="20" s="1"/>
  <c r="AF64" i="20" a="1"/>
  <c r="AF64" i="20" s="1"/>
  <c r="AF61" i="20" a="1"/>
  <c r="AF61" i="20" s="1"/>
  <c r="AF59" i="20" a="1"/>
  <c r="AF59" i="20" s="1"/>
  <c r="AF58" i="20" a="1"/>
  <c r="AF58" i="20" s="1"/>
  <c r="AF57" i="20" a="1"/>
  <c r="AF57" i="20" s="1"/>
  <c r="AF56" i="20" a="1"/>
  <c r="AF56" i="20" s="1"/>
  <c r="AF55" i="20" a="1"/>
  <c r="AF55" i="20" s="1"/>
  <c r="AF54" i="20" a="1"/>
  <c r="AF54" i="20" s="1"/>
  <c r="AF53" i="20" a="1"/>
  <c r="AF53" i="20" s="1"/>
  <c r="AF50" i="20" a="1"/>
  <c r="AF50" i="20" s="1"/>
  <c r="AF48" i="20" a="1"/>
  <c r="AF48" i="20" s="1"/>
  <c r="AF47" i="20" a="1"/>
  <c r="AF47" i="20" s="1"/>
  <c r="AF46" i="20" a="1"/>
  <c r="AF46" i="20" s="1"/>
  <c r="AF45" i="20" a="1"/>
  <c r="AF45" i="20" s="1"/>
  <c r="AF44" i="20" a="1"/>
  <c r="AF44" i="20" s="1"/>
  <c r="AF43" i="20" a="1"/>
  <c r="AF43" i="20" s="1"/>
  <c r="AF42" i="20" a="1"/>
  <c r="AF42" i="20" s="1"/>
  <c r="AF41" i="20" a="1"/>
  <c r="AF41" i="20" s="1"/>
  <c r="AF38" i="20" a="1"/>
  <c r="AF38" i="20" s="1"/>
  <c r="AF35" i="20" a="1"/>
  <c r="AF35" i="20" s="1"/>
  <c r="AF34" i="20" a="1"/>
  <c r="AF34" i="20" s="1"/>
  <c r="AF33" i="20" a="1"/>
  <c r="AF33" i="20" s="1"/>
  <c r="AF36" i="20" a="1"/>
  <c r="AF36" i="20" s="1"/>
  <c r="AF32" i="20" a="1"/>
  <c r="AF32" i="20" s="1"/>
  <c r="AF29" i="20" a="1"/>
  <c r="AF29" i="20" s="1"/>
  <c r="AF24" i="20" a="1"/>
  <c r="AF24" i="20" s="1"/>
  <c r="AF20" i="20" a="1"/>
  <c r="AF20" i="20" s="1"/>
  <c r="AF14" i="20" a="1"/>
  <c r="AF14" i="20" s="1"/>
  <c r="AF13" i="20" a="1"/>
  <c r="AF13" i="20" s="1"/>
  <c r="AF25" i="20" a="1"/>
  <c r="AF25" i="20" s="1"/>
  <c r="AF27" i="20" a="1"/>
  <c r="AF27" i="20" s="1"/>
  <c r="AF23" i="20" a="1"/>
  <c r="AF23" i="20" s="1"/>
  <c r="AF19" i="20" a="1"/>
  <c r="AF19" i="20" s="1"/>
  <c r="AF26" i="20" a="1"/>
  <c r="AF26" i="20" s="1"/>
  <c r="AF22" i="20" a="1"/>
  <c r="AF22" i="20" s="1"/>
  <c r="AF16" i="20" a="1"/>
  <c r="AF16" i="20" s="1"/>
  <c r="AF12" i="20" a="1"/>
  <c r="AF12" i="20" s="1"/>
  <c r="AF21" i="20" a="1"/>
  <c r="AF21" i="20" s="1"/>
  <c r="AF11" i="20" a="1"/>
  <c r="AF11" i="20" s="1"/>
  <c r="AD50" i="30"/>
  <c r="AF83" i="9"/>
  <c r="AF425" i="9"/>
  <c r="AF140" i="9"/>
  <c r="AF292" i="9"/>
  <c r="AF311" i="9"/>
  <c r="AF64" i="9"/>
  <c r="AF178" i="9"/>
  <c r="AF197" i="9"/>
  <c r="AF330" i="9"/>
  <c r="AF349" i="9"/>
  <c r="AF102" i="9"/>
  <c r="AF121" i="9"/>
  <c r="AF254" i="9"/>
  <c r="AF273" i="9"/>
  <c r="AF368" i="9"/>
  <c r="AF387" i="9"/>
  <c r="AF406" i="9"/>
  <c r="AF216" i="9"/>
  <c r="AF235" i="9"/>
  <c r="AF58" i="26"/>
  <c r="AF192" i="26"/>
  <c r="AF184" i="26"/>
  <c r="AF186" i="26"/>
  <c r="AF190" i="26"/>
  <c r="AF180" i="26"/>
  <c r="AF194" i="26" s="1"/>
  <c r="AF295" i="26" s="1"/>
  <c r="AF188" i="26"/>
  <c r="AF189" i="26"/>
  <c r="AF182" i="26"/>
  <c r="AF196" i="26" s="1"/>
  <c r="AF297" i="26" s="1"/>
  <c r="AF191" i="26"/>
  <c r="AF183" i="26"/>
  <c r="AF185" i="26"/>
  <c r="AF178" i="26"/>
  <c r="AF187" i="26"/>
  <c r="AF179" i="26"/>
  <c r="AF181" i="26"/>
  <c r="AF195" i="26" s="1"/>
  <c r="AF296" i="26" s="1"/>
  <c r="AE257" i="26"/>
  <c r="AE71" i="26"/>
  <c r="AD114" i="6"/>
  <c r="AD116" i="30" s="1"/>
  <c r="BS3" i="38"/>
  <c r="BS3" i="33"/>
  <c r="BS3" i="28"/>
  <c r="BS3" i="22"/>
  <c r="BS3" i="16"/>
  <c r="BS3" i="20"/>
  <c r="BS3" i="35"/>
  <c r="BS3" i="32"/>
  <c r="BS3" i="26"/>
  <c r="BS3" i="12"/>
  <c r="BS3" i="30"/>
  <c r="BS3" i="9"/>
  <c r="BS3" i="11"/>
  <c r="BT10" i="3"/>
  <c r="BT4" i="3" s="1"/>
  <c r="BT2" i="44" s="1" a="1"/>
  <c r="BT2" i="44" s="1"/>
  <c r="AD130" i="30"/>
  <c r="AF220" i="3"/>
  <c r="AF721" i="9" s="1"/>
  <c r="AG43" i="3"/>
  <c r="AG4" i="38"/>
  <c r="AE150" i="26"/>
  <c r="AE180" i="30" s="1"/>
  <c r="AF110" i="26"/>
  <c r="AF135" i="26"/>
  <c r="AE97" i="26"/>
  <c r="AF79" i="26"/>
  <c r="AF95" i="26" s="1"/>
  <c r="AF180" i="1" s="1"/>
  <c r="AD48" i="30"/>
  <c r="AE198" i="26"/>
  <c r="AD281" i="26"/>
  <c r="AF141" i="26"/>
  <c r="AF83" i="26"/>
  <c r="AE299" i="26"/>
  <c r="AE106" i="6"/>
  <c r="AF154" i="26"/>
  <c r="AF160" i="26"/>
  <c r="AF168" i="26"/>
  <c r="AF159" i="26"/>
  <c r="AF156" i="26"/>
  <c r="AF170" i="26" s="1"/>
  <c r="AF222" i="26" s="1"/>
  <c r="AF161" i="26"/>
  <c r="AF167" i="26"/>
  <c r="AF158" i="26"/>
  <c r="AF172" i="26" s="1"/>
  <c r="AF236" i="26" s="1"/>
  <c r="AF155" i="26"/>
  <c r="AF173" i="26" s="1"/>
  <c r="AF268" i="26" s="1"/>
  <c r="AF162" i="26"/>
  <c r="AF157" i="26"/>
  <c r="AF171" i="26" s="1"/>
  <c r="AF249" i="26" s="1"/>
  <c r="AF163" i="26"/>
  <c r="AF164" i="26"/>
  <c r="AF166" i="26"/>
  <c r="AF165" i="26"/>
  <c r="AE174" i="26"/>
  <c r="AE208" i="26"/>
  <c r="AF90" i="26"/>
  <c r="AF54" i="26"/>
  <c r="AF131" i="26"/>
  <c r="AF114" i="26"/>
  <c r="AF136" i="26"/>
  <c r="AE123" i="26"/>
  <c r="AF85" i="26"/>
  <c r="AF60" i="26"/>
  <c r="AF107" i="26"/>
  <c r="AF111" i="26"/>
  <c r="AF134" i="26"/>
  <c r="AF148" i="26" s="1"/>
  <c r="AF88" i="26"/>
  <c r="AF81" i="26"/>
  <c r="AF55" i="26"/>
  <c r="AF61" i="26"/>
  <c r="AF138" i="26"/>
  <c r="AF109" i="26"/>
  <c r="AF132" i="26"/>
  <c r="AF146" i="26" s="1"/>
  <c r="AI1085" i="9"/>
  <c r="AI88" i="35" s="1"/>
  <c r="AD168" i="20"/>
  <c r="AF92" i="26"/>
  <c r="AF56" i="26"/>
  <c r="AF53" i="26"/>
  <c r="AF70" i="26" s="1"/>
  <c r="AF233" i="26" s="1"/>
  <c r="AF112" i="26"/>
  <c r="AF235" i="26" s="1"/>
  <c r="AF142" i="26"/>
  <c r="AF105" i="26"/>
  <c r="AF133" i="26"/>
  <c r="AF147" i="26" s="1"/>
  <c r="AE289" i="3"/>
  <c r="AE283" i="3"/>
  <c r="AE291" i="3"/>
  <c r="AE295" i="3"/>
  <c r="AE280" i="3"/>
  <c r="AE285" i="3"/>
  <c r="AE284" i="3"/>
  <c r="AE288" i="3"/>
  <c r="AE293" i="3"/>
  <c r="AE286" i="3"/>
  <c r="AE294" i="3"/>
  <c r="AE292" i="3"/>
  <c r="AE290" i="3"/>
  <c r="AE279" i="3"/>
  <c r="AE281" i="3"/>
  <c r="AE296" i="3"/>
  <c r="AE278" i="3"/>
  <c r="AE282" i="3"/>
  <c r="AE287" i="3"/>
  <c r="AJ437" i="9"/>
  <c r="AF256" i="3"/>
  <c r="AF210" i="3"/>
  <c r="AF711" i="9" s="1"/>
  <c r="AF272" i="3"/>
  <c r="AF226" i="3"/>
  <c r="AF727" i="9" s="1"/>
  <c r="AF261" i="3"/>
  <c r="AF215" i="3"/>
  <c r="AF716" i="9" s="1"/>
  <c r="AF209" i="3"/>
  <c r="AF710" i="9" s="1"/>
  <c r="AF255" i="3"/>
  <c r="AJ432" i="9"/>
  <c r="AJ446" i="9"/>
  <c r="AF268" i="3"/>
  <c r="AF222" i="3"/>
  <c r="AF723" i="9" s="1"/>
  <c r="AF257" i="3"/>
  <c r="AF211" i="3"/>
  <c r="AF712" i="9" s="1"/>
  <c r="AF262" i="3"/>
  <c r="AF216" i="3"/>
  <c r="AF717" i="9" s="1"/>
  <c r="AF273" i="3"/>
  <c r="AF227" i="3"/>
  <c r="AF728" i="9" s="1"/>
  <c r="AF269" i="3"/>
  <c r="AF223" i="3"/>
  <c r="AF724" i="9" s="1"/>
  <c r="AJ448" i="9"/>
  <c r="AJ439" i="9"/>
  <c r="AJ442" i="9"/>
  <c r="AF270" i="3"/>
  <c r="AF224" i="3"/>
  <c r="AF725" i="9" s="1"/>
  <c r="AF259" i="3"/>
  <c r="AF213" i="3"/>
  <c r="AF714" i="9" s="1"/>
  <c r="AF264" i="3"/>
  <c r="AF218" i="3"/>
  <c r="AF719" i="9" s="1"/>
  <c r="AF208" i="3"/>
  <c r="AF709" i="9" s="1"/>
  <c r="AF254" i="3"/>
  <c r="AJ441" i="9"/>
  <c r="AJ444" i="9"/>
  <c r="AF260" i="3"/>
  <c r="AF214" i="3"/>
  <c r="AF715" i="9" s="1"/>
  <c r="AF263" i="3"/>
  <c r="AF217" i="3"/>
  <c r="AF718" i="9" s="1"/>
  <c r="AF267" i="3"/>
  <c r="AF221" i="3"/>
  <c r="AF722" i="9" s="1"/>
  <c r="AF265" i="3"/>
  <c r="AF219" i="3"/>
  <c r="AF720" i="9" s="1"/>
  <c r="AF78" i="26"/>
  <c r="AF94" i="26" s="1"/>
  <c r="AF220" i="26" s="1"/>
  <c r="AF91" i="26"/>
  <c r="AF89" i="26"/>
  <c r="AF87" i="26"/>
  <c r="AF66" i="26"/>
  <c r="AF59" i="26"/>
  <c r="AF57" i="26"/>
  <c r="AF67" i="26"/>
  <c r="AF108" i="26"/>
  <c r="AF140" i="26"/>
  <c r="AF130" i="26"/>
  <c r="AF144" i="26"/>
  <c r="AF137" i="26"/>
  <c r="AF116" i="26"/>
  <c r="AF117" i="26"/>
  <c r="AF82" i="26"/>
  <c r="AF80" i="26"/>
  <c r="AF86" i="26"/>
  <c r="AF234" i="26" s="1"/>
  <c r="AF84" i="26"/>
  <c r="AF62" i="26"/>
  <c r="AF65" i="26"/>
  <c r="AF64" i="26"/>
  <c r="AF63" i="26"/>
  <c r="AF104" i="26"/>
  <c r="AF120" i="26" s="1"/>
  <c r="AF221" i="26" s="1"/>
  <c r="AF113" i="26"/>
  <c r="AF118" i="26"/>
  <c r="AF143" i="26"/>
  <c r="AF139" i="26"/>
  <c r="AF106" i="26"/>
  <c r="AF115" i="26"/>
  <c r="AJ505" i="9"/>
  <c r="AJ514" i="9"/>
  <c r="AJ509" i="9"/>
  <c r="AJ507" i="9"/>
  <c r="AJ502" i="9"/>
  <c r="AJ512" i="9"/>
  <c r="AJ519" i="9"/>
  <c r="AJ516" i="9"/>
  <c r="AJ149" i="9"/>
  <c r="AK143" i="9" s="1"/>
  <c r="AK147" i="9" s="1"/>
  <c r="AG146" i="3"/>
  <c r="AG169" i="3" s="1"/>
  <c r="AG144" i="3"/>
  <c r="AG167" i="3" s="1"/>
  <c r="AG190" i="3" s="1"/>
  <c r="AG145" i="3"/>
  <c r="AG168" i="3" s="1"/>
  <c r="AG152" i="3"/>
  <c r="AG175" i="3" s="1"/>
  <c r="AG198" i="3" s="1"/>
  <c r="AG158" i="3"/>
  <c r="AG140" i="3"/>
  <c r="AG150" i="3"/>
  <c r="AG147" i="3"/>
  <c r="AG170" i="3" s="1"/>
  <c r="AG151" i="3"/>
  <c r="AG142" i="3"/>
  <c r="AG165" i="3" s="1"/>
  <c r="AG157" i="3"/>
  <c r="AG180" i="3" s="1"/>
  <c r="AG148" i="3"/>
  <c r="AG171" i="3" s="1"/>
  <c r="AG139" i="3"/>
  <c r="AG149" i="3"/>
  <c r="AG156" i="3"/>
  <c r="AG141" i="3"/>
  <c r="AG164" i="3" s="1"/>
  <c r="AG143" i="3"/>
  <c r="AG154" i="3"/>
  <c r="AG155" i="3"/>
  <c r="AG178" i="3" s="1"/>
  <c r="AG153" i="3"/>
  <c r="AG176" i="3" s="1"/>
  <c r="AJ997" i="9"/>
  <c r="AJ1002" i="9"/>
  <c r="AJ415" i="9"/>
  <c r="AK409" i="9" s="1"/>
  <c r="AK413" i="9" s="1"/>
  <c r="AJ1009" i="9"/>
  <c r="AJ449" i="9"/>
  <c r="AJ995" i="9"/>
  <c r="AJ435" i="9"/>
  <c r="AJ1006" i="9"/>
  <c r="AJ1004" i="9"/>
  <c r="AJ1001" i="9"/>
  <c r="AJ1008" i="9"/>
  <c r="AJ999" i="9"/>
  <c r="AJ105" i="9"/>
  <c r="AJ109" i="9" s="1"/>
  <c r="AJ992" i="9"/>
  <c r="AJ282" i="9"/>
  <c r="AK276" i="9" s="1"/>
  <c r="AK280" i="9" s="1"/>
  <c r="AF726" i="9"/>
  <c r="AF713" i="9"/>
  <c r="AJ92" i="9"/>
  <c r="AK86" i="9" s="1"/>
  <c r="AK90" i="9" s="1"/>
  <c r="AE277" i="3"/>
  <c r="AJ225" i="9"/>
  <c r="AK219" i="9" s="1"/>
  <c r="AK223" i="9" s="1"/>
  <c r="AK352" i="9"/>
  <c r="AK356" i="9" s="1"/>
  <c r="AJ358" i="9"/>
  <c r="AF84" i="3"/>
  <c r="AE130" i="3"/>
  <c r="AF75" i="3"/>
  <c r="AE121" i="3"/>
  <c r="AE783" i="9" s="1"/>
  <c r="AF74" i="3"/>
  <c r="AE120" i="3"/>
  <c r="AF87" i="3"/>
  <c r="AE133" i="3"/>
  <c r="AF72" i="3"/>
  <c r="AE118" i="3"/>
  <c r="AF76" i="3"/>
  <c r="AE122" i="3"/>
  <c r="AF89" i="3"/>
  <c r="AE135" i="3"/>
  <c r="AF79" i="3"/>
  <c r="AE125" i="3"/>
  <c r="AE787" i="9" s="1"/>
  <c r="AE810" i="9" s="1"/>
  <c r="AF764" i="9" s="1"/>
  <c r="AF85" i="3"/>
  <c r="AE131" i="3"/>
  <c r="AE793" i="9" s="1"/>
  <c r="AF78" i="3"/>
  <c r="AE124" i="3"/>
  <c r="AF70" i="3"/>
  <c r="AE116" i="3"/>
  <c r="AE778" i="9" s="1"/>
  <c r="AE801" i="9" s="1"/>
  <c r="AF755" i="9" s="1"/>
  <c r="AF82" i="3"/>
  <c r="AE128" i="3"/>
  <c r="AF73" i="3"/>
  <c r="AE119" i="3"/>
  <c r="AE781" i="9" s="1"/>
  <c r="AF83" i="3"/>
  <c r="AE129" i="3"/>
  <c r="AE791" i="9" s="1"/>
  <c r="AF86" i="3"/>
  <c r="AE132" i="3"/>
  <c r="AF80" i="3"/>
  <c r="AE126" i="3"/>
  <c r="AF81" i="3"/>
  <c r="AE127" i="3"/>
  <c r="AF71" i="3"/>
  <c r="AE117" i="3"/>
  <c r="AE779" i="9" s="1"/>
  <c r="AF88" i="3"/>
  <c r="AE134" i="3"/>
  <c r="AE796" i="9" s="1"/>
  <c r="AF77" i="3"/>
  <c r="AE123" i="3"/>
  <c r="AJ320" i="9"/>
  <c r="AK314" i="9" s="1"/>
  <c r="AK318" i="9" s="1"/>
  <c r="AJ187" i="9"/>
  <c r="AK181" i="9" s="1"/>
  <c r="AK185" i="9" s="1"/>
  <c r="AE179" i="20"/>
  <c r="AG24" i="3"/>
  <c r="AG5" i="3"/>
  <c r="AF219" i="26"/>
  <c r="AF121" i="26"/>
  <c r="AF248" i="26" s="1"/>
  <c r="AG12" i="3"/>
  <c r="AG3" i="3" s="1"/>
  <c r="AG30" i="3" s="1"/>
  <c r="AF98" i="3"/>
  <c r="AF97" i="3"/>
  <c r="AF110" i="3"/>
  <c r="AF95" i="3"/>
  <c r="AF99" i="3"/>
  <c r="AF108" i="3"/>
  <c r="AF96" i="3"/>
  <c r="AF106" i="3"/>
  <c r="AF101" i="3"/>
  <c r="AF109" i="3"/>
  <c r="AF103" i="3"/>
  <c r="AF104" i="3"/>
  <c r="AF94" i="3"/>
  <c r="AF111" i="3"/>
  <c r="AF100" i="3"/>
  <c r="AH8" i="3"/>
  <c r="AF93" i="3"/>
  <c r="AF112" i="3"/>
  <c r="AF105" i="3"/>
  <c r="AF107" i="3"/>
  <c r="AF102" i="3"/>
  <c r="AE259" i="26" l="1"/>
  <c r="AE261" i="26" s="1"/>
  <c r="AE267" i="26"/>
  <c r="AE221" i="6"/>
  <c r="AE223" i="6" s="1"/>
  <c r="AF220" i="6" s="1"/>
  <c r="AF24" i="32"/>
  <c r="AF153" i="30"/>
  <c r="AG3" i="38"/>
  <c r="AG39" i="3"/>
  <c r="AE183" i="1"/>
  <c r="AG347" i="3"/>
  <c r="AG346" i="3"/>
  <c r="AE869" i="9"/>
  <c r="AE819" i="9"/>
  <c r="AF773" i="9" s="1"/>
  <c r="AE866" i="9"/>
  <c r="AE816" i="9"/>
  <c r="AF770" i="9" s="1"/>
  <c r="AF829" i="9"/>
  <c r="AF837" i="9"/>
  <c r="AF836" i="9"/>
  <c r="AF847" i="9"/>
  <c r="AF838" i="9"/>
  <c r="AF839" i="9"/>
  <c r="AF844" i="9"/>
  <c r="AE852" i="9"/>
  <c r="AE802" i="9"/>
  <c r="AF756" i="9" s="1"/>
  <c r="AE856" i="9"/>
  <c r="AE806" i="9"/>
  <c r="AF760" i="9" s="1"/>
  <c r="AF834" i="9"/>
  <c r="AF842" i="9"/>
  <c r="AE854" i="9"/>
  <c r="AE804" i="9"/>
  <c r="AF758" i="9" s="1"/>
  <c r="AF841" i="9"/>
  <c r="AF843" i="9"/>
  <c r="AE864" i="9"/>
  <c r="AE814" i="9"/>
  <c r="AF768" i="9" s="1"/>
  <c r="AF846" i="9"/>
  <c r="AF832" i="9"/>
  <c r="AF833" i="9"/>
  <c r="AF831" i="9"/>
  <c r="AF68" i="26"/>
  <c r="AF247" i="26"/>
  <c r="AE180" i="20"/>
  <c r="BU8" i="3"/>
  <c r="BT5" i="3"/>
  <c r="BT12" i="3"/>
  <c r="BT3" i="3" s="1"/>
  <c r="BT24" i="3"/>
  <c r="AF197" i="26"/>
  <c r="AF298" i="26" s="1"/>
  <c r="AF145" i="26"/>
  <c r="AF93" i="26"/>
  <c r="AG5" i="38"/>
  <c r="AG55" i="3"/>
  <c r="AG63" i="3"/>
  <c r="AG52" i="3"/>
  <c r="AG60" i="3"/>
  <c r="AG51" i="3"/>
  <c r="AG48" i="3"/>
  <c r="AG56" i="3"/>
  <c r="AG64" i="3"/>
  <c r="AG57" i="3"/>
  <c r="AG65" i="3"/>
  <c r="AG49" i="3"/>
  <c r="AG61" i="3"/>
  <c r="AG50" i="3"/>
  <c r="AG58" i="3"/>
  <c r="AG62" i="3"/>
  <c r="AG54" i="3"/>
  <c r="AG47" i="3"/>
  <c r="AG53" i="3"/>
  <c r="AG59" i="3"/>
  <c r="AG66" i="3"/>
  <c r="AF149" i="26"/>
  <c r="AF193" i="26"/>
  <c r="AE276" i="26"/>
  <c r="AD154" i="6"/>
  <c r="AD98" i="30" s="1"/>
  <c r="AD187" i="30" s="1"/>
  <c r="AE111" i="6"/>
  <c r="AE851" i="9"/>
  <c r="AF169" i="26"/>
  <c r="AI94" i="6"/>
  <c r="AE72" i="33"/>
  <c r="AG3" i="33"/>
  <c r="AG3" i="35"/>
  <c r="AG5" i="33"/>
  <c r="AG5" i="35"/>
  <c r="AG4" i="33"/>
  <c r="AG4" i="35"/>
  <c r="AK447" i="9"/>
  <c r="AK438" i="9"/>
  <c r="AK440" i="9"/>
  <c r="AG267" i="3"/>
  <c r="AG221" i="3"/>
  <c r="AK445" i="9"/>
  <c r="AK450" i="9"/>
  <c r="AK436" i="9"/>
  <c r="AJ434" i="9"/>
  <c r="AK433" i="9"/>
  <c r="AK443" i="9"/>
  <c r="AG259" i="3"/>
  <c r="AG213" i="3"/>
  <c r="AF828" i="9"/>
  <c r="AF119" i="26"/>
  <c r="AJ508" i="9"/>
  <c r="AJ518" i="9"/>
  <c r="AJ517" i="9"/>
  <c r="AJ501" i="9"/>
  <c r="AJ504" i="9"/>
  <c r="AJ511" i="9"/>
  <c r="AJ513" i="9"/>
  <c r="AJ506" i="9"/>
  <c r="AK996" i="9"/>
  <c r="AG193" i="3"/>
  <c r="AG16" i="3"/>
  <c r="AG18" i="3" s="1"/>
  <c r="AG4" i="32"/>
  <c r="AG4" i="30"/>
  <c r="AG179" i="3"/>
  <c r="AG202" i="3" s="1"/>
  <c r="AG163" i="3"/>
  <c r="AG186" i="3" s="1"/>
  <c r="AG181" i="3"/>
  <c r="AG204" i="3" s="1"/>
  <c r="AG5" i="32"/>
  <c r="AG5" i="30"/>
  <c r="AG172" i="3"/>
  <c r="AG195" i="3" s="1"/>
  <c r="AG203" i="3"/>
  <c r="AG174" i="3"/>
  <c r="AG197" i="3" s="1"/>
  <c r="AG192" i="3"/>
  <c r="AG3" i="28"/>
  <c r="AG3" i="32"/>
  <c r="AG3" i="30"/>
  <c r="AG177" i="3"/>
  <c r="AG200" i="3" s="1"/>
  <c r="AG188" i="3"/>
  <c r="AG201" i="3"/>
  <c r="AG194" i="3"/>
  <c r="AG187" i="3"/>
  <c r="AG166" i="3"/>
  <c r="AG189" i="3" s="1"/>
  <c r="AG173" i="3"/>
  <c r="AG196" i="3" s="1"/>
  <c r="AG199" i="3"/>
  <c r="AG191" i="3"/>
  <c r="AJ168" i="9"/>
  <c r="AJ263" i="9"/>
  <c r="AK1010" i="9"/>
  <c r="AJ396" i="9"/>
  <c r="AJ301" i="9"/>
  <c r="AJ339" i="9"/>
  <c r="AJ515" i="9"/>
  <c r="AJ130" i="9"/>
  <c r="AJ244" i="9"/>
  <c r="AJ510" i="9"/>
  <c r="AJ206" i="9"/>
  <c r="AJ377" i="9"/>
  <c r="AK200" i="9"/>
  <c r="AK204" i="9" s="1"/>
  <c r="AK390" i="9"/>
  <c r="AK394" i="9" s="1"/>
  <c r="AK333" i="9"/>
  <c r="AK337" i="9" s="1"/>
  <c r="AJ994" i="9"/>
  <c r="AK257" i="9"/>
  <c r="AK261" i="9" s="1"/>
  <c r="AJ73" i="9"/>
  <c r="AK371" i="9"/>
  <c r="AK375" i="9" s="1"/>
  <c r="AK162" i="9"/>
  <c r="AK166" i="9" s="1"/>
  <c r="AK295" i="9"/>
  <c r="AK299" i="9" s="1"/>
  <c r="AK124" i="9"/>
  <c r="AK128" i="9" s="1"/>
  <c r="AK238" i="9"/>
  <c r="AK242" i="9" s="1"/>
  <c r="AK993" i="9"/>
  <c r="AK1003" i="9"/>
  <c r="AK1000" i="9"/>
  <c r="AK1007" i="9"/>
  <c r="AF245" i="3"/>
  <c r="AF746" i="9" s="1"/>
  <c r="AF250" i="3"/>
  <c r="AF751" i="9" s="1"/>
  <c r="AF232" i="3"/>
  <c r="AF733" i="9" s="1"/>
  <c r="AF239" i="3"/>
  <c r="AF740" i="9" s="1"/>
  <c r="AF233" i="3"/>
  <c r="AF734" i="9" s="1"/>
  <c r="AF238" i="3"/>
  <c r="AF739" i="9" s="1"/>
  <c r="AF231" i="3"/>
  <c r="AF732" i="9" s="1"/>
  <c r="AF242" i="3"/>
  <c r="AF743" i="9" s="1"/>
  <c r="AF244" i="3"/>
  <c r="AF745" i="9" s="1"/>
  <c r="AF248" i="3"/>
  <c r="AF749" i="9" s="1"/>
  <c r="AF240" i="3"/>
  <c r="AF741" i="9" s="1"/>
  <c r="AF234" i="3"/>
  <c r="AF735" i="9" s="1"/>
  <c r="AF241" i="3"/>
  <c r="AF742" i="9" s="1"/>
  <c r="AF246" i="3"/>
  <c r="AF747" i="9" s="1"/>
  <c r="AF235" i="3"/>
  <c r="AF736" i="9" s="1"/>
  <c r="AF243" i="3"/>
  <c r="AF744" i="9" s="1"/>
  <c r="AF249" i="3"/>
  <c r="AF750" i="9" s="1"/>
  <c r="AF247" i="3"/>
  <c r="AF748" i="9" s="1"/>
  <c r="AF237" i="3"/>
  <c r="AF738" i="9" s="1"/>
  <c r="AF236" i="3"/>
  <c r="AF737" i="9" s="1"/>
  <c r="AG4" i="28"/>
  <c r="AG5" i="28"/>
  <c r="AK1005" i="9"/>
  <c r="AK998" i="9"/>
  <c r="AE168" i="20"/>
  <c r="AE178" i="20"/>
  <c r="AG5" i="26"/>
  <c r="AF179" i="1"/>
  <c r="AG3" i="26"/>
  <c r="AG4" i="11"/>
  <c r="AG4" i="26"/>
  <c r="AG4" i="12"/>
  <c r="AG4" i="9"/>
  <c r="AG4" i="16"/>
  <c r="AG5" i="20"/>
  <c r="AG5" i="22"/>
  <c r="AG4" i="22"/>
  <c r="AG4" i="20"/>
  <c r="AG3" i="22"/>
  <c r="AG3" i="20"/>
  <c r="AG5" i="16"/>
  <c r="AG5" i="12"/>
  <c r="AG162" i="3"/>
  <c r="AG185" i="3" s="1"/>
  <c r="AG5" i="11"/>
  <c r="AG5" i="9"/>
  <c r="AH10" i="3"/>
  <c r="AH4" i="3" s="1"/>
  <c r="AH2" i="44" s="1" a="1"/>
  <c r="AH2" i="44" s="1"/>
  <c r="AG3" i="16"/>
  <c r="AG3" i="12"/>
  <c r="AG3" i="11"/>
  <c r="AG3" i="9"/>
  <c r="AD64" i="33" l="1"/>
  <c r="AD74" i="33"/>
  <c r="AG692" i="9"/>
  <c r="AG697" i="9"/>
  <c r="AG704" i="9"/>
  <c r="AG687" i="9"/>
  <c r="AG702" i="9"/>
  <c r="AG686" i="9"/>
  <c r="AG689" i="9"/>
  <c r="AG696" i="9"/>
  <c r="AG690" i="9"/>
  <c r="AG694" i="9"/>
  <c r="AG705" i="9"/>
  <c r="AG693" i="9"/>
  <c r="AG700" i="9"/>
  <c r="AG703" i="9"/>
  <c r="AG699" i="9"/>
  <c r="AG698" i="9"/>
  <c r="AG701" i="9"/>
  <c r="AG688" i="9"/>
  <c r="AG695" i="9"/>
  <c r="AG691" i="9"/>
  <c r="AF71" i="26"/>
  <c r="AF97" i="26"/>
  <c r="AG198" i="20" a="1"/>
  <c r="AG198" i="20" s="1"/>
  <c r="AG148" i="20" a="1"/>
  <c r="AG148" i="20" s="1"/>
  <c r="AG169" i="20" a="1"/>
  <c r="AG169" i="20" s="1"/>
  <c r="AG149" i="20" a="1"/>
  <c r="AG149" i="20" s="1"/>
  <c r="AG154" i="20" a="1"/>
  <c r="AG154" i="20" s="1"/>
  <c r="AG144" i="20" a="1"/>
  <c r="AG144" i="20" s="1"/>
  <c r="AG143" i="20" a="1"/>
  <c r="AG143" i="20" s="1"/>
  <c r="AG142" i="20" a="1"/>
  <c r="AG142" i="20" s="1"/>
  <c r="AG141" i="20" a="1"/>
  <c r="AG141" i="20" s="1"/>
  <c r="AG140" i="20" a="1"/>
  <c r="AG140" i="20" s="1"/>
  <c r="AG139" i="20" a="1"/>
  <c r="AG139" i="20" s="1"/>
  <c r="AG138" i="20" a="1"/>
  <c r="AG138" i="20" s="1"/>
  <c r="AG137" i="20" a="1"/>
  <c r="AG137" i="20" s="1"/>
  <c r="AG133" i="20" a="1"/>
  <c r="AG133" i="20" s="1"/>
  <c r="AG132" i="20" a="1"/>
  <c r="AG132" i="20" s="1"/>
  <c r="AG150" i="20" a="1"/>
  <c r="AG150" i="20" s="1"/>
  <c r="AG145" i="20" a="1"/>
  <c r="AG145" i="20" s="1"/>
  <c r="AG172" i="20" a="1"/>
  <c r="AG172" i="20" s="1"/>
  <c r="AG146" i="20" a="1"/>
  <c r="AG146" i="20" s="1"/>
  <c r="AG129" i="20" a="1"/>
  <c r="AG129" i="20" s="1"/>
  <c r="AG127" i="20" a="1"/>
  <c r="AG127" i="20" s="1"/>
  <c r="AG181" i="20" a="1"/>
  <c r="AG181" i="20" s="1"/>
  <c r="AG124" i="20" a="1"/>
  <c r="AG124" i="20" s="1"/>
  <c r="AG122" i="20" a="1"/>
  <c r="AG122" i="20" s="1"/>
  <c r="AG112" i="20" a="1"/>
  <c r="AG112" i="20" s="1"/>
  <c r="AG110" i="20" a="1"/>
  <c r="AG110" i="20" s="1"/>
  <c r="AG131" i="20" a="1"/>
  <c r="AG131" i="20" s="1"/>
  <c r="AG126" i="20" a="1"/>
  <c r="AG126" i="20" s="1"/>
  <c r="AG125" i="20" a="1"/>
  <c r="AG125" i="20" s="1"/>
  <c r="AG123" i="20" a="1"/>
  <c r="AG123" i="20" s="1"/>
  <c r="AG115" i="20" a="1"/>
  <c r="AG115" i="20" s="1"/>
  <c r="AG117" i="20" s="1"/>
  <c r="AG111" i="20" a="1"/>
  <c r="AG111" i="20" s="1"/>
  <c r="AG106" i="20" a="1"/>
  <c r="AG106" i="20" s="1"/>
  <c r="AG105" i="20" a="1"/>
  <c r="AG105" i="20" s="1"/>
  <c r="AG128" i="20" a="1"/>
  <c r="AG128" i="20" s="1"/>
  <c r="AG104" i="20" a="1"/>
  <c r="AG104" i="20" s="1"/>
  <c r="AG103" i="20" a="1"/>
  <c r="AG103" i="20" s="1"/>
  <c r="AG102" i="20" a="1"/>
  <c r="AG102" i="20" s="1"/>
  <c r="AG101" i="20" a="1"/>
  <c r="AG101" i="20" s="1"/>
  <c r="AG97" i="20" a="1"/>
  <c r="AG97" i="20" s="1"/>
  <c r="AG96" i="20" a="1"/>
  <c r="AG96" i="20" s="1"/>
  <c r="AG95" i="20" a="1"/>
  <c r="AG95" i="20" s="1"/>
  <c r="AG94" i="20" a="1"/>
  <c r="AG94" i="20" s="1"/>
  <c r="AG93" i="20" a="1"/>
  <c r="AG93" i="20" s="1"/>
  <c r="AG92" i="20" a="1"/>
  <c r="AG92" i="20" s="1"/>
  <c r="AG91" i="20" a="1"/>
  <c r="AG91" i="20" s="1"/>
  <c r="AG90" i="20" a="1"/>
  <c r="AG90" i="20" s="1"/>
  <c r="AG89" i="20" a="1"/>
  <c r="AG89" i="20" s="1"/>
  <c r="AG88" i="20" a="1"/>
  <c r="AG88" i="20" s="1"/>
  <c r="AG87" i="20" a="1"/>
  <c r="AG87" i="20" s="1"/>
  <c r="AG83" i="20" a="1"/>
  <c r="AG83" i="20" s="1"/>
  <c r="AG82" i="20" a="1"/>
  <c r="AG82" i="20" s="1"/>
  <c r="AG81" i="20" a="1"/>
  <c r="AG81" i="20" s="1"/>
  <c r="AG80" i="20" a="1"/>
  <c r="AG80" i="20" s="1"/>
  <c r="AG79" i="20" a="1"/>
  <c r="AG79" i="20" s="1"/>
  <c r="AG78" i="20" a="1"/>
  <c r="AG78" i="20" s="1"/>
  <c r="AG77" i="20" a="1"/>
  <c r="AG77" i="20" s="1"/>
  <c r="AG76" i="20" a="1"/>
  <c r="AG76" i="20" s="1"/>
  <c r="AG75" i="20" a="1"/>
  <c r="AG75" i="20" s="1"/>
  <c r="AG74" i="20" a="1"/>
  <c r="AG74" i="20" s="1"/>
  <c r="AG73" i="20" a="1"/>
  <c r="AG73" i="20" s="1"/>
  <c r="AG72" i="20" a="1"/>
  <c r="AG72" i="20" s="1"/>
  <c r="AG71" i="20" a="1"/>
  <c r="AG71" i="20" s="1"/>
  <c r="AG68" i="20" a="1"/>
  <c r="AG68" i="20" s="1"/>
  <c r="AG66" i="20" a="1"/>
  <c r="AG66" i="20" s="1"/>
  <c r="AG65" i="20" a="1"/>
  <c r="AG65" i="20" s="1"/>
  <c r="AG64" i="20" a="1"/>
  <c r="AG64" i="20" s="1"/>
  <c r="AG61" i="20" a="1"/>
  <c r="AG61" i="20" s="1"/>
  <c r="AG59" i="20" a="1"/>
  <c r="AG59" i="20" s="1"/>
  <c r="AG58" i="20" a="1"/>
  <c r="AG58" i="20" s="1"/>
  <c r="AG57" i="20" a="1"/>
  <c r="AG57" i="20" s="1"/>
  <c r="AG56" i="20" a="1"/>
  <c r="AG56" i="20" s="1"/>
  <c r="AG55" i="20" a="1"/>
  <c r="AG55" i="20" s="1"/>
  <c r="AG54" i="20" a="1"/>
  <c r="AG54" i="20" s="1"/>
  <c r="AG53" i="20" a="1"/>
  <c r="AG53" i="20" s="1"/>
  <c r="AG50" i="20" a="1"/>
  <c r="AG50" i="20" s="1"/>
  <c r="AG48" i="20" a="1"/>
  <c r="AG48" i="20" s="1"/>
  <c r="AG47" i="20" a="1"/>
  <c r="AG47" i="20" s="1"/>
  <c r="AG46" i="20" a="1"/>
  <c r="AG46" i="20" s="1"/>
  <c r="AG44" i="20" a="1"/>
  <c r="AG44" i="20" s="1"/>
  <c r="AG42" i="20" a="1"/>
  <c r="AG42" i="20" s="1"/>
  <c r="AG45" i="20" a="1"/>
  <c r="AG45" i="20" s="1"/>
  <c r="AG43" i="20" a="1"/>
  <c r="AG43" i="20" s="1"/>
  <c r="AG41" i="20" a="1"/>
  <c r="AG41" i="20" s="1"/>
  <c r="AG38" i="20" a="1"/>
  <c r="AG38" i="20" s="1"/>
  <c r="AG36" i="20" a="1"/>
  <c r="AG36" i="20" s="1"/>
  <c r="AG35" i="20" a="1"/>
  <c r="AG35" i="20" s="1"/>
  <c r="AG34" i="20" a="1"/>
  <c r="AG34" i="20" s="1"/>
  <c r="AG33" i="20" a="1"/>
  <c r="AG33" i="20" s="1"/>
  <c r="AG32" i="20" a="1"/>
  <c r="AG32" i="20" s="1"/>
  <c r="AG29" i="20" a="1"/>
  <c r="AG29" i="20" s="1"/>
  <c r="AG27" i="20" a="1"/>
  <c r="AG27" i="20" s="1"/>
  <c r="AG26" i="20" a="1"/>
  <c r="AG26" i="20" s="1"/>
  <c r="AG25" i="20" a="1"/>
  <c r="AG25" i="20" s="1"/>
  <c r="AG24" i="20" a="1"/>
  <c r="AG24" i="20" s="1"/>
  <c r="AG23" i="20" a="1"/>
  <c r="AG23" i="20" s="1"/>
  <c r="AG22" i="20" a="1"/>
  <c r="AG22" i="20" s="1"/>
  <c r="AG21" i="20" a="1"/>
  <c r="AG21" i="20" s="1"/>
  <c r="AG20" i="20" a="1"/>
  <c r="AG20" i="20" s="1"/>
  <c r="AG19" i="20" a="1"/>
  <c r="AG19" i="20" s="1"/>
  <c r="AG16" i="20" a="1"/>
  <c r="AG16" i="20" s="1"/>
  <c r="AG14" i="20" a="1"/>
  <c r="AG14" i="20" s="1"/>
  <c r="AG13" i="20" a="1"/>
  <c r="AG13" i="20" s="1"/>
  <c r="AG12" i="20" a="1"/>
  <c r="AG12" i="20" s="1"/>
  <c r="AG11" i="20" a="1"/>
  <c r="AG11" i="20" s="1"/>
  <c r="AE50" i="30"/>
  <c r="AE52" i="30"/>
  <c r="AE183" i="20"/>
  <c r="AG64" i="9"/>
  <c r="AG102" i="9"/>
  <c r="AG121" i="9"/>
  <c r="AG159" i="9"/>
  <c r="AG197" i="9"/>
  <c r="AG235" i="9"/>
  <c r="AG273" i="9"/>
  <c r="AG311" i="9"/>
  <c r="AG349" i="9"/>
  <c r="AG387" i="9"/>
  <c r="AG83" i="9"/>
  <c r="AG178" i="9"/>
  <c r="AG330" i="9"/>
  <c r="AG425" i="9"/>
  <c r="AG216" i="9"/>
  <c r="AG368" i="9"/>
  <c r="AG292" i="9"/>
  <c r="AG406" i="9"/>
  <c r="AG140" i="9"/>
  <c r="AG254" i="9"/>
  <c r="AG187" i="26"/>
  <c r="AG188" i="26"/>
  <c r="AG190" i="26"/>
  <c r="AG191" i="26"/>
  <c r="AG179" i="26"/>
  <c r="AG186" i="26"/>
  <c r="AG185" i="26"/>
  <c r="AG180" i="26"/>
  <c r="AG194" i="26" s="1"/>
  <c r="AG295" i="26" s="1"/>
  <c r="AG189" i="26"/>
  <c r="AG183" i="26"/>
  <c r="AG184" i="26"/>
  <c r="AG182" i="26"/>
  <c r="AG196" i="26" s="1"/>
  <c r="AG297" i="26" s="1"/>
  <c r="AG181" i="26"/>
  <c r="AG195" i="26" s="1"/>
  <c r="AG296" i="26" s="1"/>
  <c r="AG192" i="26"/>
  <c r="AG178" i="26"/>
  <c r="AG197" i="26" s="1"/>
  <c r="AG298" i="26" s="1"/>
  <c r="AE34" i="6"/>
  <c r="AE69" i="30" s="1"/>
  <c r="AF257" i="26"/>
  <c r="AF205" i="26"/>
  <c r="AE114" i="6"/>
  <c r="AE116" i="30" s="1"/>
  <c r="AE130" i="30"/>
  <c r="AF180" i="20"/>
  <c r="BT3" i="38"/>
  <c r="BT3" i="33"/>
  <c r="BT3" i="32"/>
  <c r="BT3" i="26"/>
  <c r="BT3" i="12"/>
  <c r="BT3" i="11"/>
  <c r="BT3" i="16"/>
  <c r="BT3" i="35"/>
  <c r="BT3" i="30"/>
  <c r="BT3" i="20"/>
  <c r="BT3" i="22"/>
  <c r="BT3" i="9"/>
  <c r="BT3" i="28"/>
  <c r="BU10" i="3"/>
  <c r="BU4" i="3" s="1"/>
  <c r="BU2" i="44" s="1" a="1"/>
  <c r="BU2" i="44" s="1"/>
  <c r="AF206" i="26"/>
  <c r="AH43" i="3"/>
  <c r="AH4" i="38"/>
  <c r="AF198" i="26"/>
  <c r="AF150" i="26"/>
  <c r="AF180" i="30" s="1"/>
  <c r="AE48" i="30"/>
  <c r="AF107" i="6"/>
  <c r="AG830" i="9"/>
  <c r="AE281" i="26"/>
  <c r="AE154" i="6" s="1"/>
  <c r="AE98" i="30" s="1"/>
  <c r="AE187" i="30" s="1"/>
  <c r="AF294" i="26"/>
  <c r="AF178" i="1" s="1"/>
  <c r="AF106" i="6"/>
  <c r="AG158" i="26"/>
  <c r="AG172" i="26" s="1"/>
  <c r="AG236" i="26" s="1"/>
  <c r="AG162" i="26"/>
  <c r="AG166" i="26"/>
  <c r="AG161" i="26"/>
  <c r="AG165" i="26"/>
  <c r="AG154" i="26"/>
  <c r="AG173" i="26" s="1"/>
  <c r="AG268" i="26" s="1"/>
  <c r="AG159" i="26"/>
  <c r="AG163" i="26"/>
  <c r="AG167" i="26"/>
  <c r="AG157" i="26"/>
  <c r="AG168" i="26"/>
  <c r="AG156" i="26"/>
  <c r="AG170" i="26" s="1"/>
  <c r="AG222" i="26" s="1"/>
  <c r="AG160" i="26"/>
  <c r="AG164" i="26"/>
  <c r="AG155" i="26"/>
  <c r="AF174" i="26"/>
  <c r="AF208" i="26"/>
  <c r="AG171" i="26"/>
  <c r="AG249" i="26" s="1"/>
  <c r="AF292" i="3"/>
  <c r="AF284" i="3"/>
  <c r="AF295" i="3"/>
  <c r="AF287" i="3"/>
  <c r="AF290" i="3"/>
  <c r="AF279" i="3"/>
  <c r="AF291" i="3"/>
  <c r="AF207" i="26"/>
  <c r="AF123" i="26"/>
  <c r="AF293" i="3"/>
  <c r="AF296" i="3"/>
  <c r="AF288" i="3"/>
  <c r="AF294" i="3"/>
  <c r="AF282" i="3"/>
  <c r="AF289" i="3"/>
  <c r="AF280" i="3"/>
  <c r="AF285" i="3"/>
  <c r="AF283" i="3"/>
  <c r="AF281" i="3"/>
  <c r="AF286" i="3"/>
  <c r="AF278" i="3"/>
  <c r="AG265" i="3"/>
  <c r="AG219" i="3"/>
  <c r="AG720" i="9" s="1"/>
  <c r="AG270" i="3"/>
  <c r="AG224" i="3"/>
  <c r="AG725" i="9" s="1"/>
  <c r="AG272" i="3"/>
  <c r="AG226" i="3"/>
  <c r="AG727" i="9" s="1"/>
  <c r="AG273" i="3"/>
  <c r="AG227" i="3"/>
  <c r="AG728" i="9" s="1"/>
  <c r="AK441" i="9"/>
  <c r="AK448" i="9"/>
  <c r="AK449" i="9"/>
  <c r="AG258" i="3"/>
  <c r="AG212" i="3"/>
  <c r="AG713" i="9" s="1"/>
  <c r="AG257" i="3"/>
  <c r="AG211" i="3"/>
  <c r="AG712" i="9" s="1"/>
  <c r="AG264" i="3"/>
  <c r="AG218" i="3"/>
  <c r="AG719" i="9" s="1"/>
  <c r="AG209" i="3"/>
  <c r="AG710" i="9" s="1"/>
  <c r="AG255" i="3"/>
  <c r="AG269" i="3"/>
  <c r="AG223" i="3"/>
  <c r="AG724" i="9" s="1"/>
  <c r="AK439" i="9"/>
  <c r="AG260" i="3"/>
  <c r="AG214" i="3"/>
  <c r="AG715" i="9" s="1"/>
  <c r="AG256" i="3"/>
  <c r="AG210" i="3"/>
  <c r="AG711" i="9" s="1"/>
  <c r="AG261" i="3"/>
  <c r="AG215" i="3"/>
  <c r="AG716" i="9" s="1"/>
  <c r="AG271" i="3"/>
  <c r="AG225" i="3"/>
  <c r="AG726" i="9" s="1"/>
  <c r="AG262" i="3"/>
  <c r="AG216" i="3"/>
  <c r="AG717" i="9" s="1"/>
  <c r="AG208" i="3"/>
  <c r="AG254" i="3"/>
  <c r="AK444" i="9"/>
  <c r="AG268" i="3"/>
  <c r="AG222" i="3"/>
  <c r="AG723" i="9" s="1"/>
  <c r="AG263" i="3"/>
  <c r="AG217" i="3"/>
  <c r="AG718" i="9" s="1"/>
  <c r="AG266" i="3"/>
  <c r="AG220" i="3"/>
  <c r="AG721" i="9" s="1"/>
  <c r="AK514" i="9"/>
  <c r="AK512" i="9"/>
  <c r="AK516" i="9"/>
  <c r="AK502" i="9"/>
  <c r="AJ503" i="9"/>
  <c r="AJ1085" i="9" s="1"/>
  <c r="AK519" i="9"/>
  <c r="AK505" i="9"/>
  <c r="AK509" i="9"/>
  <c r="AK507" i="9"/>
  <c r="AK149" i="9"/>
  <c r="AL143" i="9" s="1"/>
  <c r="AL147" i="9" s="1"/>
  <c r="AG131" i="26"/>
  <c r="AK415" i="9"/>
  <c r="AL409" i="9" s="1"/>
  <c r="AL413" i="9" s="1"/>
  <c r="AK995" i="9"/>
  <c r="AK435" i="9"/>
  <c r="AK997" i="9"/>
  <c r="AK437" i="9"/>
  <c r="AK1006" i="9"/>
  <c r="AK446" i="9"/>
  <c r="AK1002" i="9"/>
  <c r="AK442" i="9"/>
  <c r="AK1009" i="9"/>
  <c r="AK999" i="9"/>
  <c r="AK1004" i="9"/>
  <c r="AK1008" i="9"/>
  <c r="AJ111" i="9"/>
  <c r="AK1001" i="9"/>
  <c r="AK67" i="9"/>
  <c r="AK71" i="9" s="1"/>
  <c r="AK282" i="9"/>
  <c r="AL276" i="9"/>
  <c r="AL280" i="9" s="1"/>
  <c r="AK92" i="9"/>
  <c r="AL86" i="9" s="1"/>
  <c r="AL90" i="9" s="1"/>
  <c r="AG722" i="9"/>
  <c r="AG714" i="9"/>
  <c r="AF277" i="3"/>
  <c r="AK225" i="9"/>
  <c r="AL219" i="9" s="1"/>
  <c r="AL223" i="9" s="1"/>
  <c r="AK358" i="9"/>
  <c r="AL352" i="9" s="1"/>
  <c r="AL356" i="9" s="1"/>
  <c r="AG79" i="3"/>
  <c r="AF125" i="3"/>
  <c r="AG76" i="3"/>
  <c r="AF122" i="3"/>
  <c r="AG88" i="3"/>
  <c r="AF134" i="3"/>
  <c r="AF796" i="9" s="1"/>
  <c r="AG89" i="3"/>
  <c r="AF135" i="3"/>
  <c r="AG74" i="3"/>
  <c r="AF120" i="3"/>
  <c r="AG75" i="3"/>
  <c r="AF121" i="3"/>
  <c r="AF783" i="9" s="1"/>
  <c r="AG73" i="3"/>
  <c r="AF119" i="3"/>
  <c r="AF781" i="9" s="1"/>
  <c r="AG84" i="3"/>
  <c r="AF130" i="3"/>
  <c r="AG85" i="3"/>
  <c r="AF131" i="3"/>
  <c r="AF793" i="9" s="1"/>
  <c r="AG71" i="3"/>
  <c r="AF117" i="3"/>
  <c r="AF779" i="9" s="1"/>
  <c r="AH155" i="3"/>
  <c r="AH147" i="3"/>
  <c r="AH141" i="3"/>
  <c r="AH142" i="3"/>
  <c r="AH149" i="3"/>
  <c r="AH140" i="3"/>
  <c r="AH151" i="3"/>
  <c r="AH146" i="3"/>
  <c r="AH143" i="3"/>
  <c r="AH154" i="3"/>
  <c r="AH145" i="3"/>
  <c r="AG87" i="3"/>
  <c r="AF133" i="3"/>
  <c r="AG81" i="3"/>
  <c r="AF127" i="3"/>
  <c r="AG86" i="3"/>
  <c r="AF132" i="3"/>
  <c r="AG72" i="3"/>
  <c r="AF118" i="3"/>
  <c r="AG83" i="3"/>
  <c r="AF129" i="3"/>
  <c r="AF791" i="9" s="1"/>
  <c r="AG80" i="3"/>
  <c r="AF126" i="3"/>
  <c r="AH144" i="3"/>
  <c r="AH157" i="3"/>
  <c r="AH150" i="3"/>
  <c r="AH152" i="3"/>
  <c r="AG82" i="3"/>
  <c r="AF128" i="3"/>
  <c r="AG70" i="3"/>
  <c r="AF116" i="3"/>
  <c r="AF778" i="9" s="1"/>
  <c r="AF801" i="9" s="1"/>
  <c r="AG78" i="3"/>
  <c r="AF124" i="3"/>
  <c r="AG77" i="3"/>
  <c r="AF123" i="3"/>
  <c r="AH139" i="3"/>
  <c r="AH156" i="3"/>
  <c r="AH153" i="3"/>
  <c r="AH158" i="3"/>
  <c r="AH148" i="3"/>
  <c r="AH5" i="3"/>
  <c r="AK187" i="9"/>
  <c r="AL181" i="9" s="1"/>
  <c r="AL185" i="9" s="1"/>
  <c r="AK320" i="9"/>
  <c r="AL314" i="9" s="1"/>
  <c r="AL318" i="9" s="1"/>
  <c r="AG92" i="26"/>
  <c r="AG80" i="26"/>
  <c r="AG115" i="26"/>
  <c r="AG55" i="26"/>
  <c r="AG108" i="26"/>
  <c r="AG56" i="26"/>
  <c r="AG106" i="26"/>
  <c r="AG91" i="26"/>
  <c r="AG79" i="26"/>
  <c r="AG95" i="26" s="1"/>
  <c r="AG180" i="1" s="1"/>
  <c r="AG67" i="26"/>
  <c r="AG114" i="26"/>
  <c r="AG139" i="26"/>
  <c r="AG109" i="26"/>
  <c r="AG85" i="26"/>
  <c r="AG58" i="26"/>
  <c r="AG53" i="26"/>
  <c r="AG135" i="26"/>
  <c r="AG107" i="26"/>
  <c r="AG104" i="26"/>
  <c r="AG89" i="26"/>
  <c r="AG83" i="26"/>
  <c r="AG54" i="26"/>
  <c r="AG59" i="26"/>
  <c r="AG116" i="26"/>
  <c r="AG130" i="26"/>
  <c r="AG111" i="26"/>
  <c r="AG133" i="26"/>
  <c r="AG147" i="26" s="1"/>
  <c r="AG138" i="26"/>
  <c r="AF179" i="20"/>
  <c r="AG144" i="26"/>
  <c r="AG90" i="26"/>
  <c r="AG87" i="26"/>
  <c r="AG86" i="26"/>
  <c r="AG234" i="26" s="1"/>
  <c r="AG88" i="26"/>
  <c r="AG64" i="26"/>
  <c r="AG65" i="26"/>
  <c r="AG61" i="26"/>
  <c r="AG66" i="26"/>
  <c r="AG105" i="26"/>
  <c r="AG136" i="26"/>
  <c r="AG141" i="26"/>
  <c r="AG143" i="26"/>
  <c r="AG132" i="26"/>
  <c r="AG146" i="26" s="1"/>
  <c r="AG113" i="26"/>
  <c r="AG110" i="26"/>
  <c r="AG84" i="26"/>
  <c r="AG81" i="26"/>
  <c r="AG82" i="26"/>
  <c r="AG78" i="26"/>
  <c r="AG62" i="26"/>
  <c r="AG63" i="26"/>
  <c r="AG57" i="26"/>
  <c r="AG60" i="26"/>
  <c r="AG117" i="26"/>
  <c r="AG137" i="26"/>
  <c r="AG142" i="26"/>
  <c r="AG118" i="26"/>
  <c r="AG134" i="26"/>
  <c r="AG148" i="26" s="1"/>
  <c r="AG140" i="26"/>
  <c r="AG112" i="26"/>
  <c r="AG235" i="26" s="1"/>
  <c r="AG121" i="26"/>
  <c r="AG248" i="26" s="1"/>
  <c r="AG219" i="26"/>
  <c r="AH12" i="3"/>
  <c r="AH3" i="3" s="1"/>
  <c r="AH30" i="3" s="1"/>
  <c r="AH24" i="3"/>
  <c r="AG112" i="3"/>
  <c r="AG98" i="3"/>
  <c r="AG111" i="3"/>
  <c r="AG100" i="3"/>
  <c r="AG97" i="3"/>
  <c r="AI8" i="3"/>
  <c r="AG96" i="3"/>
  <c r="AG107" i="3"/>
  <c r="AG108" i="3"/>
  <c r="AG94" i="3"/>
  <c r="AG105" i="3"/>
  <c r="AG102" i="3"/>
  <c r="AG99" i="3"/>
  <c r="AG93" i="3"/>
  <c r="AG101" i="3"/>
  <c r="AG110" i="3"/>
  <c r="AG104" i="3"/>
  <c r="AG109" i="3"/>
  <c r="AG95" i="3"/>
  <c r="AG106" i="3"/>
  <c r="AG103" i="3"/>
  <c r="AE64" i="33" l="1"/>
  <c r="AE74" i="33"/>
  <c r="AG755" i="9"/>
  <c r="AF267" i="26"/>
  <c r="AF221" i="6"/>
  <c r="AF223" i="6" s="1"/>
  <c r="AG220" i="6" s="1"/>
  <c r="AF259" i="26"/>
  <c r="AF261" i="26" s="1"/>
  <c r="AG24" i="32"/>
  <c r="AG153" i="30"/>
  <c r="AF52" i="30"/>
  <c r="AH3" i="38"/>
  <c r="AH39" i="3"/>
  <c r="AF183" i="1"/>
  <c r="AH347" i="3"/>
  <c r="AH346" i="3"/>
  <c r="AG841" i="9"/>
  <c r="AG839" i="9"/>
  <c r="AF866" i="9"/>
  <c r="AF816" i="9"/>
  <c r="AG770" i="9" s="1"/>
  <c r="AF854" i="9"/>
  <c r="AF804" i="9"/>
  <c r="AG758" i="9" s="1"/>
  <c r="AF869" i="9"/>
  <c r="AF819" i="9"/>
  <c r="AG773" i="9" s="1"/>
  <c r="AG844" i="9"/>
  <c r="AG837" i="9"/>
  <c r="AG829" i="9"/>
  <c r="AG832" i="9"/>
  <c r="AF864" i="9"/>
  <c r="AF814" i="9"/>
  <c r="AG768" i="9" s="1"/>
  <c r="AG828" i="9"/>
  <c r="AG831" i="9"/>
  <c r="AG847" i="9"/>
  <c r="AG838" i="9"/>
  <c r="AG846" i="9"/>
  <c r="AF852" i="9"/>
  <c r="AF802" i="9"/>
  <c r="AG756" i="9" s="1"/>
  <c r="AF856" i="9"/>
  <c r="AF806" i="9"/>
  <c r="AG760" i="9" s="1"/>
  <c r="AG836" i="9"/>
  <c r="AG833" i="9"/>
  <c r="AG834" i="9"/>
  <c r="AG842" i="9"/>
  <c r="AG843" i="9"/>
  <c r="AG68" i="26"/>
  <c r="AG205" i="26" s="1"/>
  <c r="AG70" i="26"/>
  <c r="AG233" i="26" s="1"/>
  <c r="AG247" i="26"/>
  <c r="AG145" i="26"/>
  <c r="BV8" i="3"/>
  <c r="BU5" i="3"/>
  <c r="BU12" i="3"/>
  <c r="BU3" i="3" s="1"/>
  <c r="BU24" i="3"/>
  <c r="AF72" i="33"/>
  <c r="AF111" i="6"/>
  <c r="AG120" i="26"/>
  <c r="AG221" i="26" s="1"/>
  <c r="AF276" i="26"/>
  <c r="AH5" i="38"/>
  <c r="AH51" i="3"/>
  <c r="AH48" i="3"/>
  <c r="AH56" i="3"/>
  <c r="AH55" i="3"/>
  <c r="AH63" i="3"/>
  <c r="AH52" i="3"/>
  <c r="AH64" i="3"/>
  <c r="AH60" i="3"/>
  <c r="AH53" i="3"/>
  <c r="AH61" i="3"/>
  <c r="AH54" i="3"/>
  <c r="AH66" i="3"/>
  <c r="AH57" i="3"/>
  <c r="AH65" i="3"/>
  <c r="AH49" i="3"/>
  <c r="AH58" i="3"/>
  <c r="AH50" i="3"/>
  <c r="AH47" i="3"/>
  <c r="AH62" i="3"/>
  <c r="AH59" i="3"/>
  <c r="AF299" i="26"/>
  <c r="AG149" i="26"/>
  <c r="AF851" i="9"/>
  <c r="AG709" i="9"/>
  <c r="AH5" i="26"/>
  <c r="AG169" i="26"/>
  <c r="AJ94" i="6"/>
  <c r="AJ88" i="35"/>
  <c r="AH4" i="33"/>
  <c r="AH4" i="35"/>
  <c r="AH5" i="33"/>
  <c r="AH5" i="35"/>
  <c r="AH3" i="33"/>
  <c r="AH3" i="35"/>
  <c r="AL445" i="9"/>
  <c r="AL447" i="9"/>
  <c r="AL436" i="9"/>
  <c r="AL438" i="9"/>
  <c r="AL440" i="9"/>
  <c r="AL450" i="9"/>
  <c r="AK432" i="9"/>
  <c r="AL433" i="9"/>
  <c r="AL443" i="9"/>
  <c r="AK513" i="9"/>
  <c r="AK508" i="9"/>
  <c r="AK511" i="9"/>
  <c r="AK506" i="9"/>
  <c r="AK518" i="9"/>
  <c r="AK517" i="9"/>
  <c r="AK515" i="9"/>
  <c r="AK504" i="9"/>
  <c r="AL996" i="9"/>
  <c r="AH16" i="3"/>
  <c r="AH18" i="3" s="1"/>
  <c r="AH4" i="32"/>
  <c r="AH4" i="30"/>
  <c r="AH5" i="32"/>
  <c r="AH5" i="30"/>
  <c r="AH3" i="28"/>
  <c r="AH3" i="32"/>
  <c r="AH3" i="30"/>
  <c r="AG193" i="26"/>
  <c r="AG198" i="26" s="1"/>
  <c r="AL1010" i="9"/>
  <c r="AK339" i="9"/>
  <c r="AK130" i="9"/>
  <c r="AK168" i="9"/>
  <c r="AK263" i="9"/>
  <c r="AL162" i="9"/>
  <c r="AL166" i="9" s="1"/>
  <c r="AK244" i="9"/>
  <c r="AK510" i="9"/>
  <c r="AK396" i="9"/>
  <c r="AK206" i="9"/>
  <c r="AL295" i="9"/>
  <c r="AL299" i="9" s="1"/>
  <c r="AK377" i="9"/>
  <c r="AK301" i="9"/>
  <c r="AK992" i="9"/>
  <c r="AL238" i="9"/>
  <c r="AL242" i="9" s="1"/>
  <c r="AK105" i="9"/>
  <c r="AK109" i="9" s="1"/>
  <c r="AL333" i="9"/>
  <c r="AL337" i="9" s="1"/>
  <c r="AL371" i="9"/>
  <c r="AL375" i="9" s="1"/>
  <c r="AL200" i="9"/>
  <c r="AL204" i="9" s="1"/>
  <c r="AL257" i="9"/>
  <c r="AL261" i="9" s="1"/>
  <c r="AL390" i="9"/>
  <c r="AL394" i="9" s="1"/>
  <c r="AL124" i="9"/>
  <c r="AL128" i="9" s="1"/>
  <c r="AH179" i="3"/>
  <c r="AH202" i="3" s="1"/>
  <c r="AH180" i="3"/>
  <c r="AH203" i="3" s="1"/>
  <c r="AH166" i="3"/>
  <c r="AH189" i="3" s="1"/>
  <c r="AH172" i="3"/>
  <c r="AH195" i="3" s="1"/>
  <c r="AH178" i="3"/>
  <c r="AH201" i="3" s="1"/>
  <c r="AH171" i="3"/>
  <c r="AH194" i="3" s="1"/>
  <c r="AH167" i="3"/>
  <c r="AH190" i="3" s="1"/>
  <c r="AH169" i="3"/>
  <c r="AH192" i="3" s="1"/>
  <c r="AH165" i="3"/>
  <c r="AH188" i="3" s="1"/>
  <c r="AH181" i="3"/>
  <c r="AH204" i="3" s="1"/>
  <c r="AH175" i="3"/>
  <c r="AH198" i="3" s="1"/>
  <c r="AH168" i="3"/>
  <c r="AH191" i="3" s="1"/>
  <c r="AH174" i="3"/>
  <c r="AH197" i="3" s="1"/>
  <c r="AH164" i="3"/>
  <c r="AH187" i="3" s="1"/>
  <c r="AH176" i="3"/>
  <c r="AH199" i="3" s="1"/>
  <c r="AH173" i="3"/>
  <c r="AH196" i="3" s="1"/>
  <c r="AH177" i="3"/>
  <c r="AH200" i="3" s="1"/>
  <c r="AH170" i="3"/>
  <c r="AH193" i="3" s="1"/>
  <c r="AL1003" i="9"/>
  <c r="AL993" i="9"/>
  <c r="AL1000" i="9"/>
  <c r="AL1007" i="9"/>
  <c r="AG236" i="3"/>
  <c r="AG737" i="9" s="1"/>
  <c r="AG249" i="3"/>
  <c r="AG750" i="9" s="1"/>
  <c r="AG242" i="3"/>
  <c r="AG743" i="9" s="1"/>
  <c r="AG241" i="3"/>
  <c r="AG742" i="9" s="1"/>
  <c r="AG246" i="3"/>
  <c r="AG747" i="9" s="1"/>
  <c r="AG235" i="3"/>
  <c r="AG736" i="9" s="1"/>
  <c r="AG244" i="3"/>
  <c r="AG745" i="9" s="1"/>
  <c r="AG248" i="3"/>
  <c r="AG749" i="9" s="1"/>
  <c r="AG239" i="3"/>
  <c r="AG740" i="9" s="1"/>
  <c r="AG245" i="3"/>
  <c r="AG746" i="9" s="1"/>
  <c r="AG250" i="3"/>
  <c r="AG751" i="9" s="1"/>
  <c r="AG233" i="3"/>
  <c r="AG734" i="9" s="1"/>
  <c r="AG231" i="3"/>
  <c r="AG240" i="3"/>
  <c r="AG741" i="9" s="1"/>
  <c r="AG234" i="3"/>
  <c r="AG735" i="9" s="1"/>
  <c r="AG238" i="3"/>
  <c r="AG739" i="9" s="1"/>
  <c r="AG247" i="3"/>
  <c r="AG748" i="9" s="1"/>
  <c r="AG243" i="3"/>
  <c r="AG744" i="9" s="1"/>
  <c r="AG232" i="3"/>
  <c r="AG733" i="9" s="1"/>
  <c r="AG237" i="3"/>
  <c r="AG738" i="9" s="1"/>
  <c r="AH4" i="28"/>
  <c r="AH5" i="28"/>
  <c r="AL1005" i="9"/>
  <c r="AL998" i="9"/>
  <c r="AG94" i="26"/>
  <c r="AG220" i="26" s="1"/>
  <c r="AG119" i="26"/>
  <c r="AG93" i="26"/>
  <c r="AF178" i="20"/>
  <c r="AF183" i="20" s="1"/>
  <c r="AG179" i="1"/>
  <c r="AH3" i="26"/>
  <c r="AH4" i="26"/>
  <c r="AH4" i="11"/>
  <c r="AH4" i="20"/>
  <c r="AH4" i="9"/>
  <c r="AH4" i="12"/>
  <c r="AH4" i="22"/>
  <c r="AH4" i="16"/>
  <c r="AH5" i="20"/>
  <c r="AH5" i="22"/>
  <c r="AH3" i="22"/>
  <c r="AH3" i="20"/>
  <c r="AH5" i="16"/>
  <c r="AH5" i="12"/>
  <c r="AH5" i="11"/>
  <c r="AH162" i="3"/>
  <c r="AH185" i="3" s="1"/>
  <c r="AH5" i="9"/>
  <c r="AI10" i="3"/>
  <c r="AI4" i="3" s="1"/>
  <c r="AI2" i="44" s="1" a="1"/>
  <c r="AI2" i="44" s="1"/>
  <c r="AH3" i="16"/>
  <c r="AH3" i="12"/>
  <c r="AH3" i="11"/>
  <c r="AH3" i="9"/>
  <c r="AH698" i="9" l="1"/>
  <c r="AH697" i="9"/>
  <c r="AH705" i="9"/>
  <c r="AH699" i="9"/>
  <c r="AH694" i="9"/>
  <c r="AH701" i="9"/>
  <c r="AH688" i="9"/>
  <c r="AH693" i="9"/>
  <c r="AH703" i="9"/>
  <c r="AH695" i="9"/>
  <c r="AH686" i="9"/>
  <c r="AH704" i="9"/>
  <c r="AH700" i="9"/>
  <c r="AH691" i="9"/>
  <c r="AH689" i="9"/>
  <c r="AH696" i="9"/>
  <c r="AH692" i="9"/>
  <c r="AH702" i="9"/>
  <c r="AH690" i="9"/>
  <c r="AG732" i="9"/>
  <c r="AH163" i="3"/>
  <c r="AH186" i="3" s="1"/>
  <c r="AH687" i="9"/>
  <c r="AF130" i="30"/>
  <c r="AG257" i="26"/>
  <c r="AF34" i="6"/>
  <c r="AF69" i="30" s="1"/>
  <c r="AH169" i="20" a="1"/>
  <c r="AH169" i="20" s="1"/>
  <c r="AH149" i="20" a="1"/>
  <c r="AH149" i="20" s="1"/>
  <c r="AH172" i="20" a="1"/>
  <c r="AH172" i="20" s="1"/>
  <c r="AH150" i="20" a="1"/>
  <c r="AH150" i="20" s="1"/>
  <c r="AH146" i="20" a="1"/>
  <c r="AH146" i="20" s="1"/>
  <c r="AH145" i="20" a="1"/>
  <c r="AH145" i="20" s="1"/>
  <c r="AH198" i="20" a="1"/>
  <c r="AH198" i="20" s="1"/>
  <c r="AH148" i="20" a="1"/>
  <c r="AH148" i="20" s="1"/>
  <c r="AH181" i="20" a="1"/>
  <c r="AH181" i="20" s="1"/>
  <c r="AH154" i="20" a="1"/>
  <c r="AH154" i="20" s="1"/>
  <c r="AH143" i="20" a="1"/>
  <c r="AH143" i="20" s="1"/>
  <c r="AH141" i="20" a="1"/>
  <c r="AH141" i="20" s="1"/>
  <c r="AH139" i="20" a="1"/>
  <c r="AH139" i="20" s="1"/>
  <c r="AH137" i="20" a="1"/>
  <c r="AH137" i="20" s="1"/>
  <c r="AH132" i="20" a="1"/>
  <c r="AH132" i="20" s="1"/>
  <c r="AH131" i="20" a="1"/>
  <c r="AH131" i="20" s="1"/>
  <c r="AH128" i="20" a="1"/>
  <c r="AH128" i="20" s="1"/>
  <c r="AH126" i="20" a="1"/>
  <c r="AH126" i="20" s="1"/>
  <c r="AH144" i="20" a="1"/>
  <c r="AH144" i="20" s="1"/>
  <c r="AH142" i="20" a="1"/>
  <c r="AH142" i="20" s="1"/>
  <c r="AH140" i="20" a="1"/>
  <c r="AH140" i="20" s="1"/>
  <c r="AH127" i="20" a="1"/>
  <c r="AH127" i="20" s="1"/>
  <c r="AH138" i="20" a="1"/>
  <c r="AH138" i="20" s="1"/>
  <c r="AH125" i="20" a="1"/>
  <c r="AH125" i="20" s="1"/>
  <c r="AH123" i="20" a="1"/>
  <c r="AH123" i="20" s="1"/>
  <c r="AH129" i="20" a="1"/>
  <c r="AH129" i="20" s="1"/>
  <c r="AH110" i="20" a="1"/>
  <c r="AH110" i="20" s="1"/>
  <c r="AH124" i="20" a="1"/>
  <c r="AH124" i="20" s="1"/>
  <c r="AH115" i="20" a="1"/>
  <c r="AH115" i="20" s="1"/>
  <c r="AH117" i="20" s="1"/>
  <c r="AH106" i="20" a="1"/>
  <c r="AH106" i="20" s="1"/>
  <c r="AH105" i="20" a="1"/>
  <c r="AH105" i="20" s="1"/>
  <c r="AH122" i="20" a="1"/>
  <c r="AH122" i="20" s="1"/>
  <c r="AH112" i="20" a="1"/>
  <c r="AH112" i="20" s="1"/>
  <c r="AH104" i="20" a="1"/>
  <c r="AH104" i="20" s="1"/>
  <c r="AH97" i="20" a="1"/>
  <c r="AH97" i="20" s="1"/>
  <c r="AH93" i="20" a="1"/>
  <c r="AH93" i="20" s="1"/>
  <c r="AH89" i="20" a="1"/>
  <c r="AH89" i="20" s="1"/>
  <c r="AH82" i="20" a="1"/>
  <c r="AH82" i="20" s="1"/>
  <c r="AH81" i="20" a="1"/>
  <c r="AH81" i="20" s="1"/>
  <c r="AH80" i="20" a="1"/>
  <c r="AH80" i="20" s="1"/>
  <c r="AH79" i="20" a="1"/>
  <c r="AH79" i="20" s="1"/>
  <c r="AH78" i="20" a="1"/>
  <c r="AH78" i="20" s="1"/>
  <c r="AH77" i="20" a="1"/>
  <c r="AH77" i="20" s="1"/>
  <c r="AH76" i="20" a="1"/>
  <c r="AH76" i="20" s="1"/>
  <c r="AH75" i="20" a="1"/>
  <c r="AH75" i="20" s="1"/>
  <c r="AH74" i="20" a="1"/>
  <c r="AH74" i="20" s="1"/>
  <c r="AH73" i="20" a="1"/>
  <c r="AH73" i="20" s="1"/>
  <c r="AH72" i="20" a="1"/>
  <c r="AH72" i="20" s="1"/>
  <c r="AH71" i="20" a="1"/>
  <c r="AH71" i="20" s="1"/>
  <c r="AH68" i="20" a="1"/>
  <c r="AH68" i="20" s="1"/>
  <c r="AH66" i="20" a="1"/>
  <c r="AH66" i="20" s="1"/>
  <c r="AH65" i="20" a="1"/>
  <c r="AH65" i="20" s="1"/>
  <c r="AH64" i="20" a="1"/>
  <c r="AH64" i="20" s="1"/>
  <c r="AH61" i="20" a="1"/>
  <c r="AH61" i="20" s="1"/>
  <c r="AH59" i="20" a="1"/>
  <c r="AH59" i="20" s="1"/>
  <c r="AH58" i="20" a="1"/>
  <c r="AH58" i="20" s="1"/>
  <c r="AH57" i="20" a="1"/>
  <c r="AH57" i="20" s="1"/>
  <c r="AH56" i="20" a="1"/>
  <c r="AH56" i="20" s="1"/>
  <c r="AH55" i="20" a="1"/>
  <c r="AH55" i="20" s="1"/>
  <c r="AH54" i="20" a="1"/>
  <c r="AH54" i="20" s="1"/>
  <c r="AH53" i="20" a="1"/>
  <c r="AH53" i="20" s="1"/>
  <c r="AH50" i="20" a="1"/>
  <c r="AH50" i="20" s="1"/>
  <c r="AH48" i="20" a="1"/>
  <c r="AH48" i="20" s="1"/>
  <c r="AH47" i="20" a="1"/>
  <c r="AH47" i="20" s="1"/>
  <c r="AH46" i="20" a="1"/>
  <c r="AH46" i="20" s="1"/>
  <c r="AH45" i="20" a="1"/>
  <c r="AH45" i="20" s="1"/>
  <c r="AH44" i="20" a="1"/>
  <c r="AH44" i="20" s="1"/>
  <c r="AH43" i="20" a="1"/>
  <c r="AH43" i="20" s="1"/>
  <c r="AH42" i="20" a="1"/>
  <c r="AH42" i="20" s="1"/>
  <c r="AH133" i="20" a="1"/>
  <c r="AH133" i="20" s="1"/>
  <c r="AH103" i="20" a="1"/>
  <c r="AH103" i="20" s="1"/>
  <c r="AH96" i="20" a="1"/>
  <c r="AH96" i="20" s="1"/>
  <c r="AH92" i="20" a="1"/>
  <c r="AH92" i="20" s="1"/>
  <c r="AH87" i="20" a="1"/>
  <c r="AH87" i="20" s="1"/>
  <c r="AH102" i="20" a="1"/>
  <c r="AH102" i="20" s="1"/>
  <c r="AH95" i="20" a="1"/>
  <c r="AH95" i="20" s="1"/>
  <c r="AH91" i="20" a="1"/>
  <c r="AH91" i="20" s="1"/>
  <c r="AH94" i="20" a="1"/>
  <c r="AH94" i="20" s="1"/>
  <c r="AH83" i="20" a="1"/>
  <c r="AH83" i="20" s="1"/>
  <c r="AH13" i="20" a="1"/>
  <c r="AH13" i="20" s="1"/>
  <c r="AH101" i="20" a="1"/>
  <c r="AH101" i="20" s="1"/>
  <c r="AH88" i="20" a="1"/>
  <c r="AH88" i="20" s="1"/>
  <c r="AH111" i="20" a="1"/>
  <c r="AH111" i="20" s="1"/>
  <c r="AH90" i="20" a="1"/>
  <c r="AH90" i="20" s="1"/>
  <c r="AH41" i="20" a="1"/>
  <c r="AH41" i="20" s="1"/>
  <c r="AH38" i="20" a="1"/>
  <c r="AH38" i="20" s="1"/>
  <c r="AH36" i="20" a="1"/>
  <c r="AH36" i="20" s="1"/>
  <c r="AH35" i="20" a="1"/>
  <c r="AH35" i="20" s="1"/>
  <c r="AH34" i="20" a="1"/>
  <c r="AH34" i="20" s="1"/>
  <c r="AH33" i="20" a="1"/>
  <c r="AH33" i="20" s="1"/>
  <c r="AH32" i="20" a="1"/>
  <c r="AH32" i="20" s="1"/>
  <c r="AH29" i="20" a="1"/>
  <c r="AH29" i="20" s="1"/>
  <c r="AH27" i="20" a="1"/>
  <c r="AH27" i="20" s="1"/>
  <c r="AH26" i="20" a="1"/>
  <c r="AH26" i="20" s="1"/>
  <c r="AH25" i="20" a="1"/>
  <c r="AH25" i="20" s="1"/>
  <c r="AH24" i="20" a="1"/>
  <c r="AH24" i="20" s="1"/>
  <c r="AH23" i="20" a="1"/>
  <c r="AH23" i="20" s="1"/>
  <c r="AH22" i="20" a="1"/>
  <c r="AH22" i="20" s="1"/>
  <c r="AH21" i="20" a="1"/>
  <c r="AH21" i="20" s="1"/>
  <c r="AH20" i="20" a="1"/>
  <c r="AH20" i="20" s="1"/>
  <c r="AH19" i="20" a="1"/>
  <c r="AH19" i="20" s="1"/>
  <c r="AH16" i="20" a="1"/>
  <c r="AH16" i="20" s="1"/>
  <c r="AH14" i="20" a="1"/>
  <c r="AH14" i="20" s="1"/>
  <c r="AH12" i="20" a="1"/>
  <c r="AH12" i="20" s="1"/>
  <c r="AH11" i="20" a="1"/>
  <c r="AH11" i="20" s="1"/>
  <c r="AF50" i="30"/>
  <c r="AH64" i="9"/>
  <c r="AH197" i="9"/>
  <c r="AH216" i="9"/>
  <c r="AH349" i="9"/>
  <c r="AH368" i="9"/>
  <c r="AH102" i="9"/>
  <c r="AH235" i="9"/>
  <c r="AH254" i="9"/>
  <c r="AH387" i="9"/>
  <c r="AH406" i="9"/>
  <c r="AH425" i="9"/>
  <c r="AH121" i="9"/>
  <c r="AH140" i="9"/>
  <c r="AH159" i="9"/>
  <c r="AH311" i="9"/>
  <c r="AH330" i="9"/>
  <c r="AH178" i="9"/>
  <c r="AH83" i="9"/>
  <c r="AH292" i="9"/>
  <c r="AH273" i="9"/>
  <c r="AH156" i="26"/>
  <c r="AH170" i="26" s="1"/>
  <c r="AH222" i="26" s="1"/>
  <c r="AH192" i="26"/>
  <c r="AH179" i="26"/>
  <c r="AH182" i="26"/>
  <c r="AH196" i="26" s="1"/>
  <c r="AH297" i="26" s="1"/>
  <c r="AH181" i="26"/>
  <c r="AH195" i="26" s="1"/>
  <c r="AH296" i="26" s="1"/>
  <c r="AH184" i="26"/>
  <c r="AH180" i="26"/>
  <c r="AH194" i="26" s="1"/>
  <c r="AH295" i="26" s="1"/>
  <c r="AH178" i="26"/>
  <c r="AH197" i="26" s="1"/>
  <c r="AH298" i="26" s="1"/>
  <c r="AH190" i="26"/>
  <c r="AH187" i="26"/>
  <c r="AH191" i="26"/>
  <c r="AH185" i="26"/>
  <c r="AH186" i="26"/>
  <c r="AH188" i="26"/>
  <c r="AH183" i="26"/>
  <c r="AH189" i="26"/>
  <c r="AG71" i="26"/>
  <c r="AG259" i="26" s="1"/>
  <c r="AG150" i="26"/>
  <c r="AG180" i="30" s="1"/>
  <c r="AG72" i="33" s="1"/>
  <c r="AF114" i="6"/>
  <c r="AF116" i="30" s="1"/>
  <c r="AG106" i="6"/>
  <c r="BU3" i="38"/>
  <c r="BU3" i="35"/>
  <c r="BU3" i="22"/>
  <c r="BU3" i="11"/>
  <c r="BU3" i="20"/>
  <c r="BU3" i="9"/>
  <c r="BU3" i="30"/>
  <c r="BU3" i="28"/>
  <c r="BU3" i="32"/>
  <c r="BU3" i="26"/>
  <c r="BU3" i="16"/>
  <c r="BU3" i="12"/>
  <c r="BU3" i="33"/>
  <c r="BV10" i="3"/>
  <c r="BV4" i="3" s="1"/>
  <c r="BV2" i="44" s="1" a="1"/>
  <c r="BV2" i="44" s="1"/>
  <c r="AH67" i="26"/>
  <c r="AH141" i="26"/>
  <c r="AI43" i="3"/>
  <c r="AI4" i="38"/>
  <c r="AH143" i="26"/>
  <c r="AH91" i="26"/>
  <c r="AH133" i="26"/>
  <c r="AH147" i="26" s="1"/>
  <c r="AH59" i="26"/>
  <c r="AH139" i="26"/>
  <c r="AH65" i="26"/>
  <c r="AH87" i="26"/>
  <c r="AH62" i="26"/>
  <c r="AH114" i="26"/>
  <c r="AH135" i="26"/>
  <c r="AH78" i="26"/>
  <c r="AH89" i="26"/>
  <c r="AH58" i="26"/>
  <c r="AH66" i="26"/>
  <c r="AH137" i="26"/>
  <c r="AH107" i="26"/>
  <c r="AH116" i="26"/>
  <c r="AH115" i="26"/>
  <c r="AH79" i="26"/>
  <c r="AH95" i="26" s="1"/>
  <c r="AH180" i="1" s="1"/>
  <c r="AH111" i="26"/>
  <c r="AH110" i="26"/>
  <c r="AH82" i="26"/>
  <c r="AH80" i="26"/>
  <c r="AH64" i="26"/>
  <c r="AH56" i="26"/>
  <c r="AH105" i="26"/>
  <c r="AH113" i="26"/>
  <c r="AH140" i="26"/>
  <c r="AH134" i="26"/>
  <c r="AH148" i="26" s="1"/>
  <c r="AH88" i="26"/>
  <c r="AH86" i="26"/>
  <c r="AH234" i="26" s="1"/>
  <c r="AH92" i="26"/>
  <c r="AH57" i="26"/>
  <c r="AH55" i="26"/>
  <c r="AH54" i="26"/>
  <c r="AH53" i="26"/>
  <c r="AH70" i="26" s="1"/>
  <c r="AH233" i="26" s="1"/>
  <c r="AH131" i="26"/>
  <c r="AH130" i="26"/>
  <c r="AH106" i="26"/>
  <c r="AH138" i="26"/>
  <c r="AH142" i="26"/>
  <c r="AH108" i="26"/>
  <c r="AH109" i="26"/>
  <c r="AH84" i="26"/>
  <c r="AH90" i="26"/>
  <c r="AH85" i="26"/>
  <c r="AH83" i="26"/>
  <c r="AH81" i="26"/>
  <c r="AH61" i="26"/>
  <c r="AH63" i="26"/>
  <c r="AH60" i="26"/>
  <c r="AH112" i="26"/>
  <c r="AH235" i="26" s="1"/>
  <c r="AH144" i="26"/>
  <c r="AH118" i="26"/>
  <c r="AH132" i="26"/>
  <c r="AH146" i="26" s="1"/>
  <c r="AH117" i="26"/>
  <c r="AH104" i="26"/>
  <c r="AH136" i="26"/>
  <c r="AH157" i="26"/>
  <c r="AH171" i="26" s="1"/>
  <c r="AH249" i="26" s="1"/>
  <c r="AF168" i="20"/>
  <c r="AH120" i="26"/>
  <c r="AH221" i="26" s="1"/>
  <c r="AH167" i="26"/>
  <c r="AH159" i="26"/>
  <c r="AH830" i="9"/>
  <c r="AH155" i="26"/>
  <c r="AF281" i="26"/>
  <c r="AF154" i="6" s="1"/>
  <c r="AF98" i="30" s="1"/>
  <c r="AF187" i="30" s="1"/>
  <c r="AH158" i="26"/>
  <c r="AH172" i="26" s="1"/>
  <c r="AH236" i="26" s="1"/>
  <c r="V74" i="35"/>
  <c r="AH164" i="26"/>
  <c r="AH165" i="26"/>
  <c r="AH168" i="26"/>
  <c r="AH166" i="26"/>
  <c r="AH160" i="26"/>
  <c r="AH161" i="26"/>
  <c r="AH163" i="26"/>
  <c r="AH162" i="26"/>
  <c r="AH154" i="26"/>
  <c r="AG174" i="26"/>
  <c r="AG208" i="26"/>
  <c r="AG286" i="3"/>
  <c r="AG206" i="26"/>
  <c r="AG97" i="26"/>
  <c r="AG221" i="6" s="1"/>
  <c r="AG293" i="3"/>
  <c r="AG285" i="3"/>
  <c r="AG292" i="3"/>
  <c r="AG282" i="3"/>
  <c r="AG291" i="3"/>
  <c r="AG207" i="26"/>
  <c r="AG123" i="26"/>
  <c r="AG267" i="26" s="1"/>
  <c r="AG283" i="3"/>
  <c r="AG284" i="3"/>
  <c r="AG279" i="3"/>
  <c r="AG294" i="3"/>
  <c r="AG287" i="3"/>
  <c r="AG289" i="3"/>
  <c r="AG281" i="3"/>
  <c r="AG295" i="3"/>
  <c r="AG278" i="3"/>
  <c r="AG280" i="3"/>
  <c r="AG296" i="3"/>
  <c r="AG290" i="3"/>
  <c r="AG288" i="3"/>
  <c r="AG294" i="26"/>
  <c r="AG178" i="1" s="1"/>
  <c r="AL437" i="9"/>
  <c r="AH266" i="3"/>
  <c r="AH220" i="3"/>
  <c r="AH721" i="9" s="1"/>
  <c r="AH271" i="3"/>
  <c r="AH225" i="3"/>
  <c r="AH726" i="9" s="1"/>
  <c r="AH260" i="3"/>
  <c r="AH214" i="3"/>
  <c r="AH715" i="9" s="1"/>
  <c r="AH261" i="3"/>
  <c r="AH215" i="3"/>
  <c r="AH716" i="9" s="1"/>
  <c r="AH262" i="3"/>
  <c r="AH216" i="3"/>
  <c r="AH717" i="9" s="1"/>
  <c r="AH268" i="3"/>
  <c r="AH222" i="3"/>
  <c r="AH723" i="9" s="1"/>
  <c r="AH267" i="3"/>
  <c r="AH221" i="3"/>
  <c r="AH722" i="9" s="1"/>
  <c r="AH259" i="3"/>
  <c r="AH213" i="3"/>
  <c r="AH714" i="9" s="1"/>
  <c r="AH258" i="3"/>
  <c r="AH212" i="3"/>
  <c r="AH713" i="9" s="1"/>
  <c r="AL439" i="9"/>
  <c r="AL446" i="9"/>
  <c r="AH269" i="3"/>
  <c r="AH223" i="3"/>
  <c r="AH724" i="9" s="1"/>
  <c r="AH257" i="3"/>
  <c r="AH211" i="3"/>
  <c r="AH712" i="9" s="1"/>
  <c r="AH270" i="3"/>
  <c r="AH224" i="3"/>
  <c r="AH725" i="9" s="1"/>
  <c r="AL441" i="9"/>
  <c r="AL444" i="9"/>
  <c r="AH265" i="3"/>
  <c r="AH219" i="3"/>
  <c r="AH720" i="9" s="1"/>
  <c r="AH264" i="3"/>
  <c r="AH218" i="3"/>
  <c r="AH719" i="9" s="1"/>
  <c r="AH256" i="3"/>
  <c r="AH210" i="3"/>
  <c r="AH273" i="3"/>
  <c r="AH227" i="3"/>
  <c r="AH728" i="9" s="1"/>
  <c r="AH263" i="3"/>
  <c r="AH217" i="3"/>
  <c r="AH718" i="9" s="1"/>
  <c r="AH272" i="3"/>
  <c r="AH226" i="3"/>
  <c r="AH727" i="9" s="1"/>
  <c r="AL448" i="9"/>
  <c r="AK434" i="9"/>
  <c r="AL507" i="9"/>
  <c r="AL505" i="9"/>
  <c r="AL519" i="9"/>
  <c r="AL514" i="9"/>
  <c r="AL516" i="9"/>
  <c r="AL502" i="9"/>
  <c r="AL509" i="9"/>
  <c r="AL512" i="9"/>
  <c r="AK501" i="9"/>
  <c r="AL149" i="9"/>
  <c r="AL1008" i="9"/>
  <c r="AM143" i="9"/>
  <c r="AM147" i="9" s="1"/>
  <c r="AL415" i="9"/>
  <c r="AM409" i="9" s="1"/>
  <c r="AM413" i="9" s="1"/>
  <c r="AL997" i="9"/>
  <c r="AL1009" i="9"/>
  <c r="AL449" i="9"/>
  <c r="AL995" i="9"/>
  <c r="AL435" i="9"/>
  <c r="AL1002" i="9"/>
  <c r="AL442" i="9"/>
  <c r="AL1004" i="9"/>
  <c r="AL1001" i="9"/>
  <c r="AL999" i="9"/>
  <c r="AL1006" i="9"/>
  <c r="AK73" i="9"/>
  <c r="AK994" i="9"/>
  <c r="AL92" i="9"/>
  <c r="AM86" i="9" s="1"/>
  <c r="AM90" i="9" s="1"/>
  <c r="AL282" i="9"/>
  <c r="AM276" i="9" s="1"/>
  <c r="AM280" i="9" s="1"/>
  <c r="AG277" i="3"/>
  <c r="AL225" i="9"/>
  <c r="AM219" i="9" s="1"/>
  <c r="AM223" i="9" s="1"/>
  <c r="AL358" i="9"/>
  <c r="AM352" i="9" s="1"/>
  <c r="AM356" i="9" s="1"/>
  <c r="AH88" i="3"/>
  <c r="AG134" i="3"/>
  <c r="AG796" i="9" s="1"/>
  <c r="AH84" i="3"/>
  <c r="AG130" i="3"/>
  <c r="AH87" i="3"/>
  <c r="AG133" i="3"/>
  <c r="AH76" i="3"/>
  <c r="AG122" i="3"/>
  <c r="AH83" i="3"/>
  <c r="AG129" i="3"/>
  <c r="AG791" i="9" s="1"/>
  <c r="AI157" i="3"/>
  <c r="AI156" i="3"/>
  <c r="AI139" i="3"/>
  <c r="AI145" i="3"/>
  <c r="AI152" i="3"/>
  <c r="AI141" i="3"/>
  <c r="AH70" i="3"/>
  <c r="AG116" i="3"/>
  <c r="AG778" i="9" s="1"/>
  <c r="AG801" i="9" s="1"/>
  <c r="AH82" i="3"/>
  <c r="AG128" i="3"/>
  <c r="AH85" i="3"/>
  <c r="AG131" i="3"/>
  <c r="AG793" i="9" s="1"/>
  <c r="AH71" i="3"/>
  <c r="AG117" i="3"/>
  <c r="AG779" i="9" s="1"/>
  <c r="AH89" i="3"/>
  <c r="AG135" i="3"/>
  <c r="AI144" i="3"/>
  <c r="AI140" i="3"/>
  <c r="AI150" i="3"/>
  <c r="AI158" i="3"/>
  <c r="AH80" i="3"/>
  <c r="AG126" i="3"/>
  <c r="AH73" i="3"/>
  <c r="AG119" i="3"/>
  <c r="AG781" i="9" s="1"/>
  <c r="AH77" i="3"/>
  <c r="AG123" i="3"/>
  <c r="AH75" i="3"/>
  <c r="AG121" i="3"/>
  <c r="AG783" i="9" s="1"/>
  <c r="AH74" i="3"/>
  <c r="AG120" i="3"/>
  <c r="AH72" i="3"/>
  <c r="AG118" i="3"/>
  <c r="AH81" i="3"/>
  <c r="AG127" i="3"/>
  <c r="AH79" i="3"/>
  <c r="AG125" i="3"/>
  <c r="AH78" i="3"/>
  <c r="AG124" i="3"/>
  <c r="AI154" i="3"/>
  <c r="AI147" i="3"/>
  <c r="AI142" i="3"/>
  <c r="AI155" i="3"/>
  <c r="AI146" i="3"/>
  <c r="AH86" i="3"/>
  <c r="AG132" i="3"/>
  <c r="AI148" i="3"/>
  <c r="AI149" i="3"/>
  <c r="AI153" i="3"/>
  <c r="AI151" i="3"/>
  <c r="AI143" i="3"/>
  <c r="AI5" i="3"/>
  <c r="AL187" i="9"/>
  <c r="AM181" i="9" s="1"/>
  <c r="AM185" i="9" s="1"/>
  <c r="AL320" i="9"/>
  <c r="AM314" i="9" s="1"/>
  <c r="AM318" i="9" s="1"/>
  <c r="AG179" i="20"/>
  <c r="AH121" i="26"/>
  <c r="AH248" i="26" s="1"/>
  <c r="AH119" i="26"/>
  <c r="AH94" i="26"/>
  <c r="AH220" i="26" s="1"/>
  <c r="AH219" i="26"/>
  <c r="AI12" i="3"/>
  <c r="AI3" i="3" s="1"/>
  <c r="AI24" i="3"/>
  <c r="AH111" i="3"/>
  <c r="AH99" i="3"/>
  <c r="AJ8" i="3"/>
  <c r="AH98" i="3"/>
  <c r="AH97" i="3"/>
  <c r="AH95" i="3"/>
  <c r="AH104" i="3"/>
  <c r="AH102" i="3"/>
  <c r="AH101" i="3"/>
  <c r="AH107" i="3"/>
  <c r="AH110" i="3"/>
  <c r="AH106" i="3"/>
  <c r="AH108" i="3"/>
  <c r="AH94" i="3"/>
  <c r="AH112" i="3"/>
  <c r="AH93" i="3"/>
  <c r="AH103" i="3"/>
  <c r="AH105" i="3"/>
  <c r="AH96" i="3"/>
  <c r="AH109" i="3"/>
  <c r="AH100" i="3"/>
  <c r="AH193" i="26" l="1"/>
  <c r="AF64" i="33"/>
  <c r="AF74" i="33"/>
  <c r="AH24" i="32"/>
  <c r="AH153" i="30"/>
  <c r="AI3" i="38"/>
  <c r="AI39" i="3"/>
  <c r="AI346" i="3"/>
  <c r="AI347" i="3"/>
  <c r="AG856" i="9"/>
  <c r="AG806" i="9"/>
  <c r="AH760" i="9" s="1"/>
  <c r="AG854" i="9"/>
  <c r="AG804" i="9"/>
  <c r="AH758" i="9" s="1"/>
  <c r="AG866" i="9"/>
  <c r="AG816" i="9"/>
  <c r="AH770" i="9" s="1"/>
  <c r="AG864" i="9"/>
  <c r="AG814" i="9"/>
  <c r="AH768" i="9" s="1"/>
  <c r="AG869" i="9"/>
  <c r="AG819" i="9"/>
  <c r="AH773" i="9" s="1"/>
  <c r="AH841" i="9"/>
  <c r="AH834" i="9"/>
  <c r="AH839" i="9"/>
  <c r="AH838" i="9"/>
  <c r="AH844" i="9"/>
  <c r="AH843" i="9"/>
  <c r="AG852" i="9"/>
  <c r="AG802" i="9"/>
  <c r="AH832" i="9"/>
  <c r="AH837" i="9"/>
  <c r="AH847" i="9"/>
  <c r="AH842" i="9"/>
  <c r="AH829" i="9"/>
  <c r="AH833" i="9"/>
  <c r="AH846" i="9"/>
  <c r="AH836" i="9"/>
  <c r="AH831" i="9"/>
  <c r="AG261" i="26"/>
  <c r="AH257" i="26" s="1"/>
  <c r="AH68" i="26"/>
  <c r="AH71" i="26" s="1"/>
  <c r="AH259" i="26" s="1"/>
  <c r="AH93" i="26"/>
  <c r="AH97" i="26" s="1"/>
  <c r="AH221" i="6" s="1"/>
  <c r="AH247" i="26"/>
  <c r="AI30" i="3"/>
  <c r="AG223" i="6"/>
  <c r="AG130" i="30" s="1"/>
  <c r="AG180" i="20"/>
  <c r="AF48" i="30"/>
  <c r="BW8" i="3"/>
  <c r="BV5" i="3"/>
  <c r="BV24" i="3"/>
  <c r="BV12" i="3"/>
  <c r="BV3" i="3" s="1"/>
  <c r="AH149" i="26"/>
  <c r="AH711" i="9"/>
  <c r="AH145" i="26"/>
  <c r="AH198" i="26"/>
  <c r="AI5" i="38"/>
  <c r="AI55" i="3"/>
  <c r="AI48" i="3"/>
  <c r="AI163" i="3" s="1"/>
  <c r="AI186" i="3" s="1"/>
  <c r="AI56" i="3"/>
  <c r="AI51" i="3"/>
  <c r="AI63" i="3"/>
  <c r="AI52" i="3"/>
  <c r="AI60" i="3"/>
  <c r="AI57" i="3"/>
  <c r="AI49" i="3"/>
  <c r="AI164" i="3" s="1"/>
  <c r="AI187" i="3" s="1"/>
  <c r="AI54" i="3"/>
  <c r="AI62" i="3"/>
  <c r="AI53" i="3"/>
  <c r="AI64" i="3"/>
  <c r="AI65" i="3"/>
  <c r="AI61" i="3"/>
  <c r="AI50" i="3"/>
  <c r="AI47" i="3"/>
  <c r="AI162" i="3" s="1"/>
  <c r="AI185" i="3" s="1"/>
  <c r="AI59" i="3"/>
  <c r="AI58" i="3"/>
  <c r="AI66" i="3"/>
  <c r="AH756" i="9"/>
  <c r="AG276" i="26"/>
  <c r="AH169" i="26"/>
  <c r="AH173" i="26"/>
  <c r="AH268" i="26" s="1"/>
  <c r="AG851" i="9"/>
  <c r="AG299" i="26"/>
  <c r="AI5" i="33"/>
  <c r="AI5" i="35"/>
  <c r="AI3" i="33"/>
  <c r="AI3" i="35"/>
  <c r="AH294" i="26"/>
  <c r="AH178" i="1" s="1"/>
  <c r="AH207" i="26"/>
  <c r="AH123" i="26"/>
  <c r="AH267" i="26" s="1"/>
  <c r="AI5" i="26"/>
  <c r="AI4" i="33"/>
  <c r="AI4" i="35"/>
  <c r="AM443" i="9"/>
  <c r="AM436" i="9"/>
  <c r="AM433" i="9"/>
  <c r="AM445" i="9"/>
  <c r="AM447" i="9"/>
  <c r="AM438" i="9"/>
  <c r="AM440" i="9"/>
  <c r="AM450" i="9"/>
  <c r="AK503" i="9"/>
  <c r="AK1085" i="9" s="1"/>
  <c r="AL508" i="9"/>
  <c r="AL511" i="9"/>
  <c r="AL518" i="9"/>
  <c r="AL506" i="9"/>
  <c r="AL517" i="9"/>
  <c r="AL504" i="9"/>
  <c r="AL377" i="9"/>
  <c r="AM996" i="9"/>
  <c r="AI3" i="28"/>
  <c r="AI3" i="32"/>
  <c r="AI3" i="30"/>
  <c r="AI5" i="32"/>
  <c r="AI5" i="30"/>
  <c r="AI16" i="3"/>
  <c r="AI18" i="3" s="1"/>
  <c r="AI4" i="32"/>
  <c r="AI4" i="30"/>
  <c r="AM1010" i="9"/>
  <c r="AM162" i="9"/>
  <c r="AM166" i="9" s="1"/>
  <c r="AL168" i="9"/>
  <c r="AL130" i="9"/>
  <c r="AL263" i="9"/>
  <c r="AM257" i="9" s="1"/>
  <c r="AM261" i="9" s="1"/>
  <c r="AL396" i="9"/>
  <c r="AL339" i="9"/>
  <c r="AL515" i="9"/>
  <c r="AL301" i="9"/>
  <c r="AL513" i="9"/>
  <c r="AL244" i="9"/>
  <c r="AL510" i="9"/>
  <c r="AL206" i="9"/>
  <c r="AK111" i="9"/>
  <c r="AL67" i="9"/>
  <c r="AL71" i="9" s="1"/>
  <c r="AM200" i="9"/>
  <c r="AM204" i="9" s="1"/>
  <c r="AM390" i="9"/>
  <c r="AM394" i="9" s="1"/>
  <c r="AM295" i="9"/>
  <c r="AM299" i="9" s="1"/>
  <c r="AM371" i="9"/>
  <c r="AM375" i="9" s="1"/>
  <c r="AM238" i="9"/>
  <c r="AM242" i="9" s="1"/>
  <c r="AM333" i="9"/>
  <c r="AM337" i="9" s="1"/>
  <c r="AM124" i="9"/>
  <c r="AM128" i="9" s="1"/>
  <c r="AM1003" i="9"/>
  <c r="AI178" i="3"/>
  <c r="AI201" i="3" s="1"/>
  <c r="AI174" i="3"/>
  <c r="AI197" i="3" s="1"/>
  <c r="AI165" i="3"/>
  <c r="AI188" i="3" s="1"/>
  <c r="AI167" i="3"/>
  <c r="AI190" i="3" s="1"/>
  <c r="AI175" i="3"/>
  <c r="AI198" i="3" s="1"/>
  <c r="AI180" i="3"/>
  <c r="AI203" i="3" s="1"/>
  <c r="AI166" i="3"/>
  <c r="AI189" i="3" s="1"/>
  <c r="AI179" i="3"/>
  <c r="AI202" i="3" s="1"/>
  <c r="AI176" i="3"/>
  <c r="AI199" i="3" s="1"/>
  <c r="AI170" i="3"/>
  <c r="AI193" i="3" s="1"/>
  <c r="AI181" i="3"/>
  <c r="AI204" i="3" s="1"/>
  <c r="AI168" i="3"/>
  <c r="AI191" i="3" s="1"/>
  <c r="AI171" i="3"/>
  <c r="AI194" i="3" s="1"/>
  <c r="AI172" i="3"/>
  <c r="AI195" i="3" s="1"/>
  <c r="AI169" i="3"/>
  <c r="AI192" i="3" s="1"/>
  <c r="AI177" i="3"/>
  <c r="AI200" i="3" s="1"/>
  <c r="AI173" i="3"/>
  <c r="AI196" i="3" s="1"/>
  <c r="AM993" i="9"/>
  <c r="AM1000" i="9"/>
  <c r="AM1007" i="9"/>
  <c r="AH238" i="3"/>
  <c r="AH739" i="9" s="1"/>
  <c r="AH241" i="3"/>
  <c r="AH742" i="9" s="1"/>
  <c r="AH233" i="3"/>
  <c r="AH246" i="3"/>
  <c r="AH237" i="3"/>
  <c r="AH738" i="9" s="1"/>
  <c r="AH247" i="3"/>
  <c r="AH748" i="9" s="1"/>
  <c r="AH235" i="3"/>
  <c r="AH240" i="3"/>
  <c r="AH248" i="3"/>
  <c r="AH234" i="3"/>
  <c r="AH735" i="9" s="1"/>
  <c r="AH239" i="3"/>
  <c r="AH740" i="9" s="1"/>
  <c r="AH250" i="3"/>
  <c r="AH751" i="9" s="1"/>
  <c r="AH245" i="3"/>
  <c r="AH243" i="3"/>
  <c r="AH744" i="9" s="1"/>
  <c r="AH242" i="3"/>
  <c r="AH236" i="3"/>
  <c r="AH737" i="9" s="1"/>
  <c r="AH244" i="3"/>
  <c r="AH249" i="3"/>
  <c r="AH750" i="9" s="1"/>
  <c r="AI4" i="11"/>
  <c r="AI5" i="28"/>
  <c r="AM1005" i="9"/>
  <c r="AM998" i="9"/>
  <c r="AG107" i="6"/>
  <c r="AG111" i="6" s="1"/>
  <c r="AI4" i="16"/>
  <c r="AI4" i="9"/>
  <c r="AI4" i="26"/>
  <c r="AI4" i="28"/>
  <c r="AH179" i="1"/>
  <c r="AI4" i="12"/>
  <c r="AI3" i="26"/>
  <c r="AI5" i="22"/>
  <c r="AI5" i="20"/>
  <c r="AI4" i="22"/>
  <c r="AI4" i="20"/>
  <c r="AI3" i="22"/>
  <c r="AI3" i="20"/>
  <c r="AI5" i="16"/>
  <c r="AI5" i="12"/>
  <c r="AI5" i="11"/>
  <c r="AI5" i="9"/>
  <c r="AJ10" i="3"/>
  <c r="AJ4" i="3" s="1"/>
  <c r="AJ2" i="44" s="1" a="1"/>
  <c r="AJ2" i="44" s="1"/>
  <c r="AI3" i="16"/>
  <c r="AI3" i="12"/>
  <c r="AI3" i="11"/>
  <c r="AI3" i="9"/>
  <c r="AI705" i="9" l="1"/>
  <c r="AH734" i="9"/>
  <c r="AH747" i="9"/>
  <c r="AI701" i="9" s="1"/>
  <c r="AH746" i="9"/>
  <c r="AI700" i="9" s="1"/>
  <c r="AI693" i="9"/>
  <c r="AH745" i="9"/>
  <c r="AI699" i="9" s="1"/>
  <c r="AH743" i="9"/>
  <c r="AI697" i="9" s="1"/>
  <c r="AI692" i="9"/>
  <c r="AH749" i="9"/>
  <c r="AI703" i="9" s="1"/>
  <c r="AH736" i="9"/>
  <c r="AI690" i="9" s="1"/>
  <c r="AH741" i="9"/>
  <c r="AI695" i="9" s="1"/>
  <c r="AI691" i="9"/>
  <c r="AI694" i="9"/>
  <c r="AI704" i="9"/>
  <c r="AI698" i="9"/>
  <c r="AI689" i="9"/>
  <c r="AI702" i="9"/>
  <c r="AI696" i="9"/>
  <c r="AI172" i="20" a="1"/>
  <c r="AI172" i="20" s="1"/>
  <c r="AI150" i="20" a="1"/>
  <c r="AI150" i="20" s="1"/>
  <c r="AI146" i="20" a="1"/>
  <c r="AI146" i="20" s="1"/>
  <c r="AI145" i="20" a="1"/>
  <c r="AI145" i="20" s="1"/>
  <c r="AI144" i="20" a="1"/>
  <c r="AI144" i="20" s="1"/>
  <c r="AI181" i="20" a="1"/>
  <c r="AI181" i="20" s="1"/>
  <c r="AI154" i="20" a="1"/>
  <c r="AI154" i="20" s="1"/>
  <c r="AI169" i="20" a="1"/>
  <c r="AI169" i="20" s="1"/>
  <c r="AI131" i="20" a="1"/>
  <c r="AI131" i="20" s="1"/>
  <c r="AI129" i="20" a="1"/>
  <c r="AI129" i="20" s="1"/>
  <c r="AI128" i="20" a="1"/>
  <c r="AI128" i="20" s="1"/>
  <c r="AI127" i="20" a="1"/>
  <c r="AI127" i="20" s="1"/>
  <c r="AI126" i="20" a="1"/>
  <c r="AI126" i="20" s="1"/>
  <c r="AI148" i="20" a="1"/>
  <c r="AI148" i="20" s="1"/>
  <c r="AI149" i="20" a="1"/>
  <c r="AI149" i="20" s="1"/>
  <c r="AI142" i="20" a="1"/>
  <c r="AI142" i="20" s="1"/>
  <c r="AI140" i="20" a="1"/>
  <c r="AI140" i="20" s="1"/>
  <c r="AI138" i="20" a="1"/>
  <c r="AI138" i="20" s="1"/>
  <c r="AI133" i="20" a="1"/>
  <c r="AI133" i="20" s="1"/>
  <c r="AI125" i="20" a="1"/>
  <c r="AI125" i="20" s="1"/>
  <c r="AI124" i="20" a="1"/>
  <c r="AI124" i="20" s="1"/>
  <c r="AI123" i="20" a="1"/>
  <c r="AI123" i="20" s="1"/>
  <c r="AI122" i="20" a="1"/>
  <c r="AI122" i="20" s="1"/>
  <c r="AI115" i="20" a="1"/>
  <c r="AI115" i="20" s="1"/>
  <c r="AI112" i="20" a="1"/>
  <c r="AI112" i="20" s="1"/>
  <c r="AI111" i="20" a="1"/>
  <c r="AI111" i="20" s="1"/>
  <c r="AI110" i="20" a="1"/>
  <c r="AI110" i="20" s="1"/>
  <c r="AI106" i="20" a="1"/>
  <c r="AI106" i="20" s="1"/>
  <c r="AI198" i="20" a="1"/>
  <c r="AI198" i="20" s="1"/>
  <c r="AI139" i="20" a="1"/>
  <c r="AI139" i="20" s="1"/>
  <c r="AI132" i="20" a="1"/>
  <c r="AI132" i="20" s="1"/>
  <c r="AI105" i="20" a="1"/>
  <c r="AI105" i="20" s="1"/>
  <c r="AI143" i="20" a="1"/>
  <c r="AI143" i="20" s="1"/>
  <c r="AI137" i="20" a="1"/>
  <c r="AI137" i="20" s="1"/>
  <c r="AI141" i="20" a="1"/>
  <c r="AI141" i="20" s="1"/>
  <c r="AI104" i="20" a="1"/>
  <c r="AI104" i="20" s="1"/>
  <c r="AI103" i="20" a="1"/>
  <c r="AI103" i="20" s="1"/>
  <c r="AI102" i="20" a="1"/>
  <c r="AI102" i="20" s="1"/>
  <c r="AI101" i="20" a="1"/>
  <c r="AI101" i="20" s="1"/>
  <c r="AI97" i="20" a="1"/>
  <c r="AI97" i="20" s="1"/>
  <c r="AI96" i="20" a="1"/>
  <c r="AI96" i="20" s="1"/>
  <c r="AI95" i="20" a="1"/>
  <c r="AI95" i="20" s="1"/>
  <c r="AI94" i="20" a="1"/>
  <c r="AI94" i="20" s="1"/>
  <c r="AI93" i="20" a="1"/>
  <c r="AI93" i="20" s="1"/>
  <c r="AI92" i="20" a="1"/>
  <c r="AI92" i="20" s="1"/>
  <c r="AI91" i="20" a="1"/>
  <c r="AI91" i="20" s="1"/>
  <c r="AI90" i="20" a="1"/>
  <c r="AI90" i="20" s="1"/>
  <c r="AI89" i="20" a="1"/>
  <c r="AI89" i="20" s="1"/>
  <c r="AI88" i="20" a="1"/>
  <c r="AI88" i="20" s="1"/>
  <c r="AI87" i="20" a="1"/>
  <c r="AI87" i="20" s="1"/>
  <c r="AI83" i="20" a="1"/>
  <c r="AI83" i="20" s="1"/>
  <c r="AI81" i="20" a="1"/>
  <c r="AI81" i="20" s="1"/>
  <c r="AI77" i="20" a="1"/>
  <c r="AI77" i="20" s="1"/>
  <c r="AI73" i="20" a="1"/>
  <c r="AI73" i="20" s="1"/>
  <c r="AI66" i="20" a="1"/>
  <c r="AI66" i="20" s="1"/>
  <c r="AI59" i="20" a="1"/>
  <c r="AI59" i="20" s="1"/>
  <c r="AI55" i="20" a="1"/>
  <c r="AI55" i="20" s="1"/>
  <c r="AI48" i="20" a="1"/>
  <c r="AI48" i="20" s="1"/>
  <c r="AI41" i="20" a="1"/>
  <c r="AI41" i="20" s="1"/>
  <c r="AI38" i="20" a="1"/>
  <c r="AI38" i="20" s="1"/>
  <c r="AI36" i="20" a="1"/>
  <c r="AI36" i="20" s="1"/>
  <c r="AI35" i="20" a="1"/>
  <c r="AI35" i="20" s="1"/>
  <c r="AI34" i="20" a="1"/>
  <c r="AI34" i="20" s="1"/>
  <c r="AI33" i="20" a="1"/>
  <c r="AI33" i="20" s="1"/>
  <c r="AI32" i="20" a="1"/>
  <c r="AI32" i="20" s="1"/>
  <c r="AI29" i="20" a="1"/>
  <c r="AI29" i="20" s="1"/>
  <c r="AI27" i="20" a="1"/>
  <c r="AI27" i="20" s="1"/>
  <c r="AI26" i="20" a="1"/>
  <c r="AI26" i="20" s="1"/>
  <c r="AI25" i="20" a="1"/>
  <c r="AI25" i="20" s="1"/>
  <c r="AI24" i="20" a="1"/>
  <c r="AI24" i="20" s="1"/>
  <c r="AI23" i="20" a="1"/>
  <c r="AI23" i="20" s="1"/>
  <c r="AI22" i="20" a="1"/>
  <c r="AI22" i="20" s="1"/>
  <c r="AI21" i="20" a="1"/>
  <c r="AI21" i="20" s="1"/>
  <c r="AI20" i="20" a="1"/>
  <c r="AI20" i="20" s="1"/>
  <c r="AI19" i="20" a="1"/>
  <c r="AI19" i="20" s="1"/>
  <c r="AI16" i="20" a="1"/>
  <c r="AI16" i="20" s="1"/>
  <c r="AI13" i="20" a="1"/>
  <c r="AI13" i="20" s="1"/>
  <c r="AI12" i="20" a="1"/>
  <c r="AI12" i="20" s="1"/>
  <c r="AI82" i="20" a="1"/>
  <c r="AI82" i="20" s="1"/>
  <c r="AI74" i="20" a="1"/>
  <c r="AI74" i="20" s="1"/>
  <c r="AI61" i="20" a="1"/>
  <c r="AI61" i="20" s="1"/>
  <c r="AI56" i="20" a="1"/>
  <c r="AI56" i="20" s="1"/>
  <c r="AI80" i="20" a="1"/>
  <c r="AI80" i="20" s="1"/>
  <c r="AI76" i="20" a="1"/>
  <c r="AI76" i="20" s="1"/>
  <c r="AI72" i="20" a="1"/>
  <c r="AI72" i="20" s="1"/>
  <c r="AI65" i="20" a="1"/>
  <c r="AI65" i="20" s="1"/>
  <c r="AI58" i="20" a="1"/>
  <c r="AI58" i="20" s="1"/>
  <c r="AI54" i="20" a="1"/>
  <c r="AI54" i="20" s="1"/>
  <c r="AI47" i="20" a="1"/>
  <c r="AI47" i="20" s="1"/>
  <c r="AI45" i="20" a="1"/>
  <c r="AI45" i="20" s="1"/>
  <c r="AI43" i="20" a="1"/>
  <c r="AI43" i="20" s="1"/>
  <c r="AI79" i="20" a="1"/>
  <c r="AI79" i="20" s="1"/>
  <c r="AI75" i="20" a="1"/>
  <c r="AI75" i="20" s="1"/>
  <c r="AI71" i="20" a="1"/>
  <c r="AI71" i="20" s="1"/>
  <c r="AI64" i="20" a="1"/>
  <c r="AI64" i="20" s="1"/>
  <c r="AI57" i="20" a="1"/>
  <c r="AI57" i="20" s="1"/>
  <c r="AI53" i="20" a="1"/>
  <c r="AI53" i="20" s="1"/>
  <c r="AI46" i="20" a="1"/>
  <c r="AI46" i="20" s="1"/>
  <c r="AI78" i="20" a="1"/>
  <c r="AI78" i="20" s="1"/>
  <c r="AI68" i="20" a="1"/>
  <c r="AI68" i="20" s="1"/>
  <c r="AI50" i="20" a="1"/>
  <c r="AI50" i="20" s="1"/>
  <c r="AI44" i="20" a="1"/>
  <c r="AI44" i="20" s="1"/>
  <c r="AI42" i="20" a="1"/>
  <c r="AI42" i="20" s="1"/>
  <c r="AI117" i="20"/>
  <c r="AG52" i="30"/>
  <c r="AG183" i="1"/>
  <c r="AI64" i="9"/>
  <c r="AI140" i="9"/>
  <c r="AI178" i="9"/>
  <c r="AI216" i="9"/>
  <c r="AI254" i="9"/>
  <c r="AI292" i="9"/>
  <c r="AI330" i="9"/>
  <c r="AI368" i="9"/>
  <c r="AI406" i="9"/>
  <c r="AI102" i="9"/>
  <c r="AI235" i="9"/>
  <c r="AI387" i="9"/>
  <c r="AI121" i="9"/>
  <c r="AI273" i="9"/>
  <c r="AI83" i="9"/>
  <c r="AI159" i="9"/>
  <c r="AI197" i="9"/>
  <c r="AI349" i="9"/>
  <c r="AI425" i="9"/>
  <c r="AI311" i="9"/>
  <c r="AI133" i="26"/>
  <c r="AI147" i="26" s="1"/>
  <c r="AI192" i="26"/>
  <c r="AI180" i="26"/>
  <c r="AI194" i="26" s="1"/>
  <c r="AI295" i="26" s="1"/>
  <c r="AI186" i="26"/>
  <c r="AI191" i="26"/>
  <c r="AI184" i="26"/>
  <c r="AI182" i="26"/>
  <c r="AI196" i="26" s="1"/>
  <c r="AI297" i="26" s="1"/>
  <c r="AI189" i="26"/>
  <c r="AI187" i="26"/>
  <c r="AI183" i="26"/>
  <c r="AI178" i="26"/>
  <c r="AI190" i="26"/>
  <c r="AI188" i="26"/>
  <c r="AI179" i="26"/>
  <c r="AI185" i="26"/>
  <c r="AI181" i="26"/>
  <c r="AI195" i="26" s="1"/>
  <c r="AI296" i="26" s="1"/>
  <c r="AH261" i="26"/>
  <c r="AH34" i="6" s="1"/>
  <c r="AH69" i="30" s="1"/>
  <c r="AG34" i="6"/>
  <c r="AG69" i="30" s="1"/>
  <c r="AH208" i="26"/>
  <c r="AH206" i="26"/>
  <c r="AH205" i="26"/>
  <c r="AH220" i="6"/>
  <c r="AH223" i="6" s="1"/>
  <c r="AH130" i="30" s="1"/>
  <c r="AH180" i="20"/>
  <c r="BV3" i="38"/>
  <c r="BV3" i="35"/>
  <c r="BV3" i="28"/>
  <c r="BV3" i="16"/>
  <c r="BV3" i="32"/>
  <c r="BV3" i="12"/>
  <c r="BV3" i="11"/>
  <c r="BV3" i="30"/>
  <c r="BV3" i="22"/>
  <c r="BV3" i="9"/>
  <c r="BV3" i="33"/>
  <c r="BV3" i="26"/>
  <c r="BV3" i="20"/>
  <c r="BW10" i="3"/>
  <c r="BW4" i="3" s="1"/>
  <c r="BW2" i="44" s="1" a="1"/>
  <c r="BW2" i="44" s="1"/>
  <c r="AH150" i="26"/>
  <c r="AH180" i="30" s="1"/>
  <c r="AJ43" i="3"/>
  <c r="AG178" i="20"/>
  <c r="AG183" i="20" s="1"/>
  <c r="AG281" i="26"/>
  <c r="AG154" i="6" s="1"/>
  <c r="AG98" i="30" s="1"/>
  <c r="AG187" i="30" s="1"/>
  <c r="AH174" i="26"/>
  <c r="AH299" i="26"/>
  <c r="AI155" i="26"/>
  <c r="AI161" i="26"/>
  <c r="AI168" i="26"/>
  <c r="AI154" i="26"/>
  <c r="AI159" i="26"/>
  <c r="AI156" i="26"/>
  <c r="AI170" i="26" s="1"/>
  <c r="AI222" i="26" s="1"/>
  <c r="AI163" i="26"/>
  <c r="AI158" i="26"/>
  <c r="AI172" i="26" s="1"/>
  <c r="AI236" i="26" s="1"/>
  <c r="AI160" i="26"/>
  <c r="AI167" i="26"/>
  <c r="AI157" i="26"/>
  <c r="AI171" i="26" s="1"/>
  <c r="AI249" i="26" s="1"/>
  <c r="AI165" i="26"/>
  <c r="AI162" i="26"/>
  <c r="AI164" i="26"/>
  <c r="AI166" i="26"/>
  <c r="AI83" i="26"/>
  <c r="AI137" i="26"/>
  <c r="AI60" i="26"/>
  <c r="AI112" i="26"/>
  <c r="AI235" i="26" s="1"/>
  <c r="AI80" i="26"/>
  <c r="AI109" i="26"/>
  <c r="AI63" i="26"/>
  <c r="AI113" i="26"/>
  <c r="AI115" i="26"/>
  <c r="AI86" i="26"/>
  <c r="AI234" i="26" s="1"/>
  <c r="AI64" i="26"/>
  <c r="AI131" i="26"/>
  <c r="AK94" i="6"/>
  <c r="AK88" i="35"/>
  <c r="AH291" i="3"/>
  <c r="AH287" i="3"/>
  <c r="AI62" i="26"/>
  <c r="AI140" i="26"/>
  <c r="AI106" i="26"/>
  <c r="AI108" i="26"/>
  <c r="AH282" i="3"/>
  <c r="AH296" i="3"/>
  <c r="AH294" i="3"/>
  <c r="AH283" i="3"/>
  <c r="AH284" i="3"/>
  <c r="AH280" i="3"/>
  <c r="AI92" i="26"/>
  <c r="AI78" i="26"/>
  <c r="AI94" i="26" s="1"/>
  <c r="AI220" i="26" s="1"/>
  <c r="AI59" i="26"/>
  <c r="AI144" i="26"/>
  <c r="AI132" i="26"/>
  <c r="AI146" i="26" s="1"/>
  <c r="AI91" i="26"/>
  <c r="AI84" i="26"/>
  <c r="AI82" i="26"/>
  <c r="AI85" i="26"/>
  <c r="AI65" i="26"/>
  <c r="AI61" i="26"/>
  <c r="AI58" i="26"/>
  <c r="AI57" i="26"/>
  <c r="AI111" i="26"/>
  <c r="AI138" i="26"/>
  <c r="AI110" i="26"/>
  <c r="AI114" i="26"/>
  <c r="AI104" i="26"/>
  <c r="AI139" i="26"/>
  <c r="AI107" i="26"/>
  <c r="AI141" i="26"/>
  <c r="AH288" i="3"/>
  <c r="AH286" i="3"/>
  <c r="AH292" i="3"/>
  <c r="AH290" i="3"/>
  <c r="AH293" i="3"/>
  <c r="AI90" i="26"/>
  <c r="AI89" i="26"/>
  <c r="AI67" i="26"/>
  <c r="AI66" i="26"/>
  <c r="AI105" i="26"/>
  <c r="AI117" i="26"/>
  <c r="AI79" i="26"/>
  <c r="AI95" i="26" s="1"/>
  <c r="AI180" i="1" s="1"/>
  <c r="AI81" i="26"/>
  <c r="AI87" i="26"/>
  <c r="AI88" i="26"/>
  <c r="AI56" i="26"/>
  <c r="AI55" i="26"/>
  <c r="AI54" i="26"/>
  <c r="AI53" i="26"/>
  <c r="AI136" i="26"/>
  <c r="AI116" i="26"/>
  <c r="AI134" i="26"/>
  <c r="AI148" i="26" s="1"/>
  <c r="AI143" i="26"/>
  <c r="AI130" i="26"/>
  <c r="AI118" i="26"/>
  <c r="AI135" i="26"/>
  <c r="AI142" i="26"/>
  <c r="AH295" i="3"/>
  <c r="AH289" i="3"/>
  <c r="AH285" i="3"/>
  <c r="AH281" i="3"/>
  <c r="AH279" i="3"/>
  <c r="AI261" i="3"/>
  <c r="AI215" i="3"/>
  <c r="AI716" i="9" s="1"/>
  <c r="AI260" i="3"/>
  <c r="AI214" i="3"/>
  <c r="AI715" i="9" s="1"/>
  <c r="AI271" i="3"/>
  <c r="AI225" i="3"/>
  <c r="AI726" i="9" s="1"/>
  <c r="AI267" i="3"/>
  <c r="AI221" i="3"/>
  <c r="AI722" i="9" s="1"/>
  <c r="AI256" i="3"/>
  <c r="AI210" i="3"/>
  <c r="AM444" i="9"/>
  <c r="AI264" i="3"/>
  <c r="AI218" i="3"/>
  <c r="AI719" i="9" s="1"/>
  <c r="AI273" i="3"/>
  <c r="AI227" i="3"/>
  <c r="AI728" i="9" s="1"/>
  <c r="AI259" i="3"/>
  <c r="AI213" i="3"/>
  <c r="AI714" i="9" s="1"/>
  <c r="AI270" i="3"/>
  <c r="AI224" i="3"/>
  <c r="AI725" i="9" s="1"/>
  <c r="AM446" i="9"/>
  <c r="AM437" i="9"/>
  <c r="AI265" i="3"/>
  <c r="AI219" i="3"/>
  <c r="AI720" i="9" s="1"/>
  <c r="AI263" i="3"/>
  <c r="AI217" i="3"/>
  <c r="AI718" i="9" s="1"/>
  <c r="AI262" i="3"/>
  <c r="AI216" i="3"/>
  <c r="AI717" i="9" s="1"/>
  <c r="AI258" i="3"/>
  <c r="AI212" i="3"/>
  <c r="AI713" i="9" s="1"/>
  <c r="AI257" i="3"/>
  <c r="AI211" i="3"/>
  <c r="AI712" i="9" s="1"/>
  <c r="AM441" i="9"/>
  <c r="AM439" i="9"/>
  <c r="AL432" i="9"/>
  <c r="AM442" i="9"/>
  <c r="AI269" i="3"/>
  <c r="AI223" i="3"/>
  <c r="AI724" i="9" s="1"/>
  <c r="AI268" i="3"/>
  <c r="AI222" i="3"/>
  <c r="AI723" i="9" s="1"/>
  <c r="AI272" i="3"/>
  <c r="AI226" i="3"/>
  <c r="AI727" i="9" s="1"/>
  <c r="AI266" i="3"/>
  <c r="AI220" i="3"/>
  <c r="AI721" i="9" s="1"/>
  <c r="AM448" i="9"/>
  <c r="AM516" i="9"/>
  <c r="AM505" i="9"/>
  <c r="AM502" i="9"/>
  <c r="AM507" i="9"/>
  <c r="AM519" i="9"/>
  <c r="AM514" i="9"/>
  <c r="AM509" i="9"/>
  <c r="AM512" i="9"/>
  <c r="AM149" i="9"/>
  <c r="AN143" i="9" s="1"/>
  <c r="AN147" i="9" s="1"/>
  <c r="AG114" i="6"/>
  <c r="AG116" i="30" s="1"/>
  <c r="AM415" i="9"/>
  <c r="AN409" i="9" s="1"/>
  <c r="AN413" i="9" s="1"/>
  <c r="AM997" i="9"/>
  <c r="AM1002" i="9"/>
  <c r="AM1009" i="9"/>
  <c r="AM449" i="9"/>
  <c r="AM995" i="9"/>
  <c r="AM435" i="9"/>
  <c r="AM1001" i="9"/>
  <c r="AM999" i="9"/>
  <c r="AM1004" i="9"/>
  <c r="AM1006" i="9"/>
  <c r="AL992" i="9"/>
  <c r="AL105" i="9"/>
  <c r="AL109" i="9" s="1"/>
  <c r="AM1008" i="9"/>
  <c r="AM282" i="9"/>
  <c r="AN276" i="9" s="1"/>
  <c r="AN280" i="9" s="1"/>
  <c r="AM92" i="9"/>
  <c r="AN86" i="9" s="1"/>
  <c r="AN90" i="9" s="1"/>
  <c r="AM225" i="9"/>
  <c r="AN219" i="9" s="1"/>
  <c r="AN223" i="9" s="1"/>
  <c r="AM358" i="9"/>
  <c r="AN352" i="9" s="1"/>
  <c r="AN356" i="9" s="1"/>
  <c r="AI85" i="3"/>
  <c r="AH131" i="3"/>
  <c r="AH793" i="9" s="1"/>
  <c r="AI83" i="3"/>
  <c r="AH129" i="3"/>
  <c r="AH791" i="9" s="1"/>
  <c r="AI73" i="3"/>
  <c r="AH119" i="3"/>
  <c r="AH781" i="9" s="1"/>
  <c r="AI89" i="3"/>
  <c r="AH135" i="3"/>
  <c r="AI72" i="3"/>
  <c r="AH118" i="3"/>
  <c r="AI84" i="3"/>
  <c r="AH130" i="3"/>
  <c r="AJ146" i="3"/>
  <c r="AJ157" i="3"/>
  <c r="AJ150" i="3"/>
  <c r="AJ155" i="3"/>
  <c r="AI78" i="3"/>
  <c r="AH124" i="3"/>
  <c r="AI86" i="3"/>
  <c r="AH132" i="3"/>
  <c r="AI75" i="3"/>
  <c r="AH121" i="3"/>
  <c r="AH783" i="9" s="1"/>
  <c r="AI76" i="3"/>
  <c r="AH122" i="3"/>
  <c r="AJ152" i="3"/>
  <c r="AJ143" i="3"/>
  <c r="AJ145" i="3"/>
  <c r="AJ153" i="3"/>
  <c r="AI82" i="3"/>
  <c r="AH128" i="3"/>
  <c r="AI81" i="3"/>
  <c r="AH127" i="3"/>
  <c r="AI74" i="3"/>
  <c r="AH120" i="3"/>
  <c r="AI80" i="3"/>
  <c r="AH126" i="3"/>
  <c r="AI70" i="3"/>
  <c r="AH116" i="3"/>
  <c r="AH254" i="3" s="1"/>
  <c r="AI71" i="3"/>
  <c r="AH117" i="3"/>
  <c r="AI87" i="3"/>
  <c r="AH133" i="3"/>
  <c r="AJ156" i="3"/>
  <c r="AJ151" i="3"/>
  <c r="AJ139" i="3"/>
  <c r="AJ158" i="3"/>
  <c r="AJ144" i="3"/>
  <c r="AJ141" i="3"/>
  <c r="AJ154" i="3"/>
  <c r="AI77" i="3"/>
  <c r="AH123" i="3"/>
  <c r="AI88" i="3"/>
  <c r="AH134" i="3"/>
  <c r="AH796" i="9" s="1"/>
  <c r="AI79" i="3"/>
  <c r="AH125" i="3"/>
  <c r="AJ140" i="3"/>
  <c r="AJ149" i="3"/>
  <c r="AJ142" i="3"/>
  <c r="AJ148" i="3"/>
  <c r="AJ147" i="3"/>
  <c r="AJ5" i="3"/>
  <c r="AM187" i="9"/>
  <c r="AN181" i="9" s="1"/>
  <c r="AN185" i="9" s="1"/>
  <c r="AM320" i="9"/>
  <c r="AN314" i="9" s="1"/>
  <c r="AN318" i="9" s="1"/>
  <c r="AH107" i="6"/>
  <c r="AG168" i="20"/>
  <c r="AH179" i="20"/>
  <c r="AI219" i="26"/>
  <c r="AI121" i="26"/>
  <c r="AI248" i="26" s="1"/>
  <c r="AJ12" i="3"/>
  <c r="AJ3" i="3" s="1"/>
  <c r="AJ24" i="3"/>
  <c r="AJ4" i="38"/>
  <c r="AI106" i="3"/>
  <c r="AI112" i="3"/>
  <c r="AI107" i="3"/>
  <c r="AI101" i="3"/>
  <c r="AI98" i="3"/>
  <c r="AI97" i="3"/>
  <c r="AI103" i="3"/>
  <c r="AI93" i="3"/>
  <c r="AI94" i="3"/>
  <c r="AI110" i="3"/>
  <c r="AI96" i="3"/>
  <c r="AI95" i="3"/>
  <c r="AK8" i="3"/>
  <c r="AI104" i="3"/>
  <c r="AI109" i="3"/>
  <c r="AI99" i="3"/>
  <c r="AI105" i="3"/>
  <c r="AI100" i="3"/>
  <c r="AI108" i="3"/>
  <c r="AI111" i="3"/>
  <c r="AI102" i="3"/>
  <c r="AG64" i="33" l="1"/>
  <c r="AG74" i="33"/>
  <c r="AI24" i="32"/>
  <c r="AI153" i="30"/>
  <c r="AH52" i="30"/>
  <c r="AG50" i="30"/>
  <c r="AJ3" i="38"/>
  <c r="AJ39" i="3"/>
  <c r="AH183" i="1"/>
  <c r="AJ346" i="3"/>
  <c r="AJ347" i="3"/>
  <c r="AH854" i="9"/>
  <c r="AH804" i="9"/>
  <c r="AI758" i="9" s="1"/>
  <c r="AI842" i="9"/>
  <c r="AH869" i="9"/>
  <c r="AH819" i="9"/>
  <c r="AI773" i="9" s="1"/>
  <c r="AH856" i="9"/>
  <c r="AH806" i="9"/>
  <c r="AI760" i="9" s="1"/>
  <c r="AH866" i="9"/>
  <c r="AH816" i="9"/>
  <c r="AI770" i="9" s="1"/>
  <c r="AI846" i="9"/>
  <c r="AI844" i="9"/>
  <c r="AI836" i="9"/>
  <c r="AI833" i="9"/>
  <c r="AI832" i="9"/>
  <c r="AI838" i="9"/>
  <c r="AH864" i="9"/>
  <c r="AH814" i="9"/>
  <c r="AI768" i="9" s="1"/>
  <c r="AI834" i="9"/>
  <c r="AI837" i="9"/>
  <c r="AI831" i="9"/>
  <c r="AI841" i="9"/>
  <c r="AI839" i="9"/>
  <c r="AI843" i="9"/>
  <c r="AI847" i="9"/>
  <c r="AI257" i="26"/>
  <c r="AI68" i="26"/>
  <c r="AI205" i="26" s="1"/>
  <c r="AI70" i="26"/>
  <c r="AI233" i="26" s="1"/>
  <c r="AI247" i="26"/>
  <c r="AJ30" i="3"/>
  <c r="AG48" i="30"/>
  <c r="BW5" i="3"/>
  <c r="BW12" i="3"/>
  <c r="BW3" i="3" s="1"/>
  <c r="BW24" i="3"/>
  <c r="AH72" i="33"/>
  <c r="AH255" i="3"/>
  <c r="AH278" i="3" s="1"/>
  <c r="AH209" i="3"/>
  <c r="AI93" i="26"/>
  <c r="AI206" i="26" s="1"/>
  <c r="AI169" i="26"/>
  <c r="AI145" i="26"/>
  <c r="AI193" i="26"/>
  <c r="AI294" i="26" s="1"/>
  <c r="AI120" i="26"/>
  <c r="AI221" i="26" s="1"/>
  <c r="AJ5" i="38"/>
  <c r="AJ51" i="3"/>
  <c r="AJ55" i="3"/>
  <c r="AJ48" i="3"/>
  <c r="AJ163" i="3" s="1"/>
  <c r="AJ186" i="3" s="1"/>
  <c r="AJ56" i="3"/>
  <c r="AJ60" i="3"/>
  <c r="AJ52" i="3"/>
  <c r="AJ61" i="3"/>
  <c r="AJ63" i="3"/>
  <c r="AJ57" i="3"/>
  <c r="AJ49" i="3"/>
  <c r="AJ54" i="3"/>
  <c r="AJ62" i="3"/>
  <c r="AJ47" i="3"/>
  <c r="AJ162" i="3" s="1"/>
  <c r="AJ185" i="3" s="1"/>
  <c r="AJ58" i="3"/>
  <c r="AJ66" i="3"/>
  <c r="AJ53" i="3"/>
  <c r="AJ64" i="3"/>
  <c r="AJ65" i="3"/>
  <c r="AJ50" i="3"/>
  <c r="AJ59" i="3"/>
  <c r="AH276" i="26"/>
  <c r="AH281" i="26" s="1"/>
  <c r="AI149" i="26"/>
  <c r="AI197" i="26"/>
  <c r="AI298" i="26" s="1"/>
  <c r="AI173" i="26"/>
  <c r="AI268" i="26" s="1"/>
  <c r="AH208" i="3"/>
  <c r="AH277" i="3"/>
  <c r="AI220" i="6"/>
  <c r="AH106" i="6"/>
  <c r="AI119" i="26"/>
  <c r="AJ4" i="33"/>
  <c r="AJ4" i="35"/>
  <c r="AJ3" i="33"/>
  <c r="AJ3" i="35"/>
  <c r="AJ5" i="33"/>
  <c r="AJ5" i="35"/>
  <c r="AL434" i="9"/>
  <c r="AN445" i="9"/>
  <c r="AN436" i="9"/>
  <c r="AN438" i="9"/>
  <c r="AN447" i="9"/>
  <c r="AN433" i="9"/>
  <c r="AN440" i="9"/>
  <c r="AN443" i="9"/>
  <c r="AN450" i="9"/>
  <c r="AL501" i="9"/>
  <c r="AM510" i="9"/>
  <c r="AM511" i="9"/>
  <c r="AM504" i="9"/>
  <c r="AM506" i="9"/>
  <c r="AM517" i="9"/>
  <c r="AM513" i="9"/>
  <c r="AM508" i="9"/>
  <c r="AM518" i="9"/>
  <c r="AN996" i="9"/>
  <c r="AJ3" i="28"/>
  <c r="AJ3" i="32"/>
  <c r="AJ3" i="30"/>
  <c r="AJ5" i="26"/>
  <c r="AJ5" i="32"/>
  <c r="AJ5" i="30"/>
  <c r="AJ16" i="3"/>
  <c r="AJ18" i="3" s="1"/>
  <c r="AJ4" i="32"/>
  <c r="AJ4" i="30"/>
  <c r="AN1010" i="9"/>
  <c r="AM263" i="9"/>
  <c r="AM168" i="9"/>
  <c r="AN162" i="9" s="1"/>
  <c r="AN166" i="9" s="1"/>
  <c r="AM396" i="9"/>
  <c r="AM130" i="9"/>
  <c r="AM244" i="9"/>
  <c r="AM339" i="9"/>
  <c r="AM515" i="9"/>
  <c r="AM206" i="9"/>
  <c r="AM301" i="9"/>
  <c r="AM377" i="9"/>
  <c r="AL994" i="9"/>
  <c r="AN257" i="9"/>
  <c r="AN261" i="9" s="1"/>
  <c r="AN238" i="9"/>
  <c r="AN242" i="9" s="1"/>
  <c r="AL73" i="9"/>
  <c r="AN390" i="9"/>
  <c r="AN394" i="9" s="1"/>
  <c r="AN333" i="9"/>
  <c r="AN337" i="9" s="1"/>
  <c r="AN295" i="9"/>
  <c r="AN299" i="9" s="1"/>
  <c r="AN200" i="9"/>
  <c r="AN204" i="9" s="1"/>
  <c r="AN124" i="9"/>
  <c r="AN128" i="9" s="1"/>
  <c r="AN371" i="9"/>
  <c r="AN375" i="9" s="1"/>
  <c r="AN1003" i="9"/>
  <c r="AN993" i="9"/>
  <c r="AJ166" i="3"/>
  <c r="AJ189" i="3" s="1"/>
  <c r="AJ180" i="3"/>
  <c r="AJ203" i="3" s="1"/>
  <c r="AJ172" i="3"/>
  <c r="AJ195" i="3" s="1"/>
  <c r="AJ177" i="3"/>
  <c r="AJ200" i="3" s="1"/>
  <c r="AJ175" i="3"/>
  <c r="AJ198" i="3" s="1"/>
  <c r="AJ169" i="3"/>
  <c r="AJ192" i="3" s="1"/>
  <c r="AJ165" i="3"/>
  <c r="AJ188" i="3" s="1"/>
  <c r="AJ181" i="3"/>
  <c r="AJ204" i="3" s="1"/>
  <c r="AJ170" i="3"/>
  <c r="AJ193" i="3" s="1"/>
  <c r="AJ164" i="3"/>
  <c r="AJ187" i="3" s="1"/>
  <c r="AJ174" i="3"/>
  <c r="AJ197" i="3" s="1"/>
  <c r="AJ176" i="3"/>
  <c r="AJ199" i="3" s="1"/>
  <c r="AJ178" i="3"/>
  <c r="AJ201" i="3" s="1"/>
  <c r="AJ171" i="3"/>
  <c r="AJ194" i="3" s="1"/>
  <c r="AJ167" i="3"/>
  <c r="AJ190" i="3" s="1"/>
  <c r="AJ179" i="3"/>
  <c r="AJ202" i="3" s="1"/>
  <c r="AJ168" i="3"/>
  <c r="AJ191" i="3" s="1"/>
  <c r="AJ173" i="3"/>
  <c r="AJ196" i="3" s="1"/>
  <c r="AN1000" i="9"/>
  <c r="AN1007" i="9"/>
  <c r="AI238" i="3"/>
  <c r="AI234" i="3"/>
  <c r="AI241" i="3"/>
  <c r="AI742" i="9" s="1"/>
  <c r="AI250" i="3"/>
  <c r="AI751" i="9" s="1"/>
  <c r="AI233" i="3"/>
  <c r="AI240" i="3"/>
  <c r="AI243" i="3"/>
  <c r="AI248" i="3"/>
  <c r="AI749" i="9" s="1"/>
  <c r="AI235" i="3"/>
  <c r="AI736" i="9" s="1"/>
  <c r="AI237" i="3"/>
  <c r="AI249" i="3"/>
  <c r="AI247" i="3"/>
  <c r="AI236" i="3"/>
  <c r="AI244" i="3"/>
  <c r="AI745" i="9" s="1"/>
  <c r="AI246" i="3"/>
  <c r="AI747" i="9" s="1"/>
  <c r="AI242" i="3"/>
  <c r="AI239" i="3"/>
  <c r="AI740" i="9" s="1"/>
  <c r="AI245" i="3"/>
  <c r="AJ5" i="28"/>
  <c r="AN998" i="9"/>
  <c r="AN1005" i="9"/>
  <c r="AI107" i="6"/>
  <c r="AH178" i="20"/>
  <c r="AH183" i="20" s="1"/>
  <c r="AJ4" i="20"/>
  <c r="AJ4" i="28"/>
  <c r="AI179" i="1"/>
  <c r="AJ4" i="22"/>
  <c r="AJ4" i="26"/>
  <c r="AJ4" i="12"/>
  <c r="AJ3" i="26"/>
  <c r="AJ4" i="9"/>
  <c r="AJ4" i="16"/>
  <c r="AJ4" i="11"/>
  <c r="AJ5" i="22"/>
  <c r="AJ5" i="20"/>
  <c r="AJ3" i="22"/>
  <c r="AJ3" i="20"/>
  <c r="AJ5" i="16"/>
  <c r="AJ5" i="12"/>
  <c r="AJ5" i="11"/>
  <c r="AJ5" i="9"/>
  <c r="AJ3" i="16"/>
  <c r="AJ3" i="12"/>
  <c r="AJ3" i="11"/>
  <c r="AJ3" i="9"/>
  <c r="AK10" i="3"/>
  <c r="AK4" i="3" s="1"/>
  <c r="AK2" i="44" s="1" a="1"/>
  <c r="AK2" i="44" s="1"/>
  <c r="AJ705" i="9" l="1"/>
  <c r="AI738" i="9"/>
  <c r="AJ692" i="9" s="1"/>
  <c r="AI741" i="9"/>
  <c r="AJ695" i="9" s="1"/>
  <c r="AJ694" i="9"/>
  <c r="AI735" i="9"/>
  <c r="AJ689" i="9" s="1"/>
  <c r="AI748" i="9"/>
  <c r="AJ702" i="9" s="1"/>
  <c r="AI746" i="9"/>
  <c r="AJ700" i="9" s="1"/>
  <c r="AJ701" i="9"/>
  <c r="AJ696" i="9"/>
  <c r="AI739" i="9"/>
  <c r="AJ693" i="9" s="1"/>
  <c r="AI743" i="9"/>
  <c r="AJ697" i="9" s="1"/>
  <c r="AI744" i="9"/>
  <c r="AJ698" i="9" s="1"/>
  <c r="AI737" i="9"/>
  <c r="AJ691" i="9" s="1"/>
  <c r="AI750" i="9"/>
  <c r="AJ704" i="9" s="1"/>
  <c r="AJ699" i="9"/>
  <c r="AJ690" i="9"/>
  <c r="AJ703" i="9"/>
  <c r="AI178" i="1"/>
  <c r="AJ198" i="20" a="1"/>
  <c r="AJ198" i="20" s="1"/>
  <c r="AJ181" i="20" a="1"/>
  <c r="AJ181" i="20" s="1"/>
  <c r="AJ172" i="20" a="1"/>
  <c r="AJ172" i="20" s="1"/>
  <c r="AJ169" i="20" a="1"/>
  <c r="AJ169" i="20" s="1"/>
  <c r="AJ154" i="20" a="1"/>
  <c r="AJ154" i="20" s="1"/>
  <c r="AJ150" i="20" a="1"/>
  <c r="AJ150" i="20" s="1"/>
  <c r="AJ149" i="20" a="1"/>
  <c r="AJ149" i="20" s="1"/>
  <c r="AJ148" i="20" a="1"/>
  <c r="AJ148" i="20" s="1"/>
  <c r="AJ145" i="20" a="1"/>
  <c r="AJ145" i="20" s="1"/>
  <c r="AJ131" i="20" a="1"/>
  <c r="AJ131" i="20" s="1"/>
  <c r="AJ129" i="20" a="1"/>
  <c r="AJ129" i="20" s="1"/>
  <c r="AJ128" i="20" a="1"/>
  <c r="AJ128" i="20" s="1"/>
  <c r="AJ127" i="20" a="1"/>
  <c r="AJ127" i="20" s="1"/>
  <c r="AJ126" i="20" a="1"/>
  <c r="AJ126" i="20" s="1"/>
  <c r="AJ143" i="20" a="1"/>
  <c r="AJ143" i="20" s="1"/>
  <c r="AJ142" i="20" a="1"/>
  <c r="AJ142" i="20" s="1"/>
  <c r="AJ141" i="20" a="1"/>
  <c r="AJ141" i="20" s="1"/>
  <c r="AJ140" i="20" a="1"/>
  <c r="AJ140" i="20" s="1"/>
  <c r="AJ139" i="20" a="1"/>
  <c r="AJ139" i="20" s="1"/>
  <c r="AJ138" i="20" a="1"/>
  <c r="AJ138" i="20" s="1"/>
  <c r="AJ137" i="20" a="1"/>
  <c r="AJ137" i="20" s="1"/>
  <c r="AJ133" i="20" a="1"/>
  <c r="AJ133" i="20" s="1"/>
  <c r="AJ132" i="20" a="1"/>
  <c r="AJ132" i="20" s="1"/>
  <c r="AJ125" i="20" a="1"/>
  <c r="AJ125" i="20" s="1"/>
  <c r="AJ124" i="20" a="1"/>
  <c r="AJ124" i="20" s="1"/>
  <c r="AJ123" i="20" a="1"/>
  <c r="AJ123" i="20" s="1"/>
  <c r="AJ122" i="20" a="1"/>
  <c r="AJ122" i="20" s="1"/>
  <c r="AJ115" i="20" a="1"/>
  <c r="AJ115" i="20" s="1"/>
  <c r="AJ117" i="20" s="1"/>
  <c r="AJ112" i="20" a="1"/>
  <c r="AJ112" i="20" s="1"/>
  <c r="AJ111" i="20" a="1"/>
  <c r="AJ111" i="20" s="1"/>
  <c r="AJ110" i="20" a="1"/>
  <c r="AJ110" i="20" s="1"/>
  <c r="AJ106" i="20" a="1"/>
  <c r="AJ106" i="20" s="1"/>
  <c r="AJ144" i="20" a="1"/>
  <c r="AJ144" i="20" s="1"/>
  <c r="AJ146" i="20" a="1"/>
  <c r="AJ146" i="20" s="1"/>
  <c r="AJ105" i="20" a="1"/>
  <c r="AJ105" i="20" s="1"/>
  <c r="AJ104" i="20" a="1"/>
  <c r="AJ104" i="20" s="1"/>
  <c r="AJ103" i="20" a="1"/>
  <c r="AJ103" i="20" s="1"/>
  <c r="AJ102" i="20" a="1"/>
  <c r="AJ102" i="20" s="1"/>
  <c r="AJ101" i="20" a="1"/>
  <c r="AJ101" i="20" s="1"/>
  <c r="AJ97" i="20" a="1"/>
  <c r="AJ97" i="20" s="1"/>
  <c r="AJ96" i="20" a="1"/>
  <c r="AJ96" i="20" s="1"/>
  <c r="AJ95" i="20" a="1"/>
  <c r="AJ95" i="20" s="1"/>
  <c r="AJ94" i="20" a="1"/>
  <c r="AJ94" i="20" s="1"/>
  <c r="AJ93" i="20" a="1"/>
  <c r="AJ93" i="20" s="1"/>
  <c r="AJ92" i="20" a="1"/>
  <c r="AJ92" i="20" s="1"/>
  <c r="AJ91" i="20" a="1"/>
  <c r="AJ91" i="20" s="1"/>
  <c r="AJ90" i="20" a="1"/>
  <c r="AJ90" i="20" s="1"/>
  <c r="AJ89" i="20" a="1"/>
  <c r="AJ89" i="20" s="1"/>
  <c r="AJ87" i="20" a="1"/>
  <c r="AJ87" i="20" s="1"/>
  <c r="AJ88" i="20" a="1"/>
  <c r="AJ88" i="20" s="1"/>
  <c r="AJ83" i="20" a="1"/>
  <c r="AJ83" i="20" s="1"/>
  <c r="AJ82" i="20" a="1"/>
  <c r="AJ82" i="20" s="1"/>
  <c r="AJ81" i="20" a="1"/>
  <c r="AJ81" i="20" s="1"/>
  <c r="AJ80" i="20" a="1"/>
  <c r="AJ80" i="20" s="1"/>
  <c r="AJ79" i="20" a="1"/>
  <c r="AJ79" i="20" s="1"/>
  <c r="AJ78" i="20" a="1"/>
  <c r="AJ78" i="20" s="1"/>
  <c r="AJ77" i="20" a="1"/>
  <c r="AJ77" i="20" s="1"/>
  <c r="AJ76" i="20" a="1"/>
  <c r="AJ76" i="20" s="1"/>
  <c r="AJ75" i="20" a="1"/>
  <c r="AJ75" i="20" s="1"/>
  <c r="AJ74" i="20" a="1"/>
  <c r="AJ74" i="20" s="1"/>
  <c r="AJ73" i="20" a="1"/>
  <c r="AJ73" i="20" s="1"/>
  <c r="AJ72" i="20" a="1"/>
  <c r="AJ72" i="20" s="1"/>
  <c r="AJ71" i="20" a="1"/>
  <c r="AJ71" i="20" s="1"/>
  <c r="AJ68" i="20" a="1"/>
  <c r="AJ68" i="20" s="1"/>
  <c r="AJ66" i="20" a="1"/>
  <c r="AJ66" i="20" s="1"/>
  <c r="AJ65" i="20" a="1"/>
  <c r="AJ65" i="20" s="1"/>
  <c r="AJ64" i="20" a="1"/>
  <c r="AJ64" i="20" s="1"/>
  <c r="AJ61" i="20" a="1"/>
  <c r="AJ61" i="20" s="1"/>
  <c r="AJ59" i="20" a="1"/>
  <c r="AJ59" i="20" s="1"/>
  <c r="AJ58" i="20" a="1"/>
  <c r="AJ58" i="20" s="1"/>
  <c r="AJ57" i="20" a="1"/>
  <c r="AJ57" i="20" s="1"/>
  <c r="AJ56" i="20" a="1"/>
  <c r="AJ56" i="20" s="1"/>
  <c r="AJ55" i="20" a="1"/>
  <c r="AJ55" i="20" s="1"/>
  <c r="AJ54" i="20" a="1"/>
  <c r="AJ54" i="20" s="1"/>
  <c r="AJ53" i="20" a="1"/>
  <c r="AJ53" i="20" s="1"/>
  <c r="AJ50" i="20" a="1"/>
  <c r="AJ50" i="20" s="1"/>
  <c r="AJ48" i="20" a="1"/>
  <c r="AJ48" i="20" s="1"/>
  <c r="AJ47" i="20" a="1"/>
  <c r="AJ47" i="20" s="1"/>
  <c r="AJ46" i="20" a="1"/>
  <c r="AJ46" i="20" s="1"/>
  <c r="AJ45" i="20" a="1"/>
  <c r="AJ45" i="20" s="1"/>
  <c r="AJ44" i="20" a="1"/>
  <c r="AJ44" i="20" s="1"/>
  <c r="AJ43" i="20" a="1"/>
  <c r="AJ43" i="20" s="1"/>
  <c r="AJ42" i="20" a="1"/>
  <c r="AJ42" i="20" s="1"/>
  <c r="AJ35" i="20" a="1"/>
  <c r="AJ35" i="20" s="1"/>
  <c r="AJ32" i="20" a="1"/>
  <c r="AJ32" i="20" s="1"/>
  <c r="AJ41" i="20" a="1"/>
  <c r="AJ41" i="20" s="1"/>
  <c r="AJ38" i="20" a="1"/>
  <c r="AJ38" i="20" s="1"/>
  <c r="AJ36" i="20" a="1"/>
  <c r="AJ36" i="20" s="1"/>
  <c r="AJ34" i="20" a="1"/>
  <c r="AJ34" i="20" s="1"/>
  <c r="AJ33" i="20" a="1"/>
  <c r="AJ33" i="20" s="1"/>
  <c r="AJ27" i="20" a="1"/>
  <c r="AJ27" i="20" s="1"/>
  <c r="AJ23" i="20" a="1"/>
  <c r="AJ23" i="20" s="1"/>
  <c r="AJ19" i="20" a="1"/>
  <c r="AJ19" i="20" s="1"/>
  <c r="AJ13" i="20" a="1"/>
  <c r="AJ13" i="20" s="1"/>
  <c r="AJ12" i="20" a="1"/>
  <c r="AJ12" i="20" s="1"/>
  <c r="AJ24" i="20" a="1"/>
  <c r="AJ24" i="20" s="1"/>
  <c r="AJ26" i="20" a="1"/>
  <c r="AJ26" i="20" s="1"/>
  <c r="AJ22" i="20" a="1"/>
  <c r="AJ22" i="20" s="1"/>
  <c r="AJ16" i="20" a="1"/>
  <c r="AJ16" i="20" s="1"/>
  <c r="AJ25" i="20" a="1"/>
  <c r="AJ25" i="20" s="1"/>
  <c r="AJ21" i="20" a="1"/>
  <c r="AJ21" i="20" s="1"/>
  <c r="AJ29" i="20" a="1"/>
  <c r="AJ29" i="20" s="1"/>
  <c r="AJ20" i="20" a="1"/>
  <c r="AJ20" i="20" s="1"/>
  <c r="AH50" i="30"/>
  <c r="AJ83" i="9"/>
  <c r="AJ102" i="9"/>
  <c r="AJ121" i="9"/>
  <c r="AJ254" i="9"/>
  <c r="AJ273" i="9"/>
  <c r="AJ406" i="9"/>
  <c r="AJ140" i="9"/>
  <c r="AJ159" i="9"/>
  <c r="AJ292" i="9"/>
  <c r="AJ311" i="9"/>
  <c r="AJ178" i="9"/>
  <c r="AJ197" i="9"/>
  <c r="AJ368" i="9"/>
  <c r="AJ387" i="9"/>
  <c r="AJ216" i="9"/>
  <c r="AJ235" i="9"/>
  <c r="AJ425" i="9"/>
  <c r="AJ64" i="9"/>
  <c r="AJ330" i="9"/>
  <c r="AJ349" i="9"/>
  <c r="AJ116" i="26"/>
  <c r="AJ192" i="26"/>
  <c r="AJ179" i="26"/>
  <c r="AJ185" i="26"/>
  <c r="AJ187" i="26"/>
  <c r="AJ178" i="26"/>
  <c r="AJ184" i="26"/>
  <c r="AJ180" i="26"/>
  <c r="AJ194" i="26" s="1"/>
  <c r="AJ295" i="26" s="1"/>
  <c r="AJ190" i="26"/>
  <c r="AJ182" i="26"/>
  <c r="AJ188" i="26"/>
  <c r="AJ191" i="26"/>
  <c r="AJ183" i="26"/>
  <c r="AJ189" i="26"/>
  <c r="AJ181" i="26"/>
  <c r="AJ195" i="26" s="1"/>
  <c r="AJ296" i="26" s="1"/>
  <c r="AJ186" i="26"/>
  <c r="AI208" i="26"/>
  <c r="AI71" i="26"/>
  <c r="AI259" i="26" s="1"/>
  <c r="BW3" i="38"/>
  <c r="BW3" i="33"/>
  <c r="BW3" i="30"/>
  <c r="BW3" i="20"/>
  <c r="BW3" i="16"/>
  <c r="BW3" i="12"/>
  <c r="BW3" i="35"/>
  <c r="BW3" i="26"/>
  <c r="BW3" i="11"/>
  <c r="BW3" i="22"/>
  <c r="BW3" i="28"/>
  <c r="BW3" i="32"/>
  <c r="BW3" i="9"/>
  <c r="AK43" i="3"/>
  <c r="AH779" i="9"/>
  <c r="AH802" i="9" s="1"/>
  <c r="AH710" i="9"/>
  <c r="AH232" i="3"/>
  <c r="AI97" i="26"/>
  <c r="AI221" i="6" s="1"/>
  <c r="AI150" i="26"/>
  <c r="AI180" i="30" s="1"/>
  <c r="AI123" i="26"/>
  <c r="AI267" i="26" s="1"/>
  <c r="AH154" i="6"/>
  <c r="AH98" i="30" s="1"/>
  <c r="AH187" i="30" s="1"/>
  <c r="AI276" i="26"/>
  <c r="AH48" i="30"/>
  <c r="AI198" i="26"/>
  <c r="AI174" i="26"/>
  <c r="AI207" i="26"/>
  <c r="AH111" i="6"/>
  <c r="AH231" i="3"/>
  <c r="AI299" i="26"/>
  <c r="AJ157" i="26"/>
  <c r="AJ171" i="26" s="1"/>
  <c r="AJ249" i="26" s="1"/>
  <c r="AJ165" i="26"/>
  <c r="AJ164" i="26"/>
  <c r="AJ154" i="26"/>
  <c r="AJ159" i="26"/>
  <c r="AJ167" i="26"/>
  <c r="AJ158" i="26"/>
  <c r="AJ172" i="26" s="1"/>
  <c r="AJ236" i="26" s="1"/>
  <c r="AJ155" i="26"/>
  <c r="AJ161" i="26"/>
  <c r="AJ168" i="26"/>
  <c r="AJ162" i="26"/>
  <c r="AJ156" i="26"/>
  <c r="AJ170" i="26" s="1"/>
  <c r="AJ222" i="26" s="1"/>
  <c r="AJ163" i="26"/>
  <c r="AJ160" i="26"/>
  <c r="AJ166" i="26"/>
  <c r="AJ67" i="26"/>
  <c r="AJ89" i="26"/>
  <c r="AJ117" i="26"/>
  <c r="AI283" i="3"/>
  <c r="AI280" i="3"/>
  <c r="AJ80" i="26"/>
  <c r="AJ58" i="26"/>
  <c r="AJ115" i="26"/>
  <c r="AJ140" i="26"/>
  <c r="AI288" i="3"/>
  <c r="AI281" i="3"/>
  <c r="AI279" i="3"/>
  <c r="AI284" i="3"/>
  <c r="AI285" i="3"/>
  <c r="AJ118" i="26"/>
  <c r="AI292" i="3"/>
  <c r="AI293" i="3"/>
  <c r="AI294" i="3"/>
  <c r="AI296" i="3"/>
  <c r="AI282" i="3"/>
  <c r="AI286" i="3"/>
  <c r="AJ92" i="26"/>
  <c r="AJ59" i="26"/>
  <c r="AJ134" i="26"/>
  <c r="AJ148" i="26" s="1"/>
  <c r="AJ86" i="26"/>
  <c r="AJ234" i="26" s="1"/>
  <c r="AJ65" i="26"/>
  <c r="AJ144" i="26"/>
  <c r="AJ142" i="26"/>
  <c r="AI291" i="3"/>
  <c r="AI290" i="3"/>
  <c r="AI295" i="3"/>
  <c r="AI289" i="3"/>
  <c r="AI287" i="3"/>
  <c r="AJ260" i="3"/>
  <c r="AJ214" i="3"/>
  <c r="AJ715" i="9" s="1"/>
  <c r="AJ261" i="3"/>
  <c r="AJ215" i="3"/>
  <c r="AJ716" i="9" s="1"/>
  <c r="AJ272" i="3"/>
  <c r="AJ226" i="3"/>
  <c r="AJ727" i="9" s="1"/>
  <c r="AN448" i="9"/>
  <c r="AN439" i="9"/>
  <c r="AJ271" i="3"/>
  <c r="AJ225" i="3"/>
  <c r="AJ726" i="9" s="1"/>
  <c r="AJ268" i="3"/>
  <c r="AJ222" i="3"/>
  <c r="AJ723" i="9" s="1"/>
  <c r="AJ262" i="3"/>
  <c r="AJ216" i="3"/>
  <c r="AJ717" i="9" s="1"/>
  <c r="AJ267" i="3"/>
  <c r="AJ221" i="3"/>
  <c r="AJ722" i="9" s="1"/>
  <c r="AJ258" i="3"/>
  <c r="AJ212" i="3"/>
  <c r="AJ713" i="9" s="1"/>
  <c r="AN444" i="9"/>
  <c r="AJ259" i="3"/>
  <c r="AJ213" i="3"/>
  <c r="AJ714" i="9" s="1"/>
  <c r="AJ266" i="3"/>
  <c r="AJ220" i="3"/>
  <c r="AJ721" i="9" s="1"/>
  <c r="AJ273" i="3"/>
  <c r="AJ227" i="3"/>
  <c r="AJ728" i="9" s="1"/>
  <c r="AJ269" i="3"/>
  <c r="AJ223" i="3"/>
  <c r="AJ724" i="9" s="1"/>
  <c r="AN441" i="9"/>
  <c r="AN437" i="9"/>
  <c r="AJ270" i="3"/>
  <c r="AJ224" i="3"/>
  <c r="AJ725" i="9" s="1"/>
  <c r="AJ265" i="3"/>
  <c r="AJ219" i="3"/>
  <c r="AJ720" i="9" s="1"/>
  <c r="AJ263" i="3"/>
  <c r="AJ217" i="3"/>
  <c r="AJ718" i="9" s="1"/>
  <c r="AJ256" i="3"/>
  <c r="AJ210" i="3"/>
  <c r="AJ257" i="3"/>
  <c r="AJ211" i="3"/>
  <c r="AJ712" i="9" s="1"/>
  <c r="AJ264" i="3"/>
  <c r="AJ218" i="3"/>
  <c r="AJ719" i="9" s="1"/>
  <c r="AJ81" i="26"/>
  <c r="AJ82" i="26"/>
  <c r="AJ62" i="26"/>
  <c r="AJ143" i="26"/>
  <c r="AJ104" i="26"/>
  <c r="AJ132" i="26"/>
  <c r="AJ146" i="26" s="1"/>
  <c r="AJ141" i="26"/>
  <c r="AJ78" i="26"/>
  <c r="AJ94" i="26" s="1"/>
  <c r="AJ220" i="26" s="1"/>
  <c r="AJ66" i="26"/>
  <c r="AJ55" i="26"/>
  <c r="AJ131" i="26"/>
  <c r="AJ113" i="26"/>
  <c r="AJ109" i="26"/>
  <c r="AJ196" i="26"/>
  <c r="AJ297" i="26" s="1"/>
  <c r="AL503" i="9"/>
  <c r="AL1085" i="9" s="1"/>
  <c r="AN505" i="9"/>
  <c r="AN509" i="9"/>
  <c r="AN502" i="9"/>
  <c r="AN519" i="9"/>
  <c r="AN516" i="9"/>
  <c r="AN507" i="9"/>
  <c r="AN514" i="9"/>
  <c r="AN512" i="9"/>
  <c r="AN149" i="9"/>
  <c r="AO143" i="9" s="1"/>
  <c r="AO147" i="9" s="1"/>
  <c r="AJ88" i="26"/>
  <c r="AJ90" i="26"/>
  <c r="AJ85" i="26"/>
  <c r="AJ91" i="26"/>
  <c r="AJ64" i="26"/>
  <c r="AJ63" i="26"/>
  <c r="AJ61" i="26"/>
  <c r="AJ57" i="26"/>
  <c r="AJ110" i="26"/>
  <c r="AJ136" i="26"/>
  <c r="AJ112" i="26"/>
  <c r="AJ235" i="26" s="1"/>
  <c r="AJ139" i="26"/>
  <c r="AJ108" i="26"/>
  <c r="AJ105" i="26"/>
  <c r="AJ111" i="26"/>
  <c r="AJ83" i="26"/>
  <c r="AJ87" i="26"/>
  <c r="AJ84" i="26"/>
  <c r="AJ79" i="26"/>
  <c r="AJ95" i="26" s="1"/>
  <c r="AJ180" i="1" s="1"/>
  <c r="AJ56" i="26"/>
  <c r="AJ53" i="26"/>
  <c r="AJ60" i="26"/>
  <c r="AJ54" i="26"/>
  <c r="AJ138" i="26"/>
  <c r="AJ135" i="26"/>
  <c r="AJ106" i="26"/>
  <c r="AJ133" i="26"/>
  <c r="AJ147" i="26" s="1"/>
  <c r="AJ107" i="26"/>
  <c r="AJ130" i="26"/>
  <c r="AJ114" i="26"/>
  <c r="AJ137" i="26"/>
  <c r="AN415" i="9"/>
  <c r="AO409" i="9" s="1"/>
  <c r="AO413" i="9" s="1"/>
  <c r="AN997" i="9"/>
  <c r="AN995" i="9"/>
  <c r="AN435" i="9"/>
  <c r="AN1006" i="9"/>
  <c r="AN446" i="9"/>
  <c r="AN1009" i="9"/>
  <c r="AN449" i="9"/>
  <c r="AN1002" i="9"/>
  <c r="AN442" i="9"/>
  <c r="AN1001" i="9"/>
  <c r="AN1004" i="9"/>
  <c r="AL111" i="9"/>
  <c r="AM105" i="9"/>
  <c r="AM109" i="9" s="1"/>
  <c r="AN1008" i="9"/>
  <c r="AM67" i="9"/>
  <c r="AM71" i="9" s="1"/>
  <c r="AN999" i="9"/>
  <c r="AN282" i="9"/>
  <c r="AO276" i="9" s="1"/>
  <c r="AO280" i="9" s="1"/>
  <c r="AO86" i="9"/>
  <c r="AO90" i="9" s="1"/>
  <c r="AN92" i="9"/>
  <c r="AN225" i="9"/>
  <c r="AO219" i="9"/>
  <c r="AO223" i="9" s="1"/>
  <c r="AN358" i="9"/>
  <c r="AO352" i="9" s="1"/>
  <c r="AO356" i="9" s="1"/>
  <c r="AJ74" i="3"/>
  <c r="AI120" i="3"/>
  <c r="AJ86" i="3"/>
  <c r="AI132" i="3"/>
  <c r="AJ85" i="3"/>
  <c r="AI131" i="3"/>
  <c r="AI793" i="9" s="1"/>
  <c r="AJ79" i="3"/>
  <c r="AI125" i="3"/>
  <c r="AJ76" i="3"/>
  <c r="AI122" i="3"/>
  <c r="AJ71" i="3"/>
  <c r="AI117" i="3"/>
  <c r="AK148" i="3"/>
  <c r="AK146" i="3"/>
  <c r="AK147" i="3"/>
  <c r="AK141" i="3"/>
  <c r="AK157" i="3"/>
  <c r="AK151" i="3"/>
  <c r="AJ70" i="3"/>
  <c r="AI116" i="3"/>
  <c r="AJ72" i="3"/>
  <c r="AI118" i="3"/>
  <c r="AJ89" i="3"/>
  <c r="AI135" i="3"/>
  <c r="AJ84" i="3"/>
  <c r="AI130" i="3"/>
  <c r="AK145" i="3"/>
  <c r="AK149" i="3"/>
  <c r="AK142" i="3"/>
  <c r="AK139" i="3"/>
  <c r="AK155" i="3"/>
  <c r="AK143" i="3"/>
  <c r="AJ83" i="3"/>
  <c r="AI129" i="3"/>
  <c r="AI791" i="9" s="1"/>
  <c r="AJ81" i="3"/>
  <c r="AI127" i="3"/>
  <c r="AJ82" i="3"/>
  <c r="AI128" i="3"/>
  <c r="AJ73" i="3"/>
  <c r="AI119" i="3"/>
  <c r="AI781" i="9" s="1"/>
  <c r="AJ88" i="3"/>
  <c r="AI134" i="3"/>
  <c r="AI796" i="9" s="1"/>
  <c r="AK152" i="3"/>
  <c r="AK158" i="3"/>
  <c r="AK144" i="3"/>
  <c r="AK140" i="3"/>
  <c r="AJ78" i="3"/>
  <c r="AI124" i="3"/>
  <c r="AJ77" i="3"/>
  <c r="AI123" i="3"/>
  <c r="AJ87" i="3"/>
  <c r="AI133" i="3"/>
  <c r="AJ80" i="3"/>
  <c r="AI126" i="3"/>
  <c r="AJ75" i="3"/>
  <c r="AI121" i="3"/>
  <c r="AI783" i="9" s="1"/>
  <c r="AK154" i="3"/>
  <c r="AK153" i="3"/>
  <c r="AK150" i="3"/>
  <c r="AK156" i="3"/>
  <c r="AN320" i="9"/>
  <c r="AO314" i="9" s="1"/>
  <c r="AO318" i="9" s="1"/>
  <c r="AN187" i="9"/>
  <c r="AO181" i="9" s="1"/>
  <c r="AO185" i="9" s="1"/>
  <c r="AI179" i="20"/>
  <c r="AK24" i="3"/>
  <c r="AK5" i="3"/>
  <c r="AJ219" i="26"/>
  <c r="AJ121" i="26"/>
  <c r="AJ248" i="26" s="1"/>
  <c r="AK4" i="38"/>
  <c r="AK12" i="3"/>
  <c r="AK3" i="3" s="1"/>
  <c r="AJ97" i="3"/>
  <c r="AJ109" i="3"/>
  <c r="AJ108" i="3"/>
  <c r="AJ102" i="3"/>
  <c r="AJ99" i="3"/>
  <c r="AJ93" i="3"/>
  <c r="AJ95" i="3"/>
  <c r="AJ112" i="3"/>
  <c r="AJ107" i="3"/>
  <c r="AJ106" i="3"/>
  <c r="AJ104" i="3"/>
  <c r="AJ105" i="3"/>
  <c r="AJ96" i="3"/>
  <c r="AJ111" i="3"/>
  <c r="AJ101" i="3"/>
  <c r="AJ100" i="3"/>
  <c r="AJ110" i="3"/>
  <c r="AJ103" i="3"/>
  <c r="AJ98" i="3"/>
  <c r="AL8" i="3"/>
  <c r="AJ94" i="3"/>
  <c r="AH64" i="33" l="1"/>
  <c r="AH74" i="33"/>
  <c r="AH733" i="9"/>
  <c r="AJ24" i="32"/>
  <c r="AJ153" i="30"/>
  <c r="AK3" i="38"/>
  <c r="AK39" i="3"/>
  <c r="AI183" i="1"/>
  <c r="AK347" i="3"/>
  <c r="AK346" i="3"/>
  <c r="AI856" i="9"/>
  <c r="AI806" i="9"/>
  <c r="AJ760" i="9" s="1"/>
  <c r="AJ836" i="9"/>
  <c r="AJ843" i="9"/>
  <c r="AJ846" i="9"/>
  <c r="AJ842" i="9"/>
  <c r="AJ832" i="9"/>
  <c r="AI869" i="9"/>
  <c r="AI819" i="9"/>
  <c r="AJ773" i="9" s="1"/>
  <c r="AI864" i="9"/>
  <c r="AI814" i="9"/>
  <c r="AJ768" i="9" s="1"/>
  <c r="AI866" i="9"/>
  <c r="AI816" i="9"/>
  <c r="AJ770" i="9" s="1"/>
  <c r="AJ837" i="9"/>
  <c r="AJ833" i="9"/>
  <c r="AJ847" i="9"/>
  <c r="AJ834" i="9"/>
  <c r="AI854" i="9"/>
  <c r="AI804" i="9"/>
  <c r="AJ758" i="9" s="1"/>
  <c r="AJ841" i="9"/>
  <c r="AJ838" i="9"/>
  <c r="AJ844" i="9"/>
  <c r="AJ839" i="9"/>
  <c r="AJ831" i="9"/>
  <c r="AH852" i="9"/>
  <c r="AH168" i="20"/>
  <c r="AI261" i="26"/>
  <c r="AJ257" i="26" s="1"/>
  <c r="AJ68" i="26"/>
  <c r="AJ205" i="26" s="1"/>
  <c r="AJ70" i="26"/>
  <c r="AJ233" i="26" s="1"/>
  <c r="AI106" i="6"/>
  <c r="AI111" i="6" s="1"/>
  <c r="AJ247" i="26"/>
  <c r="AK30" i="3"/>
  <c r="AI223" i="6"/>
  <c r="AJ220" i="6" s="1"/>
  <c r="AI180" i="20"/>
  <c r="AJ173" i="26"/>
  <c r="AJ268" i="26" s="1"/>
  <c r="AI687" i="9"/>
  <c r="AI209" i="3"/>
  <c r="AI255" i="3"/>
  <c r="AI278" i="3" s="1"/>
  <c r="AI178" i="20"/>
  <c r="AI72" i="33"/>
  <c r="AJ120" i="26"/>
  <c r="AJ221" i="26" s="1"/>
  <c r="AJ197" i="26"/>
  <c r="AJ298" i="26" s="1"/>
  <c r="AJ93" i="26"/>
  <c r="AJ97" i="26" s="1"/>
  <c r="AJ221" i="6" s="1"/>
  <c r="AK5" i="38"/>
  <c r="AK51" i="3"/>
  <c r="AK55" i="3"/>
  <c r="AK63" i="3"/>
  <c r="AK52" i="3"/>
  <c r="AK64" i="3"/>
  <c r="AK48" i="3"/>
  <c r="AK163" i="3" s="1"/>
  <c r="AK186" i="3" s="1"/>
  <c r="AK60" i="3"/>
  <c r="AK56" i="3"/>
  <c r="AK57" i="3"/>
  <c r="AK65" i="3"/>
  <c r="AK49" i="3"/>
  <c r="AK164" i="3" s="1"/>
  <c r="AK187" i="3" s="1"/>
  <c r="AK61" i="3"/>
  <c r="AK50" i="3"/>
  <c r="AK58" i="3"/>
  <c r="AK62" i="3"/>
  <c r="AK54" i="3"/>
  <c r="AK66" i="3"/>
  <c r="AK47" i="3"/>
  <c r="AK162" i="3" s="1"/>
  <c r="AK185" i="3" s="1"/>
  <c r="AK53" i="3"/>
  <c r="AK59" i="3"/>
  <c r="AI281" i="26"/>
  <c r="AI154" i="6" s="1"/>
  <c r="AI98" i="30" s="1"/>
  <c r="AI187" i="30" s="1"/>
  <c r="AJ193" i="26"/>
  <c r="AJ149" i="26"/>
  <c r="AH114" i="6"/>
  <c r="AH116" i="30" s="1"/>
  <c r="AJ169" i="26"/>
  <c r="AJ145" i="26"/>
  <c r="AL94" i="6"/>
  <c r="AL88" i="35"/>
  <c r="AJ119" i="26"/>
  <c r="AJ207" i="26" s="1"/>
  <c r="AK4" i="33"/>
  <c r="AK4" i="35"/>
  <c r="AK5" i="33"/>
  <c r="AK5" i="35"/>
  <c r="AK3" i="33"/>
  <c r="AK3" i="35"/>
  <c r="AO440" i="9"/>
  <c r="AO433" i="9"/>
  <c r="AO443" i="9"/>
  <c r="AM434" i="9"/>
  <c r="AI208" i="3"/>
  <c r="AI254" i="3"/>
  <c r="AI277" i="3" s="1"/>
  <c r="AO447" i="9"/>
  <c r="AM432" i="9"/>
  <c r="AO450" i="9"/>
  <c r="AO445" i="9"/>
  <c r="AO438" i="9"/>
  <c r="AO436" i="9"/>
  <c r="AN508" i="9"/>
  <c r="AN513" i="9"/>
  <c r="AN506" i="9"/>
  <c r="AO238" i="9"/>
  <c r="AO242" i="9" s="1"/>
  <c r="AN511" i="9"/>
  <c r="AN515" i="9"/>
  <c r="AN518" i="9"/>
  <c r="AN504" i="9"/>
  <c r="AO996" i="9"/>
  <c r="AK3" i="28"/>
  <c r="AK3" i="32"/>
  <c r="AK3" i="30"/>
  <c r="AK16" i="3"/>
  <c r="AK18" i="3" s="1"/>
  <c r="AK4" i="32"/>
  <c r="AK4" i="30"/>
  <c r="AK5" i="32"/>
  <c r="AK5" i="30"/>
  <c r="AO1010" i="9"/>
  <c r="AN130" i="9"/>
  <c r="AN168" i="9"/>
  <c r="AN396" i="9"/>
  <c r="AN263" i="9"/>
  <c r="AN339" i="9"/>
  <c r="AN244" i="9"/>
  <c r="AN510" i="9"/>
  <c r="AN377" i="9"/>
  <c r="AN517" i="9"/>
  <c r="AN301" i="9"/>
  <c r="AM994" i="9"/>
  <c r="AO371" i="9"/>
  <c r="AO375" i="9" s="1"/>
  <c r="AM992" i="9"/>
  <c r="AO333" i="9"/>
  <c r="AO337" i="9" s="1"/>
  <c r="AO124" i="9"/>
  <c r="AO128" i="9" s="1"/>
  <c r="AO257" i="9"/>
  <c r="AO261" i="9" s="1"/>
  <c r="AN206" i="9"/>
  <c r="AO200" i="9" s="1"/>
  <c r="AO204" i="9" s="1"/>
  <c r="AO162" i="9"/>
  <c r="AO166" i="9" s="1"/>
  <c r="AO295" i="9"/>
  <c r="AO299" i="9" s="1"/>
  <c r="AO390" i="9"/>
  <c r="AO394" i="9" s="1"/>
  <c r="AO1003" i="9"/>
  <c r="AO993" i="9"/>
  <c r="AK179" i="3"/>
  <c r="AK202" i="3" s="1"/>
  <c r="AK181" i="3"/>
  <c r="AK204" i="3" s="1"/>
  <c r="AK166" i="3"/>
  <c r="AK189" i="3" s="1"/>
  <c r="AK172" i="3"/>
  <c r="AK195" i="3" s="1"/>
  <c r="AK173" i="3"/>
  <c r="AK196" i="3" s="1"/>
  <c r="AK175" i="3"/>
  <c r="AK198" i="3" s="1"/>
  <c r="AK178" i="3"/>
  <c r="AK201" i="3" s="1"/>
  <c r="AK168" i="3"/>
  <c r="AK191" i="3" s="1"/>
  <c r="AK170" i="3"/>
  <c r="AK193" i="3" s="1"/>
  <c r="AK176" i="3"/>
  <c r="AK199" i="3" s="1"/>
  <c r="AK174" i="3"/>
  <c r="AK197" i="3" s="1"/>
  <c r="AK169" i="3"/>
  <c r="AK192" i="3" s="1"/>
  <c r="AK177" i="3"/>
  <c r="AK200" i="3" s="1"/>
  <c r="AK167" i="3"/>
  <c r="AK190" i="3" s="1"/>
  <c r="AK165" i="3"/>
  <c r="AK188" i="3" s="1"/>
  <c r="AK180" i="3"/>
  <c r="AK203" i="3" s="1"/>
  <c r="AK171" i="3"/>
  <c r="AK194" i="3" s="1"/>
  <c r="AO1000" i="9"/>
  <c r="AO1007" i="9"/>
  <c r="AJ238" i="3"/>
  <c r="AJ249" i="3"/>
  <c r="AJ245" i="3"/>
  <c r="AJ233" i="3"/>
  <c r="AJ246" i="3"/>
  <c r="AJ236" i="3"/>
  <c r="AJ737" i="9" s="1"/>
  <c r="AJ239" i="3"/>
  <c r="AJ740" i="9" s="1"/>
  <c r="AJ234" i="3"/>
  <c r="AJ735" i="9" s="1"/>
  <c r="AJ247" i="3"/>
  <c r="AJ241" i="3"/>
  <c r="AJ742" i="9" s="1"/>
  <c r="AJ250" i="3"/>
  <c r="AJ751" i="9" s="1"/>
  <c r="AJ243" i="3"/>
  <c r="AJ744" i="9" s="1"/>
  <c r="AJ235" i="3"/>
  <c r="AJ736" i="9" s="1"/>
  <c r="AJ248" i="3"/>
  <c r="AJ749" i="9" s="1"/>
  <c r="AJ240" i="3"/>
  <c r="AJ242" i="3"/>
  <c r="AJ244" i="3"/>
  <c r="AJ237" i="3"/>
  <c r="AJ738" i="9" s="1"/>
  <c r="AK4" i="28"/>
  <c r="AK5" i="28"/>
  <c r="AO1005" i="9"/>
  <c r="AO998" i="9"/>
  <c r="AK5" i="26"/>
  <c r="AJ179" i="1"/>
  <c r="AK3" i="26"/>
  <c r="AK4" i="11"/>
  <c r="AK4" i="26"/>
  <c r="AK4" i="16"/>
  <c r="AK4" i="9"/>
  <c r="AK4" i="12"/>
  <c r="AK5" i="20"/>
  <c r="AK5" i="22"/>
  <c r="AK4" i="22"/>
  <c r="AK4" i="20"/>
  <c r="AK3" i="22"/>
  <c r="AK3" i="20"/>
  <c r="AK5" i="16"/>
  <c r="AK5" i="12"/>
  <c r="AK5" i="11"/>
  <c r="AK5" i="9"/>
  <c r="AL10" i="3"/>
  <c r="AL4" i="3" s="1"/>
  <c r="AL2" i="44" s="1" a="1"/>
  <c r="AL2" i="44" s="1"/>
  <c r="AK3" i="16"/>
  <c r="AK3" i="12"/>
  <c r="AK3" i="11"/>
  <c r="AK3" i="9"/>
  <c r="AI64" i="33" l="1"/>
  <c r="AI74" i="33"/>
  <c r="AK705" i="9"/>
  <c r="AK698" i="9"/>
  <c r="AJ747" i="9"/>
  <c r="AK701" i="9" s="1"/>
  <c r="AJ739" i="9"/>
  <c r="AK693" i="9" s="1"/>
  <c r="AK694" i="9"/>
  <c r="AJ748" i="9"/>
  <c r="AK702" i="9" s="1"/>
  <c r="AJ746" i="9"/>
  <c r="AK700" i="9" s="1"/>
  <c r="AJ743" i="9"/>
  <c r="AK697" i="9" s="1"/>
  <c r="AK692" i="9"/>
  <c r="AK691" i="9"/>
  <c r="AJ750" i="9"/>
  <c r="AK704" i="9" s="1"/>
  <c r="AJ741" i="9"/>
  <c r="AK695" i="9" s="1"/>
  <c r="AJ745" i="9"/>
  <c r="AK699" i="9" s="1"/>
  <c r="AK703" i="9"/>
  <c r="AK696" i="9"/>
  <c r="AK690" i="9"/>
  <c r="AK689" i="9"/>
  <c r="AK181" i="20" a="1"/>
  <c r="AK181" i="20" s="1"/>
  <c r="AK154" i="20" a="1"/>
  <c r="AK154" i="20" s="1"/>
  <c r="AK198" i="20" a="1"/>
  <c r="AK198" i="20" s="1"/>
  <c r="AK148" i="20" a="1"/>
  <c r="AK148" i="20" s="1"/>
  <c r="AK150" i="20" a="1"/>
  <c r="AK150" i="20" s="1"/>
  <c r="AK143" i="20" a="1"/>
  <c r="AK143" i="20" s="1"/>
  <c r="AK142" i="20" a="1"/>
  <c r="AK142" i="20" s="1"/>
  <c r="AK141" i="20" a="1"/>
  <c r="AK141" i="20" s="1"/>
  <c r="AK140" i="20" a="1"/>
  <c r="AK140" i="20" s="1"/>
  <c r="AK139" i="20" a="1"/>
  <c r="AK139" i="20" s="1"/>
  <c r="AK138" i="20" a="1"/>
  <c r="AK138" i="20" s="1"/>
  <c r="AK137" i="20" a="1"/>
  <c r="AK137" i="20" s="1"/>
  <c r="AK133" i="20" a="1"/>
  <c r="AK133" i="20" s="1"/>
  <c r="AK132" i="20" a="1"/>
  <c r="AK132" i="20" s="1"/>
  <c r="AK149" i="20" a="1"/>
  <c r="AK149" i="20" s="1"/>
  <c r="AK146" i="20" a="1"/>
  <c r="AK146" i="20" s="1"/>
  <c r="AK144" i="20" a="1"/>
  <c r="AK144" i="20" s="1"/>
  <c r="AK145" i="20" a="1"/>
  <c r="AK145" i="20" s="1"/>
  <c r="AK131" i="20" a="1"/>
  <c r="AK131" i="20" s="1"/>
  <c r="AK128" i="20" a="1"/>
  <c r="AK128" i="20" s="1"/>
  <c r="AK126" i="20" a="1"/>
  <c r="AK126" i="20" s="1"/>
  <c r="AK169" i="20" a="1"/>
  <c r="AK169" i="20" s="1"/>
  <c r="AK125" i="20" a="1"/>
  <c r="AK125" i="20" s="1"/>
  <c r="AK123" i="20" a="1"/>
  <c r="AK123" i="20" s="1"/>
  <c r="AK115" i="20" a="1"/>
  <c r="AK115" i="20" s="1"/>
  <c r="AK117" i="20" s="1"/>
  <c r="AK111" i="20" a="1"/>
  <c r="AK111" i="20" s="1"/>
  <c r="AK106" i="20" a="1"/>
  <c r="AK106" i="20" s="1"/>
  <c r="AK172" i="20" a="1"/>
  <c r="AK172" i="20" s="1"/>
  <c r="AK129" i="20" a="1"/>
  <c r="AK129" i="20" s="1"/>
  <c r="AK124" i="20" a="1"/>
  <c r="AK124" i="20" s="1"/>
  <c r="AK122" i="20" a="1"/>
  <c r="AK122" i="20" s="1"/>
  <c r="AK112" i="20" a="1"/>
  <c r="AK112" i="20" s="1"/>
  <c r="AK110" i="20" a="1"/>
  <c r="AK110" i="20" s="1"/>
  <c r="AK105" i="20" a="1"/>
  <c r="AK105" i="20" s="1"/>
  <c r="AK104" i="20" a="1"/>
  <c r="AK104" i="20" s="1"/>
  <c r="AK103" i="20" a="1"/>
  <c r="AK103" i="20" s="1"/>
  <c r="AK102" i="20" a="1"/>
  <c r="AK102" i="20" s="1"/>
  <c r="AK101" i="20" a="1"/>
  <c r="AK101" i="20" s="1"/>
  <c r="AK97" i="20" a="1"/>
  <c r="AK97" i="20" s="1"/>
  <c r="AK96" i="20" a="1"/>
  <c r="AK96" i="20" s="1"/>
  <c r="AK95" i="20" a="1"/>
  <c r="AK95" i="20" s="1"/>
  <c r="AK94" i="20" a="1"/>
  <c r="AK94" i="20" s="1"/>
  <c r="AK93" i="20" a="1"/>
  <c r="AK93" i="20" s="1"/>
  <c r="AK92" i="20" a="1"/>
  <c r="AK92" i="20" s="1"/>
  <c r="AK91" i="20" a="1"/>
  <c r="AK91" i="20" s="1"/>
  <c r="AK90" i="20" a="1"/>
  <c r="AK90" i="20" s="1"/>
  <c r="AK89" i="20" a="1"/>
  <c r="AK89" i="20" s="1"/>
  <c r="AK88" i="20" a="1"/>
  <c r="AK88" i="20" s="1"/>
  <c r="AK87" i="20" a="1"/>
  <c r="AK87" i="20" s="1"/>
  <c r="AK83" i="20" a="1"/>
  <c r="AK83" i="20" s="1"/>
  <c r="AK127" i="20" a="1"/>
  <c r="AK127" i="20" s="1"/>
  <c r="AK82" i="20" a="1"/>
  <c r="AK82" i="20" s="1"/>
  <c r="AK81" i="20" a="1"/>
  <c r="AK81" i="20" s="1"/>
  <c r="AK80" i="20" a="1"/>
  <c r="AK80" i="20" s="1"/>
  <c r="AK79" i="20" a="1"/>
  <c r="AK79" i="20" s="1"/>
  <c r="AK78" i="20" a="1"/>
  <c r="AK78" i="20" s="1"/>
  <c r="AK77" i="20" a="1"/>
  <c r="AK77" i="20" s="1"/>
  <c r="AK76" i="20" a="1"/>
  <c r="AK76" i="20" s="1"/>
  <c r="AK75" i="20" a="1"/>
  <c r="AK75" i="20" s="1"/>
  <c r="AK74" i="20" a="1"/>
  <c r="AK74" i="20" s="1"/>
  <c r="AK73" i="20" a="1"/>
  <c r="AK73" i="20" s="1"/>
  <c r="AK72" i="20" a="1"/>
  <c r="AK72" i="20" s="1"/>
  <c r="AK71" i="20" a="1"/>
  <c r="AK71" i="20" s="1"/>
  <c r="AK68" i="20" a="1"/>
  <c r="AK68" i="20" s="1"/>
  <c r="AK66" i="20" a="1"/>
  <c r="AK66" i="20" s="1"/>
  <c r="AK65" i="20" a="1"/>
  <c r="AK65" i="20" s="1"/>
  <c r="AK64" i="20" a="1"/>
  <c r="AK64" i="20" s="1"/>
  <c r="AK61" i="20" a="1"/>
  <c r="AK61" i="20" s="1"/>
  <c r="AK59" i="20" a="1"/>
  <c r="AK59" i="20" s="1"/>
  <c r="AK58" i="20" a="1"/>
  <c r="AK58" i="20" s="1"/>
  <c r="AK57" i="20" a="1"/>
  <c r="AK57" i="20" s="1"/>
  <c r="AK56" i="20" a="1"/>
  <c r="AK56" i="20" s="1"/>
  <c r="AK55" i="20" a="1"/>
  <c r="AK55" i="20" s="1"/>
  <c r="AK54" i="20" a="1"/>
  <c r="AK54" i="20" s="1"/>
  <c r="AK53" i="20" a="1"/>
  <c r="AK53" i="20" s="1"/>
  <c r="AK50" i="20" a="1"/>
  <c r="AK50" i="20" s="1"/>
  <c r="AK48" i="20" a="1"/>
  <c r="AK48" i="20" s="1"/>
  <c r="AK47" i="20" a="1"/>
  <c r="AK47" i="20" s="1"/>
  <c r="AK46" i="20" a="1"/>
  <c r="AK46" i="20" s="1"/>
  <c r="AK45" i="20" a="1"/>
  <c r="AK45" i="20" s="1"/>
  <c r="AK43" i="20" a="1"/>
  <c r="AK43" i="20" s="1"/>
  <c r="AK44" i="20" a="1"/>
  <c r="AK44" i="20" s="1"/>
  <c r="AK42" i="20" a="1"/>
  <c r="AK42" i="20" s="1"/>
  <c r="AK41" i="20" a="1"/>
  <c r="AK41" i="20" s="1"/>
  <c r="AK38" i="20" a="1"/>
  <c r="AK38" i="20" s="1"/>
  <c r="AK36" i="20" a="1"/>
  <c r="AK36" i="20" s="1"/>
  <c r="AK35" i="20" a="1"/>
  <c r="AK35" i="20" s="1"/>
  <c r="AK34" i="20" a="1"/>
  <c r="AK34" i="20" s="1"/>
  <c r="AK33" i="20" a="1"/>
  <c r="AK33" i="20" s="1"/>
  <c r="AK32" i="20" a="1"/>
  <c r="AK32" i="20" s="1"/>
  <c r="AK29" i="20" a="1"/>
  <c r="AK29" i="20" s="1"/>
  <c r="AK27" i="20" a="1"/>
  <c r="AK27" i="20" s="1"/>
  <c r="AK26" i="20" a="1"/>
  <c r="AK26" i="20" s="1"/>
  <c r="AK25" i="20" a="1"/>
  <c r="AK25" i="20" s="1"/>
  <c r="AK24" i="20" a="1"/>
  <c r="AK24" i="20" s="1"/>
  <c r="AK23" i="20" a="1"/>
  <c r="AK23" i="20" s="1"/>
  <c r="AK22" i="20" a="1"/>
  <c r="AK22" i="20" s="1"/>
  <c r="AK21" i="20" a="1"/>
  <c r="AK21" i="20" s="1"/>
  <c r="AK20" i="20" a="1"/>
  <c r="AK20" i="20" s="1"/>
  <c r="AK19" i="20" a="1"/>
  <c r="AK19" i="20" s="1"/>
  <c r="AK16" i="20" a="1"/>
  <c r="AK16" i="20" s="1"/>
  <c r="AK13" i="20" a="1"/>
  <c r="AK13" i="20" s="1"/>
  <c r="AK12" i="20" a="1"/>
  <c r="AK12" i="20" s="1"/>
  <c r="AI50" i="30"/>
  <c r="AI52" i="30"/>
  <c r="AI183" i="20"/>
  <c r="AK64" i="9"/>
  <c r="AK102" i="9"/>
  <c r="AK83" i="9"/>
  <c r="AK121" i="9"/>
  <c r="AK159" i="9"/>
  <c r="AK197" i="9"/>
  <c r="AK235" i="9"/>
  <c r="AK273" i="9"/>
  <c r="AK311" i="9"/>
  <c r="AK349" i="9"/>
  <c r="AK387" i="9"/>
  <c r="AK140" i="9"/>
  <c r="AK292" i="9"/>
  <c r="AK425" i="9"/>
  <c r="AK178" i="9"/>
  <c r="AK330" i="9"/>
  <c r="AK406" i="9"/>
  <c r="AK216" i="9"/>
  <c r="AK254" i="9"/>
  <c r="AK368" i="9"/>
  <c r="AI756" i="9"/>
  <c r="AI779" i="9" s="1"/>
  <c r="AI802" i="9" s="1"/>
  <c r="AI829" i="9"/>
  <c r="AK184" i="26"/>
  <c r="AK186" i="26"/>
  <c r="AK182" i="26"/>
  <c r="AK179" i="26"/>
  <c r="AK180" i="26"/>
  <c r="AK194" i="26" s="1"/>
  <c r="AK295" i="26" s="1"/>
  <c r="AK187" i="26"/>
  <c r="AK191" i="26"/>
  <c r="AK178" i="26"/>
  <c r="AK192" i="26"/>
  <c r="AK185" i="26"/>
  <c r="AK188" i="26"/>
  <c r="AK183" i="26"/>
  <c r="AK190" i="26"/>
  <c r="AK181" i="26"/>
  <c r="AK195" i="26" s="1"/>
  <c r="AK296" i="26" s="1"/>
  <c r="AK189" i="26"/>
  <c r="AI34" i="6"/>
  <c r="AI69" i="30" s="1"/>
  <c r="AJ71" i="26"/>
  <c r="AJ259" i="26" s="1"/>
  <c r="AJ261" i="26" s="1"/>
  <c r="AI114" i="6"/>
  <c r="AI116" i="30" s="1"/>
  <c r="AJ106" i="6"/>
  <c r="AI130" i="30"/>
  <c r="AJ223" i="6"/>
  <c r="AK220" i="6" s="1"/>
  <c r="AJ180" i="20"/>
  <c r="AL43" i="3"/>
  <c r="AL4" i="38"/>
  <c r="AI710" i="9"/>
  <c r="AI232" i="3"/>
  <c r="AJ206" i="26"/>
  <c r="AJ276" i="26"/>
  <c r="AJ198" i="26"/>
  <c r="AJ150" i="26"/>
  <c r="AJ180" i="30" s="1"/>
  <c r="AJ294" i="26"/>
  <c r="AJ178" i="1" s="1"/>
  <c r="AI231" i="3"/>
  <c r="AJ107" i="6"/>
  <c r="AK157" i="26"/>
  <c r="AK171" i="26" s="1"/>
  <c r="AK249" i="26" s="1"/>
  <c r="AK161" i="26"/>
  <c r="AK165" i="26"/>
  <c r="AK156" i="26"/>
  <c r="AK170" i="26" s="1"/>
  <c r="AK222" i="26" s="1"/>
  <c r="AK160" i="26"/>
  <c r="AK154" i="26"/>
  <c r="AK158" i="26"/>
  <c r="AK172" i="26" s="1"/>
  <c r="AK236" i="26" s="1"/>
  <c r="AK162" i="26"/>
  <c r="AK166" i="26"/>
  <c r="AK155" i="26"/>
  <c r="AK173" i="26" s="1"/>
  <c r="AK268" i="26" s="1"/>
  <c r="AK164" i="26"/>
  <c r="AK159" i="26"/>
  <c r="AK163" i="26"/>
  <c r="AK167" i="26"/>
  <c r="AK168" i="26"/>
  <c r="AJ174" i="26"/>
  <c r="AJ208" i="26"/>
  <c r="AJ123" i="26"/>
  <c r="AJ267" i="26" s="1"/>
  <c r="AJ281" i="3"/>
  <c r="AJ292" i="3"/>
  <c r="AJ289" i="3"/>
  <c r="AJ280" i="3"/>
  <c r="AJ283" i="3"/>
  <c r="AJ294" i="3"/>
  <c r="AJ296" i="3"/>
  <c r="AJ285" i="3"/>
  <c r="AJ291" i="3"/>
  <c r="AJ288" i="3"/>
  <c r="AJ293" i="3"/>
  <c r="AJ284" i="3"/>
  <c r="AJ286" i="3"/>
  <c r="AJ279" i="3"/>
  <c r="AJ290" i="3"/>
  <c r="AJ287" i="3"/>
  <c r="AJ282" i="3"/>
  <c r="AJ295" i="3"/>
  <c r="AK263" i="3"/>
  <c r="AK217" i="3"/>
  <c r="AK718" i="9" s="1"/>
  <c r="AK269" i="3"/>
  <c r="AK223" i="3"/>
  <c r="AK724" i="9" s="1"/>
  <c r="AK270" i="3"/>
  <c r="AK224" i="3"/>
  <c r="AK725" i="9" s="1"/>
  <c r="AK264" i="3"/>
  <c r="AK218" i="3"/>
  <c r="AK719" i="9" s="1"/>
  <c r="AO437" i="9"/>
  <c r="AO439" i="9"/>
  <c r="AK272" i="3"/>
  <c r="AK226" i="3"/>
  <c r="AK727" i="9" s="1"/>
  <c r="AK267" i="3"/>
  <c r="AK221" i="3"/>
  <c r="AK722" i="9" s="1"/>
  <c r="AK268" i="3"/>
  <c r="AK222" i="3"/>
  <c r="AK723" i="9" s="1"/>
  <c r="AK258" i="3"/>
  <c r="AK212" i="3"/>
  <c r="AK713" i="9" s="1"/>
  <c r="AK257" i="3"/>
  <c r="AK211" i="3"/>
  <c r="AK712" i="9" s="1"/>
  <c r="AK261" i="3"/>
  <c r="AK215" i="3"/>
  <c r="AK716" i="9" s="1"/>
  <c r="AK262" i="3"/>
  <c r="AK216" i="3"/>
  <c r="AK717" i="9" s="1"/>
  <c r="AK265" i="3"/>
  <c r="AK219" i="3"/>
  <c r="AK720" i="9" s="1"/>
  <c r="AK273" i="3"/>
  <c r="AK227" i="3"/>
  <c r="AK728" i="9" s="1"/>
  <c r="AO435" i="9"/>
  <c r="AO448" i="9"/>
  <c r="AK259" i="3"/>
  <c r="AK213" i="3"/>
  <c r="AK714" i="9" s="1"/>
  <c r="AK266" i="3"/>
  <c r="AK220" i="3"/>
  <c r="AK721" i="9" s="1"/>
  <c r="AK260" i="3"/>
  <c r="AK214" i="3"/>
  <c r="AK715" i="9" s="1"/>
  <c r="AK256" i="3"/>
  <c r="AK210" i="3"/>
  <c r="AK271" i="3"/>
  <c r="AK225" i="3"/>
  <c r="AK726" i="9" s="1"/>
  <c r="AO444" i="9"/>
  <c r="AO441" i="9"/>
  <c r="AO514" i="9"/>
  <c r="AO516" i="9"/>
  <c r="AO502" i="9"/>
  <c r="AM501" i="9"/>
  <c r="AO505" i="9"/>
  <c r="AO512" i="9"/>
  <c r="AO509" i="9"/>
  <c r="AO519" i="9"/>
  <c r="AO507" i="9"/>
  <c r="AO149" i="9"/>
  <c r="AP143" i="9" s="1"/>
  <c r="AP147" i="9" s="1"/>
  <c r="AK196" i="26"/>
  <c r="AK297" i="26" s="1"/>
  <c r="AO415" i="9"/>
  <c r="AP409" i="9" s="1"/>
  <c r="AP413" i="9" s="1"/>
  <c r="AK144" i="26"/>
  <c r="AO1002" i="9"/>
  <c r="AO442" i="9"/>
  <c r="AO1009" i="9"/>
  <c r="AO449" i="9"/>
  <c r="AO1006" i="9"/>
  <c r="AO446" i="9"/>
  <c r="AN105" i="9"/>
  <c r="AN109" i="9" s="1"/>
  <c r="AM503" i="9"/>
  <c r="AO1008" i="9"/>
  <c r="AM111" i="9"/>
  <c r="AO1004" i="9"/>
  <c r="AM73" i="9"/>
  <c r="AO995" i="9"/>
  <c r="AO997" i="9"/>
  <c r="AO999" i="9"/>
  <c r="AO282" i="9"/>
  <c r="AP276" i="9" s="1"/>
  <c r="AP280" i="9" s="1"/>
  <c r="AO92" i="9"/>
  <c r="AP86" i="9" s="1"/>
  <c r="AP90" i="9" s="1"/>
  <c r="AO225" i="9"/>
  <c r="AP219" i="9" s="1"/>
  <c r="AP223" i="9" s="1"/>
  <c r="AO358" i="9"/>
  <c r="AP352" i="9" s="1"/>
  <c r="AP356" i="9" s="1"/>
  <c r="AK73" i="3"/>
  <c r="AJ119" i="3"/>
  <c r="AK85" i="3"/>
  <c r="AJ131" i="3"/>
  <c r="AK84" i="3"/>
  <c r="AJ130" i="3"/>
  <c r="AK81" i="3"/>
  <c r="AJ127" i="3"/>
  <c r="AK82" i="3"/>
  <c r="AJ128" i="3"/>
  <c r="AK70" i="3"/>
  <c r="AJ116" i="3"/>
  <c r="AJ254" i="3" s="1"/>
  <c r="AK71" i="3"/>
  <c r="AJ117" i="3"/>
  <c r="AK76" i="3"/>
  <c r="AJ122" i="3"/>
  <c r="AK89" i="3"/>
  <c r="AJ135" i="3"/>
  <c r="AL139" i="3"/>
  <c r="AL140" i="3"/>
  <c r="AL154" i="3"/>
  <c r="AL177" i="3" s="1"/>
  <c r="AL148" i="3"/>
  <c r="AL171" i="3" s="1"/>
  <c r="AL146" i="3"/>
  <c r="AL169" i="3" s="1"/>
  <c r="AL152" i="3"/>
  <c r="AL175" i="3" s="1"/>
  <c r="AL157" i="3"/>
  <c r="AL180" i="3" s="1"/>
  <c r="AL147" i="3"/>
  <c r="AL170" i="3" s="1"/>
  <c r="AL142" i="3"/>
  <c r="AL165" i="3" s="1"/>
  <c r="AL149" i="3"/>
  <c r="AL172" i="3" s="1"/>
  <c r="AL155" i="3"/>
  <c r="AL178" i="3" s="1"/>
  <c r="AL145" i="3"/>
  <c r="AL168" i="3" s="1"/>
  <c r="AL144" i="3"/>
  <c r="AL167" i="3" s="1"/>
  <c r="AK74" i="3"/>
  <c r="AJ120" i="3"/>
  <c r="AK77" i="3"/>
  <c r="AJ123" i="3"/>
  <c r="AK83" i="3"/>
  <c r="AJ129" i="3"/>
  <c r="AK86" i="3"/>
  <c r="AJ132" i="3"/>
  <c r="AK87" i="3"/>
  <c r="AJ133" i="3"/>
  <c r="AL158" i="3"/>
  <c r="AL181" i="3" s="1"/>
  <c r="AL153" i="3"/>
  <c r="AL176" i="3" s="1"/>
  <c r="AL151" i="3"/>
  <c r="AL174" i="3" s="1"/>
  <c r="AL156" i="3"/>
  <c r="AL179" i="3" s="1"/>
  <c r="AK78" i="3"/>
  <c r="AJ124" i="3"/>
  <c r="AK72" i="3"/>
  <c r="AJ118" i="3"/>
  <c r="AK80" i="3"/>
  <c r="AJ126" i="3"/>
  <c r="AK75" i="3"/>
  <c r="AJ121" i="3"/>
  <c r="AK88" i="3"/>
  <c r="AJ134" i="3"/>
  <c r="AK79" i="3"/>
  <c r="AJ125" i="3"/>
  <c r="AL141" i="3"/>
  <c r="AL143" i="3"/>
  <c r="AL166" i="3" s="1"/>
  <c r="AL150" i="3"/>
  <c r="AL173" i="3" s="1"/>
  <c r="AK85" i="26"/>
  <c r="AK66" i="26"/>
  <c r="AL5" i="3"/>
  <c r="AK78" i="26"/>
  <c r="AK94" i="26" s="1"/>
  <c r="AK220" i="26" s="1"/>
  <c r="AK91" i="26"/>
  <c r="AK87" i="26"/>
  <c r="AK79" i="26"/>
  <c r="AK95" i="26" s="1"/>
  <c r="AK180" i="1" s="1"/>
  <c r="AK58" i="26"/>
  <c r="AK80" i="26"/>
  <c r="AK81" i="26"/>
  <c r="AK55" i="26"/>
  <c r="AK89" i="26"/>
  <c r="AK90" i="26"/>
  <c r="AK56" i="26"/>
  <c r="AK61" i="26"/>
  <c r="AO187" i="9"/>
  <c r="AP181" i="9" s="1"/>
  <c r="AP185" i="9" s="1"/>
  <c r="AO320" i="9"/>
  <c r="AP314" i="9" s="1"/>
  <c r="AP318" i="9" s="1"/>
  <c r="AK86" i="26"/>
  <c r="AK234" i="26" s="1"/>
  <c r="AK84" i="26"/>
  <c r="AK60" i="26"/>
  <c r="AK65" i="26"/>
  <c r="AK141" i="26"/>
  <c r="AK133" i="26"/>
  <c r="AK147" i="26" s="1"/>
  <c r="AK118" i="26"/>
  <c r="AK111" i="26"/>
  <c r="AK115" i="26"/>
  <c r="AK112" i="26"/>
  <c r="AK235" i="26" s="1"/>
  <c r="AK82" i="26"/>
  <c r="AK59" i="26"/>
  <c r="AK64" i="26"/>
  <c r="AK130" i="26"/>
  <c r="AK117" i="26"/>
  <c r="AK137" i="26"/>
  <c r="AK134" i="26"/>
  <c r="AK148" i="26" s="1"/>
  <c r="AK142" i="26"/>
  <c r="AK109" i="26"/>
  <c r="AK140" i="26"/>
  <c r="AK83" i="26"/>
  <c r="AK92" i="26"/>
  <c r="AK88" i="26"/>
  <c r="AK67" i="26"/>
  <c r="AK63" i="26"/>
  <c r="AK62" i="26"/>
  <c r="AK57" i="26"/>
  <c r="AK138" i="26"/>
  <c r="AK106" i="26"/>
  <c r="AK139" i="26"/>
  <c r="AK131" i="26"/>
  <c r="AK114" i="26"/>
  <c r="AK110" i="26"/>
  <c r="AK116" i="26"/>
  <c r="AK107" i="26"/>
  <c r="AK135" i="26"/>
  <c r="AK54" i="26"/>
  <c r="AK53" i="26"/>
  <c r="AK105" i="26"/>
  <c r="AK108" i="26"/>
  <c r="AK143" i="26"/>
  <c r="AK113" i="26"/>
  <c r="AK104" i="26"/>
  <c r="AK136" i="26"/>
  <c r="AK132" i="26"/>
  <c r="AK146" i="26" s="1"/>
  <c r="AJ179" i="20"/>
  <c r="AK121" i="26"/>
  <c r="AK248" i="26" s="1"/>
  <c r="AK219" i="26"/>
  <c r="AL12" i="3"/>
  <c r="AL3" i="3" s="1"/>
  <c r="AL24" i="3"/>
  <c r="AK96" i="3"/>
  <c r="AK108" i="3"/>
  <c r="AK101" i="3"/>
  <c r="AK107" i="3"/>
  <c r="AK95" i="3"/>
  <c r="AM8" i="3"/>
  <c r="AK97" i="3"/>
  <c r="AK100" i="3"/>
  <c r="AK106" i="3"/>
  <c r="AK109" i="3"/>
  <c r="AK110" i="3"/>
  <c r="AK103" i="3"/>
  <c r="AK98" i="3"/>
  <c r="AK111" i="3"/>
  <c r="AK102" i="3"/>
  <c r="AK104" i="3"/>
  <c r="AK105" i="3"/>
  <c r="AK93" i="3"/>
  <c r="AK94" i="3"/>
  <c r="AK99" i="3"/>
  <c r="AK112" i="3"/>
  <c r="AI733" i="9" l="1"/>
  <c r="AK24" i="32"/>
  <c r="AK153" i="30"/>
  <c r="AJ52" i="30"/>
  <c r="AL3" i="38"/>
  <c r="AL39" i="3"/>
  <c r="AJ183" i="1"/>
  <c r="AL346" i="3"/>
  <c r="AL347" i="3"/>
  <c r="AK833" i="9"/>
  <c r="AK841" i="9"/>
  <c r="AK842" i="9"/>
  <c r="AK839" i="9"/>
  <c r="AK831" i="9"/>
  <c r="AK846" i="9"/>
  <c r="AK838" i="9"/>
  <c r="AK834" i="9"/>
  <c r="AK832" i="9"/>
  <c r="AK843" i="9"/>
  <c r="AK847" i="9"/>
  <c r="AK836" i="9"/>
  <c r="AK837" i="9"/>
  <c r="AK844" i="9"/>
  <c r="AI852" i="9"/>
  <c r="AJ130" i="30"/>
  <c r="AJ34" i="6"/>
  <c r="AJ69" i="30" s="1"/>
  <c r="AK257" i="26"/>
  <c r="AK68" i="26"/>
  <c r="AK205" i="26" s="1"/>
  <c r="AK70" i="26"/>
  <c r="AK233" i="26" s="1"/>
  <c r="AJ111" i="6"/>
  <c r="AK106" i="6" s="1"/>
  <c r="AK247" i="26"/>
  <c r="AL30" i="3"/>
  <c r="AJ178" i="20"/>
  <c r="AJ183" i="20" s="1"/>
  <c r="AJ687" i="9"/>
  <c r="AJ209" i="3"/>
  <c r="AJ255" i="3"/>
  <c r="AJ278" i="3" s="1"/>
  <c r="AK149" i="26"/>
  <c r="AK93" i="26"/>
  <c r="AK206" i="26" s="1"/>
  <c r="AI168" i="20"/>
  <c r="AK120" i="26"/>
  <c r="AK221" i="26" s="1"/>
  <c r="AL55" i="3"/>
  <c r="AL51" i="3"/>
  <c r="AL48" i="3"/>
  <c r="AL163" i="3" s="1"/>
  <c r="AL186" i="3" s="1"/>
  <c r="AL56" i="3"/>
  <c r="AL60" i="3"/>
  <c r="AL52" i="3"/>
  <c r="AL63" i="3"/>
  <c r="AL53" i="3"/>
  <c r="AL54" i="3"/>
  <c r="AL66" i="3"/>
  <c r="AL64" i="3"/>
  <c r="AL57" i="3"/>
  <c r="AL65" i="3"/>
  <c r="AL50" i="3"/>
  <c r="AL62" i="3"/>
  <c r="AL59" i="3"/>
  <c r="AL49" i="3"/>
  <c r="AL164" i="3" s="1"/>
  <c r="AL187" i="3" s="1"/>
  <c r="AL61" i="3"/>
  <c r="AL58" i="3"/>
  <c r="AL47" i="3"/>
  <c r="AL162" i="3" s="1"/>
  <c r="AL185" i="3" s="1"/>
  <c r="AJ72" i="33"/>
  <c r="AK197" i="26"/>
  <c r="AK298" i="26" s="1"/>
  <c r="AJ299" i="26"/>
  <c r="AJ793" i="9"/>
  <c r="AJ781" i="9"/>
  <c r="AJ796" i="9"/>
  <c r="AJ791" i="9"/>
  <c r="AJ783" i="9"/>
  <c r="AL5" i="26"/>
  <c r="AL5" i="38"/>
  <c r="AJ281" i="26"/>
  <c r="AJ154" i="6" s="1"/>
  <c r="AK169" i="26"/>
  <c r="AK145" i="26"/>
  <c r="AL4" i="33"/>
  <c r="AL4" i="35"/>
  <c r="AL3" i="33"/>
  <c r="AL3" i="35"/>
  <c r="AK119" i="26"/>
  <c r="AL5" i="33"/>
  <c r="AL5" i="35"/>
  <c r="AP445" i="9"/>
  <c r="AJ208" i="3"/>
  <c r="AJ277" i="3"/>
  <c r="AP447" i="9"/>
  <c r="AO510" i="9"/>
  <c r="AO1001" i="9"/>
  <c r="AP438" i="9"/>
  <c r="AP433" i="9"/>
  <c r="AN434" i="9"/>
  <c r="AP440" i="9"/>
  <c r="AP443" i="9"/>
  <c r="AP450" i="9"/>
  <c r="AP436" i="9"/>
  <c r="AO244" i="9"/>
  <c r="AM1085" i="9"/>
  <c r="AO515" i="9"/>
  <c r="AO511" i="9"/>
  <c r="AO508" i="9"/>
  <c r="AO513" i="9"/>
  <c r="AO517" i="9"/>
  <c r="AO518" i="9"/>
  <c r="AP996" i="9"/>
  <c r="AL3" i="28"/>
  <c r="AL3" i="32"/>
  <c r="AL3" i="30"/>
  <c r="AL16" i="3"/>
  <c r="AL18" i="3" s="1"/>
  <c r="AL4" i="32"/>
  <c r="AL4" i="30"/>
  <c r="AL5" i="32"/>
  <c r="AL5" i="30"/>
  <c r="AP1010" i="9"/>
  <c r="AK193" i="26"/>
  <c r="AN994" i="9"/>
  <c r="AO263" i="9"/>
  <c r="AP257" i="9" s="1"/>
  <c r="AP261" i="9" s="1"/>
  <c r="AO339" i="9"/>
  <c r="AO168" i="9"/>
  <c r="AO506" i="9"/>
  <c r="AO504" i="9"/>
  <c r="AO396" i="9"/>
  <c r="AO301" i="9"/>
  <c r="AP1003" i="9"/>
  <c r="AP371" i="9"/>
  <c r="AP375" i="9" s="1"/>
  <c r="AO377" i="9"/>
  <c r="AO130" i="9"/>
  <c r="AP333" i="9"/>
  <c r="AP337" i="9" s="1"/>
  <c r="AP162" i="9"/>
  <c r="AP166" i="9" s="1"/>
  <c r="AN67" i="9"/>
  <c r="AN71" i="9" s="1"/>
  <c r="AP295" i="9"/>
  <c r="AP299" i="9" s="1"/>
  <c r="AP390" i="9"/>
  <c r="AP394" i="9" s="1"/>
  <c r="AP124" i="9"/>
  <c r="AP128" i="9" s="1"/>
  <c r="AP238" i="9"/>
  <c r="AP242" i="9" s="1"/>
  <c r="AO206" i="9"/>
  <c r="AP993" i="9"/>
  <c r="AL191" i="3"/>
  <c r="AL189" i="3"/>
  <c r="AL199" i="3"/>
  <c r="AL194" i="3"/>
  <c r="AL197" i="3"/>
  <c r="AL193" i="3"/>
  <c r="AL190" i="3"/>
  <c r="AL188" i="3"/>
  <c r="AL203" i="3"/>
  <c r="AL204" i="3"/>
  <c r="AL202" i="3"/>
  <c r="AL196" i="3"/>
  <c r="AL192" i="3"/>
  <c r="AL195" i="3"/>
  <c r="AL198" i="3"/>
  <c r="AL201" i="3"/>
  <c r="AL200" i="3"/>
  <c r="AK235" i="3"/>
  <c r="AK736" i="9" s="1"/>
  <c r="AP1000" i="9"/>
  <c r="AK281" i="3"/>
  <c r="AK239" i="3"/>
  <c r="AK740" i="9" s="1"/>
  <c r="AP1007" i="9"/>
  <c r="AK249" i="3"/>
  <c r="AK750" i="9" s="1"/>
  <c r="AK244" i="3"/>
  <c r="AK233" i="3"/>
  <c r="AK234" i="3"/>
  <c r="AK236" i="3"/>
  <c r="AK737" i="9" s="1"/>
  <c r="AK238" i="3"/>
  <c r="AK739" i="9" s="1"/>
  <c r="AK245" i="3"/>
  <c r="AK746" i="9" s="1"/>
  <c r="AK241" i="3"/>
  <c r="AK246" i="3"/>
  <c r="AK250" i="3"/>
  <c r="AK751" i="9" s="1"/>
  <c r="AK243" i="3"/>
  <c r="AK240" i="3"/>
  <c r="AK248" i="3"/>
  <c r="AK749" i="9" s="1"/>
  <c r="AK247" i="3"/>
  <c r="AK237" i="3"/>
  <c r="AK242" i="3"/>
  <c r="AL4" i="28"/>
  <c r="AL5" i="28"/>
  <c r="AP1005" i="9"/>
  <c r="AP998" i="9"/>
  <c r="AK179" i="1"/>
  <c r="AL3" i="26"/>
  <c r="AL4" i="22"/>
  <c r="AL4" i="26"/>
  <c r="AL4" i="9"/>
  <c r="AL4" i="11"/>
  <c r="AL4" i="16"/>
  <c r="AL4" i="20"/>
  <c r="AL4" i="12"/>
  <c r="AL5" i="22"/>
  <c r="AL5" i="20"/>
  <c r="AL3" i="22"/>
  <c r="AL3" i="20"/>
  <c r="AM10" i="3"/>
  <c r="AM4" i="3" s="1"/>
  <c r="AM2" i="44" s="1" a="1"/>
  <c r="AM2" i="44" s="1"/>
  <c r="AL5" i="16"/>
  <c r="AL5" i="12"/>
  <c r="AL5" i="11"/>
  <c r="AL5" i="9"/>
  <c r="AL3" i="16"/>
  <c r="AL3" i="12"/>
  <c r="AL3" i="11"/>
  <c r="AL3" i="9"/>
  <c r="AL705" i="9" l="1"/>
  <c r="AK742" i="9"/>
  <c r="AL696" i="9" s="1"/>
  <c r="AK741" i="9"/>
  <c r="AL695" i="9" s="1"/>
  <c r="AL690" i="9"/>
  <c r="AL693" i="9"/>
  <c r="AK748" i="9"/>
  <c r="AL702" i="9" s="1"/>
  <c r="AK743" i="9"/>
  <c r="AL697" i="9" s="1"/>
  <c r="AL700" i="9"/>
  <c r="AL703" i="9"/>
  <c r="AL691" i="9"/>
  <c r="AK747" i="9"/>
  <c r="AL701" i="9" s="1"/>
  <c r="AK735" i="9"/>
  <c r="AL689" i="9" s="1"/>
  <c r="AK738" i="9"/>
  <c r="AL692" i="9" s="1"/>
  <c r="AK745" i="9"/>
  <c r="AL699" i="9" s="1"/>
  <c r="AK744" i="9"/>
  <c r="AL698" i="9" s="1"/>
  <c r="AL704" i="9"/>
  <c r="AL694" i="9"/>
  <c r="AL198" i="20" a="1"/>
  <c r="AL198" i="20" s="1"/>
  <c r="AL148" i="20" a="1"/>
  <c r="AL148" i="20" s="1"/>
  <c r="AL169" i="20" a="1"/>
  <c r="AL169" i="20" s="1"/>
  <c r="AL149" i="20" a="1"/>
  <c r="AL149" i="20" s="1"/>
  <c r="AL146" i="20" a="1"/>
  <c r="AL146" i="20" s="1"/>
  <c r="AL145" i="20" a="1"/>
  <c r="AL145" i="20" s="1"/>
  <c r="AL144" i="20" a="1"/>
  <c r="AL144" i="20" s="1"/>
  <c r="AL181" i="20" a="1"/>
  <c r="AL181" i="20" s="1"/>
  <c r="AL172" i="20" a="1"/>
  <c r="AL172" i="20" s="1"/>
  <c r="AL142" i="20" a="1"/>
  <c r="AL142" i="20" s="1"/>
  <c r="AL140" i="20" a="1"/>
  <c r="AL140" i="20" s="1"/>
  <c r="AL138" i="20" a="1"/>
  <c r="AL138" i="20" s="1"/>
  <c r="AL133" i="20" a="1"/>
  <c r="AL133" i="20" s="1"/>
  <c r="AL129" i="20" a="1"/>
  <c r="AL129" i="20" s="1"/>
  <c r="AL127" i="20" a="1"/>
  <c r="AL127" i="20" s="1"/>
  <c r="AL150" i="20" a="1"/>
  <c r="AL150" i="20" s="1"/>
  <c r="AL143" i="20" a="1"/>
  <c r="AL143" i="20" s="1"/>
  <c r="AL141" i="20" a="1"/>
  <c r="AL141" i="20" s="1"/>
  <c r="AL131" i="20" a="1"/>
  <c r="AL131" i="20" s="1"/>
  <c r="AL126" i="20" a="1"/>
  <c r="AL126" i="20" s="1"/>
  <c r="AL137" i="20" a="1"/>
  <c r="AL137" i="20" s="1"/>
  <c r="AL124" i="20" a="1"/>
  <c r="AL124" i="20" s="1"/>
  <c r="AL122" i="20" a="1"/>
  <c r="AL122" i="20" s="1"/>
  <c r="AL154" i="20" a="1"/>
  <c r="AL154" i="20" s="1"/>
  <c r="AL128" i="20" a="1"/>
  <c r="AL128" i="20" s="1"/>
  <c r="AL139" i="20" a="1"/>
  <c r="AL139" i="20" s="1"/>
  <c r="AL125" i="20" a="1"/>
  <c r="AL125" i="20" s="1"/>
  <c r="AL115" i="20" a="1"/>
  <c r="AL115" i="20" s="1"/>
  <c r="AL117" i="20" s="1"/>
  <c r="AL106" i="20" a="1"/>
  <c r="AL106" i="20" s="1"/>
  <c r="AL132" i="20" a="1"/>
  <c r="AL132" i="20" s="1"/>
  <c r="AL123" i="20" a="1"/>
  <c r="AL123" i="20" s="1"/>
  <c r="AL112" i="20" a="1"/>
  <c r="AL112" i="20" s="1"/>
  <c r="AL111" i="20" a="1"/>
  <c r="AL111" i="20" s="1"/>
  <c r="AL103" i="20" a="1"/>
  <c r="AL103" i="20" s="1"/>
  <c r="AL96" i="20" a="1"/>
  <c r="AL96" i="20" s="1"/>
  <c r="AL92" i="20" a="1"/>
  <c r="AL92" i="20" s="1"/>
  <c r="AL82" i="20" a="1"/>
  <c r="AL82" i="20" s="1"/>
  <c r="AL81" i="20" a="1"/>
  <c r="AL81" i="20" s="1"/>
  <c r="AL80" i="20" a="1"/>
  <c r="AL80" i="20" s="1"/>
  <c r="AL79" i="20" a="1"/>
  <c r="AL79" i="20" s="1"/>
  <c r="AL78" i="20" a="1"/>
  <c r="AL78" i="20" s="1"/>
  <c r="AL77" i="20" a="1"/>
  <c r="AL77" i="20" s="1"/>
  <c r="AL76" i="20" a="1"/>
  <c r="AL76" i="20" s="1"/>
  <c r="AL75" i="20" a="1"/>
  <c r="AL75" i="20" s="1"/>
  <c r="AL74" i="20" a="1"/>
  <c r="AL74" i="20" s="1"/>
  <c r="AL73" i="20" a="1"/>
  <c r="AL73" i="20" s="1"/>
  <c r="AL72" i="20" a="1"/>
  <c r="AL72" i="20" s="1"/>
  <c r="AL71" i="20" a="1"/>
  <c r="AL71" i="20" s="1"/>
  <c r="AL68" i="20" a="1"/>
  <c r="AL68" i="20" s="1"/>
  <c r="AL66" i="20" a="1"/>
  <c r="AL66" i="20" s="1"/>
  <c r="AL65" i="20" a="1"/>
  <c r="AL65" i="20" s="1"/>
  <c r="AL64" i="20" a="1"/>
  <c r="AL64" i="20" s="1"/>
  <c r="AL61" i="20" a="1"/>
  <c r="AL61" i="20" s="1"/>
  <c r="AL59" i="20" a="1"/>
  <c r="AL59" i="20" s="1"/>
  <c r="AL58" i="20" a="1"/>
  <c r="AL58" i="20" s="1"/>
  <c r="AL57" i="20" a="1"/>
  <c r="AL57" i="20" s="1"/>
  <c r="AL56" i="20" a="1"/>
  <c r="AL56" i="20" s="1"/>
  <c r="AL55" i="20" a="1"/>
  <c r="AL55" i="20" s="1"/>
  <c r="AL54" i="20" a="1"/>
  <c r="AL54" i="20" s="1"/>
  <c r="AL53" i="20" a="1"/>
  <c r="AL53" i="20" s="1"/>
  <c r="AL50" i="20" a="1"/>
  <c r="AL50" i="20" s="1"/>
  <c r="AL48" i="20" a="1"/>
  <c r="AL48" i="20" s="1"/>
  <c r="AL47" i="20" a="1"/>
  <c r="AL47" i="20" s="1"/>
  <c r="AL46" i="20" a="1"/>
  <c r="AL46" i="20" s="1"/>
  <c r="AL45" i="20" a="1"/>
  <c r="AL45" i="20" s="1"/>
  <c r="AL44" i="20" a="1"/>
  <c r="AL44" i="20" s="1"/>
  <c r="AL43" i="20" a="1"/>
  <c r="AL43" i="20" s="1"/>
  <c r="AL42" i="20" a="1"/>
  <c r="AL42" i="20" s="1"/>
  <c r="AL110" i="20" a="1"/>
  <c r="AL110" i="20" s="1"/>
  <c r="AL102" i="20" a="1"/>
  <c r="AL102" i="20" s="1"/>
  <c r="AL95" i="20" a="1"/>
  <c r="AL95" i="20" s="1"/>
  <c r="AL91" i="20" a="1"/>
  <c r="AL91" i="20" s="1"/>
  <c r="AL88" i="20" a="1"/>
  <c r="AL88" i="20" s="1"/>
  <c r="AL83" i="20" a="1"/>
  <c r="AL83" i="20" s="1"/>
  <c r="AL105" i="20" a="1"/>
  <c r="AL105" i="20" s="1"/>
  <c r="AL101" i="20" a="1"/>
  <c r="AL101" i="20" s="1"/>
  <c r="AL94" i="20" a="1"/>
  <c r="AL94" i="20" s="1"/>
  <c r="AL90" i="20" a="1"/>
  <c r="AL90" i="20" s="1"/>
  <c r="AL104" i="20" a="1"/>
  <c r="AL104" i="20" s="1"/>
  <c r="AL12" i="20" a="1"/>
  <c r="AL12" i="20" s="1"/>
  <c r="AL97" i="20" a="1"/>
  <c r="AL97" i="20" s="1"/>
  <c r="AL41" i="20" a="1"/>
  <c r="AL41" i="20" s="1"/>
  <c r="AL38" i="20" a="1"/>
  <c r="AL38" i="20" s="1"/>
  <c r="AL36" i="20" a="1"/>
  <c r="AL36" i="20" s="1"/>
  <c r="AL35" i="20" a="1"/>
  <c r="AL35" i="20" s="1"/>
  <c r="AL34" i="20" a="1"/>
  <c r="AL34" i="20" s="1"/>
  <c r="AL33" i="20" a="1"/>
  <c r="AL33" i="20" s="1"/>
  <c r="AL32" i="20" a="1"/>
  <c r="AL32" i="20" s="1"/>
  <c r="AL29" i="20" a="1"/>
  <c r="AL29" i="20" s="1"/>
  <c r="AL27" i="20" a="1"/>
  <c r="AL27" i="20" s="1"/>
  <c r="AL26" i="20" a="1"/>
  <c r="AL26" i="20" s="1"/>
  <c r="AL25" i="20" a="1"/>
  <c r="AL25" i="20" s="1"/>
  <c r="AL24" i="20" a="1"/>
  <c r="AL24" i="20" s="1"/>
  <c r="AL23" i="20" a="1"/>
  <c r="AL23" i="20" s="1"/>
  <c r="AL22" i="20" a="1"/>
  <c r="AL22" i="20" s="1"/>
  <c r="AL21" i="20" a="1"/>
  <c r="AL21" i="20" s="1"/>
  <c r="AL20" i="20" a="1"/>
  <c r="AL20" i="20" s="1"/>
  <c r="AL19" i="20" a="1"/>
  <c r="AL19" i="20" s="1"/>
  <c r="AL16" i="20" a="1"/>
  <c r="AL16" i="20" s="1"/>
  <c r="AL13" i="20" a="1"/>
  <c r="AL13" i="20" s="1"/>
  <c r="AL93" i="20" a="1"/>
  <c r="AL93" i="20" s="1"/>
  <c r="AL89" i="20" a="1"/>
  <c r="AL89" i="20" s="1"/>
  <c r="AL87" i="20" a="1"/>
  <c r="AL87" i="20" s="1"/>
  <c r="AJ50" i="30"/>
  <c r="AL159" i="9"/>
  <c r="AL178" i="9"/>
  <c r="AL311" i="9"/>
  <c r="AL330" i="9"/>
  <c r="AL83" i="9"/>
  <c r="AL197" i="9"/>
  <c r="AL216" i="9"/>
  <c r="AL349" i="9"/>
  <c r="AL368" i="9"/>
  <c r="AL425" i="9"/>
  <c r="AL64" i="9"/>
  <c r="AL140" i="9"/>
  <c r="AL235" i="9"/>
  <c r="AL254" i="9"/>
  <c r="AL102" i="9"/>
  <c r="AL273" i="9"/>
  <c r="AL292" i="9"/>
  <c r="AL121" i="9"/>
  <c r="AL406" i="9"/>
  <c r="AL387" i="9"/>
  <c r="AJ854" i="9"/>
  <c r="AJ804" i="9"/>
  <c r="AK758" i="9" s="1"/>
  <c r="AJ856" i="9"/>
  <c r="AJ806" i="9"/>
  <c r="AK760" i="9" s="1"/>
  <c r="AJ866" i="9"/>
  <c r="AJ816" i="9"/>
  <c r="AK770" i="9" s="1"/>
  <c r="AJ829" i="9"/>
  <c r="AJ864" i="9"/>
  <c r="AJ814" i="9"/>
  <c r="AK768" i="9" s="1"/>
  <c r="AJ869" i="9"/>
  <c r="AJ819" i="9"/>
  <c r="AK773" i="9" s="1"/>
  <c r="AL159" i="26"/>
  <c r="AL192" i="26"/>
  <c r="AL183" i="26"/>
  <c r="AL190" i="26"/>
  <c r="AL185" i="26"/>
  <c r="AL188" i="26"/>
  <c r="AL179" i="26"/>
  <c r="AL182" i="26"/>
  <c r="AL196" i="26" s="1"/>
  <c r="AL297" i="26" s="1"/>
  <c r="AL186" i="26"/>
  <c r="AL180" i="26"/>
  <c r="AL194" i="26" s="1"/>
  <c r="AL295" i="26" s="1"/>
  <c r="AL181" i="26"/>
  <c r="AL195" i="26" s="1"/>
  <c r="AL296" i="26" s="1"/>
  <c r="AL191" i="26"/>
  <c r="AL184" i="26"/>
  <c r="AL178" i="26"/>
  <c r="AL189" i="26"/>
  <c r="AL187" i="26"/>
  <c r="AL82" i="26"/>
  <c r="AL58" i="26"/>
  <c r="AL90" i="26"/>
  <c r="AL106" i="26"/>
  <c r="AL135" i="26"/>
  <c r="AK71" i="26"/>
  <c r="AK259" i="26" s="1"/>
  <c r="AJ114" i="6"/>
  <c r="AJ116" i="30" s="1"/>
  <c r="AI48" i="30"/>
  <c r="AJ756" i="9"/>
  <c r="AJ779" i="9" s="1"/>
  <c r="AJ802" i="9" s="1"/>
  <c r="AL165" i="26"/>
  <c r="AL62" i="26"/>
  <c r="AL117" i="26"/>
  <c r="AM43" i="3"/>
  <c r="AJ232" i="3"/>
  <c r="AJ710" i="9"/>
  <c r="AK97" i="26"/>
  <c r="AK221" i="6" s="1"/>
  <c r="AK150" i="26"/>
  <c r="AK180" i="30" s="1"/>
  <c r="AK198" i="26"/>
  <c r="AJ98" i="30"/>
  <c r="AJ187" i="30" s="1"/>
  <c r="AL81" i="26"/>
  <c r="AL57" i="26"/>
  <c r="AL108" i="26"/>
  <c r="AL88" i="26"/>
  <c r="AL85" i="26"/>
  <c r="AL55" i="26"/>
  <c r="AL53" i="26"/>
  <c r="AL70" i="26" s="1"/>
  <c r="AL233" i="26" s="1"/>
  <c r="AL141" i="26"/>
  <c r="AL116" i="26"/>
  <c r="AL107" i="26"/>
  <c r="AL154" i="26"/>
  <c r="AL112" i="26"/>
  <c r="AL235" i="26" s="1"/>
  <c r="AL168" i="26"/>
  <c r="AL109" i="26"/>
  <c r="AL137" i="26"/>
  <c r="AL79" i="26"/>
  <c r="AL95" i="26" s="1"/>
  <c r="AL180" i="1" s="1"/>
  <c r="AL87" i="26"/>
  <c r="AL56" i="26"/>
  <c r="AL54" i="26"/>
  <c r="AL118" i="26"/>
  <c r="AL104" i="26"/>
  <c r="AL120" i="26" s="1"/>
  <c r="AL221" i="26" s="1"/>
  <c r="AL113" i="26"/>
  <c r="AL144" i="26"/>
  <c r="AL166" i="26"/>
  <c r="AL80" i="26"/>
  <c r="AL92" i="26"/>
  <c r="AL67" i="26"/>
  <c r="AL115" i="26"/>
  <c r="AL134" i="26"/>
  <c r="AL148" i="26" s="1"/>
  <c r="AL142" i="26"/>
  <c r="AL164" i="26"/>
  <c r="AL78" i="26"/>
  <c r="AL93" i="26" s="1"/>
  <c r="AL91" i="26"/>
  <c r="AL61" i="26"/>
  <c r="AL60" i="26"/>
  <c r="AL66" i="26"/>
  <c r="AL133" i="26"/>
  <c r="AL147" i="26" s="1"/>
  <c r="AL132" i="26"/>
  <c r="AL146" i="26" s="1"/>
  <c r="AL114" i="26"/>
  <c r="AL140" i="26"/>
  <c r="AL130" i="26"/>
  <c r="AL89" i="26"/>
  <c r="AL83" i="26"/>
  <c r="AL86" i="26"/>
  <c r="AL234" i="26" s="1"/>
  <c r="AL84" i="26"/>
  <c r="AL65" i="26"/>
  <c r="AL64" i="26"/>
  <c r="AL63" i="26"/>
  <c r="AL59" i="26"/>
  <c r="AL136" i="26"/>
  <c r="AL111" i="26"/>
  <c r="AL138" i="26"/>
  <c r="AL110" i="26"/>
  <c r="AL139" i="26"/>
  <c r="AL105" i="26"/>
  <c r="AL131" i="26"/>
  <c r="AL143" i="26"/>
  <c r="AL161" i="26"/>
  <c r="AK276" i="26"/>
  <c r="AK281" i="26" s="1"/>
  <c r="AL167" i="26"/>
  <c r="AL158" i="26"/>
  <c r="AL172" i="26" s="1"/>
  <c r="AL236" i="26" s="1"/>
  <c r="AL162" i="26"/>
  <c r="AL155" i="26"/>
  <c r="AL156" i="26"/>
  <c r="AL170" i="26" s="1"/>
  <c r="AL222" i="26" s="1"/>
  <c r="AL160" i="26"/>
  <c r="AL157" i="26"/>
  <c r="AL171" i="26" s="1"/>
  <c r="AL249" i="26" s="1"/>
  <c r="AL163" i="26"/>
  <c r="AK174" i="26"/>
  <c r="AK208" i="26"/>
  <c r="AM94" i="6"/>
  <c r="AM88" i="35"/>
  <c r="AK286" i="3"/>
  <c r="AK287" i="3"/>
  <c r="AK295" i="3"/>
  <c r="AK283" i="3"/>
  <c r="AK291" i="3"/>
  <c r="AK293" i="3"/>
  <c r="AK296" i="3"/>
  <c r="AK284" i="3"/>
  <c r="AK279" i="3"/>
  <c r="AK285" i="3"/>
  <c r="AK294" i="26"/>
  <c r="AK178" i="1" s="1"/>
  <c r="AK288" i="3"/>
  <c r="AK280" i="3"/>
  <c r="AK289" i="3"/>
  <c r="AK294" i="3"/>
  <c r="AK292" i="3"/>
  <c r="AK282" i="3"/>
  <c r="AK290" i="3"/>
  <c r="AK207" i="26"/>
  <c r="AK123" i="26"/>
  <c r="AK267" i="26" s="1"/>
  <c r="AL267" i="3"/>
  <c r="AL221" i="3"/>
  <c r="AL722" i="9" s="1"/>
  <c r="AL256" i="3"/>
  <c r="AL210" i="3"/>
  <c r="AL257" i="3"/>
  <c r="AL211" i="3"/>
  <c r="AL712" i="9" s="1"/>
  <c r="AL263" i="3"/>
  <c r="AL217" i="3"/>
  <c r="AL718" i="9" s="1"/>
  <c r="AL269" i="3"/>
  <c r="AL223" i="3"/>
  <c r="AL724" i="9" s="1"/>
  <c r="AL264" i="3"/>
  <c r="AL218" i="3"/>
  <c r="AL719" i="9" s="1"/>
  <c r="AL271" i="3"/>
  <c r="AL225" i="3"/>
  <c r="AL726" i="9" s="1"/>
  <c r="AL259" i="3"/>
  <c r="AL213" i="3"/>
  <c r="AL714" i="9" s="1"/>
  <c r="AL268" i="3"/>
  <c r="AL222" i="3"/>
  <c r="AL723" i="9" s="1"/>
  <c r="AP444" i="9"/>
  <c r="AN432" i="9"/>
  <c r="AJ231" i="3"/>
  <c r="AL261" i="3"/>
  <c r="AL215" i="3"/>
  <c r="AL716" i="9" s="1"/>
  <c r="AL273" i="3"/>
  <c r="AL227" i="3"/>
  <c r="AL728" i="9" s="1"/>
  <c r="AL262" i="3"/>
  <c r="AL216" i="3"/>
  <c r="AL717" i="9" s="1"/>
  <c r="AL258" i="3"/>
  <c r="AL212" i="3"/>
  <c r="AL713" i="9" s="1"/>
  <c r="AP441" i="9"/>
  <c r="AP442" i="9"/>
  <c r="AL270" i="3"/>
  <c r="AL224" i="3"/>
  <c r="AL725" i="9" s="1"/>
  <c r="AL265" i="3"/>
  <c r="AL219" i="3"/>
  <c r="AL720" i="9" s="1"/>
  <c r="AL272" i="3"/>
  <c r="AL226" i="3"/>
  <c r="AL727" i="9" s="1"/>
  <c r="AL266" i="3"/>
  <c r="AL220" i="3"/>
  <c r="AL721" i="9" s="1"/>
  <c r="AL260" i="3"/>
  <c r="AL214" i="3"/>
  <c r="AL715" i="9" s="1"/>
  <c r="AP448" i="9"/>
  <c r="AP516" i="9"/>
  <c r="AP519" i="9"/>
  <c r="AP505" i="9"/>
  <c r="AP509" i="9"/>
  <c r="AN503" i="9"/>
  <c r="AP507" i="9"/>
  <c r="AP502" i="9"/>
  <c r="AP512" i="9"/>
  <c r="AP514" i="9"/>
  <c r="AP149" i="9"/>
  <c r="AQ143" i="9" s="1"/>
  <c r="AQ147" i="9" s="1"/>
  <c r="AP415" i="9"/>
  <c r="AQ409" i="9" s="1"/>
  <c r="AQ413" i="9" s="1"/>
  <c r="AN111" i="9"/>
  <c r="AP1002" i="9"/>
  <c r="AP282" i="9"/>
  <c r="AQ276" i="9" s="1"/>
  <c r="AQ280" i="9" s="1"/>
  <c r="AP1001" i="9"/>
  <c r="AP995" i="9"/>
  <c r="AP435" i="9"/>
  <c r="AP997" i="9"/>
  <c r="AP437" i="9"/>
  <c r="AP1009" i="9"/>
  <c r="AP449" i="9"/>
  <c r="AP1006" i="9"/>
  <c r="AP446" i="9"/>
  <c r="AP1008" i="9"/>
  <c r="AP92" i="9"/>
  <c r="AQ86" i="9" s="1"/>
  <c r="AQ90" i="9" s="1"/>
  <c r="AP1004" i="9"/>
  <c r="AN992" i="9"/>
  <c r="AP200" i="9"/>
  <c r="AP204" i="9" s="1"/>
  <c r="AO105" i="9"/>
  <c r="AO109" i="9" s="1"/>
  <c r="AP225" i="9"/>
  <c r="AQ219" i="9" s="1"/>
  <c r="AQ223" i="9" s="1"/>
  <c r="AP358" i="9"/>
  <c r="AQ352" i="9" s="1"/>
  <c r="AQ356" i="9" s="1"/>
  <c r="AL82" i="3"/>
  <c r="AK128" i="3"/>
  <c r="AL89" i="3"/>
  <c r="AK135" i="3"/>
  <c r="AL77" i="3"/>
  <c r="AK123" i="3"/>
  <c r="AL76" i="3"/>
  <c r="AK122" i="3"/>
  <c r="AL84" i="3"/>
  <c r="AK130" i="3"/>
  <c r="AL87" i="3"/>
  <c r="AK133" i="3"/>
  <c r="AL78" i="3"/>
  <c r="AK124" i="3"/>
  <c r="AL85" i="3"/>
  <c r="AK131" i="3"/>
  <c r="AL74" i="3"/>
  <c r="AK120" i="3"/>
  <c r="AL72" i="3"/>
  <c r="AK118" i="3"/>
  <c r="AL75" i="3"/>
  <c r="AK121" i="3"/>
  <c r="AL86" i="3"/>
  <c r="AK132" i="3"/>
  <c r="AM145" i="3"/>
  <c r="AM143" i="3"/>
  <c r="AM141" i="3"/>
  <c r="AM150" i="3"/>
  <c r="AM147" i="3"/>
  <c r="AM151" i="3"/>
  <c r="AL88" i="3"/>
  <c r="AK134" i="3"/>
  <c r="AM148" i="3"/>
  <c r="AM158" i="3"/>
  <c r="AM139" i="3"/>
  <c r="AM156" i="3"/>
  <c r="AM142" i="3"/>
  <c r="AL83" i="3"/>
  <c r="AK129" i="3"/>
  <c r="AL81" i="3"/>
  <c r="AK127" i="3"/>
  <c r="AL70" i="3"/>
  <c r="AK116" i="3"/>
  <c r="AL80" i="3"/>
  <c r="AK126" i="3"/>
  <c r="AM146" i="3"/>
  <c r="AM149" i="3"/>
  <c r="AM144" i="3"/>
  <c r="AL79" i="3"/>
  <c r="AK125" i="3"/>
  <c r="AL71" i="3"/>
  <c r="AK117" i="3"/>
  <c r="AL73" i="3"/>
  <c r="AK119" i="3"/>
  <c r="AM140" i="3"/>
  <c r="AM157" i="3"/>
  <c r="AM152" i="3"/>
  <c r="AM153" i="3"/>
  <c r="AM154" i="3"/>
  <c r="AM155" i="3"/>
  <c r="AP187" i="9"/>
  <c r="AQ181" i="9" s="1"/>
  <c r="AQ185" i="9" s="1"/>
  <c r="AP320" i="9"/>
  <c r="AQ314" i="9"/>
  <c r="AQ318" i="9" s="1"/>
  <c r="AK107" i="6"/>
  <c r="AK111" i="6" s="1"/>
  <c r="AJ168" i="20"/>
  <c r="AK179" i="20"/>
  <c r="AL94" i="26"/>
  <c r="AL220" i="26" s="1"/>
  <c r="AM24" i="3"/>
  <c r="AM5" i="3"/>
  <c r="AL119" i="26"/>
  <c r="AL121" i="26"/>
  <c r="AL248" i="26" s="1"/>
  <c r="AL219" i="26"/>
  <c r="AM4" i="38"/>
  <c r="AM12" i="3"/>
  <c r="AM3" i="3" s="1"/>
  <c r="AL99" i="3"/>
  <c r="AL101" i="3"/>
  <c r="AL108" i="3"/>
  <c r="AL97" i="3"/>
  <c r="AL95" i="3"/>
  <c r="AL98" i="3"/>
  <c r="AL109" i="3"/>
  <c r="AL96" i="3"/>
  <c r="AL110" i="3"/>
  <c r="AL105" i="3"/>
  <c r="AL102" i="3"/>
  <c r="AL111" i="3"/>
  <c r="AL112" i="3"/>
  <c r="AL94" i="3"/>
  <c r="AL100" i="3"/>
  <c r="AL107" i="3"/>
  <c r="AL106" i="3"/>
  <c r="AL104" i="3"/>
  <c r="AL93" i="3"/>
  <c r="AL103" i="3"/>
  <c r="AN8" i="3"/>
  <c r="AJ64" i="33" l="1"/>
  <c r="AJ74" i="33"/>
  <c r="AJ733" i="9"/>
  <c r="AL24" i="32"/>
  <c r="AL153" i="30"/>
  <c r="AM3" i="38"/>
  <c r="AM39" i="3"/>
  <c r="AM346" i="3"/>
  <c r="AM347" i="3"/>
  <c r="AL843" i="9"/>
  <c r="AL833" i="9"/>
  <c r="AL834" i="9"/>
  <c r="AL832" i="9"/>
  <c r="AL837" i="9"/>
  <c r="AL847" i="9"/>
  <c r="AL842" i="9"/>
  <c r="AL838" i="9"/>
  <c r="AL831" i="9"/>
  <c r="AL844" i="9"/>
  <c r="AL836" i="9"/>
  <c r="AL846" i="9"/>
  <c r="AL841" i="9"/>
  <c r="AL839" i="9"/>
  <c r="AJ852" i="9"/>
  <c r="AK261" i="26"/>
  <c r="AL257" i="26" s="1"/>
  <c r="AL68" i="26"/>
  <c r="AL71" i="26" s="1"/>
  <c r="AL259" i="26" s="1"/>
  <c r="AL247" i="26"/>
  <c r="AM30" i="3"/>
  <c r="AK223" i="6"/>
  <c r="AK130" i="30" s="1"/>
  <c r="AK180" i="20"/>
  <c r="AJ48" i="30"/>
  <c r="AK687" i="9"/>
  <c r="AK255" i="3"/>
  <c r="AK278" i="3" s="1"/>
  <c r="AK209" i="3"/>
  <c r="AL173" i="26"/>
  <c r="AL268" i="26" s="1"/>
  <c r="AL149" i="26"/>
  <c r="AL193" i="26"/>
  <c r="AL294" i="26" s="1"/>
  <c r="AL145" i="26"/>
  <c r="AM5" i="38"/>
  <c r="AM51" i="3"/>
  <c r="AM166" i="3" s="1"/>
  <c r="AM189" i="3" s="1"/>
  <c r="AM55" i="3"/>
  <c r="AM170" i="3" s="1"/>
  <c r="AM193" i="3" s="1"/>
  <c r="AM48" i="3"/>
  <c r="AM163" i="3" s="1"/>
  <c r="AM186" i="3" s="1"/>
  <c r="AM56" i="3"/>
  <c r="AM171" i="3" s="1"/>
  <c r="AM194" i="3" s="1"/>
  <c r="AM63" i="3"/>
  <c r="AM178" i="3" s="1"/>
  <c r="AM201" i="3" s="1"/>
  <c r="AM60" i="3"/>
  <c r="AM175" i="3" s="1"/>
  <c r="AM198" i="3" s="1"/>
  <c r="AM52" i="3"/>
  <c r="AM167" i="3" s="1"/>
  <c r="AM190" i="3" s="1"/>
  <c r="AM57" i="3"/>
  <c r="AM172" i="3" s="1"/>
  <c r="AM195" i="3" s="1"/>
  <c r="AM49" i="3"/>
  <c r="AM164" i="3" s="1"/>
  <c r="AM187" i="3" s="1"/>
  <c r="AM61" i="3"/>
  <c r="AM176" i="3" s="1"/>
  <c r="AM199" i="3" s="1"/>
  <c r="AM54" i="3"/>
  <c r="AM169" i="3" s="1"/>
  <c r="AM192" i="3" s="1"/>
  <c r="AM62" i="3"/>
  <c r="AM177" i="3" s="1"/>
  <c r="AM200" i="3" s="1"/>
  <c r="AM64" i="3"/>
  <c r="AM179" i="3" s="1"/>
  <c r="AM202" i="3" s="1"/>
  <c r="AM65" i="3"/>
  <c r="AM180" i="3" s="1"/>
  <c r="AM203" i="3" s="1"/>
  <c r="AM50" i="3"/>
  <c r="AM165" i="3" s="1"/>
  <c r="AM188" i="3" s="1"/>
  <c r="AM53" i="3"/>
  <c r="AM168" i="3" s="1"/>
  <c r="AM191" i="3" s="1"/>
  <c r="AM47" i="3"/>
  <c r="AM162" i="3" s="1"/>
  <c r="AM185" i="3" s="1"/>
  <c r="AM59" i="3"/>
  <c r="AM174" i="3" s="1"/>
  <c r="AM197" i="3" s="1"/>
  <c r="AM58" i="3"/>
  <c r="AM173" i="3" s="1"/>
  <c r="AM196" i="3" s="1"/>
  <c r="AM66" i="3"/>
  <c r="AL169" i="26"/>
  <c r="AL197" i="26"/>
  <c r="AL298" i="26" s="1"/>
  <c r="AK796" i="9"/>
  <c r="AK791" i="9"/>
  <c r="AK783" i="9"/>
  <c r="AK781" i="9"/>
  <c r="AK793" i="9"/>
  <c r="AK299" i="26"/>
  <c r="AK72" i="33"/>
  <c r="AM4" i="33"/>
  <c r="AM4" i="35"/>
  <c r="AL207" i="26"/>
  <c r="AL123" i="26"/>
  <c r="AL267" i="26" s="1"/>
  <c r="AM3" i="33"/>
  <c r="AM3" i="35"/>
  <c r="AL206" i="26"/>
  <c r="AL97" i="26"/>
  <c r="AL221" i="6" s="1"/>
  <c r="AM5" i="33"/>
  <c r="AM5" i="35"/>
  <c r="AO434" i="9"/>
  <c r="AQ443" i="9"/>
  <c r="AQ450" i="9"/>
  <c r="AQ445" i="9"/>
  <c r="AQ438" i="9"/>
  <c r="AQ436" i="9"/>
  <c r="AQ447" i="9"/>
  <c r="AQ440" i="9"/>
  <c r="AK208" i="3"/>
  <c r="AK231" i="3" s="1"/>
  <c r="AK254" i="3"/>
  <c r="AK277" i="3" s="1"/>
  <c r="AP439" i="9"/>
  <c r="AP510" i="9"/>
  <c r="AP513" i="9"/>
  <c r="AP515" i="9"/>
  <c r="AP506" i="9"/>
  <c r="AP511" i="9"/>
  <c r="AN501" i="9"/>
  <c r="AP517" i="9"/>
  <c r="AP518" i="9"/>
  <c r="AP504" i="9"/>
  <c r="AQ996" i="9"/>
  <c r="AK114" i="6"/>
  <c r="AK116" i="30" s="1"/>
  <c r="AQ1010" i="9"/>
  <c r="AM3" i="28"/>
  <c r="AM3" i="32"/>
  <c r="AM3" i="30"/>
  <c r="AM16" i="3"/>
  <c r="AM18" i="3" s="1"/>
  <c r="AM4" i="32"/>
  <c r="AM4" i="30"/>
  <c r="AM5" i="32"/>
  <c r="AM5" i="30"/>
  <c r="AP168" i="9"/>
  <c r="AQ162" i="9" s="1"/>
  <c r="AQ166" i="9" s="1"/>
  <c r="AP263" i="9"/>
  <c r="AP130" i="9"/>
  <c r="AQ1003" i="9"/>
  <c r="AP396" i="9"/>
  <c r="AP339" i="9"/>
  <c r="AQ993" i="9"/>
  <c r="AQ433" i="9"/>
  <c r="AP244" i="9"/>
  <c r="AP377" i="9"/>
  <c r="AP301" i="9"/>
  <c r="AN73" i="9"/>
  <c r="AQ295" i="9"/>
  <c r="AQ299" i="9" s="1"/>
  <c r="AQ371" i="9"/>
  <c r="AQ375" i="9" s="1"/>
  <c r="AO67" i="9"/>
  <c r="AO71" i="9" s="1"/>
  <c r="AQ390" i="9"/>
  <c r="AQ394" i="9" s="1"/>
  <c r="AQ257" i="9"/>
  <c r="AQ261" i="9" s="1"/>
  <c r="AQ333" i="9"/>
  <c r="AQ337" i="9" s="1"/>
  <c r="AQ238" i="9"/>
  <c r="AQ242" i="9" s="1"/>
  <c r="AP999" i="9"/>
  <c r="AQ124" i="9"/>
  <c r="AQ128" i="9" s="1"/>
  <c r="AO994" i="9"/>
  <c r="AQ1000" i="9"/>
  <c r="AQ1007" i="9"/>
  <c r="AL237" i="3"/>
  <c r="AL738" i="9" s="1"/>
  <c r="AL243" i="3"/>
  <c r="AL744" i="9" s="1"/>
  <c r="AL242" i="3"/>
  <c r="AL743" i="9" s="1"/>
  <c r="AL236" i="3"/>
  <c r="AL247" i="3"/>
  <c r="AL234" i="3"/>
  <c r="AL735" i="9" s="1"/>
  <c r="AL235" i="3"/>
  <c r="AL244" i="3"/>
  <c r="AL246" i="3"/>
  <c r="AL747" i="9" s="1"/>
  <c r="AL233" i="3"/>
  <c r="AL248" i="3"/>
  <c r="AL238" i="3"/>
  <c r="AL241" i="3"/>
  <c r="AL742" i="9" s="1"/>
  <c r="AL250" i="3"/>
  <c r="AL751" i="9" s="1"/>
  <c r="AL245" i="3"/>
  <c r="AL249" i="3"/>
  <c r="AL240" i="3"/>
  <c r="AL741" i="9" s="1"/>
  <c r="AL239" i="3"/>
  <c r="AL740" i="9" s="1"/>
  <c r="AM4" i="28"/>
  <c r="AM5" i="28"/>
  <c r="AM5" i="26"/>
  <c r="AQ1005" i="9"/>
  <c r="AQ998" i="9"/>
  <c r="AK154" i="6"/>
  <c r="AL276" i="26"/>
  <c r="AL179" i="1"/>
  <c r="AM3" i="26"/>
  <c r="AM4" i="11"/>
  <c r="AM4" i="26"/>
  <c r="AM4" i="16"/>
  <c r="AM4" i="9"/>
  <c r="AM4" i="12"/>
  <c r="AM5" i="22"/>
  <c r="AM5" i="20"/>
  <c r="AM4" i="22"/>
  <c r="AM4" i="20"/>
  <c r="AM3" i="20"/>
  <c r="AM3" i="22"/>
  <c r="AM5" i="16"/>
  <c r="AM5" i="12"/>
  <c r="AM5" i="11"/>
  <c r="AM5" i="9"/>
  <c r="AN10" i="3"/>
  <c r="AN4" i="3" s="1"/>
  <c r="AN2" i="44" s="1" a="1"/>
  <c r="AN2" i="44" s="1"/>
  <c r="AM3" i="16"/>
  <c r="AM3" i="12"/>
  <c r="AM3" i="11"/>
  <c r="AM3" i="9"/>
  <c r="AL748" i="9" l="1"/>
  <c r="AM702" i="9" s="1"/>
  <c r="AL737" i="9"/>
  <c r="AM691" i="9" s="1"/>
  <c r="AL750" i="9"/>
  <c r="AM704" i="9" s="1"/>
  <c r="AL749" i="9"/>
  <c r="AM703" i="9" s="1"/>
  <c r="AM697" i="9"/>
  <c r="AM694" i="9"/>
  <c r="AM689" i="9"/>
  <c r="AM698" i="9"/>
  <c r="AL739" i="9"/>
  <c r="AM693" i="9" s="1"/>
  <c r="AL736" i="9"/>
  <c r="AM690" i="9" s="1"/>
  <c r="AL745" i="9"/>
  <c r="AM699" i="9" s="1"/>
  <c r="AL746" i="9"/>
  <c r="AM700" i="9" s="1"/>
  <c r="AM695" i="9"/>
  <c r="AM701" i="9"/>
  <c r="AM692" i="9"/>
  <c r="AM181" i="3"/>
  <c r="AM204" i="3" s="1"/>
  <c r="AM705" i="9"/>
  <c r="AM696" i="9"/>
  <c r="AL178" i="1"/>
  <c r="AM169" i="20" a="1"/>
  <c r="AM169" i="20" s="1"/>
  <c r="AM149" i="20" a="1"/>
  <c r="AM149" i="20" s="1"/>
  <c r="AM146" i="20" a="1"/>
  <c r="AM146" i="20" s="1"/>
  <c r="AM145" i="20" a="1"/>
  <c r="AM145" i="20" s="1"/>
  <c r="AM144" i="20" a="1"/>
  <c r="AM144" i="20" s="1"/>
  <c r="AM172" i="20" a="1"/>
  <c r="AM172" i="20" s="1"/>
  <c r="AM150" i="20" a="1"/>
  <c r="AM150" i="20" s="1"/>
  <c r="AM154" i="20" a="1"/>
  <c r="AM154" i="20" s="1"/>
  <c r="AM131" i="20" a="1"/>
  <c r="AM131" i="20" s="1"/>
  <c r="AM129" i="20" a="1"/>
  <c r="AM129" i="20" s="1"/>
  <c r="AM128" i="20" a="1"/>
  <c r="AM128" i="20" s="1"/>
  <c r="AM127" i="20" a="1"/>
  <c r="AM127" i="20" s="1"/>
  <c r="AM126" i="20" a="1"/>
  <c r="AM126" i="20" s="1"/>
  <c r="AM181" i="20" a="1"/>
  <c r="AM181" i="20" s="1"/>
  <c r="AM198" i="20" a="1"/>
  <c r="AM198" i="20" s="1"/>
  <c r="AM143" i="20" a="1"/>
  <c r="AM143" i="20" s="1"/>
  <c r="AM141" i="20" a="1"/>
  <c r="AM141" i="20" s="1"/>
  <c r="AM139" i="20" a="1"/>
  <c r="AM139" i="20" s="1"/>
  <c r="AM137" i="20" a="1"/>
  <c r="AM137" i="20" s="1"/>
  <c r="AM132" i="20" a="1"/>
  <c r="AM132" i="20" s="1"/>
  <c r="AM125" i="20" a="1"/>
  <c r="AM125" i="20" s="1"/>
  <c r="AM124" i="20" a="1"/>
  <c r="AM124" i="20" s="1"/>
  <c r="AM123" i="20" a="1"/>
  <c r="AM123" i="20" s="1"/>
  <c r="AM122" i="20" a="1"/>
  <c r="AM122" i="20" s="1"/>
  <c r="AM115" i="20" a="1"/>
  <c r="AM115" i="20" s="1"/>
  <c r="AM112" i="20" a="1"/>
  <c r="AM112" i="20" s="1"/>
  <c r="AM111" i="20" a="1"/>
  <c r="AM111" i="20" s="1"/>
  <c r="AM110" i="20" a="1"/>
  <c r="AM110" i="20" s="1"/>
  <c r="AM106" i="20" a="1"/>
  <c r="AM106" i="20" s="1"/>
  <c r="AM138" i="20" a="1"/>
  <c r="AM138" i="20" s="1"/>
  <c r="AM105" i="20" a="1"/>
  <c r="AM105" i="20" s="1"/>
  <c r="AM142" i="20" a="1"/>
  <c r="AM142" i="20" s="1"/>
  <c r="AM133" i="20" a="1"/>
  <c r="AM133" i="20" s="1"/>
  <c r="AM148" i="20" a="1"/>
  <c r="AM148" i="20" s="1"/>
  <c r="AM140" i="20" a="1"/>
  <c r="AM140" i="20" s="1"/>
  <c r="AM104" i="20" a="1"/>
  <c r="AM104" i="20" s="1"/>
  <c r="AM103" i="20" a="1"/>
  <c r="AM103" i="20" s="1"/>
  <c r="AM102" i="20" a="1"/>
  <c r="AM102" i="20" s="1"/>
  <c r="AM101" i="20" a="1"/>
  <c r="AM101" i="20" s="1"/>
  <c r="AM97" i="20" a="1"/>
  <c r="AM97" i="20" s="1"/>
  <c r="AM96" i="20" a="1"/>
  <c r="AM96" i="20" s="1"/>
  <c r="AM95" i="20" a="1"/>
  <c r="AM95" i="20" s="1"/>
  <c r="AM94" i="20" a="1"/>
  <c r="AM94" i="20" s="1"/>
  <c r="AM93" i="20" a="1"/>
  <c r="AM93" i="20" s="1"/>
  <c r="AM92" i="20" a="1"/>
  <c r="AM92" i="20" s="1"/>
  <c r="AM91" i="20" a="1"/>
  <c r="AM91" i="20" s="1"/>
  <c r="AM90" i="20" a="1"/>
  <c r="AM90" i="20" s="1"/>
  <c r="AM89" i="20" a="1"/>
  <c r="AM89" i="20" s="1"/>
  <c r="AM88" i="20" a="1"/>
  <c r="AM88" i="20" s="1"/>
  <c r="AM87" i="20" a="1"/>
  <c r="AM87" i="20" s="1"/>
  <c r="AM83" i="20" a="1"/>
  <c r="AM83" i="20" s="1"/>
  <c r="AM80" i="20" a="1"/>
  <c r="AM80" i="20" s="1"/>
  <c r="AM76" i="20" a="1"/>
  <c r="AM76" i="20" s="1"/>
  <c r="AM72" i="20" a="1"/>
  <c r="AM72" i="20" s="1"/>
  <c r="AM65" i="20" a="1"/>
  <c r="AM65" i="20" s="1"/>
  <c r="AM58" i="20" a="1"/>
  <c r="AM58" i="20" s="1"/>
  <c r="AM54" i="20" a="1"/>
  <c r="AM54" i="20" s="1"/>
  <c r="AM47" i="20" a="1"/>
  <c r="AM47" i="20" s="1"/>
  <c r="AM41" i="20" a="1"/>
  <c r="AM41" i="20" s="1"/>
  <c r="AM38" i="20" a="1"/>
  <c r="AM38" i="20" s="1"/>
  <c r="AM36" i="20" a="1"/>
  <c r="AM36" i="20" s="1"/>
  <c r="AM35" i="20" a="1"/>
  <c r="AM35" i="20" s="1"/>
  <c r="AM34" i="20" a="1"/>
  <c r="AM34" i="20" s="1"/>
  <c r="AM33" i="20" a="1"/>
  <c r="AM33" i="20" s="1"/>
  <c r="AM32" i="20" a="1"/>
  <c r="AM32" i="20" s="1"/>
  <c r="AM29" i="20" a="1"/>
  <c r="AM29" i="20" s="1"/>
  <c r="AM27" i="20" a="1"/>
  <c r="AM27" i="20" s="1"/>
  <c r="AM26" i="20" a="1"/>
  <c r="AM26" i="20" s="1"/>
  <c r="AM25" i="20" a="1"/>
  <c r="AM25" i="20" s="1"/>
  <c r="AM24" i="20" a="1"/>
  <c r="AM24" i="20" s="1"/>
  <c r="AM23" i="20" a="1"/>
  <c r="AM23" i="20" s="1"/>
  <c r="AM22" i="20" a="1"/>
  <c r="AM22" i="20" s="1"/>
  <c r="AM21" i="20" a="1"/>
  <c r="AM21" i="20" s="1"/>
  <c r="AM20" i="20" a="1"/>
  <c r="AM20" i="20" s="1"/>
  <c r="AM19" i="20" a="1"/>
  <c r="AM19" i="20" s="1"/>
  <c r="AM16" i="20" a="1"/>
  <c r="AM16" i="20" s="1"/>
  <c r="AM13" i="20" a="1"/>
  <c r="AM13" i="20" s="1"/>
  <c r="AM12" i="20" a="1"/>
  <c r="AM12" i="20" s="1"/>
  <c r="AM81" i="20" a="1"/>
  <c r="AM81" i="20" s="1"/>
  <c r="AM73" i="20" a="1"/>
  <c r="AM73" i="20" s="1"/>
  <c r="AM59" i="20" a="1"/>
  <c r="AM59" i="20" s="1"/>
  <c r="AM55" i="20" a="1"/>
  <c r="AM55" i="20" s="1"/>
  <c r="AM45" i="20" a="1"/>
  <c r="AM45" i="20" s="1"/>
  <c r="AM43" i="20" a="1"/>
  <c r="AM43" i="20" s="1"/>
  <c r="AM79" i="20" a="1"/>
  <c r="AM79" i="20" s="1"/>
  <c r="AM75" i="20" a="1"/>
  <c r="AM75" i="20" s="1"/>
  <c r="AM71" i="20" a="1"/>
  <c r="AM71" i="20" s="1"/>
  <c r="AM64" i="20" a="1"/>
  <c r="AM64" i="20" s="1"/>
  <c r="AM57" i="20" a="1"/>
  <c r="AM57" i="20" s="1"/>
  <c r="AM53" i="20" a="1"/>
  <c r="AM53" i="20" s="1"/>
  <c r="AM46" i="20" a="1"/>
  <c r="AM46" i="20" s="1"/>
  <c r="AM44" i="20" a="1"/>
  <c r="AM44" i="20" s="1"/>
  <c r="AM42" i="20" a="1"/>
  <c r="AM42" i="20" s="1"/>
  <c r="AM82" i="20" a="1"/>
  <c r="AM82" i="20" s="1"/>
  <c r="AM78" i="20" a="1"/>
  <c r="AM78" i="20" s="1"/>
  <c r="AM74" i="20" a="1"/>
  <c r="AM74" i="20" s="1"/>
  <c r="AM68" i="20" a="1"/>
  <c r="AM68" i="20" s="1"/>
  <c r="AM61" i="20" a="1"/>
  <c r="AM61" i="20" s="1"/>
  <c r="AM56" i="20" a="1"/>
  <c r="AM56" i="20" s="1"/>
  <c r="AM50" i="20" a="1"/>
  <c r="AM50" i="20" s="1"/>
  <c r="AM77" i="20" a="1"/>
  <c r="AM77" i="20" s="1"/>
  <c r="AM66" i="20" a="1"/>
  <c r="AM66" i="20" s="1"/>
  <c r="AM48" i="20" a="1"/>
  <c r="AM48" i="20" s="1"/>
  <c r="AK52" i="30"/>
  <c r="AK183" i="1"/>
  <c r="AM140" i="9"/>
  <c r="AM178" i="9"/>
  <c r="AM216" i="9"/>
  <c r="AM254" i="9"/>
  <c r="AM292" i="9"/>
  <c r="AM330" i="9"/>
  <c r="AM368" i="9"/>
  <c r="AM406" i="9"/>
  <c r="AM83" i="9"/>
  <c r="AM197" i="9"/>
  <c r="AM349" i="9"/>
  <c r="AM64" i="9"/>
  <c r="AM235" i="9"/>
  <c r="AM387" i="9"/>
  <c r="AM102" i="9"/>
  <c r="AM121" i="9"/>
  <c r="AM273" i="9"/>
  <c r="AM311" i="9"/>
  <c r="AM159" i="9"/>
  <c r="AM425" i="9"/>
  <c r="AK866" i="9"/>
  <c r="AK816" i="9"/>
  <c r="AL770" i="9" s="1"/>
  <c r="AK869" i="9"/>
  <c r="AK819" i="9"/>
  <c r="AL773" i="9" s="1"/>
  <c r="AK854" i="9"/>
  <c r="AK804" i="9"/>
  <c r="AL758" i="9" s="1"/>
  <c r="AK864" i="9"/>
  <c r="AK814" i="9"/>
  <c r="AL768" i="9" s="1"/>
  <c r="AK856" i="9"/>
  <c r="AK806" i="9"/>
  <c r="AL760" i="9" s="1"/>
  <c r="AK756" i="9"/>
  <c r="AK779" i="9" s="1"/>
  <c r="AK802" i="9" s="1"/>
  <c r="AK829" i="9"/>
  <c r="AM191" i="26"/>
  <c r="AM188" i="26"/>
  <c r="AM182" i="26"/>
  <c r="AM192" i="26"/>
  <c r="AM180" i="26"/>
  <c r="AM183" i="26"/>
  <c r="AM190" i="26"/>
  <c r="AM186" i="26"/>
  <c r="AM189" i="26"/>
  <c r="AM178" i="26"/>
  <c r="AM187" i="26"/>
  <c r="AM184" i="26"/>
  <c r="AM181" i="26"/>
  <c r="AM185" i="26"/>
  <c r="AM179" i="26"/>
  <c r="AL261" i="26"/>
  <c r="AM257" i="26" s="1"/>
  <c r="AK34" i="6"/>
  <c r="AK69" i="30" s="1"/>
  <c r="AL208" i="26"/>
  <c r="AL205" i="26"/>
  <c r="AL220" i="6"/>
  <c r="AL223" i="6" s="1"/>
  <c r="AL130" i="30" s="1"/>
  <c r="AL180" i="20"/>
  <c r="AN43" i="3"/>
  <c r="AK710" i="9"/>
  <c r="AK232" i="3"/>
  <c r="AL150" i="26"/>
  <c r="AL180" i="30" s="1"/>
  <c r="AL174" i="26"/>
  <c r="AL198" i="26"/>
  <c r="AK98" i="30"/>
  <c r="AK187" i="30" s="1"/>
  <c r="AK178" i="20"/>
  <c r="AK183" i="20" s="1"/>
  <c r="AL299" i="26"/>
  <c r="AM168" i="26"/>
  <c r="AM162" i="26"/>
  <c r="AM161" i="26"/>
  <c r="AM163" i="26"/>
  <c r="AM158" i="26"/>
  <c r="AM157" i="26"/>
  <c r="AM155" i="26"/>
  <c r="AM160" i="26"/>
  <c r="AM156" i="26"/>
  <c r="AM159" i="26"/>
  <c r="AM154" i="26"/>
  <c r="AM164" i="26"/>
  <c r="AM165" i="26"/>
  <c r="AM167" i="26"/>
  <c r="AM166" i="26"/>
  <c r="AM144" i="26"/>
  <c r="AM130" i="26"/>
  <c r="AM78" i="26"/>
  <c r="AM66" i="26"/>
  <c r="AM88" i="26"/>
  <c r="AM58" i="26"/>
  <c r="AM92" i="26"/>
  <c r="AL292" i="3"/>
  <c r="AL291" i="3"/>
  <c r="AL284" i="3"/>
  <c r="AL290" i="3"/>
  <c r="AL282" i="3"/>
  <c r="AL295" i="3"/>
  <c r="AL293" i="3"/>
  <c r="AL285" i="3"/>
  <c r="AL294" i="3"/>
  <c r="AL281" i="3"/>
  <c r="AL288" i="3"/>
  <c r="AL287" i="3"/>
  <c r="AL283" i="3"/>
  <c r="AL286" i="3"/>
  <c r="AL296" i="3"/>
  <c r="AL279" i="3"/>
  <c r="AL280" i="3"/>
  <c r="AL289" i="3"/>
  <c r="AQ444" i="9"/>
  <c r="AO432" i="9"/>
  <c r="AQ441" i="9"/>
  <c r="AQ437" i="9"/>
  <c r="AQ446" i="9"/>
  <c r="AQ448" i="9"/>
  <c r="AL106" i="6"/>
  <c r="AQ507" i="9"/>
  <c r="AQ509" i="9"/>
  <c r="AQ502" i="9"/>
  <c r="AQ514" i="9"/>
  <c r="AO503" i="9"/>
  <c r="AQ519" i="9"/>
  <c r="AQ505" i="9"/>
  <c r="AQ516" i="9"/>
  <c r="AP508" i="9"/>
  <c r="AQ512" i="9"/>
  <c r="AQ149" i="9"/>
  <c r="AR143" i="9" s="1"/>
  <c r="AR147" i="9" s="1"/>
  <c r="AQ415" i="9"/>
  <c r="AR409" i="9" s="1"/>
  <c r="AR413" i="9" s="1"/>
  <c r="AM108" i="26"/>
  <c r="AM132" i="26"/>
  <c r="AM82" i="26"/>
  <c r="AM61" i="26"/>
  <c r="AM118" i="26"/>
  <c r="AM114" i="26"/>
  <c r="AM83" i="26"/>
  <c r="AM65" i="26"/>
  <c r="AM57" i="26"/>
  <c r="AM106" i="26"/>
  <c r="AM142" i="26"/>
  <c r="AM196" i="26"/>
  <c r="AQ997" i="9"/>
  <c r="AM104" i="26"/>
  <c r="AM139" i="26"/>
  <c r="AM113" i="26"/>
  <c r="AM105" i="26"/>
  <c r="AM85" i="26"/>
  <c r="AM91" i="26"/>
  <c r="AM80" i="26"/>
  <c r="AM63" i="26"/>
  <c r="AM62" i="26"/>
  <c r="AM67" i="26"/>
  <c r="AM107" i="26"/>
  <c r="AM137" i="26"/>
  <c r="AM143" i="26"/>
  <c r="AM109" i="26"/>
  <c r="AM117" i="26"/>
  <c r="AM136" i="26"/>
  <c r="AM79" i="26"/>
  <c r="AM87" i="26"/>
  <c r="AM89" i="26"/>
  <c r="AM59" i="26"/>
  <c r="AM64" i="26"/>
  <c r="AM60" i="26"/>
  <c r="AM134" i="26"/>
  <c r="AM110" i="26"/>
  <c r="AM141" i="26"/>
  <c r="AM140" i="26"/>
  <c r="AM138" i="26"/>
  <c r="AM133" i="26"/>
  <c r="AQ282" i="9"/>
  <c r="AR276" i="9" s="1"/>
  <c r="AR280" i="9" s="1"/>
  <c r="AQ92" i="9"/>
  <c r="AR86" i="9" s="1"/>
  <c r="AR90" i="9" s="1"/>
  <c r="AQ1009" i="9"/>
  <c r="AQ449" i="9"/>
  <c r="AQ995" i="9"/>
  <c r="AQ435" i="9"/>
  <c r="AQ1002" i="9"/>
  <c r="AQ442" i="9"/>
  <c r="AO992" i="9"/>
  <c r="AN1085" i="9"/>
  <c r="AQ1008" i="9"/>
  <c r="AQ1001" i="9"/>
  <c r="AQ1004" i="9"/>
  <c r="AQ1006" i="9"/>
  <c r="AO111" i="9"/>
  <c r="AP206" i="9"/>
  <c r="AQ225" i="9"/>
  <c r="AR219" i="9" s="1"/>
  <c r="AR223" i="9" s="1"/>
  <c r="AM84" i="26"/>
  <c r="AM90" i="26"/>
  <c r="AM81" i="26"/>
  <c r="AM86" i="26"/>
  <c r="AM56" i="26"/>
  <c r="AM55" i="26"/>
  <c r="AM54" i="26"/>
  <c r="AM53" i="26"/>
  <c r="AM115" i="26"/>
  <c r="AM131" i="26"/>
  <c r="AM112" i="26"/>
  <c r="AM135" i="26"/>
  <c r="AM116" i="26"/>
  <c r="AM111" i="26"/>
  <c r="AQ358" i="9"/>
  <c r="AR352" i="9" s="1"/>
  <c r="AR356" i="9" s="1"/>
  <c r="AM71" i="3"/>
  <c r="AL117" i="3"/>
  <c r="AN145" i="3"/>
  <c r="AN140" i="3"/>
  <c r="AN149" i="3"/>
  <c r="AN142" i="3"/>
  <c r="AN153" i="3"/>
  <c r="AN143" i="3"/>
  <c r="AM81" i="3"/>
  <c r="AL127" i="3"/>
  <c r="AM87" i="3"/>
  <c r="AL133" i="3"/>
  <c r="AM89" i="3"/>
  <c r="AL135" i="3"/>
  <c r="AM74" i="3"/>
  <c r="AL120" i="3"/>
  <c r="AM82" i="3"/>
  <c r="AL128" i="3"/>
  <c r="AM85" i="3"/>
  <c r="AL131" i="3"/>
  <c r="AM70" i="3"/>
  <c r="AL116" i="3"/>
  <c r="AN155" i="3"/>
  <c r="AN156" i="3"/>
  <c r="AN141" i="3"/>
  <c r="AN148" i="3"/>
  <c r="AM86" i="3"/>
  <c r="AL132" i="3"/>
  <c r="AM83" i="3"/>
  <c r="AL129" i="3"/>
  <c r="AM84" i="3"/>
  <c r="AL130" i="3"/>
  <c r="AN146" i="3"/>
  <c r="AN157" i="3"/>
  <c r="AN144" i="3"/>
  <c r="AN139" i="3"/>
  <c r="AN154" i="3"/>
  <c r="AM78" i="3"/>
  <c r="AL124" i="3"/>
  <c r="AM88" i="3"/>
  <c r="AL134" i="3"/>
  <c r="AM72" i="3"/>
  <c r="AL118" i="3"/>
  <c r="AM77" i="3"/>
  <c r="AL123" i="3"/>
  <c r="AM73" i="3"/>
  <c r="AL119" i="3"/>
  <c r="AM79" i="3"/>
  <c r="AL125" i="3"/>
  <c r="AM75" i="3"/>
  <c r="AL121" i="3"/>
  <c r="AM76" i="3"/>
  <c r="AL122" i="3"/>
  <c r="AM80" i="3"/>
  <c r="AL126" i="3"/>
  <c r="AN151" i="3"/>
  <c r="AN150" i="3"/>
  <c r="AN147" i="3"/>
  <c r="AN158" i="3"/>
  <c r="AN152" i="3"/>
  <c r="AN5" i="3"/>
  <c r="AQ187" i="9"/>
  <c r="AR181" i="9" s="1"/>
  <c r="AR185" i="9" s="1"/>
  <c r="AQ320" i="9"/>
  <c r="AR314" i="9"/>
  <c r="AR318" i="9" s="1"/>
  <c r="AK168" i="20"/>
  <c r="AL179" i="20"/>
  <c r="AM121" i="26"/>
  <c r="AM219" i="26"/>
  <c r="AN12" i="3"/>
  <c r="AN3" i="3" s="1"/>
  <c r="AN24" i="3"/>
  <c r="AN4" i="38"/>
  <c r="AM96" i="3"/>
  <c r="AM98" i="3"/>
  <c r="AM99" i="3"/>
  <c r="AO8" i="3"/>
  <c r="AM104" i="3"/>
  <c r="AM109" i="3"/>
  <c r="AM94" i="3"/>
  <c r="AM106" i="3"/>
  <c r="AM110" i="3"/>
  <c r="AM102" i="3"/>
  <c r="AM103" i="3"/>
  <c r="AM112" i="3"/>
  <c r="AM97" i="3"/>
  <c r="AM105" i="3"/>
  <c r="AM108" i="3"/>
  <c r="AM93" i="3"/>
  <c r="AM101" i="3"/>
  <c r="AM111" i="3"/>
  <c r="AM95" i="3"/>
  <c r="AM107" i="3"/>
  <c r="AM100" i="3"/>
  <c r="AK64" i="33" l="1"/>
  <c r="AK74" i="33"/>
  <c r="AK733" i="9"/>
  <c r="AM94" i="26"/>
  <c r="AM171" i="26"/>
  <c r="AM195" i="26"/>
  <c r="AM194" i="26"/>
  <c r="AM234" i="26"/>
  <c r="AM95" i="26"/>
  <c r="AM247" i="26" s="1"/>
  <c r="AM120" i="26"/>
  <c r="AM146" i="26"/>
  <c r="AM170" i="26"/>
  <c r="AM172" i="26"/>
  <c r="AM235" i="26"/>
  <c r="AM147" i="26"/>
  <c r="AM248" i="26"/>
  <c r="AM148" i="26"/>
  <c r="AM297" i="26"/>
  <c r="AM173" i="26"/>
  <c r="AL52" i="30"/>
  <c r="AK50" i="30"/>
  <c r="AN3" i="38"/>
  <c r="AN39" i="3"/>
  <c r="AL183" i="1"/>
  <c r="AN347" i="3"/>
  <c r="AN346" i="3"/>
  <c r="AL34" i="6"/>
  <c r="AL69" i="30" s="1"/>
  <c r="AM841" i="9"/>
  <c r="AM833" i="9"/>
  <c r="AM837" i="9"/>
  <c r="AM838" i="9"/>
  <c r="AM831" i="9"/>
  <c r="AM836" i="9"/>
  <c r="AM847" i="9"/>
  <c r="AM842" i="9"/>
  <c r="AM844" i="9"/>
  <c r="AM834" i="9"/>
  <c r="AM839" i="9"/>
  <c r="AM832" i="9"/>
  <c r="AM843" i="9"/>
  <c r="AM846" i="9"/>
  <c r="AK852" i="9"/>
  <c r="AM68" i="26"/>
  <c r="AM70" i="26"/>
  <c r="AM220" i="6"/>
  <c r="AM117" i="20"/>
  <c r="AM24" i="32" s="1"/>
  <c r="AN30" i="3"/>
  <c r="AK48" i="30"/>
  <c r="AL255" i="3"/>
  <c r="AL278" i="3" s="1"/>
  <c r="AL209" i="3"/>
  <c r="AL687" i="9"/>
  <c r="AL281" i="26"/>
  <c r="AM276" i="26" s="1"/>
  <c r="AM93" i="26"/>
  <c r="AN5" i="38"/>
  <c r="AN51" i="3"/>
  <c r="AN166" i="3" s="1"/>
  <c r="AN189" i="3" s="1"/>
  <c r="AN63" i="3"/>
  <c r="AN178" i="3" s="1"/>
  <c r="AN201" i="3" s="1"/>
  <c r="AN52" i="3"/>
  <c r="AN167" i="3" s="1"/>
  <c r="AN190" i="3" s="1"/>
  <c r="AN60" i="3"/>
  <c r="AN175" i="3" s="1"/>
  <c r="AN198" i="3" s="1"/>
  <c r="AN55" i="3"/>
  <c r="AN170" i="3" s="1"/>
  <c r="AN193" i="3" s="1"/>
  <c r="AN48" i="3"/>
  <c r="AN163" i="3" s="1"/>
  <c r="AN186" i="3" s="1"/>
  <c r="AN56" i="3"/>
  <c r="AN171" i="3" s="1"/>
  <c r="AN194" i="3" s="1"/>
  <c r="AN64" i="3"/>
  <c r="AN179" i="3" s="1"/>
  <c r="AN202" i="3" s="1"/>
  <c r="AN65" i="3"/>
  <c r="AN180" i="3" s="1"/>
  <c r="AN203" i="3" s="1"/>
  <c r="AN50" i="3"/>
  <c r="AN165" i="3" s="1"/>
  <c r="AN188" i="3" s="1"/>
  <c r="AN58" i="3"/>
  <c r="AN173" i="3" s="1"/>
  <c r="AN196" i="3" s="1"/>
  <c r="AN66" i="3"/>
  <c r="AN49" i="3"/>
  <c r="AN164" i="3" s="1"/>
  <c r="AN187" i="3" s="1"/>
  <c r="AN61" i="3"/>
  <c r="AN176" i="3" s="1"/>
  <c r="AN199" i="3" s="1"/>
  <c r="AN57" i="3"/>
  <c r="AN172" i="3" s="1"/>
  <c r="AN195" i="3" s="1"/>
  <c r="AN54" i="3"/>
  <c r="AN169" i="3" s="1"/>
  <c r="AN192" i="3" s="1"/>
  <c r="AN62" i="3"/>
  <c r="AN177" i="3" s="1"/>
  <c r="AN200" i="3" s="1"/>
  <c r="AN47" i="3"/>
  <c r="AN162" i="3" s="1"/>
  <c r="AN185" i="3" s="1"/>
  <c r="AN59" i="3"/>
  <c r="AN174" i="3" s="1"/>
  <c r="AN197" i="3" s="1"/>
  <c r="AN53" i="3"/>
  <c r="AN168" i="3" s="1"/>
  <c r="AN191" i="3" s="1"/>
  <c r="AM197" i="26"/>
  <c r="AM149" i="26"/>
  <c r="AM145" i="26"/>
  <c r="AL793" i="9"/>
  <c r="AL781" i="9"/>
  <c r="AL791" i="9"/>
  <c r="AL796" i="9"/>
  <c r="AL783" i="9"/>
  <c r="AL107" i="6"/>
  <c r="AL72" i="33"/>
  <c r="AM169" i="26"/>
  <c r="AN94" i="6"/>
  <c r="AN88" i="35"/>
  <c r="AM119" i="26"/>
  <c r="AN3" i="33"/>
  <c r="AN3" i="35"/>
  <c r="AN4" i="33"/>
  <c r="AN4" i="35"/>
  <c r="AN5" i="33"/>
  <c r="AN5" i="35"/>
  <c r="AR445" i="9"/>
  <c r="AL208" i="3"/>
  <c r="AL231" i="3" s="1"/>
  <c r="AL254" i="3"/>
  <c r="AR438" i="9"/>
  <c r="AR450" i="9"/>
  <c r="AR447" i="9"/>
  <c r="AR440" i="9"/>
  <c r="AR433" i="9"/>
  <c r="AR443" i="9"/>
  <c r="AR436" i="9"/>
  <c r="AQ513" i="9"/>
  <c r="AO501" i="9"/>
  <c r="AQ511" i="9"/>
  <c r="AQ518" i="9"/>
  <c r="AQ506" i="9"/>
  <c r="AQ504" i="9"/>
  <c r="AQ168" i="9"/>
  <c r="AR996" i="9"/>
  <c r="AR1010" i="9"/>
  <c r="AN3" i="28"/>
  <c r="AN3" i="32"/>
  <c r="AN3" i="30"/>
  <c r="AN16" i="3"/>
  <c r="AN18" i="3" s="1"/>
  <c r="AN4" i="32"/>
  <c r="AN4" i="30"/>
  <c r="AN5" i="26"/>
  <c r="AN5" i="32"/>
  <c r="AN5" i="30"/>
  <c r="AM193" i="26"/>
  <c r="AR1003" i="9"/>
  <c r="AR993" i="9"/>
  <c r="AR257" i="9"/>
  <c r="AR261" i="9" s="1"/>
  <c r="AQ263" i="9"/>
  <c r="AQ396" i="9"/>
  <c r="AQ377" i="9"/>
  <c r="AQ517" i="9"/>
  <c r="AQ130" i="9"/>
  <c r="AQ339" i="9"/>
  <c r="AQ515" i="9"/>
  <c r="AQ244" i="9"/>
  <c r="AQ510" i="9"/>
  <c r="AQ301" i="9"/>
  <c r="AO73" i="9"/>
  <c r="AP67" i="9"/>
  <c r="AP71" i="9" s="1"/>
  <c r="AR124" i="9"/>
  <c r="AR128" i="9" s="1"/>
  <c r="AR390" i="9"/>
  <c r="AR394" i="9" s="1"/>
  <c r="AR371" i="9"/>
  <c r="AR375" i="9" s="1"/>
  <c r="AR238" i="9"/>
  <c r="AR242" i="9" s="1"/>
  <c r="AR333" i="9"/>
  <c r="AR337" i="9" s="1"/>
  <c r="AR295" i="9"/>
  <c r="AR299" i="9" s="1"/>
  <c r="AP105" i="9"/>
  <c r="AP109" i="9" s="1"/>
  <c r="AR162" i="9"/>
  <c r="AR166" i="9" s="1"/>
  <c r="AQ200" i="9"/>
  <c r="AQ204" i="9" s="1"/>
  <c r="AR1000" i="9"/>
  <c r="AR1007" i="9"/>
  <c r="AN5" i="28"/>
  <c r="AR1005" i="9"/>
  <c r="AR998" i="9"/>
  <c r="AM107" i="6"/>
  <c r="AL178" i="20"/>
  <c r="AL183" i="20" s="1"/>
  <c r="AN4" i="9"/>
  <c r="AN4" i="28"/>
  <c r="AN4" i="20"/>
  <c r="AN4" i="26"/>
  <c r="AN4" i="16"/>
  <c r="AN3" i="26"/>
  <c r="AN4" i="12"/>
  <c r="AN4" i="11"/>
  <c r="AN4" i="22"/>
  <c r="AN5" i="22"/>
  <c r="AN5" i="20"/>
  <c r="AN3" i="22"/>
  <c r="AN3" i="20"/>
  <c r="AO10" i="3"/>
  <c r="AO4" i="3" s="1"/>
  <c r="AO2" i="44" s="1" a="1"/>
  <c r="AO2" i="44" s="1"/>
  <c r="AN5" i="16"/>
  <c r="AN5" i="12"/>
  <c r="AN5" i="11"/>
  <c r="AN5" i="9"/>
  <c r="AN3" i="16"/>
  <c r="AN3" i="12"/>
  <c r="AN3" i="11"/>
  <c r="AN3" i="9"/>
  <c r="AN181" i="3" l="1"/>
  <c r="AN204" i="3" s="1"/>
  <c r="AM206" i="26"/>
  <c r="AM207" i="26"/>
  <c r="AM221" i="26"/>
  <c r="AM249" i="26"/>
  <c r="AM220" i="26"/>
  <c r="AM222" i="26"/>
  <c r="AM298" i="26"/>
  <c r="AM233" i="26"/>
  <c r="AM268" i="26"/>
  <c r="AM236" i="26"/>
  <c r="AM180" i="1"/>
  <c r="AM296" i="26"/>
  <c r="AM205" i="26"/>
  <c r="AM295" i="26"/>
  <c r="AN198" i="20" a="1"/>
  <c r="AN198" i="20" s="1"/>
  <c r="AN181" i="20" a="1"/>
  <c r="AN181" i="20" s="1"/>
  <c r="AN172" i="20" a="1"/>
  <c r="AN172" i="20" s="1"/>
  <c r="AN169" i="20" a="1"/>
  <c r="AN169" i="20" s="1"/>
  <c r="AN154" i="20" a="1"/>
  <c r="AN154" i="20" s="1"/>
  <c r="AN150" i="20" a="1"/>
  <c r="AN150" i="20" s="1"/>
  <c r="AN149" i="20" a="1"/>
  <c r="AN149" i="20" s="1"/>
  <c r="AN148" i="20" a="1"/>
  <c r="AN148" i="20" s="1"/>
  <c r="AN146" i="20" a="1"/>
  <c r="AN146" i="20" s="1"/>
  <c r="AN144" i="20" a="1"/>
  <c r="AN144" i="20" s="1"/>
  <c r="AN131" i="20" a="1"/>
  <c r="AN131" i="20" s="1"/>
  <c r="AN129" i="20" a="1"/>
  <c r="AN129" i="20" s="1"/>
  <c r="AN128" i="20" a="1"/>
  <c r="AN128" i="20" s="1"/>
  <c r="AN127" i="20" a="1"/>
  <c r="AN127" i="20" s="1"/>
  <c r="AN126" i="20" a="1"/>
  <c r="AN126" i="20" s="1"/>
  <c r="AN143" i="20" a="1"/>
  <c r="AN143" i="20" s="1"/>
  <c r="AN142" i="20" a="1"/>
  <c r="AN142" i="20" s="1"/>
  <c r="AN141" i="20" a="1"/>
  <c r="AN141" i="20" s="1"/>
  <c r="AN140" i="20" a="1"/>
  <c r="AN140" i="20" s="1"/>
  <c r="AN139" i="20" a="1"/>
  <c r="AN139" i="20" s="1"/>
  <c r="AN138" i="20" a="1"/>
  <c r="AN138" i="20" s="1"/>
  <c r="AN137" i="20" a="1"/>
  <c r="AN137" i="20" s="1"/>
  <c r="AN133" i="20" a="1"/>
  <c r="AN133" i="20" s="1"/>
  <c r="AN132" i="20" a="1"/>
  <c r="AN132" i="20" s="1"/>
  <c r="AN125" i="20" a="1"/>
  <c r="AN125" i="20" s="1"/>
  <c r="AN124" i="20" a="1"/>
  <c r="AN124" i="20" s="1"/>
  <c r="AN123" i="20" a="1"/>
  <c r="AN123" i="20" s="1"/>
  <c r="AN122" i="20" a="1"/>
  <c r="AN122" i="20" s="1"/>
  <c r="AN115" i="20" a="1"/>
  <c r="AN115" i="20" s="1"/>
  <c r="AN112" i="20" a="1"/>
  <c r="AN112" i="20" s="1"/>
  <c r="AN111" i="20" a="1"/>
  <c r="AN111" i="20" s="1"/>
  <c r="AN110" i="20" a="1"/>
  <c r="AN110" i="20" s="1"/>
  <c r="AN106" i="20" a="1"/>
  <c r="AN106" i="20" s="1"/>
  <c r="AN145" i="20" a="1"/>
  <c r="AN145" i="20" s="1"/>
  <c r="AN104" i="20" a="1"/>
  <c r="AN104" i="20" s="1"/>
  <c r="AN103" i="20" a="1"/>
  <c r="AN103" i="20" s="1"/>
  <c r="AN102" i="20" a="1"/>
  <c r="AN102" i="20" s="1"/>
  <c r="AN101" i="20" a="1"/>
  <c r="AN101" i="20" s="1"/>
  <c r="AN97" i="20" a="1"/>
  <c r="AN97" i="20" s="1"/>
  <c r="AN96" i="20" a="1"/>
  <c r="AN96" i="20" s="1"/>
  <c r="AN95" i="20" a="1"/>
  <c r="AN95" i="20" s="1"/>
  <c r="AN94" i="20" a="1"/>
  <c r="AN94" i="20" s="1"/>
  <c r="AN93" i="20" a="1"/>
  <c r="AN93" i="20" s="1"/>
  <c r="AN92" i="20" a="1"/>
  <c r="AN92" i="20" s="1"/>
  <c r="AN91" i="20" a="1"/>
  <c r="AN91" i="20" s="1"/>
  <c r="AN90" i="20" a="1"/>
  <c r="AN90" i="20" s="1"/>
  <c r="AN89" i="20" a="1"/>
  <c r="AN89" i="20" s="1"/>
  <c r="AN105" i="20" a="1"/>
  <c r="AN105" i="20" s="1"/>
  <c r="AN88" i="20" a="1"/>
  <c r="AN88" i="20" s="1"/>
  <c r="AN83" i="20" a="1"/>
  <c r="AN83" i="20" s="1"/>
  <c r="AN87" i="20" a="1"/>
  <c r="AN87" i="20" s="1"/>
  <c r="AN82" i="20" a="1"/>
  <c r="AN82" i="20" s="1"/>
  <c r="AN81" i="20" a="1"/>
  <c r="AN81" i="20" s="1"/>
  <c r="AN80" i="20" a="1"/>
  <c r="AN80" i="20" s="1"/>
  <c r="AN79" i="20" a="1"/>
  <c r="AN79" i="20" s="1"/>
  <c r="AN78" i="20" a="1"/>
  <c r="AN78" i="20" s="1"/>
  <c r="AN77" i="20" a="1"/>
  <c r="AN77" i="20" s="1"/>
  <c r="AN76" i="20" a="1"/>
  <c r="AN76" i="20" s="1"/>
  <c r="AN75" i="20" a="1"/>
  <c r="AN75" i="20" s="1"/>
  <c r="AN74" i="20" a="1"/>
  <c r="AN74" i="20" s="1"/>
  <c r="AN73" i="20" a="1"/>
  <c r="AN73" i="20" s="1"/>
  <c r="AN72" i="20" a="1"/>
  <c r="AN72" i="20" s="1"/>
  <c r="AN71" i="20" a="1"/>
  <c r="AN71" i="20" s="1"/>
  <c r="AN68" i="20" a="1"/>
  <c r="AN68" i="20" s="1"/>
  <c r="AN66" i="20" a="1"/>
  <c r="AN66" i="20" s="1"/>
  <c r="AN65" i="20" a="1"/>
  <c r="AN65" i="20" s="1"/>
  <c r="AN64" i="20" a="1"/>
  <c r="AN64" i="20" s="1"/>
  <c r="AN61" i="20" a="1"/>
  <c r="AN61" i="20" s="1"/>
  <c r="AN59" i="20" a="1"/>
  <c r="AN59" i="20" s="1"/>
  <c r="AN58" i="20" a="1"/>
  <c r="AN58" i="20" s="1"/>
  <c r="AN57" i="20" a="1"/>
  <c r="AN57" i="20" s="1"/>
  <c r="AN56" i="20" a="1"/>
  <c r="AN56" i="20" s="1"/>
  <c r="AN55" i="20" a="1"/>
  <c r="AN55" i="20" s="1"/>
  <c r="AN54" i="20" a="1"/>
  <c r="AN54" i="20" s="1"/>
  <c r="AN53" i="20" a="1"/>
  <c r="AN53" i="20" s="1"/>
  <c r="AN50" i="20" a="1"/>
  <c r="AN50" i="20" s="1"/>
  <c r="AN48" i="20" a="1"/>
  <c r="AN48" i="20" s="1"/>
  <c r="AN47" i="20" a="1"/>
  <c r="AN47" i="20" s="1"/>
  <c r="AN46" i="20" a="1"/>
  <c r="AN46" i="20" s="1"/>
  <c r="AN45" i="20" a="1"/>
  <c r="AN45" i="20" s="1"/>
  <c r="AN44" i="20" a="1"/>
  <c r="AN44" i="20" s="1"/>
  <c r="AN43" i="20" a="1"/>
  <c r="AN43" i="20" s="1"/>
  <c r="AN42" i="20" a="1"/>
  <c r="AN42" i="20" s="1"/>
  <c r="AN41" i="20" a="1"/>
  <c r="AN41" i="20" s="1"/>
  <c r="AN38" i="20" a="1"/>
  <c r="AN38" i="20" s="1"/>
  <c r="AN36" i="20" a="1"/>
  <c r="AN36" i="20" s="1"/>
  <c r="AN34" i="20" a="1"/>
  <c r="AN34" i="20" s="1"/>
  <c r="AN33" i="20" a="1"/>
  <c r="AN33" i="20" s="1"/>
  <c r="AN32" i="20" a="1"/>
  <c r="AN32" i="20" s="1"/>
  <c r="AN35" i="20" a="1"/>
  <c r="AN35" i="20" s="1"/>
  <c r="AN26" i="20" a="1"/>
  <c r="AN26" i="20" s="1"/>
  <c r="AN22" i="20" a="1"/>
  <c r="AN22" i="20" s="1"/>
  <c r="AN16" i="20" a="1"/>
  <c r="AN16" i="20" s="1"/>
  <c r="AN12" i="20" a="1"/>
  <c r="AN12" i="20" s="1"/>
  <c r="AN23" i="20" a="1"/>
  <c r="AN23" i="20" s="1"/>
  <c r="AN19" i="20" a="1"/>
  <c r="AN19" i="20" s="1"/>
  <c r="AN13" i="20" a="1"/>
  <c r="AN13" i="20" s="1"/>
  <c r="AN25" i="20" a="1"/>
  <c r="AN25" i="20" s="1"/>
  <c r="AN21" i="20" a="1"/>
  <c r="AN21" i="20" s="1"/>
  <c r="AN29" i="20" a="1"/>
  <c r="AN29" i="20" s="1"/>
  <c r="AN24" i="20" a="1"/>
  <c r="AN24" i="20" s="1"/>
  <c r="AN20" i="20" a="1"/>
  <c r="AN20" i="20" s="1"/>
  <c r="AN27" i="20" a="1"/>
  <c r="AN27" i="20" s="1"/>
  <c r="AM153" i="30"/>
  <c r="AL50" i="30"/>
  <c r="AN83" i="9"/>
  <c r="AN64" i="9"/>
  <c r="AN216" i="9"/>
  <c r="AN235" i="9"/>
  <c r="AN368" i="9"/>
  <c r="AN387" i="9"/>
  <c r="AN102" i="9"/>
  <c r="AN121" i="9"/>
  <c r="AN254" i="9"/>
  <c r="AN273" i="9"/>
  <c r="AN406" i="9"/>
  <c r="AN140" i="9"/>
  <c r="AN159" i="9"/>
  <c r="AN425" i="9"/>
  <c r="AN178" i="9"/>
  <c r="AN292" i="9"/>
  <c r="AN311" i="9"/>
  <c r="AN330" i="9"/>
  <c r="AN349" i="9"/>
  <c r="AN197" i="9"/>
  <c r="AL854" i="9"/>
  <c r="AL804" i="9"/>
  <c r="AM758" i="9" s="1"/>
  <c r="AL856" i="9"/>
  <c r="AL806" i="9"/>
  <c r="AL866" i="9"/>
  <c r="AL816" i="9"/>
  <c r="AM770" i="9" s="1"/>
  <c r="AL864" i="9"/>
  <c r="AL814" i="9"/>
  <c r="AL869" i="9"/>
  <c r="AL819" i="9"/>
  <c r="AM773" i="9" s="1"/>
  <c r="AL756" i="9"/>
  <c r="AL779" i="9" s="1"/>
  <c r="AL802" i="9" s="1"/>
  <c r="AL829" i="9"/>
  <c r="AN110" i="26"/>
  <c r="AN188" i="26"/>
  <c r="AN190" i="26"/>
  <c r="AN180" i="26"/>
  <c r="AN189" i="26"/>
  <c r="AN192" i="26"/>
  <c r="AN184" i="26"/>
  <c r="AN183" i="26"/>
  <c r="AN187" i="26"/>
  <c r="AN185" i="26"/>
  <c r="AN191" i="26"/>
  <c r="AN186" i="26"/>
  <c r="AN178" i="26"/>
  <c r="AN181" i="26"/>
  <c r="AN179" i="26"/>
  <c r="AN182" i="26"/>
  <c r="AM71" i="26"/>
  <c r="AO43" i="3"/>
  <c r="AL154" i="6"/>
  <c r="AL98" i="30" s="1"/>
  <c r="AL187" i="30" s="1"/>
  <c r="AL710" i="9"/>
  <c r="AL232" i="3"/>
  <c r="AM97" i="26"/>
  <c r="AM198" i="26"/>
  <c r="AM150" i="26"/>
  <c r="AL111" i="6"/>
  <c r="AN82" i="26"/>
  <c r="AM174" i="26"/>
  <c r="AM208" i="26"/>
  <c r="AN154" i="26"/>
  <c r="AN159" i="26"/>
  <c r="AN167" i="26"/>
  <c r="AN158" i="26"/>
  <c r="AN165" i="26"/>
  <c r="AN164" i="26"/>
  <c r="AN155" i="26"/>
  <c r="AN161" i="26"/>
  <c r="AN168" i="26"/>
  <c r="AN162" i="26"/>
  <c r="AN157" i="26"/>
  <c r="AN156" i="26"/>
  <c r="AN163" i="26"/>
  <c r="AN160" i="26"/>
  <c r="AN166" i="26"/>
  <c r="AN140" i="26"/>
  <c r="AN64" i="26"/>
  <c r="AN135" i="26"/>
  <c r="AN84" i="26"/>
  <c r="AN57" i="26"/>
  <c r="AN130" i="26"/>
  <c r="AM123" i="26"/>
  <c r="AL277" i="3"/>
  <c r="AM294" i="26"/>
  <c r="AR444" i="9"/>
  <c r="AR449" i="9"/>
  <c r="AQ439" i="9"/>
  <c r="AR435" i="9"/>
  <c r="AR442" i="9"/>
  <c r="AR441" i="9"/>
  <c r="AR437" i="9"/>
  <c r="AP434" i="9"/>
  <c r="AR448" i="9"/>
  <c r="AP432" i="9"/>
  <c r="AN79" i="26"/>
  <c r="AN67" i="26"/>
  <c r="AN139" i="26"/>
  <c r="AN138" i="26"/>
  <c r="AN137" i="26"/>
  <c r="AN133" i="26"/>
  <c r="AR502" i="9"/>
  <c r="AR514" i="9"/>
  <c r="AR516" i="9"/>
  <c r="AR509" i="9"/>
  <c r="AR519" i="9"/>
  <c r="AR512" i="9"/>
  <c r="AR507" i="9"/>
  <c r="AR505" i="9"/>
  <c r="AR415" i="9"/>
  <c r="AS409" i="9" s="1"/>
  <c r="AS413" i="9" s="1"/>
  <c r="AR149" i="9"/>
  <c r="AS143" i="9" s="1"/>
  <c r="AS147" i="9" s="1"/>
  <c r="AN86" i="26"/>
  <c r="AN88" i="26"/>
  <c r="AN85" i="26"/>
  <c r="AN80" i="26"/>
  <c r="AN63" i="26"/>
  <c r="AN56" i="26"/>
  <c r="AN54" i="26"/>
  <c r="AN53" i="26"/>
  <c r="AN131" i="26"/>
  <c r="AN116" i="26"/>
  <c r="AN136" i="26"/>
  <c r="AN81" i="26"/>
  <c r="AN78" i="26"/>
  <c r="AN92" i="26"/>
  <c r="AN90" i="26"/>
  <c r="AN66" i="26"/>
  <c r="AN62" i="26"/>
  <c r="AN60" i="26"/>
  <c r="AN65" i="26"/>
  <c r="AN113" i="26"/>
  <c r="AN144" i="26"/>
  <c r="AN106" i="26"/>
  <c r="AN108" i="26"/>
  <c r="AN109" i="26"/>
  <c r="AN105" i="26"/>
  <c r="AN112" i="26"/>
  <c r="AN115" i="26"/>
  <c r="AN132" i="26"/>
  <c r="AN118" i="26"/>
  <c r="AN134" i="26"/>
  <c r="AN141" i="26"/>
  <c r="AN87" i="26"/>
  <c r="AN83" i="26"/>
  <c r="AN91" i="26"/>
  <c r="AN89" i="26"/>
  <c r="AN59" i="26"/>
  <c r="AN58" i="26"/>
  <c r="AN61" i="26"/>
  <c r="AN55" i="26"/>
  <c r="AN143" i="26"/>
  <c r="AN104" i="26"/>
  <c r="AN142" i="26"/>
  <c r="AN114" i="26"/>
  <c r="AN107" i="26"/>
  <c r="AN117" i="26"/>
  <c r="AN111" i="26"/>
  <c r="AR92" i="9"/>
  <c r="AS86" i="9" s="1"/>
  <c r="AS90" i="9" s="1"/>
  <c r="AR1002" i="9"/>
  <c r="AR282" i="9"/>
  <c r="AS276" i="9" s="1"/>
  <c r="AS280" i="9" s="1"/>
  <c r="AR1006" i="9"/>
  <c r="AR446" i="9"/>
  <c r="AR1008" i="9"/>
  <c r="AP992" i="9"/>
  <c r="AO1085" i="9"/>
  <c r="AR1009" i="9"/>
  <c r="AR1004" i="9"/>
  <c r="AR995" i="9"/>
  <c r="AR1001" i="9"/>
  <c r="AR997" i="9"/>
  <c r="AQ999" i="9"/>
  <c r="AP994" i="9"/>
  <c r="AR225" i="9"/>
  <c r="AS219" i="9" s="1"/>
  <c r="AS223" i="9" s="1"/>
  <c r="AR358" i="9"/>
  <c r="AS352" i="9" s="1"/>
  <c r="AS356" i="9" s="1"/>
  <c r="AN72" i="3"/>
  <c r="AM118" i="3"/>
  <c r="AN77" i="3"/>
  <c r="AM123" i="3"/>
  <c r="AN88" i="3"/>
  <c r="AM134" i="3"/>
  <c r="AN74" i="3"/>
  <c r="AM120" i="3"/>
  <c r="AN87" i="3"/>
  <c r="AM133" i="3"/>
  <c r="AN82" i="3"/>
  <c r="AM128" i="3"/>
  <c r="AN84" i="3"/>
  <c r="AM130" i="3"/>
  <c r="AN89" i="3"/>
  <c r="AM135" i="3"/>
  <c r="AN86" i="3"/>
  <c r="AM132" i="3"/>
  <c r="AN81" i="3"/>
  <c r="AM127" i="3"/>
  <c r="AN79" i="3"/>
  <c r="AM125" i="3"/>
  <c r="AN71" i="3"/>
  <c r="AM117" i="3"/>
  <c r="AN75" i="3"/>
  <c r="AM121" i="3"/>
  <c r="AO142" i="3"/>
  <c r="AO140" i="3"/>
  <c r="AO139" i="3"/>
  <c r="AO141" i="3"/>
  <c r="AO150" i="3"/>
  <c r="AO157" i="3"/>
  <c r="AO147" i="3"/>
  <c r="AO151" i="3"/>
  <c r="AO156" i="3"/>
  <c r="AO153" i="3"/>
  <c r="AO145" i="3"/>
  <c r="AO148" i="3"/>
  <c r="AN76" i="3"/>
  <c r="AM122" i="3"/>
  <c r="AN70" i="3"/>
  <c r="AM116" i="3"/>
  <c r="AN83" i="3"/>
  <c r="AM129" i="3"/>
  <c r="AN78" i="3"/>
  <c r="AM124" i="3"/>
  <c r="AN85" i="3"/>
  <c r="AM131" i="3"/>
  <c r="AO146" i="3"/>
  <c r="AO154" i="3"/>
  <c r="AO144" i="3"/>
  <c r="AN80" i="3"/>
  <c r="AM126" i="3"/>
  <c r="AN73" i="3"/>
  <c r="AM119" i="3"/>
  <c r="AO152" i="3"/>
  <c r="AO149" i="3"/>
  <c r="AO143" i="3"/>
  <c r="AO158" i="3"/>
  <c r="AO155" i="3"/>
  <c r="AR187" i="9"/>
  <c r="AS181" i="9" s="1"/>
  <c r="AS185" i="9" s="1"/>
  <c r="AR320" i="9"/>
  <c r="AS314" i="9" s="1"/>
  <c r="AS318" i="9" s="1"/>
  <c r="AO24" i="3"/>
  <c r="AO5" i="3"/>
  <c r="AN121" i="26"/>
  <c r="AN219" i="26"/>
  <c r="AO4" i="38"/>
  <c r="AO12" i="3"/>
  <c r="AO3" i="3" s="1"/>
  <c r="AN96" i="3"/>
  <c r="AN105" i="3"/>
  <c r="AN112" i="3"/>
  <c r="AN109" i="3"/>
  <c r="AN104" i="3"/>
  <c r="AN102" i="3"/>
  <c r="AN94" i="3"/>
  <c r="AN98" i="3"/>
  <c r="AN110" i="3"/>
  <c r="AN107" i="3"/>
  <c r="AN95" i="3"/>
  <c r="AN100" i="3"/>
  <c r="AN99" i="3"/>
  <c r="AN103" i="3"/>
  <c r="AN111" i="3"/>
  <c r="AN97" i="3"/>
  <c r="AN93" i="3"/>
  <c r="AN106" i="3"/>
  <c r="AN101" i="3"/>
  <c r="AN108" i="3"/>
  <c r="AP8" i="3"/>
  <c r="AL64" i="33" l="1"/>
  <c r="AL74" i="33"/>
  <c r="AL733" i="9"/>
  <c r="AN173" i="26"/>
  <c r="AM259" i="26"/>
  <c r="AM179" i="1"/>
  <c r="AM179" i="20" s="1"/>
  <c r="AN148" i="26"/>
  <c r="AN235" i="26"/>
  <c r="AN147" i="26"/>
  <c r="AM178" i="1"/>
  <c r="AN170" i="26"/>
  <c r="AN172" i="26"/>
  <c r="AM180" i="30"/>
  <c r="AM72" i="33" s="1"/>
  <c r="AN196" i="26"/>
  <c r="AN194" i="26"/>
  <c r="AN248" i="26"/>
  <c r="AN94" i="26"/>
  <c r="AN234" i="26"/>
  <c r="AN95" i="26"/>
  <c r="AN247" i="26" s="1"/>
  <c r="AN171" i="26"/>
  <c r="AN146" i="26"/>
  <c r="AM267" i="26"/>
  <c r="AM221" i="6"/>
  <c r="AM223" i="6" s="1"/>
  <c r="AN195" i="26"/>
  <c r="AO3" i="38"/>
  <c r="AO39" i="3"/>
  <c r="AO347" i="3"/>
  <c r="AO346" i="3"/>
  <c r="AM210" i="3"/>
  <c r="AM233" i="3" s="1"/>
  <c r="AM256" i="3"/>
  <c r="AM279" i="3" s="1"/>
  <c r="AM768" i="9"/>
  <c r="AM760" i="9"/>
  <c r="AM264" i="3"/>
  <c r="AM287" i="3" s="1"/>
  <c r="AM218" i="3"/>
  <c r="AM269" i="3"/>
  <c r="AM292" i="3" s="1"/>
  <c r="AM223" i="3"/>
  <c r="AM267" i="3"/>
  <c r="AM290" i="3" s="1"/>
  <c r="AM221" i="3"/>
  <c r="AM260" i="3"/>
  <c r="AM283" i="3" s="1"/>
  <c r="AM214" i="3"/>
  <c r="AM265" i="3"/>
  <c r="AM288" i="3" s="1"/>
  <c r="AM219" i="3"/>
  <c r="AM227" i="3"/>
  <c r="AM273" i="3"/>
  <c r="AM296" i="3" s="1"/>
  <c r="AM266" i="3"/>
  <c r="AM289" i="3" s="1"/>
  <c r="AM220" i="3"/>
  <c r="AM258" i="3"/>
  <c r="AM281" i="3" s="1"/>
  <c r="AM212" i="3"/>
  <c r="AM261" i="3"/>
  <c r="AM284" i="3" s="1"/>
  <c r="AM215" i="3"/>
  <c r="AM257" i="3"/>
  <c r="AM280" i="3" s="1"/>
  <c r="AM211" i="3"/>
  <c r="AM262" i="3"/>
  <c r="AM285" i="3" s="1"/>
  <c r="AM216" i="3"/>
  <c r="AM259" i="3"/>
  <c r="AM282" i="3" s="1"/>
  <c r="AM213" i="3"/>
  <c r="AM263" i="3"/>
  <c r="AM286" i="3" s="1"/>
  <c r="AM217" i="3"/>
  <c r="AM270" i="3"/>
  <c r="AM293" i="3" s="1"/>
  <c r="AM224" i="3"/>
  <c r="AM268" i="3"/>
  <c r="AM291" i="3" s="1"/>
  <c r="AM222" i="3"/>
  <c r="AM271" i="3"/>
  <c r="AM294" i="3" s="1"/>
  <c r="AM225" i="3"/>
  <c r="AM272" i="3"/>
  <c r="AM295" i="3" s="1"/>
  <c r="AM226" i="3"/>
  <c r="AL852" i="9"/>
  <c r="AN68" i="26"/>
  <c r="AN70" i="26"/>
  <c r="AN117" i="20"/>
  <c r="AN24" i="32" s="1"/>
  <c r="AO30" i="3"/>
  <c r="AM180" i="20"/>
  <c r="AM209" i="3"/>
  <c r="AM255" i="3"/>
  <c r="AM278" i="3" s="1"/>
  <c r="AM687" i="9"/>
  <c r="AN197" i="26"/>
  <c r="AN93" i="26"/>
  <c r="AL168" i="20"/>
  <c r="AN120" i="26"/>
  <c r="AO5" i="38"/>
  <c r="AO51" i="3"/>
  <c r="AO166" i="3" s="1"/>
  <c r="AO189" i="3" s="1"/>
  <c r="AO48" i="3"/>
  <c r="AO163" i="3" s="1"/>
  <c r="AO186" i="3" s="1"/>
  <c r="AO56" i="3"/>
  <c r="AO171" i="3" s="1"/>
  <c r="AO194" i="3" s="1"/>
  <c r="AO55" i="3"/>
  <c r="AO170" i="3" s="1"/>
  <c r="AO193" i="3" s="1"/>
  <c r="AO63" i="3"/>
  <c r="AO178" i="3" s="1"/>
  <c r="AO201" i="3" s="1"/>
  <c r="AO52" i="3"/>
  <c r="AO167" i="3" s="1"/>
  <c r="AO190" i="3" s="1"/>
  <c r="AO64" i="3"/>
  <c r="AO179" i="3" s="1"/>
  <c r="AO202" i="3" s="1"/>
  <c r="AO53" i="3"/>
  <c r="AO168" i="3" s="1"/>
  <c r="AO191" i="3" s="1"/>
  <c r="AO54" i="3"/>
  <c r="AO169" i="3" s="1"/>
  <c r="AO192" i="3" s="1"/>
  <c r="AO66" i="3"/>
  <c r="AO60" i="3"/>
  <c r="AO175" i="3" s="1"/>
  <c r="AO198" i="3" s="1"/>
  <c r="AO49" i="3"/>
  <c r="AO164" i="3" s="1"/>
  <c r="AO187" i="3" s="1"/>
  <c r="AO57" i="3"/>
  <c r="AO172" i="3" s="1"/>
  <c r="AO195" i="3" s="1"/>
  <c r="AO65" i="3"/>
  <c r="AO180" i="3" s="1"/>
  <c r="AO203" i="3" s="1"/>
  <c r="AO61" i="3"/>
  <c r="AO176" i="3" s="1"/>
  <c r="AO199" i="3" s="1"/>
  <c r="AO50" i="3"/>
  <c r="AO165" i="3" s="1"/>
  <c r="AO188" i="3" s="1"/>
  <c r="AO62" i="3"/>
  <c r="AO177" i="3" s="1"/>
  <c r="AO200" i="3" s="1"/>
  <c r="AO58" i="3"/>
  <c r="AO173" i="3" s="1"/>
  <c r="AO196" i="3" s="1"/>
  <c r="AO47" i="3"/>
  <c r="AO162" i="3" s="1"/>
  <c r="AO185" i="3" s="1"/>
  <c r="AO59" i="3"/>
  <c r="AO174" i="3" s="1"/>
  <c r="AO197" i="3" s="1"/>
  <c r="AN193" i="26"/>
  <c r="AN149" i="26"/>
  <c r="AN145" i="26"/>
  <c r="AM106" i="6"/>
  <c r="AM111" i="6" s="1"/>
  <c r="AL114" i="6"/>
  <c r="AL116" i="30" s="1"/>
  <c r="AM281" i="26"/>
  <c r="AM154" i="6" s="1"/>
  <c r="AM299" i="26"/>
  <c r="AN169" i="26"/>
  <c r="AO94" i="6"/>
  <c r="AO88" i="35"/>
  <c r="AO5" i="33"/>
  <c r="AO5" i="35"/>
  <c r="AO4" i="33"/>
  <c r="AO4" i="35"/>
  <c r="AO3" i="33"/>
  <c r="AO3" i="35"/>
  <c r="AS445" i="9"/>
  <c r="AM208" i="3"/>
  <c r="AM254" i="3"/>
  <c r="AS436" i="9"/>
  <c r="AS438" i="9"/>
  <c r="AS440" i="9"/>
  <c r="AS433" i="9"/>
  <c r="AS450" i="9"/>
  <c r="AS447" i="9"/>
  <c r="AS443" i="9"/>
  <c r="AR506" i="9"/>
  <c r="AR518" i="9"/>
  <c r="AR511" i="9"/>
  <c r="AP503" i="9"/>
  <c r="AR510" i="9"/>
  <c r="AR504" i="9"/>
  <c r="AR515" i="9"/>
  <c r="AR517" i="9"/>
  <c r="AQ508" i="9"/>
  <c r="AR513" i="9"/>
  <c r="AS996" i="9"/>
  <c r="AS1010" i="9"/>
  <c r="AN119" i="26"/>
  <c r="AO16" i="3"/>
  <c r="AO18" i="3" s="1"/>
  <c r="AO4" i="32"/>
  <c r="AO4" i="30"/>
  <c r="AO5" i="32"/>
  <c r="AO5" i="30"/>
  <c r="AO3" i="28"/>
  <c r="AO3" i="32"/>
  <c r="AO3" i="30"/>
  <c r="AS1003" i="9"/>
  <c r="AR339" i="9"/>
  <c r="AR263" i="9"/>
  <c r="AS993" i="9"/>
  <c r="AQ67" i="9"/>
  <c r="AQ71" i="9" s="1"/>
  <c r="AP501" i="9"/>
  <c r="AR301" i="9"/>
  <c r="AR396" i="9"/>
  <c r="AR377" i="9"/>
  <c r="AP73" i="9"/>
  <c r="AR130" i="9"/>
  <c r="AS124" i="9"/>
  <c r="AS128" i="9" s="1"/>
  <c r="AS295" i="9"/>
  <c r="AS299" i="9" s="1"/>
  <c r="AS390" i="9"/>
  <c r="AS394" i="9" s="1"/>
  <c r="AQ206" i="9"/>
  <c r="AR244" i="9"/>
  <c r="AS333" i="9"/>
  <c r="AS337" i="9" s="1"/>
  <c r="AS257" i="9"/>
  <c r="AS261" i="9" s="1"/>
  <c r="AP111" i="9"/>
  <c r="AR168" i="9"/>
  <c r="AS162" i="9" s="1"/>
  <c r="AS166" i="9" s="1"/>
  <c r="AS371" i="9"/>
  <c r="AS375" i="9" s="1"/>
  <c r="AS1000" i="9"/>
  <c r="AS1007" i="9"/>
  <c r="AO4" i="28"/>
  <c r="AO5" i="28"/>
  <c r="AS1005" i="9"/>
  <c r="AS998" i="9"/>
  <c r="AO5" i="26"/>
  <c r="AO3" i="26"/>
  <c r="AO4" i="11"/>
  <c r="AO4" i="26"/>
  <c r="AO4" i="12"/>
  <c r="AO4" i="9"/>
  <c r="AO4" i="16"/>
  <c r="AO5" i="20"/>
  <c r="AO5" i="22"/>
  <c r="AO4" i="22"/>
  <c r="AO4" i="20"/>
  <c r="AO3" i="22"/>
  <c r="AO3" i="20"/>
  <c r="AO5" i="16"/>
  <c r="AO5" i="12"/>
  <c r="AO5" i="11"/>
  <c r="AO5" i="9"/>
  <c r="AO3" i="16"/>
  <c r="AO3" i="12"/>
  <c r="AO3" i="11"/>
  <c r="AO3" i="9"/>
  <c r="AP10" i="3"/>
  <c r="AP4" i="3" s="1"/>
  <c r="AP2" i="44" s="1" a="1"/>
  <c r="AP2" i="44" s="1"/>
  <c r="AO181" i="3" l="1"/>
  <c r="AO204" i="3" s="1"/>
  <c r="AN233" i="26"/>
  <c r="AM261" i="26"/>
  <c r="AN221" i="26"/>
  <c r="AN294" i="26"/>
  <c r="AN206" i="26"/>
  <c r="AN205" i="26"/>
  <c r="AN220" i="26"/>
  <c r="AN295" i="26"/>
  <c r="AN297" i="26"/>
  <c r="AN222" i="26"/>
  <c r="AN298" i="26"/>
  <c r="AN296" i="26"/>
  <c r="AN249" i="26"/>
  <c r="AN180" i="1"/>
  <c r="AN236" i="26"/>
  <c r="AN268" i="26"/>
  <c r="AO172" i="20" a="1"/>
  <c r="AO172" i="20" s="1"/>
  <c r="AO150" i="20" a="1"/>
  <c r="AO150" i="20" s="1"/>
  <c r="AO181" i="20" a="1"/>
  <c r="AO181" i="20" s="1"/>
  <c r="AO154" i="20" a="1"/>
  <c r="AO154" i="20" s="1"/>
  <c r="AO149" i="20" a="1"/>
  <c r="AO149" i="20" s="1"/>
  <c r="AO143" i="20" a="1"/>
  <c r="AO143" i="20" s="1"/>
  <c r="AO142" i="20" a="1"/>
  <c r="AO142" i="20" s="1"/>
  <c r="AO141" i="20" a="1"/>
  <c r="AO141" i="20" s="1"/>
  <c r="AO140" i="20" a="1"/>
  <c r="AO140" i="20" s="1"/>
  <c r="AO139" i="20" a="1"/>
  <c r="AO139" i="20" s="1"/>
  <c r="AO138" i="20" a="1"/>
  <c r="AO138" i="20" s="1"/>
  <c r="AO137" i="20" a="1"/>
  <c r="AO137" i="20" s="1"/>
  <c r="AO133" i="20" a="1"/>
  <c r="AO133" i="20" s="1"/>
  <c r="AO132" i="20" a="1"/>
  <c r="AO132" i="20" s="1"/>
  <c r="AO198" i="20" a="1"/>
  <c r="AO198" i="20" s="1"/>
  <c r="AO148" i="20" a="1"/>
  <c r="AO148" i="20" s="1"/>
  <c r="AO145" i="20" a="1"/>
  <c r="AO145" i="20" s="1"/>
  <c r="AO144" i="20" a="1"/>
  <c r="AO144" i="20" s="1"/>
  <c r="AO129" i="20" a="1"/>
  <c r="AO129" i="20" s="1"/>
  <c r="AO127" i="20" a="1"/>
  <c r="AO127" i="20" s="1"/>
  <c r="AO169" i="20" a="1"/>
  <c r="AO169" i="20" s="1"/>
  <c r="AO146" i="20" a="1"/>
  <c r="AO146" i="20" s="1"/>
  <c r="AO124" i="20" a="1"/>
  <c r="AO124" i="20" s="1"/>
  <c r="AO122" i="20" a="1"/>
  <c r="AO122" i="20" s="1"/>
  <c r="AO112" i="20" a="1"/>
  <c r="AO112" i="20" s="1"/>
  <c r="AO110" i="20" a="1"/>
  <c r="AO110" i="20" s="1"/>
  <c r="AO128" i="20" a="1"/>
  <c r="AO128" i="20" s="1"/>
  <c r="AO125" i="20" a="1"/>
  <c r="AO125" i="20" s="1"/>
  <c r="AO123" i="20" a="1"/>
  <c r="AO123" i="20" s="1"/>
  <c r="AO115" i="20" a="1"/>
  <c r="AO115" i="20" s="1"/>
  <c r="AO111" i="20" a="1"/>
  <c r="AO111" i="20" s="1"/>
  <c r="AO106" i="20" a="1"/>
  <c r="AO106" i="20" s="1"/>
  <c r="AO105" i="20" a="1"/>
  <c r="AO105" i="20" s="1"/>
  <c r="AO126" i="20" a="1"/>
  <c r="AO126" i="20" s="1"/>
  <c r="AO104" i="20" a="1"/>
  <c r="AO104" i="20" s="1"/>
  <c r="AO103" i="20" a="1"/>
  <c r="AO103" i="20" s="1"/>
  <c r="AO102" i="20" a="1"/>
  <c r="AO102" i="20" s="1"/>
  <c r="AO101" i="20" a="1"/>
  <c r="AO101" i="20" s="1"/>
  <c r="AO97" i="20" a="1"/>
  <c r="AO97" i="20" s="1"/>
  <c r="AO96" i="20" a="1"/>
  <c r="AO96" i="20" s="1"/>
  <c r="AO95" i="20" a="1"/>
  <c r="AO95" i="20" s="1"/>
  <c r="AO94" i="20" a="1"/>
  <c r="AO94" i="20" s="1"/>
  <c r="AO93" i="20" a="1"/>
  <c r="AO93" i="20" s="1"/>
  <c r="AO92" i="20" a="1"/>
  <c r="AO92" i="20" s="1"/>
  <c r="AO91" i="20" a="1"/>
  <c r="AO91" i="20" s="1"/>
  <c r="AO90" i="20" a="1"/>
  <c r="AO90" i="20" s="1"/>
  <c r="AO89" i="20" a="1"/>
  <c r="AO89" i="20" s="1"/>
  <c r="AO88" i="20" a="1"/>
  <c r="AO88" i="20" s="1"/>
  <c r="AO87" i="20" a="1"/>
  <c r="AO87" i="20" s="1"/>
  <c r="AO83" i="20" a="1"/>
  <c r="AO83" i="20" s="1"/>
  <c r="AO82" i="20" a="1"/>
  <c r="AO82" i="20" s="1"/>
  <c r="AO81" i="20" a="1"/>
  <c r="AO81" i="20" s="1"/>
  <c r="AO80" i="20" a="1"/>
  <c r="AO80" i="20" s="1"/>
  <c r="AO79" i="20" a="1"/>
  <c r="AO79" i="20" s="1"/>
  <c r="AO78" i="20" a="1"/>
  <c r="AO78" i="20" s="1"/>
  <c r="AO77" i="20" a="1"/>
  <c r="AO77" i="20" s="1"/>
  <c r="AO76" i="20" a="1"/>
  <c r="AO76" i="20" s="1"/>
  <c r="AO75" i="20" a="1"/>
  <c r="AO75" i="20" s="1"/>
  <c r="AO74" i="20" a="1"/>
  <c r="AO74" i="20" s="1"/>
  <c r="AO73" i="20" a="1"/>
  <c r="AO73" i="20" s="1"/>
  <c r="AO72" i="20" a="1"/>
  <c r="AO72" i="20" s="1"/>
  <c r="AO71" i="20" a="1"/>
  <c r="AO71" i="20" s="1"/>
  <c r="AO68" i="20" a="1"/>
  <c r="AO68" i="20" s="1"/>
  <c r="AO66" i="20" a="1"/>
  <c r="AO66" i="20" s="1"/>
  <c r="AO65" i="20" a="1"/>
  <c r="AO65" i="20" s="1"/>
  <c r="AO64" i="20" a="1"/>
  <c r="AO64" i="20" s="1"/>
  <c r="AO61" i="20" a="1"/>
  <c r="AO61" i="20" s="1"/>
  <c r="AO59" i="20" a="1"/>
  <c r="AO59" i="20" s="1"/>
  <c r="AO58" i="20" a="1"/>
  <c r="AO58" i="20" s="1"/>
  <c r="AO57" i="20" a="1"/>
  <c r="AO57" i="20" s="1"/>
  <c r="AO56" i="20" a="1"/>
  <c r="AO56" i="20" s="1"/>
  <c r="AO55" i="20" a="1"/>
  <c r="AO55" i="20" s="1"/>
  <c r="AO54" i="20" a="1"/>
  <c r="AO54" i="20" s="1"/>
  <c r="AO53" i="20" a="1"/>
  <c r="AO53" i="20" s="1"/>
  <c r="AO50" i="20" a="1"/>
  <c r="AO50" i="20" s="1"/>
  <c r="AO48" i="20" a="1"/>
  <c r="AO48" i="20" s="1"/>
  <c r="AO47" i="20" a="1"/>
  <c r="AO47" i="20" s="1"/>
  <c r="AO46" i="20" a="1"/>
  <c r="AO46" i="20" s="1"/>
  <c r="AO131" i="20" a="1"/>
  <c r="AO131" i="20" s="1"/>
  <c r="AO44" i="20" a="1"/>
  <c r="AO44" i="20" s="1"/>
  <c r="AO42" i="20" a="1"/>
  <c r="AO42" i="20" s="1"/>
  <c r="AO45" i="20" a="1"/>
  <c r="AO45" i="20" s="1"/>
  <c r="AO43" i="20" a="1"/>
  <c r="AO43" i="20" s="1"/>
  <c r="AO41" i="20" a="1"/>
  <c r="AO41" i="20" s="1"/>
  <c r="AO38" i="20" a="1"/>
  <c r="AO38" i="20" s="1"/>
  <c r="AO36" i="20" a="1"/>
  <c r="AO36" i="20" s="1"/>
  <c r="AO35" i="20" a="1"/>
  <c r="AO35" i="20" s="1"/>
  <c r="AO34" i="20" a="1"/>
  <c r="AO34" i="20" s="1"/>
  <c r="AO33" i="20" a="1"/>
  <c r="AO33" i="20" s="1"/>
  <c r="AO32" i="20" a="1"/>
  <c r="AO32" i="20" s="1"/>
  <c r="AO29" i="20" a="1"/>
  <c r="AO29" i="20" s="1"/>
  <c r="AO27" i="20" a="1"/>
  <c r="AO27" i="20" s="1"/>
  <c r="AO26" i="20" a="1"/>
  <c r="AO26" i="20" s="1"/>
  <c r="AO25" i="20" a="1"/>
  <c r="AO25" i="20" s="1"/>
  <c r="AO24" i="20" a="1"/>
  <c r="AO24" i="20" s="1"/>
  <c r="AO23" i="20" a="1"/>
  <c r="AO23" i="20" s="1"/>
  <c r="AO22" i="20" a="1"/>
  <c r="AO22" i="20" s="1"/>
  <c r="AO21" i="20" a="1"/>
  <c r="AO21" i="20" s="1"/>
  <c r="AO20" i="20" a="1"/>
  <c r="AO20" i="20" s="1"/>
  <c r="AO19" i="20" a="1"/>
  <c r="AO19" i="20" s="1"/>
  <c r="AO16" i="20" a="1"/>
  <c r="AO16" i="20" s="1"/>
  <c r="AO13" i="20" a="1"/>
  <c r="AO13" i="20" s="1"/>
  <c r="AO12" i="20" a="1"/>
  <c r="AO12" i="20" s="1"/>
  <c r="AN153" i="30"/>
  <c r="AM52" i="30"/>
  <c r="AM183" i="1"/>
  <c r="AO64" i="9"/>
  <c r="AO102" i="9"/>
  <c r="AO121" i="9"/>
  <c r="AO159" i="9"/>
  <c r="AO197" i="9"/>
  <c r="AO235" i="9"/>
  <c r="AO273" i="9"/>
  <c r="AO311" i="9"/>
  <c r="AO349" i="9"/>
  <c r="AO387" i="9"/>
  <c r="AO254" i="9"/>
  <c r="AO406" i="9"/>
  <c r="AO425" i="9"/>
  <c r="AO140" i="9"/>
  <c r="AO292" i="9"/>
  <c r="AO178" i="9"/>
  <c r="AO216" i="9"/>
  <c r="AO330" i="9"/>
  <c r="AO83" i="9"/>
  <c r="AO368" i="9"/>
  <c r="AM796" i="9"/>
  <c r="AM869" i="9" s="1"/>
  <c r="AM781" i="9"/>
  <c r="AM804" i="9" s="1"/>
  <c r="AM783" i="9"/>
  <c r="AM856" i="9" s="1"/>
  <c r="AM791" i="9"/>
  <c r="AM814" i="9" s="1"/>
  <c r="AM793" i="9"/>
  <c r="AM866" i="9" s="1"/>
  <c r="AM726" i="9"/>
  <c r="AM248" i="3"/>
  <c r="AM725" i="9"/>
  <c r="AM247" i="3"/>
  <c r="AM714" i="9"/>
  <c r="AM236" i="3"/>
  <c r="AM717" i="9"/>
  <c r="AM239" i="3"/>
  <c r="AM716" i="9"/>
  <c r="AM238" i="3"/>
  <c r="AM721" i="9"/>
  <c r="AM243" i="3"/>
  <c r="AM720" i="9"/>
  <c r="AM242" i="3"/>
  <c r="AM715" i="9"/>
  <c r="AM237" i="3"/>
  <c r="AM724" i="9"/>
  <c r="AM246" i="3"/>
  <c r="AM712" i="9"/>
  <c r="AM234" i="3"/>
  <c r="AM727" i="9"/>
  <c r="AM249" i="3"/>
  <c r="AM723" i="9"/>
  <c r="AM245" i="3"/>
  <c r="AM718" i="9"/>
  <c r="AM240" i="3"/>
  <c r="AM713" i="9"/>
  <c r="AM235" i="3"/>
  <c r="AM722" i="9"/>
  <c r="AM244" i="3"/>
  <c r="AM719" i="9"/>
  <c r="AM241" i="3"/>
  <c r="AM728" i="9"/>
  <c r="AM250" i="3"/>
  <c r="AM756" i="9"/>
  <c r="AM779" i="9" s="1"/>
  <c r="AM802" i="9" s="1"/>
  <c r="AM829" i="9"/>
  <c r="AO180" i="26"/>
  <c r="AO183" i="26"/>
  <c r="AO189" i="26"/>
  <c r="AO188" i="26"/>
  <c r="AO182" i="26"/>
  <c r="AO196" i="26" s="1"/>
  <c r="AO297" i="26" s="1"/>
  <c r="AO184" i="26"/>
  <c r="AO191" i="26"/>
  <c r="AO190" i="26"/>
  <c r="AO181" i="26"/>
  <c r="AO185" i="26"/>
  <c r="AO187" i="26"/>
  <c r="AO179" i="26"/>
  <c r="AO186" i="26"/>
  <c r="AO178" i="26"/>
  <c r="AO197" i="26" s="1"/>
  <c r="AO298" i="26" s="1"/>
  <c r="AO192" i="26"/>
  <c r="AN71" i="26"/>
  <c r="AM130" i="30"/>
  <c r="AN220" i="6"/>
  <c r="AL48" i="30"/>
  <c r="AP43" i="3"/>
  <c r="AP4" i="38"/>
  <c r="AM232" i="3"/>
  <c r="AM710" i="9"/>
  <c r="AN97" i="26"/>
  <c r="AN198" i="26"/>
  <c r="AN150" i="26"/>
  <c r="AM98" i="30"/>
  <c r="AM187" i="30" s="1"/>
  <c r="AN107" i="6"/>
  <c r="AN276" i="26"/>
  <c r="AN106" i="6"/>
  <c r="AM114" i="6"/>
  <c r="AM116" i="30" s="1"/>
  <c r="AO158" i="26"/>
  <c r="AO162" i="26"/>
  <c r="AO166" i="26"/>
  <c r="AO156" i="26"/>
  <c r="AO159" i="26"/>
  <c r="AO163" i="26"/>
  <c r="AO167" i="26"/>
  <c r="AO157" i="26"/>
  <c r="AO168" i="26"/>
  <c r="AO155" i="26"/>
  <c r="AO160" i="26"/>
  <c r="AO164" i="26"/>
  <c r="AO154" i="26"/>
  <c r="AO161" i="26"/>
  <c r="AO165" i="26"/>
  <c r="AN174" i="26"/>
  <c r="AN208" i="26"/>
  <c r="AM178" i="20"/>
  <c r="AM183" i="20" s="1"/>
  <c r="AN207" i="26"/>
  <c r="AN123" i="26"/>
  <c r="AQ432" i="9"/>
  <c r="AM231" i="3"/>
  <c r="AS448" i="9"/>
  <c r="AS444" i="9"/>
  <c r="AS435" i="9"/>
  <c r="AS437" i="9"/>
  <c r="AS507" i="9"/>
  <c r="AS516" i="9"/>
  <c r="AS509" i="9"/>
  <c r="AS512" i="9"/>
  <c r="AS514" i="9"/>
  <c r="AS502" i="9"/>
  <c r="AS519" i="9"/>
  <c r="AS505" i="9"/>
  <c r="AS149" i="9"/>
  <c r="AT143" i="9" s="1"/>
  <c r="AT147" i="9" s="1"/>
  <c r="AS415" i="9"/>
  <c r="AT409" i="9" s="1"/>
  <c r="AT413" i="9" s="1"/>
  <c r="AO66" i="26"/>
  <c r="AS282" i="9"/>
  <c r="AT276" i="9" s="1"/>
  <c r="AT280" i="9" s="1"/>
  <c r="AS92" i="9"/>
  <c r="AT86" i="9" s="1"/>
  <c r="AT90" i="9" s="1"/>
  <c r="AQ992" i="9"/>
  <c r="AS1006" i="9"/>
  <c r="AS446" i="9"/>
  <c r="AS1009" i="9"/>
  <c r="AS449" i="9"/>
  <c r="AS1002" i="9"/>
  <c r="AS442" i="9"/>
  <c r="AS1008" i="9"/>
  <c r="AS1004" i="9"/>
  <c r="AP1085" i="9"/>
  <c r="AS995" i="9"/>
  <c r="AQ105" i="9"/>
  <c r="AQ109" i="9" s="1"/>
  <c r="AS238" i="9"/>
  <c r="AS242" i="9" s="1"/>
  <c r="AS997" i="9"/>
  <c r="AR200" i="9"/>
  <c r="AR204" i="9" s="1"/>
  <c r="AS225" i="9"/>
  <c r="AT219" i="9" s="1"/>
  <c r="AT223" i="9" s="1"/>
  <c r="AS358" i="9"/>
  <c r="AT352" i="9" s="1"/>
  <c r="AT356" i="9" s="1"/>
  <c r="AO75" i="3"/>
  <c r="AN121" i="3"/>
  <c r="AO73" i="3"/>
  <c r="AN119" i="3"/>
  <c r="AO84" i="3"/>
  <c r="AN130" i="3"/>
  <c r="AO87" i="3"/>
  <c r="AN133" i="3"/>
  <c r="AP141" i="3"/>
  <c r="AP150" i="3"/>
  <c r="AP148" i="3"/>
  <c r="AP143" i="3"/>
  <c r="AP140" i="3"/>
  <c r="AO74" i="3"/>
  <c r="AN120" i="3"/>
  <c r="AO88" i="3"/>
  <c r="AN134" i="3"/>
  <c r="AP149" i="3"/>
  <c r="AP153" i="3"/>
  <c r="AP152" i="3"/>
  <c r="AP146" i="3"/>
  <c r="AP158" i="3"/>
  <c r="AO86" i="3"/>
  <c r="AN132" i="3"/>
  <c r="AO71" i="3"/>
  <c r="AN117" i="3"/>
  <c r="AO89" i="3"/>
  <c r="AN135" i="3"/>
  <c r="AO79" i="3"/>
  <c r="AN125" i="3"/>
  <c r="AO83" i="3"/>
  <c r="AN129" i="3"/>
  <c r="AO85" i="3"/>
  <c r="AN131" i="3"/>
  <c r="AO82" i="3"/>
  <c r="AN128" i="3"/>
  <c r="AO80" i="3"/>
  <c r="AN126" i="3"/>
  <c r="AO76" i="3"/>
  <c r="AN122" i="3"/>
  <c r="AP142" i="3"/>
  <c r="AP139" i="3"/>
  <c r="AP155" i="3"/>
  <c r="AP157" i="3"/>
  <c r="AP147" i="3"/>
  <c r="AP156" i="3"/>
  <c r="AO78" i="3"/>
  <c r="AN124" i="3"/>
  <c r="AO77" i="3"/>
  <c r="AN123" i="3"/>
  <c r="AO81" i="3"/>
  <c r="AN127" i="3"/>
  <c r="AO70" i="3"/>
  <c r="AN116" i="3"/>
  <c r="AO72" i="3"/>
  <c r="AN118" i="3"/>
  <c r="AP145" i="3"/>
  <c r="AP144" i="3"/>
  <c r="AP151" i="3"/>
  <c r="AP154" i="3"/>
  <c r="AP5" i="3"/>
  <c r="AO60" i="26"/>
  <c r="AS320" i="9"/>
  <c r="AT314" i="9" s="1"/>
  <c r="AT318" i="9" s="1"/>
  <c r="AS187" i="9"/>
  <c r="AT181" i="9" s="1"/>
  <c r="AT185" i="9" s="1"/>
  <c r="AO89" i="26"/>
  <c r="AO55" i="26"/>
  <c r="AO87" i="26"/>
  <c r="AO61" i="26"/>
  <c r="AO92" i="26"/>
  <c r="AO81" i="26"/>
  <c r="AO91" i="26"/>
  <c r="AO84" i="26"/>
  <c r="AO56" i="26"/>
  <c r="AO62" i="26"/>
  <c r="AO57" i="26"/>
  <c r="AO86" i="26"/>
  <c r="AO82" i="26"/>
  <c r="AO78" i="26"/>
  <c r="AO64" i="26"/>
  <c r="AO58" i="26"/>
  <c r="AO53" i="26"/>
  <c r="AO88" i="26"/>
  <c r="AO83" i="26"/>
  <c r="AO65" i="26"/>
  <c r="AO59" i="26"/>
  <c r="AO54" i="26"/>
  <c r="AO79" i="26"/>
  <c r="AO90" i="26"/>
  <c r="AO85" i="26"/>
  <c r="AO80" i="26"/>
  <c r="AO67" i="26"/>
  <c r="AO63" i="26"/>
  <c r="AO144" i="26"/>
  <c r="AO135" i="26"/>
  <c r="AO114" i="26"/>
  <c r="AO138" i="26"/>
  <c r="AO116" i="26"/>
  <c r="AO107" i="26"/>
  <c r="AO105" i="26"/>
  <c r="AO112" i="26"/>
  <c r="AO140" i="26"/>
  <c r="AO131" i="26"/>
  <c r="AO110" i="26"/>
  <c r="AO143" i="26"/>
  <c r="AO113" i="26"/>
  <c r="AO104" i="26"/>
  <c r="AO136" i="26"/>
  <c r="AO115" i="26"/>
  <c r="AO142" i="26"/>
  <c r="AO137" i="26"/>
  <c r="AO106" i="26"/>
  <c r="AO121" i="26" s="1"/>
  <c r="AO133" i="26"/>
  <c r="AO130" i="26"/>
  <c r="AO111" i="26"/>
  <c r="AO132" i="26"/>
  <c r="AO139" i="26"/>
  <c r="AO134" i="26"/>
  <c r="AO141" i="26"/>
  <c r="AO118" i="26"/>
  <c r="AO117" i="26"/>
  <c r="AO108" i="26"/>
  <c r="AO109" i="26"/>
  <c r="AO219" i="26"/>
  <c r="AP12" i="3"/>
  <c r="AP3" i="3" s="1"/>
  <c r="AP24" i="3"/>
  <c r="AO105" i="3"/>
  <c r="AO103" i="3"/>
  <c r="AO99" i="3"/>
  <c r="AO101" i="3"/>
  <c r="AO100" i="3"/>
  <c r="AO104" i="3"/>
  <c r="AO93" i="3"/>
  <c r="AO95" i="3"/>
  <c r="AO108" i="3"/>
  <c r="AO98" i="3"/>
  <c r="AO96" i="3"/>
  <c r="AO107" i="3"/>
  <c r="AO110" i="3"/>
  <c r="AO106" i="3"/>
  <c r="AQ8" i="3"/>
  <c r="AO109" i="3"/>
  <c r="AO97" i="3"/>
  <c r="AO94" i="3"/>
  <c r="AO112" i="3"/>
  <c r="AO111" i="3"/>
  <c r="AO102" i="3"/>
  <c r="AM64" i="33" l="1"/>
  <c r="AM74" i="33"/>
  <c r="AM751" i="9"/>
  <c r="AN705" i="9" s="1"/>
  <c r="AM745" i="9"/>
  <c r="AM750" i="9"/>
  <c r="AM747" i="9"/>
  <c r="AM735" i="9"/>
  <c r="AM733" i="9"/>
  <c r="AM737" i="9"/>
  <c r="AN299" i="26"/>
  <c r="AN178" i="1"/>
  <c r="AN178" i="20" s="1"/>
  <c r="AO148" i="26"/>
  <c r="AO93" i="26"/>
  <c r="AO206" i="26" s="1"/>
  <c r="AO235" i="26"/>
  <c r="AO172" i="26"/>
  <c r="AO195" i="26"/>
  <c r="AO194" i="26"/>
  <c r="AN179" i="1"/>
  <c r="AN179" i="20" s="1"/>
  <c r="AN180" i="30"/>
  <c r="AN72" i="33" s="1"/>
  <c r="AO146" i="26"/>
  <c r="AO248" i="26"/>
  <c r="AO234" i="26"/>
  <c r="AN267" i="26"/>
  <c r="AO171" i="26"/>
  <c r="AO170" i="26"/>
  <c r="AN221" i="6"/>
  <c r="AN223" i="6" s="1"/>
  <c r="AO220" i="6" s="1"/>
  <c r="AN259" i="26"/>
  <c r="AO95" i="26"/>
  <c r="AO247" i="26" s="1"/>
  <c r="AN257" i="26"/>
  <c r="AM34" i="6"/>
  <c r="AM69" i="30" s="1"/>
  <c r="AM50" i="30"/>
  <c r="AP3" i="38"/>
  <c r="AP39" i="3"/>
  <c r="AP346" i="3"/>
  <c r="AP347" i="3"/>
  <c r="AM854" i="9"/>
  <c r="AM819" i="9"/>
  <c r="AN256" i="3"/>
  <c r="AN279" i="3" s="1"/>
  <c r="AN210" i="3"/>
  <c r="AN233" i="3" s="1"/>
  <c r="AM864" i="9"/>
  <c r="AM806" i="9"/>
  <c r="AM816" i="9"/>
  <c r="AN219" i="3"/>
  <c r="AN265" i="3"/>
  <c r="AN288" i="3" s="1"/>
  <c r="AN262" i="3"/>
  <c r="AN285" i="3" s="1"/>
  <c r="AN216" i="3"/>
  <c r="AN260" i="3"/>
  <c r="AN283" i="3" s="1"/>
  <c r="AN214" i="3"/>
  <c r="AN266" i="3"/>
  <c r="AN289" i="3" s="1"/>
  <c r="AN220" i="3"/>
  <c r="AN267" i="3"/>
  <c r="AN290" i="3" s="1"/>
  <c r="AN221" i="3"/>
  <c r="AN227" i="3"/>
  <c r="AN273" i="3"/>
  <c r="AN296" i="3" s="1"/>
  <c r="AN270" i="3"/>
  <c r="AN293" i="3" s="1"/>
  <c r="AN224" i="3"/>
  <c r="AN271" i="3"/>
  <c r="AN294" i="3" s="1"/>
  <c r="AN225" i="3"/>
  <c r="AN257" i="3"/>
  <c r="AN280" i="3" s="1"/>
  <c r="AN211" i="3"/>
  <c r="AN689" i="9"/>
  <c r="AN272" i="3"/>
  <c r="AN295" i="3" s="1"/>
  <c r="AN226" i="3"/>
  <c r="AN258" i="3"/>
  <c r="AN281" i="3" s="1"/>
  <c r="AN212" i="3"/>
  <c r="AN215" i="3"/>
  <c r="AN261" i="3"/>
  <c r="AN284" i="3" s="1"/>
  <c r="AN264" i="3"/>
  <c r="AN287" i="3" s="1"/>
  <c r="AN218" i="3"/>
  <c r="AN269" i="3"/>
  <c r="AN292" i="3" s="1"/>
  <c r="AN223" i="3"/>
  <c r="AN263" i="3"/>
  <c r="AN286" i="3" s="1"/>
  <c r="AN217" i="3"/>
  <c r="AN268" i="3"/>
  <c r="AN291" i="3" s="1"/>
  <c r="AN222" i="3"/>
  <c r="AN213" i="3"/>
  <c r="AN259" i="3"/>
  <c r="AN282" i="3" s="1"/>
  <c r="AN699" i="9"/>
  <c r="AN704" i="9"/>
  <c r="AN701" i="9"/>
  <c r="AN691" i="9"/>
  <c r="AM852" i="9"/>
  <c r="AO68" i="26"/>
  <c r="AO70" i="26"/>
  <c r="AO117" i="20"/>
  <c r="AO24" i="32" s="1"/>
  <c r="AP30" i="3"/>
  <c r="AN180" i="20"/>
  <c r="AM48" i="30"/>
  <c r="AN687" i="9"/>
  <c r="AN255" i="3"/>
  <c r="AN278" i="3" s="1"/>
  <c r="AN209" i="3"/>
  <c r="AO120" i="26"/>
  <c r="AO147" i="26"/>
  <c r="AM168" i="20"/>
  <c r="AP5" i="38"/>
  <c r="AP55" i="3"/>
  <c r="AP170" i="3" s="1"/>
  <c r="AP193" i="3" s="1"/>
  <c r="AP63" i="3"/>
  <c r="AP178" i="3" s="1"/>
  <c r="AP201" i="3" s="1"/>
  <c r="AP52" i="3"/>
  <c r="AP167" i="3" s="1"/>
  <c r="AP190" i="3" s="1"/>
  <c r="AP60" i="3"/>
  <c r="AP175" i="3" s="1"/>
  <c r="AP198" i="3" s="1"/>
  <c r="AP51" i="3"/>
  <c r="AP166" i="3" s="1"/>
  <c r="AP189" i="3" s="1"/>
  <c r="AP48" i="3"/>
  <c r="AP163" i="3" s="1"/>
  <c r="AP186" i="3" s="1"/>
  <c r="AP56" i="3"/>
  <c r="AP171" i="3" s="1"/>
  <c r="AP194" i="3" s="1"/>
  <c r="AP64" i="3"/>
  <c r="AP179" i="3" s="1"/>
  <c r="AP202" i="3" s="1"/>
  <c r="AP57" i="3"/>
  <c r="AP172" i="3" s="1"/>
  <c r="AP195" i="3" s="1"/>
  <c r="AP65" i="3"/>
  <c r="AP180" i="3" s="1"/>
  <c r="AP203" i="3" s="1"/>
  <c r="AP49" i="3"/>
  <c r="AP164" i="3" s="1"/>
  <c r="AP187" i="3" s="1"/>
  <c r="AP53" i="3"/>
  <c r="AP168" i="3" s="1"/>
  <c r="AP191" i="3" s="1"/>
  <c r="AP50" i="3"/>
  <c r="AP165" i="3" s="1"/>
  <c r="AP188" i="3" s="1"/>
  <c r="AP58" i="3"/>
  <c r="AP173" i="3" s="1"/>
  <c r="AP196" i="3" s="1"/>
  <c r="AP62" i="3"/>
  <c r="AP177" i="3" s="1"/>
  <c r="AP200" i="3" s="1"/>
  <c r="AP61" i="3"/>
  <c r="AP176" i="3" s="1"/>
  <c r="AP199" i="3" s="1"/>
  <c r="AP47" i="3"/>
  <c r="AP162" i="3" s="1"/>
  <c r="AP185" i="3" s="1"/>
  <c r="AP59" i="3"/>
  <c r="AP174" i="3" s="1"/>
  <c r="AP197" i="3" s="1"/>
  <c r="AP54" i="3"/>
  <c r="AP169" i="3" s="1"/>
  <c r="AP192" i="3" s="1"/>
  <c r="AP66" i="3"/>
  <c r="AO145" i="26"/>
  <c r="AO173" i="26"/>
  <c r="AN281" i="26"/>
  <c r="AO276" i="26" s="1"/>
  <c r="AO149" i="26"/>
  <c r="AN111" i="6"/>
  <c r="AO169" i="26"/>
  <c r="AP94" i="6"/>
  <c r="AP88" i="35"/>
  <c r="AP3" i="33"/>
  <c r="AP3" i="35"/>
  <c r="AP5" i="33"/>
  <c r="AP5" i="35"/>
  <c r="AP4" i="33"/>
  <c r="AP4" i="35"/>
  <c r="AM277" i="3"/>
  <c r="AT445" i="9"/>
  <c r="AT436" i="9"/>
  <c r="AT447" i="9"/>
  <c r="AR439" i="9"/>
  <c r="AS441" i="9"/>
  <c r="AQ434" i="9"/>
  <c r="AT433" i="9"/>
  <c r="AT438" i="9"/>
  <c r="AN208" i="3"/>
  <c r="AN231" i="3" s="1"/>
  <c r="AN254" i="3"/>
  <c r="AN277" i="3" s="1"/>
  <c r="AT440" i="9"/>
  <c r="AT443" i="9"/>
  <c r="AT450" i="9"/>
  <c r="AQ501" i="9"/>
  <c r="AS506" i="9"/>
  <c r="AS513" i="9"/>
  <c r="AS504" i="9"/>
  <c r="AS517" i="9"/>
  <c r="AS511" i="9"/>
  <c r="AS515" i="9"/>
  <c r="AS518" i="9"/>
  <c r="AT996" i="9"/>
  <c r="AT1010" i="9"/>
  <c r="AP16" i="3"/>
  <c r="AP18" i="3" s="1"/>
  <c r="AP4" i="32"/>
  <c r="AP4" i="30"/>
  <c r="AP3" i="28"/>
  <c r="AP3" i="32"/>
  <c r="AP3" i="30"/>
  <c r="AP5" i="26"/>
  <c r="AP5" i="32"/>
  <c r="AP5" i="30"/>
  <c r="AT1003" i="9"/>
  <c r="AO193" i="26"/>
  <c r="AT993" i="9"/>
  <c r="AQ73" i="9"/>
  <c r="AS263" i="9"/>
  <c r="AS339" i="9"/>
  <c r="AS396" i="9"/>
  <c r="AS301" i="9"/>
  <c r="AS377" i="9"/>
  <c r="AS130" i="9"/>
  <c r="AT257" i="9"/>
  <c r="AT261" i="9" s="1"/>
  <c r="AT124" i="9"/>
  <c r="AT128" i="9" s="1"/>
  <c r="AT371" i="9"/>
  <c r="AT375" i="9" s="1"/>
  <c r="AT390" i="9"/>
  <c r="AT394" i="9" s="1"/>
  <c r="AT333" i="9"/>
  <c r="AT337" i="9" s="1"/>
  <c r="AR67" i="9"/>
  <c r="AR71" i="9" s="1"/>
  <c r="AS1001" i="9"/>
  <c r="AT295" i="9"/>
  <c r="AT299" i="9" s="1"/>
  <c r="AS168" i="9"/>
  <c r="AT162" i="9" s="1"/>
  <c r="AT166" i="9" s="1"/>
  <c r="AQ994" i="9"/>
  <c r="AR999" i="9"/>
  <c r="AT1000" i="9"/>
  <c r="AT1007" i="9"/>
  <c r="AP5" i="28"/>
  <c r="AT998" i="9"/>
  <c r="AT1005" i="9"/>
  <c r="AO119" i="26"/>
  <c r="AO94" i="26"/>
  <c r="AP4" i="28"/>
  <c r="AP4" i="11"/>
  <c r="AP4" i="12"/>
  <c r="AP4" i="26"/>
  <c r="AP3" i="26"/>
  <c r="AP4" i="9"/>
  <c r="AP4" i="16"/>
  <c r="AP5" i="20"/>
  <c r="AP5" i="22"/>
  <c r="AP4" i="22"/>
  <c r="AP4" i="20"/>
  <c r="AP3" i="22"/>
  <c r="AP3" i="20"/>
  <c r="AQ10" i="3"/>
  <c r="AQ4" i="3" s="1"/>
  <c r="AQ2" i="44" s="1" a="1"/>
  <c r="AQ2" i="44" s="1"/>
  <c r="AP3" i="16"/>
  <c r="AP3" i="12"/>
  <c r="AP3" i="11"/>
  <c r="AP3" i="9"/>
  <c r="AP5" i="16"/>
  <c r="AP5" i="12"/>
  <c r="AP5" i="11"/>
  <c r="AP5" i="9"/>
  <c r="AN183" i="1" l="1"/>
  <c r="AP181" i="3"/>
  <c r="AP204" i="3" s="1"/>
  <c r="AO198" i="26"/>
  <c r="AO220" i="26"/>
  <c r="AO268" i="26"/>
  <c r="AO205" i="26"/>
  <c r="AN261" i="26"/>
  <c r="AO222" i="26"/>
  <c r="AO221" i="26"/>
  <c r="AO295" i="26"/>
  <c r="AO249" i="26"/>
  <c r="AO236" i="26"/>
  <c r="AO233" i="26"/>
  <c r="AO180" i="1"/>
  <c r="AO296" i="26"/>
  <c r="AP181" i="20" a="1"/>
  <c r="AP181" i="20" s="1"/>
  <c r="AP154" i="20" a="1"/>
  <c r="AP154" i="20" s="1"/>
  <c r="AP198" i="20" a="1"/>
  <c r="AP198" i="20" s="1"/>
  <c r="AP148" i="20" a="1"/>
  <c r="AP148" i="20" s="1"/>
  <c r="AP146" i="20" a="1"/>
  <c r="AP146" i="20" s="1"/>
  <c r="AP145" i="20" a="1"/>
  <c r="AP145" i="20" s="1"/>
  <c r="AP144" i="20" a="1"/>
  <c r="AP144" i="20" s="1"/>
  <c r="AP172" i="20" a="1"/>
  <c r="AP172" i="20" s="1"/>
  <c r="AP169" i="20" a="1"/>
  <c r="AP169" i="20" s="1"/>
  <c r="AP149" i="20" a="1"/>
  <c r="AP149" i="20" s="1"/>
  <c r="AP143" i="20" a="1"/>
  <c r="AP143" i="20" s="1"/>
  <c r="AP141" i="20" a="1"/>
  <c r="AP141" i="20" s="1"/>
  <c r="AP139" i="20" a="1"/>
  <c r="AP139" i="20" s="1"/>
  <c r="AP137" i="20" a="1"/>
  <c r="AP137" i="20" s="1"/>
  <c r="AP132" i="20" a="1"/>
  <c r="AP132" i="20" s="1"/>
  <c r="AP150" i="20" a="1"/>
  <c r="AP150" i="20" s="1"/>
  <c r="AP131" i="20" a="1"/>
  <c r="AP131" i="20" s="1"/>
  <c r="AP128" i="20" a="1"/>
  <c r="AP128" i="20" s="1"/>
  <c r="AP126" i="20" a="1"/>
  <c r="AP126" i="20" s="1"/>
  <c r="AP142" i="20" a="1"/>
  <c r="AP142" i="20" s="1"/>
  <c r="AP140" i="20" a="1"/>
  <c r="AP140" i="20" s="1"/>
  <c r="AP129" i="20" a="1"/>
  <c r="AP129" i="20" s="1"/>
  <c r="AP133" i="20" a="1"/>
  <c r="AP133" i="20" s="1"/>
  <c r="AP125" i="20" a="1"/>
  <c r="AP125" i="20" s="1"/>
  <c r="AP123" i="20" a="1"/>
  <c r="AP123" i="20" s="1"/>
  <c r="AP127" i="20" a="1"/>
  <c r="AP127" i="20" s="1"/>
  <c r="AP124" i="20" a="1"/>
  <c r="AP124" i="20" s="1"/>
  <c r="AP112" i="20" a="1"/>
  <c r="AP112" i="20" s="1"/>
  <c r="AP122" i="20" a="1"/>
  <c r="AP122" i="20" s="1"/>
  <c r="AP111" i="20" a="1"/>
  <c r="AP111" i="20" s="1"/>
  <c r="AP105" i="20" a="1"/>
  <c r="AP105" i="20" s="1"/>
  <c r="AP138" i="20" a="1"/>
  <c r="AP138" i="20" s="1"/>
  <c r="AP110" i="20" a="1"/>
  <c r="AP110" i="20" s="1"/>
  <c r="AP102" i="20" a="1"/>
  <c r="AP102" i="20" s="1"/>
  <c r="AP95" i="20" a="1"/>
  <c r="AP95" i="20" s="1"/>
  <c r="AP91" i="20" a="1"/>
  <c r="AP91" i="20" s="1"/>
  <c r="AP82" i="20" a="1"/>
  <c r="AP82" i="20" s="1"/>
  <c r="AP81" i="20" a="1"/>
  <c r="AP81" i="20" s="1"/>
  <c r="AP80" i="20" a="1"/>
  <c r="AP80" i="20" s="1"/>
  <c r="AP79" i="20" a="1"/>
  <c r="AP79" i="20" s="1"/>
  <c r="AP78" i="20" a="1"/>
  <c r="AP78" i="20" s="1"/>
  <c r="AP77" i="20" a="1"/>
  <c r="AP77" i="20" s="1"/>
  <c r="AP76" i="20" a="1"/>
  <c r="AP76" i="20" s="1"/>
  <c r="AP75" i="20" a="1"/>
  <c r="AP75" i="20" s="1"/>
  <c r="AP74" i="20" a="1"/>
  <c r="AP74" i="20" s="1"/>
  <c r="AP73" i="20" a="1"/>
  <c r="AP73" i="20" s="1"/>
  <c r="AP72" i="20" a="1"/>
  <c r="AP72" i="20" s="1"/>
  <c r="AP71" i="20" a="1"/>
  <c r="AP71" i="20" s="1"/>
  <c r="AP68" i="20" a="1"/>
  <c r="AP68" i="20" s="1"/>
  <c r="AP66" i="20" a="1"/>
  <c r="AP66" i="20" s="1"/>
  <c r="AP65" i="20" a="1"/>
  <c r="AP65" i="20" s="1"/>
  <c r="AP64" i="20" a="1"/>
  <c r="AP64" i="20" s="1"/>
  <c r="AP61" i="20" a="1"/>
  <c r="AP61" i="20" s="1"/>
  <c r="AP59" i="20" a="1"/>
  <c r="AP59" i="20" s="1"/>
  <c r="AP58" i="20" a="1"/>
  <c r="AP58" i="20" s="1"/>
  <c r="AP57" i="20" a="1"/>
  <c r="AP57" i="20" s="1"/>
  <c r="AP56" i="20" a="1"/>
  <c r="AP56" i="20" s="1"/>
  <c r="AP55" i="20" a="1"/>
  <c r="AP55" i="20" s="1"/>
  <c r="AP54" i="20" a="1"/>
  <c r="AP54" i="20" s="1"/>
  <c r="AP53" i="20" a="1"/>
  <c r="AP53" i="20" s="1"/>
  <c r="AP50" i="20" a="1"/>
  <c r="AP50" i="20" s="1"/>
  <c r="AP48" i="20" a="1"/>
  <c r="AP48" i="20" s="1"/>
  <c r="AP47" i="20" a="1"/>
  <c r="AP47" i="20" s="1"/>
  <c r="AP46" i="20" a="1"/>
  <c r="AP46" i="20" s="1"/>
  <c r="AP45" i="20" a="1"/>
  <c r="AP45" i="20" s="1"/>
  <c r="AP44" i="20" a="1"/>
  <c r="AP44" i="20" s="1"/>
  <c r="AP43" i="20" a="1"/>
  <c r="AP43" i="20" s="1"/>
  <c r="AP42" i="20" a="1"/>
  <c r="AP42" i="20" s="1"/>
  <c r="AP41" i="20" a="1"/>
  <c r="AP41" i="20" s="1"/>
  <c r="AP101" i="20" a="1"/>
  <c r="AP101" i="20" s="1"/>
  <c r="AP94" i="20" a="1"/>
  <c r="AP94" i="20" s="1"/>
  <c r="AP90" i="20" a="1"/>
  <c r="AP90" i="20" s="1"/>
  <c r="AP87" i="20" a="1"/>
  <c r="AP87" i="20" s="1"/>
  <c r="AP115" i="20" a="1"/>
  <c r="AP115" i="20" s="1"/>
  <c r="AP104" i="20" a="1"/>
  <c r="AP104" i="20" s="1"/>
  <c r="AP97" i="20" a="1"/>
  <c r="AP97" i="20" s="1"/>
  <c r="AP93" i="20" a="1"/>
  <c r="AP93" i="20" s="1"/>
  <c r="AP89" i="20" a="1"/>
  <c r="AP89" i="20" s="1"/>
  <c r="AP92" i="20" a="1"/>
  <c r="AP92" i="20" s="1"/>
  <c r="AP13" i="20" a="1"/>
  <c r="AP13" i="20" s="1"/>
  <c r="AP83" i="20" a="1"/>
  <c r="AP83" i="20" s="1"/>
  <c r="AP38" i="20" a="1"/>
  <c r="AP38" i="20" s="1"/>
  <c r="AP36" i="20" a="1"/>
  <c r="AP36" i="20" s="1"/>
  <c r="AP35" i="20" a="1"/>
  <c r="AP35" i="20" s="1"/>
  <c r="AP34" i="20" a="1"/>
  <c r="AP34" i="20" s="1"/>
  <c r="AP33" i="20" a="1"/>
  <c r="AP33" i="20" s="1"/>
  <c r="AP32" i="20" a="1"/>
  <c r="AP32" i="20" s="1"/>
  <c r="AP29" i="20" a="1"/>
  <c r="AP29" i="20" s="1"/>
  <c r="AP27" i="20" a="1"/>
  <c r="AP27" i="20" s="1"/>
  <c r="AP26" i="20" a="1"/>
  <c r="AP26" i="20" s="1"/>
  <c r="AP25" i="20" a="1"/>
  <c r="AP25" i="20" s="1"/>
  <c r="AP24" i="20" a="1"/>
  <c r="AP24" i="20" s="1"/>
  <c r="AP23" i="20" a="1"/>
  <c r="AP23" i="20" s="1"/>
  <c r="AP22" i="20" a="1"/>
  <c r="AP22" i="20" s="1"/>
  <c r="AP21" i="20" a="1"/>
  <c r="AP21" i="20" s="1"/>
  <c r="AP20" i="20" a="1"/>
  <c r="AP20" i="20" s="1"/>
  <c r="AP19" i="20" a="1"/>
  <c r="AP19" i="20" s="1"/>
  <c r="AP16" i="20" a="1"/>
  <c r="AP16" i="20" s="1"/>
  <c r="AP12" i="20" a="1"/>
  <c r="AP12" i="20" s="1"/>
  <c r="AP106" i="20" a="1"/>
  <c r="AP106" i="20" s="1"/>
  <c r="AP103" i="20" a="1"/>
  <c r="AP103" i="20" s="1"/>
  <c r="AP88" i="20" a="1"/>
  <c r="AP88" i="20" s="1"/>
  <c r="AP96" i="20" a="1"/>
  <c r="AP96" i="20" s="1"/>
  <c r="AO153" i="30"/>
  <c r="AN50" i="30"/>
  <c r="AN52" i="30"/>
  <c r="AN183" i="20"/>
  <c r="AP83" i="9"/>
  <c r="AP102" i="9"/>
  <c r="AP64" i="9"/>
  <c r="AP121" i="9"/>
  <c r="AP140" i="9"/>
  <c r="AP273" i="9"/>
  <c r="AP292" i="9"/>
  <c r="AP159" i="9"/>
  <c r="AP178" i="9"/>
  <c r="AP311" i="9"/>
  <c r="AP330" i="9"/>
  <c r="AP425" i="9"/>
  <c r="AP197" i="9"/>
  <c r="AP235" i="9"/>
  <c r="AP254" i="9"/>
  <c r="AP349" i="9"/>
  <c r="AP368" i="9"/>
  <c r="AP387" i="9"/>
  <c r="AP406" i="9"/>
  <c r="AP216" i="9"/>
  <c r="AN833" i="9"/>
  <c r="AN831" i="9"/>
  <c r="AN841" i="9"/>
  <c r="AN843" i="9"/>
  <c r="AN846" i="9"/>
  <c r="AN760" i="9"/>
  <c r="AN783" i="9" s="1"/>
  <c r="AN856" i="9" s="1"/>
  <c r="AN773" i="9"/>
  <c r="AN796" i="9" s="1"/>
  <c r="AN869" i="9" s="1"/>
  <c r="AN724" i="9"/>
  <c r="AN246" i="3"/>
  <c r="AN248" i="3"/>
  <c r="AN768" i="9"/>
  <c r="AN791" i="9" s="1"/>
  <c r="AN864" i="9" s="1"/>
  <c r="AN714" i="9"/>
  <c r="AN236" i="3"/>
  <c r="AN243" i="3"/>
  <c r="AN242" i="3"/>
  <c r="AN770" i="9"/>
  <c r="AN793" i="9" s="1"/>
  <c r="AN816" i="9" s="1"/>
  <c r="AN245" i="3"/>
  <c r="AN240" i="3"/>
  <c r="AN241" i="3"/>
  <c r="AN235" i="3"/>
  <c r="AN727" i="9"/>
  <c r="AN249" i="3"/>
  <c r="AN712" i="9"/>
  <c r="AN234" i="3"/>
  <c r="AN250" i="3"/>
  <c r="AN239" i="3"/>
  <c r="AN238" i="3"/>
  <c r="AN758" i="9"/>
  <c r="AN781" i="9" s="1"/>
  <c r="AN804" i="9" s="1"/>
  <c r="AN247" i="3"/>
  <c r="AN722" i="9"/>
  <c r="AN244" i="3"/>
  <c r="AN237" i="3"/>
  <c r="AP139" i="26"/>
  <c r="AP180" i="26"/>
  <c r="AP188" i="26"/>
  <c r="AP179" i="26"/>
  <c r="AP178" i="26"/>
  <c r="AP187" i="26"/>
  <c r="AP192" i="26"/>
  <c r="AP183" i="26"/>
  <c r="AP189" i="26"/>
  <c r="AP181" i="26"/>
  <c r="AP191" i="26"/>
  <c r="AP184" i="26"/>
  <c r="AP190" i="26"/>
  <c r="AP186" i="26"/>
  <c r="AP185" i="26"/>
  <c r="AP182" i="26"/>
  <c r="AP196" i="26" s="1"/>
  <c r="AO71" i="26"/>
  <c r="AN114" i="6"/>
  <c r="AN116" i="30" s="1"/>
  <c r="AN130" i="30"/>
  <c r="AQ43" i="3"/>
  <c r="AN232" i="3"/>
  <c r="AO150" i="26"/>
  <c r="AN154" i="6"/>
  <c r="AN98" i="30" s="1"/>
  <c r="AN187" i="30" s="1"/>
  <c r="AO106" i="6"/>
  <c r="AP137" i="26"/>
  <c r="AP62" i="26"/>
  <c r="AP157" i="26"/>
  <c r="AP165" i="26"/>
  <c r="AP162" i="26"/>
  <c r="AP168" i="26"/>
  <c r="AP155" i="26"/>
  <c r="AP169" i="26" s="1"/>
  <c r="AP159" i="26"/>
  <c r="AP167" i="26"/>
  <c r="AP166" i="26"/>
  <c r="AP156" i="26"/>
  <c r="AP161" i="26"/>
  <c r="AP154" i="26"/>
  <c r="AP160" i="26"/>
  <c r="AP163" i="26"/>
  <c r="AP164" i="26"/>
  <c r="AP158" i="26"/>
  <c r="AO174" i="26"/>
  <c r="AO208" i="26"/>
  <c r="AP87" i="26"/>
  <c r="AP57" i="26"/>
  <c r="AP92" i="26"/>
  <c r="AP60" i="26"/>
  <c r="AP111" i="26"/>
  <c r="AP80" i="26"/>
  <c r="AP110" i="26"/>
  <c r="AP142" i="26"/>
  <c r="AO97" i="26"/>
  <c r="AP86" i="26"/>
  <c r="AP234" i="26" s="1"/>
  <c r="AP85" i="26"/>
  <c r="AP88" i="26"/>
  <c r="AP56" i="26"/>
  <c r="AP63" i="26"/>
  <c r="AP53" i="26"/>
  <c r="AP70" i="26" s="1"/>
  <c r="AP233" i="26" s="1"/>
  <c r="AP135" i="26"/>
  <c r="AP109" i="26"/>
  <c r="AP116" i="26"/>
  <c r="AP115" i="26"/>
  <c r="AP108" i="26"/>
  <c r="AP78" i="26"/>
  <c r="AP94" i="26" s="1"/>
  <c r="AP220" i="26" s="1"/>
  <c r="AP84" i="26"/>
  <c r="AP81" i="26"/>
  <c r="AP64" i="26"/>
  <c r="AP54" i="26"/>
  <c r="AP143" i="26"/>
  <c r="AP140" i="26"/>
  <c r="AP107" i="26"/>
  <c r="AP131" i="26"/>
  <c r="AP134" i="26"/>
  <c r="AP148" i="26" s="1"/>
  <c r="AP112" i="26"/>
  <c r="AP235" i="26" s="1"/>
  <c r="AO207" i="26"/>
  <c r="AO123" i="26"/>
  <c r="AO294" i="26"/>
  <c r="AP91" i="26"/>
  <c r="AP89" i="26"/>
  <c r="AP90" i="26"/>
  <c r="AP65" i="26"/>
  <c r="AP55" i="26"/>
  <c r="AP59" i="26"/>
  <c r="AP113" i="26"/>
  <c r="AP106" i="26"/>
  <c r="AP114" i="26"/>
  <c r="AP104" i="26"/>
  <c r="AP117" i="26"/>
  <c r="AP118" i="26"/>
  <c r="AP138" i="26"/>
  <c r="AT444" i="9"/>
  <c r="AT449" i="9"/>
  <c r="AT448" i="9"/>
  <c r="AR432" i="9"/>
  <c r="AT435" i="9"/>
  <c r="AT437" i="9"/>
  <c r="AT442" i="9"/>
  <c r="AP79" i="26"/>
  <c r="AP95" i="26" s="1"/>
  <c r="AP180" i="1" s="1"/>
  <c r="AP82" i="26"/>
  <c r="AP83" i="26"/>
  <c r="AP58" i="26"/>
  <c r="AP61" i="26"/>
  <c r="AP67" i="26"/>
  <c r="AP66" i="26"/>
  <c r="AP130" i="26"/>
  <c r="AP136" i="26"/>
  <c r="AP141" i="26"/>
  <c r="AP132" i="26"/>
  <c r="AP146" i="26" s="1"/>
  <c r="AP105" i="26"/>
  <c r="AP133" i="26"/>
  <c r="AP147" i="26" s="1"/>
  <c r="AP144" i="26"/>
  <c r="AT516" i="9"/>
  <c r="AR508" i="9"/>
  <c r="AQ503" i="9"/>
  <c r="AQ1085" i="9" s="1"/>
  <c r="AS510" i="9"/>
  <c r="AT502" i="9"/>
  <c r="AT514" i="9"/>
  <c r="AT519" i="9"/>
  <c r="AT507" i="9"/>
  <c r="AT509" i="9"/>
  <c r="AT282" i="9"/>
  <c r="AU276" i="9" s="1"/>
  <c r="AU280" i="9" s="1"/>
  <c r="AT505" i="9"/>
  <c r="AT415" i="9"/>
  <c r="AU409" i="9" s="1"/>
  <c r="AU413" i="9" s="1"/>
  <c r="AT149" i="9"/>
  <c r="AU143" i="9" s="1"/>
  <c r="AU147" i="9" s="1"/>
  <c r="AT512" i="9"/>
  <c r="AT92" i="9"/>
  <c r="AU86" i="9" s="1"/>
  <c r="AU90" i="9" s="1"/>
  <c r="AT1009" i="9"/>
  <c r="AT1006" i="9"/>
  <c r="AT446" i="9"/>
  <c r="AT1008" i="9"/>
  <c r="AT1002" i="9"/>
  <c r="AT1004" i="9"/>
  <c r="AT995" i="9"/>
  <c r="AQ111" i="9"/>
  <c r="AS244" i="9"/>
  <c r="AR206" i="9"/>
  <c r="AT997" i="9"/>
  <c r="AR992" i="9"/>
  <c r="AT225" i="9"/>
  <c r="AU219" i="9" s="1"/>
  <c r="AU223" i="9" s="1"/>
  <c r="AT358" i="9"/>
  <c r="AU352" i="9" s="1"/>
  <c r="AU356" i="9" s="1"/>
  <c r="AP79" i="3"/>
  <c r="AO125" i="3"/>
  <c r="AP82" i="3"/>
  <c r="AO128" i="3"/>
  <c r="AP71" i="3"/>
  <c r="AO117" i="3"/>
  <c r="AP77" i="3"/>
  <c r="AO123" i="3"/>
  <c r="AP88" i="3"/>
  <c r="AO134" i="3"/>
  <c r="AP84" i="3"/>
  <c r="AO130" i="3"/>
  <c r="AP86" i="3"/>
  <c r="AO132" i="3"/>
  <c r="AP81" i="3"/>
  <c r="AO127" i="3"/>
  <c r="AQ143" i="3"/>
  <c r="AQ153" i="3"/>
  <c r="AQ158" i="3"/>
  <c r="AQ148" i="3"/>
  <c r="AQ151" i="3"/>
  <c r="AP80" i="3"/>
  <c r="AO126" i="3"/>
  <c r="AQ149" i="3"/>
  <c r="AQ139" i="3"/>
  <c r="AQ145" i="3"/>
  <c r="AQ154" i="3"/>
  <c r="AQ147" i="3"/>
  <c r="AQ142" i="3"/>
  <c r="AQ146" i="3"/>
  <c r="AP76" i="3"/>
  <c r="AO122" i="3"/>
  <c r="AP73" i="3"/>
  <c r="AO119" i="3"/>
  <c r="AP87" i="3"/>
  <c r="AO133" i="3"/>
  <c r="AP83" i="3"/>
  <c r="AO129" i="3"/>
  <c r="AP75" i="3"/>
  <c r="AO121" i="3"/>
  <c r="AP72" i="3"/>
  <c r="AO118" i="3"/>
  <c r="AQ152" i="3"/>
  <c r="AQ156" i="3"/>
  <c r="AQ157" i="3"/>
  <c r="AQ155" i="3"/>
  <c r="AP85" i="3"/>
  <c r="AO131" i="3"/>
  <c r="AP78" i="3"/>
  <c r="AO124" i="3"/>
  <c r="AP89" i="3"/>
  <c r="AO135" i="3"/>
  <c r="AP70" i="3"/>
  <c r="AO116" i="3"/>
  <c r="AP74" i="3"/>
  <c r="AO120" i="3"/>
  <c r="AQ140" i="3"/>
  <c r="AQ144" i="3"/>
  <c r="AQ141" i="3"/>
  <c r="AQ150" i="3"/>
  <c r="AT320" i="9"/>
  <c r="AU314" i="9" s="1"/>
  <c r="AU318" i="9" s="1"/>
  <c r="AT187" i="9"/>
  <c r="AU181" i="9" s="1"/>
  <c r="AU185" i="9" s="1"/>
  <c r="AQ24" i="3"/>
  <c r="AQ5" i="3"/>
  <c r="AP121" i="26"/>
  <c r="AP219" i="26"/>
  <c r="AQ4" i="38"/>
  <c r="AQ12" i="3"/>
  <c r="AQ3" i="3" s="1"/>
  <c r="AP93" i="3"/>
  <c r="AP94" i="3"/>
  <c r="AP100" i="3"/>
  <c r="AP111" i="3"/>
  <c r="AP107" i="3"/>
  <c r="AP109" i="3"/>
  <c r="AP104" i="3"/>
  <c r="AP105" i="3"/>
  <c r="AP108" i="3"/>
  <c r="AP102" i="3"/>
  <c r="AP103" i="3"/>
  <c r="AP112" i="3"/>
  <c r="AP97" i="3"/>
  <c r="AP101" i="3"/>
  <c r="AP99" i="3"/>
  <c r="AP96" i="3"/>
  <c r="AP110" i="3"/>
  <c r="AP106" i="3"/>
  <c r="AP98" i="3"/>
  <c r="AP95" i="3"/>
  <c r="AR8" i="3"/>
  <c r="AN64" i="33" l="1"/>
  <c r="AN74" i="33"/>
  <c r="AN737" i="9"/>
  <c r="AN747" i="9"/>
  <c r="AN750" i="9"/>
  <c r="AN735" i="9"/>
  <c r="AO689" i="9" s="1"/>
  <c r="AN745" i="9"/>
  <c r="AO699" i="9" s="1"/>
  <c r="AP195" i="26"/>
  <c r="AP194" i="26"/>
  <c r="AO267" i="26"/>
  <c r="AO221" i="6"/>
  <c r="AO223" i="6" s="1"/>
  <c r="AO130" i="30" s="1"/>
  <c r="AO259" i="26"/>
  <c r="AN34" i="6"/>
  <c r="AN69" i="30" s="1"/>
  <c r="AO257" i="26"/>
  <c r="AP170" i="26"/>
  <c r="AP171" i="26"/>
  <c r="AP297" i="26"/>
  <c r="AO178" i="1"/>
  <c r="AP172" i="26"/>
  <c r="AP248" i="26"/>
  <c r="AO180" i="30"/>
  <c r="AO72" i="33" s="1"/>
  <c r="AO179" i="1"/>
  <c r="AO179" i="20" s="1"/>
  <c r="AQ3" i="38"/>
  <c r="AQ39" i="3"/>
  <c r="AQ346" i="3"/>
  <c r="AQ347" i="3"/>
  <c r="AO256" i="3"/>
  <c r="AO279" i="3" s="1"/>
  <c r="AO210" i="3"/>
  <c r="AO233" i="3" s="1"/>
  <c r="AN829" i="9"/>
  <c r="AN819" i="9"/>
  <c r="AN814" i="9"/>
  <c r="AN806" i="9"/>
  <c r="AO262" i="3"/>
  <c r="AO285" i="3" s="1"/>
  <c r="AO216" i="3"/>
  <c r="AO267" i="3"/>
  <c r="AO290" i="3" s="1"/>
  <c r="AO221" i="3"/>
  <c r="AO257" i="3"/>
  <c r="AO280" i="3" s="1"/>
  <c r="AO211" i="3"/>
  <c r="AO224" i="3"/>
  <c r="AO270" i="3"/>
  <c r="AO293" i="3" s="1"/>
  <c r="AO272" i="3"/>
  <c r="AO295" i="3" s="1"/>
  <c r="AO226" i="3"/>
  <c r="AO263" i="3"/>
  <c r="AO286" i="3" s="1"/>
  <c r="AO217" i="3"/>
  <c r="AO704" i="9"/>
  <c r="AO691" i="9"/>
  <c r="AO264" i="3"/>
  <c r="AO287" i="3" s="1"/>
  <c r="AO218" i="3"/>
  <c r="AO258" i="3"/>
  <c r="AO281" i="3" s="1"/>
  <c r="AO212" i="3"/>
  <c r="AO273" i="3"/>
  <c r="AO296" i="3" s="1"/>
  <c r="AO227" i="3"/>
  <c r="AO223" i="3"/>
  <c r="AO269" i="3"/>
  <c r="AO292" i="3" s="1"/>
  <c r="AO259" i="3"/>
  <c r="AO282" i="3" s="1"/>
  <c r="AO213" i="3"/>
  <c r="AO271" i="3"/>
  <c r="AO294" i="3" s="1"/>
  <c r="AO225" i="3"/>
  <c r="AO260" i="3"/>
  <c r="AO283" i="3" s="1"/>
  <c r="AO214" i="3"/>
  <c r="AO265" i="3"/>
  <c r="AO288" i="3" s="1"/>
  <c r="AO219" i="3"/>
  <c r="AO268" i="3"/>
  <c r="AO291" i="3" s="1"/>
  <c r="AO222" i="3"/>
  <c r="AO261" i="3"/>
  <c r="AO284" i="3" s="1"/>
  <c r="AO215" i="3"/>
  <c r="AO266" i="3"/>
  <c r="AO289" i="3" s="1"/>
  <c r="AO220" i="3"/>
  <c r="AN866" i="9"/>
  <c r="AN854" i="9"/>
  <c r="AP208" i="26"/>
  <c r="AP68" i="26"/>
  <c r="AP247" i="26"/>
  <c r="AP117" i="20"/>
  <c r="AP24" i="32" s="1"/>
  <c r="AQ30" i="3"/>
  <c r="AO180" i="20"/>
  <c r="AN710" i="9"/>
  <c r="AN756" i="9"/>
  <c r="AN779" i="9" s="1"/>
  <c r="AN802" i="9" s="1"/>
  <c r="AP145" i="26"/>
  <c r="AO255" i="3"/>
  <c r="AO278" i="3" s="1"/>
  <c r="AO209" i="3"/>
  <c r="AP93" i="26"/>
  <c r="AP97" i="26" s="1"/>
  <c r="AP221" i="6" s="1"/>
  <c r="AN168" i="20"/>
  <c r="AP120" i="26"/>
  <c r="AQ5" i="38"/>
  <c r="AQ51" i="3"/>
  <c r="AQ166" i="3" s="1"/>
  <c r="AQ189" i="3" s="1"/>
  <c r="AQ63" i="3"/>
  <c r="AQ178" i="3" s="1"/>
  <c r="AQ201" i="3" s="1"/>
  <c r="AQ52" i="3"/>
  <c r="AQ167" i="3" s="1"/>
  <c r="AQ190" i="3" s="1"/>
  <c r="AQ60" i="3"/>
  <c r="AQ175" i="3" s="1"/>
  <c r="AQ198" i="3" s="1"/>
  <c r="AQ55" i="3"/>
  <c r="AQ170" i="3" s="1"/>
  <c r="AQ193" i="3" s="1"/>
  <c r="AQ48" i="3"/>
  <c r="AQ163" i="3" s="1"/>
  <c r="AQ186" i="3" s="1"/>
  <c r="AQ56" i="3"/>
  <c r="AQ171" i="3" s="1"/>
  <c r="AQ194" i="3" s="1"/>
  <c r="AQ64" i="3"/>
  <c r="AQ179" i="3" s="1"/>
  <c r="AQ202" i="3" s="1"/>
  <c r="AQ65" i="3"/>
  <c r="AQ180" i="3" s="1"/>
  <c r="AQ203" i="3" s="1"/>
  <c r="AQ61" i="3"/>
  <c r="AQ176" i="3" s="1"/>
  <c r="AQ199" i="3" s="1"/>
  <c r="AQ50" i="3"/>
  <c r="AQ165" i="3" s="1"/>
  <c r="AQ188" i="3" s="1"/>
  <c r="AQ58" i="3"/>
  <c r="AQ173" i="3" s="1"/>
  <c r="AQ196" i="3" s="1"/>
  <c r="AQ66" i="3"/>
  <c r="AQ57" i="3"/>
  <c r="AQ172" i="3" s="1"/>
  <c r="AQ195" i="3" s="1"/>
  <c r="AQ54" i="3"/>
  <c r="AQ169" i="3" s="1"/>
  <c r="AQ192" i="3" s="1"/>
  <c r="AQ62" i="3"/>
  <c r="AQ177" i="3" s="1"/>
  <c r="AQ200" i="3" s="1"/>
  <c r="AQ49" i="3"/>
  <c r="AQ164" i="3" s="1"/>
  <c r="AQ187" i="3" s="1"/>
  <c r="AQ53" i="3"/>
  <c r="AQ168" i="3" s="1"/>
  <c r="AQ191" i="3" s="1"/>
  <c r="AQ47" i="3"/>
  <c r="AQ162" i="3" s="1"/>
  <c r="AQ185" i="3" s="1"/>
  <c r="AQ59" i="3"/>
  <c r="AQ174" i="3" s="1"/>
  <c r="AQ197" i="3" s="1"/>
  <c r="AP197" i="26"/>
  <c r="AP173" i="26"/>
  <c r="AP149" i="26"/>
  <c r="AP193" i="26"/>
  <c r="AP294" i="26" s="1"/>
  <c r="AP119" i="26"/>
  <c r="AO281" i="26"/>
  <c r="AO154" i="6" s="1"/>
  <c r="AO299" i="26"/>
  <c r="AQ94" i="6"/>
  <c r="AQ88" i="35"/>
  <c r="AQ3" i="33"/>
  <c r="AQ3" i="35"/>
  <c r="AQ4" i="33"/>
  <c r="AQ4" i="35"/>
  <c r="AQ5" i="33"/>
  <c r="AQ5" i="35"/>
  <c r="AU438" i="9"/>
  <c r="AO208" i="3"/>
  <c r="AO254" i="3"/>
  <c r="AU440" i="9"/>
  <c r="AU445" i="9"/>
  <c r="AU436" i="9"/>
  <c r="AU443" i="9"/>
  <c r="AU447" i="9"/>
  <c r="AU433" i="9"/>
  <c r="AU450" i="9"/>
  <c r="AR501" i="9"/>
  <c r="AT504" i="9"/>
  <c r="AT517" i="9"/>
  <c r="AT515" i="9"/>
  <c r="AT506" i="9"/>
  <c r="AT513" i="9"/>
  <c r="AT518" i="9"/>
  <c r="AU1010" i="9"/>
  <c r="AU996" i="9"/>
  <c r="AQ3" i="28"/>
  <c r="AQ3" i="32"/>
  <c r="AQ3" i="30"/>
  <c r="AQ5" i="32"/>
  <c r="AQ5" i="30"/>
  <c r="AQ16" i="3"/>
  <c r="AQ18" i="3" s="1"/>
  <c r="AQ4" i="32"/>
  <c r="AQ4" i="30"/>
  <c r="AU993" i="9"/>
  <c r="AT339" i="9"/>
  <c r="AT396" i="9"/>
  <c r="AT511" i="9"/>
  <c r="AT301" i="9"/>
  <c r="AT377" i="9"/>
  <c r="AT130" i="9"/>
  <c r="AT263" i="9"/>
  <c r="AU257" i="9" s="1"/>
  <c r="AU261" i="9" s="1"/>
  <c r="AU124" i="9"/>
  <c r="AU128" i="9" s="1"/>
  <c r="AU371" i="9"/>
  <c r="AU375" i="9" s="1"/>
  <c r="AU295" i="9"/>
  <c r="AU299" i="9" s="1"/>
  <c r="AT168" i="9"/>
  <c r="AU162" i="9" s="1"/>
  <c r="AU166" i="9" s="1"/>
  <c r="AT238" i="9"/>
  <c r="AT242" i="9" s="1"/>
  <c r="AU390" i="9"/>
  <c r="AU394" i="9" s="1"/>
  <c r="AU333" i="9"/>
  <c r="AU337" i="9" s="1"/>
  <c r="AR73" i="9"/>
  <c r="AS200" i="9"/>
  <c r="AS204" i="9" s="1"/>
  <c r="AR105" i="9"/>
  <c r="AR109" i="9" s="1"/>
  <c r="AU1000" i="9"/>
  <c r="AU1007" i="9"/>
  <c r="AQ4" i="28"/>
  <c r="AQ5" i="28"/>
  <c r="AU998" i="9"/>
  <c r="AU1005" i="9"/>
  <c r="AO107" i="6"/>
  <c r="AO111" i="6" s="1"/>
  <c r="AO168" i="20"/>
  <c r="AQ5" i="26"/>
  <c r="AQ3" i="26"/>
  <c r="AQ4" i="16"/>
  <c r="AQ4" i="26"/>
  <c r="AQ4" i="11"/>
  <c r="AQ4" i="9"/>
  <c r="AQ4" i="12"/>
  <c r="AQ5" i="22"/>
  <c r="AQ5" i="20"/>
  <c r="AQ4" i="22"/>
  <c r="AQ4" i="20"/>
  <c r="AQ3" i="22"/>
  <c r="AQ3" i="20"/>
  <c r="AR10" i="3"/>
  <c r="AR4" i="3" s="1"/>
  <c r="AR2" i="44" s="1" a="1"/>
  <c r="AR2" i="44" s="1"/>
  <c r="AQ3" i="16"/>
  <c r="AQ3" i="12"/>
  <c r="AQ3" i="11"/>
  <c r="AQ3" i="9"/>
  <c r="AQ5" i="16"/>
  <c r="AQ5" i="12"/>
  <c r="AQ5" i="11"/>
  <c r="AQ5" i="9"/>
  <c r="AO183" i="1" l="1"/>
  <c r="AN733" i="9"/>
  <c r="AO687" i="9" s="1"/>
  <c r="AQ181" i="3"/>
  <c r="AQ204" i="3" s="1"/>
  <c r="AO701" i="9"/>
  <c r="AO770" i="9" s="1"/>
  <c r="AO793" i="9" s="1"/>
  <c r="AO866" i="9" s="1"/>
  <c r="AO261" i="26"/>
  <c r="AO34" i="6" s="1"/>
  <c r="AO69" i="30" s="1"/>
  <c r="AP249" i="26"/>
  <c r="AP295" i="26"/>
  <c r="AP268" i="26"/>
  <c r="AP236" i="26"/>
  <c r="AP221" i="26"/>
  <c r="AP298" i="26"/>
  <c r="AP71" i="26"/>
  <c r="AP222" i="26"/>
  <c r="AP296" i="26"/>
  <c r="AQ198" i="20" a="1"/>
  <c r="AQ198" i="20" s="1"/>
  <c r="AQ148" i="20" a="1"/>
  <c r="AQ148" i="20" s="1"/>
  <c r="AQ146" i="20" a="1"/>
  <c r="AQ146" i="20" s="1"/>
  <c r="AQ145" i="20" a="1"/>
  <c r="AQ145" i="20" s="1"/>
  <c r="AQ144" i="20" a="1"/>
  <c r="AQ144" i="20" s="1"/>
  <c r="AQ169" i="20" a="1"/>
  <c r="AQ169" i="20" s="1"/>
  <c r="AQ149" i="20" a="1"/>
  <c r="AQ149" i="20" s="1"/>
  <c r="AQ154" i="20" a="1"/>
  <c r="AQ154" i="20" s="1"/>
  <c r="AQ150" i="20" a="1"/>
  <c r="AQ150" i="20" s="1"/>
  <c r="AQ131" i="20" a="1"/>
  <c r="AQ131" i="20" s="1"/>
  <c r="AQ129" i="20" a="1"/>
  <c r="AQ129" i="20" s="1"/>
  <c r="AQ128" i="20" a="1"/>
  <c r="AQ128" i="20" s="1"/>
  <c r="AQ127" i="20" a="1"/>
  <c r="AQ127" i="20" s="1"/>
  <c r="AQ126" i="20" a="1"/>
  <c r="AQ126" i="20" s="1"/>
  <c r="AQ142" i="20" a="1"/>
  <c r="AQ142" i="20" s="1"/>
  <c r="AQ140" i="20" a="1"/>
  <c r="AQ140" i="20" s="1"/>
  <c r="AQ138" i="20" a="1"/>
  <c r="AQ138" i="20" s="1"/>
  <c r="AQ133" i="20" a="1"/>
  <c r="AQ133" i="20" s="1"/>
  <c r="AQ125" i="20" a="1"/>
  <c r="AQ125" i="20" s="1"/>
  <c r="AQ124" i="20" a="1"/>
  <c r="AQ124" i="20" s="1"/>
  <c r="AQ123" i="20" a="1"/>
  <c r="AQ123" i="20" s="1"/>
  <c r="AQ122" i="20" a="1"/>
  <c r="AQ122" i="20" s="1"/>
  <c r="AQ115" i="20" a="1"/>
  <c r="AQ115" i="20" s="1"/>
  <c r="AQ112" i="20" a="1"/>
  <c r="AQ112" i="20" s="1"/>
  <c r="AQ111" i="20" a="1"/>
  <c r="AQ111" i="20" s="1"/>
  <c r="AQ110" i="20" a="1"/>
  <c r="AQ110" i="20" s="1"/>
  <c r="AQ106" i="20" a="1"/>
  <c r="AQ106" i="20" s="1"/>
  <c r="AQ172" i="20" a="1"/>
  <c r="AQ172" i="20" s="1"/>
  <c r="AQ137" i="20" a="1"/>
  <c r="AQ137" i="20" s="1"/>
  <c r="AQ105" i="20" a="1"/>
  <c r="AQ105" i="20" s="1"/>
  <c r="AQ104" i="20" a="1"/>
  <c r="AQ104" i="20" s="1"/>
  <c r="AQ143" i="20" a="1"/>
  <c r="AQ143" i="20" s="1"/>
  <c r="AQ141" i="20" a="1"/>
  <c r="AQ141" i="20" s="1"/>
  <c r="AQ139" i="20" a="1"/>
  <c r="AQ139" i="20" s="1"/>
  <c r="AQ132" i="20" a="1"/>
  <c r="AQ132" i="20" s="1"/>
  <c r="AQ181" i="20" a="1"/>
  <c r="AQ181" i="20" s="1"/>
  <c r="AQ103" i="20" a="1"/>
  <c r="AQ103" i="20" s="1"/>
  <c r="AQ102" i="20" a="1"/>
  <c r="AQ102" i="20" s="1"/>
  <c r="AQ101" i="20" a="1"/>
  <c r="AQ101" i="20" s="1"/>
  <c r="AQ97" i="20" a="1"/>
  <c r="AQ97" i="20" s="1"/>
  <c r="AQ96" i="20" a="1"/>
  <c r="AQ96" i="20" s="1"/>
  <c r="AQ95" i="20" a="1"/>
  <c r="AQ95" i="20" s="1"/>
  <c r="AQ94" i="20" a="1"/>
  <c r="AQ94" i="20" s="1"/>
  <c r="AQ93" i="20" a="1"/>
  <c r="AQ93" i="20" s="1"/>
  <c r="AQ92" i="20" a="1"/>
  <c r="AQ92" i="20" s="1"/>
  <c r="AQ91" i="20" a="1"/>
  <c r="AQ91" i="20" s="1"/>
  <c r="AQ90" i="20" a="1"/>
  <c r="AQ90" i="20" s="1"/>
  <c r="AQ89" i="20" a="1"/>
  <c r="AQ89" i="20" s="1"/>
  <c r="AQ88" i="20" a="1"/>
  <c r="AQ88" i="20" s="1"/>
  <c r="AQ87" i="20" a="1"/>
  <c r="AQ87" i="20" s="1"/>
  <c r="AQ83" i="20" a="1"/>
  <c r="AQ83" i="20" s="1"/>
  <c r="AQ79" i="20" a="1"/>
  <c r="AQ79" i="20" s="1"/>
  <c r="AQ75" i="20" a="1"/>
  <c r="AQ75" i="20" s="1"/>
  <c r="AQ71" i="20" a="1"/>
  <c r="AQ71" i="20" s="1"/>
  <c r="AQ64" i="20" a="1"/>
  <c r="AQ64" i="20" s="1"/>
  <c r="AQ57" i="20" a="1"/>
  <c r="AQ57" i="20" s="1"/>
  <c r="AQ53" i="20" a="1"/>
  <c r="AQ53" i="20" s="1"/>
  <c r="AQ46" i="20" a="1"/>
  <c r="AQ46" i="20" s="1"/>
  <c r="AQ38" i="20" a="1"/>
  <c r="AQ38" i="20" s="1"/>
  <c r="AQ36" i="20" a="1"/>
  <c r="AQ36" i="20" s="1"/>
  <c r="AQ35" i="20" a="1"/>
  <c r="AQ35" i="20" s="1"/>
  <c r="AQ34" i="20" a="1"/>
  <c r="AQ34" i="20" s="1"/>
  <c r="AQ33" i="20" a="1"/>
  <c r="AQ33" i="20" s="1"/>
  <c r="AQ32" i="20" a="1"/>
  <c r="AQ32" i="20" s="1"/>
  <c r="AQ29" i="20" a="1"/>
  <c r="AQ29" i="20" s="1"/>
  <c r="AQ27" i="20" a="1"/>
  <c r="AQ27" i="20" s="1"/>
  <c r="AQ26" i="20" a="1"/>
  <c r="AQ26" i="20" s="1"/>
  <c r="AQ25" i="20" a="1"/>
  <c r="AQ25" i="20" s="1"/>
  <c r="AQ24" i="20" a="1"/>
  <c r="AQ24" i="20" s="1"/>
  <c r="AQ23" i="20" a="1"/>
  <c r="AQ23" i="20" s="1"/>
  <c r="AQ22" i="20" a="1"/>
  <c r="AQ22" i="20" s="1"/>
  <c r="AQ21" i="20" a="1"/>
  <c r="AQ21" i="20" s="1"/>
  <c r="AQ20" i="20" a="1"/>
  <c r="AQ20" i="20" s="1"/>
  <c r="AQ19" i="20" a="1"/>
  <c r="AQ19" i="20" s="1"/>
  <c r="AQ16" i="20" a="1"/>
  <c r="AQ16" i="20" s="1"/>
  <c r="AQ13" i="20" a="1"/>
  <c r="AQ13" i="20" s="1"/>
  <c r="AQ12" i="20" a="1"/>
  <c r="AQ12" i="20" s="1"/>
  <c r="AQ80" i="20" a="1"/>
  <c r="AQ80" i="20" s="1"/>
  <c r="AQ72" i="20" a="1"/>
  <c r="AQ72" i="20" s="1"/>
  <c r="AQ54" i="20" a="1"/>
  <c r="AQ54" i="20" s="1"/>
  <c r="AQ44" i="20" a="1"/>
  <c r="AQ44" i="20" s="1"/>
  <c r="AQ42" i="20" a="1"/>
  <c r="AQ42" i="20" s="1"/>
  <c r="AQ82" i="20" a="1"/>
  <c r="AQ82" i="20" s="1"/>
  <c r="AQ78" i="20" a="1"/>
  <c r="AQ78" i="20" s="1"/>
  <c r="AQ74" i="20" a="1"/>
  <c r="AQ74" i="20" s="1"/>
  <c r="AQ68" i="20" a="1"/>
  <c r="AQ68" i="20" s="1"/>
  <c r="AQ61" i="20" a="1"/>
  <c r="AQ61" i="20" s="1"/>
  <c r="AQ56" i="20" a="1"/>
  <c r="AQ56" i="20" s="1"/>
  <c r="AQ50" i="20" a="1"/>
  <c r="AQ50" i="20" s="1"/>
  <c r="AQ45" i="20" a="1"/>
  <c r="AQ45" i="20" s="1"/>
  <c r="AQ43" i="20" a="1"/>
  <c r="AQ43" i="20" s="1"/>
  <c r="AQ41" i="20" a="1"/>
  <c r="AQ41" i="20" s="1"/>
  <c r="AQ58" i="20" a="1"/>
  <c r="AQ58" i="20" s="1"/>
  <c r="AQ81" i="20" a="1"/>
  <c r="AQ81" i="20" s="1"/>
  <c r="AQ77" i="20" a="1"/>
  <c r="AQ77" i="20" s="1"/>
  <c r="AQ73" i="20" a="1"/>
  <c r="AQ73" i="20" s="1"/>
  <c r="AQ66" i="20" a="1"/>
  <c r="AQ66" i="20" s="1"/>
  <c r="AQ59" i="20" a="1"/>
  <c r="AQ59" i="20" s="1"/>
  <c r="AQ55" i="20" a="1"/>
  <c r="AQ55" i="20" s="1"/>
  <c r="AQ48" i="20" a="1"/>
  <c r="AQ48" i="20" s="1"/>
  <c r="AQ76" i="20" a="1"/>
  <c r="AQ76" i="20" s="1"/>
  <c r="AQ65" i="20" a="1"/>
  <c r="AQ65" i="20" s="1"/>
  <c r="AQ47" i="20" a="1"/>
  <c r="AQ47" i="20" s="1"/>
  <c r="AP153" i="30"/>
  <c r="AO52" i="30"/>
  <c r="AQ140" i="9"/>
  <c r="AQ178" i="9"/>
  <c r="AQ216" i="9"/>
  <c r="AQ254" i="9"/>
  <c r="AQ292" i="9"/>
  <c r="AQ330" i="9"/>
  <c r="AQ368" i="9"/>
  <c r="AQ406" i="9"/>
  <c r="AQ102" i="9"/>
  <c r="AQ159" i="9"/>
  <c r="AQ311" i="9"/>
  <c r="AQ197" i="9"/>
  <c r="AQ349" i="9"/>
  <c r="AQ83" i="9"/>
  <c r="AQ273" i="9"/>
  <c r="AQ387" i="9"/>
  <c r="AQ425" i="9"/>
  <c r="AQ64" i="9"/>
  <c r="AQ121" i="9"/>
  <c r="AQ235" i="9"/>
  <c r="AO841" i="9"/>
  <c r="AO846" i="9"/>
  <c r="AO831" i="9"/>
  <c r="AO833" i="9"/>
  <c r="AO758" i="9"/>
  <c r="AO768" i="9"/>
  <c r="AO791" i="9" s="1"/>
  <c r="AO864" i="9" s="1"/>
  <c r="AO248" i="3"/>
  <c r="AO727" i="9"/>
  <c r="AO249" i="3"/>
  <c r="AO722" i="9"/>
  <c r="AO244" i="3"/>
  <c r="AO238" i="3"/>
  <c r="AO242" i="3"/>
  <c r="AO235" i="3"/>
  <c r="AO760" i="9"/>
  <c r="AO783" i="9" s="1"/>
  <c r="AO856" i="9" s="1"/>
  <c r="AO241" i="3"/>
  <c r="AO773" i="9"/>
  <c r="AO796" i="9" s="1"/>
  <c r="AO869" i="9" s="1"/>
  <c r="AO237" i="3"/>
  <c r="AO714" i="9"/>
  <c r="AO236" i="3"/>
  <c r="AO246" i="3"/>
  <c r="AO240" i="3"/>
  <c r="AO712" i="9"/>
  <c r="AO234" i="3"/>
  <c r="AO243" i="3"/>
  <c r="AO245" i="3"/>
  <c r="AO250" i="3"/>
  <c r="AO247" i="3"/>
  <c r="AO239" i="3"/>
  <c r="AN852" i="9"/>
  <c r="AQ187" i="26"/>
  <c r="AQ186" i="26"/>
  <c r="AQ178" i="26"/>
  <c r="AQ183" i="26"/>
  <c r="AQ185" i="26"/>
  <c r="AQ184" i="26"/>
  <c r="AQ191" i="26"/>
  <c r="AQ179" i="26"/>
  <c r="AQ189" i="26"/>
  <c r="AQ188" i="26"/>
  <c r="AQ192" i="26"/>
  <c r="AQ180" i="26"/>
  <c r="AQ194" i="26" s="1"/>
  <c r="AQ295" i="26" s="1"/>
  <c r="AQ181" i="26"/>
  <c r="AQ195" i="26" s="1"/>
  <c r="AQ296" i="26" s="1"/>
  <c r="AQ190" i="26"/>
  <c r="AQ182" i="26"/>
  <c r="AP205" i="26"/>
  <c r="AP220" i="6"/>
  <c r="AP223" i="6" s="1"/>
  <c r="AP130" i="30" s="1"/>
  <c r="AP180" i="20"/>
  <c r="AN48" i="30"/>
  <c r="AP150" i="26"/>
  <c r="AR43" i="3"/>
  <c r="AP206" i="26"/>
  <c r="AO232" i="3"/>
  <c r="AP123" i="26"/>
  <c r="AP174" i="26"/>
  <c r="AP198" i="26"/>
  <c r="AP207" i="26"/>
  <c r="AP276" i="26"/>
  <c r="AO98" i="30"/>
  <c r="AO187" i="30" s="1"/>
  <c r="AQ160" i="26"/>
  <c r="AQ168" i="26"/>
  <c r="AQ165" i="26"/>
  <c r="AQ154" i="26"/>
  <c r="AQ173" i="26" s="1"/>
  <c r="AQ268" i="26" s="1"/>
  <c r="AQ162" i="26"/>
  <c r="AQ155" i="26"/>
  <c r="AQ159" i="26"/>
  <c r="AQ166" i="26"/>
  <c r="AQ161" i="26"/>
  <c r="AQ156" i="26"/>
  <c r="AQ170" i="26" s="1"/>
  <c r="AQ222" i="26" s="1"/>
  <c r="AQ164" i="26"/>
  <c r="AQ157" i="26"/>
  <c r="AQ171" i="26" s="1"/>
  <c r="AQ249" i="26" s="1"/>
  <c r="AQ163" i="26"/>
  <c r="AQ158" i="26"/>
  <c r="AQ172" i="26" s="1"/>
  <c r="AQ236" i="26" s="1"/>
  <c r="AQ167" i="26"/>
  <c r="AU437" i="9"/>
  <c r="AR434" i="9"/>
  <c r="AU446" i="9"/>
  <c r="AU444" i="9"/>
  <c r="AU448" i="9"/>
  <c r="AO231" i="3"/>
  <c r="AS439" i="9"/>
  <c r="AU435" i="9"/>
  <c r="AT441" i="9"/>
  <c r="AU512" i="9"/>
  <c r="AU1003" i="9"/>
  <c r="AU282" i="9"/>
  <c r="AV276" i="9" s="1"/>
  <c r="AV280" i="9" s="1"/>
  <c r="AU507" i="9"/>
  <c r="AU516" i="9"/>
  <c r="AU514" i="9"/>
  <c r="AU505" i="9"/>
  <c r="AU509" i="9"/>
  <c r="AU502" i="9"/>
  <c r="AU519" i="9"/>
  <c r="AU415" i="9"/>
  <c r="AV409" i="9" s="1"/>
  <c r="AV413" i="9" s="1"/>
  <c r="AU149" i="9"/>
  <c r="AV143" i="9" s="1"/>
  <c r="AV147" i="9" s="1"/>
  <c r="AP106" i="6"/>
  <c r="AU92" i="9"/>
  <c r="AV86" i="9" s="1"/>
  <c r="AV90" i="9" s="1"/>
  <c r="AQ196" i="26"/>
  <c r="AQ297" i="26" s="1"/>
  <c r="AQ137" i="26"/>
  <c r="AU1009" i="9"/>
  <c r="AU449" i="9"/>
  <c r="AU1002" i="9"/>
  <c r="AU442" i="9"/>
  <c r="AU1006" i="9"/>
  <c r="AU995" i="9"/>
  <c r="AU1008" i="9"/>
  <c r="AU1004" i="9"/>
  <c r="AR994" i="9"/>
  <c r="AS67" i="9"/>
  <c r="AS71" i="9" s="1"/>
  <c r="AU997" i="9"/>
  <c r="AS999" i="9"/>
  <c r="AT1001" i="9"/>
  <c r="AU225" i="9"/>
  <c r="AV219" i="9" s="1"/>
  <c r="AV223" i="9" s="1"/>
  <c r="AU358" i="9"/>
  <c r="AV352" i="9" s="1"/>
  <c r="AV356" i="9" s="1"/>
  <c r="AQ85" i="3"/>
  <c r="AP131" i="3"/>
  <c r="AQ70" i="3"/>
  <c r="AP116" i="3"/>
  <c r="AQ87" i="3"/>
  <c r="AP133" i="3"/>
  <c r="AQ76" i="3"/>
  <c r="AP122" i="3"/>
  <c r="AQ75" i="3"/>
  <c r="AP121" i="3"/>
  <c r="AQ81" i="3"/>
  <c r="AP127" i="3"/>
  <c r="AQ89" i="3"/>
  <c r="AP135" i="3"/>
  <c r="AQ77" i="3"/>
  <c r="AP123" i="3"/>
  <c r="AQ71" i="3"/>
  <c r="AP117" i="3"/>
  <c r="AQ80" i="3"/>
  <c r="AP126" i="3"/>
  <c r="AR148" i="3"/>
  <c r="AR144" i="3"/>
  <c r="AR150" i="3"/>
  <c r="AR149" i="3"/>
  <c r="AR147" i="3"/>
  <c r="AR155" i="3"/>
  <c r="AR143" i="3"/>
  <c r="AR154" i="3"/>
  <c r="AR157" i="3"/>
  <c r="AQ82" i="3"/>
  <c r="AP128" i="3"/>
  <c r="AQ84" i="3"/>
  <c r="AP130" i="3"/>
  <c r="AQ72" i="3"/>
  <c r="AP118" i="3"/>
  <c r="AQ74" i="3"/>
  <c r="AP120" i="3"/>
  <c r="AQ88" i="3"/>
  <c r="AP134" i="3"/>
  <c r="AQ83" i="3"/>
  <c r="AP129" i="3"/>
  <c r="AR142" i="3"/>
  <c r="AR153" i="3"/>
  <c r="AR140" i="3"/>
  <c r="AR145" i="3"/>
  <c r="AR156" i="3"/>
  <c r="AQ86" i="3"/>
  <c r="AP132" i="3"/>
  <c r="AQ78" i="3"/>
  <c r="AP124" i="3"/>
  <c r="AQ79" i="3"/>
  <c r="AP125" i="3"/>
  <c r="AQ73" i="3"/>
  <c r="AP119" i="3"/>
  <c r="AR139" i="3"/>
  <c r="AR146" i="3"/>
  <c r="AR141" i="3"/>
  <c r="AR158" i="3"/>
  <c r="AR151" i="3"/>
  <c r="AR152" i="3"/>
  <c r="AU320" i="9"/>
  <c r="AV314" i="9" s="1"/>
  <c r="AV318" i="9" s="1"/>
  <c r="AU187" i="9"/>
  <c r="AV181" i="9" s="1"/>
  <c r="AV185" i="9" s="1"/>
  <c r="AP107" i="6"/>
  <c r="AO178" i="20"/>
  <c r="AO50" i="30" s="1"/>
  <c r="AQ81" i="26"/>
  <c r="AQ66" i="26"/>
  <c r="AQ54" i="26"/>
  <c r="AQ80" i="26"/>
  <c r="AQ91" i="26"/>
  <c r="AQ92" i="26"/>
  <c r="AQ82" i="26"/>
  <c r="AQ60" i="26"/>
  <c r="AQ57" i="26"/>
  <c r="AQ83" i="26"/>
  <c r="AQ85" i="26"/>
  <c r="AQ84" i="26"/>
  <c r="AQ62" i="26"/>
  <c r="AQ53" i="26"/>
  <c r="AQ88" i="26"/>
  <c r="AQ78" i="26"/>
  <c r="AQ94" i="26" s="1"/>
  <c r="AQ220" i="26" s="1"/>
  <c r="AQ56" i="26"/>
  <c r="AQ59" i="26"/>
  <c r="AQ86" i="26"/>
  <c r="AQ234" i="26" s="1"/>
  <c r="AQ89" i="26"/>
  <c r="AQ63" i="26"/>
  <c r="AQ55" i="26"/>
  <c r="AQ219" i="26" s="1"/>
  <c r="AQ65" i="26"/>
  <c r="AQ118" i="26"/>
  <c r="AQ79" i="26"/>
  <c r="AQ95" i="26" s="1"/>
  <c r="AQ180" i="1" s="1"/>
  <c r="AQ87" i="26"/>
  <c r="AQ90" i="26"/>
  <c r="AQ61" i="26"/>
  <c r="AQ64" i="26"/>
  <c r="AQ58" i="26"/>
  <c r="AQ67" i="26"/>
  <c r="AQ131" i="26"/>
  <c r="AQ105" i="26"/>
  <c r="AQ115" i="26"/>
  <c r="AQ138" i="26"/>
  <c r="AQ133" i="26"/>
  <c r="AQ147" i="26" s="1"/>
  <c r="AQ136" i="26"/>
  <c r="AQ111" i="26"/>
  <c r="AQ114" i="26"/>
  <c r="AQ117" i="26"/>
  <c r="AQ130" i="26"/>
  <c r="AQ141" i="26"/>
  <c r="AQ140" i="26"/>
  <c r="AQ143" i="26"/>
  <c r="AQ142" i="26"/>
  <c r="AQ134" i="26"/>
  <c r="AQ148" i="26" s="1"/>
  <c r="AQ113" i="26"/>
  <c r="AQ144" i="26"/>
  <c r="AQ110" i="26"/>
  <c r="AQ104" i="26"/>
  <c r="AQ107" i="26"/>
  <c r="AQ108" i="26"/>
  <c r="AQ112" i="26"/>
  <c r="AQ235" i="26" s="1"/>
  <c r="AQ106" i="26"/>
  <c r="AQ121" i="26" s="1"/>
  <c r="AQ248" i="26" s="1"/>
  <c r="AQ116" i="26"/>
  <c r="AQ109" i="26"/>
  <c r="AQ132" i="26"/>
  <c r="AQ146" i="26" s="1"/>
  <c r="AQ139" i="26"/>
  <c r="AQ135" i="26"/>
  <c r="AR24" i="3"/>
  <c r="AR5" i="3"/>
  <c r="AR4" i="38"/>
  <c r="AR12" i="3"/>
  <c r="AR3" i="3" s="1"/>
  <c r="AQ110" i="3"/>
  <c r="AQ96" i="3"/>
  <c r="AQ112" i="3"/>
  <c r="AQ100" i="3"/>
  <c r="AQ94" i="3"/>
  <c r="AQ103" i="3"/>
  <c r="AQ99" i="3"/>
  <c r="AQ108" i="3"/>
  <c r="AQ93" i="3"/>
  <c r="AQ102" i="3"/>
  <c r="AQ98" i="3"/>
  <c r="AQ104" i="3"/>
  <c r="AQ109" i="3"/>
  <c r="AQ101" i="3"/>
  <c r="AQ105" i="3"/>
  <c r="AQ107" i="3"/>
  <c r="AQ95" i="3"/>
  <c r="AQ97" i="3"/>
  <c r="AQ111" i="3"/>
  <c r="AQ106" i="3"/>
  <c r="AS8" i="3"/>
  <c r="AO64" i="33" l="1"/>
  <c r="AO74" i="33"/>
  <c r="AP257" i="26"/>
  <c r="AP178" i="1"/>
  <c r="AP178" i="20" s="1"/>
  <c r="AO745" i="9"/>
  <c r="AO735" i="9"/>
  <c r="AO737" i="9"/>
  <c r="AP691" i="9" s="1"/>
  <c r="AO750" i="9"/>
  <c r="AP299" i="26"/>
  <c r="AO843" i="9"/>
  <c r="AO724" i="9"/>
  <c r="AO747" i="9" s="1"/>
  <c r="AP701" i="9" s="1"/>
  <c r="AP179" i="1"/>
  <c r="AP179" i="20" s="1"/>
  <c r="AP259" i="26"/>
  <c r="AP267" i="26"/>
  <c r="AP180" i="30"/>
  <c r="AP72" i="33" s="1"/>
  <c r="AP52" i="30"/>
  <c r="AR3" i="38"/>
  <c r="AR39" i="3"/>
  <c r="AO48" i="30"/>
  <c r="AO183" i="20"/>
  <c r="AR347" i="3"/>
  <c r="AR346" i="3"/>
  <c r="AP256" i="3"/>
  <c r="AP279" i="3" s="1"/>
  <c r="AP210" i="3"/>
  <c r="AP233" i="3" s="1"/>
  <c r="AO816" i="9"/>
  <c r="AO806" i="9"/>
  <c r="AO814" i="9"/>
  <c r="AO819" i="9"/>
  <c r="AP221" i="3"/>
  <c r="AP267" i="3"/>
  <c r="AP290" i="3" s="1"/>
  <c r="AP258" i="3"/>
  <c r="AP281" i="3" s="1"/>
  <c r="AP212" i="3"/>
  <c r="AP222" i="3"/>
  <c r="AP268" i="3"/>
  <c r="AP291" i="3" s="1"/>
  <c r="AP704" i="9"/>
  <c r="AP217" i="3"/>
  <c r="AP263" i="3"/>
  <c r="AP286" i="3" s="1"/>
  <c r="AP224" i="3"/>
  <c r="AP270" i="3"/>
  <c r="AP293" i="3" s="1"/>
  <c r="AP264" i="3"/>
  <c r="AP287" i="3" s="1"/>
  <c r="AP218" i="3"/>
  <c r="AP215" i="3"/>
  <c r="AP261" i="3"/>
  <c r="AP284" i="3" s="1"/>
  <c r="AP219" i="3"/>
  <c r="AP265" i="3"/>
  <c r="AP288" i="3" s="1"/>
  <c r="AP260" i="3"/>
  <c r="AP283" i="3" s="1"/>
  <c r="AP214" i="3"/>
  <c r="AP689" i="9"/>
  <c r="AP272" i="3"/>
  <c r="AP295" i="3" s="1"/>
  <c r="AP226" i="3"/>
  <c r="AP220" i="3"/>
  <c r="AP266" i="3"/>
  <c r="AP289" i="3" s="1"/>
  <c r="AP699" i="9"/>
  <c r="AP257" i="3"/>
  <c r="AP280" i="3" s="1"/>
  <c r="AP211" i="3"/>
  <c r="AP262" i="3"/>
  <c r="AP285" i="3" s="1"/>
  <c r="AP216" i="3"/>
  <c r="AP227" i="3"/>
  <c r="AP273" i="3"/>
  <c r="AP296" i="3" s="1"/>
  <c r="AP259" i="3"/>
  <c r="AP282" i="3" s="1"/>
  <c r="AP213" i="3"/>
  <c r="AP271" i="3"/>
  <c r="AP294" i="3" s="1"/>
  <c r="AP225" i="3"/>
  <c r="AP269" i="3"/>
  <c r="AP292" i="3" s="1"/>
  <c r="AP223" i="3"/>
  <c r="AO710" i="9"/>
  <c r="AO829" i="9"/>
  <c r="AQ68" i="26"/>
  <c r="AQ205" i="26" s="1"/>
  <c r="AQ70" i="26"/>
  <c r="AQ247" i="26"/>
  <c r="AQ117" i="20"/>
  <c r="AQ24" i="32" s="1"/>
  <c r="AR30" i="3"/>
  <c r="AO756" i="9"/>
  <c r="AO779" i="9" s="1"/>
  <c r="AO802" i="9" s="1"/>
  <c r="AO781" i="9"/>
  <c r="AO804" i="9" s="1"/>
  <c r="AP209" i="3"/>
  <c r="AP255" i="3"/>
  <c r="AP278" i="3" s="1"/>
  <c r="AP281" i="26"/>
  <c r="AQ276" i="26" s="1"/>
  <c r="AQ145" i="26"/>
  <c r="AQ93" i="26"/>
  <c r="AQ206" i="26" s="1"/>
  <c r="AQ197" i="26"/>
  <c r="AQ298" i="26" s="1"/>
  <c r="AQ120" i="26"/>
  <c r="AQ221" i="26" s="1"/>
  <c r="AQ220" i="6"/>
  <c r="AR5" i="38"/>
  <c r="AR51" i="3"/>
  <c r="AR166" i="3" s="1"/>
  <c r="AR189" i="3" s="1"/>
  <c r="AR63" i="3"/>
  <c r="AR178" i="3" s="1"/>
  <c r="AR201" i="3" s="1"/>
  <c r="AR52" i="3"/>
  <c r="AR167" i="3" s="1"/>
  <c r="AR190" i="3" s="1"/>
  <c r="AR56" i="3"/>
  <c r="AR171" i="3" s="1"/>
  <c r="AR194" i="3" s="1"/>
  <c r="AR55" i="3"/>
  <c r="AR170" i="3" s="1"/>
  <c r="AR193" i="3" s="1"/>
  <c r="AR48" i="3"/>
  <c r="AR163" i="3" s="1"/>
  <c r="AR186" i="3" s="1"/>
  <c r="AR60" i="3"/>
  <c r="AR175" i="3" s="1"/>
  <c r="AR198" i="3" s="1"/>
  <c r="AR53" i="3"/>
  <c r="AR168" i="3" s="1"/>
  <c r="AR191" i="3" s="1"/>
  <c r="AR64" i="3"/>
  <c r="AR179" i="3" s="1"/>
  <c r="AR202" i="3" s="1"/>
  <c r="AR65" i="3"/>
  <c r="AR180" i="3" s="1"/>
  <c r="AR203" i="3" s="1"/>
  <c r="AR50" i="3"/>
  <c r="AR165" i="3" s="1"/>
  <c r="AR188" i="3" s="1"/>
  <c r="AR58" i="3"/>
  <c r="AR173" i="3" s="1"/>
  <c r="AR196" i="3" s="1"/>
  <c r="AR66" i="3"/>
  <c r="AR61" i="3"/>
  <c r="AR176" i="3" s="1"/>
  <c r="AR199" i="3" s="1"/>
  <c r="AR49" i="3"/>
  <c r="AR164" i="3" s="1"/>
  <c r="AR187" i="3" s="1"/>
  <c r="AR59" i="3"/>
  <c r="AR174" i="3" s="1"/>
  <c r="AR197" i="3" s="1"/>
  <c r="AR57" i="3"/>
  <c r="AR172" i="3" s="1"/>
  <c r="AR195" i="3" s="1"/>
  <c r="AR54" i="3"/>
  <c r="AR169" i="3" s="1"/>
  <c r="AR192" i="3" s="1"/>
  <c r="AR62" i="3"/>
  <c r="AR177" i="3" s="1"/>
  <c r="AR200" i="3" s="1"/>
  <c r="AR47" i="3"/>
  <c r="AR162" i="3" s="1"/>
  <c r="AR185" i="3" s="1"/>
  <c r="AQ149" i="26"/>
  <c r="AP111" i="6"/>
  <c r="AQ169" i="26"/>
  <c r="AR4" i="33"/>
  <c r="AR4" i="35"/>
  <c r="AO277" i="3"/>
  <c r="AR3" i="33"/>
  <c r="AR3" i="35"/>
  <c r="AR5" i="33"/>
  <c r="AR5" i="35"/>
  <c r="AS432" i="9"/>
  <c r="AV438" i="9"/>
  <c r="AV436" i="9"/>
  <c r="AP208" i="3"/>
  <c r="AP254" i="3"/>
  <c r="AV447" i="9"/>
  <c r="AV443" i="9"/>
  <c r="AV440" i="9"/>
  <c r="AV433" i="9"/>
  <c r="AV450" i="9"/>
  <c r="AV445" i="9"/>
  <c r="AU515" i="9"/>
  <c r="AU518" i="9"/>
  <c r="AU513" i="9"/>
  <c r="AS508" i="9"/>
  <c r="AR503" i="9"/>
  <c r="AR1085" i="9" s="1"/>
  <c r="AU511" i="9"/>
  <c r="AT510" i="9"/>
  <c r="AU506" i="9"/>
  <c r="AU504" i="9"/>
  <c r="AO114" i="6"/>
  <c r="AO116" i="30" s="1"/>
  <c r="AV1010" i="9"/>
  <c r="AV996" i="9"/>
  <c r="AV993" i="9"/>
  <c r="AR16" i="3"/>
  <c r="AR18" i="3" s="1"/>
  <c r="AR4" i="32"/>
  <c r="AR4" i="30"/>
  <c r="AR3" i="28"/>
  <c r="AR3" i="32"/>
  <c r="AR3" i="30"/>
  <c r="AR5" i="32"/>
  <c r="AR5" i="30"/>
  <c r="AQ193" i="26"/>
  <c r="AU130" i="9"/>
  <c r="AU339" i="9"/>
  <c r="AU396" i="9"/>
  <c r="AU263" i="9"/>
  <c r="AU377" i="9"/>
  <c r="AU517" i="9"/>
  <c r="AU301" i="9"/>
  <c r="AV295" i="9"/>
  <c r="AV299" i="9" s="1"/>
  <c r="AV257" i="9"/>
  <c r="AV261" i="9" s="1"/>
  <c r="AV333" i="9"/>
  <c r="AV337" i="9" s="1"/>
  <c r="AV124" i="9"/>
  <c r="AV128" i="9" s="1"/>
  <c r="AS206" i="9"/>
  <c r="AV390" i="9"/>
  <c r="AV394" i="9" s="1"/>
  <c r="AT244" i="9"/>
  <c r="AU168" i="9"/>
  <c r="AV162" i="9" s="1"/>
  <c r="AV166" i="9" s="1"/>
  <c r="AR111" i="9"/>
  <c r="AV371" i="9"/>
  <c r="AV375" i="9" s="1"/>
  <c r="AS992" i="9"/>
  <c r="AV1000" i="9"/>
  <c r="AV1007" i="9"/>
  <c r="AR4" i="28"/>
  <c r="AR5" i="28"/>
  <c r="AV998" i="9"/>
  <c r="AV1005" i="9"/>
  <c r="AQ119" i="26"/>
  <c r="AR5" i="26"/>
  <c r="AQ179" i="1"/>
  <c r="AR3" i="26"/>
  <c r="AR4" i="12"/>
  <c r="AR4" i="26"/>
  <c r="AR4" i="11"/>
  <c r="AR4" i="16"/>
  <c r="AR4" i="9"/>
  <c r="AR5" i="22"/>
  <c r="AR5" i="20"/>
  <c r="AR4" i="20"/>
  <c r="AR4" i="22"/>
  <c r="AR3" i="22"/>
  <c r="AR3" i="20"/>
  <c r="AS10" i="3"/>
  <c r="AS4" i="3" s="1"/>
  <c r="AS2" i="44" s="1" a="1"/>
  <c r="AS2" i="44" s="1"/>
  <c r="AR3" i="16"/>
  <c r="AR3" i="12"/>
  <c r="AR3" i="11"/>
  <c r="AR3" i="9"/>
  <c r="AR5" i="16"/>
  <c r="AR5" i="12"/>
  <c r="AR5" i="11"/>
  <c r="AR5" i="9"/>
  <c r="AP261" i="26" l="1"/>
  <c r="AQ257" i="26" s="1"/>
  <c r="AP183" i="1"/>
  <c r="AO733" i="9"/>
  <c r="AP687" i="9" s="1"/>
  <c r="AR181" i="3"/>
  <c r="AR204" i="3" s="1"/>
  <c r="AP183" i="20"/>
  <c r="AQ233" i="26"/>
  <c r="AR198" i="20" a="1"/>
  <c r="AR198" i="20" s="1"/>
  <c r="AR181" i="20" a="1"/>
  <c r="AR181" i="20" s="1"/>
  <c r="AR172" i="20" a="1"/>
  <c r="AR172" i="20" s="1"/>
  <c r="AR169" i="20" a="1"/>
  <c r="AR169" i="20" s="1"/>
  <c r="AR154" i="20" a="1"/>
  <c r="AR154" i="20" s="1"/>
  <c r="AR150" i="20" a="1"/>
  <c r="AR150" i="20" s="1"/>
  <c r="AR149" i="20" a="1"/>
  <c r="AR149" i="20" s="1"/>
  <c r="AR148" i="20" a="1"/>
  <c r="AR148" i="20" s="1"/>
  <c r="AR145" i="20" a="1"/>
  <c r="AR145" i="20" s="1"/>
  <c r="AR131" i="20" a="1"/>
  <c r="AR131" i="20" s="1"/>
  <c r="AR129" i="20" a="1"/>
  <c r="AR129" i="20" s="1"/>
  <c r="AR128" i="20" a="1"/>
  <c r="AR128" i="20" s="1"/>
  <c r="AR127" i="20" a="1"/>
  <c r="AR127" i="20" s="1"/>
  <c r="AR126" i="20" a="1"/>
  <c r="AR126" i="20" s="1"/>
  <c r="AR143" i="20" a="1"/>
  <c r="AR143" i="20" s="1"/>
  <c r="AR142" i="20" a="1"/>
  <c r="AR142" i="20" s="1"/>
  <c r="AR141" i="20" a="1"/>
  <c r="AR141" i="20" s="1"/>
  <c r="AR140" i="20" a="1"/>
  <c r="AR140" i="20" s="1"/>
  <c r="AR139" i="20" a="1"/>
  <c r="AR139" i="20" s="1"/>
  <c r="AR138" i="20" a="1"/>
  <c r="AR138" i="20" s="1"/>
  <c r="AR137" i="20" a="1"/>
  <c r="AR137" i="20" s="1"/>
  <c r="AR133" i="20" a="1"/>
  <c r="AR133" i="20" s="1"/>
  <c r="AR132" i="20" a="1"/>
  <c r="AR132" i="20" s="1"/>
  <c r="AR125" i="20" a="1"/>
  <c r="AR125" i="20" s="1"/>
  <c r="AR124" i="20" a="1"/>
  <c r="AR124" i="20" s="1"/>
  <c r="AR123" i="20" a="1"/>
  <c r="AR123" i="20" s="1"/>
  <c r="AR122" i="20" a="1"/>
  <c r="AR122" i="20" s="1"/>
  <c r="AR115" i="20" a="1"/>
  <c r="AR115" i="20" s="1"/>
  <c r="AR117" i="20" s="1"/>
  <c r="AR112" i="20" a="1"/>
  <c r="AR112" i="20" s="1"/>
  <c r="AR111" i="20" a="1"/>
  <c r="AR111" i="20" s="1"/>
  <c r="AR110" i="20" a="1"/>
  <c r="AR110" i="20" s="1"/>
  <c r="AR106" i="20" a="1"/>
  <c r="AR106" i="20" s="1"/>
  <c r="AR146" i="20" a="1"/>
  <c r="AR146" i="20" s="1"/>
  <c r="AR144" i="20" a="1"/>
  <c r="AR144" i="20" s="1"/>
  <c r="AR105" i="20" a="1"/>
  <c r="AR105" i="20" s="1"/>
  <c r="AR103" i="20" a="1"/>
  <c r="AR103" i="20" s="1"/>
  <c r="AR102" i="20" a="1"/>
  <c r="AR102" i="20" s="1"/>
  <c r="AR101" i="20" a="1"/>
  <c r="AR101" i="20" s="1"/>
  <c r="AR97" i="20" a="1"/>
  <c r="AR97" i="20" s="1"/>
  <c r="AR96" i="20" a="1"/>
  <c r="AR96" i="20" s="1"/>
  <c r="AR95" i="20" a="1"/>
  <c r="AR95" i="20" s="1"/>
  <c r="AR94" i="20" a="1"/>
  <c r="AR94" i="20" s="1"/>
  <c r="AR93" i="20" a="1"/>
  <c r="AR93" i="20" s="1"/>
  <c r="AR92" i="20" a="1"/>
  <c r="AR92" i="20" s="1"/>
  <c r="AR91" i="20" a="1"/>
  <c r="AR91" i="20" s="1"/>
  <c r="AR90" i="20" a="1"/>
  <c r="AR90" i="20" s="1"/>
  <c r="AR89" i="20" a="1"/>
  <c r="AR89" i="20" s="1"/>
  <c r="AR104" i="20" a="1"/>
  <c r="AR104" i="20" s="1"/>
  <c r="AR87" i="20" a="1"/>
  <c r="AR87" i="20" s="1"/>
  <c r="AR88" i="20" a="1"/>
  <c r="AR88" i="20" s="1"/>
  <c r="AR83" i="20" a="1"/>
  <c r="AR83" i="20" s="1"/>
  <c r="AR82" i="20" a="1"/>
  <c r="AR82" i="20" s="1"/>
  <c r="AR81" i="20" a="1"/>
  <c r="AR81" i="20" s="1"/>
  <c r="AR80" i="20" a="1"/>
  <c r="AR80" i="20" s="1"/>
  <c r="AR79" i="20" a="1"/>
  <c r="AR79" i="20" s="1"/>
  <c r="AR78" i="20" a="1"/>
  <c r="AR78" i="20" s="1"/>
  <c r="AR77" i="20" a="1"/>
  <c r="AR77" i="20" s="1"/>
  <c r="AR76" i="20" a="1"/>
  <c r="AR76" i="20" s="1"/>
  <c r="AR75" i="20" a="1"/>
  <c r="AR75" i="20" s="1"/>
  <c r="AR74" i="20" a="1"/>
  <c r="AR74" i="20" s="1"/>
  <c r="AR73" i="20" a="1"/>
  <c r="AR73" i="20" s="1"/>
  <c r="AR72" i="20" a="1"/>
  <c r="AR72" i="20" s="1"/>
  <c r="AR71" i="20" a="1"/>
  <c r="AR71" i="20" s="1"/>
  <c r="AR68" i="20" a="1"/>
  <c r="AR68" i="20" s="1"/>
  <c r="AR66" i="20" a="1"/>
  <c r="AR66" i="20" s="1"/>
  <c r="AR65" i="20" a="1"/>
  <c r="AR65" i="20" s="1"/>
  <c r="AR64" i="20" a="1"/>
  <c r="AR64" i="20" s="1"/>
  <c r="AR61" i="20" a="1"/>
  <c r="AR61" i="20" s="1"/>
  <c r="AR59" i="20" a="1"/>
  <c r="AR59" i="20" s="1"/>
  <c r="AR58" i="20" a="1"/>
  <c r="AR58" i="20" s="1"/>
  <c r="AR57" i="20" a="1"/>
  <c r="AR57" i="20" s="1"/>
  <c r="AR56" i="20" a="1"/>
  <c r="AR56" i="20" s="1"/>
  <c r="AR55" i="20" a="1"/>
  <c r="AR55" i="20" s="1"/>
  <c r="AR54" i="20" a="1"/>
  <c r="AR54" i="20" s="1"/>
  <c r="AR53" i="20" a="1"/>
  <c r="AR53" i="20" s="1"/>
  <c r="AR50" i="20" a="1"/>
  <c r="AR50" i="20" s="1"/>
  <c r="AR48" i="20" a="1"/>
  <c r="AR48" i="20" s="1"/>
  <c r="AR47" i="20" a="1"/>
  <c r="AR47" i="20" s="1"/>
  <c r="AR46" i="20" a="1"/>
  <c r="AR46" i="20" s="1"/>
  <c r="AR45" i="20" a="1"/>
  <c r="AR45" i="20" s="1"/>
  <c r="AR44" i="20" a="1"/>
  <c r="AR44" i="20" s="1"/>
  <c r="AR43" i="20" a="1"/>
  <c r="AR43" i="20" s="1"/>
  <c r="AR42" i="20" a="1"/>
  <c r="AR42" i="20" s="1"/>
  <c r="AR41" i="20" a="1"/>
  <c r="AR41" i="20" s="1"/>
  <c r="AR35" i="20" a="1"/>
  <c r="AR35" i="20" s="1"/>
  <c r="AR33" i="20" a="1"/>
  <c r="AR33" i="20" s="1"/>
  <c r="AR29" i="20" a="1"/>
  <c r="AR29" i="20" s="1"/>
  <c r="AR36" i="20" a="1"/>
  <c r="AR36" i="20" s="1"/>
  <c r="AR38" i="20" a="1"/>
  <c r="AR38" i="20" s="1"/>
  <c r="AR34" i="20" a="1"/>
  <c r="AR34" i="20" s="1"/>
  <c r="AR32" i="20" a="1"/>
  <c r="AR32" i="20" s="1"/>
  <c r="AR25" i="20" a="1"/>
  <c r="AR25" i="20" s="1"/>
  <c r="AR21" i="20" a="1"/>
  <c r="AR21" i="20" s="1"/>
  <c r="AR22" i="20" a="1"/>
  <c r="AR22" i="20" s="1"/>
  <c r="AR16" i="20" a="1"/>
  <c r="AR16" i="20" s="1"/>
  <c r="AR24" i="20" a="1"/>
  <c r="AR24" i="20" s="1"/>
  <c r="AR20" i="20" a="1"/>
  <c r="AR20" i="20" s="1"/>
  <c r="AR12" i="20" a="1"/>
  <c r="AR12" i="20" s="1"/>
  <c r="AR27" i="20" a="1"/>
  <c r="AR27" i="20" s="1"/>
  <c r="AR23" i="20" a="1"/>
  <c r="AR23" i="20" s="1"/>
  <c r="AR19" i="20" a="1"/>
  <c r="AR19" i="20" s="1"/>
  <c r="AR13" i="20" a="1"/>
  <c r="AR13" i="20" s="1"/>
  <c r="AR26" i="20" a="1"/>
  <c r="AR26" i="20" s="1"/>
  <c r="AQ153" i="30"/>
  <c r="AP50" i="30"/>
  <c r="AR83" i="9"/>
  <c r="AR178" i="9"/>
  <c r="AR197" i="9"/>
  <c r="AR330" i="9"/>
  <c r="AR349" i="9"/>
  <c r="AR216" i="9"/>
  <c r="AR235" i="9"/>
  <c r="AR368" i="9"/>
  <c r="AR387" i="9"/>
  <c r="AR64" i="9"/>
  <c r="AR121" i="9"/>
  <c r="AR140" i="9"/>
  <c r="AR292" i="9"/>
  <c r="AR311" i="9"/>
  <c r="AR102" i="9"/>
  <c r="AR406" i="9"/>
  <c r="AR159" i="9"/>
  <c r="AR425" i="9"/>
  <c r="AR273" i="9"/>
  <c r="AR254" i="9"/>
  <c r="W819" i="9"/>
  <c r="W802" i="9"/>
  <c r="W814" i="9"/>
  <c r="W806" i="9"/>
  <c r="W804" i="9"/>
  <c r="W816" i="9"/>
  <c r="AP831" i="9"/>
  <c r="AP843" i="9"/>
  <c r="AP841" i="9"/>
  <c r="AP846" i="9"/>
  <c r="AP833" i="9"/>
  <c r="AP773" i="9"/>
  <c r="AP796" i="9" s="1"/>
  <c r="AP869" i="9" s="1"/>
  <c r="AP760" i="9"/>
  <c r="AP783" i="9" s="1"/>
  <c r="AP856" i="9" s="1"/>
  <c r="AP248" i="3"/>
  <c r="AP727" i="9"/>
  <c r="AP249" i="3"/>
  <c r="AP238" i="3"/>
  <c r="AP240" i="3"/>
  <c r="AP770" i="9"/>
  <c r="AP793" i="9" s="1"/>
  <c r="AP866" i="9" s="1"/>
  <c r="AP250" i="3"/>
  <c r="AP239" i="3"/>
  <c r="AP241" i="3"/>
  <c r="AP768" i="9"/>
  <c r="AP791" i="9" s="1"/>
  <c r="AP864" i="9" s="1"/>
  <c r="AP724" i="9"/>
  <c r="AP246" i="3"/>
  <c r="AP714" i="9"/>
  <c r="AP236" i="3"/>
  <c r="AP242" i="3"/>
  <c r="AP247" i="3"/>
  <c r="AP245" i="3"/>
  <c r="AP722" i="9"/>
  <c r="AP244" i="3"/>
  <c r="AP712" i="9"/>
  <c r="AP234" i="3"/>
  <c r="AP243" i="3"/>
  <c r="AP237" i="3"/>
  <c r="AP235" i="3"/>
  <c r="AO854" i="9"/>
  <c r="AO852" i="9"/>
  <c r="AR192" i="26"/>
  <c r="AR190" i="26"/>
  <c r="AR183" i="26"/>
  <c r="AR186" i="26"/>
  <c r="AR191" i="26"/>
  <c r="AR188" i="26"/>
  <c r="AR179" i="26"/>
  <c r="AR178" i="26"/>
  <c r="AR185" i="26"/>
  <c r="AR187" i="26"/>
  <c r="AR180" i="26"/>
  <c r="AR194" i="26" s="1"/>
  <c r="AR295" i="26" s="1"/>
  <c r="AR184" i="26"/>
  <c r="AR189" i="26"/>
  <c r="AR182" i="26"/>
  <c r="AR181" i="26"/>
  <c r="AR195" i="26" s="1"/>
  <c r="AR296" i="26" s="1"/>
  <c r="AQ71" i="26"/>
  <c r="AQ259" i="26" s="1"/>
  <c r="AQ106" i="6"/>
  <c r="AP154" i="6"/>
  <c r="AP98" i="30" s="1"/>
  <c r="AP187" i="30" s="1"/>
  <c r="AP758" i="9"/>
  <c r="AP781" i="9" s="1"/>
  <c r="AP804" i="9" s="1"/>
  <c r="AS43" i="3"/>
  <c r="AP232" i="3"/>
  <c r="AQ198" i="26"/>
  <c r="AQ97" i="26"/>
  <c r="AQ221" i="6" s="1"/>
  <c r="AQ150" i="26"/>
  <c r="AQ180" i="30" s="1"/>
  <c r="AR154" i="26"/>
  <c r="AR160" i="26"/>
  <c r="AR168" i="26"/>
  <c r="AR157" i="26"/>
  <c r="AR171" i="26" s="1"/>
  <c r="AR249" i="26" s="1"/>
  <c r="AR155" i="26"/>
  <c r="AR173" i="26" s="1"/>
  <c r="AR268" i="26" s="1"/>
  <c r="AR162" i="26"/>
  <c r="AR159" i="26"/>
  <c r="AR161" i="26"/>
  <c r="AR156" i="26"/>
  <c r="AR170" i="26" s="1"/>
  <c r="AR222" i="26" s="1"/>
  <c r="AR164" i="26"/>
  <c r="AR163" i="26"/>
  <c r="AR165" i="26"/>
  <c r="AR158" i="26"/>
  <c r="AR172" i="26" s="1"/>
  <c r="AR236" i="26" s="1"/>
  <c r="AR166" i="26"/>
  <c r="AR167" i="26"/>
  <c r="AQ174" i="26"/>
  <c r="AQ208" i="26"/>
  <c r="AR94" i="6"/>
  <c r="AR88" i="35"/>
  <c r="AQ207" i="26"/>
  <c r="AQ123" i="26"/>
  <c r="AQ267" i="26" s="1"/>
  <c r="AQ294" i="26"/>
  <c r="AQ178" i="1" s="1"/>
  <c r="AV444" i="9"/>
  <c r="AV435" i="9"/>
  <c r="AV282" i="9"/>
  <c r="AW276" i="9" s="1"/>
  <c r="AV1003" i="9"/>
  <c r="AV448" i="9"/>
  <c r="AV446" i="9"/>
  <c r="AP231" i="3"/>
  <c r="AV437" i="9"/>
  <c r="AV512" i="9"/>
  <c r="AV514" i="9"/>
  <c r="AV502" i="9"/>
  <c r="AV507" i="9"/>
  <c r="AV516" i="9"/>
  <c r="AV505" i="9"/>
  <c r="AS501" i="9"/>
  <c r="AV519" i="9"/>
  <c r="AV415" i="9"/>
  <c r="AW409" i="9" s="1"/>
  <c r="AW413" i="9" s="1"/>
  <c r="AV149" i="9"/>
  <c r="AW143" i="9" s="1"/>
  <c r="AW147" i="9" s="1"/>
  <c r="AV92" i="9"/>
  <c r="AW86" i="9" s="1"/>
  <c r="AW90" i="9" s="1"/>
  <c r="AR196" i="26"/>
  <c r="AR297" i="26" s="1"/>
  <c r="AR141" i="26"/>
  <c r="AP114" i="6"/>
  <c r="AP116" i="30" s="1"/>
  <c r="AV225" i="9"/>
  <c r="AW219" i="9" s="1"/>
  <c r="AW223" i="9" s="1"/>
  <c r="AV509" i="9"/>
  <c r="AV1009" i="9"/>
  <c r="AV449" i="9"/>
  <c r="AV1002" i="9"/>
  <c r="AV442" i="9"/>
  <c r="AV995" i="9"/>
  <c r="AV1004" i="9"/>
  <c r="AV1006" i="9"/>
  <c r="AS73" i="9"/>
  <c r="AS105" i="9"/>
  <c r="AS109" i="9" s="1"/>
  <c r="AT200" i="9"/>
  <c r="AT204" i="9" s="1"/>
  <c r="AV997" i="9"/>
  <c r="AU238" i="9"/>
  <c r="AU242" i="9" s="1"/>
  <c r="AV1008" i="9"/>
  <c r="AV358" i="9"/>
  <c r="AW352" i="9" s="1"/>
  <c r="AW356" i="9" s="1"/>
  <c r="AR78" i="3"/>
  <c r="AQ124" i="3"/>
  <c r="AR76" i="3"/>
  <c r="AQ122" i="3"/>
  <c r="AR84" i="3"/>
  <c r="AQ130" i="3"/>
  <c r="AR74" i="3"/>
  <c r="AQ120" i="3"/>
  <c r="AR81" i="3"/>
  <c r="AQ127" i="3"/>
  <c r="AR85" i="3"/>
  <c r="AQ131" i="3"/>
  <c r="AR86" i="3"/>
  <c r="AQ132" i="3"/>
  <c r="AR80" i="3"/>
  <c r="AQ126" i="3"/>
  <c r="AR88" i="3"/>
  <c r="AQ134" i="3"/>
  <c r="AR81" i="26"/>
  <c r="AS155" i="3"/>
  <c r="AS158" i="3"/>
  <c r="AS147" i="3"/>
  <c r="AS146" i="3"/>
  <c r="AS148" i="3"/>
  <c r="AS153" i="3"/>
  <c r="AS141" i="3"/>
  <c r="AS145" i="3"/>
  <c r="AS156" i="3"/>
  <c r="AS157" i="3"/>
  <c r="AS143" i="3"/>
  <c r="AS140" i="3"/>
  <c r="AR71" i="3"/>
  <c r="AQ117" i="3"/>
  <c r="AR77" i="3"/>
  <c r="AQ123" i="3"/>
  <c r="AR87" i="3"/>
  <c r="AQ133" i="3"/>
  <c r="AR79" i="3"/>
  <c r="AQ125" i="3"/>
  <c r="AS151" i="3"/>
  <c r="AS142" i="3"/>
  <c r="AS144" i="3"/>
  <c r="AS152" i="3"/>
  <c r="AR89" i="3"/>
  <c r="AQ135" i="3"/>
  <c r="AR75" i="3"/>
  <c r="AQ121" i="3"/>
  <c r="AR70" i="3"/>
  <c r="AQ116" i="3"/>
  <c r="AR73" i="3"/>
  <c r="AQ119" i="3"/>
  <c r="AR82" i="3"/>
  <c r="AQ128" i="3"/>
  <c r="AR83" i="3"/>
  <c r="AQ129" i="3"/>
  <c r="AR72" i="3"/>
  <c r="AQ118" i="3"/>
  <c r="AS139" i="3"/>
  <c r="AS150" i="3"/>
  <c r="AS149" i="3"/>
  <c r="AS154" i="3"/>
  <c r="AR82" i="26"/>
  <c r="AR61" i="26"/>
  <c r="AV320" i="9"/>
  <c r="AW314" i="9"/>
  <c r="AW318" i="9" s="1"/>
  <c r="AV187" i="9"/>
  <c r="AW181" i="9" s="1"/>
  <c r="AW185" i="9" s="1"/>
  <c r="AP168" i="20"/>
  <c r="AQ107" i="6"/>
  <c r="AR105" i="26"/>
  <c r="AR84" i="26"/>
  <c r="AR55" i="26"/>
  <c r="AR79" i="26"/>
  <c r="AR95" i="26" s="1"/>
  <c r="AR180" i="1" s="1"/>
  <c r="AR65" i="26"/>
  <c r="AR138" i="26"/>
  <c r="AR86" i="26"/>
  <c r="AR234" i="26" s="1"/>
  <c r="AR85" i="26"/>
  <c r="AR78" i="26"/>
  <c r="AR94" i="26" s="1"/>
  <c r="AR220" i="26" s="1"/>
  <c r="AR89" i="26"/>
  <c r="AR62" i="26"/>
  <c r="AR58" i="26"/>
  <c r="AR57" i="26"/>
  <c r="AR56" i="26"/>
  <c r="AR117" i="26"/>
  <c r="AR116" i="26"/>
  <c r="AR87" i="26"/>
  <c r="AR90" i="26"/>
  <c r="AR88" i="26"/>
  <c r="AR54" i="26"/>
  <c r="AR53" i="26"/>
  <c r="AR64" i="26"/>
  <c r="AR60" i="26"/>
  <c r="AR135" i="26"/>
  <c r="AR139" i="26"/>
  <c r="AR83" i="26"/>
  <c r="AR80" i="26"/>
  <c r="AR91" i="26"/>
  <c r="AR92" i="26"/>
  <c r="AR67" i="26"/>
  <c r="AR63" i="26"/>
  <c r="AR66" i="26"/>
  <c r="AR59" i="26"/>
  <c r="AR132" i="26"/>
  <c r="AR110" i="26"/>
  <c r="AR140" i="26"/>
  <c r="AR130" i="26"/>
  <c r="AR133" i="26"/>
  <c r="AR147" i="26" s="1"/>
  <c r="AR134" i="26"/>
  <c r="AR148" i="26" s="1"/>
  <c r="AR114" i="26"/>
  <c r="AR115" i="26"/>
  <c r="AR108" i="26"/>
  <c r="AR131" i="26"/>
  <c r="AR104" i="26"/>
  <c r="AR143" i="26"/>
  <c r="AR107" i="26"/>
  <c r="AR118" i="26"/>
  <c r="AR137" i="26"/>
  <c r="AR142" i="26"/>
  <c r="AR113" i="26"/>
  <c r="AR111" i="26"/>
  <c r="AR106" i="26"/>
  <c r="AR136" i="26"/>
  <c r="AR109" i="26"/>
  <c r="AR144" i="26"/>
  <c r="AR112" i="26"/>
  <c r="AR235" i="26" s="1"/>
  <c r="AQ179" i="20"/>
  <c r="AS24" i="3"/>
  <c r="AS5" i="3"/>
  <c r="AR121" i="26"/>
  <c r="AR248" i="26" s="1"/>
  <c r="AR219" i="26"/>
  <c r="AS4" i="38"/>
  <c r="AS12" i="3"/>
  <c r="AS3" i="3" s="1"/>
  <c r="AR99" i="3"/>
  <c r="AR98" i="3"/>
  <c r="AR94" i="3"/>
  <c r="AR100" i="3"/>
  <c r="AR110" i="3"/>
  <c r="AR102" i="3"/>
  <c r="AR112" i="3"/>
  <c r="AR93" i="3"/>
  <c r="AR105" i="3"/>
  <c r="AR106" i="3"/>
  <c r="AR95" i="3"/>
  <c r="AR101" i="3"/>
  <c r="AR107" i="3"/>
  <c r="AR96" i="3"/>
  <c r="AR97" i="3"/>
  <c r="AR104" i="3"/>
  <c r="AR108" i="3"/>
  <c r="AR109" i="3"/>
  <c r="AR103" i="3"/>
  <c r="AR111" i="3"/>
  <c r="AT8" i="3"/>
  <c r="AP34" i="6" l="1"/>
  <c r="AP69" i="30" s="1"/>
  <c r="AP64" i="33"/>
  <c r="AP74" i="33"/>
  <c r="AP735" i="9"/>
  <c r="AP745" i="9"/>
  <c r="AP747" i="9"/>
  <c r="AP750" i="9"/>
  <c r="AQ704" i="9" s="1"/>
  <c r="AP737" i="9"/>
  <c r="AR24" i="32"/>
  <c r="AR153" i="30"/>
  <c r="AS3" i="38"/>
  <c r="AS39" i="3"/>
  <c r="AS346" i="3"/>
  <c r="AS347" i="3"/>
  <c r="AQ256" i="3"/>
  <c r="AQ279" i="3" s="1"/>
  <c r="AQ210" i="3"/>
  <c r="AQ233" i="3" s="1"/>
  <c r="AP816" i="9"/>
  <c r="AP819" i="9"/>
  <c r="AP806" i="9"/>
  <c r="AP814" i="9"/>
  <c r="AP829" i="9"/>
  <c r="AQ691" i="9"/>
  <c r="AQ699" i="9"/>
  <c r="AQ266" i="3"/>
  <c r="AQ289" i="3" s="1"/>
  <c r="AQ220" i="3"/>
  <c r="AQ273" i="3"/>
  <c r="AQ296" i="3" s="1"/>
  <c r="AQ227" i="3"/>
  <c r="AQ225" i="3"/>
  <c r="AQ271" i="3"/>
  <c r="AQ294" i="3" s="1"/>
  <c r="AQ689" i="9"/>
  <c r="AQ701" i="9"/>
  <c r="AQ264" i="3"/>
  <c r="AQ287" i="3" s="1"/>
  <c r="AQ218" i="3"/>
  <c r="AQ269" i="3"/>
  <c r="AQ292" i="3" s="1"/>
  <c r="AQ223" i="3"/>
  <c r="AQ258" i="3"/>
  <c r="AQ281" i="3" s="1"/>
  <c r="AQ212" i="3"/>
  <c r="AQ260" i="3"/>
  <c r="AQ283" i="3" s="1"/>
  <c r="AQ214" i="3"/>
  <c r="AQ221" i="3"/>
  <c r="AQ267" i="3"/>
  <c r="AQ290" i="3" s="1"/>
  <c r="AQ257" i="3"/>
  <c r="AQ280" i="3" s="1"/>
  <c r="AQ211" i="3"/>
  <c r="AQ259" i="3"/>
  <c r="AQ282" i="3" s="1"/>
  <c r="AQ213" i="3"/>
  <c r="AQ217" i="3"/>
  <c r="AQ263" i="3"/>
  <c r="AQ286" i="3" s="1"/>
  <c r="AQ261" i="3"/>
  <c r="AQ284" i="3" s="1"/>
  <c r="AQ215" i="3"/>
  <c r="AQ272" i="3"/>
  <c r="AQ295" i="3" s="1"/>
  <c r="AQ226" i="3"/>
  <c r="AQ270" i="3"/>
  <c r="AQ293" i="3" s="1"/>
  <c r="AQ224" i="3"/>
  <c r="AQ265" i="3"/>
  <c r="AQ288" i="3" s="1"/>
  <c r="AQ219" i="3"/>
  <c r="AQ268" i="3"/>
  <c r="AQ291" i="3" s="1"/>
  <c r="AQ222" i="3"/>
  <c r="AQ262" i="3"/>
  <c r="AQ285" i="3" s="1"/>
  <c r="AQ216" i="3"/>
  <c r="AP854" i="9"/>
  <c r="AW280" i="9"/>
  <c r="AW1003" i="9" s="1"/>
  <c r="AQ261" i="26"/>
  <c r="AQ34" i="6" s="1"/>
  <c r="AQ69" i="30" s="1"/>
  <c r="AR68" i="26"/>
  <c r="AR205" i="26" s="1"/>
  <c r="AR70" i="26"/>
  <c r="AR233" i="26" s="1"/>
  <c r="AQ111" i="6"/>
  <c r="AR106" i="6" s="1"/>
  <c r="AR247" i="26"/>
  <c r="AS30" i="3"/>
  <c r="AQ223" i="6"/>
  <c r="AQ130" i="30" s="1"/>
  <c r="AQ180" i="20"/>
  <c r="AP48" i="30"/>
  <c r="AP756" i="9"/>
  <c r="AP779" i="9" s="1"/>
  <c r="AP802" i="9" s="1"/>
  <c r="AP710" i="9"/>
  <c r="AQ209" i="3"/>
  <c r="AQ255" i="3"/>
  <c r="AQ278" i="3" s="1"/>
  <c r="AQ72" i="33"/>
  <c r="AR93" i="26"/>
  <c r="AR206" i="26" s="1"/>
  <c r="AR120" i="26"/>
  <c r="AR221" i="26" s="1"/>
  <c r="AS5" i="38"/>
  <c r="AS55" i="3"/>
  <c r="AS170" i="3" s="1"/>
  <c r="AS193" i="3" s="1"/>
  <c r="AS51" i="3"/>
  <c r="AS166" i="3" s="1"/>
  <c r="AS189" i="3" s="1"/>
  <c r="AS48" i="3"/>
  <c r="AS163" i="3" s="1"/>
  <c r="AS186" i="3" s="1"/>
  <c r="AS56" i="3"/>
  <c r="AS171" i="3" s="1"/>
  <c r="AS194" i="3" s="1"/>
  <c r="AS60" i="3"/>
  <c r="AS175" i="3" s="1"/>
  <c r="AS198" i="3" s="1"/>
  <c r="AS52" i="3"/>
  <c r="AS167" i="3" s="1"/>
  <c r="AS190" i="3" s="1"/>
  <c r="AS63" i="3"/>
  <c r="AS178" i="3" s="1"/>
  <c r="AS201" i="3" s="1"/>
  <c r="AS64" i="3"/>
  <c r="AS179" i="3" s="1"/>
  <c r="AS202" i="3" s="1"/>
  <c r="AS53" i="3"/>
  <c r="AS168" i="3" s="1"/>
  <c r="AS191" i="3" s="1"/>
  <c r="AS54" i="3"/>
  <c r="AS169" i="3" s="1"/>
  <c r="AS192" i="3" s="1"/>
  <c r="AS66" i="3"/>
  <c r="AS49" i="3"/>
  <c r="AS164" i="3" s="1"/>
  <c r="AS187" i="3" s="1"/>
  <c r="AS58" i="3"/>
  <c r="AS173" i="3" s="1"/>
  <c r="AS196" i="3" s="1"/>
  <c r="AS59" i="3"/>
  <c r="AS174" i="3" s="1"/>
  <c r="AS197" i="3" s="1"/>
  <c r="AS47" i="3"/>
  <c r="AS162" i="3" s="1"/>
  <c r="AS185" i="3" s="1"/>
  <c r="AS57" i="3"/>
  <c r="AS172" i="3" s="1"/>
  <c r="AS195" i="3" s="1"/>
  <c r="AS65" i="3"/>
  <c r="AS180" i="3" s="1"/>
  <c r="AS203" i="3" s="1"/>
  <c r="AS61" i="3"/>
  <c r="AS176" i="3" s="1"/>
  <c r="AS199" i="3" s="1"/>
  <c r="AS50" i="3"/>
  <c r="AS165" i="3" s="1"/>
  <c r="AS188" i="3" s="1"/>
  <c r="AS62" i="3"/>
  <c r="AS177" i="3" s="1"/>
  <c r="AS200" i="3" s="1"/>
  <c r="AR145" i="26"/>
  <c r="AR197" i="26"/>
  <c r="AR298" i="26" s="1"/>
  <c r="AQ281" i="26"/>
  <c r="AQ154" i="6" s="1"/>
  <c r="AQ183" i="1"/>
  <c r="AQ299" i="26"/>
  <c r="AR169" i="26"/>
  <c r="AR146" i="26"/>
  <c r="AR149" i="26"/>
  <c r="AS3" i="33"/>
  <c r="AS3" i="35"/>
  <c r="AS4" i="33"/>
  <c r="AS4" i="35"/>
  <c r="AP277" i="3"/>
  <c r="AS5" i="33"/>
  <c r="AS5" i="35"/>
  <c r="AW438" i="9"/>
  <c r="AW443" i="9"/>
  <c r="AT439" i="9"/>
  <c r="AS434" i="9"/>
  <c r="AW436" i="9"/>
  <c r="AW445" i="9"/>
  <c r="AQ208" i="3"/>
  <c r="AQ231" i="3" s="1"/>
  <c r="AQ254" i="3"/>
  <c r="AW433" i="9"/>
  <c r="AW450" i="9"/>
  <c r="AW447" i="9"/>
  <c r="AU441" i="9"/>
  <c r="AW440" i="9"/>
  <c r="AV506" i="9"/>
  <c r="AV513" i="9"/>
  <c r="AV517" i="9"/>
  <c r="AV504" i="9"/>
  <c r="AV518" i="9"/>
  <c r="AV511" i="9"/>
  <c r="AW1010" i="9"/>
  <c r="AW996" i="9"/>
  <c r="AW993" i="9"/>
  <c r="AS5" i="26"/>
  <c r="AS5" i="32"/>
  <c r="AS5" i="30"/>
  <c r="AS3" i="28"/>
  <c r="AS3" i="32"/>
  <c r="AS3" i="30"/>
  <c r="AS16" i="3"/>
  <c r="AS18" i="3" s="1"/>
  <c r="AS4" i="32"/>
  <c r="AS4" i="30"/>
  <c r="AR193" i="26"/>
  <c r="AV396" i="9"/>
  <c r="AW1000" i="9"/>
  <c r="AV339" i="9"/>
  <c r="AV515" i="9"/>
  <c r="AV263" i="9"/>
  <c r="AV130" i="9"/>
  <c r="AV301" i="9"/>
  <c r="AW390" i="9"/>
  <c r="AW394" i="9" s="1"/>
  <c r="AW295" i="9"/>
  <c r="AW299" i="9" s="1"/>
  <c r="AW257" i="9"/>
  <c r="AW261" i="9" s="1"/>
  <c r="AU1001" i="9"/>
  <c r="AT67" i="9"/>
  <c r="AT71" i="9" s="1"/>
  <c r="AV168" i="9"/>
  <c r="AW162" i="9" s="1"/>
  <c r="AW166" i="9" s="1"/>
  <c r="AT999" i="9"/>
  <c r="AS994" i="9"/>
  <c r="AW333" i="9"/>
  <c r="AW337" i="9" s="1"/>
  <c r="AW124" i="9"/>
  <c r="AW128" i="9" s="1"/>
  <c r="AV377" i="9"/>
  <c r="AW1007" i="9"/>
  <c r="AS4" i="28"/>
  <c r="AS5" i="28"/>
  <c r="AW1005" i="9"/>
  <c r="AW998" i="9"/>
  <c r="AR107" i="6"/>
  <c r="AQ168" i="20"/>
  <c r="AR119" i="26"/>
  <c r="AR179" i="1"/>
  <c r="AS3" i="26"/>
  <c r="AS4" i="12"/>
  <c r="AS4" i="26"/>
  <c r="AS4" i="11"/>
  <c r="AS4" i="16"/>
  <c r="AS4" i="9"/>
  <c r="AS5" i="22"/>
  <c r="AS5" i="20"/>
  <c r="AS4" i="22"/>
  <c r="AS4" i="20"/>
  <c r="AS3" i="22"/>
  <c r="AS3" i="20"/>
  <c r="AS3" i="16"/>
  <c r="AS3" i="12"/>
  <c r="AS3" i="11"/>
  <c r="AS3" i="9"/>
  <c r="AS5" i="16"/>
  <c r="AS5" i="12"/>
  <c r="AS5" i="11"/>
  <c r="AS5" i="9"/>
  <c r="AT10" i="3"/>
  <c r="AT4" i="3" s="1"/>
  <c r="AT2" i="44" s="1" a="1"/>
  <c r="AT2" i="44" s="1"/>
  <c r="AW512" i="9" l="1"/>
  <c r="AP733" i="9"/>
  <c r="AQ687" i="9" s="1"/>
  <c r="AS181" i="3"/>
  <c r="AS204" i="3" s="1"/>
  <c r="AS169" i="20" a="1"/>
  <c r="AS169" i="20" s="1"/>
  <c r="AS149" i="20" a="1"/>
  <c r="AS149" i="20" s="1"/>
  <c r="AS172" i="20" a="1"/>
  <c r="AS172" i="20" s="1"/>
  <c r="AS150" i="20" a="1"/>
  <c r="AS150" i="20" s="1"/>
  <c r="AS198" i="20" a="1"/>
  <c r="AS198" i="20" s="1"/>
  <c r="AS148" i="20" a="1"/>
  <c r="AS148" i="20" s="1"/>
  <c r="AS143" i="20" a="1"/>
  <c r="AS143" i="20" s="1"/>
  <c r="AS142" i="20" a="1"/>
  <c r="AS142" i="20" s="1"/>
  <c r="AS141" i="20" a="1"/>
  <c r="AS141" i="20" s="1"/>
  <c r="AS140" i="20" a="1"/>
  <c r="AS140" i="20" s="1"/>
  <c r="AS139" i="20" a="1"/>
  <c r="AS139" i="20" s="1"/>
  <c r="AS138" i="20" a="1"/>
  <c r="AS138" i="20" s="1"/>
  <c r="AS137" i="20" a="1"/>
  <c r="AS137" i="20" s="1"/>
  <c r="AS133" i="20" a="1"/>
  <c r="AS133" i="20" s="1"/>
  <c r="AS132" i="20" a="1"/>
  <c r="AS132" i="20" s="1"/>
  <c r="AS181" i="20" a="1"/>
  <c r="AS181" i="20" s="1"/>
  <c r="AS146" i="20" a="1"/>
  <c r="AS146" i="20" s="1"/>
  <c r="AS144" i="20" a="1"/>
  <c r="AS144" i="20" s="1"/>
  <c r="AS131" i="20" a="1"/>
  <c r="AS131" i="20" s="1"/>
  <c r="AS128" i="20" a="1"/>
  <c r="AS128" i="20" s="1"/>
  <c r="AS126" i="20" a="1"/>
  <c r="AS126" i="20" s="1"/>
  <c r="AS154" i="20" a="1"/>
  <c r="AS154" i="20" s="1"/>
  <c r="AS145" i="20" a="1"/>
  <c r="AS145" i="20" s="1"/>
  <c r="AS125" i="20" a="1"/>
  <c r="AS125" i="20" s="1"/>
  <c r="AS123" i="20" a="1"/>
  <c r="AS123" i="20" s="1"/>
  <c r="AS115" i="20" a="1"/>
  <c r="AS115" i="20" s="1"/>
  <c r="AS117" i="20" s="1"/>
  <c r="AS111" i="20" a="1"/>
  <c r="AS111" i="20" s="1"/>
  <c r="AS106" i="20" a="1"/>
  <c r="AS106" i="20" s="1"/>
  <c r="AS127" i="20" a="1"/>
  <c r="AS127" i="20" s="1"/>
  <c r="AS124" i="20" a="1"/>
  <c r="AS124" i="20" s="1"/>
  <c r="AS122" i="20" a="1"/>
  <c r="AS122" i="20" s="1"/>
  <c r="AS112" i="20" a="1"/>
  <c r="AS112" i="20" s="1"/>
  <c r="AS110" i="20" a="1"/>
  <c r="AS110" i="20" s="1"/>
  <c r="AS105" i="20" a="1"/>
  <c r="AS105" i="20" s="1"/>
  <c r="AS104" i="20" a="1"/>
  <c r="AS104" i="20" s="1"/>
  <c r="AS103" i="20" a="1"/>
  <c r="AS103" i="20" s="1"/>
  <c r="AS102" i="20" a="1"/>
  <c r="AS102" i="20" s="1"/>
  <c r="AS101" i="20" a="1"/>
  <c r="AS101" i="20" s="1"/>
  <c r="AS97" i="20" a="1"/>
  <c r="AS97" i="20" s="1"/>
  <c r="AS96" i="20" a="1"/>
  <c r="AS96" i="20" s="1"/>
  <c r="AS95" i="20" a="1"/>
  <c r="AS95" i="20" s="1"/>
  <c r="AS94" i="20" a="1"/>
  <c r="AS94" i="20" s="1"/>
  <c r="AS93" i="20" a="1"/>
  <c r="AS93" i="20" s="1"/>
  <c r="AS92" i="20" a="1"/>
  <c r="AS92" i="20" s="1"/>
  <c r="AS91" i="20" a="1"/>
  <c r="AS91" i="20" s="1"/>
  <c r="AS90" i="20" a="1"/>
  <c r="AS90" i="20" s="1"/>
  <c r="AS89" i="20" a="1"/>
  <c r="AS89" i="20" s="1"/>
  <c r="AS88" i="20" a="1"/>
  <c r="AS88" i="20" s="1"/>
  <c r="AS87" i="20" a="1"/>
  <c r="AS87" i="20" s="1"/>
  <c r="AS83" i="20" a="1"/>
  <c r="AS83" i="20" s="1"/>
  <c r="AS129" i="20" a="1"/>
  <c r="AS129" i="20" s="1"/>
  <c r="AS82" i="20" a="1"/>
  <c r="AS82" i="20" s="1"/>
  <c r="AS81" i="20" a="1"/>
  <c r="AS81" i="20" s="1"/>
  <c r="AS80" i="20" a="1"/>
  <c r="AS80" i="20" s="1"/>
  <c r="AS79" i="20" a="1"/>
  <c r="AS79" i="20" s="1"/>
  <c r="AS78" i="20" a="1"/>
  <c r="AS78" i="20" s="1"/>
  <c r="AS77" i="20" a="1"/>
  <c r="AS77" i="20" s="1"/>
  <c r="AS76" i="20" a="1"/>
  <c r="AS76" i="20" s="1"/>
  <c r="AS75" i="20" a="1"/>
  <c r="AS75" i="20" s="1"/>
  <c r="AS74" i="20" a="1"/>
  <c r="AS74" i="20" s="1"/>
  <c r="AS73" i="20" a="1"/>
  <c r="AS73" i="20" s="1"/>
  <c r="AS72" i="20" a="1"/>
  <c r="AS72" i="20" s="1"/>
  <c r="AS71" i="20" a="1"/>
  <c r="AS71" i="20" s="1"/>
  <c r="AS68" i="20" a="1"/>
  <c r="AS68" i="20" s="1"/>
  <c r="AS66" i="20" a="1"/>
  <c r="AS66" i="20" s="1"/>
  <c r="AS65" i="20" a="1"/>
  <c r="AS65" i="20" s="1"/>
  <c r="AS64" i="20" a="1"/>
  <c r="AS64" i="20" s="1"/>
  <c r="AS61" i="20" a="1"/>
  <c r="AS61" i="20" s="1"/>
  <c r="AS59" i="20" a="1"/>
  <c r="AS59" i="20" s="1"/>
  <c r="AS58" i="20" a="1"/>
  <c r="AS58" i="20" s="1"/>
  <c r="AS57" i="20" a="1"/>
  <c r="AS57" i="20" s="1"/>
  <c r="AS56" i="20" a="1"/>
  <c r="AS56" i="20" s="1"/>
  <c r="AS55" i="20" a="1"/>
  <c r="AS55" i="20" s="1"/>
  <c r="AS54" i="20" a="1"/>
  <c r="AS54" i="20" s="1"/>
  <c r="AS53" i="20" a="1"/>
  <c r="AS53" i="20" s="1"/>
  <c r="AS50" i="20" a="1"/>
  <c r="AS50" i="20" s="1"/>
  <c r="AS48" i="20" a="1"/>
  <c r="AS48" i="20" s="1"/>
  <c r="AS47" i="20" a="1"/>
  <c r="AS47" i="20" s="1"/>
  <c r="AS46" i="20" a="1"/>
  <c r="AS46" i="20" s="1"/>
  <c r="AS45" i="20" a="1"/>
  <c r="AS45" i="20" s="1"/>
  <c r="AS43" i="20" a="1"/>
  <c r="AS43" i="20" s="1"/>
  <c r="AS41" i="20" a="1"/>
  <c r="AS41" i="20" s="1"/>
  <c r="AS44" i="20" a="1"/>
  <c r="AS44" i="20" s="1"/>
  <c r="AS42" i="20" a="1"/>
  <c r="AS42" i="20" s="1"/>
  <c r="AS38" i="20" a="1"/>
  <c r="AS38" i="20" s="1"/>
  <c r="AS36" i="20" a="1"/>
  <c r="AS36" i="20" s="1"/>
  <c r="AS35" i="20" a="1"/>
  <c r="AS35" i="20" s="1"/>
  <c r="AS34" i="20" a="1"/>
  <c r="AS34" i="20" s="1"/>
  <c r="AS33" i="20" a="1"/>
  <c r="AS33" i="20" s="1"/>
  <c r="AS32" i="20" a="1"/>
  <c r="AS32" i="20" s="1"/>
  <c r="AS29" i="20" a="1"/>
  <c r="AS29" i="20" s="1"/>
  <c r="AS27" i="20" a="1"/>
  <c r="AS27" i="20" s="1"/>
  <c r="AS26" i="20" a="1"/>
  <c r="AS26" i="20" s="1"/>
  <c r="AS25" i="20" a="1"/>
  <c r="AS25" i="20" s="1"/>
  <c r="AS24" i="20" a="1"/>
  <c r="AS24" i="20" s="1"/>
  <c r="AS23" i="20" a="1"/>
  <c r="AS23" i="20" s="1"/>
  <c r="AS22" i="20" a="1"/>
  <c r="AS22" i="20" s="1"/>
  <c r="AS21" i="20" a="1"/>
  <c r="AS21" i="20" s="1"/>
  <c r="AS20" i="20" a="1"/>
  <c r="AS20" i="20" s="1"/>
  <c r="AS19" i="20" a="1"/>
  <c r="AS19" i="20" s="1"/>
  <c r="AS16" i="20" a="1"/>
  <c r="AS16" i="20" s="1"/>
  <c r="AS13" i="20" a="1"/>
  <c r="AS13" i="20" s="1"/>
  <c r="AS12" i="20" a="1"/>
  <c r="AS12" i="20" s="1"/>
  <c r="AQ52" i="30"/>
  <c r="AW282" i="9"/>
  <c r="AX276" i="9" s="1"/>
  <c r="AX280" i="9" s="1"/>
  <c r="AX1003" i="9" s="1"/>
  <c r="AS64" i="9"/>
  <c r="AS102" i="9"/>
  <c r="AS121" i="9"/>
  <c r="AS159" i="9"/>
  <c r="AS197" i="9"/>
  <c r="AS235" i="9"/>
  <c r="AS273" i="9"/>
  <c r="AS311" i="9"/>
  <c r="AS349" i="9"/>
  <c r="AS387" i="9"/>
  <c r="AS216" i="9"/>
  <c r="AS368" i="9"/>
  <c r="AS425" i="9"/>
  <c r="AS83" i="9"/>
  <c r="AS254" i="9"/>
  <c r="AS406" i="9"/>
  <c r="AS140" i="9"/>
  <c r="AS178" i="9"/>
  <c r="AS330" i="9"/>
  <c r="AS292" i="9"/>
  <c r="AQ843" i="9"/>
  <c r="AQ841" i="9"/>
  <c r="AQ846" i="9"/>
  <c r="AQ831" i="9"/>
  <c r="AQ833" i="9"/>
  <c r="AQ760" i="9"/>
  <c r="AQ783" i="9" s="1"/>
  <c r="AQ856" i="9" s="1"/>
  <c r="AQ758" i="9"/>
  <c r="AQ781" i="9" s="1"/>
  <c r="AQ804" i="9" s="1"/>
  <c r="AQ770" i="9"/>
  <c r="AQ793" i="9" s="1"/>
  <c r="AQ816" i="9" s="1"/>
  <c r="AQ768" i="9"/>
  <c r="AQ791" i="9" s="1"/>
  <c r="AQ864" i="9" s="1"/>
  <c r="AQ714" i="9"/>
  <c r="AQ236" i="3"/>
  <c r="AQ239" i="3"/>
  <c r="AQ242" i="3"/>
  <c r="AQ727" i="9"/>
  <c r="AQ249" i="3"/>
  <c r="AQ722" i="9"/>
  <c r="AQ244" i="3"/>
  <c r="AQ235" i="3"/>
  <c r="AQ241" i="3"/>
  <c r="AQ248" i="3"/>
  <c r="AQ243" i="3"/>
  <c r="AQ240" i="3"/>
  <c r="AQ712" i="9"/>
  <c r="AQ234" i="3"/>
  <c r="AQ773" i="9"/>
  <c r="AQ796" i="9" s="1"/>
  <c r="AQ869" i="9" s="1"/>
  <c r="AQ245" i="3"/>
  <c r="AQ247" i="3"/>
  <c r="AQ238" i="3"/>
  <c r="AQ237" i="3"/>
  <c r="AQ724" i="9"/>
  <c r="AQ246" i="3"/>
  <c r="AQ250" i="3"/>
  <c r="AP852" i="9"/>
  <c r="AS192" i="26"/>
  <c r="AS191" i="26"/>
  <c r="AS183" i="26"/>
  <c r="AS181" i="26"/>
  <c r="AS195" i="26" s="1"/>
  <c r="AS296" i="26" s="1"/>
  <c r="AS188" i="26"/>
  <c r="AS187" i="26"/>
  <c r="AS180" i="26"/>
  <c r="AS194" i="26" s="1"/>
  <c r="AS295" i="26" s="1"/>
  <c r="AS186" i="26"/>
  <c r="AS189" i="26"/>
  <c r="AS190" i="26"/>
  <c r="AS184" i="26"/>
  <c r="AS179" i="26"/>
  <c r="AS182" i="26"/>
  <c r="AS196" i="26" s="1"/>
  <c r="AS297" i="26" s="1"/>
  <c r="AS185" i="26"/>
  <c r="AS178" i="26"/>
  <c r="AR257" i="26"/>
  <c r="AR71" i="26"/>
  <c r="AR259" i="26" s="1"/>
  <c r="AR220" i="6"/>
  <c r="AT43" i="3"/>
  <c r="AQ232" i="3"/>
  <c r="AR97" i="26"/>
  <c r="AR221" i="6" s="1"/>
  <c r="AR198" i="26"/>
  <c r="AR111" i="6"/>
  <c r="AR276" i="26"/>
  <c r="AQ98" i="30"/>
  <c r="AQ187" i="30" s="1"/>
  <c r="AS157" i="26"/>
  <c r="AS171" i="26" s="1"/>
  <c r="AS249" i="26" s="1"/>
  <c r="AS161" i="26"/>
  <c r="AS165" i="26"/>
  <c r="AS156" i="26"/>
  <c r="AS170" i="26" s="1"/>
  <c r="AS222" i="26" s="1"/>
  <c r="AS164" i="26"/>
  <c r="AS158" i="26"/>
  <c r="AS172" i="26" s="1"/>
  <c r="AS236" i="26" s="1"/>
  <c r="AS162" i="26"/>
  <c r="AS166" i="26"/>
  <c r="AS155" i="26"/>
  <c r="AS160" i="26"/>
  <c r="AS159" i="26"/>
  <c r="AS163" i="26"/>
  <c r="AS167" i="26"/>
  <c r="AS168" i="26"/>
  <c r="AS154" i="26"/>
  <c r="AS143" i="26"/>
  <c r="AR174" i="26"/>
  <c r="AR208" i="26"/>
  <c r="AR150" i="26"/>
  <c r="AR180" i="30" s="1"/>
  <c r="AS80" i="26"/>
  <c r="AS56" i="26"/>
  <c r="AS131" i="26"/>
  <c r="AS91" i="26"/>
  <c r="AS54" i="26"/>
  <c r="AS110" i="26"/>
  <c r="AS85" i="26"/>
  <c r="AS139" i="26"/>
  <c r="AS78" i="26"/>
  <c r="AS94" i="26" s="1"/>
  <c r="AS220" i="26" s="1"/>
  <c r="AS86" i="26"/>
  <c r="AS234" i="26" s="1"/>
  <c r="AS81" i="26"/>
  <c r="AS59" i="26"/>
  <c r="AS57" i="26"/>
  <c r="AS142" i="26"/>
  <c r="AS104" i="26"/>
  <c r="AS107" i="26"/>
  <c r="AR207" i="26"/>
  <c r="AR123" i="26"/>
  <c r="AR267" i="26" s="1"/>
  <c r="AQ277" i="3"/>
  <c r="AS87" i="26"/>
  <c r="AS84" i="26"/>
  <c r="AS55" i="26"/>
  <c r="AS118" i="26"/>
  <c r="AS113" i="26"/>
  <c r="AR294" i="26"/>
  <c r="AR178" i="1" s="1"/>
  <c r="AS53" i="26"/>
  <c r="AS108" i="26"/>
  <c r="AS134" i="26"/>
  <c r="AS148" i="26" s="1"/>
  <c r="AS89" i="26"/>
  <c r="AS83" i="26"/>
  <c r="AS79" i="26"/>
  <c r="AS95" i="26" s="1"/>
  <c r="AS180" i="1" s="1"/>
  <c r="AS60" i="26"/>
  <c r="AS58" i="26"/>
  <c r="AS112" i="26"/>
  <c r="AS235" i="26" s="1"/>
  <c r="AS114" i="26"/>
  <c r="AS130" i="26"/>
  <c r="AS133" i="26"/>
  <c r="AS147" i="26" s="1"/>
  <c r="AW437" i="9"/>
  <c r="AT432" i="9"/>
  <c r="AW444" i="9"/>
  <c r="AW446" i="9"/>
  <c r="AW449" i="9"/>
  <c r="AS64" i="26"/>
  <c r="AS67" i="26"/>
  <c r="AS63" i="26"/>
  <c r="AS117" i="26"/>
  <c r="AS136" i="26"/>
  <c r="AS132" i="26"/>
  <c r="AS146" i="26" s="1"/>
  <c r="AS141" i="26"/>
  <c r="AS137" i="26"/>
  <c r="AS140" i="26"/>
  <c r="AS109" i="26"/>
  <c r="AS144" i="26"/>
  <c r="AS90" i="26"/>
  <c r="AS88" i="26"/>
  <c r="AS92" i="26"/>
  <c r="AS82" i="26"/>
  <c r="AS66" i="26"/>
  <c r="AS65" i="26"/>
  <c r="AS62" i="26"/>
  <c r="AS61" i="26"/>
  <c r="AS116" i="26"/>
  <c r="AS135" i="26"/>
  <c r="AS115" i="26"/>
  <c r="AS105" i="26"/>
  <c r="AS138" i="26"/>
  <c r="AS111" i="26"/>
  <c r="AS106" i="26"/>
  <c r="AW514" i="9"/>
  <c r="AW516" i="9"/>
  <c r="AS503" i="9"/>
  <c r="AS1085" i="9" s="1"/>
  <c r="AW502" i="9"/>
  <c r="AW519" i="9"/>
  <c r="AW505" i="9"/>
  <c r="AW507" i="9"/>
  <c r="AT508" i="9"/>
  <c r="AU510" i="9"/>
  <c r="AW509" i="9"/>
  <c r="AW415" i="9"/>
  <c r="AX409" i="9" s="1"/>
  <c r="AX413" i="9" s="1"/>
  <c r="AW149" i="9"/>
  <c r="AX143" i="9" s="1"/>
  <c r="AX147" i="9" s="1"/>
  <c r="AW92" i="9"/>
  <c r="AX86" i="9" s="1"/>
  <c r="AX90" i="9" s="1"/>
  <c r="AQ114" i="6"/>
  <c r="AQ116" i="30" s="1"/>
  <c r="AW225" i="9"/>
  <c r="AX219" i="9" s="1"/>
  <c r="AX223" i="9" s="1"/>
  <c r="AW1006" i="9"/>
  <c r="AW1002" i="9"/>
  <c r="AW442" i="9"/>
  <c r="AW995" i="9"/>
  <c r="AW435" i="9"/>
  <c r="AW1009" i="9"/>
  <c r="AW1004" i="9"/>
  <c r="AT206" i="9"/>
  <c r="AU244" i="9"/>
  <c r="AW371" i="9"/>
  <c r="AW375" i="9" s="1"/>
  <c r="AS111" i="9"/>
  <c r="AW997" i="9"/>
  <c r="AT992" i="9"/>
  <c r="AW358" i="9"/>
  <c r="AX352" i="9" s="1"/>
  <c r="AX356" i="9" s="1"/>
  <c r="AS74" i="3"/>
  <c r="AR120" i="3"/>
  <c r="AS76" i="3"/>
  <c r="AR122" i="3"/>
  <c r="AS73" i="3"/>
  <c r="AR119" i="3"/>
  <c r="AS79" i="3"/>
  <c r="AR125" i="3"/>
  <c r="AS83" i="3"/>
  <c r="AR129" i="3"/>
  <c r="AS85" i="3"/>
  <c r="AR131" i="3"/>
  <c r="AS72" i="3"/>
  <c r="AR118" i="3"/>
  <c r="AS84" i="3"/>
  <c r="AR130" i="3"/>
  <c r="AS80" i="3"/>
  <c r="AR126" i="3"/>
  <c r="AS75" i="3"/>
  <c r="AR121" i="3"/>
  <c r="AT151" i="3"/>
  <c r="AT143" i="3"/>
  <c r="AT153" i="3"/>
  <c r="AT156" i="3"/>
  <c r="AT139" i="3"/>
  <c r="AT142" i="3"/>
  <c r="AT158" i="3"/>
  <c r="AS82" i="3"/>
  <c r="AR128" i="3"/>
  <c r="AT141" i="3"/>
  <c r="AT147" i="3"/>
  <c r="AT149" i="3"/>
  <c r="AS78" i="3"/>
  <c r="AR124" i="3"/>
  <c r="AS86" i="3"/>
  <c r="AR132" i="3"/>
  <c r="AS88" i="3"/>
  <c r="AR134" i="3"/>
  <c r="AS71" i="3"/>
  <c r="AR117" i="3"/>
  <c r="AS89" i="3"/>
  <c r="AR135" i="3"/>
  <c r="AS81" i="3"/>
  <c r="AR127" i="3"/>
  <c r="AS87" i="3"/>
  <c r="AR133" i="3"/>
  <c r="AS70" i="3"/>
  <c r="AR116" i="3"/>
  <c r="AT150" i="3"/>
  <c r="AT154" i="3"/>
  <c r="AT157" i="3"/>
  <c r="AT148" i="3"/>
  <c r="AS77" i="3"/>
  <c r="AR123" i="3"/>
  <c r="AT155" i="3"/>
  <c r="AT140" i="3"/>
  <c r="AT146" i="3"/>
  <c r="AT152" i="3"/>
  <c r="AT145" i="3"/>
  <c r="AT144" i="3"/>
  <c r="AT5" i="3"/>
  <c r="AW320" i="9"/>
  <c r="AX314" i="9" s="1"/>
  <c r="AX318" i="9" s="1"/>
  <c r="AW187" i="9"/>
  <c r="AX181" i="9" s="1"/>
  <c r="AX185" i="9" s="1"/>
  <c r="AQ178" i="20"/>
  <c r="AQ50" i="30" s="1"/>
  <c r="AR179" i="20"/>
  <c r="AS219" i="26"/>
  <c r="AS121" i="26"/>
  <c r="AS248" i="26" s="1"/>
  <c r="AT12" i="3"/>
  <c r="AT3" i="3" s="1"/>
  <c r="AT24" i="3"/>
  <c r="AT4" i="38"/>
  <c r="AS108" i="3"/>
  <c r="AS95" i="3"/>
  <c r="AS107" i="3"/>
  <c r="AS103" i="3"/>
  <c r="AS98" i="3"/>
  <c r="AS100" i="3"/>
  <c r="AS101" i="3"/>
  <c r="AS109" i="3"/>
  <c r="AS111" i="3"/>
  <c r="AS105" i="3"/>
  <c r="AS94" i="3"/>
  <c r="AS112" i="3"/>
  <c r="AS104" i="3"/>
  <c r="AS110" i="3"/>
  <c r="AS93" i="3"/>
  <c r="AU8" i="3"/>
  <c r="AS97" i="3"/>
  <c r="AS99" i="3"/>
  <c r="AS96" i="3"/>
  <c r="AS102" i="3"/>
  <c r="AS106" i="3"/>
  <c r="AQ64" i="33" l="1"/>
  <c r="AQ74" i="33"/>
  <c r="AQ745" i="9"/>
  <c r="AQ735" i="9"/>
  <c r="AQ747" i="9"/>
  <c r="AQ750" i="9"/>
  <c r="AR704" i="9" s="1"/>
  <c r="AQ737" i="9"/>
  <c r="AR691" i="9" s="1"/>
  <c r="AX443" i="9"/>
  <c r="AS24" i="32"/>
  <c r="AS153" i="30"/>
  <c r="AT3" i="38"/>
  <c r="AT39" i="3"/>
  <c r="AQ48" i="30"/>
  <c r="AQ183" i="20"/>
  <c r="AT5" i="26"/>
  <c r="AT179" i="26" s="1"/>
  <c r="AT346" i="3"/>
  <c r="AT347" i="3"/>
  <c r="AR256" i="3"/>
  <c r="AR279" i="3" s="1"/>
  <c r="AR210" i="3"/>
  <c r="AR233" i="3" s="1"/>
  <c r="AQ814" i="9"/>
  <c r="AQ806" i="9"/>
  <c r="AQ819" i="9"/>
  <c r="AQ854" i="9"/>
  <c r="AQ866" i="9"/>
  <c r="AR273" i="3"/>
  <c r="AR296" i="3" s="1"/>
  <c r="AR227" i="3"/>
  <c r="AR262" i="3"/>
  <c r="AR285" i="3" s="1"/>
  <c r="AR216" i="3"/>
  <c r="AR257" i="3"/>
  <c r="AR280" i="3" s="1"/>
  <c r="AR211" i="3"/>
  <c r="AR266" i="3"/>
  <c r="AR289" i="3" s="1"/>
  <c r="AR220" i="3"/>
  <c r="AR261" i="3"/>
  <c r="AR284" i="3" s="1"/>
  <c r="AR215" i="3"/>
  <c r="AR225" i="3"/>
  <c r="AR271" i="3"/>
  <c r="AR294" i="3" s="1"/>
  <c r="AR272" i="3"/>
  <c r="AR295" i="3" s="1"/>
  <c r="AR226" i="3"/>
  <c r="AR264" i="3"/>
  <c r="AR287" i="3" s="1"/>
  <c r="AR218" i="3"/>
  <c r="AR267" i="3"/>
  <c r="AR290" i="3" s="1"/>
  <c r="AR221" i="3"/>
  <c r="AR258" i="3"/>
  <c r="AR281" i="3" s="1"/>
  <c r="AR212" i="3"/>
  <c r="AR265" i="3"/>
  <c r="AR288" i="3" s="1"/>
  <c r="AR219" i="3"/>
  <c r="AR224" i="3"/>
  <c r="AR270" i="3"/>
  <c r="AR293" i="3" s="1"/>
  <c r="AR259" i="3"/>
  <c r="AR282" i="3" s="1"/>
  <c r="AR213" i="3"/>
  <c r="AR268" i="3"/>
  <c r="AR291" i="3" s="1"/>
  <c r="AR222" i="3"/>
  <c r="AR269" i="3"/>
  <c r="AR292" i="3" s="1"/>
  <c r="AR223" i="3"/>
  <c r="AR263" i="3"/>
  <c r="AR286" i="3" s="1"/>
  <c r="AR217" i="3"/>
  <c r="AR214" i="3"/>
  <c r="AR260" i="3"/>
  <c r="AR283" i="3" s="1"/>
  <c r="AR689" i="9"/>
  <c r="AR699" i="9"/>
  <c r="AR701" i="9"/>
  <c r="AQ710" i="9"/>
  <c r="AQ829" i="9"/>
  <c r="AR261" i="26"/>
  <c r="AR34" i="6" s="1"/>
  <c r="AR69" i="30" s="1"/>
  <c r="AS68" i="26"/>
  <c r="AS205" i="26" s="1"/>
  <c r="AS70" i="26"/>
  <c r="AS233" i="26" s="1"/>
  <c r="AS106" i="6"/>
  <c r="AS247" i="26"/>
  <c r="AT30" i="3"/>
  <c r="AR223" i="6"/>
  <c r="AS220" i="6" s="1"/>
  <c r="AR180" i="20"/>
  <c r="AQ756" i="9"/>
  <c r="AQ779" i="9" s="1"/>
  <c r="AQ802" i="9" s="1"/>
  <c r="AR255" i="3"/>
  <c r="AR278" i="3" s="1"/>
  <c r="AR209" i="3"/>
  <c r="AS93" i="26"/>
  <c r="AS206" i="26" s="1"/>
  <c r="AS197" i="26"/>
  <c r="AS298" i="26" s="1"/>
  <c r="AS119" i="26"/>
  <c r="AS207" i="26" s="1"/>
  <c r="AS120" i="26"/>
  <c r="AS221" i="26" s="1"/>
  <c r="AT5" i="38"/>
  <c r="AT51" i="3"/>
  <c r="AT166" i="3" s="1"/>
  <c r="AT189" i="3" s="1"/>
  <c r="AT55" i="3"/>
  <c r="AT170" i="3" s="1"/>
  <c r="AT193" i="3" s="1"/>
  <c r="AT63" i="3"/>
  <c r="AT178" i="3" s="1"/>
  <c r="AT201" i="3" s="1"/>
  <c r="AT52" i="3"/>
  <c r="AT167" i="3" s="1"/>
  <c r="AT190" i="3" s="1"/>
  <c r="AT64" i="3"/>
  <c r="AT179" i="3" s="1"/>
  <c r="AT202" i="3" s="1"/>
  <c r="AT48" i="3"/>
  <c r="AT163" i="3" s="1"/>
  <c r="AT186" i="3" s="1"/>
  <c r="AT60" i="3"/>
  <c r="AT175" i="3" s="1"/>
  <c r="AT198" i="3" s="1"/>
  <c r="AT61" i="3"/>
  <c r="AT176" i="3" s="1"/>
  <c r="AT199" i="3" s="1"/>
  <c r="AT56" i="3"/>
  <c r="AT171" i="3" s="1"/>
  <c r="AT194" i="3" s="1"/>
  <c r="AT57" i="3"/>
  <c r="AT172" i="3" s="1"/>
  <c r="AT195" i="3" s="1"/>
  <c r="AT65" i="3"/>
  <c r="AT180" i="3" s="1"/>
  <c r="AT203" i="3" s="1"/>
  <c r="AT49" i="3"/>
  <c r="AT164" i="3" s="1"/>
  <c r="AT187" i="3" s="1"/>
  <c r="AT50" i="3"/>
  <c r="AT165" i="3" s="1"/>
  <c r="AT188" i="3" s="1"/>
  <c r="AT58" i="3"/>
  <c r="AT173" i="3" s="1"/>
  <c r="AT196" i="3" s="1"/>
  <c r="AT62" i="3"/>
  <c r="AT177" i="3" s="1"/>
  <c r="AT200" i="3" s="1"/>
  <c r="AT53" i="3"/>
  <c r="AT168" i="3" s="1"/>
  <c r="AT191" i="3" s="1"/>
  <c r="AT54" i="3"/>
  <c r="AT169" i="3" s="1"/>
  <c r="AT192" i="3" s="1"/>
  <c r="AT66" i="3"/>
  <c r="AT47" i="3"/>
  <c r="AS116" i="3" s="1"/>
  <c r="AS254" i="3" s="1"/>
  <c r="AT59" i="3"/>
  <c r="AT174" i="3" s="1"/>
  <c r="AT197" i="3" s="1"/>
  <c r="AR281" i="26"/>
  <c r="AS276" i="26" s="1"/>
  <c r="AS173" i="26"/>
  <c r="AS268" i="26" s="1"/>
  <c r="AS149" i="26"/>
  <c r="AR183" i="1"/>
  <c r="AR299" i="26"/>
  <c r="AS169" i="26"/>
  <c r="AS145" i="26"/>
  <c r="AR72" i="33"/>
  <c r="AS94" i="6"/>
  <c r="AS88" i="35"/>
  <c r="AT4" i="33"/>
  <c r="AT4" i="35"/>
  <c r="AT3" i="33"/>
  <c r="AT3" i="35"/>
  <c r="AT5" i="33"/>
  <c r="AT5" i="35"/>
  <c r="AX445" i="9"/>
  <c r="AR254" i="3"/>
  <c r="AR208" i="3"/>
  <c r="AX447" i="9"/>
  <c r="AX433" i="9"/>
  <c r="AX440" i="9"/>
  <c r="AX436" i="9"/>
  <c r="AX450" i="9"/>
  <c r="AX438" i="9"/>
  <c r="AW448" i="9"/>
  <c r="AS193" i="26"/>
  <c r="AW506" i="9"/>
  <c r="AW511" i="9"/>
  <c r="AX512" i="9"/>
  <c r="AW513" i="9"/>
  <c r="AW515" i="9"/>
  <c r="AW518" i="9"/>
  <c r="AW504" i="9"/>
  <c r="AT501" i="9"/>
  <c r="AX1010" i="9"/>
  <c r="AX996" i="9"/>
  <c r="AX993" i="9"/>
  <c r="AT5" i="32"/>
  <c r="AT5" i="30"/>
  <c r="AT16" i="3"/>
  <c r="AT18" i="3" s="1"/>
  <c r="AT4" i="32"/>
  <c r="AT4" i="30"/>
  <c r="AT3" i="28"/>
  <c r="AT3" i="32"/>
  <c r="AT3" i="30"/>
  <c r="AX1000" i="9"/>
  <c r="AX282" i="9"/>
  <c r="AY276" i="9" s="1"/>
  <c r="AY280" i="9" s="1"/>
  <c r="AW339" i="9"/>
  <c r="AW263" i="9"/>
  <c r="AW130" i="9"/>
  <c r="AW396" i="9"/>
  <c r="AW301" i="9"/>
  <c r="AX390" i="9"/>
  <c r="AX394" i="9" s="1"/>
  <c r="AX295" i="9"/>
  <c r="AX299" i="9" s="1"/>
  <c r="AX257" i="9"/>
  <c r="AX261" i="9" s="1"/>
  <c r="AX333" i="9"/>
  <c r="AX337" i="9" s="1"/>
  <c r="AX124" i="9"/>
  <c r="AX128" i="9" s="1"/>
  <c r="AT73" i="9"/>
  <c r="AT105" i="9"/>
  <c r="AT109" i="9" s="1"/>
  <c r="AW1008" i="9"/>
  <c r="AU200" i="9"/>
  <c r="AU204" i="9" s="1"/>
  <c r="AW168" i="9"/>
  <c r="AX162" i="9" s="1"/>
  <c r="AX166" i="9" s="1"/>
  <c r="AV238" i="9"/>
  <c r="AV242" i="9" s="1"/>
  <c r="AX1007" i="9"/>
  <c r="AT4" i="28"/>
  <c r="AT5" i="28"/>
  <c r="AX998" i="9"/>
  <c r="AX1005" i="9"/>
  <c r="AR114" i="6"/>
  <c r="AR116" i="30" s="1"/>
  <c r="AS179" i="1"/>
  <c r="AT4" i="11"/>
  <c r="AT4" i="26"/>
  <c r="AT3" i="26"/>
  <c r="AT4" i="12"/>
  <c r="AT4" i="9"/>
  <c r="AT4" i="16"/>
  <c r="AT5" i="22"/>
  <c r="AT5" i="20"/>
  <c r="AT4" i="22"/>
  <c r="AT4" i="20"/>
  <c r="AT3" i="22"/>
  <c r="AT3" i="20"/>
  <c r="AT5" i="16"/>
  <c r="AT5" i="12"/>
  <c r="AT5" i="11"/>
  <c r="AT5" i="9"/>
  <c r="AU10" i="3"/>
  <c r="AU4" i="3" s="1"/>
  <c r="AU2" i="44" s="1" a="1"/>
  <c r="AU2" i="44" s="1"/>
  <c r="AT3" i="16"/>
  <c r="AT3" i="12"/>
  <c r="AT3" i="11"/>
  <c r="AT3" i="9"/>
  <c r="AT91" i="26" l="1"/>
  <c r="AT55" i="26"/>
  <c r="AT140" i="26"/>
  <c r="AT132" i="26"/>
  <c r="AQ733" i="9"/>
  <c r="AR687" i="9" s="1"/>
  <c r="AT181" i="3"/>
  <c r="AT204" i="3" s="1"/>
  <c r="AT84" i="26"/>
  <c r="AT61" i="26"/>
  <c r="AT118" i="26"/>
  <c r="AT106" i="26"/>
  <c r="AT160" i="26"/>
  <c r="AT87" i="26"/>
  <c r="AT64" i="26"/>
  <c r="AT114" i="26"/>
  <c r="AT133" i="26"/>
  <c r="AT147" i="26" s="1"/>
  <c r="AT78" i="26"/>
  <c r="AT93" i="26" s="1"/>
  <c r="AT54" i="26"/>
  <c r="AT110" i="26"/>
  <c r="AT136" i="26"/>
  <c r="AT166" i="26"/>
  <c r="AT154" i="26"/>
  <c r="AT190" i="26"/>
  <c r="AT82" i="26"/>
  <c r="AT88" i="26"/>
  <c r="AT56" i="26"/>
  <c r="AT53" i="26"/>
  <c r="AT70" i="26" s="1"/>
  <c r="AT233" i="26" s="1"/>
  <c r="AT117" i="26"/>
  <c r="AT142" i="26"/>
  <c r="AT139" i="26"/>
  <c r="AT143" i="26"/>
  <c r="AT162" i="26"/>
  <c r="AT188" i="26"/>
  <c r="AT89" i="26"/>
  <c r="AT85" i="26"/>
  <c r="AT65" i="26"/>
  <c r="AT63" i="26"/>
  <c r="AT138" i="26"/>
  <c r="AT115" i="26"/>
  <c r="AT112" i="26"/>
  <c r="AT235" i="26" s="1"/>
  <c r="AT156" i="26"/>
  <c r="AT170" i="26" s="1"/>
  <c r="AT222" i="26" s="1"/>
  <c r="AT168" i="26"/>
  <c r="AT164" i="26"/>
  <c r="AT161" i="26"/>
  <c r="AT186" i="26"/>
  <c r="AT86" i="26"/>
  <c r="AT234" i="26" s="1"/>
  <c r="AT92" i="26"/>
  <c r="AT90" i="26"/>
  <c r="AT81" i="26"/>
  <c r="AT60" i="26"/>
  <c r="AT59" i="26"/>
  <c r="AT62" i="26"/>
  <c r="AT116" i="26"/>
  <c r="AT135" i="26"/>
  <c r="AT105" i="26"/>
  <c r="AT108" i="26"/>
  <c r="AT109" i="26"/>
  <c r="AT111" i="26"/>
  <c r="AT113" i="26"/>
  <c r="AT155" i="26"/>
  <c r="AT157" i="26"/>
  <c r="AT171" i="26" s="1"/>
  <c r="AT249" i="26" s="1"/>
  <c r="AT167" i="26"/>
  <c r="AT187" i="26"/>
  <c r="AT185" i="26"/>
  <c r="AT79" i="26"/>
  <c r="AT95" i="26" s="1"/>
  <c r="AT180" i="1" s="1"/>
  <c r="AT80" i="26"/>
  <c r="AT83" i="26"/>
  <c r="AT58" i="26"/>
  <c r="AT57" i="26"/>
  <c r="AT67" i="26"/>
  <c r="AT66" i="26"/>
  <c r="AT131" i="26"/>
  <c r="AT144" i="26"/>
  <c r="AT141" i="26"/>
  <c r="AT137" i="26"/>
  <c r="AT104" i="26"/>
  <c r="AT120" i="26" s="1"/>
  <c r="AT221" i="26" s="1"/>
  <c r="AT130" i="26"/>
  <c r="AT107" i="26"/>
  <c r="AT134" i="26"/>
  <c r="AT148" i="26" s="1"/>
  <c r="AT163" i="26"/>
  <c r="AT165" i="26"/>
  <c r="AT158" i="26"/>
  <c r="AT172" i="26" s="1"/>
  <c r="AT236" i="26" s="1"/>
  <c r="AT184" i="26"/>
  <c r="AT172" i="20" a="1"/>
  <c r="AT172" i="20" s="1"/>
  <c r="AT150" i="20" a="1"/>
  <c r="AT150" i="20" s="1"/>
  <c r="AT181" i="20" a="1"/>
  <c r="AT181" i="20" s="1"/>
  <c r="AT154" i="20" a="1"/>
  <c r="AT154" i="20" s="1"/>
  <c r="AT146" i="20" a="1"/>
  <c r="AT146" i="20" s="1"/>
  <c r="AT145" i="20" a="1"/>
  <c r="AT145" i="20" s="1"/>
  <c r="AT144" i="20" a="1"/>
  <c r="AT144" i="20" s="1"/>
  <c r="AT169" i="20" a="1"/>
  <c r="AT169" i="20" s="1"/>
  <c r="AT198" i="20" a="1"/>
  <c r="AT198" i="20" s="1"/>
  <c r="AT142" i="20" a="1"/>
  <c r="AT142" i="20" s="1"/>
  <c r="AT140" i="20" a="1"/>
  <c r="AT140" i="20" s="1"/>
  <c r="AT138" i="20" a="1"/>
  <c r="AT138" i="20" s="1"/>
  <c r="AT133" i="20" a="1"/>
  <c r="AT133" i="20" s="1"/>
  <c r="AT129" i="20" a="1"/>
  <c r="AT129" i="20" s="1"/>
  <c r="AT127" i="20" a="1"/>
  <c r="AT127" i="20" s="1"/>
  <c r="AT148" i="20" a="1"/>
  <c r="AT148" i="20" s="1"/>
  <c r="AT143" i="20" a="1"/>
  <c r="AT143" i="20" s="1"/>
  <c r="AT141" i="20" a="1"/>
  <c r="AT141" i="20" s="1"/>
  <c r="AT128" i="20" a="1"/>
  <c r="AT128" i="20" s="1"/>
  <c r="AT149" i="20" a="1"/>
  <c r="AT149" i="20" s="1"/>
  <c r="AT139" i="20" a="1"/>
  <c r="AT139" i="20" s="1"/>
  <c r="AT132" i="20" a="1"/>
  <c r="AT132" i="20" s="1"/>
  <c r="AT124" i="20" a="1"/>
  <c r="AT124" i="20" s="1"/>
  <c r="AT122" i="20" a="1"/>
  <c r="AT122" i="20" s="1"/>
  <c r="AT131" i="20" a="1"/>
  <c r="AT131" i="20" s="1"/>
  <c r="AT126" i="20" a="1"/>
  <c r="AT126" i="20" s="1"/>
  <c r="AT137" i="20" a="1"/>
  <c r="AT137" i="20" s="1"/>
  <c r="AT123" i="20" a="1"/>
  <c r="AT123" i="20" s="1"/>
  <c r="AT111" i="20" a="1"/>
  <c r="AT111" i="20" s="1"/>
  <c r="AT110" i="20" a="1"/>
  <c r="AT110" i="20" s="1"/>
  <c r="AT104" i="20" a="1"/>
  <c r="AT104" i="20" s="1"/>
  <c r="AT115" i="20" a="1"/>
  <c r="AT115" i="20" s="1"/>
  <c r="AT117" i="20" s="1"/>
  <c r="AT106" i="20" a="1"/>
  <c r="AT106" i="20" s="1"/>
  <c r="AT112" i="20" a="1"/>
  <c r="AT112" i="20" s="1"/>
  <c r="AT101" i="20" a="1"/>
  <c r="AT101" i="20" s="1"/>
  <c r="AT94" i="20" a="1"/>
  <c r="AT94" i="20" s="1"/>
  <c r="AT90" i="20" a="1"/>
  <c r="AT90" i="20" s="1"/>
  <c r="AT82" i="20" a="1"/>
  <c r="AT82" i="20" s="1"/>
  <c r="AT81" i="20" a="1"/>
  <c r="AT81" i="20" s="1"/>
  <c r="AT80" i="20" a="1"/>
  <c r="AT80" i="20" s="1"/>
  <c r="AT79" i="20" a="1"/>
  <c r="AT79" i="20" s="1"/>
  <c r="AT78" i="20" a="1"/>
  <c r="AT78" i="20" s="1"/>
  <c r="AT77" i="20" a="1"/>
  <c r="AT77" i="20" s="1"/>
  <c r="AT76" i="20" a="1"/>
  <c r="AT76" i="20" s="1"/>
  <c r="AT75" i="20" a="1"/>
  <c r="AT75" i="20" s="1"/>
  <c r="AT74" i="20" a="1"/>
  <c r="AT74" i="20" s="1"/>
  <c r="AT73" i="20" a="1"/>
  <c r="AT73" i="20" s="1"/>
  <c r="AT72" i="20" a="1"/>
  <c r="AT72" i="20" s="1"/>
  <c r="AT71" i="20" a="1"/>
  <c r="AT71" i="20" s="1"/>
  <c r="AT68" i="20" a="1"/>
  <c r="AT68" i="20" s="1"/>
  <c r="AT66" i="20" a="1"/>
  <c r="AT66" i="20" s="1"/>
  <c r="AT65" i="20" a="1"/>
  <c r="AT65" i="20" s="1"/>
  <c r="AT64" i="20" a="1"/>
  <c r="AT64" i="20" s="1"/>
  <c r="AT61" i="20" a="1"/>
  <c r="AT61" i="20" s="1"/>
  <c r="AT59" i="20" a="1"/>
  <c r="AT59" i="20" s="1"/>
  <c r="AT58" i="20" a="1"/>
  <c r="AT58" i="20" s="1"/>
  <c r="AT57" i="20" a="1"/>
  <c r="AT57" i="20" s="1"/>
  <c r="AT56" i="20" a="1"/>
  <c r="AT56" i="20" s="1"/>
  <c r="AT55" i="20" a="1"/>
  <c r="AT55" i="20" s="1"/>
  <c r="AT54" i="20" a="1"/>
  <c r="AT54" i="20" s="1"/>
  <c r="AT53" i="20" a="1"/>
  <c r="AT53" i="20" s="1"/>
  <c r="AT50" i="20" a="1"/>
  <c r="AT50" i="20" s="1"/>
  <c r="AT48" i="20" a="1"/>
  <c r="AT48" i="20" s="1"/>
  <c r="AT47" i="20" a="1"/>
  <c r="AT47" i="20" s="1"/>
  <c r="AT46" i="20" a="1"/>
  <c r="AT46" i="20" s="1"/>
  <c r="AT45" i="20" a="1"/>
  <c r="AT45" i="20" s="1"/>
  <c r="AT44" i="20" a="1"/>
  <c r="AT44" i="20" s="1"/>
  <c r="AT43" i="20" a="1"/>
  <c r="AT43" i="20" s="1"/>
  <c r="AT42" i="20" a="1"/>
  <c r="AT42" i="20" s="1"/>
  <c r="AT41" i="20" a="1"/>
  <c r="AT41" i="20" s="1"/>
  <c r="AT125" i="20" a="1"/>
  <c r="AT125" i="20" s="1"/>
  <c r="AT105" i="20" a="1"/>
  <c r="AT105" i="20" s="1"/>
  <c r="AT97" i="20" a="1"/>
  <c r="AT97" i="20" s="1"/>
  <c r="AT93" i="20" a="1"/>
  <c r="AT93" i="20" s="1"/>
  <c r="AT89" i="20" a="1"/>
  <c r="AT89" i="20" s="1"/>
  <c r="AT88" i="20" a="1"/>
  <c r="AT88" i="20" s="1"/>
  <c r="AT83" i="20" a="1"/>
  <c r="AT83" i="20" s="1"/>
  <c r="AT103" i="20" a="1"/>
  <c r="AT103" i="20" s="1"/>
  <c r="AT96" i="20" a="1"/>
  <c r="AT96" i="20" s="1"/>
  <c r="AT92" i="20" a="1"/>
  <c r="AT92" i="20" s="1"/>
  <c r="AT102" i="20" a="1"/>
  <c r="AT102" i="20" s="1"/>
  <c r="AT13" i="20" a="1"/>
  <c r="AT13" i="20" s="1"/>
  <c r="AT12" i="20" a="1"/>
  <c r="AT12" i="20" s="1"/>
  <c r="AT95" i="20" a="1"/>
  <c r="AT95" i="20" s="1"/>
  <c r="AT38" i="20" a="1"/>
  <c r="AT38" i="20" s="1"/>
  <c r="AT36" i="20" a="1"/>
  <c r="AT36" i="20" s="1"/>
  <c r="AT35" i="20" a="1"/>
  <c r="AT35" i="20" s="1"/>
  <c r="AT34" i="20" a="1"/>
  <c r="AT34" i="20" s="1"/>
  <c r="AT33" i="20" a="1"/>
  <c r="AT33" i="20" s="1"/>
  <c r="AT32" i="20" a="1"/>
  <c r="AT32" i="20" s="1"/>
  <c r="AT29" i="20" a="1"/>
  <c r="AT29" i="20" s="1"/>
  <c r="AT27" i="20" a="1"/>
  <c r="AT27" i="20" s="1"/>
  <c r="AT26" i="20" a="1"/>
  <c r="AT26" i="20" s="1"/>
  <c r="AT25" i="20" a="1"/>
  <c r="AT25" i="20" s="1"/>
  <c r="AT24" i="20" a="1"/>
  <c r="AT24" i="20" s="1"/>
  <c r="AT23" i="20" a="1"/>
  <c r="AT23" i="20" s="1"/>
  <c r="AT22" i="20" a="1"/>
  <c r="AT22" i="20" s="1"/>
  <c r="AT21" i="20" a="1"/>
  <c r="AT21" i="20" s="1"/>
  <c r="AT20" i="20" a="1"/>
  <c r="AT20" i="20" s="1"/>
  <c r="AT19" i="20" a="1"/>
  <c r="AT19" i="20" s="1"/>
  <c r="AT16" i="20" a="1"/>
  <c r="AT16" i="20" s="1"/>
  <c r="AT91" i="20" a="1"/>
  <c r="AT91" i="20" s="1"/>
  <c r="AT87" i="20" a="1"/>
  <c r="AT87" i="20" s="1"/>
  <c r="AT189" i="26"/>
  <c r="AR52" i="30"/>
  <c r="AT183" i="26"/>
  <c r="AT192" i="26"/>
  <c r="AT180" i="26"/>
  <c r="AT194" i="26" s="1"/>
  <c r="AT295" i="26" s="1"/>
  <c r="AT191" i="26"/>
  <c r="AT159" i="26"/>
  <c r="AT181" i="26"/>
  <c r="AT195" i="26" s="1"/>
  <c r="AT296" i="26" s="1"/>
  <c r="AT178" i="26"/>
  <c r="AT197" i="26" s="1"/>
  <c r="AT298" i="26" s="1"/>
  <c r="AT182" i="26"/>
  <c r="AT196" i="26" s="1"/>
  <c r="AT297" i="26" s="1"/>
  <c r="AT64" i="9"/>
  <c r="AT83" i="9"/>
  <c r="AT235" i="9"/>
  <c r="AT254" i="9"/>
  <c r="AT387" i="9"/>
  <c r="AT406" i="9"/>
  <c r="AT121" i="9"/>
  <c r="AT140" i="9"/>
  <c r="AT273" i="9"/>
  <c r="AT292" i="9"/>
  <c r="AT425" i="9"/>
  <c r="AT102" i="9"/>
  <c r="AT159" i="9"/>
  <c r="AT178" i="9"/>
  <c r="AT349" i="9"/>
  <c r="AT368" i="9"/>
  <c r="AT197" i="9"/>
  <c r="AT216" i="9"/>
  <c r="AT311" i="9"/>
  <c r="AT330" i="9"/>
  <c r="AR846" i="9"/>
  <c r="AR833" i="9"/>
  <c r="AR843" i="9"/>
  <c r="AR841" i="9"/>
  <c r="AR773" i="9"/>
  <c r="AR796" i="9" s="1"/>
  <c r="AR869" i="9" s="1"/>
  <c r="AR831" i="9"/>
  <c r="AR724" i="9"/>
  <c r="AR246" i="3"/>
  <c r="AR714" i="9"/>
  <c r="AR236" i="3"/>
  <c r="AR722" i="9"/>
  <c r="AR244" i="3"/>
  <c r="AR248" i="3"/>
  <c r="AR758" i="9"/>
  <c r="AR781" i="9" s="1"/>
  <c r="AR804" i="9" s="1"/>
  <c r="AR250" i="3"/>
  <c r="AR237" i="3"/>
  <c r="AR247" i="3"/>
  <c r="AR727" i="9"/>
  <c r="AR249" i="3"/>
  <c r="AR238" i="3"/>
  <c r="AR770" i="9"/>
  <c r="AR793" i="9" s="1"/>
  <c r="AR866" i="9" s="1"/>
  <c r="AR240" i="3"/>
  <c r="AR245" i="3"/>
  <c r="AR242" i="3"/>
  <c r="AR235" i="3"/>
  <c r="AR241" i="3"/>
  <c r="AR243" i="3"/>
  <c r="AR760" i="9"/>
  <c r="AR783" i="9" s="1"/>
  <c r="AR856" i="9" s="1"/>
  <c r="AR239" i="3"/>
  <c r="AR768" i="9"/>
  <c r="AR791" i="9" s="1"/>
  <c r="AR864" i="9" s="1"/>
  <c r="AR712" i="9"/>
  <c r="AR234" i="3"/>
  <c r="AQ852" i="9"/>
  <c r="AS257" i="26"/>
  <c r="AS71" i="26"/>
  <c r="AS259" i="26" s="1"/>
  <c r="AT68" i="26"/>
  <c r="AT205" i="26" s="1"/>
  <c r="AR130" i="30"/>
  <c r="AT162" i="3"/>
  <c r="AT185" i="3" s="1"/>
  <c r="AU43" i="3"/>
  <c r="AR232" i="3"/>
  <c r="AS97" i="26"/>
  <c r="AS221" i="6" s="1"/>
  <c r="AS198" i="26"/>
  <c r="AR154" i="6"/>
  <c r="AR98" i="30" s="1"/>
  <c r="AR187" i="30" s="1"/>
  <c r="AS123" i="26"/>
  <c r="AS267" i="26" s="1"/>
  <c r="AS150" i="26"/>
  <c r="AS180" i="30" s="1"/>
  <c r="AT173" i="26"/>
  <c r="AT268" i="26" s="1"/>
  <c r="AS174" i="26"/>
  <c r="AS208" i="26"/>
  <c r="AS294" i="26"/>
  <c r="AS178" i="1" s="1"/>
  <c r="AV441" i="9"/>
  <c r="AX437" i="9"/>
  <c r="AX446" i="9"/>
  <c r="AX444" i="9"/>
  <c r="AR231" i="3"/>
  <c r="AU439" i="9"/>
  <c r="AT434" i="9"/>
  <c r="AX449" i="9"/>
  <c r="AY443" i="9"/>
  <c r="AX516" i="9"/>
  <c r="AW517" i="9"/>
  <c r="AX505" i="9"/>
  <c r="AX507" i="9"/>
  <c r="AX502" i="9"/>
  <c r="AX509" i="9"/>
  <c r="AX519" i="9"/>
  <c r="AX514" i="9"/>
  <c r="AX415" i="9"/>
  <c r="AY409" i="9" s="1"/>
  <c r="AY413" i="9" s="1"/>
  <c r="AX149" i="9"/>
  <c r="AY143" i="9" s="1"/>
  <c r="AY147" i="9" s="1"/>
  <c r="AR178" i="20"/>
  <c r="AR183" i="20" s="1"/>
  <c r="AX92" i="9"/>
  <c r="AY86" i="9" s="1"/>
  <c r="AY90" i="9" s="1"/>
  <c r="AX225" i="9"/>
  <c r="AY219" i="9" s="1"/>
  <c r="AY223" i="9" s="1"/>
  <c r="AT193" i="26"/>
  <c r="AY1003" i="9"/>
  <c r="AX995" i="9"/>
  <c r="AX435" i="9"/>
  <c r="AX1002" i="9"/>
  <c r="AX442" i="9"/>
  <c r="AX1006" i="9"/>
  <c r="AX1004" i="9"/>
  <c r="AX1009" i="9"/>
  <c r="AV1001" i="9"/>
  <c r="AW377" i="9"/>
  <c r="AU67" i="9"/>
  <c r="AU71" i="9" s="1"/>
  <c r="AX997" i="9"/>
  <c r="AU999" i="9"/>
  <c r="AT994" i="9"/>
  <c r="AX358" i="9"/>
  <c r="AY352" i="9" s="1"/>
  <c r="AY356" i="9" s="1"/>
  <c r="AT75" i="3"/>
  <c r="AS121" i="3"/>
  <c r="AT89" i="3"/>
  <c r="AS135" i="3"/>
  <c r="AT76" i="3"/>
  <c r="AS122" i="3"/>
  <c r="AT86" i="3"/>
  <c r="AS132" i="3"/>
  <c r="AT71" i="3"/>
  <c r="AS117" i="3"/>
  <c r="AU139" i="3"/>
  <c r="AU152" i="3"/>
  <c r="AU147" i="3"/>
  <c r="AU153" i="3"/>
  <c r="AU145" i="3"/>
  <c r="AU154" i="3"/>
  <c r="AU156" i="3"/>
  <c r="AU149" i="3"/>
  <c r="AU150" i="3"/>
  <c r="AU142" i="3"/>
  <c r="AT82" i="3"/>
  <c r="AS128" i="3"/>
  <c r="AT78" i="3"/>
  <c r="AS124" i="3"/>
  <c r="AT73" i="3"/>
  <c r="AS119" i="3"/>
  <c r="AT83" i="3"/>
  <c r="AS129" i="3"/>
  <c r="AT80" i="3"/>
  <c r="AS126" i="3"/>
  <c r="AT87" i="3"/>
  <c r="AS133" i="3"/>
  <c r="AT84" i="3"/>
  <c r="AS130" i="3"/>
  <c r="AT72" i="3"/>
  <c r="AS118" i="3"/>
  <c r="AT88" i="3"/>
  <c r="AS134" i="3"/>
  <c r="AT74" i="3"/>
  <c r="AS120" i="3"/>
  <c r="AT79" i="3"/>
  <c r="AS125" i="3"/>
  <c r="AT77" i="3"/>
  <c r="AS123" i="3"/>
  <c r="AU144" i="3"/>
  <c r="AU158" i="3"/>
  <c r="AU157" i="3"/>
  <c r="AU148" i="3"/>
  <c r="AT81" i="3"/>
  <c r="AS127" i="3"/>
  <c r="AT70" i="3"/>
  <c r="AT85" i="3"/>
  <c r="AS131" i="3"/>
  <c r="AU146" i="3"/>
  <c r="AU143" i="3"/>
  <c r="AU141" i="3"/>
  <c r="AU151" i="3"/>
  <c r="AU140" i="3"/>
  <c r="AU155" i="3"/>
  <c r="AU5" i="3"/>
  <c r="AX320" i="9"/>
  <c r="AY314" i="9" s="1"/>
  <c r="AY318" i="9" s="1"/>
  <c r="AX187" i="9"/>
  <c r="AY181" i="9"/>
  <c r="AY185" i="9" s="1"/>
  <c r="AS107" i="6"/>
  <c r="AS111" i="6" s="1"/>
  <c r="AR168" i="20"/>
  <c r="AS179" i="20"/>
  <c r="AT146" i="26"/>
  <c r="AT94" i="26"/>
  <c r="AT220" i="26" s="1"/>
  <c r="AT119" i="26"/>
  <c r="AT121" i="26"/>
  <c r="AT248" i="26" s="1"/>
  <c r="AT219" i="26"/>
  <c r="AU12" i="3"/>
  <c r="AU3" i="3" s="1"/>
  <c r="AU24" i="3"/>
  <c r="AU4" i="38"/>
  <c r="AT99" i="3"/>
  <c r="AT109" i="3"/>
  <c r="AV8" i="3"/>
  <c r="AT96" i="3"/>
  <c r="AT106" i="3"/>
  <c r="AT103" i="3"/>
  <c r="AT110" i="3"/>
  <c r="AT107" i="3"/>
  <c r="AT112" i="3"/>
  <c r="AT95" i="3"/>
  <c r="AT111" i="3"/>
  <c r="AT97" i="3"/>
  <c r="AT102" i="3"/>
  <c r="AT100" i="3"/>
  <c r="AT94" i="3"/>
  <c r="AT104" i="3"/>
  <c r="AT105" i="3"/>
  <c r="AT93" i="3"/>
  <c r="AT101" i="3"/>
  <c r="AT98" i="3"/>
  <c r="AT108" i="3"/>
  <c r="AT169" i="26" l="1"/>
  <c r="AR64" i="33"/>
  <c r="AR74" i="33"/>
  <c r="AR745" i="9"/>
  <c r="AR737" i="9"/>
  <c r="AS691" i="9" s="1"/>
  <c r="AR735" i="9"/>
  <c r="AS689" i="9" s="1"/>
  <c r="AR747" i="9"/>
  <c r="AS701" i="9" s="1"/>
  <c r="AR750" i="9"/>
  <c r="AS704" i="9" s="1"/>
  <c r="AT247" i="26"/>
  <c r="AT149" i="26"/>
  <c r="AT145" i="26"/>
  <c r="AT24" i="32"/>
  <c r="AT153" i="30"/>
  <c r="AR50" i="30"/>
  <c r="AU3" i="38"/>
  <c r="AU39" i="3"/>
  <c r="AU5" i="26"/>
  <c r="AU183" i="26" s="1"/>
  <c r="AU347" i="3"/>
  <c r="AU346" i="3"/>
  <c r="AS256" i="3"/>
  <c r="AS279" i="3" s="1"/>
  <c r="AS210" i="3"/>
  <c r="AS233" i="3" s="1"/>
  <c r="AR814" i="9"/>
  <c r="AR806" i="9"/>
  <c r="AR816" i="9"/>
  <c r="AR819" i="9"/>
  <c r="AS265" i="3"/>
  <c r="AS288" i="3" s="1"/>
  <c r="AS219" i="3"/>
  <c r="AS263" i="3"/>
  <c r="AS286" i="3" s="1"/>
  <c r="AS217" i="3"/>
  <c r="AS272" i="3"/>
  <c r="AS295" i="3" s="1"/>
  <c r="AS226" i="3"/>
  <c r="AS268" i="3"/>
  <c r="AS291" i="3" s="1"/>
  <c r="AS222" i="3"/>
  <c r="AS264" i="3"/>
  <c r="AS287" i="3" s="1"/>
  <c r="AS218" i="3"/>
  <c r="AS257" i="3"/>
  <c r="AS280" i="3" s="1"/>
  <c r="AS211" i="3"/>
  <c r="AS266" i="3"/>
  <c r="AS289" i="3" s="1"/>
  <c r="AS220" i="3"/>
  <c r="AS260" i="3"/>
  <c r="AS283" i="3" s="1"/>
  <c r="AS214" i="3"/>
  <c r="AS259" i="3"/>
  <c r="AS282" i="3" s="1"/>
  <c r="AS213" i="3"/>
  <c r="AR854" i="9"/>
  <c r="AS223" i="3"/>
  <c r="AS269" i="3"/>
  <c r="AS292" i="3" s="1"/>
  <c r="AS261" i="3"/>
  <c r="AS284" i="3" s="1"/>
  <c r="AS215" i="3"/>
  <c r="AS258" i="3"/>
  <c r="AS281" i="3" s="1"/>
  <c r="AS212" i="3"/>
  <c r="AS271" i="3"/>
  <c r="AS294" i="3" s="1"/>
  <c r="AS225" i="3"/>
  <c r="AS267" i="3"/>
  <c r="AS290" i="3" s="1"/>
  <c r="AS221" i="3"/>
  <c r="AS262" i="3"/>
  <c r="AS285" i="3" s="1"/>
  <c r="AS216" i="3"/>
  <c r="AS270" i="3"/>
  <c r="AS293" i="3" s="1"/>
  <c r="AS224" i="3"/>
  <c r="AS227" i="3"/>
  <c r="AS273" i="3"/>
  <c r="AS296" i="3" s="1"/>
  <c r="AS699" i="9"/>
  <c r="AR756" i="9"/>
  <c r="AR779" i="9" s="1"/>
  <c r="AR802" i="9" s="1"/>
  <c r="AR829" i="9"/>
  <c r="AU185" i="26"/>
  <c r="AS261" i="26"/>
  <c r="AT208" i="26"/>
  <c r="AT71" i="26"/>
  <c r="AT259" i="26" s="1"/>
  <c r="AT198" i="26"/>
  <c r="AU30" i="3"/>
  <c r="AS223" i="6"/>
  <c r="AT220" i="6" s="1"/>
  <c r="AS180" i="20"/>
  <c r="AR48" i="30"/>
  <c r="AR710" i="9"/>
  <c r="AS209" i="3"/>
  <c r="AS255" i="3"/>
  <c r="AS278" i="3" s="1"/>
  <c r="AS281" i="26"/>
  <c r="AT276" i="26" s="1"/>
  <c r="AU5" i="38"/>
  <c r="AU51" i="3"/>
  <c r="AU166" i="3" s="1"/>
  <c r="AU189" i="3" s="1"/>
  <c r="AU63" i="3"/>
  <c r="AU178" i="3" s="1"/>
  <c r="AU201" i="3" s="1"/>
  <c r="AU52" i="3"/>
  <c r="AU167" i="3" s="1"/>
  <c r="AU190" i="3" s="1"/>
  <c r="AU60" i="3"/>
  <c r="AU175" i="3" s="1"/>
  <c r="AU198" i="3" s="1"/>
  <c r="AU56" i="3"/>
  <c r="AU171" i="3" s="1"/>
  <c r="AU194" i="3" s="1"/>
  <c r="AU55" i="3"/>
  <c r="AU170" i="3" s="1"/>
  <c r="AU193" i="3" s="1"/>
  <c r="AU48" i="3"/>
  <c r="AU163" i="3" s="1"/>
  <c r="AU186" i="3" s="1"/>
  <c r="AU53" i="3"/>
  <c r="AU168" i="3" s="1"/>
  <c r="AU191" i="3" s="1"/>
  <c r="AU64" i="3"/>
  <c r="AU179" i="3" s="1"/>
  <c r="AU202" i="3" s="1"/>
  <c r="AU65" i="3"/>
  <c r="AU180" i="3" s="1"/>
  <c r="AU203" i="3" s="1"/>
  <c r="AU50" i="3"/>
  <c r="AU165" i="3" s="1"/>
  <c r="AU188" i="3" s="1"/>
  <c r="AU58" i="3"/>
  <c r="AU173" i="3" s="1"/>
  <c r="AU196" i="3" s="1"/>
  <c r="AU66" i="3"/>
  <c r="AU59" i="3"/>
  <c r="AU174" i="3" s="1"/>
  <c r="AU197" i="3" s="1"/>
  <c r="AU57" i="3"/>
  <c r="AU172" i="3" s="1"/>
  <c r="AU195" i="3" s="1"/>
  <c r="AU54" i="3"/>
  <c r="AU169" i="3" s="1"/>
  <c r="AU192" i="3" s="1"/>
  <c r="AU62" i="3"/>
  <c r="AU177" i="3" s="1"/>
  <c r="AU200" i="3" s="1"/>
  <c r="AU61" i="3"/>
  <c r="AU176" i="3" s="1"/>
  <c r="AU199" i="3" s="1"/>
  <c r="AU49" i="3"/>
  <c r="AU164" i="3" s="1"/>
  <c r="AU187" i="3" s="1"/>
  <c r="AU47" i="3"/>
  <c r="AU162" i="3" s="1"/>
  <c r="AU185" i="3" s="1"/>
  <c r="AS72" i="33"/>
  <c r="AT174" i="26"/>
  <c r="AS299" i="26"/>
  <c r="AU166" i="26"/>
  <c r="AU3" i="33"/>
  <c r="AU3" i="35"/>
  <c r="AT207" i="26"/>
  <c r="AT123" i="26"/>
  <c r="AT267" i="26" s="1"/>
  <c r="AT294" i="26"/>
  <c r="AT178" i="1" s="1"/>
  <c r="AT206" i="26"/>
  <c r="AT97" i="26"/>
  <c r="AT221" i="6" s="1"/>
  <c r="AU4" i="33"/>
  <c r="AU4" i="35"/>
  <c r="AU5" i="33"/>
  <c r="AU5" i="35"/>
  <c r="AR277" i="3"/>
  <c r="AY450" i="9"/>
  <c r="AY447" i="9"/>
  <c r="AY440" i="9"/>
  <c r="AY433" i="9"/>
  <c r="AU432" i="9"/>
  <c r="AY445" i="9"/>
  <c r="AS208" i="3"/>
  <c r="AY438" i="9"/>
  <c r="AY436" i="9"/>
  <c r="AT503" i="9"/>
  <c r="AT1085" i="9" s="1"/>
  <c r="AX511" i="9"/>
  <c r="AU508" i="9"/>
  <c r="AV510" i="9"/>
  <c r="AX504" i="9"/>
  <c r="AX513" i="9"/>
  <c r="AX506" i="9"/>
  <c r="AX518" i="9"/>
  <c r="AY512" i="9"/>
  <c r="AY1010" i="9"/>
  <c r="AY996" i="9"/>
  <c r="AY993" i="9"/>
  <c r="AT106" i="6"/>
  <c r="AU3" i="28"/>
  <c r="AU3" i="32"/>
  <c r="AU3" i="30"/>
  <c r="AU16" i="3"/>
  <c r="AU18" i="3" s="1"/>
  <c r="AU4" i="32"/>
  <c r="AU4" i="30"/>
  <c r="AU5" i="32"/>
  <c r="AU5" i="30"/>
  <c r="AY282" i="9"/>
  <c r="AZ276" i="9" s="1"/>
  <c r="AZ280" i="9" s="1"/>
  <c r="AY1000" i="9"/>
  <c r="AX263" i="9"/>
  <c r="AX130" i="9"/>
  <c r="AX339" i="9"/>
  <c r="AX515" i="9"/>
  <c r="AX301" i="9"/>
  <c r="AX396" i="9"/>
  <c r="AY390" i="9"/>
  <c r="AY394" i="9" s="1"/>
  <c r="AY333" i="9"/>
  <c r="AY337" i="9" s="1"/>
  <c r="AX371" i="9"/>
  <c r="AX375" i="9" s="1"/>
  <c r="AY295" i="9"/>
  <c r="AY299" i="9" s="1"/>
  <c r="AY257" i="9"/>
  <c r="AY261" i="9" s="1"/>
  <c r="AU206" i="9"/>
  <c r="AY124" i="9"/>
  <c r="AY128" i="9" s="1"/>
  <c r="AU992" i="9"/>
  <c r="AV244" i="9"/>
  <c r="AT111" i="9"/>
  <c r="AX168" i="9"/>
  <c r="AY162" i="9" s="1"/>
  <c r="AY166" i="9" s="1"/>
  <c r="AY1007" i="9"/>
  <c r="AU5" i="28"/>
  <c r="AY998" i="9"/>
  <c r="AY1005" i="9"/>
  <c r="AU131" i="26"/>
  <c r="AU105" i="26"/>
  <c r="AU116" i="26"/>
  <c r="AU143" i="26"/>
  <c r="AU112" i="26"/>
  <c r="AU235" i="26" s="1"/>
  <c r="AU136" i="26"/>
  <c r="AU113" i="26"/>
  <c r="AU4" i="28"/>
  <c r="AT179" i="1"/>
  <c r="AU53" i="26"/>
  <c r="AU54" i="26"/>
  <c r="AU55" i="26"/>
  <c r="AU56" i="26"/>
  <c r="AU89" i="26"/>
  <c r="AU90" i="26"/>
  <c r="AU81" i="26"/>
  <c r="AU84" i="26"/>
  <c r="AU4" i="20"/>
  <c r="AU4" i="26"/>
  <c r="AU4" i="12"/>
  <c r="AU3" i="26"/>
  <c r="AU4" i="9"/>
  <c r="AU4" i="22"/>
  <c r="AU4" i="11"/>
  <c r="AU4" i="16"/>
  <c r="AU5" i="22"/>
  <c r="AU5" i="20"/>
  <c r="AU3" i="20"/>
  <c r="AU3" i="22"/>
  <c r="AU5" i="16"/>
  <c r="AU5" i="12"/>
  <c r="AU5" i="11"/>
  <c r="AU5" i="9"/>
  <c r="AV10" i="3"/>
  <c r="AV4" i="3" s="1"/>
  <c r="AV2" i="44" s="1" a="1"/>
  <c r="AV2" i="44" s="1"/>
  <c r="AU3" i="16"/>
  <c r="AU3" i="12"/>
  <c r="AU3" i="11"/>
  <c r="AU3" i="9"/>
  <c r="D3" i="1"/>
  <c r="H6" i="6"/>
  <c r="D6" i="6"/>
  <c r="H6" i="1"/>
  <c r="D6" i="1"/>
  <c r="D4" i="6"/>
  <c r="D3" i="6"/>
  <c r="D5" i="1"/>
  <c r="D4" i="1"/>
  <c r="D4" i="4"/>
  <c r="D5" i="4"/>
  <c r="D3" i="4"/>
  <c r="AU85" i="26" l="1"/>
  <c r="AU88" i="26"/>
  <c r="AU58" i="26"/>
  <c r="AU62" i="26"/>
  <c r="AU115" i="26"/>
  <c r="AU117" i="26"/>
  <c r="AU107" i="26"/>
  <c r="AU110" i="26"/>
  <c r="AU155" i="26"/>
  <c r="AU184" i="26"/>
  <c r="AU80" i="26"/>
  <c r="AU66" i="26"/>
  <c r="AU65" i="26"/>
  <c r="AU134" i="26"/>
  <c r="AU148" i="26" s="1"/>
  <c r="AU137" i="26"/>
  <c r="AU139" i="26"/>
  <c r="AU142" i="26"/>
  <c r="AU162" i="26"/>
  <c r="AR733" i="9"/>
  <c r="AS687" i="9" s="1"/>
  <c r="AU181" i="3"/>
  <c r="AU204" i="3" s="1"/>
  <c r="AT150" i="26"/>
  <c r="AT180" i="30" s="1"/>
  <c r="AT72" i="33" s="1"/>
  <c r="AU83" i="26"/>
  <c r="AU79" i="26"/>
  <c r="AU95" i="26" s="1"/>
  <c r="AU180" i="1" s="1"/>
  <c r="AU91" i="26"/>
  <c r="AU86" i="26"/>
  <c r="AU234" i="26" s="1"/>
  <c r="AU67" i="26"/>
  <c r="AU63" i="26"/>
  <c r="AU59" i="26"/>
  <c r="AU114" i="26"/>
  <c r="AU133" i="26"/>
  <c r="AU138" i="26"/>
  <c r="AU106" i="26"/>
  <c r="AU141" i="26"/>
  <c r="AU109" i="26"/>
  <c r="AU104" i="26"/>
  <c r="AU164" i="26"/>
  <c r="AU156" i="26"/>
  <c r="AU170" i="26" s="1"/>
  <c r="AU222" i="26" s="1"/>
  <c r="AU178" i="26"/>
  <c r="AU87" i="26"/>
  <c r="AU78" i="26"/>
  <c r="AU93" i="26" s="1"/>
  <c r="AU82" i="26"/>
  <c r="AU92" i="26"/>
  <c r="AU64" i="26"/>
  <c r="AU61" i="26"/>
  <c r="AU60" i="26"/>
  <c r="AU57" i="26"/>
  <c r="AU132" i="26"/>
  <c r="AU108" i="26"/>
  <c r="AU130" i="26"/>
  <c r="AU149" i="26" s="1"/>
  <c r="AU140" i="26"/>
  <c r="AU135" i="26"/>
  <c r="AU144" i="26"/>
  <c r="AU111" i="26"/>
  <c r="AU118" i="26"/>
  <c r="AU158" i="26"/>
  <c r="AU172" i="26" s="1"/>
  <c r="AU236" i="26" s="1"/>
  <c r="AU160" i="26"/>
  <c r="AU189" i="26"/>
  <c r="AU154" i="26"/>
  <c r="AU173" i="26" s="1"/>
  <c r="AU268" i="26" s="1"/>
  <c r="AU167" i="26"/>
  <c r="AU165" i="26"/>
  <c r="AU163" i="26"/>
  <c r="AU180" i="26"/>
  <c r="AU194" i="26" s="1"/>
  <c r="AU295" i="26" s="1"/>
  <c r="AU161" i="26"/>
  <c r="AU159" i="26"/>
  <c r="AU157" i="26"/>
  <c r="AU171" i="26" s="1"/>
  <c r="AU249" i="26" s="1"/>
  <c r="AU168" i="26"/>
  <c r="AU188" i="26"/>
  <c r="AU181" i="20" a="1"/>
  <c r="AU181" i="20" s="1"/>
  <c r="AU154" i="20" a="1"/>
  <c r="AU154" i="20" s="1"/>
  <c r="AU146" i="20" a="1"/>
  <c r="AU146" i="20" s="1"/>
  <c r="AU145" i="20" a="1"/>
  <c r="AU145" i="20" s="1"/>
  <c r="AU144" i="20" a="1"/>
  <c r="AU144" i="20" s="1"/>
  <c r="AU198" i="20" a="1"/>
  <c r="AU198" i="20" s="1"/>
  <c r="AU148" i="20" a="1"/>
  <c r="AU148" i="20" s="1"/>
  <c r="AU150" i="20" a="1"/>
  <c r="AU150" i="20" s="1"/>
  <c r="AU149" i="20" a="1"/>
  <c r="AU149" i="20" s="1"/>
  <c r="AU131" i="20" a="1"/>
  <c r="AU131" i="20" s="1"/>
  <c r="AU129" i="20" a="1"/>
  <c r="AU129" i="20" s="1"/>
  <c r="AU128" i="20" a="1"/>
  <c r="AU128" i="20" s="1"/>
  <c r="AU127" i="20" a="1"/>
  <c r="AU127" i="20" s="1"/>
  <c r="AU126" i="20" a="1"/>
  <c r="AU126" i="20" s="1"/>
  <c r="AU169" i="20" a="1"/>
  <c r="AU169" i="20" s="1"/>
  <c r="AU172" i="20" a="1"/>
  <c r="AU172" i="20" s="1"/>
  <c r="AU143" i="20" a="1"/>
  <c r="AU143" i="20" s="1"/>
  <c r="AU141" i="20" a="1"/>
  <c r="AU141" i="20" s="1"/>
  <c r="AU139" i="20" a="1"/>
  <c r="AU139" i="20" s="1"/>
  <c r="AU137" i="20" a="1"/>
  <c r="AU137" i="20" s="1"/>
  <c r="AU132" i="20" a="1"/>
  <c r="AU132" i="20" s="1"/>
  <c r="AU125" i="20" a="1"/>
  <c r="AU125" i="20" s="1"/>
  <c r="AU124" i="20" a="1"/>
  <c r="AU124" i="20" s="1"/>
  <c r="AU123" i="20" a="1"/>
  <c r="AU123" i="20" s="1"/>
  <c r="AU122" i="20" a="1"/>
  <c r="AU122" i="20" s="1"/>
  <c r="AU115" i="20" a="1"/>
  <c r="AU115" i="20" s="1"/>
  <c r="AU117" i="20" s="1"/>
  <c r="AU112" i="20" a="1"/>
  <c r="AU112" i="20" s="1"/>
  <c r="AU111" i="20" a="1"/>
  <c r="AU111" i="20" s="1"/>
  <c r="AU110" i="20" a="1"/>
  <c r="AU110" i="20" s="1"/>
  <c r="AU106" i="20" a="1"/>
  <c r="AU106" i="20" s="1"/>
  <c r="AU105" i="20" a="1"/>
  <c r="AU105" i="20" s="1"/>
  <c r="AU133" i="20" a="1"/>
  <c r="AU133" i="20" s="1"/>
  <c r="AU104" i="20" a="1"/>
  <c r="AU104" i="20" s="1"/>
  <c r="AU142" i="20" a="1"/>
  <c r="AU142" i="20" s="1"/>
  <c r="AU140" i="20" a="1"/>
  <c r="AU140" i="20" s="1"/>
  <c r="AU138" i="20" a="1"/>
  <c r="AU138" i="20" s="1"/>
  <c r="AU103" i="20" a="1"/>
  <c r="AU103" i="20" s="1"/>
  <c r="AU102" i="20" a="1"/>
  <c r="AU102" i="20" s="1"/>
  <c r="AU101" i="20" a="1"/>
  <c r="AU101" i="20" s="1"/>
  <c r="AU97" i="20" a="1"/>
  <c r="AU97" i="20" s="1"/>
  <c r="AU96" i="20" a="1"/>
  <c r="AU96" i="20" s="1"/>
  <c r="AU95" i="20" a="1"/>
  <c r="AU95" i="20" s="1"/>
  <c r="AU94" i="20" a="1"/>
  <c r="AU94" i="20" s="1"/>
  <c r="AU93" i="20" a="1"/>
  <c r="AU93" i="20" s="1"/>
  <c r="AU92" i="20" a="1"/>
  <c r="AU92" i="20" s="1"/>
  <c r="AU91" i="20" a="1"/>
  <c r="AU91" i="20" s="1"/>
  <c r="AU90" i="20" a="1"/>
  <c r="AU90" i="20" s="1"/>
  <c r="AU89" i="20" a="1"/>
  <c r="AU89" i="20" s="1"/>
  <c r="AU88" i="20" a="1"/>
  <c r="AU88" i="20" s="1"/>
  <c r="AU87" i="20" a="1"/>
  <c r="AU87" i="20" s="1"/>
  <c r="AU83" i="20" a="1"/>
  <c r="AU83" i="20" s="1"/>
  <c r="AU82" i="20" a="1"/>
  <c r="AU82" i="20" s="1"/>
  <c r="AU78" i="20" a="1"/>
  <c r="AU78" i="20" s="1"/>
  <c r="AU74" i="20" a="1"/>
  <c r="AU74" i="20" s="1"/>
  <c r="AU68" i="20" a="1"/>
  <c r="AU68" i="20" s="1"/>
  <c r="AU61" i="20" a="1"/>
  <c r="AU61" i="20" s="1"/>
  <c r="AU56" i="20" a="1"/>
  <c r="AU56" i="20" s="1"/>
  <c r="AU50" i="20" a="1"/>
  <c r="AU50" i="20" s="1"/>
  <c r="AU38" i="20" a="1"/>
  <c r="AU38" i="20" s="1"/>
  <c r="AU36" i="20" a="1"/>
  <c r="AU36" i="20" s="1"/>
  <c r="AU35" i="20" a="1"/>
  <c r="AU35" i="20" s="1"/>
  <c r="AU34" i="20" a="1"/>
  <c r="AU34" i="20" s="1"/>
  <c r="AU33" i="20" a="1"/>
  <c r="AU33" i="20" s="1"/>
  <c r="AU32" i="20" a="1"/>
  <c r="AU32" i="20" s="1"/>
  <c r="AU29" i="20" a="1"/>
  <c r="AU29" i="20" s="1"/>
  <c r="AU27" i="20" a="1"/>
  <c r="AU27" i="20" s="1"/>
  <c r="AU26" i="20" a="1"/>
  <c r="AU26" i="20" s="1"/>
  <c r="AU25" i="20" a="1"/>
  <c r="AU25" i="20" s="1"/>
  <c r="AU24" i="20" a="1"/>
  <c r="AU24" i="20" s="1"/>
  <c r="AU23" i="20" a="1"/>
  <c r="AU23" i="20" s="1"/>
  <c r="AU22" i="20" a="1"/>
  <c r="AU22" i="20" s="1"/>
  <c r="AU21" i="20" a="1"/>
  <c r="AU21" i="20" s="1"/>
  <c r="AU20" i="20" a="1"/>
  <c r="AU20" i="20" s="1"/>
  <c r="AU19" i="20" a="1"/>
  <c r="AU19" i="20" s="1"/>
  <c r="AU16" i="20" a="1"/>
  <c r="AU16" i="20" s="1"/>
  <c r="AU13" i="20" a="1"/>
  <c r="AU13" i="20" s="1"/>
  <c r="AU12" i="20" a="1"/>
  <c r="AU12" i="20" s="1"/>
  <c r="AU79" i="20" a="1"/>
  <c r="AU79" i="20" s="1"/>
  <c r="AU71" i="20" a="1"/>
  <c r="AU71" i="20" s="1"/>
  <c r="AU53" i="20" a="1"/>
  <c r="AU53" i="20" s="1"/>
  <c r="AU46" i="20" a="1"/>
  <c r="AU46" i="20" s="1"/>
  <c r="AU81" i="20" a="1"/>
  <c r="AU81" i="20" s="1"/>
  <c r="AU77" i="20" a="1"/>
  <c r="AU77" i="20" s="1"/>
  <c r="AU73" i="20" a="1"/>
  <c r="AU73" i="20" s="1"/>
  <c r="AU66" i="20" a="1"/>
  <c r="AU66" i="20" s="1"/>
  <c r="AU59" i="20" a="1"/>
  <c r="AU59" i="20" s="1"/>
  <c r="AU55" i="20" a="1"/>
  <c r="AU55" i="20" s="1"/>
  <c r="AU48" i="20" a="1"/>
  <c r="AU48" i="20" s="1"/>
  <c r="AU44" i="20" a="1"/>
  <c r="AU44" i="20" s="1"/>
  <c r="AU42" i="20" a="1"/>
  <c r="AU42" i="20" s="1"/>
  <c r="AU80" i="20" a="1"/>
  <c r="AU80" i="20" s="1"/>
  <c r="AU76" i="20" a="1"/>
  <c r="AU76" i="20" s="1"/>
  <c r="AU72" i="20" a="1"/>
  <c r="AU72" i="20" s="1"/>
  <c r="AU65" i="20" a="1"/>
  <c r="AU65" i="20" s="1"/>
  <c r="AU58" i="20" a="1"/>
  <c r="AU58" i="20" s="1"/>
  <c r="AU54" i="20" a="1"/>
  <c r="AU54" i="20" s="1"/>
  <c r="AU47" i="20" a="1"/>
  <c r="AU47" i="20" s="1"/>
  <c r="AU75" i="20" a="1"/>
  <c r="AU75" i="20" s="1"/>
  <c r="AU64" i="20" a="1"/>
  <c r="AU64" i="20" s="1"/>
  <c r="AU57" i="20" a="1"/>
  <c r="AU57" i="20" s="1"/>
  <c r="AU45" i="20" a="1"/>
  <c r="AU45" i="20" s="1"/>
  <c r="AU43" i="20" a="1"/>
  <c r="AU43" i="20" s="1"/>
  <c r="AU41" i="20" a="1"/>
  <c r="AU41" i="20" s="1"/>
  <c r="AU179" i="26"/>
  <c r="AU187" i="26"/>
  <c r="AS52" i="30"/>
  <c r="AS183" i="1"/>
  <c r="AU186" i="26"/>
  <c r="AU182" i="26"/>
  <c r="AU196" i="26" s="1"/>
  <c r="AU297" i="26" s="1"/>
  <c r="AU181" i="26"/>
  <c r="AU195" i="26" s="1"/>
  <c r="AU296" i="26" s="1"/>
  <c r="AU191" i="26"/>
  <c r="AU192" i="26"/>
  <c r="AU190" i="26"/>
  <c r="AU83" i="9"/>
  <c r="AU102" i="9"/>
  <c r="AU140" i="9"/>
  <c r="AU178" i="9"/>
  <c r="AU216" i="9"/>
  <c r="AU254" i="9"/>
  <c r="AU292" i="9"/>
  <c r="AU330" i="9"/>
  <c r="AU368" i="9"/>
  <c r="AU406" i="9"/>
  <c r="AU121" i="9"/>
  <c r="AU273" i="9"/>
  <c r="AU64" i="9"/>
  <c r="AU159" i="9"/>
  <c r="AU311" i="9"/>
  <c r="AU197" i="9"/>
  <c r="AU387" i="9"/>
  <c r="AU235" i="9"/>
  <c r="AU425" i="9"/>
  <c r="AU349" i="9"/>
  <c r="AS846" i="9"/>
  <c r="AS843" i="9"/>
  <c r="AS841" i="9"/>
  <c r="AS833" i="9"/>
  <c r="AS831" i="9"/>
  <c r="AS773" i="9"/>
  <c r="AS796" i="9" s="1"/>
  <c r="AS869" i="9" s="1"/>
  <c r="AS760" i="9"/>
  <c r="AS783" i="9" s="1"/>
  <c r="AS856" i="9" s="1"/>
  <c r="AS247" i="3"/>
  <c r="AS770" i="9"/>
  <c r="AS793" i="9" s="1"/>
  <c r="AS866" i="9" s="1"/>
  <c r="AS237" i="3"/>
  <c r="AS243" i="3"/>
  <c r="AS239" i="3"/>
  <c r="AS248" i="3"/>
  <c r="AS238" i="3"/>
  <c r="AS724" i="9"/>
  <c r="AS246" i="3"/>
  <c r="AS768" i="9"/>
  <c r="AS791" i="9" s="1"/>
  <c r="AS864" i="9" s="1"/>
  <c r="AS241" i="3"/>
  <c r="AS727" i="9"/>
  <c r="AS249" i="3"/>
  <c r="AS714" i="9"/>
  <c r="AS236" i="3"/>
  <c r="AS712" i="9"/>
  <c r="AS234" i="3"/>
  <c r="AS242" i="3"/>
  <c r="AS250" i="3"/>
  <c r="AS722" i="9"/>
  <c r="AS244" i="3"/>
  <c r="AS235" i="3"/>
  <c r="AS245" i="3"/>
  <c r="AS240" i="3"/>
  <c r="AS758" i="9"/>
  <c r="AS781" i="9" s="1"/>
  <c r="AS804" i="9" s="1"/>
  <c r="AR852" i="9"/>
  <c r="AS34" i="6"/>
  <c r="AS69" i="30" s="1"/>
  <c r="AT257" i="26"/>
  <c r="AT261" i="26" s="1"/>
  <c r="AU257" i="26" s="1"/>
  <c r="AU68" i="26"/>
  <c r="AU205" i="26" s="1"/>
  <c r="AU70" i="26"/>
  <c r="AU233" i="26" s="1"/>
  <c r="AS130" i="30"/>
  <c r="AT223" i="6"/>
  <c r="AU220" i="6" s="1"/>
  <c r="AT180" i="20"/>
  <c r="AV43" i="3"/>
  <c r="AS232" i="3"/>
  <c r="AS154" i="6"/>
  <c r="AS98" i="30" s="1"/>
  <c r="AS187" i="30" s="1"/>
  <c r="AU120" i="26"/>
  <c r="AU221" i="26" s="1"/>
  <c r="AU197" i="26"/>
  <c r="AU298" i="26" s="1"/>
  <c r="AT299" i="26"/>
  <c r="AS178" i="20"/>
  <c r="AS183" i="20" s="1"/>
  <c r="AU169" i="26"/>
  <c r="AT107" i="6"/>
  <c r="AT94" i="6"/>
  <c r="AT88" i="35"/>
  <c r="AY449" i="9"/>
  <c r="AY444" i="9"/>
  <c r="AS231" i="3"/>
  <c r="AY437" i="9"/>
  <c r="AX448" i="9"/>
  <c r="AY446" i="9"/>
  <c r="AZ443" i="9"/>
  <c r="AS114" i="6"/>
  <c r="AS116" i="30" s="1"/>
  <c r="AU501" i="9"/>
  <c r="AY509" i="9"/>
  <c r="AY519" i="9"/>
  <c r="AY516" i="9"/>
  <c r="AY502" i="9"/>
  <c r="AY514" i="9"/>
  <c r="AY507" i="9"/>
  <c r="AY505" i="9"/>
  <c r="AY415" i="9"/>
  <c r="AZ409" i="9" s="1"/>
  <c r="AZ413" i="9" s="1"/>
  <c r="AY149" i="9"/>
  <c r="AZ143" i="9" s="1"/>
  <c r="AZ147" i="9" s="1"/>
  <c r="AZ86" i="9"/>
  <c r="AZ90" i="9" s="1"/>
  <c r="AY92" i="9"/>
  <c r="AY225" i="9"/>
  <c r="AZ219" i="9" s="1"/>
  <c r="AZ223" i="9" s="1"/>
  <c r="AZ1003" i="9"/>
  <c r="AY1006" i="9"/>
  <c r="AY1002" i="9"/>
  <c r="AY442" i="9"/>
  <c r="AY995" i="9"/>
  <c r="AY435" i="9"/>
  <c r="AY1009" i="9"/>
  <c r="AY1004" i="9"/>
  <c r="AV200" i="9"/>
  <c r="AV204" i="9" s="1"/>
  <c r="AW238" i="9"/>
  <c r="AW242" i="9" s="1"/>
  <c r="AU105" i="9"/>
  <c r="AU109" i="9" s="1"/>
  <c r="AY997" i="9"/>
  <c r="AU73" i="9"/>
  <c r="AX1008" i="9"/>
  <c r="AY358" i="9"/>
  <c r="AZ352" i="9" s="1"/>
  <c r="AZ356" i="9" s="1"/>
  <c r="AU85" i="3"/>
  <c r="AT131" i="3"/>
  <c r="AU73" i="3"/>
  <c r="AT119" i="3"/>
  <c r="AU75" i="3"/>
  <c r="AT121" i="3"/>
  <c r="AU78" i="3"/>
  <c r="AT124" i="3"/>
  <c r="AU84" i="3"/>
  <c r="AT130" i="3"/>
  <c r="AU82" i="3"/>
  <c r="AT128" i="3"/>
  <c r="AU88" i="3"/>
  <c r="AT134" i="3"/>
  <c r="AU83" i="3"/>
  <c r="AT129" i="3"/>
  <c r="AU71" i="3"/>
  <c r="AT117" i="3"/>
  <c r="AV157" i="3"/>
  <c r="AV154" i="3"/>
  <c r="AV143" i="3"/>
  <c r="AV151" i="3"/>
  <c r="AU86" i="3"/>
  <c r="AT132" i="3"/>
  <c r="AV139" i="3"/>
  <c r="AV141" i="3"/>
  <c r="AV144" i="3"/>
  <c r="AV140" i="3"/>
  <c r="AV145" i="3"/>
  <c r="AV147" i="3"/>
  <c r="AV156" i="3"/>
  <c r="AU76" i="3"/>
  <c r="AT122" i="3"/>
  <c r="AU80" i="3"/>
  <c r="AT126" i="3"/>
  <c r="AU87" i="3"/>
  <c r="AT133" i="3"/>
  <c r="AU89" i="3"/>
  <c r="AT135" i="3"/>
  <c r="AU77" i="3"/>
  <c r="AT123" i="3"/>
  <c r="AU70" i="3"/>
  <c r="AT116" i="3"/>
  <c r="AU81" i="3"/>
  <c r="AT127" i="3"/>
  <c r="AU79" i="3"/>
  <c r="AT125" i="3"/>
  <c r="AV146" i="3"/>
  <c r="AV142" i="3"/>
  <c r="AV152" i="3"/>
  <c r="AV155" i="3"/>
  <c r="AU74" i="3"/>
  <c r="AT120" i="3"/>
  <c r="AU72" i="3"/>
  <c r="AT118" i="3"/>
  <c r="AV153" i="3"/>
  <c r="AV149" i="3"/>
  <c r="AV148" i="3"/>
  <c r="AV158" i="3"/>
  <c r="AV150" i="3"/>
  <c r="AV5" i="3"/>
  <c r="AY320" i="9"/>
  <c r="AZ314" i="9" s="1"/>
  <c r="AZ318" i="9" s="1"/>
  <c r="AY187" i="9"/>
  <c r="AZ181" i="9" s="1"/>
  <c r="AZ185" i="9" s="1"/>
  <c r="AS168" i="20"/>
  <c r="AT179" i="20"/>
  <c r="AT281" i="26"/>
  <c r="AU146" i="26"/>
  <c r="AU145" i="26"/>
  <c r="AU147" i="26"/>
  <c r="AU94" i="26"/>
  <c r="AU220" i="26" s="1"/>
  <c r="AU119" i="26"/>
  <c r="AU121" i="26"/>
  <c r="AU248" i="26" s="1"/>
  <c r="AU219" i="26"/>
  <c r="AV12" i="3"/>
  <c r="AV3" i="3" s="1"/>
  <c r="AV24" i="3"/>
  <c r="AV4" i="38"/>
  <c r="AU109" i="3"/>
  <c r="AW8" i="3"/>
  <c r="AU112" i="3"/>
  <c r="AU100" i="3"/>
  <c r="AU93" i="3"/>
  <c r="AU104" i="3"/>
  <c r="AU102" i="3"/>
  <c r="AU103" i="3"/>
  <c r="AU97" i="3"/>
  <c r="AU108" i="3"/>
  <c r="AU96" i="3"/>
  <c r="AU95" i="3"/>
  <c r="AU98" i="3"/>
  <c r="AU99" i="3"/>
  <c r="AU110" i="3"/>
  <c r="AU101" i="3"/>
  <c r="AU107" i="3"/>
  <c r="AU105" i="3"/>
  <c r="AU111" i="3"/>
  <c r="AU106" i="3"/>
  <c r="AU94" i="3"/>
  <c r="D1" i="3"/>
  <c r="D6" i="3"/>
  <c r="AA5" i="6"/>
  <c r="BV3" i="4"/>
  <c r="BL1" i="4"/>
  <c r="AA1" i="4"/>
  <c r="V1" i="4"/>
  <c r="BL1" i="6"/>
  <c r="AA1" i="6"/>
  <c r="V1" i="6"/>
  <c r="V1" i="1"/>
  <c r="AA1" i="1"/>
  <c r="BL1" i="1"/>
  <c r="AU193" i="26" l="1"/>
  <c r="AS64" i="33"/>
  <c r="AS74" i="33"/>
  <c r="AU247" i="26"/>
  <c r="AS737" i="9"/>
  <c r="AS735" i="9"/>
  <c r="AS747" i="9"/>
  <c r="AS745" i="9"/>
  <c r="AT699" i="9" s="1"/>
  <c r="AS750" i="9"/>
  <c r="AS829" i="9"/>
  <c r="AS756" i="9"/>
  <c r="AS779" i="9" s="1"/>
  <c r="AS802" i="9" s="1"/>
  <c r="AS710" i="9"/>
  <c r="AS733" i="9" s="1"/>
  <c r="AU24" i="32"/>
  <c r="AU153" i="30"/>
  <c r="AT52" i="30"/>
  <c r="AS50" i="30"/>
  <c r="AV3" i="38"/>
  <c r="AV39" i="3"/>
  <c r="AT183" i="1"/>
  <c r="AV346" i="3"/>
  <c r="AV347" i="3"/>
  <c r="AT256" i="3"/>
  <c r="AT279" i="3" s="1"/>
  <c r="AT210" i="3"/>
  <c r="AT233" i="3" s="1"/>
  <c r="AS816" i="9"/>
  <c r="AS806" i="9"/>
  <c r="AS814" i="9"/>
  <c r="AS819" i="9"/>
  <c r="AT701" i="9"/>
  <c r="AT270" i="3"/>
  <c r="AT293" i="3" s="1"/>
  <c r="AT224" i="3"/>
  <c r="AT221" i="3"/>
  <c r="AT267" i="3"/>
  <c r="AT290" i="3" s="1"/>
  <c r="AT220" i="3"/>
  <c r="AT266" i="3"/>
  <c r="AT289" i="3" s="1"/>
  <c r="AT262" i="3"/>
  <c r="AT285" i="3" s="1"/>
  <c r="AT216" i="3"/>
  <c r="AT257" i="3"/>
  <c r="AT280" i="3" s="1"/>
  <c r="AT211" i="3"/>
  <c r="AT691" i="9"/>
  <c r="AT263" i="3"/>
  <c r="AT286" i="3" s="1"/>
  <c r="AT217" i="3"/>
  <c r="AT227" i="3"/>
  <c r="AT273" i="3"/>
  <c r="AT296" i="3" s="1"/>
  <c r="AT264" i="3"/>
  <c r="AT287" i="3" s="1"/>
  <c r="AT218" i="3"/>
  <c r="AS854" i="9"/>
  <c r="AT226" i="3"/>
  <c r="AT272" i="3"/>
  <c r="AT295" i="3" s="1"/>
  <c r="AT268" i="3"/>
  <c r="AT291" i="3" s="1"/>
  <c r="AT222" i="3"/>
  <c r="AT213" i="3"/>
  <c r="AT259" i="3"/>
  <c r="AT282" i="3" s="1"/>
  <c r="AT269" i="3"/>
  <c r="AT292" i="3" s="1"/>
  <c r="AT223" i="3"/>
  <c r="AT689" i="9"/>
  <c r="AT704" i="9"/>
  <c r="AT258" i="3"/>
  <c r="AT281" i="3" s="1"/>
  <c r="AT212" i="3"/>
  <c r="AT219" i="3"/>
  <c r="AT265" i="3"/>
  <c r="AT288" i="3" s="1"/>
  <c r="AT261" i="3"/>
  <c r="AT284" i="3" s="1"/>
  <c r="AT215" i="3"/>
  <c r="AT225" i="3"/>
  <c r="AT271" i="3"/>
  <c r="AT294" i="3" s="1"/>
  <c r="AT260" i="3"/>
  <c r="AT283" i="3" s="1"/>
  <c r="AT214" i="3"/>
  <c r="AS852" i="9"/>
  <c r="N26" i="14" a="1"/>
  <c r="N26" i="14" s="1"/>
  <c r="N14" i="14" a="1"/>
  <c r="N14" i="14" s="1"/>
  <c r="N13" i="14" a="1"/>
  <c r="N13" i="14" s="1"/>
  <c r="N25" i="14" a="1"/>
  <c r="N25" i="14" s="1"/>
  <c r="N19" i="14" a="1"/>
  <c r="N19" i="14" s="1"/>
  <c r="N28" i="14" a="1"/>
  <c r="N28" i="14" s="1"/>
  <c r="N16" i="14" a="1"/>
  <c r="N16" i="14" s="1"/>
  <c r="N18" i="14" a="1"/>
  <c r="N18" i="14" s="1"/>
  <c r="N20" i="14" a="1"/>
  <c r="N20" i="14" s="1"/>
  <c r="AT34" i="6"/>
  <c r="AT69" i="30" s="1"/>
  <c r="AU71" i="26"/>
  <c r="AU259" i="26" s="1"/>
  <c r="AU261" i="26" s="1"/>
  <c r="AT130" i="30"/>
  <c r="AV30" i="3"/>
  <c r="AS48" i="30"/>
  <c r="AT687" i="9"/>
  <c r="AT209" i="3"/>
  <c r="AT255" i="3"/>
  <c r="AT278" i="3" s="1"/>
  <c r="BM5" i="38"/>
  <c r="AV5" i="38"/>
  <c r="AV55" i="3"/>
  <c r="AV170" i="3" s="1"/>
  <c r="AV193" i="3" s="1"/>
  <c r="AV48" i="3"/>
  <c r="AV163" i="3" s="1"/>
  <c r="AV186" i="3" s="1"/>
  <c r="AV56" i="3"/>
  <c r="AV171" i="3" s="1"/>
  <c r="AV194" i="3" s="1"/>
  <c r="AV51" i="3"/>
  <c r="AV166" i="3" s="1"/>
  <c r="AV189" i="3" s="1"/>
  <c r="AV63" i="3"/>
  <c r="AV178" i="3" s="1"/>
  <c r="AV201" i="3" s="1"/>
  <c r="AV52" i="3"/>
  <c r="AV167" i="3" s="1"/>
  <c r="AV190" i="3" s="1"/>
  <c r="AV60" i="3"/>
  <c r="AV175" i="3" s="1"/>
  <c r="AV198" i="3" s="1"/>
  <c r="AV57" i="3"/>
  <c r="AV172" i="3" s="1"/>
  <c r="AV195" i="3" s="1"/>
  <c r="AV49" i="3"/>
  <c r="AV164" i="3" s="1"/>
  <c r="AV187" i="3" s="1"/>
  <c r="AV54" i="3"/>
  <c r="AV169" i="3" s="1"/>
  <c r="AV192" i="3" s="1"/>
  <c r="AV62" i="3"/>
  <c r="AV177" i="3" s="1"/>
  <c r="AV200" i="3" s="1"/>
  <c r="AV47" i="3"/>
  <c r="AV162" i="3" s="1"/>
  <c r="AV185" i="3" s="1"/>
  <c r="AV53" i="3"/>
  <c r="AV168" i="3" s="1"/>
  <c r="AV191" i="3" s="1"/>
  <c r="AV61" i="3"/>
  <c r="AV176" i="3" s="1"/>
  <c r="AV199" i="3" s="1"/>
  <c r="AV64" i="3"/>
  <c r="AV179" i="3" s="1"/>
  <c r="AV202" i="3" s="1"/>
  <c r="AV65" i="3"/>
  <c r="AV180" i="3" s="1"/>
  <c r="AV203" i="3" s="1"/>
  <c r="AV58" i="3"/>
  <c r="AV173" i="3" s="1"/>
  <c r="AV196" i="3" s="1"/>
  <c r="AV66" i="3"/>
  <c r="AV59" i="3"/>
  <c r="AV174" i="3" s="1"/>
  <c r="AV197" i="3" s="1"/>
  <c r="AV50" i="3"/>
  <c r="AV165" i="3" s="1"/>
  <c r="AV188" i="3" s="1"/>
  <c r="AU198" i="26"/>
  <c r="AT111" i="6"/>
  <c r="AU174" i="26"/>
  <c r="AU208" i="26"/>
  <c r="AU150" i="26"/>
  <c r="AU180" i="30" s="1"/>
  <c r="AV3" i="33"/>
  <c r="AV3" i="35"/>
  <c r="AS277" i="3"/>
  <c r="AU207" i="26"/>
  <c r="AU123" i="26"/>
  <c r="AU267" i="26" s="1"/>
  <c r="AV5" i="33"/>
  <c r="AV5" i="35"/>
  <c r="AU294" i="26"/>
  <c r="AU178" i="1" s="1"/>
  <c r="AU206" i="26"/>
  <c r="AU97" i="26"/>
  <c r="AU221" i="6" s="1"/>
  <c r="AV4" i="33"/>
  <c r="AV4" i="35"/>
  <c r="BM5" i="33"/>
  <c r="BM5" i="35"/>
  <c r="AW441" i="9"/>
  <c r="AZ440" i="9"/>
  <c r="AZ450" i="9"/>
  <c r="AT208" i="3"/>
  <c r="AT231" i="3" s="1"/>
  <c r="AT254" i="3"/>
  <c r="AV439" i="9"/>
  <c r="AZ433" i="9"/>
  <c r="AU434" i="9"/>
  <c r="AZ436" i="9"/>
  <c r="AZ438" i="9"/>
  <c r="AZ445" i="9"/>
  <c r="AZ447" i="9"/>
  <c r="AX517" i="9"/>
  <c r="AY511" i="9"/>
  <c r="AZ512" i="9"/>
  <c r="AY506" i="9"/>
  <c r="AY513" i="9"/>
  <c r="AY515" i="9"/>
  <c r="AY504" i="9"/>
  <c r="AZ1010" i="9"/>
  <c r="AZ996" i="9"/>
  <c r="AZ993" i="9"/>
  <c r="AZ1000" i="9"/>
  <c r="AV16" i="3"/>
  <c r="AV18" i="3" s="1"/>
  <c r="AV4" i="32"/>
  <c r="AV4" i="30"/>
  <c r="AV3" i="28"/>
  <c r="AV3" i="32"/>
  <c r="AV3" i="30"/>
  <c r="AV5" i="26"/>
  <c r="AV5" i="32"/>
  <c r="AV5" i="30"/>
  <c r="BM5" i="32"/>
  <c r="BM5" i="30"/>
  <c r="AZ282" i="9"/>
  <c r="BA276" i="9" s="1"/>
  <c r="BA280" i="9" s="1"/>
  <c r="AY263" i="9"/>
  <c r="AZ257" i="9" s="1"/>
  <c r="AZ261" i="9" s="1"/>
  <c r="AY339" i="9"/>
  <c r="AY130" i="9"/>
  <c r="AY396" i="9"/>
  <c r="AY518" i="9"/>
  <c r="AY301" i="9"/>
  <c r="AZ390" i="9"/>
  <c r="AZ394" i="9" s="1"/>
  <c r="AZ396" i="9" s="1"/>
  <c r="AZ124" i="9"/>
  <c r="AZ128" i="9" s="1"/>
  <c r="AV999" i="9"/>
  <c r="AZ333" i="9"/>
  <c r="AZ337" i="9" s="1"/>
  <c r="AY168" i="9"/>
  <c r="AZ162" i="9" s="1"/>
  <c r="AZ166" i="9" s="1"/>
  <c r="AU994" i="9"/>
  <c r="AW1001" i="9"/>
  <c r="AZ295" i="9"/>
  <c r="AZ299" i="9" s="1"/>
  <c r="AX377" i="9"/>
  <c r="AV67" i="9"/>
  <c r="AV71" i="9" s="1"/>
  <c r="AZ1007" i="9"/>
  <c r="AV4" i="28"/>
  <c r="AV5" i="28"/>
  <c r="AZ998" i="9"/>
  <c r="AZ1005" i="9"/>
  <c r="AT154" i="6"/>
  <c r="AU276" i="26"/>
  <c r="AT178" i="20"/>
  <c r="AT183" i="20" s="1"/>
  <c r="BM5" i="26"/>
  <c r="BM5" i="28"/>
  <c r="AU107" i="6"/>
  <c r="AU179" i="1"/>
  <c r="AV4" i="16"/>
  <c r="AV4" i="26"/>
  <c r="AV3" i="26"/>
  <c r="AV4" i="9"/>
  <c r="AV4" i="11"/>
  <c r="AV4" i="12"/>
  <c r="BM5" i="22"/>
  <c r="BM5" i="20"/>
  <c r="AV5" i="22"/>
  <c r="AV5" i="20"/>
  <c r="AV4" i="20"/>
  <c r="AV4" i="22"/>
  <c r="AV3" i="22"/>
  <c r="AV3" i="20"/>
  <c r="BM5" i="16"/>
  <c r="BM5" i="12"/>
  <c r="BM5" i="11"/>
  <c r="BM5" i="9"/>
  <c r="BM5" i="6"/>
  <c r="AW10" i="3"/>
  <c r="AW4" i="3" s="1"/>
  <c r="AW2" i="44" s="1" a="1"/>
  <c r="AW2" i="44" s="1"/>
  <c r="BM5" i="1"/>
  <c r="AV5" i="16"/>
  <c r="AV5" i="12"/>
  <c r="AV5" i="11"/>
  <c r="AV5" i="9"/>
  <c r="AV3" i="16"/>
  <c r="AV3" i="12"/>
  <c r="AV3" i="11"/>
  <c r="AV3" i="9"/>
  <c r="W5" i="1"/>
  <c r="W5" i="6"/>
  <c r="BM5" i="4"/>
  <c r="W5" i="4"/>
  <c r="AA5" i="4"/>
  <c r="AA5" i="1"/>
  <c r="AS3" i="4"/>
  <c r="AO3" i="4"/>
  <c r="AC3" i="4"/>
  <c r="BR3" i="4"/>
  <c r="AK3" i="4"/>
  <c r="W4" i="4"/>
  <c r="AG3" i="6"/>
  <c r="AG3" i="1"/>
  <c r="DA2" i="1" s="1"/>
  <c r="BN3" i="6"/>
  <c r="BN3" i="1"/>
  <c r="EH2" i="1" s="1"/>
  <c r="W4" i="6"/>
  <c r="W4" i="1"/>
  <c r="AC3" i="6"/>
  <c r="AC3" i="1"/>
  <c r="CW2" i="1" s="1"/>
  <c r="AS3" i="6"/>
  <c r="AS3" i="1"/>
  <c r="DM2" i="1" s="1"/>
  <c r="AO3" i="6"/>
  <c r="AO3" i="1"/>
  <c r="DI2" i="1" s="1"/>
  <c r="BV3" i="6"/>
  <c r="BV3" i="1"/>
  <c r="EP2" i="1" s="1"/>
  <c r="AG3" i="4"/>
  <c r="BN3" i="4"/>
  <c r="AK3" i="6"/>
  <c r="AK3" i="1"/>
  <c r="DE2" i="1" s="1"/>
  <c r="BR3" i="6"/>
  <c r="BR3" i="1"/>
  <c r="EL2" i="1" s="1"/>
  <c r="AV181" i="3" l="1"/>
  <c r="AV204" i="3" s="1"/>
  <c r="AT770" i="9"/>
  <c r="AT793" i="9" s="1"/>
  <c r="AT866" i="9" s="1"/>
  <c r="AV198" i="20" a="1"/>
  <c r="AV198" i="20" s="1"/>
  <c r="AV181" i="20" a="1"/>
  <c r="AV181" i="20" s="1"/>
  <c r="AV172" i="20" a="1"/>
  <c r="AV172" i="20" s="1"/>
  <c r="AV169" i="20" a="1"/>
  <c r="AV169" i="20" s="1"/>
  <c r="AV154" i="20" a="1"/>
  <c r="AV154" i="20" s="1"/>
  <c r="AV150" i="20" a="1"/>
  <c r="AV150" i="20" s="1"/>
  <c r="AV149" i="20" a="1"/>
  <c r="AV149" i="20" s="1"/>
  <c r="AV148" i="20" a="1"/>
  <c r="AV148" i="20" s="1"/>
  <c r="AV146" i="20" a="1"/>
  <c r="AV146" i="20" s="1"/>
  <c r="AV144" i="20" a="1"/>
  <c r="AV144" i="20" s="1"/>
  <c r="AV131" i="20" a="1"/>
  <c r="AV131" i="20" s="1"/>
  <c r="AV129" i="20" a="1"/>
  <c r="AV129" i="20" s="1"/>
  <c r="AV128" i="20" a="1"/>
  <c r="AV128" i="20" s="1"/>
  <c r="AV127" i="20" a="1"/>
  <c r="AV127" i="20" s="1"/>
  <c r="AV126" i="20" a="1"/>
  <c r="AV126" i="20" s="1"/>
  <c r="AV143" i="20" a="1"/>
  <c r="AV143" i="20" s="1"/>
  <c r="AV142" i="20" a="1"/>
  <c r="AV142" i="20" s="1"/>
  <c r="AV141" i="20" a="1"/>
  <c r="AV141" i="20" s="1"/>
  <c r="AV140" i="20" a="1"/>
  <c r="AV140" i="20" s="1"/>
  <c r="AV139" i="20" a="1"/>
  <c r="AV139" i="20" s="1"/>
  <c r="AV138" i="20" a="1"/>
  <c r="AV138" i="20" s="1"/>
  <c r="AV137" i="20" a="1"/>
  <c r="AV137" i="20" s="1"/>
  <c r="AV133" i="20" a="1"/>
  <c r="AV133" i="20" s="1"/>
  <c r="AV132" i="20" a="1"/>
  <c r="AV132" i="20" s="1"/>
  <c r="AV125" i="20" a="1"/>
  <c r="AV125" i="20" s="1"/>
  <c r="AV124" i="20" a="1"/>
  <c r="AV124" i="20" s="1"/>
  <c r="AV123" i="20" a="1"/>
  <c r="AV123" i="20" s="1"/>
  <c r="AV122" i="20" a="1"/>
  <c r="AV122" i="20" s="1"/>
  <c r="AV115" i="20" a="1"/>
  <c r="AV115" i="20" s="1"/>
  <c r="AV117" i="20" s="1"/>
  <c r="AV112" i="20" a="1"/>
  <c r="AV112" i="20" s="1"/>
  <c r="AV111" i="20" a="1"/>
  <c r="AV111" i="20" s="1"/>
  <c r="AV110" i="20" a="1"/>
  <c r="AV110" i="20" s="1"/>
  <c r="AV106" i="20" a="1"/>
  <c r="AV106" i="20" s="1"/>
  <c r="AV105" i="20" a="1"/>
  <c r="AV105" i="20" s="1"/>
  <c r="AV145" i="20" a="1"/>
  <c r="AV145" i="20" s="1"/>
  <c r="AV104" i="20" a="1"/>
  <c r="AV104" i="20" s="1"/>
  <c r="AV103" i="20" a="1"/>
  <c r="AV103" i="20" s="1"/>
  <c r="AV102" i="20" a="1"/>
  <c r="AV102" i="20" s="1"/>
  <c r="AV101" i="20" a="1"/>
  <c r="AV101" i="20" s="1"/>
  <c r="AV97" i="20" a="1"/>
  <c r="AV97" i="20" s="1"/>
  <c r="AV96" i="20" a="1"/>
  <c r="AV96" i="20" s="1"/>
  <c r="AV95" i="20" a="1"/>
  <c r="AV95" i="20" s="1"/>
  <c r="AV94" i="20" a="1"/>
  <c r="AV94" i="20" s="1"/>
  <c r="AV93" i="20" a="1"/>
  <c r="AV93" i="20" s="1"/>
  <c r="AV92" i="20" a="1"/>
  <c r="AV92" i="20" s="1"/>
  <c r="AV91" i="20" a="1"/>
  <c r="AV91" i="20" s="1"/>
  <c r="AV90" i="20" a="1"/>
  <c r="AV90" i="20" s="1"/>
  <c r="AV89" i="20" a="1"/>
  <c r="AV89" i="20" s="1"/>
  <c r="AV88" i="20" a="1"/>
  <c r="AV88" i="20" s="1"/>
  <c r="AV83" i="20" a="1"/>
  <c r="AV83" i="20" s="1"/>
  <c r="AV87" i="20" a="1"/>
  <c r="AV87" i="20" s="1"/>
  <c r="AV82" i="20" a="1"/>
  <c r="AV82" i="20" s="1"/>
  <c r="AV81" i="20" a="1"/>
  <c r="AV81" i="20" s="1"/>
  <c r="AV80" i="20" a="1"/>
  <c r="AV80" i="20" s="1"/>
  <c r="AV79" i="20" a="1"/>
  <c r="AV79" i="20" s="1"/>
  <c r="AV78" i="20" a="1"/>
  <c r="AV78" i="20" s="1"/>
  <c r="AV77" i="20" a="1"/>
  <c r="AV77" i="20" s="1"/>
  <c r="AV76" i="20" a="1"/>
  <c r="AV76" i="20" s="1"/>
  <c r="AV75" i="20" a="1"/>
  <c r="AV75" i="20" s="1"/>
  <c r="AV74" i="20" a="1"/>
  <c r="AV74" i="20" s="1"/>
  <c r="AV73" i="20" a="1"/>
  <c r="AV73" i="20" s="1"/>
  <c r="AV72" i="20" a="1"/>
  <c r="AV72" i="20" s="1"/>
  <c r="AV71" i="20" a="1"/>
  <c r="AV71" i="20" s="1"/>
  <c r="AV68" i="20" a="1"/>
  <c r="AV68" i="20" s="1"/>
  <c r="AV66" i="20" a="1"/>
  <c r="AV66" i="20" s="1"/>
  <c r="AV65" i="20" a="1"/>
  <c r="AV65" i="20" s="1"/>
  <c r="AV64" i="20" a="1"/>
  <c r="AV64" i="20" s="1"/>
  <c r="AV61" i="20" a="1"/>
  <c r="AV61" i="20" s="1"/>
  <c r="AV59" i="20" a="1"/>
  <c r="AV59" i="20" s="1"/>
  <c r="AV58" i="20" a="1"/>
  <c r="AV58" i="20" s="1"/>
  <c r="AV57" i="20" a="1"/>
  <c r="AV57" i="20" s="1"/>
  <c r="AV56" i="20" a="1"/>
  <c r="AV56" i="20" s="1"/>
  <c r="AV55" i="20" a="1"/>
  <c r="AV55" i="20" s="1"/>
  <c r="AV54" i="20" a="1"/>
  <c r="AV54" i="20" s="1"/>
  <c r="AV53" i="20" a="1"/>
  <c r="AV53" i="20" s="1"/>
  <c r="AV50" i="20" a="1"/>
  <c r="AV50" i="20" s="1"/>
  <c r="AV48" i="20" a="1"/>
  <c r="AV48" i="20" s="1"/>
  <c r="AV47" i="20" a="1"/>
  <c r="AV47" i="20" s="1"/>
  <c r="AV46" i="20" a="1"/>
  <c r="AV46" i="20" s="1"/>
  <c r="AV45" i="20" a="1"/>
  <c r="AV45" i="20" s="1"/>
  <c r="AV44" i="20" a="1"/>
  <c r="AV44" i="20" s="1"/>
  <c r="AV43" i="20" a="1"/>
  <c r="AV43" i="20" s="1"/>
  <c r="AV42" i="20" a="1"/>
  <c r="AV42" i="20" s="1"/>
  <c r="AV41" i="20" a="1"/>
  <c r="AV41" i="20" s="1"/>
  <c r="AV38" i="20" a="1"/>
  <c r="AV38" i="20" s="1"/>
  <c r="AV36" i="20" a="1"/>
  <c r="AV36" i="20" s="1"/>
  <c r="AV34" i="20" a="1"/>
  <c r="AV34" i="20" s="1"/>
  <c r="AV32" i="20" a="1"/>
  <c r="AV32" i="20" s="1"/>
  <c r="AV35" i="20" a="1"/>
  <c r="AV35" i="20" s="1"/>
  <c r="AV33" i="20" a="1"/>
  <c r="AV33" i="20" s="1"/>
  <c r="AV24" i="20" a="1"/>
  <c r="AV24" i="20" s="1"/>
  <c r="AV20" i="20" a="1"/>
  <c r="AV20" i="20" s="1"/>
  <c r="AV21" i="20" a="1"/>
  <c r="AV21" i="20" s="1"/>
  <c r="AV29" i="20" a="1"/>
  <c r="AV29" i="20" s="1"/>
  <c r="AV27" i="20" a="1"/>
  <c r="AV27" i="20" s="1"/>
  <c r="AV23" i="20" a="1"/>
  <c r="AV23" i="20" s="1"/>
  <c r="AV19" i="20" a="1"/>
  <c r="AV19" i="20" s="1"/>
  <c r="AV13" i="20" a="1"/>
  <c r="AV13" i="20" s="1"/>
  <c r="AV26" i="20" a="1"/>
  <c r="AV26" i="20" s="1"/>
  <c r="AV22" i="20" a="1"/>
  <c r="AV22" i="20" s="1"/>
  <c r="AV16" i="20" a="1"/>
  <c r="AV16" i="20" s="1"/>
  <c r="AV12" i="20" a="1"/>
  <c r="AV12" i="20" s="1"/>
  <c r="AV25" i="20" a="1"/>
  <c r="AV25" i="20" s="1"/>
  <c r="AT50" i="30"/>
  <c r="AV83" i="9"/>
  <c r="AV64" i="9"/>
  <c r="AV140" i="9"/>
  <c r="AV159" i="9"/>
  <c r="AV292" i="9"/>
  <c r="AV311" i="9"/>
  <c r="AV102" i="9"/>
  <c r="AV178" i="9"/>
  <c r="AV197" i="9"/>
  <c r="AV330" i="9"/>
  <c r="AV349" i="9"/>
  <c r="AV406" i="9"/>
  <c r="AV425" i="9"/>
  <c r="AV121" i="9"/>
  <c r="AV216" i="9"/>
  <c r="AV235" i="9"/>
  <c r="AV254" i="9"/>
  <c r="AV273" i="9"/>
  <c r="AV368" i="9"/>
  <c r="AV387" i="9"/>
  <c r="AT841" i="9"/>
  <c r="AT843" i="9"/>
  <c r="AT846" i="9"/>
  <c r="AT833" i="9"/>
  <c r="AT831" i="9"/>
  <c r="AT773" i="9"/>
  <c r="AT796" i="9" s="1"/>
  <c r="AT869" i="9" s="1"/>
  <c r="AT242" i="3"/>
  <c r="AT241" i="3"/>
  <c r="AT240" i="3"/>
  <c r="AT712" i="9"/>
  <c r="AT234" i="3"/>
  <c r="AT722" i="9"/>
  <c r="AT244" i="3"/>
  <c r="AT237" i="3"/>
  <c r="AT238" i="3"/>
  <c r="AT247" i="3"/>
  <c r="AT235" i="3"/>
  <c r="AT768" i="9"/>
  <c r="AT791" i="9" s="1"/>
  <c r="AT864" i="9" s="1"/>
  <c r="AT714" i="9"/>
  <c r="AT236" i="3"/>
  <c r="AT727" i="9"/>
  <c r="AT249" i="3"/>
  <c r="AT758" i="9"/>
  <c r="AT781" i="9" s="1"/>
  <c r="AT804" i="9" s="1"/>
  <c r="AT243" i="3"/>
  <c r="AT248" i="3"/>
  <c r="AT724" i="9"/>
  <c r="AT246" i="3"/>
  <c r="AT245" i="3"/>
  <c r="AT250" i="3"/>
  <c r="AT760" i="9"/>
  <c r="AT783" i="9" s="1"/>
  <c r="AT856" i="9" s="1"/>
  <c r="AT239" i="3"/>
  <c r="AT756" i="9"/>
  <c r="AT779" i="9" s="1"/>
  <c r="AT802" i="9" s="1"/>
  <c r="AT829" i="9"/>
  <c r="AV131" i="26"/>
  <c r="AV192" i="26"/>
  <c r="AV191" i="26"/>
  <c r="AV180" i="26"/>
  <c r="AV194" i="26" s="1"/>
  <c r="AV295" i="26" s="1"/>
  <c r="AV189" i="26"/>
  <c r="AV184" i="26"/>
  <c r="AV188" i="26"/>
  <c r="AV190" i="26"/>
  <c r="AV182" i="26"/>
  <c r="AV186" i="26"/>
  <c r="AV183" i="26"/>
  <c r="AV187" i="26"/>
  <c r="AV179" i="26"/>
  <c r="AV178" i="26"/>
  <c r="AV185" i="26"/>
  <c r="AV181" i="26"/>
  <c r="AV195" i="26" s="1"/>
  <c r="AV296" i="26" s="1"/>
  <c r="AU106" i="6"/>
  <c r="AU111" i="6" s="1"/>
  <c r="AU223" i="6"/>
  <c r="AU130" i="30" s="1"/>
  <c r="AU180" i="20"/>
  <c r="AW43" i="3"/>
  <c r="AT232" i="3"/>
  <c r="AT710" i="9"/>
  <c r="AU34" i="6"/>
  <c r="AU69" i="30" s="1"/>
  <c r="BL5" i="38"/>
  <c r="BN5" i="38"/>
  <c r="AT114" i="6"/>
  <c r="AT116" i="30" s="1"/>
  <c r="AT98" i="30"/>
  <c r="AT187" i="30" s="1"/>
  <c r="AV257" i="26"/>
  <c r="AU299" i="26"/>
  <c r="AV66" i="26"/>
  <c r="AV154" i="26"/>
  <c r="AV160" i="26"/>
  <c r="AV168" i="26"/>
  <c r="AV157" i="26"/>
  <c r="AV171" i="26" s="1"/>
  <c r="AV249" i="26" s="1"/>
  <c r="AV164" i="26"/>
  <c r="AV163" i="26"/>
  <c r="AV165" i="26"/>
  <c r="AV158" i="26"/>
  <c r="AV172" i="26" s="1"/>
  <c r="AV236" i="26" s="1"/>
  <c r="AV155" i="26"/>
  <c r="AV173" i="26" s="1"/>
  <c r="AV268" i="26" s="1"/>
  <c r="AV162" i="26"/>
  <c r="AV159" i="26"/>
  <c r="AV161" i="26"/>
  <c r="AV156" i="26"/>
  <c r="AV170" i="26" s="1"/>
  <c r="AV222" i="26" s="1"/>
  <c r="AV166" i="26"/>
  <c r="AV167" i="26"/>
  <c r="AV138" i="26"/>
  <c r="AV80" i="26"/>
  <c r="AV58" i="26"/>
  <c r="AV105" i="26"/>
  <c r="AV88" i="26"/>
  <c r="AV133" i="26"/>
  <c r="AV147" i="26" s="1"/>
  <c r="AV65" i="26"/>
  <c r="AV135" i="26"/>
  <c r="AV132" i="26"/>
  <c r="AV146" i="26" s="1"/>
  <c r="AV83" i="26"/>
  <c r="AV110" i="26"/>
  <c r="AV142" i="26"/>
  <c r="AU72" i="33"/>
  <c r="BN5" i="33"/>
  <c r="BN5" i="35"/>
  <c r="AV86" i="26"/>
  <c r="AV234" i="26" s="1"/>
  <c r="AV78" i="26"/>
  <c r="AV94" i="26" s="1"/>
  <c r="AV220" i="26" s="1"/>
  <c r="AV85" i="26"/>
  <c r="AV81" i="26"/>
  <c r="AV62" i="26"/>
  <c r="AV64" i="26"/>
  <c r="AV67" i="26"/>
  <c r="AV63" i="26"/>
  <c r="AV112" i="26"/>
  <c r="AV235" i="26" s="1"/>
  <c r="AV115" i="26"/>
  <c r="AV130" i="26"/>
  <c r="AV140" i="26"/>
  <c r="AV134" i="26"/>
  <c r="AV148" i="26" s="1"/>
  <c r="AV143" i="26"/>
  <c r="AV139" i="26"/>
  <c r="AV141" i="26"/>
  <c r="AV196" i="26"/>
  <c r="AV297" i="26" s="1"/>
  <c r="AV90" i="26"/>
  <c r="AV89" i="26"/>
  <c r="AV87" i="26"/>
  <c r="AV79" i="26"/>
  <c r="AV95" i="26" s="1"/>
  <c r="AV180" i="1" s="1"/>
  <c r="AV61" i="26"/>
  <c r="AV57" i="26"/>
  <c r="AV60" i="26"/>
  <c r="AV56" i="26"/>
  <c r="AV108" i="26"/>
  <c r="AV136" i="26"/>
  <c r="AV114" i="26"/>
  <c r="AV116" i="26"/>
  <c r="AV117" i="26"/>
  <c r="AV113" i="26"/>
  <c r="AV118" i="26"/>
  <c r="BL5" i="33"/>
  <c r="BL5" i="35"/>
  <c r="AV91" i="26"/>
  <c r="AV92" i="26"/>
  <c r="AV84" i="26"/>
  <c r="AV82" i="26"/>
  <c r="AV55" i="26"/>
  <c r="AV59" i="26"/>
  <c r="AV54" i="26"/>
  <c r="AV53" i="26"/>
  <c r="AV70" i="26" s="1"/>
  <c r="AV233" i="26" s="1"/>
  <c r="AV104" i="26"/>
  <c r="AV120" i="26" s="1"/>
  <c r="AV221" i="26" s="1"/>
  <c r="AV144" i="26"/>
  <c r="AV137" i="26"/>
  <c r="AV106" i="26"/>
  <c r="AV107" i="26"/>
  <c r="AV109" i="26"/>
  <c r="AV111" i="26"/>
  <c r="AT277" i="3"/>
  <c r="AV432" i="9"/>
  <c r="BA443" i="9"/>
  <c r="AZ435" i="9"/>
  <c r="AZ449" i="9"/>
  <c r="AZ444" i="9"/>
  <c r="AZ437" i="9"/>
  <c r="AZ442" i="9"/>
  <c r="AZ516" i="9"/>
  <c r="AZ519" i="9"/>
  <c r="AZ507" i="9"/>
  <c r="AW510" i="9"/>
  <c r="AZ509" i="9"/>
  <c r="AZ502" i="9"/>
  <c r="AU503" i="9"/>
  <c r="AU1085" i="9" s="1"/>
  <c r="AV508" i="9"/>
  <c r="AZ505" i="9"/>
  <c r="AZ514" i="9"/>
  <c r="AZ415" i="9"/>
  <c r="BA409" i="9" s="1"/>
  <c r="BA413" i="9" s="1"/>
  <c r="AZ149" i="9"/>
  <c r="BA143" i="9" s="1"/>
  <c r="BA147" i="9" s="1"/>
  <c r="AZ92" i="9"/>
  <c r="BA86" i="9" s="1"/>
  <c r="BA90" i="9" s="1"/>
  <c r="AZ225" i="9"/>
  <c r="BA219" i="9" s="1"/>
  <c r="BA223" i="9" s="1"/>
  <c r="BL5" i="32"/>
  <c r="BL5" i="30"/>
  <c r="BN5" i="32"/>
  <c r="BN5" i="30"/>
  <c r="BA1003" i="9"/>
  <c r="AZ1002" i="9"/>
  <c r="AZ1006" i="9"/>
  <c r="AZ446" i="9"/>
  <c r="AZ1004" i="9"/>
  <c r="AZ1009" i="9"/>
  <c r="AZ995" i="9"/>
  <c r="AY371" i="9"/>
  <c r="AY375" i="9" s="1"/>
  <c r="AW244" i="9"/>
  <c r="AV206" i="9"/>
  <c r="AZ997" i="9"/>
  <c r="AV992" i="9"/>
  <c r="AU111" i="9"/>
  <c r="AZ358" i="9"/>
  <c r="BA352" i="9" s="1"/>
  <c r="BA356" i="9" s="1"/>
  <c r="AV79" i="3"/>
  <c r="AU125" i="3"/>
  <c r="AV74" i="3"/>
  <c r="AU120" i="3"/>
  <c r="AV81" i="3"/>
  <c r="AU127" i="3"/>
  <c r="AV88" i="3"/>
  <c r="AU134" i="3"/>
  <c r="AV89" i="3"/>
  <c r="AU135" i="3"/>
  <c r="AV85" i="3"/>
  <c r="AU131" i="3"/>
  <c r="AV72" i="3"/>
  <c r="AU118" i="3"/>
  <c r="AV78" i="3"/>
  <c r="AU124" i="3"/>
  <c r="AV87" i="3"/>
  <c r="AU133" i="3"/>
  <c r="AW145" i="3"/>
  <c r="AW146" i="3"/>
  <c r="AW153" i="3"/>
  <c r="AW152" i="3"/>
  <c r="AW155" i="3"/>
  <c r="AW143" i="3"/>
  <c r="AW158" i="3"/>
  <c r="AW139" i="3"/>
  <c r="AW140" i="3"/>
  <c r="AW142" i="3"/>
  <c r="AW141" i="3"/>
  <c r="AW147" i="3"/>
  <c r="AV73" i="3"/>
  <c r="AU119" i="3"/>
  <c r="AV82" i="3"/>
  <c r="AU128" i="3"/>
  <c r="AV75" i="3"/>
  <c r="AU121" i="3"/>
  <c r="AV70" i="3"/>
  <c r="AU116" i="3"/>
  <c r="AV84" i="3"/>
  <c r="AU130" i="3"/>
  <c r="AV86" i="3"/>
  <c r="AU132" i="3"/>
  <c r="AV83" i="3"/>
  <c r="AU129" i="3"/>
  <c r="AV71" i="3"/>
  <c r="AU117" i="3"/>
  <c r="AW148" i="3"/>
  <c r="AW149" i="3"/>
  <c r="AW156" i="3"/>
  <c r="AW151" i="3"/>
  <c r="AV80" i="3"/>
  <c r="AU126" i="3"/>
  <c r="AV77" i="3"/>
  <c r="AU123" i="3"/>
  <c r="AV76" i="3"/>
  <c r="AU122" i="3"/>
  <c r="AW150" i="3"/>
  <c r="AW154" i="3"/>
  <c r="AW157" i="3"/>
  <c r="AW144" i="3"/>
  <c r="BN5" i="28"/>
  <c r="AZ320" i="9"/>
  <c r="BA314" i="9" s="1"/>
  <c r="BA318" i="9" s="1"/>
  <c r="AZ187" i="9"/>
  <c r="BA181" i="9" s="1"/>
  <c r="BA185" i="9" s="1"/>
  <c r="AU179" i="20"/>
  <c r="AU281" i="26"/>
  <c r="BL5" i="26"/>
  <c r="BL5" i="28"/>
  <c r="AW24" i="3"/>
  <c r="AW5" i="3"/>
  <c r="AV121" i="26"/>
  <c r="AV248" i="26" s="1"/>
  <c r="AV219" i="26"/>
  <c r="BN5" i="4"/>
  <c r="BN5" i="26"/>
  <c r="BN184" i="26" s="1"/>
  <c r="BN5" i="1"/>
  <c r="BL5" i="22"/>
  <c r="BL5" i="20"/>
  <c r="AW4" i="38"/>
  <c r="AW12" i="3"/>
  <c r="AW3" i="3" s="1"/>
  <c r="BN5" i="20"/>
  <c r="BN5" i="22"/>
  <c r="AV96" i="3"/>
  <c r="AV103" i="3"/>
  <c r="BL5" i="16"/>
  <c r="BL5" i="12"/>
  <c r="BL5" i="11"/>
  <c r="BL5" i="9"/>
  <c r="AV93" i="3"/>
  <c r="AV107" i="3"/>
  <c r="AV109" i="3"/>
  <c r="AV106" i="3"/>
  <c r="AV94" i="3"/>
  <c r="AV105" i="3"/>
  <c r="BL5" i="4"/>
  <c r="AV97" i="3"/>
  <c r="AV100" i="3"/>
  <c r="AV104" i="3"/>
  <c r="AV99" i="3"/>
  <c r="AV111" i="3"/>
  <c r="AX8" i="3"/>
  <c r="AV102" i="3"/>
  <c r="AV98" i="3"/>
  <c r="AV112" i="3"/>
  <c r="AV108" i="3"/>
  <c r="AV95" i="3"/>
  <c r="AV101" i="3"/>
  <c r="AV110" i="3"/>
  <c r="BN5" i="6"/>
  <c r="BN5" i="16"/>
  <c r="BN5" i="12"/>
  <c r="BN5" i="11"/>
  <c r="BN5" i="9"/>
  <c r="AA20" i="3"/>
  <c r="BL5" i="6"/>
  <c r="BL5" i="1"/>
  <c r="AA4" i="1"/>
  <c r="AA4" i="4"/>
  <c r="AA4" i="6"/>
  <c r="X5" i="4"/>
  <c r="X5" i="1"/>
  <c r="X5" i="6"/>
  <c r="AI3" i="6"/>
  <c r="AI3" i="1"/>
  <c r="DC2" i="1" s="1"/>
  <c r="AI3" i="4"/>
  <c r="BM3" i="6"/>
  <c r="BM3" i="1"/>
  <c r="EG2" i="1" s="1"/>
  <c r="BM3" i="4"/>
  <c r="AE3" i="4"/>
  <c r="AE3" i="6"/>
  <c r="AE3" i="1"/>
  <c r="CY2" i="1" s="1"/>
  <c r="BL3" i="4"/>
  <c r="BL3" i="1"/>
  <c r="EF2" i="1" s="1"/>
  <c r="BL3" i="6"/>
  <c r="AQ3" i="6"/>
  <c r="AQ3" i="1"/>
  <c r="DK2" i="1" s="1"/>
  <c r="AQ3" i="4"/>
  <c r="AN3" i="6"/>
  <c r="AN3" i="4"/>
  <c r="AN3" i="1"/>
  <c r="DH2" i="1" s="1"/>
  <c r="BU3" i="6"/>
  <c r="BU3" i="4"/>
  <c r="BU3" i="1"/>
  <c r="EO2" i="1" s="1"/>
  <c r="AM3" i="4"/>
  <c r="AM3" i="1"/>
  <c r="DG2" i="1" s="1"/>
  <c r="AM3" i="6"/>
  <c r="BT3" i="4"/>
  <c r="BT3" i="6"/>
  <c r="BT3" i="1"/>
  <c r="EN2" i="1" s="1"/>
  <c r="Y3" i="6"/>
  <c r="Y3" i="4"/>
  <c r="Y3" i="1"/>
  <c r="CS2" i="1" s="1"/>
  <c r="AJ3" i="4"/>
  <c r="AJ3" i="6"/>
  <c r="AJ3" i="1"/>
  <c r="DD2" i="1" s="1"/>
  <c r="AV3" i="6"/>
  <c r="AV3" i="1"/>
  <c r="DP2" i="1" s="1"/>
  <c r="AV3" i="4"/>
  <c r="X3" i="4"/>
  <c r="X3" i="1"/>
  <c r="CR2" i="1" s="1"/>
  <c r="X3" i="6"/>
  <c r="BP3" i="6"/>
  <c r="BP3" i="1"/>
  <c r="EJ2" i="1" s="1"/>
  <c r="BP3" i="4"/>
  <c r="AB3" i="4"/>
  <c r="AB3" i="6"/>
  <c r="AB3" i="1"/>
  <c r="CV2" i="1" s="1"/>
  <c r="AU3" i="4"/>
  <c r="AU3" i="6"/>
  <c r="AU3" i="1"/>
  <c r="DO2" i="1" s="1"/>
  <c r="AA3" i="6"/>
  <c r="AA3" i="1"/>
  <c r="CU2" i="1" s="1"/>
  <c r="AA3" i="4"/>
  <c r="AF3" i="6"/>
  <c r="AF3" i="1"/>
  <c r="CZ2" i="1" s="1"/>
  <c r="AF3" i="4"/>
  <c r="AR3" i="4"/>
  <c r="AR3" i="1"/>
  <c r="DL2" i="1" s="1"/>
  <c r="AR3" i="6"/>
  <c r="BQ3" i="4"/>
  <c r="BQ3" i="6"/>
  <c r="BQ3" i="1"/>
  <c r="EK2" i="1" s="1"/>
  <c r="BO3" i="4"/>
  <c r="BO3" i="1"/>
  <c r="EI2" i="1" s="1"/>
  <c r="BO3" i="6"/>
  <c r="AH3" i="4"/>
  <c r="AH3" i="1"/>
  <c r="DB2" i="1" s="1"/>
  <c r="AH3" i="6"/>
  <c r="AD3" i="4"/>
  <c r="AD3" i="1"/>
  <c r="CX2" i="1" s="1"/>
  <c r="AD3" i="6"/>
  <c r="BS3" i="4"/>
  <c r="BS3" i="1"/>
  <c r="EM2" i="1" s="1"/>
  <c r="BS3" i="6"/>
  <c r="AL3" i="4"/>
  <c r="AL3" i="1"/>
  <c r="DF2" i="1" s="1"/>
  <c r="AL3" i="6"/>
  <c r="W3" i="4"/>
  <c r="W3" i="1"/>
  <c r="CQ2" i="1" s="1"/>
  <c r="W3" i="6"/>
  <c r="AT3" i="4"/>
  <c r="AT3" i="1"/>
  <c r="DN2" i="1" s="1"/>
  <c r="AT3" i="6"/>
  <c r="BW3" i="4"/>
  <c r="BW3" i="1"/>
  <c r="EQ2" i="1" s="1"/>
  <c r="BW3" i="6"/>
  <c r="AP3" i="4"/>
  <c r="AP3" i="1"/>
  <c r="DJ2" i="1" s="1"/>
  <c r="AP3" i="6"/>
  <c r="BO43" i="3"/>
  <c r="AT64" i="33" l="1"/>
  <c r="AT74" i="33"/>
  <c r="AT747" i="9"/>
  <c r="AT735" i="9"/>
  <c r="AT745" i="9"/>
  <c r="AT750" i="9"/>
  <c r="AT733" i="9"/>
  <c r="AT737" i="9"/>
  <c r="AV145" i="26"/>
  <c r="AV24" i="32"/>
  <c r="AV153" i="30"/>
  <c r="AU52" i="30"/>
  <c r="AW3" i="38"/>
  <c r="AW39" i="3"/>
  <c r="AU183" i="1"/>
  <c r="AW346" i="3"/>
  <c r="AW347" i="3"/>
  <c r="BL83" i="9"/>
  <c r="BL102" i="9"/>
  <c r="BL140" i="9"/>
  <c r="BL178" i="9"/>
  <c r="BL216" i="9"/>
  <c r="BL254" i="9"/>
  <c r="BL292" i="9"/>
  <c r="BL330" i="9"/>
  <c r="BL368" i="9"/>
  <c r="BL406" i="9"/>
  <c r="BL64" i="9"/>
  <c r="BL121" i="9"/>
  <c r="BL273" i="9"/>
  <c r="BL159" i="9"/>
  <c r="BL311" i="9"/>
  <c r="BL197" i="9"/>
  <c r="BL235" i="9"/>
  <c r="BL349" i="9"/>
  <c r="BL387" i="9"/>
  <c r="BL425" i="9"/>
  <c r="AU256" i="3"/>
  <c r="AU279" i="3" s="1"/>
  <c r="AU210" i="3"/>
  <c r="AU233" i="3" s="1"/>
  <c r="AT819" i="9"/>
  <c r="AT814" i="9"/>
  <c r="AT806" i="9"/>
  <c r="AT816" i="9"/>
  <c r="AT854" i="9"/>
  <c r="AU260" i="3"/>
  <c r="AU283" i="3" s="1"/>
  <c r="AU214" i="3"/>
  <c r="AU264" i="3"/>
  <c r="AU287" i="3" s="1"/>
  <c r="AU218" i="3"/>
  <c r="AU221" i="3"/>
  <c r="AU267" i="3"/>
  <c r="AU290" i="3" s="1"/>
  <c r="AU222" i="3"/>
  <c r="AU268" i="3"/>
  <c r="AU291" i="3" s="1"/>
  <c r="AU259" i="3"/>
  <c r="AU282" i="3" s="1"/>
  <c r="AU213" i="3"/>
  <c r="AU257" i="3"/>
  <c r="AU280" i="3" s="1"/>
  <c r="AU211" i="3"/>
  <c r="AU262" i="3"/>
  <c r="AU285" i="3" s="1"/>
  <c r="AU216" i="3"/>
  <c r="AU269" i="3"/>
  <c r="AU292" i="3" s="1"/>
  <c r="AU223" i="3"/>
  <c r="AU226" i="3"/>
  <c r="AU272" i="3"/>
  <c r="AU295" i="3" s="1"/>
  <c r="AU258" i="3"/>
  <c r="AU281" i="3" s="1"/>
  <c r="AU212" i="3"/>
  <c r="AU701" i="9"/>
  <c r="AU691" i="9"/>
  <c r="AU689" i="9"/>
  <c r="AU261" i="3"/>
  <c r="AU284" i="3" s="1"/>
  <c r="AU215" i="3"/>
  <c r="AU270" i="3"/>
  <c r="AU293" i="3" s="1"/>
  <c r="AU224" i="3"/>
  <c r="AU266" i="3"/>
  <c r="AU289" i="3" s="1"/>
  <c r="AU220" i="3"/>
  <c r="AU271" i="3"/>
  <c r="AU294" i="3" s="1"/>
  <c r="AU225" i="3"/>
  <c r="AU273" i="3"/>
  <c r="AU296" i="3" s="1"/>
  <c r="AU227" i="3"/>
  <c r="AU265" i="3"/>
  <c r="AU288" i="3" s="1"/>
  <c r="AU219" i="3"/>
  <c r="AU263" i="3"/>
  <c r="AU286" i="3" s="1"/>
  <c r="AU217" i="3"/>
  <c r="AU704" i="9"/>
  <c r="AU699" i="9"/>
  <c r="AT852" i="9"/>
  <c r="AT168" i="20"/>
  <c r="BN178" i="26"/>
  <c r="BN183" i="26"/>
  <c r="BN192" i="26"/>
  <c r="BN181" i="26"/>
  <c r="BN189" i="26"/>
  <c r="BN191" i="26"/>
  <c r="BN190" i="26"/>
  <c r="BM184" i="26"/>
  <c r="BM183" i="26"/>
  <c r="BM191" i="26"/>
  <c r="BM192" i="26"/>
  <c r="BM180" i="26"/>
  <c r="BM190" i="26"/>
  <c r="BM187" i="26"/>
  <c r="BM188" i="26"/>
  <c r="BM189" i="26"/>
  <c r="BM181" i="26"/>
  <c r="BM186" i="26"/>
  <c r="BM178" i="26"/>
  <c r="BM185" i="26"/>
  <c r="BM182" i="26"/>
  <c r="BM179" i="26"/>
  <c r="BN186" i="26"/>
  <c r="BN182" i="26"/>
  <c r="BN187" i="26"/>
  <c r="BN185" i="26"/>
  <c r="BN179" i="26"/>
  <c r="BN180" i="26"/>
  <c r="BN188" i="26"/>
  <c r="BN159" i="26"/>
  <c r="BN83" i="26"/>
  <c r="BN80" i="26"/>
  <c r="BN87" i="26"/>
  <c r="BN92" i="26"/>
  <c r="BN85" i="26"/>
  <c r="BN142" i="26"/>
  <c r="BN86" i="26"/>
  <c r="BN110" i="26"/>
  <c r="BN112" i="26"/>
  <c r="BN135" i="26"/>
  <c r="BN144" i="26"/>
  <c r="BN115" i="26"/>
  <c r="BN118" i="26"/>
  <c r="BN79" i="26"/>
  <c r="BN84" i="26"/>
  <c r="BN81" i="26"/>
  <c r="BN134" i="26"/>
  <c r="BN82" i="26"/>
  <c r="BN141" i="26"/>
  <c r="BN108" i="26"/>
  <c r="BN131" i="26"/>
  <c r="BN140" i="26"/>
  <c r="BN107" i="26"/>
  <c r="BN111" i="26"/>
  <c r="BN113" i="26"/>
  <c r="BN137" i="26"/>
  <c r="BN114" i="26"/>
  <c r="BN78" i="26"/>
  <c r="BN104" i="26"/>
  <c r="BN133" i="26"/>
  <c r="BN143" i="26"/>
  <c r="BN109" i="26"/>
  <c r="BN136" i="26"/>
  <c r="BM131" i="26"/>
  <c r="BM135" i="26"/>
  <c r="BM139" i="26"/>
  <c r="BM143" i="26"/>
  <c r="BM130" i="26"/>
  <c r="BM108" i="26"/>
  <c r="BM134" i="26"/>
  <c r="BM138" i="26"/>
  <c r="BM142" i="26"/>
  <c r="BM107" i="26"/>
  <c r="BM111" i="26"/>
  <c r="BM115" i="26"/>
  <c r="BM136" i="26"/>
  <c r="BM144" i="26"/>
  <c r="BM105" i="26"/>
  <c r="BM112" i="26"/>
  <c r="BM114" i="26"/>
  <c r="BM81" i="26"/>
  <c r="BM85" i="26"/>
  <c r="BM89" i="26"/>
  <c r="BM137" i="26"/>
  <c r="BM106" i="26"/>
  <c r="BM116" i="26"/>
  <c r="BM118" i="26"/>
  <c r="BM104" i="26"/>
  <c r="BM80" i="26"/>
  <c r="BM84" i="26"/>
  <c r="BM88" i="26"/>
  <c r="BM92" i="26"/>
  <c r="BM132" i="26"/>
  <c r="BM109" i="26"/>
  <c r="BM113" i="26"/>
  <c r="BM79" i="26"/>
  <c r="BM87" i="26"/>
  <c r="BM133" i="26"/>
  <c r="BM110" i="26"/>
  <c r="BM117" i="26"/>
  <c r="BM82" i="26"/>
  <c r="BM90" i="26"/>
  <c r="BM140" i="26"/>
  <c r="BM83" i="26"/>
  <c r="BM91" i="26"/>
  <c r="BM78" i="26"/>
  <c r="BM141" i="26"/>
  <c r="BM86" i="26"/>
  <c r="BN91" i="26"/>
  <c r="BN88" i="26"/>
  <c r="BN106" i="26"/>
  <c r="BN138" i="26"/>
  <c r="BN89" i="26"/>
  <c r="BN130" i="26"/>
  <c r="BN90" i="26"/>
  <c r="BN117" i="26"/>
  <c r="BN116" i="26"/>
  <c r="BN139" i="26"/>
  <c r="BN105" i="26"/>
  <c r="BN132" i="26"/>
  <c r="AV68" i="26"/>
  <c r="AV71" i="26" s="1"/>
  <c r="AV259" i="26" s="1"/>
  <c r="AV261" i="26" s="1"/>
  <c r="AU114" i="6"/>
  <c r="AU116" i="30" s="1"/>
  <c r="AV247" i="26"/>
  <c r="AV220" i="6"/>
  <c r="AW30" i="3"/>
  <c r="AT48" i="30"/>
  <c r="AV93" i="26"/>
  <c r="AV97" i="26" s="1"/>
  <c r="AV221" i="6" s="1"/>
  <c r="AU687" i="9"/>
  <c r="AU209" i="3"/>
  <c r="AU255" i="3"/>
  <c r="AU278" i="3" s="1"/>
  <c r="AU178" i="20"/>
  <c r="AU183" i="20" s="1"/>
  <c r="BN52" i="3"/>
  <c r="BN43" i="3"/>
  <c r="AV197" i="26"/>
  <c r="AV298" i="26" s="1"/>
  <c r="BO51" i="3"/>
  <c r="BO48" i="3"/>
  <c r="BO56" i="3"/>
  <c r="BO55" i="3"/>
  <c r="BO63" i="3"/>
  <c r="BO52" i="3"/>
  <c r="BO60" i="3"/>
  <c r="BO64" i="3"/>
  <c r="BO53" i="3"/>
  <c r="BO54" i="3"/>
  <c r="BO66" i="3"/>
  <c r="BO47" i="3"/>
  <c r="BO57" i="3"/>
  <c r="BO65" i="3"/>
  <c r="BO59" i="3"/>
  <c r="BO49" i="3"/>
  <c r="BO61" i="3"/>
  <c r="BO58" i="3"/>
  <c r="BO62" i="3"/>
  <c r="BO50" i="3"/>
  <c r="BN66" i="3"/>
  <c r="BN58" i="3"/>
  <c r="BN49" i="3"/>
  <c r="BN56" i="3"/>
  <c r="BN63" i="3"/>
  <c r="BN59" i="3"/>
  <c r="BN50" i="3"/>
  <c r="BN65" i="3"/>
  <c r="BN48" i="3"/>
  <c r="BN55" i="3"/>
  <c r="AW5" i="38"/>
  <c r="AW55" i="3"/>
  <c r="AW170" i="3" s="1"/>
  <c r="AW193" i="3" s="1"/>
  <c r="AW63" i="3"/>
  <c r="AW178" i="3" s="1"/>
  <c r="AW201" i="3" s="1"/>
  <c r="AW52" i="3"/>
  <c r="AW167" i="3" s="1"/>
  <c r="AW190" i="3" s="1"/>
  <c r="AW51" i="3"/>
  <c r="AW166" i="3" s="1"/>
  <c r="AW189" i="3" s="1"/>
  <c r="AW48" i="3"/>
  <c r="AW163" i="3" s="1"/>
  <c r="AW186" i="3" s="1"/>
  <c r="AW56" i="3"/>
  <c r="AW171" i="3" s="1"/>
  <c r="AW194" i="3" s="1"/>
  <c r="AW64" i="3"/>
  <c r="AW179" i="3" s="1"/>
  <c r="AW202" i="3" s="1"/>
  <c r="AW60" i="3"/>
  <c r="AW175" i="3" s="1"/>
  <c r="AW198" i="3" s="1"/>
  <c r="AW57" i="3"/>
  <c r="AW172" i="3" s="1"/>
  <c r="AW195" i="3" s="1"/>
  <c r="AW65" i="3"/>
  <c r="AW180" i="3" s="1"/>
  <c r="AW203" i="3" s="1"/>
  <c r="AW49" i="3"/>
  <c r="AW164" i="3" s="1"/>
  <c r="AW187" i="3" s="1"/>
  <c r="AW61" i="3"/>
  <c r="AW176" i="3" s="1"/>
  <c r="AW199" i="3" s="1"/>
  <c r="AW50" i="3"/>
  <c r="AW165" i="3" s="1"/>
  <c r="AW188" i="3" s="1"/>
  <c r="AW58" i="3"/>
  <c r="AW173" i="3" s="1"/>
  <c r="AW196" i="3" s="1"/>
  <c r="AW62" i="3"/>
  <c r="AW177" i="3" s="1"/>
  <c r="AW200" i="3" s="1"/>
  <c r="AW53" i="3"/>
  <c r="AW168" i="3" s="1"/>
  <c r="AW191" i="3" s="1"/>
  <c r="AW47" i="3"/>
  <c r="AW162" i="3" s="1"/>
  <c r="AW185" i="3" s="1"/>
  <c r="AW54" i="3"/>
  <c r="AW169" i="3" s="1"/>
  <c r="AW192" i="3" s="1"/>
  <c r="AW66" i="3"/>
  <c r="AW59" i="3"/>
  <c r="AW174" i="3" s="1"/>
  <c r="AW197" i="3" s="1"/>
  <c r="BN47" i="3"/>
  <c r="BN60" i="3"/>
  <c r="BN61" i="3"/>
  <c r="BN57" i="3"/>
  <c r="BN51" i="3"/>
  <c r="BN54" i="3"/>
  <c r="BN62" i="3"/>
  <c r="BN53" i="3"/>
  <c r="BN64" i="3"/>
  <c r="AV169" i="26"/>
  <c r="AV193" i="26"/>
  <c r="AV294" i="26" s="1"/>
  <c r="AV149" i="26"/>
  <c r="AV150" i="26" s="1"/>
  <c r="AV180" i="30" s="1"/>
  <c r="BO5" i="20"/>
  <c r="BO5" i="38"/>
  <c r="BN164" i="26"/>
  <c r="BN160" i="26"/>
  <c r="BN163" i="26"/>
  <c r="BN166" i="26"/>
  <c r="BN155" i="26"/>
  <c r="BN168" i="26"/>
  <c r="BN157" i="26"/>
  <c r="BN165" i="26"/>
  <c r="BN162" i="26"/>
  <c r="BN167" i="26"/>
  <c r="BM154" i="26"/>
  <c r="BM155" i="26"/>
  <c r="BM156" i="26"/>
  <c r="BM157" i="26"/>
  <c r="BM158" i="26"/>
  <c r="BM159" i="26"/>
  <c r="BM160" i="26"/>
  <c r="BM161" i="26"/>
  <c r="BM162" i="26"/>
  <c r="BM163" i="26"/>
  <c r="BM164" i="26"/>
  <c r="BM165" i="26"/>
  <c r="BM166" i="26"/>
  <c r="BM167" i="26"/>
  <c r="BM168" i="26"/>
  <c r="BN161" i="26"/>
  <c r="BN154" i="26"/>
  <c r="BN158" i="26"/>
  <c r="BN156" i="26"/>
  <c r="AV119" i="26"/>
  <c r="AV123" i="26" s="1"/>
  <c r="AV267" i="26" s="1"/>
  <c r="AV106" i="6"/>
  <c r="AU94" i="6"/>
  <c r="AU88" i="35"/>
  <c r="AW3" i="33"/>
  <c r="AW3" i="35"/>
  <c r="AW5" i="33"/>
  <c r="AW5" i="35"/>
  <c r="AW4" i="33"/>
  <c r="AW4" i="35"/>
  <c r="BO5" i="33"/>
  <c r="BO5" i="35"/>
  <c r="BA450" i="9"/>
  <c r="BA438" i="9"/>
  <c r="BA447" i="9"/>
  <c r="BA445" i="9"/>
  <c r="BA433" i="9"/>
  <c r="AU208" i="3"/>
  <c r="AU254" i="3"/>
  <c r="AY448" i="9"/>
  <c r="BA440" i="9"/>
  <c r="BA436" i="9"/>
  <c r="AZ515" i="9"/>
  <c r="BA512" i="9"/>
  <c r="AV501" i="9"/>
  <c r="AZ511" i="9"/>
  <c r="AZ506" i="9"/>
  <c r="BA1010" i="9"/>
  <c r="BA996" i="9"/>
  <c r="BA993" i="9"/>
  <c r="BA1000" i="9"/>
  <c r="BA282" i="9"/>
  <c r="BB276" i="9" s="1"/>
  <c r="BB280" i="9" s="1"/>
  <c r="AW3" i="28"/>
  <c r="AW3" i="32"/>
  <c r="AW3" i="30"/>
  <c r="AW16" i="3"/>
  <c r="AW18" i="3" s="1"/>
  <c r="AW4" i="32"/>
  <c r="AW4" i="30"/>
  <c r="BO5" i="32"/>
  <c r="BO5" i="30"/>
  <c r="AW5" i="32"/>
  <c r="AW5" i="30"/>
  <c r="BM195" i="26"/>
  <c r="BM196" i="26"/>
  <c r="AZ263" i="9"/>
  <c r="AZ339" i="9"/>
  <c r="AZ130" i="9"/>
  <c r="AZ504" i="9"/>
  <c r="BA390" i="9"/>
  <c r="BA394" i="9" s="1"/>
  <c r="AZ518" i="9"/>
  <c r="AZ301" i="9"/>
  <c r="AZ513" i="9"/>
  <c r="BA124" i="9"/>
  <c r="BA128" i="9" s="1"/>
  <c r="BA295" i="9"/>
  <c r="BA299" i="9" s="1"/>
  <c r="BA257" i="9"/>
  <c r="BA261" i="9" s="1"/>
  <c r="AX238" i="9"/>
  <c r="AX242" i="9" s="1"/>
  <c r="BA333" i="9"/>
  <c r="BA337" i="9" s="1"/>
  <c r="AZ168" i="9"/>
  <c r="BA162" i="9" s="1"/>
  <c r="BA166" i="9" s="1"/>
  <c r="AV105" i="9"/>
  <c r="AV109" i="9" s="1"/>
  <c r="AV73" i="9"/>
  <c r="AW200" i="9"/>
  <c r="AW204" i="9" s="1"/>
  <c r="AY1008" i="9"/>
  <c r="BO5" i="11"/>
  <c r="BO5" i="4"/>
  <c r="BO5" i="6"/>
  <c r="BA1007" i="9"/>
  <c r="AW4" i="28"/>
  <c r="BN155" i="3"/>
  <c r="BN144" i="3"/>
  <c r="BN151" i="3"/>
  <c r="BN156" i="3"/>
  <c r="BN147" i="3"/>
  <c r="BN152" i="3"/>
  <c r="BN141" i="3"/>
  <c r="BN142" i="3"/>
  <c r="BN143" i="3"/>
  <c r="BN146" i="3"/>
  <c r="BN154" i="3"/>
  <c r="BN139" i="3"/>
  <c r="BN145" i="3"/>
  <c r="BN157" i="3"/>
  <c r="BN149" i="3"/>
  <c r="BN140" i="3"/>
  <c r="BN150" i="3"/>
  <c r="BN153" i="3"/>
  <c r="BN148" i="3"/>
  <c r="BN158" i="3"/>
  <c r="BO152" i="3"/>
  <c r="BO140" i="3"/>
  <c r="BO148" i="3"/>
  <c r="BO156" i="3"/>
  <c r="BO153" i="3"/>
  <c r="BO142" i="3"/>
  <c r="BO141" i="3"/>
  <c r="BO145" i="3"/>
  <c r="BO157" i="3"/>
  <c r="BO149" i="3"/>
  <c r="BO158" i="3"/>
  <c r="BO143" i="3"/>
  <c r="BO154" i="3"/>
  <c r="BO150" i="3"/>
  <c r="BO147" i="3"/>
  <c r="BO151" i="3"/>
  <c r="BO155" i="3"/>
  <c r="BO139" i="3"/>
  <c r="BO144" i="3"/>
  <c r="BO146" i="3"/>
  <c r="AW5" i="28"/>
  <c r="BO5" i="26"/>
  <c r="BO184" i="26" s="1"/>
  <c r="BN4" i="22"/>
  <c r="AW5" i="26"/>
  <c r="BA998" i="9"/>
  <c r="BA1005" i="9"/>
  <c r="AU154" i="6"/>
  <c r="AV276" i="26"/>
  <c r="BM61" i="26"/>
  <c r="BO5" i="1"/>
  <c r="BO5" i="12"/>
  <c r="BO5" i="22"/>
  <c r="BO5" i="16"/>
  <c r="BO5" i="9"/>
  <c r="BM54" i="26"/>
  <c r="BM66" i="26"/>
  <c r="BM63" i="26"/>
  <c r="BM59" i="26"/>
  <c r="BO5" i="28"/>
  <c r="BM55" i="26"/>
  <c r="BM58" i="26"/>
  <c r="BM62" i="26"/>
  <c r="BM65" i="26"/>
  <c r="BM64" i="26"/>
  <c r="BM67" i="26"/>
  <c r="BM57" i="26"/>
  <c r="BM56" i="26"/>
  <c r="BM60" i="26"/>
  <c r="BM53" i="26"/>
  <c r="AV179" i="1"/>
  <c r="BN55" i="26"/>
  <c r="BN59" i="26"/>
  <c r="BN66" i="26"/>
  <c r="BN65" i="26"/>
  <c r="BN56" i="26"/>
  <c r="BN60" i="26"/>
  <c r="BN63" i="26"/>
  <c r="BN53" i="26"/>
  <c r="BN57" i="26"/>
  <c r="BN61" i="26"/>
  <c r="BN67" i="26"/>
  <c r="BN54" i="26"/>
  <c r="BN58" i="26"/>
  <c r="BN62" i="26"/>
  <c r="BN64" i="26"/>
  <c r="AW4" i="11"/>
  <c r="AW4" i="26"/>
  <c r="AW3" i="26"/>
  <c r="AW4" i="16"/>
  <c r="AW4" i="9"/>
  <c r="AW5" i="20"/>
  <c r="AW5" i="22"/>
  <c r="AW4" i="22"/>
  <c r="AW4" i="20"/>
  <c r="AW4" i="12"/>
  <c r="AW3" i="22"/>
  <c r="AW3" i="20"/>
  <c r="AW3" i="16"/>
  <c r="AW3" i="12"/>
  <c r="AW3" i="11"/>
  <c r="AW3" i="9"/>
  <c r="AW3" i="4"/>
  <c r="AW3" i="6"/>
  <c r="AW3" i="1"/>
  <c r="DQ2" i="1" s="1"/>
  <c r="AW5" i="16"/>
  <c r="AW5" i="12"/>
  <c r="AW5" i="11"/>
  <c r="AW5" i="9"/>
  <c r="AX10" i="3"/>
  <c r="AX4" i="3" s="1"/>
  <c r="AX2" i="44" s="1" a="1"/>
  <c r="AX2" i="44" s="1"/>
  <c r="AB5" i="6"/>
  <c r="AB22" i="3"/>
  <c r="AB5" i="4"/>
  <c r="AB5" i="1"/>
  <c r="X4" i="6"/>
  <c r="X4" i="1"/>
  <c r="X4" i="4"/>
  <c r="Y5" i="6"/>
  <c r="Y5" i="4"/>
  <c r="Y5" i="1"/>
  <c r="BL43" i="3"/>
  <c r="BM43" i="3"/>
  <c r="BP43" i="3"/>
  <c r="AW181" i="3" l="1"/>
  <c r="AW204" i="3" s="1"/>
  <c r="BN171" i="26"/>
  <c r="BN249" i="26" s="1"/>
  <c r="BM171" i="26"/>
  <c r="BM249" i="26" s="1"/>
  <c r="BM219" i="26"/>
  <c r="BM296" i="26"/>
  <c r="BN172" i="26"/>
  <c r="BN120" i="26"/>
  <c r="BN149" i="26"/>
  <c r="BN93" i="26"/>
  <c r="BN206" i="26" s="1"/>
  <c r="BN145" i="26"/>
  <c r="BN148" i="26"/>
  <c r="BM172" i="26"/>
  <c r="BM297" i="26"/>
  <c r="BN170" i="26"/>
  <c r="BM170" i="26"/>
  <c r="BN146" i="26"/>
  <c r="BN147" i="26"/>
  <c r="BN95" i="26"/>
  <c r="BN194" i="26"/>
  <c r="BN196" i="26"/>
  <c r="BM194" i="26"/>
  <c r="BN195" i="26"/>
  <c r="AV178" i="1"/>
  <c r="AV183" i="1" s="1"/>
  <c r="AW198" i="20" a="1"/>
  <c r="AW198" i="20" s="1"/>
  <c r="AW148" i="20" a="1"/>
  <c r="AW148" i="20" s="1"/>
  <c r="AW169" i="20" a="1"/>
  <c r="AW169" i="20" s="1"/>
  <c r="AW149" i="20" a="1"/>
  <c r="AW149" i="20" s="1"/>
  <c r="AW181" i="20" a="1"/>
  <c r="AW181" i="20" s="1"/>
  <c r="AW146" i="20" a="1"/>
  <c r="AW146" i="20" s="1"/>
  <c r="AW143" i="20" a="1"/>
  <c r="AW143" i="20" s="1"/>
  <c r="AW142" i="20" a="1"/>
  <c r="AW142" i="20" s="1"/>
  <c r="AW141" i="20" a="1"/>
  <c r="AW141" i="20" s="1"/>
  <c r="AW140" i="20" a="1"/>
  <c r="AW140" i="20" s="1"/>
  <c r="AW139" i="20" a="1"/>
  <c r="AW139" i="20" s="1"/>
  <c r="AW138" i="20" a="1"/>
  <c r="AW138" i="20" s="1"/>
  <c r="AW137" i="20" a="1"/>
  <c r="AW137" i="20" s="1"/>
  <c r="AW133" i="20" a="1"/>
  <c r="AW133" i="20" s="1"/>
  <c r="AW132" i="20" a="1"/>
  <c r="AW132" i="20" s="1"/>
  <c r="AW172" i="20" a="1"/>
  <c r="AW172" i="20" s="1"/>
  <c r="AW145" i="20" a="1"/>
  <c r="AW145" i="20" s="1"/>
  <c r="AW150" i="20" a="1"/>
  <c r="AW150" i="20" s="1"/>
  <c r="AW129" i="20" a="1"/>
  <c r="AW129" i="20" s="1"/>
  <c r="AW127" i="20" a="1"/>
  <c r="AW127" i="20" s="1"/>
  <c r="AW154" i="20" a="1"/>
  <c r="AW154" i="20" s="1"/>
  <c r="AW144" i="20" a="1"/>
  <c r="AW144" i="20" s="1"/>
  <c r="AW124" i="20" a="1"/>
  <c r="AW124" i="20" s="1"/>
  <c r="AW122" i="20" a="1"/>
  <c r="AW122" i="20" s="1"/>
  <c r="AW112" i="20" a="1"/>
  <c r="AW112" i="20" s="1"/>
  <c r="AW110" i="20" a="1"/>
  <c r="AW110" i="20" s="1"/>
  <c r="AW105" i="20" a="1"/>
  <c r="AW105" i="20" s="1"/>
  <c r="AW131" i="20" a="1"/>
  <c r="AW131" i="20" s="1"/>
  <c r="AW126" i="20" a="1"/>
  <c r="AW126" i="20" s="1"/>
  <c r="AW125" i="20" a="1"/>
  <c r="AW125" i="20" s="1"/>
  <c r="AW123" i="20" a="1"/>
  <c r="AW123" i="20" s="1"/>
  <c r="AW115" i="20" a="1"/>
  <c r="AW115" i="20" s="1"/>
  <c r="AW111" i="20" a="1"/>
  <c r="AW111" i="20" s="1"/>
  <c r="AW106" i="20" a="1"/>
  <c r="AW106" i="20" s="1"/>
  <c r="AW104" i="20" a="1"/>
  <c r="AW104" i="20" s="1"/>
  <c r="AW103" i="20" a="1"/>
  <c r="AW103" i="20" s="1"/>
  <c r="AW102" i="20" a="1"/>
  <c r="AW102" i="20" s="1"/>
  <c r="AW101" i="20" a="1"/>
  <c r="AW101" i="20" s="1"/>
  <c r="AW97" i="20" a="1"/>
  <c r="AW97" i="20" s="1"/>
  <c r="AW96" i="20" a="1"/>
  <c r="AW96" i="20" s="1"/>
  <c r="AW95" i="20" a="1"/>
  <c r="AW95" i="20" s="1"/>
  <c r="AW94" i="20" a="1"/>
  <c r="AW94" i="20" s="1"/>
  <c r="AW93" i="20" a="1"/>
  <c r="AW93" i="20" s="1"/>
  <c r="AW92" i="20" a="1"/>
  <c r="AW92" i="20" s="1"/>
  <c r="AW91" i="20" a="1"/>
  <c r="AW91" i="20" s="1"/>
  <c r="AW90" i="20" a="1"/>
  <c r="AW90" i="20" s="1"/>
  <c r="AW89" i="20" a="1"/>
  <c r="AW89" i="20" s="1"/>
  <c r="AW88" i="20" a="1"/>
  <c r="AW88" i="20" s="1"/>
  <c r="AW87" i="20" a="1"/>
  <c r="AW87" i="20" s="1"/>
  <c r="AW83" i="20" a="1"/>
  <c r="AW83" i="20" s="1"/>
  <c r="AW82" i="20" a="1"/>
  <c r="AW82" i="20" s="1"/>
  <c r="AW81" i="20" a="1"/>
  <c r="AW81" i="20" s="1"/>
  <c r="AW80" i="20" a="1"/>
  <c r="AW80" i="20" s="1"/>
  <c r="AW79" i="20" a="1"/>
  <c r="AW79" i="20" s="1"/>
  <c r="AW78" i="20" a="1"/>
  <c r="AW78" i="20" s="1"/>
  <c r="AW77" i="20" a="1"/>
  <c r="AW77" i="20" s="1"/>
  <c r="AW76" i="20" a="1"/>
  <c r="AW76" i="20" s="1"/>
  <c r="AW75" i="20" a="1"/>
  <c r="AW75" i="20" s="1"/>
  <c r="AW74" i="20" a="1"/>
  <c r="AW74" i="20" s="1"/>
  <c r="AW73" i="20" a="1"/>
  <c r="AW73" i="20" s="1"/>
  <c r="AW72" i="20" a="1"/>
  <c r="AW72" i="20" s="1"/>
  <c r="AW71" i="20" a="1"/>
  <c r="AW71" i="20" s="1"/>
  <c r="AW68" i="20" a="1"/>
  <c r="AW68" i="20" s="1"/>
  <c r="AW66" i="20" a="1"/>
  <c r="AW66" i="20" s="1"/>
  <c r="AW65" i="20" a="1"/>
  <c r="AW65" i="20" s="1"/>
  <c r="AW64" i="20" a="1"/>
  <c r="AW64" i="20" s="1"/>
  <c r="AW61" i="20" a="1"/>
  <c r="AW61" i="20" s="1"/>
  <c r="AW59" i="20" a="1"/>
  <c r="AW59" i="20" s="1"/>
  <c r="AW58" i="20" a="1"/>
  <c r="AW58" i="20" s="1"/>
  <c r="AW57" i="20" a="1"/>
  <c r="AW57" i="20" s="1"/>
  <c r="AW56" i="20" a="1"/>
  <c r="AW56" i="20" s="1"/>
  <c r="AW55" i="20" a="1"/>
  <c r="AW55" i="20" s="1"/>
  <c r="AW54" i="20" a="1"/>
  <c r="AW54" i="20" s="1"/>
  <c r="AW53" i="20" a="1"/>
  <c r="AW53" i="20" s="1"/>
  <c r="AW50" i="20" a="1"/>
  <c r="AW50" i="20" s="1"/>
  <c r="AW48" i="20" a="1"/>
  <c r="AW48" i="20" s="1"/>
  <c r="AW47" i="20" a="1"/>
  <c r="AW47" i="20" s="1"/>
  <c r="AW46" i="20" a="1"/>
  <c r="AW46" i="20" s="1"/>
  <c r="AW44" i="20" a="1"/>
  <c r="AW44" i="20" s="1"/>
  <c r="AW42" i="20" a="1"/>
  <c r="AW42" i="20" s="1"/>
  <c r="AW128" i="20" a="1"/>
  <c r="AW128" i="20" s="1"/>
  <c r="AW45" i="20" a="1"/>
  <c r="AW45" i="20" s="1"/>
  <c r="AW43" i="20" a="1"/>
  <c r="AW43" i="20" s="1"/>
  <c r="AW41" i="20" a="1"/>
  <c r="AW41" i="20" s="1"/>
  <c r="AW38" i="20" a="1"/>
  <c r="AW38" i="20" s="1"/>
  <c r="AW36" i="20" a="1"/>
  <c r="AW36" i="20" s="1"/>
  <c r="AW35" i="20" a="1"/>
  <c r="AW35" i="20" s="1"/>
  <c r="AW34" i="20" a="1"/>
  <c r="AW34" i="20" s="1"/>
  <c r="AW33" i="20" a="1"/>
  <c r="AW33" i="20" s="1"/>
  <c r="AW32" i="20" a="1"/>
  <c r="AW32" i="20" s="1"/>
  <c r="AW29" i="20" a="1"/>
  <c r="AW29" i="20" s="1"/>
  <c r="AW27" i="20" a="1"/>
  <c r="AW27" i="20" s="1"/>
  <c r="AW26" i="20" a="1"/>
  <c r="AW26" i="20" s="1"/>
  <c r="AW25" i="20" a="1"/>
  <c r="AW25" i="20" s="1"/>
  <c r="AW24" i="20" a="1"/>
  <c r="AW24" i="20" s="1"/>
  <c r="AW23" i="20" a="1"/>
  <c r="AW23" i="20" s="1"/>
  <c r="AW22" i="20" a="1"/>
  <c r="AW22" i="20" s="1"/>
  <c r="AW21" i="20" a="1"/>
  <c r="AW21" i="20" s="1"/>
  <c r="AW20" i="20" a="1"/>
  <c r="AW20" i="20" s="1"/>
  <c r="AW19" i="20" a="1"/>
  <c r="AW19" i="20" s="1"/>
  <c r="AW16" i="20" a="1"/>
  <c r="AW16" i="20" s="1"/>
  <c r="AW13" i="20" a="1"/>
  <c r="AW13" i="20" s="1"/>
  <c r="AW12" i="20" a="1"/>
  <c r="AW12" i="20" s="1"/>
  <c r="AU50" i="30"/>
  <c r="AW64" i="9"/>
  <c r="AW102" i="9"/>
  <c r="AW121" i="9"/>
  <c r="AW159" i="9"/>
  <c r="AW197" i="9"/>
  <c r="AW235" i="9"/>
  <c r="AW273" i="9"/>
  <c r="AW311" i="9"/>
  <c r="AW349" i="9"/>
  <c r="AW387" i="9"/>
  <c r="AW178" i="9"/>
  <c r="AW330" i="9"/>
  <c r="AW425" i="9"/>
  <c r="AW216" i="9"/>
  <c r="AW368" i="9"/>
  <c r="AW83" i="9"/>
  <c r="AW254" i="9"/>
  <c r="AW292" i="9"/>
  <c r="AW140" i="9"/>
  <c r="AW406" i="9"/>
  <c r="AU841" i="9"/>
  <c r="AU846" i="9"/>
  <c r="AU833" i="9"/>
  <c r="AU843" i="9"/>
  <c r="AU831" i="9"/>
  <c r="AU770" i="9"/>
  <c r="AU793" i="9" s="1"/>
  <c r="AU866" i="9" s="1"/>
  <c r="AU760" i="9"/>
  <c r="AU783" i="9" s="1"/>
  <c r="AU856" i="9" s="1"/>
  <c r="AU773" i="9"/>
  <c r="AU796" i="9" s="1"/>
  <c r="AU869" i="9" s="1"/>
  <c r="AU235" i="3"/>
  <c r="AU724" i="9"/>
  <c r="AU246" i="3"/>
  <c r="AU242" i="3"/>
  <c r="AU248" i="3"/>
  <c r="AU243" i="3"/>
  <c r="AU245" i="3"/>
  <c r="AU241" i="3"/>
  <c r="AU238" i="3"/>
  <c r="AU239" i="3"/>
  <c r="AU714" i="9"/>
  <c r="AU236" i="3"/>
  <c r="AU758" i="9"/>
  <c r="AU781" i="9" s="1"/>
  <c r="AU804" i="9" s="1"/>
  <c r="AU240" i="3"/>
  <c r="AU250" i="3"/>
  <c r="AU247" i="3"/>
  <c r="AU768" i="9"/>
  <c r="AU791" i="9" s="1"/>
  <c r="AU864" i="9" s="1"/>
  <c r="AU727" i="9"/>
  <c r="AU249" i="3"/>
  <c r="AU712" i="9"/>
  <c r="AU234" i="3"/>
  <c r="AU722" i="9"/>
  <c r="AU244" i="3"/>
  <c r="AU237" i="3"/>
  <c r="AU756" i="9"/>
  <c r="AU779" i="9" s="1"/>
  <c r="AU802" i="9" s="1"/>
  <c r="AU829" i="9"/>
  <c r="AW191" i="26"/>
  <c r="AW188" i="26"/>
  <c r="AW180" i="26"/>
  <c r="AW194" i="26" s="1"/>
  <c r="AW295" i="26" s="1"/>
  <c r="AW189" i="26"/>
  <c r="AW183" i="26"/>
  <c r="AW190" i="26"/>
  <c r="AW182" i="26"/>
  <c r="AW185" i="26"/>
  <c r="AW192" i="26"/>
  <c r="AW187" i="26"/>
  <c r="AW178" i="26"/>
  <c r="AW181" i="26"/>
  <c r="AW195" i="26" s="1"/>
  <c r="AW296" i="26" s="1"/>
  <c r="AW184" i="26"/>
  <c r="AW179" i="26"/>
  <c r="AW186" i="26"/>
  <c r="BO189" i="26"/>
  <c r="BO183" i="26"/>
  <c r="BO191" i="26"/>
  <c r="BO181" i="26"/>
  <c r="BO182" i="26"/>
  <c r="BO187" i="26"/>
  <c r="BO141" i="26"/>
  <c r="BO185" i="26"/>
  <c r="BO186" i="26"/>
  <c r="BO180" i="26"/>
  <c r="BO194" i="26" s="1"/>
  <c r="BO188" i="26"/>
  <c r="BO178" i="26"/>
  <c r="BO190" i="26"/>
  <c r="BO179" i="26"/>
  <c r="BO192" i="26"/>
  <c r="AV208" i="26"/>
  <c r="BO118" i="26"/>
  <c r="BO114" i="26"/>
  <c r="BO84" i="26"/>
  <c r="BO81" i="26"/>
  <c r="BO90" i="26"/>
  <c r="BO110" i="26"/>
  <c r="BO91" i="26"/>
  <c r="BO115" i="26"/>
  <c r="BO113" i="26"/>
  <c r="BO140" i="26"/>
  <c r="BM68" i="26"/>
  <c r="BM70" i="26"/>
  <c r="BN68" i="26"/>
  <c r="BN70" i="26"/>
  <c r="BO53" i="26"/>
  <c r="BO111" i="26"/>
  <c r="BO130" i="26"/>
  <c r="BO104" i="26"/>
  <c r="BO116" i="26"/>
  <c r="BO86" i="26"/>
  <c r="BO108" i="26"/>
  <c r="BO87" i="26"/>
  <c r="BO107" i="26"/>
  <c r="BO109" i="26"/>
  <c r="BO136" i="26"/>
  <c r="BO137" i="26"/>
  <c r="BO88" i="26"/>
  <c r="BO135" i="26"/>
  <c r="BO134" i="26"/>
  <c r="BO143" i="26"/>
  <c r="BO142" i="26"/>
  <c r="BO82" i="26"/>
  <c r="BO139" i="26"/>
  <c r="BO83" i="26"/>
  <c r="BO138" i="26"/>
  <c r="BO105" i="26"/>
  <c r="BO132" i="26"/>
  <c r="BO133" i="26"/>
  <c r="BO80" i="26"/>
  <c r="BO85" i="26"/>
  <c r="BO92" i="26"/>
  <c r="BO89" i="26"/>
  <c r="BO78" i="26"/>
  <c r="BO112" i="26"/>
  <c r="BO131" i="26"/>
  <c r="BO79" i="26"/>
  <c r="BO117" i="26"/>
  <c r="BO144" i="26"/>
  <c r="BO106" i="26"/>
  <c r="AV205" i="26"/>
  <c r="AV206" i="26"/>
  <c r="AW117" i="20"/>
  <c r="AV223" i="6"/>
  <c r="AV130" i="30" s="1"/>
  <c r="AV180" i="20"/>
  <c r="AB780" i="9"/>
  <c r="BO111" i="3"/>
  <c r="BN4" i="1"/>
  <c r="BN4" i="4"/>
  <c r="BO95" i="3"/>
  <c r="BO102" i="3"/>
  <c r="BN121" i="3"/>
  <c r="BN123" i="3"/>
  <c r="BO106" i="3"/>
  <c r="BO94" i="3"/>
  <c r="BO112" i="3"/>
  <c r="AX43" i="3"/>
  <c r="AX4" i="38"/>
  <c r="AU710" i="9"/>
  <c r="AU232" i="3"/>
  <c r="AV198" i="26"/>
  <c r="BN126" i="3"/>
  <c r="BO109" i="3"/>
  <c r="BO103" i="3"/>
  <c r="BN169" i="26"/>
  <c r="AB151" i="1"/>
  <c r="AB39" i="30"/>
  <c r="AB117" i="1"/>
  <c r="AB107" i="1"/>
  <c r="AB34" i="30"/>
  <c r="AB152" i="30"/>
  <c r="AB59" i="33" s="1"/>
  <c r="AB15" i="20"/>
  <c r="AB67" i="1"/>
  <c r="AB37" i="1"/>
  <c r="AB84" i="1"/>
  <c r="AB42" i="30"/>
  <c r="AV174" i="26"/>
  <c r="BL60" i="3"/>
  <c r="BL48" i="3"/>
  <c r="BL50" i="3"/>
  <c r="BL57" i="3"/>
  <c r="BL59" i="3"/>
  <c r="BL51" i="3"/>
  <c r="BL56" i="3"/>
  <c r="BL64" i="3"/>
  <c r="BL58" i="3"/>
  <c r="BL53" i="3"/>
  <c r="BL63" i="3"/>
  <c r="BL47" i="3"/>
  <c r="BL65" i="3"/>
  <c r="BL66" i="3"/>
  <c r="BL54" i="3"/>
  <c r="BL52" i="3"/>
  <c r="BL55" i="3"/>
  <c r="BL61" i="3"/>
  <c r="BL49" i="3"/>
  <c r="BL62" i="3"/>
  <c r="BM48" i="3"/>
  <c r="BM63" i="3"/>
  <c r="BM54" i="3"/>
  <c r="BM65" i="3"/>
  <c r="BM59" i="3"/>
  <c r="BM56" i="3"/>
  <c r="BM57" i="3"/>
  <c r="BM62" i="3"/>
  <c r="BM53" i="3"/>
  <c r="BM66" i="3"/>
  <c r="BM60" i="3"/>
  <c r="BM49" i="3"/>
  <c r="BM52" i="3"/>
  <c r="BM50" i="3"/>
  <c r="BM58" i="3"/>
  <c r="BM55" i="3"/>
  <c r="BM51" i="3"/>
  <c r="BM61" i="3"/>
  <c r="BM64" i="3"/>
  <c r="BM47" i="3"/>
  <c r="BP5" i="38"/>
  <c r="BP55" i="3"/>
  <c r="BO124" i="3" s="1"/>
  <c r="BP48" i="3"/>
  <c r="BP94" i="3" s="1"/>
  <c r="BP56" i="3"/>
  <c r="BP102" i="3" s="1"/>
  <c r="BP51" i="3"/>
  <c r="BP97" i="3" s="1"/>
  <c r="BP63" i="3"/>
  <c r="BP52" i="3"/>
  <c r="BO121" i="3" s="1"/>
  <c r="BP60" i="3"/>
  <c r="BP106" i="3" s="1"/>
  <c r="BP57" i="3"/>
  <c r="BO126" i="3" s="1"/>
  <c r="BP49" i="3"/>
  <c r="BP95" i="3" s="1"/>
  <c r="BP53" i="3"/>
  <c r="BP99" i="3" s="1"/>
  <c r="BP61" i="3"/>
  <c r="BP107" i="3" s="1"/>
  <c r="BP54" i="3"/>
  <c r="BO123" i="3" s="1"/>
  <c r="BP62" i="3"/>
  <c r="BO131" i="3" s="1"/>
  <c r="BP47" i="3"/>
  <c r="BP93" i="3" s="1"/>
  <c r="BP64" i="3"/>
  <c r="BP110" i="3" s="1"/>
  <c r="BP65" i="3"/>
  <c r="BP111" i="3" s="1"/>
  <c r="BP50" i="3"/>
  <c r="BO119" i="3" s="1"/>
  <c r="BP58" i="3"/>
  <c r="BO127" i="3" s="1"/>
  <c r="BP66" i="3"/>
  <c r="BO135" i="3" s="1"/>
  <c r="BP59" i="3"/>
  <c r="BP105" i="3" s="1"/>
  <c r="BM173" i="26"/>
  <c r="BN197" i="26"/>
  <c r="BM169" i="26"/>
  <c r="BN173" i="26"/>
  <c r="BM197" i="26"/>
  <c r="AU98" i="30"/>
  <c r="AU187" i="30" s="1"/>
  <c r="AV34" i="6"/>
  <c r="AV69" i="30" s="1"/>
  <c r="AW257" i="26"/>
  <c r="AV107" i="6"/>
  <c r="BN125" i="3"/>
  <c r="AV207" i="26"/>
  <c r="BO20" i="3"/>
  <c r="BN4" i="38"/>
  <c r="BN16" i="3"/>
  <c r="AV299" i="26"/>
  <c r="BN117" i="3"/>
  <c r="BO4" i="38"/>
  <c r="BO16" i="3"/>
  <c r="BO4" i="11"/>
  <c r="BL52" i="6"/>
  <c r="BL154" i="6"/>
  <c r="BL98" i="30" s="1"/>
  <c r="CM98" i="30" s="1"/>
  <c r="CE98" i="30" s="1"/>
  <c r="BO158" i="26"/>
  <c r="BO157" i="26"/>
  <c r="BO162" i="26"/>
  <c r="BO168" i="26"/>
  <c r="AW154" i="26"/>
  <c r="AW173" i="26" s="1"/>
  <c r="AW268" i="26" s="1"/>
  <c r="AW159" i="26"/>
  <c r="AW163" i="26"/>
  <c r="AW167" i="26"/>
  <c r="AW158" i="26"/>
  <c r="AW172" i="26" s="1"/>
  <c r="AW236" i="26" s="1"/>
  <c r="AW166" i="26"/>
  <c r="AW156" i="26"/>
  <c r="AW170" i="26" s="1"/>
  <c r="AW222" i="26" s="1"/>
  <c r="AW160" i="26"/>
  <c r="AW164" i="26"/>
  <c r="AW155" i="26"/>
  <c r="AW162" i="26"/>
  <c r="AW157" i="26"/>
  <c r="AW171" i="26" s="1"/>
  <c r="AW249" i="26" s="1"/>
  <c r="AW161" i="26"/>
  <c r="AW165" i="26"/>
  <c r="AW168" i="26"/>
  <c r="BO154" i="26"/>
  <c r="BO167" i="26"/>
  <c r="BO163" i="26"/>
  <c r="BO164" i="26"/>
  <c r="BO159" i="26"/>
  <c r="BO155" i="26"/>
  <c r="BO156" i="26"/>
  <c r="BO166" i="26"/>
  <c r="BO165" i="26"/>
  <c r="BO161" i="26"/>
  <c r="BO160" i="26"/>
  <c r="AW138" i="26"/>
  <c r="AW88" i="26"/>
  <c r="AW108" i="26"/>
  <c r="AV72" i="33"/>
  <c r="AW65" i="26"/>
  <c r="AW118" i="26"/>
  <c r="AW143" i="26"/>
  <c r="BN4" i="35"/>
  <c r="BO4" i="35"/>
  <c r="AW64" i="26"/>
  <c r="AW136" i="26"/>
  <c r="BO4" i="1"/>
  <c r="BO4" i="12"/>
  <c r="AW92" i="26"/>
  <c r="AW91" i="26"/>
  <c r="AW62" i="26"/>
  <c r="AW116" i="26"/>
  <c r="AW106" i="26"/>
  <c r="AW141" i="26"/>
  <c r="AW80" i="26"/>
  <c r="AW139" i="26"/>
  <c r="AW110" i="26"/>
  <c r="AW85" i="26"/>
  <c r="AW63" i="26"/>
  <c r="AW67" i="26"/>
  <c r="AW117" i="26"/>
  <c r="AW142" i="26"/>
  <c r="AW132" i="26"/>
  <c r="AW146" i="26" s="1"/>
  <c r="BL205" i="26"/>
  <c r="CS205" i="26" s="1"/>
  <c r="CK205" i="26" s="1"/>
  <c r="BP5" i="33"/>
  <c r="BP5" i="35"/>
  <c r="AW439" i="9"/>
  <c r="BA437" i="9"/>
  <c r="BA444" i="9"/>
  <c r="BA449" i="9"/>
  <c r="BA446" i="9"/>
  <c r="BB443" i="9"/>
  <c r="AV434" i="9"/>
  <c r="AX441" i="9"/>
  <c r="AU231" i="3"/>
  <c r="AW87" i="26"/>
  <c r="AW83" i="26"/>
  <c r="AW66" i="26"/>
  <c r="AW61" i="26"/>
  <c r="BO61" i="26"/>
  <c r="AW133" i="26"/>
  <c r="AW147" i="26" s="1"/>
  <c r="AW137" i="26"/>
  <c r="BA502" i="9"/>
  <c r="BA514" i="9"/>
  <c r="BA505" i="9"/>
  <c r="BA507" i="9"/>
  <c r="BA516" i="9"/>
  <c r="BA509" i="9"/>
  <c r="BA519" i="9"/>
  <c r="AY517" i="9"/>
  <c r="BA415" i="9"/>
  <c r="BB409" i="9" s="1"/>
  <c r="BB413" i="9" s="1"/>
  <c r="BA149" i="9"/>
  <c r="BB143" i="9" s="1"/>
  <c r="BB147" i="9" s="1"/>
  <c r="BA92" i="9"/>
  <c r="BB86" i="9" s="1"/>
  <c r="BB90" i="9" s="1"/>
  <c r="BN118" i="3"/>
  <c r="BA225" i="9"/>
  <c r="BB219" i="9" s="1"/>
  <c r="BB223" i="9" s="1"/>
  <c r="BO22" i="3"/>
  <c r="BO28" i="3" s="1"/>
  <c r="BO4" i="33"/>
  <c r="BN134" i="3"/>
  <c r="BN4" i="16"/>
  <c r="BN4" i="33"/>
  <c r="BB1003" i="9"/>
  <c r="BN4" i="9"/>
  <c r="BO63" i="26"/>
  <c r="BO62" i="26"/>
  <c r="BP5" i="32"/>
  <c r="BP5" i="30"/>
  <c r="BN4" i="28"/>
  <c r="BN4" i="32"/>
  <c r="BN4" i="30"/>
  <c r="BO4" i="6"/>
  <c r="BN4" i="11"/>
  <c r="BO4" i="16"/>
  <c r="BO4" i="20"/>
  <c r="BN4" i="6"/>
  <c r="BN4" i="26"/>
  <c r="BO4" i="26"/>
  <c r="BO67" i="26"/>
  <c r="BO57" i="26"/>
  <c r="BO4" i="4"/>
  <c r="BN4" i="12"/>
  <c r="BO4" i="9"/>
  <c r="BO4" i="22"/>
  <c r="BN4" i="20"/>
  <c r="BN22" i="3"/>
  <c r="BN26" i="3" s="1"/>
  <c r="BO66" i="26"/>
  <c r="BO55" i="26"/>
  <c r="BO4" i="28"/>
  <c r="BO4" i="32"/>
  <c r="BO4" i="30"/>
  <c r="BO196" i="26"/>
  <c r="BN193" i="26"/>
  <c r="BM193" i="26"/>
  <c r="AW196" i="26"/>
  <c r="AW297" i="26" s="1"/>
  <c r="AW134" i="26"/>
  <c r="AW148" i="26" s="1"/>
  <c r="BO60" i="26"/>
  <c r="BO65" i="26"/>
  <c r="BO58" i="26"/>
  <c r="BO54" i="26"/>
  <c r="BA1009" i="9"/>
  <c r="BO59" i="26"/>
  <c r="BO64" i="26"/>
  <c r="BO56" i="26"/>
  <c r="BA1002" i="9"/>
  <c r="BA442" i="9"/>
  <c r="BA995" i="9"/>
  <c r="BA435" i="9"/>
  <c r="BA1006" i="9"/>
  <c r="BA1004" i="9"/>
  <c r="AW999" i="9"/>
  <c r="AV994" i="9"/>
  <c r="BA997" i="9"/>
  <c r="AY377" i="9"/>
  <c r="AW67" i="9"/>
  <c r="AW71" i="9" s="1"/>
  <c r="AX1001" i="9"/>
  <c r="AW89" i="26"/>
  <c r="AW84" i="26"/>
  <c r="AW82" i="26"/>
  <c r="AW79" i="26"/>
  <c r="AW95" i="26" s="1"/>
  <c r="AW180" i="1" s="1"/>
  <c r="AW60" i="26"/>
  <c r="AW59" i="26"/>
  <c r="AW58" i="26"/>
  <c r="AW57" i="26"/>
  <c r="AW113" i="26"/>
  <c r="AW114" i="26"/>
  <c r="AW112" i="26"/>
  <c r="AW235" i="26" s="1"/>
  <c r="AW135" i="26"/>
  <c r="AW115" i="26"/>
  <c r="AW140" i="26"/>
  <c r="AW105" i="26"/>
  <c r="AW144" i="26"/>
  <c r="AW90" i="26"/>
  <c r="AW86" i="26"/>
  <c r="AW234" i="26" s="1"/>
  <c r="AW81" i="26"/>
  <c r="AW78" i="26"/>
  <c r="AW94" i="26" s="1"/>
  <c r="AW220" i="26" s="1"/>
  <c r="AW56" i="26"/>
  <c r="AW55" i="26"/>
  <c r="AW54" i="26"/>
  <c r="AW53" i="26"/>
  <c r="AW109" i="26"/>
  <c r="AW131" i="26"/>
  <c r="AW111" i="26"/>
  <c r="AW107" i="26"/>
  <c r="AW130" i="26"/>
  <c r="AW104" i="26"/>
  <c r="BA358" i="9"/>
  <c r="BB352" i="9" s="1"/>
  <c r="BB356" i="9" s="1"/>
  <c r="BO99" i="3"/>
  <c r="BO108" i="3"/>
  <c r="BO107" i="3"/>
  <c r="AX139" i="3"/>
  <c r="AX151" i="3"/>
  <c r="AX145" i="3"/>
  <c r="AX141" i="3"/>
  <c r="BN128" i="3"/>
  <c r="BN116" i="3"/>
  <c r="BN130" i="3"/>
  <c r="BN122" i="3"/>
  <c r="AW77" i="3"/>
  <c r="AV123" i="3"/>
  <c r="BL155" i="3"/>
  <c r="BL154" i="3"/>
  <c r="BL142" i="3"/>
  <c r="BL141" i="3"/>
  <c r="BL146" i="3"/>
  <c r="BL140" i="3"/>
  <c r="BL158" i="3"/>
  <c r="BL157" i="3"/>
  <c r="BL149" i="3"/>
  <c r="BL148" i="3"/>
  <c r="BL145" i="3"/>
  <c r="BL153" i="3"/>
  <c r="BL152" i="3"/>
  <c r="BL151" i="3"/>
  <c r="BL143" i="3"/>
  <c r="BL150" i="3"/>
  <c r="BL144" i="3"/>
  <c r="BL156" i="3"/>
  <c r="BL147" i="3"/>
  <c r="BL139" i="3"/>
  <c r="AW82" i="3"/>
  <c r="AV128" i="3"/>
  <c r="AW81" i="3"/>
  <c r="AV127" i="3"/>
  <c r="AW88" i="3"/>
  <c r="AV134" i="3"/>
  <c r="AW87" i="3"/>
  <c r="AV133" i="3"/>
  <c r="AW75" i="3"/>
  <c r="AV121" i="3"/>
  <c r="BP5" i="16"/>
  <c r="AX147" i="3"/>
  <c r="AX153" i="3"/>
  <c r="AX144" i="3"/>
  <c r="AX152" i="3"/>
  <c r="BN135" i="3"/>
  <c r="BN131" i="3"/>
  <c r="AW84" i="3"/>
  <c r="AV130" i="3"/>
  <c r="AW73" i="3"/>
  <c r="AV119" i="3"/>
  <c r="AW71" i="3"/>
  <c r="AV117" i="3"/>
  <c r="BN120" i="3"/>
  <c r="BN124" i="3"/>
  <c r="AX149" i="3"/>
  <c r="AX143" i="3"/>
  <c r="AX150" i="3"/>
  <c r="AX156" i="3"/>
  <c r="AX158" i="3"/>
  <c r="AX148" i="3"/>
  <c r="BN129" i="3"/>
  <c r="BM151" i="3"/>
  <c r="BM156" i="3"/>
  <c r="BM143" i="3"/>
  <c r="BM150" i="3"/>
  <c r="BM155" i="3"/>
  <c r="BM145" i="3"/>
  <c r="BM157" i="3"/>
  <c r="BM149" i="3"/>
  <c r="BM158" i="3"/>
  <c r="BM152" i="3"/>
  <c r="BM140" i="3"/>
  <c r="BM154" i="3"/>
  <c r="BM148" i="3"/>
  <c r="BM147" i="3"/>
  <c r="BM142" i="3"/>
  <c r="BM153" i="3"/>
  <c r="BM146" i="3"/>
  <c r="BM144" i="3"/>
  <c r="BM141" i="3"/>
  <c r="BM139" i="3"/>
  <c r="AW76" i="3"/>
  <c r="AV122" i="3"/>
  <c r="AW83" i="3"/>
  <c r="AV129" i="3"/>
  <c r="AW89" i="3"/>
  <c r="AV135" i="3"/>
  <c r="AW74" i="3"/>
  <c r="AV120" i="3"/>
  <c r="AW86" i="3"/>
  <c r="AV132" i="3"/>
  <c r="BP146" i="3"/>
  <c r="BP147" i="3"/>
  <c r="BP158" i="3"/>
  <c r="BP141" i="3"/>
  <c r="BP153" i="3"/>
  <c r="BP143" i="3"/>
  <c r="BP152" i="3"/>
  <c r="BP145" i="3"/>
  <c r="BP157" i="3"/>
  <c r="BP142" i="3"/>
  <c r="BP140" i="3"/>
  <c r="BP139" i="3"/>
  <c r="BP144" i="3"/>
  <c r="BP156" i="3"/>
  <c r="BP154" i="3"/>
  <c r="BP150" i="3"/>
  <c r="BP148" i="3"/>
  <c r="BP149" i="3"/>
  <c r="BP155" i="3"/>
  <c r="BP151" i="3"/>
  <c r="AW79" i="3"/>
  <c r="AV125" i="3"/>
  <c r="AW72" i="3"/>
  <c r="AV118" i="3"/>
  <c r="AW78" i="3"/>
  <c r="AV124" i="3"/>
  <c r="AW85" i="3"/>
  <c r="AV131" i="3"/>
  <c r="AW70" i="3"/>
  <c r="AV116" i="3"/>
  <c r="AW80" i="3"/>
  <c r="AV126" i="3"/>
  <c r="BO104" i="3"/>
  <c r="BO100" i="3"/>
  <c r="BN127" i="3"/>
  <c r="BN133" i="3"/>
  <c r="AX146" i="3"/>
  <c r="AX154" i="3"/>
  <c r="AX155" i="3"/>
  <c r="AX142" i="3"/>
  <c r="AX157" i="3"/>
  <c r="AX140" i="3"/>
  <c r="BN119" i="3"/>
  <c r="BN132" i="3"/>
  <c r="BP5" i="6"/>
  <c r="BP5" i="26"/>
  <c r="BO96" i="3"/>
  <c r="BP4" i="4"/>
  <c r="AX5" i="3"/>
  <c r="BP5" i="28"/>
  <c r="BP5" i="22"/>
  <c r="BM4" i="12"/>
  <c r="BP5" i="4"/>
  <c r="BP5" i="12"/>
  <c r="BP5" i="1"/>
  <c r="BP5" i="9"/>
  <c r="BP5" i="11"/>
  <c r="BP5" i="20"/>
  <c r="BO93" i="3"/>
  <c r="BA320" i="9"/>
  <c r="BB314" i="9" s="1"/>
  <c r="BB318" i="9" s="1"/>
  <c r="BA187" i="9"/>
  <c r="BB181" i="9" s="1"/>
  <c r="BB185" i="9" s="1"/>
  <c r="BO98" i="3"/>
  <c r="BO101" i="3"/>
  <c r="BO97" i="3"/>
  <c r="BL219" i="26"/>
  <c r="CS219" i="26" s="1"/>
  <c r="CK219" i="26" s="1"/>
  <c r="BO110" i="3"/>
  <c r="BO105" i="3"/>
  <c r="AV179" i="20"/>
  <c r="AV281" i="26"/>
  <c r="AW121" i="26"/>
  <c r="AW248" i="26" s="1"/>
  <c r="BN219" i="26"/>
  <c r="BO219" i="26"/>
  <c r="AW219" i="26"/>
  <c r="AB28" i="3"/>
  <c r="AB26" i="3"/>
  <c r="AX12" i="3"/>
  <c r="AX3" i="3" s="1"/>
  <c r="AX24" i="3"/>
  <c r="AW96" i="3"/>
  <c r="AW94" i="3"/>
  <c r="AY8" i="3"/>
  <c r="AW102" i="3"/>
  <c r="AW95" i="3"/>
  <c r="AW101" i="3"/>
  <c r="AW108" i="3"/>
  <c r="AW93" i="3"/>
  <c r="AW103" i="3"/>
  <c r="AW97" i="3"/>
  <c r="AW99" i="3"/>
  <c r="AW107" i="3"/>
  <c r="AW100" i="3"/>
  <c r="AW106" i="3"/>
  <c r="AW112" i="3"/>
  <c r="AW109" i="3"/>
  <c r="AW105" i="3"/>
  <c r="AW104" i="3"/>
  <c r="AW111" i="3"/>
  <c r="AW110" i="3"/>
  <c r="AW98" i="3"/>
  <c r="Y4" i="4"/>
  <c r="Y4" i="1"/>
  <c r="Y4" i="6"/>
  <c r="AB4" i="6"/>
  <c r="AB4" i="1"/>
  <c r="AB4" i="4"/>
  <c r="AB20" i="3"/>
  <c r="BQ43" i="3"/>
  <c r="AU64" i="33" l="1"/>
  <c r="AU74" i="33"/>
  <c r="AU745" i="9"/>
  <c r="AU733" i="9"/>
  <c r="AU737" i="9"/>
  <c r="AU750" i="9"/>
  <c r="AV704" i="9" s="1"/>
  <c r="AU747" i="9"/>
  <c r="AU735" i="9"/>
  <c r="BO171" i="26"/>
  <c r="BO249" i="26" s="1"/>
  <c r="BN233" i="26"/>
  <c r="BM179" i="1"/>
  <c r="BM179" i="20" s="1"/>
  <c r="BN247" i="26"/>
  <c r="BM233" i="26"/>
  <c r="BO195" i="26"/>
  <c r="BO296" i="26" s="1"/>
  <c r="BN221" i="26"/>
  <c r="BN180" i="1"/>
  <c r="BN180" i="20" s="1"/>
  <c r="BN97" i="26"/>
  <c r="BN221" i="6" s="1"/>
  <c r="BN123" i="26"/>
  <c r="BN267" i="26" s="1"/>
  <c r="BO93" i="26"/>
  <c r="BM295" i="26"/>
  <c r="BM222" i="26"/>
  <c r="BM298" i="26"/>
  <c r="BO147" i="26"/>
  <c r="BN298" i="26"/>
  <c r="BO149" i="26"/>
  <c r="BN297" i="26"/>
  <c r="BN222" i="26"/>
  <c r="BM268" i="26"/>
  <c r="BO95" i="26"/>
  <c r="BO97" i="26" s="1"/>
  <c r="BM205" i="26"/>
  <c r="BO170" i="26"/>
  <c r="BN268" i="26"/>
  <c r="BO145" i="26"/>
  <c r="BO146" i="26"/>
  <c r="BO148" i="26"/>
  <c r="BN150" i="26"/>
  <c r="BN296" i="26"/>
  <c r="BN295" i="26"/>
  <c r="BM236" i="26"/>
  <c r="BO295" i="26"/>
  <c r="BO297" i="26"/>
  <c r="BO172" i="26"/>
  <c r="BO120" i="26"/>
  <c r="BO123" i="26" s="1"/>
  <c r="BN236" i="26"/>
  <c r="AW24" i="32"/>
  <c r="AW153" i="30"/>
  <c r="AV52" i="30"/>
  <c r="AX3" i="38"/>
  <c r="AX39" i="3"/>
  <c r="AX347" i="3"/>
  <c r="AX346" i="3"/>
  <c r="BP64" i="9"/>
  <c r="BP140" i="9"/>
  <c r="BP178" i="9"/>
  <c r="BP216" i="9"/>
  <c r="BP254" i="9"/>
  <c r="BP292" i="9"/>
  <c r="BP330" i="9"/>
  <c r="BP368" i="9"/>
  <c r="BP406" i="9"/>
  <c r="BP83" i="9"/>
  <c r="BP235" i="9"/>
  <c r="BP387" i="9"/>
  <c r="BP121" i="9"/>
  <c r="BP273" i="9"/>
  <c r="BP102" i="9"/>
  <c r="BP159" i="9"/>
  <c r="BP349" i="9"/>
  <c r="BP425" i="9"/>
  <c r="BP197" i="9"/>
  <c r="BP311" i="9"/>
  <c r="AV210" i="3"/>
  <c r="AV233" i="3" s="1"/>
  <c r="AV256" i="3"/>
  <c r="AV279" i="3" s="1"/>
  <c r="AB803" i="9"/>
  <c r="AC757" i="9" s="1"/>
  <c r="AB853" i="9"/>
  <c r="AU806" i="9"/>
  <c r="AU814" i="9"/>
  <c r="AU816" i="9"/>
  <c r="AU819" i="9"/>
  <c r="AV691" i="9"/>
  <c r="AV701" i="9"/>
  <c r="AV689" i="9"/>
  <c r="AV224" i="3"/>
  <c r="AV270" i="3"/>
  <c r="AV293" i="3" s="1"/>
  <c r="AV260" i="3"/>
  <c r="AV283" i="3" s="1"/>
  <c r="AV214" i="3"/>
  <c r="AV257" i="3"/>
  <c r="AV280" i="3" s="1"/>
  <c r="AV211" i="3"/>
  <c r="AV216" i="3"/>
  <c r="AV262" i="3"/>
  <c r="AV285" i="3" s="1"/>
  <c r="AV263" i="3"/>
  <c r="AV286" i="3" s="1"/>
  <c r="AV217" i="3"/>
  <c r="AV258" i="3"/>
  <c r="AV281" i="3" s="1"/>
  <c r="AV212" i="3"/>
  <c r="AV221" i="3"/>
  <c r="AV267" i="3"/>
  <c r="AV290" i="3" s="1"/>
  <c r="AV225" i="3"/>
  <c r="AV271" i="3"/>
  <c r="AV294" i="3" s="1"/>
  <c r="AV265" i="3"/>
  <c r="AV288" i="3" s="1"/>
  <c r="AV219" i="3"/>
  <c r="AV261" i="3"/>
  <c r="AV284" i="3" s="1"/>
  <c r="AV215" i="3"/>
  <c r="AV269" i="3"/>
  <c r="AV292" i="3" s="1"/>
  <c r="AV223" i="3"/>
  <c r="AV266" i="3"/>
  <c r="AV289" i="3" s="1"/>
  <c r="AV220" i="3"/>
  <c r="AV222" i="3"/>
  <c r="AV268" i="3"/>
  <c r="AV291" i="3" s="1"/>
  <c r="AV699" i="9"/>
  <c r="AV227" i="3"/>
  <c r="AV273" i="3"/>
  <c r="AV296" i="3" s="1"/>
  <c r="AV272" i="3"/>
  <c r="AV295" i="3" s="1"/>
  <c r="AV226" i="3"/>
  <c r="AU854" i="9"/>
  <c r="AV264" i="3"/>
  <c r="AV287" i="3" s="1"/>
  <c r="AV218" i="3"/>
  <c r="AV259" i="3"/>
  <c r="AV282" i="3" s="1"/>
  <c r="AV213" i="3"/>
  <c r="AU852" i="9"/>
  <c r="AB197" i="1"/>
  <c r="BP182" i="26"/>
  <c r="BP189" i="26"/>
  <c r="BP192" i="26"/>
  <c r="BP188" i="26"/>
  <c r="BP190" i="26"/>
  <c r="BP180" i="26"/>
  <c r="BP194" i="26" s="1"/>
  <c r="BP295" i="26" s="1"/>
  <c r="BP184" i="26"/>
  <c r="BP186" i="26"/>
  <c r="BP181" i="26"/>
  <c r="BP195" i="26" s="1"/>
  <c r="BP296" i="26" s="1"/>
  <c r="BP179" i="1" s="1"/>
  <c r="BP179" i="20" s="1"/>
  <c r="BP179" i="26"/>
  <c r="BP183" i="26"/>
  <c r="BP178" i="26"/>
  <c r="BP197" i="26" s="1"/>
  <c r="BP298" i="26" s="1"/>
  <c r="BP185" i="26"/>
  <c r="BP187" i="26"/>
  <c r="BP191" i="26"/>
  <c r="BM208" i="26"/>
  <c r="BN208" i="26"/>
  <c r="BN71" i="26"/>
  <c r="BM71" i="26"/>
  <c r="BP118" i="26"/>
  <c r="BP110" i="26"/>
  <c r="BP53" i="26"/>
  <c r="BP70" i="26" s="1"/>
  <c r="BP78" i="26"/>
  <c r="BP93" i="26" s="1"/>
  <c r="BP111" i="26"/>
  <c r="BP65" i="26"/>
  <c r="BP92" i="26"/>
  <c r="BP88" i="26"/>
  <c r="BP84" i="26"/>
  <c r="BP67" i="26"/>
  <c r="BP66" i="26"/>
  <c r="BP144" i="26"/>
  <c r="BP140" i="26"/>
  <c r="BP136" i="26"/>
  <c r="BP132" i="26"/>
  <c r="BP146" i="26" s="1"/>
  <c r="BP167" i="26"/>
  <c r="BP163" i="26"/>
  <c r="BP159" i="26"/>
  <c r="BP154" i="26"/>
  <c r="BP173" i="26" s="1"/>
  <c r="BP268" i="26" s="1"/>
  <c r="AW68" i="26"/>
  <c r="AW70" i="26"/>
  <c r="AW233" i="26" s="1"/>
  <c r="BP116" i="26"/>
  <c r="BP108" i="26"/>
  <c r="BP60" i="26"/>
  <c r="BP117" i="26"/>
  <c r="BP109" i="26"/>
  <c r="BP57" i="26"/>
  <c r="BP91" i="26"/>
  <c r="BP87" i="26"/>
  <c r="BP83" i="26"/>
  <c r="BP63" i="26"/>
  <c r="BP62" i="26"/>
  <c r="BP143" i="26"/>
  <c r="BP139" i="26"/>
  <c r="BP135" i="26"/>
  <c r="BP131" i="26"/>
  <c r="BP145" i="26" s="1"/>
  <c r="BP166" i="26"/>
  <c r="BP162" i="26"/>
  <c r="BP158" i="26"/>
  <c r="BP172" i="26" s="1"/>
  <c r="BP236" i="26" s="1"/>
  <c r="BP155" i="26"/>
  <c r="BP114" i="26"/>
  <c r="BP106" i="26"/>
  <c r="BP80" i="26"/>
  <c r="BP115" i="26"/>
  <c r="BP107" i="26"/>
  <c r="BP64" i="26"/>
  <c r="BP90" i="26"/>
  <c r="BP86" i="26"/>
  <c r="BP82" i="26"/>
  <c r="BP59" i="26"/>
  <c r="BP58" i="26"/>
  <c r="BP142" i="26"/>
  <c r="BP138" i="26"/>
  <c r="BP134" i="26"/>
  <c r="BP148" i="26" s="1"/>
  <c r="BP130" i="26"/>
  <c r="BP149" i="26" s="1"/>
  <c r="BP165" i="26"/>
  <c r="BP161" i="26"/>
  <c r="BP157" i="26"/>
  <c r="BP171" i="26" s="1"/>
  <c r="BP249" i="26" s="1"/>
  <c r="BP61" i="26"/>
  <c r="BP112" i="26"/>
  <c r="BP104" i="26"/>
  <c r="BP120" i="26" s="1"/>
  <c r="BP79" i="26"/>
  <c r="BP95" i="26" s="1"/>
  <c r="BP113" i="26"/>
  <c r="BP105" i="26"/>
  <c r="BP56" i="26"/>
  <c r="BP89" i="26"/>
  <c r="BP85" i="26"/>
  <c r="BP81" i="26"/>
  <c r="BP55" i="26"/>
  <c r="BP54" i="26"/>
  <c r="BP141" i="26"/>
  <c r="BP137" i="26"/>
  <c r="BP133" i="26"/>
  <c r="BP147" i="26" s="1"/>
  <c r="BP168" i="26"/>
  <c r="BP164" i="26"/>
  <c r="BP160" i="26"/>
  <c r="BP156" i="26"/>
  <c r="BP170" i="26" s="1"/>
  <c r="BP222" i="26" s="1"/>
  <c r="BP196" i="26"/>
  <c r="BP297" i="26" s="1"/>
  <c r="BO68" i="26"/>
  <c r="BO70" i="26"/>
  <c r="AW247" i="26"/>
  <c r="AB147" i="30"/>
  <c r="AW220" i="6"/>
  <c r="AX30" i="3"/>
  <c r="AB49" i="30"/>
  <c r="AC782" i="9"/>
  <c r="BO26" i="3"/>
  <c r="BN28" i="3"/>
  <c r="BP4" i="6"/>
  <c r="AV687" i="9"/>
  <c r="AV209" i="3"/>
  <c r="AV255" i="3"/>
  <c r="AV278" i="3" s="1"/>
  <c r="BP4" i="12"/>
  <c r="BM198" i="26"/>
  <c r="AW197" i="26"/>
  <c r="AW298" i="26" s="1"/>
  <c r="AW149" i="26"/>
  <c r="BN174" i="26"/>
  <c r="BO173" i="26"/>
  <c r="AW120" i="26"/>
  <c r="AW221" i="26" s="1"/>
  <c r="AW93" i="26"/>
  <c r="AW97" i="26" s="1"/>
  <c r="AW221" i="6" s="1"/>
  <c r="AC34" i="30"/>
  <c r="AC107" i="1"/>
  <c r="AB197" i="20"/>
  <c r="AB22" i="30"/>
  <c r="AC37" i="1"/>
  <c r="AC42" i="30"/>
  <c r="AC15" i="1"/>
  <c r="AB41" i="6"/>
  <c r="AB51" i="30"/>
  <c r="AC39" i="30"/>
  <c r="AC151" i="1"/>
  <c r="AC134" i="1"/>
  <c r="AC67" i="1"/>
  <c r="AC152" i="30"/>
  <c r="AC59" i="33" s="1"/>
  <c r="AC117" i="1"/>
  <c r="AX5" i="38"/>
  <c r="AX51" i="3"/>
  <c r="AX166" i="3" s="1"/>
  <c r="AX189" i="3" s="1"/>
  <c r="AX48" i="3"/>
  <c r="AX163" i="3" s="1"/>
  <c r="AX186" i="3" s="1"/>
  <c r="AX56" i="3"/>
  <c r="AX171" i="3" s="1"/>
  <c r="AX194" i="3" s="1"/>
  <c r="AX55" i="3"/>
  <c r="AX170" i="3" s="1"/>
  <c r="AX193" i="3" s="1"/>
  <c r="AX63" i="3"/>
  <c r="AX178" i="3" s="1"/>
  <c r="AX201" i="3" s="1"/>
  <c r="AX52" i="3"/>
  <c r="AX167" i="3" s="1"/>
  <c r="AX190" i="3" s="1"/>
  <c r="AX64" i="3"/>
  <c r="AX179" i="3" s="1"/>
  <c r="AX202" i="3" s="1"/>
  <c r="AX54" i="3"/>
  <c r="AX169" i="3" s="1"/>
  <c r="AX192" i="3" s="1"/>
  <c r="AX66" i="3"/>
  <c r="AX60" i="3"/>
  <c r="AX175" i="3" s="1"/>
  <c r="AX198" i="3" s="1"/>
  <c r="AX53" i="3"/>
  <c r="AX168" i="3" s="1"/>
  <c r="AX191" i="3" s="1"/>
  <c r="AX49" i="3"/>
  <c r="AX164" i="3" s="1"/>
  <c r="AX187" i="3" s="1"/>
  <c r="AX58" i="3"/>
  <c r="AX173" i="3" s="1"/>
  <c r="AX196" i="3" s="1"/>
  <c r="AX61" i="3"/>
  <c r="AX176" i="3" s="1"/>
  <c r="AX199" i="3" s="1"/>
  <c r="AX57" i="3"/>
  <c r="AX172" i="3" s="1"/>
  <c r="AX195" i="3" s="1"/>
  <c r="AX65" i="3"/>
  <c r="AX180" i="3" s="1"/>
  <c r="AX203" i="3" s="1"/>
  <c r="AX50" i="3"/>
  <c r="AX165" i="3" s="1"/>
  <c r="AX188" i="3" s="1"/>
  <c r="AX62" i="3"/>
  <c r="AX177" i="3" s="1"/>
  <c r="AX200" i="3" s="1"/>
  <c r="AX59" i="3"/>
  <c r="AX174" i="3" s="1"/>
  <c r="AX197" i="3" s="1"/>
  <c r="AX47" i="3"/>
  <c r="AX162" i="3" s="1"/>
  <c r="AX185" i="3" s="1"/>
  <c r="BM116" i="3"/>
  <c r="BN93" i="3"/>
  <c r="BM93" i="3"/>
  <c r="BM124" i="3"/>
  <c r="BM101" i="3"/>
  <c r="BN101" i="3"/>
  <c r="BN95" i="3"/>
  <c r="BM95" i="3"/>
  <c r="BM118" i="3"/>
  <c r="BN108" i="3"/>
  <c r="BM108" i="3"/>
  <c r="BM131" i="3"/>
  <c r="BN111" i="3"/>
  <c r="BM111" i="3"/>
  <c r="BM134" i="3"/>
  <c r="BL131" i="3"/>
  <c r="BL108" i="3"/>
  <c r="BL121" i="3"/>
  <c r="BL98" i="3"/>
  <c r="BL116" i="3"/>
  <c r="BL93" i="3"/>
  <c r="BL110" i="3"/>
  <c r="BL133" i="3"/>
  <c r="BL126" i="3"/>
  <c r="BL103" i="3"/>
  <c r="BQ5" i="38"/>
  <c r="BQ51" i="3"/>
  <c r="BQ97" i="3" s="1"/>
  <c r="BQ52" i="3"/>
  <c r="BP121" i="3" s="1"/>
  <c r="BQ55" i="3"/>
  <c r="BQ101" i="3" s="1"/>
  <c r="BQ48" i="3"/>
  <c r="BP117" i="3" s="1"/>
  <c r="BQ56" i="3"/>
  <c r="BP125" i="3" s="1"/>
  <c r="BQ63" i="3"/>
  <c r="BP132" i="3" s="1"/>
  <c r="BQ60" i="3"/>
  <c r="BQ106" i="3" s="1"/>
  <c r="BQ57" i="3"/>
  <c r="BP126" i="3" s="1"/>
  <c r="BQ49" i="3"/>
  <c r="BQ95" i="3" s="1"/>
  <c r="BQ54" i="3"/>
  <c r="BQ100" i="3" s="1"/>
  <c r="BQ62" i="3"/>
  <c r="BP131" i="3" s="1"/>
  <c r="BQ58" i="3"/>
  <c r="BP127" i="3" s="1"/>
  <c r="BQ66" i="3"/>
  <c r="BP135" i="3" s="1"/>
  <c r="BQ64" i="3"/>
  <c r="BQ110" i="3" s="1"/>
  <c r="BQ65" i="3"/>
  <c r="BP134" i="3" s="1"/>
  <c r="BQ53" i="3"/>
  <c r="BQ99" i="3" s="1"/>
  <c r="BQ50" i="3"/>
  <c r="BP119" i="3" s="1"/>
  <c r="BQ47" i="3"/>
  <c r="BQ93" i="3" s="1"/>
  <c r="BQ59" i="3"/>
  <c r="BP128" i="3" s="1"/>
  <c r="BQ61" i="3"/>
  <c r="BQ107" i="3" s="1"/>
  <c r="BM133" i="3"/>
  <c r="BM110" i="3"/>
  <c r="BN110" i="3"/>
  <c r="BM127" i="3"/>
  <c r="BN104" i="3"/>
  <c r="BM104" i="3"/>
  <c r="BM129" i="3"/>
  <c r="BM106" i="3"/>
  <c r="BN106" i="3"/>
  <c r="BN103" i="3"/>
  <c r="BM126" i="3"/>
  <c r="BM103" i="3"/>
  <c r="BM123" i="3"/>
  <c r="BN100" i="3"/>
  <c r="BM100" i="3"/>
  <c r="BL118" i="3"/>
  <c r="BL95" i="3"/>
  <c r="BL123" i="3"/>
  <c r="BL100" i="3"/>
  <c r="BL132" i="3"/>
  <c r="BL109" i="3"/>
  <c r="BL125" i="3"/>
  <c r="BL102" i="3"/>
  <c r="BL119" i="3"/>
  <c r="BL96" i="3"/>
  <c r="BM107" i="3"/>
  <c r="BM130" i="3"/>
  <c r="BN107" i="3"/>
  <c r="BN96" i="3"/>
  <c r="BM119" i="3"/>
  <c r="BM96" i="3"/>
  <c r="BM135" i="3"/>
  <c r="BM112" i="3"/>
  <c r="BN112" i="3"/>
  <c r="BM102" i="3"/>
  <c r="BN102" i="3"/>
  <c r="BM125" i="3"/>
  <c r="BM132" i="3"/>
  <c r="BN109" i="3"/>
  <c r="BM109" i="3"/>
  <c r="BL130" i="3"/>
  <c r="BL107" i="3"/>
  <c r="BL135" i="3"/>
  <c r="BL112" i="3"/>
  <c r="BL122" i="3"/>
  <c r="BL99" i="3"/>
  <c r="BL120" i="3"/>
  <c r="BL97" i="3"/>
  <c r="BL94" i="3"/>
  <c r="BL117" i="3"/>
  <c r="BM120" i="3"/>
  <c r="BN97" i="3"/>
  <c r="BM97" i="3"/>
  <c r="BM121" i="3"/>
  <c r="BM98" i="3"/>
  <c r="BN98" i="3"/>
  <c r="BM122" i="3"/>
  <c r="BM99" i="3"/>
  <c r="BN99" i="3"/>
  <c r="BM128" i="3"/>
  <c r="BM105" i="3"/>
  <c r="BN105" i="3"/>
  <c r="BM117" i="3"/>
  <c r="BM94" i="3"/>
  <c r="BN94" i="3"/>
  <c r="BL124" i="3"/>
  <c r="BL101" i="3"/>
  <c r="BL111" i="3"/>
  <c r="BL134" i="3"/>
  <c r="BL127" i="3"/>
  <c r="BL104" i="3"/>
  <c r="BL128" i="3"/>
  <c r="BL105" i="3"/>
  <c r="BL129" i="3"/>
  <c r="BL106" i="3"/>
  <c r="BN198" i="26"/>
  <c r="BM174" i="26"/>
  <c r="AW145" i="26"/>
  <c r="BO197" i="26"/>
  <c r="AV111" i="6"/>
  <c r="BL76" i="30"/>
  <c r="CM76" i="30" s="1"/>
  <c r="CE76" i="30" s="1"/>
  <c r="BO18" i="3"/>
  <c r="BP4" i="22"/>
  <c r="BP16" i="3"/>
  <c r="BP18" i="3" s="1"/>
  <c r="BP4" i="38"/>
  <c r="BP4" i="26"/>
  <c r="BM4" i="38"/>
  <c r="BN20" i="3"/>
  <c r="BM16" i="3"/>
  <c r="BN18" i="3" s="1"/>
  <c r="BP22" i="3"/>
  <c r="BP28" i="3" s="1"/>
  <c r="BP4" i="16"/>
  <c r="BL16" i="3"/>
  <c r="BL4" i="38"/>
  <c r="BM20" i="3"/>
  <c r="BL20" i="3"/>
  <c r="BP20" i="3"/>
  <c r="BO169" i="26"/>
  <c r="AW169" i="26"/>
  <c r="BO118" i="3"/>
  <c r="BP4" i="9"/>
  <c r="BP4" i="1"/>
  <c r="BP4" i="20"/>
  <c r="BP4" i="11"/>
  <c r="BQ5" i="35"/>
  <c r="BL4" i="33"/>
  <c r="BL4" i="35"/>
  <c r="BR5" i="26"/>
  <c r="BP4" i="33"/>
  <c r="BP4" i="35"/>
  <c r="BL4" i="11"/>
  <c r="BN205" i="26"/>
  <c r="BM4" i="35"/>
  <c r="AX5" i="33"/>
  <c r="AX5" i="35"/>
  <c r="BM294" i="26"/>
  <c r="AU277" i="3"/>
  <c r="AX3" i="33"/>
  <c r="AX3" i="35"/>
  <c r="AX4" i="33"/>
  <c r="AX4" i="35"/>
  <c r="BN294" i="26"/>
  <c r="BB445" i="9"/>
  <c r="AV208" i="3"/>
  <c r="AV254" i="3"/>
  <c r="AW432" i="9"/>
  <c r="BB433" i="9"/>
  <c r="BB450" i="9"/>
  <c r="BB447" i="9"/>
  <c r="BB436" i="9"/>
  <c r="BB438" i="9"/>
  <c r="BB440" i="9"/>
  <c r="AX510" i="9"/>
  <c r="BA504" i="9"/>
  <c r="BB512" i="9"/>
  <c r="AW508" i="9"/>
  <c r="BA506" i="9"/>
  <c r="BA511" i="9"/>
  <c r="BA518" i="9"/>
  <c r="AV503" i="9"/>
  <c r="AV1085" i="9" s="1"/>
  <c r="BA513" i="9"/>
  <c r="BM4" i="6"/>
  <c r="BB996" i="9"/>
  <c r="BB993" i="9"/>
  <c r="BB1000" i="9"/>
  <c r="BP103" i="3"/>
  <c r="BL4" i="20"/>
  <c r="BL4" i="22"/>
  <c r="BL22" i="3"/>
  <c r="BL28" i="3" s="1"/>
  <c r="BM4" i="26"/>
  <c r="BM4" i="33"/>
  <c r="BL4" i="9"/>
  <c r="BQ5" i="33"/>
  <c r="BC276" i="9"/>
  <c r="BC280" i="9" s="1"/>
  <c r="BB282" i="9"/>
  <c r="BQ5" i="20"/>
  <c r="BQ5" i="9"/>
  <c r="AX16" i="3"/>
  <c r="AX18" i="3" s="1"/>
  <c r="AX4" i="32"/>
  <c r="AX4" i="30"/>
  <c r="BQ5" i="26"/>
  <c r="BQ180" i="26" s="1"/>
  <c r="BQ5" i="32"/>
  <c r="BQ5" i="30"/>
  <c r="AX3" i="28"/>
  <c r="AX3" i="32"/>
  <c r="AX3" i="30"/>
  <c r="BL4" i="28"/>
  <c r="BL4" i="32"/>
  <c r="BL4" i="30"/>
  <c r="BP4" i="28"/>
  <c r="BP4" i="32"/>
  <c r="BP4" i="30"/>
  <c r="BM4" i="28"/>
  <c r="BM4" i="32"/>
  <c r="BM4" i="30"/>
  <c r="AX5" i="26"/>
  <c r="AX5" i="32"/>
  <c r="AX5" i="30"/>
  <c r="BO193" i="26"/>
  <c r="AW193" i="26"/>
  <c r="AW119" i="26"/>
  <c r="BA396" i="9"/>
  <c r="BA263" i="9"/>
  <c r="BB257" i="9" s="1"/>
  <c r="BB261" i="9" s="1"/>
  <c r="BA130" i="9"/>
  <c r="BA339" i="9"/>
  <c r="BA515" i="9"/>
  <c r="BA301" i="9"/>
  <c r="BB390" i="9"/>
  <c r="BB394" i="9" s="1"/>
  <c r="BB124" i="9"/>
  <c r="BB128" i="9" s="1"/>
  <c r="BB333" i="9"/>
  <c r="BB337" i="9" s="1"/>
  <c r="BB295" i="9"/>
  <c r="BB299" i="9" s="1"/>
  <c r="AW992" i="9"/>
  <c r="AX244" i="9"/>
  <c r="BA168" i="9"/>
  <c r="BB162" i="9" s="1"/>
  <c r="BB166" i="9" s="1"/>
  <c r="AW206" i="9"/>
  <c r="AZ371" i="9"/>
  <c r="AZ375" i="9" s="1"/>
  <c r="AV111" i="9"/>
  <c r="BP108" i="3"/>
  <c r="BP178" i="3"/>
  <c r="BP163" i="3"/>
  <c r="BP181" i="3"/>
  <c r="BP172" i="3"/>
  <c r="BP179" i="3"/>
  <c r="BP165" i="3"/>
  <c r="BP166" i="3"/>
  <c r="BP170" i="3"/>
  <c r="BP177" i="3"/>
  <c r="BP175" i="3"/>
  <c r="BP171" i="3"/>
  <c r="BP167" i="3"/>
  <c r="BP180" i="3"/>
  <c r="BP176" i="3"/>
  <c r="BP169" i="3"/>
  <c r="BP174" i="3"/>
  <c r="BP173" i="3"/>
  <c r="BP162" i="3"/>
  <c r="BP168" i="3"/>
  <c r="BP164" i="3"/>
  <c r="BP104" i="3"/>
  <c r="BM4" i="1"/>
  <c r="BM4" i="16"/>
  <c r="BP101" i="3"/>
  <c r="BM4" i="20"/>
  <c r="BM22" i="3"/>
  <c r="BM26" i="3" s="1"/>
  <c r="BM4" i="9"/>
  <c r="BP96" i="3"/>
  <c r="BM4" i="4"/>
  <c r="BM4" i="11"/>
  <c r="BM4" i="22"/>
  <c r="BQ5" i="1"/>
  <c r="BQ5" i="22"/>
  <c r="BQ5" i="6"/>
  <c r="BL4" i="16"/>
  <c r="BQ5" i="12"/>
  <c r="BL4" i="1"/>
  <c r="BL4" i="6"/>
  <c r="BQ5" i="28"/>
  <c r="BQ5" i="4"/>
  <c r="BL4" i="4"/>
  <c r="BL4" i="12"/>
  <c r="BQ5" i="11"/>
  <c r="BQ5" i="16"/>
  <c r="BL4" i="26"/>
  <c r="BP98" i="3"/>
  <c r="BP112" i="3"/>
  <c r="BB1007" i="9"/>
  <c r="AX4" i="28"/>
  <c r="BP100" i="3"/>
  <c r="BO134" i="3"/>
  <c r="BO117" i="3"/>
  <c r="BP109" i="3"/>
  <c r="BO133" i="3"/>
  <c r="BQ148" i="3"/>
  <c r="BQ155" i="3"/>
  <c r="BQ154" i="3"/>
  <c r="BQ141" i="3"/>
  <c r="BQ153" i="3"/>
  <c r="BQ142" i="3"/>
  <c r="BQ144" i="3"/>
  <c r="BQ156" i="3"/>
  <c r="BQ179" i="3" s="1"/>
  <c r="BQ151" i="3"/>
  <c r="BQ174" i="3" s="1"/>
  <c r="BQ152" i="3"/>
  <c r="BQ175" i="3" s="1"/>
  <c r="BQ147" i="3"/>
  <c r="BQ139" i="3"/>
  <c r="BQ145" i="3"/>
  <c r="BQ157" i="3"/>
  <c r="BQ149" i="3"/>
  <c r="BQ172" i="3" s="1"/>
  <c r="BQ150" i="3"/>
  <c r="BQ146" i="3"/>
  <c r="BQ140" i="3"/>
  <c r="BQ143" i="3"/>
  <c r="BQ158" i="3"/>
  <c r="BQ181" i="3" s="1"/>
  <c r="BO120" i="3"/>
  <c r="BO132" i="3"/>
  <c r="BO116" i="3"/>
  <c r="BO122" i="3"/>
  <c r="BO125" i="3"/>
  <c r="BO129" i="3"/>
  <c r="BO130" i="3"/>
  <c r="BO128" i="3"/>
  <c r="AX5" i="28"/>
  <c r="BB1005" i="9"/>
  <c r="BB998" i="9"/>
  <c r="AV154" i="6"/>
  <c r="AW276" i="26"/>
  <c r="AV178" i="20"/>
  <c r="AV183" i="20" s="1"/>
  <c r="AW179" i="1"/>
  <c r="AX3" i="26"/>
  <c r="AX4" i="11"/>
  <c r="AX4" i="26"/>
  <c r="AX4" i="9"/>
  <c r="AX4" i="22"/>
  <c r="AX4" i="20"/>
  <c r="AX4" i="16"/>
  <c r="AX4" i="12"/>
  <c r="AX5" i="22"/>
  <c r="AX5" i="20"/>
  <c r="AX3" i="22"/>
  <c r="AX3" i="20"/>
  <c r="AY10" i="3"/>
  <c r="AY4" i="3" s="1"/>
  <c r="AY2" i="44" s="1" a="1"/>
  <c r="AY2" i="44" s="1"/>
  <c r="AX5" i="16"/>
  <c r="AX5" i="12"/>
  <c r="AX5" i="11"/>
  <c r="AX5" i="9"/>
  <c r="AX3" i="16"/>
  <c r="AX3" i="12"/>
  <c r="AX3" i="11"/>
  <c r="AX3" i="9"/>
  <c r="AX3" i="4"/>
  <c r="AX3" i="1"/>
  <c r="DR2" i="1" s="1"/>
  <c r="AX3" i="6"/>
  <c r="BR43" i="3"/>
  <c r="BP169" i="26" l="1"/>
  <c r="BP193" i="26"/>
  <c r="BO221" i="26"/>
  <c r="AX181" i="3"/>
  <c r="AX204" i="3" s="1"/>
  <c r="BN179" i="1"/>
  <c r="BN179" i="20" s="1"/>
  <c r="BO233" i="26"/>
  <c r="BO206" i="26"/>
  <c r="BO180" i="1"/>
  <c r="BO180" i="20" s="1"/>
  <c r="BO179" i="1"/>
  <c r="BO179" i="20" s="1"/>
  <c r="BO247" i="26"/>
  <c r="BO298" i="26"/>
  <c r="BO268" i="26"/>
  <c r="BO150" i="26"/>
  <c r="BN180" i="30"/>
  <c r="BM259" i="26"/>
  <c r="BO267" i="26"/>
  <c r="BN178" i="1"/>
  <c r="BM178" i="1"/>
  <c r="BO221" i="6"/>
  <c r="BN259" i="26"/>
  <c r="BO236" i="26"/>
  <c r="BO222" i="26"/>
  <c r="BP26" i="3"/>
  <c r="AX169" i="20" a="1"/>
  <c r="AX169" i="20" s="1"/>
  <c r="AX149" i="20" a="1"/>
  <c r="AX149" i="20" s="1"/>
  <c r="AX172" i="20" a="1"/>
  <c r="AX172" i="20" s="1"/>
  <c r="AX150" i="20" a="1"/>
  <c r="AX150" i="20" s="1"/>
  <c r="AX145" i="20" a="1"/>
  <c r="AX145" i="20" s="1"/>
  <c r="AX144" i="20" a="1"/>
  <c r="AX144" i="20" s="1"/>
  <c r="AX154" i="20" a="1"/>
  <c r="AX154" i="20" s="1"/>
  <c r="AX146" i="20" a="1"/>
  <c r="AX146" i="20" s="1"/>
  <c r="AX143" i="20" a="1"/>
  <c r="AX143" i="20" s="1"/>
  <c r="AX141" i="20" a="1"/>
  <c r="AX141" i="20" s="1"/>
  <c r="AX139" i="20" a="1"/>
  <c r="AX139" i="20" s="1"/>
  <c r="AX137" i="20" a="1"/>
  <c r="AX137" i="20" s="1"/>
  <c r="AX132" i="20" a="1"/>
  <c r="AX132" i="20" s="1"/>
  <c r="AX148" i="20" a="1"/>
  <c r="AX148" i="20" s="1"/>
  <c r="AX131" i="20" a="1"/>
  <c r="AX131" i="20" s="1"/>
  <c r="AX128" i="20" a="1"/>
  <c r="AX128" i="20" s="1"/>
  <c r="AX126" i="20" a="1"/>
  <c r="AX126" i="20" s="1"/>
  <c r="AX181" i="20" a="1"/>
  <c r="AX181" i="20" s="1"/>
  <c r="AX142" i="20" a="1"/>
  <c r="AX142" i="20" s="1"/>
  <c r="AX140" i="20" a="1"/>
  <c r="AX140" i="20" s="1"/>
  <c r="AX127" i="20" a="1"/>
  <c r="AX127" i="20" s="1"/>
  <c r="AX198" i="20" a="1"/>
  <c r="AX198" i="20" s="1"/>
  <c r="AX138" i="20" a="1"/>
  <c r="AX138" i="20" s="1"/>
  <c r="AX125" i="20" a="1"/>
  <c r="AX125" i="20" s="1"/>
  <c r="AX123" i="20" a="1"/>
  <c r="AX123" i="20" s="1"/>
  <c r="AX129" i="20" a="1"/>
  <c r="AX129" i="20" s="1"/>
  <c r="AX122" i="20" a="1"/>
  <c r="AX122" i="20" s="1"/>
  <c r="AX110" i="20" a="1"/>
  <c r="AX110" i="20" s="1"/>
  <c r="AX115" i="20" a="1"/>
  <c r="AX115" i="20" s="1"/>
  <c r="AX117" i="20" s="1"/>
  <c r="AX106" i="20" a="1"/>
  <c r="AX106" i="20" s="1"/>
  <c r="AX133" i="20" a="1"/>
  <c r="AX133" i="20" s="1"/>
  <c r="AX112" i="20" a="1"/>
  <c r="AX112" i="20" s="1"/>
  <c r="AX105" i="20" a="1"/>
  <c r="AX105" i="20" s="1"/>
  <c r="AX97" i="20" a="1"/>
  <c r="AX97" i="20" s="1"/>
  <c r="AX93" i="20" a="1"/>
  <c r="AX93" i="20" s="1"/>
  <c r="AX89" i="20" a="1"/>
  <c r="AX89" i="20" s="1"/>
  <c r="AX82" i="20" a="1"/>
  <c r="AX82" i="20" s="1"/>
  <c r="AX81" i="20" a="1"/>
  <c r="AX81" i="20" s="1"/>
  <c r="AX80" i="20" a="1"/>
  <c r="AX80" i="20" s="1"/>
  <c r="AX79" i="20" a="1"/>
  <c r="AX79" i="20" s="1"/>
  <c r="AX78" i="20" a="1"/>
  <c r="AX78" i="20" s="1"/>
  <c r="AX77" i="20" a="1"/>
  <c r="AX77" i="20" s="1"/>
  <c r="AX76" i="20" a="1"/>
  <c r="AX76" i="20" s="1"/>
  <c r="AX75" i="20" a="1"/>
  <c r="AX75" i="20" s="1"/>
  <c r="AX74" i="20" a="1"/>
  <c r="AX74" i="20" s="1"/>
  <c r="AX73" i="20" a="1"/>
  <c r="AX73" i="20" s="1"/>
  <c r="AX72" i="20" a="1"/>
  <c r="AX72" i="20" s="1"/>
  <c r="AX71" i="20" a="1"/>
  <c r="AX71" i="20" s="1"/>
  <c r="AX68" i="20" a="1"/>
  <c r="AX68" i="20" s="1"/>
  <c r="AX66" i="20" a="1"/>
  <c r="AX66" i="20" s="1"/>
  <c r="AX65" i="20" a="1"/>
  <c r="AX65" i="20" s="1"/>
  <c r="AX64" i="20" a="1"/>
  <c r="AX64" i="20" s="1"/>
  <c r="AX61" i="20" a="1"/>
  <c r="AX61" i="20" s="1"/>
  <c r="AX59" i="20" a="1"/>
  <c r="AX59" i="20" s="1"/>
  <c r="AX58" i="20" a="1"/>
  <c r="AX58" i="20" s="1"/>
  <c r="AX57" i="20" a="1"/>
  <c r="AX57" i="20" s="1"/>
  <c r="AX56" i="20" a="1"/>
  <c r="AX56" i="20" s="1"/>
  <c r="AX55" i="20" a="1"/>
  <c r="AX55" i="20" s="1"/>
  <c r="AX54" i="20" a="1"/>
  <c r="AX54" i="20" s="1"/>
  <c r="AX53" i="20" a="1"/>
  <c r="AX53" i="20" s="1"/>
  <c r="AX50" i="20" a="1"/>
  <c r="AX50" i="20" s="1"/>
  <c r="AX48" i="20" a="1"/>
  <c r="AX48" i="20" s="1"/>
  <c r="AX47" i="20" a="1"/>
  <c r="AX47" i="20" s="1"/>
  <c r="AX46" i="20" a="1"/>
  <c r="AX46" i="20" s="1"/>
  <c r="AX45" i="20" a="1"/>
  <c r="AX45" i="20" s="1"/>
  <c r="AX44" i="20" a="1"/>
  <c r="AX44" i="20" s="1"/>
  <c r="AX43" i="20" a="1"/>
  <c r="AX43" i="20" s="1"/>
  <c r="AX42" i="20" a="1"/>
  <c r="AX42" i="20" s="1"/>
  <c r="AX41" i="20" a="1"/>
  <c r="AX41" i="20" s="1"/>
  <c r="AX104" i="20" a="1"/>
  <c r="AX104" i="20" s="1"/>
  <c r="AX103" i="20" a="1"/>
  <c r="AX103" i="20" s="1"/>
  <c r="AX96" i="20" a="1"/>
  <c r="AX96" i="20" s="1"/>
  <c r="AX92" i="20" a="1"/>
  <c r="AX92" i="20" s="1"/>
  <c r="AX87" i="20" a="1"/>
  <c r="AX87" i="20" s="1"/>
  <c r="AX124" i="20" a="1"/>
  <c r="AX124" i="20" s="1"/>
  <c r="AX111" i="20" a="1"/>
  <c r="AX111" i="20" s="1"/>
  <c r="AX102" i="20" a="1"/>
  <c r="AX102" i="20" s="1"/>
  <c r="AX95" i="20" a="1"/>
  <c r="AX95" i="20" s="1"/>
  <c r="AX91" i="20" a="1"/>
  <c r="AX91" i="20" s="1"/>
  <c r="AX90" i="20" a="1"/>
  <c r="AX90" i="20" s="1"/>
  <c r="AX94" i="20" a="1"/>
  <c r="AX94" i="20" s="1"/>
  <c r="AX88" i="20" a="1"/>
  <c r="AX88" i="20" s="1"/>
  <c r="AX38" i="20" a="1"/>
  <c r="AX38" i="20" s="1"/>
  <c r="AX36" i="20" a="1"/>
  <c r="AX36" i="20" s="1"/>
  <c r="AX35" i="20" a="1"/>
  <c r="AX35" i="20" s="1"/>
  <c r="AX34" i="20" a="1"/>
  <c r="AX34" i="20" s="1"/>
  <c r="AX33" i="20" a="1"/>
  <c r="AX33" i="20" s="1"/>
  <c r="AX32" i="20" a="1"/>
  <c r="AX32" i="20" s="1"/>
  <c r="AX29" i="20" a="1"/>
  <c r="AX29" i="20" s="1"/>
  <c r="AX27" i="20" a="1"/>
  <c r="AX27" i="20" s="1"/>
  <c r="AX26" i="20" a="1"/>
  <c r="AX26" i="20" s="1"/>
  <c r="AX25" i="20" a="1"/>
  <c r="AX25" i="20" s="1"/>
  <c r="AX24" i="20" a="1"/>
  <c r="AX24" i="20" s="1"/>
  <c r="AX23" i="20" a="1"/>
  <c r="AX23" i="20" s="1"/>
  <c r="AX22" i="20" a="1"/>
  <c r="AX22" i="20" s="1"/>
  <c r="AX21" i="20" a="1"/>
  <c r="AX21" i="20" s="1"/>
  <c r="AX20" i="20" a="1"/>
  <c r="AX20" i="20" s="1"/>
  <c r="AX19" i="20" a="1"/>
  <c r="AX19" i="20" s="1"/>
  <c r="AX16" i="20" a="1"/>
  <c r="AX16" i="20" s="1"/>
  <c r="AX13" i="20" a="1"/>
  <c r="AX13" i="20" s="1"/>
  <c r="AX12" i="20" a="1"/>
  <c r="AX12" i="20" s="1"/>
  <c r="AX101" i="20" a="1"/>
  <c r="AX101" i="20" s="1"/>
  <c r="AX83" i="20" a="1"/>
  <c r="AX83" i="20" s="1"/>
  <c r="AV50" i="30"/>
  <c r="AC15" i="20"/>
  <c r="AB56" i="33"/>
  <c r="BQ190" i="26"/>
  <c r="BQ191" i="26"/>
  <c r="AX102" i="9"/>
  <c r="AX197" i="9"/>
  <c r="AX216" i="9"/>
  <c r="AX349" i="9"/>
  <c r="AX368" i="9"/>
  <c r="AX235" i="9"/>
  <c r="AX254" i="9"/>
  <c r="AX387" i="9"/>
  <c r="AX406" i="9"/>
  <c r="AX425" i="9"/>
  <c r="AX83" i="9"/>
  <c r="AX121" i="9"/>
  <c r="AX140" i="9"/>
  <c r="AX64" i="9"/>
  <c r="AX159" i="9"/>
  <c r="AX273" i="9"/>
  <c r="AX292" i="9"/>
  <c r="AX311" i="9"/>
  <c r="AX330" i="9"/>
  <c r="AX178" i="9"/>
  <c r="BQ181" i="26"/>
  <c r="BQ195" i="26" s="1"/>
  <c r="BQ296" i="26" s="1"/>
  <c r="BQ179" i="1" s="1"/>
  <c r="BQ179" i="20" s="1"/>
  <c r="BQ83" i="9"/>
  <c r="BQ102" i="9"/>
  <c r="BQ121" i="9"/>
  <c r="BQ254" i="9"/>
  <c r="BQ273" i="9"/>
  <c r="BQ406" i="9"/>
  <c r="BQ425" i="9"/>
  <c r="BQ64" i="9"/>
  <c r="BQ140" i="9"/>
  <c r="BQ159" i="9"/>
  <c r="BQ292" i="9"/>
  <c r="BQ311" i="9"/>
  <c r="BQ178" i="9"/>
  <c r="BQ197" i="9"/>
  <c r="BQ368" i="9"/>
  <c r="BQ387" i="9"/>
  <c r="BQ216" i="9"/>
  <c r="BQ235" i="9"/>
  <c r="BQ330" i="9"/>
  <c r="BQ349" i="9"/>
  <c r="BQ186" i="26"/>
  <c r="AV846" i="9"/>
  <c r="AV831" i="9"/>
  <c r="AC855" i="9"/>
  <c r="AC805" i="9"/>
  <c r="AD759" i="9" s="1"/>
  <c r="AV841" i="9"/>
  <c r="AV843" i="9"/>
  <c r="AV833" i="9"/>
  <c r="AV758" i="9"/>
  <c r="AV781" i="9" s="1"/>
  <c r="AV854" i="9" s="1"/>
  <c r="AV770" i="9"/>
  <c r="AV793" i="9" s="1"/>
  <c r="AV816" i="9" s="1"/>
  <c r="AV760" i="9"/>
  <c r="AV783" i="9" s="1"/>
  <c r="AV856" i="9" s="1"/>
  <c r="AV773" i="9"/>
  <c r="AV796" i="9" s="1"/>
  <c r="AV869" i="9" s="1"/>
  <c r="AV250" i="3"/>
  <c r="AV238" i="3"/>
  <c r="AV240" i="3"/>
  <c r="AV237" i="3"/>
  <c r="AV241" i="3"/>
  <c r="AV248" i="3"/>
  <c r="AV722" i="9"/>
  <c r="AV244" i="3"/>
  <c r="AV712" i="9"/>
  <c r="AV234" i="3"/>
  <c r="AV714" i="9"/>
  <c r="AV236" i="3"/>
  <c r="AV724" i="9"/>
  <c r="AV246" i="3"/>
  <c r="AV768" i="9"/>
  <c r="AV791" i="9" s="1"/>
  <c r="AV814" i="9" s="1"/>
  <c r="AV242" i="3"/>
  <c r="AV235" i="3"/>
  <c r="AV727" i="9"/>
  <c r="AV249" i="3"/>
  <c r="AV245" i="3"/>
  <c r="AV243" i="3"/>
  <c r="AV239" i="3"/>
  <c r="AV247" i="3"/>
  <c r="AV756" i="9"/>
  <c r="AV779" i="9" s="1"/>
  <c r="AV802" i="9" s="1"/>
  <c r="AV829" i="9"/>
  <c r="AC197" i="1"/>
  <c r="BQ189" i="26"/>
  <c r="BQ188" i="26"/>
  <c r="BQ192" i="26"/>
  <c r="BR192" i="26"/>
  <c r="BR188" i="26"/>
  <c r="BR187" i="26"/>
  <c r="BR180" i="26"/>
  <c r="BR194" i="26" s="1"/>
  <c r="BR295" i="26" s="1"/>
  <c r="BR183" i="26"/>
  <c r="BR179" i="26"/>
  <c r="BR190" i="26"/>
  <c r="BR184" i="26"/>
  <c r="BR191" i="26"/>
  <c r="BR182" i="26"/>
  <c r="BR178" i="26"/>
  <c r="BR197" i="26" s="1"/>
  <c r="BR298" i="26" s="1"/>
  <c r="BR189" i="26"/>
  <c r="BR185" i="26"/>
  <c r="BR181" i="26"/>
  <c r="BR195" i="26" s="1"/>
  <c r="BR296" i="26" s="1"/>
  <c r="BR179" i="1" s="1"/>
  <c r="BR179" i="20" s="1"/>
  <c r="BR186" i="26"/>
  <c r="BQ178" i="26"/>
  <c r="BQ197" i="26" s="1"/>
  <c r="BQ298" i="26" s="1"/>
  <c r="BQ179" i="26"/>
  <c r="BQ193" i="26" s="1"/>
  <c r="BQ184" i="26"/>
  <c r="AX57" i="26"/>
  <c r="AX191" i="26"/>
  <c r="AX179" i="26"/>
  <c r="AX186" i="26"/>
  <c r="AX188" i="26"/>
  <c r="AX192" i="26"/>
  <c r="AX182" i="26"/>
  <c r="AX185" i="26"/>
  <c r="AX187" i="26"/>
  <c r="AX184" i="26"/>
  <c r="AX178" i="26"/>
  <c r="AX189" i="26"/>
  <c r="AX180" i="26"/>
  <c r="AX183" i="26"/>
  <c r="AX181" i="26"/>
  <c r="AX190" i="26"/>
  <c r="BQ185" i="26"/>
  <c r="BQ182" i="26"/>
  <c r="BQ196" i="26" s="1"/>
  <c r="BQ297" i="26" s="1"/>
  <c r="BQ183" i="26"/>
  <c r="BQ187" i="26"/>
  <c r="BO71" i="26"/>
  <c r="AW71" i="26"/>
  <c r="AW259" i="26" s="1"/>
  <c r="AW261" i="26" s="1"/>
  <c r="AW34" i="6" s="1"/>
  <c r="AW69" i="30" s="1"/>
  <c r="BO205" i="26"/>
  <c r="AW205" i="26"/>
  <c r="BQ62" i="26"/>
  <c r="BQ90" i="26"/>
  <c r="BQ86" i="26"/>
  <c r="BQ82" i="26"/>
  <c r="BQ66" i="26"/>
  <c r="BQ63" i="26"/>
  <c r="BQ60" i="26"/>
  <c r="BQ78" i="26"/>
  <c r="BQ93" i="26" s="1"/>
  <c r="BQ115" i="26"/>
  <c r="BQ111" i="26"/>
  <c r="BQ107" i="26"/>
  <c r="BQ144" i="26"/>
  <c r="BQ140" i="26"/>
  <c r="BQ135" i="26"/>
  <c r="BQ131" i="26"/>
  <c r="BQ166" i="26"/>
  <c r="BQ162" i="26"/>
  <c r="BQ158" i="26"/>
  <c r="BQ172" i="26" s="1"/>
  <c r="BQ236" i="26" s="1"/>
  <c r="BQ194" i="26"/>
  <c r="BQ295" i="26" s="1"/>
  <c r="BP150" i="26"/>
  <c r="BP180" i="30" s="1"/>
  <c r="BP72" i="33" s="1"/>
  <c r="BQ155" i="26"/>
  <c r="BQ54" i="26"/>
  <c r="BQ89" i="26"/>
  <c r="BQ85" i="26"/>
  <c r="BQ81" i="26"/>
  <c r="BQ58" i="26"/>
  <c r="BQ59" i="26"/>
  <c r="BQ56" i="26"/>
  <c r="BQ118" i="26"/>
  <c r="BQ114" i="26"/>
  <c r="BQ110" i="26"/>
  <c r="BQ106" i="26"/>
  <c r="BQ143" i="26"/>
  <c r="BQ139" i="26"/>
  <c r="BQ134" i="26"/>
  <c r="BQ148" i="26" s="1"/>
  <c r="BQ130" i="26"/>
  <c r="BQ149" i="26" s="1"/>
  <c r="BQ165" i="26"/>
  <c r="BQ161" i="26"/>
  <c r="BQ157" i="26"/>
  <c r="BQ171" i="26" s="1"/>
  <c r="BQ249" i="26" s="1"/>
  <c r="BP247" i="26"/>
  <c r="BP180" i="1"/>
  <c r="BP180" i="20" s="1"/>
  <c r="BQ61" i="26"/>
  <c r="BQ92" i="26"/>
  <c r="BQ88" i="26"/>
  <c r="BQ84" i="26"/>
  <c r="BQ65" i="26"/>
  <c r="BQ138" i="26"/>
  <c r="BQ55" i="26"/>
  <c r="BQ80" i="26"/>
  <c r="BQ117" i="26"/>
  <c r="BQ113" i="26"/>
  <c r="BQ109" i="26"/>
  <c r="BQ105" i="26"/>
  <c r="BQ142" i="26"/>
  <c r="BQ137" i="26"/>
  <c r="BQ133" i="26"/>
  <c r="BQ147" i="26" s="1"/>
  <c r="BQ168" i="26"/>
  <c r="BQ164" i="26"/>
  <c r="BQ160" i="26"/>
  <c r="BQ156" i="26"/>
  <c r="BQ170" i="26" s="1"/>
  <c r="BQ222" i="26" s="1"/>
  <c r="BP206" i="26"/>
  <c r="BP97" i="26"/>
  <c r="BP221" i="6" s="1"/>
  <c r="BR196" i="26"/>
  <c r="BR297" i="26" s="1"/>
  <c r="BR154" i="26"/>
  <c r="BR173" i="26" s="1"/>
  <c r="BR268" i="26" s="1"/>
  <c r="BR156" i="26"/>
  <c r="BR170" i="26" s="1"/>
  <c r="BR222" i="26" s="1"/>
  <c r="BR157" i="26"/>
  <c r="BR171" i="26" s="1"/>
  <c r="BR249" i="26" s="1"/>
  <c r="BR158" i="26"/>
  <c r="BR172" i="26" s="1"/>
  <c r="BR236" i="26" s="1"/>
  <c r="BR159" i="26"/>
  <c r="BR160" i="26"/>
  <c r="BR161" i="26"/>
  <c r="BR162" i="26"/>
  <c r="BR163" i="26"/>
  <c r="BR164" i="26"/>
  <c r="BR165" i="26"/>
  <c r="BR166" i="26"/>
  <c r="BR167" i="26"/>
  <c r="BR168" i="26"/>
  <c r="BR130" i="26"/>
  <c r="BR149" i="26" s="1"/>
  <c r="BR131" i="26"/>
  <c r="BR145" i="26" s="1"/>
  <c r="BR132" i="26"/>
  <c r="BR146" i="26" s="1"/>
  <c r="BR133" i="26"/>
  <c r="BR147" i="26" s="1"/>
  <c r="BR134" i="26"/>
  <c r="BR148" i="26" s="1"/>
  <c r="BR135" i="26"/>
  <c r="BR136" i="26"/>
  <c r="BR137" i="26"/>
  <c r="BR138" i="26"/>
  <c r="BR104" i="26"/>
  <c r="BR120" i="26" s="1"/>
  <c r="BR105" i="26"/>
  <c r="BR106" i="26"/>
  <c r="BR107" i="26"/>
  <c r="BR108" i="26"/>
  <c r="BR109" i="26"/>
  <c r="BR110" i="26"/>
  <c r="BR111" i="26"/>
  <c r="BR112" i="26"/>
  <c r="BR113" i="26"/>
  <c r="BR114" i="26"/>
  <c r="BR115" i="26"/>
  <c r="BR116" i="26"/>
  <c r="BR117" i="26"/>
  <c r="BR118" i="26"/>
  <c r="BR81" i="26"/>
  <c r="BR82" i="26"/>
  <c r="BR83" i="26"/>
  <c r="BR84" i="26"/>
  <c r="BR85" i="26"/>
  <c r="BR86" i="26"/>
  <c r="BR87" i="26"/>
  <c r="BR88" i="26"/>
  <c r="BR89" i="26"/>
  <c r="BR90" i="26"/>
  <c r="BR91" i="26"/>
  <c r="BR92" i="26"/>
  <c r="BR53" i="26"/>
  <c r="BR70" i="26" s="1"/>
  <c r="BR57" i="26"/>
  <c r="BR61" i="26"/>
  <c r="BR65" i="26"/>
  <c r="BR139" i="26"/>
  <c r="BR140" i="26"/>
  <c r="BR141" i="26"/>
  <c r="BR142" i="26"/>
  <c r="BR143" i="26"/>
  <c r="BR144" i="26"/>
  <c r="BR78" i="26"/>
  <c r="BR93" i="26" s="1"/>
  <c r="BR79" i="26"/>
  <c r="BR95" i="26" s="1"/>
  <c r="BR56" i="26"/>
  <c r="BR60" i="26"/>
  <c r="BR64" i="26"/>
  <c r="BR80" i="26"/>
  <c r="BR59" i="26"/>
  <c r="BR67" i="26"/>
  <c r="BR58" i="26"/>
  <c r="BR66" i="26"/>
  <c r="BR55" i="26"/>
  <c r="BR63" i="26"/>
  <c r="BR54" i="26"/>
  <c r="BR62" i="26"/>
  <c r="BR155" i="26"/>
  <c r="BR169" i="26" s="1"/>
  <c r="BP123" i="26"/>
  <c r="BP267" i="26" s="1"/>
  <c r="BP221" i="26"/>
  <c r="BP208" i="26"/>
  <c r="BP174" i="26"/>
  <c r="BQ53" i="26"/>
  <c r="BQ70" i="26" s="1"/>
  <c r="BQ91" i="26"/>
  <c r="BQ87" i="26"/>
  <c r="BQ83" i="26"/>
  <c r="BQ57" i="26"/>
  <c r="BQ67" i="26"/>
  <c r="BQ64" i="26"/>
  <c r="BQ79" i="26"/>
  <c r="BQ95" i="26" s="1"/>
  <c r="BQ116" i="26"/>
  <c r="BQ112" i="26"/>
  <c r="BQ108" i="26"/>
  <c r="BQ104" i="26"/>
  <c r="BQ120" i="26" s="1"/>
  <c r="BQ141" i="26"/>
  <c r="BQ136" i="26"/>
  <c r="BQ132" i="26"/>
  <c r="BQ146" i="26" s="1"/>
  <c r="BQ167" i="26"/>
  <c r="BQ163" i="26"/>
  <c r="BQ159" i="26"/>
  <c r="BQ154" i="26"/>
  <c r="BQ173" i="26" s="1"/>
  <c r="BQ268" i="26" s="1"/>
  <c r="BP294" i="26"/>
  <c r="BP178" i="1" s="1"/>
  <c r="BP198" i="26"/>
  <c r="BP233" i="26"/>
  <c r="BP71" i="26"/>
  <c r="BP259" i="26" s="1"/>
  <c r="AV114" i="6"/>
  <c r="AV116" i="30" s="1"/>
  <c r="AC147" i="30"/>
  <c r="AW223" i="6"/>
  <c r="AW130" i="30" s="1"/>
  <c r="AW180" i="20"/>
  <c r="AC195" i="20"/>
  <c r="AC49" i="30"/>
  <c r="AC780" i="9"/>
  <c r="AC788" i="9"/>
  <c r="AC786" i="9"/>
  <c r="BQ102" i="3"/>
  <c r="AY43" i="3"/>
  <c r="AV710" i="9"/>
  <c r="AV232" i="3"/>
  <c r="AW206" i="26"/>
  <c r="BR5" i="9"/>
  <c r="BR5" i="20"/>
  <c r="BR5" i="6"/>
  <c r="BS5" i="38"/>
  <c r="BR5" i="28"/>
  <c r="BR5" i="11"/>
  <c r="BR5" i="4"/>
  <c r="BR5" i="12"/>
  <c r="BR5" i="1"/>
  <c r="BR5" i="16"/>
  <c r="BR5" i="22"/>
  <c r="AW150" i="26"/>
  <c r="AW180" i="30" s="1"/>
  <c r="BQ103" i="3"/>
  <c r="AW198" i="26"/>
  <c r="BO198" i="26"/>
  <c r="AD42" i="30"/>
  <c r="AD156" i="1"/>
  <c r="AC51" i="30"/>
  <c r="AC41" i="6"/>
  <c r="AD34" i="30"/>
  <c r="AC197" i="20"/>
  <c r="AC22" i="30"/>
  <c r="AD84" i="1"/>
  <c r="AD39" i="30"/>
  <c r="AD152" i="30"/>
  <c r="AD59" i="33" s="1"/>
  <c r="AD67" i="1"/>
  <c r="AD134" i="1"/>
  <c r="AD107" i="1"/>
  <c r="AD117" i="1"/>
  <c r="AD151" i="1"/>
  <c r="AD15" i="1"/>
  <c r="AD37" i="1"/>
  <c r="AU168" i="20"/>
  <c r="BR5" i="38"/>
  <c r="BR51" i="3"/>
  <c r="BR97" i="3" s="1"/>
  <c r="BR55" i="3"/>
  <c r="BQ124" i="3" s="1"/>
  <c r="BR63" i="3"/>
  <c r="BQ132" i="3" s="1"/>
  <c r="BR52" i="3"/>
  <c r="BR98" i="3" s="1"/>
  <c r="BR64" i="3"/>
  <c r="BR110" i="3" s="1"/>
  <c r="BR60" i="3"/>
  <c r="BQ129" i="3" s="1"/>
  <c r="BR56" i="3"/>
  <c r="BQ125" i="3" s="1"/>
  <c r="BR48" i="3"/>
  <c r="BQ117" i="3" s="1"/>
  <c r="BR57" i="3"/>
  <c r="BR103" i="3" s="1"/>
  <c r="BR65" i="3"/>
  <c r="BR111" i="3" s="1"/>
  <c r="BR49" i="3"/>
  <c r="BQ118" i="3" s="1"/>
  <c r="BR53" i="3"/>
  <c r="BQ122" i="3" s="1"/>
  <c r="BR61" i="3"/>
  <c r="BQ130" i="3" s="1"/>
  <c r="BR50" i="3"/>
  <c r="BQ119" i="3" s="1"/>
  <c r="BR58" i="3"/>
  <c r="BQ127" i="3" s="1"/>
  <c r="BR62" i="3"/>
  <c r="BQ131" i="3" s="1"/>
  <c r="BR54" i="3"/>
  <c r="BQ123" i="3" s="1"/>
  <c r="BR66" i="3"/>
  <c r="BQ135" i="3" s="1"/>
  <c r="BR47" i="3"/>
  <c r="BQ116" i="3" s="1"/>
  <c r="BR59" i="3"/>
  <c r="BQ128" i="3" s="1"/>
  <c r="AW106" i="6"/>
  <c r="AW107" i="6"/>
  <c r="AV98" i="30"/>
  <c r="AV187" i="30" s="1"/>
  <c r="BN299" i="26"/>
  <c r="BM299" i="26"/>
  <c r="BL18" i="3"/>
  <c r="BM18" i="3"/>
  <c r="BQ4" i="38"/>
  <c r="BQ16" i="3"/>
  <c r="BQ20" i="3"/>
  <c r="AX160" i="26"/>
  <c r="AX155" i="26"/>
  <c r="AX154" i="26"/>
  <c r="AX168" i="26"/>
  <c r="AX164" i="26"/>
  <c r="AX161" i="26"/>
  <c r="AX163" i="26"/>
  <c r="AX158" i="26"/>
  <c r="AX166" i="26"/>
  <c r="AX165" i="26"/>
  <c r="AX167" i="26"/>
  <c r="AX162" i="26"/>
  <c r="AX157" i="26"/>
  <c r="AX159" i="26"/>
  <c r="AX156" i="26"/>
  <c r="AW174" i="26"/>
  <c r="AW208" i="26"/>
  <c r="BO174" i="26"/>
  <c r="BO208" i="26"/>
  <c r="AX88" i="26"/>
  <c r="AX60" i="26"/>
  <c r="AX144" i="26"/>
  <c r="AX91" i="26"/>
  <c r="AX107" i="26"/>
  <c r="AV94" i="6"/>
  <c r="AV88" i="35"/>
  <c r="AX134" i="26"/>
  <c r="AX118" i="26"/>
  <c r="AX138" i="26"/>
  <c r="BQ4" i="35"/>
  <c r="BR5" i="32"/>
  <c r="BR5" i="30"/>
  <c r="AW207" i="26"/>
  <c r="AW123" i="26"/>
  <c r="BR5" i="33"/>
  <c r="BR5" i="35"/>
  <c r="BP122" i="3"/>
  <c r="AW294" i="26"/>
  <c r="AW178" i="1" s="1"/>
  <c r="BQ109" i="3"/>
  <c r="BO294" i="26"/>
  <c r="AZ448" i="9"/>
  <c r="BB444" i="9"/>
  <c r="BB446" i="9"/>
  <c r="BB519" i="9"/>
  <c r="BB1010" i="9"/>
  <c r="AV231" i="3"/>
  <c r="BB435" i="9"/>
  <c r="BB442" i="9"/>
  <c r="BB437" i="9"/>
  <c r="BB449" i="9"/>
  <c r="BC443" i="9"/>
  <c r="BB415" i="9"/>
  <c r="BC409" i="9" s="1"/>
  <c r="BC413" i="9" s="1"/>
  <c r="AX89" i="26"/>
  <c r="AX58" i="26"/>
  <c r="AX104" i="26"/>
  <c r="BB516" i="9"/>
  <c r="BB502" i="9"/>
  <c r="BB514" i="9"/>
  <c r="BB505" i="9"/>
  <c r="AW501" i="9"/>
  <c r="BB507" i="9"/>
  <c r="BB509" i="9"/>
  <c r="BP118" i="3"/>
  <c r="BB149" i="9"/>
  <c r="BC143" i="9" s="1"/>
  <c r="BC147" i="9" s="1"/>
  <c r="BB92" i="9"/>
  <c r="BC86" i="9" s="1"/>
  <c r="BC90" i="9" s="1"/>
  <c r="BB225" i="9"/>
  <c r="BC219" i="9" s="1"/>
  <c r="BC223" i="9" s="1"/>
  <c r="BC1003" i="9"/>
  <c r="AX82" i="26"/>
  <c r="AX61" i="26"/>
  <c r="AX53" i="26"/>
  <c r="AX131" i="26"/>
  <c r="AX137" i="26"/>
  <c r="AX116" i="26"/>
  <c r="AX143" i="26"/>
  <c r="BQ105" i="3"/>
  <c r="AX78" i="26"/>
  <c r="AX81" i="26"/>
  <c r="AX63" i="26"/>
  <c r="AX54" i="26"/>
  <c r="AX115" i="26"/>
  <c r="AX112" i="26"/>
  <c r="AX105" i="26"/>
  <c r="AX113" i="26"/>
  <c r="AX140" i="26"/>
  <c r="BL26" i="3"/>
  <c r="AX85" i="26"/>
  <c r="AX79" i="26"/>
  <c r="AX62" i="26"/>
  <c r="AX111" i="26"/>
  <c r="AX106" i="26"/>
  <c r="AX80" i="26"/>
  <c r="AX83" i="26"/>
  <c r="AX87" i="26"/>
  <c r="AX64" i="26"/>
  <c r="AX55" i="26"/>
  <c r="AX56" i="26"/>
  <c r="AX110" i="26"/>
  <c r="AX117" i="26"/>
  <c r="AX108" i="26"/>
  <c r="AX133" i="26"/>
  <c r="AX142" i="26"/>
  <c r="AX136" i="26"/>
  <c r="BQ4" i="1"/>
  <c r="BQ4" i="33"/>
  <c r="BQ4" i="16"/>
  <c r="BQ22" i="3"/>
  <c r="BQ28" i="3" s="1"/>
  <c r="BM28" i="3"/>
  <c r="BQ111" i="3"/>
  <c r="AX84" i="26"/>
  <c r="AX86" i="26"/>
  <c r="AX92" i="26"/>
  <c r="AX90" i="26"/>
  <c r="AX59" i="26"/>
  <c r="AX67" i="26"/>
  <c r="AX66" i="26"/>
  <c r="AX65" i="26"/>
  <c r="AX132" i="26"/>
  <c r="AX130" i="26"/>
  <c r="AX141" i="26"/>
  <c r="AX135" i="26"/>
  <c r="AX139" i="26"/>
  <c r="AX114" i="26"/>
  <c r="AX109" i="26"/>
  <c r="AX196" i="26"/>
  <c r="BQ4" i="28"/>
  <c r="BQ4" i="32"/>
  <c r="BQ4" i="30"/>
  <c r="BB1006" i="9"/>
  <c r="BB1002" i="9"/>
  <c r="BB1004" i="9"/>
  <c r="BB1009" i="9"/>
  <c r="BB995" i="9"/>
  <c r="AW105" i="9"/>
  <c r="AW109" i="9" s="1"/>
  <c r="AY238" i="9"/>
  <c r="AY242" i="9" s="1"/>
  <c r="BB997" i="9"/>
  <c r="AZ1008" i="9"/>
  <c r="AX200" i="9"/>
  <c r="AX204" i="9" s="1"/>
  <c r="AW73" i="9"/>
  <c r="BQ108" i="3"/>
  <c r="BQ112" i="3"/>
  <c r="BP120" i="3"/>
  <c r="BP133" i="3"/>
  <c r="BQ94" i="3"/>
  <c r="BP129" i="3"/>
  <c r="BQ104" i="3"/>
  <c r="BP130" i="3"/>
  <c r="BP123" i="3"/>
  <c r="BQ168" i="3"/>
  <c r="BQ169" i="3"/>
  <c r="BQ176" i="3"/>
  <c r="BQ170" i="3"/>
  <c r="BQ178" i="3"/>
  <c r="BQ173" i="3"/>
  <c r="BQ162" i="3"/>
  <c r="BQ180" i="3"/>
  <c r="BQ171" i="3"/>
  <c r="BQ177" i="3"/>
  <c r="BQ166" i="3"/>
  <c r="BQ165" i="3"/>
  <c r="BQ164" i="3"/>
  <c r="BQ167" i="3"/>
  <c r="BQ163" i="3"/>
  <c r="BQ4" i="6"/>
  <c r="BQ96" i="3"/>
  <c r="BQ4" i="9"/>
  <c r="BQ4" i="22"/>
  <c r="BQ4" i="4"/>
  <c r="BQ4" i="11"/>
  <c r="BQ4" i="12"/>
  <c r="BQ98" i="3"/>
  <c r="BQ4" i="20"/>
  <c r="BQ4" i="26"/>
  <c r="BP116" i="3"/>
  <c r="BP124" i="3"/>
  <c r="BB358" i="9"/>
  <c r="BC352" i="9" s="1"/>
  <c r="BC356" i="9" s="1"/>
  <c r="AX72" i="3"/>
  <c r="AW118" i="3"/>
  <c r="AX86" i="3"/>
  <c r="AW132" i="3"/>
  <c r="AY147" i="3"/>
  <c r="AY141" i="3"/>
  <c r="AY140" i="3"/>
  <c r="AY149" i="3"/>
  <c r="AY143" i="3"/>
  <c r="AX77" i="3"/>
  <c r="AW123" i="3"/>
  <c r="AX70" i="3"/>
  <c r="AW116" i="3"/>
  <c r="AX80" i="3"/>
  <c r="AW126" i="3"/>
  <c r="AX87" i="3"/>
  <c r="AW133" i="3"/>
  <c r="AX78" i="3"/>
  <c r="AW124" i="3"/>
  <c r="AX88" i="3"/>
  <c r="AW134" i="3"/>
  <c r="AX83" i="3"/>
  <c r="AW129" i="3"/>
  <c r="AX79" i="3"/>
  <c r="AW125" i="3"/>
  <c r="AX76" i="3"/>
  <c r="AW122" i="3"/>
  <c r="AY156" i="3"/>
  <c r="AY139" i="3"/>
  <c r="AY150" i="3"/>
  <c r="AY158" i="3"/>
  <c r="AY148" i="3"/>
  <c r="AY144" i="3"/>
  <c r="AY145" i="3"/>
  <c r="AY157" i="3"/>
  <c r="AY155" i="3"/>
  <c r="AY146" i="3"/>
  <c r="AX75" i="3"/>
  <c r="AW121" i="3"/>
  <c r="AX71" i="3"/>
  <c r="AW117" i="3"/>
  <c r="AX82" i="3"/>
  <c r="AW128" i="3"/>
  <c r="AX85" i="3"/>
  <c r="AW131" i="3"/>
  <c r="BR156" i="3"/>
  <c r="BR143" i="3"/>
  <c r="BR151" i="3"/>
  <c r="BR140" i="3"/>
  <c r="BR155" i="3"/>
  <c r="BR152" i="3"/>
  <c r="BR150" i="3"/>
  <c r="BR148" i="3"/>
  <c r="BR139" i="3"/>
  <c r="BR141" i="3"/>
  <c r="BR164" i="3" s="1"/>
  <c r="BR149" i="3"/>
  <c r="BR147" i="3"/>
  <c r="BR170" i="3" s="1"/>
  <c r="BR144" i="3"/>
  <c r="BR142" i="3"/>
  <c r="BR157" i="3"/>
  <c r="BR146" i="3"/>
  <c r="BR154" i="3"/>
  <c r="BR145" i="3"/>
  <c r="BR158" i="3"/>
  <c r="BR181" i="3" s="1"/>
  <c r="BR153" i="3"/>
  <c r="AX81" i="3"/>
  <c r="AW127" i="3"/>
  <c r="AX89" i="3"/>
  <c r="AW135" i="3"/>
  <c r="AX73" i="3"/>
  <c r="AW119" i="3"/>
  <c r="AX74" i="3"/>
  <c r="AW120" i="3"/>
  <c r="AX84" i="3"/>
  <c r="AW130" i="3"/>
  <c r="AY142" i="3"/>
  <c r="AY153" i="3"/>
  <c r="AY151" i="3"/>
  <c r="AY154" i="3"/>
  <c r="AY152" i="3"/>
  <c r="BB187" i="9"/>
  <c r="BC181" i="9" s="1"/>
  <c r="BC185" i="9" s="1"/>
  <c r="BB320" i="9"/>
  <c r="BC314" i="9" s="1"/>
  <c r="BC318" i="9" s="1"/>
  <c r="AW179" i="20"/>
  <c r="AY24" i="3"/>
  <c r="AY5" i="3"/>
  <c r="AX121" i="26"/>
  <c r="AX248" i="26" s="1"/>
  <c r="AX219" i="26"/>
  <c r="AY4" i="38"/>
  <c r="AY12" i="3"/>
  <c r="AY3" i="3" s="1"/>
  <c r="AX104" i="3"/>
  <c r="AX97" i="3"/>
  <c r="AX100" i="3"/>
  <c r="AX95" i="3"/>
  <c r="AX93" i="3"/>
  <c r="AX103" i="3"/>
  <c r="AX109" i="3"/>
  <c r="AX110" i="3"/>
  <c r="AX112" i="3"/>
  <c r="AX101" i="3"/>
  <c r="AX111" i="3"/>
  <c r="AX106" i="3"/>
  <c r="AX102" i="3"/>
  <c r="AX99" i="3"/>
  <c r="AX96" i="3"/>
  <c r="AX107" i="3"/>
  <c r="AX98" i="3"/>
  <c r="AX94" i="3"/>
  <c r="AX105" i="3"/>
  <c r="AX108" i="3"/>
  <c r="AZ8" i="3"/>
  <c r="BQ145" i="26" l="1"/>
  <c r="BQ169" i="26"/>
  <c r="BR193" i="26"/>
  <c r="AV64" i="33"/>
  <c r="AV74" i="33"/>
  <c r="AV737" i="9"/>
  <c r="AV745" i="9"/>
  <c r="AV733" i="9"/>
  <c r="AV747" i="9"/>
  <c r="AV735" i="9"/>
  <c r="AV750" i="9"/>
  <c r="AX147" i="26"/>
  <c r="BO178" i="1"/>
  <c r="AX170" i="26"/>
  <c r="AX194" i="26"/>
  <c r="AX234" i="26"/>
  <c r="AX169" i="26"/>
  <c r="AX235" i="26"/>
  <c r="AX171" i="26"/>
  <c r="AX249" i="26" s="1"/>
  <c r="AW267" i="26"/>
  <c r="AX195" i="26"/>
  <c r="AX94" i="26"/>
  <c r="AX220" i="26" s="1"/>
  <c r="AX172" i="26"/>
  <c r="CK180" i="30"/>
  <c r="BN72" i="33"/>
  <c r="AX146" i="26"/>
  <c r="AX297" i="26"/>
  <c r="BO259" i="26"/>
  <c r="AX95" i="26"/>
  <c r="AX148" i="26"/>
  <c r="BO180" i="30"/>
  <c r="AX24" i="32"/>
  <c r="AX153" i="30"/>
  <c r="AW52" i="30"/>
  <c r="AD15" i="20"/>
  <c r="AY3" i="38"/>
  <c r="AY39" i="3"/>
  <c r="AC56" i="33"/>
  <c r="AY346" i="3"/>
  <c r="AY347" i="3"/>
  <c r="BR64" i="9"/>
  <c r="BR102" i="9"/>
  <c r="BR83" i="9"/>
  <c r="BR121" i="9"/>
  <c r="BR159" i="9"/>
  <c r="BR197" i="9"/>
  <c r="BR235" i="9"/>
  <c r="BR273" i="9"/>
  <c r="BR311" i="9"/>
  <c r="BR349" i="9"/>
  <c r="BR387" i="9"/>
  <c r="BR140" i="9"/>
  <c r="BR292" i="9"/>
  <c r="BR178" i="9"/>
  <c r="BR330" i="9"/>
  <c r="BR425" i="9"/>
  <c r="BR406" i="9"/>
  <c r="BR216" i="9"/>
  <c r="BR254" i="9"/>
  <c r="BR368" i="9"/>
  <c r="AC803" i="9"/>
  <c r="AD757" i="9" s="1"/>
  <c r="AC853" i="9"/>
  <c r="AW210" i="3"/>
  <c r="AW233" i="3" s="1"/>
  <c r="AW256" i="3"/>
  <c r="AW279" i="3" s="1"/>
  <c r="AV804" i="9"/>
  <c r="AC859" i="9"/>
  <c r="AC809" i="9"/>
  <c r="AD763" i="9" s="1"/>
  <c r="AC861" i="9"/>
  <c r="AC811" i="9"/>
  <c r="AD765" i="9" s="1"/>
  <c r="AV819" i="9"/>
  <c r="AV864" i="9"/>
  <c r="AV806" i="9"/>
  <c r="AV866" i="9"/>
  <c r="AW691" i="9"/>
  <c r="AW699" i="9"/>
  <c r="AW260" i="3"/>
  <c r="AW283" i="3" s="1"/>
  <c r="AW214" i="3"/>
  <c r="AW218" i="3"/>
  <c r="AW264" i="3"/>
  <c r="AW287" i="3" s="1"/>
  <c r="AW266" i="3"/>
  <c r="AW289" i="3" s="1"/>
  <c r="AW220" i="3"/>
  <c r="AW212" i="3"/>
  <c r="AW258" i="3"/>
  <c r="AW281" i="3" s="1"/>
  <c r="AW227" i="3"/>
  <c r="AW273" i="3"/>
  <c r="AW296" i="3" s="1"/>
  <c r="AW269" i="3"/>
  <c r="AW292" i="3" s="1"/>
  <c r="AW223" i="3"/>
  <c r="AW217" i="3"/>
  <c r="AW263" i="3"/>
  <c r="AW286" i="3" s="1"/>
  <c r="AW226" i="3"/>
  <c r="AW272" i="3"/>
  <c r="AW295" i="3" s="1"/>
  <c r="AW271" i="3"/>
  <c r="AW294" i="3" s="1"/>
  <c r="AW225" i="3"/>
  <c r="AW268" i="3"/>
  <c r="AW291" i="3" s="1"/>
  <c r="AW222" i="3"/>
  <c r="AW265" i="3"/>
  <c r="AW288" i="3" s="1"/>
  <c r="AW219" i="3"/>
  <c r="AW267" i="3"/>
  <c r="AW290" i="3" s="1"/>
  <c r="AW221" i="3"/>
  <c r="AW270" i="3"/>
  <c r="AW293" i="3" s="1"/>
  <c r="AW224" i="3"/>
  <c r="AW257" i="3"/>
  <c r="AW280" i="3" s="1"/>
  <c r="AW211" i="3"/>
  <c r="AW259" i="3"/>
  <c r="AW282" i="3" s="1"/>
  <c r="AW213" i="3"/>
  <c r="AW216" i="3"/>
  <c r="AW262" i="3"/>
  <c r="AW285" i="3" s="1"/>
  <c r="AW261" i="3"/>
  <c r="AW284" i="3" s="1"/>
  <c r="AW215" i="3"/>
  <c r="AW704" i="9"/>
  <c r="AV852" i="9"/>
  <c r="AD194" i="1"/>
  <c r="AD197" i="1"/>
  <c r="AX257" i="26"/>
  <c r="BQ123" i="26"/>
  <c r="BQ267" i="26" s="1"/>
  <c r="BQ221" i="26"/>
  <c r="BQ247" i="26"/>
  <c r="BQ180" i="1"/>
  <c r="BQ180" i="20" s="1"/>
  <c r="BR247" i="26"/>
  <c r="BR180" i="1"/>
  <c r="BR180" i="20" s="1"/>
  <c r="BQ150" i="26"/>
  <c r="BQ180" i="30" s="1"/>
  <c r="BQ72" i="33" s="1"/>
  <c r="BP299" i="26"/>
  <c r="BR206" i="26"/>
  <c r="BR97" i="26"/>
  <c r="BR221" i="6" s="1"/>
  <c r="AX68" i="26"/>
  <c r="AX70" i="26"/>
  <c r="BR198" i="26"/>
  <c r="BR294" i="26"/>
  <c r="BR178" i="1" s="1"/>
  <c r="BR123" i="26"/>
  <c r="BR267" i="26" s="1"/>
  <c r="BR221" i="26"/>
  <c r="BR150" i="26"/>
  <c r="BR180" i="30" s="1"/>
  <c r="BR72" i="33" s="1"/>
  <c r="BQ233" i="26"/>
  <c r="BQ71" i="26"/>
  <c r="BQ259" i="26" s="1"/>
  <c r="BR208" i="26"/>
  <c r="BR174" i="26"/>
  <c r="BR233" i="26"/>
  <c r="BR71" i="26"/>
  <c r="BR259" i="26" s="1"/>
  <c r="BQ208" i="26"/>
  <c r="BQ174" i="26"/>
  <c r="BQ206" i="26"/>
  <c r="BQ97" i="26"/>
  <c r="BQ221" i="6" s="1"/>
  <c r="BQ294" i="26"/>
  <c r="BQ178" i="1" s="1"/>
  <c r="BQ198" i="26"/>
  <c r="AX220" i="6"/>
  <c r="AD147" i="30"/>
  <c r="BR99" i="3"/>
  <c r="BR108" i="3"/>
  <c r="BR94" i="3"/>
  <c r="BR105" i="3"/>
  <c r="AY30" i="3"/>
  <c r="AU48" i="30"/>
  <c r="AD49" i="30"/>
  <c r="AD195" i="20"/>
  <c r="BQ133" i="3"/>
  <c r="BR107" i="3"/>
  <c r="BR100" i="3"/>
  <c r="BQ120" i="3"/>
  <c r="BQ126" i="3"/>
  <c r="BQ121" i="3"/>
  <c r="BN178" i="20"/>
  <c r="BN50" i="30" s="1"/>
  <c r="X50" i="30" s="1"/>
  <c r="BR106" i="3"/>
  <c r="BR104" i="3"/>
  <c r="BS5" i="4"/>
  <c r="BS5" i="33"/>
  <c r="BT5" i="35"/>
  <c r="BS5" i="12"/>
  <c r="BS5" i="20"/>
  <c r="BS5" i="16"/>
  <c r="BS5" i="22"/>
  <c r="BS5" i="30"/>
  <c r="BS5" i="1"/>
  <c r="BR101" i="3"/>
  <c r="BS5" i="9"/>
  <c r="BS5" i="32"/>
  <c r="BS5" i="6"/>
  <c r="BR96" i="3"/>
  <c r="BS5" i="11"/>
  <c r="BS5" i="28"/>
  <c r="BS5" i="26"/>
  <c r="BS5" i="35"/>
  <c r="BR95" i="3"/>
  <c r="BR93" i="3"/>
  <c r="BR102" i="3"/>
  <c r="BR109" i="3"/>
  <c r="AW687" i="9"/>
  <c r="AW209" i="3"/>
  <c r="AW232" i="3" s="1"/>
  <c r="AW255" i="3"/>
  <c r="AW278" i="3" s="1"/>
  <c r="AW72" i="33"/>
  <c r="BS55" i="3"/>
  <c r="BS101" i="3" s="1"/>
  <c r="BS43" i="3"/>
  <c r="BR112" i="3"/>
  <c r="BQ134" i="3"/>
  <c r="AX93" i="26"/>
  <c r="AW281" i="26"/>
  <c r="AW154" i="6" s="1"/>
  <c r="AX145" i="26"/>
  <c r="AD197" i="20"/>
  <c r="AE39" i="30"/>
  <c r="AE42" i="30"/>
  <c r="AE151" i="1"/>
  <c r="AD51" i="30"/>
  <c r="AD41" i="6"/>
  <c r="AE67" i="1"/>
  <c r="AE107" i="1"/>
  <c r="AD158" i="1"/>
  <c r="AE37" i="1"/>
  <c r="AE15" i="1"/>
  <c r="AE117" i="1"/>
  <c r="AE152" i="30"/>
  <c r="AE59" i="33" s="1"/>
  <c r="AE84" i="1"/>
  <c r="AE34" i="30"/>
  <c r="AV168" i="20"/>
  <c r="AX120" i="26"/>
  <c r="AY5" i="38"/>
  <c r="AY55" i="3"/>
  <c r="AY170" i="3" s="1"/>
  <c r="AY193" i="3" s="1"/>
  <c r="AY48" i="3"/>
  <c r="AY163" i="3" s="1"/>
  <c r="AY186" i="3" s="1"/>
  <c r="AY56" i="3"/>
  <c r="AY171" i="3" s="1"/>
  <c r="AY194" i="3" s="1"/>
  <c r="AY51" i="3"/>
  <c r="AY166" i="3" s="1"/>
  <c r="AY189" i="3" s="1"/>
  <c r="AY63" i="3"/>
  <c r="AY178" i="3" s="1"/>
  <c r="AY201" i="3" s="1"/>
  <c r="AY52" i="3"/>
  <c r="AY167" i="3" s="1"/>
  <c r="AY190" i="3" s="1"/>
  <c r="AY60" i="3"/>
  <c r="AY175" i="3" s="1"/>
  <c r="AY198" i="3" s="1"/>
  <c r="AY57" i="3"/>
  <c r="AY172" i="3" s="1"/>
  <c r="AY195" i="3" s="1"/>
  <c r="AY49" i="3"/>
  <c r="AY164" i="3" s="1"/>
  <c r="AY187" i="3" s="1"/>
  <c r="AY54" i="3"/>
  <c r="AY169" i="3" s="1"/>
  <c r="AY192" i="3" s="1"/>
  <c r="AY62" i="3"/>
  <c r="AY177" i="3" s="1"/>
  <c r="AY200" i="3" s="1"/>
  <c r="AY53" i="3"/>
  <c r="AY168" i="3" s="1"/>
  <c r="AY191" i="3" s="1"/>
  <c r="AY61" i="3"/>
  <c r="AY176" i="3" s="1"/>
  <c r="AY199" i="3" s="1"/>
  <c r="AY58" i="3"/>
  <c r="AY173" i="3" s="1"/>
  <c r="AY196" i="3" s="1"/>
  <c r="AY66" i="3"/>
  <c r="AY47" i="3"/>
  <c r="AY162" i="3" s="1"/>
  <c r="AY185" i="3" s="1"/>
  <c r="AY59" i="3"/>
  <c r="AY174" i="3" s="1"/>
  <c r="AY197" i="3" s="1"/>
  <c r="AY64" i="3"/>
  <c r="AY179" i="3" s="1"/>
  <c r="AY202" i="3" s="1"/>
  <c r="AY65" i="3"/>
  <c r="AY180" i="3" s="1"/>
  <c r="AY203" i="3" s="1"/>
  <c r="AY50" i="3"/>
  <c r="AY165" i="3" s="1"/>
  <c r="AY188" i="3" s="1"/>
  <c r="AX173" i="26"/>
  <c r="BS49" i="3"/>
  <c r="BR118" i="3" s="1"/>
  <c r="BS50" i="3"/>
  <c r="BR119" i="3" s="1"/>
  <c r="BS66" i="3"/>
  <c r="BS112" i="3" s="1"/>
  <c r="BS52" i="3"/>
  <c r="BR121" i="3" s="1"/>
  <c r="BS56" i="3"/>
  <c r="BR125" i="3" s="1"/>
  <c r="BT5" i="38"/>
  <c r="BS64" i="3"/>
  <c r="BR133" i="3" s="1"/>
  <c r="BS65" i="3"/>
  <c r="BR134" i="3" s="1"/>
  <c r="BS54" i="3"/>
  <c r="BS100" i="3" s="1"/>
  <c r="BS60" i="3"/>
  <c r="BR129" i="3" s="1"/>
  <c r="BS48" i="3"/>
  <c r="BR117" i="3" s="1"/>
  <c r="AX193" i="26"/>
  <c r="BS59" i="3"/>
  <c r="BR128" i="3" s="1"/>
  <c r="BS57" i="3"/>
  <c r="BR126" i="3" s="1"/>
  <c r="BS61" i="3"/>
  <c r="BS107" i="3" s="1"/>
  <c r="BS63" i="3"/>
  <c r="BR132" i="3" s="1"/>
  <c r="BS51" i="3"/>
  <c r="BR120" i="3" s="1"/>
  <c r="BS58" i="3"/>
  <c r="BS104" i="3" s="1"/>
  <c r="BS62" i="3"/>
  <c r="BS108" i="3" s="1"/>
  <c r="BS47" i="3"/>
  <c r="BS93" i="3" s="1"/>
  <c r="BS53" i="3"/>
  <c r="BS99" i="3" s="1"/>
  <c r="AW111" i="6"/>
  <c r="AX149" i="26"/>
  <c r="AX197" i="26"/>
  <c r="BM178" i="20"/>
  <c r="BR16" i="3"/>
  <c r="BR18" i="3" s="1"/>
  <c r="BR4" i="38"/>
  <c r="BO299" i="26"/>
  <c r="BQ18" i="3"/>
  <c r="AW183" i="1"/>
  <c r="AW299" i="26"/>
  <c r="BR20" i="3"/>
  <c r="BR4" i="26"/>
  <c r="BR4" i="11"/>
  <c r="BR4" i="1"/>
  <c r="AX119" i="26"/>
  <c r="AY5" i="33"/>
  <c r="AY5" i="35"/>
  <c r="BR4" i="33"/>
  <c r="BR4" i="35"/>
  <c r="AY3" i="33"/>
  <c r="AY3" i="35"/>
  <c r="AY4" i="33"/>
  <c r="AY4" i="35"/>
  <c r="BT5" i="33"/>
  <c r="AV277" i="3"/>
  <c r="BC445" i="9"/>
  <c r="AX439" i="9"/>
  <c r="AW434" i="9"/>
  <c r="AW689" i="9" s="1"/>
  <c r="BC433" i="9"/>
  <c r="BC447" i="9"/>
  <c r="BC436" i="9"/>
  <c r="BC450" i="9"/>
  <c r="BC438" i="9"/>
  <c r="AW208" i="3"/>
  <c r="AW231" i="3" s="1"/>
  <c r="AW254" i="3"/>
  <c r="AY441" i="9"/>
  <c r="BC440" i="9"/>
  <c r="BB504" i="9"/>
  <c r="BB515" i="9"/>
  <c r="BC512" i="9"/>
  <c r="AZ517" i="9"/>
  <c r="BB518" i="9"/>
  <c r="BB513" i="9"/>
  <c r="BB506" i="9"/>
  <c r="BB511" i="9"/>
  <c r="BR4" i="6"/>
  <c r="BR4" i="12"/>
  <c r="BR4" i="22"/>
  <c r="BR22" i="3"/>
  <c r="BR26" i="3" s="1"/>
  <c r="BQ26" i="3"/>
  <c r="BR4" i="4"/>
  <c r="BR4" i="9"/>
  <c r="BC993" i="9"/>
  <c r="BC996" i="9"/>
  <c r="BC1000" i="9"/>
  <c r="BC282" i="9"/>
  <c r="BD276" i="9" s="1"/>
  <c r="BD280" i="9" s="1"/>
  <c r="AY16" i="3"/>
  <c r="AY18" i="3" s="1"/>
  <c r="AY4" i="32"/>
  <c r="AY4" i="30"/>
  <c r="AY5" i="32"/>
  <c r="AY5" i="30"/>
  <c r="BT5" i="32"/>
  <c r="AY3" i="28"/>
  <c r="AY3" i="32"/>
  <c r="AY3" i="30"/>
  <c r="BR4" i="28"/>
  <c r="BR4" i="32"/>
  <c r="BR4" i="30"/>
  <c r="BB339" i="9"/>
  <c r="BB263" i="9"/>
  <c r="BC257" i="9"/>
  <c r="BC261" i="9" s="1"/>
  <c r="BB301" i="9"/>
  <c r="BB396" i="9"/>
  <c r="BB130" i="9"/>
  <c r="BC295" i="9"/>
  <c r="BC299" i="9" s="1"/>
  <c r="AY1001" i="9"/>
  <c r="BC333" i="9"/>
  <c r="BC337" i="9" s="1"/>
  <c r="AX67" i="9"/>
  <c r="AX71" i="9" s="1"/>
  <c r="AZ377" i="9"/>
  <c r="BB168" i="9"/>
  <c r="BC162" i="9" s="1"/>
  <c r="BC166" i="9" s="1"/>
  <c r="AW994" i="9"/>
  <c r="BC390" i="9"/>
  <c r="BC394" i="9" s="1"/>
  <c r="BC124" i="9"/>
  <c r="BC128" i="9" s="1"/>
  <c r="AX999" i="9"/>
  <c r="BR179" i="3"/>
  <c r="BR175" i="3"/>
  <c r="BR177" i="3"/>
  <c r="BR178" i="3"/>
  <c r="BR173" i="3"/>
  <c r="BR166" i="3"/>
  <c r="BR168" i="3"/>
  <c r="BR171" i="3"/>
  <c r="BR180" i="3"/>
  <c r="BR165" i="3"/>
  <c r="BR163" i="3"/>
  <c r="BR172" i="3"/>
  <c r="BR162" i="3"/>
  <c r="BR169" i="3"/>
  <c r="BR167" i="3"/>
  <c r="BR176" i="3"/>
  <c r="BR174" i="3"/>
  <c r="BR4" i="16"/>
  <c r="BR4" i="20"/>
  <c r="BC1007" i="9"/>
  <c r="AY4" i="28"/>
  <c r="BS152" i="3"/>
  <c r="BS150" i="3"/>
  <c r="BS144" i="3"/>
  <c r="BS156" i="3"/>
  <c r="BS145" i="3"/>
  <c r="BS168" i="3" s="1"/>
  <c r="BS153" i="3"/>
  <c r="BS176" i="3" s="1"/>
  <c r="BS149" i="3"/>
  <c r="BS146" i="3"/>
  <c r="BS143" i="3"/>
  <c r="BS151" i="3"/>
  <c r="BS155" i="3"/>
  <c r="BS158" i="3"/>
  <c r="BS154" i="3"/>
  <c r="BS177" i="3" s="1"/>
  <c r="BS141" i="3"/>
  <c r="BS148" i="3"/>
  <c r="BS157" i="3"/>
  <c r="BS140" i="3"/>
  <c r="BS142" i="3"/>
  <c r="BS147" i="3"/>
  <c r="BS139" i="3"/>
  <c r="AY5" i="28"/>
  <c r="BC1005" i="9"/>
  <c r="BC998" i="9"/>
  <c r="AY5" i="26"/>
  <c r="BT5" i="28"/>
  <c r="AY4" i="16"/>
  <c r="AY4" i="26"/>
  <c r="AY3" i="26"/>
  <c r="AY4" i="11"/>
  <c r="AY4" i="9"/>
  <c r="AY4" i="12"/>
  <c r="BT5" i="20"/>
  <c r="AY5" i="22"/>
  <c r="AY5" i="20"/>
  <c r="AY4" i="22"/>
  <c r="AY4" i="20"/>
  <c r="AY3" i="22"/>
  <c r="AY3" i="20"/>
  <c r="AY5" i="16"/>
  <c r="AY5" i="12"/>
  <c r="AY5" i="11"/>
  <c r="AY5" i="9"/>
  <c r="BT5" i="16"/>
  <c r="BT5" i="11"/>
  <c r="AY3" i="16"/>
  <c r="AY3" i="12"/>
  <c r="AY3" i="11"/>
  <c r="AY3" i="9"/>
  <c r="AY3" i="1"/>
  <c r="DS2" i="1" s="1"/>
  <c r="AY3" i="4"/>
  <c r="AY3" i="6"/>
  <c r="AZ10" i="3"/>
  <c r="AZ4" i="3" s="1"/>
  <c r="AZ2" i="44" s="1" a="1"/>
  <c r="AZ2" i="44" s="1"/>
  <c r="BT5" i="4"/>
  <c r="AY181" i="3" l="1"/>
  <c r="AY204" i="3" s="1"/>
  <c r="AW701" i="9"/>
  <c r="AW770" i="9" s="1"/>
  <c r="AW793" i="9" s="1"/>
  <c r="AW866" i="9" s="1"/>
  <c r="AX295" i="26"/>
  <c r="AX221" i="26"/>
  <c r="AX233" i="26"/>
  <c r="AX208" i="26"/>
  <c r="AX247" i="26"/>
  <c r="AX222" i="26"/>
  <c r="AX298" i="26"/>
  <c r="AX268" i="26"/>
  <c r="AX296" i="26"/>
  <c r="AX206" i="26"/>
  <c r="AX205" i="26"/>
  <c r="AX180" i="1"/>
  <c r="AX236" i="26"/>
  <c r="AX294" i="26"/>
  <c r="CL180" i="30"/>
  <c r="BO72" i="33"/>
  <c r="CK50" i="30"/>
  <c r="AY172" i="20" a="1"/>
  <c r="AY172" i="20" s="1"/>
  <c r="AY150" i="20" a="1"/>
  <c r="AY150" i="20" s="1"/>
  <c r="AY145" i="20" a="1"/>
  <c r="AY145" i="20" s="1"/>
  <c r="AY144" i="20" a="1"/>
  <c r="AY144" i="20" s="1"/>
  <c r="AY181" i="20" a="1"/>
  <c r="AY181" i="20" s="1"/>
  <c r="AY154" i="20" a="1"/>
  <c r="AY154" i="20" s="1"/>
  <c r="AY146" i="20" a="1"/>
  <c r="AY146" i="20" s="1"/>
  <c r="AY149" i="20" a="1"/>
  <c r="AY149" i="20" s="1"/>
  <c r="AY198" i="20" a="1"/>
  <c r="AY198" i="20" s="1"/>
  <c r="AY148" i="20" a="1"/>
  <c r="AY148" i="20" s="1"/>
  <c r="AY131" i="20" a="1"/>
  <c r="AY131" i="20" s="1"/>
  <c r="AY129" i="20" a="1"/>
  <c r="AY129" i="20" s="1"/>
  <c r="AY128" i="20" a="1"/>
  <c r="AY128" i="20" s="1"/>
  <c r="AY127" i="20" a="1"/>
  <c r="AY127" i="20" s="1"/>
  <c r="AY126" i="20" a="1"/>
  <c r="AY126" i="20" s="1"/>
  <c r="AY142" i="20" a="1"/>
  <c r="AY142" i="20" s="1"/>
  <c r="AY140" i="20" a="1"/>
  <c r="AY140" i="20" s="1"/>
  <c r="AY138" i="20" a="1"/>
  <c r="AY138" i="20" s="1"/>
  <c r="AY133" i="20" a="1"/>
  <c r="AY133" i="20" s="1"/>
  <c r="AY125" i="20" a="1"/>
  <c r="AY125" i="20" s="1"/>
  <c r="AY124" i="20" a="1"/>
  <c r="AY124" i="20" s="1"/>
  <c r="AY123" i="20" a="1"/>
  <c r="AY123" i="20" s="1"/>
  <c r="AY122" i="20" a="1"/>
  <c r="AY122" i="20" s="1"/>
  <c r="AY115" i="20" a="1"/>
  <c r="AY115" i="20" s="1"/>
  <c r="AY112" i="20" a="1"/>
  <c r="AY112" i="20" s="1"/>
  <c r="AY111" i="20" a="1"/>
  <c r="AY111" i="20" s="1"/>
  <c r="AY110" i="20" a="1"/>
  <c r="AY110" i="20" s="1"/>
  <c r="AY106" i="20" a="1"/>
  <c r="AY106" i="20" s="1"/>
  <c r="AY105" i="20" a="1"/>
  <c r="AY105" i="20" s="1"/>
  <c r="AY143" i="20" a="1"/>
  <c r="AY143" i="20" s="1"/>
  <c r="AY139" i="20" a="1"/>
  <c r="AY139" i="20" s="1"/>
  <c r="AY132" i="20" a="1"/>
  <c r="AY132" i="20" s="1"/>
  <c r="AY104" i="20" a="1"/>
  <c r="AY104" i="20" s="1"/>
  <c r="AY141" i="20" a="1"/>
  <c r="AY141" i="20" s="1"/>
  <c r="AY169" i="20" a="1"/>
  <c r="AY169" i="20" s="1"/>
  <c r="AY137" i="20" a="1"/>
  <c r="AY137" i="20" s="1"/>
  <c r="AY103" i="20" a="1"/>
  <c r="AY103" i="20" s="1"/>
  <c r="AY102" i="20" a="1"/>
  <c r="AY102" i="20" s="1"/>
  <c r="AY101" i="20" a="1"/>
  <c r="AY101" i="20" s="1"/>
  <c r="AY97" i="20" a="1"/>
  <c r="AY97" i="20" s="1"/>
  <c r="AY96" i="20" a="1"/>
  <c r="AY96" i="20" s="1"/>
  <c r="AY95" i="20" a="1"/>
  <c r="AY95" i="20" s="1"/>
  <c r="AY94" i="20" a="1"/>
  <c r="AY94" i="20" s="1"/>
  <c r="AY93" i="20" a="1"/>
  <c r="AY93" i="20" s="1"/>
  <c r="AY92" i="20" a="1"/>
  <c r="AY92" i="20" s="1"/>
  <c r="AY91" i="20" a="1"/>
  <c r="AY91" i="20" s="1"/>
  <c r="AY90" i="20" a="1"/>
  <c r="AY90" i="20" s="1"/>
  <c r="AY89" i="20" a="1"/>
  <c r="AY89" i="20" s="1"/>
  <c r="AY88" i="20" a="1"/>
  <c r="AY88" i="20" s="1"/>
  <c r="AY87" i="20" a="1"/>
  <c r="AY87" i="20" s="1"/>
  <c r="AY83" i="20" a="1"/>
  <c r="AY83" i="20" s="1"/>
  <c r="AY81" i="20" a="1"/>
  <c r="AY81" i="20" s="1"/>
  <c r="AY77" i="20" a="1"/>
  <c r="AY77" i="20" s="1"/>
  <c r="AY73" i="20" a="1"/>
  <c r="AY73" i="20" s="1"/>
  <c r="AY66" i="20" a="1"/>
  <c r="AY66" i="20" s="1"/>
  <c r="AY59" i="20" a="1"/>
  <c r="AY59" i="20" s="1"/>
  <c r="AY55" i="20" a="1"/>
  <c r="AY55" i="20" s="1"/>
  <c r="AY48" i="20" a="1"/>
  <c r="AY48" i="20" s="1"/>
  <c r="AY38" i="20" a="1"/>
  <c r="AY38" i="20" s="1"/>
  <c r="AY36" i="20" a="1"/>
  <c r="AY36" i="20" s="1"/>
  <c r="AY35" i="20" a="1"/>
  <c r="AY35" i="20" s="1"/>
  <c r="AY34" i="20" a="1"/>
  <c r="AY34" i="20" s="1"/>
  <c r="AY33" i="20" a="1"/>
  <c r="AY33" i="20" s="1"/>
  <c r="AY32" i="20" a="1"/>
  <c r="AY32" i="20" s="1"/>
  <c r="AY29" i="20" a="1"/>
  <c r="AY29" i="20" s="1"/>
  <c r="AY27" i="20" a="1"/>
  <c r="AY27" i="20" s="1"/>
  <c r="AY26" i="20" a="1"/>
  <c r="AY26" i="20" s="1"/>
  <c r="AY25" i="20" a="1"/>
  <c r="AY25" i="20" s="1"/>
  <c r="AY24" i="20" a="1"/>
  <c r="AY24" i="20" s="1"/>
  <c r="AY23" i="20" a="1"/>
  <c r="AY23" i="20" s="1"/>
  <c r="AY22" i="20" a="1"/>
  <c r="AY22" i="20" s="1"/>
  <c r="AY21" i="20" a="1"/>
  <c r="AY21" i="20" s="1"/>
  <c r="AY20" i="20" a="1"/>
  <c r="AY20" i="20" s="1"/>
  <c r="AY19" i="20" a="1"/>
  <c r="AY19" i="20" s="1"/>
  <c r="AY16" i="20" a="1"/>
  <c r="AY16" i="20" s="1"/>
  <c r="AY13" i="20" a="1"/>
  <c r="AY13" i="20" s="1"/>
  <c r="AY12" i="20" a="1"/>
  <c r="AY12" i="20" s="1"/>
  <c r="AY78" i="20" a="1"/>
  <c r="AY78" i="20" s="1"/>
  <c r="AY68" i="20" a="1"/>
  <c r="AY68" i="20" s="1"/>
  <c r="AY50" i="20" a="1"/>
  <c r="AY50" i="20" s="1"/>
  <c r="AY80" i="20" a="1"/>
  <c r="AY80" i="20" s="1"/>
  <c r="AY76" i="20" a="1"/>
  <c r="AY76" i="20" s="1"/>
  <c r="AY72" i="20" a="1"/>
  <c r="AY72" i="20" s="1"/>
  <c r="AY65" i="20" a="1"/>
  <c r="AY65" i="20" s="1"/>
  <c r="AY58" i="20" a="1"/>
  <c r="AY58" i="20" s="1"/>
  <c r="AY54" i="20" a="1"/>
  <c r="AY54" i="20" s="1"/>
  <c r="AY47" i="20" a="1"/>
  <c r="AY47" i="20" s="1"/>
  <c r="AY45" i="20" a="1"/>
  <c r="AY45" i="20" s="1"/>
  <c r="AY43" i="20" a="1"/>
  <c r="AY43" i="20" s="1"/>
  <c r="AY41" i="20" a="1"/>
  <c r="AY41" i="20" s="1"/>
  <c r="AY79" i="20" a="1"/>
  <c r="AY79" i="20" s="1"/>
  <c r="AY75" i="20" a="1"/>
  <c r="AY75" i="20" s="1"/>
  <c r="AY71" i="20" a="1"/>
  <c r="AY71" i="20" s="1"/>
  <c r="AY64" i="20" a="1"/>
  <c r="AY64" i="20" s="1"/>
  <c r="AY57" i="20" a="1"/>
  <c r="AY57" i="20" s="1"/>
  <c r="AY53" i="20" a="1"/>
  <c r="AY53" i="20" s="1"/>
  <c r="AY46" i="20" a="1"/>
  <c r="AY46" i="20" s="1"/>
  <c r="AY82" i="20" a="1"/>
  <c r="AY82" i="20" s="1"/>
  <c r="AY74" i="20" a="1"/>
  <c r="AY74" i="20" s="1"/>
  <c r="AY61" i="20" a="1"/>
  <c r="AY61" i="20" s="1"/>
  <c r="AY56" i="20" a="1"/>
  <c r="AY56" i="20" s="1"/>
  <c r="AY44" i="20" a="1"/>
  <c r="AY44" i="20" s="1"/>
  <c r="AY42" i="20" a="1"/>
  <c r="AY42" i="20" s="1"/>
  <c r="AE15" i="20"/>
  <c r="AE22" i="30" s="1"/>
  <c r="BP178" i="20"/>
  <c r="BP50" i="30" s="1"/>
  <c r="AD56" i="33"/>
  <c r="AY64" i="9"/>
  <c r="AY140" i="9"/>
  <c r="AY178" i="9"/>
  <c r="AY216" i="9"/>
  <c r="AY254" i="9"/>
  <c r="AY292" i="9"/>
  <c r="AY330" i="9"/>
  <c r="AY368" i="9"/>
  <c r="AY406" i="9"/>
  <c r="AY235" i="9"/>
  <c r="AY387" i="9"/>
  <c r="AY83" i="9"/>
  <c r="AY121" i="9"/>
  <c r="AY273" i="9"/>
  <c r="AY159" i="9"/>
  <c r="AY102" i="9"/>
  <c r="AY197" i="9"/>
  <c r="AY311" i="9"/>
  <c r="AY425" i="9"/>
  <c r="AY349" i="9"/>
  <c r="BS64" i="9"/>
  <c r="BS159" i="9"/>
  <c r="BS178" i="9"/>
  <c r="BS311" i="9"/>
  <c r="BS330" i="9"/>
  <c r="BS102" i="9"/>
  <c r="BS197" i="9"/>
  <c r="BS216" i="9"/>
  <c r="BS349" i="9"/>
  <c r="BS368" i="9"/>
  <c r="BS121" i="9"/>
  <c r="BS235" i="9"/>
  <c r="BS254" i="9"/>
  <c r="BS425" i="9"/>
  <c r="BS83" i="9"/>
  <c r="BS273" i="9"/>
  <c r="BS292" i="9"/>
  <c r="BS140" i="9"/>
  <c r="BS387" i="9"/>
  <c r="BS406" i="9"/>
  <c r="AW831" i="9"/>
  <c r="AW846" i="9"/>
  <c r="AW833" i="9"/>
  <c r="AW841" i="9"/>
  <c r="AW768" i="9"/>
  <c r="AW791" i="9" s="1"/>
  <c r="AW864" i="9" s="1"/>
  <c r="AW760" i="9"/>
  <c r="AW783" i="9" s="1"/>
  <c r="AW856" i="9" s="1"/>
  <c r="AW234" i="3"/>
  <c r="AW722" i="9"/>
  <c r="AW244" i="3"/>
  <c r="AW245" i="3"/>
  <c r="AW724" i="9"/>
  <c r="AW246" i="3"/>
  <c r="AW241" i="3"/>
  <c r="AW239" i="3"/>
  <c r="AW240" i="3"/>
  <c r="AW235" i="3"/>
  <c r="AW237" i="3"/>
  <c r="AW238" i="3"/>
  <c r="AW714" i="9"/>
  <c r="AW236" i="3"/>
  <c r="AW773" i="9"/>
  <c r="AW796" i="9" s="1"/>
  <c r="AW819" i="9" s="1"/>
  <c r="AW247" i="3"/>
  <c r="AW242" i="3"/>
  <c r="AW727" i="9"/>
  <c r="AW249" i="3"/>
  <c r="AW248" i="3"/>
  <c r="AW250" i="3"/>
  <c r="AW243" i="3"/>
  <c r="AW756" i="9"/>
  <c r="AW779" i="9" s="1"/>
  <c r="AW802" i="9" s="1"/>
  <c r="AW829" i="9"/>
  <c r="BO178" i="20"/>
  <c r="BO50" i="30" s="1"/>
  <c r="Y50" i="30" s="1"/>
  <c r="AY190" i="26"/>
  <c r="AY183" i="26"/>
  <c r="AY189" i="26"/>
  <c r="AY191" i="26"/>
  <c r="AY184" i="26"/>
  <c r="AY188" i="26"/>
  <c r="AY182" i="26"/>
  <c r="AY179" i="26"/>
  <c r="AY180" i="26"/>
  <c r="AY185" i="26"/>
  <c r="AY181" i="26"/>
  <c r="AY195" i="26" s="1"/>
  <c r="AY192" i="26"/>
  <c r="AY187" i="26"/>
  <c r="AY186" i="26"/>
  <c r="AY178" i="26"/>
  <c r="BS180" i="26"/>
  <c r="BS194" i="26" s="1"/>
  <c r="BS295" i="26" s="1"/>
  <c r="BS187" i="26"/>
  <c r="BS190" i="26"/>
  <c r="BS181" i="26"/>
  <c r="BS195" i="26" s="1"/>
  <c r="BS296" i="26" s="1"/>
  <c r="BS179" i="1" s="1"/>
  <c r="BS179" i="20" s="1"/>
  <c r="BS192" i="26"/>
  <c r="BS188" i="26"/>
  <c r="BS185" i="26"/>
  <c r="BS178" i="26"/>
  <c r="BS197" i="26" s="1"/>
  <c r="BS298" i="26" s="1"/>
  <c r="BS191" i="26"/>
  <c r="BS183" i="26"/>
  <c r="BS186" i="26"/>
  <c r="BS189" i="26"/>
  <c r="BS184" i="26"/>
  <c r="BS179" i="26"/>
  <c r="BS182" i="26"/>
  <c r="AX71" i="26"/>
  <c r="BR299" i="26"/>
  <c r="BS162" i="26"/>
  <c r="BS131" i="26"/>
  <c r="BS138" i="26"/>
  <c r="BS107" i="26"/>
  <c r="BS111" i="26"/>
  <c r="BS115" i="26"/>
  <c r="BS54" i="26"/>
  <c r="BS157" i="26"/>
  <c r="BS171" i="26" s="1"/>
  <c r="BS249" i="26" s="1"/>
  <c r="BS134" i="26"/>
  <c r="BS148" i="26" s="1"/>
  <c r="BS83" i="26"/>
  <c r="BS87" i="26"/>
  <c r="BS91" i="26"/>
  <c r="BS61" i="26"/>
  <c r="BS141" i="26"/>
  <c r="BS154" i="26"/>
  <c r="BS173" i="26" s="1"/>
  <c r="BS268" i="26" s="1"/>
  <c r="BS67" i="26"/>
  <c r="BS56" i="26"/>
  <c r="BS55" i="26"/>
  <c r="BS156" i="26"/>
  <c r="BS170" i="26" s="1"/>
  <c r="BS222" i="26" s="1"/>
  <c r="BS164" i="26"/>
  <c r="BS133" i="26"/>
  <c r="BS147" i="26" s="1"/>
  <c r="BS104" i="26"/>
  <c r="BS120" i="26" s="1"/>
  <c r="BS108" i="26"/>
  <c r="BS112" i="26"/>
  <c r="BS116" i="26"/>
  <c r="BS58" i="26"/>
  <c r="BS161" i="26"/>
  <c r="BS80" i="26"/>
  <c r="BS84" i="26"/>
  <c r="BS88" i="26"/>
  <c r="BS92" i="26"/>
  <c r="BS65" i="26"/>
  <c r="BS142" i="26"/>
  <c r="BS132" i="26"/>
  <c r="BS146" i="26" s="1"/>
  <c r="BS163" i="26"/>
  <c r="BS64" i="26"/>
  <c r="BS63" i="26"/>
  <c r="BS158" i="26"/>
  <c r="BS172" i="26" s="1"/>
  <c r="BS236" i="26" s="1"/>
  <c r="BS166" i="26"/>
  <c r="BS135" i="26"/>
  <c r="BS105" i="26"/>
  <c r="BS109" i="26"/>
  <c r="BS113" i="26"/>
  <c r="BS117" i="26"/>
  <c r="BS62" i="26"/>
  <c r="BS165" i="26"/>
  <c r="BS81" i="26"/>
  <c r="BS85" i="26"/>
  <c r="BS89" i="26"/>
  <c r="BS53" i="26"/>
  <c r="BS70" i="26" s="1"/>
  <c r="BS139" i="26"/>
  <c r="BS143" i="26"/>
  <c r="BS60" i="26"/>
  <c r="BS159" i="26"/>
  <c r="BS78" i="26"/>
  <c r="BS93" i="26" s="1"/>
  <c r="BS155" i="26"/>
  <c r="BS169" i="26" s="1"/>
  <c r="BS196" i="26"/>
  <c r="BS297" i="26" s="1"/>
  <c r="BS160" i="26"/>
  <c r="BS168" i="26"/>
  <c r="BS137" i="26"/>
  <c r="BS106" i="26"/>
  <c r="BS110" i="26"/>
  <c r="BS114" i="26"/>
  <c r="BS118" i="26"/>
  <c r="BS66" i="26"/>
  <c r="BS130" i="26"/>
  <c r="BS149" i="26" s="1"/>
  <c r="BS82" i="26"/>
  <c r="BS86" i="26"/>
  <c r="BS90" i="26"/>
  <c r="BS57" i="26"/>
  <c r="BS140" i="26"/>
  <c r="BS144" i="26"/>
  <c r="BS59" i="26"/>
  <c r="BS136" i="26"/>
  <c r="BS79" i="26"/>
  <c r="BS95" i="26" s="1"/>
  <c r="BS167" i="26"/>
  <c r="BQ299" i="26"/>
  <c r="BS105" i="3"/>
  <c r="AX106" i="6"/>
  <c r="AE147" i="30"/>
  <c r="BS96" i="3"/>
  <c r="AV48" i="30"/>
  <c r="AD22" i="30"/>
  <c r="AE49" i="30"/>
  <c r="BS95" i="3"/>
  <c r="BR130" i="3"/>
  <c r="BR131" i="3"/>
  <c r="BR116" i="3"/>
  <c r="BS109" i="3"/>
  <c r="BT5" i="1"/>
  <c r="BS98" i="3"/>
  <c r="BT5" i="9"/>
  <c r="BT5" i="22"/>
  <c r="BR127" i="3"/>
  <c r="BT5" i="30"/>
  <c r="BT5" i="6"/>
  <c r="BS111" i="3"/>
  <c r="BT5" i="12"/>
  <c r="BT5" i="26"/>
  <c r="BT188" i="26" s="1"/>
  <c r="BS103" i="3"/>
  <c r="BS106" i="3"/>
  <c r="BR124" i="3"/>
  <c r="BR122" i="3"/>
  <c r="BS102" i="3"/>
  <c r="BS97" i="3"/>
  <c r="BR123" i="3"/>
  <c r="AZ43" i="3"/>
  <c r="AZ4" i="38"/>
  <c r="AW178" i="20"/>
  <c r="AW710" i="9"/>
  <c r="AX174" i="26"/>
  <c r="AX97" i="26"/>
  <c r="BT51" i="3"/>
  <c r="BS120" i="3" s="1"/>
  <c r="BT43" i="3"/>
  <c r="AX150" i="26"/>
  <c r="BR135" i="3"/>
  <c r="BS94" i="3"/>
  <c r="BS110" i="3"/>
  <c r="AE197" i="1"/>
  <c r="AX276" i="26"/>
  <c r="AF34" i="30"/>
  <c r="AF84" i="1"/>
  <c r="AF152" i="30"/>
  <c r="AF59" i="33" s="1"/>
  <c r="AF15" i="1"/>
  <c r="AF67" i="1"/>
  <c r="AF134" i="1"/>
  <c r="AF117" i="1"/>
  <c r="AE51" i="30"/>
  <c r="AE41" i="6"/>
  <c r="AF39" i="30"/>
  <c r="AF107" i="1"/>
  <c r="AF37" i="1"/>
  <c r="AF151" i="1"/>
  <c r="AF42" i="30"/>
  <c r="AX198" i="26"/>
  <c r="BT59" i="3"/>
  <c r="BS128" i="3" s="1"/>
  <c r="BT47" i="3"/>
  <c r="BS116" i="3" s="1"/>
  <c r="BT62" i="3"/>
  <c r="BT108" i="3" s="1"/>
  <c r="BT57" i="3"/>
  <c r="BS126" i="3" s="1"/>
  <c r="BT56" i="3"/>
  <c r="BS125" i="3" s="1"/>
  <c r="BU5" i="38"/>
  <c r="BT66" i="3"/>
  <c r="BT112" i="3" s="1"/>
  <c r="BT50" i="3"/>
  <c r="BS119" i="3" s="1"/>
  <c r="BT54" i="3"/>
  <c r="BS123" i="3" s="1"/>
  <c r="BT63" i="3"/>
  <c r="BS132" i="3" s="1"/>
  <c r="BT48" i="3"/>
  <c r="BS117" i="3" s="1"/>
  <c r="BT58" i="3"/>
  <c r="BS127" i="3" s="1"/>
  <c r="BT65" i="3"/>
  <c r="BS134" i="3" s="1"/>
  <c r="BT53" i="3"/>
  <c r="BT99" i="3" s="1"/>
  <c r="BT52" i="3"/>
  <c r="BT98" i="3" s="1"/>
  <c r="BT55" i="3"/>
  <c r="BS124" i="3" s="1"/>
  <c r="BT61" i="3"/>
  <c r="BT107" i="3" s="1"/>
  <c r="BT64" i="3"/>
  <c r="BT110" i="3" s="1"/>
  <c r="BT49" i="3"/>
  <c r="BT95" i="3" s="1"/>
  <c r="BT60" i="3"/>
  <c r="BT106" i="3" s="1"/>
  <c r="AW114" i="6"/>
  <c r="AW116" i="30" s="1"/>
  <c r="AW98" i="30"/>
  <c r="AW187" i="30" s="1"/>
  <c r="BS4" i="38"/>
  <c r="BS16" i="3"/>
  <c r="BS18" i="3" s="1"/>
  <c r="BS20" i="3"/>
  <c r="AY155" i="26"/>
  <c r="AY161" i="26"/>
  <c r="AY168" i="26"/>
  <c r="AY158" i="26"/>
  <c r="AY154" i="26"/>
  <c r="AY163" i="26"/>
  <c r="AY156" i="26"/>
  <c r="AY162" i="26"/>
  <c r="AY157" i="26"/>
  <c r="AY165" i="26"/>
  <c r="AY160" i="26"/>
  <c r="AY166" i="26"/>
  <c r="AY167" i="26"/>
  <c r="AY159" i="26"/>
  <c r="AY164" i="26"/>
  <c r="AX107" i="6"/>
  <c r="BS4" i="11"/>
  <c r="BS4" i="35"/>
  <c r="BS4" i="12"/>
  <c r="BS4" i="22"/>
  <c r="BU5" i="33"/>
  <c r="BU5" i="35"/>
  <c r="BS4" i="1"/>
  <c r="AW277" i="3"/>
  <c r="AX207" i="26"/>
  <c r="AX123" i="26"/>
  <c r="AX432" i="9"/>
  <c r="BC444" i="9"/>
  <c r="BD443" i="9"/>
  <c r="BC519" i="9"/>
  <c r="BC1010" i="9"/>
  <c r="BC437" i="9"/>
  <c r="BC446" i="9"/>
  <c r="BC442" i="9"/>
  <c r="BC415" i="9"/>
  <c r="BD409" i="9" s="1"/>
  <c r="BD413" i="9" s="1"/>
  <c r="BC514" i="9"/>
  <c r="AY510" i="9"/>
  <c r="BC502" i="9"/>
  <c r="BC505" i="9"/>
  <c r="BC516" i="9"/>
  <c r="AW503" i="9"/>
  <c r="AW1085" i="9" s="1"/>
  <c r="BC507" i="9"/>
  <c r="AX508" i="9"/>
  <c r="BC509" i="9"/>
  <c r="BR28" i="3"/>
  <c r="BC92" i="9"/>
  <c r="BD86" i="9" s="1"/>
  <c r="BD90" i="9" s="1"/>
  <c r="BC149" i="9"/>
  <c r="BD143" i="9" s="1"/>
  <c r="BD147" i="9" s="1"/>
  <c r="BD1003" i="9"/>
  <c r="BC225" i="9"/>
  <c r="BD219" i="9" s="1"/>
  <c r="BD223" i="9" s="1"/>
  <c r="BS22" i="3"/>
  <c r="BS28" i="3" s="1"/>
  <c r="BS4" i="33"/>
  <c r="BS4" i="20"/>
  <c r="BS4" i="26"/>
  <c r="BS4" i="6"/>
  <c r="BS4" i="16"/>
  <c r="BS4" i="4"/>
  <c r="BS4" i="9"/>
  <c r="BU5" i="32"/>
  <c r="BU5" i="30"/>
  <c r="BS4" i="28"/>
  <c r="BS4" i="32"/>
  <c r="BS4" i="30"/>
  <c r="BC1002" i="9"/>
  <c r="AY196" i="26"/>
  <c r="AY142" i="26"/>
  <c r="BC1009" i="9"/>
  <c r="BC449" i="9"/>
  <c r="BC995" i="9"/>
  <c r="BC435" i="9"/>
  <c r="BC1006" i="9"/>
  <c r="BC1004" i="9"/>
  <c r="BA371" i="9"/>
  <c r="BA375" i="9" s="1"/>
  <c r="AX206" i="9"/>
  <c r="BC997" i="9"/>
  <c r="AX992" i="9"/>
  <c r="AY244" i="9"/>
  <c r="AW111" i="9"/>
  <c r="BS178" i="3"/>
  <c r="BS172" i="3"/>
  <c r="BS162" i="3"/>
  <c r="BS173" i="3"/>
  <c r="BS164" i="3"/>
  <c r="BS170" i="3"/>
  <c r="BS169" i="3"/>
  <c r="BS165" i="3"/>
  <c r="BS167" i="3"/>
  <c r="BS180" i="3"/>
  <c r="BS179" i="3"/>
  <c r="BS174" i="3"/>
  <c r="BS175" i="3"/>
  <c r="BS166" i="3"/>
  <c r="BS163" i="3"/>
  <c r="BS181" i="3"/>
  <c r="BS171" i="3"/>
  <c r="AY65" i="26"/>
  <c r="AY110" i="26"/>
  <c r="BC358" i="9"/>
  <c r="BD352" i="9" s="1"/>
  <c r="BD356" i="9" s="1"/>
  <c r="AY73" i="3"/>
  <c r="AX119" i="3"/>
  <c r="AY71" i="3"/>
  <c r="AX117" i="3"/>
  <c r="AY84" i="3"/>
  <c r="AX130" i="3"/>
  <c r="AY82" i="3"/>
  <c r="AX128" i="3"/>
  <c r="AY74" i="3"/>
  <c r="AX120" i="3"/>
  <c r="AY70" i="3"/>
  <c r="AX116" i="3"/>
  <c r="AY83" i="3"/>
  <c r="AX129" i="3"/>
  <c r="AY80" i="3"/>
  <c r="AX126" i="3"/>
  <c r="AY81" i="3"/>
  <c r="AX127" i="3"/>
  <c r="AY89" i="3"/>
  <c r="AX135" i="3"/>
  <c r="AY75" i="3"/>
  <c r="AX121" i="3"/>
  <c r="AY88" i="3"/>
  <c r="AX134" i="3"/>
  <c r="AZ140" i="3"/>
  <c r="AZ139" i="3"/>
  <c r="AZ146" i="3"/>
  <c r="AZ144" i="3"/>
  <c r="AZ141" i="3"/>
  <c r="AZ155" i="3"/>
  <c r="AY86" i="3"/>
  <c r="AX132" i="3"/>
  <c r="AZ149" i="3"/>
  <c r="AZ143" i="3"/>
  <c r="AZ151" i="3"/>
  <c r="AZ154" i="3"/>
  <c r="BT155" i="3"/>
  <c r="BT147" i="3"/>
  <c r="BT170" i="3" s="1"/>
  <c r="BT142" i="3"/>
  <c r="BT151" i="3"/>
  <c r="BT153" i="3"/>
  <c r="BT144" i="3"/>
  <c r="BT167" i="3" s="1"/>
  <c r="BT156" i="3"/>
  <c r="BT139" i="3"/>
  <c r="BT141" i="3"/>
  <c r="BT164" i="3" s="1"/>
  <c r="BT143" i="3"/>
  <c r="BT152" i="3"/>
  <c r="BT157" i="3"/>
  <c r="BT180" i="3" s="1"/>
  <c r="BT149" i="3"/>
  <c r="BT172" i="3" s="1"/>
  <c r="BT146" i="3"/>
  <c r="BT169" i="3" s="1"/>
  <c r="BT158" i="3"/>
  <c r="BT181" i="3" s="1"/>
  <c r="BT145" i="3"/>
  <c r="BT148" i="3"/>
  <c r="BT171" i="3" s="1"/>
  <c r="BT154" i="3"/>
  <c r="BT177" i="3" s="1"/>
  <c r="BT140" i="3"/>
  <c r="BT150" i="3"/>
  <c r="BT173" i="3" s="1"/>
  <c r="AY78" i="3"/>
  <c r="AX124" i="3"/>
  <c r="AY79" i="3"/>
  <c r="AX125" i="3"/>
  <c r="AY72" i="3"/>
  <c r="AX118" i="3"/>
  <c r="AY77" i="3"/>
  <c r="AX123" i="3"/>
  <c r="AY76" i="3"/>
  <c r="AX122" i="3"/>
  <c r="AZ142" i="3"/>
  <c r="AZ157" i="3"/>
  <c r="AZ150" i="3"/>
  <c r="AZ156" i="3"/>
  <c r="AZ148" i="3"/>
  <c r="AY87" i="3"/>
  <c r="AX133" i="3"/>
  <c r="AY85" i="3"/>
  <c r="AX131" i="3"/>
  <c r="AZ158" i="3"/>
  <c r="AZ145" i="3"/>
  <c r="AZ152" i="3"/>
  <c r="AZ153" i="3"/>
  <c r="AZ147" i="3"/>
  <c r="AY87" i="26"/>
  <c r="AY91" i="26"/>
  <c r="AY63" i="26"/>
  <c r="AY66" i="26"/>
  <c r="AY80" i="26"/>
  <c r="AY62" i="26"/>
  <c r="AZ5" i="3"/>
  <c r="BT20" i="3"/>
  <c r="AY83" i="26"/>
  <c r="AY78" i="26"/>
  <c r="AY60" i="26"/>
  <c r="AY81" i="26"/>
  <c r="AY90" i="26"/>
  <c r="AY64" i="26"/>
  <c r="AY67" i="26"/>
  <c r="BC187" i="9"/>
  <c r="BD181" i="9" s="1"/>
  <c r="BD185" i="9" s="1"/>
  <c r="BC320" i="9"/>
  <c r="BD314" i="9" s="1"/>
  <c r="BD318" i="9" s="1"/>
  <c r="AW168" i="20"/>
  <c r="AY134" i="26"/>
  <c r="AY113" i="26"/>
  <c r="AY85" i="26"/>
  <c r="AY92" i="26"/>
  <c r="AY84" i="26"/>
  <c r="AY79" i="26"/>
  <c r="AY59" i="26"/>
  <c r="AY58" i="26"/>
  <c r="AY61" i="26"/>
  <c r="AY57" i="26"/>
  <c r="AY109" i="26"/>
  <c r="AY89" i="26"/>
  <c r="AY88" i="26"/>
  <c r="AY82" i="26"/>
  <c r="AY86" i="26"/>
  <c r="AY56" i="26"/>
  <c r="AY55" i="26"/>
  <c r="AY54" i="26"/>
  <c r="AY53" i="26"/>
  <c r="AY112" i="26"/>
  <c r="AY131" i="26"/>
  <c r="AY144" i="26"/>
  <c r="AY116" i="26"/>
  <c r="AY140" i="26"/>
  <c r="AY107" i="26"/>
  <c r="AY135" i="26"/>
  <c r="AY118" i="26"/>
  <c r="AY105" i="26"/>
  <c r="AY115" i="26"/>
  <c r="AY106" i="26"/>
  <c r="AY111" i="26"/>
  <c r="AY139" i="26"/>
  <c r="AY114" i="26"/>
  <c r="AY143" i="26"/>
  <c r="AY117" i="26"/>
  <c r="AY104" i="26"/>
  <c r="AY130" i="26"/>
  <c r="AY138" i="26"/>
  <c r="AY108" i="26"/>
  <c r="AY132" i="26"/>
  <c r="AY133" i="26"/>
  <c r="AY136" i="26"/>
  <c r="AY137" i="26"/>
  <c r="AY141" i="26"/>
  <c r="BU5" i="26"/>
  <c r="BU5" i="28"/>
  <c r="AY121" i="26"/>
  <c r="AY219" i="26"/>
  <c r="AZ12" i="3"/>
  <c r="AZ3" i="3" s="1"/>
  <c r="AZ24" i="3"/>
  <c r="BU5" i="22"/>
  <c r="BU5" i="20"/>
  <c r="AY105" i="3"/>
  <c r="AY93" i="3"/>
  <c r="AY103" i="3"/>
  <c r="AY112" i="3"/>
  <c r="AY111" i="3"/>
  <c r="AY110" i="3"/>
  <c r="AY96" i="3"/>
  <c r="AY109" i="3"/>
  <c r="AY94" i="3"/>
  <c r="AY107" i="3"/>
  <c r="AY97" i="3"/>
  <c r="AY108" i="3"/>
  <c r="AY104" i="3"/>
  <c r="AY98" i="3"/>
  <c r="BU5" i="16"/>
  <c r="BU5" i="12"/>
  <c r="BU5" i="11"/>
  <c r="BU5" i="9"/>
  <c r="BA8" i="3"/>
  <c r="AY101" i="3"/>
  <c r="AY102" i="3"/>
  <c r="AY95" i="3"/>
  <c r="AY100" i="3"/>
  <c r="AY99" i="3"/>
  <c r="AY106" i="3"/>
  <c r="BU5" i="4"/>
  <c r="BU5" i="6"/>
  <c r="BU5" i="1"/>
  <c r="BS193" i="26" l="1"/>
  <c r="BS145" i="26"/>
  <c r="AW64" i="33"/>
  <c r="AW74" i="33"/>
  <c r="AW737" i="9"/>
  <c r="AW747" i="9"/>
  <c r="AW750" i="9"/>
  <c r="AW745" i="9"/>
  <c r="AW733" i="9"/>
  <c r="AX687" i="9" s="1"/>
  <c r="AW843" i="9"/>
  <c r="AY170" i="26"/>
  <c r="AY248" i="26"/>
  <c r="AY234" i="26"/>
  <c r="AY147" i="26"/>
  <c r="AY95" i="26"/>
  <c r="AY247" i="26" s="1"/>
  <c r="AY146" i="26"/>
  <c r="AY148" i="26"/>
  <c r="AY296" i="26"/>
  <c r="AY179" i="1" s="1"/>
  <c r="AY171" i="26"/>
  <c r="AY194" i="26"/>
  <c r="AY235" i="26"/>
  <c r="AY94" i="26"/>
  <c r="AY297" i="26"/>
  <c r="AY172" i="26"/>
  <c r="AX179" i="1"/>
  <c r="AX179" i="20" s="1"/>
  <c r="AX178" i="1"/>
  <c r="AX299" i="26"/>
  <c r="AX221" i="6"/>
  <c r="AX223" i="6" s="1"/>
  <c r="AY220" i="6" s="1"/>
  <c r="AX267" i="26"/>
  <c r="AX180" i="30"/>
  <c r="AX72" i="33" s="1"/>
  <c r="AX259" i="26"/>
  <c r="CL50" i="30"/>
  <c r="AW816" i="9"/>
  <c r="AW183" i="20"/>
  <c r="AW50" i="30"/>
  <c r="AZ3" i="38"/>
  <c r="AZ39" i="3"/>
  <c r="BQ178" i="20"/>
  <c r="BQ50" i="30" s="1"/>
  <c r="BR178" i="20"/>
  <c r="BR50" i="30" s="1"/>
  <c r="AE56" i="33"/>
  <c r="AZ346" i="3"/>
  <c r="AZ347" i="3"/>
  <c r="BT121" i="9"/>
  <c r="BT140" i="9"/>
  <c r="BT178" i="9"/>
  <c r="BT216" i="9"/>
  <c r="BT254" i="9"/>
  <c r="BT292" i="9"/>
  <c r="BT330" i="9"/>
  <c r="BT368" i="9"/>
  <c r="BT406" i="9"/>
  <c r="BT102" i="9"/>
  <c r="BT197" i="9"/>
  <c r="BT349" i="9"/>
  <c r="BT235" i="9"/>
  <c r="BT387" i="9"/>
  <c r="BT83" i="9"/>
  <c r="BT159" i="9"/>
  <c r="BT273" i="9"/>
  <c r="BT64" i="9"/>
  <c r="BT311" i="9"/>
  <c r="BT425" i="9"/>
  <c r="BU83" i="9"/>
  <c r="BU64" i="9"/>
  <c r="BU216" i="9"/>
  <c r="BU235" i="9"/>
  <c r="BU368" i="9"/>
  <c r="BU387" i="9"/>
  <c r="BU425" i="9"/>
  <c r="BU254" i="9"/>
  <c r="BU273" i="9"/>
  <c r="BU406" i="9"/>
  <c r="BU121" i="9"/>
  <c r="BU140" i="9"/>
  <c r="BU159" i="9"/>
  <c r="BU102" i="9"/>
  <c r="BU197" i="9"/>
  <c r="BU292" i="9"/>
  <c r="BU311" i="9"/>
  <c r="BU330" i="9"/>
  <c r="BU349" i="9"/>
  <c r="BU178" i="9"/>
  <c r="AX256" i="3"/>
  <c r="AX279" i="3" s="1"/>
  <c r="AX210" i="3"/>
  <c r="AX233" i="3" s="1"/>
  <c r="AW758" i="9"/>
  <c r="AW781" i="9" s="1"/>
  <c r="AW854" i="9" s="1"/>
  <c r="AW712" i="9"/>
  <c r="AW814" i="9"/>
  <c r="AW806" i="9"/>
  <c r="AX691" i="9"/>
  <c r="AX271" i="3"/>
  <c r="AX294" i="3" s="1"/>
  <c r="AX225" i="3"/>
  <c r="AX701" i="9"/>
  <c r="AX699" i="9"/>
  <c r="AX263" i="3"/>
  <c r="AX286" i="3" s="1"/>
  <c r="AX217" i="3"/>
  <c r="AX264" i="3"/>
  <c r="AX287" i="3" s="1"/>
  <c r="AX218" i="3"/>
  <c r="AX266" i="3"/>
  <c r="AX289" i="3" s="1"/>
  <c r="AX220" i="3"/>
  <c r="AW869" i="9"/>
  <c r="AX261" i="3"/>
  <c r="AX284" i="3" s="1"/>
  <c r="AX215" i="3"/>
  <c r="AX270" i="3"/>
  <c r="AX293" i="3" s="1"/>
  <c r="AX224" i="3"/>
  <c r="AX272" i="3"/>
  <c r="AX295" i="3" s="1"/>
  <c r="AX226" i="3"/>
  <c r="AX273" i="3"/>
  <c r="AX296" i="3" s="1"/>
  <c r="AX227" i="3"/>
  <c r="AX269" i="3"/>
  <c r="AX292" i="3" s="1"/>
  <c r="AX223" i="3"/>
  <c r="AX260" i="3"/>
  <c r="AX283" i="3" s="1"/>
  <c r="AX214" i="3"/>
  <c r="AX262" i="3"/>
  <c r="AX285" i="3" s="1"/>
  <c r="AX216" i="3"/>
  <c r="AX259" i="3"/>
  <c r="AX282" i="3" s="1"/>
  <c r="AX213" i="3"/>
  <c r="AX265" i="3"/>
  <c r="AX288" i="3" s="1"/>
  <c r="AX219" i="3"/>
  <c r="AX267" i="3"/>
  <c r="AX290" i="3" s="1"/>
  <c r="AX221" i="3"/>
  <c r="AX258" i="3"/>
  <c r="AX281" i="3" s="1"/>
  <c r="AX212" i="3"/>
  <c r="AX268" i="3"/>
  <c r="AX291" i="3" s="1"/>
  <c r="AX222" i="3"/>
  <c r="AX257" i="3"/>
  <c r="AX280" i="3" s="1"/>
  <c r="AX211" i="3"/>
  <c r="AW852" i="9"/>
  <c r="AF197" i="1"/>
  <c r="BT178" i="26"/>
  <c r="BT197" i="26" s="1"/>
  <c r="BT298" i="26" s="1"/>
  <c r="BT190" i="26"/>
  <c r="BT183" i="26"/>
  <c r="BT192" i="26"/>
  <c r="BT182" i="26"/>
  <c r="BT179" i="26"/>
  <c r="BU192" i="26"/>
  <c r="BU191" i="26"/>
  <c r="BU188" i="26"/>
  <c r="BU187" i="26"/>
  <c r="BU180" i="26"/>
  <c r="BU194" i="26" s="1"/>
  <c r="BU295" i="26" s="1"/>
  <c r="BU183" i="26"/>
  <c r="BU179" i="26"/>
  <c r="BU184" i="26"/>
  <c r="BU185" i="26"/>
  <c r="BU182" i="26"/>
  <c r="BU196" i="26" s="1"/>
  <c r="BU297" i="26" s="1"/>
  <c r="BU181" i="26"/>
  <c r="BU195" i="26" s="1"/>
  <c r="BU296" i="26" s="1"/>
  <c r="BU179" i="1" s="1"/>
  <c r="BU179" i="20" s="1"/>
  <c r="BU190" i="26"/>
  <c r="BU186" i="26"/>
  <c r="BU189" i="26"/>
  <c r="BU178" i="26"/>
  <c r="BU197" i="26" s="1"/>
  <c r="BU298" i="26" s="1"/>
  <c r="BT181" i="26"/>
  <c r="BT195" i="26" s="1"/>
  <c r="BT296" i="26" s="1"/>
  <c r="BT179" i="1" s="1"/>
  <c r="BT179" i="20" s="1"/>
  <c r="BT189" i="26"/>
  <c r="BT191" i="26"/>
  <c r="BT187" i="26"/>
  <c r="BT185" i="26"/>
  <c r="BT186" i="26"/>
  <c r="BT184" i="26"/>
  <c r="BT180" i="26"/>
  <c r="BT194" i="26" s="1"/>
  <c r="BT295" i="26" s="1"/>
  <c r="AX111" i="6"/>
  <c r="AX114" i="6" s="1"/>
  <c r="AX116" i="30" s="1"/>
  <c r="BU154" i="26"/>
  <c r="BU173" i="26" s="1"/>
  <c r="BU268" i="26" s="1"/>
  <c r="BU156" i="26"/>
  <c r="BU170" i="26" s="1"/>
  <c r="BU222" i="26" s="1"/>
  <c r="BU157" i="26"/>
  <c r="BU171" i="26" s="1"/>
  <c r="BU249" i="26" s="1"/>
  <c r="BU158" i="26"/>
  <c r="BU172" i="26" s="1"/>
  <c r="BU236" i="26" s="1"/>
  <c r="BU159" i="26"/>
  <c r="BU160" i="26"/>
  <c r="BU161" i="26"/>
  <c r="BU162" i="26"/>
  <c r="BU163" i="26"/>
  <c r="BU164" i="26"/>
  <c r="BU165" i="26"/>
  <c r="BU166" i="26"/>
  <c r="BU167" i="26"/>
  <c r="BU168" i="26"/>
  <c r="BU130" i="26"/>
  <c r="BU149" i="26" s="1"/>
  <c r="BU131" i="26"/>
  <c r="BU145" i="26" s="1"/>
  <c r="BU132" i="26"/>
  <c r="BU146" i="26" s="1"/>
  <c r="BU133" i="26"/>
  <c r="BU147" i="26" s="1"/>
  <c r="BU134" i="26"/>
  <c r="BU148" i="26" s="1"/>
  <c r="BU135" i="26"/>
  <c r="BU136" i="26"/>
  <c r="BU137" i="26"/>
  <c r="BU139" i="26"/>
  <c r="BU140" i="26"/>
  <c r="BU141" i="26"/>
  <c r="BU142" i="26"/>
  <c r="BU143" i="26"/>
  <c r="BU144" i="26"/>
  <c r="BU78" i="26"/>
  <c r="BU93" i="26" s="1"/>
  <c r="BU79" i="26"/>
  <c r="BU95" i="26" s="1"/>
  <c r="BU56" i="26"/>
  <c r="BU60" i="26"/>
  <c r="BU64" i="26"/>
  <c r="BU55" i="26"/>
  <c r="BU59" i="26"/>
  <c r="BU63" i="26"/>
  <c r="BU67" i="26"/>
  <c r="BU104" i="26"/>
  <c r="BU120" i="26" s="1"/>
  <c r="BU106" i="26"/>
  <c r="BU108" i="26"/>
  <c r="BU110" i="26"/>
  <c r="BU112" i="26"/>
  <c r="BU114" i="26"/>
  <c r="BU116" i="26"/>
  <c r="BU118" i="26"/>
  <c r="BU54" i="26"/>
  <c r="BU62" i="26"/>
  <c r="BU61" i="26"/>
  <c r="BU53" i="26"/>
  <c r="BU70" i="26" s="1"/>
  <c r="BU138" i="26"/>
  <c r="BU105" i="26"/>
  <c r="BU107" i="26"/>
  <c r="BU109" i="26"/>
  <c r="BU111" i="26"/>
  <c r="BU113" i="26"/>
  <c r="BU115" i="26"/>
  <c r="BU117" i="26"/>
  <c r="BU58" i="26"/>
  <c r="BU66" i="26"/>
  <c r="BU80" i="26"/>
  <c r="BU81" i="26"/>
  <c r="BU82" i="26"/>
  <c r="BU83" i="26"/>
  <c r="BU84" i="26"/>
  <c r="BU85" i="26"/>
  <c r="BU86" i="26"/>
  <c r="BU87" i="26"/>
  <c r="BU88" i="26"/>
  <c r="BU89" i="26"/>
  <c r="BU90" i="26"/>
  <c r="BU91" i="26"/>
  <c r="BU92" i="26"/>
  <c r="BU57" i="26"/>
  <c r="BU65" i="26"/>
  <c r="BU155" i="26"/>
  <c r="BS247" i="26"/>
  <c r="BS180" i="1"/>
  <c r="BS180" i="20" s="1"/>
  <c r="BS233" i="26"/>
  <c r="BS71" i="26"/>
  <c r="BS259" i="26" s="1"/>
  <c r="BS150" i="26"/>
  <c r="BS180" i="30" s="1"/>
  <c r="BS72" i="33" s="1"/>
  <c r="BT79" i="26"/>
  <c r="BT95" i="26" s="1"/>
  <c r="BT92" i="26"/>
  <c r="BT88" i="26"/>
  <c r="BT84" i="26"/>
  <c r="BT80" i="26"/>
  <c r="BT66" i="26"/>
  <c r="BT118" i="26"/>
  <c r="BT114" i="26"/>
  <c r="BT110" i="26"/>
  <c r="BT106" i="26"/>
  <c r="BT63" i="26"/>
  <c r="BT144" i="26"/>
  <c r="BT140" i="26"/>
  <c r="BT135" i="26"/>
  <c r="BT131" i="26"/>
  <c r="BT166" i="26"/>
  <c r="BT162" i="26"/>
  <c r="BT158" i="26"/>
  <c r="BT172" i="26" s="1"/>
  <c r="BT236" i="26" s="1"/>
  <c r="AY68" i="26"/>
  <c r="AY70" i="26"/>
  <c r="BS208" i="26"/>
  <c r="BS174" i="26"/>
  <c r="BS221" i="26"/>
  <c r="BS123" i="26"/>
  <c r="BS267" i="26" s="1"/>
  <c r="BT155" i="26"/>
  <c r="BT169" i="26" s="1"/>
  <c r="BT78" i="26"/>
  <c r="BT93" i="26" s="1"/>
  <c r="BT91" i="26"/>
  <c r="BT87" i="26"/>
  <c r="BT83" i="26"/>
  <c r="BT60" i="26"/>
  <c r="BT62" i="26"/>
  <c r="BT117" i="26"/>
  <c r="BT113" i="26"/>
  <c r="BT109" i="26"/>
  <c r="BT105" i="26"/>
  <c r="BT59" i="26"/>
  <c r="BT143" i="26"/>
  <c r="BT139" i="26"/>
  <c r="BT134" i="26"/>
  <c r="BT148" i="26" s="1"/>
  <c r="BT130" i="26"/>
  <c r="BT149" i="26" s="1"/>
  <c r="BT165" i="26"/>
  <c r="BT161" i="26"/>
  <c r="BT157" i="26"/>
  <c r="BT171" i="26" s="1"/>
  <c r="BT249" i="26" s="1"/>
  <c r="BS198" i="26"/>
  <c r="BS294" i="26"/>
  <c r="BS178" i="1" s="1"/>
  <c r="BT64" i="26"/>
  <c r="BT65" i="26"/>
  <c r="BT90" i="26"/>
  <c r="BT86" i="26"/>
  <c r="BT82" i="26"/>
  <c r="BT61" i="26"/>
  <c r="BT58" i="26"/>
  <c r="BT116" i="26"/>
  <c r="BT112" i="26"/>
  <c r="BT108" i="26"/>
  <c r="BT104" i="26"/>
  <c r="BT120" i="26" s="1"/>
  <c r="BT55" i="26"/>
  <c r="BT142" i="26"/>
  <c r="BT137" i="26"/>
  <c r="BT133" i="26"/>
  <c r="BT147" i="26" s="1"/>
  <c r="BT168" i="26"/>
  <c r="BT164" i="26"/>
  <c r="BT160" i="26"/>
  <c r="BT156" i="26"/>
  <c r="BT170" i="26" s="1"/>
  <c r="BT222" i="26" s="1"/>
  <c r="BT196" i="26"/>
  <c r="BT297" i="26" s="1"/>
  <c r="BS206" i="26"/>
  <c r="BS97" i="26"/>
  <c r="BS221" i="6" s="1"/>
  <c r="BT56" i="26"/>
  <c r="BT57" i="26"/>
  <c r="BT89" i="26"/>
  <c r="BT85" i="26"/>
  <c r="BT81" i="26"/>
  <c r="BT53" i="26"/>
  <c r="BT70" i="26" s="1"/>
  <c r="BT54" i="26"/>
  <c r="BT115" i="26"/>
  <c r="BT111" i="26"/>
  <c r="BT107" i="26"/>
  <c r="BT67" i="26"/>
  <c r="BT138" i="26"/>
  <c r="BT141" i="26"/>
  <c r="BT136" i="26"/>
  <c r="BT132" i="26"/>
  <c r="BT146" i="26" s="1"/>
  <c r="BT167" i="26"/>
  <c r="BT163" i="26"/>
  <c r="BT159" i="26"/>
  <c r="BT154" i="26"/>
  <c r="BT173" i="26" s="1"/>
  <c r="BT268" i="26" s="1"/>
  <c r="AF147" i="30"/>
  <c r="AY117" i="20"/>
  <c r="AY24" i="32" s="1"/>
  <c r="AZ30" i="3"/>
  <c r="AX180" i="20"/>
  <c r="AE197" i="20"/>
  <c r="AF49" i="30"/>
  <c r="AF195" i="20"/>
  <c r="BT109" i="3"/>
  <c r="BT93" i="3"/>
  <c r="BS133" i="3"/>
  <c r="BS122" i="3"/>
  <c r="BT94" i="3"/>
  <c r="BT102" i="3"/>
  <c r="BS130" i="3"/>
  <c r="BT97" i="3"/>
  <c r="BT111" i="3"/>
  <c r="BT105" i="3"/>
  <c r="BT100" i="3"/>
  <c r="BS129" i="3"/>
  <c r="BT96" i="3"/>
  <c r="BT104" i="3"/>
  <c r="AW48" i="30"/>
  <c r="AX209" i="3"/>
  <c r="AX232" i="3" s="1"/>
  <c r="AX255" i="3"/>
  <c r="AX278" i="3" s="1"/>
  <c r="BU52" i="3"/>
  <c r="BT121" i="3" s="1"/>
  <c r="BU43" i="3"/>
  <c r="BS121" i="3"/>
  <c r="BS131" i="3"/>
  <c r="BS135" i="3"/>
  <c r="BS118" i="3"/>
  <c r="BT101" i="3"/>
  <c r="BT103" i="3"/>
  <c r="AY93" i="26"/>
  <c r="AY197" i="26"/>
  <c r="AG117" i="1"/>
  <c r="AG15" i="1"/>
  <c r="AG151" i="1"/>
  <c r="AF41" i="6"/>
  <c r="AF51" i="30"/>
  <c r="AG34" i="30"/>
  <c r="AG42" i="30"/>
  <c r="AF15" i="20"/>
  <c r="AG152" i="30"/>
  <c r="AG59" i="33" s="1"/>
  <c r="AG84" i="1"/>
  <c r="AG37" i="1"/>
  <c r="AG107" i="1"/>
  <c r="AG39" i="30"/>
  <c r="AG134" i="1"/>
  <c r="AG67" i="1"/>
  <c r="AY120" i="26"/>
  <c r="BU54" i="3"/>
  <c r="BU100" i="3" s="1"/>
  <c r="BU61" i="3"/>
  <c r="BT130" i="3" s="1"/>
  <c r="BU53" i="3"/>
  <c r="BT122" i="3" s="1"/>
  <c r="BU56" i="3"/>
  <c r="BT125" i="3" s="1"/>
  <c r="BU63" i="3"/>
  <c r="BT132" i="3" s="1"/>
  <c r="BU57" i="3"/>
  <c r="BU103" i="3" s="1"/>
  <c r="BU66" i="3"/>
  <c r="BT135" i="3" s="1"/>
  <c r="BU65" i="3"/>
  <c r="BT134" i="3" s="1"/>
  <c r="BU48" i="3"/>
  <c r="BT117" i="3" s="1"/>
  <c r="BU51" i="3"/>
  <c r="BU97" i="3" s="1"/>
  <c r="BV5" i="38"/>
  <c r="AZ5" i="38"/>
  <c r="AZ51" i="3"/>
  <c r="AZ166" i="3" s="1"/>
  <c r="AZ189" i="3" s="1"/>
  <c r="AZ55" i="3"/>
  <c r="AZ170" i="3" s="1"/>
  <c r="AZ193" i="3" s="1"/>
  <c r="AZ48" i="3"/>
  <c r="AZ163" i="3" s="1"/>
  <c r="AZ186" i="3" s="1"/>
  <c r="AZ56" i="3"/>
  <c r="AZ171" i="3" s="1"/>
  <c r="AZ194" i="3" s="1"/>
  <c r="AZ60" i="3"/>
  <c r="AZ175" i="3" s="1"/>
  <c r="AZ198" i="3" s="1"/>
  <c r="AZ63" i="3"/>
  <c r="AZ178" i="3" s="1"/>
  <c r="AZ201" i="3" s="1"/>
  <c r="AZ52" i="3"/>
  <c r="AZ167" i="3" s="1"/>
  <c r="AZ190" i="3" s="1"/>
  <c r="AZ57" i="3"/>
  <c r="AZ172" i="3" s="1"/>
  <c r="AZ195" i="3" s="1"/>
  <c r="AZ49" i="3"/>
  <c r="AZ164" i="3" s="1"/>
  <c r="AZ187" i="3" s="1"/>
  <c r="AZ54" i="3"/>
  <c r="AZ169" i="3" s="1"/>
  <c r="AZ192" i="3" s="1"/>
  <c r="AZ62" i="3"/>
  <c r="AZ177" i="3" s="1"/>
  <c r="AZ200" i="3" s="1"/>
  <c r="AZ53" i="3"/>
  <c r="AZ168" i="3" s="1"/>
  <c r="AZ191" i="3" s="1"/>
  <c r="AZ64" i="3"/>
  <c r="AZ179" i="3" s="1"/>
  <c r="AZ202" i="3" s="1"/>
  <c r="AZ65" i="3"/>
  <c r="AZ180" i="3" s="1"/>
  <c r="AZ203" i="3" s="1"/>
  <c r="AZ50" i="3"/>
  <c r="AZ165" i="3" s="1"/>
  <c r="AZ188" i="3" s="1"/>
  <c r="AZ61" i="3"/>
  <c r="AZ176" i="3" s="1"/>
  <c r="AZ199" i="3" s="1"/>
  <c r="AZ58" i="3"/>
  <c r="AZ173" i="3" s="1"/>
  <c r="AZ196" i="3" s="1"/>
  <c r="AZ66" i="3"/>
  <c r="AZ47" i="3"/>
  <c r="AZ162" i="3" s="1"/>
  <c r="AZ185" i="3" s="1"/>
  <c r="AZ59" i="3"/>
  <c r="AZ174" i="3" s="1"/>
  <c r="AZ197" i="3" s="1"/>
  <c r="BU47" i="3"/>
  <c r="BT116" i="3" s="1"/>
  <c r="BU59" i="3"/>
  <c r="BU105" i="3" s="1"/>
  <c r="BU58" i="3"/>
  <c r="BU104" i="3" s="1"/>
  <c r="BU64" i="3"/>
  <c r="BT133" i="3" s="1"/>
  <c r="BU55" i="3"/>
  <c r="BU101" i="3" s="1"/>
  <c r="BU62" i="3"/>
  <c r="BT131" i="3" s="1"/>
  <c r="BU49" i="3"/>
  <c r="BT118" i="3" s="1"/>
  <c r="BU50" i="3"/>
  <c r="BT119" i="3" s="1"/>
  <c r="BU60" i="3"/>
  <c r="BU106" i="3" s="1"/>
  <c r="AY173" i="26"/>
  <c r="AY149" i="26"/>
  <c r="AX281" i="26"/>
  <c r="AY276" i="26" s="1"/>
  <c r="BT16" i="3"/>
  <c r="BT18" i="3" s="1"/>
  <c r="BT4" i="38"/>
  <c r="AY169" i="26"/>
  <c r="AW94" i="6"/>
  <c r="AW88" i="35"/>
  <c r="BS26" i="3"/>
  <c r="BT4" i="35"/>
  <c r="AZ5" i="26"/>
  <c r="AZ5" i="33"/>
  <c r="AZ5" i="35"/>
  <c r="AZ4" i="33"/>
  <c r="AZ4" i="35"/>
  <c r="BV5" i="33"/>
  <c r="BV5" i="35"/>
  <c r="AZ3" i="33"/>
  <c r="AZ3" i="35"/>
  <c r="BD445" i="9"/>
  <c r="BD433" i="9"/>
  <c r="BD438" i="9"/>
  <c r="BA448" i="9"/>
  <c r="BD440" i="9"/>
  <c r="AX208" i="3"/>
  <c r="AX231" i="3" s="1"/>
  <c r="AX254" i="3"/>
  <c r="BD447" i="9"/>
  <c r="BD450" i="9"/>
  <c r="BC513" i="9"/>
  <c r="BC504" i="9"/>
  <c r="BD512" i="9"/>
  <c r="BC506" i="9"/>
  <c r="AX501" i="9"/>
  <c r="BC518" i="9"/>
  <c r="BC511" i="9"/>
  <c r="BD993" i="9"/>
  <c r="BD282" i="9"/>
  <c r="BE276" i="9" s="1"/>
  <c r="BE280" i="9" s="1"/>
  <c r="BD436" i="9"/>
  <c r="BD996" i="9"/>
  <c r="BD1000" i="9"/>
  <c r="BT4" i="12"/>
  <c r="BT4" i="33"/>
  <c r="BT4" i="22"/>
  <c r="BT4" i="1"/>
  <c r="BC263" i="9"/>
  <c r="AZ3" i="28"/>
  <c r="AZ3" i="32"/>
  <c r="AZ3" i="30"/>
  <c r="AZ5" i="32"/>
  <c r="AZ5" i="30"/>
  <c r="BV5" i="32"/>
  <c r="BV5" i="30"/>
  <c r="BT4" i="28"/>
  <c r="BT4" i="32"/>
  <c r="BT4" i="30"/>
  <c r="AZ16" i="3"/>
  <c r="AZ18" i="3" s="1"/>
  <c r="AZ4" i="32"/>
  <c r="AZ4" i="30"/>
  <c r="AY193" i="26"/>
  <c r="BC130" i="9"/>
  <c r="BC396" i="9"/>
  <c r="BC339" i="9"/>
  <c r="BC515" i="9"/>
  <c r="BD333" i="9"/>
  <c r="BD337" i="9" s="1"/>
  <c r="BC301" i="9"/>
  <c r="BD257" i="9"/>
  <c r="BD261" i="9" s="1"/>
  <c r="BD390" i="9"/>
  <c r="BD394" i="9" s="1"/>
  <c r="BD295" i="9"/>
  <c r="BD299" i="9" s="1"/>
  <c r="BD124" i="9"/>
  <c r="BD128" i="9" s="1"/>
  <c r="BC168" i="9"/>
  <c r="BD162" i="9" s="1"/>
  <c r="BD166" i="9" s="1"/>
  <c r="AY200" i="9"/>
  <c r="AY204" i="9" s="1"/>
  <c r="BA1008" i="9"/>
  <c r="AZ238" i="9"/>
  <c r="AZ242" i="9" s="1"/>
  <c r="AX105" i="9"/>
  <c r="AX109" i="9" s="1"/>
  <c r="AX73" i="9"/>
  <c r="BT162" i="3"/>
  <c r="BT166" i="3"/>
  <c r="BT176" i="3"/>
  <c r="BT178" i="3"/>
  <c r="BT163" i="3"/>
  <c r="BT174" i="3"/>
  <c r="BT175" i="3"/>
  <c r="BT165" i="3"/>
  <c r="BT179" i="3"/>
  <c r="BT168" i="3"/>
  <c r="BT4" i="6"/>
  <c r="BT4" i="9"/>
  <c r="BT4" i="11"/>
  <c r="BT22" i="3"/>
  <c r="BT4" i="26"/>
  <c r="BT4" i="4"/>
  <c r="BT4" i="16"/>
  <c r="AZ4" i="12"/>
  <c r="BT4" i="20"/>
  <c r="BD1007" i="9"/>
  <c r="AZ4" i="28"/>
  <c r="BU143" i="3"/>
  <c r="BU166" i="3" s="1"/>
  <c r="BU148" i="3"/>
  <c r="BU171" i="3" s="1"/>
  <c r="BU147" i="3"/>
  <c r="BU170" i="3" s="1"/>
  <c r="BU152" i="3"/>
  <c r="BU175" i="3" s="1"/>
  <c r="BU158" i="3"/>
  <c r="BU181" i="3" s="1"/>
  <c r="BU139" i="3"/>
  <c r="BU162" i="3" s="1"/>
  <c r="BU141" i="3"/>
  <c r="BU164" i="3" s="1"/>
  <c r="BU153" i="3"/>
  <c r="BU176" i="3" s="1"/>
  <c r="BU155" i="3"/>
  <c r="BU178" i="3" s="1"/>
  <c r="BU150" i="3"/>
  <c r="BU173" i="3" s="1"/>
  <c r="BU144" i="3"/>
  <c r="BU167" i="3" s="1"/>
  <c r="BU151" i="3"/>
  <c r="BU174" i="3" s="1"/>
  <c r="BU142" i="3"/>
  <c r="BU165" i="3" s="1"/>
  <c r="BU157" i="3"/>
  <c r="BU180" i="3" s="1"/>
  <c r="BU145" i="3"/>
  <c r="BU168" i="3" s="1"/>
  <c r="BU146" i="3"/>
  <c r="BU169" i="3" s="1"/>
  <c r="BU149" i="3"/>
  <c r="BU172" i="3" s="1"/>
  <c r="BU140" i="3"/>
  <c r="BU163" i="3" s="1"/>
  <c r="BU156" i="3"/>
  <c r="BU179" i="3" s="1"/>
  <c r="BU154" i="3"/>
  <c r="BU177" i="3" s="1"/>
  <c r="AZ5" i="28"/>
  <c r="BD998" i="9"/>
  <c r="BD1005" i="9"/>
  <c r="AY107" i="6"/>
  <c r="AY119" i="26"/>
  <c r="AY145" i="26"/>
  <c r="BV5" i="26"/>
  <c r="BV191" i="26" s="1"/>
  <c r="BV5" i="28"/>
  <c r="AZ3" i="26"/>
  <c r="AZ4" i="26"/>
  <c r="AZ4" i="9"/>
  <c r="AZ5" i="22"/>
  <c r="AZ5" i="20"/>
  <c r="AZ4" i="20"/>
  <c r="AZ4" i="22"/>
  <c r="AZ4" i="11"/>
  <c r="BV5" i="20"/>
  <c r="BV5" i="22"/>
  <c r="AZ4" i="16"/>
  <c r="AZ3" i="22"/>
  <c r="AZ3" i="20"/>
  <c r="AZ5" i="16"/>
  <c r="AZ5" i="12"/>
  <c r="AZ5" i="11"/>
  <c r="AZ5" i="9"/>
  <c r="AZ3" i="16"/>
  <c r="AZ3" i="12"/>
  <c r="AZ3" i="11"/>
  <c r="AZ3" i="9"/>
  <c r="AZ3" i="4"/>
  <c r="AZ3" i="6"/>
  <c r="AZ3" i="1"/>
  <c r="DT2" i="1" s="1"/>
  <c r="BV5" i="16"/>
  <c r="BV5" i="12"/>
  <c r="BV5" i="11"/>
  <c r="BV5" i="9"/>
  <c r="BA10" i="3"/>
  <c r="BA4" i="3" s="1"/>
  <c r="BA2" i="44" s="1" a="1"/>
  <c r="BA2" i="44" s="1"/>
  <c r="BV5" i="6"/>
  <c r="BV5" i="4"/>
  <c r="BV5" i="1"/>
  <c r="BU169" i="26" l="1"/>
  <c r="BT193" i="26"/>
  <c r="BT145" i="26"/>
  <c r="BU193" i="26"/>
  <c r="AX183" i="1"/>
  <c r="AW735" i="9"/>
  <c r="AZ181" i="3"/>
  <c r="AZ204" i="3" s="1"/>
  <c r="AX704" i="9"/>
  <c r="AX773" i="9" s="1"/>
  <c r="AX796" i="9" s="1"/>
  <c r="AX869" i="9" s="1"/>
  <c r="AX178" i="20"/>
  <c r="AX183" i="20" s="1"/>
  <c r="AY249" i="26"/>
  <c r="AX261" i="26"/>
  <c r="AY222" i="26"/>
  <c r="AY221" i="26"/>
  <c r="AY233" i="26"/>
  <c r="AY236" i="26"/>
  <c r="AY220" i="26"/>
  <c r="AY295" i="26"/>
  <c r="AY180" i="1"/>
  <c r="AY206" i="26"/>
  <c r="AY268" i="26"/>
  <c r="AY106" i="6"/>
  <c r="AY111" i="6" s="1"/>
  <c r="AY298" i="26"/>
  <c r="AZ198" i="20" a="1"/>
  <c r="AZ198" i="20" s="1"/>
  <c r="AZ181" i="20" a="1"/>
  <c r="AZ181" i="20" s="1"/>
  <c r="AZ172" i="20" a="1"/>
  <c r="AZ172" i="20" s="1"/>
  <c r="AZ169" i="20" a="1"/>
  <c r="AZ169" i="20" s="1"/>
  <c r="AZ154" i="20" a="1"/>
  <c r="AZ154" i="20" s="1"/>
  <c r="AZ150" i="20" a="1"/>
  <c r="AZ150" i="20" s="1"/>
  <c r="AZ149" i="20" a="1"/>
  <c r="AZ149" i="20" s="1"/>
  <c r="AZ148" i="20" a="1"/>
  <c r="AZ148" i="20" s="1"/>
  <c r="AZ146" i="20" a="1"/>
  <c r="AZ146" i="20" s="1"/>
  <c r="AZ145" i="20" a="1"/>
  <c r="AZ145" i="20" s="1"/>
  <c r="AZ131" i="20" a="1"/>
  <c r="AZ131" i="20" s="1"/>
  <c r="AZ129" i="20" a="1"/>
  <c r="AZ129" i="20" s="1"/>
  <c r="AZ128" i="20" a="1"/>
  <c r="AZ128" i="20" s="1"/>
  <c r="AZ127" i="20" a="1"/>
  <c r="AZ127" i="20" s="1"/>
  <c r="AZ126" i="20" a="1"/>
  <c r="AZ126" i="20" s="1"/>
  <c r="AZ143" i="20" a="1"/>
  <c r="AZ143" i="20" s="1"/>
  <c r="AZ142" i="20" a="1"/>
  <c r="AZ142" i="20" s="1"/>
  <c r="AZ141" i="20" a="1"/>
  <c r="AZ141" i="20" s="1"/>
  <c r="AZ140" i="20" a="1"/>
  <c r="AZ140" i="20" s="1"/>
  <c r="AZ139" i="20" a="1"/>
  <c r="AZ139" i="20" s="1"/>
  <c r="AZ138" i="20" a="1"/>
  <c r="AZ138" i="20" s="1"/>
  <c r="AZ137" i="20" a="1"/>
  <c r="AZ137" i="20" s="1"/>
  <c r="AZ133" i="20" a="1"/>
  <c r="AZ133" i="20" s="1"/>
  <c r="AZ132" i="20" a="1"/>
  <c r="AZ132" i="20" s="1"/>
  <c r="AZ125" i="20" a="1"/>
  <c r="AZ125" i="20" s="1"/>
  <c r="AZ124" i="20" a="1"/>
  <c r="AZ124" i="20" s="1"/>
  <c r="AZ123" i="20" a="1"/>
  <c r="AZ123" i="20" s="1"/>
  <c r="AZ122" i="20" a="1"/>
  <c r="AZ122" i="20" s="1"/>
  <c r="AZ115" i="20" a="1"/>
  <c r="AZ115" i="20" s="1"/>
  <c r="AZ112" i="20" a="1"/>
  <c r="AZ112" i="20" s="1"/>
  <c r="AZ111" i="20" a="1"/>
  <c r="AZ111" i="20" s="1"/>
  <c r="AZ110" i="20" a="1"/>
  <c r="AZ110" i="20" s="1"/>
  <c r="AZ106" i="20" a="1"/>
  <c r="AZ106" i="20" s="1"/>
  <c r="AZ105" i="20" a="1"/>
  <c r="AZ105" i="20" s="1"/>
  <c r="AZ144" i="20" a="1"/>
  <c r="AZ144" i="20" s="1"/>
  <c r="AZ103" i="20" a="1"/>
  <c r="AZ103" i="20" s="1"/>
  <c r="AZ102" i="20" a="1"/>
  <c r="AZ102" i="20" s="1"/>
  <c r="AZ101" i="20" a="1"/>
  <c r="AZ101" i="20" s="1"/>
  <c r="AZ97" i="20" a="1"/>
  <c r="AZ97" i="20" s="1"/>
  <c r="AZ96" i="20" a="1"/>
  <c r="AZ96" i="20" s="1"/>
  <c r="AZ95" i="20" a="1"/>
  <c r="AZ95" i="20" s="1"/>
  <c r="AZ94" i="20" a="1"/>
  <c r="AZ94" i="20" s="1"/>
  <c r="AZ93" i="20" a="1"/>
  <c r="AZ93" i="20" s="1"/>
  <c r="AZ92" i="20" a="1"/>
  <c r="AZ92" i="20" s="1"/>
  <c r="AZ91" i="20" a="1"/>
  <c r="AZ91" i="20" s="1"/>
  <c r="AZ90" i="20" a="1"/>
  <c r="AZ90" i="20" s="1"/>
  <c r="AZ89" i="20" a="1"/>
  <c r="AZ89" i="20" s="1"/>
  <c r="AZ104" i="20" a="1"/>
  <c r="AZ104" i="20" s="1"/>
  <c r="AZ87" i="20" a="1"/>
  <c r="AZ87" i="20" s="1"/>
  <c r="AZ88" i="20" a="1"/>
  <c r="AZ88" i="20" s="1"/>
  <c r="AZ83" i="20" a="1"/>
  <c r="AZ83" i="20" s="1"/>
  <c r="AZ82" i="20" a="1"/>
  <c r="AZ82" i="20" s="1"/>
  <c r="AZ81" i="20" a="1"/>
  <c r="AZ81" i="20" s="1"/>
  <c r="AZ80" i="20" a="1"/>
  <c r="AZ80" i="20" s="1"/>
  <c r="AZ79" i="20" a="1"/>
  <c r="AZ79" i="20" s="1"/>
  <c r="AZ78" i="20" a="1"/>
  <c r="AZ78" i="20" s="1"/>
  <c r="AZ77" i="20" a="1"/>
  <c r="AZ77" i="20" s="1"/>
  <c r="AZ76" i="20" a="1"/>
  <c r="AZ76" i="20" s="1"/>
  <c r="AZ75" i="20" a="1"/>
  <c r="AZ75" i="20" s="1"/>
  <c r="AZ74" i="20" a="1"/>
  <c r="AZ74" i="20" s="1"/>
  <c r="AZ73" i="20" a="1"/>
  <c r="AZ73" i="20" s="1"/>
  <c r="AZ72" i="20" a="1"/>
  <c r="AZ72" i="20" s="1"/>
  <c r="AZ71" i="20" a="1"/>
  <c r="AZ71" i="20" s="1"/>
  <c r="AZ68" i="20" a="1"/>
  <c r="AZ68" i="20" s="1"/>
  <c r="AZ66" i="20" a="1"/>
  <c r="AZ66" i="20" s="1"/>
  <c r="AZ65" i="20" a="1"/>
  <c r="AZ65" i="20" s="1"/>
  <c r="AZ64" i="20" a="1"/>
  <c r="AZ64" i="20" s="1"/>
  <c r="AZ61" i="20" a="1"/>
  <c r="AZ61" i="20" s="1"/>
  <c r="AZ59" i="20" a="1"/>
  <c r="AZ59" i="20" s="1"/>
  <c r="AZ58" i="20" a="1"/>
  <c r="AZ58" i="20" s="1"/>
  <c r="AZ57" i="20" a="1"/>
  <c r="AZ57" i="20" s="1"/>
  <c r="AZ56" i="20" a="1"/>
  <c r="AZ56" i="20" s="1"/>
  <c r="AZ55" i="20" a="1"/>
  <c r="AZ55" i="20" s="1"/>
  <c r="AZ54" i="20" a="1"/>
  <c r="AZ54" i="20" s="1"/>
  <c r="AZ53" i="20" a="1"/>
  <c r="AZ53" i="20" s="1"/>
  <c r="AZ50" i="20" a="1"/>
  <c r="AZ50" i="20" s="1"/>
  <c r="AZ48" i="20" a="1"/>
  <c r="AZ48" i="20" s="1"/>
  <c r="AZ47" i="20" a="1"/>
  <c r="AZ47" i="20" s="1"/>
  <c r="AZ46" i="20" a="1"/>
  <c r="AZ46" i="20" s="1"/>
  <c r="AZ45" i="20" a="1"/>
  <c r="AZ45" i="20" s="1"/>
  <c r="AZ44" i="20" a="1"/>
  <c r="AZ44" i="20" s="1"/>
  <c r="AZ43" i="20" a="1"/>
  <c r="AZ43" i="20" s="1"/>
  <c r="AZ42" i="20" a="1"/>
  <c r="AZ42" i="20" s="1"/>
  <c r="AZ41" i="20" a="1"/>
  <c r="AZ41" i="20" s="1"/>
  <c r="AZ35" i="20" a="1"/>
  <c r="AZ35" i="20" s="1"/>
  <c r="AZ34" i="20" a="1"/>
  <c r="AZ34" i="20" s="1"/>
  <c r="AZ33" i="20" a="1"/>
  <c r="AZ33" i="20" s="1"/>
  <c r="AZ32" i="20" a="1"/>
  <c r="AZ32" i="20" s="1"/>
  <c r="AZ38" i="20" a="1"/>
  <c r="AZ38" i="20" s="1"/>
  <c r="AZ36" i="20" a="1"/>
  <c r="AZ36" i="20" s="1"/>
  <c r="AZ29" i="20" a="1"/>
  <c r="AZ29" i="20" s="1"/>
  <c r="AZ27" i="20" a="1"/>
  <c r="AZ27" i="20" s="1"/>
  <c r="AZ23" i="20" a="1"/>
  <c r="AZ23" i="20" s="1"/>
  <c r="AZ19" i="20" a="1"/>
  <c r="AZ19" i="20" s="1"/>
  <c r="AZ13" i="20" a="1"/>
  <c r="AZ13" i="20" s="1"/>
  <c r="AZ20" i="20" a="1"/>
  <c r="AZ20" i="20" s="1"/>
  <c r="AZ26" i="20" a="1"/>
  <c r="AZ26" i="20" s="1"/>
  <c r="AZ22" i="20" a="1"/>
  <c r="AZ22" i="20" s="1"/>
  <c r="AZ16" i="20" a="1"/>
  <c r="AZ16" i="20" s="1"/>
  <c r="AZ12" i="20" a="1"/>
  <c r="AZ12" i="20" s="1"/>
  <c r="AZ25" i="20" a="1"/>
  <c r="AZ25" i="20" s="1"/>
  <c r="AZ21" i="20" a="1"/>
  <c r="AZ21" i="20" s="1"/>
  <c r="AZ24" i="20" a="1"/>
  <c r="AZ24" i="20" s="1"/>
  <c r="AY153" i="30"/>
  <c r="AX50" i="30"/>
  <c r="AX52" i="30"/>
  <c r="AG15" i="20"/>
  <c r="AF56" i="33"/>
  <c r="AZ83" i="9"/>
  <c r="AZ102" i="9"/>
  <c r="AZ121" i="9"/>
  <c r="AZ254" i="9"/>
  <c r="AZ273" i="9"/>
  <c r="AZ406" i="9"/>
  <c r="AZ140" i="9"/>
  <c r="AZ159" i="9"/>
  <c r="AZ292" i="9"/>
  <c r="AZ311" i="9"/>
  <c r="AZ64" i="9"/>
  <c r="AZ178" i="9"/>
  <c r="AZ197" i="9"/>
  <c r="AZ216" i="9"/>
  <c r="AZ235" i="9"/>
  <c r="AZ330" i="9"/>
  <c r="AZ349" i="9"/>
  <c r="AZ368" i="9"/>
  <c r="AZ387" i="9"/>
  <c r="AZ425" i="9"/>
  <c r="BV64" i="9"/>
  <c r="BV102" i="9"/>
  <c r="BV159" i="9"/>
  <c r="BV197" i="9"/>
  <c r="BV235" i="9"/>
  <c r="BV273" i="9"/>
  <c r="BV311" i="9"/>
  <c r="BV349" i="9"/>
  <c r="BV387" i="9"/>
  <c r="BV254" i="9"/>
  <c r="BV406" i="9"/>
  <c r="BV83" i="9"/>
  <c r="BV121" i="9"/>
  <c r="BV140" i="9"/>
  <c r="BV292" i="9"/>
  <c r="BV425" i="9"/>
  <c r="BV178" i="9"/>
  <c r="BV216" i="9"/>
  <c r="BV330" i="9"/>
  <c r="BV368" i="9"/>
  <c r="AW804" i="9"/>
  <c r="AX833" i="9"/>
  <c r="AX843" i="9"/>
  <c r="AX841" i="9"/>
  <c r="AX846" i="9"/>
  <c r="AX768" i="9"/>
  <c r="AX791" i="9" s="1"/>
  <c r="AX864" i="9" s="1"/>
  <c r="AX760" i="9"/>
  <c r="AX783" i="9" s="1"/>
  <c r="AX856" i="9" s="1"/>
  <c r="AX234" i="3"/>
  <c r="AX235" i="3"/>
  <c r="AX242" i="3"/>
  <c r="AX237" i="3"/>
  <c r="AX250" i="3"/>
  <c r="AX247" i="3"/>
  <c r="AX770" i="9"/>
  <c r="AX793" i="9" s="1"/>
  <c r="AX816" i="9" s="1"/>
  <c r="AX724" i="9"/>
  <c r="AX246" i="3"/>
  <c r="AX243" i="3"/>
  <c r="AX248" i="3"/>
  <c r="AX245" i="3"/>
  <c r="AX722" i="9"/>
  <c r="AX244" i="3"/>
  <c r="AX714" i="9"/>
  <c r="AX236" i="3"/>
  <c r="AX239" i="3"/>
  <c r="AX727" i="9"/>
  <c r="AX249" i="3"/>
  <c r="AX240" i="3"/>
  <c r="AX238" i="3"/>
  <c r="AX241" i="3"/>
  <c r="AX866" i="9"/>
  <c r="AX756" i="9"/>
  <c r="AX779" i="9" s="1"/>
  <c r="AX802" i="9" s="1"/>
  <c r="AX829" i="9"/>
  <c r="AG197" i="1"/>
  <c r="AZ183" i="26"/>
  <c r="AZ179" i="26"/>
  <c r="AZ178" i="26"/>
  <c r="AZ184" i="26"/>
  <c r="AZ188" i="26"/>
  <c r="AZ190" i="26"/>
  <c r="AZ185" i="26"/>
  <c r="AZ180" i="26"/>
  <c r="AZ191" i="26"/>
  <c r="AZ186" i="26"/>
  <c r="AZ181" i="26"/>
  <c r="AZ192" i="26"/>
  <c r="AZ187" i="26"/>
  <c r="AZ182" i="26"/>
  <c r="AZ189" i="26"/>
  <c r="BV182" i="26"/>
  <c r="BV196" i="26" s="1"/>
  <c r="BV297" i="26" s="1"/>
  <c r="BV179" i="26"/>
  <c r="BV188" i="26"/>
  <c r="BV185" i="26"/>
  <c r="BV181" i="26"/>
  <c r="BV195" i="26" s="1"/>
  <c r="BV296" i="26" s="1"/>
  <c r="BV179" i="1" s="1"/>
  <c r="BV179" i="20" s="1"/>
  <c r="BV183" i="26"/>
  <c r="BV189" i="26"/>
  <c r="BV186" i="26"/>
  <c r="BV184" i="26"/>
  <c r="BV180" i="26"/>
  <c r="BV194" i="26" s="1"/>
  <c r="BV295" i="26" s="1"/>
  <c r="BV178" i="26"/>
  <c r="BV197" i="26" s="1"/>
  <c r="BV298" i="26" s="1"/>
  <c r="BV190" i="26"/>
  <c r="BV187" i="26"/>
  <c r="BV192" i="26"/>
  <c r="AY71" i="26"/>
  <c r="AY205" i="26"/>
  <c r="BS299" i="26"/>
  <c r="BT208" i="26"/>
  <c r="BT174" i="26"/>
  <c r="BU198" i="26"/>
  <c r="BU294" i="26"/>
  <c r="BU178" i="1" s="1"/>
  <c r="BU150" i="26"/>
  <c r="BU180" i="30" s="1"/>
  <c r="BU72" i="33" s="1"/>
  <c r="BV66" i="26"/>
  <c r="BV67" i="26"/>
  <c r="BV62" i="26"/>
  <c r="BV144" i="26"/>
  <c r="BV56" i="26"/>
  <c r="BV61" i="26"/>
  <c r="BV91" i="26"/>
  <c r="BV87" i="26"/>
  <c r="BV83" i="26"/>
  <c r="BV118" i="26"/>
  <c r="BV114" i="26"/>
  <c r="BV110" i="26"/>
  <c r="BV106" i="26"/>
  <c r="BV137" i="26"/>
  <c r="BV133" i="26"/>
  <c r="BV147" i="26" s="1"/>
  <c r="BV168" i="26"/>
  <c r="BV164" i="26"/>
  <c r="BV160" i="26"/>
  <c r="BV156" i="26"/>
  <c r="BV170" i="26" s="1"/>
  <c r="BV222" i="26" s="1"/>
  <c r="BT206" i="26"/>
  <c r="BT97" i="26"/>
  <c r="BT221" i="6" s="1"/>
  <c r="BT123" i="26"/>
  <c r="BT267" i="26" s="1"/>
  <c r="BT221" i="26"/>
  <c r="BT180" i="1"/>
  <c r="BT180" i="20" s="1"/>
  <c r="BT247" i="26"/>
  <c r="BU208" i="26"/>
  <c r="BU174" i="26"/>
  <c r="BV58" i="26"/>
  <c r="BV59" i="26"/>
  <c r="BV54" i="26"/>
  <c r="BV140" i="26"/>
  <c r="BV79" i="26"/>
  <c r="BV95" i="26" s="1"/>
  <c r="BV57" i="26"/>
  <c r="BV90" i="26"/>
  <c r="BV86" i="26"/>
  <c r="BV82" i="26"/>
  <c r="BV117" i="26"/>
  <c r="BV113" i="26"/>
  <c r="BV109" i="26"/>
  <c r="BV105" i="26"/>
  <c r="BV136" i="26"/>
  <c r="BV132" i="26"/>
  <c r="BV146" i="26" s="1"/>
  <c r="BV167" i="26"/>
  <c r="BV163" i="26"/>
  <c r="BV159" i="26"/>
  <c r="BV154" i="26"/>
  <c r="BV173" i="26" s="1"/>
  <c r="BV268" i="26" s="1"/>
  <c r="BT233" i="26"/>
  <c r="BT71" i="26"/>
  <c r="BT259" i="26" s="1"/>
  <c r="BT198" i="26"/>
  <c r="BT294" i="26"/>
  <c r="BT178" i="1" s="1"/>
  <c r="BU221" i="26"/>
  <c r="BU123" i="26"/>
  <c r="BU267" i="26" s="1"/>
  <c r="BU180" i="1"/>
  <c r="BU180" i="20" s="1"/>
  <c r="BU247" i="26"/>
  <c r="BV143" i="26"/>
  <c r="BV142" i="26"/>
  <c r="BV63" i="26"/>
  <c r="BV64" i="26"/>
  <c r="BV78" i="26"/>
  <c r="BV93" i="26" s="1"/>
  <c r="BV53" i="26"/>
  <c r="BV70" i="26" s="1"/>
  <c r="BV89" i="26"/>
  <c r="BV85" i="26"/>
  <c r="BV81" i="26"/>
  <c r="BV116" i="26"/>
  <c r="BV112" i="26"/>
  <c r="BV108" i="26"/>
  <c r="BV104" i="26"/>
  <c r="BV120" i="26" s="1"/>
  <c r="BV135" i="26"/>
  <c r="BV131" i="26"/>
  <c r="BV166" i="26"/>
  <c r="BV162" i="26"/>
  <c r="BV158" i="26"/>
  <c r="BV172" i="26" s="1"/>
  <c r="BV236" i="26" s="1"/>
  <c r="BT150" i="26"/>
  <c r="BT180" i="30" s="1"/>
  <c r="BT72" i="33" s="1"/>
  <c r="BU233" i="26"/>
  <c r="BU71" i="26"/>
  <c r="BU259" i="26" s="1"/>
  <c r="BU206" i="26"/>
  <c r="BU97" i="26"/>
  <c r="BU221" i="6" s="1"/>
  <c r="BV155" i="26"/>
  <c r="BV169" i="26" s="1"/>
  <c r="BV139" i="26"/>
  <c r="BV141" i="26"/>
  <c r="BV55" i="26"/>
  <c r="BV60" i="26"/>
  <c r="BV65" i="26"/>
  <c r="BV92" i="26"/>
  <c r="BV88" i="26"/>
  <c r="BV84" i="26"/>
  <c r="BV80" i="26"/>
  <c r="BV115" i="26"/>
  <c r="BV111" i="26"/>
  <c r="BV107" i="26"/>
  <c r="BV138" i="26"/>
  <c r="BV134" i="26"/>
  <c r="BV148" i="26" s="1"/>
  <c r="BV130" i="26"/>
  <c r="BV149" i="26" s="1"/>
  <c r="BV165" i="26"/>
  <c r="BV161" i="26"/>
  <c r="BV157" i="26"/>
  <c r="BV171" i="26" s="1"/>
  <c r="BV249" i="26" s="1"/>
  <c r="AX130" i="30"/>
  <c r="AG147" i="30"/>
  <c r="AF22" i="30"/>
  <c r="AG49" i="30"/>
  <c r="AG195" i="20"/>
  <c r="AF197" i="20"/>
  <c r="BU99" i="3"/>
  <c r="BU108" i="3"/>
  <c r="BT128" i="3"/>
  <c r="BT120" i="3"/>
  <c r="BU107" i="3"/>
  <c r="BT126" i="3"/>
  <c r="BU98" i="3"/>
  <c r="BT127" i="3"/>
  <c r="BU95" i="3"/>
  <c r="BU102" i="3"/>
  <c r="BU111" i="3"/>
  <c r="BU96" i="3"/>
  <c r="BU110" i="3"/>
  <c r="BA43" i="3"/>
  <c r="AX710" i="9"/>
  <c r="BU112" i="3"/>
  <c r="BV60" i="3"/>
  <c r="BU129" i="3" s="1"/>
  <c r="BV43" i="3"/>
  <c r="BU93" i="3"/>
  <c r="BU94" i="3"/>
  <c r="BT124" i="3"/>
  <c r="BT123" i="3"/>
  <c r="BU109" i="3"/>
  <c r="BT129" i="3"/>
  <c r="AY97" i="26"/>
  <c r="AY198" i="26"/>
  <c r="AZ141" i="26"/>
  <c r="AZ58" i="26"/>
  <c r="AH84" i="1"/>
  <c r="AH151" i="1"/>
  <c r="AH67" i="1"/>
  <c r="AG41" i="6"/>
  <c r="AG51" i="30"/>
  <c r="AH34" i="30"/>
  <c r="AH107" i="1"/>
  <c r="AH42" i="30"/>
  <c r="AH15" i="1"/>
  <c r="AH117" i="1"/>
  <c r="AH39" i="30"/>
  <c r="AH37" i="1"/>
  <c r="AH152" i="30"/>
  <c r="AH59" i="33" s="1"/>
  <c r="AG22" i="30"/>
  <c r="AG197" i="20"/>
  <c r="AX154" i="6"/>
  <c r="AX98" i="30" s="1"/>
  <c r="AX187" i="30" s="1"/>
  <c r="BV59" i="3"/>
  <c r="BU128" i="3" s="1"/>
  <c r="BV65" i="3"/>
  <c r="BU134" i="3" s="1"/>
  <c r="BV49" i="3"/>
  <c r="BU118" i="3" s="1"/>
  <c r="BV52" i="3"/>
  <c r="BV98" i="3" s="1"/>
  <c r="BV56" i="3"/>
  <c r="BU125" i="3" s="1"/>
  <c r="BW5" i="38"/>
  <c r="BV47" i="3"/>
  <c r="BU116" i="3" s="1"/>
  <c r="BV57" i="3"/>
  <c r="BU126" i="3" s="1"/>
  <c r="BV66" i="3"/>
  <c r="BU135" i="3" s="1"/>
  <c r="BV63" i="3"/>
  <c r="BU132" i="3" s="1"/>
  <c r="BV48" i="3"/>
  <c r="BU117" i="3" s="1"/>
  <c r="BV62" i="3"/>
  <c r="BV108" i="3" s="1"/>
  <c r="BV61" i="3"/>
  <c r="BU130" i="3" s="1"/>
  <c r="BV54" i="3"/>
  <c r="BV100" i="3" s="1"/>
  <c r="BV55" i="3"/>
  <c r="BU124" i="3" s="1"/>
  <c r="BV51" i="3"/>
  <c r="BU120" i="3" s="1"/>
  <c r="BV58" i="3"/>
  <c r="BU127" i="3" s="1"/>
  <c r="BV50" i="3"/>
  <c r="BU119" i="3" s="1"/>
  <c r="BV53" i="3"/>
  <c r="BU122" i="3" s="1"/>
  <c r="BV64" i="3"/>
  <c r="BV110" i="3" s="1"/>
  <c r="AZ85" i="26"/>
  <c r="AZ139" i="26"/>
  <c r="AZ108" i="26"/>
  <c r="AZ110" i="26"/>
  <c r="AZ196" i="26"/>
  <c r="AZ92" i="26"/>
  <c r="AZ64" i="26"/>
  <c r="AZ134" i="26"/>
  <c r="AZ142" i="26"/>
  <c r="AZ79" i="26"/>
  <c r="AZ55" i="26"/>
  <c r="AZ90" i="26"/>
  <c r="AZ62" i="26"/>
  <c r="AZ117" i="26"/>
  <c r="AZ113" i="26"/>
  <c r="AZ83" i="26"/>
  <c r="AZ81" i="26"/>
  <c r="AZ87" i="26"/>
  <c r="AZ84" i="26"/>
  <c r="AZ61" i="26"/>
  <c r="AZ60" i="26"/>
  <c r="AZ53" i="26"/>
  <c r="AZ54" i="26"/>
  <c r="AZ114" i="26"/>
  <c r="AZ136" i="26"/>
  <c r="AZ138" i="26"/>
  <c r="AZ109" i="26"/>
  <c r="AZ140" i="26"/>
  <c r="AZ106" i="26"/>
  <c r="AZ144" i="26"/>
  <c r="AZ91" i="26"/>
  <c r="AZ89" i="26"/>
  <c r="AZ86" i="26"/>
  <c r="AZ67" i="26"/>
  <c r="AZ63" i="26"/>
  <c r="AZ66" i="26"/>
  <c r="AZ116" i="26"/>
  <c r="AZ130" i="26"/>
  <c r="AZ111" i="26"/>
  <c r="AZ135" i="26"/>
  <c r="AZ115" i="26"/>
  <c r="AZ105" i="26"/>
  <c r="AZ131" i="26"/>
  <c r="AZ78" i="26"/>
  <c r="AZ82" i="26"/>
  <c r="AZ80" i="26"/>
  <c r="AZ88" i="26"/>
  <c r="AZ65" i="26"/>
  <c r="AZ59" i="26"/>
  <c r="AZ57" i="26"/>
  <c r="AZ56" i="26"/>
  <c r="AZ112" i="26"/>
  <c r="AZ107" i="26"/>
  <c r="AZ118" i="26"/>
  <c r="AZ137" i="26"/>
  <c r="AZ133" i="26"/>
  <c r="AZ143" i="26"/>
  <c r="AZ104" i="26"/>
  <c r="AZ132" i="26"/>
  <c r="BU4" i="38"/>
  <c r="BU16" i="3"/>
  <c r="BU18" i="3" s="1"/>
  <c r="BU20" i="3"/>
  <c r="AZ154" i="26"/>
  <c r="AZ159" i="26"/>
  <c r="AZ167" i="26"/>
  <c r="AZ166" i="26"/>
  <c r="AZ162" i="26"/>
  <c r="AZ155" i="26"/>
  <c r="AZ161" i="26"/>
  <c r="AZ168" i="26"/>
  <c r="AZ160" i="26"/>
  <c r="AZ156" i="26"/>
  <c r="AZ163" i="26"/>
  <c r="AZ158" i="26"/>
  <c r="AZ164" i="26"/>
  <c r="AZ157" i="26"/>
  <c r="AZ165" i="26"/>
  <c r="AY174" i="26"/>
  <c r="AY208" i="26"/>
  <c r="AY150" i="26"/>
  <c r="BU4" i="35"/>
  <c r="AY207" i="26"/>
  <c r="AY123" i="26"/>
  <c r="AX277" i="3"/>
  <c r="BW5" i="33"/>
  <c r="BW5" i="35"/>
  <c r="AY294" i="26"/>
  <c r="AZ441" i="9"/>
  <c r="BD449" i="9"/>
  <c r="AX434" i="9"/>
  <c r="BD442" i="9"/>
  <c r="BD437" i="9"/>
  <c r="AY439" i="9"/>
  <c r="BE443" i="9"/>
  <c r="BD519" i="9"/>
  <c r="BD1010" i="9"/>
  <c r="BD444" i="9"/>
  <c r="BD415" i="9"/>
  <c r="BE409" i="9" s="1"/>
  <c r="BE413" i="9" s="1"/>
  <c r="BA517" i="9"/>
  <c r="BD514" i="9"/>
  <c r="BD507" i="9"/>
  <c r="BD516" i="9"/>
  <c r="BD509" i="9"/>
  <c r="BD502" i="9"/>
  <c r="BD92" i="9"/>
  <c r="BE86" i="9" s="1"/>
  <c r="BE90" i="9" s="1"/>
  <c r="BE1003" i="9"/>
  <c r="BD505" i="9"/>
  <c r="BE143" i="9"/>
  <c r="BE147" i="9" s="1"/>
  <c r="BD149" i="9"/>
  <c r="BD225" i="9"/>
  <c r="BE219" i="9" s="1"/>
  <c r="BE223" i="9" s="1"/>
  <c r="BU22" i="3"/>
  <c r="BU26" i="3" s="1"/>
  <c r="BU4" i="33"/>
  <c r="BU4" i="6"/>
  <c r="BU4" i="12"/>
  <c r="BT26" i="3"/>
  <c r="BT28" i="3"/>
  <c r="BW5" i="32"/>
  <c r="BW5" i="30"/>
  <c r="BU4" i="28"/>
  <c r="BU4" i="32"/>
  <c r="BU4" i="30"/>
  <c r="BD995" i="9"/>
  <c r="BD435" i="9"/>
  <c r="BD1006" i="9"/>
  <c r="BD446" i="9"/>
  <c r="BD1009" i="9"/>
  <c r="BD1004" i="9"/>
  <c r="BD1002" i="9"/>
  <c r="BA377" i="9"/>
  <c r="BD997" i="9"/>
  <c r="AY67" i="9"/>
  <c r="AY71" i="9" s="1"/>
  <c r="AY999" i="9"/>
  <c r="AX994" i="9"/>
  <c r="AZ1001" i="9"/>
  <c r="BU4" i="1"/>
  <c r="BU4" i="16"/>
  <c r="BU4" i="20"/>
  <c r="BU4" i="4"/>
  <c r="BU4" i="9"/>
  <c r="BU4" i="11"/>
  <c r="BU4" i="22"/>
  <c r="BU4" i="26"/>
  <c r="BD358" i="9"/>
  <c r="BE352" i="9" s="1"/>
  <c r="BE356" i="9" s="1"/>
  <c r="AZ86" i="3"/>
  <c r="AY132" i="3"/>
  <c r="AZ76" i="3"/>
  <c r="AY122" i="3"/>
  <c r="BV155" i="3"/>
  <c r="BV178" i="3" s="1"/>
  <c r="BV144" i="3"/>
  <c r="BV167" i="3" s="1"/>
  <c r="BV148" i="3"/>
  <c r="BV171" i="3" s="1"/>
  <c r="BV145" i="3"/>
  <c r="BV168" i="3" s="1"/>
  <c r="BV153" i="3"/>
  <c r="BV176" i="3" s="1"/>
  <c r="BV149" i="3"/>
  <c r="BV172" i="3" s="1"/>
  <c r="BV156" i="3"/>
  <c r="BV179" i="3" s="1"/>
  <c r="BV151" i="3"/>
  <c r="BV174" i="3" s="1"/>
  <c r="BV158" i="3"/>
  <c r="BV181" i="3" s="1"/>
  <c r="BV152" i="3"/>
  <c r="BV175" i="3" s="1"/>
  <c r="BV147" i="3"/>
  <c r="BV170" i="3" s="1"/>
  <c r="BV150" i="3"/>
  <c r="BV173" i="3" s="1"/>
  <c r="BV141" i="3"/>
  <c r="BV164" i="3" s="1"/>
  <c r="BV157" i="3"/>
  <c r="BV180" i="3" s="1"/>
  <c r="BV146" i="3"/>
  <c r="BV169" i="3" s="1"/>
  <c r="BV139" i="3"/>
  <c r="BV162" i="3" s="1"/>
  <c r="BV143" i="3"/>
  <c r="BV166" i="3" s="1"/>
  <c r="BV154" i="3"/>
  <c r="BV177" i="3" s="1"/>
  <c r="BV142" i="3"/>
  <c r="BV165" i="3" s="1"/>
  <c r="BV140" i="3"/>
  <c r="BV163" i="3" s="1"/>
  <c r="AZ85" i="3"/>
  <c r="AY131" i="3"/>
  <c r="AZ73" i="3"/>
  <c r="AY119" i="3"/>
  <c r="AZ81" i="3"/>
  <c r="AY127" i="3"/>
  <c r="AZ87" i="3"/>
  <c r="AY133" i="3"/>
  <c r="AZ83" i="3"/>
  <c r="AY129" i="3"/>
  <c r="BA152" i="3"/>
  <c r="BA139" i="3"/>
  <c r="BA149" i="3"/>
  <c r="BA151" i="3"/>
  <c r="AZ77" i="3"/>
  <c r="AY123" i="3"/>
  <c r="AZ89" i="3"/>
  <c r="AY135" i="3"/>
  <c r="BA147" i="3"/>
  <c r="BA157" i="3"/>
  <c r="BA144" i="3"/>
  <c r="BA153" i="3"/>
  <c r="BA143" i="3"/>
  <c r="AZ74" i="3"/>
  <c r="AY120" i="3"/>
  <c r="AZ80" i="3"/>
  <c r="AY126" i="3"/>
  <c r="AZ70" i="3"/>
  <c r="AY116" i="3"/>
  <c r="AZ75" i="3"/>
  <c r="AY121" i="3"/>
  <c r="AZ79" i="3"/>
  <c r="AY125" i="3"/>
  <c r="AZ82" i="3"/>
  <c r="AY128" i="3"/>
  <c r="AZ78" i="3"/>
  <c r="AY124" i="3"/>
  <c r="AZ72" i="3"/>
  <c r="AY118" i="3"/>
  <c r="AZ84" i="3"/>
  <c r="AY130" i="3"/>
  <c r="AZ88" i="3"/>
  <c r="AY134" i="3"/>
  <c r="BA145" i="3"/>
  <c r="BA148" i="3"/>
  <c r="BA154" i="3"/>
  <c r="BA142" i="3"/>
  <c r="BA155" i="3"/>
  <c r="BA156" i="3"/>
  <c r="AZ71" i="3"/>
  <c r="AY117" i="3"/>
  <c r="BA158" i="3"/>
  <c r="BA146" i="3"/>
  <c r="BA141" i="3"/>
  <c r="BA150" i="3"/>
  <c r="BA140" i="3"/>
  <c r="BV20" i="3"/>
  <c r="BA5" i="3"/>
  <c r="BD187" i="9"/>
  <c r="BE181" i="9"/>
  <c r="BE185" i="9" s="1"/>
  <c r="BD320" i="9"/>
  <c r="BE314" i="9" s="1"/>
  <c r="BE318" i="9" s="1"/>
  <c r="AX168" i="20"/>
  <c r="AY179" i="20"/>
  <c r="BW5" i="26"/>
  <c r="BW192" i="26" s="1"/>
  <c r="BW5" i="28"/>
  <c r="AZ219" i="26"/>
  <c r="AZ94" i="26"/>
  <c r="AZ220" i="26" s="1"/>
  <c r="AZ121" i="26"/>
  <c r="AZ119" i="26"/>
  <c r="BA12" i="3"/>
  <c r="BA3" i="3" s="1"/>
  <c r="BA24" i="3"/>
  <c r="BW5" i="22"/>
  <c r="BW5" i="20"/>
  <c r="BB8" i="3"/>
  <c r="AZ101" i="3"/>
  <c r="AZ95" i="3"/>
  <c r="AZ107" i="3"/>
  <c r="AZ111" i="3"/>
  <c r="AZ109" i="3"/>
  <c r="AZ97" i="3"/>
  <c r="AZ94" i="3"/>
  <c r="AZ99" i="3"/>
  <c r="AZ103" i="3"/>
  <c r="AZ108" i="3"/>
  <c r="AZ96" i="3"/>
  <c r="AZ104" i="3"/>
  <c r="AZ110" i="3"/>
  <c r="AZ106" i="3"/>
  <c r="BW5" i="16"/>
  <c r="BW5" i="12"/>
  <c r="BW5" i="11"/>
  <c r="BW5" i="9"/>
  <c r="BA4" i="38"/>
  <c r="AZ100" i="3"/>
  <c r="AZ93" i="3"/>
  <c r="AZ112" i="3"/>
  <c r="AZ98" i="3"/>
  <c r="AZ102" i="3"/>
  <c r="AZ105" i="3"/>
  <c r="BW5" i="1"/>
  <c r="BW5" i="4"/>
  <c r="BW5" i="6"/>
  <c r="BV145" i="26" l="1"/>
  <c r="BV193" i="26"/>
  <c r="AX64" i="33"/>
  <c r="AX74" i="33"/>
  <c r="AX745" i="9"/>
  <c r="AX737" i="9"/>
  <c r="AX750" i="9"/>
  <c r="AX747" i="9"/>
  <c r="AX689" i="9"/>
  <c r="AX758" i="9" s="1"/>
  <c r="AX781" i="9" s="1"/>
  <c r="AX854" i="9" s="1"/>
  <c r="AX733" i="9"/>
  <c r="AZ172" i="26"/>
  <c r="AZ120" i="26"/>
  <c r="AZ123" i="26" s="1"/>
  <c r="AZ267" i="26" s="1"/>
  <c r="AZ70" i="26"/>
  <c r="AZ95" i="26"/>
  <c r="AZ247" i="26" s="1"/>
  <c r="AZ234" i="26"/>
  <c r="AZ297" i="26"/>
  <c r="AZ147" i="26"/>
  <c r="AZ235" i="26"/>
  <c r="AZ148" i="26"/>
  <c r="AX34" i="6"/>
  <c r="AX69" i="30" s="1"/>
  <c r="AY257" i="26"/>
  <c r="AZ171" i="26"/>
  <c r="AZ248" i="26"/>
  <c r="AY178" i="1"/>
  <c r="AY183" i="1" s="1"/>
  <c r="AZ195" i="26"/>
  <c r="AY180" i="30"/>
  <c r="AY72" i="33" s="1"/>
  <c r="AZ194" i="26"/>
  <c r="AY259" i="26"/>
  <c r="AY267" i="26"/>
  <c r="AZ170" i="26"/>
  <c r="AY221" i="6"/>
  <c r="AY223" i="6" s="1"/>
  <c r="AY130" i="30" s="1"/>
  <c r="AZ146" i="26"/>
  <c r="AH15" i="20"/>
  <c r="BA3" i="38"/>
  <c r="BA39" i="3"/>
  <c r="BS178" i="20"/>
  <c r="BS50" i="30" s="1"/>
  <c r="AG56" i="33"/>
  <c r="BA346" i="3"/>
  <c r="BA347" i="3"/>
  <c r="AX819" i="9"/>
  <c r="BW83" i="9"/>
  <c r="BW102" i="9"/>
  <c r="BW121" i="9"/>
  <c r="BW140" i="9"/>
  <c r="BW273" i="9"/>
  <c r="BW292" i="9"/>
  <c r="BW159" i="9"/>
  <c r="BW178" i="9"/>
  <c r="BW311" i="9"/>
  <c r="BW330" i="9"/>
  <c r="BW64" i="9"/>
  <c r="BW197" i="9"/>
  <c r="BW235" i="9"/>
  <c r="BW254" i="9"/>
  <c r="BW349" i="9"/>
  <c r="BW368" i="9"/>
  <c r="BW387" i="9"/>
  <c r="BW406" i="9"/>
  <c r="BW216" i="9"/>
  <c r="BW425" i="9"/>
  <c r="AX814" i="9"/>
  <c r="AX806" i="9"/>
  <c r="AY704" i="9"/>
  <c r="AY691" i="9"/>
  <c r="AY272" i="3"/>
  <c r="AY295" i="3" s="1"/>
  <c r="AY226" i="3"/>
  <c r="AY266" i="3"/>
  <c r="AY289" i="3" s="1"/>
  <c r="AY220" i="3"/>
  <c r="AY259" i="3"/>
  <c r="AY282" i="3" s="1"/>
  <c r="AY213" i="3"/>
  <c r="AY264" i="3"/>
  <c r="AY287" i="3" s="1"/>
  <c r="AY218" i="3"/>
  <c r="AY273" i="3"/>
  <c r="AY296" i="3" s="1"/>
  <c r="AY227" i="3"/>
  <c r="AY267" i="3"/>
  <c r="AY290" i="3" s="1"/>
  <c r="AY221" i="3"/>
  <c r="AY219" i="3"/>
  <c r="AY265" i="3"/>
  <c r="AY288" i="3" s="1"/>
  <c r="AY223" i="3"/>
  <c r="AY269" i="3"/>
  <c r="AY292" i="3" s="1"/>
  <c r="AY270" i="3"/>
  <c r="AY293" i="3" s="1"/>
  <c r="AY224" i="3"/>
  <c r="AY699" i="9"/>
  <c r="AY701" i="9"/>
  <c r="AY268" i="3"/>
  <c r="AY291" i="3" s="1"/>
  <c r="AY222" i="3"/>
  <c r="AY216" i="3"/>
  <c r="AY262" i="3"/>
  <c r="AY285" i="3" s="1"/>
  <c r="AY263" i="3"/>
  <c r="AY286" i="3" s="1"/>
  <c r="AY217" i="3"/>
  <c r="AY258" i="3"/>
  <c r="AY281" i="3" s="1"/>
  <c r="AY212" i="3"/>
  <c r="AY261" i="3"/>
  <c r="AY284" i="3" s="1"/>
  <c r="AY215" i="3"/>
  <c r="AY225" i="3"/>
  <c r="AY271" i="3"/>
  <c r="AY294" i="3" s="1"/>
  <c r="AY257" i="3"/>
  <c r="AY280" i="3" s="1"/>
  <c r="AY211" i="3"/>
  <c r="AY260" i="3"/>
  <c r="AY283" i="3" s="1"/>
  <c r="AY214" i="3"/>
  <c r="AX852" i="9"/>
  <c r="AY256" i="3"/>
  <c r="AY279" i="3" s="1"/>
  <c r="AY210" i="3"/>
  <c r="AY233" i="3" s="1"/>
  <c r="AH197" i="1"/>
  <c r="BW178" i="26"/>
  <c r="BW185" i="26"/>
  <c r="BW191" i="26"/>
  <c r="BW180" i="26"/>
  <c r="BW194" i="26" s="1"/>
  <c r="BW295" i="26" s="1"/>
  <c r="BW189" i="26"/>
  <c r="BW179" i="26"/>
  <c r="BW193" i="26" s="1"/>
  <c r="BW190" i="26"/>
  <c r="BW187" i="26"/>
  <c r="BW182" i="26"/>
  <c r="BW188" i="26"/>
  <c r="BW183" i="26"/>
  <c r="BW184" i="26"/>
  <c r="BW181" i="26"/>
  <c r="BW195" i="26" s="1"/>
  <c r="BW296" i="26" s="1"/>
  <c r="BW179" i="1" s="1"/>
  <c r="BW179" i="20" s="1"/>
  <c r="BW186" i="26"/>
  <c r="CE131" i="26"/>
  <c r="CE130" i="26"/>
  <c r="CE79" i="26"/>
  <c r="CE78" i="26"/>
  <c r="CE53" i="26"/>
  <c r="CE104" i="26"/>
  <c r="BV233" i="26"/>
  <c r="BV71" i="26"/>
  <c r="BV259" i="26" s="1"/>
  <c r="BV180" i="1"/>
  <c r="BV180" i="20" s="1"/>
  <c r="BV247" i="26"/>
  <c r="BW59" i="26"/>
  <c r="BW64" i="26"/>
  <c r="BW134" i="26"/>
  <c r="BW148" i="26" s="1"/>
  <c r="BW157" i="26"/>
  <c r="BW171" i="26" s="1"/>
  <c r="BW249" i="26" s="1"/>
  <c r="BW197" i="26"/>
  <c r="BW298" i="26" s="1"/>
  <c r="BW53" i="26"/>
  <c r="BW70" i="26" s="1"/>
  <c r="BW89" i="26"/>
  <c r="BW85" i="26"/>
  <c r="BW81" i="26"/>
  <c r="BW62" i="26"/>
  <c r="BW143" i="26"/>
  <c r="BW139" i="26"/>
  <c r="BW167" i="26"/>
  <c r="BW117" i="26"/>
  <c r="BW113" i="26"/>
  <c r="BW109" i="26"/>
  <c r="BW105" i="26"/>
  <c r="BW131" i="26"/>
  <c r="BW162" i="26"/>
  <c r="BV123" i="26"/>
  <c r="BV267" i="26" s="1"/>
  <c r="BV221" i="26"/>
  <c r="BV97" i="26"/>
  <c r="BV221" i="6" s="1"/>
  <c r="BV206" i="26"/>
  <c r="BW60" i="26"/>
  <c r="BW56" i="26"/>
  <c r="BW130" i="26"/>
  <c r="BW149" i="26" s="1"/>
  <c r="BW65" i="26"/>
  <c r="BW92" i="26"/>
  <c r="BW88" i="26"/>
  <c r="BW84" i="26"/>
  <c r="BW80" i="26"/>
  <c r="BW58" i="26"/>
  <c r="BW142" i="26"/>
  <c r="BW138" i="26"/>
  <c r="BW163" i="26"/>
  <c r="BW116" i="26"/>
  <c r="BW112" i="26"/>
  <c r="BW108" i="26"/>
  <c r="BW104" i="26"/>
  <c r="BW120" i="26" s="1"/>
  <c r="BW168" i="26"/>
  <c r="BW160" i="26"/>
  <c r="BW196" i="26"/>
  <c r="BW297" i="26" s="1"/>
  <c r="BU299" i="26"/>
  <c r="BV208" i="26"/>
  <c r="BV174" i="26"/>
  <c r="BV294" i="26"/>
  <c r="BV178" i="1" s="1"/>
  <c r="BV198" i="26"/>
  <c r="BW155" i="26"/>
  <c r="BW169" i="26" s="1"/>
  <c r="BW63" i="26"/>
  <c r="BW79" i="26"/>
  <c r="BW95" i="26" s="1"/>
  <c r="BW165" i="26"/>
  <c r="BW61" i="26"/>
  <c r="BW91" i="26"/>
  <c r="BW87" i="26"/>
  <c r="BW83" i="26"/>
  <c r="BW137" i="26"/>
  <c r="BW54" i="26"/>
  <c r="BW141" i="26"/>
  <c r="BW136" i="26"/>
  <c r="BW159" i="26"/>
  <c r="BW115" i="26"/>
  <c r="BW111" i="26"/>
  <c r="BW107" i="26"/>
  <c r="BW135" i="26"/>
  <c r="BW166" i="26"/>
  <c r="BW158" i="26"/>
  <c r="BW172" i="26" s="1"/>
  <c r="BW236" i="26" s="1"/>
  <c r="BV150" i="26"/>
  <c r="BV180" i="30" s="1"/>
  <c r="BV72" i="33" s="1"/>
  <c r="BT299" i="26"/>
  <c r="BW67" i="26"/>
  <c r="BW55" i="26"/>
  <c r="BW78" i="26"/>
  <c r="BW93" i="26" s="1"/>
  <c r="BW161" i="26"/>
  <c r="BW57" i="26"/>
  <c r="BW90" i="26"/>
  <c r="BW86" i="26"/>
  <c r="BW82" i="26"/>
  <c r="BW66" i="26"/>
  <c r="BW144" i="26"/>
  <c r="BW140" i="26"/>
  <c r="BW132" i="26"/>
  <c r="BW146" i="26" s="1"/>
  <c r="BW154" i="26"/>
  <c r="BW173" i="26" s="1"/>
  <c r="BW268" i="26" s="1"/>
  <c r="BW118" i="26"/>
  <c r="BW114" i="26"/>
  <c r="BW110" i="26"/>
  <c r="BW106" i="26"/>
  <c r="BW133" i="26"/>
  <c r="BW147" i="26" s="1"/>
  <c r="BW164" i="26"/>
  <c r="BW156" i="26"/>
  <c r="BW170" i="26" s="1"/>
  <c r="BW222" i="26" s="1"/>
  <c r="AZ68" i="26"/>
  <c r="AZ93" i="26"/>
  <c r="AH147" i="30"/>
  <c r="AZ117" i="20"/>
  <c r="AZ24" i="32" s="1"/>
  <c r="BA30" i="3"/>
  <c r="BU131" i="3"/>
  <c r="AY180" i="20"/>
  <c r="AH49" i="30"/>
  <c r="AX48" i="30"/>
  <c r="BV106" i="3"/>
  <c r="BV97" i="3"/>
  <c r="BV109" i="3"/>
  <c r="BV99" i="3"/>
  <c r="BV103" i="3"/>
  <c r="BU133" i="3"/>
  <c r="BU121" i="3"/>
  <c r="BV95" i="3"/>
  <c r="BV94" i="3"/>
  <c r="BV93" i="3"/>
  <c r="BV101" i="3"/>
  <c r="BV105" i="3"/>
  <c r="BV102" i="3"/>
  <c r="BU28" i="3"/>
  <c r="BV107" i="3"/>
  <c r="BU123" i="3"/>
  <c r="BV104" i="3"/>
  <c r="BV112" i="3"/>
  <c r="AY209" i="3"/>
  <c r="AY232" i="3" s="1"/>
  <c r="AY255" i="3"/>
  <c r="AY278" i="3" s="1"/>
  <c r="BW52" i="3"/>
  <c r="BW121" i="3" s="1"/>
  <c r="BW43" i="3"/>
  <c r="AZ149" i="26"/>
  <c r="BV96" i="3"/>
  <c r="BV111" i="3"/>
  <c r="AZ106" i="6"/>
  <c r="AY92" i="30"/>
  <c r="AI107" i="1"/>
  <c r="AI152" i="30"/>
  <c r="AI59" i="33" s="1"/>
  <c r="AI37" i="1"/>
  <c r="AI42" i="30"/>
  <c r="AI34" i="30"/>
  <c r="AI117" i="1"/>
  <c r="AI15" i="1"/>
  <c r="AI134" i="1"/>
  <c r="AI67" i="1"/>
  <c r="AI39" i="30"/>
  <c r="AI195" i="20"/>
  <c r="AI151" i="1"/>
  <c r="AI84" i="1"/>
  <c r="BA5" i="38"/>
  <c r="BA51" i="3"/>
  <c r="BA166" i="3" s="1"/>
  <c r="BA189" i="3" s="1"/>
  <c r="BA55" i="3"/>
  <c r="BA170" i="3" s="1"/>
  <c r="BA193" i="3" s="1"/>
  <c r="BA63" i="3"/>
  <c r="BA178" i="3" s="1"/>
  <c r="BA201" i="3" s="1"/>
  <c r="BA52" i="3"/>
  <c r="BA167" i="3" s="1"/>
  <c r="BA190" i="3" s="1"/>
  <c r="BA64" i="3"/>
  <c r="BA179" i="3" s="1"/>
  <c r="BA202" i="3" s="1"/>
  <c r="BA56" i="3"/>
  <c r="BA171" i="3" s="1"/>
  <c r="BA194" i="3" s="1"/>
  <c r="BA48" i="3"/>
  <c r="BA163" i="3" s="1"/>
  <c r="BA186" i="3" s="1"/>
  <c r="BA60" i="3"/>
  <c r="BA175" i="3" s="1"/>
  <c r="BA198" i="3" s="1"/>
  <c r="BA57" i="3"/>
  <c r="BA172" i="3" s="1"/>
  <c r="BA195" i="3" s="1"/>
  <c r="BA65" i="3"/>
  <c r="BA180" i="3" s="1"/>
  <c r="BA203" i="3" s="1"/>
  <c r="BA49" i="3"/>
  <c r="BA164" i="3" s="1"/>
  <c r="BA187" i="3" s="1"/>
  <c r="BA53" i="3"/>
  <c r="BA168" i="3" s="1"/>
  <c r="BA191" i="3" s="1"/>
  <c r="BA61" i="3"/>
  <c r="BA176" i="3" s="1"/>
  <c r="BA199" i="3" s="1"/>
  <c r="BA50" i="3"/>
  <c r="BA165" i="3" s="1"/>
  <c r="BA188" i="3" s="1"/>
  <c r="BA58" i="3"/>
  <c r="BA173" i="3" s="1"/>
  <c r="BA196" i="3" s="1"/>
  <c r="BA62" i="3"/>
  <c r="BA177" i="3" s="1"/>
  <c r="BA200" i="3" s="1"/>
  <c r="BA47" i="3"/>
  <c r="BA162" i="3" s="1"/>
  <c r="BA185" i="3" s="1"/>
  <c r="BA54" i="3"/>
  <c r="BA169" i="3" s="1"/>
  <c r="BA192" i="3" s="1"/>
  <c r="BA66" i="3"/>
  <c r="BA59" i="3"/>
  <c r="BA174" i="3" s="1"/>
  <c r="BA197" i="3" s="1"/>
  <c r="BW47" i="3"/>
  <c r="BW116" i="3" s="1"/>
  <c r="BW60" i="3"/>
  <c r="BW129" i="3" s="1"/>
  <c r="BW49" i="3"/>
  <c r="BW118" i="3" s="1"/>
  <c r="BW56" i="3"/>
  <c r="BW125" i="3" s="1"/>
  <c r="BW63" i="3"/>
  <c r="BW132" i="3" s="1"/>
  <c r="BW59" i="3"/>
  <c r="BW128" i="3" s="1"/>
  <c r="BW62" i="3"/>
  <c r="BW131" i="3" s="1"/>
  <c r="BW65" i="3"/>
  <c r="BW134" i="3" s="1"/>
  <c r="BW48" i="3"/>
  <c r="BW117" i="3" s="1"/>
  <c r="BW55" i="3"/>
  <c r="BW124" i="3" s="1"/>
  <c r="BW66" i="3"/>
  <c r="BW135" i="3" s="1"/>
  <c r="BW61" i="3"/>
  <c r="BW130" i="3" s="1"/>
  <c r="BW58" i="3"/>
  <c r="BW127" i="3" s="1"/>
  <c r="BW57" i="3"/>
  <c r="BW126" i="3" s="1"/>
  <c r="BW51" i="3"/>
  <c r="BW120" i="3" s="1"/>
  <c r="AZ169" i="26"/>
  <c r="AZ145" i="26"/>
  <c r="BW54" i="3"/>
  <c r="BW123" i="3" s="1"/>
  <c r="BW53" i="3"/>
  <c r="BW122" i="3" s="1"/>
  <c r="BW50" i="3"/>
  <c r="BW119" i="3" s="1"/>
  <c r="BW64" i="3"/>
  <c r="BW133" i="3" s="1"/>
  <c r="AZ197" i="26"/>
  <c r="AZ193" i="26"/>
  <c r="AZ173" i="26"/>
  <c r="AY281" i="26"/>
  <c r="AY154" i="6" s="1"/>
  <c r="BV16" i="3"/>
  <c r="BV4" i="38"/>
  <c r="AY299" i="26"/>
  <c r="AY208" i="3"/>
  <c r="AY254" i="3"/>
  <c r="AY277" i="3" s="1"/>
  <c r="BV4" i="35"/>
  <c r="BA4" i="33"/>
  <c r="BA4" i="35"/>
  <c r="BA5" i="33"/>
  <c r="BA5" i="35"/>
  <c r="AZ207" i="26"/>
  <c r="BA3" i="33"/>
  <c r="BA3" i="35"/>
  <c r="BE438" i="9"/>
  <c r="BE447" i="9"/>
  <c r="AY432" i="9"/>
  <c r="BE433" i="9"/>
  <c r="BE450" i="9"/>
  <c r="BE445" i="9"/>
  <c r="BE440" i="9"/>
  <c r="BE519" i="9"/>
  <c r="AX503" i="9"/>
  <c r="AX1085" i="9" s="1"/>
  <c r="BD504" i="9"/>
  <c r="BE512" i="9"/>
  <c r="BD506" i="9"/>
  <c r="BD513" i="9"/>
  <c r="BD515" i="9"/>
  <c r="AZ510" i="9"/>
  <c r="AY508" i="9"/>
  <c r="BD518" i="9"/>
  <c r="BE282" i="9"/>
  <c r="BF276" i="9" s="1"/>
  <c r="BF280" i="9" s="1"/>
  <c r="BE1000" i="9"/>
  <c r="BE993" i="9"/>
  <c r="BE436" i="9"/>
  <c r="BE996" i="9"/>
  <c r="BV4" i="33"/>
  <c r="BV4" i="11"/>
  <c r="BV4" i="6"/>
  <c r="BA5" i="26"/>
  <c r="BA5" i="32"/>
  <c r="BA5" i="30"/>
  <c r="BA3" i="28"/>
  <c r="BA3" i="32"/>
  <c r="BA3" i="30"/>
  <c r="BA16" i="3"/>
  <c r="BA18" i="3" s="1"/>
  <c r="BA4" i="32"/>
  <c r="BA4" i="30"/>
  <c r="BV4" i="28"/>
  <c r="BV4" i="32"/>
  <c r="BV4" i="30"/>
  <c r="BD396" i="9"/>
  <c r="BD301" i="9"/>
  <c r="BD130" i="9"/>
  <c r="BE333" i="9"/>
  <c r="BE337" i="9" s="1"/>
  <c r="BD339" i="9"/>
  <c r="BD511" i="9"/>
  <c r="BD263" i="9"/>
  <c r="BE390" i="9"/>
  <c r="BE394" i="9" s="1"/>
  <c r="BB371" i="9"/>
  <c r="BB375" i="9" s="1"/>
  <c r="BE124" i="9"/>
  <c r="BE128" i="9" s="1"/>
  <c r="AX111" i="9"/>
  <c r="AY206" i="9"/>
  <c r="BE295" i="9"/>
  <c r="BE299" i="9" s="1"/>
  <c r="BD168" i="9"/>
  <c r="BE162" i="9" s="1"/>
  <c r="BE166" i="9" s="1"/>
  <c r="AZ244" i="9"/>
  <c r="BV4" i="1"/>
  <c r="BV4" i="12"/>
  <c r="BV4" i="26"/>
  <c r="BV4" i="4"/>
  <c r="BV4" i="16"/>
  <c r="BV4" i="20"/>
  <c r="BV22" i="3"/>
  <c r="BV28" i="3" s="1"/>
  <c r="BV4" i="9"/>
  <c r="BV4" i="22"/>
  <c r="BE1007" i="9"/>
  <c r="BW140" i="3"/>
  <c r="BW163" i="3" s="1"/>
  <c r="BW156" i="3"/>
  <c r="BW179" i="3" s="1"/>
  <c r="BW154" i="3"/>
  <c r="BW177" i="3" s="1"/>
  <c r="BW153" i="3"/>
  <c r="BW176" i="3" s="1"/>
  <c r="BW147" i="3"/>
  <c r="BW170" i="3" s="1"/>
  <c r="BW145" i="3"/>
  <c r="BW168" i="3" s="1"/>
  <c r="BW146" i="3"/>
  <c r="BW169" i="3" s="1"/>
  <c r="BW150" i="3"/>
  <c r="BW173" i="3" s="1"/>
  <c r="BW143" i="3"/>
  <c r="BW166" i="3" s="1"/>
  <c r="BW151" i="3"/>
  <c r="BW174" i="3" s="1"/>
  <c r="BW155" i="3"/>
  <c r="BW178" i="3" s="1"/>
  <c r="BW144" i="3"/>
  <c r="BW167" i="3" s="1"/>
  <c r="BW139" i="3"/>
  <c r="BW162" i="3" s="1"/>
  <c r="BW149" i="3"/>
  <c r="BW172" i="3" s="1"/>
  <c r="BW152" i="3"/>
  <c r="BW175" i="3" s="1"/>
  <c r="BW148" i="3"/>
  <c r="BW171" i="3" s="1"/>
  <c r="BW158" i="3"/>
  <c r="BW181" i="3" s="1"/>
  <c r="BW142" i="3"/>
  <c r="BW165" i="3" s="1"/>
  <c r="BW157" i="3"/>
  <c r="BW180" i="3" s="1"/>
  <c r="BW141" i="3"/>
  <c r="BW164" i="3" s="1"/>
  <c r="BA5" i="28"/>
  <c r="BE1005" i="9"/>
  <c r="BE998" i="9"/>
  <c r="AZ107" i="6"/>
  <c r="BA4" i="26"/>
  <c r="BA4" i="28"/>
  <c r="BA3" i="26"/>
  <c r="BA4" i="22"/>
  <c r="BA4" i="20"/>
  <c r="BA5" i="20"/>
  <c r="BA5" i="22"/>
  <c r="BA3" i="22"/>
  <c r="BA3" i="20"/>
  <c r="BB10" i="3"/>
  <c r="BB4" i="3" s="1"/>
  <c r="BB2" i="44" s="1" a="1"/>
  <c r="BB2" i="44" s="1"/>
  <c r="BA5" i="16"/>
  <c r="BA5" i="12"/>
  <c r="BA5" i="11"/>
  <c r="BA5" i="9"/>
  <c r="BA4" i="16"/>
  <c r="BA4" i="12"/>
  <c r="BA4" i="11"/>
  <c r="BA4" i="9"/>
  <c r="BA3" i="16"/>
  <c r="BA3" i="12"/>
  <c r="BA3" i="11"/>
  <c r="BA3" i="9"/>
  <c r="BA3" i="4"/>
  <c r="BA3" i="6"/>
  <c r="BA3" i="1"/>
  <c r="DU2" i="1" s="1"/>
  <c r="BW145" i="26" l="1"/>
  <c r="AX712" i="9"/>
  <c r="AX735" i="9" s="1"/>
  <c r="AX831" i="9"/>
  <c r="AY687" i="9"/>
  <c r="AY756" i="9" s="1"/>
  <c r="BA181" i="3"/>
  <c r="BA204" i="3" s="1"/>
  <c r="AZ221" i="26"/>
  <c r="AZ294" i="26"/>
  <c r="AZ233" i="26"/>
  <c r="AZ296" i="26"/>
  <c r="AZ180" i="1"/>
  <c r="AZ180" i="20" s="1"/>
  <c r="AZ236" i="26"/>
  <c r="AZ71" i="26"/>
  <c r="AY261" i="26"/>
  <c r="AZ249" i="26"/>
  <c r="AZ295" i="26"/>
  <c r="AZ298" i="26"/>
  <c r="AZ222" i="26"/>
  <c r="AZ206" i="26"/>
  <c r="AZ268" i="26"/>
  <c r="BA181" i="20" a="1"/>
  <c r="BA181" i="20" s="1"/>
  <c r="BA154" i="20" a="1"/>
  <c r="BA154" i="20" s="1"/>
  <c r="BA146" i="20" a="1"/>
  <c r="BA146" i="20" s="1"/>
  <c r="BA198" i="20" a="1"/>
  <c r="BA198" i="20" s="1"/>
  <c r="BA148" i="20" a="1"/>
  <c r="BA148" i="20" s="1"/>
  <c r="BA172" i="20" a="1"/>
  <c r="BA172" i="20" s="1"/>
  <c r="BA143" i="20" a="1"/>
  <c r="BA143" i="20" s="1"/>
  <c r="BA142" i="20" a="1"/>
  <c r="BA142" i="20" s="1"/>
  <c r="BA141" i="20" a="1"/>
  <c r="BA141" i="20" s="1"/>
  <c r="BA140" i="20" a="1"/>
  <c r="BA140" i="20" s="1"/>
  <c r="BA139" i="20" a="1"/>
  <c r="BA139" i="20" s="1"/>
  <c r="BA138" i="20" a="1"/>
  <c r="BA138" i="20" s="1"/>
  <c r="BA137" i="20" a="1"/>
  <c r="BA137" i="20" s="1"/>
  <c r="BA133" i="20" a="1"/>
  <c r="BA133" i="20" s="1"/>
  <c r="BA132" i="20" a="1"/>
  <c r="BA132" i="20" s="1"/>
  <c r="BA169" i="20" a="1"/>
  <c r="BA169" i="20" s="1"/>
  <c r="BA144" i="20" a="1"/>
  <c r="BA144" i="20" s="1"/>
  <c r="BA145" i="20" a="1"/>
  <c r="BA145" i="20" s="1"/>
  <c r="BA131" i="20" a="1"/>
  <c r="BA131" i="20" s="1"/>
  <c r="BA128" i="20" a="1"/>
  <c r="BA128" i="20" s="1"/>
  <c r="BA126" i="20" a="1"/>
  <c r="BA126" i="20" s="1"/>
  <c r="BA149" i="20" a="1"/>
  <c r="BA149" i="20" s="1"/>
  <c r="BA125" i="20" a="1"/>
  <c r="BA125" i="20" s="1"/>
  <c r="BA123" i="20" a="1"/>
  <c r="BA123" i="20" s="1"/>
  <c r="BA115" i="20" a="1"/>
  <c r="BA115" i="20" s="1"/>
  <c r="BA117" i="20" s="1"/>
  <c r="BA111" i="20" a="1"/>
  <c r="BA111" i="20" s="1"/>
  <c r="BA106" i="20" a="1"/>
  <c r="BA106" i="20" s="1"/>
  <c r="BA129" i="20" a="1"/>
  <c r="BA129" i="20" s="1"/>
  <c r="BA124" i="20" a="1"/>
  <c r="BA124" i="20" s="1"/>
  <c r="BA122" i="20" a="1"/>
  <c r="BA122" i="20" s="1"/>
  <c r="BA112" i="20" a="1"/>
  <c r="BA112" i="20" s="1"/>
  <c r="BA110" i="20" a="1"/>
  <c r="BA110" i="20" s="1"/>
  <c r="BA105" i="20" a="1"/>
  <c r="BA105" i="20" s="1"/>
  <c r="BA104" i="20" a="1"/>
  <c r="BA104" i="20" s="1"/>
  <c r="BA103" i="20" a="1"/>
  <c r="BA103" i="20" s="1"/>
  <c r="BA102" i="20" a="1"/>
  <c r="BA102" i="20" s="1"/>
  <c r="BA101" i="20" a="1"/>
  <c r="BA101" i="20" s="1"/>
  <c r="BA97" i="20" a="1"/>
  <c r="BA97" i="20" s="1"/>
  <c r="BA96" i="20" a="1"/>
  <c r="BA96" i="20" s="1"/>
  <c r="BA95" i="20" a="1"/>
  <c r="BA95" i="20" s="1"/>
  <c r="BA94" i="20" a="1"/>
  <c r="BA94" i="20" s="1"/>
  <c r="BA93" i="20" a="1"/>
  <c r="BA93" i="20" s="1"/>
  <c r="BA92" i="20" a="1"/>
  <c r="BA92" i="20" s="1"/>
  <c r="BA91" i="20" a="1"/>
  <c r="BA91" i="20" s="1"/>
  <c r="BA90" i="20" a="1"/>
  <c r="BA90" i="20" s="1"/>
  <c r="BA89" i="20" a="1"/>
  <c r="BA89" i="20" s="1"/>
  <c r="BA88" i="20" a="1"/>
  <c r="BA88" i="20" s="1"/>
  <c r="BA87" i="20" a="1"/>
  <c r="BA87" i="20" s="1"/>
  <c r="BA83" i="20" a="1"/>
  <c r="BA83" i="20" s="1"/>
  <c r="BA127" i="20" a="1"/>
  <c r="BA127" i="20" s="1"/>
  <c r="BA150" i="20" a="1"/>
  <c r="BA150" i="20" s="1"/>
  <c r="BA82" i="20" a="1"/>
  <c r="BA82" i="20" s="1"/>
  <c r="BA81" i="20" a="1"/>
  <c r="BA81" i="20" s="1"/>
  <c r="BA80" i="20" a="1"/>
  <c r="BA80" i="20" s="1"/>
  <c r="BA79" i="20" a="1"/>
  <c r="BA79" i="20" s="1"/>
  <c r="BA78" i="20" a="1"/>
  <c r="BA78" i="20" s="1"/>
  <c r="BA77" i="20" a="1"/>
  <c r="BA77" i="20" s="1"/>
  <c r="BA76" i="20" a="1"/>
  <c r="BA76" i="20" s="1"/>
  <c r="BA75" i="20" a="1"/>
  <c r="BA75" i="20" s="1"/>
  <c r="BA74" i="20" a="1"/>
  <c r="BA74" i="20" s="1"/>
  <c r="BA73" i="20" a="1"/>
  <c r="BA73" i="20" s="1"/>
  <c r="BA72" i="20" a="1"/>
  <c r="BA72" i="20" s="1"/>
  <c r="BA71" i="20" a="1"/>
  <c r="BA71" i="20" s="1"/>
  <c r="BA68" i="20" a="1"/>
  <c r="BA68" i="20" s="1"/>
  <c r="BA66" i="20" a="1"/>
  <c r="BA66" i="20" s="1"/>
  <c r="BA65" i="20" a="1"/>
  <c r="BA65" i="20" s="1"/>
  <c r="BA64" i="20" a="1"/>
  <c r="BA64" i="20" s="1"/>
  <c r="BA61" i="20" a="1"/>
  <c r="BA61" i="20" s="1"/>
  <c r="BA59" i="20" a="1"/>
  <c r="BA59" i="20" s="1"/>
  <c r="BA58" i="20" a="1"/>
  <c r="BA58" i="20" s="1"/>
  <c r="BA57" i="20" a="1"/>
  <c r="BA57" i="20" s="1"/>
  <c r="BA56" i="20" a="1"/>
  <c r="BA56" i="20" s="1"/>
  <c r="BA55" i="20" a="1"/>
  <c r="BA55" i="20" s="1"/>
  <c r="BA54" i="20" a="1"/>
  <c r="BA54" i="20" s="1"/>
  <c r="BA53" i="20" a="1"/>
  <c r="BA53" i="20" s="1"/>
  <c r="BA50" i="20" a="1"/>
  <c r="BA50" i="20" s="1"/>
  <c r="BA48" i="20" a="1"/>
  <c r="BA48" i="20" s="1"/>
  <c r="BA47" i="20" a="1"/>
  <c r="BA47" i="20" s="1"/>
  <c r="BA46" i="20" a="1"/>
  <c r="BA46" i="20" s="1"/>
  <c r="BA45" i="20" a="1"/>
  <c r="BA45" i="20" s="1"/>
  <c r="BA43" i="20" a="1"/>
  <c r="BA43" i="20" s="1"/>
  <c r="BA41" i="20" a="1"/>
  <c r="BA41" i="20" s="1"/>
  <c r="BA44" i="20" a="1"/>
  <c r="BA44" i="20" s="1"/>
  <c r="BA42" i="20" a="1"/>
  <c r="BA42" i="20" s="1"/>
  <c r="BA38" i="20" a="1"/>
  <c r="BA38" i="20" s="1"/>
  <c r="BA36" i="20" a="1"/>
  <c r="BA36" i="20" s="1"/>
  <c r="BA35" i="20" a="1"/>
  <c r="BA35" i="20" s="1"/>
  <c r="BA34" i="20" a="1"/>
  <c r="BA34" i="20" s="1"/>
  <c r="BA33" i="20" a="1"/>
  <c r="BA33" i="20" s="1"/>
  <c r="BA32" i="20" a="1"/>
  <c r="BA32" i="20" s="1"/>
  <c r="BA29" i="20" a="1"/>
  <c r="BA29" i="20" s="1"/>
  <c r="BA27" i="20" a="1"/>
  <c r="BA27" i="20" s="1"/>
  <c r="BA26" i="20" a="1"/>
  <c r="BA26" i="20" s="1"/>
  <c r="BA25" i="20" a="1"/>
  <c r="BA25" i="20" s="1"/>
  <c r="BA24" i="20" a="1"/>
  <c r="BA24" i="20" s="1"/>
  <c r="BA23" i="20" a="1"/>
  <c r="BA23" i="20" s="1"/>
  <c r="BA22" i="20" a="1"/>
  <c r="BA22" i="20" s="1"/>
  <c r="BA21" i="20" a="1"/>
  <c r="BA21" i="20" s="1"/>
  <c r="BA20" i="20" a="1"/>
  <c r="BA20" i="20" s="1"/>
  <c r="BA19" i="20" a="1"/>
  <c r="BA19" i="20" s="1"/>
  <c r="BA16" i="20" a="1"/>
  <c r="BA16" i="20" s="1"/>
  <c r="BA13" i="20" a="1"/>
  <c r="BA13" i="20" s="1"/>
  <c r="BA12" i="20" a="1"/>
  <c r="BA12" i="20" s="1"/>
  <c r="AZ153" i="30"/>
  <c r="AY52" i="30"/>
  <c r="BT178" i="20"/>
  <c r="BT50" i="30" s="1"/>
  <c r="BU178" i="20"/>
  <c r="BU50" i="30" s="1"/>
  <c r="AH56" i="33"/>
  <c r="BA64" i="9"/>
  <c r="BA102" i="9"/>
  <c r="BA83" i="9"/>
  <c r="BA121" i="9"/>
  <c r="BA159" i="9"/>
  <c r="BA197" i="9"/>
  <c r="BA235" i="9"/>
  <c r="BA273" i="9"/>
  <c r="BA311" i="9"/>
  <c r="BA349" i="9"/>
  <c r="BA387" i="9"/>
  <c r="BA140" i="9"/>
  <c r="BA292" i="9"/>
  <c r="BA425" i="9"/>
  <c r="BA178" i="9"/>
  <c r="BA330" i="9"/>
  <c r="BA254" i="9"/>
  <c r="BA368" i="9"/>
  <c r="BA406" i="9"/>
  <c r="BA216" i="9"/>
  <c r="X802" i="9"/>
  <c r="X814" i="9"/>
  <c r="X819" i="9"/>
  <c r="X816" i="9"/>
  <c r="X806" i="9"/>
  <c r="AY843" i="9"/>
  <c r="AY846" i="9"/>
  <c r="AY841" i="9"/>
  <c r="AX804" i="9"/>
  <c r="X804" i="9" s="1"/>
  <c r="AY833" i="9"/>
  <c r="AY773" i="9"/>
  <c r="AY796" i="9" s="1"/>
  <c r="AY869" i="9" s="1"/>
  <c r="AY770" i="9"/>
  <c r="AY793" i="9" s="1"/>
  <c r="AY866" i="9" s="1"/>
  <c r="AY768" i="9"/>
  <c r="AY791" i="9" s="1"/>
  <c r="AY864" i="9" s="1"/>
  <c r="AY760" i="9"/>
  <c r="AY783" i="9" s="1"/>
  <c r="AY806" i="9" s="1"/>
  <c r="AY235" i="3"/>
  <c r="AY722" i="9"/>
  <c r="AY244" i="3"/>
  <c r="AY241" i="3"/>
  <c r="AY243" i="3"/>
  <c r="AY237" i="3"/>
  <c r="AY239" i="3"/>
  <c r="AY724" i="9"/>
  <c r="AY246" i="3"/>
  <c r="AY248" i="3"/>
  <c r="AY240" i="3"/>
  <c r="AY245" i="3"/>
  <c r="AY247" i="3"/>
  <c r="AY250" i="3"/>
  <c r="AY714" i="9"/>
  <c r="AY236" i="3"/>
  <c r="AY727" i="9"/>
  <c r="AY249" i="3"/>
  <c r="AY234" i="3"/>
  <c r="AY238" i="3"/>
  <c r="AY242" i="3"/>
  <c r="AY829" i="9"/>
  <c r="AI197" i="1"/>
  <c r="BA139" i="26"/>
  <c r="BA184" i="26"/>
  <c r="BA179" i="26"/>
  <c r="BA190" i="26"/>
  <c r="BA182" i="26"/>
  <c r="BA180" i="26"/>
  <c r="BA188" i="26"/>
  <c r="BA189" i="26"/>
  <c r="BA178" i="26"/>
  <c r="BA192" i="26"/>
  <c r="BA191" i="26"/>
  <c r="BA186" i="26"/>
  <c r="BA185" i="26"/>
  <c r="BA183" i="26"/>
  <c r="BA187" i="26"/>
  <c r="BA181" i="26"/>
  <c r="BV134" i="3"/>
  <c r="AZ208" i="26"/>
  <c r="BW206" i="26"/>
  <c r="BW97" i="26"/>
  <c r="BW221" i="6" s="1"/>
  <c r="BW208" i="26"/>
  <c r="BW174" i="26"/>
  <c r="BW294" i="26"/>
  <c r="BW178" i="1" s="1"/>
  <c r="BW198" i="26"/>
  <c r="BW150" i="26"/>
  <c r="BW180" i="30" s="1"/>
  <c r="BW72" i="33" s="1"/>
  <c r="BW180" i="1"/>
  <c r="BW180" i="20" s="1"/>
  <c r="BW247" i="26"/>
  <c r="BV299" i="26"/>
  <c r="BW233" i="26"/>
  <c r="BW71" i="26"/>
  <c r="BW259" i="26" s="1"/>
  <c r="BW221" i="26"/>
  <c r="BW123" i="26"/>
  <c r="BW267" i="26" s="1"/>
  <c r="AZ205" i="26"/>
  <c r="AZ97" i="26"/>
  <c r="AI147" i="30"/>
  <c r="AZ220" i="6"/>
  <c r="AH22" i="30"/>
  <c r="AH197" i="20"/>
  <c r="AI49" i="30"/>
  <c r="BW111" i="3"/>
  <c r="BV125" i="3"/>
  <c r="BV130" i="3"/>
  <c r="BW112" i="3"/>
  <c r="BW98" i="3"/>
  <c r="BV121" i="3"/>
  <c r="BW107" i="3"/>
  <c r="BV116" i="3"/>
  <c r="BW102" i="3"/>
  <c r="BW96" i="3"/>
  <c r="BV119" i="3"/>
  <c r="BW95" i="3"/>
  <c r="BW108" i="3"/>
  <c r="BV120" i="3"/>
  <c r="BW99" i="3"/>
  <c r="BV131" i="3"/>
  <c r="BV118" i="3"/>
  <c r="BV122" i="3"/>
  <c r="BW97" i="3"/>
  <c r="BV135" i="3"/>
  <c r="BW94" i="3"/>
  <c r="BW110" i="3"/>
  <c r="BW104" i="3"/>
  <c r="BW109" i="3"/>
  <c r="BV132" i="3"/>
  <c r="BV133" i="3"/>
  <c r="BW93" i="3"/>
  <c r="BV127" i="3"/>
  <c r="BV117" i="3"/>
  <c r="AY710" i="9"/>
  <c r="AY733" i="9" s="1"/>
  <c r="BB43" i="3"/>
  <c r="BB4" i="38"/>
  <c r="AY178" i="20"/>
  <c r="AY183" i="20" s="1"/>
  <c r="AZ150" i="26"/>
  <c r="AY992" i="9"/>
  <c r="AY73" i="9"/>
  <c r="BW100" i="3"/>
  <c r="BW101" i="3"/>
  <c r="BV128" i="3"/>
  <c r="BV123" i="3"/>
  <c r="BW103" i="3"/>
  <c r="BW106" i="3"/>
  <c r="BW105" i="3"/>
  <c r="BV124" i="3"/>
  <c r="BV129" i="3"/>
  <c r="BV126" i="3"/>
  <c r="AZ111" i="6"/>
  <c r="AY114" i="6"/>
  <c r="AY116" i="30" s="1"/>
  <c r="BA108" i="26"/>
  <c r="BA65" i="26"/>
  <c r="AJ39" i="30"/>
  <c r="AJ37" i="1"/>
  <c r="AJ107" i="1"/>
  <c r="AJ151" i="1"/>
  <c r="AJ42" i="30"/>
  <c r="AJ84" i="1"/>
  <c r="AJ195" i="20"/>
  <c r="AJ67" i="1"/>
  <c r="AJ134" i="1"/>
  <c r="AJ15" i="1"/>
  <c r="AJ117" i="1"/>
  <c r="AJ34" i="30"/>
  <c r="AJ152" i="30"/>
  <c r="AJ59" i="33" s="1"/>
  <c r="AZ276" i="26"/>
  <c r="AZ174" i="26"/>
  <c r="AZ198" i="26"/>
  <c r="BA90" i="26"/>
  <c r="AY98" i="30"/>
  <c r="AY187" i="30" s="1"/>
  <c r="BA88" i="26"/>
  <c r="BA83" i="26"/>
  <c r="BA109" i="26"/>
  <c r="BA111" i="26"/>
  <c r="BA105" i="26"/>
  <c r="BA89" i="26"/>
  <c r="BA131" i="26"/>
  <c r="BA84" i="26"/>
  <c r="BA66" i="26"/>
  <c r="BA138" i="26"/>
  <c r="BW16" i="3"/>
  <c r="BW18" i="3" s="1"/>
  <c r="BW4" i="38"/>
  <c r="BW20" i="3"/>
  <c r="BA87" i="26"/>
  <c r="BA78" i="26"/>
  <c r="BA64" i="26"/>
  <c r="BA136" i="26"/>
  <c r="BV18" i="3"/>
  <c r="BA157" i="26"/>
  <c r="BA161" i="26"/>
  <c r="BA165" i="26"/>
  <c r="BA155" i="26"/>
  <c r="BA164" i="26"/>
  <c r="BA158" i="26"/>
  <c r="BA162" i="26"/>
  <c r="BA166" i="26"/>
  <c r="BA167" i="26"/>
  <c r="BA160" i="26"/>
  <c r="BA159" i="26"/>
  <c r="BA163" i="26"/>
  <c r="BA154" i="26"/>
  <c r="BA168" i="26"/>
  <c r="BA156" i="26"/>
  <c r="AX94" i="6"/>
  <c r="AX88" i="35"/>
  <c r="AY231" i="3"/>
  <c r="BA67" i="26"/>
  <c r="BA63" i="26"/>
  <c r="BA62" i="26"/>
  <c r="BA61" i="26"/>
  <c r="BA134" i="26"/>
  <c r="BA114" i="26"/>
  <c r="BA133" i="26"/>
  <c r="BA143" i="26"/>
  <c r="BA137" i="26"/>
  <c r="BA140" i="26"/>
  <c r="BA142" i="26"/>
  <c r="BA144" i="26"/>
  <c r="BA82" i="26"/>
  <c r="BA79" i="26"/>
  <c r="BA86" i="26"/>
  <c r="BA81" i="26"/>
  <c r="BA60" i="26"/>
  <c r="BA59" i="26"/>
  <c r="BA58" i="26"/>
  <c r="BA57" i="26"/>
  <c r="BA118" i="26"/>
  <c r="BA135" i="26"/>
  <c r="BA107" i="26"/>
  <c r="BA116" i="26"/>
  <c r="BA117" i="26"/>
  <c r="BA113" i="26"/>
  <c r="BA132" i="26"/>
  <c r="BA91" i="26"/>
  <c r="BA92" i="26"/>
  <c r="BA85" i="26"/>
  <c r="BA80" i="26"/>
  <c r="BA56" i="26"/>
  <c r="BA55" i="26"/>
  <c r="BA54" i="26"/>
  <c r="BA53" i="26"/>
  <c r="BA104" i="26"/>
  <c r="BA112" i="26"/>
  <c r="BA141" i="26"/>
  <c r="BA115" i="26"/>
  <c r="BA106" i="26"/>
  <c r="BA130" i="26"/>
  <c r="BA110" i="26"/>
  <c r="BA196" i="26"/>
  <c r="BW4" i="33"/>
  <c r="BW4" i="35"/>
  <c r="BB448" i="9"/>
  <c r="BE437" i="9"/>
  <c r="BE444" i="9"/>
  <c r="BE446" i="9"/>
  <c r="BF443" i="9"/>
  <c r="BE415" i="9"/>
  <c r="BF409" i="9" s="1"/>
  <c r="BE1010" i="9"/>
  <c r="AY501" i="9"/>
  <c r="BE514" i="9"/>
  <c r="BE507" i="9"/>
  <c r="BE502" i="9"/>
  <c r="BE516" i="9"/>
  <c r="BE509" i="9"/>
  <c r="BE225" i="9"/>
  <c r="BF219" i="9" s="1"/>
  <c r="BF223" i="9" s="1"/>
  <c r="BE92" i="9"/>
  <c r="BF86" i="9" s="1"/>
  <c r="BF90" i="9" s="1"/>
  <c r="BE505" i="9"/>
  <c r="BE149" i="9"/>
  <c r="BF143" i="9" s="1"/>
  <c r="BF147" i="9" s="1"/>
  <c r="BW4" i="28"/>
  <c r="BW4" i="32"/>
  <c r="BW4" i="30"/>
  <c r="BE1006" i="9"/>
  <c r="BE995" i="9"/>
  <c r="BE435" i="9"/>
  <c r="BE1009" i="9"/>
  <c r="BE449" i="9"/>
  <c r="BE1004" i="9"/>
  <c r="BE257" i="9"/>
  <c r="BE261" i="9" s="1"/>
  <c r="BA238" i="9"/>
  <c r="BA242" i="9" s="1"/>
  <c r="AZ200" i="9"/>
  <c r="AZ204" i="9" s="1"/>
  <c r="BE997" i="9"/>
  <c r="AY105" i="9"/>
  <c r="AY109" i="9" s="1"/>
  <c r="BB1008" i="9"/>
  <c r="BW4" i="9"/>
  <c r="BW4" i="22"/>
  <c r="BW4" i="26"/>
  <c r="BW4" i="4"/>
  <c r="BW4" i="11"/>
  <c r="BW22" i="3"/>
  <c r="BW28" i="3" s="1"/>
  <c r="BW4" i="1"/>
  <c r="BW4" i="6"/>
  <c r="BW4" i="12"/>
  <c r="BW4" i="20"/>
  <c r="BV26" i="3"/>
  <c r="BW4" i="16"/>
  <c r="BE358" i="9"/>
  <c r="BF352" i="9" s="1"/>
  <c r="BF356" i="9" s="1"/>
  <c r="BA77" i="3"/>
  <c r="AZ123" i="3"/>
  <c r="BA84" i="3"/>
  <c r="AZ130" i="3"/>
  <c r="BA74" i="3"/>
  <c r="AZ120" i="3"/>
  <c r="BA83" i="3"/>
  <c r="AZ129" i="3"/>
  <c r="BA72" i="3"/>
  <c r="AZ118" i="3"/>
  <c r="BB142" i="3"/>
  <c r="BB147" i="3"/>
  <c r="BB143" i="3"/>
  <c r="BB152" i="3"/>
  <c r="BA71" i="3"/>
  <c r="AZ117" i="3"/>
  <c r="BA87" i="3"/>
  <c r="AZ133" i="3"/>
  <c r="BA80" i="3"/>
  <c r="AZ126" i="3"/>
  <c r="BA78" i="3"/>
  <c r="AZ124" i="3"/>
  <c r="BA89" i="3"/>
  <c r="AZ135" i="3"/>
  <c r="BA81" i="3"/>
  <c r="AZ127" i="3"/>
  <c r="BA85" i="3"/>
  <c r="AZ131" i="3"/>
  <c r="BA75" i="3"/>
  <c r="AZ121" i="3"/>
  <c r="BA88" i="3"/>
  <c r="AZ134" i="3"/>
  <c r="BA86" i="3"/>
  <c r="AZ132" i="3"/>
  <c r="BB157" i="3"/>
  <c r="BB140" i="3"/>
  <c r="BB148" i="3"/>
  <c r="BB146" i="3"/>
  <c r="BB144" i="3"/>
  <c r="BB154" i="3"/>
  <c r="BB145" i="3"/>
  <c r="BB149" i="3"/>
  <c r="BB155" i="3"/>
  <c r="BB141" i="3"/>
  <c r="BB156" i="3"/>
  <c r="BA73" i="3"/>
  <c r="AZ119" i="3"/>
  <c r="BA70" i="3"/>
  <c r="AZ116" i="3"/>
  <c r="BA82" i="3"/>
  <c r="AZ128" i="3"/>
  <c r="BA76" i="3"/>
  <c r="AZ122" i="3"/>
  <c r="BA79" i="3"/>
  <c r="AZ125" i="3"/>
  <c r="BB139" i="3"/>
  <c r="BB158" i="3"/>
  <c r="BB153" i="3"/>
  <c r="BB151" i="3"/>
  <c r="BB150" i="3"/>
  <c r="BB5" i="3"/>
  <c r="BE187" i="9"/>
  <c r="BF181" i="9" s="1"/>
  <c r="BF185" i="9" s="1"/>
  <c r="BE320" i="9"/>
  <c r="BF314" i="9" s="1"/>
  <c r="BF318" i="9" s="1"/>
  <c r="AY168" i="20"/>
  <c r="BA94" i="26"/>
  <c r="BA121" i="26"/>
  <c r="BA219" i="26"/>
  <c r="BB12" i="3"/>
  <c r="BB3" i="3" s="1"/>
  <c r="BB24" i="3"/>
  <c r="BA108" i="3"/>
  <c r="BA111" i="3"/>
  <c r="BA109" i="3"/>
  <c r="BA94" i="3"/>
  <c r="BA107" i="3"/>
  <c r="BA110" i="3"/>
  <c r="BC8" i="3"/>
  <c r="BA104" i="3"/>
  <c r="BA98" i="3"/>
  <c r="BA96" i="3"/>
  <c r="BA93" i="3"/>
  <c r="BA105" i="3"/>
  <c r="BA99" i="3"/>
  <c r="BA102" i="3"/>
  <c r="BA100" i="3"/>
  <c r="BA97" i="3"/>
  <c r="BA103" i="3"/>
  <c r="BA106" i="3"/>
  <c r="BA101" i="3"/>
  <c r="BA95" i="3"/>
  <c r="BA112" i="3"/>
  <c r="AY64" i="33" l="1"/>
  <c r="AY74" i="33"/>
  <c r="AY747" i="9"/>
  <c r="AY745" i="9"/>
  <c r="AY737" i="9"/>
  <c r="AY750" i="9"/>
  <c r="AZ178" i="1"/>
  <c r="AZ178" i="20" s="1"/>
  <c r="AZ259" i="26"/>
  <c r="BA248" i="26"/>
  <c r="BA95" i="26"/>
  <c r="BA247" i="26" s="1"/>
  <c r="BA235" i="26"/>
  <c r="BA194" i="26"/>
  <c r="BA120" i="26"/>
  <c r="BA172" i="26"/>
  <c r="BA220" i="26"/>
  <c r="BA148" i="26"/>
  <c r="BA170" i="26"/>
  <c r="BA297" i="26"/>
  <c r="BA70" i="26"/>
  <c r="BA146" i="26"/>
  <c r="BA234" i="26"/>
  <c r="BA147" i="26"/>
  <c r="BA171" i="26"/>
  <c r="BA195" i="26"/>
  <c r="AZ299" i="26"/>
  <c r="AY34" i="6"/>
  <c r="AY69" i="30" s="1"/>
  <c r="AZ257" i="26"/>
  <c r="AZ179" i="1"/>
  <c r="AZ179" i="20" s="1"/>
  <c r="AZ180" i="30"/>
  <c r="AZ72" i="33" s="1"/>
  <c r="AZ221" i="6"/>
  <c r="AZ223" i="6" s="1"/>
  <c r="AZ130" i="30" s="1"/>
  <c r="BA24" i="32"/>
  <c r="BA153" i="30"/>
  <c r="AZ52" i="30"/>
  <c r="AY50" i="30"/>
  <c r="BB3" i="38"/>
  <c r="BB39" i="3"/>
  <c r="BV178" i="20"/>
  <c r="BV50" i="30" s="1"/>
  <c r="AI56" i="33"/>
  <c r="BB346" i="3"/>
  <c r="BB347" i="3"/>
  <c r="AY814" i="9"/>
  <c r="AY816" i="9"/>
  <c r="AY819" i="9"/>
  <c r="AZ691" i="9"/>
  <c r="AY856" i="9"/>
  <c r="AZ701" i="9"/>
  <c r="AZ226" i="3"/>
  <c r="AZ272" i="3"/>
  <c r="AZ295" i="3" s="1"/>
  <c r="AZ269" i="3"/>
  <c r="AZ292" i="3" s="1"/>
  <c r="AZ223" i="3"/>
  <c r="AZ273" i="3"/>
  <c r="AZ296" i="3" s="1"/>
  <c r="AZ227" i="3"/>
  <c r="AZ218" i="3"/>
  <c r="AZ264" i="3"/>
  <c r="AZ287" i="3" s="1"/>
  <c r="AZ267" i="3"/>
  <c r="AZ290" i="3" s="1"/>
  <c r="AZ221" i="3"/>
  <c r="AZ268" i="3"/>
  <c r="AZ291" i="3" s="1"/>
  <c r="AZ222" i="3"/>
  <c r="AZ704" i="9"/>
  <c r="AZ699" i="9"/>
  <c r="AZ217" i="3"/>
  <c r="AZ263" i="3"/>
  <c r="AZ286" i="3" s="1"/>
  <c r="AZ257" i="3"/>
  <c r="AZ280" i="3" s="1"/>
  <c r="AZ211" i="3"/>
  <c r="AZ270" i="3"/>
  <c r="AZ293" i="3" s="1"/>
  <c r="AZ224" i="3"/>
  <c r="AZ259" i="3"/>
  <c r="AZ282" i="3" s="1"/>
  <c r="AZ213" i="3"/>
  <c r="AZ219" i="3"/>
  <c r="AZ265" i="3"/>
  <c r="AZ288" i="3" s="1"/>
  <c r="AZ262" i="3"/>
  <c r="AZ285" i="3" s="1"/>
  <c r="AZ216" i="3"/>
  <c r="AZ225" i="3"/>
  <c r="AZ271" i="3"/>
  <c r="AZ294" i="3" s="1"/>
  <c r="AZ258" i="3"/>
  <c r="AZ281" i="3" s="1"/>
  <c r="AZ212" i="3"/>
  <c r="AZ261" i="3"/>
  <c r="AZ284" i="3" s="1"/>
  <c r="AZ215" i="3"/>
  <c r="AZ266" i="3"/>
  <c r="AZ289" i="3" s="1"/>
  <c r="AZ220" i="3"/>
  <c r="AZ260" i="3"/>
  <c r="AZ283" i="3" s="1"/>
  <c r="AZ214" i="3"/>
  <c r="BF413" i="9"/>
  <c r="BF1010" i="9" s="1"/>
  <c r="AZ256" i="3"/>
  <c r="AZ279" i="3" s="1"/>
  <c r="AZ210" i="3"/>
  <c r="AZ233" i="3" s="1"/>
  <c r="AJ197" i="1"/>
  <c r="BA93" i="26"/>
  <c r="BW299" i="26"/>
  <c r="BA68" i="26"/>
  <c r="AZ92" i="30"/>
  <c r="AJ147" i="30"/>
  <c r="BB30" i="3"/>
  <c r="AJ49" i="30"/>
  <c r="AY779" i="9"/>
  <c r="AY802" i="9" s="1"/>
  <c r="AY48" i="30"/>
  <c r="AZ209" i="3"/>
  <c r="AZ232" i="3" s="1"/>
  <c r="AZ255" i="3"/>
  <c r="AZ278" i="3" s="1"/>
  <c r="BA106" i="6"/>
  <c r="BA145" i="26"/>
  <c r="AZ281" i="26"/>
  <c r="AZ154" i="6" s="1"/>
  <c r="BA169" i="26"/>
  <c r="AK15" i="1"/>
  <c r="AK117" i="1"/>
  <c r="AK42" i="30"/>
  <c r="AK39" i="30"/>
  <c r="AK34" i="30"/>
  <c r="AK151" i="1"/>
  <c r="AK37" i="1"/>
  <c r="AK152" i="30"/>
  <c r="AK59" i="33" s="1"/>
  <c r="AK67" i="1"/>
  <c r="AK84" i="1"/>
  <c r="AK107" i="1"/>
  <c r="BB5" i="38"/>
  <c r="BB55" i="3"/>
  <c r="BB170" i="3" s="1"/>
  <c r="BB193" i="3" s="1"/>
  <c r="BB51" i="3"/>
  <c r="BB166" i="3" s="1"/>
  <c r="BB189" i="3" s="1"/>
  <c r="BB48" i="3"/>
  <c r="BB163" i="3" s="1"/>
  <c r="BB186" i="3" s="1"/>
  <c r="BB56" i="3"/>
  <c r="BB171" i="3" s="1"/>
  <c r="BB194" i="3" s="1"/>
  <c r="BB60" i="3"/>
  <c r="BB175" i="3" s="1"/>
  <c r="BB198" i="3" s="1"/>
  <c r="BB52" i="3"/>
  <c r="BB167" i="3" s="1"/>
  <c r="BB190" i="3" s="1"/>
  <c r="BB53" i="3"/>
  <c r="BB168" i="3" s="1"/>
  <c r="BB191" i="3" s="1"/>
  <c r="BB63" i="3"/>
  <c r="BB178" i="3" s="1"/>
  <c r="BB201" i="3" s="1"/>
  <c r="BB64" i="3"/>
  <c r="BB179" i="3" s="1"/>
  <c r="BB202" i="3" s="1"/>
  <c r="BB54" i="3"/>
  <c r="BB169" i="3" s="1"/>
  <c r="BB192" i="3" s="1"/>
  <c r="BB66" i="3"/>
  <c r="BB47" i="3"/>
  <c r="BB162" i="3" s="1"/>
  <c r="BB185" i="3" s="1"/>
  <c r="BB61" i="3"/>
  <c r="BB176" i="3" s="1"/>
  <c r="BB199" i="3" s="1"/>
  <c r="BB49" i="3"/>
  <c r="BB164" i="3" s="1"/>
  <c r="BB187" i="3" s="1"/>
  <c r="BB58" i="3"/>
  <c r="BB173" i="3" s="1"/>
  <c r="BB196" i="3" s="1"/>
  <c r="BB59" i="3"/>
  <c r="BB174" i="3" s="1"/>
  <c r="BB197" i="3" s="1"/>
  <c r="BB57" i="3"/>
  <c r="BB172" i="3" s="1"/>
  <c r="BB195" i="3" s="1"/>
  <c r="BB65" i="3"/>
  <c r="BB180" i="3" s="1"/>
  <c r="BB203" i="3" s="1"/>
  <c r="BB50" i="3"/>
  <c r="BB165" i="3" s="1"/>
  <c r="BB188" i="3" s="1"/>
  <c r="BB62" i="3"/>
  <c r="BB177" i="3" s="1"/>
  <c r="BB200" i="3" s="1"/>
  <c r="BA197" i="26"/>
  <c r="BA193" i="26"/>
  <c r="BA173" i="26"/>
  <c r="BA149" i="26"/>
  <c r="AZ114" i="6"/>
  <c r="AZ116" i="30" s="1"/>
  <c r="AZ208" i="3"/>
  <c r="AZ231" i="3" s="1"/>
  <c r="AZ254" i="3"/>
  <c r="AZ277" i="3" s="1"/>
  <c r="BA119" i="26"/>
  <c r="BW26" i="3"/>
  <c r="BB4" i="33"/>
  <c r="BB4" i="35"/>
  <c r="BB5" i="33"/>
  <c r="BB5" i="35"/>
  <c r="BB3" i="33"/>
  <c r="BB3" i="35"/>
  <c r="BF438" i="9"/>
  <c r="BA441" i="9"/>
  <c r="BF447" i="9"/>
  <c r="AY434" i="9"/>
  <c r="AY689" i="9" s="1"/>
  <c r="AZ439" i="9"/>
  <c r="BE442" i="9"/>
  <c r="BF433" i="9"/>
  <c r="BF450" i="9"/>
  <c r="BF445" i="9"/>
  <c r="BF282" i="9"/>
  <c r="BG276" i="9" s="1"/>
  <c r="BF1003" i="9"/>
  <c r="BF440" i="9"/>
  <c r="BB517" i="9"/>
  <c r="BE506" i="9"/>
  <c r="BE518" i="9"/>
  <c r="BE504" i="9"/>
  <c r="BE513" i="9"/>
  <c r="BE515" i="9"/>
  <c r="BF512" i="9"/>
  <c r="BF1000" i="9"/>
  <c r="BF993" i="9"/>
  <c r="BF436" i="9"/>
  <c r="BF996" i="9"/>
  <c r="BB5" i="26"/>
  <c r="BB5" i="32"/>
  <c r="BB5" i="30"/>
  <c r="BB3" i="28"/>
  <c r="BB3" i="32"/>
  <c r="BB3" i="30"/>
  <c r="BB16" i="3"/>
  <c r="BB18" i="3" s="1"/>
  <c r="BB4" i="32"/>
  <c r="BB4" i="30"/>
  <c r="BE130" i="9"/>
  <c r="BE301" i="9"/>
  <c r="BE339" i="9"/>
  <c r="BE396" i="9"/>
  <c r="BE1002" i="9"/>
  <c r="BF390" i="9"/>
  <c r="BF394" i="9" s="1"/>
  <c r="BF295" i="9"/>
  <c r="BF299" i="9" s="1"/>
  <c r="AY994" i="9"/>
  <c r="BE168" i="9"/>
  <c r="BF162" i="9" s="1"/>
  <c r="BF166" i="9" s="1"/>
  <c r="BA1001" i="9"/>
  <c r="BF333" i="9"/>
  <c r="BF337" i="9" s="1"/>
  <c r="BF124" i="9"/>
  <c r="BF128" i="9" s="1"/>
  <c r="AZ999" i="9"/>
  <c r="BB377" i="9"/>
  <c r="AZ67" i="9"/>
  <c r="AZ71" i="9" s="1"/>
  <c r="BF1007" i="9"/>
  <c r="BB4" i="28"/>
  <c r="BB5" i="28"/>
  <c r="BF1005" i="9"/>
  <c r="BF998" i="9"/>
  <c r="BB4" i="22"/>
  <c r="BB4" i="26"/>
  <c r="BB3" i="26"/>
  <c r="BB4" i="12"/>
  <c r="BB4" i="11"/>
  <c r="BB4" i="9"/>
  <c r="BB4" i="16"/>
  <c r="BB4" i="20"/>
  <c r="BB5" i="22"/>
  <c r="BB5" i="20"/>
  <c r="BB3" i="22"/>
  <c r="BB3" i="20"/>
  <c r="BC10" i="3"/>
  <c r="BC4" i="3" s="1"/>
  <c r="BC2" i="44" s="1" a="1"/>
  <c r="BC2" i="44" s="1"/>
  <c r="BB5" i="16"/>
  <c r="BB5" i="12"/>
  <c r="BB5" i="11"/>
  <c r="BB5" i="9"/>
  <c r="BB3" i="16"/>
  <c r="BB3" i="12"/>
  <c r="BB3" i="11"/>
  <c r="BB3" i="9"/>
  <c r="BB3" i="4"/>
  <c r="BB3" i="1"/>
  <c r="DV2" i="1" s="1"/>
  <c r="BB3" i="6"/>
  <c r="BB181" i="3" l="1"/>
  <c r="BB204" i="3" s="1"/>
  <c r="AZ261" i="26"/>
  <c r="AZ183" i="20"/>
  <c r="AZ183" i="1"/>
  <c r="BA71" i="26"/>
  <c r="BA259" i="26" s="1"/>
  <c r="BA249" i="26"/>
  <c r="BA233" i="26"/>
  <c r="BA222" i="26"/>
  <c r="BA236" i="26"/>
  <c r="BA296" i="26"/>
  <c r="BA295" i="26"/>
  <c r="BA207" i="26"/>
  <c r="BA294" i="26"/>
  <c r="BA206" i="26"/>
  <c r="BA221" i="26"/>
  <c r="BA180" i="1"/>
  <c r="BA180" i="20" s="1"/>
  <c r="BA298" i="26"/>
  <c r="BA268" i="26"/>
  <c r="BB198" i="20" a="1"/>
  <c r="BB198" i="20" s="1"/>
  <c r="BB148" i="20" a="1"/>
  <c r="BB148" i="20" s="1"/>
  <c r="BB131" i="20" a="1"/>
  <c r="BB131" i="20" s="1"/>
  <c r="BB169" i="20" a="1"/>
  <c r="BB169" i="20" s="1"/>
  <c r="BB149" i="20" a="1"/>
  <c r="BB149" i="20" s="1"/>
  <c r="BB145" i="20" a="1"/>
  <c r="BB145" i="20" s="1"/>
  <c r="BB144" i="20" a="1"/>
  <c r="BB144" i="20" s="1"/>
  <c r="BB154" i="20" a="1"/>
  <c r="BB154" i="20" s="1"/>
  <c r="BB150" i="20" a="1"/>
  <c r="BB150" i="20" s="1"/>
  <c r="BB172" i="20" a="1"/>
  <c r="BB172" i="20" s="1"/>
  <c r="BB142" i="20" a="1"/>
  <c r="BB142" i="20" s="1"/>
  <c r="BB140" i="20" a="1"/>
  <c r="BB140" i="20" s="1"/>
  <c r="BB138" i="20" a="1"/>
  <c r="BB138" i="20" s="1"/>
  <c r="BB133" i="20" a="1"/>
  <c r="BB133" i="20" s="1"/>
  <c r="BB181" i="20" a="1"/>
  <c r="BB181" i="20" s="1"/>
  <c r="BB129" i="20" a="1"/>
  <c r="BB129" i="20" s="1"/>
  <c r="BB127" i="20" a="1"/>
  <c r="BB127" i="20" s="1"/>
  <c r="BB143" i="20" a="1"/>
  <c r="BB143" i="20" s="1"/>
  <c r="BB141" i="20" a="1"/>
  <c r="BB141" i="20" s="1"/>
  <c r="BB146" i="20" a="1"/>
  <c r="BB146" i="20" s="1"/>
  <c r="BB126" i="20" a="1"/>
  <c r="BB126" i="20" s="1"/>
  <c r="BB137" i="20" a="1"/>
  <c r="BB137" i="20" s="1"/>
  <c r="BB124" i="20" a="1"/>
  <c r="BB124" i="20" s="1"/>
  <c r="BB122" i="20" a="1"/>
  <c r="BB122" i="20" s="1"/>
  <c r="BB128" i="20" a="1"/>
  <c r="BB128" i="20" s="1"/>
  <c r="BB132" i="20" a="1"/>
  <c r="BB132" i="20" s="1"/>
  <c r="BB115" i="20" a="1"/>
  <c r="BB115" i="20" s="1"/>
  <c r="BB106" i="20" a="1"/>
  <c r="BB106" i="20" s="1"/>
  <c r="BB112" i="20" a="1"/>
  <c r="BB112" i="20" s="1"/>
  <c r="BB105" i="20" a="1"/>
  <c r="BB105" i="20" s="1"/>
  <c r="BB104" i="20" a="1"/>
  <c r="BB104" i="20" s="1"/>
  <c r="BB125" i="20" a="1"/>
  <c r="BB125" i="20" s="1"/>
  <c r="BB111" i="20" a="1"/>
  <c r="BB111" i="20" s="1"/>
  <c r="BB110" i="20" a="1"/>
  <c r="BB110" i="20" s="1"/>
  <c r="BB103" i="20" a="1"/>
  <c r="BB103" i="20" s="1"/>
  <c r="BB96" i="20" a="1"/>
  <c r="BB96" i="20" s="1"/>
  <c r="BB92" i="20" a="1"/>
  <c r="BB92" i="20" s="1"/>
  <c r="BB82" i="20" a="1"/>
  <c r="BB82" i="20" s="1"/>
  <c r="BB81" i="20" a="1"/>
  <c r="BB81" i="20" s="1"/>
  <c r="BB80" i="20" a="1"/>
  <c r="BB80" i="20" s="1"/>
  <c r="BB79" i="20" a="1"/>
  <c r="BB79" i="20" s="1"/>
  <c r="BB78" i="20" a="1"/>
  <c r="BB78" i="20" s="1"/>
  <c r="BB77" i="20" a="1"/>
  <c r="BB77" i="20" s="1"/>
  <c r="BB76" i="20" a="1"/>
  <c r="BB76" i="20" s="1"/>
  <c r="BB75" i="20" a="1"/>
  <c r="BB75" i="20" s="1"/>
  <c r="BB74" i="20" a="1"/>
  <c r="BB74" i="20" s="1"/>
  <c r="BB73" i="20" a="1"/>
  <c r="BB73" i="20" s="1"/>
  <c r="BB72" i="20" a="1"/>
  <c r="BB72" i="20" s="1"/>
  <c r="BB71" i="20" a="1"/>
  <c r="BB71" i="20" s="1"/>
  <c r="BB68" i="20" a="1"/>
  <c r="BB68" i="20" s="1"/>
  <c r="BB66" i="20" a="1"/>
  <c r="BB66" i="20" s="1"/>
  <c r="BB65" i="20" a="1"/>
  <c r="BB65" i="20" s="1"/>
  <c r="BB64" i="20" a="1"/>
  <c r="BB64" i="20" s="1"/>
  <c r="BB61" i="20" a="1"/>
  <c r="BB61" i="20" s="1"/>
  <c r="BB59" i="20" a="1"/>
  <c r="BB59" i="20" s="1"/>
  <c r="BB58" i="20" a="1"/>
  <c r="BB58" i="20" s="1"/>
  <c r="BB57" i="20" a="1"/>
  <c r="BB57" i="20" s="1"/>
  <c r="BB56" i="20" a="1"/>
  <c r="BB56" i="20" s="1"/>
  <c r="BB55" i="20" a="1"/>
  <c r="BB55" i="20" s="1"/>
  <c r="BB54" i="20" a="1"/>
  <c r="BB54" i="20" s="1"/>
  <c r="BB53" i="20" a="1"/>
  <c r="BB53" i="20" s="1"/>
  <c r="BB50" i="20" a="1"/>
  <c r="BB50" i="20" s="1"/>
  <c r="BB48" i="20" a="1"/>
  <c r="BB48" i="20" s="1"/>
  <c r="BB47" i="20" a="1"/>
  <c r="BB47" i="20" s="1"/>
  <c r="BB46" i="20" a="1"/>
  <c r="BB46" i="20" s="1"/>
  <c r="BB45" i="20" a="1"/>
  <c r="BB45" i="20" s="1"/>
  <c r="BB44" i="20" a="1"/>
  <c r="BB44" i="20" s="1"/>
  <c r="BB43" i="20" a="1"/>
  <c r="BB43" i="20" s="1"/>
  <c r="BB42" i="20" a="1"/>
  <c r="BB42" i="20" s="1"/>
  <c r="BB41" i="20" a="1"/>
  <c r="BB41" i="20" s="1"/>
  <c r="BB102" i="20" a="1"/>
  <c r="BB102" i="20" s="1"/>
  <c r="BB95" i="20" a="1"/>
  <c r="BB95" i="20" s="1"/>
  <c r="BB91" i="20" a="1"/>
  <c r="BB91" i="20" s="1"/>
  <c r="BB88" i="20" a="1"/>
  <c r="BB88" i="20" s="1"/>
  <c r="BB83" i="20" a="1"/>
  <c r="BB83" i="20" s="1"/>
  <c r="BB101" i="20" a="1"/>
  <c r="BB101" i="20" s="1"/>
  <c r="BB94" i="20" a="1"/>
  <c r="BB94" i="20" s="1"/>
  <c r="BB90" i="20" a="1"/>
  <c r="BB90" i="20" s="1"/>
  <c r="BB97" i="20" a="1"/>
  <c r="BB97" i="20" s="1"/>
  <c r="BB13" i="20" a="1"/>
  <c r="BB13" i="20" s="1"/>
  <c r="BB12" i="20" a="1"/>
  <c r="BB12" i="20" s="1"/>
  <c r="BB139" i="20" a="1"/>
  <c r="BB139" i="20" s="1"/>
  <c r="BB93" i="20" a="1"/>
  <c r="BB93" i="20" s="1"/>
  <c r="BB87" i="20" a="1"/>
  <c r="BB87" i="20" s="1"/>
  <c r="BB38" i="20" a="1"/>
  <c r="BB38" i="20" s="1"/>
  <c r="BB36" i="20" a="1"/>
  <c r="BB36" i="20" s="1"/>
  <c r="BB35" i="20" a="1"/>
  <c r="BB35" i="20" s="1"/>
  <c r="BB34" i="20" a="1"/>
  <c r="BB34" i="20" s="1"/>
  <c r="BB33" i="20" a="1"/>
  <c r="BB33" i="20" s="1"/>
  <c r="BB32" i="20" a="1"/>
  <c r="BB32" i="20" s="1"/>
  <c r="BB29" i="20" a="1"/>
  <c r="BB29" i="20" s="1"/>
  <c r="BB27" i="20" a="1"/>
  <c r="BB27" i="20" s="1"/>
  <c r="BB26" i="20" a="1"/>
  <c r="BB26" i="20" s="1"/>
  <c r="BB25" i="20" a="1"/>
  <c r="BB25" i="20" s="1"/>
  <c r="BB24" i="20" a="1"/>
  <c r="BB24" i="20" s="1"/>
  <c r="BB23" i="20" a="1"/>
  <c r="BB23" i="20" s="1"/>
  <c r="BB22" i="20" a="1"/>
  <c r="BB22" i="20" s="1"/>
  <c r="BB21" i="20" a="1"/>
  <c r="BB21" i="20" s="1"/>
  <c r="BB20" i="20" a="1"/>
  <c r="BB20" i="20" s="1"/>
  <c r="BB19" i="20" a="1"/>
  <c r="BB19" i="20" s="1"/>
  <c r="BB16" i="20" a="1"/>
  <c r="BB16" i="20" s="1"/>
  <c r="BB89" i="20" a="1"/>
  <c r="BB89" i="20" s="1"/>
  <c r="BB123" i="20" a="1"/>
  <c r="BB123" i="20" s="1"/>
  <c r="AZ50" i="30"/>
  <c r="BW178" i="20"/>
  <c r="BW50" i="30" s="1"/>
  <c r="AJ56" i="33"/>
  <c r="BB83" i="9"/>
  <c r="BB159" i="9"/>
  <c r="BB178" i="9"/>
  <c r="BB311" i="9"/>
  <c r="BB330" i="9"/>
  <c r="BB64" i="9"/>
  <c r="BB197" i="9"/>
  <c r="BB216" i="9"/>
  <c r="BB349" i="9"/>
  <c r="BB368" i="9"/>
  <c r="BB425" i="9"/>
  <c r="BB102" i="9"/>
  <c r="BB121" i="9"/>
  <c r="BB273" i="9"/>
  <c r="BB292" i="9"/>
  <c r="BB387" i="9"/>
  <c r="BB406" i="9"/>
  <c r="BB140" i="9"/>
  <c r="BB254" i="9"/>
  <c r="BB235" i="9"/>
  <c r="BF519" i="9"/>
  <c r="AZ841" i="9"/>
  <c r="AZ833" i="9"/>
  <c r="AZ846" i="9"/>
  <c r="AZ843" i="9"/>
  <c r="AZ768" i="9"/>
  <c r="AZ791" i="9" s="1"/>
  <c r="AZ864" i="9" s="1"/>
  <c r="AZ760" i="9"/>
  <c r="AZ783" i="9" s="1"/>
  <c r="AZ806" i="9" s="1"/>
  <c r="AY831" i="9"/>
  <c r="AY712" i="9"/>
  <c r="AY758" i="9"/>
  <c r="AY781" i="9" s="1"/>
  <c r="AY854" i="9" s="1"/>
  <c r="AZ770" i="9"/>
  <c r="AZ793" i="9" s="1"/>
  <c r="AZ866" i="9" s="1"/>
  <c r="AZ773" i="9"/>
  <c r="AZ796" i="9" s="1"/>
  <c r="AZ869" i="9" s="1"/>
  <c r="AZ237" i="3"/>
  <c r="AZ239" i="3"/>
  <c r="AZ714" i="9"/>
  <c r="AZ236" i="3"/>
  <c r="AZ234" i="3"/>
  <c r="AZ240" i="3"/>
  <c r="AZ250" i="3"/>
  <c r="AZ238" i="3"/>
  <c r="AZ245" i="3"/>
  <c r="AZ727" i="9"/>
  <c r="AZ249" i="3"/>
  <c r="AZ724" i="9"/>
  <c r="AZ246" i="3"/>
  <c r="AZ243" i="3"/>
  <c r="AZ235" i="3"/>
  <c r="AZ248" i="3"/>
  <c r="AZ242" i="3"/>
  <c r="AZ247" i="3"/>
  <c r="AZ722" i="9"/>
  <c r="AZ244" i="3"/>
  <c r="AZ241" i="3"/>
  <c r="AY852" i="9"/>
  <c r="BF415" i="9"/>
  <c r="BG409" i="9" s="1"/>
  <c r="BG413" i="9" s="1"/>
  <c r="BG1010" i="9" s="1"/>
  <c r="BG280" i="9"/>
  <c r="BG1003" i="9" s="1"/>
  <c r="AK197" i="1"/>
  <c r="BB192" i="26"/>
  <c r="BB190" i="26"/>
  <c r="BB178" i="26"/>
  <c r="BB184" i="26"/>
  <c r="BB183" i="26"/>
  <c r="BB179" i="26"/>
  <c r="BB185" i="26"/>
  <c r="BB191" i="26"/>
  <c r="BB188" i="26"/>
  <c r="BB186" i="26"/>
  <c r="BB189" i="26"/>
  <c r="BB187" i="26"/>
  <c r="BB180" i="26"/>
  <c r="BB182" i="26"/>
  <c r="BB181" i="26"/>
  <c r="BA220" i="6"/>
  <c r="BA208" i="26"/>
  <c r="BA97" i="26"/>
  <c r="BA205" i="26"/>
  <c r="AK147" i="30"/>
  <c r="AK49" i="30"/>
  <c r="BC43" i="3"/>
  <c r="BA276" i="26"/>
  <c r="BA150" i="26"/>
  <c r="BA198" i="26"/>
  <c r="AL84" i="1"/>
  <c r="AL39" i="30"/>
  <c r="AL15" i="1"/>
  <c r="AL152" i="30"/>
  <c r="AL59" i="33" s="1"/>
  <c r="AL37" i="1"/>
  <c r="AL151" i="1"/>
  <c r="AL34" i="30"/>
  <c r="AL107" i="1"/>
  <c r="AL67" i="1"/>
  <c r="AL134" i="1"/>
  <c r="AL42" i="30"/>
  <c r="AL117" i="1"/>
  <c r="BA174" i="26"/>
  <c r="AZ98" i="30"/>
  <c r="AZ187" i="30" s="1"/>
  <c r="BA107" i="6"/>
  <c r="BA111" i="6" s="1"/>
  <c r="BB158" i="26"/>
  <c r="BB166" i="26"/>
  <c r="BB161" i="26"/>
  <c r="BB156" i="26"/>
  <c r="BB168" i="26"/>
  <c r="BB159" i="26"/>
  <c r="BB155" i="26"/>
  <c r="BB154" i="26"/>
  <c r="BB160" i="26"/>
  <c r="BB167" i="26"/>
  <c r="BB165" i="26"/>
  <c r="BB162" i="26"/>
  <c r="BB164" i="26"/>
  <c r="BB157" i="26"/>
  <c r="BB163" i="26"/>
  <c r="BA123" i="26"/>
  <c r="BB81" i="26"/>
  <c r="BB131" i="26"/>
  <c r="BB106" i="26"/>
  <c r="BB79" i="26"/>
  <c r="BB61" i="26"/>
  <c r="BB117" i="26"/>
  <c r="BB132" i="26"/>
  <c r="BB80" i="26"/>
  <c r="BB62" i="26"/>
  <c r="BB136" i="26"/>
  <c r="BB87" i="26"/>
  <c r="BB58" i="26"/>
  <c r="BB142" i="26"/>
  <c r="BB118" i="26"/>
  <c r="BF446" i="9"/>
  <c r="BF449" i="9"/>
  <c r="BF444" i="9"/>
  <c r="AZ432" i="9"/>
  <c r="AZ687" i="9" s="1"/>
  <c r="BF437" i="9"/>
  <c r="BG443" i="9"/>
  <c r="AY503" i="9"/>
  <c r="AY1085" i="9" s="1"/>
  <c r="BF502" i="9"/>
  <c r="BF509" i="9"/>
  <c r="BF507" i="9"/>
  <c r="BA510" i="9"/>
  <c r="BE511" i="9"/>
  <c r="BF516" i="9"/>
  <c r="BF514" i="9"/>
  <c r="AZ508" i="9"/>
  <c r="BF225" i="9"/>
  <c r="BG219" i="9" s="1"/>
  <c r="BG223" i="9" s="1"/>
  <c r="BF92" i="9"/>
  <c r="BG86" i="9" s="1"/>
  <c r="BG90" i="9" s="1"/>
  <c r="BF505" i="9"/>
  <c r="BF149" i="9"/>
  <c r="BG143" i="9" s="1"/>
  <c r="BG147" i="9" s="1"/>
  <c r="BB85" i="26"/>
  <c r="BB86" i="26"/>
  <c r="BB234" i="26" s="1"/>
  <c r="BB82" i="26"/>
  <c r="BB55" i="26"/>
  <c r="BB60" i="26"/>
  <c r="BB67" i="26"/>
  <c r="BB66" i="26"/>
  <c r="BB104" i="26"/>
  <c r="BB113" i="26"/>
  <c r="BB112" i="26"/>
  <c r="BB235" i="26" s="1"/>
  <c r="BB144" i="26"/>
  <c r="BB115" i="26"/>
  <c r="BB130" i="26"/>
  <c r="BB108" i="26"/>
  <c r="BB134" i="26"/>
  <c r="BB90" i="26"/>
  <c r="BB88" i="26"/>
  <c r="BB83" i="26"/>
  <c r="BB92" i="26"/>
  <c r="BB65" i="26"/>
  <c r="BB64" i="26"/>
  <c r="BB63" i="26"/>
  <c r="BB59" i="26"/>
  <c r="BB116" i="26"/>
  <c r="BB135" i="26"/>
  <c r="BB114" i="26"/>
  <c r="BB140" i="26"/>
  <c r="BB133" i="26"/>
  <c r="BB139" i="26"/>
  <c r="BB137" i="26"/>
  <c r="BB143" i="26"/>
  <c r="BB78" i="26"/>
  <c r="BB91" i="26"/>
  <c r="BB89" i="26"/>
  <c r="BB84" i="26"/>
  <c r="BB57" i="26"/>
  <c r="BB56" i="26"/>
  <c r="BB54" i="26"/>
  <c r="BB53" i="26"/>
  <c r="BB111" i="26"/>
  <c r="BB138" i="26"/>
  <c r="BB141" i="26"/>
  <c r="BB110" i="26"/>
  <c r="BB105" i="26"/>
  <c r="BB107" i="26"/>
  <c r="BB109" i="26"/>
  <c r="BB196" i="26"/>
  <c r="BF995" i="9"/>
  <c r="BF435" i="9"/>
  <c r="BF1006" i="9"/>
  <c r="BF1004" i="9"/>
  <c r="BF1009" i="9"/>
  <c r="BE263" i="9"/>
  <c r="AZ992" i="9"/>
  <c r="AZ206" i="9"/>
  <c r="BA244" i="9"/>
  <c r="AY111" i="9"/>
  <c r="BC371" i="9"/>
  <c r="BC375" i="9" s="1"/>
  <c r="BF997" i="9"/>
  <c r="BF358" i="9"/>
  <c r="BG352" i="9" s="1"/>
  <c r="BG356" i="9" s="1"/>
  <c r="BB74" i="3"/>
  <c r="BA120" i="3"/>
  <c r="BB84" i="3"/>
  <c r="BA130" i="3"/>
  <c r="BB76" i="3"/>
  <c r="BA122" i="3"/>
  <c r="BB75" i="3"/>
  <c r="BA121" i="3"/>
  <c r="BB82" i="3"/>
  <c r="BA128" i="3"/>
  <c r="BB88" i="3"/>
  <c r="BA134" i="3"/>
  <c r="BB72" i="3"/>
  <c r="BA118" i="3"/>
  <c r="BB71" i="3"/>
  <c r="BA117" i="3"/>
  <c r="BC158" i="3"/>
  <c r="BC146" i="3"/>
  <c r="BC145" i="3"/>
  <c r="BC156" i="3"/>
  <c r="BC153" i="3"/>
  <c r="BB85" i="3"/>
  <c r="BA131" i="3"/>
  <c r="BB78" i="3"/>
  <c r="BA124" i="3"/>
  <c r="BC140" i="3"/>
  <c r="BC141" i="3"/>
  <c r="BC154" i="3"/>
  <c r="BC139" i="3"/>
  <c r="BC144" i="3"/>
  <c r="BC151" i="3"/>
  <c r="BC142" i="3"/>
  <c r="BB81" i="3"/>
  <c r="BA127" i="3"/>
  <c r="BB77" i="3"/>
  <c r="BA123" i="3"/>
  <c r="BB86" i="3"/>
  <c r="BA132" i="3"/>
  <c r="BB73" i="3"/>
  <c r="BA119" i="3"/>
  <c r="BB79" i="3"/>
  <c r="BA125" i="3"/>
  <c r="BB80" i="3"/>
  <c r="BA126" i="3"/>
  <c r="BB70" i="3"/>
  <c r="BA116" i="3"/>
  <c r="BC150" i="3"/>
  <c r="BC143" i="3"/>
  <c r="BC147" i="3"/>
  <c r="BC155" i="3"/>
  <c r="BB87" i="3"/>
  <c r="BA133" i="3"/>
  <c r="BB89" i="3"/>
  <c r="BA135" i="3"/>
  <c r="BB83" i="3"/>
  <c r="BA129" i="3"/>
  <c r="BC148" i="3"/>
  <c r="BC152" i="3"/>
  <c r="BC157" i="3"/>
  <c r="BC149" i="3"/>
  <c r="BF187" i="9"/>
  <c r="BG181" i="9"/>
  <c r="BG185" i="9" s="1"/>
  <c r="BF320" i="9"/>
  <c r="BG314" i="9" s="1"/>
  <c r="BG318" i="9" s="1"/>
  <c r="BC24" i="3"/>
  <c r="BC5" i="3"/>
  <c r="BB121" i="26"/>
  <c r="BB219" i="26"/>
  <c r="BC4" i="38"/>
  <c r="BC12" i="3"/>
  <c r="BC3" i="3" s="1"/>
  <c r="BB110" i="3"/>
  <c r="BB112" i="3"/>
  <c r="BB100" i="3"/>
  <c r="BB109" i="3"/>
  <c r="BB96" i="3"/>
  <c r="BB102" i="3"/>
  <c r="BB103" i="3"/>
  <c r="BB93" i="3"/>
  <c r="BB108" i="3"/>
  <c r="BB101" i="3"/>
  <c r="BB104" i="3"/>
  <c r="BB97" i="3"/>
  <c r="BB107" i="3"/>
  <c r="BB99" i="3"/>
  <c r="BB106" i="3"/>
  <c r="BB98" i="3"/>
  <c r="BB105" i="3"/>
  <c r="BB111" i="3"/>
  <c r="BB95" i="3"/>
  <c r="BB94" i="3"/>
  <c r="BD8" i="3"/>
  <c r="AZ64" i="33" l="1"/>
  <c r="AZ74" i="33"/>
  <c r="AZ747" i="9"/>
  <c r="AZ745" i="9"/>
  <c r="AZ737" i="9"/>
  <c r="AZ750" i="9"/>
  <c r="AY735" i="9"/>
  <c r="BA257" i="26"/>
  <c r="BA261" i="26" s="1"/>
  <c r="AZ34" i="6"/>
  <c r="AZ69" i="30" s="1"/>
  <c r="BB94" i="26"/>
  <c r="BB147" i="26"/>
  <c r="BB172" i="26"/>
  <c r="BB195" i="26"/>
  <c r="BA178" i="1"/>
  <c r="BA178" i="20" s="1"/>
  <c r="BB171" i="26"/>
  <c r="BB248" i="26"/>
  <c r="BB297" i="26"/>
  <c r="BB70" i="26"/>
  <c r="BB148" i="26"/>
  <c r="BB95" i="26"/>
  <c r="BB247" i="26" s="1"/>
  <c r="BB170" i="26"/>
  <c r="BA299" i="26"/>
  <c r="BA179" i="1"/>
  <c r="BA179" i="20" s="1"/>
  <c r="BB146" i="26"/>
  <c r="BB194" i="26"/>
  <c r="BA221" i="6"/>
  <c r="BA223" i="6" s="1"/>
  <c r="BA130" i="30" s="1"/>
  <c r="BA180" i="30"/>
  <c r="BA72" i="33" s="1"/>
  <c r="BA267" i="26"/>
  <c r="BA52" i="30"/>
  <c r="BC3" i="38"/>
  <c r="BC39" i="3"/>
  <c r="BB120" i="26"/>
  <c r="AK56" i="33"/>
  <c r="BC346" i="3"/>
  <c r="BC347" i="3"/>
  <c r="BG282" i="9"/>
  <c r="BH276" i="9" s="1"/>
  <c r="BH280" i="9" s="1"/>
  <c r="BH1003" i="9" s="1"/>
  <c r="BG450" i="9"/>
  <c r="AZ816" i="9"/>
  <c r="AZ819" i="9"/>
  <c r="AZ814" i="9"/>
  <c r="AY804" i="9"/>
  <c r="BA701" i="9"/>
  <c r="BA699" i="9"/>
  <c r="BA273" i="3"/>
  <c r="BA296" i="3" s="1"/>
  <c r="BA227" i="3"/>
  <c r="BA217" i="3"/>
  <c r="BA263" i="3"/>
  <c r="BA286" i="3" s="1"/>
  <c r="BA224" i="3"/>
  <c r="BA270" i="3"/>
  <c r="BA293" i="3" s="1"/>
  <c r="BA265" i="3"/>
  <c r="BA288" i="3" s="1"/>
  <c r="BA219" i="3"/>
  <c r="BA266" i="3"/>
  <c r="BA289" i="3" s="1"/>
  <c r="BA220" i="3"/>
  <c r="BA260" i="3"/>
  <c r="BA283" i="3" s="1"/>
  <c r="BA214" i="3"/>
  <c r="BA258" i="3"/>
  <c r="BA281" i="3" s="1"/>
  <c r="BA212" i="3"/>
  <c r="BA262" i="3"/>
  <c r="BA285" i="3" s="1"/>
  <c r="BA216" i="3"/>
  <c r="AZ856" i="9"/>
  <c r="BA267" i="3"/>
  <c r="BA290" i="3" s="1"/>
  <c r="BA221" i="3"/>
  <c r="BA225" i="3"/>
  <c r="BA271" i="3"/>
  <c r="BA294" i="3" s="1"/>
  <c r="BA264" i="3"/>
  <c r="BA287" i="3" s="1"/>
  <c r="BA218" i="3"/>
  <c r="BA257" i="3"/>
  <c r="BA280" i="3" s="1"/>
  <c r="BA211" i="3"/>
  <c r="BA215" i="3"/>
  <c r="BA261" i="3"/>
  <c r="BA284" i="3" s="1"/>
  <c r="BA272" i="3"/>
  <c r="BA295" i="3" s="1"/>
  <c r="BA226" i="3"/>
  <c r="BA259" i="3"/>
  <c r="BA282" i="3" s="1"/>
  <c r="BA213" i="3"/>
  <c r="BA268" i="3"/>
  <c r="BA291" i="3" s="1"/>
  <c r="BA222" i="3"/>
  <c r="BA704" i="9"/>
  <c r="BA691" i="9"/>
  <c r="BA269" i="3"/>
  <c r="BA292" i="3" s="1"/>
  <c r="BA223" i="3"/>
  <c r="AZ756" i="9"/>
  <c r="AZ829" i="9"/>
  <c r="BG512" i="9"/>
  <c r="BA256" i="3"/>
  <c r="BA279" i="3" s="1"/>
  <c r="BA210" i="3"/>
  <c r="BA233" i="3" s="1"/>
  <c r="AL197" i="1"/>
  <c r="AZ168" i="20"/>
  <c r="AZ48" i="30" s="1"/>
  <c r="BB68" i="26"/>
  <c r="AL147" i="30"/>
  <c r="BB117" i="20"/>
  <c r="BB24" i="32" s="1"/>
  <c r="BC30" i="3"/>
  <c r="AL49" i="30"/>
  <c r="AL195" i="20"/>
  <c r="BA255" i="3"/>
  <c r="BA278" i="3" s="1"/>
  <c r="BA209" i="3"/>
  <c r="BA232" i="3" s="1"/>
  <c r="AZ710" i="9"/>
  <c r="AZ733" i="9" s="1"/>
  <c r="BB145" i="26"/>
  <c r="BB173" i="26"/>
  <c r="BB93" i="26"/>
  <c r="BB106" i="6"/>
  <c r="BA92" i="30"/>
  <c r="AM152" i="30"/>
  <c r="AM59" i="33" s="1"/>
  <c r="AM15" i="1"/>
  <c r="AM42" i="30"/>
  <c r="AM107" i="1"/>
  <c r="AM151" i="1"/>
  <c r="AM37" i="1"/>
  <c r="AM39" i="30"/>
  <c r="AM84" i="1"/>
  <c r="AM117" i="1"/>
  <c r="AM134" i="1"/>
  <c r="AM67" i="1"/>
  <c r="AM34" i="30"/>
  <c r="BC5" i="38"/>
  <c r="BC51" i="3"/>
  <c r="BC166" i="3" s="1"/>
  <c r="BC189" i="3" s="1"/>
  <c r="BC55" i="3"/>
  <c r="BC170" i="3" s="1"/>
  <c r="BC193" i="3" s="1"/>
  <c r="BC48" i="3"/>
  <c r="BC163" i="3" s="1"/>
  <c r="BC186" i="3" s="1"/>
  <c r="BC56" i="3"/>
  <c r="BC171" i="3" s="1"/>
  <c r="BC194" i="3" s="1"/>
  <c r="BC52" i="3"/>
  <c r="BC167" i="3" s="1"/>
  <c r="BC190" i="3" s="1"/>
  <c r="BC63" i="3"/>
  <c r="BC178" i="3" s="1"/>
  <c r="BC201" i="3" s="1"/>
  <c r="BC61" i="3"/>
  <c r="BC176" i="3" s="1"/>
  <c r="BC199" i="3" s="1"/>
  <c r="BC60" i="3"/>
  <c r="BC175" i="3" s="1"/>
  <c r="BC198" i="3" s="1"/>
  <c r="BC57" i="3"/>
  <c r="BC172" i="3" s="1"/>
  <c r="BC195" i="3" s="1"/>
  <c r="BC49" i="3"/>
  <c r="BC164" i="3" s="1"/>
  <c r="BC187" i="3" s="1"/>
  <c r="BC54" i="3"/>
  <c r="BC169" i="3" s="1"/>
  <c r="BC192" i="3" s="1"/>
  <c r="BC62" i="3"/>
  <c r="BC177" i="3" s="1"/>
  <c r="BC200" i="3" s="1"/>
  <c r="BC53" i="3"/>
  <c r="BC168" i="3" s="1"/>
  <c r="BC191" i="3" s="1"/>
  <c r="BC58" i="3"/>
  <c r="BC173" i="3" s="1"/>
  <c r="BC196" i="3" s="1"/>
  <c r="BC66" i="3"/>
  <c r="BC59" i="3"/>
  <c r="BC174" i="3" s="1"/>
  <c r="BC197" i="3" s="1"/>
  <c r="BC64" i="3"/>
  <c r="BC179" i="3" s="1"/>
  <c r="BC202" i="3" s="1"/>
  <c r="BC65" i="3"/>
  <c r="BC180" i="3" s="1"/>
  <c r="BC203" i="3" s="1"/>
  <c r="BC50" i="3"/>
  <c r="BC165" i="3" s="1"/>
  <c r="BC188" i="3" s="1"/>
  <c r="BC47" i="3"/>
  <c r="BC162" i="3" s="1"/>
  <c r="BC185" i="3" s="1"/>
  <c r="BB197" i="26"/>
  <c r="BB149" i="26"/>
  <c r="BA281" i="26"/>
  <c r="BA154" i="6" s="1"/>
  <c r="BA114" i="6"/>
  <c r="BA116" i="30" s="1"/>
  <c r="BB169" i="26"/>
  <c r="AY94" i="6"/>
  <c r="AY88" i="35"/>
  <c r="BB119" i="26"/>
  <c r="BA208" i="3"/>
  <c r="BA254" i="3"/>
  <c r="BA277" i="3" s="1"/>
  <c r="BC5" i="33"/>
  <c r="BC5" i="35"/>
  <c r="BC4" i="33"/>
  <c r="BC4" i="35"/>
  <c r="BC3" i="33"/>
  <c r="BC3" i="35"/>
  <c r="BG433" i="9"/>
  <c r="BG445" i="9"/>
  <c r="BG440" i="9"/>
  <c r="BG438" i="9"/>
  <c r="BG447" i="9"/>
  <c r="BC448" i="9"/>
  <c r="BF301" i="9"/>
  <c r="AZ501" i="9"/>
  <c r="BF504" i="9"/>
  <c r="BG519" i="9"/>
  <c r="BF506" i="9"/>
  <c r="BF515" i="9"/>
  <c r="BG1000" i="9"/>
  <c r="BG993" i="9"/>
  <c r="BG436" i="9"/>
  <c r="BG996" i="9"/>
  <c r="BB193" i="26"/>
  <c r="BC5" i="32"/>
  <c r="BC5" i="30"/>
  <c r="BC3" i="28"/>
  <c r="BC3" i="32"/>
  <c r="BC3" i="30"/>
  <c r="BC16" i="3"/>
  <c r="BC18" i="3" s="1"/>
  <c r="BC4" i="32"/>
  <c r="BC4" i="30"/>
  <c r="BF130" i="9"/>
  <c r="BF339" i="9"/>
  <c r="BG295" i="9"/>
  <c r="BG299" i="9" s="1"/>
  <c r="BF513" i="9"/>
  <c r="BF396" i="9"/>
  <c r="BF518" i="9"/>
  <c r="BF257" i="9"/>
  <c r="BF261" i="9" s="1"/>
  <c r="BG333" i="9"/>
  <c r="BG337" i="9" s="1"/>
  <c r="BG390" i="9"/>
  <c r="BG394" i="9" s="1"/>
  <c r="AZ105" i="9"/>
  <c r="AZ109" i="9" s="1"/>
  <c r="BA200" i="9"/>
  <c r="BA204" i="9" s="1"/>
  <c r="BG124" i="9"/>
  <c r="BG128" i="9" s="1"/>
  <c r="BF168" i="9"/>
  <c r="BG162" i="9" s="1"/>
  <c r="BG166" i="9" s="1"/>
  <c r="BC1008" i="9"/>
  <c r="BB238" i="9"/>
  <c r="BB242" i="9" s="1"/>
  <c r="AZ73" i="9"/>
  <c r="BG1007" i="9"/>
  <c r="BG415" i="9"/>
  <c r="BH409" i="9" s="1"/>
  <c r="BH413" i="9" s="1"/>
  <c r="BC4" i="28"/>
  <c r="BC5" i="28"/>
  <c r="BG998" i="9"/>
  <c r="BG1005" i="9"/>
  <c r="BB107" i="6"/>
  <c r="BC5" i="26"/>
  <c r="BC4" i="16"/>
  <c r="BC4" i="26"/>
  <c r="BC3" i="26"/>
  <c r="BC4" i="11"/>
  <c r="BC4" i="9"/>
  <c r="BC4" i="12"/>
  <c r="BC5" i="22"/>
  <c r="BC5" i="20"/>
  <c r="BC4" i="22"/>
  <c r="BC4" i="20"/>
  <c r="BC3" i="22"/>
  <c r="BC3" i="20"/>
  <c r="BD10" i="3"/>
  <c r="BD4" i="3" s="1"/>
  <c r="BD2" i="44" s="1" a="1"/>
  <c r="BD2" i="44" s="1"/>
  <c r="BC3" i="16"/>
  <c r="BC3" i="12"/>
  <c r="BC3" i="11"/>
  <c r="BC3" i="9"/>
  <c r="BC3" i="1"/>
  <c r="DW2" i="1" s="1"/>
  <c r="BC3" i="6"/>
  <c r="BC3" i="4"/>
  <c r="BC5" i="16"/>
  <c r="BC5" i="12"/>
  <c r="BC5" i="11"/>
  <c r="BC5" i="9"/>
  <c r="BB257" i="26" l="1"/>
  <c r="BA34" i="6"/>
  <c r="BA69" i="30" s="1"/>
  <c r="BC181" i="3"/>
  <c r="BC204" i="3" s="1"/>
  <c r="BA183" i="20"/>
  <c r="BB222" i="26"/>
  <c r="BB298" i="26"/>
  <c r="BB97" i="26"/>
  <c r="BB180" i="1"/>
  <c r="BB180" i="20" s="1"/>
  <c r="BB233" i="26"/>
  <c r="BB249" i="26"/>
  <c r="BB236" i="26"/>
  <c r="BB220" i="26"/>
  <c r="BB268" i="26"/>
  <c r="BB71" i="26"/>
  <c r="BB259" i="26" s="1"/>
  <c r="BB261" i="26" s="1"/>
  <c r="BB221" i="26"/>
  <c r="BB295" i="26"/>
  <c r="BA183" i="1"/>
  <c r="BB296" i="26"/>
  <c r="BC169" i="20" a="1"/>
  <c r="BC169" i="20" s="1"/>
  <c r="BC149" i="20" a="1"/>
  <c r="BC149" i="20" s="1"/>
  <c r="BC145" i="20" a="1"/>
  <c r="BC145" i="20" s="1"/>
  <c r="BC144" i="20" a="1"/>
  <c r="BC144" i="20" s="1"/>
  <c r="BC172" i="20" a="1"/>
  <c r="BC172" i="20" s="1"/>
  <c r="BC150" i="20" a="1"/>
  <c r="BC150" i="20" s="1"/>
  <c r="BC198" i="20" a="1"/>
  <c r="BC198" i="20" s="1"/>
  <c r="BC148" i="20" a="1"/>
  <c r="BC148" i="20" s="1"/>
  <c r="BC181" i="20" a="1"/>
  <c r="BC181" i="20" s="1"/>
  <c r="BC146" i="20" a="1"/>
  <c r="BC146" i="20" s="1"/>
  <c r="BC129" i="20" a="1"/>
  <c r="BC129" i="20" s="1"/>
  <c r="BC128" i="20" a="1"/>
  <c r="BC128" i="20" s="1"/>
  <c r="BC127" i="20" a="1"/>
  <c r="BC127" i="20" s="1"/>
  <c r="BC126" i="20" a="1"/>
  <c r="BC126" i="20" s="1"/>
  <c r="BC154" i="20" a="1"/>
  <c r="BC154" i="20" s="1"/>
  <c r="BC143" i="20" a="1"/>
  <c r="BC143" i="20" s="1"/>
  <c r="BC141" i="20" a="1"/>
  <c r="BC141" i="20" s="1"/>
  <c r="BC139" i="20" a="1"/>
  <c r="BC139" i="20" s="1"/>
  <c r="BC137" i="20" a="1"/>
  <c r="BC137" i="20" s="1"/>
  <c r="BC132" i="20" a="1"/>
  <c r="BC132" i="20" s="1"/>
  <c r="BC125" i="20" a="1"/>
  <c r="BC125" i="20" s="1"/>
  <c r="BC124" i="20" a="1"/>
  <c r="BC124" i="20" s="1"/>
  <c r="BC123" i="20" a="1"/>
  <c r="BC123" i="20" s="1"/>
  <c r="BC122" i="20" a="1"/>
  <c r="BC122" i="20" s="1"/>
  <c r="BC115" i="20" a="1"/>
  <c r="BC115" i="20" s="1"/>
  <c r="BC117" i="20" s="1"/>
  <c r="BC112" i="20" a="1"/>
  <c r="BC112" i="20" s="1"/>
  <c r="BC111" i="20" a="1"/>
  <c r="BC111" i="20" s="1"/>
  <c r="BC110" i="20" a="1"/>
  <c r="BC110" i="20" s="1"/>
  <c r="BC106" i="20" a="1"/>
  <c r="BC106" i="20" s="1"/>
  <c r="BC105" i="20" a="1"/>
  <c r="BC105" i="20" s="1"/>
  <c r="BC142" i="20" a="1"/>
  <c r="BC142" i="20" s="1"/>
  <c r="BC138" i="20" a="1"/>
  <c r="BC138" i="20" s="1"/>
  <c r="BC131" i="20" a="1"/>
  <c r="BC131" i="20" s="1"/>
  <c r="BC104" i="20" a="1"/>
  <c r="BC104" i="20" s="1"/>
  <c r="BC140" i="20" a="1"/>
  <c r="BC140" i="20" s="1"/>
  <c r="BC133" i="20" a="1"/>
  <c r="BC133" i="20" s="1"/>
  <c r="BC103" i="20" a="1"/>
  <c r="BC103" i="20" s="1"/>
  <c r="BC102" i="20" a="1"/>
  <c r="BC102" i="20" s="1"/>
  <c r="BC101" i="20" a="1"/>
  <c r="BC101" i="20" s="1"/>
  <c r="BC97" i="20" a="1"/>
  <c r="BC97" i="20" s="1"/>
  <c r="BC96" i="20" a="1"/>
  <c r="BC96" i="20" s="1"/>
  <c r="BC95" i="20" a="1"/>
  <c r="BC95" i="20" s="1"/>
  <c r="BC94" i="20" a="1"/>
  <c r="BC94" i="20" s="1"/>
  <c r="BC93" i="20" a="1"/>
  <c r="BC93" i="20" s="1"/>
  <c r="BC92" i="20" a="1"/>
  <c r="BC92" i="20" s="1"/>
  <c r="BC91" i="20" a="1"/>
  <c r="BC91" i="20" s="1"/>
  <c r="BC90" i="20" a="1"/>
  <c r="BC90" i="20" s="1"/>
  <c r="BC89" i="20" a="1"/>
  <c r="BC89" i="20" s="1"/>
  <c r="BC88" i="20" a="1"/>
  <c r="BC88" i="20" s="1"/>
  <c r="BC87" i="20" a="1"/>
  <c r="BC87" i="20" s="1"/>
  <c r="BC83" i="20" a="1"/>
  <c r="BC83" i="20" s="1"/>
  <c r="BC80" i="20" a="1"/>
  <c r="BC80" i="20" s="1"/>
  <c r="BC76" i="20" a="1"/>
  <c r="BC76" i="20" s="1"/>
  <c r="BC72" i="20" a="1"/>
  <c r="BC72" i="20" s="1"/>
  <c r="BC65" i="20" a="1"/>
  <c r="BC65" i="20" s="1"/>
  <c r="BC58" i="20" a="1"/>
  <c r="BC58" i="20" s="1"/>
  <c r="BC54" i="20" a="1"/>
  <c r="BC54" i="20" s="1"/>
  <c r="BC47" i="20" a="1"/>
  <c r="BC47" i="20" s="1"/>
  <c r="BC38" i="20" a="1"/>
  <c r="BC38" i="20" s="1"/>
  <c r="BC36" i="20" a="1"/>
  <c r="BC36" i="20" s="1"/>
  <c r="BC35" i="20" a="1"/>
  <c r="BC35" i="20" s="1"/>
  <c r="BC34" i="20" a="1"/>
  <c r="BC34" i="20" s="1"/>
  <c r="BC33" i="20" a="1"/>
  <c r="BC33" i="20" s="1"/>
  <c r="BC32" i="20" a="1"/>
  <c r="BC32" i="20" s="1"/>
  <c r="BC29" i="20" a="1"/>
  <c r="BC29" i="20" s="1"/>
  <c r="BC27" i="20" a="1"/>
  <c r="BC27" i="20" s="1"/>
  <c r="BC26" i="20" a="1"/>
  <c r="BC26" i="20" s="1"/>
  <c r="BC25" i="20" a="1"/>
  <c r="BC25" i="20" s="1"/>
  <c r="BC24" i="20" a="1"/>
  <c r="BC24" i="20" s="1"/>
  <c r="BC23" i="20" a="1"/>
  <c r="BC23" i="20" s="1"/>
  <c r="BC22" i="20" a="1"/>
  <c r="BC22" i="20" s="1"/>
  <c r="BC21" i="20" a="1"/>
  <c r="BC21" i="20" s="1"/>
  <c r="BC20" i="20" a="1"/>
  <c r="BC20" i="20" s="1"/>
  <c r="BC19" i="20" a="1"/>
  <c r="BC19" i="20" s="1"/>
  <c r="BC16" i="20" a="1"/>
  <c r="BC16" i="20" s="1"/>
  <c r="BC13" i="20" a="1"/>
  <c r="BC13" i="20" s="1"/>
  <c r="BC12" i="20" a="1"/>
  <c r="BC12" i="20" s="1"/>
  <c r="BC77" i="20" a="1"/>
  <c r="BC77" i="20" s="1"/>
  <c r="BC66" i="20" a="1"/>
  <c r="BC66" i="20" s="1"/>
  <c r="BC48" i="20" a="1"/>
  <c r="BC48" i="20" s="1"/>
  <c r="BC45" i="20" a="1"/>
  <c r="BC45" i="20" s="1"/>
  <c r="BC41" i="20" a="1"/>
  <c r="BC41" i="20" s="1"/>
  <c r="BC79" i="20" a="1"/>
  <c r="BC79" i="20" s="1"/>
  <c r="BC75" i="20" a="1"/>
  <c r="BC75" i="20" s="1"/>
  <c r="BC71" i="20" a="1"/>
  <c r="BC71" i="20" s="1"/>
  <c r="BC64" i="20" a="1"/>
  <c r="BC64" i="20" s="1"/>
  <c r="BC57" i="20" a="1"/>
  <c r="BC57" i="20" s="1"/>
  <c r="BC53" i="20" a="1"/>
  <c r="BC53" i="20" s="1"/>
  <c r="BC46" i="20" a="1"/>
  <c r="BC46" i="20" s="1"/>
  <c r="BC44" i="20" a="1"/>
  <c r="BC44" i="20" s="1"/>
  <c r="BC42" i="20" a="1"/>
  <c r="BC42" i="20" s="1"/>
  <c r="BC43" i="20" a="1"/>
  <c r="BC43" i="20" s="1"/>
  <c r="BC82" i="20" a="1"/>
  <c r="BC82" i="20" s="1"/>
  <c r="BC78" i="20" a="1"/>
  <c r="BC78" i="20" s="1"/>
  <c r="BC74" i="20" a="1"/>
  <c r="BC74" i="20" s="1"/>
  <c r="BC68" i="20" a="1"/>
  <c r="BC68" i="20" s="1"/>
  <c r="BC61" i="20" a="1"/>
  <c r="BC61" i="20" s="1"/>
  <c r="BC56" i="20" a="1"/>
  <c r="BC56" i="20" s="1"/>
  <c r="BC50" i="20" a="1"/>
  <c r="BC50" i="20" s="1"/>
  <c r="BC81" i="20" a="1"/>
  <c r="BC81" i="20" s="1"/>
  <c r="BC73" i="20" a="1"/>
  <c r="BC73" i="20" s="1"/>
  <c r="BC59" i="20" a="1"/>
  <c r="BC59" i="20" s="1"/>
  <c r="BC55" i="20" a="1"/>
  <c r="BC55" i="20" s="1"/>
  <c r="BB123" i="26"/>
  <c r="BB153" i="30"/>
  <c r="BH443" i="9"/>
  <c r="BA50" i="30"/>
  <c r="AL56" i="33"/>
  <c r="BC140" i="9"/>
  <c r="BC178" i="9"/>
  <c r="BC216" i="9"/>
  <c r="BC254" i="9"/>
  <c r="BC292" i="9"/>
  <c r="BC330" i="9"/>
  <c r="BC368" i="9"/>
  <c r="BC406" i="9"/>
  <c r="BC64" i="9"/>
  <c r="BC197" i="9"/>
  <c r="BC349" i="9"/>
  <c r="BC102" i="9"/>
  <c r="BC235" i="9"/>
  <c r="BC387" i="9"/>
  <c r="BC121" i="9"/>
  <c r="BC83" i="9"/>
  <c r="BC159" i="9"/>
  <c r="BC311" i="9"/>
  <c r="BC273" i="9"/>
  <c r="BC425" i="9"/>
  <c r="BA846" i="9"/>
  <c r="BA841" i="9"/>
  <c r="BA833" i="9"/>
  <c r="BA843" i="9"/>
  <c r="BA770" i="9"/>
  <c r="BA793" i="9" s="1"/>
  <c r="BA866" i="9" s="1"/>
  <c r="BA768" i="9"/>
  <c r="BA791" i="9" s="1"/>
  <c r="BA864" i="9" s="1"/>
  <c r="BA245" i="3"/>
  <c r="BA727" i="9"/>
  <c r="BA249" i="3"/>
  <c r="BA773" i="9"/>
  <c r="BA796" i="9" s="1"/>
  <c r="BA869" i="9" s="1"/>
  <c r="BA240" i="3"/>
  <c r="BA724" i="9"/>
  <c r="BA246" i="3"/>
  <c r="BA241" i="3"/>
  <c r="BA248" i="3"/>
  <c r="BA237" i="3"/>
  <c r="BA714" i="9"/>
  <c r="BA236" i="3"/>
  <c r="BA238" i="3"/>
  <c r="BA722" i="9"/>
  <c r="BA244" i="3"/>
  <c r="BA760" i="9"/>
  <c r="BA783" i="9" s="1"/>
  <c r="BA856" i="9" s="1"/>
  <c r="BA247" i="3"/>
  <c r="BA250" i="3"/>
  <c r="BA234" i="3"/>
  <c r="BA239" i="3"/>
  <c r="BA235" i="3"/>
  <c r="BA243" i="3"/>
  <c r="BA242" i="3"/>
  <c r="AM197" i="1"/>
  <c r="BC192" i="26"/>
  <c r="BC183" i="26"/>
  <c r="BC178" i="26"/>
  <c r="BC190" i="26"/>
  <c r="BC188" i="26"/>
  <c r="BC179" i="26"/>
  <c r="BC181" i="26"/>
  <c r="BC195" i="26" s="1"/>
  <c r="BC296" i="26" s="1"/>
  <c r="BC186" i="26"/>
  <c r="BC191" i="26"/>
  <c r="BC187" i="26"/>
  <c r="BC189" i="26"/>
  <c r="BC182" i="26"/>
  <c r="BC180" i="26"/>
  <c r="BC194" i="26" s="1"/>
  <c r="BC295" i="26" s="1"/>
  <c r="BC184" i="26"/>
  <c r="BC185" i="26"/>
  <c r="BB220" i="6"/>
  <c r="BB205" i="26"/>
  <c r="AM147" i="30"/>
  <c r="AM49" i="30"/>
  <c r="AM195" i="20"/>
  <c r="AZ779" i="9"/>
  <c r="AZ802" i="9" s="1"/>
  <c r="BD43" i="3"/>
  <c r="BB150" i="26"/>
  <c r="BB206" i="26"/>
  <c r="BB111" i="6"/>
  <c r="BB198" i="26"/>
  <c r="AN84" i="1"/>
  <c r="AN37" i="1"/>
  <c r="AN151" i="1"/>
  <c r="AN152" i="30"/>
  <c r="AN59" i="33" s="1"/>
  <c r="AN34" i="30"/>
  <c r="AN117" i="1"/>
  <c r="AN39" i="30"/>
  <c r="AN107" i="1"/>
  <c r="AN15" i="1"/>
  <c r="AN67" i="1"/>
  <c r="AN42" i="30"/>
  <c r="BB276" i="26"/>
  <c r="BA98" i="30"/>
  <c r="BA187" i="30" s="1"/>
  <c r="BB174" i="26"/>
  <c r="BB208" i="26"/>
  <c r="BC167" i="26"/>
  <c r="BC160" i="26"/>
  <c r="BC154" i="26"/>
  <c r="BC173" i="26" s="1"/>
  <c r="BC268" i="26" s="1"/>
  <c r="BC157" i="26"/>
  <c r="BC168" i="26"/>
  <c r="BC162" i="26"/>
  <c r="BC159" i="26"/>
  <c r="BC161" i="26"/>
  <c r="BC155" i="26"/>
  <c r="BC164" i="26"/>
  <c r="BC163" i="26"/>
  <c r="BC165" i="26"/>
  <c r="BC158" i="26"/>
  <c r="BC172" i="26" s="1"/>
  <c r="BC236" i="26" s="1"/>
  <c r="BC166" i="26"/>
  <c r="BC156" i="26"/>
  <c r="BC170" i="26" s="1"/>
  <c r="BC222" i="26" s="1"/>
  <c r="BC171" i="26"/>
  <c r="BC249" i="26" s="1"/>
  <c r="BB207" i="26"/>
  <c r="BA231" i="3"/>
  <c r="BB294" i="26"/>
  <c r="BB441" i="9"/>
  <c r="BF442" i="9"/>
  <c r="BG444" i="9"/>
  <c r="BA439" i="9"/>
  <c r="BH450" i="9"/>
  <c r="BG437" i="9"/>
  <c r="BG449" i="9"/>
  <c r="AZ434" i="9"/>
  <c r="AZ689" i="9" s="1"/>
  <c r="BG446" i="9"/>
  <c r="BG514" i="9"/>
  <c r="BG516" i="9"/>
  <c r="BH512" i="9"/>
  <c r="BC517" i="9"/>
  <c r="BG502" i="9"/>
  <c r="BG507" i="9"/>
  <c r="BG509" i="9"/>
  <c r="BG225" i="9"/>
  <c r="BH219" i="9" s="1"/>
  <c r="BH223" i="9" s="1"/>
  <c r="BG92" i="9"/>
  <c r="BH86" i="9" s="1"/>
  <c r="BH90" i="9" s="1"/>
  <c r="BG505" i="9"/>
  <c r="BG149" i="9"/>
  <c r="BH143" i="9" s="1"/>
  <c r="BH147" i="9" s="1"/>
  <c r="BC196" i="26"/>
  <c r="BC297" i="26" s="1"/>
  <c r="BC57" i="26"/>
  <c r="BG1004" i="9"/>
  <c r="BG1009" i="9"/>
  <c r="BG995" i="9"/>
  <c r="BG435" i="9"/>
  <c r="BG1006" i="9"/>
  <c r="BF1002" i="9"/>
  <c r="BB1001" i="9"/>
  <c r="BG997" i="9"/>
  <c r="AZ994" i="9"/>
  <c r="BA67" i="9"/>
  <c r="BA71" i="9" s="1"/>
  <c r="BC377" i="9"/>
  <c r="BA999" i="9"/>
  <c r="BC56" i="26"/>
  <c r="BG358" i="9"/>
  <c r="BH352" i="9" s="1"/>
  <c r="BH356" i="9" s="1"/>
  <c r="BH1010" i="9"/>
  <c r="BC73" i="3"/>
  <c r="BB119" i="3"/>
  <c r="BC72" i="3"/>
  <c r="BB118" i="3"/>
  <c r="BC85" i="3"/>
  <c r="BB131" i="3"/>
  <c r="BC77" i="3"/>
  <c r="BB123" i="3"/>
  <c r="BC79" i="3"/>
  <c r="BB125" i="3"/>
  <c r="BC86" i="3"/>
  <c r="BB132" i="3"/>
  <c r="BC88" i="3"/>
  <c r="BB134" i="3"/>
  <c r="BC84" i="3"/>
  <c r="BB130" i="3"/>
  <c r="BC80" i="3"/>
  <c r="BB126" i="3"/>
  <c r="BD142" i="3"/>
  <c r="BD145" i="3"/>
  <c r="BD153" i="3"/>
  <c r="BD155" i="3"/>
  <c r="BC81" i="3"/>
  <c r="BB127" i="3"/>
  <c r="BD157" i="3"/>
  <c r="BD147" i="3"/>
  <c r="BD141" i="3"/>
  <c r="BD146" i="3"/>
  <c r="BD158" i="3"/>
  <c r="BC89" i="3"/>
  <c r="BB135" i="3"/>
  <c r="BC75" i="3"/>
  <c r="BB121" i="3"/>
  <c r="BC76" i="3"/>
  <c r="BB122" i="3"/>
  <c r="BC83" i="3"/>
  <c r="BB129" i="3"/>
  <c r="BC74" i="3"/>
  <c r="BB120" i="3"/>
  <c r="BC78" i="3"/>
  <c r="BB124" i="3"/>
  <c r="BC82" i="3"/>
  <c r="BB128" i="3"/>
  <c r="BC71" i="3"/>
  <c r="BB117" i="3"/>
  <c r="BC87" i="3"/>
  <c r="BB133" i="3"/>
  <c r="BC70" i="3"/>
  <c r="BB116" i="3"/>
  <c r="BD156" i="3"/>
  <c r="BD149" i="3"/>
  <c r="BD140" i="3"/>
  <c r="BD139" i="3"/>
  <c r="BD151" i="3"/>
  <c r="BD152" i="3"/>
  <c r="BD154" i="3"/>
  <c r="BD144" i="3"/>
  <c r="BD150" i="3"/>
  <c r="BD148" i="3"/>
  <c r="BD143" i="3"/>
  <c r="BD5" i="3"/>
  <c r="BC81" i="26"/>
  <c r="BG187" i="9"/>
  <c r="BH181" i="9" s="1"/>
  <c r="BH185" i="9" s="1"/>
  <c r="BG320" i="9"/>
  <c r="BH314" i="9" s="1"/>
  <c r="BH318" i="9" s="1"/>
  <c r="BH282" i="9"/>
  <c r="BI276" i="9" s="1"/>
  <c r="BI280" i="9" s="1"/>
  <c r="BA168" i="20"/>
  <c r="BC82" i="26"/>
  <c r="BC80" i="26"/>
  <c r="BC55" i="26"/>
  <c r="BC78" i="26"/>
  <c r="BC94" i="26" s="1"/>
  <c r="BC220" i="26" s="1"/>
  <c r="BC84" i="26"/>
  <c r="BC63" i="26"/>
  <c r="BC86" i="26"/>
  <c r="BC234" i="26" s="1"/>
  <c r="BC60" i="26"/>
  <c r="BC91" i="26"/>
  <c r="BC65" i="26"/>
  <c r="BC90" i="26"/>
  <c r="BC79" i="26"/>
  <c r="BC95" i="26" s="1"/>
  <c r="BC180" i="1" s="1"/>
  <c r="BC53" i="26"/>
  <c r="BC92" i="26"/>
  <c r="BC83" i="26"/>
  <c r="BC67" i="26"/>
  <c r="BC61" i="26"/>
  <c r="BC66" i="26"/>
  <c r="BC88" i="26"/>
  <c r="BC85" i="26"/>
  <c r="BC87" i="26"/>
  <c r="BC89" i="26"/>
  <c r="BC59" i="26"/>
  <c r="BC62" i="26"/>
  <c r="BC58" i="26"/>
  <c r="BC54" i="26"/>
  <c r="BC64" i="26"/>
  <c r="BC142" i="26"/>
  <c r="BC133" i="26"/>
  <c r="BC147" i="26" s="1"/>
  <c r="BC116" i="26"/>
  <c r="BC115" i="26"/>
  <c r="BC134" i="26"/>
  <c r="BC148" i="26" s="1"/>
  <c r="BC135" i="26"/>
  <c r="BC107" i="26"/>
  <c r="BC114" i="26"/>
  <c r="BC144" i="26"/>
  <c r="BC118" i="26"/>
  <c r="BC112" i="26"/>
  <c r="BC235" i="26" s="1"/>
  <c r="BC105" i="26"/>
  <c r="BC130" i="26"/>
  <c r="BC131" i="26"/>
  <c r="BC139" i="26"/>
  <c r="BC111" i="26"/>
  <c r="BC141" i="26"/>
  <c r="BC140" i="26"/>
  <c r="BC108" i="26"/>
  <c r="BC143" i="26"/>
  <c r="BC109" i="26"/>
  <c r="BC113" i="26"/>
  <c r="BC132" i="26"/>
  <c r="BC146" i="26" s="1"/>
  <c r="BC137" i="26"/>
  <c r="BC136" i="26"/>
  <c r="BC104" i="26"/>
  <c r="BC138" i="26"/>
  <c r="BC106" i="26"/>
  <c r="BC121" i="26" s="1"/>
  <c r="BC248" i="26" s="1"/>
  <c r="BC110" i="26"/>
  <c r="BC117" i="26"/>
  <c r="BD12" i="3"/>
  <c r="BD3" i="3" s="1"/>
  <c r="BD24" i="3"/>
  <c r="BD4" i="38"/>
  <c r="BC111" i="3"/>
  <c r="BC97" i="3"/>
  <c r="BC101" i="3"/>
  <c r="BC105" i="3"/>
  <c r="BC94" i="3"/>
  <c r="BC110" i="3"/>
  <c r="BC93" i="3"/>
  <c r="BC108" i="3"/>
  <c r="BC100" i="3"/>
  <c r="BC102" i="3"/>
  <c r="BC96" i="3"/>
  <c r="BC103" i="3"/>
  <c r="BC95" i="3"/>
  <c r="BC109" i="3"/>
  <c r="BC107" i="3"/>
  <c r="BC112" i="3"/>
  <c r="BC104" i="3"/>
  <c r="BC98" i="3"/>
  <c r="BC99" i="3"/>
  <c r="BC106" i="3"/>
  <c r="BE8" i="3"/>
  <c r="AN156" i="1"/>
  <c r="AM156" i="1"/>
  <c r="AL156" i="1"/>
  <c r="AK156" i="1"/>
  <c r="AJ156" i="1"/>
  <c r="AI156" i="1"/>
  <c r="AH156" i="1"/>
  <c r="AG156" i="1"/>
  <c r="AF156" i="1"/>
  <c r="AE156" i="1"/>
  <c r="AC156" i="1"/>
  <c r="AB156" i="1"/>
  <c r="AN60" i="1"/>
  <c r="AM60" i="1"/>
  <c r="AL60" i="1"/>
  <c r="AK60" i="1"/>
  <c r="AJ60" i="1"/>
  <c r="AI60" i="1"/>
  <c r="AH60" i="1"/>
  <c r="AG60" i="1"/>
  <c r="AF60" i="1"/>
  <c r="AE60" i="1"/>
  <c r="AD60" i="1"/>
  <c r="AC60" i="1"/>
  <c r="CU61" i="1"/>
  <c r="CP61" i="1"/>
  <c r="AN49" i="1"/>
  <c r="AM49" i="1"/>
  <c r="AL49" i="1"/>
  <c r="AK49" i="1"/>
  <c r="AJ49" i="1"/>
  <c r="AI49" i="1"/>
  <c r="AH49" i="1"/>
  <c r="AG49" i="1"/>
  <c r="AF49" i="1"/>
  <c r="AE49" i="1"/>
  <c r="AD49" i="1"/>
  <c r="AC49" i="1"/>
  <c r="AB49" i="1"/>
  <c r="AN28" i="1"/>
  <c r="AM28" i="1"/>
  <c r="AL28" i="1"/>
  <c r="AK28" i="1"/>
  <c r="AJ28" i="1"/>
  <c r="AI28" i="1"/>
  <c r="AH28" i="1"/>
  <c r="AG28" i="1"/>
  <c r="AF28" i="1"/>
  <c r="AE28" i="1"/>
  <c r="AD28" i="1"/>
  <c r="AC28" i="1"/>
  <c r="AB28" i="1"/>
  <c r="BA64" i="33" l="1"/>
  <c r="BA74" i="33"/>
  <c r="BA745" i="9"/>
  <c r="BA747" i="9"/>
  <c r="BA750" i="9"/>
  <c r="BA737" i="9"/>
  <c r="BB180" i="30"/>
  <c r="BB72" i="33" s="1"/>
  <c r="BB179" i="1"/>
  <c r="BB179" i="20" s="1"/>
  <c r="BB267" i="26"/>
  <c r="BB178" i="1"/>
  <c r="BB221" i="6"/>
  <c r="BB223" i="6" s="1"/>
  <c r="BC24" i="32"/>
  <c r="BC153" i="30"/>
  <c r="AB119" i="1"/>
  <c r="AJ119" i="1"/>
  <c r="AF119" i="1"/>
  <c r="AG119" i="1"/>
  <c r="AC119" i="1"/>
  <c r="AK119" i="1"/>
  <c r="AD119" i="1"/>
  <c r="AH119" i="1"/>
  <c r="AE119" i="1"/>
  <c r="BB52" i="30"/>
  <c r="AL119" i="1"/>
  <c r="AI119" i="1"/>
  <c r="AN119" i="1"/>
  <c r="AM119" i="1"/>
  <c r="BD3" i="38"/>
  <c r="BD39" i="3"/>
  <c r="AM56" i="33"/>
  <c r="BD347" i="3"/>
  <c r="BD346" i="3"/>
  <c r="BA814" i="9"/>
  <c r="BA816" i="9"/>
  <c r="BA806" i="9"/>
  <c r="BA819" i="9"/>
  <c r="AZ758" i="9"/>
  <c r="AZ781" i="9" s="1"/>
  <c r="AZ854" i="9" s="1"/>
  <c r="BB691" i="9"/>
  <c r="AZ831" i="9"/>
  <c r="AZ712" i="9"/>
  <c r="BB699" i="9"/>
  <c r="BB701" i="9"/>
  <c r="BB267" i="3"/>
  <c r="BB290" i="3" s="1"/>
  <c r="BB221" i="3"/>
  <c r="BB265" i="3"/>
  <c r="BB288" i="3" s="1"/>
  <c r="BB219" i="3"/>
  <c r="BB268" i="3"/>
  <c r="BB291" i="3" s="1"/>
  <c r="BB222" i="3"/>
  <c r="BB270" i="3"/>
  <c r="BB293" i="3" s="1"/>
  <c r="BB224" i="3"/>
  <c r="BB261" i="3"/>
  <c r="BB284" i="3" s="1"/>
  <c r="BB215" i="3"/>
  <c r="BB704" i="9"/>
  <c r="BB262" i="3"/>
  <c r="BB285" i="3" s="1"/>
  <c r="BB216" i="3"/>
  <c r="BB271" i="3"/>
  <c r="BB294" i="3" s="1"/>
  <c r="BB225" i="3"/>
  <c r="BB266" i="3"/>
  <c r="BB289" i="3" s="1"/>
  <c r="BB220" i="3"/>
  <c r="BB258" i="3"/>
  <c r="BB281" i="3" s="1"/>
  <c r="BB212" i="3"/>
  <c r="BB260" i="3"/>
  <c r="BB283" i="3" s="1"/>
  <c r="BB214" i="3"/>
  <c r="BB273" i="3"/>
  <c r="BB296" i="3" s="1"/>
  <c r="BB227" i="3"/>
  <c r="BB264" i="3"/>
  <c r="BB287" i="3" s="1"/>
  <c r="BB218" i="3"/>
  <c r="BB272" i="3"/>
  <c r="BB295" i="3" s="1"/>
  <c r="BB226" i="3"/>
  <c r="BB263" i="3"/>
  <c r="BB286" i="3" s="1"/>
  <c r="BB217" i="3"/>
  <c r="BB269" i="3"/>
  <c r="BB292" i="3" s="1"/>
  <c r="BB223" i="3"/>
  <c r="BB257" i="3"/>
  <c r="BB280" i="3" s="1"/>
  <c r="BB211" i="3"/>
  <c r="BB259" i="3"/>
  <c r="BB282" i="3" s="1"/>
  <c r="BB213" i="3"/>
  <c r="AZ852" i="9"/>
  <c r="BB256" i="3"/>
  <c r="BB279" i="3" s="1"/>
  <c r="BB210" i="3"/>
  <c r="BB233" i="3" s="1"/>
  <c r="AG158" i="1"/>
  <c r="AC158" i="1"/>
  <c r="AL158" i="1"/>
  <c r="AM194" i="1"/>
  <c r="AI158" i="1"/>
  <c r="AM158" i="1"/>
  <c r="AN194" i="1"/>
  <c r="AF158" i="1"/>
  <c r="AJ158" i="1"/>
  <c r="AN197" i="1"/>
  <c r="AE194" i="1"/>
  <c r="AI194" i="1"/>
  <c r="AF194" i="1"/>
  <c r="AJ194" i="1"/>
  <c r="AB194" i="1"/>
  <c r="AG194" i="1"/>
  <c r="AK194" i="1"/>
  <c r="AC194" i="1"/>
  <c r="AH194" i="1"/>
  <c r="AL194" i="1"/>
  <c r="BC68" i="26"/>
  <c r="BC205" i="26" s="1"/>
  <c r="BC70" i="26"/>
  <c r="BC233" i="26" s="1"/>
  <c r="BB92" i="30"/>
  <c r="BC247" i="26"/>
  <c r="AN147" i="30"/>
  <c r="BD30" i="3"/>
  <c r="AN49" i="30"/>
  <c r="BA48" i="30"/>
  <c r="BB255" i="3"/>
  <c r="BB278" i="3" s="1"/>
  <c r="BB209" i="3"/>
  <c r="BB232" i="3" s="1"/>
  <c r="BB114" i="6"/>
  <c r="BB116" i="30" s="1"/>
  <c r="BC257" i="26"/>
  <c r="BC149" i="26"/>
  <c r="AO49" i="1"/>
  <c r="AO60" i="1"/>
  <c r="AO42" i="30"/>
  <c r="AO152" i="30"/>
  <c r="AO59" i="33" s="1"/>
  <c r="AO84" i="1"/>
  <c r="AO28" i="1"/>
  <c r="AO134" i="1"/>
  <c r="AO67" i="1"/>
  <c r="AO34" i="30"/>
  <c r="AO151" i="1"/>
  <c r="AO37" i="1"/>
  <c r="AO15" i="1"/>
  <c r="AO39" i="30"/>
  <c r="AO156" i="1"/>
  <c r="AO195" i="20"/>
  <c r="AO107" i="1"/>
  <c r="AO117" i="1"/>
  <c r="BB281" i="26"/>
  <c r="BC276" i="26" s="1"/>
  <c r="BC120" i="26"/>
  <c r="BC221" i="26" s="1"/>
  <c r="BC93" i="26"/>
  <c r="BC97" i="26" s="1"/>
  <c r="BC221" i="6" s="1"/>
  <c r="BD5" i="38"/>
  <c r="BD51" i="3"/>
  <c r="BD166" i="3" s="1"/>
  <c r="BD189" i="3" s="1"/>
  <c r="BD63" i="3"/>
  <c r="BD178" i="3" s="1"/>
  <c r="BD201" i="3" s="1"/>
  <c r="BD52" i="3"/>
  <c r="BD167" i="3" s="1"/>
  <c r="BD190" i="3" s="1"/>
  <c r="BD55" i="3"/>
  <c r="BD170" i="3" s="1"/>
  <c r="BD193" i="3" s="1"/>
  <c r="BD48" i="3"/>
  <c r="BD163" i="3" s="1"/>
  <c r="BD186" i="3" s="1"/>
  <c r="BD56" i="3"/>
  <c r="BD171" i="3" s="1"/>
  <c r="BD194" i="3" s="1"/>
  <c r="BD60" i="3"/>
  <c r="BD175" i="3" s="1"/>
  <c r="BD198" i="3" s="1"/>
  <c r="BD64" i="3"/>
  <c r="BD179" i="3" s="1"/>
  <c r="BD202" i="3" s="1"/>
  <c r="BD65" i="3"/>
  <c r="BD180" i="3" s="1"/>
  <c r="BD203" i="3" s="1"/>
  <c r="BD50" i="3"/>
  <c r="BD165" i="3" s="1"/>
  <c r="BD188" i="3" s="1"/>
  <c r="BD58" i="3"/>
  <c r="BD173" i="3" s="1"/>
  <c r="BD196" i="3" s="1"/>
  <c r="BD66" i="3"/>
  <c r="BD57" i="3"/>
  <c r="BD172" i="3" s="1"/>
  <c r="BD195" i="3" s="1"/>
  <c r="BD53" i="3"/>
  <c r="BD168" i="3" s="1"/>
  <c r="BD191" i="3" s="1"/>
  <c r="BD49" i="3"/>
  <c r="BD164" i="3" s="1"/>
  <c r="BD187" i="3" s="1"/>
  <c r="BD61" i="3"/>
  <c r="BD176" i="3" s="1"/>
  <c r="BD199" i="3" s="1"/>
  <c r="BD54" i="3"/>
  <c r="BD169" i="3" s="1"/>
  <c r="BD192" i="3" s="1"/>
  <c r="BD62" i="3"/>
  <c r="BD177" i="3" s="1"/>
  <c r="BD200" i="3" s="1"/>
  <c r="BD47" i="3"/>
  <c r="BD162" i="3" s="1"/>
  <c r="BD185" i="3" s="1"/>
  <c r="BD59" i="3"/>
  <c r="BD174" i="3" s="1"/>
  <c r="BD197" i="3" s="1"/>
  <c r="BB34" i="6"/>
  <c r="BB69" i="30" s="1"/>
  <c r="BC145" i="26"/>
  <c r="BC197" i="26"/>
  <c r="BC298" i="26" s="1"/>
  <c r="CP50" i="1"/>
  <c r="BB299" i="26"/>
  <c r="BC169" i="26"/>
  <c r="BC106" i="6"/>
  <c r="BB208" i="3"/>
  <c r="BB254" i="3"/>
  <c r="BB277" i="3" s="1"/>
  <c r="BD4" i="33"/>
  <c r="BD4" i="35"/>
  <c r="BD3" i="33"/>
  <c r="BD3" i="35"/>
  <c r="BD5" i="33"/>
  <c r="BD5" i="35"/>
  <c r="BH445" i="9"/>
  <c r="BA432" i="9"/>
  <c r="BA687" i="9" s="1"/>
  <c r="BH440" i="9"/>
  <c r="BH438" i="9"/>
  <c r="BH447" i="9"/>
  <c r="BI443" i="9"/>
  <c r="BH433" i="9"/>
  <c r="BA508" i="9"/>
  <c r="BG506" i="9"/>
  <c r="BB510" i="9"/>
  <c r="BG504" i="9"/>
  <c r="BG513" i="9"/>
  <c r="BH519" i="9"/>
  <c r="AZ503" i="9"/>
  <c r="AZ1085" i="9" s="1"/>
  <c r="BF511" i="9"/>
  <c r="BG518" i="9"/>
  <c r="BH1000" i="9"/>
  <c r="BH993" i="9"/>
  <c r="BH436" i="9"/>
  <c r="BH996" i="9"/>
  <c r="BD16" i="3"/>
  <c r="BD18" i="3" s="1"/>
  <c r="BD4" i="32"/>
  <c r="BD4" i="30"/>
  <c r="BD5" i="26"/>
  <c r="BD5" i="32"/>
  <c r="BD5" i="30"/>
  <c r="BD3" i="28"/>
  <c r="BD3" i="32"/>
  <c r="BD3" i="30"/>
  <c r="BC193" i="26"/>
  <c r="BG130" i="9"/>
  <c r="BG301" i="9"/>
  <c r="BH295" i="9" s="1"/>
  <c r="BH299" i="9" s="1"/>
  <c r="BG396" i="9"/>
  <c r="BG339" i="9"/>
  <c r="BG515" i="9"/>
  <c r="BF263" i="9"/>
  <c r="BH124" i="9"/>
  <c r="BH128" i="9" s="1"/>
  <c r="BH390" i="9"/>
  <c r="BH394" i="9" s="1"/>
  <c r="BA206" i="9"/>
  <c r="BA992" i="9"/>
  <c r="AZ111" i="9"/>
  <c r="BB244" i="9"/>
  <c r="BH333" i="9"/>
  <c r="BH337" i="9" s="1"/>
  <c r="BD371" i="9"/>
  <c r="BD375" i="9" s="1"/>
  <c r="BG168" i="9"/>
  <c r="BH162" i="9" s="1"/>
  <c r="BH166" i="9" s="1"/>
  <c r="BH1007" i="9"/>
  <c r="BH415" i="9"/>
  <c r="BI409" i="9" s="1"/>
  <c r="BI413" i="9" s="1"/>
  <c r="BD4" i="9"/>
  <c r="BD5" i="28"/>
  <c r="BH998" i="9"/>
  <c r="BI1003" i="9"/>
  <c r="BH1005" i="9"/>
  <c r="BC119" i="26"/>
  <c r="BC107" i="6"/>
  <c r="BC219" i="26"/>
  <c r="CU16" i="1"/>
  <c r="CU50" i="1"/>
  <c r="BD4" i="12"/>
  <c r="BD4" i="26"/>
  <c r="BD4" i="28"/>
  <c r="BC179" i="1"/>
  <c r="BD4" i="11"/>
  <c r="BD4" i="16"/>
  <c r="BD4" i="22"/>
  <c r="BD4" i="20"/>
  <c r="BD3" i="26"/>
  <c r="BD5" i="22"/>
  <c r="BD5" i="20"/>
  <c r="BD3" i="22"/>
  <c r="BD3" i="20"/>
  <c r="BD5" i="16"/>
  <c r="BD5" i="12"/>
  <c r="BD5" i="11"/>
  <c r="BD5" i="9"/>
  <c r="BD3" i="16"/>
  <c r="BD3" i="12"/>
  <c r="BD3" i="11"/>
  <c r="BD3" i="9"/>
  <c r="BD3" i="1"/>
  <c r="DX2" i="1" s="1"/>
  <c r="BD3" i="4"/>
  <c r="BD3" i="6"/>
  <c r="BE10" i="3"/>
  <c r="BE4" i="3" s="1"/>
  <c r="BE2" i="44" s="1" a="1"/>
  <c r="BE2" i="44" s="1"/>
  <c r="AC22" i="3"/>
  <c r="AC5" i="6"/>
  <c r="AC5" i="4"/>
  <c r="AC5" i="1"/>
  <c r="CM113" i="1"/>
  <c r="CE113" i="1" s="1"/>
  <c r="BL156" i="1"/>
  <c r="CM156" i="1" s="1"/>
  <c r="CE156" i="1" s="1"/>
  <c r="BL98" i="1"/>
  <c r="BL119" i="1" s="1"/>
  <c r="AZ735" i="9" l="1"/>
  <c r="BD181" i="3"/>
  <c r="BD204" i="3" s="1"/>
  <c r="BB130" i="30"/>
  <c r="BC220" i="6"/>
  <c r="BC223" i="6" s="1"/>
  <c r="BC130" i="30" s="1"/>
  <c r="BD198" i="20" a="1"/>
  <c r="BD198" i="20" s="1"/>
  <c r="BD181" i="20" a="1"/>
  <c r="BD181" i="20" s="1"/>
  <c r="BD172" i="20" a="1"/>
  <c r="BD172" i="20" s="1"/>
  <c r="BD169" i="20" a="1"/>
  <c r="BD169" i="20" s="1"/>
  <c r="BD154" i="20" a="1"/>
  <c r="BD154" i="20" s="1"/>
  <c r="BD150" i="20" a="1"/>
  <c r="BD150" i="20" s="1"/>
  <c r="BD149" i="20" a="1"/>
  <c r="BD149" i="20" s="1"/>
  <c r="BD148" i="20" a="1"/>
  <c r="BD148" i="20" s="1"/>
  <c r="BD146" i="20" a="1"/>
  <c r="BD146" i="20" s="1"/>
  <c r="BD144" i="20" a="1"/>
  <c r="BD144" i="20" s="1"/>
  <c r="BD129" i="20" a="1"/>
  <c r="BD129" i="20" s="1"/>
  <c r="BD128" i="20" a="1"/>
  <c r="BD128" i="20" s="1"/>
  <c r="BD127" i="20" a="1"/>
  <c r="BD127" i="20" s="1"/>
  <c r="BD126" i="20" a="1"/>
  <c r="BD126" i="20" s="1"/>
  <c r="BD143" i="20" a="1"/>
  <c r="BD143" i="20" s="1"/>
  <c r="BD142" i="20" a="1"/>
  <c r="BD142" i="20" s="1"/>
  <c r="BD141" i="20" a="1"/>
  <c r="BD141" i="20" s="1"/>
  <c r="BD140" i="20" a="1"/>
  <c r="BD140" i="20" s="1"/>
  <c r="BD139" i="20" a="1"/>
  <c r="BD139" i="20" s="1"/>
  <c r="BD138" i="20" a="1"/>
  <c r="BD138" i="20" s="1"/>
  <c r="BD137" i="20" a="1"/>
  <c r="BD137" i="20" s="1"/>
  <c r="BD133" i="20" a="1"/>
  <c r="BD133" i="20" s="1"/>
  <c r="BD132" i="20" a="1"/>
  <c r="BD132" i="20" s="1"/>
  <c r="BD131" i="20" a="1"/>
  <c r="BD131" i="20" s="1"/>
  <c r="BD125" i="20" a="1"/>
  <c r="BD125" i="20" s="1"/>
  <c r="BD124" i="20" a="1"/>
  <c r="BD124" i="20" s="1"/>
  <c r="BD123" i="20" a="1"/>
  <c r="BD123" i="20" s="1"/>
  <c r="BD122" i="20" a="1"/>
  <c r="BD122" i="20" s="1"/>
  <c r="BD115" i="20" a="1"/>
  <c r="BD115" i="20" s="1"/>
  <c r="BD112" i="20" a="1"/>
  <c r="BD112" i="20" s="1"/>
  <c r="BD111" i="20" a="1"/>
  <c r="BD111" i="20" s="1"/>
  <c r="BD110" i="20" a="1"/>
  <c r="BD110" i="20" s="1"/>
  <c r="BD106" i="20" a="1"/>
  <c r="BD106" i="20" s="1"/>
  <c r="BD105" i="20" a="1"/>
  <c r="BD105" i="20" s="1"/>
  <c r="BD145" i="20" a="1"/>
  <c r="BD145" i="20" s="1"/>
  <c r="BD104" i="20" a="1"/>
  <c r="BD104" i="20" s="1"/>
  <c r="BD103" i="20" a="1"/>
  <c r="BD103" i="20" s="1"/>
  <c r="BD102" i="20" a="1"/>
  <c r="BD102" i="20" s="1"/>
  <c r="BD101" i="20" a="1"/>
  <c r="BD101" i="20" s="1"/>
  <c r="BD97" i="20" a="1"/>
  <c r="BD97" i="20" s="1"/>
  <c r="BD96" i="20" a="1"/>
  <c r="BD96" i="20" s="1"/>
  <c r="BD95" i="20" a="1"/>
  <c r="BD95" i="20" s="1"/>
  <c r="BD94" i="20" a="1"/>
  <c r="BD94" i="20" s="1"/>
  <c r="BD93" i="20" a="1"/>
  <c r="BD93" i="20" s="1"/>
  <c r="BD92" i="20" a="1"/>
  <c r="BD92" i="20" s="1"/>
  <c r="BD91" i="20" a="1"/>
  <c r="BD91" i="20" s="1"/>
  <c r="BD90" i="20" a="1"/>
  <c r="BD90" i="20" s="1"/>
  <c r="BD89" i="20" a="1"/>
  <c r="BD89" i="20" s="1"/>
  <c r="BD88" i="20" a="1"/>
  <c r="BD88" i="20" s="1"/>
  <c r="BD83" i="20" a="1"/>
  <c r="BD83" i="20" s="1"/>
  <c r="BD87" i="20" a="1"/>
  <c r="BD87" i="20" s="1"/>
  <c r="BD82" i="20" a="1"/>
  <c r="BD82" i="20" s="1"/>
  <c r="BD81" i="20" a="1"/>
  <c r="BD81" i="20" s="1"/>
  <c r="BD80" i="20" a="1"/>
  <c r="BD80" i="20" s="1"/>
  <c r="BD79" i="20" a="1"/>
  <c r="BD79" i="20" s="1"/>
  <c r="BD78" i="20" a="1"/>
  <c r="BD78" i="20" s="1"/>
  <c r="BD77" i="20" a="1"/>
  <c r="BD77" i="20" s="1"/>
  <c r="BD76" i="20" a="1"/>
  <c r="BD76" i="20" s="1"/>
  <c r="BD75" i="20" a="1"/>
  <c r="BD75" i="20" s="1"/>
  <c r="BD74" i="20" a="1"/>
  <c r="BD74" i="20" s="1"/>
  <c r="BD73" i="20" a="1"/>
  <c r="BD73" i="20" s="1"/>
  <c r="BD72" i="20" a="1"/>
  <c r="BD72" i="20" s="1"/>
  <c r="BD71" i="20" a="1"/>
  <c r="BD71" i="20" s="1"/>
  <c r="BD68" i="20" a="1"/>
  <c r="BD68" i="20" s="1"/>
  <c r="BD66" i="20" a="1"/>
  <c r="BD66" i="20" s="1"/>
  <c r="BD65" i="20" a="1"/>
  <c r="BD65" i="20" s="1"/>
  <c r="BD64" i="20" a="1"/>
  <c r="BD64" i="20" s="1"/>
  <c r="BD61" i="20" a="1"/>
  <c r="BD61" i="20" s="1"/>
  <c r="BD59" i="20" a="1"/>
  <c r="BD59" i="20" s="1"/>
  <c r="BD58" i="20" a="1"/>
  <c r="BD58" i="20" s="1"/>
  <c r="BD57" i="20" a="1"/>
  <c r="BD57" i="20" s="1"/>
  <c r="BD56" i="20" a="1"/>
  <c r="BD56" i="20" s="1"/>
  <c r="BD55" i="20" a="1"/>
  <c r="BD55" i="20" s="1"/>
  <c r="BD54" i="20" a="1"/>
  <c r="BD54" i="20" s="1"/>
  <c r="BD53" i="20" a="1"/>
  <c r="BD53" i="20" s="1"/>
  <c r="BD50" i="20" a="1"/>
  <c r="BD50" i="20" s="1"/>
  <c r="BD48" i="20" a="1"/>
  <c r="BD48" i="20" s="1"/>
  <c r="BD47" i="20" a="1"/>
  <c r="BD47" i="20" s="1"/>
  <c r="BD46" i="20" a="1"/>
  <c r="BD46" i="20" s="1"/>
  <c r="BD45" i="20" a="1"/>
  <c r="BD45" i="20" s="1"/>
  <c r="BD44" i="20" a="1"/>
  <c r="BD44" i="20" s="1"/>
  <c r="BD43" i="20" a="1"/>
  <c r="BD43" i="20" s="1"/>
  <c r="BD42" i="20" a="1"/>
  <c r="BD42" i="20" s="1"/>
  <c r="BD41" i="20" a="1"/>
  <c r="BD41" i="20" s="1"/>
  <c r="BD38" i="20" a="1"/>
  <c r="BD38" i="20" s="1"/>
  <c r="BD36" i="20" a="1"/>
  <c r="BD36" i="20" s="1"/>
  <c r="BD33" i="20" a="1"/>
  <c r="BD33" i="20" s="1"/>
  <c r="BD32" i="20" a="1"/>
  <c r="BD32" i="20" s="1"/>
  <c r="BD29" i="20" a="1"/>
  <c r="BD29" i="20" s="1"/>
  <c r="BD35" i="20" a="1"/>
  <c r="BD35" i="20" s="1"/>
  <c r="BD34" i="20" a="1"/>
  <c r="BD34" i="20" s="1"/>
  <c r="BD26" i="20" a="1"/>
  <c r="BD26" i="20" s="1"/>
  <c r="BD22" i="20" a="1"/>
  <c r="BD22" i="20" s="1"/>
  <c r="BD16" i="20" a="1"/>
  <c r="BD16" i="20" s="1"/>
  <c r="BD12" i="20" a="1"/>
  <c r="BD12" i="20" s="1"/>
  <c r="BD13" i="20" a="1"/>
  <c r="BD13" i="20" s="1"/>
  <c r="BD25" i="20" a="1"/>
  <c r="BD25" i="20" s="1"/>
  <c r="BD21" i="20" a="1"/>
  <c r="BD21" i="20" s="1"/>
  <c r="BD19" i="20" a="1"/>
  <c r="BD19" i="20" s="1"/>
  <c r="BD24" i="20" a="1"/>
  <c r="BD24" i="20" s="1"/>
  <c r="BD20" i="20" a="1"/>
  <c r="BD20" i="20" s="1"/>
  <c r="BD27" i="20" a="1"/>
  <c r="BD27" i="20" s="1"/>
  <c r="BD23" i="20" a="1"/>
  <c r="BD23" i="20" s="1"/>
  <c r="AO119" i="1"/>
  <c r="CM98" i="1"/>
  <c r="CE98" i="1" s="1"/>
  <c r="BB183" i="1"/>
  <c r="AN56" i="33"/>
  <c r="BD83" i="9"/>
  <c r="BD64" i="9"/>
  <c r="BD102" i="9"/>
  <c r="BD216" i="9"/>
  <c r="BD235" i="9"/>
  <c r="BD368" i="9"/>
  <c r="BD387" i="9"/>
  <c r="BD121" i="9"/>
  <c r="BD254" i="9"/>
  <c r="BD273" i="9"/>
  <c r="BD406" i="9"/>
  <c r="BD140" i="9"/>
  <c r="BD159" i="9"/>
  <c r="BD197" i="9"/>
  <c r="BD330" i="9"/>
  <c r="BD349" i="9"/>
  <c r="BD425" i="9"/>
  <c r="BD178" i="9"/>
  <c r="BD292" i="9"/>
  <c r="BD311" i="9"/>
  <c r="AZ804" i="9"/>
  <c r="BB846" i="9"/>
  <c r="BB841" i="9"/>
  <c r="BB843" i="9"/>
  <c r="BB833" i="9"/>
  <c r="BB773" i="9"/>
  <c r="BB796" i="9" s="1"/>
  <c r="BB869" i="9" s="1"/>
  <c r="BB760" i="9"/>
  <c r="BB783" i="9" s="1"/>
  <c r="BB856" i="9" s="1"/>
  <c r="BB768" i="9"/>
  <c r="BB791" i="9" s="1"/>
  <c r="BB864" i="9" s="1"/>
  <c r="BB770" i="9"/>
  <c r="BB793" i="9" s="1"/>
  <c r="BB816" i="9" s="1"/>
  <c r="BB724" i="9"/>
  <c r="BB246" i="3"/>
  <c r="BB727" i="9"/>
  <c r="BB249" i="3"/>
  <c r="BB237" i="3"/>
  <c r="BB243" i="3"/>
  <c r="BB247" i="3"/>
  <c r="BB714" i="9"/>
  <c r="BB236" i="3"/>
  <c r="BB242" i="3"/>
  <c r="BB234" i="3"/>
  <c r="BB240" i="3"/>
  <c r="BB241" i="3"/>
  <c r="BB250" i="3"/>
  <c r="BB235" i="3"/>
  <c r="BB248" i="3"/>
  <c r="BB238" i="3"/>
  <c r="BB245" i="3"/>
  <c r="BB722" i="9"/>
  <c r="BB244" i="3"/>
  <c r="BB239" i="3"/>
  <c r="BA756" i="9"/>
  <c r="BA829" i="9"/>
  <c r="AO197" i="1"/>
  <c r="AO194" i="1"/>
  <c r="BL158" i="1"/>
  <c r="CM158" i="1" s="1"/>
  <c r="CE158" i="1" s="1"/>
  <c r="BL194" i="1"/>
  <c r="CM194" i="1" s="1"/>
  <c r="CE194" i="1" s="1"/>
  <c r="BD188" i="26"/>
  <c r="BD179" i="26"/>
  <c r="BD183" i="26"/>
  <c r="BD178" i="26"/>
  <c r="BD184" i="26"/>
  <c r="BD180" i="26"/>
  <c r="BD194" i="26" s="1"/>
  <c r="BD295" i="26" s="1"/>
  <c r="BD187" i="26"/>
  <c r="BD190" i="26"/>
  <c r="BD189" i="26"/>
  <c r="BD191" i="26"/>
  <c r="BD186" i="26"/>
  <c r="BD185" i="26"/>
  <c r="BD181" i="26"/>
  <c r="BD195" i="26" s="1"/>
  <c r="BD296" i="26" s="1"/>
  <c r="BD192" i="26"/>
  <c r="BD182" i="26"/>
  <c r="BC71" i="26"/>
  <c r="AO147" i="30"/>
  <c r="BD117" i="20"/>
  <c r="BC180" i="20"/>
  <c r="AO49" i="30"/>
  <c r="BE43" i="3"/>
  <c r="BB178" i="20"/>
  <c r="BA710" i="9"/>
  <c r="BA733" i="9" s="1"/>
  <c r="BC150" i="26"/>
  <c r="BC180" i="30" s="1"/>
  <c r="BC206" i="26"/>
  <c r="AO158" i="1"/>
  <c r="AP117" i="1"/>
  <c r="AP107" i="1"/>
  <c r="AP39" i="30"/>
  <c r="AP49" i="1"/>
  <c r="AP152" i="30"/>
  <c r="AP59" i="33" s="1"/>
  <c r="AP42" i="30"/>
  <c r="AP28" i="1"/>
  <c r="AP34" i="30"/>
  <c r="AP156" i="1"/>
  <c r="AP60" i="1"/>
  <c r="AP15" i="1"/>
  <c r="AP37" i="1"/>
  <c r="AP151" i="1"/>
  <c r="AP67" i="1"/>
  <c r="AP134" i="1"/>
  <c r="AP84" i="1"/>
  <c r="BB154" i="6"/>
  <c r="BB98" i="30" s="1"/>
  <c r="BB187" i="30" s="1"/>
  <c r="CM119" i="1"/>
  <c r="CE119" i="1" s="1"/>
  <c r="BC198" i="26"/>
  <c r="BC111" i="6"/>
  <c r="BL71" i="30"/>
  <c r="CM71" i="30" s="1"/>
  <c r="CE71" i="30" s="1"/>
  <c r="AG160" i="1"/>
  <c r="AJ160" i="1"/>
  <c r="AM160" i="1"/>
  <c r="AC160" i="1"/>
  <c r="AF160" i="1"/>
  <c r="AI160" i="1"/>
  <c r="AL160" i="1"/>
  <c r="AD160" i="1"/>
  <c r="AA199" i="1"/>
  <c r="BD131" i="26"/>
  <c r="BD156" i="26"/>
  <c r="BD170" i="26" s="1"/>
  <c r="BD222" i="26" s="1"/>
  <c r="BD163" i="26"/>
  <c r="BD158" i="26"/>
  <c r="BD172" i="26" s="1"/>
  <c r="BD236" i="26" s="1"/>
  <c r="BD164" i="26"/>
  <c r="BD155" i="26"/>
  <c r="BD157" i="26"/>
  <c r="BD171" i="26" s="1"/>
  <c r="BD249" i="26" s="1"/>
  <c r="BD165" i="26"/>
  <c r="BD162" i="26"/>
  <c r="BD154" i="26"/>
  <c r="BD159" i="26"/>
  <c r="BD167" i="26"/>
  <c r="BD166" i="26"/>
  <c r="BD161" i="26"/>
  <c r="BD168" i="26"/>
  <c r="BD160" i="26"/>
  <c r="BC174" i="26"/>
  <c r="BC208" i="26"/>
  <c r="BD142" i="26"/>
  <c r="BD60" i="26"/>
  <c r="BD91" i="26"/>
  <c r="AZ94" i="6"/>
  <c r="AZ88" i="35"/>
  <c r="BB231" i="3"/>
  <c r="BC294" i="26"/>
  <c r="BC178" i="1" s="1"/>
  <c r="BC207" i="26"/>
  <c r="BC123" i="26"/>
  <c r="BC267" i="26" s="1"/>
  <c r="BD448" i="9"/>
  <c r="BH444" i="9"/>
  <c r="BH446" i="9"/>
  <c r="BI450" i="9"/>
  <c r="BH435" i="9"/>
  <c r="BH437" i="9"/>
  <c r="BD79" i="26"/>
  <c r="BD95" i="26" s="1"/>
  <c r="BD180" i="1" s="1"/>
  <c r="BD67" i="26"/>
  <c r="BD114" i="26"/>
  <c r="BD107" i="26"/>
  <c r="BD92" i="26"/>
  <c r="BD135" i="26"/>
  <c r="BD117" i="26"/>
  <c r="BD85" i="26"/>
  <c r="BD64" i="26"/>
  <c r="BD132" i="26"/>
  <c r="BD146" i="26" s="1"/>
  <c r="BH507" i="9"/>
  <c r="BA501" i="9"/>
  <c r="BH502" i="9"/>
  <c r="BH514" i="9"/>
  <c r="BH509" i="9"/>
  <c r="BI512" i="9"/>
  <c r="BH516" i="9"/>
  <c r="BH92" i="9"/>
  <c r="BI86" i="9" s="1"/>
  <c r="BI90" i="9" s="1"/>
  <c r="BH225" i="9"/>
  <c r="BI219" i="9" s="1"/>
  <c r="BI223" i="9" s="1"/>
  <c r="BH505" i="9"/>
  <c r="BH149" i="9"/>
  <c r="BI143" i="9" s="1"/>
  <c r="BI147" i="9" s="1"/>
  <c r="BD196" i="26"/>
  <c r="BD297" i="26" s="1"/>
  <c r="BD78" i="26"/>
  <c r="BD94" i="26" s="1"/>
  <c r="BD220" i="26" s="1"/>
  <c r="BD87" i="26"/>
  <c r="BD84" i="26"/>
  <c r="BD83" i="26"/>
  <c r="BD63" i="26"/>
  <c r="BD62" i="26"/>
  <c r="BD59" i="26"/>
  <c r="BD66" i="26"/>
  <c r="BD118" i="26"/>
  <c r="BD115" i="26"/>
  <c r="BD110" i="26"/>
  <c r="BD111" i="26"/>
  <c r="BD139" i="26"/>
  <c r="BD134" i="26"/>
  <c r="BD148" i="26" s="1"/>
  <c r="BD137" i="26"/>
  <c r="BD136" i="26"/>
  <c r="BD89" i="26"/>
  <c r="BD88" i="26"/>
  <c r="BD90" i="26"/>
  <c r="BD82" i="26"/>
  <c r="BD65" i="26"/>
  <c r="BD58" i="26"/>
  <c r="BD57" i="26"/>
  <c r="BD54" i="26"/>
  <c r="BD141" i="26"/>
  <c r="BD144" i="26"/>
  <c r="BD143" i="26"/>
  <c r="BD104" i="26"/>
  <c r="BD120" i="26" s="1"/>
  <c r="BD221" i="26" s="1"/>
  <c r="BD138" i="26"/>
  <c r="BD140" i="26"/>
  <c r="BD106" i="26"/>
  <c r="BD105" i="26"/>
  <c r="BD80" i="26"/>
  <c r="BD86" i="26"/>
  <c r="BD234" i="26" s="1"/>
  <c r="BD81" i="26"/>
  <c r="BD53" i="26"/>
  <c r="BD61" i="26"/>
  <c r="BD56" i="26"/>
  <c r="BD55" i="26"/>
  <c r="BD130" i="26"/>
  <c r="BD113" i="26"/>
  <c r="BD112" i="26"/>
  <c r="BD235" i="26" s="1"/>
  <c r="BD108" i="26"/>
  <c r="BD109" i="26"/>
  <c r="BD133" i="26"/>
  <c r="BD147" i="26" s="1"/>
  <c r="BD116" i="26"/>
  <c r="BH1004" i="9"/>
  <c r="BH1009" i="9"/>
  <c r="BH449" i="9"/>
  <c r="BG257" i="9"/>
  <c r="BG261" i="9" s="1"/>
  <c r="BH1006" i="9"/>
  <c r="BH995" i="9"/>
  <c r="BH997" i="9"/>
  <c r="BD1008" i="9"/>
  <c r="BB200" i="9"/>
  <c r="BB204" i="9" s="1"/>
  <c r="BC238" i="9"/>
  <c r="BC242" i="9" s="1"/>
  <c r="BA73" i="9"/>
  <c r="BA105" i="9"/>
  <c r="BA109" i="9" s="1"/>
  <c r="BH358" i="9"/>
  <c r="BI352" i="9" s="1"/>
  <c r="BI356" i="9" s="1"/>
  <c r="BI1010" i="9"/>
  <c r="BD81" i="3"/>
  <c r="BC127" i="3"/>
  <c r="BD80" i="3"/>
  <c r="BC126" i="3"/>
  <c r="BE154" i="3"/>
  <c r="BE142" i="3"/>
  <c r="BE153" i="3"/>
  <c r="BE143" i="3"/>
  <c r="BE158" i="3"/>
  <c r="BE155" i="3"/>
  <c r="BD73" i="3"/>
  <c r="BC119" i="3"/>
  <c r="BD75" i="3"/>
  <c r="BC121" i="3"/>
  <c r="BD74" i="3"/>
  <c r="BC120" i="3"/>
  <c r="BD86" i="3"/>
  <c r="BC132" i="3"/>
  <c r="BD87" i="3"/>
  <c r="BC133" i="3"/>
  <c r="BD76" i="3"/>
  <c r="BC122" i="3"/>
  <c r="BD72" i="3"/>
  <c r="BC118" i="3"/>
  <c r="BD84" i="3"/>
  <c r="BC130" i="3"/>
  <c r="BD77" i="3"/>
  <c r="BC123" i="3"/>
  <c r="BD79" i="3"/>
  <c r="BC125" i="3"/>
  <c r="BE157" i="3"/>
  <c r="BE141" i="3"/>
  <c r="BE150" i="3"/>
  <c r="BE140" i="3"/>
  <c r="BE147" i="3"/>
  <c r="BD88" i="3"/>
  <c r="BC134" i="3"/>
  <c r="BE146" i="3"/>
  <c r="BE152" i="3"/>
  <c r="BE149" i="3"/>
  <c r="BE145" i="3"/>
  <c r="BE148" i="3"/>
  <c r="BD82" i="3"/>
  <c r="BC128" i="3"/>
  <c r="BD71" i="3"/>
  <c r="BC117" i="3"/>
  <c r="BD89" i="3"/>
  <c r="BC135" i="3"/>
  <c r="BD83" i="3"/>
  <c r="BC129" i="3"/>
  <c r="BD70" i="3"/>
  <c r="BC116" i="3"/>
  <c r="BD78" i="3"/>
  <c r="BC124" i="3"/>
  <c r="BD85" i="3"/>
  <c r="BC131" i="3"/>
  <c r="BE139" i="3"/>
  <c r="BE151" i="3"/>
  <c r="BE156" i="3"/>
  <c r="BE144" i="3"/>
  <c r="BE5" i="3"/>
  <c r="BH320" i="9"/>
  <c r="BI314" i="9" s="1"/>
  <c r="BI318" i="9" s="1"/>
  <c r="BH187" i="9"/>
  <c r="BI181" i="9" s="1"/>
  <c r="BI185" i="9" s="1"/>
  <c r="BI282" i="9"/>
  <c r="BJ276" i="9" s="1"/>
  <c r="BJ280" i="9" s="1"/>
  <c r="BB168" i="20"/>
  <c r="BC179" i="20"/>
  <c r="BD121" i="26"/>
  <c r="BD248" i="26" s="1"/>
  <c r="BD219" i="26"/>
  <c r="AC28" i="3"/>
  <c r="AC26" i="3"/>
  <c r="BE12" i="3"/>
  <c r="BE3" i="3" s="1"/>
  <c r="BE24" i="3"/>
  <c r="BF8" i="3"/>
  <c r="BD105" i="3"/>
  <c r="BD104" i="3"/>
  <c r="BD96" i="3"/>
  <c r="BD111" i="3"/>
  <c r="BD94" i="3"/>
  <c r="BD112" i="3"/>
  <c r="BD106" i="3"/>
  <c r="BD93" i="3"/>
  <c r="BD101" i="3"/>
  <c r="BD108" i="3"/>
  <c r="BD98" i="3"/>
  <c r="BD103" i="3"/>
  <c r="BD97" i="3"/>
  <c r="BD109" i="3"/>
  <c r="BD110" i="3"/>
  <c r="BE4" i="38"/>
  <c r="BD99" i="3"/>
  <c r="BD95" i="3"/>
  <c r="BD107" i="3"/>
  <c r="BD100" i="3"/>
  <c r="BD102" i="3"/>
  <c r="AC4" i="6"/>
  <c r="AC4" i="1"/>
  <c r="AC4" i="4"/>
  <c r="AC20" i="3"/>
  <c r="BB64" i="33" l="1"/>
  <c r="BB74" i="33"/>
  <c r="BB747" i="9"/>
  <c r="BB745" i="9"/>
  <c r="BB750" i="9"/>
  <c r="BB737" i="9"/>
  <c r="BC691" i="9" s="1"/>
  <c r="BD169" i="26"/>
  <c r="BD208" i="26" s="1"/>
  <c r="BD24" i="32"/>
  <c r="BD153" i="30"/>
  <c r="BC52" i="30"/>
  <c r="BB183" i="20"/>
  <c r="BB50" i="30"/>
  <c r="AP119" i="1"/>
  <c r="BE3" i="38"/>
  <c r="BE39" i="3"/>
  <c r="AO56" i="33"/>
  <c r="BE347" i="3"/>
  <c r="BE346" i="3"/>
  <c r="BB819" i="9"/>
  <c r="BB806" i="9"/>
  <c r="BB814" i="9"/>
  <c r="BB866" i="9"/>
  <c r="BC701" i="9"/>
  <c r="BC269" i="3"/>
  <c r="BC292" i="3" s="1"/>
  <c r="BC223" i="3"/>
  <c r="BC273" i="3"/>
  <c r="BC296" i="3" s="1"/>
  <c r="BC227" i="3"/>
  <c r="BC266" i="3"/>
  <c r="BC289" i="3" s="1"/>
  <c r="BC220" i="3"/>
  <c r="BC261" i="3"/>
  <c r="BC284" i="3" s="1"/>
  <c r="BC215" i="3"/>
  <c r="BC225" i="3"/>
  <c r="BC271" i="3"/>
  <c r="BC294" i="3" s="1"/>
  <c r="BC258" i="3"/>
  <c r="BC281" i="3" s="1"/>
  <c r="BC212" i="3"/>
  <c r="BC257" i="3"/>
  <c r="BC280" i="3" s="1"/>
  <c r="BC211" i="3"/>
  <c r="BC264" i="3"/>
  <c r="BC287" i="3" s="1"/>
  <c r="BC218" i="3"/>
  <c r="BC699" i="9"/>
  <c r="BC704" i="9"/>
  <c r="BC216" i="3"/>
  <c r="BC262" i="3"/>
  <c r="BC285" i="3" s="1"/>
  <c r="BC221" i="3"/>
  <c r="BC267" i="3"/>
  <c r="BC290" i="3" s="1"/>
  <c r="BC263" i="3"/>
  <c r="BC286" i="3" s="1"/>
  <c r="BC217" i="3"/>
  <c r="BC222" i="3"/>
  <c r="BC268" i="3"/>
  <c r="BC291" i="3" s="1"/>
  <c r="BC214" i="3"/>
  <c r="BC260" i="3"/>
  <c r="BC283" i="3" s="1"/>
  <c r="BC224" i="3"/>
  <c r="BC270" i="3"/>
  <c r="BC293" i="3" s="1"/>
  <c r="BC259" i="3"/>
  <c r="BC282" i="3" s="1"/>
  <c r="BC213" i="3"/>
  <c r="BC219" i="3"/>
  <c r="BC265" i="3"/>
  <c r="BC288" i="3" s="1"/>
  <c r="BC272" i="3"/>
  <c r="BC295" i="3" s="1"/>
  <c r="BC226" i="3"/>
  <c r="BC256" i="3"/>
  <c r="BC279" i="3" s="1"/>
  <c r="BC210" i="3"/>
  <c r="BC233" i="3" s="1"/>
  <c r="AM165" i="1"/>
  <c r="AF165" i="1"/>
  <c r="AG165" i="1"/>
  <c r="AD165" i="1"/>
  <c r="AC165" i="1"/>
  <c r="AP197" i="1"/>
  <c r="AP194" i="1"/>
  <c r="AL165" i="1"/>
  <c r="AI165" i="1"/>
  <c r="AJ165" i="1"/>
  <c r="BD68" i="26"/>
  <c r="BD205" i="26" s="1"/>
  <c r="BD70" i="26"/>
  <c r="BD233" i="26" s="1"/>
  <c r="BD247" i="26"/>
  <c r="AP147" i="30"/>
  <c r="BE30" i="3"/>
  <c r="AP195" i="20"/>
  <c r="AP49" i="30"/>
  <c r="BA779" i="9"/>
  <c r="BA802" i="9" s="1"/>
  <c r="AD782" i="9"/>
  <c r="BB48" i="30"/>
  <c r="BD220" i="6"/>
  <c r="BC255" i="3"/>
  <c r="BC278" i="3" s="1"/>
  <c r="BC209" i="3"/>
  <c r="BC232" i="3" s="1"/>
  <c r="BC72" i="33"/>
  <c r="BD93" i="26"/>
  <c r="BD97" i="26" s="1"/>
  <c r="BD221" i="6" s="1"/>
  <c r="AO160" i="1"/>
  <c r="BD106" i="6"/>
  <c r="BC92" i="30"/>
  <c r="AQ60" i="1"/>
  <c r="AQ156" i="1"/>
  <c r="AQ84" i="1"/>
  <c r="AP158" i="1"/>
  <c r="AQ28" i="1"/>
  <c r="AQ152" i="30"/>
  <c r="AQ59" i="33" s="1"/>
  <c r="AQ49" i="1"/>
  <c r="AQ107" i="1"/>
  <c r="AQ117" i="1"/>
  <c r="AQ151" i="1"/>
  <c r="AQ37" i="1"/>
  <c r="AQ34" i="30"/>
  <c r="AQ67" i="1"/>
  <c r="AQ15" i="1"/>
  <c r="AQ42" i="30"/>
  <c r="AQ39" i="30"/>
  <c r="BD197" i="26"/>
  <c r="BD298" i="26" s="1"/>
  <c r="BE5" i="38"/>
  <c r="BE51" i="3"/>
  <c r="BE166" i="3" s="1"/>
  <c r="BE189" i="3" s="1"/>
  <c r="BE48" i="3"/>
  <c r="BE163" i="3" s="1"/>
  <c r="BE186" i="3" s="1"/>
  <c r="BE56" i="3"/>
  <c r="BE171" i="3" s="1"/>
  <c r="BE194" i="3" s="1"/>
  <c r="BE55" i="3"/>
  <c r="BE170" i="3" s="1"/>
  <c r="BE193" i="3" s="1"/>
  <c r="BE63" i="3"/>
  <c r="BE178" i="3" s="1"/>
  <c r="BE201" i="3" s="1"/>
  <c r="BE52" i="3"/>
  <c r="BE167" i="3" s="1"/>
  <c r="BE190" i="3" s="1"/>
  <c r="BE60" i="3"/>
  <c r="BE175" i="3" s="1"/>
  <c r="BE198" i="3" s="1"/>
  <c r="BE64" i="3"/>
  <c r="BE179" i="3" s="1"/>
  <c r="BE202" i="3" s="1"/>
  <c r="BE54" i="3"/>
  <c r="BE169" i="3" s="1"/>
  <c r="BE192" i="3" s="1"/>
  <c r="BE66" i="3"/>
  <c r="BE57" i="3"/>
  <c r="BE172" i="3" s="1"/>
  <c r="BE195" i="3" s="1"/>
  <c r="BE65" i="3"/>
  <c r="BE180" i="3" s="1"/>
  <c r="BE203" i="3" s="1"/>
  <c r="BE61" i="3"/>
  <c r="BE176" i="3" s="1"/>
  <c r="BE199" i="3" s="1"/>
  <c r="BE50" i="3"/>
  <c r="BE165" i="3" s="1"/>
  <c r="BE188" i="3" s="1"/>
  <c r="BE59" i="3"/>
  <c r="BE174" i="3" s="1"/>
  <c r="BE197" i="3" s="1"/>
  <c r="BE49" i="3"/>
  <c r="BE164" i="3" s="1"/>
  <c r="BE187" i="3" s="1"/>
  <c r="BE53" i="3"/>
  <c r="BE168" i="3" s="1"/>
  <c r="BE191" i="3" s="1"/>
  <c r="BE58" i="3"/>
  <c r="BE173" i="3" s="1"/>
  <c r="BE196" i="3" s="1"/>
  <c r="BE47" i="3"/>
  <c r="BE162" i="3" s="1"/>
  <c r="BE185" i="3" s="1"/>
  <c r="BE62" i="3"/>
  <c r="BE177" i="3" s="1"/>
  <c r="BE200" i="3" s="1"/>
  <c r="BD173" i="26"/>
  <c r="BD268" i="26" s="1"/>
  <c r="BD193" i="26"/>
  <c r="BD294" i="26" s="1"/>
  <c r="BD149" i="26"/>
  <c r="BL160" i="1"/>
  <c r="CM160" i="1" s="1"/>
  <c r="CE160" i="1" s="1"/>
  <c r="BC259" i="26"/>
  <c r="BC261" i="26" s="1"/>
  <c r="BC299" i="26"/>
  <c r="BC281" i="26"/>
  <c r="BD276" i="26" s="1"/>
  <c r="BD145" i="26"/>
  <c r="BC208" i="3"/>
  <c r="BC231" i="3" s="1"/>
  <c r="BC254" i="3"/>
  <c r="BC277" i="3" s="1"/>
  <c r="BE3" i="33"/>
  <c r="BE3" i="35"/>
  <c r="BE4" i="33"/>
  <c r="BE4" i="35"/>
  <c r="BE5" i="33"/>
  <c r="BE5" i="35"/>
  <c r="BI445" i="9"/>
  <c r="BI447" i="9"/>
  <c r="BA434" i="9"/>
  <c r="BA689" i="9" s="1"/>
  <c r="BB439" i="9"/>
  <c r="BI440" i="9"/>
  <c r="BJ443" i="9"/>
  <c r="BI433" i="9"/>
  <c r="BI438" i="9"/>
  <c r="BC441" i="9"/>
  <c r="BG442" i="9"/>
  <c r="BD119" i="26"/>
  <c r="BD517" i="9"/>
  <c r="BH513" i="9"/>
  <c r="BI519" i="9"/>
  <c r="BH506" i="9"/>
  <c r="BH504" i="9"/>
  <c r="BH518" i="9"/>
  <c r="BI993" i="9"/>
  <c r="BI1000" i="9"/>
  <c r="BI436" i="9"/>
  <c r="BI996" i="9"/>
  <c r="BE5" i="26"/>
  <c r="BE5" i="32"/>
  <c r="BE5" i="30"/>
  <c r="BE16" i="3"/>
  <c r="BE18" i="3" s="1"/>
  <c r="BE4" i="32"/>
  <c r="BE4" i="30"/>
  <c r="BE3" i="28"/>
  <c r="BE3" i="32"/>
  <c r="BE3" i="30"/>
  <c r="BH301" i="9"/>
  <c r="BH396" i="9"/>
  <c r="BI295" i="9"/>
  <c r="BI299" i="9" s="1"/>
  <c r="BH339" i="9"/>
  <c r="BH515" i="9"/>
  <c r="BH130" i="9"/>
  <c r="BG1002" i="9"/>
  <c r="BI333" i="9"/>
  <c r="BI337" i="9" s="1"/>
  <c r="BI124" i="9"/>
  <c r="BI128" i="9" s="1"/>
  <c r="BI390" i="9"/>
  <c r="BI394" i="9" s="1"/>
  <c r="BB67" i="9"/>
  <c r="BB71" i="9" s="1"/>
  <c r="BD377" i="9"/>
  <c r="BA994" i="9"/>
  <c r="BC1001" i="9"/>
  <c r="BB999" i="9"/>
  <c r="BH168" i="9"/>
  <c r="BI162" i="9" s="1"/>
  <c r="BI166" i="9" s="1"/>
  <c r="BI1007" i="9"/>
  <c r="BI415" i="9"/>
  <c r="BJ409" i="9" s="1"/>
  <c r="BJ413" i="9" s="1"/>
  <c r="BE5" i="28"/>
  <c r="BI998" i="9"/>
  <c r="BJ1003" i="9"/>
  <c r="BI1005" i="9"/>
  <c r="BE4" i="26"/>
  <c r="BE4" i="28"/>
  <c r="BD179" i="1"/>
  <c r="BE3" i="26"/>
  <c r="BE5" i="22"/>
  <c r="BE5" i="20"/>
  <c r="BE4" i="22"/>
  <c r="BE4" i="20"/>
  <c r="BE3" i="22"/>
  <c r="BE3" i="20"/>
  <c r="BE5" i="16"/>
  <c r="BE5" i="12"/>
  <c r="BE5" i="11"/>
  <c r="BE5" i="9"/>
  <c r="BE4" i="16"/>
  <c r="BE4" i="12"/>
  <c r="BE4" i="11"/>
  <c r="BE4" i="9"/>
  <c r="BF10" i="3"/>
  <c r="BF4" i="3" s="1"/>
  <c r="BF2" i="44" s="1" a="1"/>
  <c r="BF2" i="44" s="1"/>
  <c r="BE3" i="16"/>
  <c r="BE3" i="12"/>
  <c r="BE3" i="11"/>
  <c r="BE3" i="9"/>
  <c r="BE3" i="4"/>
  <c r="BE3" i="1"/>
  <c r="DY2" i="1" s="1"/>
  <c r="BE3" i="6"/>
  <c r="AD22" i="3"/>
  <c r="AD5" i="4"/>
  <c r="AD5" i="1"/>
  <c r="AD5" i="6"/>
  <c r="BE181" i="3" l="1"/>
  <c r="BE204" i="3" s="1"/>
  <c r="BD178" i="1"/>
  <c r="BE172" i="20" a="1"/>
  <c r="BE172" i="20" s="1"/>
  <c r="BE150" i="20" a="1"/>
  <c r="BE150" i="20" s="1"/>
  <c r="BE181" i="20" a="1"/>
  <c r="BE181" i="20" s="1"/>
  <c r="BE154" i="20" a="1"/>
  <c r="BE154" i="20" s="1"/>
  <c r="BE146" i="20" a="1"/>
  <c r="BE146" i="20" s="1"/>
  <c r="BE169" i="20" a="1"/>
  <c r="BE169" i="20" s="1"/>
  <c r="BE143" i="20" a="1"/>
  <c r="BE143" i="20" s="1"/>
  <c r="BE142" i="20" a="1"/>
  <c r="BE142" i="20" s="1"/>
  <c r="BE141" i="20" a="1"/>
  <c r="BE141" i="20" s="1"/>
  <c r="BE140" i="20" a="1"/>
  <c r="BE140" i="20" s="1"/>
  <c r="BE139" i="20" a="1"/>
  <c r="BE139" i="20" s="1"/>
  <c r="BE138" i="20" a="1"/>
  <c r="BE138" i="20" s="1"/>
  <c r="BE137" i="20" a="1"/>
  <c r="BE137" i="20" s="1"/>
  <c r="BE133" i="20" a="1"/>
  <c r="BE133" i="20" s="1"/>
  <c r="BE132" i="20" a="1"/>
  <c r="BE132" i="20" s="1"/>
  <c r="BE131" i="20" a="1"/>
  <c r="BE131" i="20" s="1"/>
  <c r="BE145" i="20" a="1"/>
  <c r="BE145" i="20" s="1"/>
  <c r="BE148" i="20" a="1"/>
  <c r="BE148" i="20" s="1"/>
  <c r="BE144" i="20" a="1"/>
  <c r="BE144" i="20" s="1"/>
  <c r="BE129" i="20" a="1"/>
  <c r="BE129" i="20" s="1"/>
  <c r="BE127" i="20" a="1"/>
  <c r="BE127" i="20" s="1"/>
  <c r="BE149" i="20" a="1"/>
  <c r="BE149" i="20" s="1"/>
  <c r="BE198" i="20" a="1"/>
  <c r="BE198" i="20" s="1"/>
  <c r="BE124" i="20" a="1"/>
  <c r="BE124" i="20" s="1"/>
  <c r="BE122" i="20" a="1"/>
  <c r="BE122" i="20" s="1"/>
  <c r="BE112" i="20" a="1"/>
  <c r="BE112" i="20" s="1"/>
  <c r="BE110" i="20" a="1"/>
  <c r="BE110" i="20" s="1"/>
  <c r="BE105" i="20" a="1"/>
  <c r="BE105" i="20" s="1"/>
  <c r="BE128" i="20" a="1"/>
  <c r="BE128" i="20" s="1"/>
  <c r="BE125" i="20" a="1"/>
  <c r="BE125" i="20" s="1"/>
  <c r="BE123" i="20" a="1"/>
  <c r="BE123" i="20" s="1"/>
  <c r="BE115" i="20" a="1"/>
  <c r="BE115" i="20" s="1"/>
  <c r="BE117" i="20" s="1"/>
  <c r="BE111" i="20" a="1"/>
  <c r="BE111" i="20" s="1"/>
  <c r="BE106" i="20" a="1"/>
  <c r="BE106" i="20" s="1"/>
  <c r="BE104" i="20" a="1"/>
  <c r="BE104" i="20" s="1"/>
  <c r="BE103" i="20" a="1"/>
  <c r="BE103" i="20" s="1"/>
  <c r="BE102" i="20" a="1"/>
  <c r="BE102" i="20" s="1"/>
  <c r="BE101" i="20" a="1"/>
  <c r="BE101" i="20" s="1"/>
  <c r="BE97" i="20" a="1"/>
  <c r="BE97" i="20" s="1"/>
  <c r="BE96" i="20" a="1"/>
  <c r="BE96" i="20" s="1"/>
  <c r="BE95" i="20" a="1"/>
  <c r="BE95" i="20" s="1"/>
  <c r="BE94" i="20" a="1"/>
  <c r="BE94" i="20" s="1"/>
  <c r="BE93" i="20" a="1"/>
  <c r="BE93" i="20" s="1"/>
  <c r="BE92" i="20" a="1"/>
  <c r="BE92" i="20" s="1"/>
  <c r="BE91" i="20" a="1"/>
  <c r="BE91" i="20" s="1"/>
  <c r="BE90" i="20" a="1"/>
  <c r="BE90" i="20" s="1"/>
  <c r="BE89" i="20" a="1"/>
  <c r="BE89" i="20" s="1"/>
  <c r="BE88" i="20" a="1"/>
  <c r="BE88" i="20" s="1"/>
  <c r="BE87" i="20" a="1"/>
  <c r="BE87" i="20" s="1"/>
  <c r="BE83" i="20" a="1"/>
  <c r="BE83" i="20" s="1"/>
  <c r="BE82" i="20" a="1"/>
  <c r="BE82" i="20" s="1"/>
  <c r="BE126" i="20" a="1"/>
  <c r="BE126" i="20" s="1"/>
  <c r="BE81" i="20" a="1"/>
  <c r="BE81" i="20" s="1"/>
  <c r="BE80" i="20" a="1"/>
  <c r="BE80" i="20" s="1"/>
  <c r="BE79" i="20" a="1"/>
  <c r="BE79" i="20" s="1"/>
  <c r="BE78" i="20" a="1"/>
  <c r="BE78" i="20" s="1"/>
  <c r="BE77" i="20" a="1"/>
  <c r="BE77" i="20" s="1"/>
  <c r="BE76" i="20" a="1"/>
  <c r="BE76" i="20" s="1"/>
  <c r="BE75" i="20" a="1"/>
  <c r="BE75" i="20" s="1"/>
  <c r="BE74" i="20" a="1"/>
  <c r="BE74" i="20" s="1"/>
  <c r="BE73" i="20" a="1"/>
  <c r="BE73" i="20" s="1"/>
  <c r="BE72" i="20" a="1"/>
  <c r="BE72" i="20" s="1"/>
  <c r="BE71" i="20" a="1"/>
  <c r="BE71" i="20" s="1"/>
  <c r="BE68" i="20" a="1"/>
  <c r="BE68" i="20" s="1"/>
  <c r="BE66" i="20" a="1"/>
  <c r="BE66" i="20" s="1"/>
  <c r="BE65" i="20" a="1"/>
  <c r="BE65" i="20" s="1"/>
  <c r="BE64" i="20" a="1"/>
  <c r="BE64" i="20" s="1"/>
  <c r="BE61" i="20" a="1"/>
  <c r="BE61" i="20" s="1"/>
  <c r="BE59" i="20" a="1"/>
  <c r="BE59" i="20" s="1"/>
  <c r="BE58" i="20" a="1"/>
  <c r="BE58" i="20" s="1"/>
  <c r="BE57" i="20" a="1"/>
  <c r="BE57" i="20" s="1"/>
  <c r="BE56" i="20" a="1"/>
  <c r="BE56" i="20" s="1"/>
  <c r="BE55" i="20" a="1"/>
  <c r="BE55" i="20" s="1"/>
  <c r="BE54" i="20" a="1"/>
  <c r="BE54" i="20" s="1"/>
  <c r="BE53" i="20" a="1"/>
  <c r="BE53" i="20" s="1"/>
  <c r="BE50" i="20" a="1"/>
  <c r="BE50" i="20" s="1"/>
  <c r="BE48" i="20" a="1"/>
  <c r="BE48" i="20" s="1"/>
  <c r="BE47" i="20" a="1"/>
  <c r="BE47" i="20" s="1"/>
  <c r="BE46" i="20" a="1"/>
  <c r="BE46" i="20" s="1"/>
  <c r="BE44" i="20" a="1"/>
  <c r="BE44" i="20" s="1"/>
  <c r="BE42" i="20" a="1"/>
  <c r="BE42" i="20" s="1"/>
  <c r="BE45" i="20" a="1"/>
  <c r="BE45" i="20" s="1"/>
  <c r="BE43" i="20" a="1"/>
  <c r="BE43" i="20" s="1"/>
  <c r="BE41" i="20" a="1"/>
  <c r="BE41" i="20" s="1"/>
  <c r="BE38" i="20" a="1"/>
  <c r="BE38" i="20" s="1"/>
  <c r="BE36" i="20" a="1"/>
  <c r="BE36" i="20" s="1"/>
  <c r="BE35" i="20" a="1"/>
  <c r="BE35" i="20" s="1"/>
  <c r="BE34" i="20" a="1"/>
  <c r="BE34" i="20" s="1"/>
  <c r="BE33" i="20" a="1"/>
  <c r="BE33" i="20" s="1"/>
  <c r="BE32" i="20" a="1"/>
  <c r="BE32" i="20" s="1"/>
  <c r="BE29" i="20" a="1"/>
  <c r="BE29" i="20" s="1"/>
  <c r="BE27" i="20" a="1"/>
  <c r="BE27" i="20" s="1"/>
  <c r="BE26" i="20" a="1"/>
  <c r="BE26" i="20" s="1"/>
  <c r="BE25" i="20" a="1"/>
  <c r="BE25" i="20" s="1"/>
  <c r="BE24" i="20" a="1"/>
  <c r="BE24" i="20" s="1"/>
  <c r="BE23" i="20" a="1"/>
  <c r="BE23" i="20" s="1"/>
  <c r="BE22" i="20" a="1"/>
  <c r="BE22" i="20" s="1"/>
  <c r="BE21" i="20" a="1"/>
  <c r="BE21" i="20" s="1"/>
  <c r="BE20" i="20" a="1"/>
  <c r="BE20" i="20" s="1"/>
  <c r="BE19" i="20" a="1"/>
  <c r="BE19" i="20" s="1"/>
  <c r="BE16" i="20" a="1"/>
  <c r="BE16" i="20" s="1"/>
  <c r="BE13" i="20" a="1"/>
  <c r="BE13" i="20" s="1"/>
  <c r="BE12" i="20" a="1"/>
  <c r="BE12" i="20" s="1"/>
  <c r="AQ119" i="1"/>
  <c r="BC183" i="1"/>
  <c r="AP56" i="33"/>
  <c r="BE64" i="9"/>
  <c r="BE102" i="9"/>
  <c r="BE121" i="9"/>
  <c r="BE159" i="9"/>
  <c r="BE197" i="9"/>
  <c r="BE235" i="9"/>
  <c r="BE273" i="9"/>
  <c r="BE311" i="9"/>
  <c r="BE349" i="9"/>
  <c r="BE387" i="9"/>
  <c r="BE254" i="9"/>
  <c r="BE406" i="9"/>
  <c r="BE425" i="9"/>
  <c r="BE140" i="9"/>
  <c r="BE292" i="9"/>
  <c r="BE83" i="9"/>
  <c r="BE178" i="9"/>
  <c r="BE368" i="9"/>
  <c r="BE216" i="9"/>
  <c r="BE330" i="9"/>
  <c r="AD855" i="9"/>
  <c r="AD805" i="9"/>
  <c r="AE759" i="9" s="1"/>
  <c r="BC833" i="9"/>
  <c r="BC841" i="9"/>
  <c r="BC846" i="9"/>
  <c r="BC843" i="9"/>
  <c r="BC773" i="9"/>
  <c r="BC796" i="9" s="1"/>
  <c r="BC869" i="9" s="1"/>
  <c r="BC770" i="9"/>
  <c r="BC793" i="9" s="1"/>
  <c r="BC866" i="9" s="1"/>
  <c r="BC768" i="9"/>
  <c r="BC791" i="9" s="1"/>
  <c r="BC864" i="9" s="1"/>
  <c r="BA831" i="9"/>
  <c r="BA712" i="9"/>
  <c r="BA758" i="9"/>
  <c r="BA781" i="9" s="1"/>
  <c r="BA854" i="9" s="1"/>
  <c r="BC247" i="3"/>
  <c r="BC245" i="3"/>
  <c r="BC239" i="3"/>
  <c r="BC760" i="9"/>
  <c r="BC783" i="9" s="1"/>
  <c r="BC856" i="9" s="1"/>
  <c r="BC234" i="3"/>
  <c r="BC727" i="9"/>
  <c r="BC249" i="3"/>
  <c r="BC714" i="9"/>
  <c r="BC236" i="3"/>
  <c r="BC240" i="3"/>
  <c r="BC241" i="3"/>
  <c r="BC248" i="3"/>
  <c r="BC243" i="3"/>
  <c r="BC724" i="9"/>
  <c r="BC246" i="3"/>
  <c r="BC242" i="3"/>
  <c r="BC237" i="3"/>
  <c r="BC722" i="9"/>
  <c r="BC244" i="3"/>
  <c r="BC235" i="3"/>
  <c r="BC238" i="3"/>
  <c r="BC250" i="3"/>
  <c r="BA852" i="9"/>
  <c r="AQ197" i="1"/>
  <c r="AI193" i="1"/>
  <c r="AC193" i="1"/>
  <c r="AG193" i="1"/>
  <c r="AQ194" i="1"/>
  <c r="AO165" i="1"/>
  <c r="AJ193" i="1"/>
  <c r="AL193" i="1"/>
  <c r="AD193" i="1"/>
  <c r="AF193" i="1"/>
  <c r="AM193" i="1"/>
  <c r="BE187" i="26"/>
  <c r="BE183" i="26"/>
  <c r="BE190" i="26"/>
  <c r="BE178" i="26"/>
  <c r="BE180" i="26"/>
  <c r="BE194" i="26" s="1"/>
  <c r="BE295" i="26" s="1"/>
  <c r="BE184" i="26"/>
  <c r="BE189" i="26"/>
  <c r="BE186" i="26"/>
  <c r="BE181" i="26"/>
  <c r="BE195" i="26" s="1"/>
  <c r="BE296" i="26" s="1"/>
  <c r="BE188" i="26"/>
  <c r="BE192" i="26"/>
  <c r="BE185" i="26"/>
  <c r="BE191" i="26"/>
  <c r="BE179" i="26"/>
  <c r="BE193" i="26" s="1"/>
  <c r="BE182" i="26"/>
  <c r="BD71" i="26"/>
  <c r="BD259" i="26" s="1"/>
  <c r="AQ147" i="30"/>
  <c r="BD180" i="20"/>
  <c r="AQ49" i="30"/>
  <c r="AD788" i="9"/>
  <c r="AD786" i="9"/>
  <c r="AD780" i="9"/>
  <c r="BD223" i="6"/>
  <c r="BD130" i="30" s="1"/>
  <c r="BF43" i="3"/>
  <c r="BC178" i="20"/>
  <c r="BC50" i="30" s="1"/>
  <c r="BD206" i="26"/>
  <c r="BC114" i="6"/>
  <c r="BC116" i="30" s="1"/>
  <c r="BD198" i="26"/>
  <c r="AP160" i="1"/>
  <c r="AR34" i="30"/>
  <c r="AR152" i="30"/>
  <c r="AR59" i="33" s="1"/>
  <c r="AR42" i="30"/>
  <c r="AR117" i="1"/>
  <c r="AR107" i="1"/>
  <c r="AR49" i="1"/>
  <c r="AR28" i="1"/>
  <c r="AR156" i="1"/>
  <c r="AR60" i="1"/>
  <c r="AR195" i="20"/>
  <c r="AR37" i="1"/>
  <c r="AR151" i="1"/>
  <c r="AR15" i="1"/>
  <c r="AR39" i="30"/>
  <c r="AR67" i="1"/>
  <c r="AR134" i="1"/>
  <c r="AR84" i="1"/>
  <c r="BC154" i="6"/>
  <c r="BC98" i="30" s="1"/>
  <c r="BC187" i="30" s="1"/>
  <c r="BD150" i="26"/>
  <c r="BD180" i="30" s="1"/>
  <c r="BD174" i="26"/>
  <c r="BC34" i="6"/>
  <c r="BC69" i="30" s="1"/>
  <c r="BD257" i="26"/>
  <c r="BD299" i="26"/>
  <c r="BE159" i="26"/>
  <c r="BE163" i="26"/>
  <c r="BE156" i="26"/>
  <c r="BE170" i="26" s="1"/>
  <c r="BE222" i="26" s="1"/>
  <c r="BE158" i="26"/>
  <c r="BE172" i="26" s="1"/>
  <c r="BE236" i="26" s="1"/>
  <c r="BE166" i="26"/>
  <c r="BE155" i="26"/>
  <c r="BE160" i="26"/>
  <c r="BE164" i="26"/>
  <c r="BE167" i="26"/>
  <c r="BE162" i="26"/>
  <c r="BE154" i="26"/>
  <c r="BE173" i="26" s="1"/>
  <c r="BE268" i="26" s="1"/>
  <c r="BE157" i="26"/>
  <c r="BE171" i="26" s="1"/>
  <c r="BE249" i="26" s="1"/>
  <c r="BE161" i="26"/>
  <c r="BE165" i="26"/>
  <c r="BE168" i="26"/>
  <c r="BE63" i="26"/>
  <c r="BE133" i="26"/>
  <c r="BE147" i="26" s="1"/>
  <c r="BE89" i="26"/>
  <c r="BE108" i="26"/>
  <c r="BE82" i="26"/>
  <c r="BE66" i="26"/>
  <c r="BE114" i="26"/>
  <c r="BE137" i="26"/>
  <c r="BE92" i="26"/>
  <c r="BE118" i="26"/>
  <c r="BE105" i="26"/>
  <c r="BE84" i="26"/>
  <c r="BE67" i="26"/>
  <c r="BE110" i="26"/>
  <c r="BE134" i="26"/>
  <c r="BE148" i="26" s="1"/>
  <c r="BE196" i="26"/>
  <c r="BE297" i="26" s="1"/>
  <c r="BE86" i="26"/>
  <c r="BE234" i="26" s="1"/>
  <c r="BE81" i="26"/>
  <c r="BE78" i="26"/>
  <c r="BE94" i="26" s="1"/>
  <c r="BE220" i="26" s="1"/>
  <c r="BE91" i="26"/>
  <c r="BE65" i="26"/>
  <c r="BE64" i="26"/>
  <c r="BE62" i="26"/>
  <c r="BE61" i="26"/>
  <c r="BE111" i="26"/>
  <c r="BE141" i="26"/>
  <c r="BE132" i="26"/>
  <c r="BE146" i="26" s="1"/>
  <c r="BE131" i="26"/>
  <c r="BE136" i="26"/>
  <c r="BE135" i="26"/>
  <c r="BE104" i="26"/>
  <c r="BE139" i="26"/>
  <c r="BE88" i="26"/>
  <c r="BE87" i="26"/>
  <c r="BE79" i="26"/>
  <c r="BE95" i="26" s="1"/>
  <c r="BE180" i="1" s="1"/>
  <c r="BE83" i="26"/>
  <c r="BE60" i="26"/>
  <c r="BE59" i="26"/>
  <c r="BE58" i="26"/>
  <c r="BE57" i="26"/>
  <c r="BE107" i="26"/>
  <c r="BE142" i="26"/>
  <c r="BE117" i="26"/>
  <c r="BE140" i="26"/>
  <c r="BE113" i="26"/>
  <c r="BE144" i="26"/>
  <c r="BE116" i="26"/>
  <c r="BE80" i="26"/>
  <c r="BE90" i="26"/>
  <c r="BE85" i="26"/>
  <c r="BE56" i="26"/>
  <c r="BE55" i="26"/>
  <c r="BE54" i="26"/>
  <c r="BE53" i="26"/>
  <c r="BE70" i="26" s="1"/>
  <c r="BE233" i="26" s="1"/>
  <c r="BE130" i="26"/>
  <c r="BE112" i="26"/>
  <c r="BE235" i="26" s="1"/>
  <c r="BE138" i="26"/>
  <c r="BE109" i="26"/>
  <c r="BE143" i="26"/>
  <c r="BE115" i="26"/>
  <c r="BE106" i="26"/>
  <c r="BD207" i="26"/>
  <c r="BD123" i="26"/>
  <c r="BD267" i="26" s="1"/>
  <c r="BB432" i="9"/>
  <c r="BB687" i="9" s="1"/>
  <c r="BI437" i="9"/>
  <c r="BI435" i="9"/>
  <c r="BI444" i="9"/>
  <c r="BJ450" i="9"/>
  <c r="BI446" i="9"/>
  <c r="BI507" i="9"/>
  <c r="BB508" i="9"/>
  <c r="BI514" i="9"/>
  <c r="BI516" i="9"/>
  <c r="BC510" i="9"/>
  <c r="BG511" i="9"/>
  <c r="BJ512" i="9"/>
  <c r="AA283" i="9"/>
  <c r="AB283" i="9"/>
  <c r="AC283" i="9"/>
  <c r="AD283" i="9"/>
  <c r="AE283" i="9"/>
  <c r="AF283" i="9"/>
  <c r="AG283" i="9"/>
  <c r="AH283" i="9"/>
  <c r="AI283" i="9"/>
  <c r="AJ283" i="9"/>
  <c r="AK283" i="9"/>
  <c r="AL283" i="9"/>
  <c r="AM283" i="9"/>
  <c r="AN283" i="9"/>
  <c r="AO283" i="9"/>
  <c r="AP283" i="9"/>
  <c r="AQ283" i="9"/>
  <c r="AS283" i="9"/>
  <c r="AR283" i="9"/>
  <c r="AT283" i="9"/>
  <c r="AU283" i="9"/>
  <c r="AV283" i="9"/>
  <c r="AW283" i="9"/>
  <c r="AX283" i="9"/>
  <c r="AY283" i="9"/>
  <c r="AZ283" i="9"/>
  <c r="BA283" i="9"/>
  <c r="BB283" i="9"/>
  <c r="BC283" i="9"/>
  <c r="BD283" i="9"/>
  <c r="BE283" i="9"/>
  <c r="BA503" i="9"/>
  <c r="BA1085" i="9" s="1"/>
  <c r="BI509" i="9"/>
  <c r="BI502" i="9"/>
  <c r="BI92" i="9"/>
  <c r="BJ86" i="9" s="1"/>
  <c r="BJ90" i="9" s="1"/>
  <c r="BI225" i="9"/>
  <c r="BJ219" i="9" s="1"/>
  <c r="BJ223" i="9" s="1"/>
  <c r="BI505" i="9"/>
  <c r="BI149" i="9"/>
  <c r="BJ143" i="9" s="1"/>
  <c r="BJ147" i="9" s="1"/>
  <c r="BI1004" i="9"/>
  <c r="BI1009" i="9"/>
  <c r="BI449" i="9"/>
  <c r="BI1006" i="9"/>
  <c r="BI995" i="9"/>
  <c r="BG263" i="9"/>
  <c r="BB992" i="9"/>
  <c r="BI997" i="9"/>
  <c r="BB206" i="9"/>
  <c r="BA111" i="9"/>
  <c r="BE371" i="9"/>
  <c r="BE375" i="9" s="1"/>
  <c r="BC244" i="9"/>
  <c r="BI358" i="9"/>
  <c r="BJ352" i="9"/>
  <c r="BJ356" i="9" s="1"/>
  <c r="BE83" i="3"/>
  <c r="BD129" i="3"/>
  <c r="BE86" i="3"/>
  <c r="BD132" i="3"/>
  <c r="BE82" i="3"/>
  <c r="BD128" i="3"/>
  <c r="BE81" i="3"/>
  <c r="BD127" i="3"/>
  <c r="BE88" i="3"/>
  <c r="BD134" i="3"/>
  <c r="BE87" i="3"/>
  <c r="BD133" i="3"/>
  <c r="BE75" i="3"/>
  <c r="BD121" i="3"/>
  <c r="BE74" i="3"/>
  <c r="BD120" i="3"/>
  <c r="BE89" i="3"/>
  <c r="BD135" i="3"/>
  <c r="BE73" i="3"/>
  <c r="BD119" i="3"/>
  <c r="BE80" i="3"/>
  <c r="BD126" i="3"/>
  <c r="BE79" i="3"/>
  <c r="BD125" i="3"/>
  <c r="BF158" i="3"/>
  <c r="BF146" i="3"/>
  <c r="BF157" i="3"/>
  <c r="BF156" i="3"/>
  <c r="BF144" i="3"/>
  <c r="BF155" i="3"/>
  <c r="BF153" i="3"/>
  <c r="BF147" i="3"/>
  <c r="BF145" i="3"/>
  <c r="BF140" i="3"/>
  <c r="BE85" i="3"/>
  <c r="BD131" i="3"/>
  <c r="BE76" i="3"/>
  <c r="BD122" i="3"/>
  <c r="BE78" i="3"/>
  <c r="BD124" i="3"/>
  <c r="BE77" i="3"/>
  <c r="BD123" i="3"/>
  <c r="BE70" i="3"/>
  <c r="BD116" i="3"/>
  <c r="BE84" i="3"/>
  <c r="BD130" i="3"/>
  <c r="BE72" i="3"/>
  <c r="BD118" i="3"/>
  <c r="BF148" i="3"/>
  <c r="BF142" i="3"/>
  <c r="BF151" i="3"/>
  <c r="BF141" i="3"/>
  <c r="BF150" i="3"/>
  <c r="BF154" i="3"/>
  <c r="BE71" i="3"/>
  <c r="BD117" i="3"/>
  <c r="BF152" i="3"/>
  <c r="BF139" i="3"/>
  <c r="BF143" i="3"/>
  <c r="BF149" i="3"/>
  <c r="BF5" i="3"/>
  <c r="BJ282" i="9"/>
  <c r="BI187" i="9"/>
  <c r="BJ181" i="9" s="1"/>
  <c r="BJ185" i="9" s="1"/>
  <c r="BI320" i="9"/>
  <c r="BJ314" i="9" s="1"/>
  <c r="BJ318" i="9" s="1"/>
  <c r="BD107" i="6"/>
  <c r="BD111" i="6" s="1"/>
  <c r="BC168" i="20"/>
  <c r="BD179" i="20"/>
  <c r="BE121" i="26"/>
  <c r="BE248" i="26" s="1"/>
  <c r="BE219" i="26"/>
  <c r="BF12" i="3"/>
  <c r="BF3" i="3" s="1"/>
  <c r="BF24" i="3"/>
  <c r="AD28" i="3"/>
  <c r="AD26" i="3"/>
  <c r="BF4" i="38"/>
  <c r="BE105" i="3"/>
  <c r="BE111" i="3"/>
  <c r="BE108" i="3"/>
  <c r="BE94" i="3"/>
  <c r="BE106" i="3"/>
  <c r="BE99" i="3"/>
  <c r="BE101" i="3"/>
  <c r="BE100" i="3"/>
  <c r="BE93" i="3"/>
  <c r="BE107" i="3"/>
  <c r="BE95" i="3"/>
  <c r="BE109" i="3"/>
  <c r="BE104" i="3"/>
  <c r="BE110" i="3"/>
  <c r="BG8" i="3"/>
  <c r="BE98" i="3"/>
  <c r="BE97" i="3"/>
  <c r="BE112" i="3"/>
  <c r="BE96" i="3"/>
  <c r="BE103" i="3"/>
  <c r="BE102" i="3"/>
  <c r="AD4" i="4"/>
  <c r="AD4" i="1"/>
  <c r="AD4" i="6"/>
  <c r="AD20" i="3"/>
  <c r="BC64" i="33" l="1"/>
  <c r="BC74" i="33"/>
  <c r="BC737" i="9"/>
  <c r="BC745" i="9"/>
  <c r="BD699" i="9" s="1"/>
  <c r="BC747" i="9"/>
  <c r="BD701" i="9" s="1"/>
  <c r="BC750" i="9"/>
  <c r="BA735" i="9"/>
  <c r="BE220" i="6"/>
  <c r="BE24" i="32"/>
  <c r="BE153" i="30"/>
  <c r="BD52" i="30"/>
  <c r="AR119" i="1"/>
  <c r="BF3" i="38"/>
  <c r="BF39" i="3"/>
  <c r="BD183" i="1"/>
  <c r="BC48" i="30"/>
  <c r="BC183" i="20"/>
  <c r="AQ56" i="33"/>
  <c r="BF5" i="26"/>
  <c r="BF179" i="26" s="1"/>
  <c r="BF346" i="3"/>
  <c r="BF347" i="3"/>
  <c r="AD803" i="9"/>
  <c r="AE757" i="9" s="1"/>
  <c r="AD853" i="9"/>
  <c r="BC806" i="9"/>
  <c r="AD859" i="9"/>
  <c r="AD809" i="9"/>
  <c r="AE763" i="9" s="1"/>
  <c r="AD861" i="9"/>
  <c r="AD811" i="9"/>
  <c r="AE765" i="9" s="1"/>
  <c r="BC816" i="9"/>
  <c r="BC814" i="9"/>
  <c r="BC819" i="9"/>
  <c r="BA804" i="9"/>
  <c r="BD704" i="9"/>
  <c r="BD268" i="3"/>
  <c r="BD291" i="3" s="1"/>
  <c r="BD222" i="3"/>
  <c r="BD261" i="3"/>
  <c r="BD284" i="3" s="1"/>
  <c r="BD215" i="3"/>
  <c r="BD260" i="3"/>
  <c r="BD283" i="3" s="1"/>
  <c r="BD214" i="3"/>
  <c r="BD264" i="3"/>
  <c r="BD287" i="3" s="1"/>
  <c r="BD218" i="3"/>
  <c r="BD273" i="3"/>
  <c r="BD296" i="3" s="1"/>
  <c r="BD227" i="3"/>
  <c r="BD213" i="3"/>
  <c r="BD259" i="3"/>
  <c r="BD282" i="3" s="1"/>
  <c r="BD226" i="3"/>
  <c r="BD272" i="3"/>
  <c r="BD295" i="3" s="1"/>
  <c r="BD266" i="3"/>
  <c r="BD289" i="3" s="1"/>
  <c r="BD220" i="3"/>
  <c r="BD267" i="3"/>
  <c r="BD290" i="3" s="1"/>
  <c r="BD221" i="3"/>
  <c r="BD216" i="3"/>
  <c r="BD262" i="3"/>
  <c r="BD285" i="3" s="1"/>
  <c r="BD269" i="3"/>
  <c r="BD292" i="3" s="1"/>
  <c r="BD223" i="3"/>
  <c r="BD217" i="3"/>
  <c r="BD263" i="3"/>
  <c r="BD286" i="3" s="1"/>
  <c r="BD257" i="3"/>
  <c r="BD280" i="3" s="1"/>
  <c r="BD211" i="3"/>
  <c r="BD258" i="3"/>
  <c r="BD281" i="3" s="1"/>
  <c r="BD212" i="3"/>
  <c r="BD225" i="3"/>
  <c r="BD271" i="3"/>
  <c r="BD294" i="3" s="1"/>
  <c r="BD219" i="3"/>
  <c r="BD265" i="3"/>
  <c r="BD288" i="3" s="1"/>
  <c r="BD270" i="3"/>
  <c r="BD293" i="3" s="1"/>
  <c r="BD224" i="3"/>
  <c r="BD691" i="9"/>
  <c r="BB756" i="9"/>
  <c r="BB829" i="9"/>
  <c r="BD256" i="3"/>
  <c r="BD279" i="3" s="1"/>
  <c r="BD210" i="3"/>
  <c r="BD233" i="3" s="1"/>
  <c r="AF199" i="1"/>
  <c r="AL199" i="1"/>
  <c r="AO193" i="1"/>
  <c r="AG199" i="1"/>
  <c r="AI199" i="1"/>
  <c r="AR197" i="1"/>
  <c r="AP165" i="1"/>
  <c r="AR194" i="1"/>
  <c r="AM199" i="1"/>
  <c r="AD199" i="1"/>
  <c r="AJ199" i="1"/>
  <c r="AC199" i="1"/>
  <c r="BF154" i="26"/>
  <c r="BF173" i="26" s="1"/>
  <c r="BF268" i="26" s="1"/>
  <c r="BD261" i="26"/>
  <c r="BD34" i="6" s="1"/>
  <c r="BD69" i="30" s="1"/>
  <c r="BE68" i="26"/>
  <c r="BE71" i="26" s="1"/>
  <c r="BE259" i="26" s="1"/>
  <c r="BD92" i="30"/>
  <c r="BD72" i="33"/>
  <c r="BE247" i="26"/>
  <c r="AR147" i="30"/>
  <c r="BF30" i="3"/>
  <c r="AR49" i="30"/>
  <c r="AE782" i="9"/>
  <c r="BD209" i="3"/>
  <c r="BD232" i="3" s="1"/>
  <c r="BD255" i="3"/>
  <c r="BD278" i="3" s="1"/>
  <c r="BB710" i="9"/>
  <c r="BB733" i="9" s="1"/>
  <c r="BD281" i="26"/>
  <c r="BD154" i="6" s="1"/>
  <c r="BE145" i="26"/>
  <c r="BE93" i="26"/>
  <c r="BE206" i="26" s="1"/>
  <c r="AS67" i="1"/>
  <c r="AS28" i="1"/>
  <c r="AS15" i="1"/>
  <c r="AS151" i="1"/>
  <c r="AS37" i="1"/>
  <c r="AR158" i="1"/>
  <c r="AS107" i="1"/>
  <c r="AS117" i="1"/>
  <c r="AS34" i="30"/>
  <c r="AS134" i="1"/>
  <c r="AS84" i="1"/>
  <c r="AS39" i="30"/>
  <c r="AS152" i="30"/>
  <c r="AS59" i="33" s="1"/>
  <c r="AS60" i="1"/>
  <c r="AS156" i="1"/>
  <c r="AS49" i="1"/>
  <c r="AS42" i="30"/>
  <c r="BE119" i="26"/>
  <c r="BE207" i="26" s="1"/>
  <c r="BE120" i="26"/>
  <c r="BE221" i="26" s="1"/>
  <c r="BF5" i="38"/>
  <c r="BF55" i="3"/>
  <c r="BF170" i="3" s="1"/>
  <c r="BF193" i="3" s="1"/>
  <c r="BF63" i="3"/>
  <c r="BF178" i="3" s="1"/>
  <c r="BF201" i="3" s="1"/>
  <c r="BF52" i="3"/>
  <c r="BF167" i="3" s="1"/>
  <c r="BF190" i="3" s="1"/>
  <c r="BF51" i="3"/>
  <c r="BF166" i="3" s="1"/>
  <c r="BF189" i="3" s="1"/>
  <c r="BF48" i="3"/>
  <c r="BF163" i="3" s="1"/>
  <c r="BF186" i="3" s="1"/>
  <c r="BF56" i="3"/>
  <c r="BF171" i="3" s="1"/>
  <c r="BF194" i="3" s="1"/>
  <c r="BF60" i="3"/>
  <c r="BF175" i="3" s="1"/>
  <c r="BF198" i="3" s="1"/>
  <c r="BF57" i="3"/>
  <c r="BF172" i="3" s="1"/>
  <c r="BF195" i="3" s="1"/>
  <c r="BF65" i="3"/>
  <c r="BF180" i="3" s="1"/>
  <c r="BF203" i="3" s="1"/>
  <c r="BF49" i="3"/>
  <c r="BF164" i="3" s="1"/>
  <c r="BF187" i="3" s="1"/>
  <c r="BF61" i="3"/>
  <c r="BF176" i="3" s="1"/>
  <c r="BF199" i="3" s="1"/>
  <c r="BF50" i="3"/>
  <c r="BF165" i="3" s="1"/>
  <c r="BF188" i="3" s="1"/>
  <c r="BF58" i="3"/>
  <c r="BF173" i="3" s="1"/>
  <c r="BF196" i="3" s="1"/>
  <c r="BF62" i="3"/>
  <c r="BF177" i="3" s="1"/>
  <c r="BF200" i="3" s="1"/>
  <c r="BF64" i="3"/>
  <c r="BF179" i="3" s="1"/>
  <c r="BF202" i="3" s="1"/>
  <c r="BF53" i="3"/>
  <c r="BF168" i="3" s="1"/>
  <c r="BF191" i="3" s="1"/>
  <c r="BF54" i="3"/>
  <c r="BF169" i="3" s="1"/>
  <c r="BF192" i="3" s="1"/>
  <c r="BF66" i="3"/>
  <c r="BF47" i="3"/>
  <c r="BF162" i="3" s="1"/>
  <c r="BF185" i="3" s="1"/>
  <c r="BF59" i="3"/>
  <c r="BF174" i="3" s="1"/>
  <c r="BF197" i="3" s="1"/>
  <c r="BE149" i="26"/>
  <c r="BE197" i="26"/>
  <c r="BE298" i="26" s="1"/>
  <c r="BD178" i="20"/>
  <c r="BD183" i="20" s="1"/>
  <c r="BF157" i="26"/>
  <c r="BF171" i="26" s="1"/>
  <c r="BF249" i="26" s="1"/>
  <c r="BF163" i="26"/>
  <c r="BF161" i="26"/>
  <c r="BE169" i="26"/>
  <c r="BA94" i="6"/>
  <c r="BA88" i="35"/>
  <c r="BD254" i="3"/>
  <c r="BD277" i="3" s="1"/>
  <c r="BD208" i="3"/>
  <c r="BF5" i="33"/>
  <c r="BF5" i="35"/>
  <c r="BF4" i="33"/>
  <c r="BF4" i="35"/>
  <c r="BF3" i="33"/>
  <c r="BF3" i="35"/>
  <c r="BE294" i="26"/>
  <c r="BJ438" i="9"/>
  <c r="AB416" i="9"/>
  <c r="BJ1010" i="9"/>
  <c r="BJ433" i="9"/>
  <c r="BJ447" i="9"/>
  <c r="BE448" i="9"/>
  <c r="BJ445" i="9"/>
  <c r="BJ440" i="9"/>
  <c r="BI130" i="9"/>
  <c r="AA416" i="9"/>
  <c r="AC416" i="9"/>
  <c r="AD416" i="9"/>
  <c r="AE416" i="9"/>
  <c r="AF416" i="9"/>
  <c r="AG416" i="9"/>
  <c r="AH416" i="9"/>
  <c r="AI416" i="9"/>
  <c r="AJ416" i="9"/>
  <c r="AK416" i="9"/>
  <c r="AL416" i="9"/>
  <c r="AM416" i="9"/>
  <c r="AN416" i="9"/>
  <c r="AO416" i="9"/>
  <c r="AP416" i="9"/>
  <c r="AQ416" i="9"/>
  <c r="AR416" i="9"/>
  <c r="AS416" i="9"/>
  <c r="AT416" i="9"/>
  <c r="AU416" i="9"/>
  <c r="AV416" i="9"/>
  <c r="AW416" i="9"/>
  <c r="AX416" i="9"/>
  <c r="AY416" i="9"/>
  <c r="AZ416" i="9"/>
  <c r="BA416" i="9"/>
  <c r="BB416" i="9"/>
  <c r="BC416" i="9"/>
  <c r="BD416" i="9"/>
  <c r="BE416" i="9"/>
  <c r="BB501" i="9"/>
  <c r="BI513" i="9"/>
  <c r="BI506" i="9"/>
  <c r="BI518" i="9"/>
  <c r="BJ993" i="9"/>
  <c r="BJ1000" i="9"/>
  <c r="BJ436" i="9"/>
  <c r="BJ996" i="9"/>
  <c r="BD114" i="6"/>
  <c r="BD116" i="30" s="1"/>
  <c r="BF3" i="28"/>
  <c r="BF3" i="32"/>
  <c r="BF3" i="30"/>
  <c r="BF5" i="32"/>
  <c r="BF5" i="30"/>
  <c r="BF16" i="3"/>
  <c r="BF18" i="3" s="1"/>
  <c r="BF4" i="32"/>
  <c r="BF4" i="30"/>
  <c r="BF196" i="26"/>
  <c r="BF297" i="26" s="1"/>
  <c r="BE107" i="6"/>
  <c r="BI301" i="9"/>
  <c r="BI396" i="9"/>
  <c r="BJ519" i="9"/>
  <c r="BJ124" i="9"/>
  <c r="BJ128" i="9" s="1"/>
  <c r="BI504" i="9"/>
  <c r="BI339" i="9"/>
  <c r="BI515" i="9"/>
  <c r="BJ333" i="9"/>
  <c r="BJ337" i="9" s="1"/>
  <c r="BH257" i="9"/>
  <c r="BH261" i="9" s="1"/>
  <c r="BJ295" i="9"/>
  <c r="BJ299" i="9" s="1"/>
  <c r="BD238" i="9"/>
  <c r="BD242" i="9" s="1"/>
  <c r="BE1008" i="9"/>
  <c r="BC200" i="9"/>
  <c r="BC204" i="9" s="1"/>
  <c r="BB105" i="9"/>
  <c r="BB109" i="9" s="1"/>
  <c r="BI168" i="9"/>
  <c r="BJ162" i="9" s="1"/>
  <c r="BJ166" i="9" s="1"/>
  <c r="BB73" i="9"/>
  <c r="BJ390" i="9"/>
  <c r="BJ394" i="9" s="1"/>
  <c r="AA155" i="9"/>
  <c r="AA597" i="9" s="1"/>
  <c r="AA288" i="9"/>
  <c r="AA604" i="9" s="1"/>
  <c r="BJ1007" i="9"/>
  <c r="BJ415" i="9"/>
  <c r="BF4" i="28"/>
  <c r="BF5" i="28"/>
  <c r="BJ998" i="9"/>
  <c r="BJ1005" i="9"/>
  <c r="BD168" i="20"/>
  <c r="BF143" i="26"/>
  <c r="BF136" i="26"/>
  <c r="BF139" i="26"/>
  <c r="BF132" i="26"/>
  <c r="BF138" i="26"/>
  <c r="BF114" i="26"/>
  <c r="BF117" i="26"/>
  <c r="BF133" i="26"/>
  <c r="BE179" i="1"/>
  <c r="BF60" i="26"/>
  <c r="BF63" i="26"/>
  <c r="BF64" i="26"/>
  <c r="BF65" i="26"/>
  <c r="BF84" i="26"/>
  <c r="BF92" i="26"/>
  <c r="BF86" i="26"/>
  <c r="BF234" i="26" s="1"/>
  <c r="BF78" i="26"/>
  <c r="BF4" i="22"/>
  <c r="BF4" i="26"/>
  <c r="BF3" i="26"/>
  <c r="BF4" i="12"/>
  <c r="BF4" i="16"/>
  <c r="BF4" i="9"/>
  <c r="BF4" i="11"/>
  <c r="BF4" i="20"/>
  <c r="BF5" i="22"/>
  <c r="BF5" i="20"/>
  <c r="BF3" i="22"/>
  <c r="BF3" i="20"/>
  <c r="BF5" i="16"/>
  <c r="BF5" i="12"/>
  <c r="BF5" i="11"/>
  <c r="BF5" i="9"/>
  <c r="BF3" i="16"/>
  <c r="BF3" i="12"/>
  <c r="BF3" i="11"/>
  <c r="BF3" i="9"/>
  <c r="BF3" i="6"/>
  <c r="BF3" i="4"/>
  <c r="BF3" i="1"/>
  <c r="DZ2" i="1" s="1"/>
  <c r="BG10" i="3"/>
  <c r="BG4" i="3" s="1"/>
  <c r="BG2" i="44" s="1" a="1"/>
  <c r="BG2" i="44" s="1"/>
  <c r="AE5" i="4"/>
  <c r="AE5" i="1"/>
  <c r="AE22" i="3"/>
  <c r="AE5" i="6"/>
  <c r="BF181" i="3" l="1"/>
  <c r="BF204" i="3" s="1"/>
  <c r="BF83" i="26"/>
  <c r="BF90" i="26"/>
  <c r="BF55" i="26"/>
  <c r="BF53" i="26"/>
  <c r="BF70" i="26" s="1"/>
  <c r="BF233" i="26" s="1"/>
  <c r="BF134" i="26"/>
  <c r="BF148" i="26" s="1"/>
  <c r="BF106" i="26"/>
  <c r="BF116" i="26"/>
  <c r="BF159" i="26"/>
  <c r="BF160" i="26"/>
  <c r="BF164" i="26"/>
  <c r="BF165" i="26"/>
  <c r="BF88" i="26"/>
  <c r="BF87" i="26"/>
  <c r="BF81" i="26"/>
  <c r="BF79" i="26"/>
  <c r="BF95" i="26" s="1"/>
  <c r="BF180" i="1" s="1"/>
  <c r="BF62" i="26"/>
  <c r="BF59" i="26"/>
  <c r="BF58" i="26"/>
  <c r="BF104" i="26"/>
  <c r="BF120" i="26" s="1"/>
  <c r="BF221" i="26" s="1"/>
  <c r="BF112" i="26"/>
  <c r="BF235" i="26" s="1"/>
  <c r="BF105" i="26"/>
  <c r="BF115" i="26"/>
  <c r="BF109" i="26"/>
  <c r="BF118" i="26"/>
  <c r="BF113" i="26"/>
  <c r="BF155" i="26"/>
  <c r="BF169" i="26" s="1"/>
  <c r="BF166" i="26"/>
  <c r="BF167" i="26"/>
  <c r="BF158" i="26"/>
  <c r="BF172" i="26" s="1"/>
  <c r="BF236" i="26" s="1"/>
  <c r="BF186" i="26"/>
  <c r="BF80" i="26"/>
  <c r="BF82" i="26"/>
  <c r="BF57" i="26"/>
  <c r="BF54" i="26"/>
  <c r="BF111" i="26"/>
  <c r="BF107" i="26"/>
  <c r="BF110" i="26"/>
  <c r="BF135" i="26"/>
  <c r="BF181" i="26"/>
  <c r="BF195" i="26" s="1"/>
  <c r="BF296" i="26" s="1"/>
  <c r="BF85" i="26"/>
  <c r="BF89" i="26"/>
  <c r="BF91" i="26"/>
  <c r="BF61" i="26"/>
  <c r="BF56" i="26"/>
  <c r="BF67" i="26"/>
  <c r="BF66" i="26"/>
  <c r="BF141" i="26"/>
  <c r="BF144" i="26"/>
  <c r="BF137" i="26"/>
  <c r="BF131" i="26"/>
  <c r="BF140" i="26"/>
  <c r="BF142" i="26"/>
  <c r="BF108" i="26"/>
  <c r="BF130" i="26"/>
  <c r="BF162" i="26"/>
  <c r="BF156" i="26"/>
  <c r="BF170" i="26" s="1"/>
  <c r="BF222" i="26" s="1"/>
  <c r="BF168" i="26"/>
  <c r="BF185" i="26"/>
  <c r="BF187" i="26"/>
  <c r="BF191" i="26"/>
  <c r="BF188" i="26"/>
  <c r="BF180" i="26"/>
  <c r="BF194" i="26" s="1"/>
  <c r="BF295" i="26" s="1"/>
  <c r="BE257" i="26"/>
  <c r="BE261" i="26" s="1"/>
  <c r="BF178" i="26"/>
  <c r="BF197" i="26" s="1"/>
  <c r="BF298" i="26" s="1"/>
  <c r="BF182" i="26"/>
  <c r="BF189" i="26"/>
  <c r="BF190" i="26"/>
  <c r="BE178" i="1"/>
  <c r="BF184" i="26"/>
  <c r="BF192" i="26"/>
  <c r="BF183" i="26"/>
  <c r="BF181" i="20" a="1"/>
  <c r="BF181" i="20" s="1"/>
  <c r="BF154" i="20" a="1"/>
  <c r="BF154" i="20" s="1"/>
  <c r="BF146" i="20" a="1"/>
  <c r="BF146" i="20" s="1"/>
  <c r="BF198" i="20" a="1"/>
  <c r="BF198" i="20" s="1"/>
  <c r="BF148" i="20" a="1"/>
  <c r="BF148" i="20" s="1"/>
  <c r="BF145" i="20" a="1"/>
  <c r="BF145" i="20" s="1"/>
  <c r="BF144" i="20" a="1"/>
  <c r="BF144" i="20" s="1"/>
  <c r="BF150" i="20" a="1"/>
  <c r="BF150" i="20" s="1"/>
  <c r="BF149" i="20" a="1"/>
  <c r="BF149" i="20" s="1"/>
  <c r="BF143" i="20" a="1"/>
  <c r="BF143" i="20" s="1"/>
  <c r="BF141" i="20" a="1"/>
  <c r="BF141" i="20" s="1"/>
  <c r="BF139" i="20" a="1"/>
  <c r="BF139" i="20" s="1"/>
  <c r="BF137" i="20" a="1"/>
  <c r="BF137" i="20" s="1"/>
  <c r="BF132" i="20" a="1"/>
  <c r="BF132" i="20" s="1"/>
  <c r="BF128" i="20" a="1"/>
  <c r="BF128" i="20" s="1"/>
  <c r="BF126" i="20" a="1"/>
  <c r="BF126" i="20" s="1"/>
  <c r="BF169" i="20" a="1"/>
  <c r="BF169" i="20" s="1"/>
  <c r="BF142" i="20" a="1"/>
  <c r="BF142" i="20" s="1"/>
  <c r="BF140" i="20" a="1"/>
  <c r="BF140" i="20" s="1"/>
  <c r="BF172" i="20" a="1"/>
  <c r="BF172" i="20" s="1"/>
  <c r="BF129" i="20" a="1"/>
  <c r="BF129" i="20" s="1"/>
  <c r="BF133" i="20" a="1"/>
  <c r="BF133" i="20" s="1"/>
  <c r="BF125" i="20" a="1"/>
  <c r="BF125" i="20" s="1"/>
  <c r="BF123" i="20" a="1"/>
  <c r="BF123" i="20" s="1"/>
  <c r="BF115" i="20" a="1"/>
  <c r="BF115" i="20" s="1"/>
  <c r="BF117" i="20" s="1"/>
  <c r="BF127" i="20" a="1"/>
  <c r="BF127" i="20" s="1"/>
  <c r="BF112" i="20" a="1"/>
  <c r="BF112" i="20" s="1"/>
  <c r="BF105" i="20" a="1"/>
  <c r="BF105" i="20" s="1"/>
  <c r="BF138" i="20" a="1"/>
  <c r="BF138" i="20" s="1"/>
  <c r="BF111" i="20" a="1"/>
  <c r="BF111" i="20" s="1"/>
  <c r="BF131" i="20" a="1"/>
  <c r="BF131" i="20" s="1"/>
  <c r="BF124" i="20" a="1"/>
  <c r="BF124" i="20" s="1"/>
  <c r="BF110" i="20" a="1"/>
  <c r="BF110" i="20" s="1"/>
  <c r="BF122" i="20" a="1"/>
  <c r="BF122" i="20" s="1"/>
  <c r="BF104" i="20" a="1"/>
  <c r="BF104" i="20" s="1"/>
  <c r="BF102" i="20" a="1"/>
  <c r="BF102" i="20" s="1"/>
  <c r="BF95" i="20" a="1"/>
  <c r="BF95" i="20" s="1"/>
  <c r="BF91" i="20" a="1"/>
  <c r="BF91" i="20" s="1"/>
  <c r="BF81" i="20" a="1"/>
  <c r="BF81" i="20" s="1"/>
  <c r="BF80" i="20" a="1"/>
  <c r="BF80" i="20" s="1"/>
  <c r="BF79" i="20" a="1"/>
  <c r="BF79" i="20" s="1"/>
  <c r="BF78" i="20" a="1"/>
  <c r="BF78" i="20" s="1"/>
  <c r="BF77" i="20" a="1"/>
  <c r="BF77" i="20" s="1"/>
  <c r="BF76" i="20" a="1"/>
  <c r="BF76" i="20" s="1"/>
  <c r="BF75" i="20" a="1"/>
  <c r="BF75" i="20" s="1"/>
  <c r="BF74" i="20" a="1"/>
  <c r="BF74" i="20" s="1"/>
  <c r="BF73" i="20" a="1"/>
  <c r="BF73" i="20" s="1"/>
  <c r="BF72" i="20" a="1"/>
  <c r="BF72" i="20" s="1"/>
  <c r="BF71" i="20" a="1"/>
  <c r="BF71" i="20" s="1"/>
  <c r="BF68" i="20" a="1"/>
  <c r="BF68" i="20" s="1"/>
  <c r="BF66" i="20" a="1"/>
  <c r="BF66" i="20" s="1"/>
  <c r="BF65" i="20" a="1"/>
  <c r="BF65" i="20" s="1"/>
  <c r="BF64" i="20" a="1"/>
  <c r="BF64" i="20" s="1"/>
  <c r="BF61" i="20" a="1"/>
  <c r="BF61" i="20" s="1"/>
  <c r="BF59" i="20" a="1"/>
  <c r="BF59" i="20" s="1"/>
  <c r="BF58" i="20" a="1"/>
  <c r="BF58" i="20" s="1"/>
  <c r="BF57" i="20" a="1"/>
  <c r="BF57" i="20" s="1"/>
  <c r="BF56" i="20" a="1"/>
  <c r="BF56" i="20" s="1"/>
  <c r="BF55" i="20" a="1"/>
  <c r="BF55" i="20" s="1"/>
  <c r="BF54" i="20" a="1"/>
  <c r="BF54" i="20" s="1"/>
  <c r="BF53" i="20" a="1"/>
  <c r="BF53" i="20" s="1"/>
  <c r="BF50" i="20" a="1"/>
  <c r="BF50" i="20" s="1"/>
  <c r="BF48" i="20" a="1"/>
  <c r="BF48" i="20" s="1"/>
  <c r="BF47" i="20" a="1"/>
  <c r="BF47" i="20" s="1"/>
  <c r="BF46" i="20" a="1"/>
  <c r="BF46" i="20" s="1"/>
  <c r="BF45" i="20" a="1"/>
  <c r="BF45" i="20" s="1"/>
  <c r="BF44" i="20" a="1"/>
  <c r="BF44" i="20" s="1"/>
  <c r="BF43" i="20" a="1"/>
  <c r="BF43" i="20" s="1"/>
  <c r="BF42" i="20" a="1"/>
  <c r="BF42" i="20" s="1"/>
  <c r="BF41" i="20" a="1"/>
  <c r="BF41" i="20" s="1"/>
  <c r="BF101" i="20" a="1"/>
  <c r="BF101" i="20" s="1"/>
  <c r="BF94" i="20" a="1"/>
  <c r="BF94" i="20" s="1"/>
  <c r="BF90" i="20" a="1"/>
  <c r="BF90" i="20" s="1"/>
  <c r="BF87" i="20" a="1"/>
  <c r="BF87" i="20" s="1"/>
  <c r="BF82" i="20" a="1"/>
  <c r="BF82" i="20" s="1"/>
  <c r="BF106" i="20" a="1"/>
  <c r="BF106" i="20" s="1"/>
  <c r="BF97" i="20" a="1"/>
  <c r="BF97" i="20" s="1"/>
  <c r="BF93" i="20" a="1"/>
  <c r="BF93" i="20" s="1"/>
  <c r="BF89" i="20" a="1"/>
  <c r="BF89" i="20" s="1"/>
  <c r="BF88" i="20" a="1"/>
  <c r="BF88" i="20" s="1"/>
  <c r="BF103" i="20" a="1"/>
  <c r="BF103" i="20" s="1"/>
  <c r="BF83" i="20" a="1"/>
  <c r="BF83" i="20" s="1"/>
  <c r="BF38" i="20" a="1"/>
  <c r="BF38" i="20" s="1"/>
  <c r="BF36" i="20" a="1"/>
  <c r="BF36" i="20" s="1"/>
  <c r="BF35" i="20" a="1"/>
  <c r="BF35" i="20" s="1"/>
  <c r="BF34" i="20" a="1"/>
  <c r="BF34" i="20" s="1"/>
  <c r="BF33" i="20" a="1"/>
  <c r="BF33" i="20" s="1"/>
  <c r="BF32" i="20" a="1"/>
  <c r="BF32" i="20" s="1"/>
  <c r="BF29" i="20" a="1"/>
  <c r="BF29" i="20" s="1"/>
  <c r="BF27" i="20" a="1"/>
  <c r="BF27" i="20" s="1"/>
  <c r="BF26" i="20" a="1"/>
  <c r="BF26" i="20" s="1"/>
  <c r="BF25" i="20" a="1"/>
  <c r="BF25" i="20" s="1"/>
  <c r="BF24" i="20" a="1"/>
  <c r="BF24" i="20" s="1"/>
  <c r="BF23" i="20" a="1"/>
  <c r="BF23" i="20" s="1"/>
  <c r="BF22" i="20" a="1"/>
  <c r="BF22" i="20" s="1"/>
  <c r="BF21" i="20" a="1"/>
  <c r="BF21" i="20" s="1"/>
  <c r="BF20" i="20" a="1"/>
  <c r="BF20" i="20" s="1"/>
  <c r="BF19" i="20" a="1"/>
  <c r="BF19" i="20" s="1"/>
  <c r="BF16" i="20" a="1"/>
  <c r="BF16" i="20" s="1"/>
  <c r="BF13" i="20" a="1"/>
  <c r="BF13" i="20" s="1"/>
  <c r="BF12" i="20" a="1"/>
  <c r="BF12" i="20" s="1"/>
  <c r="BF96" i="20" a="1"/>
  <c r="BF96" i="20" s="1"/>
  <c r="BF92" i="20" a="1"/>
  <c r="BF92" i="20" s="1"/>
  <c r="BD50" i="30"/>
  <c r="AS119" i="1"/>
  <c r="AR56" i="33"/>
  <c r="BF83" i="9"/>
  <c r="BF102" i="9"/>
  <c r="BF121" i="9"/>
  <c r="BF140" i="9"/>
  <c r="BF273" i="9"/>
  <c r="BF292" i="9"/>
  <c r="BF159" i="9"/>
  <c r="BF178" i="9"/>
  <c r="BF311" i="9"/>
  <c r="BF330" i="9"/>
  <c r="BF425" i="9"/>
  <c r="BF197" i="9"/>
  <c r="BF64" i="9"/>
  <c r="BF387" i="9"/>
  <c r="BF406" i="9"/>
  <c r="BF216" i="9"/>
  <c r="BF235" i="9"/>
  <c r="BF254" i="9"/>
  <c r="BF349" i="9"/>
  <c r="BF368" i="9"/>
  <c r="BF283" i="9"/>
  <c r="BD833" i="9"/>
  <c r="BD843" i="9"/>
  <c r="BD841" i="9"/>
  <c r="BD846" i="9"/>
  <c r="AE855" i="9"/>
  <c r="AE805" i="9"/>
  <c r="AF759" i="9" s="1"/>
  <c r="BD770" i="9"/>
  <c r="BD793" i="9" s="1"/>
  <c r="BD866" i="9" s="1"/>
  <c r="BD773" i="9"/>
  <c r="BD796" i="9" s="1"/>
  <c r="BD869" i="9" s="1"/>
  <c r="BD242" i="3"/>
  <c r="BD240" i="3"/>
  <c r="BD243" i="3"/>
  <c r="BD241" i="3"/>
  <c r="BD237" i="3"/>
  <c r="BD245" i="3"/>
  <c r="BD247" i="3"/>
  <c r="BD234" i="3"/>
  <c r="BD760" i="9"/>
  <c r="BD783" i="9" s="1"/>
  <c r="BD856" i="9" s="1"/>
  <c r="BD714" i="9"/>
  <c r="BD236" i="3"/>
  <c r="BD768" i="9"/>
  <c r="BD791" i="9" s="1"/>
  <c r="BD864" i="9" s="1"/>
  <c r="BD248" i="3"/>
  <c r="BD239" i="3"/>
  <c r="BD722" i="9"/>
  <c r="BD244" i="3"/>
  <c r="BD250" i="3"/>
  <c r="BD238" i="3"/>
  <c r="BD235" i="3"/>
  <c r="BD724" i="9"/>
  <c r="BD246" i="3"/>
  <c r="BD727" i="9"/>
  <c r="BD249" i="3"/>
  <c r="AS197" i="1"/>
  <c r="AS194" i="1"/>
  <c r="AP193" i="1"/>
  <c r="AO199" i="1"/>
  <c r="BF68" i="26"/>
  <c r="BF205" i="26" s="1"/>
  <c r="BE205" i="26"/>
  <c r="AS147" i="30"/>
  <c r="AS195" i="20"/>
  <c r="AS49" i="30"/>
  <c r="BD48" i="30"/>
  <c r="AE780" i="9"/>
  <c r="BB779" i="9"/>
  <c r="BB802" i="9" s="1"/>
  <c r="AE786" i="9"/>
  <c r="AE788" i="9"/>
  <c r="BG43" i="3"/>
  <c r="BG4" i="38"/>
  <c r="BE276" i="26"/>
  <c r="BE150" i="26"/>
  <c r="BE180" i="30" s="1"/>
  <c r="BE97" i="26"/>
  <c r="BE221" i="6" s="1"/>
  <c r="AR160" i="1"/>
  <c r="AS158" i="1"/>
  <c r="AT39" i="30"/>
  <c r="AT28" i="1"/>
  <c r="AT152" i="30"/>
  <c r="AT59" i="33" s="1"/>
  <c r="AT42" i="30"/>
  <c r="AT49" i="1"/>
  <c r="AT156" i="1"/>
  <c r="AT60" i="1"/>
  <c r="AT84" i="1"/>
  <c r="AT117" i="1"/>
  <c r="AT107" i="1"/>
  <c r="AT15" i="1"/>
  <c r="AT34" i="30"/>
  <c r="AT37" i="1"/>
  <c r="AT151" i="1"/>
  <c r="AT67" i="1"/>
  <c r="BE123" i="26"/>
  <c r="BE267" i="26" s="1"/>
  <c r="BE198" i="26"/>
  <c r="BD98" i="30"/>
  <c r="BD187" i="30" s="1"/>
  <c r="BE299" i="26"/>
  <c r="BE106" i="6"/>
  <c r="BE111" i="6" s="1"/>
  <c r="BE174" i="26"/>
  <c r="BE208" i="26"/>
  <c r="BD231" i="3"/>
  <c r="BB434" i="9"/>
  <c r="BB689" i="9" s="1"/>
  <c r="BD441" i="9"/>
  <c r="BJ444" i="9"/>
  <c r="BJ435" i="9"/>
  <c r="BC439" i="9"/>
  <c r="BH442" i="9"/>
  <c r="BJ437" i="9"/>
  <c r="BF416" i="9"/>
  <c r="BJ507" i="9"/>
  <c r="AA188" i="9"/>
  <c r="AB188" i="9"/>
  <c r="AC188" i="9"/>
  <c r="AD188" i="9"/>
  <c r="AE188" i="9"/>
  <c r="AF188" i="9"/>
  <c r="AG188" i="9"/>
  <c r="AH188" i="9"/>
  <c r="AI188" i="9"/>
  <c r="AJ188" i="9"/>
  <c r="AK188" i="9"/>
  <c r="AL188" i="9"/>
  <c r="AM188" i="9"/>
  <c r="AN188" i="9"/>
  <c r="AO188" i="9"/>
  <c r="AP188" i="9"/>
  <c r="AQ188" i="9"/>
  <c r="AR188" i="9"/>
  <c r="AS188" i="9"/>
  <c r="AT188" i="9"/>
  <c r="AU188" i="9"/>
  <c r="AV188" i="9"/>
  <c r="AW188" i="9"/>
  <c r="AX188" i="9"/>
  <c r="AY188" i="9"/>
  <c r="AZ188" i="9"/>
  <c r="BA188" i="9"/>
  <c r="BB188" i="9"/>
  <c r="BC188" i="9"/>
  <c r="BD188" i="9"/>
  <c r="BE188" i="9"/>
  <c r="BF188" i="9"/>
  <c r="BJ516" i="9"/>
  <c r="AA359" i="9"/>
  <c r="AB359" i="9"/>
  <c r="AC359" i="9"/>
  <c r="AD359" i="9"/>
  <c r="AE359" i="9"/>
  <c r="AF359" i="9"/>
  <c r="AG359" i="9"/>
  <c r="AH359" i="9"/>
  <c r="AI359" i="9"/>
  <c r="AJ359" i="9"/>
  <c r="AK359" i="9"/>
  <c r="AL359" i="9"/>
  <c r="AM359" i="9"/>
  <c r="AN359" i="9"/>
  <c r="AO359" i="9"/>
  <c r="AP359" i="9"/>
  <c r="AQ359" i="9"/>
  <c r="AR359" i="9"/>
  <c r="AS359" i="9"/>
  <c r="AT359" i="9"/>
  <c r="AU359" i="9"/>
  <c r="AV359" i="9"/>
  <c r="AW359" i="9"/>
  <c r="AX359" i="9"/>
  <c r="AY359" i="9"/>
  <c r="AZ359" i="9"/>
  <c r="BA359" i="9"/>
  <c r="BB359" i="9"/>
  <c r="BC359" i="9"/>
  <c r="BD359" i="9"/>
  <c r="BF359" i="9"/>
  <c r="BE359" i="9"/>
  <c r="BJ502" i="9"/>
  <c r="AA93" i="9"/>
  <c r="AB93" i="9"/>
  <c r="AC93" i="9"/>
  <c r="AD93" i="9"/>
  <c r="AE93" i="9"/>
  <c r="AF93" i="9"/>
  <c r="AG93" i="9"/>
  <c r="AH93" i="9"/>
  <c r="AI93" i="9"/>
  <c r="AJ93" i="9"/>
  <c r="AK93" i="9"/>
  <c r="AL93" i="9"/>
  <c r="AM93" i="9"/>
  <c r="AN93" i="9"/>
  <c r="AO93" i="9"/>
  <c r="AP93" i="9"/>
  <c r="AQ93" i="9"/>
  <c r="AR93" i="9"/>
  <c r="AS93" i="9"/>
  <c r="AT93" i="9"/>
  <c r="AU93" i="9"/>
  <c r="AV93" i="9"/>
  <c r="AW93" i="9"/>
  <c r="AX93" i="9"/>
  <c r="AY93" i="9"/>
  <c r="AZ93" i="9"/>
  <c r="BA93" i="9"/>
  <c r="BB93" i="9"/>
  <c r="BC93" i="9"/>
  <c r="BD93" i="9"/>
  <c r="BE93" i="9"/>
  <c r="BF93" i="9"/>
  <c r="BJ509" i="9"/>
  <c r="AA226" i="9"/>
  <c r="AB226" i="9"/>
  <c r="AC226" i="9"/>
  <c r="AD226" i="9"/>
  <c r="AE226" i="9"/>
  <c r="AF226" i="9"/>
  <c r="AG226" i="9"/>
  <c r="AH226" i="9"/>
  <c r="AI226" i="9"/>
  <c r="AJ226" i="9"/>
  <c r="AK226" i="9"/>
  <c r="AL226" i="9"/>
  <c r="AM226" i="9"/>
  <c r="AN226" i="9"/>
  <c r="AO226" i="9"/>
  <c r="AP226" i="9"/>
  <c r="AQ226" i="9"/>
  <c r="AR226" i="9"/>
  <c r="AS226" i="9"/>
  <c r="AT226" i="9"/>
  <c r="AU226" i="9"/>
  <c r="AV226" i="9"/>
  <c r="AW226" i="9"/>
  <c r="AX226" i="9"/>
  <c r="AY226" i="9"/>
  <c r="AZ226" i="9"/>
  <c r="BA226" i="9"/>
  <c r="BB226" i="9"/>
  <c r="BC226" i="9"/>
  <c r="BD226" i="9"/>
  <c r="BE226" i="9"/>
  <c r="BF226" i="9"/>
  <c r="BE517" i="9"/>
  <c r="BJ514" i="9"/>
  <c r="AA321" i="9"/>
  <c r="AB321" i="9"/>
  <c r="AC321" i="9"/>
  <c r="AD321" i="9"/>
  <c r="AE321" i="9"/>
  <c r="AF321" i="9"/>
  <c r="AG321" i="9"/>
  <c r="AH321" i="9"/>
  <c r="AI321" i="9"/>
  <c r="AJ321" i="9"/>
  <c r="AK321" i="9"/>
  <c r="AL321" i="9"/>
  <c r="AM321" i="9"/>
  <c r="AN321" i="9"/>
  <c r="AO321" i="9"/>
  <c r="AP321" i="9"/>
  <c r="AQ321" i="9"/>
  <c r="AR321" i="9"/>
  <c r="AS321" i="9"/>
  <c r="AT321" i="9"/>
  <c r="AU321" i="9"/>
  <c r="AV321" i="9"/>
  <c r="AW321" i="9"/>
  <c r="AX321" i="9"/>
  <c r="AY321" i="9"/>
  <c r="AZ321" i="9"/>
  <c r="BA321" i="9"/>
  <c r="BB321" i="9"/>
  <c r="BC321" i="9"/>
  <c r="BD321" i="9"/>
  <c r="BF321" i="9"/>
  <c r="BE321" i="9"/>
  <c r="AA150" i="9"/>
  <c r="AB150" i="9"/>
  <c r="AC150" i="9"/>
  <c r="AD150" i="9"/>
  <c r="AE150" i="9"/>
  <c r="AF150" i="9"/>
  <c r="AG150" i="9"/>
  <c r="AH150" i="9"/>
  <c r="AI150" i="9"/>
  <c r="AJ150" i="9"/>
  <c r="AK150" i="9"/>
  <c r="AL150" i="9"/>
  <c r="AM150" i="9"/>
  <c r="AN150" i="9"/>
  <c r="AO150" i="9"/>
  <c r="AP150" i="9"/>
  <c r="AQ150" i="9"/>
  <c r="AR150" i="9"/>
  <c r="AS150" i="9"/>
  <c r="AT150" i="9"/>
  <c r="AU150" i="9"/>
  <c r="AV150" i="9"/>
  <c r="AW150" i="9"/>
  <c r="AX150" i="9"/>
  <c r="AY150" i="9"/>
  <c r="AZ150" i="9"/>
  <c r="BA150" i="9"/>
  <c r="BB150" i="9"/>
  <c r="BC150" i="9"/>
  <c r="BD150" i="9"/>
  <c r="BE150" i="9"/>
  <c r="BF150" i="9"/>
  <c r="AA98" i="9"/>
  <c r="AA594" i="9" s="1"/>
  <c r="AA876" i="9" s="1"/>
  <c r="BJ92" i="9"/>
  <c r="AA231" i="9"/>
  <c r="AA601" i="9" s="1"/>
  <c r="AA883" i="9" s="1"/>
  <c r="BJ225" i="9"/>
  <c r="BJ505" i="9"/>
  <c r="BJ149" i="9"/>
  <c r="BF193" i="26"/>
  <c r="BJ995" i="9"/>
  <c r="BJ1006" i="9"/>
  <c r="BJ446" i="9"/>
  <c r="BJ1009" i="9"/>
  <c r="BJ449" i="9"/>
  <c r="BJ1004" i="9"/>
  <c r="AB152" i="9"/>
  <c r="AB528" i="9" s="1"/>
  <c r="AA879" i="9"/>
  <c r="AB285" i="9"/>
  <c r="AB535" i="9" s="1"/>
  <c r="AA886" i="9"/>
  <c r="AA835" i="9"/>
  <c r="AA1121" i="9" s="1"/>
  <c r="AA1145" i="9" s="1"/>
  <c r="BH1002" i="9"/>
  <c r="BC999" i="9"/>
  <c r="BD1001" i="9"/>
  <c r="BC67" i="9"/>
  <c r="BC71" i="9" s="1"/>
  <c r="AA840" i="9"/>
  <c r="AC790" i="9"/>
  <c r="AC785" i="9"/>
  <c r="AA421" i="9"/>
  <c r="AA611" i="9" s="1"/>
  <c r="BB994" i="9"/>
  <c r="BE377" i="9"/>
  <c r="BJ997" i="9"/>
  <c r="BJ358" i="9"/>
  <c r="AA364" i="9"/>
  <c r="AA608" i="9" s="1"/>
  <c r="BG154" i="3"/>
  <c r="BG140" i="3"/>
  <c r="BG157" i="3"/>
  <c r="BG151" i="3"/>
  <c r="BF78" i="3"/>
  <c r="BE124" i="3"/>
  <c r="BF76" i="3"/>
  <c r="BE122" i="3"/>
  <c r="BF74" i="3"/>
  <c r="BE120" i="3"/>
  <c r="BF87" i="3"/>
  <c r="BE133" i="3"/>
  <c r="BF82" i="3"/>
  <c r="BE128" i="3"/>
  <c r="BG158" i="3"/>
  <c r="BG142" i="3"/>
  <c r="BG141" i="3"/>
  <c r="BG156" i="3"/>
  <c r="BG148" i="3"/>
  <c r="BG155" i="3"/>
  <c r="BF77" i="3"/>
  <c r="BE123" i="3"/>
  <c r="BF80" i="3"/>
  <c r="BE126" i="3"/>
  <c r="BF73" i="3"/>
  <c r="BE119" i="3"/>
  <c r="BF79" i="3"/>
  <c r="BE125" i="3"/>
  <c r="BG143" i="3"/>
  <c r="BG149" i="3"/>
  <c r="BG144" i="3"/>
  <c r="BG145" i="3"/>
  <c r="BG150" i="3"/>
  <c r="BF83" i="3"/>
  <c r="BE129" i="3"/>
  <c r="BF84" i="3"/>
  <c r="BE130" i="3"/>
  <c r="BF85" i="3"/>
  <c r="BE131" i="3"/>
  <c r="BF86" i="3"/>
  <c r="BE132" i="3"/>
  <c r="BF70" i="3"/>
  <c r="BE116" i="3"/>
  <c r="BF75" i="3"/>
  <c r="BE121" i="3"/>
  <c r="BF81" i="3"/>
  <c r="BE127" i="3"/>
  <c r="BF88" i="3"/>
  <c r="BE134" i="3"/>
  <c r="BF72" i="3"/>
  <c r="BE118" i="3"/>
  <c r="BF89" i="3"/>
  <c r="BE135" i="3"/>
  <c r="BF71" i="3"/>
  <c r="BE117" i="3"/>
  <c r="BG152" i="3"/>
  <c r="BG139" i="3"/>
  <c r="BG153" i="3"/>
  <c r="BG147" i="3"/>
  <c r="BG146" i="3"/>
  <c r="BG5" i="3"/>
  <c r="BJ320" i="9"/>
  <c r="BJ187" i="9"/>
  <c r="BE179" i="20"/>
  <c r="BF146" i="26"/>
  <c r="BF147" i="26"/>
  <c r="BF94" i="26"/>
  <c r="BF220" i="26" s="1"/>
  <c r="BF93" i="26"/>
  <c r="BF119" i="26"/>
  <c r="BF121" i="26"/>
  <c r="BF248" i="26" s="1"/>
  <c r="BF219" i="26"/>
  <c r="AE26" i="3"/>
  <c r="AE28" i="3"/>
  <c r="BG12" i="3"/>
  <c r="BG3" i="3" s="1"/>
  <c r="BG24" i="3"/>
  <c r="BH8" i="3"/>
  <c r="BF96" i="3"/>
  <c r="BF93" i="3"/>
  <c r="BF102" i="3"/>
  <c r="BF98" i="3"/>
  <c r="BF104" i="3"/>
  <c r="BF111" i="3"/>
  <c r="BF95" i="3"/>
  <c r="BF112" i="3"/>
  <c r="BF94" i="3"/>
  <c r="BF106" i="3"/>
  <c r="BF100" i="3"/>
  <c r="BF101" i="3"/>
  <c r="BF107" i="3"/>
  <c r="BF99" i="3"/>
  <c r="BF103" i="3"/>
  <c r="BF97" i="3"/>
  <c r="BF108" i="3"/>
  <c r="BF110" i="3"/>
  <c r="BF109" i="3"/>
  <c r="BF105" i="3"/>
  <c r="AE4" i="4"/>
  <c r="AE4" i="1"/>
  <c r="AE4" i="6"/>
  <c r="AE20" i="3"/>
  <c r="BF145" i="26" l="1"/>
  <c r="BD64" i="33"/>
  <c r="BD74" i="33"/>
  <c r="BF247" i="26"/>
  <c r="BD747" i="9"/>
  <c r="BD745" i="9"/>
  <c r="BD750" i="9"/>
  <c r="BD737" i="9"/>
  <c r="BE691" i="9" s="1"/>
  <c r="BF149" i="26"/>
  <c r="BF150" i="26" s="1"/>
  <c r="BF180" i="30" s="1"/>
  <c r="BF24" i="32"/>
  <c r="BF153" i="30"/>
  <c r="AT119" i="1"/>
  <c r="BG3" i="38"/>
  <c r="BG39" i="3"/>
  <c r="BE183" i="1"/>
  <c r="AS56" i="33"/>
  <c r="BG347" i="3"/>
  <c r="BG346" i="3"/>
  <c r="AE803" i="9"/>
  <c r="AF757" i="9" s="1"/>
  <c r="AE853" i="9"/>
  <c r="BD816" i="9"/>
  <c r="BD819" i="9"/>
  <c r="AC858" i="9"/>
  <c r="AC808" i="9"/>
  <c r="AD762" i="9" s="1"/>
  <c r="AE861" i="9"/>
  <c r="AE811" i="9"/>
  <c r="AF765" i="9" s="1"/>
  <c r="BD814" i="9"/>
  <c r="BD806" i="9"/>
  <c r="AC863" i="9"/>
  <c r="AC813" i="9"/>
  <c r="AD767" i="9" s="1"/>
  <c r="AE859" i="9"/>
  <c r="AE809" i="9"/>
  <c r="AF763" i="9" s="1"/>
  <c r="BB831" i="9"/>
  <c r="BB712" i="9"/>
  <c r="BB758" i="9"/>
  <c r="BB781" i="9" s="1"/>
  <c r="BB854" i="9" s="1"/>
  <c r="BE704" i="9"/>
  <c r="BE263" i="3"/>
  <c r="BE286" i="3" s="1"/>
  <c r="BE217" i="3"/>
  <c r="BE271" i="3"/>
  <c r="BE294" i="3" s="1"/>
  <c r="BE225" i="3"/>
  <c r="BE264" i="3"/>
  <c r="BE287" i="3" s="1"/>
  <c r="BE218" i="3"/>
  <c r="BE260" i="3"/>
  <c r="BE283" i="3" s="1"/>
  <c r="BE214" i="3"/>
  <c r="BE219" i="3"/>
  <c r="BE265" i="3"/>
  <c r="BE288" i="3" s="1"/>
  <c r="BE223" i="3"/>
  <c r="BE269" i="3"/>
  <c r="BE292" i="3" s="1"/>
  <c r="BE267" i="3"/>
  <c r="BE290" i="3" s="1"/>
  <c r="BE221" i="3"/>
  <c r="BE701" i="9"/>
  <c r="BE699" i="9"/>
  <c r="BE211" i="3"/>
  <c r="BE257" i="3"/>
  <c r="BE280" i="3" s="1"/>
  <c r="BE261" i="3"/>
  <c r="BE284" i="3" s="1"/>
  <c r="BE215" i="3"/>
  <c r="BE220" i="3"/>
  <c r="BE266" i="3"/>
  <c r="BE289" i="3" s="1"/>
  <c r="BE258" i="3"/>
  <c r="BE281" i="3" s="1"/>
  <c r="BE212" i="3"/>
  <c r="BE262" i="3"/>
  <c r="BE285" i="3" s="1"/>
  <c r="BE216" i="3"/>
  <c r="BE273" i="3"/>
  <c r="BE296" i="3" s="1"/>
  <c r="BE227" i="3"/>
  <c r="BE272" i="3"/>
  <c r="BE295" i="3" s="1"/>
  <c r="BE226" i="3"/>
  <c r="BE259" i="3"/>
  <c r="BE282" i="3" s="1"/>
  <c r="BE213" i="3"/>
  <c r="BE270" i="3"/>
  <c r="BE293" i="3" s="1"/>
  <c r="BE224" i="3"/>
  <c r="BE268" i="3"/>
  <c r="BE291" i="3" s="1"/>
  <c r="BE222" i="3"/>
  <c r="BB852" i="9"/>
  <c r="BE256" i="3"/>
  <c r="BE279" i="3" s="1"/>
  <c r="BE210" i="3"/>
  <c r="BE233" i="3" s="1"/>
  <c r="AR165" i="1"/>
  <c r="AT194" i="1"/>
  <c r="AT197" i="1"/>
  <c r="AP199" i="1"/>
  <c r="BF71" i="26"/>
  <c r="BF259" i="26" s="1"/>
  <c r="AT147" i="30"/>
  <c r="BG30" i="3"/>
  <c r="BE223" i="6"/>
  <c r="BF220" i="6" s="1"/>
  <c r="BE180" i="20"/>
  <c r="AT49" i="30"/>
  <c r="AF782" i="9"/>
  <c r="BE178" i="20"/>
  <c r="BE209" i="3"/>
  <c r="BE232" i="3" s="1"/>
  <c r="BE255" i="3"/>
  <c r="BE278" i="3" s="1"/>
  <c r="BE281" i="26"/>
  <c r="BE154" i="6" s="1"/>
  <c r="BE72" i="33"/>
  <c r="BF198" i="26"/>
  <c r="BE92" i="30"/>
  <c r="AS160" i="1"/>
  <c r="AU34" i="30"/>
  <c r="AU15" i="1"/>
  <c r="AU134" i="1"/>
  <c r="AU67" i="1"/>
  <c r="AU117" i="1"/>
  <c r="AU195" i="20"/>
  <c r="AU42" i="30"/>
  <c r="AU107" i="1"/>
  <c r="AU151" i="1"/>
  <c r="AU37" i="1"/>
  <c r="AU84" i="1"/>
  <c r="AU60" i="1"/>
  <c r="AU156" i="1"/>
  <c r="AU49" i="1"/>
  <c r="AU152" i="30"/>
  <c r="AU59" i="33" s="1"/>
  <c r="AU28" i="1"/>
  <c r="AU39" i="30"/>
  <c r="BG5" i="38"/>
  <c r="BG51" i="3"/>
  <c r="BG166" i="3" s="1"/>
  <c r="BG189" i="3" s="1"/>
  <c r="BG63" i="3"/>
  <c r="BG178" i="3" s="1"/>
  <c r="BG201" i="3" s="1"/>
  <c r="BG52" i="3"/>
  <c r="BG167" i="3" s="1"/>
  <c r="BG190" i="3" s="1"/>
  <c r="BG60" i="3"/>
  <c r="BG175" i="3" s="1"/>
  <c r="BG198" i="3" s="1"/>
  <c r="BG55" i="3"/>
  <c r="BG170" i="3" s="1"/>
  <c r="BG193" i="3" s="1"/>
  <c r="BG48" i="3"/>
  <c r="BG163" i="3" s="1"/>
  <c r="BG186" i="3" s="1"/>
  <c r="BG56" i="3"/>
  <c r="BG171" i="3" s="1"/>
  <c r="BG194" i="3" s="1"/>
  <c r="BG64" i="3"/>
  <c r="BG179" i="3" s="1"/>
  <c r="BG202" i="3" s="1"/>
  <c r="BG65" i="3"/>
  <c r="BG180" i="3" s="1"/>
  <c r="BG203" i="3" s="1"/>
  <c r="BG50" i="3"/>
  <c r="BG165" i="3" s="1"/>
  <c r="BG188" i="3" s="1"/>
  <c r="BG58" i="3"/>
  <c r="BG173" i="3" s="1"/>
  <c r="BG196" i="3" s="1"/>
  <c r="BG66" i="3"/>
  <c r="BG61" i="3"/>
  <c r="BG176" i="3" s="1"/>
  <c r="BG199" i="3" s="1"/>
  <c r="BG47" i="3"/>
  <c r="BG162" i="3" s="1"/>
  <c r="BG185" i="3" s="1"/>
  <c r="BG57" i="3"/>
  <c r="BG172" i="3" s="1"/>
  <c r="BG195" i="3" s="1"/>
  <c r="BG53" i="3"/>
  <c r="BG168" i="3" s="1"/>
  <c r="BG191" i="3" s="1"/>
  <c r="BG54" i="3"/>
  <c r="BG169" i="3" s="1"/>
  <c r="BG192" i="3" s="1"/>
  <c r="BG62" i="3"/>
  <c r="BG177" i="3" s="1"/>
  <c r="BG200" i="3" s="1"/>
  <c r="BG49" i="3"/>
  <c r="BG164" i="3" s="1"/>
  <c r="BG187" i="3" s="1"/>
  <c r="BG59" i="3"/>
  <c r="BG174" i="3" s="1"/>
  <c r="BG197" i="3" s="1"/>
  <c r="BE34" i="6"/>
  <c r="BE69" i="30" s="1"/>
  <c r="BF257" i="26"/>
  <c r="BF174" i="26"/>
  <c r="BF208" i="26"/>
  <c r="BF106" i="6"/>
  <c r="BE208" i="3"/>
  <c r="BE254" i="3"/>
  <c r="BE277" i="3" s="1"/>
  <c r="BG5" i="35"/>
  <c r="BF207" i="26"/>
  <c r="BF123" i="26"/>
  <c r="BF267" i="26" s="1"/>
  <c r="BG4" i="33"/>
  <c r="BG4" i="35"/>
  <c r="BG3" i="33"/>
  <c r="BG3" i="35"/>
  <c r="BF206" i="26"/>
  <c r="BF97" i="26"/>
  <c r="BF221" i="6" s="1"/>
  <c r="BF294" i="26"/>
  <c r="BF178" i="1" s="1"/>
  <c r="BC432" i="9"/>
  <c r="BC687" i="9" s="1"/>
  <c r="BC508" i="9"/>
  <c r="BJ518" i="9"/>
  <c r="AA397" i="9"/>
  <c r="AB397" i="9"/>
  <c r="AC397" i="9"/>
  <c r="AD397" i="9"/>
  <c r="AE397" i="9"/>
  <c r="AF397" i="9"/>
  <c r="AG397" i="9"/>
  <c r="AH397" i="9"/>
  <c r="AI397" i="9"/>
  <c r="AJ397" i="9"/>
  <c r="AK397" i="9"/>
  <c r="AL397" i="9"/>
  <c r="AM397" i="9"/>
  <c r="AN397" i="9"/>
  <c r="AO397" i="9"/>
  <c r="AP397" i="9"/>
  <c r="AQ397" i="9"/>
  <c r="AR397" i="9"/>
  <c r="AS397" i="9"/>
  <c r="AT397" i="9"/>
  <c r="AU397" i="9"/>
  <c r="AV397" i="9"/>
  <c r="AW397" i="9"/>
  <c r="AX397" i="9"/>
  <c r="AY397" i="9"/>
  <c r="AZ397" i="9"/>
  <c r="BA397" i="9"/>
  <c r="BB397" i="9"/>
  <c r="BC397" i="9"/>
  <c r="BD397" i="9"/>
  <c r="BF397" i="9"/>
  <c r="BE397" i="9"/>
  <c r="BJ504" i="9"/>
  <c r="AA131" i="9"/>
  <c r="AB131" i="9"/>
  <c r="AC131" i="9"/>
  <c r="AD131" i="9"/>
  <c r="AE131" i="9"/>
  <c r="AF131" i="9"/>
  <c r="AG131" i="9"/>
  <c r="AH131" i="9"/>
  <c r="AI131" i="9"/>
  <c r="AJ131" i="9"/>
  <c r="AK131" i="9"/>
  <c r="AL131" i="9"/>
  <c r="AM131" i="9"/>
  <c r="AN131" i="9"/>
  <c r="AO131" i="9"/>
  <c r="AP131" i="9"/>
  <c r="AQ131" i="9"/>
  <c r="AR131" i="9"/>
  <c r="AS131" i="9"/>
  <c r="AT131" i="9"/>
  <c r="AU131" i="9"/>
  <c r="AV131" i="9"/>
  <c r="AW131" i="9"/>
  <c r="AX131" i="9"/>
  <c r="AY131" i="9"/>
  <c r="AZ131" i="9"/>
  <c r="BA131" i="9"/>
  <c r="BB131" i="9"/>
  <c r="BC131" i="9"/>
  <c r="BD131" i="9"/>
  <c r="BE131" i="9"/>
  <c r="BF131" i="9"/>
  <c r="BB503" i="9"/>
  <c r="BB1085" i="9" s="1"/>
  <c r="BH511" i="9"/>
  <c r="BJ515" i="9"/>
  <c r="AA340" i="9"/>
  <c r="AB340" i="9"/>
  <c r="AC340" i="9"/>
  <c r="AD340" i="9"/>
  <c r="AE340" i="9"/>
  <c r="AF340" i="9"/>
  <c r="AG340" i="9"/>
  <c r="AH340" i="9"/>
  <c r="AI340" i="9"/>
  <c r="AJ340" i="9"/>
  <c r="AK340" i="9"/>
  <c r="AL340" i="9"/>
  <c r="AM340" i="9"/>
  <c r="AN340" i="9"/>
  <c r="AO340" i="9"/>
  <c r="AP340" i="9"/>
  <c r="AQ340" i="9"/>
  <c r="AR340" i="9"/>
  <c r="AS340" i="9"/>
  <c r="AT340" i="9"/>
  <c r="AU340" i="9"/>
  <c r="AV340" i="9"/>
  <c r="AW340" i="9"/>
  <c r="AX340" i="9"/>
  <c r="AY340" i="9"/>
  <c r="AZ340" i="9"/>
  <c r="BA340" i="9"/>
  <c r="BB340" i="9"/>
  <c r="BC340" i="9"/>
  <c r="BD340" i="9"/>
  <c r="BF340" i="9"/>
  <c r="BE340" i="9"/>
  <c r="AA169" i="9"/>
  <c r="AB169" i="9"/>
  <c r="AC169" i="9"/>
  <c r="AD169" i="9"/>
  <c r="AE169" i="9"/>
  <c r="AF169" i="9"/>
  <c r="AG169" i="9"/>
  <c r="AH169" i="9"/>
  <c r="AI169" i="9"/>
  <c r="AJ169" i="9"/>
  <c r="AK169" i="9"/>
  <c r="AL169" i="9"/>
  <c r="AM169" i="9"/>
  <c r="AN169" i="9"/>
  <c r="AO169" i="9"/>
  <c r="AP169" i="9"/>
  <c r="AQ169" i="9"/>
  <c r="AR169" i="9"/>
  <c r="AS169" i="9"/>
  <c r="AT169" i="9"/>
  <c r="AU169" i="9"/>
  <c r="AV169" i="9"/>
  <c r="AW169" i="9"/>
  <c r="AX169" i="9"/>
  <c r="AY169" i="9"/>
  <c r="AZ169" i="9"/>
  <c r="BA169" i="9"/>
  <c r="BB169" i="9"/>
  <c r="BC169" i="9"/>
  <c r="BD169" i="9"/>
  <c r="BE169" i="9"/>
  <c r="BF169" i="9"/>
  <c r="BD510" i="9"/>
  <c r="BJ513" i="9"/>
  <c r="AA302" i="9"/>
  <c r="AB302" i="9"/>
  <c r="AC302" i="9"/>
  <c r="AD302" i="9"/>
  <c r="AE302" i="9"/>
  <c r="AF302" i="9"/>
  <c r="AG302" i="9"/>
  <c r="AH302" i="9"/>
  <c r="AI302" i="9"/>
  <c r="AJ302" i="9"/>
  <c r="AK302" i="9"/>
  <c r="AL302" i="9"/>
  <c r="AM302" i="9"/>
  <c r="AN302" i="9"/>
  <c r="AO302" i="9"/>
  <c r="AP302" i="9"/>
  <c r="AQ302" i="9"/>
  <c r="AR302" i="9"/>
  <c r="AS302" i="9"/>
  <c r="AT302" i="9"/>
  <c r="AU302" i="9"/>
  <c r="AV302" i="9"/>
  <c r="AW302" i="9"/>
  <c r="AX302" i="9"/>
  <c r="AY302" i="9"/>
  <c r="AZ302" i="9"/>
  <c r="BA302" i="9"/>
  <c r="BB302" i="9"/>
  <c r="BC302" i="9"/>
  <c r="BD302" i="9"/>
  <c r="BE302" i="9"/>
  <c r="BF302" i="9"/>
  <c r="AB95" i="9"/>
  <c r="AB525" i="9" s="1"/>
  <c r="AB228" i="9"/>
  <c r="AB532" i="9" s="1"/>
  <c r="BG5" i="26"/>
  <c r="BG5" i="33"/>
  <c r="BG16" i="3"/>
  <c r="BG18" i="3" s="1"/>
  <c r="BG4" i="32"/>
  <c r="BG4" i="30"/>
  <c r="BG3" i="28"/>
  <c r="BG3" i="32"/>
  <c r="BG3" i="30"/>
  <c r="BG5" i="32"/>
  <c r="BG5" i="30"/>
  <c r="BJ339" i="9"/>
  <c r="AA136" i="9"/>
  <c r="AA596" i="9" s="1"/>
  <c r="AA878" i="9" s="1"/>
  <c r="BJ130" i="9"/>
  <c r="BJ396" i="9"/>
  <c r="AA402" i="9"/>
  <c r="AA610" i="9" s="1"/>
  <c r="AA892" i="9" s="1"/>
  <c r="BJ506" i="9"/>
  <c r="BJ301" i="9"/>
  <c r="AA307" i="9"/>
  <c r="AB288" i="9"/>
  <c r="AB604" i="9" s="1"/>
  <c r="AA893" i="9"/>
  <c r="AB418" i="9"/>
  <c r="AC795" i="9"/>
  <c r="AB361" i="9"/>
  <c r="AB539" i="9" s="1"/>
  <c r="AA890" i="9"/>
  <c r="AB155" i="9"/>
  <c r="AB597" i="9" s="1"/>
  <c r="BH263" i="9"/>
  <c r="AA345" i="9"/>
  <c r="AA607" i="9" s="1"/>
  <c r="AA326" i="9"/>
  <c r="AA845" i="9"/>
  <c r="AA1120" i="9" s="1"/>
  <c r="AA1144" i="9" s="1"/>
  <c r="BC992" i="9"/>
  <c r="BC206" i="9"/>
  <c r="AA193" i="9"/>
  <c r="AA599" i="9" s="1"/>
  <c r="BF371" i="9"/>
  <c r="BF375" i="9" s="1"/>
  <c r="BJ168" i="9"/>
  <c r="AA174" i="9"/>
  <c r="AA598" i="9" s="1"/>
  <c r="BD244" i="9"/>
  <c r="BB111" i="9"/>
  <c r="BG5" i="28"/>
  <c r="BF107" i="6"/>
  <c r="BE168" i="20"/>
  <c r="BG4" i="26"/>
  <c r="BG4" i="28"/>
  <c r="BF179" i="1"/>
  <c r="BG3" i="26"/>
  <c r="BG4" i="22"/>
  <c r="BG4" i="20"/>
  <c r="BG5" i="22"/>
  <c r="BG5" i="20"/>
  <c r="BG3" i="20"/>
  <c r="BG3" i="22"/>
  <c r="BG4" i="12"/>
  <c r="BG4" i="16"/>
  <c r="BG4" i="11"/>
  <c r="BG4" i="9"/>
  <c r="BG5" i="16"/>
  <c r="BG5" i="12"/>
  <c r="BG5" i="11"/>
  <c r="BG5" i="9"/>
  <c r="BH10" i="3"/>
  <c r="BH4" i="3" s="1"/>
  <c r="BH2" i="44" s="1" a="1"/>
  <c r="BH2" i="44" s="1"/>
  <c r="BG3" i="16"/>
  <c r="BG3" i="12"/>
  <c r="BG3" i="11"/>
  <c r="BG3" i="9"/>
  <c r="BG3" i="4"/>
  <c r="BG3" i="6"/>
  <c r="BG3" i="1"/>
  <c r="EA2" i="1" s="1"/>
  <c r="AF5" i="6"/>
  <c r="AF5" i="1"/>
  <c r="AF22" i="3"/>
  <c r="AF5" i="4"/>
  <c r="BB735" i="9" l="1"/>
  <c r="BG181" i="3"/>
  <c r="BG204" i="3" s="1"/>
  <c r="BG198" i="20" a="1"/>
  <c r="BG198" i="20" s="1"/>
  <c r="BG148" i="20" a="1"/>
  <c r="BG148" i="20" s="1"/>
  <c r="BG145" i="20" a="1"/>
  <c r="BG145" i="20" s="1"/>
  <c r="BG144" i="20" a="1"/>
  <c r="BG144" i="20" s="1"/>
  <c r="BG169" i="20" a="1"/>
  <c r="BG169" i="20" s="1"/>
  <c r="BG149" i="20" a="1"/>
  <c r="BG149" i="20" s="1"/>
  <c r="BG181" i="20" a="1"/>
  <c r="BG181" i="20" s="1"/>
  <c r="BG146" i="20" a="1"/>
  <c r="BG146" i="20" s="1"/>
  <c r="BG172" i="20" a="1"/>
  <c r="BG172" i="20" s="1"/>
  <c r="BG129" i="20" a="1"/>
  <c r="BG129" i="20" s="1"/>
  <c r="BG128" i="20" a="1"/>
  <c r="BG128" i="20" s="1"/>
  <c r="BG127" i="20" a="1"/>
  <c r="BG127" i="20" s="1"/>
  <c r="BG126" i="20" a="1"/>
  <c r="BG126" i="20" s="1"/>
  <c r="BG142" i="20" a="1"/>
  <c r="BG142" i="20" s="1"/>
  <c r="BG140" i="20" a="1"/>
  <c r="BG140" i="20" s="1"/>
  <c r="BG138" i="20" a="1"/>
  <c r="BG138" i="20" s="1"/>
  <c r="BG133" i="20" a="1"/>
  <c r="BG133" i="20" s="1"/>
  <c r="BG131" i="20" a="1"/>
  <c r="BG131" i="20" s="1"/>
  <c r="BG125" i="20" a="1"/>
  <c r="BG125" i="20" s="1"/>
  <c r="BG124" i="20" a="1"/>
  <c r="BG124" i="20" s="1"/>
  <c r="BG123" i="20" a="1"/>
  <c r="BG123" i="20" s="1"/>
  <c r="BG122" i="20" a="1"/>
  <c r="BG122" i="20" s="1"/>
  <c r="BG115" i="20" a="1"/>
  <c r="BG115" i="20" s="1"/>
  <c r="BG117" i="20" s="1"/>
  <c r="BG112" i="20" a="1"/>
  <c r="BG112" i="20" s="1"/>
  <c r="BG111" i="20" a="1"/>
  <c r="BG111" i="20" s="1"/>
  <c r="BG110" i="20" a="1"/>
  <c r="BG110" i="20" s="1"/>
  <c r="BG106" i="20" a="1"/>
  <c r="BG106" i="20" s="1"/>
  <c r="BG105" i="20" a="1"/>
  <c r="BG105" i="20" s="1"/>
  <c r="BG150" i="20" a="1"/>
  <c r="BG150" i="20" s="1"/>
  <c r="BG141" i="20" a="1"/>
  <c r="BG141" i="20" s="1"/>
  <c r="BG137" i="20" a="1"/>
  <c r="BG137" i="20" s="1"/>
  <c r="BG104" i="20" a="1"/>
  <c r="BG104" i="20" s="1"/>
  <c r="BG154" i="20" a="1"/>
  <c r="BG154" i="20" s="1"/>
  <c r="BG139" i="20" a="1"/>
  <c r="BG139" i="20" s="1"/>
  <c r="BG132" i="20" a="1"/>
  <c r="BG132" i="20" s="1"/>
  <c r="BG143" i="20" a="1"/>
  <c r="BG143" i="20" s="1"/>
  <c r="BG103" i="20" a="1"/>
  <c r="BG103" i="20" s="1"/>
  <c r="BG102" i="20" a="1"/>
  <c r="BG102" i="20" s="1"/>
  <c r="BG101" i="20" a="1"/>
  <c r="BG101" i="20" s="1"/>
  <c r="BG97" i="20" a="1"/>
  <c r="BG97" i="20" s="1"/>
  <c r="BG96" i="20" a="1"/>
  <c r="BG96" i="20" s="1"/>
  <c r="BG95" i="20" a="1"/>
  <c r="BG95" i="20" s="1"/>
  <c r="BG94" i="20" a="1"/>
  <c r="BG94" i="20" s="1"/>
  <c r="BG93" i="20" a="1"/>
  <c r="BG93" i="20" s="1"/>
  <c r="BG92" i="20" a="1"/>
  <c r="BG92" i="20" s="1"/>
  <c r="BG91" i="20" a="1"/>
  <c r="BG91" i="20" s="1"/>
  <c r="BG90" i="20" a="1"/>
  <c r="BG90" i="20" s="1"/>
  <c r="BG89" i="20" a="1"/>
  <c r="BG89" i="20" s="1"/>
  <c r="BG88" i="20" a="1"/>
  <c r="BG88" i="20" s="1"/>
  <c r="BG87" i="20" a="1"/>
  <c r="BG87" i="20" s="1"/>
  <c r="BG83" i="20" a="1"/>
  <c r="BG83" i="20" s="1"/>
  <c r="BG82" i="20" a="1"/>
  <c r="BG82" i="20" s="1"/>
  <c r="BG79" i="20" a="1"/>
  <c r="BG79" i="20" s="1"/>
  <c r="BG75" i="20" a="1"/>
  <c r="BG75" i="20" s="1"/>
  <c r="BG71" i="20" a="1"/>
  <c r="BG71" i="20" s="1"/>
  <c r="BG64" i="20" a="1"/>
  <c r="BG64" i="20" s="1"/>
  <c r="BG57" i="20" a="1"/>
  <c r="BG57" i="20" s="1"/>
  <c r="BG53" i="20" a="1"/>
  <c r="BG53" i="20" s="1"/>
  <c r="BG46" i="20" a="1"/>
  <c r="BG46" i="20" s="1"/>
  <c r="BG38" i="20" a="1"/>
  <c r="BG38" i="20" s="1"/>
  <c r="BG36" i="20" a="1"/>
  <c r="BG36" i="20" s="1"/>
  <c r="BG35" i="20" a="1"/>
  <c r="BG35" i="20" s="1"/>
  <c r="BG34" i="20" a="1"/>
  <c r="BG34" i="20" s="1"/>
  <c r="BG33" i="20" a="1"/>
  <c r="BG33" i="20" s="1"/>
  <c r="BG32" i="20" a="1"/>
  <c r="BG32" i="20" s="1"/>
  <c r="BG29" i="20" a="1"/>
  <c r="BG29" i="20" s="1"/>
  <c r="BG27" i="20" a="1"/>
  <c r="BG27" i="20" s="1"/>
  <c r="BG26" i="20" a="1"/>
  <c r="BG26" i="20" s="1"/>
  <c r="BG25" i="20" a="1"/>
  <c r="BG25" i="20" s="1"/>
  <c r="BG24" i="20" a="1"/>
  <c r="BG24" i="20" s="1"/>
  <c r="BG23" i="20" a="1"/>
  <c r="BG23" i="20" s="1"/>
  <c r="BG22" i="20" a="1"/>
  <c r="BG22" i="20" s="1"/>
  <c r="BG21" i="20" a="1"/>
  <c r="BG21" i="20" s="1"/>
  <c r="BG20" i="20" a="1"/>
  <c r="BG20" i="20" s="1"/>
  <c r="BG19" i="20" a="1"/>
  <c r="BG19" i="20" s="1"/>
  <c r="BG16" i="20" a="1"/>
  <c r="BG16" i="20" s="1"/>
  <c r="BG13" i="20" a="1"/>
  <c r="BG13" i="20" s="1"/>
  <c r="BG12" i="20" a="1"/>
  <c r="BG12" i="20" s="1"/>
  <c r="BG76" i="20" a="1"/>
  <c r="BG76" i="20" s="1"/>
  <c r="BG65" i="20" a="1"/>
  <c r="BG65" i="20" s="1"/>
  <c r="BG47" i="20" a="1"/>
  <c r="BG47" i="20" s="1"/>
  <c r="BG44" i="20" a="1"/>
  <c r="BG44" i="20" s="1"/>
  <c r="BG42" i="20" a="1"/>
  <c r="BG42" i="20" s="1"/>
  <c r="BG78" i="20" a="1"/>
  <c r="BG78" i="20" s="1"/>
  <c r="BG74" i="20" a="1"/>
  <c r="BG74" i="20" s="1"/>
  <c r="BG68" i="20" a="1"/>
  <c r="BG68" i="20" s="1"/>
  <c r="BG61" i="20" a="1"/>
  <c r="BG61" i="20" s="1"/>
  <c r="BG56" i="20" a="1"/>
  <c r="BG56" i="20" s="1"/>
  <c r="BG50" i="20" a="1"/>
  <c r="BG50" i="20" s="1"/>
  <c r="BG45" i="20" a="1"/>
  <c r="BG45" i="20" s="1"/>
  <c r="BG43" i="20" a="1"/>
  <c r="BG43" i="20" s="1"/>
  <c r="BG41" i="20" a="1"/>
  <c r="BG41" i="20" s="1"/>
  <c r="BG81" i="20" a="1"/>
  <c r="BG81" i="20" s="1"/>
  <c r="BG77" i="20" a="1"/>
  <c r="BG77" i="20" s="1"/>
  <c r="BG73" i="20" a="1"/>
  <c r="BG73" i="20" s="1"/>
  <c r="BG66" i="20" a="1"/>
  <c r="BG66" i="20" s="1"/>
  <c r="BG59" i="20" a="1"/>
  <c r="BG59" i="20" s="1"/>
  <c r="BG55" i="20" a="1"/>
  <c r="BG55" i="20" s="1"/>
  <c r="BG48" i="20" a="1"/>
  <c r="BG48" i="20" s="1"/>
  <c r="BG80" i="20" a="1"/>
  <c r="BG80" i="20" s="1"/>
  <c r="BG72" i="20" a="1"/>
  <c r="BG72" i="20" s="1"/>
  <c r="BG58" i="20" a="1"/>
  <c r="BG58" i="20" s="1"/>
  <c r="BG54" i="20" a="1"/>
  <c r="BG54" i="20" s="1"/>
  <c r="BF261" i="26"/>
  <c r="BE50" i="30"/>
  <c r="BE52" i="30"/>
  <c r="AU119" i="1"/>
  <c r="BE183" i="20"/>
  <c r="AT56" i="33"/>
  <c r="BG140" i="9"/>
  <c r="BG178" i="9"/>
  <c r="BG216" i="9"/>
  <c r="BG254" i="9"/>
  <c r="BG292" i="9"/>
  <c r="BG330" i="9"/>
  <c r="BG368" i="9"/>
  <c r="BG406" i="9"/>
  <c r="BG159" i="9"/>
  <c r="BG311" i="9"/>
  <c r="BG83" i="9"/>
  <c r="BG197" i="9"/>
  <c r="BG349" i="9"/>
  <c r="BG64" i="9"/>
  <c r="BG235" i="9"/>
  <c r="BG425" i="9"/>
  <c r="BG273" i="9"/>
  <c r="BG102" i="9"/>
  <c r="BG121" i="9"/>
  <c r="BG387" i="9"/>
  <c r="AA1122" i="9"/>
  <c r="BE773" i="9"/>
  <c r="BE796" i="9" s="1"/>
  <c r="BE869" i="9" s="1"/>
  <c r="BE843" i="9"/>
  <c r="AC868" i="9"/>
  <c r="AC818" i="9"/>
  <c r="AD772" i="9" s="1"/>
  <c r="BE846" i="9"/>
  <c r="AF855" i="9"/>
  <c r="AF805" i="9"/>
  <c r="BE841" i="9"/>
  <c r="BE833" i="9"/>
  <c r="BB804" i="9"/>
  <c r="BE760" i="9"/>
  <c r="BE783" i="9" s="1"/>
  <c r="BE856" i="9" s="1"/>
  <c r="BE245" i="3"/>
  <c r="BE714" i="9"/>
  <c r="BE236" i="3"/>
  <c r="BE250" i="3"/>
  <c r="BE239" i="3"/>
  <c r="BE724" i="9"/>
  <c r="BE246" i="3"/>
  <c r="BE241" i="3"/>
  <c r="BE770" i="9"/>
  <c r="BE793" i="9" s="1"/>
  <c r="BE816" i="9" s="1"/>
  <c r="BE243" i="3"/>
  <c r="BE722" i="9"/>
  <c r="BE244" i="3"/>
  <c r="BE237" i="3"/>
  <c r="BE768" i="9"/>
  <c r="BE791" i="9" s="1"/>
  <c r="BE864" i="9" s="1"/>
  <c r="BE247" i="3"/>
  <c r="BE727" i="9"/>
  <c r="BE249" i="3"/>
  <c r="BE235" i="3"/>
  <c r="BE234" i="3"/>
  <c r="BE240" i="3"/>
  <c r="BE238" i="3"/>
  <c r="BE242" i="3"/>
  <c r="BE248" i="3"/>
  <c r="BC756" i="9"/>
  <c r="BC829" i="9"/>
  <c r="AU194" i="1"/>
  <c r="AU197" i="1"/>
  <c r="AS165" i="1"/>
  <c r="AR193" i="1"/>
  <c r="BG192" i="26"/>
  <c r="BG187" i="26"/>
  <c r="BG189" i="26"/>
  <c r="BG188" i="26"/>
  <c r="BG186" i="26"/>
  <c r="BG183" i="26"/>
  <c r="BG181" i="26"/>
  <c r="BG195" i="26" s="1"/>
  <c r="BG296" i="26" s="1"/>
  <c r="BG184" i="26"/>
  <c r="BG191" i="26"/>
  <c r="BG182" i="26"/>
  <c r="BG185" i="26"/>
  <c r="BG180" i="26"/>
  <c r="BG194" i="26" s="1"/>
  <c r="BG295" i="26" s="1"/>
  <c r="BG179" i="26"/>
  <c r="BG178" i="26"/>
  <c r="BG190" i="26"/>
  <c r="AB542" i="9"/>
  <c r="AU147" i="30"/>
  <c r="BE130" i="30"/>
  <c r="BF223" i="6"/>
  <c r="BF130" i="30" s="1"/>
  <c r="BF180" i="20"/>
  <c r="BF276" i="26"/>
  <c r="AU49" i="30"/>
  <c r="BE48" i="30"/>
  <c r="AF788" i="9"/>
  <c r="AF780" i="9"/>
  <c r="AF786" i="9"/>
  <c r="BH43" i="3"/>
  <c r="BC710" i="9"/>
  <c r="BC733" i="9" s="1"/>
  <c r="BE114" i="6"/>
  <c r="BE116" i="30" s="1"/>
  <c r="AU158" i="1"/>
  <c r="AV28" i="1"/>
  <c r="AV84" i="1"/>
  <c r="AV67" i="1"/>
  <c r="AV134" i="1"/>
  <c r="AV39" i="30"/>
  <c r="AV49" i="1"/>
  <c r="AV156" i="1"/>
  <c r="AV60" i="1"/>
  <c r="AV37" i="1"/>
  <c r="AV151" i="1"/>
  <c r="AV107" i="1"/>
  <c r="AV42" i="30"/>
  <c r="AV34" i="30"/>
  <c r="AV152" i="30"/>
  <c r="AV59" i="33" s="1"/>
  <c r="AV117" i="1"/>
  <c r="AV15" i="1"/>
  <c r="BF111" i="6"/>
  <c r="BE98" i="30"/>
  <c r="BE187" i="30" s="1"/>
  <c r="BG55" i="26"/>
  <c r="AA592" i="9"/>
  <c r="AA874" i="9" s="1"/>
  <c r="AB523" i="9"/>
  <c r="BF299" i="26"/>
  <c r="BG144" i="26"/>
  <c r="BG160" i="26"/>
  <c r="BG167" i="26"/>
  <c r="BG163" i="26"/>
  <c r="BG159" i="26"/>
  <c r="BG154" i="26"/>
  <c r="BG162" i="26"/>
  <c r="BG168" i="26"/>
  <c r="BG157" i="26"/>
  <c r="BG171" i="26" s="1"/>
  <c r="BG249" i="26" s="1"/>
  <c r="BG156" i="26"/>
  <c r="BG170" i="26" s="1"/>
  <c r="BG222" i="26" s="1"/>
  <c r="BG164" i="26"/>
  <c r="BG155" i="26"/>
  <c r="BG161" i="26"/>
  <c r="BG158" i="26"/>
  <c r="BG172" i="26" s="1"/>
  <c r="BG236" i="26" s="1"/>
  <c r="BG166" i="26"/>
  <c r="BG165" i="26"/>
  <c r="BG113" i="26"/>
  <c r="BG53" i="26"/>
  <c r="BG70" i="26" s="1"/>
  <c r="BG233" i="26" s="1"/>
  <c r="BG92" i="26"/>
  <c r="BG87" i="26"/>
  <c r="BG110" i="26"/>
  <c r="BG137" i="26"/>
  <c r="BG79" i="26"/>
  <c r="BG95" i="26" s="1"/>
  <c r="BG180" i="1" s="1"/>
  <c r="BG54" i="26"/>
  <c r="BG139" i="26"/>
  <c r="BG104" i="26"/>
  <c r="BG90" i="26"/>
  <c r="BG56" i="26"/>
  <c r="BG111" i="26"/>
  <c r="BB94" i="6"/>
  <c r="BB88" i="35"/>
  <c r="BF72" i="33"/>
  <c r="BE231" i="3"/>
  <c r="BF448" i="9"/>
  <c r="BG88" i="26"/>
  <c r="BG85" i="26"/>
  <c r="BG78" i="26"/>
  <c r="BG94" i="26" s="1"/>
  <c r="BG220" i="26" s="1"/>
  <c r="BG82" i="26"/>
  <c r="BG66" i="26"/>
  <c r="BG58" i="26"/>
  <c r="BG65" i="26"/>
  <c r="BG136" i="26"/>
  <c r="BG130" i="26"/>
  <c r="BG112" i="26"/>
  <c r="BG235" i="26" s="1"/>
  <c r="BG134" i="26"/>
  <c r="BG148" i="26" s="1"/>
  <c r="BG116" i="26"/>
  <c r="BG106" i="26"/>
  <c r="BG132" i="26"/>
  <c r="BG146" i="26" s="1"/>
  <c r="BG89" i="26"/>
  <c r="BG80" i="26"/>
  <c r="BG91" i="26"/>
  <c r="BG64" i="26"/>
  <c r="BG67" i="26"/>
  <c r="BG63" i="26"/>
  <c r="BG62" i="26"/>
  <c r="BG107" i="26"/>
  <c r="BG108" i="26"/>
  <c r="BG141" i="26"/>
  <c r="BG138" i="26"/>
  <c r="BG105" i="26"/>
  <c r="BG118" i="26"/>
  <c r="BG115" i="26"/>
  <c r="BG133" i="26"/>
  <c r="BG147" i="26" s="1"/>
  <c r="BG196" i="26"/>
  <c r="BG297" i="26" s="1"/>
  <c r="BG81" i="26"/>
  <c r="BG84" i="26"/>
  <c r="BG86" i="26"/>
  <c r="BG234" i="26" s="1"/>
  <c r="BG83" i="26"/>
  <c r="BG61" i="26"/>
  <c r="BG60" i="26"/>
  <c r="BG59" i="26"/>
  <c r="BG57" i="26"/>
  <c r="BG109" i="26"/>
  <c r="BG135" i="26"/>
  <c r="BG114" i="26"/>
  <c r="BG140" i="26"/>
  <c r="BG117" i="26"/>
  <c r="BG143" i="26"/>
  <c r="BG131" i="26"/>
  <c r="BG142" i="26"/>
  <c r="AB231" i="9"/>
  <c r="AC228" i="9" s="1"/>
  <c r="AC532" i="9" s="1"/>
  <c r="BG283" i="9"/>
  <c r="BG416" i="9"/>
  <c r="BG150" i="9"/>
  <c r="BG188" i="9"/>
  <c r="BG93" i="9"/>
  <c r="BG359" i="9"/>
  <c r="BG321" i="9"/>
  <c r="BG226" i="9"/>
  <c r="BG302" i="9"/>
  <c r="BG169" i="9"/>
  <c r="BG340" i="9"/>
  <c r="BG131" i="9"/>
  <c r="BG397" i="9"/>
  <c r="BC501" i="9"/>
  <c r="AB98" i="9"/>
  <c r="AB594" i="9" s="1"/>
  <c r="AB876" i="9" s="1"/>
  <c r="AB133" i="9"/>
  <c r="AB527" i="9" s="1"/>
  <c r="AB399" i="9"/>
  <c r="AB541" i="9" s="1"/>
  <c r="AA606" i="9"/>
  <c r="AA888" i="9" s="1"/>
  <c r="AA605" i="9"/>
  <c r="AA887" i="9" s="1"/>
  <c r="AB304" i="9"/>
  <c r="AB536" i="9" s="1"/>
  <c r="AB364" i="9"/>
  <c r="AB608" i="9" s="1"/>
  <c r="AB171" i="9"/>
  <c r="AB529" i="9" s="1"/>
  <c r="AA880" i="9"/>
  <c r="AA889" i="9"/>
  <c r="AB342" i="9"/>
  <c r="AB538" i="9" s="1"/>
  <c r="AB840" i="9"/>
  <c r="AB421" i="9"/>
  <c r="AB611" i="9" s="1"/>
  <c r="AC152" i="9"/>
  <c r="AC528" i="9" s="1"/>
  <c r="AB879" i="9"/>
  <c r="AB190" i="9"/>
  <c r="AB530" i="9" s="1"/>
  <c r="AA881" i="9"/>
  <c r="AB886" i="9"/>
  <c r="AC285" i="9"/>
  <c r="AC535" i="9" s="1"/>
  <c r="BI257" i="9"/>
  <c r="BI261" i="9" s="1"/>
  <c r="BF1008" i="9"/>
  <c r="AB867" i="9"/>
  <c r="AD845" i="9"/>
  <c r="AB845" i="9"/>
  <c r="BC73" i="9"/>
  <c r="AA867" i="9"/>
  <c r="AD860" i="9"/>
  <c r="AF787" i="9"/>
  <c r="AF810" i="9" s="1"/>
  <c r="AG764" i="9" s="1"/>
  <c r="BC105" i="9"/>
  <c r="BC109" i="9" s="1"/>
  <c r="BE238" i="9"/>
  <c r="BE242" i="9" s="1"/>
  <c r="BD200" i="9"/>
  <c r="BD204" i="9" s="1"/>
  <c r="AB323" i="9"/>
  <c r="AB537" i="9" s="1"/>
  <c r="BG87" i="3"/>
  <c r="BF133" i="3"/>
  <c r="BG72" i="3"/>
  <c r="BF118" i="3"/>
  <c r="BG85" i="3"/>
  <c r="BF131" i="3"/>
  <c r="BG79" i="3"/>
  <c r="BF125" i="3"/>
  <c r="BG80" i="3"/>
  <c r="BF126" i="3"/>
  <c r="BH148" i="3"/>
  <c r="BH140" i="3"/>
  <c r="BH157" i="3"/>
  <c r="BG77" i="3"/>
  <c r="BF123" i="3"/>
  <c r="BG89" i="3"/>
  <c r="BF135" i="3"/>
  <c r="BG75" i="3"/>
  <c r="BF121" i="3"/>
  <c r="BG78" i="3"/>
  <c r="BF124" i="3"/>
  <c r="BG84" i="3"/>
  <c r="BF130" i="3"/>
  <c r="BG81" i="3"/>
  <c r="BF127" i="3"/>
  <c r="BH153" i="3"/>
  <c r="BH142" i="3"/>
  <c r="BH143" i="3"/>
  <c r="BH145" i="3"/>
  <c r="BH147" i="3"/>
  <c r="BG82" i="3"/>
  <c r="BF128" i="3"/>
  <c r="BG86" i="3"/>
  <c r="BF132" i="3"/>
  <c r="BG71" i="3"/>
  <c r="BF117" i="3"/>
  <c r="BG74" i="3"/>
  <c r="BF120" i="3"/>
  <c r="BG76" i="3"/>
  <c r="BF122" i="3"/>
  <c r="BG70" i="3"/>
  <c r="BF116" i="3"/>
  <c r="BH144" i="3"/>
  <c r="BH141" i="3"/>
  <c r="BH146" i="3"/>
  <c r="BH154" i="3"/>
  <c r="BH156" i="3"/>
  <c r="BH152" i="3"/>
  <c r="BG83" i="3"/>
  <c r="BF129" i="3"/>
  <c r="BG73" i="3"/>
  <c r="BF119" i="3"/>
  <c r="BG88" i="3"/>
  <c r="BF134" i="3"/>
  <c r="BH158" i="3"/>
  <c r="BH139" i="3"/>
  <c r="BH150" i="3"/>
  <c r="BH149" i="3"/>
  <c r="BH151" i="3"/>
  <c r="BH155" i="3"/>
  <c r="BF179" i="20"/>
  <c r="BH24" i="3"/>
  <c r="BH5" i="3"/>
  <c r="BG121" i="26"/>
  <c r="BG248" i="26" s="1"/>
  <c r="BG219" i="26"/>
  <c r="AF28" i="3"/>
  <c r="AF26" i="3"/>
  <c r="BH4" i="38"/>
  <c r="BH12" i="3"/>
  <c r="BH3" i="3" s="1"/>
  <c r="BG112" i="3"/>
  <c r="BG98" i="3"/>
  <c r="BG101" i="3"/>
  <c r="BG107" i="3"/>
  <c r="BG104" i="3"/>
  <c r="BG105" i="3"/>
  <c r="BG109" i="3"/>
  <c r="BG94" i="3"/>
  <c r="BG97" i="3"/>
  <c r="BG99" i="3"/>
  <c r="BG93" i="3"/>
  <c r="BG106" i="3"/>
  <c r="BG100" i="3"/>
  <c r="BG110" i="3"/>
  <c r="BG96" i="3"/>
  <c r="BG111" i="3"/>
  <c r="BI8" i="3"/>
  <c r="BG95" i="3"/>
  <c r="BG108" i="3"/>
  <c r="BG102" i="3"/>
  <c r="BG103" i="3"/>
  <c r="AF4" i="6"/>
  <c r="AF4" i="1"/>
  <c r="AF4" i="4"/>
  <c r="AF20" i="3"/>
  <c r="AG5" i="6"/>
  <c r="AG5" i="4"/>
  <c r="AG5" i="1"/>
  <c r="BE64" i="33" l="1"/>
  <c r="BE74" i="33"/>
  <c r="AG759" i="9"/>
  <c r="AG782" i="9" s="1"/>
  <c r="AG805" i="9" s="1"/>
  <c r="BE745" i="9"/>
  <c r="BE750" i="9"/>
  <c r="BE747" i="9"/>
  <c r="BE737" i="9"/>
  <c r="BG24" i="32"/>
  <c r="BG149" i="26"/>
  <c r="BG153" i="30"/>
  <c r="BF52" i="30"/>
  <c r="AV119" i="1"/>
  <c r="BH3" i="38"/>
  <c r="BH39" i="3"/>
  <c r="AB1120" i="9"/>
  <c r="AB1144" i="9" s="1"/>
  <c r="BF183" i="1"/>
  <c r="AU56" i="33"/>
  <c r="BH347" i="3"/>
  <c r="BH346" i="3"/>
  <c r="AA1123" i="9"/>
  <c r="AA1146" i="9"/>
  <c r="AA1147" i="9" s="1"/>
  <c r="AA170" i="1" s="1"/>
  <c r="AF803" i="9"/>
  <c r="AG757" i="9" s="1"/>
  <c r="AF853" i="9"/>
  <c r="BE819" i="9"/>
  <c r="AG855" i="9"/>
  <c r="BE814" i="9"/>
  <c r="AF861" i="9"/>
  <c r="AF811" i="9"/>
  <c r="AF859" i="9"/>
  <c r="AF809" i="9"/>
  <c r="BE806" i="9"/>
  <c r="BF704" i="9"/>
  <c r="BF699" i="9"/>
  <c r="BF272" i="3"/>
  <c r="BF295" i="3" s="1"/>
  <c r="BF226" i="3"/>
  <c r="BF267" i="3"/>
  <c r="BF290" i="3" s="1"/>
  <c r="BF221" i="3"/>
  <c r="BF258" i="3"/>
  <c r="BF281" i="3" s="1"/>
  <c r="BF212" i="3"/>
  <c r="BF224" i="3"/>
  <c r="BF270" i="3"/>
  <c r="BF293" i="3" s="1"/>
  <c r="BF218" i="3"/>
  <c r="BF264" i="3"/>
  <c r="BF287" i="3" s="1"/>
  <c r="BF269" i="3"/>
  <c r="BF292" i="3" s="1"/>
  <c r="BF223" i="3"/>
  <c r="BF225" i="3"/>
  <c r="BF271" i="3"/>
  <c r="BF294" i="3" s="1"/>
  <c r="BF691" i="9"/>
  <c r="BF265" i="3"/>
  <c r="BF288" i="3" s="1"/>
  <c r="BF219" i="3"/>
  <c r="BF262" i="3"/>
  <c r="BF285" i="3" s="1"/>
  <c r="BF216" i="3"/>
  <c r="BF227" i="3"/>
  <c r="BF273" i="3"/>
  <c r="BF296" i="3" s="1"/>
  <c r="BF211" i="3"/>
  <c r="BF257" i="3"/>
  <c r="BF280" i="3" s="1"/>
  <c r="BF214" i="3"/>
  <c r="BF260" i="3"/>
  <c r="BF283" i="3" s="1"/>
  <c r="BF266" i="3"/>
  <c r="BF289" i="3" s="1"/>
  <c r="BF220" i="3"/>
  <c r="BF217" i="3"/>
  <c r="BF263" i="3"/>
  <c r="BF286" i="3" s="1"/>
  <c r="BF268" i="3"/>
  <c r="BF291" i="3" s="1"/>
  <c r="BF222" i="3"/>
  <c r="BF259" i="3"/>
  <c r="BF282" i="3" s="1"/>
  <c r="BF213" i="3"/>
  <c r="BF215" i="3"/>
  <c r="BF261" i="3"/>
  <c r="BF284" i="3" s="1"/>
  <c r="BE866" i="9"/>
  <c r="BF256" i="3"/>
  <c r="BF279" i="3" s="1"/>
  <c r="BF210" i="3"/>
  <c r="BF233" i="3" s="1"/>
  <c r="AV197" i="1"/>
  <c r="AV194" i="1"/>
  <c r="AR199" i="1"/>
  <c r="AS193" i="1"/>
  <c r="BG68" i="26"/>
  <c r="BG71" i="26" s="1"/>
  <c r="BG259" i="26" s="1"/>
  <c r="BG247" i="26"/>
  <c r="BG220" i="6"/>
  <c r="AV147" i="30"/>
  <c r="BH30" i="3"/>
  <c r="AV195" i="20"/>
  <c r="AV49" i="30"/>
  <c r="BC779" i="9"/>
  <c r="BC802" i="9" s="1"/>
  <c r="BF209" i="3"/>
  <c r="BF232" i="3" s="1"/>
  <c r="BF255" i="3"/>
  <c r="BF278" i="3" s="1"/>
  <c r="BG193" i="26"/>
  <c r="BG294" i="26" s="1"/>
  <c r="BG93" i="26"/>
  <c r="BG97" i="26" s="1"/>
  <c r="BG221" i="6" s="1"/>
  <c r="AU160" i="1"/>
  <c r="BG120" i="26"/>
  <c r="BG221" i="26" s="1"/>
  <c r="BG173" i="26"/>
  <c r="BG268" i="26" s="1"/>
  <c r="BF92" i="30"/>
  <c r="AW117" i="1"/>
  <c r="AW152" i="30"/>
  <c r="AW59" i="33" s="1"/>
  <c r="AW15" i="1"/>
  <c r="AW107" i="1"/>
  <c r="AW151" i="1"/>
  <c r="AW37" i="1"/>
  <c r="AW60" i="1"/>
  <c r="AW156" i="1"/>
  <c r="AW49" i="1"/>
  <c r="AW84" i="1"/>
  <c r="AW34" i="30"/>
  <c r="AW42" i="30"/>
  <c r="AV158" i="1"/>
  <c r="AW39" i="30"/>
  <c r="AW67" i="1"/>
  <c r="AW28" i="1"/>
  <c r="BH5" i="38"/>
  <c r="BH51" i="3"/>
  <c r="BH166" i="3" s="1"/>
  <c r="BH189" i="3" s="1"/>
  <c r="BH63" i="3"/>
  <c r="BH178" i="3" s="1"/>
  <c r="BH201" i="3" s="1"/>
  <c r="BH52" i="3"/>
  <c r="BH167" i="3" s="1"/>
  <c r="BH190" i="3" s="1"/>
  <c r="BH60" i="3"/>
  <c r="BH175" i="3" s="1"/>
  <c r="BH198" i="3" s="1"/>
  <c r="BH56" i="3"/>
  <c r="BH171" i="3" s="1"/>
  <c r="BH194" i="3" s="1"/>
  <c r="BH55" i="3"/>
  <c r="BH170" i="3" s="1"/>
  <c r="BH193" i="3" s="1"/>
  <c r="BH48" i="3"/>
  <c r="BH163" i="3" s="1"/>
  <c r="BH186" i="3" s="1"/>
  <c r="BH64" i="3"/>
  <c r="BH179" i="3" s="1"/>
  <c r="BH202" i="3" s="1"/>
  <c r="BH65" i="3"/>
  <c r="BH180" i="3" s="1"/>
  <c r="BH203" i="3" s="1"/>
  <c r="BH53" i="3"/>
  <c r="BH168" i="3" s="1"/>
  <c r="BH191" i="3" s="1"/>
  <c r="BH61" i="3"/>
  <c r="BH176" i="3" s="1"/>
  <c r="BH199" i="3" s="1"/>
  <c r="BH50" i="3"/>
  <c r="BH165" i="3" s="1"/>
  <c r="BH188" i="3" s="1"/>
  <c r="BH58" i="3"/>
  <c r="BH173" i="3" s="1"/>
  <c r="BH196" i="3" s="1"/>
  <c r="BH66" i="3"/>
  <c r="BH57" i="3"/>
  <c r="BH172" i="3" s="1"/>
  <c r="BH195" i="3" s="1"/>
  <c r="BH54" i="3"/>
  <c r="BH169" i="3" s="1"/>
  <c r="BH192" i="3" s="1"/>
  <c r="BH62" i="3"/>
  <c r="BH177" i="3" s="1"/>
  <c r="BH200" i="3" s="1"/>
  <c r="BH47" i="3"/>
  <c r="BH162" i="3" s="1"/>
  <c r="BH185" i="3" s="1"/>
  <c r="BH49" i="3"/>
  <c r="BH164" i="3" s="1"/>
  <c r="BH187" i="3" s="1"/>
  <c r="BH59" i="3"/>
  <c r="BH174" i="3" s="1"/>
  <c r="BH197" i="3" s="1"/>
  <c r="BF281" i="26"/>
  <c r="BG276" i="26" s="1"/>
  <c r="BG169" i="26"/>
  <c r="BG197" i="26"/>
  <c r="BG298" i="26" s="1"/>
  <c r="BG145" i="26"/>
  <c r="BF34" i="6"/>
  <c r="BF69" i="30" s="1"/>
  <c r="BG257" i="26"/>
  <c r="BG119" i="26"/>
  <c r="BG207" i="26" s="1"/>
  <c r="BG106" i="6"/>
  <c r="BF254" i="3"/>
  <c r="BF277" i="3" s="1"/>
  <c r="BF208" i="3"/>
  <c r="BF231" i="3" s="1"/>
  <c r="BH5" i="35"/>
  <c r="BH4" i="33"/>
  <c r="BH4" i="35"/>
  <c r="BH3" i="33"/>
  <c r="BH3" i="35"/>
  <c r="BI442" i="9"/>
  <c r="BD439" i="9"/>
  <c r="BE441" i="9"/>
  <c r="BC434" i="9"/>
  <c r="BC689" i="9" s="1"/>
  <c r="AD795" i="9"/>
  <c r="AC794" i="9"/>
  <c r="AD790" i="9"/>
  <c r="AC95" i="9"/>
  <c r="AC525" i="9" s="1"/>
  <c r="AB601" i="9"/>
  <c r="AB883" i="9" s="1"/>
  <c r="BF517" i="9"/>
  <c r="BH5" i="26"/>
  <c r="BH5" i="33"/>
  <c r="AB136" i="9"/>
  <c r="AC133" i="9" s="1"/>
  <c r="AC527" i="9" s="1"/>
  <c r="BH3" i="28"/>
  <c r="BH3" i="32"/>
  <c r="BH3" i="30"/>
  <c r="BH5" i="32"/>
  <c r="BH5" i="30"/>
  <c r="BH16" i="3"/>
  <c r="BH18" i="3" s="1"/>
  <c r="BH4" i="32"/>
  <c r="BH4" i="30"/>
  <c r="AB402" i="9"/>
  <c r="AB610" i="9" s="1"/>
  <c r="AB892" i="9" s="1"/>
  <c r="AB307" i="9"/>
  <c r="AC231" i="9"/>
  <c r="AB174" i="9"/>
  <c r="AB890" i="9"/>
  <c r="AC361" i="9"/>
  <c r="AC539" i="9" s="1"/>
  <c r="AC155" i="9"/>
  <c r="AC597" i="9" s="1"/>
  <c r="AC288" i="9"/>
  <c r="AC604" i="9" s="1"/>
  <c r="AB592" i="9"/>
  <c r="AB893" i="9"/>
  <c r="AC418" i="9"/>
  <c r="AB345" i="9"/>
  <c r="AB607" i="9" s="1"/>
  <c r="AB835" i="9"/>
  <c r="AB1121" i="9" s="1"/>
  <c r="AB1145" i="9" s="1"/>
  <c r="AB193" i="9"/>
  <c r="AB599" i="9" s="1"/>
  <c r="BI1002" i="9"/>
  <c r="AB326" i="9"/>
  <c r="BD999" i="9"/>
  <c r="AE845" i="9"/>
  <c r="BC994" i="9"/>
  <c r="AD870" i="9"/>
  <c r="AE797" i="9"/>
  <c r="AE820" i="9" s="1"/>
  <c r="AF774" i="9" s="1"/>
  <c r="BD67" i="9"/>
  <c r="BD71" i="9" s="1"/>
  <c r="BF377" i="9"/>
  <c r="BE1001" i="9"/>
  <c r="BH4" i="28"/>
  <c r="BH5" i="28"/>
  <c r="BF168" i="20"/>
  <c r="BF178" i="20"/>
  <c r="BF50" i="30" s="1"/>
  <c r="BG179" i="1"/>
  <c r="BH4" i="11"/>
  <c r="BH4" i="26"/>
  <c r="BH3" i="26"/>
  <c r="BH4" i="9"/>
  <c r="BH4" i="16"/>
  <c r="BH4" i="12"/>
  <c r="BH5" i="22"/>
  <c r="BH5" i="20"/>
  <c r="BH4" i="20"/>
  <c r="BH4" i="22"/>
  <c r="BH3" i="22"/>
  <c r="BH3" i="20"/>
  <c r="BH3" i="16"/>
  <c r="BH3" i="12"/>
  <c r="BH3" i="11"/>
  <c r="BH3" i="9"/>
  <c r="BH3" i="6"/>
  <c r="BH3" i="1"/>
  <c r="EB2" i="1" s="1"/>
  <c r="BH3" i="4"/>
  <c r="BH5" i="16"/>
  <c r="BH5" i="12"/>
  <c r="BH5" i="11"/>
  <c r="BH5" i="9"/>
  <c r="BI10" i="3"/>
  <c r="BI4" i="3" s="1"/>
  <c r="BI2" i="44" s="1" a="1"/>
  <c r="BI2" i="44" s="1"/>
  <c r="AG20" i="3"/>
  <c r="AG22" i="3"/>
  <c r="AG4" i="4"/>
  <c r="AG4" i="1"/>
  <c r="AG4" i="6"/>
  <c r="BG261" i="26" l="1"/>
  <c r="AG780" i="9"/>
  <c r="AG765" i="9"/>
  <c r="AG788" i="9" s="1"/>
  <c r="AG811" i="9" s="1"/>
  <c r="AG763" i="9"/>
  <c r="AG786" i="9" s="1"/>
  <c r="AG809" i="9" s="1"/>
  <c r="BH181" i="3"/>
  <c r="BH204" i="3" s="1"/>
  <c r="BF701" i="9"/>
  <c r="BF770" i="9" s="1"/>
  <c r="BF793" i="9" s="1"/>
  <c r="BF866" i="9" s="1"/>
  <c r="BG150" i="26"/>
  <c r="BG180" i="30" s="1"/>
  <c r="BG72" i="33" s="1"/>
  <c r="BG178" i="1"/>
  <c r="BH198" i="20" a="1"/>
  <c r="BH198" i="20" s="1"/>
  <c r="BH181" i="20" a="1"/>
  <c r="BH181" i="20" s="1"/>
  <c r="BH172" i="20" a="1"/>
  <c r="BH172" i="20" s="1"/>
  <c r="BH169" i="20" a="1"/>
  <c r="BH169" i="20" s="1"/>
  <c r="BH154" i="20" a="1"/>
  <c r="BH154" i="20" s="1"/>
  <c r="BH150" i="20" a="1"/>
  <c r="BH150" i="20" s="1"/>
  <c r="BH149" i="20" a="1"/>
  <c r="BH149" i="20" s="1"/>
  <c r="BH148" i="20" a="1"/>
  <c r="BH148" i="20" s="1"/>
  <c r="BH146" i="20" a="1"/>
  <c r="BH146" i="20" s="1"/>
  <c r="BH145" i="20" a="1"/>
  <c r="BH145" i="20" s="1"/>
  <c r="BH129" i="20" a="1"/>
  <c r="BH129" i="20" s="1"/>
  <c r="BH128" i="20" a="1"/>
  <c r="BH128" i="20" s="1"/>
  <c r="BH127" i="20" a="1"/>
  <c r="BH127" i="20" s="1"/>
  <c r="BH126" i="20" a="1"/>
  <c r="BH126" i="20" s="1"/>
  <c r="BH143" i="20" a="1"/>
  <c r="BH143" i="20" s="1"/>
  <c r="BH142" i="20" a="1"/>
  <c r="BH142" i="20" s="1"/>
  <c r="BH141" i="20" a="1"/>
  <c r="BH141" i="20" s="1"/>
  <c r="BH140" i="20" a="1"/>
  <c r="BH140" i="20" s="1"/>
  <c r="BH139" i="20" a="1"/>
  <c r="BH139" i="20" s="1"/>
  <c r="BH138" i="20" a="1"/>
  <c r="BH138" i="20" s="1"/>
  <c r="BH137" i="20" a="1"/>
  <c r="BH137" i="20" s="1"/>
  <c r="BH133" i="20" a="1"/>
  <c r="BH133" i="20" s="1"/>
  <c r="BH132" i="20" a="1"/>
  <c r="BH132" i="20" s="1"/>
  <c r="BH131" i="20" a="1"/>
  <c r="BH131" i="20" s="1"/>
  <c r="BH125" i="20" a="1"/>
  <c r="BH125" i="20" s="1"/>
  <c r="BH124" i="20" a="1"/>
  <c r="BH124" i="20" s="1"/>
  <c r="BH123" i="20" a="1"/>
  <c r="BH123" i="20" s="1"/>
  <c r="BH122" i="20" a="1"/>
  <c r="BH122" i="20" s="1"/>
  <c r="BH115" i="20" a="1"/>
  <c r="BH115" i="20" s="1"/>
  <c r="BH117" i="20" s="1"/>
  <c r="BH112" i="20" a="1"/>
  <c r="BH112" i="20" s="1"/>
  <c r="BH111" i="20" a="1"/>
  <c r="BH111" i="20" s="1"/>
  <c r="BH110" i="20" a="1"/>
  <c r="BH110" i="20" s="1"/>
  <c r="BH106" i="20" a="1"/>
  <c r="BH106" i="20" s="1"/>
  <c r="BH105" i="20" a="1"/>
  <c r="BH105" i="20" s="1"/>
  <c r="BH144" i="20" a="1"/>
  <c r="BH144" i="20" s="1"/>
  <c r="BH103" i="20" a="1"/>
  <c r="BH103" i="20" s="1"/>
  <c r="BH102" i="20" a="1"/>
  <c r="BH102" i="20" s="1"/>
  <c r="BH101" i="20" a="1"/>
  <c r="BH101" i="20" s="1"/>
  <c r="BH97" i="20" a="1"/>
  <c r="BH97" i="20" s="1"/>
  <c r="BH96" i="20" a="1"/>
  <c r="BH96" i="20" s="1"/>
  <c r="BH95" i="20" a="1"/>
  <c r="BH95" i="20" s="1"/>
  <c r="BH94" i="20" a="1"/>
  <c r="BH94" i="20" s="1"/>
  <c r="BH93" i="20" a="1"/>
  <c r="BH93" i="20" s="1"/>
  <c r="BH92" i="20" a="1"/>
  <c r="BH92" i="20" s="1"/>
  <c r="BH91" i="20" a="1"/>
  <c r="BH91" i="20" s="1"/>
  <c r="BH90" i="20" a="1"/>
  <c r="BH90" i="20" s="1"/>
  <c r="BH89" i="20" a="1"/>
  <c r="BH89" i="20" s="1"/>
  <c r="BH88" i="20" a="1"/>
  <c r="BH88" i="20" s="1"/>
  <c r="BH104" i="20" a="1"/>
  <c r="BH104" i="20" s="1"/>
  <c r="BH87" i="20" a="1"/>
  <c r="BH87" i="20" s="1"/>
  <c r="BH82" i="20" a="1"/>
  <c r="BH82" i="20" s="1"/>
  <c r="BH83" i="20" a="1"/>
  <c r="BH83" i="20" s="1"/>
  <c r="BH81" i="20" a="1"/>
  <c r="BH81" i="20" s="1"/>
  <c r="BH80" i="20" a="1"/>
  <c r="BH80" i="20" s="1"/>
  <c r="BH79" i="20" a="1"/>
  <c r="BH79" i="20" s="1"/>
  <c r="BH78" i="20" a="1"/>
  <c r="BH78" i="20" s="1"/>
  <c r="BH77" i="20" a="1"/>
  <c r="BH77" i="20" s="1"/>
  <c r="BH76" i="20" a="1"/>
  <c r="BH76" i="20" s="1"/>
  <c r="BH75" i="20" a="1"/>
  <c r="BH75" i="20" s="1"/>
  <c r="BH74" i="20" a="1"/>
  <c r="BH74" i="20" s="1"/>
  <c r="BH73" i="20" a="1"/>
  <c r="BH73" i="20" s="1"/>
  <c r="BH72" i="20" a="1"/>
  <c r="BH72" i="20" s="1"/>
  <c r="BH71" i="20" a="1"/>
  <c r="BH71" i="20" s="1"/>
  <c r="BH68" i="20" a="1"/>
  <c r="BH68" i="20" s="1"/>
  <c r="BH66" i="20" a="1"/>
  <c r="BH66" i="20" s="1"/>
  <c r="BH65" i="20" a="1"/>
  <c r="BH65" i="20" s="1"/>
  <c r="BH64" i="20" a="1"/>
  <c r="BH64" i="20" s="1"/>
  <c r="BH61" i="20" a="1"/>
  <c r="BH61" i="20" s="1"/>
  <c r="BH59" i="20" a="1"/>
  <c r="BH59" i="20" s="1"/>
  <c r="BH58" i="20" a="1"/>
  <c r="BH58" i="20" s="1"/>
  <c r="BH57" i="20" a="1"/>
  <c r="BH57" i="20" s="1"/>
  <c r="BH56" i="20" a="1"/>
  <c r="BH56" i="20" s="1"/>
  <c r="BH55" i="20" a="1"/>
  <c r="BH55" i="20" s="1"/>
  <c r="BH54" i="20" a="1"/>
  <c r="BH54" i="20" s="1"/>
  <c r="BH53" i="20" a="1"/>
  <c r="BH53" i="20" s="1"/>
  <c r="BH50" i="20" a="1"/>
  <c r="BH50" i="20" s="1"/>
  <c r="BH48" i="20" a="1"/>
  <c r="BH48" i="20" s="1"/>
  <c r="BH47" i="20" a="1"/>
  <c r="BH47" i="20" s="1"/>
  <c r="BH46" i="20" a="1"/>
  <c r="BH46" i="20" s="1"/>
  <c r="BH45" i="20" a="1"/>
  <c r="BH45" i="20" s="1"/>
  <c r="BH44" i="20" a="1"/>
  <c r="BH44" i="20" s="1"/>
  <c r="BH43" i="20" a="1"/>
  <c r="BH43" i="20" s="1"/>
  <c r="BH42" i="20" a="1"/>
  <c r="BH42" i="20" s="1"/>
  <c r="BH41" i="20" a="1"/>
  <c r="BH41" i="20" s="1"/>
  <c r="BH34" i="20" a="1"/>
  <c r="BH34" i="20" s="1"/>
  <c r="BH38" i="20" a="1"/>
  <c r="BH38" i="20" s="1"/>
  <c r="BH35" i="20" a="1"/>
  <c r="BH35" i="20" s="1"/>
  <c r="BH36" i="20" a="1"/>
  <c r="BH36" i="20" s="1"/>
  <c r="BH33" i="20" a="1"/>
  <c r="BH33" i="20" s="1"/>
  <c r="BH32" i="20" a="1"/>
  <c r="BH32" i="20" s="1"/>
  <c r="BH29" i="20" a="1"/>
  <c r="BH29" i="20" s="1"/>
  <c r="BH25" i="20" a="1"/>
  <c r="BH25" i="20" s="1"/>
  <c r="BH21" i="20" a="1"/>
  <c r="BH21" i="20" s="1"/>
  <c r="BH26" i="20" a="1"/>
  <c r="BH26" i="20" s="1"/>
  <c r="BH24" i="20" a="1"/>
  <c r="BH24" i="20" s="1"/>
  <c r="BH20" i="20" a="1"/>
  <c r="BH20" i="20" s="1"/>
  <c r="BH27" i="20" a="1"/>
  <c r="BH27" i="20" s="1"/>
  <c r="BH23" i="20" a="1"/>
  <c r="BH23" i="20" s="1"/>
  <c r="BH19" i="20" a="1"/>
  <c r="BH19" i="20" s="1"/>
  <c r="BH13" i="20" a="1"/>
  <c r="BH13" i="20" s="1"/>
  <c r="BH22" i="20" a="1"/>
  <c r="BH22" i="20" s="1"/>
  <c r="BH16" i="20" a="1"/>
  <c r="BH16" i="20" s="1"/>
  <c r="BH12" i="20" a="1"/>
  <c r="BH12" i="20" s="1"/>
  <c r="AW119" i="1"/>
  <c r="BF48" i="30"/>
  <c r="BF183" i="20"/>
  <c r="AV56" i="33"/>
  <c r="BH83" i="9"/>
  <c r="BH178" i="9"/>
  <c r="BH197" i="9"/>
  <c r="BH330" i="9"/>
  <c r="BH349" i="9"/>
  <c r="BH64" i="9"/>
  <c r="BH216" i="9"/>
  <c r="BH235" i="9"/>
  <c r="BH368" i="9"/>
  <c r="BH387" i="9"/>
  <c r="BH102" i="9"/>
  <c r="BH121" i="9"/>
  <c r="BH140" i="9"/>
  <c r="BH254" i="9"/>
  <c r="BH273" i="9"/>
  <c r="BH292" i="9"/>
  <c r="BH311" i="9"/>
  <c r="BH425" i="9"/>
  <c r="BH159" i="9"/>
  <c r="BH406" i="9"/>
  <c r="AA170" i="20"/>
  <c r="AA173" i="1"/>
  <c r="AA175" i="1" s="1"/>
  <c r="AB1122" i="9"/>
  <c r="AG803" i="9"/>
  <c r="AG853" i="9"/>
  <c r="AD868" i="9"/>
  <c r="AD818" i="9"/>
  <c r="AE772" i="9" s="1"/>
  <c r="BF841" i="9"/>
  <c r="AC867" i="9"/>
  <c r="AC817" i="9"/>
  <c r="AD771" i="9" s="1"/>
  <c r="AG859" i="9"/>
  <c r="AD863" i="9"/>
  <c r="AD813" i="9"/>
  <c r="AE767" i="9" s="1"/>
  <c r="AG861" i="9"/>
  <c r="BF833" i="9"/>
  <c r="BF846" i="9"/>
  <c r="BF768" i="9"/>
  <c r="BF791" i="9" s="1"/>
  <c r="BF864" i="9" s="1"/>
  <c r="BF773" i="9"/>
  <c r="BF796" i="9" s="1"/>
  <c r="BF819" i="9" s="1"/>
  <c r="BC831" i="9"/>
  <c r="BC712" i="9"/>
  <c r="BC758" i="9"/>
  <c r="BC781" i="9" s="1"/>
  <c r="BC854" i="9" s="1"/>
  <c r="BF245" i="3"/>
  <c r="BF250" i="3"/>
  <c r="BF724" i="9"/>
  <c r="BF246" i="3"/>
  <c r="BF235" i="3"/>
  <c r="BF238" i="3"/>
  <c r="BF240" i="3"/>
  <c r="BF234" i="3"/>
  <c r="BF239" i="3"/>
  <c r="BF760" i="9"/>
  <c r="BF783" i="9" s="1"/>
  <c r="BF856" i="9" s="1"/>
  <c r="BF727" i="9"/>
  <c r="BF249" i="3"/>
  <c r="BF714" i="9"/>
  <c r="BF236" i="3"/>
  <c r="BF237" i="3"/>
  <c r="BF243" i="3"/>
  <c r="BF242" i="3"/>
  <c r="BF248" i="3"/>
  <c r="BF241" i="3"/>
  <c r="BF247" i="3"/>
  <c r="BF722" i="9"/>
  <c r="BF244" i="3"/>
  <c r="BC852" i="9"/>
  <c r="AW194" i="1"/>
  <c r="AU165" i="1"/>
  <c r="AS199" i="1"/>
  <c r="AW197" i="1"/>
  <c r="BH108" i="26"/>
  <c r="BH192" i="26"/>
  <c r="BH184" i="26"/>
  <c r="BH179" i="26"/>
  <c r="BH182" i="26"/>
  <c r="BH191" i="26"/>
  <c r="BH190" i="26"/>
  <c r="BH185" i="26"/>
  <c r="BH178" i="26"/>
  <c r="BH187" i="26"/>
  <c r="BH180" i="26"/>
  <c r="BH194" i="26" s="1"/>
  <c r="BH295" i="26" s="1"/>
  <c r="BH181" i="26"/>
  <c r="BH195" i="26" s="1"/>
  <c r="BH296" i="26" s="1"/>
  <c r="BH189" i="26"/>
  <c r="BH188" i="26"/>
  <c r="BH183" i="26"/>
  <c r="BH186" i="26"/>
  <c r="BG208" i="26"/>
  <c r="BG205" i="26"/>
  <c r="AC542" i="9"/>
  <c r="AW147" i="30"/>
  <c r="BG223" i="6"/>
  <c r="BH220" i="6" s="1"/>
  <c r="BG180" i="20"/>
  <c r="AW49" i="30"/>
  <c r="AH759" i="9"/>
  <c r="AH782" i="9" s="1"/>
  <c r="BI43" i="3"/>
  <c r="BG206" i="26"/>
  <c r="AI711" i="9"/>
  <c r="AI734" i="9" s="1"/>
  <c r="BF154" i="6"/>
  <c r="BF98" i="30" s="1"/>
  <c r="BF187" i="30" s="1"/>
  <c r="BH143" i="26"/>
  <c r="AV160" i="1"/>
  <c r="BF114" i="6"/>
  <c r="BF116" i="30" s="1"/>
  <c r="AX28" i="1"/>
  <c r="AX34" i="30"/>
  <c r="AX84" i="1"/>
  <c r="AX15" i="1"/>
  <c r="AX117" i="1"/>
  <c r="AX39" i="30"/>
  <c r="AX195" i="20"/>
  <c r="AX152" i="30"/>
  <c r="AX59" i="33" s="1"/>
  <c r="AX42" i="30"/>
  <c r="AX49" i="1"/>
  <c r="AX156" i="1"/>
  <c r="AX60" i="1"/>
  <c r="AX37" i="1"/>
  <c r="AX151" i="1"/>
  <c r="AX107" i="1"/>
  <c r="AX67" i="1"/>
  <c r="AX134" i="1"/>
  <c r="BG174" i="26"/>
  <c r="BG198" i="26"/>
  <c r="AC1105" i="9"/>
  <c r="AC199" i="30" s="1"/>
  <c r="AC86" i="33" s="1"/>
  <c r="BG123" i="26"/>
  <c r="BG267" i="26" s="1"/>
  <c r="BG299" i="26"/>
  <c r="BH158" i="26"/>
  <c r="BH172" i="26" s="1"/>
  <c r="BH236" i="26" s="1"/>
  <c r="BH166" i="26"/>
  <c r="BH161" i="26"/>
  <c r="BH154" i="26"/>
  <c r="BH160" i="26"/>
  <c r="BH167" i="26"/>
  <c r="BH165" i="26"/>
  <c r="BH164" i="26"/>
  <c r="BH157" i="26"/>
  <c r="BH171" i="26" s="1"/>
  <c r="BH249" i="26" s="1"/>
  <c r="BH155" i="26"/>
  <c r="BH162" i="26"/>
  <c r="BH168" i="26"/>
  <c r="BH159" i="26"/>
  <c r="BH156" i="26"/>
  <c r="BH170" i="26" s="1"/>
  <c r="BH222" i="26" s="1"/>
  <c r="BH163" i="26"/>
  <c r="BH78" i="26"/>
  <c r="BH93" i="26" s="1"/>
  <c r="BH57" i="26"/>
  <c r="BH86" i="26"/>
  <c r="BH234" i="26" s="1"/>
  <c r="BH118" i="26"/>
  <c r="BH65" i="26"/>
  <c r="BH139" i="26"/>
  <c r="BH87" i="26"/>
  <c r="BH64" i="26"/>
  <c r="BH110" i="26"/>
  <c r="BH116" i="26"/>
  <c r="BH90" i="26"/>
  <c r="BH82" i="26"/>
  <c r="BH117" i="26"/>
  <c r="BH113" i="26"/>
  <c r="BH80" i="26"/>
  <c r="BH88" i="26"/>
  <c r="BH83" i="26"/>
  <c r="BH56" i="26"/>
  <c r="BH67" i="26"/>
  <c r="BH63" i="26"/>
  <c r="BH61" i="26"/>
  <c r="BH142" i="26"/>
  <c r="BH115" i="26"/>
  <c r="BH134" i="26"/>
  <c r="BH148" i="26" s="1"/>
  <c r="BH136" i="26"/>
  <c r="BH106" i="26"/>
  <c r="BH144" i="26"/>
  <c r="BH109" i="26"/>
  <c r="BH141" i="26"/>
  <c r="BH196" i="26"/>
  <c r="BH297" i="26" s="1"/>
  <c r="BH60" i="26"/>
  <c r="BH133" i="26"/>
  <c r="BH147" i="26" s="1"/>
  <c r="BH92" i="26"/>
  <c r="BH85" i="26"/>
  <c r="BH91" i="26"/>
  <c r="BH66" i="26"/>
  <c r="BH54" i="26"/>
  <c r="BH53" i="26"/>
  <c r="BH70" i="26" s="1"/>
  <c r="BH233" i="26" s="1"/>
  <c r="BH130" i="26"/>
  <c r="BH132" i="26"/>
  <c r="BH146" i="26" s="1"/>
  <c r="BH114" i="26"/>
  <c r="BH137" i="26"/>
  <c r="BH104" i="26"/>
  <c r="BH105" i="26"/>
  <c r="BH89" i="26"/>
  <c r="BH79" i="26"/>
  <c r="BH95" i="26" s="1"/>
  <c r="BH180" i="1" s="1"/>
  <c r="BH84" i="26"/>
  <c r="BH81" i="26"/>
  <c r="BH59" i="26"/>
  <c r="BH55" i="26"/>
  <c r="BH62" i="26"/>
  <c r="BH58" i="26"/>
  <c r="BH112" i="26"/>
  <c r="BH235" i="26" s="1"/>
  <c r="BH131" i="26"/>
  <c r="BH140" i="26"/>
  <c r="BH135" i="26"/>
  <c r="BH107" i="26"/>
  <c r="BH138" i="26"/>
  <c r="BH111" i="26"/>
  <c r="BD432" i="9"/>
  <c r="BD687" i="9" s="1"/>
  <c r="AD785" i="9"/>
  <c r="AC98" i="9"/>
  <c r="AC594" i="9" s="1"/>
  <c r="AC876" i="9" s="1"/>
  <c r="BH283" i="9"/>
  <c r="BH416" i="9"/>
  <c r="BH226" i="9"/>
  <c r="BH150" i="9"/>
  <c r="BH321" i="9"/>
  <c r="BH188" i="9"/>
  <c r="BH359" i="9"/>
  <c r="BH93" i="9"/>
  <c r="BH340" i="9"/>
  <c r="BH131" i="9"/>
  <c r="BH169" i="9"/>
  <c r="BH302" i="9"/>
  <c r="BH397" i="9"/>
  <c r="BI511" i="9"/>
  <c r="BE510" i="9"/>
  <c r="BC503" i="9"/>
  <c r="BC1085" i="9" s="1"/>
  <c r="BD508" i="9"/>
  <c r="AB596" i="9"/>
  <c r="AB878" i="9" s="1"/>
  <c r="AC136" i="9"/>
  <c r="AC596" i="9" s="1"/>
  <c r="AC878" i="9" s="1"/>
  <c r="AC399" i="9"/>
  <c r="AC541" i="9" s="1"/>
  <c r="AC323" i="9"/>
  <c r="AC537" i="9" s="1"/>
  <c r="AB606" i="9"/>
  <c r="AB888" i="9" s="1"/>
  <c r="AB598" i="9"/>
  <c r="AB880" i="9" s="1"/>
  <c r="AB605" i="9"/>
  <c r="AB887" i="9" s="1"/>
  <c r="AD228" i="9"/>
  <c r="AD532" i="9" s="1"/>
  <c r="AC601" i="9"/>
  <c r="AC883" i="9" s="1"/>
  <c r="AC304" i="9"/>
  <c r="AC536" i="9" s="1"/>
  <c r="AC171" i="9"/>
  <c r="AC529" i="9" s="1"/>
  <c r="AC364" i="9"/>
  <c r="AC608" i="9" s="1"/>
  <c r="AB881" i="9"/>
  <c r="AC190" i="9"/>
  <c r="AC530" i="9" s="1"/>
  <c r="AC421" i="9"/>
  <c r="AC611" i="9" s="1"/>
  <c r="AC886" i="9"/>
  <c r="AD285" i="9"/>
  <c r="AD535" i="9" s="1"/>
  <c r="AC879" i="9"/>
  <c r="AD152" i="9"/>
  <c r="AD528" i="9" s="1"/>
  <c r="AC342" i="9"/>
  <c r="AC538" i="9" s="1"/>
  <c r="AB889" i="9"/>
  <c r="AB874" i="9"/>
  <c r="AC523" i="9"/>
  <c r="AC840" i="9"/>
  <c r="AC865" i="9"/>
  <c r="BI263" i="9"/>
  <c r="BE244" i="9"/>
  <c r="AC845" i="9"/>
  <c r="BG371" i="9"/>
  <c r="BG375" i="9" s="1"/>
  <c r="BD992" i="9"/>
  <c r="BC111" i="9"/>
  <c r="BD206" i="9"/>
  <c r="BH87" i="3"/>
  <c r="BG133" i="3"/>
  <c r="BH79" i="3"/>
  <c r="BG125" i="3"/>
  <c r="BH84" i="3"/>
  <c r="BG130" i="3"/>
  <c r="BI139" i="3"/>
  <c r="BI150" i="3"/>
  <c r="BI141" i="3"/>
  <c r="BI151" i="3"/>
  <c r="BI149" i="3"/>
  <c r="BI148" i="3"/>
  <c r="BH74" i="3"/>
  <c r="BG120" i="3"/>
  <c r="BH83" i="3"/>
  <c r="BG129" i="3"/>
  <c r="BH72" i="3"/>
  <c r="BG118" i="3"/>
  <c r="BI144" i="3"/>
  <c r="BI155" i="3"/>
  <c r="BI157" i="3"/>
  <c r="BI154" i="3"/>
  <c r="BI143" i="3"/>
  <c r="BI140" i="3"/>
  <c r="BH89" i="3"/>
  <c r="BG135" i="3"/>
  <c r="BH73" i="3"/>
  <c r="BG119" i="3"/>
  <c r="BH85" i="3"/>
  <c r="BG131" i="3"/>
  <c r="BH77" i="3"/>
  <c r="BG123" i="3"/>
  <c r="BH88" i="3"/>
  <c r="BG134" i="3"/>
  <c r="BH71" i="3"/>
  <c r="BG117" i="3"/>
  <c r="BI142" i="3"/>
  <c r="BI147" i="3"/>
  <c r="BI156" i="3"/>
  <c r="BI145" i="3"/>
  <c r="BI146" i="3"/>
  <c r="BH82" i="3"/>
  <c r="BG128" i="3"/>
  <c r="BH75" i="3"/>
  <c r="BG121" i="3"/>
  <c r="BH76" i="3"/>
  <c r="BG122" i="3"/>
  <c r="BH70" i="3"/>
  <c r="BG116" i="3"/>
  <c r="BH81" i="3"/>
  <c r="BG127" i="3"/>
  <c r="BH78" i="3"/>
  <c r="BG124" i="3"/>
  <c r="BH86" i="3"/>
  <c r="BG132" i="3"/>
  <c r="BH80" i="3"/>
  <c r="BG126" i="3"/>
  <c r="BI153" i="3"/>
  <c r="BI158" i="3"/>
  <c r="BI152" i="3"/>
  <c r="BI5" i="3"/>
  <c r="BG107" i="6"/>
  <c r="BG111" i="6" s="1"/>
  <c r="BG179" i="20"/>
  <c r="BH94" i="26"/>
  <c r="BH220" i="26" s="1"/>
  <c r="BH121" i="26"/>
  <c r="BH248" i="26" s="1"/>
  <c r="BH219" i="26"/>
  <c r="AG28" i="3"/>
  <c r="AG26" i="3"/>
  <c r="BI12" i="3"/>
  <c r="BI3" i="3" s="1"/>
  <c r="BI24" i="3"/>
  <c r="BH112" i="3"/>
  <c r="BH102" i="3"/>
  <c r="BH97" i="3"/>
  <c r="BH106" i="3"/>
  <c r="BJ8" i="3"/>
  <c r="BH93" i="3"/>
  <c r="BH104" i="3"/>
  <c r="BH101" i="3"/>
  <c r="BH109" i="3"/>
  <c r="BH103" i="3"/>
  <c r="BH110" i="3"/>
  <c r="BH107" i="3"/>
  <c r="BH105" i="3"/>
  <c r="BH96" i="3"/>
  <c r="BH98" i="3"/>
  <c r="BH95" i="3"/>
  <c r="BI4" i="38"/>
  <c r="BH108" i="3"/>
  <c r="BH99" i="3"/>
  <c r="BH100" i="3"/>
  <c r="BH111" i="3"/>
  <c r="BH94" i="3"/>
  <c r="AH22" i="3"/>
  <c r="AH5" i="6"/>
  <c r="AH5" i="4"/>
  <c r="AH5" i="1"/>
  <c r="BF64" i="33" l="1"/>
  <c r="BF74" i="33"/>
  <c r="BF745" i="9"/>
  <c r="BF737" i="9"/>
  <c r="BG691" i="9" s="1"/>
  <c r="BF750" i="9"/>
  <c r="BG704" i="9" s="1"/>
  <c r="BF747" i="9"/>
  <c r="BC735" i="9"/>
  <c r="BF843" i="9"/>
  <c r="AJ688" i="9"/>
  <c r="AJ830" i="9" s="1"/>
  <c r="BH24" i="32"/>
  <c r="BH153" i="30"/>
  <c r="BG52" i="30"/>
  <c r="AX119" i="1"/>
  <c r="BI3" i="38"/>
  <c r="BI39" i="3"/>
  <c r="AC1120" i="9"/>
  <c r="AC1144" i="9" s="1"/>
  <c r="BG183" i="1"/>
  <c r="AW56" i="33"/>
  <c r="BI346" i="3"/>
  <c r="BI347" i="3"/>
  <c r="AB1123" i="9"/>
  <c r="AB1146" i="9"/>
  <c r="AB1147" i="9" s="1"/>
  <c r="AB170" i="1" s="1"/>
  <c r="AB170" i="20" s="1"/>
  <c r="AB41" i="30" s="1"/>
  <c r="AA41" i="30"/>
  <c r="AA173" i="20"/>
  <c r="BF869" i="9"/>
  <c r="BF816" i="9"/>
  <c r="AH855" i="9"/>
  <c r="AH805" i="9"/>
  <c r="AI759" i="9" s="1"/>
  <c r="BF814" i="9"/>
  <c r="AD858" i="9"/>
  <c r="AD808" i="9"/>
  <c r="AE762" i="9" s="1"/>
  <c r="BF806" i="9"/>
  <c r="BC804" i="9"/>
  <c r="BG264" i="3"/>
  <c r="BG287" i="3" s="1"/>
  <c r="BG218" i="3"/>
  <c r="BG262" i="3"/>
  <c r="BG285" i="3" s="1"/>
  <c r="BG216" i="3"/>
  <c r="BG259" i="3"/>
  <c r="BG282" i="3" s="1"/>
  <c r="BG213" i="3"/>
  <c r="BG261" i="3"/>
  <c r="BG284" i="3" s="1"/>
  <c r="BG215" i="3"/>
  <c r="BG257" i="3"/>
  <c r="BG280" i="3" s="1"/>
  <c r="BG211" i="3"/>
  <c r="BG267" i="3"/>
  <c r="BG290" i="3" s="1"/>
  <c r="BG221" i="3"/>
  <c r="BG263" i="3"/>
  <c r="BG286" i="3" s="1"/>
  <c r="BG217" i="3"/>
  <c r="BG699" i="9"/>
  <c r="BG270" i="3"/>
  <c r="BG293" i="3" s="1"/>
  <c r="BG224" i="3"/>
  <c r="BG265" i="3"/>
  <c r="BG288" i="3" s="1"/>
  <c r="BG219" i="3"/>
  <c r="BG260" i="3"/>
  <c r="BG283" i="3" s="1"/>
  <c r="BG214" i="3"/>
  <c r="BG266" i="3"/>
  <c r="BG289" i="3" s="1"/>
  <c r="BG220" i="3"/>
  <c r="BG701" i="9"/>
  <c r="BG272" i="3"/>
  <c r="BG295" i="3" s="1"/>
  <c r="BG226" i="3"/>
  <c r="BG269" i="3"/>
  <c r="BG292" i="3" s="1"/>
  <c r="BG223" i="3"/>
  <c r="BG273" i="3"/>
  <c r="BG296" i="3" s="1"/>
  <c r="BG227" i="3"/>
  <c r="BG258" i="3"/>
  <c r="BG281" i="3" s="1"/>
  <c r="BG212" i="3"/>
  <c r="BG268" i="3"/>
  <c r="BG291" i="3" s="1"/>
  <c r="BG222" i="3"/>
  <c r="BG271" i="3"/>
  <c r="BG294" i="3" s="1"/>
  <c r="BG225" i="3"/>
  <c r="BD756" i="9"/>
  <c r="BD779" i="9" s="1"/>
  <c r="BD802" i="9" s="1"/>
  <c r="BD829" i="9"/>
  <c r="BG256" i="3"/>
  <c r="BG279" i="3" s="1"/>
  <c r="BG210" i="3"/>
  <c r="BG233" i="3" s="1"/>
  <c r="AU193" i="1"/>
  <c r="AX197" i="1"/>
  <c r="AX194" i="1"/>
  <c r="AV165" i="1"/>
  <c r="BH68" i="26"/>
  <c r="BH71" i="26" s="1"/>
  <c r="BH259" i="26" s="1"/>
  <c r="BG92" i="30"/>
  <c r="BH247" i="26"/>
  <c r="AX147" i="30"/>
  <c r="BG130" i="30"/>
  <c r="BI30" i="3"/>
  <c r="AX49" i="30"/>
  <c r="AI688" i="9"/>
  <c r="AH757" i="9"/>
  <c r="AH780" i="9" s="1"/>
  <c r="AH763" i="9"/>
  <c r="AH786" i="9" s="1"/>
  <c r="AH765" i="9"/>
  <c r="AH788" i="9" s="1"/>
  <c r="BG209" i="3"/>
  <c r="BG232" i="3" s="1"/>
  <c r="BG255" i="3"/>
  <c r="BG278" i="3" s="1"/>
  <c r="BD710" i="9"/>
  <c r="BH257" i="26"/>
  <c r="AJ711" i="9"/>
  <c r="AJ734" i="9" s="1"/>
  <c r="BH173" i="26"/>
  <c r="BH268" i="26" s="1"/>
  <c r="BH149" i="26"/>
  <c r="BH193" i="26"/>
  <c r="BH294" i="26" s="1"/>
  <c r="AY42" i="30"/>
  <c r="AY15" i="1"/>
  <c r="AY34" i="30"/>
  <c r="AY117" i="1"/>
  <c r="AY107" i="1"/>
  <c r="AY37" i="1"/>
  <c r="AY60" i="1"/>
  <c r="AY156" i="1"/>
  <c r="AY49" i="1"/>
  <c r="AY195" i="20"/>
  <c r="AY28" i="1"/>
  <c r="AY134" i="1"/>
  <c r="AY67" i="1"/>
  <c r="AX158" i="1"/>
  <c r="AY152" i="30"/>
  <c r="AY59" i="33" s="1"/>
  <c r="AY39" i="30"/>
  <c r="AY84" i="1"/>
  <c r="BH120" i="26"/>
  <c r="BH221" i="26" s="1"/>
  <c r="BI55" i="3"/>
  <c r="BI170" i="3" s="1"/>
  <c r="BI193" i="3" s="1"/>
  <c r="BI51" i="3"/>
  <c r="BI166" i="3" s="1"/>
  <c r="BI189" i="3" s="1"/>
  <c r="BI48" i="3"/>
  <c r="BI163" i="3" s="1"/>
  <c r="BI186" i="3" s="1"/>
  <c r="BI56" i="3"/>
  <c r="BI171" i="3" s="1"/>
  <c r="BI194" i="3" s="1"/>
  <c r="BI60" i="3"/>
  <c r="BI175" i="3" s="1"/>
  <c r="BI198" i="3" s="1"/>
  <c r="BI63" i="3"/>
  <c r="BI178" i="3" s="1"/>
  <c r="BI201" i="3" s="1"/>
  <c r="BI64" i="3"/>
  <c r="BI179" i="3" s="1"/>
  <c r="BI202" i="3" s="1"/>
  <c r="BI52" i="3"/>
  <c r="BI167" i="3" s="1"/>
  <c r="BI190" i="3" s="1"/>
  <c r="BI54" i="3"/>
  <c r="BI169" i="3" s="1"/>
  <c r="BI192" i="3" s="1"/>
  <c r="BI66" i="3"/>
  <c r="BI57" i="3"/>
  <c r="BI172" i="3" s="1"/>
  <c r="BI195" i="3" s="1"/>
  <c r="BI65" i="3"/>
  <c r="BI180" i="3" s="1"/>
  <c r="BI203" i="3" s="1"/>
  <c r="BI61" i="3"/>
  <c r="BI176" i="3" s="1"/>
  <c r="BI199" i="3" s="1"/>
  <c r="BI50" i="3"/>
  <c r="BI165" i="3" s="1"/>
  <c r="BI188" i="3" s="1"/>
  <c r="BI62" i="3"/>
  <c r="BI177" i="3" s="1"/>
  <c r="BI200" i="3" s="1"/>
  <c r="BI59" i="3"/>
  <c r="BI174" i="3" s="1"/>
  <c r="BI197" i="3" s="1"/>
  <c r="BI49" i="3"/>
  <c r="BI164" i="3" s="1"/>
  <c r="BI187" i="3" s="1"/>
  <c r="BI53" i="3"/>
  <c r="BI168" i="3" s="1"/>
  <c r="BI191" i="3" s="1"/>
  <c r="BI58" i="3"/>
  <c r="BI173" i="3" s="1"/>
  <c r="BI196" i="3" s="1"/>
  <c r="BI47" i="3"/>
  <c r="BI162" i="3" s="1"/>
  <c r="BI185" i="3" s="1"/>
  <c r="BH145" i="26"/>
  <c r="BH169" i="26"/>
  <c r="BH197" i="26"/>
  <c r="BH298" i="26" s="1"/>
  <c r="BG34" i="6"/>
  <c r="BG69" i="30" s="1"/>
  <c r="BG281" i="26"/>
  <c r="BH276" i="26" s="1"/>
  <c r="BI5" i="26"/>
  <c r="BI5" i="38"/>
  <c r="BH119" i="26"/>
  <c r="BC94" i="6"/>
  <c r="BC88" i="35"/>
  <c r="BG208" i="3"/>
  <c r="BG254" i="3"/>
  <c r="BG277" i="3" s="1"/>
  <c r="BI3" i="33"/>
  <c r="BI3" i="35"/>
  <c r="BI5" i="33"/>
  <c r="BI5" i="35"/>
  <c r="BI4" i="33"/>
  <c r="BI4" i="35"/>
  <c r="BH206" i="26"/>
  <c r="BH97" i="26"/>
  <c r="BH221" i="6" s="1"/>
  <c r="BG448" i="9"/>
  <c r="AE792" i="9"/>
  <c r="AE815" i="9" s="1"/>
  <c r="AF769" i="9" s="1"/>
  <c r="AE790" i="9"/>
  <c r="AD95" i="9"/>
  <c r="AD525" i="9" s="1"/>
  <c r="BD501" i="9"/>
  <c r="AD133" i="9"/>
  <c r="AD527" i="9" s="1"/>
  <c r="BG114" i="6"/>
  <c r="BG116" i="30" s="1"/>
  <c r="AC326" i="9"/>
  <c r="AD323" i="9" s="1"/>
  <c r="AD537" i="9" s="1"/>
  <c r="AC402" i="9"/>
  <c r="AC610" i="9" s="1"/>
  <c r="AC892" i="9" s="1"/>
  <c r="BI16" i="3"/>
  <c r="BI18" i="3" s="1"/>
  <c r="BI4" i="32"/>
  <c r="BI4" i="30"/>
  <c r="BI3" i="28"/>
  <c r="BI3" i="32"/>
  <c r="BI3" i="30"/>
  <c r="BI5" i="32"/>
  <c r="BI5" i="30"/>
  <c r="AD231" i="9"/>
  <c r="AD601" i="9" s="1"/>
  <c r="AC307" i="9"/>
  <c r="AC174" i="9"/>
  <c r="AD361" i="9"/>
  <c r="AD539" i="9" s="1"/>
  <c r="AC890" i="9"/>
  <c r="AC592" i="9"/>
  <c r="AD155" i="9"/>
  <c r="AD597" i="9" s="1"/>
  <c r="AC193" i="9"/>
  <c r="AC599" i="9" s="1"/>
  <c r="AD288" i="9"/>
  <c r="AD604" i="9" s="1"/>
  <c r="AD418" i="9"/>
  <c r="AC893" i="9"/>
  <c r="AC835" i="9"/>
  <c r="AC1121" i="9" s="1"/>
  <c r="AC1145" i="9" s="1"/>
  <c r="AC345" i="9"/>
  <c r="AC607" i="9" s="1"/>
  <c r="BJ257" i="9"/>
  <c r="BJ261" i="9" s="1"/>
  <c r="BD105" i="9"/>
  <c r="BD109" i="9" s="1"/>
  <c r="AE870" i="9"/>
  <c r="AF797" i="9"/>
  <c r="AF820" i="9" s="1"/>
  <c r="AG774" i="9" s="1"/>
  <c r="BE200" i="9"/>
  <c r="BE204" i="9" s="1"/>
  <c r="BD73" i="9"/>
  <c r="BG1008" i="9"/>
  <c r="BF238" i="9"/>
  <c r="BF242" i="9" s="1"/>
  <c r="BI5" i="28"/>
  <c r="BG178" i="20"/>
  <c r="BG183" i="20" s="1"/>
  <c r="BI4" i="26"/>
  <c r="BI4" i="28"/>
  <c r="BH179" i="1"/>
  <c r="BI3" i="26"/>
  <c r="AH28" i="3"/>
  <c r="AH26" i="3"/>
  <c r="BI4" i="22"/>
  <c r="BI4" i="20"/>
  <c r="BI5" i="22"/>
  <c r="BI5" i="20"/>
  <c r="BI3" i="22"/>
  <c r="BI3" i="20"/>
  <c r="BI4" i="16"/>
  <c r="BI4" i="12"/>
  <c r="BI4" i="11"/>
  <c r="BI4" i="9"/>
  <c r="BJ10" i="3"/>
  <c r="BJ4" i="3" s="1"/>
  <c r="BJ2" i="44" s="1" a="1"/>
  <c r="BJ2" i="44" s="1"/>
  <c r="BI3" i="16"/>
  <c r="BI3" i="12"/>
  <c r="BI3" i="11"/>
  <c r="BI3" i="9"/>
  <c r="BI3" i="4"/>
  <c r="BI3" i="6"/>
  <c r="BI3" i="1"/>
  <c r="EC2" i="1" s="1"/>
  <c r="BI5" i="16"/>
  <c r="BI5" i="12"/>
  <c r="BI5" i="11"/>
  <c r="BI5" i="9"/>
  <c r="AH4" i="4"/>
  <c r="AH4" i="6"/>
  <c r="AH4" i="1"/>
  <c r="AH20" i="3"/>
  <c r="AI5" i="4"/>
  <c r="AI5" i="1"/>
  <c r="AI5" i="6"/>
  <c r="BD733" i="9" l="1"/>
  <c r="BI181" i="3"/>
  <c r="BI204" i="3" s="1"/>
  <c r="AK688" i="9"/>
  <c r="AK830" i="9" s="1"/>
  <c r="AI830" i="9"/>
  <c r="BH178" i="1"/>
  <c r="BI169" i="20" a="1"/>
  <c r="BI169" i="20" s="1"/>
  <c r="BI149" i="20" a="1"/>
  <c r="BI149" i="20" s="1"/>
  <c r="BI172" i="20" a="1"/>
  <c r="BI172" i="20" s="1"/>
  <c r="BI150" i="20" a="1"/>
  <c r="BI150" i="20" s="1"/>
  <c r="BI143" i="20" a="1"/>
  <c r="BI143" i="20" s="1"/>
  <c r="BI142" i="20" a="1"/>
  <c r="BI142" i="20" s="1"/>
  <c r="BI141" i="20" a="1"/>
  <c r="BI141" i="20" s="1"/>
  <c r="BI140" i="20" a="1"/>
  <c r="BI140" i="20" s="1"/>
  <c r="BI139" i="20" a="1"/>
  <c r="BI139" i="20" s="1"/>
  <c r="BI138" i="20" a="1"/>
  <c r="BI138" i="20" s="1"/>
  <c r="BI137" i="20" a="1"/>
  <c r="BI137" i="20" s="1"/>
  <c r="BI133" i="20" a="1"/>
  <c r="BI133" i="20" s="1"/>
  <c r="BI132" i="20" a="1"/>
  <c r="BI132" i="20" s="1"/>
  <c r="BI131" i="20" a="1"/>
  <c r="BI131" i="20" s="1"/>
  <c r="BI154" i="20" a="1"/>
  <c r="BI154" i="20" s="1"/>
  <c r="BI144" i="20" a="1"/>
  <c r="BI144" i="20" s="1"/>
  <c r="BI181" i="20" a="1"/>
  <c r="BI181" i="20" s="1"/>
  <c r="BI128" i="20" a="1"/>
  <c r="BI128" i="20" s="1"/>
  <c r="BI126" i="20" a="1"/>
  <c r="BI126" i="20" s="1"/>
  <c r="BI198" i="20" a="1"/>
  <c r="BI198" i="20" s="1"/>
  <c r="BI146" i="20" a="1"/>
  <c r="BI146" i="20" s="1"/>
  <c r="BI145" i="20" a="1"/>
  <c r="BI145" i="20" s="1"/>
  <c r="BI125" i="20" a="1"/>
  <c r="BI125" i="20" s="1"/>
  <c r="BI123" i="20" a="1"/>
  <c r="BI123" i="20" s="1"/>
  <c r="BI115" i="20" a="1"/>
  <c r="BI115" i="20" s="1"/>
  <c r="BI117" i="20" s="1"/>
  <c r="BI111" i="20" a="1"/>
  <c r="BI111" i="20" s="1"/>
  <c r="BI106" i="20" a="1"/>
  <c r="BI106" i="20" s="1"/>
  <c r="BI127" i="20" a="1"/>
  <c r="BI127" i="20" s="1"/>
  <c r="BI148" i="20" a="1"/>
  <c r="BI148" i="20" s="1"/>
  <c r="BI124" i="20" a="1"/>
  <c r="BI124" i="20" s="1"/>
  <c r="BI122" i="20" a="1"/>
  <c r="BI122" i="20" s="1"/>
  <c r="BI112" i="20" a="1"/>
  <c r="BI112" i="20" s="1"/>
  <c r="BI110" i="20" a="1"/>
  <c r="BI110" i="20" s="1"/>
  <c r="BI105" i="20" a="1"/>
  <c r="BI105" i="20" s="1"/>
  <c r="BI104" i="20" a="1"/>
  <c r="BI104" i="20" s="1"/>
  <c r="BI129" i="20" a="1"/>
  <c r="BI129" i="20" s="1"/>
  <c r="BI103" i="20" a="1"/>
  <c r="BI103" i="20" s="1"/>
  <c r="BI102" i="20" a="1"/>
  <c r="BI102" i="20" s="1"/>
  <c r="BI101" i="20" a="1"/>
  <c r="BI101" i="20" s="1"/>
  <c r="BI97" i="20" a="1"/>
  <c r="BI97" i="20" s="1"/>
  <c r="BI96" i="20" a="1"/>
  <c r="BI96" i="20" s="1"/>
  <c r="BI95" i="20" a="1"/>
  <c r="BI95" i="20" s="1"/>
  <c r="BI94" i="20" a="1"/>
  <c r="BI94" i="20" s="1"/>
  <c r="BI93" i="20" a="1"/>
  <c r="BI93" i="20" s="1"/>
  <c r="BI92" i="20" a="1"/>
  <c r="BI92" i="20" s="1"/>
  <c r="BI91" i="20" a="1"/>
  <c r="BI91" i="20" s="1"/>
  <c r="BI90" i="20" a="1"/>
  <c r="BI90" i="20" s="1"/>
  <c r="BI89" i="20" a="1"/>
  <c r="BI89" i="20" s="1"/>
  <c r="BI88" i="20" a="1"/>
  <c r="BI88" i="20" s="1"/>
  <c r="BI87" i="20" a="1"/>
  <c r="BI87" i="20" s="1"/>
  <c r="BI83" i="20" a="1"/>
  <c r="BI83" i="20" s="1"/>
  <c r="BI82" i="20" a="1"/>
  <c r="BI82" i="20" s="1"/>
  <c r="BI81" i="20" a="1"/>
  <c r="BI81" i="20" s="1"/>
  <c r="BI80" i="20" a="1"/>
  <c r="BI80" i="20" s="1"/>
  <c r="BI79" i="20" a="1"/>
  <c r="BI79" i="20" s="1"/>
  <c r="BI78" i="20" a="1"/>
  <c r="BI78" i="20" s="1"/>
  <c r="BI77" i="20" a="1"/>
  <c r="BI77" i="20" s="1"/>
  <c r="BI76" i="20" a="1"/>
  <c r="BI76" i="20" s="1"/>
  <c r="BI75" i="20" a="1"/>
  <c r="BI75" i="20" s="1"/>
  <c r="BI74" i="20" a="1"/>
  <c r="BI74" i="20" s="1"/>
  <c r="BI73" i="20" a="1"/>
  <c r="BI73" i="20" s="1"/>
  <c r="BI72" i="20" a="1"/>
  <c r="BI72" i="20" s="1"/>
  <c r="BI71" i="20" a="1"/>
  <c r="BI71" i="20" s="1"/>
  <c r="BI68" i="20" a="1"/>
  <c r="BI68" i="20" s="1"/>
  <c r="BI66" i="20" a="1"/>
  <c r="BI66" i="20" s="1"/>
  <c r="BI65" i="20" a="1"/>
  <c r="BI65" i="20" s="1"/>
  <c r="BI64" i="20" a="1"/>
  <c r="BI64" i="20" s="1"/>
  <c r="BI61" i="20" a="1"/>
  <c r="BI61" i="20" s="1"/>
  <c r="BI59" i="20" a="1"/>
  <c r="BI59" i="20" s="1"/>
  <c r="BI58" i="20" a="1"/>
  <c r="BI58" i="20" s="1"/>
  <c r="BI57" i="20" a="1"/>
  <c r="BI57" i="20" s="1"/>
  <c r="BI56" i="20" a="1"/>
  <c r="BI56" i="20" s="1"/>
  <c r="BI55" i="20" a="1"/>
  <c r="BI55" i="20" s="1"/>
  <c r="BI54" i="20" a="1"/>
  <c r="BI54" i="20" s="1"/>
  <c r="BI53" i="20" a="1"/>
  <c r="BI53" i="20" s="1"/>
  <c r="BI50" i="20" a="1"/>
  <c r="BI50" i="20" s="1"/>
  <c r="BI48" i="20" a="1"/>
  <c r="BI48" i="20" s="1"/>
  <c r="BI47" i="20" a="1"/>
  <c r="BI47" i="20" s="1"/>
  <c r="BI46" i="20" a="1"/>
  <c r="BI46" i="20" s="1"/>
  <c r="BI45" i="20" a="1"/>
  <c r="BI45" i="20" s="1"/>
  <c r="BI43" i="20" a="1"/>
  <c r="BI43" i="20" s="1"/>
  <c r="BI41" i="20" a="1"/>
  <c r="BI41" i="20" s="1"/>
  <c r="BI44" i="20" a="1"/>
  <c r="BI44" i="20" s="1"/>
  <c r="BI42" i="20" a="1"/>
  <c r="BI42" i="20" s="1"/>
  <c r="BI38" i="20" a="1"/>
  <c r="BI38" i="20" s="1"/>
  <c r="BI36" i="20" a="1"/>
  <c r="BI36" i="20" s="1"/>
  <c r="BI35" i="20" a="1"/>
  <c r="BI35" i="20" s="1"/>
  <c r="BI34" i="20" a="1"/>
  <c r="BI34" i="20" s="1"/>
  <c r="BI33" i="20" a="1"/>
  <c r="BI33" i="20" s="1"/>
  <c r="BI32" i="20" a="1"/>
  <c r="BI32" i="20" s="1"/>
  <c r="BI29" i="20" a="1"/>
  <c r="BI29" i="20" s="1"/>
  <c r="BI27" i="20" a="1"/>
  <c r="BI27" i="20" s="1"/>
  <c r="BI26" i="20" a="1"/>
  <c r="BI26" i="20" s="1"/>
  <c r="BI25" i="20" a="1"/>
  <c r="BI25" i="20" s="1"/>
  <c r="BI24" i="20" a="1"/>
  <c r="BI24" i="20" s="1"/>
  <c r="BI23" i="20" a="1"/>
  <c r="BI23" i="20" s="1"/>
  <c r="BI22" i="20" a="1"/>
  <c r="BI22" i="20" s="1"/>
  <c r="BI21" i="20" a="1"/>
  <c r="BI21" i="20" s="1"/>
  <c r="BI20" i="20" a="1"/>
  <c r="BI20" i="20" s="1"/>
  <c r="BI19" i="20" a="1"/>
  <c r="BI19" i="20" s="1"/>
  <c r="BI16" i="20" a="1"/>
  <c r="BI16" i="20" s="1"/>
  <c r="BI13" i="20" a="1"/>
  <c r="BI13" i="20" s="1"/>
  <c r="BI12" i="20" a="1"/>
  <c r="BI12" i="20" s="1"/>
  <c r="BG50" i="30"/>
  <c r="AY119" i="1"/>
  <c r="AX56" i="33"/>
  <c r="BI64" i="9"/>
  <c r="BI102" i="9"/>
  <c r="BI121" i="9"/>
  <c r="BI159" i="9"/>
  <c r="BI197" i="9"/>
  <c r="BI235" i="9"/>
  <c r="BI273" i="9"/>
  <c r="BI311" i="9"/>
  <c r="BI349" i="9"/>
  <c r="BI387" i="9"/>
  <c r="BI83" i="9"/>
  <c r="BI216" i="9"/>
  <c r="BI368" i="9"/>
  <c r="BI425" i="9"/>
  <c r="BI254" i="9"/>
  <c r="BI406" i="9"/>
  <c r="BI140" i="9"/>
  <c r="BI178" i="9"/>
  <c r="BI292" i="9"/>
  <c r="BI330" i="9"/>
  <c r="AC1122" i="9"/>
  <c r="AH803" i="9"/>
  <c r="AI757" i="9" s="1"/>
  <c r="AH853" i="9"/>
  <c r="BG843" i="9"/>
  <c r="AH861" i="9"/>
  <c r="AH811" i="9"/>
  <c r="AI765" i="9" s="1"/>
  <c r="BG846" i="9"/>
  <c r="BG833" i="9"/>
  <c r="AE863" i="9"/>
  <c r="AE813" i="9"/>
  <c r="AF767" i="9" s="1"/>
  <c r="AH859" i="9"/>
  <c r="AH809" i="9"/>
  <c r="AI763" i="9" s="1"/>
  <c r="BG841" i="9"/>
  <c r="BG760" i="9"/>
  <c r="BG783" i="9" s="1"/>
  <c r="BG856" i="9" s="1"/>
  <c r="BG770" i="9"/>
  <c r="BG793" i="9" s="1"/>
  <c r="BG866" i="9" s="1"/>
  <c r="BG245" i="3"/>
  <c r="BG724" i="9"/>
  <c r="BG246" i="3"/>
  <c r="BG240" i="3"/>
  <c r="BG722" i="9"/>
  <c r="BG244" i="3"/>
  <c r="BG243" i="3"/>
  <c r="BG242" i="3"/>
  <c r="BG238" i="3"/>
  <c r="BG773" i="9"/>
  <c r="BG796" i="9" s="1"/>
  <c r="BG869" i="9" s="1"/>
  <c r="BG714" i="9"/>
  <c r="BG236" i="3"/>
  <c r="BG241" i="3"/>
  <c r="BG248" i="3"/>
  <c r="BG250" i="3"/>
  <c r="BG727" i="9"/>
  <c r="BG249" i="3"/>
  <c r="BG235" i="3"/>
  <c r="BG237" i="3"/>
  <c r="BG247" i="3"/>
  <c r="BG768" i="9"/>
  <c r="BG791" i="9" s="1"/>
  <c r="BG864" i="9" s="1"/>
  <c r="BG234" i="3"/>
  <c r="BG239" i="3"/>
  <c r="BD852" i="9"/>
  <c r="AV193" i="1"/>
  <c r="AY194" i="1"/>
  <c r="AU199" i="1"/>
  <c r="BI155" i="26"/>
  <c r="BI188" i="26"/>
  <c r="BI191" i="26"/>
  <c r="BI185" i="26"/>
  <c r="BI192" i="26"/>
  <c r="BI180" i="26"/>
  <c r="BI194" i="26" s="1"/>
  <c r="BI295" i="26" s="1"/>
  <c r="BI179" i="26"/>
  <c r="BI186" i="26"/>
  <c r="BI184" i="26"/>
  <c r="BI190" i="26"/>
  <c r="BI182" i="26"/>
  <c r="BI181" i="26"/>
  <c r="BI195" i="26" s="1"/>
  <c r="BI296" i="26" s="1"/>
  <c r="BI187" i="26"/>
  <c r="BI183" i="26"/>
  <c r="BI178" i="26"/>
  <c r="BI197" i="26" s="1"/>
  <c r="BI298" i="26" s="1"/>
  <c r="BI189" i="26"/>
  <c r="BH261" i="26"/>
  <c r="BH34" i="6" s="1"/>
  <c r="BH69" i="30" s="1"/>
  <c r="BH208" i="26"/>
  <c r="BH205" i="26"/>
  <c r="BI85" i="26"/>
  <c r="BI111" i="26"/>
  <c r="BI62" i="26"/>
  <c r="AD542" i="9"/>
  <c r="AY147" i="30"/>
  <c r="BH223" i="6"/>
  <c r="BI220" i="6" s="1"/>
  <c r="BH180" i="20"/>
  <c r="AY49" i="30"/>
  <c r="AD794" i="9"/>
  <c r="BI86" i="26"/>
  <c r="BI234" i="26" s="1"/>
  <c r="BI61" i="26"/>
  <c r="BI116" i="26"/>
  <c r="BI115" i="26"/>
  <c r="BI135" i="26"/>
  <c r="BI66" i="26"/>
  <c r="BI108" i="26"/>
  <c r="BI87" i="26"/>
  <c r="BI65" i="26"/>
  <c r="BI112" i="26"/>
  <c r="BI235" i="26" s="1"/>
  <c r="BI132" i="26"/>
  <c r="BI146" i="26" s="1"/>
  <c r="BI106" i="26"/>
  <c r="BI90" i="26"/>
  <c r="BI78" i="26"/>
  <c r="BI93" i="26" s="1"/>
  <c r="BI83" i="26"/>
  <c r="BI84" i="26"/>
  <c r="BI60" i="26"/>
  <c r="BI59" i="26"/>
  <c r="BI58" i="26"/>
  <c r="BI89" i="26"/>
  <c r="BI88" i="26"/>
  <c r="BI91" i="26"/>
  <c r="BI92" i="26"/>
  <c r="BI56" i="26"/>
  <c r="BI55" i="26"/>
  <c r="BI54" i="26"/>
  <c r="BI53" i="26"/>
  <c r="BI70" i="26" s="1"/>
  <c r="BI233" i="26" s="1"/>
  <c r="BI105" i="26"/>
  <c r="BI137" i="26"/>
  <c r="BI138" i="26"/>
  <c r="BI133" i="26"/>
  <c r="BI147" i="26" s="1"/>
  <c r="BI142" i="26"/>
  <c r="BI136" i="26"/>
  <c r="BI113" i="26"/>
  <c r="BI131" i="26"/>
  <c r="BI57" i="26"/>
  <c r="BI109" i="26"/>
  <c r="BI143" i="26"/>
  <c r="BI104" i="26"/>
  <c r="BI120" i="26" s="1"/>
  <c r="BI221" i="26" s="1"/>
  <c r="BI110" i="26"/>
  <c r="BI107" i="26"/>
  <c r="BI114" i="26"/>
  <c r="BI82" i="26"/>
  <c r="BI80" i="26"/>
  <c r="BI79" i="26"/>
  <c r="BI95" i="26" s="1"/>
  <c r="BI180" i="1" s="1"/>
  <c r="BI81" i="26"/>
  <c r="BI64" i="26"/>
  <c r="BI67" i="26"/>
  <c r="BI63" i="26"/>
  <c r="BI117" i="26"/>
  <c r="BI130" i="26"/>
  <c r="BI149" i="26" s="1"/>
  <c r="BI118" i="26"/>
  <c r="BI141" i="26"/>
  <c r="BI134" i="26"/>
  <c r="BI148" i="26" s="1"/>
  <c r="BI140" i="26"/>
  <c r="BI139" i="26"/>
  <c r="BI144" i="26"/>
  <c r="BJ43" i="3"/>
  <c r="BH150" i="26"/>
  <c r="BH180" i="30" s="1"/>
  <c r="AK711" i="9"/>
  <c r="AK734" i="9" s="1"/>
  <c r="AY197" i="1"/>
  <c r="BI193" i="26"/>
  <c r="AX160" i="1"/>
  <c r="AY158" i="1"/>
  <c r="AZ84" i="1"/>
  <c r="AZ117" i="1"/>
  <c r="AZ42" i="30"/>
  <c r="AZ39" i="30"/>
  <c r="AZ67" i="1"/>
  <c r="AZ28" i="1"/>
  <c r="AZ152" i="30"/>
  <c r="AZ59" i="33" s="1"/>
  <c r="AZ49" i="1"/>
  <c r="AZ156" i="1"/>
  <c r="AZ60" i="1"/>
  <c r="AZ37" i="1"/>
  <c r="AZ151" i="1"/>
  <c r="AZ107" i="1"/>
  <c r="AZ15" i="1"/>
  <c r="AZ34" i="30"/>
  <c r="BH123" i="26"/>
  <c r="BH267" i="26" s="1"/>
  <c r="BH198" i="26"/>
  <c r="BG154" i="6"/>
  <c r="BG98" i="30" s="1"/>
  <c r="BG187" i="30" s="1"/>
  <c r="BH174" i="26"/>
  <c r="BH107" i="6"/>
  <c r="AI782" i="9"/>
  <c r="AD1105" i="9"/>
  <c r="AD199" i="30" s="1"/>
  <c r="AD86" i="33" s="1"/>
  <c r="BH207" i="26"/>
  <c r="BI157" i="26"/>
  <c r="BI171" i="26" s="1"/>
  <c r="BI249" i="26" s="1"/>
  <c r="BI167" i="26"/>
  <c r="BI168" i="26"/>
  <c r="BI158" i="26"/>
  <c r="BI172" i="26" s="1"/>
  <c r="BI236" i="26" s="1"/>
  <c r="BI160" i="26"/>
  <c r="BI164" i="26"/>
  <c r="BI162" i="26"/>
  <c r="BI163" i="26"/>
  <c r="BI154" i="26"/>
  <c r="BI173" i="26" s="1"/>
  <c r="BI268" i="26" s="1"/>
  <c r="BI196" i="26"/>
  <c r="BI297" i="26" s="1"/>
  <c r="BI166" i="26"/>
  <c r="BH299" i="26"/>
  <c r="BI159" i="26"/>
  <c r="BI161" i="26"/>
  <c r="BI165" i="26"/>
  <c r="BI156" i="26"/>
  <c r="BI170" i="26" s="1"/>
  <c r="BI222" i="26" s="1"/>
  <c r="BI169" i="26"/>
  <c r="BG231" i="3"/>
  <c r="AE795" i="9"/>
  <c r="BD434" i="9"/>
  <c r="BD689" i="9" s="1"/>
  <c r="BF441" i="9"/>
  <c r="BE439" i="9"/>
  <c r="BJ442" i="9"/>
  <c r="AE785" i="9"/>
  <c r="AD98" i="9"/>
  <c r="AD594" i="9" s="1"/>
  <c r="AD876" i="9" s="1"/>
  <c r="BH106" i="6"/>
  <c r="BI283" i="9"/>
  <c r="BI416" i="9"/>
  <c r="BI226" i="9"/>
  <c r="BI188" i="9"/>
  <c r="BI359" i="9"/>
  <c r="BI93" i="9"/>
  <c r="BI150" i="9"/>
  <c r="BI321" i="9"/>
  <c r="BI397" i="9"/>
  <c r="BI131" i="9"/>
  <c r="BI340" i="9"/>
  <c r="BI169" i="9"/>
  <c r="BI302" i="9"/>
  <c r="BG517" i="9"/>
  <c r="AD136" i="9"/>
  <c r="AD596" i="9" s="1"/>
  <c r="AD878" i="9" s="1"/>
  <c r="AD399" i="9"/>
  <c r="AD541" i="9" s="1"/>
  <c r="AC606" i="9"/>
  <c r="AC888" i="9" s="1"/>
  <c r="AE228" i="9"/>
  <c r="AE532" i="9" s="1"/>
  <c r="AD326" i="9"/>
  <c r="AE323" i="9" s="1"/>
  <c r="AE537" i="9" s="1"/>
  <c r="AD304" i="9"/>
  <c r="AD536" i="9" s="1"/>
  <c r="AC605" i="9"/>
  <c r="AC887" i="9" s="1"/>
  <c r="AC598" i="9"/>
  <c r="AD171" i="9"/>
  <c r="AD529" i="9" s="1"/>
  <c r="AD364" i="9"/>
  <c r="AD608" i="9" s="1"/>
  <c r="AD421" i="9"/>
  <c r="AD611" i="9" s="1"/>
  <c r="AE285" i="9"/>
  <c r="AE535" i="9" s="1"/>
  <c r="AD886" i="9"/>
  <c r="AD840" i="9"/>
  <c r="AD1120" i="9" s="1"/>
  <c r="AD1144" i="9" s="1"/>
  <c r="AC881" i="9"/>
  <c r="AD190" i="9"/>
  <c r="AD530" i="9" s="1"/>
  <c r="AD865" i="9"/>
  <c r="AD342" i="9"/>
  <c r="AD538" i="9" s="1"/>
  <c r="AC889" i="9"/>
  <c r="AD883" i="9"/>
  <c r="AE152" i="9"/>
  <c r="AE528" i="9" s="1"/>
  <c r="AD879" i="9"/>
  <c r="AC874" i="9"/>
  <c r="AD523" i="9"/>
  <c r="BJ1002" i="9"/>
  <c r="BE67" i="9"/>
  <c r="BE71" i="9" s="1"/>
  <c r="BF1001" i="9"/>
  <c r="BG377" i="9"/>
  <c r="BE999" i="9"/>
  <c r="BD994" i="9"/>
  <c r="BI81" i="3"/>
  <c r="BH127" i="3"/>
  <c r="BI71" i="3"/>
  <c r="BH117" i="3"/>
  <c r="BI73" i="3"/>
  <c r="BH119" i="3"/>
  <c r="BI84" i="3"/>
  <c r="BH130" i="3"/>
  <c r="BI74" i="3"/>
  <c r="BH120" i="3"/>
  <c r="BI78" i="3"/>
  <c r="BH124" i="3"/>
  <c r="BI72" i="3"/>
  <c r="BH118" i="3"/>
  <c r="BI80" i="3"/>
  <c r="BH126" i="3"/>
  <c r="BI75" i="3"/>
  <c r="BH121" i="3"/>
  <c r="BJ152" i="3"/>
  <c r="BJ146" i="3"/>
  <c r="BJ139" i="3"/>
  <c r="BJ142" i="3"/>
  <c r="BJ158" i="3"/>
  <c r="BI70" i="3"/>
  <c r="BH116" i="3"/>
  <c r="BJ156" i="3"/>
  <c r="BJ155" i="3"/>
  <c r="BJ149" i="3"/>
  <c r="BJ154" i="3"/>
  <c r="BJ148" i="3"/>
  <c r="BI79" i="3"/>
  <c r="BH125" i="3"/>
  <c r="BJ143" i="3"/>
  <c r="BJ151" i="3"/>
  <c r="BJ157" i="3"/>
  <c r="BJ144" i="3"/>
  <c r="BI77" i="3"/>
  <c r="BH123" i="3"/>
  <c r="BI87" i="3"/>
  <c r="BH133" i="3"/>
  <c r="BI82" i="3"/>
  <c r="BH128" i="3"/>
  <c r="BI85" i="3"/>
  <c r="BH131" i="3"/>
  <c r="BI88" i="3"/>
  <c r="BH134" i="3"/>
  <c r="BI76" i="3"/>
  <c r="BH122" i="3"/>
  <c r="BI86" i="3"/>
  <c r="BH132" i="3"/>
  <c r="BI83" i="3"/>
  <c r="BH129" i="3"/>
  <c r="BI89" i="3"/>
  <c r="BH135" i="3"/>
  <c r="BJ153" i="3"/>
  <c r="BJ150" i="3"/>
  <c r="BJ145" i="3"/>
  <c r="BJ147" i="3"/>
  <c r="BJ140" i="3"/>
  <c r="BJ141" i="3"/>
  <c r="BG168" i="20"/>
  <c r="BH179" i="20"/>
  <c r="BI219" i="26"/>
  <c r="BJ24" i="3"/>
  <c r="BJ5" i="3"/>
  <c r="BI94" i="26"/>
  <c r="BI220" i="26" s="1"/>
  <c r="BI119" i="26"/>
  <c r="BI121" i="26"/>
  <c r="BI248" i="26" s="1"/>
  <c r="BJ4" i="38"/>
  <c r="BJ12" i="3"/>
  <c r="BJ3" i="3" s="1"/>
  <c r="BI108" i="3"/>
  <c r="BI100" i="3"/>
  <c r="BI104" i="3"/>
  <c r="BI110" i="3"/>
  <c r="BI93" i="3"/>
  <c r="BI94" i="3"/>
  <c r="BI96" i="3"/>
  <c r="BI102" i="3"/>
  <c r="BI105" i="3"/>
  <c r="BI107" i="3"/>
  <c r="BI99" i="3"/>
  <c r="BI106" i="3"/>
  <c r="BI112" i="3"/>
  <c r="BI111" i="3"/>
  <c r="BI109" i="3"/>
  <c r="BI97" i="3"/>
  <c r="BI101" i="3"/>
  <c r="BI95" i="3"/>
  <c r="BI103" i="3"/>
  <c r="BI98" i="3"/>
  <c r="AI20" i="3"/>
  <c r="AI22" i="3"/>
  <c r="AI4" i="6"/>
  <c r="AI4" i="4"/>
  <c r="AI4" i="1"/>
  <c r="BI145" i="26" l="1"/>
  <c r="BG64" i="33"/>
  <c r="BG74" i="33"/>
  <c r="BG737" i="9"/>
  <c r="BG747" i="9"/>
  <c r="BG750" i="9"/>
  <c r="BG745" i="9"/>
  <c r="BH699" i="9" s="1"/>
  <c r="AL688" i="9"/>
  <c r="AL830" i="9" s="1"/>
  <c r="BI24" i="32"/>
  <c r="BI153" i="30"/>
  <c r="BH52" i="30"/>
  <c r="AZ119" i="1"/>
  <c r="BJ3" i="38"/>
  <c r="BJ39" i="3"/>
  <c r="BH183" i="1"/>
  <c r="AY56" i="33"/>
  <c r="BJ346" i="3"/>
  <c r="BJ347" i="3"/>
  <c r="AC1123" i="9"/>
  <c r="AC1146" i="9"/>
  <c r="AC1147" i="9" s="1"/>
  <c r="AC170" i="1" s="1"/>
  <c r="AC170" i="20" s="1"/>
  <c r="AC41" i="30" s="1"/>
  <c r="BG819" i="9"/>
  <c r="BG814" i="9"/>
  <c r="AE858" i="9"/>
  <c r="AE808" i="9"/>
  <c r="AF762" i="9" s="1"/>
  <c r="BG816" i="9"/>
  <c r="AE868" i="9"/>
  <c r="AE818" i="9"/>
  <c r="AF772" i="9" s="1"/>
  <c r="AI855" i="9"/>
  <c r="AI805" i="9"/>
  <c r="AJ759" i="9" s="1"/>
  <c r="BG806" i="9"/>
  <c r="AD867" i="9"/>
  <c r="AD817" i="9"/>
  <c r="BD831" i="9"/>
  <c r="BD712" i="9"/>
  <c r="BD758" i="9"/>
  <c r="BD781" i="9" s="1"/>
  <c r="BD854" i="9" s="1"/>
  <c r="BH270" i="3"/>
  <c r="BH293" i="3" s="1"/>
  <c r="BH224" i="3"/>
  <c r="BH272" i="3"/>
  <c r="BH295" i="3" s="1"/>
  <c r="BH226" i="3"/>
  <c r="BH266" i="3"/>
  <c r="BH289" i="3" s="1"/>
  <c r="BH220" i="3"/>
  <c r="BH261" i="3"/>
  <c r="BH284" i="3" s="1"/>
  <c r="BH215" i="3"/>
  <c r="BH259" i="3"/>
  <c r="BH282" i="3" s="1"/>
  <c r="BH213" i="3"/>
  <c r="BH212" i="3"/>
  <c r="BH258" i="3"/>
  <c r="BH281" i="3" s="1"/>
  <c r="BH257" i="3"/>
  <c r="BH280" i="3" s="1"/>
  <c r="BH211" i="3"/>
  <c r="BH219" i="3"/>
  <c r="BH265" i="3"/>
  <c r="BH288" i="3" s="1"/>
  <c r="BH701" i="9"/>
  <c r="BH273" i="3"/>
  <c r="BH296" i="3" s="1"/>
  <c r="BH227" i="3"/>
  <c r="BH267" i="3"/>
  <c r="BH290" i="3" s="1"/>
  <c r="BH221" i="3"/>
  <c r="BH214" i="3"/>
  <c r="BH260" i="3"/>
  <c r="BH283" i="3" s="1"/>
  <c r="BH269" i="3"/>
  <c r="BH292" i="3" s="1"/>
  <c r="BH223" i="3"/>
  <c r="BH271" i="3"/>
  <c r="BH294" i="3" s="1"/>
  <c r="BH225" i="3"/>
  <c r="BH263" i="3"/>
  <c r="BH286" i="3" s="1"/>
  <c r="BH217" i="3"/>
  <c r="BH264" i="3"/>
  <c r="BH287" i="3" s="1"/>
  <c r="BH218" i="3"/>
  <c r="BH216" i="3"/>
  <c r="BH262" i="3"/>
  <c r="BH285" i="3" s="1"/>
  <c r="BH268" i="3"/>
  <c r="BH291" i="3" s="1"/>
  <c r="BH222" i="3"/>
  <c r="BH704" i="9"/>
  <c r="BH691" i="9"/>
  <c r="BH256" i="3"/>
  <c r="BH279" i="3" s="1"/>
  <c r="BH210" i="3"/>
  <c r="BH233" i="3" s="1"/>
  <c r="AZ197" i="1"/>
  <c r="AX165" i="1"/>
  <c r="AZ194" i="1"/>
  <c r="AV199" i="1"/>
  <c r="BI68" i="26"/>
  <c r="BI71" i="26" s="1"/>
  <c r="BI259" i="26" s="1"/>
  <c r="BI257" i="26"/>
  <c r="BI247" i="26"/>
  <c r="AZ147" i="30"/>
  <c r="BH130" i="30"/>
  <c r="BJ30" i="3"/>
  <c r="AI780" i="9"/>
  <c r="AI853" i="9" s="1"/>
  <c r="AZ49" i="30"/>
  <c r="BG48" i="30"/>
  <c r="BH255" i="3"/>
  <c r="BH278" i="3" s="1"/>
  <c r="BH209" i="3"/>
  <c r="BH232" i="3" s="1"/>
  <c r="BH72" i="33"/>
  <c r="AL711" i="9"/>
  <c r="AL734" i="9" s="1"/>
  <c r="BH281" i="26"/>
  <c r="BI276" i="26" s="1"/>
  <c r="BI198" i="26"/>
  <c r="AY160" i="1"/>
  <c r="BA15" i="1"/>
  <c r="BA107" i="1"/>
  <c r="BA151" i="1"/>
  <c r="BA37" i="1"/>
  <c r="BA60" i="1"/>
  <c r="BA156" i="1"/>
  <c r="BA49" i="1"/>
  <c r="BA28" i="1"/>
  <c r="BA134" i="1"/>
  <c r="BA67" i="1"/>
  <c r="BA42" i="30"/>
  <c r="BA152" i="30"/>
  <c r="BA59" i="33" s="1"/>
  <c r="BA39" i="30"/>
  <c r="BA84" i="1"/>
  <c r="BA117" i="1"/>
  <c r="BA34" i="30"/>
  <c r="BJ5" i="38"/>
  <c r="BJ51" i="3"/>
  <c r="BJ166" i="3" s="1"/>
  <c r="BJ189" i="3" s="1"/>
  <c r="BJ55" i="3"/>
  <c r="BJ170" i="3" s="1"/>
  <c r="BJ193" i="3" s="1"/>
  <c r="BJ63" i="3"/>
  <c r="BJ178" i="3" s="1"/>
  <c r="BJ201" i="3" s="1"/>
  <c r="BJ52" i="3"/>
  <c r="BJ167" i="3" s="1"/>
  <c r="BJ190" i="3" s="1"/>
  <c r="BJ64" i="3"/>
  <c r="BJ179" i="3" s="1"/>
  <c r="BJ202" i="3" s="1"/>
  <c r="BJ56" i="3"/>
  <c r="BJ171" i="3" s="1"/>
  <c r="BJ194" i="3" s="1"/>
  <c r="BJ48" i="3"/>
  <c r="BJ163" i="3" s="1"/>
  <c r="BJ186" i="3" s="1"/>
  <c r="BJ60" i="3"/>
  <c r="BJ175" i="3" s="1"/>
  <c r="BJ198" i="3" s="1"/>
  <c r="BJ57" i="3"/>
  <c r="BJ172" i="3" s="1"/>
  <c r="BJ195" i="3" s="1"/>
  <c r="BJ65" i="3"/>
  <c r="BJ180" i="3" s="1"/>
  <c r="BJ203" i="3" s="1"/>
  <c r="BJ49" i="3"/>
  <c r="BJ164" i="3" s="1"/>
  <c r="BJ187" i="3" s="1"/>
  <c r="BJ50" i="3"/>
  <c r="BJ165" i="3" s="1"/>
  <c r="BJ188" i="3" s="1"/>
  <c r="BJ58" i="3"/>
  <c r="BJ173" i="3" s="1"/>
  <c r="BJ196" i="3" s="1"/>
  <c r="BJ62" i="3"/>
  <c r="BJ177" i="3" s="1"/>
  <c r="BJ200" i="3" s="1"/>
  <c r="BJ59" i="3"/>
  <c r="BJ174" i="3" s="1"/>
  <c r="BJ197" i="3" s="1"/>
  <c r="BJ53" i="3"/>
  <c r="BJ168" i="3" s="1"/>
  <c r="BJ191" i="3" s="1"/>
  <c r="BJ61" i="3"/>
  <c r="BJ176" i="3" s="1"/>
  <c r="BJ199" i="3" s="1"/>
  <c r="BJ54" i="3"/>
  <c r="BJ169" i="3" s="1"/>
  <c r="BJ192" i="3" s="1"/>
  <c r="BJ66" i="3"/>
  <c r="BJ47" i="3"/>
  <c r="BJ162" i="3" s="1"/>
  <c r="BJ185" i="3" s="1"/>
  <c r="BH111" i="6"/>
  <c r="AI788" i="9"/>
  <c r="AI786" i="9"/>
  <c r="BI174" i="26"/>
  <c r="BI208" i="26"/>
  <c r="BI150" i="26"/>
  <c r="BI180" i="30" s="1"/>
  <c r="BH254" i="3"/>
  <c r="BH277" i="3" s="1"/>
  <c r="BH208" i="3"/>
  <c r="BJ5" i="33"/>
  <c r="BJ5" i="35"/>
  <c r="BI206" i="26"/>
  <c r="BI97" i="26"/>
  <c r="BI221" i="6" s="1"/>
  <c r="BJ4" i="33"/>
  <c r="BJ4" i="35"/>
  <c r="BI207" i="26"/>
  <c r="BI123" i="26"/>
  <c r="BI267" i="26" s="1"/>
  <c r="BJ3" i="33"/>
  <c r="BJ3" i="35"/>
  <c r="BI294" i="26"/>
  <c r="BI178" i="1" s="1"/>
  <c r="BE432" i="9"/>
  <c r="BE687" i="9" s="1"/>
  <c r="AF790" i="9"/>
  <c r="AE95" i="9"/>
  <c r="AE525" i="9" s="1"/>
  <c r="BD503" i="9"/>
  <c r="BD1085" i="9" s="1"/>
  <c r="BF510" i="9"/>
  <c r="AA264" i="9"/>
  <c r="AB264" i="9"/>
  <c r="AC264" i="9"/>
  <c r="AD264" i="9"/>
  <c r="AE264" i="9"/>
  <c r="AF264" i="9"/>
  <c r="AG264" i="9"/>
  <c r="AH264" i="9"/>
  <c r="AI264" i="9"/>
  <c r="AJ264" i="9"/>
  <c r="AK264" i="9"/>
  <c r="AL264" i="9"/>
  <c r="AM264" i="9"/>
  <c r="AN264" i="9"/>
  <c r="AO264" i="9"/>
  <c r="AP264" i="9"/>
  <c r="AQ264" i="9"/>
  <c r="AR264" i="9"/>
  <c r="AS264" i="9"/>
  <c r="AT264" i="9"/>
  <c r="AU264" i="9"/>
  <c r="AV264" i="9"/>
  <c r="AW264" i="9"/>
  <c r="AX264" i="9"/>
  <c r="AY264" i="9"/>
  <c r="AZ264" i="9"/>
  <c r="BA264" i="9"/>
  <c r="BB264" i="9"/>
  <c r="BC264" i="9"/>
  <c r="BD264" i="9"/>
  <c r="BE264" i="9"/>
  <c r="BI264" i="9"/>
  <c r="BH264" i="9"/>
  <c r="BF264" i="9"/>
  <c r="BG264" i="9"/>
  <c r="BE508" i="9"/>
  <c r="AE133" i="9"/>
  <c r="AE527" i="9" s="1"/>
  <c r="AD402" i="9"/>
  <c r="AD610" i="9" s="1"/>
  <c r="AD892" i="9" s="1"/>
  <c r="BJ3" i="28"/>
  <c r="BJ3" i="32"/>
  <c r="BJ3" i="30"/>
  <c r="BJ16" i="3"/>
  <c r="BJ18" i="3" s="1"/>
  <c r="BJ4" i="32"/>
  <c r="BJ4" i="30"/>
  <c r="BJ5" i="32"/>
  <c r="BJ5" i="30"/>
  <c r="AE231" i="9"/>
  <c r="AE601" i="9" s="1"/>
  <c r="AD606" i="9"/>
  <c r="AD888" i="9" s="1"/>
  <c r="AD307" i="9"/>
  <c r="AD605" i="9" s="1"/>
  <c r="AD887" i="9" s="1"/>
  <c r="AE326" i="9"/>
  <c r="AF323" i="9" s="1"/>
  <c r="AF537" i="9" s="1"/>
  <c r="BJ511" i="9"/>
  <c r="AD174" i="9"/>
  <c r="AE361" i="9"/>
  <c r="AE539" i="9" s="1"/>
  <c r="AE288" i="9"/>
  <c r="AE604" i="9" s="1"/>
  <c r="AD345" i="9"/>
  <c r="AD607" i="9" s="1"/>
  <c r="AD193" i="9"/>
  <c r="AD599" i="9" s="1"/>
  <c r="AD592" i="9"/>
  <c r="AE418" i="9"/>
  <c r="AD893" i="9"/>
  <c r="AE155" i="9"/>
  <c r="AE597" i="9" s="1"/>
  <c r="AD835" i="9"/>
  <c r="AD1121" i="9" s="1"/>
  <c r="AD1145" i="9" s="1"/>
  <c r="BJ263" i="9"/>
  <c r="AA269" i="9"/>
  <c r="AA603" i="9" s="1"/>
  <c r="BD111" i="9"/>
  <c r="BH371" i="9"/>
  <c r="BH375" i="9" s="1"/>
  <c r="BE992" i="9"/>
  <c r="AF870" i="9"/>
  <c r="AG797" i="9"/>
  <c r="AG820" i="9" s="1"/>
  <c r="BE206" i="9"/>
  <c r="BF244" i="9"/>
  <c r="BH178" i="20"/>
  <c r="BH183" i="20" s="1"/>
  <c r="BJ4" i="26"/>
  <c r="BJ4" i="28"/>
  <c r="BJ5" i="26"/>
  <c r="BJ5" i="28"/>
  <c r="BI179" i="1"/>
  <c r="BJ3" i="26"/>
  <c r="AI28" i="3"/>
  <c r="AI26" i="3"/>
  <c r="BJ22" i="3"/>
  <c r="BJ4" i="16"/>
  <c r="BJ4" i="9"/>
  <c r="BJ4" i="11"/>
  <c r="BJ4" i="22"/>
  <c r="BJ4" i="20"/>
  <c r="BJ5" i="22"/>
  <c r="BJ5" i="20"/>
  <c r="BJ4" i="12"/>
  <c r="BJ3" i="22"/>
  <c r="BJ3" i="20"/>
  <c r="BJ3" i="16"/>
  <c r="BJ3" i="12"/>
  <c r="BJ3" i="11"/>
  <c r="BJ3" i="9"/>
  <c r="BJ3" i="4"/>
  <c r="BJ3" i="1"/>
  <c r="BJ3" i="6"/>
  <c r="BJ5" i="16"/>
  <c r="BJ5" i="12"/>
  <c r="BJ5" i="11"/>
  <c r="BJ5" i="9"/>
  <c r="AJ5" i="4"/>
  <c r="AJ5" i="1"/>
  <c r="AJ22" i="3"/>
  <c r="AJ5" i="6"/>
  <c r="AE771" i="9" l="1"/>
  <c r="AE794" i="9" s="1"/>
  <c r="AE817" i="9" s="1"/>
  <c r="W209" i="6"/>
  <c r="X209" i="6"/>
  <c r="Y209" i="6"/>
  <c r="BD735" i="9"/>
  <c r="BJ181" i="3"/>
  <c r="BJ204" i="3" s="1"/>
  <c r="AM688" i="9"/>
  <c r="AM830" i="9" s="1"/>
  <c r="CI14" i="9"/>
  <c r="CI32" i="9"/>
  <c r="CI24" i="9"/>
  <c r="CI16" i="9"/>
  <c r="A16" i="9" s="1" a="1"/>
  <c r="A16" i="9" s="1"/>
  <c r="CI31" i="9"/>
  <c r="CI23" i="9"/>
  <c r="CI15" i="9"/>
  <c r="A15" i="9" s="1" a="1"/>
  <c r="A15" i="9" s="1"/>
  <c r="CI21" i="9"/>
  <c r="A21" i="9" s="1" a="1"/>
  <c r="A21" i="9" s="1"/>
  <c r="CI26" i="9"/>
  <c r="A26" i="9" s="1" a="1"/>
  <c r="A26" i="9" s="1"/>
  <c r="CI18" i="9"/>
  <c r="CI17" i="9"/>
  <c r="CI28" i="9"/>
  <c r="CI20" i="9"/>
  <c r="CI25" i="9"/>
  <c r="CI27" i="9"/>
  <c r="CI19" i="9"/>
  <c r="A19" i="9" s="1" a="1"/>
  <c r="A19" i="9" s="1"/>
  <c r="CI29" i="9"/>
  <c r="CI30" i="9"/>
  <c r="CI22" i="9"/>
  <c r="CI13" i="9"/>
  <c r="CM287" i="26"/>
  <c r="CP37" i="26"/>
  <c r="CM122" i="26"/>
  <c r="CP122" i="26"/>
  <c r="CP45" i="26"/>
  <c r="CP96" i="26"/>
  <c r="CP287" i="26"/>
  <c r="CP38" i="26"/>
  <c r="CP35" i="26"/>
  <c r="CM43" i="26"/>
  <c r="CM69" i="26"/>
  <c r="CN287" i="26"/>
  <c r="CP43" i="26"/>
  <c r="CP69" i="26"/>
  <c r="CM37" i="26"/>
  <c r="CQ287" i="26"/>
  <c r="CM38" i="26"/>
  <c r="CM45" i="26"/>
  <c r="CM96" i="26"/>
  <c r="CM35" i="26"/>
  <c r="CQ96" i="26"/>
  <c r="CR45" i="26"/>
  <c r="CN96" i="26"/>
  <c r="CN122" i="26"/>
  <c r="CQ122" i="26"/>
  <c r="CR287" i="26"/>
  <c r="CQ38" i="26"/>
  <c r="CN45" i="26"/>
  <c r="CN37" i="26"/>
  <c r="CQ45" i="26"/>
  <c r="CN35" i="26"/>
  <c r="CQ43" i="26"/>
  <c r="CQ37" i="26"/>
  <c r="CQ69" i="26"/>
  <c r="CN38" i="26"/>
  <c r="CR122" i="26"/>
  <c r="CN43" i="26"/>
  <c r="CQ35" i="26"/>
  <c r="CN69" i="26"/>
  <c r="CO287" i="26"/>
  <c r="CR96" i="26"/>
  <c r="CO122" i="26"/>
  <c r="CO35" i="26"/>
  <c r="CR37" i="26"/>
  <c r="CO37" i="26"/>
  <c r="CR43" i="26"/>
  <c r="CR69" i="26"/>
  <c r="CO43" i="26"/>
  <c r="CO96" i="26"/>
  <c r="CR35" i="26"/>
  <c r="CR38" i="26"/>
  <c r="CO45" i="26"/>
  <c r="CO38" i="26"/>
  <c r="CO69" i="26"/>
  <c r="CP62" i="26"/>
  <c r="CP80" i="26"/>
  <c r="CP105" i="26"/>
  <c r="CP118" i="26"/>
  <c r="CP111" i="26"/>
  <c r="CP66" i="26"/>
  <c r="CP110" i="26"/>
  <c r="CP109" i="26"/>
  <c r="CP67" i="26"/>
  <c r="CP92" i="26"/>
  <c r="CP55" i="26"/>
  <c r="CP54" i="26"/>
  <c r="CP81" i="26"/>
  <c r="CP89" i="26"/>
  <c r="CP108" i="26"/>
  <c r="CP78" i="26"/>
  <c r="CP63" i="26"/>
  <c r="CP83" i="26"/>
  <c r="CP59" i="26"/>
  <c r="CP58" i="26"/>
  <c r="CP56" i="26"/>
  <c r="CP84" i="26"/>
  <c r="CP57" i="26"/>
  <c r="CP87" i="26"/>
  <c r="CP64" i="26"/>
  <c r="CP104" i="26"/>
  <c r="CP86" i="26"/>
  <c r="CP88" i="26"/>
  <c r="CP60" i="26"/>
  <c r="CP65" i="26"/>
  <c r="CP113" i="26"/>
  <c r="CP85" i="26"/>
  <c r="CQ84" i="26"/>
  <c r="CP116" i="26"/>
  <c r="CP114" i="26"/>
  <c r="CP107" i="26"/>
  <c r="CP79" i="26"/>
  <c r="CP91" i="26"/>
  <c r="CP90" i="26"/>
  <c r="CP82" i="26"/>
  <c r="CP106" i="26"/>
  <c r="CP61" i="26"/>
  <c r="CP117" i="26"/>
  <c r="CP115" i="26"/>
  <c r="CP53" i="26"/>
  <c r="CP112" i="26"/>
  <c r="CQ90" i="26"/>
  <c r="CQ85" i="26"/>
  <c r="CQ91" i="26"/>
  <c r="CQ89" i="26"/>
  <c r="CQ92" i="26"/>
  <c r="CQ118" i="26"/>
  <c r="CQ67" i="26"/>
  <c r="CQ106" i="26"/>
  <c r="CQ114" i="26"/>
  <c r="CQ82" i="26"/>
  <c r="CQ81" i="26"/>
  <c r="CQ115" i="26"/>
  <c r="CQ55" i="26"/>
  <c r="CQ66" i="26"/>
  <c r="CQ56" i="26"/>
  <c r="CQ108" i="26"/>
  <c r="CQ88" i="26"/>
  <c r="CQ59" i="26"/>
  <c r="CQ60" i="26"/>
  <c r="CQ104" i="26"/>
  <c r="CQ57" i="26"/>
  <c r="CQ62" i="26"/>
  <c r="CQ111" i="26"/>
  <c r="CQ65" i="26"/>
  <c r="CQ54" i="26"/>
  <c r="CQ58" i="26"/>
  <c r="CQ110" i="26"/>
  <c r="CQ113" i="26"/>
  <c r="CQ117" i="26"/>
  <c r="CQ53" i="26"/>
  <c r="CQ105" i="26"/>
  <c r="CQ61" i="26"/>
  <c r="CQ116" i="26"/>
  <c r="CQ112" i="26"/>
  <c r="CQ63" i="26"/>
  <c r="CQ109" i="26"/>
  <c r="CQ83" i="26"/>
  <c r="CQ80" i="26"/>
  <c r="CQ79" i="26"/>
  <c r="CQ107" i="26"/>
  <c r="CQ64" i="26"/>
  <c r="CQ78" i="26"/>
  <c r="CQ87" i="26"/>
  <c r="CQ86" i="26"/>
  <c r="CP51" i="26"/>
  <c r="BJ172" i="22"/>
  <c r="CG122" i="30"/>
  <c r="CG88" i="30"/>
  <c r="CG75" i="30"/>
  <c r="CG129" i="30"/>
  <c r="CG113" i="30"/>
  <c r="CH75" i="30"/>
  <c r="CH88" i="30"/>
  <c r="CH113" i="30"/>
  <c r="CH129" i="30"/>
  <c r="CH122" i="30"/>
  <c r="CI75" i="30"/>
  <c r="CI88" i="30"/>
  <c r="CI122" i="30"/>
  <c r="CI129" i="30"/>
  <c r="CI113" i="30"/>
  <c r="BM80" i="20"/>
  <c r="BM126" i="20"/>
  <c r="BM68" i="20"/>
  <c r="BM21" i="20"/>
  <c r="BM146" i="20"/>
  <c r="BM57" i="20"/>
  <c r="BM122" i="20"/>
  <c r="BM143" i="20"/>
  <c r="BM82" i="20"/>
  <c r="BM181" i="20"/>
  <c r="BM33" i="20"/>
  <c r="BM44" i="20"/>
  <c r="BM53" i="20"/>
  <c r="BM64" i="20"/>
  <c r="BM61" i="20"/>
  <c r="BM16" i="20"/>
  <c r="BM29" i="20"/>
  <c r="BM71" i="20"/>
  <c r="BM89" i="20"/>
  <c r="BM125" i="20"/>
  <c r="BM38" i="20"/>
  <c r="BM36" i="20"/>
  <c r="BM76" i="20"/>
  <c r="BM105" i="20"/>
  <c r="BM139" i="20"/>
  <c r="BM59" i="20"/>
  <c r="BM81" i="20"/>
  <c r="BM102" i="20"/>
  <c r="BM131" i="20"/>
  <c r="BM149" i="20"/>
  <c r="BM50" i="20"/>
  <c r="BM96" i="20"/>
  <c r="BM123" i="20"/>
  <c r="BM13" i="20"/>
  <c r="BM35" i="20"/>
  <c r="BM75" i="20"/>
  <c r="BM97" i="20"/>
  <c r="BM154" i="20"/>
  <c r="BM19" i="20"/>
  <c r="BM47" i="20"/>
  <c r="BM83" i="20"/>
  <c r="BM124" i="20"/>
  <c r="BM172" i="20"/>
  <c r="BM66" i="20"/>
  <c r="BM87" i="20"/>
  <c r="BM110" i="20"/>
  <c r="BM133" i="20"/>
  <c r="BM23" i="20"/>
  <c r="BM56" i="20"/>
  <c r="BM103" i="20"/>
  <c r="BM148" i="20"/>
  <c r="BM169" i="20"/>
  <c r="BM20" i="20"/>
  <c r="BM42" i="20"/>
  <c r="BM79" i="20"/>
  <c r="CK79" i="20" s="1"/>
  <c r="BM104" i="20"/>
  <c r="BM138" i="20"/>
  <c r="BM25" i="20"/>
  <c r="BM65" i="20"/>
  <c r="BM94" i="20"/>
  <c r="BM111" i="20"/>
  <c r="BM48" i="20"/>
  <c r="BM73" i="20"/>
  <c r="BM91" i="20"/>
  <c r="BM198" i="20"/>
  <c r="BM140" i="20"/>
  <c r="BM34" i="20"/>
  <c r="BM74" i="20"/>
  <c r="BM112" i="20"/>
  <c r="BM137" i="20"/>
  <c r="BM24" i="20"/>
  <c r="BM46" i="20"/>
  <c r="BM129" i="20"/>
  <c r="BM106" i="20"/>
  <c r="CK106" i="20" s="1"/>
  <c r="BM150" i="20"/>
  <c r="BM32" i="20"/>
  <c r="BM72" i="20"/>
  <c r="BM101" i="20"/>
  <c r="BM132" i="20"/>
  <c r="BM55" i="20"/>
  <c r="BM77" i="20"/>
  <c r="BM95" i="20"/>
  <c r="BM115" i="20"/>
  <c r="BM144" i="20"/>
  <c r="BM41" i="20"/>
  <c r="BM78" i="20"/>
  <c r="CK78" i="20" s="1"/>
  <c r="BM127" i="20"/>
  <c r="BM141" i="20"/>
  <c r="BN73" i="20"/>
  <c r="BN64" i="20"/>
  <c r="BN122" i="20"/>
  <c r="BN89" i="20"/>
  <c r="BN44" i="20"/>
  <c r="BN101" i="20"/>
  <c r="BN19" i="20"/>
  <c r="BN111" i="20"/>
  <c r="BN47" i="20"/>
  <c r="BN169" i="20"/>
  <c r="BN110" i="20"/>
  <c r="BN132" i="20"/>
  <c r="BN103" i="20"/>
  <c r="BN75" i="20"/>
  <c r="BN26" i="20"/>
  <c r="CL26" i="20" s="1"/>
  <c r="BN27" i="20"/>
  <c r="BN50" i="20"/>
  <c r="BN76" i="20"/>
  <c r="BN133" i="20"/>
  <c r="BN137" i="20"/>
  <c r="BN83" i="20"/>
  <c r="BN90" i="20"/>
  <c r="BN140" i="20"/>
  <c r="BN45" i="20"/>
  <c r="BN58" i="20"/>
  <c r="BN126" i="20"/>
  <c r="BN128" i="20"/>
  <c r="BN46" i="20"/>
  <c r="BN115" i="20"/>
  <c r="BN124" i="20"/>
  <c r="BN105" i="20"/>
  <c r="BN80" i="20"/>
  <c r="CL80" i="20" s="1"/>
  <c r="BN25" i="20"/>
  <c r="BN145" i="20"/>
  <c r="BN154" i="20"/>
  <c r="BN97" i="20"/>
  <c r="BN22" i="20"/>
  <c r="BN66" i="20"/>
  <c r="BN112" i="20"/>
  <c r="CL112" i="20" s="1"/>
  <c r="BN127" i="20"/>
  <c r="BN61" i="20"/>
  <c r="BN71" i="20"/>
  <c r="BN36" i="20"/>
  <c r="BN55" i="20"/>
  <c r="BN139" i="20"/>
  <c r="BN104" i="20"/>
  <c r="BN54" i="20"/>
  <c r="BN13" i="20"/>
  <c r="BN43" i="20"/>
  <c r="BN20" i="20"/>
  <c r="BN149" i="20"/>
  <c r="BN32" i="20"/>
  <c r="BN102" i="20"/>
  <c r="BN21" i="20"/>
  <c r="BN77" i="20"/>
  <c r="BN24" i="20"/>
  <c r="BN93" i="20"/>
  <c r="BN12" i="20"/>
  <c r="BN141" i="20"/>
  <c r="BN16" i="20"/>
  <c r="BN34" i="20"/>
  <c r="BN59" i="20"/>
  <c r="BN81" i="20"/>
  <c r="BN172" i="20"/>
  <c r="BN96" i="20"/>
  <c r="BN48" i="20"/>
  <c r="BN74" i="20"/>
  <c r="BN78" i="20"/>
  <c r="CL78" i="20" s="1"/>
  <c r="BN72" i="20"/>
  <c r="BN150" i="20"/>
  <c r="BN29" i="20"/>
  <c r="BN42" i="20"/>
  <c r="BN88" i="20"/>
  <c r="BN138" i="20"/>
  <c r="BN129" i="20"/>
  <c r="BN94" i="20"/>
  <c r="BN33" i="20"/>
  <c r="BN181" i="20"/>
  <c r="BN91" i="20"/>
  <c r="BN148" i="20"/>
  <c r="BN125" i="20"/>
  <c r="BN53" i="20"/>
  <c r="BN79" i="20"/>
  <c r="CL79" i="20" s="1"/>
  <c r="BN23" i="20"/>
  <c r="BN142" i="20"/>
  <c r="BN144" i="20"/>
  <c r="BN92" i="20"/>
  <c r="BN131" i="20"/>
  <c r="BN95" i="20"/>
  <c r="BN87" i="20"/>
  <c r="BN143" i="20"/>
  <c r="BN82" i="20"/>
  <c r="BN123" i="20"/>
  <c r="BN65" i="20"/>
  <c r="BN35" i="20"/>
  <c r="BN68" i="20"/>
  <c r="BN38" i="20"/>
  <c r="BN198" i="20"/>
  <c r="BN106" i="20"/>
  <c r="CL106" i="20" s="1"/>
  <c r="BN41" i="20"/>
  <c r="BN57" i="20"/>
  <c r="BN56" i="20"/>
  <c r="BN146" i="20"/>
  <c r="BJ172" i="20" a="1"/>
  <c r="BJ172" i="20" s="1"/>
  <c r="BO172" i="20" s="1"/>
  <c r="BJ150" i="20" a="1"/>
  <c r="BJ150" i="20" s="1"/>
  <c r="BO150" i="20" s="1"/>
  <c r="BJ181" i="20" a="1"/>
  <c r="BJ181" i="20" s="1"/>
  <c r="BO181" i="20" s="1"/>
  <c r="BJ154" i="20" a="1"/>
  <c r="BJ154" i="20" s="1"/>
  <c r="BO154" i="20" s="1"/>
  <c r="BJ146" i="20" a="1"/>
  <c r="BJ146" i="20" s="1"/>
  <c r="BO146" i="20" s="1"/>
  <c r="BJ145" i="20" a="1"/>
  <c r="BJ145" i="20" s="1"/>
  <c r="BM145" i="20" s="1"/>
  <c r="BJ144" i="20" a="1"/>
  <c r="BJ144" i="20" s="1"/>
  <c r="BO144" i="20" s="1"/>
  <c r="BJ149" i="20" a="1"/>
  <c r="BJ149" i="20" s="1"/>
  <c r="BO149" i="20" s="1"/>
  <c r="BJ198" i="20" a="1"/>
  <c r="BJ198" i="20" s="1"/>
  <c r="BO198" i="20" s="1"/>
  <c r="BJ148" i="20" a="1"/>
  <c r="BJ148" i="20" s="1"/>
  <c r="BO148" i="20" s="1"/>
  <c r="BJ142" i="20" a="1"/>
  <c r="BJ142" i="20" s="1"/>
  <c r="BM142" i="20" s="1"/>
  <c r="BJ140" i="20" a="1"/>
  <c r="BJ140" i="20" s="1"/>
  <c r="BO140" i="20" s="1"/>
  <c r="BJ138" i="20" a="1"/>
  <c r="BJ138" i="20" s="1"/>
  <c r="BO138" i="20" s="1"/>
  <c r="BJ133" i="20" a="1"/>
  <c r="BJ133" i="20" s="1"/>
  <c r="BO133" i="20" s="1"/>
  <c r="BJ131" i="20" a="1"/>
  <c r="BJ131" i="20" s="1"/>
  <c r="BO131" i="20" s="1"/>
  <c r="BJ169" i="20" a="1"/>
  <c r="BJ169" i="20" s="1"/>
  <c r="BO169" i="20" s="1"/>
  <c r="BJ129" i="20" a="1"/>
  <c r="BJ129" i="20" s="1"/>
  <c r="BO129" i="20" s="1"/>
  <c r="BJ127" i="20" a="1"/>
  <c r="BJ127" i="20" s="1"/>
  <c r="BO127" i="20" s="1"/>
  <c r="BJ143" i="20" a="1"/>
  <c r="BJ143" i="20" s="1"/>
  <c r="BO143" i="20" s="1"/>
  <c r="BJ141" i="20" a="1"/>
  <c r="BJ141" i="20" s="1"/>
  <c r="BO141" i="20" s="1"/>
  <c r="BJ128" i="20" a="1"/>
  <c r="BJ128" i="20" s="1"/>
  <c r="BM128" i="20" s="1"/>
  <c r="BJ139" i="20" a="1"/>
  <c r="BJ139" i="20" s="1"/>
  <c r="BO139" i="20" s="1"/>
  <c r="BJ132" i="20" a="1"/>
  <c r="BJ132" i="20" s="1"/>
  <c r="BO132" i="20" s="1"/>
  <c r="BJ124" i="20" a="1"/>
  <c r="BJ124" i="20" s="1"/>
  <c r="BO124" i="20" s="1"/>
  <c r="BJ122" i="20" a="1"/>
  <c r="BJ122" i="20" s="1"/>
  <c r="BO122" i="20" s="1"/>
  <c r="BJ126" i="20" a="1"/>
  <c r="BJ126" i="20" s="1"/>
  <c r="BO126" i="20" s="1"/>
  <c r="BJ111" i="20" a="1"/>
  <c r="BJ111" i="20" s="1"/>
  <c r="BO111" i="20" s="1"/>
  <c r="BJ125" i="20" a="1"/>
  <c r="BJ125" i="20" s="1"/>
  <c r="BO125" i="20" s="1"/>
  <c r="BJ110" i="20" a="1"/>
  <c r="BJ110" i="20" s="1"/>
  <c r="BO110" i="20" s="1"/>
  <c r="BJ104" i="20" a="1"/>
  <c r="BJ104" i="20" s="1"/>
  <c r="BO104" i="20" s="1"/>
  <c r="BJ123" i="20" a="1"/>
  <c r="BJ123" i="20" s="1"/>
  <c r="BO123" i="20" s="1"/>
  <c r="BJ106" i="20" a="1"/>
  <c r="BJ106" i="20" s="1"/>
  <c r="BO106" i="20" s="1"/>
  <c r="BJ137" i="20" a="1"/>
  <c r="BJ137" i="20" s="1"/>
  <c r="BO137" i="20" s="1"/>
  <c r="BJ105" i="20" a="1"/>
  <c r="BJ105" i="20" s="1"/>
  <c r="BO105" i="20" s="1"/>
  <c r="BJ101" i="20" a="1"/>
  <c r="BJ101" i="20" s="1"/>
  <c r="BO101" i="20" s="1"/>
  <c r="BJ94" i="20" a="1"/>
  <c r="BJ94" i="20" s="1"/>
  <c r="BO94" i="20" s="1"/>
  <c r="BJ90" i="20" a="1"/>
  <c r="BJ90" i="20" s="1"/>
  <c r="BM90" i="20" s="1"/>
  <c r="BJ81" i="20" a="1"/>
  <c r="BJ81" i="20" s="1"/>
  <c r="BO81" i="20" s="1"/>
  <c r="BJ80" i="20" a="1"/>
  <c r="BJ80" i="20" s="1"/>
  <c r="BO80" i="20" s="1"/>
  <c r="CM80" i="20" s="1"/>
  <c r="BJ79" i="20" a="1"/>
  <c r="BJ79" i="20" s="1"/>
  <c r="BO79" i="20" s="1"/>
  <c r="CM79" i="20" s="1"/>
  <c r="BJ78" i="20" a="1"/>
  <c r="BJ78" i="20" s="1"/>
  <c r="BO78" i="20" s="1"/>
  <c r="CM78" i="20" s="1"/>
  <c r="BJ77" i="20" a="1"/>
  <c r="BJ77" i="20" s="1"/>
  <c r="BO77" i="20" s="1"/>
  <c r="BJ76" i="20" a="1"/>
  <c r="BJ76" i="20" s="1"/>
  <c r="BO76" i="20" s="1"/>
  <c r="BJ75" i="20" a="1"/>
  <c r="BJ75" i="20" s="1"/>
  <c r="BO75" i="20" s="1"/>
  <c r="BJ74" i="20" a="1"/>
  <c r="BJ74" i="20" s="1"/>
  <c r="BO74" i="20" s="1"/>
  <c r="BJ73" i="20" a="1"/>
  <c r="BJ73" i="20" s="1"/>
  <c r="BO73" i="20" s="1"/>
  <c r="BJ72" i="20" a="1"/>
  <c r="BJ72" i="20" s="1"/>
  <c r="BO72" i="20" s="1"/>
  <c r="BJ71" i="20" a="1"/>
  <c r="BJ71" i="20" s="1"/>
  <c r="BO71" i="20" s="1"/>
  <c r="BJ68" i="20" a="1"/>
  <c r="BJ68" i="20" s="1"/>
  <c r="BO68" i="20" s="1"/>
  <c r="BJ66" i="20" a="1"/>
  <c r="BJ66" i="20" s="1"/>
  <c r="BO66" i="20" s="1"/>
  <c r="BJ65" i="20" a="1"/>
  <c r="BJ65" i="20" s="1"/>
  <c r="BO65" i="20" s="1"/>
  <c r="BJ64" i="20" a="1"/>
  <c r="BJ64" i="20" s="1"/>
  <c r="BO64" i="20" s="1"/>
  <c r="BJ61" i="20" a="1"/>
  <c r="BJ61" i="20" s="1"/>
  <c r="BO61" i="20" s="1"/>
  <c r="BJ59" i="20" a="1"/>
  <c r="BJ59" i="20" s="1"/>
  <c r="BO59" i="20" s="1"/>
  <c r="BJ58" i="20" a="1"/>
  <c r="BJ58" i="20" s="1"/>
  <c r="BM58" i="20" s="1"/>
  <c r="BJ57" i="20" a="1"/>
  <c r="BJ57" i="20" s="1"/>
  <c r="BO57" i="20" s="1"/>
  <c r="BJ56" i="20" a="1"/>
  <c r="BJ56" i="20" s="1"/>
  <c r="BO56" i="20" s="1"/>
  <c r="BJ55" i="20" a="1"/>
  <c r="BJ55" i="20" s="1"/>
  <c r="BO55" i="20" s="1"/>
  <c r="BJ54" i="20" a="1"/>
  <c r="BJ54" i="20" s="1"/>
  <c r="BM54" i="20" s="1"/>
  <c r="BJ53" i="20" a="1"/>
  <c r="BJ53" i="20" s="1"/>
  <c r="BO53" i="20" s="1"/>
  <c r="BJ50" i="20" a="1"/>
  <c r="BJ50" i="20" s="1"/>
  <c r="BO50" i="20" s="1"/>
  <c r="BJ48" i="20" a="1"/>
  <c r="BJ48" i="20" s="1"/>
  <c r="BO48" i="20" s="1"/>
  <c r="BJ47" i="20" a="1"/>
  <c r="BJ47" i="20" s="1"/>
  <c r="BO47" i="20" s="1"/>
  <c r="BJ46" i="20" a="1"/>
  <c r="BJ46" i="20" s="1"/>
  <c r="BO46" i="20" s="1"/>
  <c r="BJ45" i="20" a="1"/>
  <c r="BJ45" i="20" s="1"/>
  <c r="BM45" i="20" s="1"/>
  <c r="BJ44" i="20" a="1"/>
  <c r="BJ44" i="20" s="1"/>
  <c r="BJ43" i="20" a="1"/>
  <c r="BJ43" i="20" s="1"/>
  <c r="BM43" i="20" s="1"/>
  <c r="BJ42" i="20" a="1"/>
  <c r="BJ42" i="20" s="1"/>
  <c r="BO42" i="20" s="1"/>
  <c r="BJ41" i="20" a="1"/>
  <c r="BJ41" i="20" s="1"/>
  <c r="BO41" i="20" s="1"/>
  <c r="BJ115" i="20" a="1"/>
  <c r="BJ115" i="20" s="1"/>
  <c r="BO115" i="20" s="1"/>
  <c r="BJ97" i="20" a="1"/>
  <c r="BJ97" i="20" s="1"/>
  <c r="BO97" i="20" s="1"/>
  <c r="BJ93" i="20" a="1"/>
  <c r="BJ93" i="20" s="1"/>
  <c r="BM93" i="20" s="1"/>
  <c r="BJ89" i="20" a="1"/>
  <c r="BJ89" i="20" s="1"/>
  <c r="BO89" i="20" s="1"/>
  <c r="BJ83" i="20" a="1"/>
  <c r="BJ83" i="20" s="1"/>
  <c r="BO83" i="20" s="1"/>
  <c r="BJ103" i="20" a="1"/>
  <c r="BJ103" i="20" s="1"/>
  <c r="BO103" i="20" s="1"/>
  <c r="BJ96" i="20" a="1"/>
  <c r="BJ96" i="20" s="1"/>
  <c r="BO96" i="20" s="1"/>
  <c r="BJ92" i="20" a="1"/>
  <c r="BJ92" i="20" s="1"/>
  <c r="BM92" i="20" s="1"/>
  <c r="BJ88" i="20" a="1"/>
  <c r="BJ88" i="20" s="1"/>
  <c r="BM88" i="20" s="1"/>
  <c r="BJ112" i="20" a="1"/>
  <c r="BJ112" i="20" s="1"/>
  <c r="BO112" i="20" s="1"/>
  <c r="CM112" i="20" s="1"/>
  <c r="BJ95" i="20" a="1"/>
  <c r="BJ95" i="20" s="1"/>
  <c r="BO95" i="20" s="1"/>
  <c r="BJ87" i="20" a="1"/>
  <c r="BJ87" i="20" s="1"/>
  <c r="BO87" i="20" s="1"/>
  <c r="BJ12" i="20" a="1"/>
  <c r="BJ12" i="20" s="1"/>
  <c r="BM12" i="20" s="1"/>
  <c r="BJ91" i="20" a="1"/>
  <c r="BJ91" i="20" s="1"/>
  <c r="BO91" i="20" s="1"/>
  <c r="BJ82" i="20" a="1"/>
  <c r="BJ82" i="20" s="1"/>
  <c r="BO82" i="20" s="1"/>
  <c r="BJ38" i="20" a="1"/>
  <c r="BJ38" i="20" s="1"/>
  <c r="BO38" i="20" s="1"/>
  <c r="BJ36" i="20" a="1"/>
  <c r="BJ36" i="20" s="1"/>
  <c r="BO36" i="20" s="1"/>
  <c r="BJ35" i="20" a="1"/>
  <c r="BJ35" i="20" s="1"/>
  <c r="BO35" i="20" s="1"/>
  <c r="BJ34" i="20" a="1"/>
  <c r="BJ34" i="20" s="1"/>
  <c r="BO34" i="20" s="1"/>
  <c r="BJ33" i="20" a="1"/>
  <c r="BJ33" i="20" s="1"/>
  <c r="BO33" i="20" s="1"/>
  <c r="BJ32" i="20" a="1"/>
  <c r="BJ32" i="20" s="1"/>
  <c r="BO32" i="20" s="1"/>
  <c r="BJ29" i="20" a="1"/>
  <c r="BJ29" i="20" s="1"/>
  <c r="BO29" i="20" s="1"/>
  <c r="BJ27" i="20" a="1"/>
  <c r="BJ27" i="20" s="1"/>
  <c r="BM27" i="20" s="1"/>
  <c r="BJ26" i="20" a="1"/>
  <c r="BJ26" i="20" s="1"/>
  <c r="BM26" i="20" s="1"/>
  <c r="CK26" i="20" s="1"/>
  <c r="BJ25" i="20" a="1"/>
  <c r="BJ25" i="20" s="1"/>
  <c r="BO25" i="20" s="1"/>
  <c r="BJ24" i="20" a="1"/>
  <c r="BJ24" i="20" s="1"/>
  <c r="BO24" i="20" s="1"/>
  <c r="BJ23" i="20" a="1"/>
  <c r="BJ23" i="20" s="1"/>
  <c r="BO23" i="20" s="1"/>
  <c r="BJ22" i="20" a="1"/>
  <c r="BJ22" i="20" s="1"/>
  <c r="BM22" i="20" s="1"/>
  <c r="BJ21" i="20" a="1"/>
  <c r="BJ21" i="20" s="1"/>
  <c r="BO21" i="20" s="1"/>
  <c r="BJ20" i="20" a="1"/>
  <c r="BJ20" i="20" s="1"/>
  <c r="BO20" i="20" s="1"/>
  <c r="BJ19" i="20" a="1"/>
  <c r="BJ19" i="20" s="1"/>
  <c r="BO19" i="20" s="1"/>
  <c r="BJ16" i="20" a="1"/>
  <c r="BJ16" i="20" s="1"/>
  <c r="BO16" i="20" s="1"/>
  <c r="BJ13" i="20" a="1"/>
  <c r="BJ13" i="20" s="1"/>
  <c r="BO13" i="20" s="1"/>
  <c r="BJ102" i="20" a="1"/>
  <c r="BJ102" i="20" s="1"/>
  <c r="BO102" i="20" s="1"/>
  <c r="AF174" i="22"/>
  <c r="AA96" i="22"/>
  <c r="AH96" i="22"/>
  <c r="AI97" i="22"/>
  <c r="CH12" i="1"/>
  <c r="ED2" i="1"/>
  <c r="BH50" i="30"/>
  <c r="BA119" i="1"/>
  <c r="X112" i="1"/>
  <c r="W112" i="1"/>
  <c r="Y112" i="1"/>
  <c r="CK112" i="20"/>
  <c r="W80" i="1"/>
  <c r="X80" i="1"/>
  <c r="Y80" i="1"/>
  <c r="CK80" i="20"/>
  <c r="W79" i="1"/>
  <c r="Y79" i="1"/>
  <c r="X79" i="1"/>
  <c r="Y78" i="1"/>
  <c r="X78" i="1"/>
  <c r="W78" i="1"/>
  <c r="AZ56" i="33"/>
  <c r="AG96" i="22"/>
  <c r="BJ125" i="22"/>
  <c r="BJ129" i="22"/>
  <c r="BJ133" i="22"/>
  <c r="BJ126" i="22"/>
  <c r="BJ130" i="22"/>
  <c r="BJ127" i="22"/>
  <c r="BJ131" i="22"/>
  <c r="BJ136" i="22"/>
  <c r="BJ140" i="22"/>
  <c r="BJ137" i="22"/>
  <c r="BJ134" i="22"/>
  <c r="BJ138" i="22"/>
  <c r="BJ135" i="22"/>
  <c r="BJ139" i="22"/>
  <c r="BJ142" i="22"/>
  <c r="BJ146" i="22"/>
  <c r="BJ128" i="22"/>
  <c r="BJ143" i="22"/>
  <c r="BJ144" i="22"/>
  <c r="BJ132" i="22"/>
  <c r="BJ150" i="22"/>
  <c r="BJ154" i="22"/>
  <c r="BJ158" i="22"/>
  <c r="BJ162" i="22"/>
  <c r="BJ151" i="22"/>
  <c r="BJ155" i="22"/>
  <c r="BJ159" i="22"/>
  <c r="BJ141" i="22"/>
  <c r="BJ145" i="22"/>
  <c r="BJ148" i="22"/>
  <c r="BJ152" i="22"/>
  <c r="BJ156" i="22"/>
  <c r="BJ160" i="22"/>
  <c r="BJ165" i="22"/>
  <c r="BJ169" i="22"/>
  <c r="BJ173" i="22"/>
  <c r="BJ177" i="22"/>
  <c r="BJ147" i="22"/>
  <c r="BJ166" i="22"/>
  <c r="BJ170" i="22"/>
  <c r="BJ167" i="22"/>
  <c r="BJ171" i="22"/>
  <c r="BJ175" i="22"/>
  <c r="BJ178" i="22"/>
  <c r="BJ153" i="22"/>
  <c r="BJ161" i="22"/>
  <c r="BJ149" i="22"/>
  <c r="BJ157" i="22"/>
  <c r="BJ163" i="22"/>
  <c r="BJ176" i="22"/>
  <c r="BJ179" i="22"/>
  <c r="BJ174" i="22"/>
  <c r="BJ164" i="22"/>
  <c r="BJ168" i="22"/>
  <c r="AA144" i="22"/>
  <c r="AA135" i="22"/>
  <c r="AA139" i="22"/>
  <c r="AA154" i="22"/>
  <c r="AA178" i="22"/>
  <c r="AA158" i="22"/>
  <c r="AA145" i="22"/>
  <c r="AA134" i="22"/>
  <c r="AA130" i="22"/>
  <c r="AA162" i="22"/>
  <c r="AA155" i="22"/>
  <c r="AA152" i="22"/>
  <c r="AA140" i="22"/>
  <c r="AA149" i="22"/>
  <c r="AA165" i="22"/>
  <c r="AA177" i="22"/>
  <c r="AA159" i="22"/>
  <c r="AA174" i="22"/>
  <c r="AA169" i="22"/>
  <c r="AA129" i="22"/>
  <c r="AA157" i="22"/>
  <c r="AA132" i="22"/>
  <c r="AA143" i="22"/>
  <c r="AA173" i="22"/>
  <c r="AA150" i="22"/>
  <c r="AA138" i="22"/>
  <c r="AA160" i="22"/>
  <c r="AA171" i="22"/>
  <c r="AA167" i="22"/>
  <c r="AA179" i="22"/>
  <c r="AA163" i="22"/>
  <c r="AA142" i="22"/>
  <c r="AA176" i="22"/>
  <c r="AA164" i="22"/>
  <c r="AA126" i="22"/>
  <c r="AA147" i="22"/>
  <c r="AA137" i="22"/>
  <c r="AA168" i="22"/>
  <c r="AA153" i="22"/>
  <c r="AA131" i="22"/>
  <c r="AA146" i="22"/>
  <c r="AA128" i="22"/>
  <c r="AA175" i="22"/>
  <c r="AA136" i="22"/>
  <c r="AA166" i="22"/>
  <c r="AA151" i="22"/>
  <c r="AA170" i="22"/>
  <c r="AA156" i="22"/>
  <c r="AA127" i="22"/>
  <c r="AA148" i="22"/>
  <c r="AA141" i="22"/>
  <c r="AA172" i="22"/>
  <c r="AA161" i="22"/>
  <c r="AA133" i="22"/>
  <c r="AA125" i="22"/>
  <c r="AB163" i="22"/>
  <c r="AB142" i="22"/>
  <c r="AB179" i="22"/>
  <c r="AB168" i="22"/>
  <c r="AB140" i="22"/>
  <c r="AB125" i="22"/>
  <c r="AB134" i="22"/>
  <c r="AB130" i="22"/>
  <c r="AB132" i="22"/>
  <c r="AB170" i="22"/>
  <c r="AB165" i="22"/>
  <c r="AB166" i="22"/>
  <c r="AB136" i="22"/>
  <c r="AB133" i="22"/>
  <c r="AB164" i="22"/>
  <c r="AB126" i="22"/>
  <c r="AB127" i="22"/>
  <c r="AB173" i="22"/>
  <c r="AB157" i="22"/>
  <c r="AB135" i="22"/>
  <c r="AB159" i="22"/>
  <c r="AB169" i="22"/>
  <c r="AB174" i="22"/>
  <c r="AB156" i="22"/>
  <c r="AB154" i="22"/>
  <c r="AB175" i="22"/>
  <c r="AB151" i="22"/>
  <c r="AB148" i="22"/>
  <c r="AB172" i="22"/>
  <c r="AB150" i="22"/>
  <c r="AB171" i="22"/>
  <c r="AB144" i="22"/>
  <c r="AB178" i="22"/>
  <c r="AB139" i="22"/>
  <c r="AB153" i="22"/>
  <c r="AB147" i="22"/>
  <c r="AB138" i="22"/>
  <c r="AB176" i="22"/>
  <c r="AB152" i="22"/>
  <c r="AB149" i="22"/>
  <c r="AB177" i="22"/>
  <c r="AB143" i="22"/>
  <c r="AB141" i="22"/>
  <c r="AB167" i="22"/>
  <c r="AB158" i="22"/>
  <c r="AB145" i="22"/>
  <c r="AB155" i="22"/>
  <c r="AB162" i="22"/>
  <c r="AB146" i="22"/>
  <c r="AB128" i="22"/>
  <c r="AB137" i="22"/>
  <c r="AB161" i="22"/>
  <c r="AB131" i="22"/>
  <c r="AB129" i="22"/>
  <c r="AB160" i="22"/>
  <c r="AC142" i="22"/>
  <c r="AC165" i="22"/>
  <c r="AC155" i="22"/>
  <c r="AC164" i="22"/>
  <c r="AC154" i="22"/>
  <c r="AC174" i="22"/>
  <c r="AC176" i="22"/>
  <c r="AC171" i="22"/>
  <c r="AC136" i="22"/>
  <c r="AC160" i="22"/>
  <c r="AC131" i="22"/>
  <c r="AC156" i="22"/>
  <c r="AC149" i="22"/>
  <c r="AC179" i="22"/>
  <c r="AC143" i="22"/>
  <c r="AC148" i="22"/>
  <c r="AC150" i="22"/>
  <c r="AC178" i="22"/>
  <c r="AC147" i="22"/>
  <c r="AC125" i="22"/>
  <c r="AC144" i="22"/>
  <c r="AC175" i="22"/>
  <c r="AC137" i="22"/>
  <c r="AC168" i="22"/>
  <c r="AC152" i="22"/>
  <c r="AC145" i="22"/>
  <c r="AC153" i="22"/>
  <c r="AC133" i="22"/>
  <c r="AC128" i="22"/>
  <c r="AC167" i="22"/>
  <c r="AC127" i="22"/>
  <c r="AC135" i="22"/>
  <c r="AC163" i="22"/>
  <c r="AC146" i="22"/>
  <c r="AC134" i="22"/>
  <c r="AC132" i="22"/>
  <c r="AC172" i="22"/>
  <c r="AC151" i="22"/>
  <c r="AC157" i="22"/>
  <c r="AC177" i="22"/>
  <c r="AC158" i="22"/>
  <c r="AC173" i="22"/>
  <c r="AC139" i="22"/>
  <c r="AC141" i="22"/>
  <c r="AC162" i="22"/>
  <c r="AC129" i="22"/>
  <c r="AC138" i="22"/>
  <c r="AC161" i="22"/>
  <c r="AC166" i="22"/>
  <c r="AC170" i="22"/>
  <c r="AC140" i="22"/>
  <c r="AC169" i="22"/>
  <c r="AC159" i="22"/>
  <c r="AC126" i="22"/>
  <c r="AC130" i="22"/>
  <c r="AD136" i="22"/>
  <c r="AD139" i="22"/>
  <c r="AD130" i="22"/>
  <c r="AD160" i="22"/>
  <c r="AD178" i="22"/>
  <c r="AD161" i="22"/>
  <c r="AD152" i="22"/>
  <c r="AD144" i="22"/>
  <c r="AD163" i="22"/>
  <c r="AD127" i="22"/>
  <c r="AD145" i="22"/>
  <c r="AD149" i="22"/>
  <c r="AD147" i="22"/>
  <c r="AD140" i="22"/>
  <c r="AD155" i="22"/>
  <c r="AD157" i="22"/>
  <c r="AD138" i="22"/>
  <c r="AD133" i="22"/>
  <c r="AD165" i="22"/>
  <c r="AD173" i="22"/>
  <c r="AD170" i="22"/>
  <c r="AD169" i="22"/>
  <c r="AD168" i="22"/>
  <c r="AD131" i="22"/>
  <c r="AD150" i="22"/>
  <c r="AD158" i="22"/>
  <c r="AD126" i="22"/>
  <c r="AD135" i="22"/>
  <c r="AD146" i="22"/>
  <c r="AD129" i="22"/>
  <c r="AD141" i="22"/>
  <c r="AD137" i="22"/>
  <c r="AD156" i="22"/>
  <c r="AD154" i="22"/>
  <c r="AD176" i="22"/>
  <c r="AD177" i="22"/>
  <c r="AD134" i="22"/>
  <c r="AD142" i="22"/>
  <c r="AD171" i="22"/>
  <c r="AD172" i="22"/>
  <c r="AD153" i="22"/>
  <c r="AD179" i="22"/>
  <c r="AD164" i="22"/>
  <c r="AD175" i="22"/>
  <c r="AD125" i="22"/>
  <c r="AD167" i="22"/>
  <c r="AD162" i="22"/>
  <c r="AD128" i="22"/>
  <c r="AD174" i="22"/>
  <c r="AD151" i="22"/>
  <c r="AD143" i="22"/>
  <c r="AD166" i="22"/>
  <c r="AD159" i="22"/>
  <c r="AD148" i="22"/>
  <c r="AD132" i="22"/>
  <c r="AE159" i="22"/>
  <c r="AE133" i="22"/>
  <c r="AE179" i="22"/>
  <c r="AE135" i="22"/>
  <c r="AE165" i="22"/>
  <c r="AE139" i="22"/>
  <c r="AE141" i="22"/>
  <c r="AE153" i="22"/>
  <c r="AE158" i="22"/>
  <c r="AE163" i="22"/>
  <c r="AE174" i="22"/>
  <c r="AE156" i="22"/>
  <c r="AE178" i="22"/>
  <c r="AE155" i="22"/>
  <c r="AE173" i="22"/>
  <c r="AE157" i="22"/>
  <c r="AE145" i="22"/>
  <c r="AE150" i="22"/>
  <c r="AE142" i="22"/>
  <c r="AE136" i="22"/>
  <c r="AE131" i="22"/>
  <c r="AE148" i="22"/>
  <c r="AE162" i="22"/>
  <c r="AE152" i="22"/>
  <c r="AE175" i="22"/>
  <c r="AE166" i="22"/>
  <c r="AE147" i="22"/>
  <c r="AE160" i="22"/>
  <c r="AE143" i="22"/>
  <c r="AE132" i="22"/>
  <c r="AE125" i="22"/>
  <c r="AE134" i="22"/>
  <c r="AE149" i="22"/>
  <c r="AE176" i="22"/>
  <c r="AE137" i="22"/>
  <c r="AE127" i="22"/>
  <c r="AE138" i="22"/>
  <c r="AE151" i="22"/>
  <c r="AE170" i="22"/>
  <c r="AE129" i="22"/>
  <c r="AE168" i="22"/>
  <c r="AE140" i="22"/>
  <c r="AE177" i="22"/>
  <c r="AE164" i="22"/>
  <c r="AE130" i="22"/>
  <c r="AE171" i="22"/>
  <c r="AE167" i="22"/>
  <c r="AE169" i="22"/>
  <c r="AE172" i="22"/>
  <c r="AE126" i="22"/>
  <c r="AE146" i="22"/>
  <c r="AE128" i="22"/>
  <c r="AE161" i="22"/>
  <c r="AE154" i="22"/>
  <c r="AE144" i="22"/>
  <c r="AF147" i="22"/>
  <c r="AF134" i="22"/>
  <c r="AF138" i="22"/>
  <c r="AF137" i="22"/>
  <c r="AF162" i="22"/>
  <c r="AF157" i="22"/>
  <c r="AF166" i="22"/>
  <c r="AF129" i="22"/>
  <c r="AF125" i="22"/>
  <c r="AF139" i="22"/>
  <c r="AF135" i="22"/>
  <c r="AF177" i="22"/>
  <c r="AF163" i="22"/>
  <c r="AF172" i="22"/>
  <c r="AF144" i="22"/>
  <c r="AF140" i="22"/>
  <c r="AF145" i="22"/>
  <c r="AF130" i="22"/>
  <c r="AF173" i="22"/>
  <c r="AF179" i="22"/>
  <c r="AF153" i="22"/>
  <c r="AF133" i="22"/>
  <c r="AF127" i="22"/>
  <c r="AF156" i="22"/>
  <c r="AF167" i="22"/>
  <c r="AF169" i="22"/>
  <c r="AF178" i="22"/>
  <c r="AF150" i="22"/>
  <c r="AF128" i="22"/>
  <c r="AF131" i="22"/>
  <c r="AF143" i="22"/>
  <c r="AF151" i="22"/>
  <c r="AF170" i="22"/>
  <c r="AF161" i="22"/>
  <c r="AF136" i="22"/>
  <c r="AF132" i="22"/>
  <c r="AF175" i="22"/>
  <c r="AF141" i="22"/>
  <c r="AF160" i="22"/>
  <c r="AF159" i="22"/>
  <c r="AF149" i="22"/>
  <c r="AF154" i="22"/>
  <c r="AF158" i="22"/>
  <c r="AF148" i="22"/>
  <c r="AF152" i="22"/>
  <c r="AF126" i="22"/>
  <c r="AF176" i="22"/>
  <c r="AF164" i="22"/>
  <c r="AF165" i="22"/>
  <c r="AF168" i="22"/>
  <c r="AF155" i="22"/>
  <c r="AF146" i="22"/>
  <c r="AF142" i="22"/>
  <c r="AF171" i="22"/>
  <c r="AG168" i="22"/>
  <c r="AG148" i="22"/>
  <c r="AG170" i="22"/>
  <c r="AG164" i="22"/>
  <c r="AG158" i="22"/>
  <c r="AG134" i="22"/>
  <c r="AG152" i="22"/>
  <c r="AG172" i="22"/>
  <c r="AG130" i="22"/>
  <c r="AG129" i="22"/>
  <c r="AG154" i="22"/>
  <c r="AG176" i="22"/>
  <c r="AG169" i="22"/>
  <c r="AG131" i="22"/>
  <c r="AG146" i="22"/>
  <c r="AG178" i="22"/>
  <c r="AG142" i="22"/>
  <c r="AG173" i="22"/>
  <c r="AG126" i="22"/>
  <c r="AG140" i="22"/>
  <c r="AG155" i="22"/>
  <c r="AG159" i="22"/>
  <c r="AG132" i="22"/>
  <c r="AG156" i="22"/>
  <c r="AG144" i="22"/>
  <c r="AG153" i="22"/>
  <c r="AG147" i="22"/>
  <c r="AG160" i="22"/>
  <c r="AG163" i="22"/>
  <c r="AG143" i="22"/>
  <c r="AG133" i="22"/>
  <c r="AG137" i="22"/>
  <c r="AG125" i="22"/>
  <c r="AG174" i="22"/>
  <c r="AG150" i="22"/>
  <c r="AG161" i="22"/>
  <c r="AG127" i="22"/>
  <c r="AG166" i="22"/>
  <c r="AG135" i="22"/>
  <c r="AG175" i="22"/>
  <c r="AG149" i="22"/>
  <c r="AG141" i="22"/>
  <c r="AG128" i="22"/>
  <c r="AG151" i="22"/>
  <c r="AG165" i="22"/>
  <c r="AG136" i="22"/>
  <c r="AG145" i="22"/>
  <c r="AG177" i="22"/>
  <c r="AG138" i="22"/>
  <c r="AG179" i="22"/>
  <c r="AG157" i="22"/>
  <c r="AG171" i="22"/>
  <c r="AG162" i="22"/>
  <c r="AG167" i="22"/>
  <c r="AG139" i="22"/>
  <c r="AH170" i="22"/>
  <c r="AH147" i="22"/>
  <c r="AH157" i="22"/>
  <c r="AH138" i="22"/>
  <c r="AH166" i="22"/>
  <c r="AH165" i="22"/>
  <c r="AH140" i="22"/>
  <c r="AH171" i="22"/>
  <c r="AH132" i="22"/>
  <c r="AH154" i="22"/>
  <c r="AH149" i="22"/>
  <c r="AH178" i="22"/>
  <c r="AH173" i="22"/>
  <c r="AH161" i="22"/>
  <c r="AH145" i="22"/>
  <c r="AH159" i="22"/>
  <c r="AH172" i="22"/>
  <c r="AH162" i="22"/>
  <c r="AH141" i="22"/>
  <c r="AH137" i="22"/>
  <c r="AH143" i="22"/>
  <c r="AH126" i="22"/>
  <c r="AH175" i="22"/>
  <c r="AH136" i="22"/>
  <c r="AH179" i="22"/>
  <c r="AH148" i="22"/>
  <c r="AH168" i="22"/>
  <c r="AH130" i="22"/>
  <c r="AH125" i="22"/>
  <c r="AH144" i="22"/>
  <c r="AH153" i="22"/>
  <c r="AH152" i="22"/>
  <c r="AH158" i="22"/>
  <c r="AH176" i="22"/>
  <c r="AH127" i="22"/>
  <c r="AH128" i="22"/>
  <c r="AH174" i="22"/>
  <c r="AH134" i="22"/>
  <c r="AH155" i="22"/>
  <c r="AH131" i="22"/>
  <c r="AH142" i="22"/>
  <c r="AH177" i="22"/>
  <c r="AH156" i="22"/>
  <c r="AH167" i="22"/>
  <c r="AH135" i="22"/>
  <c r="AH164" i="22"/>
  <c r="AH139" i="22"/>
  <c r="AH146" i="22"/>
  <c r="AH151" i="22"/>
  <c r="AH163" i="22"/>
  <c r="AH160" i="22"/>
  <c r="AH129" i="22"/>
  <c r="AH150" i="22"/>
  <c r="AH133" i="22"/>
  <c r="AH169" i="22"/>
  <c r="AI161" i="22"/>
  <c r="AI139" i="22"/>
  <c r="AI149" i="22"/>
  <c r="AI156" i="22"/>
  <c r="AI170" i="22"/>
  <c r="AI167" i="22"/>
  <c r="AI179" i="22"/>
  <c r="AI165" i="22"/>
  <c r="AI147" i="22"/>
  <c r="AI135" i="22"/>
  <c r="AI140" i="22"/>
  <c r="AI136" i="22"/>
  <c r="AI159" i="22"/>
  <c r="AI168" i="22"/>
  <c r="AI176" i="22"/>
  <c r="AI137" i="22"/>
  <c r="AI166" i="22"/>
  <c r="AI169" i="22"/>
  <c r="AI143" i="22"/>
  <c r="AI141" i="22"/>
  <c r="AI152" i="22"/>
  <c r="AI177" i="22"/>
  <c r="AI162" i="22"/>
  <c r="AI174" i="22"/>
  <c r="AI172" i="22"/>
  <c r="AI163" i="22"/>
  <c r="AI154" i="22"/>
  <c r="AI127" i="22"/>
  <c r="AI150" i="22"/>
  <c r="AI142" i="22"/>
  <c r="AI131" i="22"/>
  <c r="AI160" i="22"/>
  <c r="AI129" i="22"/>
  <c r="AI178" i="22"/>
  <c r="AI155" i="22"/>
  <c r="AI148" i="22"/>
  <c r="AI144" i="22"/>
  <c r="AI164" i="22"/>
  <c r="AI153" i="22"/>
  <c r="AI132" i="22"/>
  <c r="AI133" i="22"/>
  <c r="AI145" i="22"/>
  <c r="AI126" i="22"/>
  <c r="AI138" i="22"/>
  <c r="AI130" i="22"/>
  <c r="AI158" i="22"/>
  <c r="AI146" i="22"/>
  <c r="AI171" i="22"/>
  <c r="AI151" i="22"/>
  <c r="AI134" i="22"/>
  <c r="AI173" i="22"/>
  <c r="AI125" i="22"/>
  <c r="AI128" i="22"/>
  <c r="AI157" i="22"/>
  <c r="AI175" i="22"/>
  <c r="AJ163" i="22"/>
  <c r="AJ139" i="22"/>
  <c r="AJ132" i="22"/>
  <c r="AJ175" i="22"/>
  <c r="AJ152" i="22"/>
  <c r="AJ129" i="22"/>
  <c r="AJ165" i="22"/>
  <c r="AJ167" i="22"/>
  <c r="AJ138" i="22"/>
  <c r="AJ134" i="22"/>
  <c r="AJ171" i="22"/>
  <c r="AJ156" i="22"/>
  <c r="AJ158" i="22"/>
  <c r="AJ155" i="22"/>
  <c r="AJ166" i="22"/>
  <c r="AJ162" i="22"/>
  <c r="AJ173" i="22"/>
  <c r="AJ133" i="22"/>
  <c r="AJ169" i="22"/>
  <c r="AJ128" i="22"/>
  <c r="AJ142" i="22"/>
  <c r="AJ161" i="22"/>
  <c r="AJ164" i="22"/>
  <c r="AJ172" i="22"/>
  <c r="AJ174" i="22"/>
  <c r="AJ149" i="22"/>
  <c r="AJ177" i="22"/>
  <c r="AJ126" i="22"/>
  <c r="AJ150" i="22"/>
  <c r="AJ159" i="22"/>
  <c r="AJ125" i="22"/>
  <c r="AJ157" i="22"/>
  <c r="AJ151" i="22"/>
  <c r="AJ170" i="22"/>
  <c r="AJ154" i="22"/>
  <c r="AJ144" i="22"/>
  <c r="AJ131" i="22"/>
  <c r="AJ130" i="22"/>
  <c r="AJ143" i="22"/>
  <c r="AJ176" i="22"/>
  <c r="AJ147" i="22"/>
  <c r="AJ179" i="22"/>
  <c r="AJ137" i="22"/>
  <c r="AJ136" i="22"/>
  <c r="AJ135" i="22"/>
  <c r="AJ145" i="22"/>
  <c r="AJ160" i="22"/>
  <c r="AJ141" i="22"/>
  <c r="AJ153" i="22"/>
  <c r="AJ140" i="22"/>
  <c r="AJ178" i="22"/>
  <c r="AJ168" i="22"/>
  <c r="AJ148" i="22"/>
  <c r="AJ146" i="22"/>
  <c r="AJ127" i="22"/>
  <c r="AK169" i="22"/>
  <c r="AK172" i="22"/>
  <c r="AK147" i="22"/>
  <c r="AK173" i="22"/>
  <c r="AK131" i="22"/>
  <c r="AK157" i="22"/>
  <c r="AK156" i="22"/>
  <c r="AK128" i="22"/>
  <c r="AK161" i="22"/>
  <c r="AK145" i="22"/>
  <c r="AK153" i="22"/>
  <c r="AK151" i="22"/>
  <c r="AK177" i="22"/>
  <c r="AK159" i="22"/>
  <c r="AK166" i="22"/>
  <c r="AK129" i="22"/>
  <c r="AK164" i="22"/>
  <c r="AK171" i="22"/>
  <c r="AK167" i="22"/>
  <c r="AK144" i="22"/>
  <c r="AK149" i="22"/>
  <c r="AK148" i="22"/>
  <c r="AK168" i="22"/>
  <c r="AK139" i="22"/>
  <c r="AK130" i="22"/>
  <c r="AK138" i="22"/>
  <c r="AK134" i="22"/>
  <c r="AK132" i="22"/>
  <c r="AK155" i="22"/>
  <c r="AK152" i="22"/>
  <c r="AK179" i="22"/>
  <c r="AK176" i="22"/>
  <c r="AK126" i="22"/>
  <c r="AK125" i="22"/>
  <c r="AK178" i="22"/>
  <c r="AK142" i="22"/>
  <c r="AK170" i="22"/>
  <c r="AK135" i="22"/>
  <c r="AK140" i="22"/>
  <c r="AK141" i="22"/>
  <c r="AK150" i="22"/>
  <c r="AK174" i="22"/>
  <c r="AK143" i="22"/>
  <c r="AK175" i="22"/>
  <c r="AK154" i="22"/>
  <c r="AK137" i="22"/>
  <c r="AK146" i="22"/>
  <c r="AK165" i="22"/>
  <c r="AK162" i="22"/>
  <c r="AK127" i="22"/>
  <c r="AK160" i="22"/>
  <c r="AK158" i="22"/>
  <c r="AK163" i="22"/>
  <c r="AK133" i="22"/>
  <c r="AK136" i="22"/>
  <c r="AL128" i="22"/>
  <c r="AL129" i="22"/>
  <c r="AL171" i="22"/>
  <c r="AL137" i="22"/>
  <c r="AL173" i="22"/>
  <c r="AL144" i="22"/>
  <c r="AL145" i="22"/>
  <c r="AL136" i="22"/>
  <c r="AL148" i="22"/>
  <c r="AL152" i="22"/>
  <c r="AL126" i="22"/>
  <c r="AL131" i="22"/>
  <c r="AL167" i="22"/>
  <c r="AL158" i="22"/>
  <c r="AL159" i="22"/>
  <c r="AL174" i="22"/>
  <c r="AL149" i="22"/>
  <c r="AL165" i="22"/>
  <c r="AL139" i="22"/>
  <c r="AL146" i="22"/>
  <c r="AL130" i="22"/>
  <c r="AL127" i="22"/>
  <c r="AL153" i="22"/>
  <c r="AL133" i="22"/>
  <c r="AL134" i="22"/>
  <c r="AL141" i="22"/>
  <c r="AL179" i="22"/>
  <c r="AL176" i="22"/>
  <c r="AL160" i="22"/>
  <c r="AL157" i="22"/>
  <c r="AL142" i="22"/>
  <c r="AL161" i="22"/>
  <c r="AL169" i="22"/>
  <c r="AL175" i="22"/>
  <c r="AL138" i="22"/>
  <c r="AL154" i="22"/>
  <c r="AL163" i="22"/>
  <c r="AL147" i="22"/>
  <c r="AL177" i="22"/>
  <c r="AL140" i="22"/>
  <c r="AL143" i="22"/>
  <c r="AL135" i="22"/>
  <c r="AL156" i="22"/>
  <c r="AL155" i="22"/>
  <c r="AL178" i="22"/>
  <c r="AL150" i="22"/>
  <c r="AL168" i="22"/>
  <c r="AL166" i="22"/>
  <c r="AL170" i="22"/>
  <c r="AL132" i="22"/>
  <c r="AL172" i="22"/>
  <c r="AL151" i="22"/>
  <c r="AL162" i="22"/>
  <c r="AL164" i="22"/>
  <c r="AL125" i="22"/>
  <c r="AM154" i="22"/>
  <c r="AM172" i="22"/>
  <c r="AM142" i="22"/>
  <c r="AM169" i="22"/>
  <c r="AM157" i="22"/>
  <c r="AM132" i="22"/>
  <c r="AM134" i="22"/>
  <c r="AM155" i="22"/>
  <c r="AM151" i="22"/>
  <c r="AM174" i="22"/>
  <c r="AM141" i="22"/>
  <c r="AM161" i="22"/>
  <c r="AM149" i="22"/>
  <c r="AM146" i="22"/>
  <c r="AM167" i="22"/>
  <c r="AM130" i="22"/>
  <c r="AM144" i="22"/>
  <c r="AM160" i="22"/>
  <c r="AM140" i="22"/>
  <c r="AM148" i="22"/>
  <c r="AM166" i="22"/>
  <c r="AM139" i="22"/>
  <c r="AM164" i="22"/>
  <c r="AM153" i="22"/>
  <c r="AM136" i="22"/>
  <c r="AM138" i="22"/>
  <c r="AM176" i="22"/>
  <c r="AM137" i="22"/>
  <c r="AM159" i="22"/>
  <c r="AM156" i="22"/>
  <c r="AM165" i="22"/>
  <c r="AM175" i="22"/>
  <c r="AM173" i="22"/>
  <c r="AM152" i="22"/>
  <c r="AM126" i="22"/>
  <c r="AM128" i="22"/>
  <c r="AM179" i="22"/>
  <c r="AM178" i="22"/>
  <c r="AM143" i="22"/>
  <c r="AM129" i="22"/>
  <c r="AM163" i="22"/>
  <c r="AM133" i="22"/>
  <c r="AM147" i="22"/>
  <c r="AM145" i="22"/>
  <c r="AM131" i="22"/>
  <c r="AM135" i="22"/>
  <c r="AM170" i="22"/>
  <c r="AM127" i="22"/>
  <c r="AM162" i="22"/>
  <c r="AM125" i="22"/>
  <c r="AM150" i="22"/>
  <c r="AM171" i="22"/>
  <c r="AM158" i="22"/>
  <c r="AM177" i="22"/>
  <c r="AM168" i="22"/>
  <c r="AN133" i="22"/>
  <c r="AN170" i="22"/>
  <c r="AN152" i="22"/>
  <c r="AN166" i="22"/>
  <c r="AN172" i="22"/>
  <c r="AN144" i="22"/>
  <c r="AN157" i="22"/>
  <c r="AN171" i="22"/>
  <c r="AN176" i="22"/>
  <c r="AN142" i="22"/>
  <c r="AN154" i="22"/>
  <c r="AN162" i="22"/>
  <c r="AN139" i="22"/>
  <c r="AN136" i="22"/>
  <c r="AN175" i="22"/>
  <c r="AN160" i="22"/>
  <c r="AN131" i="22"/>
  <c r="AN164" i="22"/>
  <c r="AN143" i="22"/>
  <c r="AN178" i="22"/>
  <c r="AN151" i="22"/>
  <c r="AN146" i="22"/>
  <c r="AN150" i="22"/>
  <c r="AN167" i="22"/>
  <c r="AN163" i="22"/>
  <c r="AN153" i="22"/>
  <c r="AN128" i="22"/>
  <c r="AN168" i="22"/>
  <c r="AN134" i="22"/>
  <c r="AN145" i="22"/>
  <c r="AN173" i="22"/>
  <c r="AN138" i="22"/>
  <c r="AN148" i="22"/>
  <c r="AN177" i="22"/>
  <c r="AN161" i="22"/>
  <c r="AN174" i="22"/>
  <c r="AN140" i="22"/>
  <c r="AN127" i="22"/>
  <c r="AN147" i="22"/>
  <c r="AN137" i="22"/>
  <c r="AN159" i="22"/>
  <c r="AN155" i="22"/>
  <c r="AN132" i="22"/>
  <c r="AN126" i="22"/>
  <c r="AN130" i="22"/>
  <c r="AN149" i="22"/>
  <c r="AN141" i="22"/>
  <c r="AN169" i="22"/>
  <c r="AN179" i="22"/>
  <c r="AN125" i="22"/>
  <c r="AN156" i="22"/>
  <c r="AN165" i="22"/>
  <c r="AN129" i="22"/>
  <c r="AN158" i="22"/>
  <c r="AN135" i="22"/>
  <c r="AO170" i="22"/>
  <c r="AO179" i="22"/>
  <c r="AO143" i="22"/>
  <c r="AO145" i="22"/>
  <c r="AO144" i="22"/>
  <c r="AO147" i="22"/>
  <c r="AO152" i="22"/>
  <c r="AO154" i="22"/>
  <c r="AO149" i="22"/>
  <c r="AO159" i="22"/>
  <c r="AO172" i="22"/>
  <c r="AO176" i="22"/>
  <c r="AO142" i="22"/>
  <c r="AO166" i="22"/>
  <c r="AO137" i="22"/>
  <c r="AO163" i="22"/>
  <c r="AO150" i="22"/>
  <c r="AO130" i="22"/>
  <c r="AO173" i="22"/>
  <c r="AO168" i="22"/>
  <c r="AO129" i="22"/>
  <c r="AO134" i="22"/>
  <c r="AO158" i="22"/>
  <c r="AO138" i="22"/>
  <c r="AO169" i="22"/>
  <c r="AO136" i="22"/>
  <c r="AO126" i="22"/>
  <c r="AO177" i="22"/>
  <c r="AO141" i="22"/>
  <c r="AO157" i="22"/>
  <c r="AO171" i="22"/>
  <c r="AO146" i="22"/>
  <c r="AO155" i="22"/>
  <c r="AO167" i="22"/>
  <c r="AO135" i="22"/>
  <c r="AO139" i="22"/>
  <c r="AO174" i="22"/>
  <c r="AO165" i="22"/>
  <c r="AO127" i="22"/>
  <c r="AO131" i="22"/>
  <c r="AO151" i="22"/>
  <c r="AO178" i="22"/>
  <c r="AO160" i="22"/>
  <c r="AO153" i="22"/>
  <c r="AO140" i="22"/>
  <c r="AO162" i="22"/>
  <c r="AO128" i="22"/>
  <c r="AO156" i="22"/>
  <c r="AO133" i="22"/>
  <c r="AO175" i="22"/>
  <c r="AO148" i="22"/>
  <c r="AO132" i="22"/>
  <c r="AO164" i="22"/>
  <c r="AO125" i="22"/>
  <c r="AO161" i="22"/>
  <c r="AP130" i="22"/>
  <c r="AP146" i="22"/>
  <c r="AP143" i="22"/>
  <c r="AP140" i="22"/>
  <c r="AP153" i="22"/>
  <c r="AP133" i="22"/>
  <c r="AP127" i="22"/>
  <c r="AP161" i="22"/>
  <c r="AP139" i="22"/>
  <c r="AP147" i="22"/>
  <c r="AP169" i="22"/>
  <c r="AP152" i="22"/>
  <c r="AP159" i="22"/>
  <c r="AP138" i="22"/>
  <c r="AP136" i="22"/>
  <c r="AP126" i="22"/>
  <c r="AP137" i="22"/>
  <c r="AP128" i="22"/>
  <c r="AP157" i="22"/>
  <c r="AP179" i="22"/>
  <c r="AP154" i="22"/>
  <c r="AP174" i="22"/>
  <c r="AP134" i="22"/>
  <c r="AP160" i="22"/>
  <c r="AP171" i="22"/>
  <c r="AP178" i="22"/>
  <c r="AP151" i="22"/>
  <c r="AP165" i="22"/>
  <c r="AP132" i="22"/>
  <c r="AP150" i="22"/>
  <c r="AP141" i="22"/>
  <c r="AP158" i="22"/>
  <c r="AP148" i="22"/>
  <c r="AP144" i="22"/>
  <c r="AP164" i="22"/>
  <c r="AP125" i="22"/>
  <c r="AP135" i="22"/>
  <c r="AP166" i="22"/>
  <c r="AP173" i="22"/>
  <c r="AP170" i="22"/>
  <c r="AP142" i="22"/>
  <c r="AP168" i="22"/>
  <c r="AP156" i="22"/>
  <c r="AP177" i="22"/>
  <c r="AP145" i="22"/>
  <c r="AP129" i="22"/>
  <c r="AP176" i="22"/>
  <c r="AP172" i="22"/>
  <c r="AP149" i="22"/>
  <c r="AP162" i="22"/>
  <c r="AP175" i="22"/>
  <c r="AP163" i="22"/>
  <c r="AP131" i="22"/>
  <c r="AP167" i="22"/>
  <c r="AP155" i="22"/>
  <c r="AQ176" i="22"/>
  <c r="AQ130" i="22"/>
  <c r="AQ165" i="22"/>
  <c r="AQ169" i="22"/>
  <c r="AQ175" i="22"/>
  <c r="AQ173" i="22"/>
  <c r="AQ136" i="22"/>
  <c r="AQ128" i="22"/>
  <c r="AQ162" i="22"/>
  <c r="AQ155" i="22"/>
  <c r="AQ160" i="22"/>
  <c r="AQ150" i="22"/>
  <c r="AQ163" i="22"/>
  <c r="AQ154" i="22"/>
  <c r="AQ177" i="22"/>
  <c r="AQ131" i="22"/>
  <c r="AQ179" i="22"/>
  <c r="AQ145" i="22"/>
  <c r="AQ167" i="22"/>
  <c r="AQ149" i="22"/>
  <c r="AQ141" i="22"/>
  <c r="AQ172" i="22"/>
  <c r="AQ174" i="22"/>
  <c r="AQ126" i="22"/>
  <c r="AQ164" i="22"/>
  <c r="AQ140" i="22"/>
  <c r="AQ178" i="22"/>
  <c r="AQ142" i="22"/>
  <c r="AQ146" i="22"/>
  <c r="AQ166" i="22"/>
  <c r="AQ170" i="22"/>
  <c r="AQ161" i="22"/>
  <c r="AQ159" i="22"/>
  <c r="AQ138" i="22"/>
  <c r="AQ134" i="22"/>
  <c r="AQ129" i="22"/>
  <c r="AQ148" i="22"/>
  <c r="AQ151" i="22"/>
  <c r="AQ144" i="22"/>
  <c r="AQ125" i="22"/>
  <c r="AQ152" i="22"/>
  <c r="AQ158" i="22"/>
  <c r="AQ139" i="22"/>
  <c r="AQ143" i="22"/>
  <c r="AQ135" i="22"/>
  <c r="AQ171" i="22"/>
  <c r="AQ156" i="22"/>
  <c r="AQ132" i="22"/>
  <c r="AQ147" i="22"/>
  <c r="AQ133" i="22"/>
  <c r="AQ157" i="22"/>
  <c r="AQ168" i="22"/>
  <c r="AQ127" i="22"/>
  <c r="AQ153" i="22"/>
  <c r="AQ137" i="22"/>
  <c r="AR152" i="22"/>
  <c r="AR171" i="22"/>
  <c r="AR128" i="22"/>
  <c r="AR126" i="22"/>
  <c r="AR172" i="22"/>
  <c r="AR174" i="22"/>
  <c r="AR142" i="22"/>
  <c r="AR168" i="22"/>
  <c r="AR150" i="22"/>
  <c r="AR177" i="22"/>
  <c r="AR163" i="22"/>
  <c r="AR137" i="22"/>
  <c r="AR143" i="22"/>
  <c r="AR147" i="22"/>
  <c r="AR179" i="22"/>
  <c r="AR153" i="22"/>
  <c r="AR161" i="22"/>
  <c r="AR138" i="22"/>
  <c r="AR131" i="22"/>
  <c r="AR160" i="22"/>
  <c r="AR136" i="22"/>
  <c r="AR166" i="22"/>
  <c r="AR155" i="22"/>
  <c r="AR165" i="22"/>
  <c r="AR164" i="22"/>
  <c r="AR169" i="22"/>
  <c r="AR129" i="22"/>
  <c r="AR146" i="22"/>
  <c r="AR162" i="22"/>
  <c r="AR178" i="22"/>
  <c r="AR154" i="22"/>
  <c r="AR149" i="22"/>
  <c r="AR139" i="22"/>
  <c r="AR148" i="22"/>
  <c r="AR134" i="22"/>
  <c r="AR157" i="22"/>
  <c r="AR167" i="22"/>
  <c r="AR175" i="22"/>
  <c r="AR145" i="22"/>
  <c r="AR141" i="22"/>
  <c r="AR135" i="22"/>
  <c r="AR158" i="22"/>
  <c r="AR130" i="22"/>
  <c r="AR132" i="22"/>
  <c r="AR159" i="22"/>
  <c r="AR173" i="22"/>
  <c r="AR170" i="22"/>
  <c r="AR176" i="22"/>
  <c r="AR133" i="22"/>
  <c r="AR144" i="22"/>
  <c r="AR151" i="22"/>
  <c r="AR127" i="22"/>
  <c r="AR125" i="22"/>
  <c r="AR140" i="22"/>
  <c r="AR156" i="22"/>
  <c r="AS133" i="22"/>
  <c r="AS143" i="22"/>
  <c r="AS179" i="22"/>
  <c r="AS167" i="22"/>
  <c r="AS158" i="22"/>
  <c r="AS128" i="22"/>
  <c r="AS162" i="22"/>
  <c r="AS129" i="22"/>
  <c r="AS132" i="22"/>
  <c r="AS165" i="22"/>
  <c r="AS150" i="22"/>
  <c r="AS160" i="22"/>
  <c r="AS134" i="22"/>
  <c r="AS144" i="22"/>
  <c r="AS153" i="22"/>
  <c r="AS140" i="22"/>
  <c r="AS172" i="22"/>
  <c r="AS171" i="22"/>
  <c r="AS151" i="22"/>
  <c r="AS136" i="22"/>
  <c r="AS135" i="22"/>
  <c r="AS130" i="22"/>
  <c r="AS147" i="22"/>
  <c r="AS137" i="22"/>
  <c r="AS146" i="22"/>
  <c r="AS168" i="22"/>
  <c r="AS145" i="22"/>
  <c r="AS131" i="22"/>
  <c r="AS148" i="22"/>
  <c r="AS142" i="22"/>
  <c r="AS164" i="22"/>
  <c r="AS141" i="22"/>
  <c r="AS125" i="22"/>
  <c r="AS163" i="22"/>
  <c r="AS139" i="22"/>
  <c r="AS176" i="22"/>
  <c r="AS156" i="22"/>
  <c r="AS126" i="22"/>
  <c r="AS173" i="22"/>
  <c r="AS159" i="22"/>
  <c r="AS174" i="22"/>
  <c r="AS149" i="22"/>
  <c r="AS170" i="22"/>
  <c r="AS177" i="22"/>
  <c r="AS155" i="22"/>
  <c r="AS152" i="22"/>
  <c r="AS157" i="22"/>
  <c r="AS166" i="22"/>
  <c r="AS127" i="22"/>
  <c r="AS154" i="22"/>
  <c r="AS169" i="22"/>
  <c r="AS178" i="22"/>
  <c r="AS138" i="22"/>
  <c r="AS175" i="22"/>
  <c r="AS161" i="22"/>
  <c r="AT171" i="22"/>
  <c r="AT142" i="22"/>
  <c r="AT172" i="22"/>
  <c r="AT160" i="22"/>
  <c r="AT141" i="22"/>
  <c r="AT144" i="22"/>
  <c r="AT134" i="22"/>
  <c r="AT130" i="22"/>
  <c r="AT140" i="22"/>
  <c r="AT155" i="22"/>
  <c r="AT178" i="22"/>
  <c r="AT169" i="22"/>
  <c r="AT165" i="22"/>
  <c r="AT146" i="22"/>
  <c r="AT143" i="22"/>
  <c r="AT163" i="22"/>
  <c r="AT170" i="22"/>
  <c r="AT128" i="22"/>
  <c r="AT135" i="22"/>
  <c r="AT126" i="22"/>
  <c r="AT166" i="22"/>
  <c r="AT129" i="22"/>
  <c r="AT127" i="22"/>
  <c r="AT136" i="22"/>
  <c r="AT175" i="22"/>
  <c r="AT132" i="22"/>
  <c r="AT137" i="22"/>
  <c r="AT159" i="22"/>
  <c r="AT133" i="22"/>
  <c r="AT149" i="22"/>
  <c r="AT164" i="22"/>
  <c r="AT145" i="22"/>
  <c r="AT177" i="22"/>
  <c r="AT152" i="22"/>
  <c r="AT125" i="22"/>
  <c r="AT174" i="22"/>
  <c r="AT157" i="22"/>
  <c r="AT151" i="22"/>
  <c r="AT173" i="22"/>
  <c r="AT138" i="22"/>
  <c r="AT154" i="22"/>
  <c r="AT148" i="22"/>
  <c r="AT179" i="22"/>
  <c r="AT158" i="22"/>
  <c r="AT167" i="22"/>
  <c r="AT150" i="22"/>
  <c r="AT139" i="22"/>
  <c r="AT131" i="22"/>
  <c r="AT153" i="22"/>
  <c r="AT147" i="22"/>
  <c r="AT168" i="22"/>
  <c r="AT176" i="22"/>
  <c r="AT162" i="22"/>
  <c r="AT161" i="22"/>
  <c r="AT156" i="22"/>
  <c r="AU151" i="22"/>
  <c r="AU153" i="22"/>
  <c r="AU143" i="22"/>
  <c r="AU130" i="22"/>
  <c r="AU154" i="22"/>
  <c r="AU129" i="22"/>
  <c r="AU127" i="22"/>
  <c r="AU156" i="22"/>
  <c r="AU160" i="22"/>
  <c r="AU142" i="22"/>
  <c r="AU162" i="22"/>
  <c r="AU136" i="22"/>
  <c r="AU145" i="22"/>
  <c r="AU158" i="22"/>
  <c r="AU168" i="22"/>
  <c r="AU179" i="22"/>
  <c r="AU178" i="22"/>
  <c r="AU174" i="22"/>
  <c r="AU128" i="22"/>
  <c r="AU125" i="22"/>
  <c r="AU175" i="22"/>
  <c r="AU140" i="22"/>
  <c r="AU155" i="22"/>
  <c r="AU144" i="22"/>
  <c r="AU166" i="22"/>
  <c r="AU172" i="22"/>
  <c r="AU148" i="22"/>
  <c r="AU157" i="22"/>
  <c r="AU165" i="22"/>
  <c r="AU164" i="22"/>
  <c r="AU173" i="22"/>
  <c r="AU170" i="22"/>
  <c r="AU133" i="22"/>
  <c r="AU167" i="22"/>
  <c r="AU146" i="22"/>
  <c r="AU135" i="22"/>
  <c r="AU163" i="22"/>
  <c r="AU137" i="22"/>
  <c r="AU139" i="22"/>
  <c r="AU134" i="22"/>
  <c r="AU141" i="22"/>
  <c r="AU138" i="22"/>
  <c r="AU177" i="22"/>
  <c r="AU126" i="22"/>
  <c r="AU131" i="22"/>
  <c r="AU171" i="22"/>
  <c r="AU161" i="22"/>
  <c r="AU150" i="22"/>
  <c r="AU132" i="22"/>
  <c r="AU149" i="22"/>
  <c r="AU159" i="22"/>
  <c r="AU152" i="22"/>
  <c r="AU169" i="22"/>
  <c r="AU147" i="22"/>
  <c r="AU176" i="22"/>
  <c r="AV140" i="22"/>
  <c r="AV167" i="22"/>
  <c r="AV163" i="22"/>
  <c r="AV159" i="22"/>
  <c r="AV127" i="22"/>
  <c r="AV158" i="22"/>
  <c r="AV177" i="22"/>
  <c r="AV166" i="22"/>
  <c r="AV125" i="22"/>
  <c r="AV126" i="22"/>
  <c r="AV144" i="22"/>
  <c r="AV175" i="22"/>
  <c r="AV173" i="22"/>
  <c r="AV143" i="22"/>
  <c r="AV129" i="22"/>
  <c r="AV161" i="22"/>
  <c r="AV165" i="22"/>
  <c r="AV172" i="22"/>
  <c r="AV155" i="22"/>
  <c r="AV131" i="22"/>
  <c r="AV150" i="22"/>
  <c r="AV170" i="22"/>
  <c r="AV168" i="22"/>
  <c r="AV151" i="22"/>
  <c r="AV142" i="22"/>
  <c r="AV156" i="22"/>
  <c r="AV148" i="22"/>
  <c r="AV139" i="22"/>
  <c r="AV145" i="22"/>
  <c r="AV135" i="22"/>
  <c r="AV132" i="22"/>
  <c r="AV153" i="22"/>
  <c r="AV130" i="22"/>
  <c r="AV178" i="22"/>
  <c r="AV176" i="22"/>
  <c r="AV146" i="22"/>
  <c r="AV133" i="22"/>
  <c r="AV154" i="22"/>
  <c r="AV138" i="22"/>
  <c r="AV152" i="22"/>
  <c r="AV136" i="22"/>
  <c r="AV157" i="22"/>
  <c r="AV141" i="22"/>
  <c r="AV164" i="22"/>
  <c r="AV169" i="22"/>
  <c r="AV134" i="22"/>
  <c r="AV179" i="22"/>
  <c r="AV137" i="22"/>
  <c r="AV147" i="22"/>
  <c r="AV174" i="22"/>
  <c r="AV149" i="22"/>
  <c r="AV171" i="22"/>
  <c r="AV160" i="22"/>
  <c r="AV162" i="22"/>
  <c r="AV128" i="22"/>
  <c r="AW157" i="22"/>
  <c r="AW125" i="22"/>
  <c r="AW169" i="22"/>
  <c r="AW173" i="22"/>
  <c r="AW134" i="22"/>
  <c r="AW177" i="22"/>
  <c r="AW159" i="22"/>
  <c r="AW160" i="22"/>
  <c r="AW178" i="22"/>
  <c r="AW176" i="22"/>
  <c r="AW141" i="22"/>
  <c r="AW172" i="22"/>
  <c r="AW129" i="22"/>
  <c r="AW130" i="22"/>
  <c r="AW162" i="22"/>
  <c r="AW144" i="22"/>
  <c r="AW147" i="22"/>
  <c r="AW138" i="22"/>
  <c r="AW139" i="22"/>
  <c r="AW156" i="22"/>
  <c r="AW155" i="22"/>
  <c r="AW149" i="22"/>
  <c r="AW165" i="22"/>
  <c r="AW132" i="22"/>
  <c r="AW167" i="22"/>
  <c r="AW158" i="22"/>
  <c r="AW146" i="22"/>
  <c r="AW151" i="22"/>
  <c r="AW148" i="22"/>
  <c r="AW150" i="22"/>
  <c r="AW143" i="22"/>
  <c r="AW171" i="22"/>
  <c r="AW135" i="22"/>
  <c r="AW145" i="22"/>
  <c r="AW128" i="22"/>
  <c r="AW170" i="22"/>
  <c r="AW161" i="22"/>
  <c r="AW175" i="22"/>
  <c r="AW152" i="22"/>
  <c r="AW163" i="22"/>
  <c r="AW140" i="22"/>
  <c r="AW168" i="22"/>
  <c r="AW153" i="22"/>
  <c r="AW137" i="22"/>
  <c r="AW164" i="22"/>
  <c r="AW166" i="22"/>
  <c r="AW154" i="22"/>
  <c r="AW133" i="22"/>
  <c r="AW142" i="22"/>
  <c r="AW174" i="22"/>
  <c r="AW126" i="22"/>
  <c r="AW131" i="22"/>
  <c r="AW179" i="22"/>
  <c r="AW136" i="22"/>
  <c r="AW127" i="22"/>
  <c r="AX153" i="22"/>
  <c r="AX147" i="22"/>
  <c r="AX164" i="22"/>
  <c r="AX168" i="22"/>
  <c r="AX170" i="22"/>
  <c r="AX177" i="22"/>
  <c r="AX139" i="22"/>
  <c r="AX136" i="22"/>
  <c r="AX165" i="22"/>
  <c r="AX126" i="22"/>
  <c r="AX127" i="22"/>
  <c r="AX162" i="22"/>
  <c r="AX179" i="22"/>
  <c r="AX161" i="22"/>
  <c r="AX166" i="22"/>
  <c r="AX142" i="22"/>
  <c r="AX138" i="22"/>
  <c r="AX146" i="22"/>
  <c r="AX145" i="22"/>
  <c r="AX151" i="22"/>
  <c r="AX148" i="22"/>
  <c r="AX128" i="22"/>
  <c r="AX137" i="22"/>
  <c r="AX167" i="22"/>
  <c r="AX174" i="22"/>
  <c r="AX172" i="22"/>
  <c r="AX144" i="22"/>
  <c r="AX173" i="22"/>
  <c r="AX130" i="22"/>
  <c r="AX152" i="22"/>
  <c r="AX140" i="22"/>
  <c r="AX141" i="22"/>
  <c r="AX157" i="22"/>
  <c r="AX133" i="22"/>
  <c r="AX149" i="22"/>
  <c r="AX160" i="22"/>
  <c r="AX129" i="22"/>
  <c r="AX125" i="22"/>
  <c r="AX159" i="22"/>
  <c r="AX178" i="22"/>
  <c r="AX156" i="22"/>
  <c r="AX150" i="22"/>
  <c r="AX155" i="22"/>
  <c r="AX171" i="22"/>
  <c r="AX143" i="22"/>
  <c r="AX132" i="22"/>
  <c r="AX175" i="22"/>
  <c r="AX135" i="22"/>
  <c r="AX163" i="22"/>
  <c r="AX176" i="22"/>
  <c r="AX134" i="22"/>
  <c r="AX154" i="22"/>
  <c r="AX169" i="22"/>
  <c r="AX158" i="22"/>
  <c r="AX131" i="22"/>
  <c r="AY169" i="22"/>
  <c r="AY145" i="22"/>
  <c r="AY147" i="22"/>
  <c r="AY141" i="22"/>
  <c r="AY134" i="22"/>
  <c r="AY152" i="22"/>
  <c r="AY163" i="22"/>
  <c r="AY168" i="22"/>
  <c r="AY174" i="22"/>
  <c r="AY128" i="22"/>
  <c r="AY156" i="22"/>
  <c r="AY144" i="22"/>
  <c r="AY142" i="22"/>
  <c r="AY136" i="22"/>
  <c r="AY138" i="22"/>
  <c r="AY173" i="22"/>
  <c r="AY175" i="22"/>
  <c r="AY149" i="22"/>
  <c r="AY143" i="22"/>
  <c r="AY150" i="22"/>
  <c r="AY166" i="22"/>
  <c r="AY132" i="22"/>
  <c r="AY154" i="22"/>
  <c r="AY176" i="22"/>
  <c r="AY153" i="22"/>
  <c r="AY127" i="22"/>
  <c r="AY172" i="22"/>
  <c r="AY157" i="22"/>
  <c r="AY164" i="22"/>
  <c r="AY170" i="22"/>
  <c r="AY161" i="22"/>
  <c r="AY137" i="22"/>
  <c r="AY126" i="22"/>
  <c r="AY179" i="22"/>
  <c r="AY131" i="22"/>
  <c r="AY165" i="22"/>
  <c r="AY151" i="22"/>
  <c r="AY155" i="22"/>
  <c r="AY177" i="22"/>
  <c r="AY133" i="22"/>
  <c r="AY178" i="22"/>
  <c r="AY125" i="22"/>
  <c r="AY158" i="22"/>
  <c r="AY146" i="22"/>
  <c r="AY139" i="22"/>
  <c r="AY130" i="22"/>
  <c r="AY135" i="22"/>
  <c r="AY162" i="22"/>
  <c r="AY148" i="22"/>
  <c r="AY159" i="22"/>
  <c r="AY140" i="22"/>
  <c r="AY129" i="22"/>
  <c r="AY160" i="22"/>
  <c r="AY167" i="22"/>
  <c r="AY171" i="22"/>
  <c r="AZ160" i="22"/>
  <c r="AZ166" i="22"/>
  <c r="AZ176" i="22"/>
  <c r="AZ145" i="22"/>
  <c r="AZ128" i="22"/>
  <c r="AZ179" i="22"/>
  <c r="AZ135" i="22"/>
  <c r="AZ156" i="22"/>
  <c r="AZ177" i="22"/>
  <c r="AZ167" i="22"/>
  <c r="AZ174" i="22"/>
  <c r="AZ151" i="22"/>
  <c r="AZ127" i="22"/>
  <c r="AZ169" i="22"/>
  <c r="AZ136" i="22"/>
  <c r="AZ129" i="22"/>
  <c r="AZ159" i="22"/>
  <c r="AZ143" i="22"/>
  <c r="AZ132" i="22"/>
  <c r="AZ161" i="22"/>
  <c r="AZ168" i="22"/>
  <c r="AZ178" i="22"/>
  <c r="AZ139" i="22"/>
  <c r="AZ172" i="22"/>
  <c r="AZ150" i="22"/>
  <c r="AZ138" i="22"/>
  <c r="AZ141" i="22"/>
  <c r="AZ142" i="22"/>
  <c r="AZ170" i="22"/>
  <c r="AZ134" i="22"/>
  <c r="AZ155" i="22"/>
  <c r="AZ144" i="22"/>
  <c r="AZ164" i="22"/>
  <c r="AZ163" i="22"/>
  <c r="AZ162" i="22"/>
  <c r="AZ146" i="22"/>
  <c r="AZ157" i="22"/>
  <c r="AZ173" i="22"/>
  <c r="AZ125" i="22"/>
  <c r="AZ171" i="22"/>
  <c r="AZ175" i="22"/>
  <c r="AZ137" i="22"/>
  <c r="AZ149" i="22"/>
  <c r="AZ154" i="22"/>
  <c r="AZ165" i="22"/>
  <c r="AZ126" i="22"/>
  <c r="AZ158" i="22"/>
  <c r="AZ148" i="22"/>
  <c r="AZ152" i="22"/>
  <c r="AZ140" i="22"/>
  <c r="AZ133" i="22"/>
  <c r="AZ153" i="22"/>
  <c r="AZ130" i="22"/>
  <c r="AZ147" i="22"/>
  <c r="AZ131" i="22"/>
  <c r="BA140" i="22"/>
  <c r="BA130" i="22"/>
  <c r="BA174" i="22"/>
  <c r="BA125" i="22"/>
  <c r="BA172" i="22"/>
  <c r="BA151" i="22"/>
  <c r="BA165" i="22"/>
  <c r="BA163" i="22"/>
  <c r="BA145" i="22"/>
  <c r="BA177" i="22"/>
  <c r="BA161" i="22"/>
  <c r="BA160" i="22"/>
  <c r="BA155" i="22"/>
  <c r="BA158" i="22"/>
  <c r="BA133" i="22"/>
  <c r="BA175" i="22"/>
  <c r="BA142" i="22"/>
  <c r="BA131" i="22"/>
  <c r="BA141" i="22"/>
  <c r="BA139" i="22"/>
  <c r="BA144" i="22"/>
  <c r="BA153" i="22"/>
  <c r="BA150" i="22"/>
  <c r="BA179" i="22"/>
  <c r="BA162" i="22"/>
  <c r="BA170" i="22"/>
  <c r="BA152" i="22"/>
  <c r="BA156" i="22"/>
  <c r="BA132" i="22"/>
  <c r="BA146" i="22"/>
  <c r="BA168" i="22"/>
  <c r="BA166" i="22"/>
  <c r="BA143" i="22"/>
  <c r="BA137" i="22"/>
  <c r="BA147" i="22"/>
  <c r="BA171" i="22"/>
  <c r="BA136" i="22"/>
  <c r="BA129" i="22"/>
  <c r="BA127" i="22"/>
  <c r="BA149" i="22"/>
  <c r="BA164" i="22"/>
  <c r="BA126" i="22"/>
  <c r="BA157" i="22"/>
  <c r="BA173" i="22"/>
  <c r="BA154" i="22"/>
  <c r="BA134" i="22"/>
  <c r="BA159" i="22"/>
  <c r="BA169" i="22"/>
  <c r="BA178" i="22"/>
  <c r="BA167" i="22"/>
  <c r="BA135" i="22"/>
  <c r="BA138" i="22"/>
  <c r="BA128" i="22"/>
  <c r="BA176" i="22"/>
  <c r="BA148" i="22"/>
  <c r="BB165" i="22"/>
  <c r="BB166" i="22"/>
  <c r="BB142" i="22"/>
  <c r="BB170" i="22"/>
  <c r="BB172" i="22"/>
  <c r="BB147" i="22"/>
  <c r="BB155" i="22"/>
  <c r="BB150" i="22"/>
  <c r="BB128" i="22"/>
  <c r="BB149" i="22"/>
  <c r="BB167" i="22"/>
  <c r="BB146" i="22"/>
  <c r="BB127" i="22"/>
  <c r="BB169" i="22"/>
  <c r="BB132" i="22"/>
  <c r="BB177" i="22"/>
  <c r="BB160" i="22"/>
  <c r="BB138" i="22"/>
  <c r="BB154" i="22"/>
  <c r="BB157" i="22"/>
  <c r="BB140" i="22"/>
  <c r="BB143" i="22"/>
  <c r="BB176" i="22"/>
  <c r="BB136" i="22"/>
  <c r="BB131" i="22"/>
  <c r="BB162" i="22"/>
  <c r="BB135" i="22"/>
  <c r="BB144" i="22"/>
  <c r="BB164" i="22"/>
  <c r="BB141" i="22"/>
  <c r="BB151" i="22"/>
  <c r="BB156" i="22"/>
  <c r="BB175" i="22"/>
  <c r="BB130" i="22"/>
  <c r="BB168" i="22"/>
  <c r="BB163" i="22"/>
  <c r="BB133" i="22"/>
  <c r="BB139" i="22"/>
  <c r="BB153" i="22"/>
  <c r="BB174" i="22"/>
  <c r="BB171" i="22"/>
  <c r="BB145" i="22"/>
  <c r="BB148" i="22"/>
  <c r="BB126" i="22"/>
  <c r="BB137" i="22"/>
  <c r="BB125" i="22"/>
  <c r="BB178" i="22"/>
  <c r="BB129" i="22"/>
  <c r="BB158" i="22"/>
  <c r="BB152" i="22"/>
  <c r="BB161" i="22"/>
  <c r="BB173" i="22"/>
  <c r="BB134" i="22"/>
  <c r="BB159" i="22"/>
  <c r="BB179" i="22"/>
  <c r="BC170" i="22"/>
  <c r="BC147" i="22"/>
  <c r="BC127" i="22"/>
  <c r="BC132" i="22"/>
  <c r="BC142" i="22"/>
  <c r="BC150" i="22"/>
  <c r="BC165" i="22"/>
  <c r="BC129" i="22"/>
  <c r="BC134" i="22"/>
  <c r="BC135" i="22"/>
  <c r="BC176" i="22"/>
  <c r="BC162" i="22"/>
  <c r="BC146" i="22"/>
  <c r="BC154" i="22"/>
  <c r="BC149" i="22"/>
  <c r="BC179" i="22"/>
  <c r="BC178" i="22"/>
  <c r="BC125" i="22"/>
  <c r="BC172" i="22"/>
  <c r="BC133" i="22"/>
  <c r="BC145" i="22"/>
  <c r="BC131" i="22"/>
  <c r="BC156" i="22"/>
  <c r="BC175" i="22"/>
  <c r="BC143" i="22"/>
  <c r="BC168" i="22"/>
  <c r="BC151" i="22"/>
  <c r="BC141" i="22"/>
  <c r="BC148" i="22"/>
  <c r="BC137" i="22"/>
  <c r="BC136" i="22"/>
  <c r="BC130" i="22"/>
  <c r="BC161" i="22"/>
  <c r="BC177" i="22"/>
  <c r="BC167" i="22"/>
  <c r="BC158" i="22"/>
  <c r="BC155" i="22"/>
  <c r="BC140" i="22"/>
  <c r="BC163" i="22"/>
  <c r="BC166" i="22"/>
  <c r="BC139" i="22"/>
  <c r="BC152" i="22"/>
  <c r="BC164" i="22"/>
  <c r="BC159" i="22"/>
  <c r="BC157" i="22"/>
  <c r="BC144" i="22"/>
  <c r="BC153" i="22"/>
  <c r="BC171" i="22"/>
  <c r="BC169" i="22"/>
  <c r="BC128" i="22"/>
  <c r="BC126" i="22"/>
  <c r="BC173" i="22"/>
  <c r="BC174" i="22"/>
  <c r="BC160" i="22"/>
  <c r="BC138" i="22"/>
  <c r="BD130" i="22"/>
  <c r="BD172" i="22"/>
  <c r="BD129" i="22"/>
  <c r="BD142" i="22"/>
  <c r="BD139" i="22"/>
  <c r="BD155" i="22"/>
  <c r="BD136" i="22"/>
  <c r="BD163" i="22"/>
  <c r="BD128" i="22"/>
  <c r="BD132" i="22"/>
  <c r="BD161" i="22"/>
  <c r="BD144" i="22"/>
  <c r="BD179" i="22"/>
  <c r="BD137" i="22"/>
  <c r="BD159" i="22"/>
  <c r="BD131" i="22"/>
  <c r="BD178" i="22"/>
  <c r="BD173" i="22"/>
  <c r="BD174" i="22"/>
  <c r="BD171" i="22"/>
  <c r="BD166" i="22"/>
  <c r="BD176" i="22"/>
  <c r="BD167" i="22"/>
  <c r="BD149" i="22"/>
  <c r="BD158" i="22"/>
  <c r="BD160" i="22"/>
  <c r="BD153" i="22"/>
  <c r="BD140" i="22"/>
  <c r="BD147" i="22"/>
  <c r="BD156" i="22"/>
  <c r="BD169" i="22"/>
  <c r="BD177" i="22"/>
  <c r="BD148" i="22"/>
  <c r="BD135" i="22"/>
  <c r="BD162" i="22"/>
  <c r="BD152" i="22"/>
  <c r="BD164" i="22"/>
  <c r="BD133" i="22"/>
  <c r="BD146" i="22"/>
  <c r="BD126" i="22"/>
  <c r="BD170" i="22"/>
  <c r="BD157" i="22"/>
  <c r="BD134" i="22"/>
  <c r="BD150" i="22"/>
  <c r="BD151" i="22"/>
  <c r="BD175" i="22"/>
  <c r="BD125" i="22"/>
  <c r="BD141" i="22"/>
  <c r="BD168" i="22"/>
  <c r="BD138" i="22"/>
  <c r="BD127" i="22"/>
  <c r="BD165" i="22"/>
  <c r="BD143" i="22"/>
  <c r="BD154" i="22"/>
  <c r="BD145" i="22"/>
  <c r="BI126" i="22"/>
  <c r="BI128" i="22"/>
  <c r="BI129" i="22"/>
  <c r="BI135" i="22"/>
  <c r="BI144" i="22"/>
  <c r="BI142" i="22"/>
  <c r="BI159" i="22"/>
  <c r="BI156" i="22"/>
  <c r="BI153" i="22"/>
  <c r="BI166" i="22"/>
  <c r="BI154" i="22"/>
  <c r="BI164" i="22"/>
  <c r="BI165" i="22"/>
  <c r="BI179" i="22"/>
  <c r="BH125" i="22"/>
  <c r="BH146" i="22"/>
  <c r="BH171" i="22"/>
  <c r="BH170" i="22"/>
  <c r="BG178" i="22"/>
  <c r="BE135" i="22"/>
  <c r="BG176" i="22"/>
  <c r="BE133" i="22"/>
  <c r="BE126" i="22"/>
  <c r="BG165" i="22"/>
  <c r="BF139" i="22"/>
  <c r="BG142" i="22"/>
  <c r="BE156" i="22"/>
  <c r="BE174" i="22"/>
  <c r="BH130" i="22"/>
  <c r="BH143" i="22"/>
  <c r="BH177" i="22"/>
  <c r="BG153" i="22"/>
  <c r="BE168" i="22"/>
  <c r="BF169" i="22"/>
  <c r="BG157" i="22"/>
  <c r="BF148" i="22"/>
  <c r="BG151" i="22"/>
  <c r="BF165" i="22"/>
  <c r="BG129" i="22"/>
  <c r="BF175" i="22"/>
  <c r="BE143" i="22"/>
  <c r="BE161" i="22"/>
  <c r="BH134" i="22"/>
  <c r="BH152" i="22"/>
  <c r="BH164" i="22"/>
  <c r="BH178" i="22"/>
  <c r="BF158" i="22"/>
  <c r="BE165" i="22"/>
  <c r="BG166" i="22"/>
  <c r="BF167" i="22"/>
  <c r="BG138" i="22"/>
  <c r="BE163" i="22"/>
  <c r="BG135" i="22"/>
  <c r="BE166" i="22"/>
  <c r="BE137" i="22"/>
  <c r="BH144" i="22"/>
  <c r="BH150" i="22"/>
  <c r="BH159" i="22"/>
  <c r="BG159" i="22"/>
  <c r="BE147" i="22"/>
  <c r="BE179" i="22"/>
  <c r="BG163" i="22"/>
  <c r="BF174" i="22"/>
  <c r="BF166" i="22"/>
  <c r="BG148" i="22"/>
  <c r="BF138" i="22"/>
  <c r="BE173" i="22"/>
  <c r="BI130" i="22"/>
  <c r="BI132" i="22"/>
  <c r="BI134" i="22"/>
  <c r="BI139" i="22"/>
  <c r="BI136" i="22"/>
  <c r="BI146" i="22"/>
  <c r="BI163" i="22"/>
  <c r="BI160" i="22"/>
  <c r="BI157" i="22"/>
  <c r="BI170" i="22"/>
  <c r="BI158" i="22"/>
  <c r="BI168" i="22"/>
  <c r="BI169" i="22"/>
  <c r="BI178" i="22"/>
  <c r="BH133" i="22"/>
  <c r="BH160" i="22"/>
  <c r="BH172" i="22"/>
  <c r="BG133" i="22"/>
  <c r="BF168" i="22"/>
  <c r="BF154" i="22"/>
  <c r="BG179" i="22"/>
  <c r="BE146" i="22"/>
  <c r="BE167" i="22"/>
  <c r="BF134" i="22"/>
  <c r="BF150" i="22"/>
  <c r="BG155" i="22"/>
  <c r="BF178" i="22"/>
  <c r="BH131" i="22"/>
  <c r="BH145" i="22"/>
  <c r="BH158" i="22"/>
  <c r="BH179" i="22"/>
  <c r="BG156" i="22"/>
  <c r="BF177" i="22"/>
  <c r="BE148" i="22"/>
  <c r="BG160" i="22"/>
  <c r="BE132" i="22"/>
  <c r="BG170" i="22"/>
  <c r="BE151" i="22"/>
  <c r="BG140" i="22"/>
  <c r="BE176" i="22"/>
  <c r="BF141" i="22"/>
  <c r="BF146" i="22"/>
  <c r="BH139" i="22"/>
  <c r="BH153" i="22"/>
  <c r="BH165" i="22"/>
  <c r="BG137" i="22"/>
  <c r="BF172" i="22"/>
  <c r="BF164" i="22"/>
  <c r="BF147" i="22"/>
  <c r="BF145" i="22"/>
  <c r="BG164" i="22"/>
  <c r="BE175" i="22"/>
  <c r="BG149" i="22"/>
  <c r="BE164" i="22"/>
  <c r="BH132" i="22"/>
  <c r="BH142" i="22"/>
  <c r="BH167" i="22"/>
  <c r="BH166" i="22"/>
  <c r="BG167" i="22"/>
  <c r="BF149" i="22"/>
  <c r="BE178" i="22"/>
  <c r="BG171" i="22"/>
  <c r="BE157" i="22"/>
  <c r="BE125" i="22"/>
  <c r="BG162" i="22"/>
  <c r="BE140" i="22"/>
  <c r="BF159" i="22"/>
  <c r="BF143" i="22"/>
  <c r="BE127" i="22"/>
  <c r="BI127" i="22"/>
  <c r="BI137" i="22"/>
  <c r="BI138" i="22"/>
  <c r="BI143" i="22"/>
  <c r="BI141" i="22"/>
  <c r="BI151" i="22"/>
  <c r="BI148" i="22"/>
  <c r="BI140" i="22"/>
  <c r="BI161" i="22"/>
  <c r="BI174" i="22"/>
  <c r="BI167" i="22"/>
  <c r="BI172" i="22"/>
  <c r="BI173" i="22"/>
  <c r="BI175" i="22"/>
  <c r="BH140" i="22"/>
  <c r="BH161" i="22"/>
  <c r="BH173" i="22"/>
  <c r="BG143" i="22"/>
  <c r="BF162" i="22"/>
  <c r="BG126" i="22"/>
  <c r="BE128" i="22"/>
  <c r="BF142" i="22"/>
  <c r="BG131" i="22"/>
  <c r="BE149" i="22"/>
  <c r="BE158" i="22"/>
  <c r="BG174" i="22"/>
  <c r="BF131" i="22"/>
  <c r="BH129" i="22"/>
  <c r="BH148" i="22"/>
  <c r="BH175" i="22"/>
  <c r="BH174" i="22"/>
  <c r="BF130" i="22"/>
  <c r="BF128" i="22"/>
  <c r="BE159" i="22"/>
  <c r="BF140" i="22"/>
  <c r="BF136" i="22"/>
  <c r="BF135" i="22"/>
  <c r="BE136" i="22"/>
  <c r="BG168" i="22"/>
  <c r="BF129" i="22"/>
  <c r="BE170" i="22"/>
  <c r="BE129" i="22"/>
  <c r="BH137" i="22"/>
  <c r="BH147" i="22"/>
  <c r="BH151" i="22"/>
  <c r="BG154" i="22"/>
  <c r="BE153" i="22"/>
  <c r="BG141" i="22"/>
  <c r="BF151" i="22"/>
  <c r="BE162" i="22"/>
  <c r="BG177" i="22"/>
  <c r="BF176" i="22"/>
  <c r="BG152" i="22"/>
  <c r="BF144" i="22"/>
  <c r="BH138" i="22"/>
  <c r="BH156" i="22"/>
  <c r="BH168" i="22"/>
  <c r="BG128" i="22"/>
  <c r="BF173" i="22"/>
  <c r="BE144" i="22"/>
  <c r="BG132" i="22"/>
  <c r="BF170" i="22"/>
  <c r="BE160" i="22"/>
  <c r="BG130" i="22"/>
  <c r="BE145" i="22"/>
  <c r="BF133" i="22"/>
  <c r="BG136" i="22"/>
  <c r="BF160" i="22"/>
  <c r="BF152" i="22"/>
  <c r="BF179" i="22"/>
  <c r="BI131" i="22"/>
  <c r="BI125" i="22"/>
  <c r="BI133" i="22"/>
  <c r="BI147" i="22"/>
  <c r="BI145" i="22"/>
  <c r="BI155" i="22"/>
  <c r="BI152" i="22"/>
  <c r="BI149" i="22"/>
  <c r="BI162" i="22"/>
  <c r="BI150" i="22"/>
  <c r="BI171" i="22"/>
  <c r="BI176" i="22"/>
  <c r="BI177" i="22"/>
  <c r="BH127" i="22"/>
  <c r="BH141" i="22"/>
  <c r="BH154" i="22"/>
  <c r="BH176" i="22"/>
  <c r="BG172" i="22"/>
  <c r="BE169" i="22"/>
  <c r="BG147" i="22"/>
  <c r="BE134" i="22"/>
  <c r="BE141" i="22"/>
  <c r="BG161" i="22"/>
  <c r="BE138" i="22"/>
  <c r="BF153" i="22"/>
  <c r="BF156" i="22"/>
  <c r="BF171" i="22"/>
  <c r="BH135" i="22"/>
  <c r="BH149" i="22"/>
  <c r="BH163" i="22"/>
  <c r="BG139" i="22"/>
  <c r="BE177" i="22"/>
  <c r="BE131" i="22"/>
  <c r="BG127" i="22"/>
  <c r="BF137" i="22"/>
  <c r="BG145" i="22"/>
  <c r="BF161" i="22"/>
  <c r="BE155" i="22"/>
  <c r="BG175" i="22"/>
  <c r="BE171" i="22"/>
  <c r="BE142" i="22"/>
  <c r="BH128" i="22"/>
  <c r="BH126" i="22"/>
  <c r="BH162" i="22"/>
  <c r="BH155" i="22"/>
  <c r="BG173" i="22"/>
  <c r="BF155" i="22"/>
  <c r="BG158" i="22"/>
  <c r="BE130" i="22"/>
  <c r="BG125" i="22"/>
  <c r="BF157" i="22"/>
  <c r="BF132" i="22"/>
  <c r="BF125" i="22"/>
  <c r="BF163" i="22"/>
  <c r="BH136" i="22"/>
  <c r="BH157" i="22"/>
  <c r="BH169" i="22"/>
  <c r="BG146" i="22"/>
  <c r="BF127" i="22"/>
  <c r="BF126" i="22"/>
  <c r="BG134" i="22"/>
  <c r="BE139" i="22"/>
  <c r="BE154" i="22"/>
  <c r="BG144" i="22"/>
  <c r="BE152" i="22"/>
  <c r="BE172" i="22"/>
  <c r="BG150" i="22"/>
  <c r="BE150" i="22"/>
  <c r="BG169" i="22"/>
  <c r="BJ64" i="9"/>
  <c r="BJ235" i="9"/>
  <c r="BJ254" i="9"/>
  <c r="BJ387" i="9"/>
  <c r="BJ406" i="9"/>
  <c r="BJ102" i="9"/>
  <c r="BJ121" i="9"/>
  <c r="BJ140" i="9"/>
  <c r="BJ273" i="9"/>
  <c r="BJ292" i="9"/>
  <c r="BJ425" i="9"/>
  <c r="BJ159" i="9"/>
  <c r="BJ178" i="9"/>
  <c r="BJ216" i="9"/>
  <c r="BJ311" i="9"/>
  <c r="BJ330" i="9"/>
  <c r="BJ349" i="9"/>
  <c r="BJ368" i="9"/>
  <c r="BJ83" i="9"/>
  <c r="BJ197" i="9"/>
  <c r="BH770" i="9"/>
  <c r="BH793" i="9" s="1"/>
  <c r="BH866" i="9" s="1"/>
  <c r="AD1122" i="9"/>
  <c r="W423" i="9"/>
  <c r="X423" i="9"/>
  <c r="X425" i="9" s="1"/>
  <c r="Y423" i="9"/>
  <c r="Y425" i="9" s="1"/>
  <c r="W404" i="9"/>
  <c r="Y404" i="9"/>
  <c r="Y406" i="9" s="1"/>
  <c r="X404" i="9"/>
  <c r="X406" i="9" s="1"/>
  <c r="W385" i="9"/>
  <c r="X385" i="9"/>
  <c r="X387" i="9" s="1"/>
  <c r="Y385" i="9"/>
  <c r="Y387" i="9" s="1"/>
  <c r="W366" i="9"/>
  <c r="Y366" i="9"/>
  <c r="Y368" i="9" s="1"/>
  <c r="X366" i="9"/>
  <c r="X368" i="9" s="1"/>
  <c r="W347" i="9"/>
  <c r="X347" i="9"/>
  <c r="X349" i="9" s="1"/>
  <c r="Y347" i="9"/>
  <c r="Y349" i="9" s="1"/>
  <c r="W328" i="9"/>
  <c r="X328" i="9"/>
  <c r="X330" i="9" s="1"/>
  <c r="Y328" i="9"/>
  <c r="Y330" i="9" s="1"/>
  <c r="W309" i="9"/>
  <c r="X309" i="9"/>
  <c r="X311" i="9" s="1"/>
  <c r="Y309" i="9"/>
  <c r="Y311" i="9" s="1"/>
  <c r="W290" i="9"/>
  <c r="X290" i="9"/>
  <c r="X292" i="9" s="1"/>
  <c r="Y290" i="9"/>
  <c r="Y292" i="9" s="1"/>
  <c r="W271" i="9"/>
  <c r="X271" i="9"/>
  <c r="X273" i="9" s="1"/>
  <c r="Y271" i="9"/>
  <c r="Y273" i="9" s="1"/>
  <c r="W252" i="9"/>
  <c r="X252" i="9"/>
  <c r="X254" i="9" s="1"/>
  <c r="Y252" i="9"/>
  <c r="Y254" i="9" s="1"/>
  <c r="W233" i="9"/>
  <c r="X233" i="9"/>
  <c r="X235" i="9" s="1"/>
  <c r="Y233" i="9"/>
  <c r="Y235" i="9" s="1"/>
  <c r="W214" i="9"/>
  <c r="Y214" i="9"/>
  <c r="Y216" i="9" s="1"/>
  <c r="X214" i="9"/>
  <c r="X216" i="9" s="1"/>
  <c r="W195" i="9"/>
  <c r="Y195" i="9"/>
  <c r="Y197" i="9" s="1"/>
  <c r="X195" i="9"/>
  <c r="X197" i="9" s="1"/>
  <c r="W176" i="9"/>
  <c r="Y176" i="9"/>
  <c r="Y178" i="9" s="1"/>
  <c r="X176" i="9"/>
  <c r="X178" i="9" s="1"/>
  <c r="W157" i="9"/>
  <c r="X157" i="9"/>
  <c r="X159" i="9" s="1"/>
  <c r="Y157" i="9"/>
  <c r="Y159" i="9" s="1"/>
  <c r="W138" i="9"/>
  <c r="X138" i="9"/>
  <c r="X140" i="9" s="1"/>
  <c r="Y138" i="9"/>
  <c r="Y140" i="9" s="1"/>
  <c r="W119" i="9"/>
  <c r="Y119" i="9"/>
  <c r="Y121" i="9" s="1"/>
  <c r="X119" i="9"/>
  <c r="X121" i="9" s="1"/>
  <c r="W100" i="9"/>
  <c r="X100" i="9"/>
  <c r="X102" i="9" s="1"/>
  <c r="Y100" i="9"/>
  <c r="Y102" i="9" s="1"/>
  <c r="W81" i="9"/>
  <c r="X81" i="9"/>
  <c r="X83" i="9" s="1"/>
  <c r="Y81" i="9"/>
  <c r="Y83" i="9" s="1"/>
  <c r="BH768" i="9"/>
  <c r="BH791" i="9" s="1"/>
  <c r="BH864" i="9" s="1"/>
  <c r="AB900" i="9"/>
  <c r="W62" i="9"/>
  <c r="X62" i="9"/>
  <c r="X64" i="9" s="1"/>
  <c r="Y62" i="9"/>
  <c r="Y64" i="9" s="1"/>
  <c r="AD890" i="9"/>
  <c r="BH833" i="9"/>
  <c r="AF863" i="9"/>
  <c r="AF813" i="9"/>
  <c r="AG767" i="9" s="1"/>
  <c r="AI803" i="9"/>
  <c r="AJ757" i="9" s="1"/>
  <c r="AJ780" i="9" s="1"/>
  <c r="BH846" i="9"/>
  <c r="BD804" i="9"/>
  <c r="BH843" i="9"/>
  <c r="AI861" i="9"/>
  <c r="AI811" i="9"/>
  <c r="AJ765" i="9" s="1"/>
  <c r="AI859" i="9"/>
  <c r="AI809" i="9"/>
  <c r="BH841" i="9"/>
  <c r="BH239" i="3"/>
  <c r="BH248" i="3"/>
  <c r="BH242" i="3"/>
  <c r="BH235" i="3"/>
  <c r="BH245" i="3"/>
  <c r="BH241" i="3"/>
  <c r="BH240" i="3"/>
  <c r="BH237" i="3"/>
  <c r="BH760" i="9"/>
  <c r="BH783" i="9" s="1"/>
  <c r="BH856" i="9" s="1"/>
  <c r="BH250" i="3"/>
  <c r="BH234" i="3"/>
  <c r="BH714" i="9"/>
  <c r="BH236" i="3"/>
  <c r="BH243" i="3"/>
  <c r="BH247" i="3"/>
  <c r="BH724" i="9"/>
  <c r="BH246" i="3"/>
  <c r="BH722" i="9"/>
  <c r="BH244" i="3"/>
  <c r="BH773" i="9"/>
  <c r="BH796" i="9" s="1"/>
  <c r="BH869" i="9" s="1"/>
  <c r="BH238" i="3"/>
  <c r="BH727" i="9"/>
  <c r="BH249" i="3"/>
  <c r="AE867" i="9"/>
  <c r="BE756" i="9"/>
  <c r="BE779" i="9" s="1"/>
  <c r="BE802" i="9" s="1"/>
  <c r="BE829" i="9"/>
  <c r="W412" i="9"/>
  <c r="Y412" i="9"/>
  <c r="X412" i="9"/>
  <c r="W393" i="9"/>
  <c r="Y393" i="9"/>
  <c r="X393" i="9"/>
  <c r="W374" i="9"/>
  <c r="X374" i="9"/>
  <c r="Y374" i="9"/>
  <c r="W355" i="9"/>
  <c r="X355" i="9"/>
  <c r="Y355" i="9"/>
  <c r="W336" i="9"/>
  <c r="Y336" i="9"/>
  <c r="X336" i="9"/>
  <c r="W317" i="9"/>
  <c r="X317" i="9"/>
  <c r="Y317" i="9"/>
  <c r="W298" i="9"/>
  <c r="X298" i="9"/>
  <c r="Y298" i="9"/>
  <c r="W279" i="9"/>
  <c r="Y279" i="9"/>
  <c r="X279" i="9"/>
  <c r="W260" i="9"/>
  <c r="Y260" i="9"/>
  <c r="X260" i="9"/>
  <c r="W241" i="9"/>
  <c r="X241" i="9"/>
  <c r="Y241" i="9"/>
  <c r="W222" i="9"/>
  <c r="X222" i="9"/>
  <c r="Y222" i="9"/>
  <c r="W203" i="9"/>
  <c r="X203" i="9"/>
  <c r="Y203" i="9"/>
  <c r="W184" i="9"/>
  <c r="X184" i="9"/>
  <c r="Y184" i="9"/>
  <c r="W165" i="9"/>
  <c r="Y165" i="9"/>
  <c r="X165" i="9"/>
  <c r="W146" i="9"/>
  <c r="Y146" i="9"/>
  <c r="X146" i="9"/>
  <c r="W127" i="9"/>
  <c r="X127" i="9"/>
  <c r="Y127" i="9"/>
  <c r="W108" i="9"/>
  <c r="X108" i="9"/>
  <c r="Y108" i="9"/>
  <c r="W89" i="9"/>
  <c r="X89" i="9"/>
  <c r="Y89" i="9"/>
  <c r="W70" i="9"/>
  <c r="Y70" i="9"/>
  <c r="X70" i="9"/>
  <c r="W51" i="9"/>
  <c r="Y51" i="9"/>
  <c r="X51" i="9"/>
  <c r="CK148" i="1"/>
  <c r="CK104" i="1"/>
  <c r="CK24" i="1"/>
  <c r="CK149" i="1"/>
  <c r="CK131" i="1"/>
  <c r="CK13" i="1"/>
  <c r="CK95" i="1"/>
  <c r="CK58" i="1"/>
  <c r="CK105" i="1"/>
  <c r="CK83" i="1"/>
  <c r="CK46" i="1"/>
  <c r="CK34" i="1"/>
  <c r="CK106" i="1"/>
  <c r="CK12" i="1"/>
  <c r="CK97" i="1"/>
  <c r="CK133" i="1"/>
  <c r="CK96" i="1"/>
  <c r="CK82" i="1"/>
  <c r="CK47" i="1"/>
  <c r="CK45" i="1"/>
  <c r="CK56" i="1"/>
  <c r="CK25" i="1"/>
  <c r="CK150" i="1"/>
  <c r="CH149" i="1"/>
  <c r="CJ132" i="1"/>
  <c r="CJ12" i="1"/>
  <c r="CJ13" i="1"/>
  <c r="CH83" i="1"/>
  <c r="CJ47" i="1"/>
  <c r="CL25" i="1"/>
  <c r="CL104" i="1"/>
  <c r="CI133" i="1"/>
  <c r="CG83" i="1"/>
  <c r="CI104" i="1"/>
  <c r="CI47" i="1"/>
  <c r="CI34" i="1"/>
  <c r="CL95" i="1"/>
  <c r="CJ104" i="1"/>
  <c r="CL133" i="1"/>
  <c r="CH150" i="1"/>
  <c r="CG150" i="1"/>
  <c r="CI33" i="1"/>
  <c r="CI57" i="1"/>
  <c r="CK132" i="1"/>
  <c r="CL45" i="1"/>
  <c r="CG56" i="1"/>
  <c r="CJ34" i="1"/>
  <c r="CL150" i="1"/>
  <c r="CG12" i="1"/>
  <c r="CH96" i="1"/>
  <c r="CJ26" i="1"/>
  <c r="CK81" i="1"/>
  <c r="CI24" i="1"/>
  <c r="CG46" i="1"/>
  <c r="CH25" i="1"/>
  <c r="CG95" i="1"/>
  <c r="CI132" i="1"/>
  <c r="CG106" i="1"/>
  <c r="CG82" i="1"/>
  <c r="CG97" i="1"/>
  <c r="CG25" i="1"/>
  <c r="CI96" i="1"/>
  <c r="CI131" i="1"/>
  <c r="CJ105" i="1"/>
  <c r="CI35" i="1"/>
  <c r="CL149" i="1"/>
  <c r="CL12" i="1"/>
  <c r="CG133" i="1"/>
  <c r="CJ96" i="1"/>
  <c r="CJ35" i="1"/>
  <c r="CL58" i="1"/>
  <c r="CG33" i="1"/>
  <c r="CG26" i="1"/>
  <c r="CK26" i="1"/>
  <c r="CI26" i="1"/>
  <c r="CI81" i="1"/>
  <c r="CK35" i="1"/>
  <c r="CG13" i="1"/>
  <c r="CJ106" i="1"/>
  <c r="CJ45" i="1"/>
  <c r="CJ82" i="1"/>
  <c r="CI106" i="1"/>
  <c r="CG24" i="1"/>
  <c r="CG148" i="1"/>
  <c r="CJ95" i="1"/>
  <c r="CG132" i="1"/>
  <c r="CJ24" i="1"/>
  <c r="CJ150" i="1"/>
  <c r="CI58" i="1"/>
  <c r="CG34" i="1"/>
  <c r="CI82" i="1"/>
  <c r="CL57" i="1"/>
  <c r="CJ149" i="1"/>
  <c r="CH34" i="1"/>
  <c r="CG131" i="1"/>
  <c r="CL47" i="1"/>
  <c r="CG57" i="1"/>
  <c r="CI46" i="1"/>
  <c r="CJ131" i="1"/>
  <c r="CJ148" i="1"/>
  <c r="CI83" i="1"/>
  <c r="CL132" i="1"/>
  <c r="CI105" i="1"/>
  <c r="CJ33" i="1"/>
  <c r="CG45" i="1"/>
  <c r="CH95" i="1"/>
  <c r="CL131" i="1"/>
  <c r="CG105" i="1"/>
  <c r="CG58" i="1"/>
  <c r="CI95" i="1"/>
  <c r="CG96" i="1"/>
  <c r="CJ58" i="1"/>
  <c r="CH57" i="1"/>
  <c r="CJ81" i="1"/>
  <c r="CI150" i="1"/>
  <c r="CI13" i="1"/>
  <c r="CG81" i="1"/>
  <c r="CH97" i="1"/>
  <c r="CG35" i="1"/>
  <c r="CL34" i="1"/>
  <c r="CL56" i="1"/>
  <c r="CH104" i="1"/>
  <c r="CJ83" i="1"/>
  <c r="CH105" i="1"/>
  <c r="CK33" i="1"/>
  <c r="CL46" i="1"/>
  <c r="CL13" i="1"/>
  <c r="CH82" i="1"/>
  <c r="CI45" i="1"/>
  <c r="CJ46" i="1"/>
  <c r="CI25" i="1"/>
  <c r="CI56" i="1"/>
  <c r="CG47" i="1"/>
  <c r="CL82" i="1"/>
  <c r="CJ97" i="1"/>
  <c r="CG104" i="1"/>
  <c r="CH13" i="1"/>
  <c r="CI148" i="1"/>
  <c r="CI12" i="1"/>
  <c r="CI149" i="1"/>
  <c r="CH81" i="1"/>
  <c r="CL96" i="1"/>
  <c r="CH106" i="1"/>
  <c r="CL148" i="1"/>
  <c r="CJ25" i="1"/>
  <c r="CK57" i="1"/>
  <c r="CL35" i="1"/>
  <c r="CL83" i="1"/>
  <c r="CJ57" i="1"/>
  <c r="CG149" i="1"/>
  <c r="CJ56" i="1"/>
  <c r="CH35" i="1"/>
  <c r="CJ133" i="1"/>
  <c r="CH47" i="1"/>
  <c r="CI97" i="1"/>
  <c r="CH24" i="1"/>
  <c r="CH56" i="1"/>
  <c r="CH45" i="1"/>
  <c r="CH46" i="1"/>
  <c r="CL106" i="1"/>
  <c r="CL105" i="1"/>
  <c r="CL97" i="1"/>
  <c r="CL33" i="1"/>
  <c r="CH133" i="1"/>
  <c r="CL81" i="1"/>
  <c r="CL24" i="1"/>
  <c r="CH58" i="1"/>
  <c r="CL26" i="1"/>
  <c r="CH131" i="1"/>
  <c r="CH132" i="1"/>
  <c r="CH148" i="1"/>
  <c r="CH33" i="1"/>
  <c r="CH26" i="1"/>
  <c r="BA197" i="1"/>
  <c r="AX193" i="1"/>
  <c r="BA194" i="1"/>
  <c r="AY165" i="1"/>
  <c r="CJ51" i="1"/>
  <c r="CJ30" i="1"/>
  <c r="CJ39" i="1"/>
  <c r="BJ180" i="26"/>
  <c r="BJ194" i="26" s="1"/>
  <c r="BJ183" i="26"/>
  <c r="BJ190" i="26"/>
  <c r="BJ192" i="26"/>
  <c r="BJ187" i="26"/>
  <c r="BJ185" i="26"/>
  <c r="BJ186" i="26"/>
  <c r="BJ188" i="26"/>
  <c r="BJ179" i="26"/>
  <c r="BJ181" i="26"/>
  <c r="BJ178" i="26"/>
  <c r="BJ184" i="26"/>
  <c r="BJ191" i="26"/>
  <c r="BJ189" i="26"/>
  <c r="BJ182" i="26"/>
  <c r="W182" i="1"/>
  <c r="Y182" i="1"/>
  <c r="X182" i="1"/>
  <c r="Y82" i="6"/>
  <c r="W82" i="6"/>
  <c r="W202" i="30" s="1"/>
  <c r="X82" i="6"/>
  <c r="Y43" i="6"/>
  <c r="X43" i="6"/>
  <c r="W43" i="6"/>
  <c r="W288" i="26"/>
  <c r="CM288" i="26" s="1"/>
  <c r="X288" i="26"/>
  <c r="Y288" i="26"/>
  <c r="BI261" i="26"/>
  <c r="BJ257" i="26" s="1"/>
  <c r="W269" i="26"/>
  <c r="CM269" i="26" s="1"/>
  <c r="X269" i="26"/>
  <c r="Y269" i="26"/>
  <c r="W260" i="26"/>
  <c r="CM260" i="26" s="1"/>
  <c r="W238" i="26"/>
  <c r="CM238" i="26" s="1"/>
  <c r="W210" i="26"/>
  <c r="CM210" i="26" s="1"/>
  <c r="Y238" i="26"/>
  <c r="Y250" i="26"/>
  <c r="Y224" i="26"/>
  <c r="X238" i="26"/>
  <c r="W250" i="26"/>
  <c r="CM250" i="26" s="1"/>
  <c r="W224" i="26"/>
  <c r="CM224" i="26" s="1"/>
  <c r="X224" i="26"/>
  <c r="Y260" i="26"/>
  <c r="X250" i="26"/>
  <c r="X260" i="26"/>
  <c r="W317" i="26"/>
  <c r="X317" i="26"/>
  <c r="Y317" i="26"/>
  <c r="W311" i="26"/>
  <c r="CM311" i="26" s="1"/>
  <c r="W305" i="26"/>
  <c r="CM305" i="26" s="1"/>
  <c r="Y305" i="26"/>
  <c r="Y311" i="26"/>
  <c r="CO311" i="26" s="1"/>
  <c r="X311" i="26"/>
  <c r="CN311" i="26" s="1"/>
  <c r="X305" i="26"/>
  <c r="BI205" i="26"/>
  <c r="Y917" i="9"/>
  <c r="BO917" i="9" s="1"/>
  <c r="X216" i="6"/>
  <c r="W216" i="6"/>
  <c r="Y216" i="6"/>
  <c r="AE542" i="9"/>
  <c r="BA147" i="30"/>
  <c r="W15" i="26"/>
  <c r="CM15" i="26" s="1"/>
  <c r="W237" i="26"/>
  <c r="CM237" i="26" s="1"/>
  <c r="W17" i="26"/>
  <c r="CM17" i="26" s="1"/>
  <c r="W279" i="26"/>
  <c r="CM279" i="26" s="1"/>
  <c r="W20" i="26"/>
  <c r="CM20" i="26" s="1"/>
  <c r="W21" i="26"/>
  <c r="CM21" i="26" s="1"/>
  <c r="W18" i="26"/>
  <c r="CM18" i="26" s="1"/>
  <c r="W23" i="26"/>
  <c r="CM23" i="26" s="1"/>
  <c r="W223" i="26"/>
  <c r="CM223" i="26" s="1"/>
  <c r="W14" i="26"/>
  <c r="CM14" i="26" s="1"/>
  <c r="W27" i="26"/>
  <c r="CM27" i="26" s="1"/>
  <c r="W25" i="26"/>
  <c r="CM25" i="26" s="1"/>
  <c r="W277" i="26"/>
  <c r="CM277" i="26" s="1"/>
  <c r="W209" i="26"/>
  <c r="CM209" i="26" s="1"/>
  <c r="W19" i="26"/>
  <c r="CM19" i="26" s="1"/>
  <c r="W24" i="26"/>
  <c r="CM24" i="26" s="1"/>
  <c r="W16" i="26"/>
  <c r="CM16" i="26" s="1"/>
  <c r="W278" i="26"/>
  <c r="CM278" i="26" s="1"/>
  <c r="W26" i="26"/>
  <c r="CM26" i="26" s="1"/>
  <c r="W280" i="26"/>
  <c r="CM280" i="26" s="1"/>
  <c r="W13" i="26"/>
  <c r="W246" i="26"/>
  <c r="W22" i="26"/>
  <c r="CM22" i="26" s="1"/>
  <c r="X223" i="26"/>
  <c r="X24" i="26"/>
  <c r="CN24" i="26" s="1"/>
  <c r="X246" i="26"/>
  <c r="Y277" i="26"/>
  <c r="X21" i="26"/>
  <c r="X237" i="26"/>
  <c r="CN237" i="26" s="1"/>
  <c r="Y26" i="26"/>
  <c r="Y23" i="26"/>
  <c r="Y25" i="26"/>
  <c r="Y14" i="26"/>
  <c r="X18" i="26"/>
  <c r="CN18" i="26" s="1"/>
  <c r="Y13" i="26"/>
  <c r="CO13" i="26" s="1"/>
  <c r="X209" i="26"/>
  <c r="CN209" i="26" s="1"/>
  <c r="X27" i="26"/>
  <c r="Y20" i="26"/>
  <c r="Y246" i="26"/>
  <c r="X280" i="26"/>
  <c r="X15" i="26"/>
  <c r="X277" i="26"/>
  <c r="Y223" i="26"/>
  <c r="CO223" i="26" s="1"/>
  <c r="X22" i="26"/>
  <c r="Y22" i="26"/>
  <c r="Y279" i="26"/>
  <c r="Y278" i="26"/>
  <c r="CO278" i="26" s="1"/>
  <c r="Y280" i="26"/>
  <c r="X278" i="26"/>
  <c r="X23" i="26"/>
  <c r="X16" i="26"/>
  <c r="Y17" i="26"/>
  <c r="Y18" i="26"/>
  <c r="CO18" i="26" s="1"/>
  <c r="X26" i="26"/>
  <c r="X14" i="26"/>
  <c r="Y16" i="26"/>
  <c r="Y24" i="26"/>
  <c r="X20" i="26"/>
  <c r="CN20" i="26" s="1"/>
  <c r="X13" i="26"/>
  <c r="CN13" i="26" s="1"/>
  <c r="Y19" i="26"/>
  <c r="CO19" i="26" s="1"/>
  <c r="Y27" i="26"/>
  <c r="CO27" i="26" s="1"/>
  <c r="X210" i="26"/>
  <c r="CN210" i="26" s="1"/>
  <c r="Y237" i="26"/>
  <c r="Y210" i="26"/>
  <c r="CO210" i="26" s="1"/>
  <c r="Y15" i="26"/>
  <c r="Y209" i="26"/>
  <c r="CO209" i="26" s="1"/>
  <c r="Y21" i="26"/>
  <c r="X19" i="26"/>
  <c r="CN19" i="26" s="1"/>
  <c r="X25" i="26"/>
  <c r="X17" i="26"/>
  <c r="X279" i="26"/>
  <c r="W215" i="6"/>
  <c r="W63" i="6"/>
  <c r="Y145" i="1"/>
  <c r="CI145" i="1" s="1"/>
  <c r="X93" i="1"/>
  <c r="CH93" i="1" s="1"/>
  <c r="Y143" i="1"/>
  <c r="CI143" i="1" s="1"/>
  <c r="X64" i="1"/>
  <c r="CH64" i="1" s="1"/>
  <c r="Y87" i="1"/>
  <c r="CI87" i="1" s="1"/>
  <c r="X66" i="1"/>
  <c r="CH66" i="1" s="1"/>
  <c r="W110" i="1"/>
  <c r="X42" i="1"/>
  <c r="CH42" i="1" s="1"/>
  <c r="W65" i="1"/>
  <c r="CG65" i="1" s="1"/>
  <c r="W139" i="1"/>
  <c r="CG139" i="1" s="1"/>
  <c r="X126" i="1"/>
  <c r="CH126" i="1" s="1"/>
  <c r="X89" i="1"/>
  <c r="CH89" i="1" s="1"/>
  <c r="X22" i="1"/>
  <c r="CH22" i="1" s="1"/>
  <c r="Y16" i="1"/>
  <c r="CI16" i="1" s="1"/>
  <c r="W42" i="1"/>
  <c r="CG42" i="1" s="1"/>
  <c r="W144" i="1"/>
  <c r="CG144" i="1" s="1"/>
  <c r="W89" i="1"/>
  <c r="CG89" i="1" s="1"/>
  <c r="W143" i="1"/>
  <c r="CG143" i="1" s="1"/>
  <c r="X11" i="1"/>
  <c r="CH11" i="1" s="1"/>
  <c r="Y172" i="1"/>
  <c r="CI172" i="1" s="1"/>
  <c r="X128" i="1"/>
  <c r="CH128" i="1" s="1"/>
  <c r="W115" i="1"/>
  <c r="CG115" i="1" s="1"/>
  <c r="X90" i="1"/>
  <c r="CH90" i="1" s="1"/>
  <c r="Y115" i="1"/>
  <c r="CI115" i="1" s="1"/>
  <c r="W169" i="1"/>
  <c r="CG169" i="1" s="1"/>
  <c r="Y48" i="1"/>
  <c r="CI48" i="1" s="1"/>
  <c r="Y53" i="1"/>
  <c r="CI53" i="1" s="1"/>
  <c r="X144" i="1"/>
  <c r="CH144" i="1" s="1"/>
  <c r="X92" i="1"/>
  <c r="CH92" i="1" s="1"/>
  <c r="Y50" i="1"/>
  <c r="CI50" i="1" s="1"/>
  <c r="Y14" i="1"/>
  <c r="CI14" i="1" s="1"/>
  <c r="Y38" i="1"/>
  <c r="CI38" i="1" s="1"/>
  <c r="Y169" i="1"/>
  <c r="CI169" i="1" s="1"/>
  <c r="X19" i="1"/>
  <c r="CH19" i="1" s="1"/>
  <c r="Y124" i="1"/>
  <c r="CI124" i="1" s="1"/>
  <c r="Y71" i="1"/>
  <c r="CI71" i="1" s="1"/>
  <c r="W140" i="1"/>
  <c r="CG140" i="1" s="1"/>
  <c r="Y110" i="1"/>
  <c r="X138" i="1"/>
  <c r="CH138" i="1" s="1"/>
  <c r="X20" i="1"/>
  <c r="CH20" i="1" s="1"/>
  <c r="W87" i="1"/>
  <c r="CG87" i="1" s="1"/>
  <c r="Y103" i="1"/>
  <c r="CI103" i="1" s="1"/>
  <c r="Y61" i="1"/>
  <c r="CI61" i="1" s="1"/>
  <c r="Y137" i="1"/>
  <c r="CI137" i="1" s="1"/>
  <c r="Y42" i="1"/>
  <c r="CI42" i="1" s="1"/>
  <c r="Y181" i="1"/>
  <c r="W103" i="1"/>
  <c r="CG103" i="1" s="1"/>
  <c r="W32" i="1"/>
  <c r="CG32" i="1" s="1"/>
  <c r="X94" i="1"/>
  <c r="CH94" i="1" s="1"/>
  <c r="W94" i="1"/>
  <c r="CG94" i="1" s="1"/>
  <c r="Y73" i="1"/>
  <c r="CI73" i="1" s="1"/>
  <c r="Y111" i="1"/>
  <c r="CI111" i="1" s="1"/>
  <c r="W54" i="1"/>
  <c r="CG54" i="1" s="1"/>
  <c r="W124" i="1"/>
  <c r="CG124" i="1" s="1"/>
  <c r="X74" i="1"/>
  <c r="CH74" i="1" s="1"/>
  <c r="Y101" i="1"/>
  <c r="CI101" i="1" s="1"/>
  <c r="X101" i="1"/>
  <c r="CH101" i="1" s="1"/>
  <c r="Y125" i="1"/>
  <c r="CI125" i="1" s="1"/>
  <c r="X59" i="1"/>
  <c r="CH59" i="1" s="1"/>
  <c r="Y154" i="1"/>
  <c r="CI154" i="1" s="1"/>
  <c r="W66" i="1"/>
  <c r="CG66" i="1" s="1"/>
  <c r="X41" i="1"/>
  <c r="CH41" i="1" s="1"/>
  <c r="X115" i="1"/>
  <c r="CH115" i="1" s="1"/>
  <c r="W125" i="1"/>
  <c r="CG125" i="1" s="1"/>
  <c r="X111" i="1"/>
  <c r="CH111" i="1" s="1"/>
  <c r="Y23" i="1"/>
  <c r="CI23" i="1" s="1"/>
  <c r="W102" i="1"/>
  <c r="CG102" i="1" s="1"/>
  <c r="X44" i="1"/>
  <c r="CH44" i="1" s="1"/>
  <c r="X72" i="1"/>
  <c r="CH72" i="1" s="1"/>
  <c r="X53" i="1"/>
  <c r="CH53" i="1" s="1"/>
  <c r="Y122" i="1"/>
  <c r="CI122" i="1" s="1"/>
  <c r="Y66" i="1"/>
  <c r="CI66" i="1" s="1"/>
  <c r="Y77" i="1"/>
  <c r="CI77" i="1" s="1"/>
  <c r="W72" i="1"/>
  <c r="CG72" i="1" s="1"/>
  <c r="W77" i="1"/>
  <c r="CG77" i="1" s="1"/>
  <c r="X137" i="1"/>
  <c r="CH137" i="1" s="1"/>
  <c r="X139" i="1"/>
  <c r="CH139" i="1" s="1"/>
  <c r="X122" i="1"/>
  <c r="CH122" i="1" s="1"/>
  <c r="X65" i="1"/>
  <c r="CH65" i="1" s="1"/>
  <c r="Y102" i="1"/>
  <c r="CI102" i="1" s="1"/>
  <c r="X68" i="1"/>
  <c r="CH68" i="1" s="1"/>
  <c r="X140" i="1"/>
  <c r="CH140" i="1" s="1"/>
  <c r="X102" i="1"/>
  <c r="CH102" i="1" s="1"/>
  <c r="Y55" i="1"/>
  <c r="CI55" i="1" s="1"/>
  <c r="W38" i="1"/>
  <c r="CG38" i="1" s="1"/>
  <c r="X16" i="1"/>
  <c r="CH16" i="1" s="1"/>
  <c r="X48" i="1"/>
  <c r="CH48" i="1" s="1"/>
  <c r="X21" i="1"/>
  <c r="CH21" i="1" s="1"/>
  <c r="Y44" i="1"/>
  <c r="CI44" i="1" s="1"/>
  <c r="X141" i="1"/>
  <c r="CH141" i="1" s="1"/>
  <c r="X129" i="1"/>
  <c r="CH129" i="1" s="1"/>
  <c r="Y41" i="1"/>
  <c r="CI41" i="1" s="1"/>
  <c r="Y140" i="1"/>
  <c r="CI140" i="1" s="1"/>
  <c r="W21" i="1"/>
  <c r="CG21" i="1" s="1"/>
  <c r="X103" i="1"/>
  <c r="CH103" i="1" s="1"/>
  <c r="W27" i="1"/>
  <c r="CG27" i="1" s="1"/>
  <c r="W129" i="1"/>
  <c r="CG129" i="1" s="1"/>
  <c r="W36" i="1"/>
  <c r="CG36" i="1" s="1"/>
  <c r="X23" i="1"/>
  <c r="CH23" i="1" s="1"/>
  <c r="Y92" i="1"/>
  <c r="CI92" i="1" s="1"/>
  <c r="W73" i="1"/>
  <c r="CG73" i="1" s="1"/>
  <c r="Y198" i="1"/>
  <c r="CI198" i="1" s="1"/>
  <c r="Y64" i="1"/>
  <c r="CI64" i="1" s="1"/>
  <c r="W76" i="1"/>
  <c r="CG76" i="1" s="1"/>
  <c r="X123" i="1"/>
  <c r="CH123" i="1" s="1"/>
  <c r="W19" i="1"/>
  <c r="CG19" i="1" s="1"/>
  <c r="W154" i="1"/>
  <c r="CG154" i="1" s="1"/>
  <c r="Y129" i="1"/>
  <c r="CI129" i="1" s="1"/>
  <c r="Y27" i="1"/>
  <c r="CI27" i="1" s="1"/>
  <c r="X110" i="1"/>
  <c r="W20" i="1"/>
  <c r="CG20" i="1" s="1"/>
  <c r="W122" i="1"/>
  <c r="CG122" i="1" s="1"/>
  <c r="Y21" i="1"/>
  <c r="CI21" i="1" s="1"/>
  <c r="X77" i="1"/>
  <c r="CH77" i="1" s="1"/>
  <c r="X14" i="1"/>
  <c r="CH14" i="1" s="1"/>
  <c r="W128" i="1"/>
  <c r="CG128" i="1" s="1"/>
  <c r="X142" i="1"/>
  <c r="CH142" i="1" s="1"/>
  <c r="Y43" i="1"/>
  <c r="CI43" i="1" s="1"/>
  <c r="Y94" i="1"/>
  <c r="CI94" i="1" s="1"/>
  <c r="Y11" i="1"/>
  <c r="CI11" i="1" s="1"/>
  <c r="X91" i="1"/>
  <c r="CH91" i="1" s="1"/>
  <c r="W43" i="1"/>
  <c r="CG43" i="1" s="1"/>
  <c r="W198" i="1"/>
  <c r="CG198" i="1" s="1"/>
  <c r="X27" i="1"/>
  <c r="CH27" i="1" s="1"/>
  <c r="X50" i="1"/>
  <c r="CH50" i="1" s="1"/>
  <c r="Y19" i="1"/>
  <c r="CI19" i="1" s="1"/>
  <c r="Y65" i="1"/>
  <c r="CI65" i="1" s="1"/>
  <c r="X145" i="1"/>
  <c r="CH145" i="1" s="1"/>
  <c r="X75" i="1"/>
  <c r="CH75" i="1" s="1"/>
  <c r="Y139" i="1"/>
  <c r="CI139" i="1" s="1"/>
  <c r="X125" i="1"/>
  <c r="CH125" i="1" s="1"/>
  <c r="X71" i="1"/>
  <c r="CH71" i="1" s="1"/>
  <c r="Y75" i="1"/>
  <c r="CI75" i="1" s="1"/>
  <c r="W29" i="1"/>
  <c r="CG29" i="1" s="1"/>
  <c r="Y76" i="1"/>
  <c r="CI76" i="1" s="1"/>
  <c r="Y93" i="1"/>
  <c r="CI93" i="1" s="1"/>
  <c r="X54" i="1"/>
  <c r="CH54" i="1" s="1"/>
  <c r="Y32" i="1"/>
  <c r="CI32" i="1" s="1"/>
  <c r="X43" i="1"/>
  <c r="CH43" i="1" s="1"/>
  <c r="X198" i="1"/>
  <c r="CH198" i="1" s="1"/>
  <c r="X127" i="1"/>
  <c r="CH127" i="1" s="1"/>
  <c r="W141" i="1"/>
  <c r="CG141" i="1" s="1"/>
  <c r="X124" i="1"/>
  <c r="CH124" i="1" s="1"/>
  <c r="W75" i="1"/>
  <c r="CG75" i="1" s="1"/>
  <c r="Y89" i="1"/>
  <c r="CI89" i="1" s="1"/>
  <c r="Y144" i="1"/>
  <c r="CI144" i="1" s="1"/>
  <c r="X181" i="1"/>
  <c r="Y90" i="1"/>
  <c r="CI90" i="1" s="1"/>
  <c r="W91" i="1"/>
  <c r="CG91" i="1" s="1"/>
  <c r="W145" i="1"/>
  <c r="CG145" i="1" s="1"/>
  <c r="Y59" i="1"/>
  <c r="CI59" i="1" s="1"/>
  <c r="W61" i="1"/>
  <c r="CG61" i="1" s="1"/>
  <c r="W93" i="1"/>
  <c r="CG93" i="1" s="1"/>
  <c r="X146" i="1"/>
  <c r="CH146" i="1" s="1"/>
  <c r="Y68" i="1"/>
  <c r="CI68" i="1" s="1"/>
  <c r="X87" i="1"/>
  <c r="CH87" i="1" s="1"/>
  <c r="X172" i="1"/>
  <c r="CH172" i="1" s="1"/>
  <c r="X88" i="1"/>
  <c r="CH88" i="1" s="1"/>
  <c r="Y72" i="1"/>
  <c r="CI72" i="1" s="1"/>
  <c r="Y127" i="1"/>
  <c r="CI127" i="1" s="1"/>
  <c r="W44" i="1"/>
  <c r="CG44" i="1" s="1"/>
  <c r="W137" i="1"/>
  <c r="CG137" i="1" s="1"/>
  <c r="X143" i="1"/>
  <c r="CH143" i="1" s="1"/>
  <c r="X29" i="1"/>
  <c r="CH29" i="1" s="1"/>
  <c r="W181" i="1"/>
  <c r="CG181" i="1" s="1"/>
  <c r="X61" i="1"/>
  <c r="CH61" i="1" s="1"/>
  <c r="Y74" i="1"/>
  <c r="CI74" i="1" s="1"/>
  <c r="Y54" i="1"/>
  <c r="CI54" i="1" s="1"/>
  <c r="X76" i="1"/>
  <c r="CH76" i="1" s="1"/>
  <c r="X32" i="1"/>
  <c r="CH32" i="1" s="1"/>
  <c r="X154" i="1"/>
  <c r="CH154" i="1" s="1"/>
  <c r="W92" i="1"/>
  <c r="CG92" i="1" s="1"/>
  <c r="X36" i="1"/>
  <c r="CH36" i="1" s="1"/>
  <c r="Y20" i="1"/>
  <c r="CI20" i="1" s="1"/>
  <c r="Y126" i="1"/>
  <c r="CI126" i="1" s="1"/>
  <c r="X55" i="1"/>
  <c r="CH55" i="1" s="1"/>
  <c r="X73" i="1"/>
  <c r="CH73" i="1" s="1"/>
  <c r="Y36" i="1"/>
  <c r="CI36" i="1" s="1"/>
  <c r="W126" i="1"/>
  <c r="CG126" i="1" s="1"/>
  <c r="Y142" i="1"/>
  <c r="CI142" i="1" s="1"/>
  <c r="W23" i="1"/>
  <c r="CG23" i="1" s="1"/>
  <c r="W55" i="1"/>
  <c r="CG55" i="1" s="1"/>
  <c r="X38" i="1"/>
  <c r="CH38" i="1" s="1"/>
  <c r="X169" i="1"/>
  <c r="CH169" i="1" s="1"/>
  <c r="Y88" i="1"/>
  <c r="CI88" i="1" s="1"/>
  <c r="Y146" i="1"/>
  <c r="CI146" i="1" s="1"/>
  <c r="Y22" i="1"/>
  <c r="CI22" i="1" s="1"/>
  <c r="Y128" i="1"/>
  <c r="CI128" i="1" s="1"/>
  <c r="W90" i="1"/>
  <c r="CG90" i="1" s="1"/>
  <c r="Y91" i="1"/>
  <c r="CI91" i="1" s="1"/>
  <c r="W59" i="1"/>
  <c r="Y123" i="1"/>
  <c r="CI123" i="1" s="1"/>
  <c r="Y29" i="1"/>
  <c r="CI29" i="1" s="1"/>
  <c r="Y138" i="1"/>
  <c r="CI138" i="1" s="1"/>
  <c r="Y141" i="1"/>
  <c r="CI141" i="1" s="1"/>
  <c r="W142" i="1"/>
  <c r="CG142" i="1" s="1"/>
  <c r="W88" i="1"/>
  <c r="CG88" i="1" s="1"/>
  <c r="W74" i="1"/>
  <c r="CG74" i="1" s="1"/>
  <c r="W111" i="1"/>
  <c r="CG111" i="1" s="1"/>
  <c r="W146" i="1"/>
  <c r="CG146" i="1" s="1"/>
  <c r="W50" i="1"/>
  <c r="CG50" i="1" s="1"/>
  <c r="W71" i="1"/>
  <c r="W41" i="1"/>
  <c r="CG41" i="1" s="1"/>
  <c r="W48" i="1"/>
  <c r="CG48" i="1" s="1"/>
  <c r="W11" i="1"/>
  <c r="CG11" i="1" s="1"/>
  <c r="W127" i="1"/>
  <c r="CG127" i="1" s="1"/>
  <c r="W22" i="1"/>
  <c r="CG22" i="1" s="1"/>
  <c r="W123" i="1"/>
  <c r="CG123" i="1" s="1"/>
  <c r="W14" i="1"/>
  <c r="CG14" i="1" s="1"/>
  <c r="W64" i="1"/>
  <c r="CG64" i="1" s="1"/>
  <c r="W172" i="1"/>
  <c r="CG172" i="1" s="1"/>
  <c r="W68" i="1"/>
  <c r="CG68" i="1" s="1"/>
  <c r="W16" i="1"/>
  <c r="CG16" i="1" s="1"/>
  <c r="W101" i="1"/>
  <c r="CG101" i="1" s="1"/>
  <c r="W53" i="1"/>
  <c r="CG53" i="1" s="1"/>
  <c r="W138" i="1"/>
  <c r="CG138" i="1" s="1"/>
  <c r="BI223" i="6"/>
  <c r="BI130" i="30" s="1"/>
  <c r="BI180" i="20"/>
  <c r="X246" i="6"/>
  <c r="Y186" i="6"/>
  <c r="Y128" i="6"/>
  <c r="BO128" i="6" s="1"/>
  <c r="W210" i="6"/>
  <c r="BM210" i="6" s="1"/>
  <c r="X206" i="6"/>
  <c r="BN206" i="6" s="1"/>
  <c r="Y185" i="6"/>
  <c r="BO185" i="6" s="1"/>
  <c r="W129" i="6"/>
  <c r="W127" i="6"/>
  <c r="Y190" i="6"/>
  <c r="X210" i="6"/>
  <c r="BN210" i="6" s="1"/>
  <c r="X208" i="6"/>
  <c r="Y215" i="6"/>
  <c r="Y147" i="1" s="1"/>
  <c r="CI147" i="1" s="1"/>
  <c r="Y205" i="6"/>
  <c r="W205" i="6"/>
  <c r="X187" i="6"/>
  <c r="Y55" i="6"/>
  <c r="Y132" i="6"/>
  <c r="W59" i="6"/>
  <c r="X124" i="6"/>
  <c r="BN124" i="6" s="1"/>
  <c r="W183" i="6"/>
  <c r="W196" i="6"/>
  <c r="W155" i="1" s="1"/>
  <c r="W155" i="20" s="1"/>
  <c r="W156" i="20" s="1"/>
  <c r="X183" i="6"/>
  <c r="X125" i="6"/>
  <c r="BN125" i="6" s="1"/>
  <c r="Y126" i="6"/>
  <c r="BO126" i="6" s="1"/>
  <c r="Y130" i="6"/>
  <c r="BO130" i="6" s="1"/>
  <c r="Y208" i="6"/>
  <c r="Y110" i="6"/>
  <c r="W208" i="6"/>
  <c r="W109" i="6"/>
  <c r="W199" i="6"/>
  <c r="X189" i="6"/>
  <c r="Y42" i="6"/>
  <c r="W182" i="6"/>
  <c r="W246" i="6"/>
  <c r="X127" i="6"/>
  <c r="BN127" i="6" s="1"/>
  <c r="Y183" i="6"/>
  <c r="BO183" i="6" s="1"/>
  <c r="Y124" i="6"/>
  <c r="BO124" i="6" s="1"/>
  <c r="X200" i="6"/>
  <c r="BN200" i="6" s="1"/>
  <c r="Y131" i="6"/>
  <c r="BO131" i="6" s="1"/>
  <c r="Y246" i="6"/>
  <c r="W42" i="6"/>
  <c r="W206" i="6"/>
  <c r="X55" i="6"/>
  <c r="W124" i="6"/>
  <c r="W131" i="6"/>
  <c r="X184" i="6"/>
  <c r="X252" i="6"/>
  <c r="Y127" i="6"/>
  <c r="BO127" i="6" s="1"/>
  <c r="X190" i="6"/>
  <c r="Y191" i="6"/>
  <c r="BO191" i="6" s="1"/>
  <c r="X199" i="6"/>
  <c r="BN199" i="6" s="1"/>
  <c r="W197" i="6"/>
  <c r="W207" i="6"/>
  <c r="W186" i="6"/>
  <c r="X128" i="6"/>
  <c r="BN128" i="6" s="1"/>
  <c r="X42" i="6"/>
  <c r="Y129" i="6"/>
  <c r="BO129" i="6" s="1"/>
  <c r="W191" i="6"/>
  <c r="X134" i="6"/>
  <c r="BN134" i="6" s="1"/>
  <c r="W188" i="6"/>
  <c r="Y134" i="6"/>
  <c r="BO134" i="6" s="1"/>
  <c r="Y184" i="6"/>
  <c r="W187" i="6"/>
  <c r="X198" i="6"/>
  <c r="Y199" i="6"/>
  <c r="Y198" i="6"/>
  <c r="BO198" i="6" s="1"/>
  <c r="W240" i="6"/>
  <c r="X205" i="6"/>
  <c r="W184" i="6"/>
  <c r="W190" i="6"/>
  <c r="X197" i="6"/>
  <c r="X131" i="6"/>
  <c r="BN131" i="6" s="1"/>
  <c r="Y210" i="6"/>
  <c r="BO210" i="6" s="1"/>
  <c r="W132" i="6"/>
  <c r="Y200" i="6"/>
  <c r="BO200" i="6" s="1"/>
  <c r="X185" i="6"/>
  <c r="W126" i="6"/>
  <c r="Y240" i="6"/>
  <c r="X129" i="6"/>
  <c r="BN129" i="6" s="1"/>
  <c r="X240" i="6"/>
  <c r="Y109" i="6"/>
  <c r="W135" i="6"/>
  <c r="X186" i="6"/>
  <c r="X130" i="6"/>
  <c r="BN130" i="6" s="1"/>
  <c r="Y135" i="6"/>
  <c r="BO135" i="6" s="1"/>
  <c r="Y252" i="6"/>
  <c r="W189" i="6"/>
  <c r="X215" i="6"/>
  <c r="X147" i="1" s="1"/>
  <c r="CH147" i="1" s="1"/>
  <c r="Y207" i="6"/>
  <c r="BO207" i="6" s="1"/>
  <c r="W125" i="6"/>
  <c r="W130" i="6"/>
  <c r="X132" i="6"/>
  <c r="X110" i="6"/>
  <c r="Y133" i="6"/>
  <c r="BO133" i="6" s="1"/>
  <c r="X109" i="6"/>
  <c r="BN109" i="6" s="1"/>
  <c r="BN201" i="30" s="1"/>
  <c r="BN87" i="33" s="1"/>
  <c r="X188" i="6"/>
  <c r="X135" i="6"/>
  <c r="BN135" i="6" s="1"/>
  <c r="W252" i="6"/>
  <c r="X63" i="6"/>
  <c r="Y196" i="6"/>
  <c r="Y189" i="6"/>
  <c r="W128" i="6"/>
  <c r="X207" i="6"/>
  <c r="BN207" i="6" s="1"/>
  <c r="Y59" i="6"/>
  <c r="W55" i="6"/>
  <c r="Y187" i="6"/>
  <c r="X133" i="6"/>
  <c r="BN133" i="6" s="1"/>
  <c r="X126" i="6"/>
  <c r="BN126" i="6" s="1"/>
  <c r="Y206" i="6"/>
  <c r="BO206" i="6" s="1"/>
  <c r="X182" i="6"/>
  <c r="Y125" i="6"/>
  <c r="BO125" i="6" s="1"/>
  <c r="W110" i="6"/>
  <c r="W134" i="6"/>
  <c r="Y108" i="6"/>
  <c r="X59" i="6"/>
  <c r="W185" i="6"/>
  <c r="X196" i="6"/>
  <c r="X155" i="1" s="1"/>
  <c r="X155" i="20" s="1"/>
  <c r="Y63" i="6"/>
  <c r="W108" i="6"/>
  <c r="X191" i="6"/>
  <c r="BN191" i="6" s="1"/>
  <c r="Y188" i="6"/>
  <c r="BO188" i="6" s="1"/>
  <c r="W200" i="6"/>
  <c r="W133" i="6"/>
  <c r="Y197" i="6"/>
  <c r="BO197" i="6" s="1"/>
  <c r="Y182" i="6"/>
  <c r="W198" i="6"/>
  <c r="X108" i="6"/>
  <c r="BA49" i="30"/>
  <c r="BA195" i="20"/>
  <c r="W305" i="9"/>
  <c r="W420" i="9"/>
  <c r="W173" i="9"/>
  <c r="W59" i="9"/>
  <c r="W373" i="9"/>
  <c r="W77" i="9"/>
  <c r="W164" i="9"/>
  <c r="W49" i="9"/>
  <c r="W115" i="9"/>
  <c r="W325" i="9"/>
  <c r="W88" i="9"/>
  <c r="W78" i="9"/>
  <c r="W134" i="9"/>
  <c r="W419" i="9"/>
  <c r="W297" i="9"/>
  <c r="W182" i="9"/>
  <c r="W96" i="9"/>
  <c r="W410" i="9"/>
  <c r="W107" i="9"/>
  <c r="W315" i="9"/>
  <c r="W249" i="9"/>
  <c r="W354" i="9"/>
  <c r="W135" i="9"/>
  <c r="W400" i="9"/>
  <c r="W69" i="9"/>
  <c r="W106" i="9"/>
  <c r="W268" i="9"/>
  <c r="W116" i="9"/>
  <c r="W163" i="9"/>
  <c r="W392" i="9"/>
  <c r="W144" i="9"/>
  <c r="W202" i="9"/>
  <c r="W401" i="9"/>
  <c r="W287" i="9"/>
  <c r="W324" i="9"/>
  <c r="W286" i="9"/>
  <c r="W362" i="9"/>
  <c r="W97" i="9"/>
  <c r="W334" i="9"/>
  <c r="W382" i="9"/>
  <c r="W344" i="9"/>
  <c r="W372" i="9"/>
  <c r="W230" i="9"/>
  <c r="W381" i="9"/>
  <c r="W126" i="9"/>
  <c r="W153" i="9"/>
  <c r="W221" i="9"/>
  <c r="W335" i="9"/>
  <c r="W343" i="9"/>
  <c r="W50" i="9"/>
  <c r="W353" i="9"/>
  <c r="W192" i="9"/>
  <c r="W316" i="9"/>
  <c r="W201" i="9"/>
  <c r="W267" i="9"/>
  <c r="W296" i="9"/>
  <c r="W229" i="9"/>
  <c r="W172" i="9"/>
  <c r="W211" i="9"/>
  <c r="W259" i="9"/>
  <c r="W125" i="9"/>
  <c r="W239" i="9"/>
  <c r="W68" i="9"/>
  <c r="W58" i="9"/>
  <c r="W277" i="9"/>
  <c r="W145" i="9"/>
  <c r="W210" i="9"/>
  <c r="W391" i="9"/>
  <c r="W248" i="9"/>
  <c r="W278" i="9"/>
  <c r="W191" i="9"/>
  <c r="W220" i="9"/>
  <c r="W363" i="9"/>
  <c r="W87" i="9"/>
  <c r="W240" i="9"/>
  <c r="W411" i="9"/>
  <c r="W183" i="9"/>
  <c r="W306" i="9"/>
  <c r="W258" i="9"/>
  <c r="W154" i="9"/>
  <c r="X373" i="9"/>
  <c r="Y87" i="9"/>
  <c r="CO87" i="9" s="1"/>
  <c r="Y69" i="9"/>
  <c r="Y343" i="9"/>
  <c r="CO343" i="9" s="1"/>
  <c r="X202" i="9"/>
  <c r="X59" i="9"/>
  <c r="CN59" i="9" s="1"/>
  <c r="Y296" i="9"/>
  <c r="CO296" i="9" s="1"/>
  <c r="Y96" i="9"/>
  <c r="CO96" i="9" s="1"/>
  <c r="Y410" i="9"/>
  <c r="CO410" i="9" s="1"/>
  <c r="X248" i="9"/>
  <c r="CN248" i="9" s="1"/>
  <c r="X49" i="9"/>
  <c r="CN49" i="9" s="1"/>
  <c r="X78" i="9"/>
  <c r="X88" i="9"/>
  <c r="Y211" i="9"/>
  <c r="CO211" i="9" s="1"/>
  <c r="Y210" i="9"/>
  <c r="CO210" i="9" s="1"/>
  <c r="X381" i="9"/>
  <c r="Y420" i="9"/>
  <c r="CO420" i="9" s="1"/>
  <c r="X144" i="9"/>
  <c r="CN144" i="9" s="1"/>
  <c r="Y372" i="9"/>
  <c r="CO372" i="9" s="1"/>
  <c r="X258" i="9"/>
  <c r="CN258" i="9" s="1"/>
  <c r="Y107" i="9"/>
  <c r="Y278" i="9"/>
  <c r="Y59" i="9"/>
  <c r="CO59" i="9" s="1"/>
  <c r="X69" i="9"/>
  <c r="X297" i="9"/>
  <c r="X363" i="9"/>
  <c r="CN363" i="9" s="1"/>
  <c r="Y392" i="9"/>
  <c r="X230" i="9"/>
  <c r="CN230" i="9" s="1"/>
  <c r="X58" i="9"/>
  <c r="CN58" i="9" s="1"/>
  <c r="X267" i="9"/>
  <c r="CN267" i="9" s="1"/>
  <c r="X183" i="9"/>
  <c r="X287" i="9"/>
  <c r="CN287" i="9" s="1"/>
  <c r="X220" i="9"/>
  <c r="CN220" i="9" s="1"/>
  <c r="X97" i="9"/>
  <c r="CN97" i="9" s="1"/>
  <c r="Y58" i="9"/>
  <c r="CO58" i="9" s="1"/>
  <c r="X372" i="9"/>
  <c r="CN372" i="9" s="1"/>
  <c r="X229" i="9"/>
  <c r="CN229" i="9" s="1"/>
  <c r="Y354" i="9"/>
  <c r="Y267" i="9"/>
  <c r="CO267" i="9" s="1"/>
  <c r="Y240" i="9"/>
  <c r="Y172" i="9"/>
  <c r="CO172" i="9" s="1"/>
  <c r="Y135" i="9"/>
  <c r="CO135" i="9" s="1"/>
  <c r="Y381" i="9"/>
  <c r="CO381" i="9" s="1"/>
  <c r="X316" i="9"/>
  <c r="X191" i="9"/>
  <c r="CN191" i="9" s="1"/>
  <c r="Y153" i="9"/>
  <c r="CO153" i="9" s="1"/>
  <c r="X277" i="9"/>
  <c r="CN277" i="9" s="1"/>
  <c r="Y259" i="9"/>
  <c r="Y316" i="9"/>
  <c r="X392" i="9"/>
  <c r="X164" i="9"/>
  <c r="Y144" i="9"/>
  <c r="CO144" i="9" s="1"/>
  <c r="X107" i="9"/>
  <c r="Y400" i="9"/>
  <c r="CO400" i="9" s="1"/>
  <c r="X239" i="9"/>
  <c r="CN239" i="9" s="1"/>
  <c r="X278" i="9"/>
  <c r="Y249" i="9"/>
  <c r="CO249" i="9" s="1"/>
  <c r="X268" i="9"/>
  <c r="CN268" i="9" s="1"/>
  <c r="X391" i="9"/>
  <c r="CN391" i="9" s="1"/>
  <c r="Y145" i="9"/>
  <c r="X296" i="9"/>
  <c r="CN296" i="9" s="1"/>
  <c r="X335" i="9"/>
  <c r="X106" i="9"/>
  <c r="CN106" i="9" s="1"/>
  <c r="X154" i="9"/>
  <c r="X354" i="9"/>
  <c r="X324" i="9"/>
  <c r="CN324" i="9" s="1"/>
  <c r="X401" i="9"/>
  <c r="CN401" i="9" s="1"/>
  <c r="X87" i="9"/>
  <c r="CN87" i="9" s="1"/>
  <c r="Y306" i="9"/>
  <c r="CO306" i="9" s="1"/>
  <c r="X783" i="9"/>
  <c r="X126" i="9"/>
  <c r="Y401" i="9"/>
  <c r="CO401" i="9" s="1"/>
  <c r="Y164" i="9"/>
  <c r="Y125" i="9"/>
  <c r="CO125" i="9" s="1"/>
  <c r="Y78" i="9"/>
  <c r="CO78" i="9" s="1"/>
  <c r="X420" i="9"/>
  <c r="CN420" i="9" s="1"/>
  <c r="X259" i="9"/>
  <c r="X163" i="9"/>
  <c r="CN163" i="9" s="1"/>
  <c r="Y344" i="9"/>
  <c r="CO344" i="9" s="1"/>
  <c r="Y163" i="9"/>
  <c r="CO163" i="9" s="1"/>
  <c r="Y192" i="9"/>
  <c r="CO192" i="9" s="1"/>
  <c r="X96" i="9"/>
  <c r="CN96" i="9" s="1"/>
  <c r="X145" i="9"/>
  <c r="X286" i="9"/>
  <c r="X781" i="9"/>
  <c r="X353" i="9"/>
  <c r="CN353" i="9" s="1"/>
  <c r="X134" i="9"/>
  <c r="CN134" i="9" s="1"/>
  <c r="Y201" i="9"/>
  <c r="CO201" i="9" s="1"/>
  <c r="Y173" i="9"/>
  <c r="CO173" i="9" s="1"/>
  <c r="X115" i="9"/>
  <c r="CN115" i="9" s="1"/>
  <c r="X135" i="9"/>
  <c r="CN135" i="9" s="1"/>
  <c r="X362" i="9"/>
  <c r="CN362" i="9" s="1"/>
  <c r="Y305" i="9"/>
  <c r="CO305" i="9" s="1"/>
  <c r="X221" i="9"/>
  <c r="X210" i="9"/>
  <c r="CN210" i="9" s="1"/>
  <c r="Y202" i="9"/>
  <c r="Y116" i="9"/>
  <c r="CO116" i="9" s="1"/>
  <c r="X410" i="9"/>
  <c r="CN410" i="9" s="1"/>
  <c r="X50" i="9"/>
  <c r="X411" i="9"/>
  <c r="Y419" i="9"/>
  <c r="CO419" i="9" s="1"/>
  <c r="X344" i="9"/>
  <c r="CN344" i="9" s="1"/>
  <c r="Y315" i="9"/>
  <c r="CO315" i="9" s="1"/>
  <c r="X153" i="9"/>
  <c r="CN153" i="9" s="1"/>
  <c r="Y88" i="9"/>
  <c r="Y363" i="9"/>
  <c r="CO363" i="9" s="1"/>
  <c r="X793" i="9"/>
  <c r="X172" i="9"/>
  <c r="X211" i="9"/>
  <c r="CN211" i="9" s="1"/>
  <c r="Y183" i="9"/>
  <c r="Y277" i="9"/>
  <c r="CO277" i="9" s="1"/>
  <c r="X779" i="9"/>
  <c r="Y373" i="9"/>
  <c r="Y154" i="9"/>
  <c r="CO154" i="9" s="1"/>
  <c r="X419" i="9"/>
  <c r="CN419" i="9" s="1"/>
  <c r="Y335" i="9"/>
  <c r="Y49" i="9"/>
  <c r="CO49" i="9" s="1"/>
  <c r="Y324" i="9"/>
  <c r="CO324" i="9" s="1"/>
  <c r="Y50" i="9"/>
  <c r="Y286" i="9"/>
  <c r="X305" i="9"/>
  <c r="CN305" i="9" s="1"/>
  <c r="X315" i="9"/>
  <c r="CN315" i="9" s="1"/>
  <c r="X306" i="9"/>
  <c r="CN306" i="9" s="1"/>
  <c r="Y229" i="9"/>
  <c r="CO229" i="9" s="1"/>
  <c r="X173" i="9"/>
  <c r="CN173" i="9" s="1"/>
  <c r="X68" i="9"/>
  <c r="CN68" i="9" s="1"/>
  <c r="Y97" i="9"/>
  <c r="CO97" i="9" s="1"/>
  <c r="Y258" i="9"/>
  <c r="CO258" i="9" s="1"/>
  <c r="Y106" i="9"/>
  <c r="CO106" i="9" s="1"/>
  <c r="X334" i="9"/>
  <c r="CN334" i="9" s="1"/>
  <c r="Y362" i="9"/>
  <c r="X249" i="9"/>
  <c r="X116" i="9"/>
  <c r="Y182" i="9"/>
  <c r="CO182" i="9" s="1"/>
  <c r="X791" i="9"/>
  <c r="X400" i="9"/>
  <c r="X182" i="9"/>
  <c r="CN182" i="9" s="1"/>
  <c r="Y230" i="9"/>
  <c r="CO230" i="9" s="1"/>
  <c r="Y287" i="9"/>
  <c r="CO287" i="9" s="1"/>
  <c r="Y382" i="9"/>
  <c r="CO382" i="9" s="1"/>
  <c r="Y353" i="9"/>
  <c r="CO353" i="9" s="1"/>
  <c r="Y191" i="9"/>
  <c r="CO191" i="9" s="1"/>
  <c r="Y334" i="9"/>
  <c r="CO334" i="9" s="1"/>
  <c r="Y126" i="9"/>
  <c r="Y239" i="9"/>
  <c r="CO239" i="9" s="1"/>
  <c r="Y268" i="9"/>
  <c r="CO268" i="9" s="1"/>
  <c r="X125" i="9"/>
  <c r="CN125" i="9" s="1"/>
  <c r="Y297" i="9"/>
  <c r="Y220" i="9"/>
  <c r="CO220" i="9" s="1"/>
  <c r="Y115" i="9"/>
  <c r="CO115" i="9" s="1"/>
  <c r="X796" i="9"/>
  <c r="Y325" i="9"/>
  <c r="CO325" i="9" s="1"/>
  <c r="X382" i="9"/>
  <c r="CN382" i="9" s="1"/>
  <c r="Y391" i="9"/>
  <c r="CO391" i="9" s="1"/>
  <c r="X343" i="9"/>
  <c r="CN343" i="9" s="1"/>
  <c r="X201" i="9"/>
  <c r="CN201" i="9" s="1"/>
  <c r="X77" i="9"/>
  <c r="CN77" i="9" s="1"/>
  <c r="Y77" i="9"/>
  <c r="CO77" i="9" s="1"/>
  <c r="Y248" i="9"/>
  <c r="CO248" i="9" s="1"/>
  <c r="Y411" i="9"/>
  <c r="X240" i="9"/>
  <c r="X192" i="9"/>
  <c r="CN192" i="9" s="1"/>
  <c r="Y221" i="9"/>
  <c r="X325" i="9"/>
  <c r="CN325" i="9" s="1"/>
  <c r="Y68" i="9"/>
  <c r="CO68" i="9" s="1"/>
  <c r="Y134" i="9"/>
  <c r="CO134" i="9" s="1"/>
  <c r="AF792" i="9"/>
  <c r="BO199" i="6"/>
  <c r="BE710" i="9"/>
  <c r="BH154" i="6"/>
  <c r="BH98" i="30" s="1"/>
  <c r="BH187" i="30" s="1"/>
  <c r="AM711" i="9"/>
  <c r="BI106" i="6"/>
  <c r="BH92" i="30"/>
  <c r="BB84" i="1"/>
  <c r="BA158" i="1"/>
  <c r="BB34" i="30"/>
  <c r="BB28" i="1"/>
  <c r="BB15" i="1"/>
  <c r="BB39" i="30"/>
  <c r="BB195" i="20"/>
  <c r="BB152" i="30"/>
  <c r="BB59" i="33" s="1"/>
  <c r="BB42" i="30"/>
  <c r="BB67" i="1"/>
  <c r="BB134" i="1"/>
  <c r="BB117" i="1"/>
  <c r="BB49" i="1"/>
  <c r="BB156" i="1"/>
  <c r="BB60" i="1"/>
  <c r="BB37" i="1"/>
  <c r="BB151" i="1"/>
  <c r="BB107" i="1"/>
  <c r="AA1029" i="9"/>
  <c r="AA1052" i="9" s="1"/>
  <c r="AA1032" i="9"/>
  <c r="AA1055" i="9" s="1"/>
  <c r="AA1027" i="9"/>
  <c r="AA1050" i="9" s="1"/>
  <c r="AA1019" i="9"/>
  <c r="AA1042" i="9" s="1"/>
  <c r="AB1032" i="9"/>
  <c r="AB1055" i="9" s="1"/>
  <c r="AB1027" i="9"/>
  <c r="AB1050" i="9" s="1"/>
  <c r="AB1029" i="9"/>
  <c r="AB1052" i="9" s="1"/>
  <c r="AB1019" i="9"/>
  <c r="AB1042" i="9" s="1"/>
  <c r="AC1027" i="9"/>
  <c r="AC1050" i="9" s="1"/>
  <c r="AC1029" i="9"/>
  <c r="AC1052" i="9" s="1"/>
  <c r="AC1032" i="9"/>
  <c r="AC1055" i="9" s="1"/>
  <c r="AC1019" i="9"/>
  <c r="AC1042" i="9" s="1"/>
  <c r="AD1027" i="9"/>
  <c r="AD1050" i="9" s="1"/>
  <c r="AD1019" i="9"/>
  <c r="AD1042" i="9" s="1"/>
  <c r="AD1032" i="9"/>
  <c r="AD1055" i="9" s="1"/>
  <c r="BJ264" i="9"/>
  <c r="AH774" i="9"/>
  <c r="CL47" i="20"/>
  <c r="CK47" i="20"/>
  <c r="BI299" i="26"/>
  <c r="BJ159" i="26"/>
  <c r="BJ154" i="26"/>
  <c r="BJ164" i="26"/>
  <c r="BJ166" i="26"/>
  <c r="BJ157" i="26"/>
  <c r="BJ162" i="26"/>
  <c r="BJ161" i="26"/>
  <c r="BJ167" i="26"/>
  <c r="BJ156" i="26"/>
  <c r="BJ165" i="26"/>
  <c r="BJ160" i="26"/>
  <c r="BJ155" i="26"/>
  <c r="BJ163" i="26"/>
  <c r="BJ168" i="26"/>
  <c r="BJ158" i="26"/>
  <c r="BD94" i="6"/>
  <c r="BD88" i="35"/>
  <c r="BI72" i="33"/>
  <c r="BH231" i="3"/>
  <c r="BE900" i="9"/>
  <c r="BF909" i="9"/>
  <c r="AA909" i="9"/>
  <c r="AA907" i="9"/>
  <c r="AA917" i="9"/>
  <c r="AA916" i="9"/>
  <c r="AA913" i="9"/>
  <c r="AA905" i="9"/>
  <c r="AA914" i="9"/>
  <c r="AA901" i="9"/>
  <c r="AA900" i="9"/>
  <c r="AA918" i="9"/>
  <c r="AA908" i="9"/>
  <c r="AA903" i="9"/>
  <c r="AA904" i="9"/>
  <c r="AA902" i="9"/>
  <c r="AA915" i="9"/>
  <c r="AA911" i="9"/>
  <c r="AA912" i="9"/>
  <c r="AA910" i="9"/>
  <c r="AA906" i="9"/>
  <c r="AB914" i="9"/>
  <c r="AB915" i="9"/>
  <c r="AB904" i="9"/>
  <c r="AB912" i="9"/>
  <c r="AB909" i="9"/>
  <c r="AB902" i="9"/>
  <c r="AB903" i="9"/>
  <c r="AB918" i="9"/>
  <c r="AB911" i="9"/>
  <c r="AB916" i="9"/>
  <c r="AB910" i="9"/>
  <c r="AB907" i="9"/>
  <c r="AB917" i="9"/>
  <c r="AB901" i="9"/>
  <c r="AB908" i="9"/>
  <c r="AB906" i="9"/>
  <c r="AB905" i="9"/>
  <c r="AB913" i="9"/>
  <c r="AC910" i="9"/>
  <c r="AC907" i="9"/>
  <c r="AC905" i="9"/>
  <c r="AC917" i="9"/>
  <c r="AC916" i="9"/>
  <c r="AC908" i="9"/>
  <c r="AC913" i="9"/>
  <c r="AC906" i="9"/>
  <c r="AC912" i="9"/>
  <c r="AC902" i="9"/>
  <c r="AC900" i="9"/>
  <c r="AC903" i="9"/>
  <c r="AC909" i="9"/>
  <c r="AC911" i="9"/>
  <c r="AC918" i="9"/>
  <c r="AC901" i="9"/>
  <c r="AC915" i="9"/>
  <c r="AC914" i="9"/>
  <c r="AC904" i="9"/>
  <c r="AD905" i="9"/>
  <c r="AD916" i="9"/>
  <c r="AD912" i="9"/>
  <c r="AD911" i="9"/>
  <c r="AD909" i="9"/>
  <c r="AD901" i="9"/>
  <c r="AD904" i="9"/>
  <c r="AD914" i="9"/>
  <c r="AD907" i="9"/>
  <c r="AD902" i="9"/>
  <c r="AD908" i="9"/>
  <c r="AD917" i="9"/>
  <c r="AD913" i="9"/>
  <c r="AD910" i="9"/>
  <c r="AD918" i="9"/>
  <c r="AD915" i="9"/>
  <c r="AD900" i="9"/>
  <c r="AD906" i="9"/>
  <c r="AD903" i="9"/>
  <c r="AE905" i="9"/>
  <c r="AE908" i="9"/>
  <c r="AE900" i="9"/>
  <c r="AE909" i="9"/>
  <c r="AE911" i="9"/>
  <c r="AE914" i="9"/>
  <c r="AE912" i="9"/>
  <c r="AE918" i="9"/>
  <c r="AE906" i="9"/>
  <c r="AE904" i="9"/>
  <c r="AE913" i="9"/>
  <c r="AE917" i="9"/>
  <c r="AE902" i="9"/>
  <c r="AE907" i="9"/>
  <c r="AE903" i="9"/>
  <c r="AE910" i="9"/>
  <c r="AE915" i="9"/>
  <c r="AE901" i="9"/>
  <c r="AE916" i="9"/>
  <c r="AF918" i="9"/>
  <c r="AF911" i="9"/>
  <c r="AF915" i="9"/>
  <c r="AF905" i="9"/>
  <c r="AF907" i="9"/>
  <c r="AF909" i="9"/>
  <c r="AF913" i="9"/>
  <c r="AF904" i="9"/>
  <c r="AF902" i="9"/>
  <c r="AF917" i="9"/>
  <c r="AF900" i="9"/>
  <c r="AF910" i="9"/>
  <c r="AF912" i="9"/>
  <c r="AF916" i="9"/>
  <c r="AF908" i="9"/>
  <c r="AF903" i="9"/>
  <c r="AF901" i="9"/>
  <c r="AF914" i="9"/>
  <c r="AF906" i="9"/>
  <c r="AG916" i="9"/>
  <c r="AG901" i="9"/>
  <c r="AG903" i="9"/>
  <c r="AG915" i="9"/>
  <c r="AG904" i="9"/>
  <c r="AG908" i="9"/>
  <c r="AG913" i="9"/>
  <c r="AG910" i="9"/>
  <c r="AG914" i="9"/>
  <c r="AG911" i="9"/>
  <c r="AG917" i="9"/>
  <c r="AG900" i="9"/>
  <c r="AG912" i="9"/>
  <c r="AG907" i="9"/>
  <c r="AG905" i="9"/>
  <c r="AG909" i="9"/>
  <c r="AG906" i="9"/>
  <c r="AG902" i="9"/>
  <c r="AG918" i="9"/>
  <c r="AH904" i="9"/>
  <c r="AH917" i="9"/>
  <c r="AH912" i="9"/>
  <c r="AH910" i="9"/>
  <c r="AH909" i="9"/>
  <c r="AH902" i="9"/>
  <c r="AH905" i="9"/>
  <c r="AH908" i="9"/>
  <c r="AH901" i="9"/>
  <c r="AH907" i="9"/>
  <c r="AH914" i="9"/>
  <c r="AH906" i="9"/>
  <c r="AH900" i="9"/>
  <c r="AH913" i="9"/>
  <c r="AH915" i="9"/>
  <c r="AH918" i="9"/>
  <c r="AH903" i="9"/>
  <c r="AH911" i="9"/>
  <c r="AH916" i="9"/>
  <c r="AI903" i="9"/>
  <c r="AI913" i="9"/>
  <c r="AI908" i="9"/>
  <c r="AI904" i="9"/>
  <c r="AI902" i="9"/>
  <c r="AI906" i="9"/>
  <c r="AI918" i="9"/>
  <c r="AI912" i="9"/>
  <c r="AI907" i="9"/>
  <c r="AI916" i="9"/>
  <c r="AI917" i="9"/>
  <c r="AI909" i="9"/>
  <c r="AI900" i="9"/>
  <c r="AI915" i="9"/>
  <c r="AI901" i="9"/>
  <c r="AI911" i="9"/>
  <c r="AI905" i="9"/>
  <c r="AI910" i="9"/>
  <c r="AI914" i="9"/>
  <c r="AJ917" i="9"/>
  <c r="AJ915" i="9"/>
  <c r="AJ908" i="9"/>
  <c r="AJ913" i="9"/>
  <c r="AJ901" i="9"/>
  <c r="AJ914" i="9"/>
  <c r="AJ916" i="9"/>
  <c r="AJ903" i="9"/>
  <c r="AJ902" i="9"/>
  <c r="AJ907" i="9"/>
  <c r="AJ909" i="9"/>
  <c r="AJ912" i="9"/>
  <c r="AJ918" i="9"/>
  <c r="AJ905" i="9"/>
  <c r="AJ911" i="9"/>
  <c r="AJ910" i="9"/>
  <c r="AJ904" i="9"/>
  <c r="AJ906" i="9"/>
  <c r="AJ900" i="9"/>
  <c r="AK906" i="9"/>
  <c r="AK917" i="9"/>
  <c r="AK904" i="9"/>
  <c r="AK910" i="9"/>
  <c r="AK913" i="9"/>
  <c r="AK903" i="9"/>
  <c r="AK908" i="9"/>
  <c r="AK914" i="9"/>
  <c r="AK902" i="9"/>
  <c r="AK905" i="9"/>
  <c r="AK909" i="9"/>
  <c r="AK915" i="9"/>
  <c r="AK907" i="9"/>
  <c r="AK916" i="9"/>
  <c r="AK918" i="9"/>
  <c r="AK900" i="9"/>
  <c r="AK912" i="9"/>
  <c r="AK911" i="9"/>
  <c r="AK901" i="9"/>
  <c r="AL914" i="9"/>
  <c r="AL905" i="9"/>
  <c r="AL904" i="9"/>
  <c r="AL911" i="9"/>
  <c r="AL910" i="9"/>
  <c r="AL912" i="9"/>
  <c r="AL902" i="9"/>
  <c r="AL913" i="9"/>
  <c r="AL901" i="9"/>
  <c r="AL906" i="9"/>
  <c r="AL916" i="9"/>
  <c r="AL915" i="9"/>
  <c r="AL907" i="9"/>
  <c r="AL900" i="9"/>
  <c r="AL909" i="9"/>
  <c r="AL917" i="9"/>
  <c r="AL908" i="9"/>
  <c r="AL903" i="9"/>
  <c r="AL918" i="9"/>
  <c r="AM912" i="9"/>
  <c r="AM904" i="9"/>
  <c r="AM915" i="9"/>
  <c r="AM916" i="9"/>
  <c r="AM902" i="9"/>
  <c r="AM913" i="9"/>
  <c r="AM901" i="9"/>
  <c r="AM906" i="9"/>
  <c r="AM900" i="9"/>
  <c r="AM907" i="9"/>
  <c r="AM905" i="9"/>
  <c r="AM917" i="9"/>
  <c r="AM908" i="9"/>
  <c r="AM903" i="9"/>
  <c r="AM914" i="9"/>
  <c r="AM909" i="9"/>
  <c r="AM911" i="9"/>
  <c r="AM910" i="9"/>
  <c r="AM918" i="9"/>
  <c r="AN905" i="9"/>
  <c r="AN904" i="9"/>
  <c r="AN913" i="9"/>
  <c r="AN911" i="9"/>
  <c r="AN907" i="9"/>
  <c r="AN917" i="9"/>
  <c r="AN902" i="9"/>
  <c r="AN915" i="9"/>
  <c r="AN903" i="9"/>
  <c r="AN908" i="9"/>
  <c r="AN909" i="9"/>
  <c r="AN900" i="9"/>
  <c r="AN901" i="9"/>
  <c r="AN912" i="9"/>
  <c r="AN910" i="9"/>
  <c r="AN916" i="9"/>
  <c r="AN906" i="9"/>
  <c r="AN918" i="9"/>
  <c r="AN914" i="9"/>
  <c r="AO913" i="9"/>
  <c r="AO902" i="9"/>
  <c r="AO910" i="9"/>
  <c r="AO903" i="9"/>
  <c r="AO908" i="9"/>
  <c r="AO906" i="9"/>
  <c r="AO916" i="9"/>
  <c r="AO912" i="9"/>
  <c r="AO901" i="9"/>
  <c r="AO911" i="9"/>
  <c r="AO900" i="9"/>
  <c r="AO904" i="9"/>
  <c r="AO915" i="9"/>
  <c r="AO905" i="9"/>
  <c r="AO917" i="9"/>
  <c r="AO914" i="9"/>
  <c r="AO918" i="9"/>
  <c r="AO909" i="9"/>
  <c r="AO907" i="9"/>
  <c r="AP904" i="9"/>
  <c r="AP914" i="9"/>
  <c r="AP903" i="9"/>
  <c r="AP915" i="9"/>
  <c r="AP901" i="9"/>
  <c r="AP907" i="9"/>
  <c r="AP906" i="9"/>
  <c r="AP905" i="9"/>
  <c r="AP910" i="9"/>
  <c r="AP911" i="9"/>
  <c r="AP900" i="9"/>
  <c r="AP902" i="9"/>
  <c r="AP916" i="9"/>
  <c r="AP913" i="9"/>
  <c r="AP908" i="9"/>
  <c r="AP912" i="9"/>
  <c r="AP909" i="9"/>
  <c r="AP918" i="9"/>
  <c r="AP917" i="9"/>
  <c r="AQ915" i="9"/>
  <c r="AQ908" i="9"/>
  <c r="AQ918" i="9"/>
  <c r="AQ907" i="9"/>
  <c r="AQ914" i="9"/>
  <c r="AQ905" i="9"/>
  <c r="AQ916" i="9"/>
  <c r="AQ900" i="9"/>
  <c r="AQ903" i="9"/>
  <c r="AQ910" i="9"/>
  <c r="AQ909" i="9"/>
  <c r="AQ913" i="9"/>
  <c r="AQ901" i="9"/>
  <c r="AQ911" i="9"/>
  <c r="AQ906" i="9"/>
  <c r="AQ902" i="9"/>
  <c r="AQ917" i="9"/>
  <c r="AQ912" i="9"/>
  <c r="AQ904" i="9"/>
  <c r="AR914" i="9"/>
  <c r="AR911" i="9"/>
  <c r="AR913" i="9"/>
  <c r="AR902" i="9"/>
  <c r="AR910" i="9"/>
  <c r="AR904" i="9"/>
  <c r="AR901" i="9"/>
  <c r="AR915" i="9"/>
  <c r="AR917" i="9"/>
  <c r="AR907" i="9"/>
  <c r="AR918" i="9"/>
  <c r="AR905" i="9"/>
  <c r="AR912" i="9"/>
  <c r="AR906" i="9"/>
  <c r="AR903" i="9"/>
  <c r="AR908" i="9"/>
  <c r="AR900" i="9"/>
  <c r="AR909" i="9"/>
  <c r="AR916" i="9"/>
  <c r="AS902" i="9"/>
  <c r="AS900" i="9"/>
  <c r="AS901" i="9"/>
  <c r="AS907" i="9"/>
  <c r="AS909" i="9"/>
  <c r="AS905" i="9"/>
  <c r="AS918" i="9"/>
  <c r="AS912" i="9"/>
  <c r="AS906" i="9"/>
  <c r="AS903" i="9"/>
  <c r="AS917" i="9"/>
  <c r="AS904" i="9"/>
  <c r="AS914" i="9"/>
  <c r="AS916" i="9"/>
  <c r="AS908" i="9"/>
  <c r="AS915" i="9"/>
  <c r="AS911" i="9"/>
  <c r="AS910" i="9"/>
  <c r="AS913" i="9"/>
  <c r="AT906" i="9"/>
  <c r="AT900" i="9"/>
  <c r="AT902" i="9"/>
  <c r="AT908" i="9"/>
  <c r="AT918" i="9"/>
  <c r="AT912" i="9"/>
  <c r="AT913" i="9"/>
  <c r="AT901" i="9"/>
  <c r="AT914" i="9"/>
  <c r="AT915" i="9"/>
  <c r="AT917" i="9"/>
  <c r="AT916" i="9"/>
  <c r="AT907" i="9"/>
  <c r="AT905" i="9"/>
  <c r="AT911" i="9"/>
  <c r="AT910" i="9"/>
  <c r="AT909" i="9"/>
  <c r="AT904" i="9"/>
  <c r="AT903" i="9"/>
  <c r="AU916" i="9"/>
  <c r="AU906" i="9"/>
  <c r="AU909" i="9"/>
  <c r="AU905" i="9"/>
  <c r="AU903" i="9"/>
  <c r="AU912" i="9"/>
  <c r="AU913" i="9"/>
  <c r="AU907" i="9"/>
  <c r="AU911" i="9"/>
  <c r="AU918" i="9"/>
  <c r="AU904" i="9"/>
  <c r="AU901" i="9"/>
  <c r="AU915" i="9"/>
  <c r="AU908" i="9"/>
  <c r="AU910" i="9"/>
  <c r="AU900" i="9"/>
  <c r="AU914" i="9"/>
  <c r="AU917" i="9"/>
  <c r="AV908" i="9"/>
  <c r="AV916" i="9"/>
  <c r="AV914" i="9"/>
  <c r="AV907" i="9"/>
  <c r="AV903" i="9"/>
  <c r="AV913" i="9"/>
  <c r="AU902" i="9"/>
  <c r="AV911" i="9"/>
  <c r="AV912" i="9"/>
  <c r="AV906" i="9"/>
  <c r="AV904" i="9"/>
  <c r="AV902" i="9"/>
  <c r="AV909" i="9"/>
  <c r="AV915" i="9"/>
  <c r="AV900" i="9"/>
  <c r="AV901" i="9"/>
  <c r="AV905" i="9"/>
  <c r="AV918" i="9"/>
  <c r="AV917" i="9"/>
  <c r="AV910" i="9"/>
  <c r="AW916" i="9"/>
  <c r="AW910" i="9"/>
  <c r="AW913" i="9"/>
  <c r="AW904" i="9"/>
  <c r="AW905" i="9"/>
  <c r="AW906" i="9"/>
  <c r="AW918" i="9"/>
  <c r="AW915" i="9"/>
  <c r="AW917" i="9"/>
  <c r="AW903" i="9"/>
  <c r="AW901" i="9"/>
  <c r="AW908" i="9"/>
  <c r="AW912" i="9"/>
  <c r="AW914" i="9"/>
  <c r="AW911" i="9"/>
  <c r="AW907" i="9"/>
  <c r="AW909" i="9"/>
  <c r="AX908" i="9"/>
  <c r="AX903" i="9"/>
  <c r="AX901" i="9"/>
  <c r="AX915" i="9"/>
  <c r="AX917" i="9"/>
  <c r="AX906" i="9"/>
  <c r="AX905" i="9"/>
  <c r="AX904" i="9"/>
  <c r="AX916" i="9"/>
  <c r="AX909" i="9"/>
  <c r="AX914" i="9"/>
  <c r="AX918" i="9"/>
  <c r="AX913" i="9"/>
  <c r="AX911" i="9"/>
  <c r="AX910" i="9"/>
  <c r="AW900" i="9"/>
  <c r="AX912" i="9"/>
  <c r="AY909" i="9"/>
  <c r="AY908" i="9"/>
  <c r="AY918" i="9"/>
  <c r="AY911" i="9"/>
  <c r="AY915" i="9"/>
  <c r="AX900" i="9"/>
  <c r="AY914" i="9"/>
  <c r="AY912" i="9"/>
  <c r="AY916" i="9"/>
  <c r="AY910" i="9"/>
  <c r="AY903" i="9"/>
  <c r="AY901" i="9"/>
  <c r="AX902" i="9"/>
  <c r="AY906" i="9"/>
  <c r="AY917" i="9"/>
  <c r="AY904" i="9"/>
  <c r="AY913" i="9"/>
  <c r="AW902" i="9"/>
  <c r="AX907" i="9"/>
  <c r="AY905" i="9"/>
  <c r="AZ916" i="9"/>
  <c r="AZ909" i="9"/>
  <c r="AZ915" i="9"/>
  <c r="AZ905" i="9"/>
  <c r="AZ917" i="9"/>
  <c r="AZ918" i="9"/>
  <c r="AZ913" i="9"/>
  <c r="AZ906" i="9"/>
  <c r="AY907" i="9"/>
  <c r="AZ910" i="9"/>
  <c r="BI911" i="9"/>
  <c r="AZ908" i="9"/>
  <c r="AZ904" i="9"/>
  <c r="AZ901" i="9"/>
  <c r="AZ911" i="9"/>
  <c r="AZ903" i="9"/>
  <c r="AZ914" i="9"/>
  <c r="AZ912" i="9"/>
  <c r="BI918" i="9"/>
  <c r="BI915" i="9"/>
  <c r="BA913" i="9"/>
  <c r="BA912" i="9"/>
  <c r="BA905" i="9"/>
  <c r="BA915" i="9"/>
  <c r="BA906" i="9"/>
  <c r="BA917" i="9"/>
  <c r="BI904" i="9"/>
  <c r="BI908" i="9"/>
  <c r="BA918" i="9"/>
  <c r="BA901" i="9"/>
  <c r="BI906" i="9"/>
  <c r="BI901" i="9"/>
  <c r="BA904" i="9"/>
  <c r="BA908" i="9"/>
  <c r="BA914" i="9"/>
  <c r="BA911" i="9"/>
  <c r="AY900" i="9"/>
  <c r="BA910" i="9"/>
  <c r="BI913" i="9"/>
  <c r="BA916" i="9"/>
  <c r="BA903" i="9"/>
  <c r="BI905" i="9"/>
  <c r="BI914" i="9"/>
  <c r="BI903" i="9"/>
  <c r="BI912" i="9"/>
  <c r="BI917" i="9"/>
  <c r="AZ900" i="9"/>
  <c r="BB903" i="9"/>
  <c r="BB911" i="9"/>
  <c r="BB913" i="9"/>
  <c r="BB904" i="9"/>
  <c r="BB905" i="9"/>
  <c r="BB914" i="9"/>
  <c r="BB906" i="9"/>
  <c r="BB910" i="9"/>
  <c r="BB912" i="9"/>
  <c r="AZ907" i="9"/>
  <c r="BB909" i="9"/>
  <c r="BA909" i="9"/>
  <c r="BB917" i="9"/>
  <c r="BB908" i="9"/>
  <c r="BB915" i="9"/>
  <c r="BB901" i="9"/>
  <c r="BB916" i="9"/>
  <c r="AY902" i="9"/>
  <c r="BB918" i="9"/>
  <c r="BC910" i="9"/>
  <c r="BC903" i="9"/>
  <c r="BC917" i="9"/>
  <c r="BC912" i="9"/>
  <c r="BC915" i="9"/>
  <c r="BC901" i="9"/>
  <c r="BC905" i="9"/>
  <c r="BC904" i="9"/>
  <c r="BC918" i="9"/>
  <c r="BA907" i="9"/>
  <c r="BC911" i="9"/>
  <c r="BD916" i="9"/>
  <c r="BC913" i="9"/>
  <c r="BC908" i="9"/>
  <c r="AZ902" i="9"/>
  <c r="BC916" i="9"/>
  <c r="BC914" i="9"/>
  <c r="BC906" i="9"/>
  <c r="BD915" i="9"/>
  <c r="BD903" i="9"/>
  <c r="BD904" i="9"/>
  <c r="BD901" i="9"/>
  <c r="BD911" i="9"/>
  <c r="BB900" i="9"/>
  <c r="BD905" i="9"/>
  <c r="BI910" i="9"/>
  <c r="BD910" i="9"/>
  <c r="BD906" i="9"/>
  <c r="BD908" i="9"/>
  <c r="BD913" i="9"/>
  <c r="BD917" i="9"/>
  <c r="BD918" i="9"/>
  <c r="BD912" i="9"/>
  <c r="BA900" i="9"/>
  <c r="BD914" i="9"/>
  <c r="BG916" i="9"/>
  <c r="BH901" i="9"/>
  <c r="BH914" i="9"/>
  <c r="BD907" i="9"/>
  <c r="BG903" i="9"/>
  <c r="BF917" i="9"/>
  <c r="BF903" i="9"/>
  <c r="BC902" i="9"/>
  <c r="BG910" i="9"/>
  <c r="BF906" i="9"/>
  <c r="BB902" i="9"/>
  <c r="BG908" i="9"/>
  <c r="BF904" i="9"/>
  <c r="BE910" i="9"/>
  <c r="BF916" i="9"/>
  <c r="BG912" i="9"/>
  <c r="BE912" i="9"/>
  <c r="BB907" i="9"/>
  <c r="BH911" i="9"/>
  <c r="BH908" i="9"/>
  <c r="BH904" i="9"/>
  <c r="BH917" i="9"/>
  <c r="BG918" i="9"/>
  <c r="BF915" i="9"/>
  <c r="BE913" i="9"/>
  <c r="BG906" i="9"/>
  <c r="BF905" i="9"/>
  <c r="BE904" i="9"/>
  <c r="BE914" i="9"/>
  <c r="BG917" i="9"/>
  <c r="BE917" i="9"/>
  <c r="BG911" i="9"/>
  <c r="BF901" i="9"/>
  <c r="BF913" i="9"/>
  <c r="BD900" i="9"/>
  <c r="BH918" i="9"/>
  <c r="BH913" i="9"/>
  <c r="BH905" i="9"/>
  <c r="BH912" i="9"/>
  <c r="BG904" i="9"/>
  <c r="BC909" i="9"/>
  <c r="BF908" i="9"/>
  <c r="BE916" i="9"/>
  <c r="BG915" i="9"/>
  <c r="BE915" i="9"/>
  <c r="BF914" i="9"/>
  <c r="BE909" i="9"/>
  <c r="BF918" i="9"/>
  <c r="BD909" i="9"/>
  <c r="BE918" i="9"/>
  <c r="BE908" i="9"/>
  <c r="BE905" i="9"/>
  <c r="BH906" i="9"/>
  <c r="BH915" i="9"/>
  <c r="BH903" i="9"/>
  <c r="BH910" i="9"/>
  <c r="BG905" i="9"/>
  <c r="BC900" i="9"/>
  <c r="BE903" i="9"/>
  <c r="BC907" i="9"/>
  <c r="BG914" i="9"/>
  <c r="BE911" i="9"/>
  <c r="BA902" i="9"/>
  <c r="BG913" i="9"/>
  <c r="BE901" i="9"/>
  <c r="BF910" i="9"/>
  <c r="BE906" i="9"/>
  <c r="BG901" i="9"/>
  <c r="BF912" i="9"/>
  <c r="BF911" i="9"/>
  <c r="BE907" i="9"/>
  <c r="BD902" i="9"/>
  <c r="BH448" i="9"/>
  <c r="AF785" i="9"/>
  <c r="AE98" i="9"/>
  <c r="AE594" i="9" s="1"/>
  <c r="AE876" i="9" s="1"/>
  <c r="BJ283" i="9"/>
  <c r="BJ416" i="9"/>
  <c r="BJ93" i="9"/>
  <c r="BJ226" i="9"/>
  <c r="BJ188" i="9"/>
  <c r="BJ359" i="9"/>
  <c r="BJ321" i="9"/>
  <c r="BJ150" i="9"/>
  <c r="BJ302" i="9"/>
  <c r="BJ397" i="9"/>
  <c r="BJ340" i="9"/>
  <c r="BJ169" i="9"/>
  <c r="BJ131" i="9"/>
  <c r="BE501" i="9"/>
  <c r="AE136" i="9"/>
  <c r="AE596" i="9" s="1"/>
  <c r="AE878" i="9" s="1"/>
  <c r="AE399" i="9"/>
  <c r="AE541" i="9" s="1"/>
  <c r="BJ196" i="26"/>
  <c r="BJ63" i="26"/>
  <c r="BI107" i="6"/>
  <c r="AF228" i="9"/>
  <c r="AF532" i="9" s="1"/>
  <c r="AE304" i="9"/>
  <c r="AE536" i="9" s="1"/>
  <c r="AE606" i="9"/>
  <c r="AE888" i="9" s="1"/>
  <c r="AF326" i="9"/>
  <c r="AF606" i="9" s="1"/>
  <c r="AE171" i="9"/>
  <c r="AE529" i="9" s="1"/>
  <c r="AD598" i="9"/>
  <c r="AE364" i="9"/>
  <c r="AE608" i="9" s="1"/>
  <c r="AE421" i="9"/>
  <c r="AE611" i="9" s="1"/>
  <c r="AF285" i="9"/>
  <c r="AF535" i="9" s="1"/>
  <c r="AE886" i="9"/>
  <c r="AE883" i="9"/>
  <c r="AF152" i="9"/>
  <c r="AF528" i="9" s="1"/>
  <c r="AE879" i="9"/>
  <c r="AE840" i="9"/>
  <c r="AE1120" i="9" s="1"/>
  <c r="AE1144" i="9" s="1"/>
  <c r="AA885" i="9"/>
  <c r="AB266" i="9"/>
  <c r="AB534" i="9" s="1"/>
  <c r="AE523" i="9"/>
  <c r="AD874" i="9"/>
  <c r="AE865" i="9"/>
  <c r="AE860" i="9"/>
  <c r="AG787" i="9"/>
  <c r="AG810" i="9" s="1"/>
  <c r="AD881" i="9"/>
  <c r="AE190" i="9"/>
  <c r="AE530" i="9" s="1"/>
  <c r="AE342" i="9"/>
  <c r="AE538" i="9" s="1"/>
  <c r="AD889" i="9"/>
  <c r="BG238" i="9"/>
  <c r="BG242" i="9" s="1"/>
  <c r="BF200" i="9"/>
  <c r="BF204" i="9" s="1"/>
  <c r="BH1008" i="9"/>
  <c r="BH916" i="9" s="1"/>
  <c r="BE73" i="9"/>
  <c r="BE105" i="9"/>
  <c r="BE109" i="9" s="1"/>
  <c r="BJ91" i="26"/>
  <c r="BJ71" i="3"/>
  <c r="BJ117" i="3"/>
  <c r="BJ209" i="3" s="1"/>
  <c r="BI117" i="3"/>
  <c r="BJ84" i="3"/>
  <c r="BJ130" i="3"/>
  <c r="BJ222" i="3" s="1"/>
  <c r="BI130" i="3"/>
  <c r="BJ88" i="3"/>
  <c r="BJ134" i="3"/>
  <c r="BJ226" i="3" s="1"/>
  <c r="BI134" i="3"/>
  <c r="BJ78" i="3"/>
  <c r="BJ124" i="3"/>
  <c r="BJ216" i="3" s="1"/>
  <c r="BI124" i="3"/>
  <c r="BJ80" i="3"/>
  <c r="BJ126" i="3"/>
  <c r="BJ218" i="3" s="1"/>
  <c r="BI126" i="3"/>
  <c r="BJ89" i="3"/>
  <c r="BJ135" i="3"/>
  <c r="BJ227" i="3" s="1"/>
  <c r="BI135" i="3"/>
  <c r="BJ70" i="3"/>
  <c r="BJ116" i="3"/>
  <c r="BJ254" i="3" s="1"/>
  <c r="BI116" i="3"/>
  <c r="BJ83" i="3"/>
  <c r="BJ129" i="3"/>
  <c r="BJ267" i="3" s="1"/>
  <c r="BI129" i="3"/>
  <c r="BJ86" i="3"/>
  <c r="BJ132" i="3"/>
  <c r="BJ224" i="3" s="1"/>
  <c r="BI132" i="3"/>
  <c r="BJ76" i="3"/>
  <c r="BJ122" i="3"/>
  <c r="BJ260" i="3" s="1"/>
  <c r="BI122" i="3"/>
  <c r="BJ75" i="3"/>
  <c r="BJ121" i="3"/>
  <c r="BJ213" i="3" s="1"/>
  <c r="BI121" i="3"/>
  <c r="BJ72" i="3"/>
  <c r="BJ118" i="3"/>
  <c r="BJ256" i="3" s="1"/>
  <c r="BI118" i="3"/>
  <c r="BJ85" i="3"/>
  <c r="BJ131" i="3"/>
  <c r="BJ269" i="3" s="1"/>
  <c r="BI131" i="3"/>
  <c r="BJ73" i="3"/>
  <c r="BJ119" i="3"/>
  <c r="BJ257" i="3" s="1"/>
  <c r="BI119" i="3"/>
  <c r="BJ77" i="3"/>
  <c r="BJ123" i="3"/>
  <c r="BJ261" i="3" s="1"/>
  <c r="BI123" i="3"/>
  <c r="BJ87" i="3"/>
  <c r="BJ133" i="3"/>
  <c r="BJ271" i="3" s="1"/>
  <c r="BI133" i="3"/>
  <c r="BJ74" i="3"/>
  <c r="BJ120" i="3"/>
  <c r="BJ258" i="3" s="1"/>
  <c r="BI120" i="3"/>
  <c r="BJ81" i="3"/>
  <c r="BJ127" i="3"/>
  <c r="BJ265" i="3" s="1"/>
  <c r="BI127" i="3"/>
  <c r="BJ82" i="3"/>
  <c r="BJ128" i="3"/>
  <c r="BJ266" i="3" s="1"/>
  <c r="BI128" i="3"/>
  <c r="BJ79" i="3"/>
  <c r="BJ125" i="3"/>
  <c r="BJ263" i="3" s="1"/>
  <c r="BI125" i="3"/>
  <c r="BJ56" i="26"/>
  <c r="BJ87" i="26"/>
  <c r="BJ66" i="26"/>
  <c r="W559" i="9"/>
  <c r="W579" i="9"/>
  <c r="W550" i="9"/>
  <c r="A23" i="9" a="1"/>
  <c r="A23" i="9" s="1"/>
  <c r="A18" i="9" a="1"/>
  <c r="A18" i="9" s="1"/>
  <c r="A31" i="9" a="1"/>
  <c r="A31" i="9" s="1"/>
  <c r="A28" i="9" a="1"/>
  <c r="A28" i="9" s="1"/>
  <c r="A20" i="9" a="1"/>
  <c r="A20" i="9" s="1"/>
  <c r="A17" i="9" a="1"/>
  <c r="A17" i="9" s="1"/>
  <c r="A30" i="9" a="1"/>
  <c r="A30" i="9" s="1"/>
  <c r="A22" i="9" a="1"/>
  <c r="A22" i="9" s="1"/>
  <c r="A29" i="9" a="1"/>
  <c r="A29" i="9" s="1"/>
  <c r="A27" i="9" a="1"/>
  <c r="A27" i="9" s="1"/>
  <c r="A24" i="9" a="1"/>
  <c r="A24" i="9" s="1"/>
  <c r="A25" i="9" a="1"/>
  <c r="A25" i="9" s="1"/>
  <c r="A32" i="9" a="1"/>
  <c r="A32" i="9" s="1"/>
  <c r="BH168" i="20"/>
  <c r="BJ84" i="26"/>
  <c r="BJ64" i="26"/>
  <c r="BJ78" i="26"/>
  <c r="BJ82" i="26"/>
  <c r="BJ54" i="26"/>
  <c r="BJ85" i="26"/>
  <c r="BJ90" i="26"/>
  <c r="BJ61" i="26"/>
  <c r="BJ53" i="26"/>
  <c r="BI179" i="20"/>
  <c r="BM191" i="6"/>
  <c r="BN24" i="26"/>
  <c r="CQ24" i="26" s="1"/>
  <c r="BJ65" i="26"/>
  <c r="BJ67" i="26"/>
  <c r="BJ143" i="26"/>
  <c r="BJ134" i="26"/>
  <c r="BJ137" i="26"/>
  <c r="BJ105" i="26"/>
  <c r="BJ116" i="26"/>
  <c r="BJ104" i="26"/>
  <c r="BJ111" i="26"/>
  <c r="BJ112" i="26"/>
  <c r="BJ139" i="26"/>
  <c r="BJ130" i="26"/>
  <c r="BJ117" i="26"/>
  <c r="BJ141" i="26"/>
  <c r="BJ106" i="26"/>
  <c r="BJ135" i="26"/>
  <c r="BJ108" i="26"/>
  <c r="BJ115" i="26"/>
  <c r="BJ142" i="26"/>
  <c r="BJ144" i="26"/>
  <c r="BJ113" i="26"/>
  <c r="BJ133" i="26"/>
  <c r="BJ110" i="26"/>
  <c r="BJ131" i="26"/>
  <c r="BJ136" i="26"/>
  <c r="BJ138" i="26"/>
  <c r="BJ140" i="26"/>
  <c r="BJ109" i="26"/>
  <c r="BJ118" i="26"/>
  <c r="BJ107" i="26"/>
  <c r="BJ114" i="26"/>
  <c r="BJ132" i="26"/>
  <c r="BJ86" i="26"/>
  <c r="BJ92" i="26"/>
  <c r="BJ83" i="26"/>
  <c r="BJ88" i="26"/>
  <c r="BJ57" i="26"/>
  <c r="BJ55" i="26"/>
  <c r="BJ62" i="26"/>
  <c r="BJ79" i="26"/>
  <c r="BJ80" i="26"/>
  <c r="BJ89" i="26"/>
  <c r="BJ81" i="26"/>
  <c r="BJ60" i="26"/>
  <c r="BJ59" i="26"/>
  <c r="BJ58" i="26"/>
  <c r="BI281" i="26"/>
  <c r="BL223" i="26"/>
  <c r="CS223" i="26" s="1"/>
  <c r="CK223" i="26" s="1"/>
  <c r="BJ100" i="22"/>
  <c r="BJ101" i="22"/>
  <c r="BJ102" i="22"/>
  <c r="BJ103" i="22"/>
  <c r="BJ104" i="22"/>
  <c r="BJ105" i="22"/>
  <c r="BJ106" i="22"/>
  <c r="BJ107" i="22"/>
  <c r="BJ108" i="22"/>
  <c r="BJ111" i="22"/>
  <c r="BJ112" i="22"/>
  <c r="BJ114" i="22"/>
  <c r="BJ109" i="22"/>
  <c r="BJ115" i="22"/>
  <c r="BJ119" i="22"/>
  <c r="BJ123" i="22"/>
  <c r="BJ118" i="22"/>
  <c r="BJ122" i="22"/>
  <c r="BJ116" i="22"/>
  <c r="BJ120" i="22"/>
  <c r="BJ117" i="22"/>
  <c r="BJ121" i="22"/>
  <c r="BJ124" i="22"/>
  <c r="BJ110" i="22"/>
  <c r="BJ113" i="22"/>
  <c r="AA108" i="22"/>
  <c r="AA120" i="22"/>
  <c r="AA106" i="22"/>
  <c r="AA101" i="22"/>
  <c r="AA116" i="22"/>
  <c r="AA123" i="22"/>
  <c r="AA112" i="22"/>
  <c r="AA115" i="22"/>
  <c r="AA121" i="22"/>
  <c r="AA122" i="22"/>
  <c r="AA110" i="22"/>
  <c r="AA111" i="22"/>
  <c r="AA103" i="22"/>
  <c r="AA117" i="22"/>
  <c r="AA118" i="22"/>
  <c r="AA124" i="22"/>
  <c r="AA100" i="22"/>
  <c r="AA104" i="22"/>
  <c r="AA107" i="22"/>
  <c r="AA105" i="22"/>
  <c r="AA114" i="22"/>
  <c r="AA109" i="22"/>
  <c r="AA119" i="22"/>
  <c r="AA102" i="22"/>
  <c r="AA113" i="22"/>
  <c r="AB120" i="22"/>
  <c r="AB119" i="22"/>
  <c r="AB111" i="22"/>
  <c r="AB123" i="22"/>
  <c r="AB102" i="22"/>
  <c r="AB113" i="22"/>
  <c r="AB101" i="22"/>
  <c r="AB114" i="22"/>
  <c r="AB107" i="22"/>
  <c r="AB118" i="22"/>
  <c r="AB121" i="22"/>
  <c r="AB115" i="22"/>
  <c r="AB103" i="22"/>
  <c r="AB109" i="22"/>
  <c r="AB105" i="22"/>
  <c r="AB108" i="22"/>
  <c r="AB110" i="22"/>
  <c r="AB106" i="22"/>
  <c r="AB122" i="22"/>
  <c r="AB124" i="22"/>
  <c r="AB100" i="22"/>
  <c r="AB117" i="22"/>
  <c r="AB112" i="22"/>
  <c r="AB116" i="22"/>
  <c r="AB104" i="22"/>
  <c r="AC109" i="22"/>
  <c r="AC104" i="22"/>
  <c r="AC106" i="22"/>
  <c r="AC100" i="22"/>
  <c r="AC121" i="22"/>
  <c r="AC108" i="22"/>
  <c r="AC113" i="22"/>
  <c r="AC120" i="22"/>
  <c r="AC112" i="22"/>
  <c r="AC115" i="22"/>
  <c r="AC101" i="22"/>
  <c r="AC114" i="22"/>
  <c r="AC110" i="22"/>
  <c r="AC119" i="22"/>
  <c r="AC124" i="22"/>
  <c r="AC118" i="22"/>
  <c r="AC117" i="22"/>
  <c r="AC111" i="22"/>
  <c r="AC102" i="22"/>
  <c r="AC103" i="22"/>
  <c r="AC107" i="22"/>
  <c r="AC123" i="22"/>
  <c r="AC122" i="22"/>
  <c r="AC116" i="22"/>
  <c r="AC105" i="22"/>
  <c r="AD101" i="22"/>
  <c r="AD120" i="22"/>
  <c r="AD124" i="22"/>
  <c r="AD118" i="22"/>
  <c r="AD107" i="22"/>
  <c r="AD110" i="22"/>
  <c r="AD117" i="22"/>
  <c r="AD121" i="22"/>
  <c r="AD105" i="22"/>
  <c r="AD108" i="22"/>
  <c r="AD100" i="22"/>
  <c r="AD122" i="22"/>
  <c r="AD102" i="22"/>
  <c r="AD106" i="22"/>
  <c r="AD123" i="22"/>
  <c r="AD104" i="22"/>
  <c r="AD114" i="22"/>
  <c r="AD116" i="22"/>
  <c r="AD109" i="22"/>
  <c r="AD115" i="22"/>
  <c r="AD112" i="22"/>
  <c r="AD119" i="22"/>
  <c r="AD103" i="22"/>
  <c r="AD111" i="22"/>
  <c r="AD113" i="22"/>
  <c r="AE102" i="22"/>
  <c r="AE116" i="22"/>
  <c r="AE122" i="22"/>
  <c r="AE100" i="22"/>
  <c r="AE108" i="22"/>
  <c r="AE117" i="22"/>
  <c r="AE103" i="22"/>
  <c r="AE115" i="22"/>
  <c r="AE113" i="22"/>
  <c r="AE101" i="22"/>
  <c r="AE104" i="22"/>
  <c r="AE119" i="22"/>
  <c r="AE107" i="22"/>
  <c r="AE106" i="22"/>
  <c r="AE110" i="22"/>
  <c r="AE111" i="22"/>
  <c r="AE118" i="22"/>
  <c r="AE121" i="22"/>
  <c r="AE112" i="22"/>
  <c r="AE120" i="22"/>
  <c r="AE124" i="22"/>
  <c r="AE109" i="22"/>
  <c r="AE123" i="22"/>
  <c r="AE114" i="22"/>
  <c r="AE105" i="22"/>
  <c r="AF101" i="22"/>
  <c r="AF119" i="22"/>
  <c r="AF124" i="22"/>
  <c r="AF117" i="22"/>
  <c r="AF108" i="22"/>
  <c r="AF100" i="22"/>
  <c r="AF111" i="22"/>
  <c r="AF114" i="22"/>
  <c r="AF120" i="22"/>
  <c r="AF123" i="22"/>
  <c r="AF107" i="22"/>
  <c r="AF115" i="22"/>
  <c r="AF109" i="22"/>
  <c r="AF113" i="22"/>
  <c r="AF103" i="22"/>
  <c r="AF106" i="22"/>
  <c r="AF112" i="22"/>
  <c r="AF110" i="22"/>
  <c r="AF105" i="22"/>
  <c r="AF118" i="22"/>
  <c r="AF104" i="22"/>
  <c r="AF122" i="22"/>
  <c r="AF116" i="22"/>
  <c r="AF102" i="22"/>
  <c r="AF121" i="22"/>
  <c r="AG106" i="22"/>
  <c r="AG101" i="22"/>
  <c r="AG122" i="22"/>
  <c r="AG119" i="22"/>
  <c r="AG104" i="22"/>
  <c r="AG102" i="22"/>
  <c r="AG121" i="22"/>
  <c r="AG113" i="22"/>
  <c r="AG118" i="22"/>
  <c r="AG116" i="22"/>
  <c r="AG117" i="22"/>
  <c r="AG108" i="22"/>
  <c r="AG107" i="22"/>
  <c r="AG124" i="22"/>
  <c r="AG115" i="22"/>
  <c r="AG105" i="22"/>
  <c r="AG114" i="22"/>
  <c r="AG100" i="22"/>
  <c r="AG110" i="22"/>
  <c r="AG103" i="22"/>
  <c r="AG109" i="22"/>
  <c r="AG123" i="22"/>
  <c r="AG111" i="22"/>
  <c r="AG112" i="22"/>
  <c r="AG120" i="22"/>
  <c r="AH101" i="22"/>
  <c r="AH110" i="22"/>
  <c r="AH116" i="22"/>
  <c r="AH122" i="22"/>
  <c r="AH119" i="22"/>
  <c r="AH112" i="22"/>
  <c r="AH117" i="22"/>
  <c r="AH103" i="22"/>
  <c r="AH114" i="22"/>
  <c r="AH107" i="22"/>
  <c r="AH100" i="22"/>
  <c r="AH108" i="22"/>
  <c r="AH109" i="22"/>
  <c r="AH104" i="22"/>
  <c r="AH123" i="22"/>
  <c r="AH111" i="22"/>
  <c r="AH121" i="22"/>
  <c r="AH113" i="22"/>
  <c r="AH120" i="22"/>
  <c r="AH118" i="22"/>
  <c r="AH105" i="22"/>
  <c r="AH124" i="22"/>
  <c r="AH102" i="22"/>
  <c r="AH106" i="22"/>
  <c r="AH115" i="22"/>
  <c r="AI100" i="22"/>
  <c r="AI123" i="22"/>
  <c r="AI103" i="22"/>
  <c r="AI107" i="22"/>
  <c r="AI104" i="22"/>
  <c r="AI117" i="22"/>
  <c r="AI116" i="22"/>
  <c r="AI113" i="22"/>
  <c r="AI102" i="22"/>
  <c r="AI109" i="22"/>
  <c r="AI112" i="22"/>
  <c r="AI101" i="22"/>
  <c r="AI118" i="22"/>
  <c r="AI120" i="22"/>
  <c r="AI105" i="22"/>
  <c r="AI111" i="22"/>
  <c r="AI114" i="22"/>
  <c r="AI122" i="22"/>
  <c r="AI121" i="22"/>
  <c r="AI115" i="22"/>
  <c r="AI124" i="22"/>
  <c r="AI108" i="22"/>
  <c r="AI119" i="22"/>
  <c r="AI110" i="22"/>
  <c r="AI106" i="22"/>
  <c r="AJ102" i="22"/>
  <c r="AJ120" i="22"/>
  <c r="AJ100" i="22"/>
  <c r="AJ107" i="22"/>
  <c r="AJ112" i="22"/>
  <c r="AJ108" i="22"/>
  <c r="AJ104" i="22"/>
  <c r="AJ109" i="22"/>
  <c r="AJ105" i="22"/>
  <c r="AJ123" i="22"/>
  <c r="AJ116" i="22"/>
  <c r="AJ106" i="22"/>
  <c r="AJ110" i="22"/>
  <c r="AJ121" i="22"/>
  <c r="AJ119" i="22"/>
  <c r="AJ115" i="22"/>
  <c r="AJ113" i="22"/>
  <c r="AJ103" i="22"/>
  <c r="AJ111" i="22"/>
  <c r="AJ118" i="22"/>
  <c r="AJ117" i="22"/>
  <c r="AJ122" i="22"/>
  <c r="AJ124" i="22"/>
  <c r="AJ114" i="22"/>
  <c r="AJ101" i="22"/>
  <c r="AK109" i="22"/>
  <c r="AK102" i="22"/>
  <c r="AK115" i="22"/>
  <c r="AK113" i="22"/>
  <c r="AK100" i="22"/>
  <c r="AK121" i="22"/>
  <c r="AK107" i="22"/>
  <c r="AK111" i="22"/>
  <c r="AK117" i="22"/>
  <c r="AK116" i="22"/>
  <c r="AK118" i="22"/>
  <c r="AK106" i="22"/>
  <c r="AK101" i="22"/>
  <c r="AK123" i="22"/>
  <c r="AK119" i="22"/>
  <c r="AK103" i="22"/>
  <c r="AK110" i="22"/>
  <c r="AK120" i="22"/>
  <c r="AK105" i="22"/>
  <c r="AK108" i="22"/>
  <c r="AK104" i="22"/>
  <c r="AK122" i="22"/>
  <c r="AK114" i="22"/>
  <c r="AK112" i="22"/>
  <c r="AK124" i="22"/>
  <c r="AL105" i="22"/>
  <c r="AL106" i="22"/>
  <c r="AL104" i="22"/>
  <c r="AL124" i="22"/>
  <c r="AL113" i="22"/>
  <c r="AL122" i="22"/>
  <c r="AL111" i="22"/>
  <c r="AL120" i="22"/>
  <c r="AL108" i="22"/>
  <c r="AL110" i="22"/>
  <c r="AL118" i="22"/>
  <c r="AL116" i="22"/>
  <c r="AL109" i="22"/>
  <c r="AL112" i="22"/>
  <c r="AL102" i="22"/>
  <c r="AL121" i="22"/>
  <c r="AL117" i="22"/>
  <c r="AL123" i="22"/>
  <c r="AL103" i="22"/>
  <c r="AL119" i="22"/>
  <c r="AL101" i="22"/>
  <c r="AL114" i="22"/>
  <c r="AL107" i="22"/>
  <c r="AL100" i="22"/>
  <c r="AL115" i="22"/>
  <c r="AM123" i="22"/>
  <c r="AM119" i="22"/>
  <c r="AM115" i="22"/>
  <c r="AM117" i="22"/>
  <c r="AM103" i="22"/>
  <c r="AM105" i="22"/>
  <c r="AM100" i="22"/>
  <c r="AM120" i="22"/>
  <c r="AM114" i="22"/>
  <c r="AM109" i="22"/>
  <c r="AM101" i="22"/>
  <c r="AM102" i="22"/>
  <c r="AM110" i="22"/>
  <c r="AM124" i="22"/>
  <c r="AM122" i="22"/>
  <c r="AM106" i="22"/>
  <c r="AM111" i="22"/>
  <c r="AM116" i="22"/>
  <c r="AM113" i="22"/>
  <c r="AM108" i="22"/>
  <c r="AM118" i="22"/>
  <c r="AM112" i="22"/>
  <c r="AM107" i="22"/>
  <c r="AM121" i="22"/>
  <c r="AM104" i="22"/>
  <c r="AN110" i="22"/>
  <c r="AN121" i="22"/>
  <c r="AN102" i="22"/>
  <c r="AN103" i="22"/>
  <c r="AN105" i="22"/>
  <c r="AN114" i="22"/>
  <c r="AN108" i="22"/>
  <c r="AN123" i="22"/>
  <c r="AN124" i="22"/>
  <c r="AN115" i="22"/>
  <c r="AN119" i="22"/>
  <c r="AN122" i="22"/>
  <c r="AN111" i="22"/>
  <c r="AN107" i="22"/>
  <c r="AN120" i="22"/>
  <c r="AN101" i="22"/>
  <c r="AN104" i="22"/>
  <c r="AN106" i="22"/>
  <c r="AN116" i="22"/>
  <c r="AN118" i="22"/>
  <c r="AN100" i="22"/>
  <c r="AN113" i="22"/>
  <c r="AN109" i="22"/>
  <c r="AN112" i="22"/>
  <c r="AN117" i="22"/>
  <c r="AO118" i="22"/>
  <c r="AO108" i="22"/>
  <c r="AO109" i="22"/>
  <c r="AO112" i="22"/>
  <c r="AO120" i="22"/>
  <c r="AO119" i="22"/>
  <c r="AO122" i="22"/>
  <c r="AO105" i="22"/>
  <c r="AO110" i="22"/>
  <c r="AO121" i="22"/>
  <c r="AO104" i="22"/>
  <c r="AO123" i="22"/>
  <c r="AO113" i="22"/>
  <c r="AO100" i="22"/>
  <c r="AO101" i="22"/>
  <c r="AO111" i="22"/>
  <c r="AO107" i="22"/>
  <c r="AO102" i="22"/>
  <c r="AO114" i="22"/>
  <c r="AO106" i="22"/>
  <c r="AO117" i="22"/>
  <c r="AO103" i="22"/>
  <c r="AO116" i="22"/>
  <c r="AO115" i="22"/>
  <c r="AO124" i="22"/>
  <c r="AP118" i="22"/>
  <c r="AP112" i="22"/>
  <c r="AP104" i="22"/>
  <c r="AP109" i="22"/>
  <c r="AP120" i="22"/>
  <c r="AP105" i="22"/>
  <c r="AP121" i="22"/>
  <c r="AP110" i="22"/>
  <c r="AP119" i="22"/>
  <c r="AP113" i="22"/>
  <c r="AP107" i="22"/>
  <c r="AP106" i="22"/>
  <c r="AP111" i="22"/>
  <c r="AP117" i="22"/>
  <c r="AP108" i="22"/>
  <c r="AP100" i="22"/>
  <c r="AP116" i="22"/>
  <c r="AP115" i="22"/>
  <c r="AP124" i="22"/>
  <c r="AP102" i="22"/>
  <c r="AP114" i="22"/>
  <c r="AP122" i="22"/>
  <c r="AP123" i="22"/>
  <c r="AP103" i="22"/>
  <c r="AP101" i="22"/>
  <c r="AQ108" i="22"/>
  <c r="AQ124" i="22"/>
  <c r="AQ123" i="22"/>
  <c r="AQ112" i="22"/>
  <c r="AQ116" i="22"/>
  <c r="AQ111" i="22"/>
  <c r="AQ106" i="22"/>
  <c r="AQ110" i="22"/>
  <c r="AQ119" i="22"/>
  <c r="AQ105" i="22"/>
  <c r="AQ115" i="22"/>
  <c r="AQ121" i="22"/>
  <c r="AQ120" i="22"/>
  <c r="AQ117" i="22"/>
  <c r="AQ100" i="22"/>
  <c r="AQ118" i="22"/>
  <c r="AQ122" i="22"/>
  <c r="AQ104" i="22"/>
  <c r="AQ102" i="22"/>
  <c r="AQ109" i="22"/>
  <c r="AQ107" i="22"/>
  <c r="AQ101" i="22"/>
  <c r="AQ113" i="22"/>
  <c r="AQ103" i="22"/>
  <c r="AQ114" i="22"/>
  <c r="AR104" i="22"/>
  <c r="AR122" i="22"/>
  <c r="AR116" i="22"/>
  <c r="AR118" i="22"/>
  <c r="AR110" i="22"/>
  <c r="AR114" i="22"/>
  <c r="AR117" i="22"/>
  <c r="AR121" i="22"/>
  <c r="AR100" i="22"/>
  <c r="AR115" i="22"/>
  <c r="AR107" i="22"/>
  <c r="AR111" i="22"/>
  <c r="AR108" i="22"/>
  <c r="AR109" i="22"/>
  <c r="AR101" i="22"/>
  <c r="AR120" i="22"/>
  <c r="AR124" i="22"/>
  <c r="AR123" i="22"/>
  <c r="AR119" i="22"/>
  <c r="AR105" i="22"/>
  <c r="AR113" i="22"/>
  <c r="AR112" i="22"/>
  <c r="AR103" i="22"/>
  <c r="AR106" i="22"/>
  <c r="AR102" i="22"/>
  <c r="AS115" i="22"/>
  <c r="AS112" i="22"/>
  <c r="AS118" i="22"/>
  <c r="AS123" i="22"/>
  <c r="AS113" i="22"/>
  <c r="AS103" i="22"/>
  <c r="AS106" i="22"/>
  <c r="AS110" i="22"/>
  <c r="AS109" i="22"/>
  <c r="AS111" i="22"/>
  <c r="AS122" i="22"/>
  <c r="AS108" i="22"/>
  <c r="AS104" i="22"/>
  <c r="AS119" i="22"/>
  <c r="AS117" i="22"/>
  <c r="AS101" i="22"/>
  <c r="AS116" i="22"/>
  <c r="AS114" i="22"/>
  <c r="AS100" i="22"/>
  <c r="AS102" i="22"/>
  <c r="AS121" i="22"/>
  <c r="AS107" i="22"/>
  <c r="AS120" i="22"/>
  <c r="AS124" i="22"/>
  <c r="AS105" i="22"/>
  <c r="AT116" i="22"/>
  <c r="AT120" i="22"/>
  <c r="AT122" i="22"/>
  <c r="AT124" i="22"/>
  <c r="AT106" i="22"/>
  <c r="AT113" i="22"/>
  <c r="AT114" i="22"/>
  <c r="AT109" i="22"/>
  <c r="AT115" i="22"/>
  <c r="AT108" i="22"/>
  <c r="AT111" i="22"/>
  <c r="AT105" i="22"/>
  <c r="AT121" i="22"/>
  <c r="AT100" i="22"/>
  <c r="AT107" i="22"/>
  <c r="AT104" i="22"/>
  <c r="AT102" i="22"/>
  <c r="AT110" i="22"/>
  <c r="AT117" i="22"/>
  <c r="AT123" i="22"/>
  <c r="AT101" i="22"/>
  <c r="AT118" i="22"/>
  <c r="AT103" i="22"/>
  <c r="AT112" i="22"/>
  <c r="AT119" i="22"/>
  <c r="AU117" i="22"/>
  <c r="AU120" i="22"/>
  <c r="AU118" i="22"/>
  <c r="AU113" i="22"/>
  <c r="AU109" i="22"/>
  <c r="AU114" i="22"/>
  <c r="AU101" i="22"/>
  <c r="AU107" i="22"/>
  <c r="AU122" i="22"/>
  <c r="AU121" i="22"/>
  <c r="AU124" i="22"/>
  <c r="AU105" i="22"/>
  <c r="AU106" i="22"/>
  <c r="AU111" i="22"/>
  <c r="AU108" i="22"/>
  <c r="AU116" i="22"/>
  <c r="AU103" i="22"/>
  <c r="AU104" i="22"/>
  <c r="AU123" i="22"/>
  <c r="AU100" i="22"/>
  <c r="AU119" i="22"/>
  <c r="AU102" i="22"/>
  <c r="AU110" i="22"/>
  <c r="AU112" i="22"/>
  <c r="AU115" i="22"/>
  <c r="AV122" i="22"/>
  <c r="AV119" i="22"/>
  <c r="AV123" i="22"/>
  <c r="AV113" i="22"/>
  <c r="AV111" i="22"/>
  <c r="AV117" i="22"/>
  <c r="AV105" i="22"/>
  <c r="AV114" i="22"/>
  <c r="AV110" i="22"/>
  <c r="AV112" i="22"/>
  <c r="AV103" i="22"/>
  <c r="AV101" i="22"/>
  <c r="AV102" i="22"/>
  <c r="AV116" i="22"/>
  <c r="AV124" i="22"/>
  <c r="AV104" i="22"/>
  <c r="AV115" i="22"/>
  <c r="AV121" i="22"/>
  <c r="AV120" i="22"/>
  <c r="AV100" i="22"/>
  <c r="AV118" i="22"/>
  <c r="AV107" i="22"/>
  <c r="AV108" i="22"/>
  <c r="AV106" i="22"/>
  <c r="AV109" i="22"/>
  <c r="AW104" i="22"/>
  <c r="AW110" i="22"/>
  <c r="AW113" i="22"/>
  <c r="AW119" i="22"/>
  <c r="AW116" i="22"/>
  <c r="AW112" i="22"/>
  <c r="AW101" i="22"/>
  <c r="AW114" i="22"/>
  <c r="AW120" i="22"/>
  <c r="AW106" i="22"/>
  <c r="AW107" i="22"/>
  <c r="AW118" i="22"/>
  <c r="AW123" i="22"/>
  <c r="AW103" i="22"/>
  <c r="AW124" i="22"/>
  <c r="AW121" i="22"/>
  <c r="AW108" i="22"/>
  <c r="AW100" i="22"/>
  <c r="AW111" i="22"/>
  <c r="AW105" i="22"/>
  <c r="AW102" i="22"/>
  <c r="AW109" i="22"/>
  <c r="AW115" i="22"/>
  <c r="AW122" i="22"/>
  <c r="AW117" i="22"/>
  <c r="AX124" i="22"/>
  <c r="AX121" i="22"/>
  <c r="AX122" i="22"/>
  <c r="AX115" i="22"/>
  <c r="AX106" i="22"/>
  <c r="AX116" i="22"/>
  <c r="AX114" i="22"/>
  <c r="AX103" i="22"/>
  <c r="AX107" i="22"/>
  <c r="AX123" i="22"/>
  <c r="AX119" i="22"/>
  <c r="AX113" i="22"/>
  <c r="AX105" i="22"/>
  <c r="AX118" i="22"/>
  <c r="AX112" i="22"/>
  <c r="AX108" i="22"/>
  <c r="AX104" i="22"/>
  <c r="AX100" i="22"/>
  <c r="AX109" i="22"/>
  <c r="AX110" i="22"/>
  <c r="AX120" i="22"/>
  <c r="AX117" i="22"/>
  <c r="AX101" i="22"/>
  <c r="AX111" i="22"/>
  <c r="AX102" i="22"/>
  <c r="AY113" i="22"/>
  <c r="AY114" i="22"/>
  <c r="AY110" i="22"/>
  <c r="AY123" i="22"/>
  <c r="AY120" i="22"/>
  <c r="AY124" i="22"/>
  <c r="AY107" i="22"/>
  <c r="AY105" i="22"/>
  <c r="AY100" i="22"/>
  <c r="AY116" i="22"/>
  <c r="AY119" i="22"/>
  <c r="AY118" i="22"/>
  <c r="AY101" i="22"/>
  <c r="AY109" i="22"/>
  <c r="AY112" i="22"/>
  <c r="AY111" i="22"/>
  <c r="AY121" i="22"/>
  <c r="AY102" i="22"/>
  <c r="AY108" i="22"/>
  <c r="AY106" i="22"/>
  <c r="AY117" i="22"/>
  <c r="AY115" i="22"/>
  <c r="AY104" i="22"/>
  <c r="AY103" i="22"/>
  <c r="AY122" i="22"/>
  <c r="AZ124" i="22"/>
  <c r="AZ101" i="22"/>
  <c r="AZ117" i="22"/>
  <c r="AZ107" i="22"/>
  <c r="AZ104" i="22"/>
  <c r="AZ115" i="22"/>
  <c r="AZ108" i="22"/>
  <c r="AZ111" i="22"/>
  <c r="AZ103" i="22"/>
  <c r="AZ122" i="22"/>
  <c r="AZ113" i="22"/>
  <c r="AZ118" i="22"/>
  <c r="AZ112" i="22"/>
  <c r="AZ120" i="22"/>
  <c r="AZ121" i="22"/>
  <c r="AZ100" i="22"/>
  <c r="AZ123" i="22"/>
  <c r="AZ102" i="22"/>
  <c r="AZ119" i="22"/>
  <c r="AZ114" i="22"/>
  <c r="AZ109" i="22"/>
  <c r="AZ110" i="22"/>
  <c r="AZ106" i="22"/>
  <c r="AZ116" i="22"/>
  <c r="AZ105" i="22"/>
  <c r="BA102" i="22"/>
  <c r="BA104" i="22"/>
  <c r="BA118" i="22"/>
  <c r="BA113" i="22"/>
  <c r="BA110" i="22"/>
  <c r="BA115" i="22"/>
  <c r="BA105" i="22"/>
  <c r="BA119" i="22"/>
  <c r="BA101" i="22"/>
  <c r="BA111" i="22"/>
  <c r="BA121" i="22"/>
  <c r="BA112" i="22"/>
  <c r="BA103" i="22"/>
  <c r="BA107" i="22"/>
  <c r="BA116" i="22"/>
  <c r="BA109" i="22"/>
  <c r="BA117" i="22"/>
  <c r="BA124" i="22"/>
  <c r="BA100" i="22"/>
  <c r="BA106" i="22"/>
  <c r="BA123" i="22"/>
  <c r="BA120" i="22"/>
  <c r="BA108" i="22"/>
  <c r="BA114" i="22"/>
  <c r="BA122" i="22"/>
  <c r="BB105" i="22"/>
  <c r="BB113" i="22"/>
  <c r="BB109" i="22"/>
  <c r="BB101" i="22"/>
  <c r="BB104" i="22"/>
  <c r="BB121" i="22"/>
  <c r="BB112" i="22"/>
  <c r="BB115" i="22"/>
  <c r="BB122" i="22"/>
  <c r="BB111" i="22"/>
  <c r="BB107" i="22"/>
  <c r="BB102" i="22"/>
  <c r="BB120" i="22"/>
  <c r="BB123" i="22"/>
  <c r="BB118" i="22"/>
  <c r="BB106" i="22"/>
  <c r="BB103" i="22"/>
  <c r="BB110" i="22"/>
  <c r="BB108" i="22"/>
  <c r="BB100" i="22"/>
  <c r="BB116" i="22"/>
  <c r="BB119" i="22"/>
  <c r="BB114" i="22"/>
  <c r="BB117" i="22"/>
  <c r="BB124" i="22"/>
  <c r="BC101" i="22"/>
  <c r="BC104" i="22"/>
  <c r="BC109" i="22"/>
  <c r="BC112" i="22"/>
  <c r="BC117" i="22"/>
  <c r="BC113" i="22"/>
  <c r="BC105" i="22"/>
  <c r="BC119" i="22"/>
  <c r="BC118" i="22"/>
  <c r="BC106" i="22"/>
  <c r="BC115" i="22"/>
  <c r="BC103" i="22"/>
  <c r="BC116" i="22"/>
  <c r="BC102" i="22"/>
  <c r="BC107" i="22"/>
  <c r="BC110" i="22"/>
  <c r="BC111" i="22"/>
  <c r="BC120" i="22"/>
  <c r="BC121" i="22"/>
  <c r="BC123" i="22"/>
  <c r="BC100" i="22"/>
  <c r="BC124" i="22"/>
  <c r="BC108" i="22"/>
  <c r="BC122" i="22"/>
  <c r="BC114" i="22"/>
  <c r="BD111" i="22"/>
  <c r="BD101" i="22"/>
  <c r="BD115" i="22"/>
  <c r="BD108" i="22"/>
  <c r="BD106" i="22"/>
  <c r="BD103" i="22"/>
  <c r="BD107" i="22"/>
  <c r="BD102" i="22"/>
  <c r="BD124" i="22"/>
  <c r="BD119" i="22"/>
  <c r="BD113" i="22"/>
  <c r="BD120" i="22"/>
  <c r="BD116" i="22"/>
  <c r="BD100" i="22"/>
  <c r="BD112" i="22"/>
  <c r="BD123" i="22"/>
  <c r="BD121" i="22"/>
  <c r="BD109" i="22"/>
  <c r="BD104" i="22"/>
  <c r="BD122" i="22"/>
  <c r="BD105" i="22"/>
  <c r="BD110" i="22"/>
  <c r="BD118" i="22"/>
  <c r="BD117" i="22"/>
  <c r="BD114" i="22"/>
  <c r="BI101" i="22"/>
  <c r="BI105" i="22"/>
  <c r="BI109" i="22"/>
  <c r="BI113" i="22"/>
  <c r="BI117" i="22"/>
  <c r="BI121" i="22"/>
  <c r="BH100" i="22"/>
  <c r="BH118" i="22"/>
  <c r="BF115" i="22"/>
  <c r="BG107" i="22"/>
  <c r="BF118" i="22"/>
  <c r="BG115" i="22"/>
  <c r="BE114" i="22"/>
  <c r="BH114" i="22"/>
  <c r="BG118" i="22"/>
  <c r="BF124" i="22"/>
  <c r="BG120" i="22"/>
  <c r="BG100" i="22"/>
  <c r="BH102" i="22"/>
  <c r="BH120" i="22"/>
  <c r="BE102" i="22"/>
  <c r="BG106" i="22"/>
  <c r="BG114" i="22"/>
  <c r="BG117" i="22"/>
  <c r="BF107" i="22"/>
  <c r="BH117" i="22"/>
  <c r="BG105" i="22"/>
  <c r="BG113" i="22"/>
  <c r="BF123" i="22"/>
  <c r="BF104" i="22"/>
  <c r="BG121" i="22"/>
  <c r="BI102" i="22"/>
  <c r="BI106" i="22"/>
  <c r="BI110" i="22"/>
  <c r="BI114" i="22"/>
  <c r="BI118" i="22"/>
  <c r="BI122" i="22"/>
  <c r="BH104" i="22"/>
  <c r="BH122" i="22"/>
  <c r="BE124" i="22"/>
  <c r="BF100" i="22"/>
  <c r="BF110" i="22"/>
  <c r="BG101" i="22"/>
  <c r="BH101" i="22"/>
  <c r="BH119" i="22"/>
  <c r="BE113" i="22"/>
  <c r="BF109" i="22"/>
  <c r="BE117" i="22"/>
  <c r="BF108" i="22"/>
  <c r="BH106" i="22"/>
  <c r="BH115" i="22"/>
  <c r="BF122" i="22"/>
  <c r="BG119" i="22"/>
  <c r="BG124" i="22"/>
  <c r="BF119" i="22"/>
  <c r="BH103" i="22"/>
  <c r="BH121" i="22"/>
  <c r="BF117" i="22"/>
  <c r="BG123" i="22"/>
  <c r="BF120" i="22"/>
  <c r="BE107" i="22"/>
  <c r="BF111" i="22"/>
  <c r="BI103" i="22"/>
  <c r="BI107" i="22"/>
  <c r="BI111" i="22"/>
  <c r="BI115" i="22"/>
  <c r="BI119" i="22"/>
  <c r="BI123" i="22"/>
  <c r="BH108" i="22"/>
  <c r="BH124" i="22"/>
  <c r="BE109" i="22"/>
  <c r="BE120" i="22"/>
  <c r="BF112" i="22"/>
  <c r="BE123" i="22"/>
  <c r="BH105" i="22"/>
  <c r="BH113" i="22"/>
  <c r="BF105" i="22"/>
  <c r="BE112" i="22"/>
  <c r="BE105" i="22"/>
  <c r="BE108" i="22"/>
  <c r="BH111" i="22"/>
  <c r="BG112" i="22"/>
  <c r="BF102" i="22"/>
  <c r="BE101" i="22"/>
  <c r="BE122" i="22"/>
  <c r="BF101" i="22"/>
  <c r="BH107" i="22"/>
  <c r="BH123" i="22"/>
  <c r="BF113" i="22"/>
  <c r="BE118" i="22"/>
  <c r="BE119" i="22"/>
  <c r="BE115" i="22"/>
  <c r="BE121" i="22"/>
  <c r="BI100" i="22"/>
  <c r="BI104" i="22"/>
  <c r="BI108" i="22"/>
  <c r="BI112" i="22"/>
  <c r="BI116" i="22"/>
  <c r="BI120" i="22"/>
  <c r="BI124" i="22"/>
  <c r="BH109" i="22"/>
  <c r="BG104" i="22"/>
  <c r="BE104" i="22"/>
  <c r="BG116" i="22"/>
  <c r="BF103" i="22"/>
  <c r="BE111" i="22"/>
  <c r="BH110" i="22"/>
  <c r="BG102" i="22"/>
  <c r="BG108" i="22"/>
  <c r="BG110" i="22"/>
  <c r="BF121" i="22"/>
  <c r="BE100" i="22"/>
  <c r="BH116" i="22"/>
  <c r="BG122" i="22"/>
  <c r="BE116" i="22"/>
  <c r="BF106" i="22"/>
  <c r="BE110" i="22"/>
  <c r="BF116" i="22"/>
  <c r="BH112" i="22"/>
  <c r="BG103" i="22"/>
  <c r="BE103" i="22"/>
  <c r="BE106" i="22"/>
  <c r="BG109" i="22"/>
  <c r="BG111" i="22"/>
  <c r="BF114" i="22"/>
  <c r="BJ99" i="22"/>
  <c r="BJ98" i="22"/>
  <c r="BJ97" i="22"/>
  <c r="BJ96" i="22"/>
  <c r="AA99" i="22"/>
  <c r="AA98" i="22"/>
  <c r="AA97" i="22"/>
  <c r="AB96" i="22"/>
  <c r="AB98" i="22"/>
  <c r="AB99" i="22"/>
  <c r="AB97" i="22"/>
  <c r="AC97" i="22"/>
  <c r="AC98" i="22"/>
  <c r="AC96" i="22"/>
  <c r="AC99" i="22"/>
  <c r="AD96" i="22"/>
  <c r="AD98" i="22"/>
  <c r="AD99" i="22"/>
  <c r="AD97" i="22"/>
  <c r="AE98" i="22"/>
  <c r="AE96" i="22"/>
  <c r="AE99" i="22"/>
  <c r="AE97" i="22"/>
  <c r="AF99" i="22"/>
  <c r="AF97" i="22"/>
  <c r="AF96" i="22"/>
  <c r="AF98" i="22"/>
  <c r="AG97" i="22"/>
  <c r="AG98" i="22"/>
  <c r="AG99" i="22"/>
  <c r="AH99" i="22"/>
  <c r="AH98" i="22"/>
  <c r="AH97" i="22"/>
  <c r="AI99" i="22"/>
  <c r="AI98" i="22"/>
  <c r="AI96" i="22"/>
  <c r="AJ98" i="22"/>
  <c r="AJ99" i="22"/>
  <c r="AJ97" i="22"/>
  <c r="AJ96" i="22"/>
  <c r="AK98" i="22"/>
  <c r="AK99" i="22"/>
  <c r="AK96" i="22"/>
  <c r="AK97" i="22"/>
  <c r="AL99" i="22"/>
  <c r="AL96" i="22"/>
  <c r="AL98" i="22"/>
  <c r="AL97" i="22"/>
  <c r="AM98" i="22"/>
  <c r="AM97" i="22"/>
  <c r="AM96" i="22"/>
  <c r="AM99" i="22"/>
  <c r="AN98" i="22"/>
  <c r="AN97" i="22"/>
  <c r="AN99" i="22"/>
  <c r="AN96" i="22"/>
  <c r="AO98" i="22"/>
  <c r="AO99" i="22"/>
  <c r="AO96" i="22"/>
  <c r="AO97" i="22"/>
  <c r="AP97" i="22"/>
  <c r="AP99" i="22"/>
  <c r="AP98" i="22"/>
  <c r="AP96" i="22"/>
  <c r="AQ96" i="22"/>
  <c r="AQ99" i="22"/>
  <c r="AQ97" i="22"/>
  <c r="AQ98" i="22"/>
  <c r="AR98" i="22"/>
  <c r="AR99" i="22"/>
  <c r="AR97" i="22"/>
  <c r="AR96" i="22"/>
  <c r="AS97" i="22"/>
  <c r="AS96" i="22"/>
  <c r="AS99" i="22"/>
  <c r="AS98" i="22"/>
  <c r="AT99" i="22"/>
  <c r="AT97" i="22"/>
  <c r="AT98" i="22"/>
  <c r="AT96" i="22"/>
  <c r="AU99" i="22"/>
  <c r="AU96" i="22"/>
  <c r="AU98" i="22"/>
  <c r="AU97" i="22"/>
  <c r="AV97" i="22"/>
  <c r="AV96" i="22"/>
  <c r="AV98" i="22"/>
  <c r="AV99" i="22"/>
  <c r="AW99" i="22"/>
  <c r="AW97" i="22"/>
  <c r="AW96" i="22"/>
  <c r="AW98" i="22"/>
  <c r="AX97" i="22"/>
  <c r="AX96" i="22"/>
  <c r="AX98" i="22"/>
  <c r="AX99" i="22"/>
  <c r="AY98" i="22"/>
  <c r="AY97" i="22"/>
  <c r="AY96" i="22"/>
  <c r="AY99" i="22"/>
  <c r="AZ99" i="22"/>
  <c r="AZ97" i="22"/>
  <c r="AZ96" i="22"/>
  <c r="AZ98" i="22"/>
  <c r="BA99" i="22"/>
  <c r="BA98" i="22"/>
  <c r="BA97" i="22"/>
  <c r="BA96" i="22"/>
  <c r="BB97" i="22"/>
  <c r="BB96" i="22"/>
  <c r="BB99" i="22"/>
  <c r="BB98" i="22"/>
  <c r="BC96" i="22"/>
  <c r="BC97" i="22"/>
  <c r="BC99" i="22"/>
  <c r="BC98" i="22"/>
  <c r="BD96" i="22"/>
  <c r="BD98" i="22"/>
  <c r="BD97" i="22"/>
  <c r="BD99" i="22"/>
  <c r="BI98" i="22"/>
  <c r="BH97" i="22"/>
  <c r="BG97" i="22"/>
  <c r="BE97" i="22"/>
  <c r="BE96" i="22"/>
  <c r="BI97" i="22"/>
  <c r="BG96" i="22"/>
  <c r="BH99" i="22"/>
  <c r="BF96" i="22"/>
  <c r="BE99" i="22"/>
  <c r="BI96" i="22"/>
  <c r="BF97" i="22"/>
  <c r="BF99" i="22"/>
  <c r="BH96" i="22"/>
  <c r="BH98" i="22"/>
  <c r="BI99" i="22"/>
  <c r="BG98" i="22"/>
  <c r="BG99" i="22"/>
  <c r="BE98" i="22"/>
  <c r="BF98" i="22"/>
  <c r="AJ26" i="3"/>
  <c r="AJ28" i="3"/>
  <c r="BJ26" i="3"/>
  <c r="BJ28" i="3"/>
  <c r="BJ97" i="3"/>
  <c r="BJ104" i="3"/>
  <c r="BJ102" i="3"/>
  <c r="BJ109" i="3"/>
  <c r="BJ99" i="3"/>
  <c r="BJ98" i="3"/>
  <c r="BJ95" i="3"/>
  <c r="BJ108" i="3"/>
  <c r="BJ100" i="3"/>
  <c r="BJ94" i="3"/>
  <c r="BJ110" i="3"/>
  <c r="BJ107" i="3"/>
  <c r="BJ105" i="3"/>
  <c r="BJ96" i="3"/>
  <c r="BJ111" i="3"/>
  <c r="BJ101" i="3"/>
  <c r="BJ103" i="3"/>
  <c r="BJ112" i="3"/>
  <c r="BJ93" i="3"/>
  <c r="BJ106" i="3"/>
  <c r="AJ4" i="4"/>
  <c r="AJ4" i="6"/>
  <c r="AJ4" i="1"/>
  <c r="AJ20" i="3"/>
  <c r="X69" i="6" l="1"/>
  <c r="BH64" i="33"/>
  <c r="BH74" i="33"/>
  <c r="AF771" i="9"/>
  <c r="AF794" i="9"/>
  <c r="AF817" i="9" s="1"/>
  <c r="AG771" i="9" s="1"/>
  <c r="BH747" i="9"/>
  <c r="W130" i="1"/>
  <c r="BO205" i="6"/>
  <c r="Y130" i="1"/>
  <c r="CG155" i="1"/>
  <c r="BO196" i="6"/>
  <c r="BO155" i="1" s="1"/>
  <c r="BO155" i="20" s="1"/>
  <c r="Y155" i="1"/>
  <c r="BN205" i="6"/>
  <c r="X130" i="1"/>
  <c r="CH130" i="1" s="1"/>
  <c r="CH155" i="1"/>
  <c r="BH737" i="9"/>
  <c r="BH750" i="9"/>
  <c r="BH745" i="9"/>
  <c r="BO209" i="6"/>
  <c r="Y150" i="30"/>
  <c r="BN209" i="6"/>
  <c r="X150" i="30"/>
  <c r="W211" i="6"/>
  <c r="W150" i="30"/>
  <c r="BM209" i="6"/>
  <c r="BE733" i="9"/>
  <c r="BO278" i="26"/>
  <c r="CR278" i="26" s="1"/>
  <c r="CI35" i="26"/>
  <c r="CM191" i="9"/>
  <c r="CM211" i="9"/>
  <c r="CM135" i="9"/>
  <c r="CM173" i="9"/>
  <c r="CM172" i="9"/>
  <c r="CM153" i="9"/>
  <c r="CM97" i="9"/>
  <c r="CM325" i="9"/>
  <c r="CM77" i="9"/>
  <c r="CM420" i="9"/>
  <c r="W121" i="9"/>
  <c r="W197" i="9"/>
  <c r="W273" i="9"/>
  <c r="W349" i="9"/>
  <c r="W425" i="9"/>
  <c r="CM230" i="9"/>
  <c r="W292" i="9"/>
  <c r="W368" i="9"/>
  <c r="CM306" i="9"/>
  <c r="CM50" i="9"/>
  <c r="CM287" i="9"/>
  <c r="W565" i="9"/>
  <c r="CM363" i="9"/>
  <c r="CM248" i="9"/>
  <c r="CM229" i="9"/>
  <c r="CM343" i="9"/>
  <c r="CM344" i="9"/>
  <c r="CM362" i="9"/>
  <c r="CM401" i="9"/>
  <c r="CM249" i="9"/>
  <c r="CM96" i="9"/>
  <c r="CM134" i="9"/>
  <c r="CM115" i="9"/>
  <c r="CM305" i="9"/>
  <c r="W64" i="9"/>
  <c r="W102" i="9"/>
  <c r="W178" i="9"/>
  <c r="W254" i="9"/>
  <c r="W330" i="9"/>
  <c r="W406" i="9"/>
  <c r="CM210" i="9"/>
  <c r="CM267" i="9"/>
  <c r="CM324" i="9"/>
  <c r="CM268" i="9"/>
  <c r="W140" i="9"/>
  <c r="W216" i="9"/>
  <c r="CM58" i="9"/>
  <c r="CM382" i="9"/>
  <c r="CM286" i="9"/>
  <c r="CM49" i="9"/>
  <c r="W83" i="9"/>
  <c r="W159" i="9"/>
  <c r="W235" i="9"/>
  <c r="W311" i="9"/>
  <c r="W387" i="9"/>
  <c r="BN20" i="26"/>
  <c r="CQ20" i="26" s="1"/>
  <c r="Y554" i="9"/>
  <c r="CI311" i="26"/>
  <c r="BN237" i="26"/>
  <c r="CQ237" i="26" s="1"/>
  <c r="BO27" i="26"/>
  <c r="CR27" i="26" s="1"/>
  <c r="CJ38" i="26"/>
  <c r="CI38" i="26"/>
  <c r="CI96" i="26"/>
  <c r="CI37" i="26"/>
  <c r="CI69" i="26"/>
  <c r="CJ287" i="26"/>
  <c r="CI122" i="26"/>
  <c r="CI45" i="26"/>
  <c r="CJ69" i="26"/>
  <c r="CI43" i="26"/>
  <c r="CJ96" i="26"/>
  <c r="CJ37" i="26"/>
  <c r="CJ122" i="26"/>
  <c r="CJ43" i="26"/>
  <c r="CJ35" i="26"/>
  <c r="CJ45" i="26"/>
  <c r="CI287" i="26"/>
  <c r="CN90" i="26"/>
  <c r="CR90" i="26"/>
  <c r="CJ90" i="26" s="1"/>
  <c r="CO90" i="26"/>
  <c r="CN78" i="26"/>
  <c r="CR78" i="26"/>
  <c r="CJ78" i="26" s="1"/>
  <c r="CO78" i="26"/>
  <c r="CN87" i="26"/>
  <c r="CR87" i="26"/>
  <c r="CJ87" i="26" s="1"/>
  <c r="CO87" i="26"/>
  <c r="BJ171" i="26"/>
  <c r="Y42" i="26"/>
  <c r="CO16" i="26"/>
  <c r="Y44" i="26"/>
  <c r="CO44" i="26" s="1"/>
  <c r="CO17" i="26"/>
  <c r="BO280" i="26"/>
  <c r="CR280" i="26" s="1"/>
  <c r="CO280" i="26"/>
  <c r="BN22" i="26"/>
  <c r="CQ22" i="26" s="1"/>
  <c r="CN22" i="26"/>
  <c r="BN280" i="26"/>
  <c r="CQ280" i="26" s="1"/>
  <c r="CN280" i="26"/>
  <c r="BO25" i="26"/>
  <c r="CR25" i="26" s="1"/>
  <c r="CO25" i="26"/>
  <c r="BN21" i="26"/>
  <c r="CQ21" i="26" s="1"/>
  <c r="CN21" i="26"/>
  <c r="BN223" i="26"/>
  <c r="CQ223" i="26" s="1"/>
  <c r="CN223" i="26"/>
  <c r="CI223" i="26" s="1"/>
  <c r="BN260" i="26"/>
  <c r="CQ260" i="26" s="1"/>
  <c r="CN260" i="26"/>
  <c r="BO250" i="26"/>
  <c r="CR250" i="26" s="1"/>
  <c r="CO250" i="26"/>
  <c r="CN114" i="26"/>
  <c r="CO114" i="26"/>
  <c r="CR114" i="26"/>
  <c r="CJ114" i="26" s="1"/>
  <c r="CN116" i="26"/>
  <c r="CR116" i="26"/>
  <c r="CJ116" i="26" s="1"/>
  <c r="CO116" i="26"/>
  <c r="CN55" i="26"/>
  <c r="CR55" i="26"/>
  <c r="CJ55" i="26" s="1"/>
  <c r="CO55" i="26"/>
  <c r="CN115" i="26"/>
  <c r="CO115" i="26"/>
  <c r="CR115" i="26"/>
  <c r="CJ115" i="26" s="1"/>
  <c r="CN56" i="26"/>
  <c r="CR56" i="26"/>
  <c r="CJ56" i="26" s="1"/>
  <c r="CO56" i="26"/>
  <c r="BN279" i="26"/>
  <c r="CQ279" i="26" s="1"/>
  <c r="CN279" i="26"/>
  <c r="BO21" i="26"/>
  <c r="CR21" i="26" s="1"/>
  <c r="CO21" i="26"/>
  <c r="BO237" i="26"/>
  <c r="CR237" i="26" s="1"/>
  <c r="CO237" i="26"/>
  <c r="CI237" i="26" s="1"/>
  <c r="X36" i="26"/>
  <c r="CN14" i="26"/>
  <c r="X42" i="26"/>
  <c r="CN42" i="26" s="1"/>
  <c r="CN16" i="26"/>
  <c r="CI16" i="26" s="1"/>
  <c r="Y186" i="30"/>
  <c r="CI186" i="30" s="1"/>
  <c r="CO246" i="26"/>
  <c r="BO23" i="26"/>
  <c r="CR23" i="26" s="1"/>
  <c r="CO23" i="26"/>
  <c r="BO277" i="26"/>
  <c r="CR277" i="26" s="1"/>
  <c r="CO277" i="26"/>
  <c r="CI19" i="26"/>
  <c r="CI18" i="26"/>
  <c r="BN250" i="26"/>
  <c r="CQ250" i="26" s="1"/>
  <c r="CN250" i="26"/>
  <c r="BO238" i="26"/>
  <c r="CR238" i="26" s="1"/>
  <c r="CO238" i="26"/>
  <c r="BO269" i="26"/>
  <c r="CR269" i="26" s="1"/>
  <c r="CO269" i="26"/>
  <c r="BO288" i="26"/>
  <c r="CR288" i="26" s="1"/>
  <c r="CO288" i="26"/>
  <c r="CN62" i="26"/>
  <c r="CR62" i="26"/>
  <c r="CJ62" i="26" s="1"/>
  <c r="CO62" i="26"/>
  <c r="CN58" i="26"/>
  <c r="CR58" i="26"/>
  <c r="CJ58" i="26" s="1"/>
  <c r="CO58" i="26"/>
  <c r="CN89" i="26"/>
  <c r="CO89" i="26"/>
  <c r="CR89" i="26"/>
  <c r="CJ89" i="26" s="1"/>
  <c r="CN92" i="26"/>
  <c r="CO92" i="26"/>
  <c r="CR92" i="26"/>
  <c r="CJ92" i="26" s="1"/>
  <c r="CN107" i="26"/>
  <c r="CO107" i="26"/>
  <c r="CR107" i="26"/>
  <c r="CJ107" i="26" s="1"/>
  <c r="CN112" i="26"/>
  <c r="CO112" i="26"/>
  <c r="CR112" i="26"/>
  <c r="CJ112" i="26" s="1"/>
  <c r="CN105" i="26"/>
  <c r="CR105" i="26"/>
  <c r="CJ105" i="26" s="1"/>
  <c r="CO105" i="26"/>
  <c r="CN67" i="26"/>
  <c r="CO67" i="26"/>
  <c r="CR67" i="26"/>
  <c r="CJ67" i="26" s="1"/>
  <c r="CN85" i="26"/>
  <c r="CO85" i="26"/>
  <c r="CR85" i="26"/>
  <c r="CJ85" i="26" s="1"/>
  <c r="CN59" i="26"/>
  <c r="CO59" i="26"/>
  <c r="CR59" i="26"/>
  <c r="CJ59" i="26" s="1"/>
  <c r="CN80" i="26"/>
  <c r="CO80" i="26"/>
  <c r="CR80" i="26"/>
  <c r="CJ80" i="26" s="1"/>
  <c r="CN57" i="26"/>
  <c r="CO57" i="26"/>
  <c r="CR57" i="26"/>
  <c r="CJ57" i="26" s="1"/>
  <c r="BJ234" i="26"/>
  <c r="CN86" i="26"/>
  <c r="CO86" i="26"/>
  <c r="CR86" i="26"/>
  <c r="CJ86" i="26" s="1"/>
  <c r="CN118" i="26"/>
  <c r="CO118" i="26"/>
  <c r="CR118" i="26"/>
  <c r="CJ118" i="26" s="1"/>
  <c r="CN113" i="26"/>
  <c r="CO113" i="26"/>
  <c r="CR113" i="26"/>
  <c r="CJ113" i="26" s="1"/>
  <c r="CN108" i="26"/>
  <c r="CO108" i="26"/>
  <c r="CR108" i="26"/>
  <c r="CJ108" i="26" s="1"/>
  <c r="CN117" i="26"/>
  <c r="CO117" i="26"/>
  <c r="CR117" i="26"/>
  <c r="CJ117" i="26" s="1"/>
  <c r="CN111" i="26"/>
  <c r="CR111" i="26"/>
  <c r="CJ111" i="26" s="1"/>
  <c r="CO111" i="26"/>
  <c r="CN65" i="26"/>
  <c r="CO65" i="26"/>
  <c r="CR65" i="26"/>
  <c r="CJ65" i="26" s="1"/>
  <c r="CN53" i="26"/>
  <c r="CR53" i="26"/>
  <c r="CJ53" i="26" s="1"/>
  <c r="CO53" i="26"/>
  <c r="CN54" i="26"/>
  <c r="CR54" i="26"/>
  <c r="CJ54" i="26" s="1"/>
  <c r="CO54" i="26"/>
  <c r="CN84" i="26"/>
  <c r="CO84" i="26"/>
  <c r="CR84" i="26"/>
  <c r="CJ84" i="26" s="1"/>
  <c r="CN91" i="26"/>
  <c r="CR91" i="26"/>
  <c r="CJ91" i="26" s="1"/>
  <c r="CO91" i="26"/>
  <c r="CN63" i="26"/>
  <c r="CR63" i="26"/>
  <c r="CJ63" i="26" s="1"/>
  <c r="CO63" i="26"/>
  <c r="BN17" i="26"/>
  <c r="CQ17" i="26" s="1"/>
  <c r="CN17" i="26"/>
  <c r="CI17" i="26" s="1"/>
  <c r="BN26" i="26"/>
  <c r="CQ26" i="26" s="1"/>
  <c r="CN26" i="26"/>
  <c r="BN23" i="26"/>
  <c r="CQ23" i="26" s="1"/>
  <c r="CN23" i="26"/>
  <c r="BO279" i="26"/>
  <c r="CR279" i="26" s="1"/>
  <c r="CO279" i="26"/>
  <c r="BN277" i="26"/>
  <c r="CQ277" i="26" s="1"/>
  <c r="CN277" i="26"/>
  <c r="BO20" i="26"/>
  <c r="CR20" i="26" s="1"/>
  <c r="CO20" i="26"/>
  <c r="CI20" i="26" s="1"/>
  <c r="BO26" i="26"/>
  <c r="CR26" i="26" s="1"/>
  <c r="CO26" i="26"/>
  <c r="X186" i="30"/>
  <c r="CH186" i="30" s="1"/>
  <c r="CN246" i="26"/>
  <c r="W186" i="30"/>
  <c r="CG186" i="30" s="1"/>
  <c r="CM246" i="26"/>
  <c r="CI209" i="26"/>
  <c r="Y322" i="26"/>
  <c r="Y211" i="26" s="1"/>
  <c r="CO211" i="26" s="1"/>
  <c r="CO305" i="26"/>
  <c r="BO260" i="26"/>
  <c r="CR260" i="26" s="1"/>
  <c r="CO260" i="26"/>
  <c r="CI260" i="26" s="1"/>
  <c r="BN238" i="26"/>
  <c r="CQ238" i="26" s="1"/>
  <c r="CN238" i="26"/>
  <c r="CI210" i="26"/>
  <c r="BN269" i="26"/>
  <c r="CQ269" i="26" s="1"/>
  <c r="CN269" i="26"/>
  <c r="BN288" i="26"/>
  <c r="CQ288" i="26" s="1"/>
  <c r="CN288" i="26"/>
  <c r="CN81" i="26"/>
  <c r="CO81" i="26"/>
  <c r="CR81" i="26"/>
  <c r="CJ81" i="26" s="1"/>
  <c r="CN83" i="26"/>
  <c r="CR83" i="26"/>
  <c r="CJ83" i="26" s="1"/>
  <c r="CO83" i="26"/>
  <c r="CN110" i="26"/>
  <c r="CR110" i="26"/>
  <c r="CJ110" i="26" s="1"/>
  <c r="CO110" i="26"/>
  <c r="CN106" i="26"/>
  <c r="CR106" i="26"/>
  <c r="CJ106" i="26" s="1"/>
  <c r="CO106" i="26"/>
  <c r="CN64" i="26"/>
  <c r="CR64" i="26"/>
  <c r="CJ64" i="26" s="1"/>
  <c r="CO64" i="26"/>
  <c r="CN60" i="26"/>
  <c r="CO60" i="26"/>
  <c r="CR60" i="26"/>
  <c r="CJ60" i="26" s="1"/>
  <c r="CN79" i="26"/>
  <c r="CR79" i="26"/>
  <c r="CJ79" i="26" s="1"/>
  <c r="CO79" i="26"/>
  <c r="CN88" i="26"/>
  <c r="CR88" i="26"/>
  <c r="CJ88" i="26" s="1"/>
  <c r="CO88" i="26"/>
  <c r="CN109" i="26"/>
  <c r="CO109" i="26"/>
  <c r="CR109" i="26"/>
  <c r="CJ109" i="26" s="1"/>
  <c r="CN104" i="26"/>
  <c r="CR104" i="26"/>
  <c r="CJ104" i="26" s="1"/>
  <c r="CO104" i="26"/>
  <c r="BJ148" i="26"/>
  <c r="CN61" i="26"/>
  <c r="CR61" i="26"/>
  <c r="CJ61" i="26" s="1"/>
  <c r="CO61" i="26"/>
  <c r="CN82" i="26"/>
  <c r="CO82" i="26"/>
  <c r="CR82" i="26"/>
  <c r="CJ82" i="26" s="1"/>
  <c r="CN66" i="26"/>
  <c r="CO66" i="26"/>
  <c r="CR66" i="26"/>
  <c r="CJ66" i="26" s="1"/>
  <c r="BJ297" i="26"/>
  <c r="BN25" i="26"/>
  <c r="CQ25" i="26" s="1"/>
  <c r="CN25" i="26"/>
  <c r="Y31" i="26"/>
  <c r="CO31" i="26" s="1"/>
  <c r="CO15" i="26"/>
  <c r="BO24" i="26"/>
  <c r="CR24" i="26" s="1"/>
  <c r="CO24" i="26"/>
  <c r="CI24" i="26" s="1"/>
  <c r="BN278" i="26"/>
  <c r="CQ278" i="26" s="1"/>
  <c r="CN278" i="26"/>
  <c r="CI278" i="26" s="1"/>
  <c r="BO22" i="26"/>
  <c r="CR22" i="26" s="1"/>
  <c r="CO22" i="26"/>
  <c r="X31" i="26"/>
  <c r="CN31" i="26" s="1"/>
  <c r="CN15" i="26"/>
  <c r="CI15" i="26" s="1"/>
  <c r="BN27" i="26"/>
  <c r="CQ27" i="26" s="1"/>
  <c r="CN27" i="26"/>
  <c r="CI27" i="26" s="1"/>
  <c r="Y36" i="26"/>
  <c r="CO14" i="26"/>
  <c r="X322" i="26"/>
  <c r="X211" i="26" s="1"/>
  <c r="CN211" i="26" s="1"/>
  <c r="CN305" i="26"/>
  <c r="BN224" i="26"/>
  <c r="CQ224" i="26" s="1"/>
  <c r="CN224" i="26"/>
  <c r="BO224" i="26"/>
  <c r="CR224" i="26" s="1"/>
  <c r="CO224" i="26"/>
  <c r="CM13" i="26"/>
  <c r="CI13" i="26" s="1"/>
  <c r="BJ195" i="26"/>
  <c r="BI34" i="6"/>
  <c r="BI69" i="30" s="1"/>
  <c r="BJ121" i="26"/>
  <c r="BJ172" i="26"/>
  <c r="BJ249" i="26"/>
  <c r="BJ95" i="26"/>
  <c r="BJ295" i="26"/>
  <c r="BJ170" i="26"/>
  <c r="W577" i="9"/>
  <c r="W560" i="9"/>
  <c r="W587" i="9"/>
  <c r="W562" i="9"/>
  <c r="W584" i="9"/>
  <c r="BZ172" i="22"/>
  <c r="BO44" i="20"/>
  <c r="CM44" i="20" s="1"/>
  <c r="CC129" i="30"/>
  <c r="A129" i="30" s="1" a="1"/>
  <c r="A129" i="30" s="1"/>
  <c r="CC75" i="30"/>
  <c r="A75" i="30" s="1" a="1"/>
  <c r="A75" i="30" s="1"/>
  <c r="CC88" i="30"/>
  <c r="A88" i="30" s="1" a="1"/>
  <c r="A88" i="30" s="1"/>
  <c r="CC113" i="30"/>
  <c r="A113" i="30" s="1" a="1"/>
  <c r="A113" i="30" s="1"/>
  <c r="CC122" i="30"/>
  <c r="A122" i="30" s="1" a="1"/>
  <c r="A122" i="30" s="1"/>
  <c r="CG150" i="30"/>
  <c r="W88" i="33"/>
  <c r="CG202" i="30"/>
  <c r="BJ117" i="20"/>
  <c r="BJ24" i="32" s="1"/>
  <c r="BO58" i="20"/>
  <c r="BO142" i="20"/>
  <c r="CM142" i="20" s="1"/>
  <c r="BZ98" i="22"/>
  <c r="BZ99" i="22"/>
  <c r="BZ102" i="22"/>
  <c r="BZ124" i="22"/>
  <c r="BZ111" i="22"/>
  <c r="BZ115" i="22"/>
  <c r="BZ133" i="22"/>
  <c r="BZ148" i="22"/>
  <c r="BZ151" i="22"/>
  <c r="BZ128" i="22"/>
  <c r="BZ168" i="22"/>
  <c r="BZ164" i="22"/>
  <c r="BZ179" i="22"/>
  <c r="BZ138" i="22"/>
  <c r="BZ132" i="22"/>
  <c r="BZ174" i="22"/>
  <c r="BZ149" i="22"/>
  <c r="BZ162" i="22"/>
  <c r="BZ158" i="22"/>
  <c r="BZ135" i="22"/>
  <c r="BO92" i="20"/>
  <c r="CM92" i="20" s="1"/>
  <c r="BO26" i="20"/>
  <c r="CM26" i="20" s="1"/>
  <c r="CE26" i="20" s="1"/>
  <c r="A26" i="20" s="1" a="1"/>
  <c r="A26" i="20" s="1"/>
  <c r="BZ119" i="22"/>
  <c r="BZ107" i="22"/>
  <c r="BZ118" i="22"/>
  <c r="BZ110" i="22"/>
  <c r="BZ112" i="22"/>
  <c r="BZ106" i="22"/>
  <c r="BZ161" i="22"/>
  <c r="BZ127" i="22"/>
  <c r="BZ166" i="22"/>
  <c r="BZ146" i="22"/>
  <c r="BZ137" i="22"/>
  <c r="BZ176" i="22"/>
  <c r="BZ167" i="22"/>
  <c r="BZ150" i="22"/>
  <c r="BZ157" i="22"/>
  <c r="BZ159" i="22"/>
  <c r="BZ140" i="22"/>
  <c r="BZ130" i="22"/>
  <c r="BZ178" i="22"/>
  <c r="BZ144" i="22"/>
  <c r="BO22" i="20"/>
  <c r="CM22" i="20" s="1"/>
  <c r="BO27" i="20"/>
  <c r="CM27" i="20" s="1"/>
  <c r="BO128" i="20"/>
  <c r="BO54" i="20"/>
  <c r="CM54" i="20" s="1"/>
  <c r="BZ97" i="22"/>
  <c r="BZ109" i="22"/>
  <c r="BZ104" i="22"/>
  <c r="BZ117" i="22"/>
  <c r="BZ122" i="22"/>
  <c r="BZ123" i="22"/>
  <c r="BZ120" i="22"/>
  <c r="BZ156" i="22"/>
  <c r="BZ136" i="22"/>
  <c r="BZ131" i="22"/>
  <c r="BZ147" i="22"/>
  <c r="BZ142" i="22"/>
  <c r="BZ171" i="22"/>
  <c r="BZ173" i="22"/>
  <c r="BZ129" i="22"/>
  <c r="BZ177" i="22"/>
  <c r="BZ152" i="22"/>
  <c r="BZ134" i="22"/>
  <c r="BZ154" i="22"/>
  <c r="BO12" i="20"/>
  <c r="BO45" i="20"/>
  <c r="BO88" i="20"/>
  <c r="BZ113" i="22"/>
  <c r="BZ114" i="22"/>
  <c r="BZ103" i="22"/>
  <c r="BZ121" i="22"/>
  <c r="BZ116" i="22"/>
  <c r="BZ108" i="22"/>
  <c r="CD13" i="1"/>
  <c r="BZ125" i="22"/>
  <c r="BZ141" i="22"/>
  <c r="BZ170" i="22"/>
  <c r="BZ175" i="22"/>
  <c r="BZ153" i="22"/>
  <c r="BZ126" i="22"/>
  <c r="BZ163" i="22"/>
  <c r="BZ160" i="22"/>
  <c r="BZ143" i="22"/>
  <c r="BZ169" i="22"/>
  <c r="BZ165" i="22"/>
  <c r="BZ155" i="22"/>
  <c r="BZ145" i="22"/>
  <c r="BZ139" i="22"/>
  <c r="BO43" i="20"/>
  <c r="CM43" i="20" s="1"/>
  <c r="BO90" i="20"/>
  <c r="CM90" i="20" s="1"/>
  <c r="BO145" i="20"/>
  <c r="BO93" i="20"/>
  <c r="BZ100" i="22"/>
  <c r="BZ105" i="22"/>
  <c r="BZ101" i="22"/>
  <c r="BZ96" i="22"/>
  <c r="BN15" i="26"/>
  <c r="CQ15" i="26" s="1"/>
  <c r="BJ153" i="30"/>
  <c r="CC11" i="1"/>
  <c r="W168" i="1"/>
  <c r="Y168" i="1"/>
  <c r="W188" i="1"/>
  <c r="CG188" i="1" s="1"/>
  <c r="X168" i="1"/>
  <c r="CH168" i="1" s="1"/>
  <c r="CG59" i="1"/>
  <c r="CC59" i="1" s="1"/>
  <c r="BI52" i="30"/>
  <c r="CH110" i="1"/>
  <c r="X113" i="1"/>
  <c r="CC126" i="1"/>
  <c r="CI110" i="1"/>
  <c r="Y113" i="1"/>
  <c r="CG110" i="1"/>
  <c r="W113" i="1"/>
  <c r="CE112" i="20"/>
  <c r="A112" i="20" s="1" a="1"/>
  <c r="A112" i="20" s="1"/>
  <c r="BB119" i="1"/>
  <c r="CI112" i="1"/>
  <c r="BO112" i="1"/>
  <c r="CG71" i="1"/>
  <c r="CC71" i="1" s="1"/>
  <c r="W84" i="1"/>
  <c r="BM112" i="1"/>
  <c r="CJ112" i="1" s="1"/>
  <c r="CG112" i="1"/>
  <c r="BN112" i="1"/>
  <c r="CK112" i="1" s="1"/>
  <c r="CH112" i="1"/>
  <c r="CE80" i="20"/>
  <c r="A80" i="20" s="1" a="1"/>
  <c r="A80" i="20" s="1"/>
  <c r="CI80" i="1"/>
  <c r="BO80" i="1"/>
  <c r="BN80" i="1"/>
  <c r="CK80" i="1" s="1"/>
  <c r="CH80" i="1"/>
  <c r="BM80" i="1"/>
  <c r="CJ80" i="1" s="1"/>
  <c r="CG80" i="1"/>
  <c r="CE79" i="20"/>
  <c r="A79" i="20" s="1" a="1"/>
  <c r="A79" i="20" s="1"/>
  <c r="BN79" i="1"/>
  <c r="CK79" i="1" s="1"/>
  <c r="CH79" i="1"/>
  <c r="CI79" i="1"/>
  <c r="BO79" i="1"/>
  <c r="BM79" i="1"/>
  <c r="CJ79" i="1" s="1"/>
  <c r="CG79" i="1"/>
  <c r="CE78" i="20"/>
  <c r="A78" i="20" s="1" a="1"/>
  <c r="A78" i="20" s="1"/>
  <c r="BM78" i="1"/>
  <c r="CJ78" i="1" s="1"/>
  <c r="CG78" i="1"/>
  <c r="BN78" i="1"/>
  <c r="CK78" i="1" s="1"/>
  <c r="CH78" i="1"/>
  <c r="CI78" i="1"/>
  <c r="BO78" i="1"/>
  <c r="CC150" i="1"/>
  <c r="CC23" i="1"/>
  <c r="CD133" i="1"/>
  <c r="CC101" i="1"/>
  <c r="W557" i="9"/>
  <c r="X548" i="9"/>
  <c r="CD45" i="1"/>
  <c r="CD56" i="1"/>
  <c r="CC96" i="1"/>
  <c r="Y549" i="9"/>
  <c r="W582" i="9"/>
  <c r="X557" i="9"/>
  <c r="W588" i="9"/>
  <c r="Y547" i="9"/>
  <c r="CC138" i="1"/>
  <c r="CD46" i="1"/>
  <c r="CC48" i="1"/>
  <c r="CC53" i="1"/>
  <c r="CC142" i="1"/>
  <c r="BN82" i="6"/>
  <c r="BN202" i="30" s="1"/>
  <c r="BN88" i="33" s="1"/>
  <c r="X202" i="30"/>
  <c r="CI181" i="1"/>
  <c r="Y183" i="1"/>
  <c r="BI183" i="1"/>
  <c r="CH181" i="1"/>
  <c r="X183" i="1"/>
  <c r="BO82" i="6"/>
  <c r="BO202" i="30" s="1"/>
  <c r="BO88" i="33" s="1"/>
  <c r="Y202" i="30"/>
  <c r="BA56" i="33"/>
  <c r="CH181" i="20"/>
  <c r="CI181" i="20"/>
  <c r="CJ181" i="20"/>
  <c r="CD148" i="22"/>
  <c r="CD168" i="22"/>
  <c r="CD176" i="22"/>
  <c r="CD153" i="22"/>
  <c r="CD157" i="22"/>
  <c r="CD150" i="22"/>
  <c r="CD129" i="22"/>
  <c r="CD162" i="22"/>
  <c r="CD133" i="22"/>
  <c r="CD137" i="22"/>
  <c r="CC156" i="22"/>
  <c r="CC157" i="22"/>
  <c r="CC171" i="22"/>
  <c r="CC127" i="22"/>
  <c r="CC129" i="22"/>
  <c r="CC128" i="22"/>
  <c r="CC175" i="22"/>
  <c r="CC137" i="22"/>
  <c r="CC130" i="22"/>
  <c r="CC155" i="22"/>
  <c r="CB176" i="22"/>
  <c r="CB173" i="22"/>
  <c r="CB158" i="22"/>
  <c r="CB177" i="22"/>
  <c r="CB172" i="22"/>
  <c r="CB156" i="22"/>
  <c r="CB136" i="22"/>
  <c r="CB131" i="22"/>
  <c r="CB147" i="22"/>
  <c r="CB142" i="22"/>
  <c r="CB171" i="22"/>
  <c r="CB129" i="22"/>
  <c r="CB152" i="22"/>
  <c r="CB134" i="22"/>
  <c r="CB154" i="22"/>
  <c r="CD141" i="22"/>
  <c r="CD152" i="22"/>
  <c r="CD145" i="22"/>
  <c r="CD172" i="22"/>
  <c r="CD154" i="22"/>
  <c r="CD146" i="22"/>
  <c r="CD142" i="22"/>
  <c r="CD171" i="22"/>
  <c r="CD140" i="22"/>
  <c r="CD135" i="22"/>
  <c r="CD158" i="22"/>
  <c r="CD177" i="22"/>
  <c r="CD131" i="22"/>
  <c r="CD161" i="22"/>
  <c r="CD143" i="22"/>
  <c r="CD138" i="22"/>
  <c r="CD163" i="22"/>
  <c r="CD147" i="22"/>
  <c r="CC144" i="22"/>
  <c r="CC164" i="22"/>
  <c r="CC169" i="22"/>
  <c r="CC149" i="22"/>
  <c r="CC168" i="22"/>
  <c r="CC147" i="22"/>
  <c r="CC143" i="22"/>
  <c r="CC126" i="22"/>
  <c r="CC165" i="22"/>
  <c r="CC140" i="22"/>
  <c r="CC167" i="22"/>
  <c r="CC141" i="22"/>
  <c r="CC134" i="22"/>
  <c r="CB161" i="22"/>
  <c r="CB125" i="22"/>
  <c r="CB141" i="22"/>
  <c r="CB170" i="22"/>
  <c r="CB175" i="22"/>
  <c r="CB153" i="22"/>
  <c r="CB126" i="22"/>
  <c r="CB163" i="22"/>
  <c r="CB143" i="22"/>
  <c r="CB169" i="22"/>
  <c r="CB155" i="22"/>
  <c r="CB145" i="22"/>
  <c r="CB139" i="22"/>
  <c r="CD149" i="22"/>
  <c r="CD160" i="22"/>
  <c r="CD167" i="22"/>
  <c r="CD159" i="22"/>
  <c r="CD130" i="22"/>
  <c r="CD125" i="22"/>
  <c r="CD155" i="22"/>
  <c r="CD179" i="22"/>
  <c r="CD170" i="22"/>
  <c r="CD127" i="22"/>
  <c r="CD132" i="22"/>
  <c r="CD136" i="22"/>
  <c r="CD128" i="22"/>
  <c r="CC148" i="22"/>
  <c r="CC153" i="22"/>
  <c r="CC176" i="22"/>
  <c r="CC145" i="22"/>
  <c r="CC161" i="22"/>
  <c r="CC173" i="22"/>
  <c r="CC150" i="22"/>
  <c r="CC154" i="22"/>
  <c r="CC125" i="22"/>
  <c r="CC135" i="22"/>
  <c r="CC133" i="22"/>
  <c r="CC178" i="22"/>
  <c r="CC138" i="22"/>
  <c r="CC139" i="22"/>
  <c r="CC174" i="22"/>
  <c r="CC132" i="22"/>
  <c r="CB168" i="22"/>
  <c r="CB164" i="22"/>
  <c r="CB174" i="22"/>
  <c r="CB165" i="22"/>
  <c r="CB133" i="22"/>
  <c r="CB148" i="22"/>
  <c r="CB151" i="22"/>
  <c r="CB128" i="22"/>
  <c r="CB179" i="22"/>
  <c r="CB138" i="22"/>
  <c r="CB132" i="22"/>
  <c r="CB149" i="22"/>
  <c r="CB162" i="22"/>
  <c r="CB135" i="22"/>
  <c r="CD156" i="22"/>
  <c r="CD144" i="22"/>
  <c r="CD165" i="22"/>
  <c r="CD173" i="22"/>
  <c r="CD169" i="22"/>
  <c r="CD166" i="22"/>
  <c r="CD139" i="22"/>
  <c r="CD178" i="22"/>
  <c r="CD151" i="22"/>
  <c r="CD126" i="22"/>
  <c r="CD164" i="22"/>
  <c r="CD175" i="22"/>
  <c r="CD174" i="22"/>
  <c r="CD134" i="22"/>
  <c r="CC172" i="22"/>
  <c r="CC152" i="22"/>
  <c r="CC160" i="22"/>
  <c r="CC158" i="22"/>
  <c r="CC177" i="22"/>
  <c r="CC146" i="22"/>
  <c r="CC142" i="22"/>
  <c r="CC170" i="22"/>
  <c r="CC162" i="22"/>
  <c r="CC131" i="22"/>
  <c r="CC163" i="22"/>
  <c r="CC179" i="22"/>
  <c r="CC159" i="22"/>
  <c r="CC136" i="22"/>
  <c r="CC166" i="22"/>
  <c r="CC151" i="22"/>
  <c r="CB160" i="22"/>
  <c r="CB157" i="22"/>
  <c r="CB127" i="22"/>
  <c r="CB166" i="22"/>
  <c r="CB146" i="22"/>
  <c r="CB137" i="22"/>
  <c r="CB167" i="22"/>
  <c r="CB150" i="22"/>
  <c r="CB159" i="22"/>
  <c r="CB140" i="22"/>
  <c r="CB130" i="22"/>
  <c r="CB178" i="22"/>
  <c r="CB144" i="22"/>
  <c r="CC50" i="1"/>
  <c r="CC44" i="1"/>
  <c r="CC14" i="1"/>
  <c r="CC92" i="1"/>
  <c r="W585" i="9"/>
  <c r="CC16" i="1"/>
  <c r="CD25" i="1"/>
  <c r="CD95" i="1"/>
  <c r="CD58" i="1"/>
  <c r="CD150" i="1"/>
  <c r="CC93" i="1"/>
  <c r="CC122" i="1"/>
  <c r="CC22" i="1"/>
  <c r="CC90" i="1"/>
  <c r="CC145" i="1"/>
  <c r="CD149" i="1"/>
  <c r="CD104" i="1"/>
  <c r="CC104" i="1"/>
  <c r="CC172" i="1"/>
  <c r="CC88" i="1"/>
  <c r="CC149" i="1"/>
  <c r="Y148" i="30"/>
  <c r="W634" i="9"/>
  <c r="Y634" i="9"/>
  <c r="X634" i="9"/>
  <c r="X633" i="9"/>
  <c r="Y633" i="9"/>
  <c r="W633" i="9"/>
  <c r="W632" i="9"/>
  <c r="Y632" i="9"/>
  <c r="X632" i="9"/>
  <c r="Y631" i="9"/>
  <c r="W631" i="9"/>
  <c r="X631" i="9"/>
  <c r="Y630" i="9"/>
  <c r="X630" i="9"/>
  <c r="W630" i="9"/>
  <c r="Y629" i="9"/>
  <c r="X629" i="9"/>
  <c r="W629" i="9"/>
  <c r="X628" i="9"/>
  <c r="W628" i="9"/>
  <c r="Y628" i="9"/>
  <c r="W627" i="9"/>
  <c r="Y627" i="9"/>
  <c r="X627" i="9"/>
  <c r="Y626" i="9"/>
  <c r="X626" i="9"/>
  <c r="W626" i="9"/>
  <c r="Y625" i="9"/>
  <c r="X625" i="9"/>
  <c r="W625" i="9"/>
  <c r="X624" i="9"/>
  <c r="W624" i="9"/>
  <c r="Y624" i="9"/>
  <c r="Y623" i="9"/>
  <c r="W623" i="9"/>
  <c r="X623" i="9"/>
  <c r="X622" i="9"/>
  <c r="Y622" i="9"/>
  <c r="W622" i="9"/>
  <c r="X621" i="9"/>
  <c r="Y621" i="9"/>
  <c r="W621" i="9"/>
  <c r="X620" i="9"/>
  <c r="W620" i="9"/>
  <c r="Y620" i="9"/>
  <c r="W619" i="9"/>
  <c r="Y619" i="9"/>
  <c r="X619" i="9"/>
  <c r="W618" i="9"/>
  <c r="X618" i="9"/>
  <c r="Y618" i="9"/>
  <c r="Y617" i="9"/>
  <c r="X617" i="9"/>
  <c r="W617" i="9"/>
  <c r="W616" i="9"/>
  <c r="Y616" i="9"/>
  <c r="X616" i="9"/>
  <c r="Y615" i="9"/>
  <c r="X615" i="9"/>
  <c r="W615" i="9"/>
  <c r="AD1123" i="9"/>
  <c r="AD1146" i="9"/>
  <c r="AD1147" i="9" s="1"/>
  <c r="AD170" i="1" s="1"/>
  <c r="AD170" i="20" s="1"/>
  <c r="AD41" i="30" s="1"/>
  <c r="CO423" i="9"/>
  <c r="BO423" i="9"/>
  <c r="BO425" i="9" s="1"/>
  <c r="CN423" i="9"/>
  <c r="BN423" i="9"/>
  <c r="BN425" i="9" s="1"/>
  <c r="CM423" i="9"/>
  <c r="BM423" i="9"/>
  <c r="BM425" i="9" s="1"/>
  <c r="CN404" i="9"/>
  <c r="BN404" i="9"/>
  <c r="BN406" i="9" s="1"/>
  <c r="CO404" i="9"/>
  <c r="BO404" i="9"/>
  <c r="BO406" i="9" s="1"/>
  <c r="BM404" i="9"/>
  <c r="BM406" i="9" s="1"/>
  <c r="CM404" i="9"/>
  <c r="CO385" i="9"/>
  <c r="BO385" i="9"/>
  <c r="BO387" i="9" s="1"/>
  <c r="BN385" i="9"/>
  <c r="BN387" i="9" s="1"/>
  <c r="CN385" i="9"/>
  <c r="CM385" i="9"/>
  <c r="BM385" i="9"/>
  <c r="BM387" i="9" s="1"/>
  <c r="CN366" i="9"/>
  <c r="BN366" i="9"/>
  <c r="BN368" i="9" s="1"/>
  <c r="CO366" i="9"/>
  <c r="BO366" i="9"/>
  <c r="BO368" i="9" s="1"/>
  <c r="CM366" i="9"/>
  <c r="BM366" i="9"/>
  <c r="BM368" i="9" s="1"/>
  <c r="CO347" i="9"/>
  <c r="BO347" i="9"/>
  <c r="BO349" i="9" s="1"/>
  <c r="CN347" i="9"/>
  <c r="BN347" i="9"/>
  <c r="BN349" i="9" s="1"/>
  <c r="CM347" i="9"/>
  <c r="BM347" i="9"/>
  <c r="BM349" i="9" s="1"/>
  <c r="CO328" i="9"/>
  <c r="BO328" i="9"/>
  <c r="BO330" i="9" s="1"/>
  <c r="CN328" i="9"/>
  <c r="BN328" i="9"/>
  <c r="BN330" i="9" s="1"/>
  <c r="CM328" i="9"/>
  <c r="BM328" i="9"/>
  <c r="BM330" i="9" s="1"/>
  <c r="CO309" i="9"/>
  <c r="BO309" i="9"/>
  <c r="BO311" i="9" s="1"/>
  <c r="CN309" i="9"/>
  <c r="BN309" i="9"/>
  <c r="BN311" i="9" s="1"/>
  <c r="CM309" i="9"/>
  <c r="BM309" i="9"/>
  <c r="BM311" i="9" s="1"/>
  <c r="CO290" i="9"/>
  <c r="BO290" i="9"/>
  <c r="BO292" i="9" s="1"/>
  <c r="CN290" i="9"/>
  <c r="BN290" i="9"/>
  <c r="BN292" i="9" s="1"/>
  <c r="CM290" i="9"/>
  <c r="BM290" i="9"/>
  <c r="BM292" i="9" s="1"/>
  <c r="CO271" i="9"/>
  <c r="BO271" i="9"/>
  <c r="BO273" i="9" s="1"/>
  <c r="CN271" i="9"/>
  <c r="BN271" i="9"/>
  <c r="BN273" i="9" s="1"/>
  <c r="BM271" i="9"/>
  <c r="BM273" i="9" s="1"/>
  <c r="CM271" i="9"/>
  <c r="CO252" i="9"/>
  <c r="BO252" i="9"/>
  <c r="BO254" i="9" s="1"/>
  <c r="CN252" i="9"/>
  <c r="BN252" i="9"/>
  <c r="BN254" i="9" s="1"/>
  <c r="CM252" i="9"/>
  <c r="BM252" i="9"/>
  <c r="BM254" i="9" s="1"/>
  <c r="CO233" i="9"/>
  <c r="BO233" i="9"/>
  <c r="BO235" i="9" s="1"/>
  <c r="CN233" i="9"/>
  <c r="BN233" i="9"/>
  <c r="BN235" i="9" s="1"/>
  <c r="CM233" i="9"/>
  <c r="BM233" i="9"/>
  <c r="BM235" i="9" s="1"/>
  <c r="BN214" i="9"/>
  <c r="BN216" i="9" s="1"/>
  <c r="CN214" i="9"/>
  <c r="CO214" i="9"/>
  <c r="BO214" i="9"/>
  <c r="BO216" i="9" s="1"/>
  <c r="CM214" i="9"/>
  <c r="BM214" i="9"/>
  <c r="BM216" i="9" s="1"/>
  <c r="CN195" i="9"/>
  <c r="BN195" i="9"/>
  <c r="BN197" i="9" s="1"/>
  <c r="CO195" i="9"/>
  <c r="BO195" i="9"/>
  <c r="BO197" i="9" s="1"/>
  <c r="BM195" i="9"/>
  <c r="BM197" i="9" s="1"/>
  <c r="CM195" i="9"/>
  <c r="CN176" i="9"/>
  <c r="BN176" i="9"/>
  <c r="BN178" i="9" s="1"/>
  <c r="CO176" i="9"/>
  <c r="BO176" i="9"/>
  <c r="BO178" i="9" s="1"/>
  <c r="BM176" i="9"/>
  <c r="BM178" i="9" s="1"/>
  <c r="CM176" i="9"/>
  <c r="CO157" i="9"/>
  <c r="BO157" i="9"/>
  <c r="BO159" i="9" s="1"/>
  <c r="CN157" i="9"/>
  <c r="BN157" i="9"/>
  <c r="BN159" i="9" s="1"/>
  <c r="BM157" i="9"/>
  <c r="BM159" i="9" s="1"/>
  <c r="CM157" i="9"/>
  <c r="BH814" i="9"/>
  <c r="CO138" i="9"/>
  <c r="BO138" i="9"/>
  <c r="BO140" i="9" s="1"/>
  <c r="CN138" i="9"/>
  <c r="BN138" i="9"/>
  <c r="BN140" i="9" s="1"/>
  <c r="CM138" i="9"/>
  <c r="BM138" i="9"/>
  <c r="BM140" i="9" s="1"/>
  <c r="CN119" i="9"/>
  <c r="BN119" i="9"/>
  <c r="BN121" i="9" s="1"/>
  <c r="CO119" i="9"/>
  <c r="BO119" i="9"/>
  <c r="BO121" i="9" s="1"/>
  <c r="CM119" i="9"/>
  <c r="BM119" i="9"/>
  <c r="BM121" i="9" s="1"/>
  <c r="CO100" i="9"/>
  <c r="BO100" i="9"/>
  <c r="BO102" i="9" s="1"/>
  <c r="BN100" i="9"/>
  <c r="BN102" i="9" s="1"/>
  <c r="CN100" i="9"/>
  <c r="CM100" i="9"/>
  <c r="BM100" i="9"/>
  <c r="BM102" i="9" s="1"/>
  <c r="CO81" i="9"/>
  <c r="BO81" i="9"/>
  <c r="BO83" i="9" s="1"/>
  <c r="CN81" i="9"/>
  <c r="BN81" i="9"/>
  <c r="BN83" i="9" s="1"/>
  <c r="CM81" i="9"/>
  <c r="BM81" i="9"/>
  <c r="BM83" i="9" s="1"/>
  <c r="CO62" i="9"/>
  <c r="BO62" i="9"/>
  <c r="BO64" i="9" s="1"/>
  <c r="BN62" i="9"/>
  <c r="BN64" i="9" s="1"/>
  <c r="CN62" i="9"/>
  <c r="CM62" i="9"/>
  <c r="BM62" i="9"/>
  <c r="BM64" i="9" s="1"/>
  <c r="AJ803" i="9"/>
  <c r="AJ853" i="9"/>
  <c r="BJ273" i="3"/>
  <c r="W580" i="9"/>
  <c r="X573" i="9"/>
  <c r="W553" i="9"/>
  <c r="BJ262" i="3"/>
  <c r="BJ268" i="3"/>
  <c r="W575" i="9"/>
  <c r="W578" i="9"/>
  <c r="Y557" i="9"/>
  <c r="W573" i="9"/>
  <c r="Y563" i="9"/>
  <c r="W554" i="9"/>
  <c r="BJ217" i="3"/>
  <c r="W394" i="9"/>
  <c r="X390" i="9" s="1"/>
  <c r="X394" i="9" s="1"/>
  <c r="CN240" i="9"/>
  <c r="X487" i="9"/>
  <c r="CO373" i="9"/>
  <c r="Y494" i="9"/>
  <c r="CO88" i="9"/>
  <c r="Y479" i="9"/>
  <c r="CN259" i="9"/>
  <c r="X488" i="9"/>
  <c r="CO164" i="9"/>
  <c r="Y483" i="9"/>
  <c r="CN354" i="9"/>
  <c r="X493" i="9"/>
  <c r="CN107" i="9"/>
  <c r="X480" i="9"/>
  <c r="CO316" i="9"/>
  <c r="Y491" i="9"/>
  <c r="CN297" i="9"/>
  <c r="X490" i="9"/>
  <c r="CO107" i="9"/>
  <c r="Y480" i="9"/>
  <c r="CN88" i="9"/>
  <c r="X479" i="9"/>
  <c r="CN202" i="9"/>
  <c r="X485" i="9"/>
  <c r="CN373" i="9"/>
  <c r="X494" i="9"/>
  <c r="CM183" i="9"/>
  <c r="W484" i="9"/>
  <c r="CM316" i="9"/>
  <c r="W491" i="9"/>
  <c r="CM126" i="9"/>
  <c r="W481" i="9"/>
  <c r="CM69" i="9"/>
  <c r="W478" i="9"/>
  <c r="CM373" i="9"/>
  <c r="W494" i="9"/>
  <c r="BH816" i="9"/>
  <c r="BJ270" i="3"/>
  <c r="BJ264" i="3"/>
  <c r="BJ211" i="3"/>
  <c r="CO411" i="9"/>
  <c r="Y496" i="9"/>
  <c r="CO297" i="9"/>
  <c r="Y490" i="9"/>
  <c r="CO126" i="9"/>
  <c r="Y481" i="9"/>
  <c r="CO335" i="9"/>
  <c r="Y492" i="9"/>
  <c r="CN411" i="9"/>
  <c r="X496" i="9"/>
  <c r="CO202" i="9"/>
  <c r="Y485" i="9"/>
  <c r="CO145" i="9"/>
  <c r="Y482" i="9"/>
  <c r="CN278" i="9"/>
  <c r="X489" i="9"/>
  <c r="CO259" i="9"/>
  <c r="Y488" i="9"/>
  <c r="CN316" i="9"/>
  <c r="X491" i="9"/>
  <c r="CO240" i="9"/>
  <c r="Y487" i="9"/>
  <c r="CN69" i="9"/>
  <c r="X478" i="9"/>
  <c r="CM411" i="9"/>
  <c r="W496" i="9"/>
  <c r="CM259" i="9"/>
  <c r="W488" i="9"/>
  <c r="CM335" i="9"/>
  <c r="W492" i="9"/>
  <c r="CM202" i="9"/>
  <c r="W485" i="9"/>
  <c r="BJ223" i="3"/>
  <c r="CO221" i="9"/>
  <c r="Y486" i="9"/>
  <c r="CO50" i="9"/>
  <c r="Y477" i="9"/>
  <c r="CN50" i="9"/>
  <c r="X477" i="9"/>
  <c r="CN145" i="9"/>
  <c r="X482" i="9"/>
  <c r="CN126" i="9"/>
  <c r="X481" i="9"/>
  <c r="CN164" i="9"/>
  <c r="X483" i="9"/>
  <c r="CN183" i="9"/>
  <c r="X484" i="9"/>
  <c r="CO392" i="9"/>
  <c r="Y495" i="9"/>
  <c r="CO69" i="9"/>
  <c r="Y478" i="9"/>
  <c r="CM240" i="9"/>
  <c r="W487" i="9"/>
  <c r="CM221" i="9"/>
  <c r="W486" i="9"/>
  <c r="CM107" i="9"/>
  <c r="W480" i="9"/>
  <c r="CM297" i="9"/>
  <c r="W490" i="9"/>
  <c r="CM88" i="9"/>
  <c r="W479" i="9"/>
  <c r="CM164" i="9"/>
  <c r="W483" i="9"/>
  <c r="BJ214" i="3"/>
  <c r="BJ219" i="3"/>
  <c r="CO183" i="9"/>
  <c r="Y484" i="9"/>
  <c r="CN221" i="9"/>
  <c r="X486" i="9"/>
  <c r="CN335" i="9"/>
  <c r="X492" i="9"/>
  <c r="CN392" i="9"/>
  <c r="X495" i="9"/>
  <c r="CO354" i="9"/>
  <c r="Y493" i="9"/>
  <c r="CO278" i="9"/>
  <c r="Y489" i="9"/>
  <c r="CM278" i="9"/>
  <c r="W489" i="9"/>
  <c r="CM145" i="9"/>
  <c r="W482" i="9"/>
  <c r="W477" i="9"/>
  <c r="CM392" i="9"/>
  <c r="W495" i="9"/>
  <c r="CM354" i="9"/>
  <c r="W493" i="9"/>
  <c r="BH819" i="9"/>
  <c r="AF858" i="9"/>
  <c r="AF808" i="9"/>
  <c r="AG762" i="9" s="1"/>
  <c r="AF815" i="9"/>
  <c r="BH806" i="9"/>
  <c r="BI704" i="9"/>
  <c r="BI701" i="9"/>
  <c r="BI271" i="3"/>
  <c r="BI294" i="3" s="1"/>
  <c r="BI225" i="3"/>
  <c r="BJ215" i="3"/>
  <c r="BI699" i="9"/>
  <c r="BI691" i="9"/>
  <c r="BI262" i="3"/>
  <c r="BI285" i="3" s="1"/>
  <c r="BI216" i="3"/>
  <c r="BJ239" i="3" s="1"/>
  <c r="BJ259" i="3"/>
  <c r="BI258" i="3"/>
  <c r="BI281" i="3" s="1"/>
  <c r="BI212" i="3"/>
  <c r="BI265" i="3"/>
  <c r="BI288" i="3" s="1"/>
  <c r="BI219" i="3"/>
  <c r="BI257" i="3"/>
  <c r="BI280" i="3" s="1"/>
  <c r="BI211" i="3"/>
  <c r="BI260" i="3"/>
  <c r="BI283" i="3" s="1"/>
  <c r="BI214" i="3"/>
  <c r="BI273" i="3"/>
  <c r="BI296" i="3" s="1"/>
  <c r="BI227" i="3"/>
  <c r="BI268" i="3"/>
  <c r="BI291" i="3" s="1"/>
  <c r="BI222" i="3"/>
  <c r="BJ245" i="3" s="1"/>
  <c r="BJ221" i="3"/>
  <c r="BJ212" i="3"/>
  <c r="BJ225" i="3"/>
  <c r="BJ220" i="3"/>
  <c r="BI263" i="3"/>
  <c r="BI286" i="3" s="1"/>
  <c r="BI217" i="3"/>
  <c r="BI267" i="3"/>
  <c r="BI290" i="3" s="1"/>
  <c r="BI221" i="3"/>
  <c r="BJ272" i="3"/>
  <c r="BI269" i="3"/>
  <c r="BI292" i="3" s="1"/>
  <c r="BI223" i="3"/>
  <c r="BI270" i="3"/>
  <c r="BI293" i="3" s="1"/>
  <c r="BI224" i="3"/>
  <c r="BJ247" i="3" s="1"/>
  <c r="BI264" i="3"/>
  <c r="BI287" i="3" s="1"/>
  <c r="BI218" i="3"/>
  <c r="BJ241" i="3" s="1"/>
  <c r="BI266" i="3"/>
  <c r="BI289" i="3" s="1"/>
  <c r="BI220" i="3"/>
  <c r="BI261" i="3"/>
  <c r="BI284" i="3" s="1"/>
  <c r="BI215" i="3"/>
  <c r="BI213" i="3"/>
  <c r="BJ236" i="3" s="1"/>
  <c r="BI259" i="3"/>
  <c r="BI282" i="3" s="1"/>
  <c r="BI272" i="3"/>
  <c r="BI295" i="3" s="1"/>
  <c r="BI226" i="3"/>
  <c r="BJ249" i="3" s="1"/>
  <c r="AF867" i="9"/>
  <c r="Y559" i="9"/>
  <c r="BE852" i="9"/>
  <c r="CM68" i="9"/>
  <c r="W71" i="9"/>
  <c r="X67" i="9" s="1"/>
  <c r="X71" i="9" s="1"/>
  <c r="CM87" i="9"/>
  <c r="W90" i="9"/>
  <c r="X86" i="9" s="1"/>
  <c r="X90" i="9" s="1"/>
  <c r="CM106" i="9"/>
  <c r="W109" i="9"/>
  <c r="X105" i="9" s="1"/>
  <c r="X109" i="9" s="1"/>
  <c r="CM125" i="9"/>
  <c r="W128" i="9"/>
  <c r="X124" i="9" s="1"/>
  <c r="X128" i="9" s="1"/>
  <c r="CM144" i="9"/>
  <c r="W147" i="9"/>
  <c r="X143" i="9" s="1"/>
  <c r="X147" i="9" s="1"/>
  <c r="CM163" i="9"/>
  <c r="W166" i="9"/>
  <c r="X162" i="9" s="1"/>
  <c r="X166" i="9" s="1"/>
  <c r="CM182" i="9"/>
  <c r="W185" i="9"/>
  <c r="X181" i="9" s="1"/>
  <c r="X185" i="9" s="1"/>
  <c r="CM201" i="9"/>
  <c r="W204" i="9"/>
  <c r="X200" i="9" s="1"/>
  <c r="X204" i="9" s="1"/>
  <c r="CM220" i="9"/>
  <c r="W223" i="9"/>
  <c r="X219" i="9" s="1"/>
  <c r="X223" i="9" s="1"/>
  <c r="CM239" i="9"/>
  <c r="W242" i="9"/>
  <c r="X238" i="9" s="1"/>
  <c r="X242" i="9" s="1"/>
  <c r="CM258" i="9"/>
  <c r="W261" i="9"/>
  <c r="X257" i="9" s="1"/>
  <c r="X261" i="9" s="1"/>
  <c r="CM277" i="9"/>
  <c r="W280" i="9"/>
  <c r="CM296" i="9"/>
  <c r="W299" i="9"/>
  <c r="X295" i="9" s="1"/>
  <c r="X299" i="9" s="1"/>
  <c r="CM315" i="9"/>
  <c r="W318" i="9"/>
  <c r="X314" i="9" s="1"/>
  <c r="X318" i="9" s="1"/>
  <c r="CM334" i="9"/>
  <c r="W337" i="9"/>
  <c r="X333" i="9" s="1"/>
  <c r="X337" i="9" s="1"/>
  <c r="CM353" i="9"/>
  <c r="W356" i="9"/>
  <c r="X352" i="9" s="1"/>
  <c r="X356" i="9" s="1"/>
  <c r="CM372" i="9"/>
  <c r="W375" i="9"/>
  <c r="X371" i="9" s="1"/>
  <c r="X375" i="9" s="1"/>
  <c r="W413" i="9"/>
  <c r="X409" i="9" s="1"/>
  <c r="X413" i="9" s="1"/>
  <c r="CM410" i="9"/>
  <c r="CM391" i="9"/>
  <c r="BN412" i="9"/>
  <c r="CN412" i="9"/>
  <c r="CO412" i="9"/>
  <c r="BO412" i="9"/>
  <c r="CM412" i="9"/>
  <c r="BM412" i="9"/>
  <c r="BN393" i="9"/>
  <c r="CN393" i="9"/>
  <c r="BO393" i="9"/>
  <c r="CO393" i="9"/>
  <c r="CM393" i="9"/>
  <c r="BM393" i="9"/>
  <c r="BO374" i="9"/>
  <c r="CO374" i="9"/>
  <c r="BN374" i="9"/>
  <c r="CN374" i="9"/>
  <c r="CM374" i="9"/>
  <c r="BM374" i="9"/>
  <c r="CO355" i="9"/>
  <c r="BO355" i="9"/>
  <c r="BN355" i="9"/>
  <c r="CN355" i="9"/>
  <c r="CM355" i="9"/>
  <c r="BM355" i="9"/>
  <c r="BN336" i="9"/>
  <c r="CN336" i="9"/>
  <c r="BO336" i="9"/>
  <c r="CO336" i="9"/>
  <c r="CM336" i="9"/>
  <c r="BM336" i="9"/>
  <c r="CO317" i="9"/>
  <c r="BO317" i="9"/>
  <c r="BN317" i="9"/>
  <c r="CN317" i="9"/>
  <c r="CM317" i="9"/>
  <c r="BM317" i="9"/>
  <c r="CO298" i="9"/>
  <c r="BO298" i="9"/>
  <c r="BN298" i="9"/>
  <c r="CN298" i="9"/>
  <c r="CM298" i="9"/>
  <c r="BM298" i="9"/>
  <c r="BN279" i="9"/>
  <c r="CN279" i="9"/>
  <c r="BO279" i="9"/>
  <c r="CO279" i="9"/>
  <c r="CM279" i="9"/>
  <c r="BM279" i="9"/>
  <c r="BN260" i="9"/>
  <c r="CN260" i="9"/>
  <c r="CO260" i="9"/>
  <c r="BO260" i="9"/>
  <c r="CM260" i="9"/>
  <c r="BM260" i="9"/>
  <c r="BO241" i="9"/>
  <c r="CO241" i="9"/>
  <c r="BN241" i="9"/>
  <c r="CN241" i="9"/>
  <c r="CM241" i="9"/>
  <c r="BM241" i="9"/>
  <c r="CO222" i="9"/>
  <c r="BO222" i="9"/>
  <c r="BN222" i="9"/>
  <c r="CN222" i="9"/>
  <c r="CM222" i="9"/>
  <c r="BM222" i="9"/>
  <c r="BO203" i="9"/>
  <c r="CO203" i="9"/>
  <c r="BN203" i="9"/>
  <c r="CN203" i="9"/>
  <c r="CM203" i="9"/>
  <c r="BM203" i="9"/>
  <c r="CO184" i="9"/>
  <c r="BO184" i="9"/>
  <c r="BN184" i="9"/>
  <c r="CN184" i="9"/>
  <c r="CM184" i="9"/>
  <c r="BM184" i="9"/>
  <c r="BN165" i="9"/>
  <c r="CN165" i="9"/>
  <c r="BO165" i="9"/>
  <c r="CO165" i="9"/>
  <c r="CM165" i="9"/>
  <c r="BM165" i="9"/>
  <c r="BN146" i="9"/>
  <c r="CN146" i="9"/>
  <c r="CO146" i="9"/>
  <c r="BO146" i="9"/>
  <c r="CM146" i="9"/>
  <c r="BM146" i="9"/>
  <c r="BO127" i="9"/>
  <c r="CO127" i="9"/>
  <c r="BN127" i="9"/>
  <c r="CN127" i="9"/>
  <c r="CM127" i="9"/>
  <c r="BM127" i="9"/>
  <c r="CO108" i="9"/>
  <c r="BO108" i="9"/>
  <c r="BN108" i="9"/>
  <c r="CN108" i="9"/>
  <c r="CM108" i="9"/>
  <c r="BM108" i="9"/>
  <c r="BO89" i="9"/>
  <c r="CO89" i="9"/>
  <c r="BN89" i="9"/>
  <c r="CN89" i="9"/>
  <c r="CM89" i="9"/>
  <c r="BM89" i="9"/>
  <c r="BN70" i="9"/>
  <c r="CN70" i="9"/>
  <c r="BO70" i="9"/>
  <c r="CO70" i="9"/>
  <c r="CM70" i="9"/>
  <c r="BM70" i="9"/>
  <c r="BN51" i="9"/>
  <c r="CN51" i="9"/>
  <c r="BO51" i="9"/>
  <c r="CO51" i="9"/>
  <c r="CM51" i="9"/>
  <c r="BM51" i="9"/>
  <c r="BI256" i="3"/>
  <c r="BI279" i="3" s="1"/>
  <c r="BI210" i="3"/>
  <c r="BI233" i="3" s="1"/>
  <c r="BJ210" i="3"/>
  <c r="CC141" i="1"/>
  <c r="CC198" i="1"/>
  <c r="CC128" i="1"/>
  <c r="CC154" i="1"/>
  <c r="CC27" i="1"/>
  <c r="CC38" i="1"/>
  <c r="CC66" i="1"/>
  <c r="CC140" i="1"/>
  <c r="CC89" i="1"/>
  <c r="CC65" i="1"/>
  <c r="CD97" i="1"/>
  <c r="CC105" i="1"/>
  <c r="CD33" i="1"/>
  <c r="CD148" i="1"/>
  <c r="CC148" i="1"/>
  <c r="CC33" i="1"/>
  <c r="CC133" i="1"/>
  <c r="CC25" i="1"/>
  <c r="CC12" i="1"/>
  <c r="CC83" i="1"/>
  <c r="CD47" i="1"/>
  <c r="CD132" i="1"/>
  <c r="CC91" i="1"/>
  <c r="CC43" i="1"/>
  <c r="CD83" i="1"/>
  <c r="CC35" i="1"/>
  <c r="CD131" i="1"/>
  <c r="CC131" i="1"/>
  <c r="CD24" i="1"/>
  <c r="CC24" i="1"/>
  <c r="CD106" i="1"/>
  <c r="CD105" i="1"/>
  <c r="CC97" i="1"/>
  <c r="CC95" i="1"/>
  <c r="CD57" i="1"/>
  <c r="CC47" i="1"/>
  <c r="CD81" i="1"/>
  <c r="CC34" i="1"/>
  <c r="CC132" i="1"/>
  <c r="CC13" i="1"/>
  <c r="CD35" i="1"/>
  <c r="CC82" i="1"/>
  <c r="CD26" i="1"/>
  <c r="CD34" i="1"/>
  <c r="CC81" i="1"/>
  <c r="CC58" i="1"/>
  <c r="CC45" i="1"/>
  <c r="CC57" i="1"/>
  <c r="CD82" i="1"/>
  <c r="CC26" i="1"/>
  <c r="CD96" i="1"/>
  <c r="CC106" i="1"/>
  <c r="CC46" i="1"/>
  <c r="CC56" i="1"/>
  <c r="CD12" i="1"/>
  <c r="CC32" i="1"/>
  <c r="CC169" i="1"/>
  <c r="BM182" i="1"/>
  <c r="CJ182" i="1" s="1"/>
  <c r="CG182" i="1"/>
  <c r="CC19" i="1"/>
  <c r="CC36" i="1"/>
  <c r="CC125" i="1"/>
  <c r="CC124" i="1"/>
  <c r="CC103" i="1"/>
  <c r="CC144" i="1"/>
  <c r="CC146" i="1"/>
  <c r="CC127" i="1"/>
  <c r="CC41" i="1"/>
  <c r="CC111" i="1"/>
  <c r="CC61" i="1"/>
  <c r="CC75" i="1"/>
  <c r="CC73" i="1"/>
  <c r="CC21" i="1"/>
  <c r="CC77" i="1"/>
  <c r="CC102" i="1"/>
  <c r="CC54" i="1"/>
  <c r="CC94" i="1"/>
  <c r="CC42" i="1"/>
  <c r="BN182" i="1"/>
  <c r="CK182" i="1" s="1"/>
  <c r="CH182" i="1"/>
  <c r="CC29" i="1"/>
  <c r="CC64" i="1"/>
  <c r="CC68" i="1"/>
  <c r="CC123" i="1"/>
  <c r="CC74" i="1"/>
  <c r="CC55" i="1"/>
  <c r="CC137" i="1"/>
  <c r="CC20" i="1"/>
  <c r="CC76" i="1"/>
  <c r="CC129" i="1"/>
  <c r="CC72" i="1"/>
  <c r="CC87" i="1"/>
  <c r="CC115" i="1"/>
  <c r="CC143" i="1"/>
  <c r="CC139" i="1"/>
  <c r="BO182" i="1"/>
  <c r="CL182" i="1" s="1"/>
  <c r="CI182" i="1"/>
  <c r="BB194" i="1"/>
  <c r="BB197" i="1"/>
  <c r="AY193" i="1"/>
  <c r="AX199" i="1"/>
  <c r="X148" i="30"/>
  <c r="W148" i="30"/>
  <c r="BN190" i="6"/>
  <c r="BO190" i="6"/>
  <c r="W182" i="20"/>
  <c r="W107" i="20" s="1"/>
  <c r="W113" i="20" s="1"/>
  <c r="W194" i="20" s="1"/>
  <c r="BO43" i="6"/>
  <c r="BN43" i="6"/>
  <c r="BM82" i="6"/>
  <c r="BM43" i="6"/>
  <c r="BM288" i="26"/>
  <c r="CP288" i="26" s="1"/>
  <c r="BM269" i="26"/>
  <c r="CP269" i="26" s="1"/>
  <c r="BM238" i="26"/>
  <c r="CP238" i="26" s="1"/>
  <c r="BM224" i="26"/>
  <c r="CP224" i="26" s="1"/>
  <c r="BM260" i="26"/>
  <c r="CP260" i="26" s="1"/>
  <c r="BM250" i="26"/>
  <c r="CP250" i="26" s="1"/>
  <c r="W307" i="26"/>
  <c r="CM307" i="26" s="1"/>
  <c r="W322" i="26"/>
  <c r="Y319" i="26"/>
  <c r="BO317" i="26"/>
  <c r="BO319" i="26" s="1"/>
  <c r="X319" i="26"/>
  <c r="BN317" i="26"/>
  <c r="BN319" i="26" s="1"/>
  <c r="W319" i="26"/>
  <c r="BM317" i="26"/>
  <c r="BM319" i="26" s="1"/>
  <c r="Y313" i="26"/>
  <c r="CO313" i="26" s="1"/>
  <c r="BO311" i="26"/>
  <c r="Y307" i="26"/>
  <c r="CO307" i="26" s="1"/>
  <c r="BO305" i="26"/>
  <c r="CR305" i="26" s="1"/>
  <c r="X307" i="26"/>
  <c r="CN307" i="26" s="1"/>
  <c r="BN305" i="26"/>
  <c r="CQ305" i="26" s="1"/>
  <c r="BM305" i="26"/>
  <c r="CP305" i="26" s="1"/>
  <c r="X313" i="26"/>
  <c r="CN313" i="26" s="1"/>
  <c r="BN311" i="26"/>
  <c r="W313" i="26"/>
  <c r="CM313" i="26" s="1"/>
  <c r="BM311" i="26"/>
  <c r="BJ68" i="26"/>
  <c r="BJ70" i="26"/>
  <c r="W28" i="26"/>
  <c r="W36" i="26"/>
  <c r="W31" i="26"/>
  <c r="W42" i="26"/>
  <c r="W30" i="26"/>
  <c r="W44" i="26"/>
  <c r="BN30" i="26"/>
  <c r="CQ30" i="26" s="1"/>
  <c r="BN44" i="26"/>
  <c r="CQ44" i="26" s="1"/>
  <c r="X30" i="26"/>
  <c r="CN30" i="26" s="1"/>
  <c r="X44" i="26"/>
  <c r="CN44" i="26" s="1"/>
  <c r="BO17" i="26"/>
  <c r="CR17" i="26" s="1"/>
  <c r="Y30" i="26"/>
  <c r="CO30" i="26" s="1"/>
  <c r="X29" i="26"/>
  <c r="Y28" i="26"/>
  <c r="Y29" i="26"/>
  <c r="W29" i="26"/>
  <c r="X28" i="26"/>
  <c r="BO15" i="26"/>
  <c r="CR15" i="26" s="1"/>
  <c r="BM206" i="6"/>
  <c r="CF206" i="6" s="1"/>
  <c r="A206" i="6" s="1" a="1"/>
  <c r="A206" i="6" s="1"/>
  <c r="W69" i="6"/>
  <c r="W147" i="1"/>
  <c r="CG147" i="1" s="1"/>
  <c r="CC147" i="1" s="1"/>
  <c r="BM207" i="6"/>
  <c r="CF207" i="6" s="1"/>
  <c r="A207" i="6" s="1" a="1"/>
  <c r="A207" i="6" s="1"/>
  <c r="W171" i="30"/>
  <c r="Y69" i="6"/>
  <c r="BN216" i="6"/>
  <c r="BN171" i="30" s="1"/>
  <c r="X171" i="30"/>
  <c r="BO216" i="6"/>
  <c r="BO171" i="30" s="1"/>
  <c r="Y171" i="30"/>
  <c r="BM215" i="6"/>
  <c r="BM147" i="1" s="1"/>
  <c r="CJ147" i="1" s="1"/>
  <c r="W217" i="6"/>
  <c r="BM217" i="6" s="1"/>
  <c r="BM216" i="6"/>
  <c r="Y188" i="1"/>
  <c r="W171" i="1"/>
  <c r="CG171" i="1" s="1"/>
  <c r="CI130" i="1"/>
  <c r="Y171" i="1"/>
  <c r="CG130" i="1"/>
  <c r="X188" i="1"/>
  <c r="X171" i="1"/>
  <c r="CH171" i="1" s="1"/>
  <c r="CM47" i="20"/>
  <c r="CE47" i="20" s="1"/>
  <c r="A47" i="20" s="1" a="1"/>
  <c r="A47" i="20" s="1"/>
  <c r="BZ47" i="20"/>
  <c r="BN181" i="30"/>
  <c r="CM419" i="9"/>
  <c r="BO189" i="30"/>
  <c r="BO181" i="30"/>
  <c r="BN189" i="30"/>
  <c r="BB147" i="30"/>
  <c r="CK32" i="20"/>
  <c r="CL32" i="20"/>
  <c r="CM32" i="20"/>
  <c r="CK64" i="20"/>
  <c r="CL64" i="20"/>
  <c r="CM64" i="20"/>
  <c r="CK23" i="20"/>
  <c r="CL23" i="20"/>
  <c r="CK111" i="20"/>
  <c r="CL111" i="20"/>
  <c r="CM111" i="20"/>
  <c r="CK22" i="20"/>
  <c r="CL22" i="20"/>
  <c r="CK44" i="20"/>
  <c r="CL44" i="20"/>
  <c r="CK73" i="20"/>
  <c r="CL73" i="20"/>
  <c r="CM73" i="20"/>
  <c r="CK41" i="20"/>
  <c r="CL41" i="20"/>
  <c r="CM41" i="20"/>
  <c r="CK68" i="20"/>
  <c r="CL68" i="20"/>
  <c r="CM68" i="20"/>
  <c r="CK92" i="20"/>
  <c r="CL92" i="20"/>
  <c r="CK103" i="20"/>
  <c r="CL103" i="20"/>
  <c r="CM103" i="20"/>
  <c r="CK77" i="20"/>
  <c r="CL77" i="20"/>
  <c r="CM77" i="20"/>
  <c r="CK124" i="20"/>
  <c r="CL124" i="20"/>
  <c r="CK143" i="20"/>
  <c r="CL143" i="20"/>
  <c r="CM143" i="20"/>
  <c r="CK154" i="20"/>
  <c r="CL154" i="20"/>
  <c r="CM154" i="20"/>
  <c r="CK181" i="20"/>
  <c r="CK42" i="20"/>
  <c r="CL42" i="20"/>
  <c r="CM42" i="20"/>
  <c r="CK71" i="20"/>
  <c r="CL71" i="20"/>
  <c r="CM71" i="20"/>
  <c r="CK36" i="20"/>
  <c r="CL36" i="20"/>
  <c r="CM36" i="20"/>
  <c r="CK65" i="20"/>
  <c r="CL65" i="20"/>
  <c r="CM65" i="20"/>
  <c r="CK21" i="20"/>
  <c r="CL21" i="20"/>
  <c r="CM21" i="20"/>
  <c r="CK54" i="20"/>
  <c r="CL54" i="20"/>
  <c r="CK76" i="20"/>
  <c r="CL76" i="20"/>
  <c r="CM76" i="20"/>
  <c r="CK48" i="20"/>
  <c r="CL48" i="20"/>
  <c r="CM48" i="20"/>
  <c r="CK102" i="20"/>
  <c r="CL102" i="20"/>
  <c r="CM102" i="20"/>
  <c r="CK90" i="20"/>
  <c r="CL90" i="20"/>
  <c r="CK122" i="20"/>
  <c r="CL122" i="20"/>
  <c r="CM122" i="20"/>
  <c r="CK125" i="20"/>
  <c r="CL125" i="20"/>
  <c r="CM125" i="20"/>
  <c r="CL140" i="20"/>
  <c r="CL144" i="20"/>
  <c r="CK198" i="20"/>
  <c r="CL198" i="20"/>
  <c r="CM198" i="20"/>
  <c r="CK16" i="20"/>
  <c r="CL16" i="20"/>
  <c r="CM16" i="20"/>
  <c r="CK50" i="20"/>
  <c r="CL50" i="20"/>
  <c r="CM50" i="20"/>
  <c r="CK74" i="20"/>
  <c r="CL74" i="20"/>
  <c r="CM74" i="20"/>
  <c r="CK43" i="20"/>
  <c r="CL43" i="20"/>
  <c r="CK72" i="20"/>
  <c r="CL72" i="20"/>
  <c r="CM72" i="20"/>
  <c r="CK27" i="20"/>
  <c r="CL27" i="20"/>
  <c r="CK59" i="20"/>
  <c r="CL59" i="20"/>
  <c r="CM59" i="20"/>
  <c r="CK87" i="20"/>
  <c r="CL87" i="20"/>
  <c r="CM87" i="20"/>
  <c r="CK55" i="20"/>
  <c r="CL55" i="20"/>
  <c r="CM55" i="20"/>
  <c r="CK91" i="20"/>
  <c r="CL91" i="20"/>
  <c r="CM91" i="20"/>
  <c r="CK89" i="20"/>
  <c r="CL89" i="20"/>
  <c r="CK94" i="20"/>
  <c r="CL94" i="20"/>
  <c r="CM94" i="20"/>
  <c r="CK115" i="20"/>
  <c r="CL115" i="20"/>
  <c r="CM115" i="20"/>
  <c r="CK126" i="20"/>
  <c r="CL126" i="20"/>
  <c r="CM126" i="20"/>
  <c r="CK137" i="20"/>
  <c r="CL137" i="20"/>
  <c r="CM137" i="20"/>
  <c r="CL141" i="20"/>
  <c r="CK169" i="20"/>
  <c r="CL169" i="20"/>
  <c r="CM169" i="20"/>
  <c r="CK20" i="20"/>
  <c r="CL20" i="20"/>
  <c r="CM20" i="20"/>
  <c r="CK101" i="20"/>
  <c r="CL101" i="20"/>
  <c r="CM101" i="20"/>
  <c r="CK53" i="20"/>
  <c r="CL53" i="20"/>
  <c r="CM53" i="20"/>
  <c r="CK75" i="20"/>
  <c r="CL75" i="20"/>
  <c r="CM75" i="20"/>
  <c r="CK19" i="20"/>
  <c r="CL19" i="20"/>
  <c r="CM19" i="20"/>
  <c r="CK38" i="20"/>
  <c r="CL38" i="20"/>
  <c r="CM38" i="20"/>
  <c r="CK66" i="20"/>
  <c r="CL66" i="20"/>
  <c r="CK29" i="20"/>
  <c r="CL29" i="20"/>
  <c r="CM29" i="20"/>
  <c r="CK61" i="20"/>
  <c r="CL61" i="20"/>
  <c r="CM61" i="20"/>
  <c r="CK88" i="20"/>
  <c r="CL88" i="20"/>
  <c r="CM88" i="20"/>
  <c r="CK93" i="20"/>
  <c r="CL93" i="20"/>
  <c r="CK123" i="20"/>
  <c r="CL123" i="20"/>
  <c r="CM123" i="20"/>
  <c r="CK127" i="20"/>
  <c r="CL127" i="20"/>
  <c r="CK142" i="20"/>
  <c r="CL142" i="20"/>
  <c r="CK146" i="20"/>
  <c r="CL146" i="20"/>
  <c r="CM146" i="20"/>
  <c r="CK172" i="20"/>
  <c r="CL172" i="20"/>
  <c r="CM172" i="20"/>
  <c r="X560" i="9"/>
  <c r="Y585" i="9"/>
  <c r="Y574" i="9"/>
  <c r="X580" i="9"/>
  <c r="W552" i="9"/>
  <c r="Y564" i="9"/>
  <c r="Y560" i="9"/>
  <c r="Y553" i="9"/>
  <c r="X584" i="9"/>
  <c r="W551" i="9"/>
  <c r="Y552" i="9"/>
  <c r="W581" i="9"/>
  <c r="W583" i="9"/>
  <c r="W571" i="9"/>
  <c r="X585" i="9"/>
  <c r="X571" i="9"/>
  <c r="X549" i="9"/>
  <c r="BJ220" i="6"/>
  <c r="W558" i="9"/>
  <c r="W586" i="9"/>
  <c r="Y584" i="9"/>
  <c r="X550" i="9"/>
  <c r="X575" i="9"/>
  <c r="X547" i="9"/>
  <c r="Y579" i="9"/>
  <c r="X559" i="9"/>
  <c r="Y575" i="9"/>
  <c r="X553" i="9"/>
  <c r="X562" i="9"/>
  <c r="Y580" i="9"/>
  <c r="X554" i="9"/>
  <c r="BB49" i="30"/>
  <c r="BH48" i="30"/>
  <c r="AJ763" i="9"/>
  <c r="AJ786" i="9" s="1"/>
  <c r="AJ809" i="9" s="1"/>
  <c r="X564" i="9"/>
  <c r="CN400" i="9"/>
  <c r="X579" i="9"/>
  <c r="CN249" i="9"/>
  <c r="Y558" i="9"/>
  <c r="CO286" i="9"/>
  <c r="X552" i="9"/>
  <c r="CN172" i="9"/>
  <c r="X558" i="9"/>
  <c r="CN286" i="9"/>
  <c r="X574" i="9"/>
  <c r="CN154" i="9"/>
  <c r="X563" i="9"/>
  <c r="CN381" i="9"/>
  <c r="X570" i="9"/>
  <c r="X852" i="9" s="1"/>
  <c r="CN78" i="9"/>
  <c r="W574" i="9"/>
  <c r="CM154" i="9"/>
  <c r="W576" i="9"/>
  <c r="CM192" i="9"/>
  <c r="W563" i="9"/>
  <c r="CM381" i="9"/>
  <c r="W572" i="9"/>
  <c r="CM116" i="9"/>
  <c r="W564" i="9"/>
  <c r="CM400" i="9"/>
  <c r="W570" i="9"/>
  <c r="CM78" i="9"/>
  <c r="W569" i="9"/>
  <c r="CM59" i="9"/>
  <c r="Y562" i="9"/>
  <c r="CO362" i="9"/>
  <c r="X572" i="9"/>
  <c r="X854" i="9" s="1"/>
  <c r="CN116" i="9"/>
  <c r="W968" i="9"/>
  <c r="W718" i="9"/>
  <c r="W719" i="9"/>
  <c r="W703" i="9"/>
  <c r="W697" i="9"/>
  <c r="W689" i="9"/>
  <c r="X689" i="9"/>
  <c r="W700" i="9"/>
  <c r="W842" i="9" s="1"/>
  <c r="AG794" i="9"/>
  <c r="AG817" i="9" s="1"/>
  <c r="W724" i="9"/>
  <c r="X724" i="9"/>
  <c r="W715" i="9"/>
  <c r="W712" i="9"/>
  <c r="X712" i="9"/>
  <c r="W720" i="9"/>
  <c r="W716" i="9"/>
  <c r="W704" i="9"/>
  <c r="X704" i="9"/>
  <c r="W690" i="9"/>
  <c r="W832" i="9" s="1"/>
  <c r="W701" i="9"/>
  <c r="X701" i="9"/>
  <c r="W698" i="9"/>
  <c r="W722" i="9"/>
  <c r="X722" i="9"/>
  <c r="W713" i="9"/>
  <c r="W694" i="9"/>
  <c r="W695" i="9"/>
  <c r="W702" i="9"/>
  <c r="W705" i="9"/>
  <c r="W847" i="9" s="1"/>
  <c r="W727" i="9"/>
  <c r="X727" i="9"/>
  <c r="W714" i="9"/>
  <c r="X714" i="9"/>
  <c r="W725" i="9"/>
  <c r="W717" i="9"/>
  <c r="W723" i="9"/>
  <c r="W726" i="9"/>
  <c r="W721" i="9"/>
  <c r="W728" i="9"/>
  <c r="W699" i="9"/>
  <c r="X699" i="9"/>
  <c r="W691" i="9"/>
  <c r="X691" i="9"/>
  <c r="W696" i="9"/>
  <c r="W692" i="9"/>
  <c r="W693" i="9"/>
  <c r="AF795" i="9"/>
  <c r="AF818" i="9" s="1"/>
  <c r="AG772" i="9" s="1"/>
  <c r="X901" i="9"/>
  <c r="BN901" i="9" s="1"/>
  <c r="X913" i="9"/>
  <c r="BN913" i="9" s="1"/>
  <c r="X917" i="9"/>
  <c r="BN917" i="9" s="1"/>
  <c r="X918" i="9"/>
  <c r="BN918" i="9" s="1"/>
  <c r="X904" i="9"/>
  <c r="BN904" i="9" s="1"/>
  <c r="Y918" i="9"/>
  <c r="BO918" i="9" s="1"/>
  <c r="BJ208" i="3"/>
  <c r="BJ255" i="3"/>
  <c r="BI209" i="3"/>
  <c r="BI232" i="3" s="1"/>
  <c r="BI255" i="3"/>
  <c r="BI278" i="3" s="1"/>
  <c r="BN215" i="6"/>
  <c r="BN147" i="1" s="1"/>
  <c r="CK147" i="1" s="1"/>
  <c r="BO215" i="6"/>
  <c r="BO147" i="1" s="1"/>
  <c r="CL147" i="1" s="1"/>
  <c r="BO208" i="6"/>
  <c r="BN208" i="6"/>
  <c r="BO63" i="6"/>
  <c r="BN63" i="6"/>
  <c r="BN59" i="6"/>
  <c r="BO59" i="6"/>
  <c r="BO55" i="6"/>
  <c r="BN55" i="6"/>
  <c r="BJ173" i="26"/>
  <c r="BH114" i="6"/>
  <c r="BH116" i="30" s="1"/>
  <c r="BJ147" i="26"/>
  <c r="BJ197" i="26"/>
  <c r="BI111" i="6"/>
  <c r="BJ120" i="26"/>
  <c r="CQ120" i="26" s="1"/>
  <c r="BA160" i="1"/>
  <c r="BC152" i="30"/>
  <c r="BC59" i="33" s="1"/>
  <c r="BC107" i="1"/>
  <c r="BC151" i="1"/>
  <c r="BC37" i="1"/>
  <c r="BC60" i="1"/>
  <c r="BC156" i="1"/>
  <c r="BC49" i="1"/>
  <c r="BC34" i="30"/>
  <c r="BB158" i="1"/>
  <c r="BC117" i="1"/>
  <c r="BC42" i="30"/>
  <c r="BC39" i="30"/>
  <c r="BC15" i="1"/>
  <c r="BC28" i="1"/>
  <c r="BC67" i="1"/>
  <c r="BC84" i="1"/>
  <c r="BO42" i="6"/>
  <c r="BO190" i="30" s="1"/>
  <c r="BO77" i="33" s="1"/>
  <c r="Y190" i="30"/>
  <c r="BN42" i="6"/>
  <c r="BN190" i="30" s="1"/>
  <c r="BN77" i="33" s="1"/>
  <c r="X190" i="30"/>
  <c r="BM42" i="6"/>
  <c r="BM190" i="30" s="1"/>
  <c r="BM77" i="33" s="1"/>
  <c r="W190" i="30"/>
  <c r="X906" i="9"/>
  <c r="BN906" i="9" s="1"/>
  <c r="X908" i="9"/>
  <c r="BN908" i="9" s="1"/>
  <c r="X912" i="9"/>
  <c r="BN912" i="9" s="1"/>
  <c r="X903" i="9"/>
  <c r="BN903" i="9" s="1"/>
  <c r="X910" i="9"/>
  <c r="BN910" i="9" s="1"/>
  <c r="X914" i="9"/>
  <c r="BN914" i="9" s="1"/>
  <c r="X915" i="9"/>
  <c r="BN915" i="9" s="1"/>
  <c r="X911" i="9"/>
  <c r="BN911" i="9" s="1"/>
  <c r="X905" i="9"/>
  <c r="BN905" i="9" s="1"/>
  <c r="AE1019" i="9"/>
  <c r="AE1042" i="9" s="1"/>
  <c r="Y911" i="9"/>
  <c r="BO911" i="9" s="1"/>
  <c r="Y913" i="9"/>
  <c r="BO913" i="9" s="1"/>
  <c r="Y910" i="9"/>
  <c r="BO910" i="9" s="1"/>
  <c r="Y912" i="9"/>
  <c r="BO912" i="9" s="1"/>
  <c r="Y915" i="9"/>
  <c r="BO915" i="9" s="1"/>
  <c r="AD1029" i="9"/>
  <c r="AD1052" i="9" s="1"/>
  <c r="Y903" i="9"/>
  <c r="BO903" i="9" s="1"/>
  <c r="Y905" i="9"/>
  <c r="BO905" i="9" s="1"/>
  <c r="Y906" i="9"/>
  <c r="BO906" i="9" s="1"/>
  <c r="Y901" i="9"/>
  <c r="BO901" i="9" s="1"/>
  <c r="Y914" i="9"/>
  <c r="BO914" i="9" s="1"/>
  <c r="Y904" i="9"/>
  <c r="BO904" i="9" s="1"/>
  <c r="Y908" i="9"/>
  <c r="BO908" i="9" s="1"/>
  <c r="AH764" i="9"/>
  <c r="BO189" i="6"/>
  <c r="BN189" i="6"/>
  <c r="BM189" i="6"/>
  <c r="BN110" i="6"/>
  <c r="BN197" i="30" s="1"/>
  <c r="BN84" i="33" s="1"/>
  <c r="X197" i="30"/>
  <c r="BO110" i="6"/>
  <c r="BO197" i="30" s="1"/>
  <c r="BO84" i="33" s="1"/>
  <c r="Y197" i="30"/>
  <c r="BM190" i="6"/>
  <c r="BO187" i="6"/>
  <c r="BO171" i="1" s="1"/>
  <c r="CL171" i="1" s="1"/>
  <c r="BO182" i="6"/>
  <c r="BO132" i="6"/>
  <c r="BN132" i="6"/>
  <c r="AJ782" i="9"/>
  <c r="AJ788" i="9"/>
  <c r="W285" i="26"/>
  <c r="CM285" i="26" s="1"/>
  <c r="BM278" i="26"/>
  <c r="CP278" i="26" s="1"/>
  <c r="BN19" i="26"/>
  <c r="CQ19" i="26" s="1"/>
  <c r="BO19" i="26"/>
  <c r="CR19" i="26" s="1"/>
  <c r="BO184" i="6"/>
  <c r="BO149" i="30" s="1"/>
  <c r="BM205" i="6"/>
  <c r="BM246" i="6"/>
  <c r="CF191" i="6"/>
  <c r="A191" i="6" s="1" a="1"/>
  <c r="A191" i="6" s="1"/>
  <c r="CF210" i="6"/>
  <c r="A210" i="6" s="1" a="1"/>
  <c r="A210" i="6" s="1"/>
  <c r="BM63" i="6"/>
  <c r="BM55" i="6"/>
  <c r="BM59" i="6"/>
  <c r="Y254" i="6"/>
  <c r="BO252" i="6"/>
  <c r="X248" i="6"/>
  <c r="BN246" i="6"/>
  <c r="X242" i="6"/>
  <c r="BN240" i="6"/>
  <c r="X254" i="6"/>
  <c r="BN252" i="6"/>
  <c r="Y242" i="6"/>
  <c r="BO240" i="6"/>
  <c r="W254" i="6"/>
  <c r="BM252" i="6"/>
  <c r="Y181" i="30"/>
  <c r="BO108" i="6"/>
  <c r="BN108" i="6"/>
  <c r="Y248" i="6"/>
  <c r="BO246" i="6"/>
  <c r="W242" i="6"/>
  <c r="BM240" i="6"/>
  <c r="Y149" i="30"/>
  <c r="X181" i="30"/>
  <c r="BJ169" i="26"/>
  <c r="BJ146" i="26"/>
  <c r="BJ149" i="26"/>
  <c r="Y162" i="1"/>
  <c r="CI162" i="1" s="1"/>
  <c r="X162" i="1"/>
  <c r="CH162" i="1" s="1"/>
  <c r="BI254" i="3"/>
  <c r="BI277" i="3" s="1"/>
  <c r="BI208" i="3"/>
  <c r="BI231" i="3" s="1"/>
  <c r="W908" i="9"/>
  <c r="BM908" i="9" s="1"/>
  <c r="W900" i="9"/>
  <c r="BM900" i="9" s="1"/>
  <c r="W905" i="9"/>
  <c r="BM905" i="9" s="1"/>
  <c r="W902" i="9"/>
  <c r="BM902" i="9" s="1"/>
  <c r="W916" i="9"/>
  <c r="BM916" i="9" s="1"/>
  <c r="W918" i="9"/>
  <c r="BM918" i="9" s="1"/>
  <c r="W903" i="9"/>
  <c r="BM903" i="9" s="1"/>
  <c r="W912" i="9"/>
  <c r="BM912" i="9" s="1"/>
  <c r="W914" i="9"/>
  <c r="BM914" i="9" s="1"/>
  <c r="W907" i="9"/>
  <c r="BM907" i="9" s="1"/>
  <c r="W913" i="9"/>
  <c r="BM913" i="9" s="1"/>
  <c r="W911" i="9"/>
  <c r="BM911" i="9" s="1"/>
  <c r="W909" i="9"/>
  <c r="BM909" i="9" s="1"/>
  <c r="W917" i="9"/>
  <c r="BM917" i="9" s="1"/>
  <c r="W915" i="9"/>
  <c r="BM915" i="9" s="1"/>
  <c r="W910" i="9"/>
  <c r="BM910" i="9" s="1"/>
  <c r="W906" i="9"/>
  <c r="BM906" i="9" s="1"/>
  <c r="W901" i="9"/>
  <c r="BM901" i="9" s="1"/>
  <c r="W904" i="9"/>
  <c r="BM904" i="9" s="1"/>
  <c r="BJ933" i="9"/>
  <c r="BD937" i="9"/>
  <c r="BF931" i="9"/>
  <c r="BG924" i="9"/>
  <c r="BB925" i="9"/>
  <c r="BD933" i="9"/>
  <c r="BF936" i="9"/>
  <c r="BD941" i="9"/>
  <c r="BC929" i="9"/>
  <c r="BC935" i="9"/>
  <c r="BB933" i="9"/>
  <c r="BA930" i="9"/>
  <c r="BA928" i="9"/>
  <c r="AZ931" i="9"/>
  <c r="AZ924" i="9"/>
  <c r="AY933" i="9"/>
  <c r="AY935" i="9"/>
  <c r="AX933" i="9"/>
  <c r="AW926" i="9"/>
  <c r="AW927" i="9"/>
  <c r="AV923" i="9"/>
  <c r="AV926" i="9"/>
  <c r="AU932" i="9"/>
  <c r="AT934" i="9"/>
  <c r="AT931" i="9"/>
  <c r="AS935" i="9"/>
  <c r="AR930" i="9"/>
  <c r="AQ923" i="9"/>
  <c r="AQ938" i="9"/>
  <c r="AP923" i="9"/>
  <c r="AP937" i="9"/>
  <c r="AO934" i="9"/>
  <c r="AO925" i="9"/>
  <c r="AN936" i="9"/>
  <c r="AM937" i="9"/>
  <c r="AM924" i="9"/>
  <c r="AL923" i="9"/>
  <c r="AK940" i="9"/>
  <c r="AK923" i="9"/>
  <c r="AJ935" i="9"/>
  <c r="AJ930" i="9"/>
  <c r="AI923" i="9"/>
  <c r="AI939" i="9"/>
  <c r="AH923" i="9"/>
  <c r="AG935" i="9"/>
  <c r="AF936" i="9"/>
  <c r="AF933" i="9"/>
  <c r="AE937" i="9"/>
  <c r="AD936" i="9"/>
  <c r="AC927" i="9"/>
  <c r="AC933" i="9"/>
  <c r="AB929" i="9"/>
  <c r="BE930" i="9"/>
  <c r="BE928" i="9"/>
  <c r="BC925" i="9"/>
  <c r="BF940" i="9"/>
  <c r="BG928" i="9"/>
  <c r="BF928" i="9"/>
  <c r="BH927" i="9"/>
  <c r="BF927" i="9"/>
  <c r="BF929" i="9"/>
  <c r="BA923" i="9"/>
  <c r="BE926" i="9"/>
  <c r="BG926" i="9"/>
  <c r="BH929" i="9"/>
  <c r="BD935" i="9"/>
  <c r="BD940" i="9"/>
  <c r="BE927" i="9"/>
  <c r="BE933" i="9"/>
  <c r="BG938" i="9"/>
  <c r="BH941" i="9"/>
  <c r="BF935" i="9"/>
  <c r="BE935" i="9"/>
  <c r="BF933" i="9"/>
  <c r="BE941" i="9"/>
  <c r="BH940" i="9"/>
  <c r="BC933" i="9"/>
  <c r="BC927" i="9"/>
  <c r="BI933" i="9"/>
  <c r="AZ925" i="9"/>
  <c r="BB940" i="9"/>
  <c r="BB928" i="9"/>
  <c r="AZ930" i="9"/>
  <c r="BB927" i="9"/>
  <c r="BB929" i="9"/>
  <c r="BJ940" i="9"/>
  <c r="BJ935" i="9"/>
  <c r="BA929" i="9"/>
  <c r="BJ931" i="9"/>
  <c r="BA939" i="9"/>
  <c r="BA927" i="9"/>
  <c r="BJ941" i="9"/>
  <c r="BA941" i="9"/>
  <c r="BI935" i="9"/>
  <c r="BI927" i="9"/>
  <c r="AZ928" i="9"/>
  <c r="AZ926" i="9"/>
  <c r="BJ934" i="9"/>
  <c r="AZ937" i="9"/>
  <c r="AZ927" i="9"/>
  <c r="AY941" i="9"/>
  <c r="AY936" i="9"/>
  <c r="AY939" i="9"/>
  <c r="AY940" i="9"/>
  <c r="AX937" i="9"/>
  <c r="AV925" i="9"/>
  <c r="AX926" i="9"/>
  <c r="AX935" i="9"/>
  <c r="AX931" i="9"/>
  <c r="AW941" i="9"/>
  <c r="AW935" i="9"/>
  <c r="AW934" i="9"/>
  <c r="AW931" i="9"/>
  <c r="AV935" i="9"/>
  <c r="AU925" i="9"/>
  <c r="AV933" i="9"/>
  <c r="AV939" i="9"/>
  <c r="AV930" i="9"/>
  <c r="AU941" i="9"/>
  <c r="AU938" i="9"/>
  <c r="AU923" i="9"/>
  <c r="AU928" i="9"/>
  <c r="AT925" i="9"/>
  <c r="AT926" i="9"/>
  <c r="AT924" i="9"/>
  <c r="AT940" i="9"/>
  <c r="AS938" i="9"/>
  <c r="AS930" i="9"/>
  <c r="AS927" i="9"/>
  <c r="AS928" i="9"/>
  <c r="AS933" i="9"/>
  <c r="AR939" i="9"/>
  <c r="AR935" i="9"/>
  <c r="AR927" i="9"/>
  <c r="AR936" i="9"/>
  <c r="AQ935" i="9"/>
  <c r="AQ929" i="9"/>
  <c r="AQ940" i="9"/>
  <c r="AQ925" i="9"/>
  <c r="AQ936" i="9"/>
  <c r="AP939" i="9"/>
  <c r="AP927" i="9"/>
  <c r="AP941" i="9"/>
  <c r="AP929" i="9"/>
  <c r="AP933" i="9"/>
  <c r="AO941" i="9"/>
  <c r="AO940" i="9"/>
  <c r="AO937" i="9"/>
  <c r="AO936" i="9"/>
  <c r="AO932" i="9"/>
  <c r="AN940" i="9"/>
  <c r="AN925" i="9"/>
  <c r="AN939" i="9"/>
  <c r="AN928" i="9"/>
  <c r="AM935" i="9"/>
  <c r="AM936" i="9"/>
  <c r="AM925" i="9"/>
  <c r="AM933" i="9"/>
  <c r="AL941" i="9"/>
  <c r="AL926" i="9"/>
  <c r="AL935" i="9"/>
  <c r="AL937" i="9"/>
  <c r="AL930" i="9"/>
  <c r="AK941" i="9"/>
  <c r="AK934" i="9"/>
  <c r="AK933" i="9"/>
  <c r="AK931" i="9"/>
  <c r="AK924" i="9"/>
  <c r="AJ931" i="9"/>
  <c r="AJ927" i="9"/>
  <c r="AJ933" i="9"/>
  <c r="AJ925" i="9"/>
  <c r="AI936" i="9"/>
  <c r="AI924" i="9"/>
  <c r="AI926" i="9"/>
  <c r="AI925" i="9"/>
  <c r="AI933" i="9"/>
  <c r="AH939" i="9"/>
  <c r="AH937" i="9"/>
  <c r="AH928" i="9"/>
  <c r="AH933" i="9"/>
  <c r="AH936" i="9"/>
  <c r="AG941" i="9"/>
  <c r="AG931" i="9"/>
  <c r="AG938" i="9"/>
  <c r="AG933" i="9"/>
  <c r="AG926" i="9"/>
  <c r="AF930" i="9"/>
  <c r="AF927" i="9"/>
  <c r="AF926" i="9"/>
  <c r="AF923" i="9"/>
  <c r="AF931" i="9"/>
  <c r="AE932" i="9"/>
  <c r="AE930" i="9"/>
  <c r="AE931" i="9"/>
  <c r="AE941" i="9"/>
  <c r="AE939" i="9"/>
  <c r="AD933" i="9"/>
  <c r="AD935" i="9"/>
  <c r="AD929" i="9"/>
  <c r="AD924" i="9"/>
  <c r="AD938" i="9"/>
  <c r="AC940" i="9"/>
  <c r="AC930" i="9"/>
  <c r="AC931" i="9"/>
  <c r="AC941" i="9"/>
  <c r="AB931" i="9"/>
  <c r="AB937" i="9"/>
  <c r="AB940" i="9"/>
  <c r="AB926" i="9"/>
  <c r="AB938" i="9"/>
  <c r="BF924" i="9"/>
  <c r="BH935" i="9"/>
  <c r="BG933" i="9"/>
  <c r="BH931" i="9"/>
  <c r="BG935" i="9"/>
  <c r="BF941" i="9"/>
  <c r="BH934" i="9"/>
  <c r="BC941" i="9"/>
  <c r="BB941" i="9"/>
  <c r="BA937" i="9"/>
  <c r="BI940" i="9"/>
  <c r="AZ934" i="9"/>
  <c r="AZ929" i="9"/>
  <c r="BI934" i="9"/>
  <c r="AY926" i="9"/>
  <c r="AX936" i="9"/>
  <c r="AW929" i="9"/>
  <c r="AV931" i="9"/>
  <c r="AV924" i="9"/>
  <c r="AU929" i="9"/>
  <c r="AU930" i="9"/>
  <c r="AT930" i="9"/>
  <c r="AS931" i="9"/>
  <c r="AS941" i="9"/>
  <c r="AR941" i="9"/>
  <c r="AR926" i="9"/>
  <c r="AQ941" i="9"/>
  <c r="AP938" i="9"/>
  <c r="AO926" i="9"/>
  <c r="AN935" i="9"/>
  <c r="AN941" i="9"/>
  <c r="AM938" i="9"/>
  <c r="AM931" i="9"/>
  <c r="AL925" i="9"/>
  <c r="AK938" i="9"/>
  <c r="AK939" i="9"/>
  <c r="AJ924" i="9"/>
  <c r="AI941" i="9"/>
  <c r="AI931" i="9"/>
  <c r="AH925" i="9"/>
  <c r="AH924" i="9"/>
  <c r="AG929" i="9"/>
  <c r="AF938" i="9"/>
  <c r="AF925" i="9"/>
  <c r="AE925" i="9"/>
  <c r="AE923" i="9"/>
  <c r="AD932" i="9"/>
  <c r="AC935" i="9"/>
  <c r="AB925" i="9"/>
  <c r="AB939" i="9"/>
  <c r="BB923" i="9"/>
  <c r="BA925" i="9"/>
  <c r="BG927" i="9"/>
  <c r="BC923" i="9"/>
  <c r="BH936" i="9"/>
  <c r="BD926" i="9"/>
  <c r="BE929" i="9"/>
  <c r="BE934" i="9"/>
  <c r="BD932" i="9"/>
  <c r="BH933" i="9"/>
  <c r="BG939" i="9"/>
  <c r="BE931" i="9"/>
  <c r="BE938" i="9"/>
  <c r="BD927" i="9"/>
  <c r="BE936" i="9"/>
  <c r="BH928" i="9"/>
  <c r="BE939" i="9"/>
  <c r="BG929" i="9"/>
  <c r="BD936" i="9"/>
  <c r="BG940" i="9"/>
  <c r="BE924" i="9"/>
  <c r="BH938" i="9"/>
  <c r="BB932" i="9"/>
  <c r="BC936" i="9"/>
  <c r="BC928" i="9"/>
  <c r="BC924" i="9"/>
  <c r="BC937" i="9"/>
  <c r="BB937" i="9"/>
  <c r="AY925" i="9"/>
  <c r="BB926" i="9"/>
  <c r="BA932" i="9"/>
  <c r="BB934" i="9"/>
  <c r="BJ928" i="9"/>
  <c r="BJ938" i="9"/>
  <c r="BA938" i="9"/>
  <c r="BJ924" i="9"/>
  <c r="BJ936" i="9"/>
  <c r="BA926" i="9"/>
  <c r="BA936" i="9"/>
  <c r="BA934" i="9"/>
  <c r="BI928" i="9"/>
  <c r="AZ938" i="9"/>
  <c r="BI931" i="9"/>
  <c r="AZ939" i="9"/>
  <c r="BI929" i="9"/>
  <c r="AX925" i="9"/>
  <c r="BI941" i="9"/>
  <c r="AY924" i="9"/>
  <c r="AY931" i="9"/>
  <c r="AY927" i="9"/>
  <c r="AZ932" i="9"/>
  <c r="AW925" i="9"/>
  <c r="AX939" i="9"/>
  <c r="AX927" i="9"/>
  <c r="AX941" i="9"/>
  <c r="AX928" i="9"/>
  <c r="AX932" i="9"/>
  <c r="AW940" i="9"/>
  <c r="AW938" i="9"/>
  <c r="AW932" i="9"/>
  <c r="AW930" i="9"/>
  <c r="AV941" i="9"/>
  <c r="AV929" i="9"/>
  <c r="AV938" i="9"/>
  <c r="AV937" i="9"/>
  <c r="AV936" i="9"/>
  <c r="AU931" i="9"/>
  <c r="AU940" i="9"/>
  <c r="AU936" i="9"/>
  <c r="AU934" i="9"/>
  <c r="AU939" i="9"/>
  <c r="AT933" i="9"/>
  <c r="AT939" i="9"/>
  <c r="AT929" i="9"/>
  <c r="AT923" i="9"/>
  <c r="AT936" i="9"/>
  <c r="AS932" i="9"/>
  <c r="AS926" i="9"/>
  <c r="AS940" i="9"/>
  <c r="AS924" i="9"/>
  <c r="AS923" i="9"/>
  <c r="AR931" i="9"/>
  <c r="AR940" i="9"/>
  <c r="AR933" i="9"/>
  <c r="AR928" i="9"/>
  <c r="AR929" i="9"/>
  <c r="AQ927" i="9"/>
  <c r="AQ934" i="9"/>
  <c r="AQ932" i="9"/>
  <c r="AQ926" i="9"/>
  <c r="AQ928" i="9"/>
  <c r="AP930" i="9"/>
  <c r="AP924" i="9"/>
  <c r="AP931" i="9"/>
  <c r="AP936" i="9"/>
  <c r="AP934" i="9"/>
  <c r="AO924" i="9"/>
  <c r="AO923" i="9"/>
  <c r="AO933" i="9"/>
  <c r="AO930" i="9"/>
  <c r="AO929" i="9"/>
  <c r="AN927" i="9"/>
  <c r="AN931" i="9"/>
  <c r="AN923" i="9"/>
  <c r="AN926" i="9"/>
  <c r="AN930" i="9"/>
  <c r="AM930" i="9"/>
  <c r="AM939" i="9"/>
  <c r="AM932" i="9"/>
  <c r="AM927" i="9"/>
  <c r="AM934" i="9"/>
  <c r="AL936" i="9"/>
  <c r="AL934" i="9"/>
  <c r="AL932" i="9"/>
  <c r="AL940" i="9"/>
  <c r="AK932" i="9"/>
  <c r="AK930" i="9"/>
  <c r="AK925" i="9"/>
  <c r="AK927" i="9"/>
  <c r="AK936" i="9"/>
  <c r="AJ940" i="9"/>
  <c r="AJ936" i="9"/>
  <c r="AJ932" i="9"/>
  <c r="AJ929" i="9"/>
  <c r="AJ939" i="9"/>
  <c r="AI927" i="9"/>
  <c r="AI934" i="9"/>
  <c r="AI940" i="9"/>
  <c r="AI928" i="9"/>
  <c r="AI929" i="9"/>
  <c r="AH934" i="9"/>
  <c r="AH931" i="9"/>
  <c r="AH938" i="9"/>
  <c r="AH930" i="9"/>
  <c r="AG925" i="9"/>
  <c r="AG927" i="9"/>
  <c r="AG928" i="9"/>
  <c r="AG932" i="9"/>
  <c r="AG936" i="9"/>
  <c r="AF934" i="9"/>
  <c r="AF937" i="9"/>
  <c r="AF940" i="9"/>
  <c r="AF932" i="9"/>
  <c r="AE926" i="9"/>
  <c r="AE936" i="9"/>
  <c r="AE928" i="9"/>
  <c r="AE924" i="9"/>
  <c r="AD927" i="9"/>
  <c r="AD941" i="9"/>
  <c r="AD939" i="9"/>
  <c r="AD926" i="9"/>
  <c r="AD937" i="9"/>
  <c r="AC923" i="9"/>
  <c r="AC926" i="9"/>
  <c r="AC924" i="9"/>
  <c r="AC925" i="9"/>
  <c r="AC938" i="9"/>
  <c r="AB934" i="9"/>
  <c r="AB924" i="9"/>
  <c r="AB933" i="9"/>
  <c r="AB932" i="9"/>
  <c r="AB927" i="9"/>
  <c r="BE923" i="9"/>
  <c r="BC930" i="9"/>
  <c r="BE937" i="9"/>
  <c r="BF939" i="9"/>
  <c r="BD929" i="9"/>
  <c r="BG941" i="9"/>
  <c r="BD938" i="9"/>
  <c r="BC940" i="9"/>
  <c r="BB935" i="9"/>
  <c r="BB939" i="9"/>
  <c r="BJ926" i="9"/>
  <c r="BA940" i="9"/>
  <c r="BA931" i="9"/>
  <c r="BI924" i="9"/>
  <c r="AZ941" i="9"/>
  <c r="AZ935" i="9"/>
  <c r="AY932" i="9"/>
  <c r="AX923" i="9"/>
  <c r="AX940" i="9"/>
  <c r="AW924" i="9"/>
  <c r="AW939" i="9"/>
  <c r="AU935" i="9"/>
  <c r="AU933" i="9"/>
  <c r="AT937" i="9"/>
  <c r="AT927" i="9"/>
  <c r="AS939" i="9"/>
  <c r="AR938" i="9"/>
  <c r="AR934" i="9"/>
  <c r="AQ937" i="9"/>
  <c r="AQ931" i="9"/>
  <c r="AP928" i="9"/>
  <c r="AP935" i="9"/>
  <c r="AO931" i="9"/>
  <c r="AN924" i="9"/>
  <c r="AN938" i="9"/>
  <c r="AM926" i="9"/>
  <c r="AL931" i="9"/>
  <c r="AL928" i="9"/>
  <c r="AL939" i="9"/>
  <c r="AK928" i="9"/>
  <c r="AJ941" i="9"/>
  <c r="AJ928" i="9"/>
  <c r="AI937" i="9"/>
  <c r="AH926" i="9"/>
  <c r="AH929" i="9"/>
  <c r="AG940" i="9"/>
  <c r="AG923" i="9"/>
  <c r="AF939" i="9"/>
  <c r="AE935" i="9"/>
  <c r="AE934" i="9"/>
  <c r="AD931" i="9"/>
  <c r="AD930" i="9"/>
  <c r="AC936" i="9"/>
  <c r="AC928" i="9"/>
  <c r="AB928" i="9"/>
  <c r="AB936" i="9"/>
  <c r="BD925" i="9"/>
  <c r="BD924" i="9"/>
  <c r="BF938" i="9"/>
  <c r="BC932" i="9"/>
  <c r="BF926" i="9"/>
  <c r="BG934" i="9"/>
  <c r="BD923" i="9"/>
  <c r="BG937" i="9"/>
  <c r="BD934" i="9"/>
  <c r="BD939" i="9"/>
  <c r="BF937" i="9"/>
  <c r="BH926" i="9"/>
  <c r="BD930" i="9"/>
  <c r="BG931" i="9"/>
  <c r="BF934" i="9"/>
  <c r="BB930" i="9"/>
  <c r="BH937" i="9"/>
  <c r="BD928" i="9"/>
  <c r="BD931" i="9"/>
  <c r="BG936" i="9"/>
  <c r="BE932" i="9"/>
  <c r="BE940" i="9"/>
  <c r="BH924" i="9"/>
  <c r="BC934" i="9"/>
  <c r="BC939" i="9"/>
  <c r="BC938" i="9"/>
  <c r="BC931" i="9"/>
  <c r="BC926" i="9"/>
  <c r="BB924" i="9"/>
  <c r="BB931" i="9"/>
  <c r="BB938" i="9"/>
  <c r="AZ923" i="9"/>
  <c r="BB936" i="9"/>
  <c r="BJ937" i="9"/>
  <c r="BJ927" i="9"/>
  <c r="BA924" i="9"/>
  <c r="BJ929" i="9"/>
  <c r="BA935" i="9"/>
  <c r="AY923" i="9"/>
  <c r="BA933" i="9"/>
  <c r="BI926" i="9"/>
  <c r="BI937" i="9"/>
  <c r="AZ940" i="9"/>
  <c r="BI938" i="9"/>
  <c r="AZ933" i="9"/>
  <c r="AY930" i="9"/>
  <c r="BI936" i="9"/>
  <c r="AZ936" i="9"/>
  <c r="AY938" i="9"/>
  <c r="AY928" i="9"/>
  <c r="AX930" i="9"/>
  <c r="AY929" i="9"/>
  <c r="AY934" i="9"/>
  <c r="AY937" i="9"/>
  <c r="AX924" i="9"/>
  <c r="AW923" i="9"/>
  <c r="AX938" i="9"/>
  <c r="AX929" i="9"/>
  <c r="AX934" i="9"/>
  <c r="X934" i="9" s="1"/>
  <c r="BN934" i="9" s="1"/>
  <c r="AW933" i="9"/>
  <c r="AW928" i="9"/>
  <c r="AW937" i="9"/>
  <c r="AW936" i="9"/>
  <c r="AV934" i="9"/>
  <c r="AV928" i="9"/>
  <c r="AV927" i="9"/>
  <c r="AV932" i="9"/>
  <c r="AV940" i="9"/>
  <c r="AU924" i="9"/>
  <c r="AU927" i="9"/>
  <c r="AU937" i="9"/>
  <c r="AU926" i="9"/>
  <c r="AT932" i="9"/>
  <c r="AT938" i="9"/>
  <c r="AT928" i="9"/>
  <c r="AT941" i="9"/>
  <c r="AT935" i="9"/>
  <c r="AS929" i="9"/>
  <c r="AS934" i="9"/>
  <c r="AS925" i="9"/>
  <c r="AS936" i="9"/>
  <c r="AS937" i="9"/>
  <c r="AR924" i="9"/>
  <c r="AR932" i="9"/>
  <c r="AR923" i="9"/>
  <c r="AR937" i="9"/>
  <c r="AR925" i="9"/>
  <c r="AQ939" i="9"/>
  <c r="AQ930" i="9"/>
  <c r="AQ933" i="9"/>
  <c r="AQ924" i="9"/>
  <c r="AP925" i="9"/>
  <c r="AP932" i="9"/>
  <c r="AP926" i="9"/>
  <c r="AP940" i="9"/>
  <c r="AO935" i="9"/>
  <c r="AO938" i="9"/>
  <c r="AO927" i="9"/>
  <c r="AO928" i="9"/>
  <c r="AO939" i="9"/>
  <c r="AN932" i="9"/>
  <c r="AN937" i="9"/>
  <c r="AN934" i="9"/>
  <c r="AN933" i="9"/>
  <c r="AN929" i="9"/>
  <c r="AM940" i="9"/>
  <c r="AM941" i="9"/>
  <c r="AM929" i="9"/>
  <c r="AM928" i="9"/>
  <c r="AM923" i="9"/>
  <c r="AL938" i="9"/>
  <c r="AL933" i="9"/>
  <c r="AL929" i="9"/>
  <c r="AL924" i="9"/>
  <c r="AL927" i="9"/>
  <c r="AK935" i="9"/>
  <c r="AK937" i="9"/>
  <c r="AK929" i="9"/>
  <c r="AK926" i="9"/>
  <c r="AJ937" i="9"/>
  <c r="AJ934" i="9"/>
  <c r="AJ926" i="9"/>
  <c r="AJ923" i="9"/>
  <c r="AJ938" i="9"/>
  <c r="AI932" i="9"/>
  <c r="AI935" i="9"/>
  <c r="AI930" i="9"/>
  <c r="AI938" i="9"/>
  <c r="AH932" i="9"/>
  <c r="AH927" i="9"/>
  <c r="AH940" i="9"/>
  <c r="AH935" i="9"/>
  <c r="AH941" i="9"/>
  <c r="AG934" i="9"/>
  <c r="AG937" i="9"/>
  <c r="AG930" i="9"/>
  <c r="AG939" i="9"/>
  <c r="AG924" i="9"/>
  <c r="AF941" i="9"/>
  <c r="AF924" i="9"/>
  <c r="AF935" i="9"/>
  <c r="AF929" i="9"/>
  <c r="AF928" i="9"/>
  <c r="AE933" i="9"/>
  <c r="AE929" i="9"/>
  <c r="AE940" i="9"/>
  <c r="AE938" i="9"/>
  <c r="AE927" i="9"/>
  <c r="AD923" i="9"/>
  <c r="AD934" i="9"/>
  <c r="AD925" i="9"/>
  <c r="AD940" i="9"/>
  <c r="AD928" i="9"/>
  <c r="AC932" i="9"/>
  <c r="AC934" i="9"/>
  <c r="AC937" i="9"/>
  <c r="AC929" i="9"/>
  <c r="AC939" i="9"/>
  <c r="AB923" i="9"/>
  <c r="AB941" i="9"/>
  <c r="AB930" i="9"/>
  <c r="AB935" i="9"/>
  <c r="BF932" i="9"/>
  <c r="AA938" i="9"/>
  <c r="AA930" i="9"/>
  <c r="AA934" i="9"/>
  <c r="AA941" i="9"/>
  <c r="AA926" i="9"/>
  <c r="AA929" i="9"/>
  <c r="AA936" i="9"/>
  <c r="AA940" i="9"/>
  <c r="AA932" i="9"/>
  <c r="AA931" i="9"/>
  <c r="AA928" i="9"/>
  <c r="AA925" i="9"/>
  <c r="AA937" i="9"/>
  <c r="AA927" i="9"/>
  <c r="AA933" i="9"/>
  <c r="AA923" i="9"/>
  <c r="AA924" i="9"/>
  <c r="AA935" i="9"/>
  <c r="AA939" i="9"/>
  <c r="X454" i="9"/>
  <c r="W973" i="9"/>
  <c r="Y974" i="9"/>
  <c r="Y465" i="9"/>
  <c r="Y471" i="9"/>
  <c r="X979" i="9"/>
  <c r="X972" i="9"/>
  <c r="X978" i="9"/>
  <c r="Y457" i="9"/>
  <c r="W459" i="9"/>
  <c r="W986" i="9"/>
  <c r="X987" i="9"/>
  <c r="X461" i="9"/>
  <c r="X473" i="9"/>
  <c r="X466" i="9"/>
  <c r="X457" i="9"/>
  <c r="W984" i="9"/>
  <c r="W463" i="9"/>
  <c r="W461" i="9"/>
  <c r="W473" i="9"/>
  <c r="W980" i="9"/>
  <c r="Y970" i="9"/>
  <c r="W972" i="9"/>
  <c r="Y978" i="9"/>
  <c r="W975" i="9"/>
  <c r="Y467" i="9"/>
  <c r="W455" i="9"/>
  <c r="X460" i="9"/>
  <c r="X986" i="9"/>
  <c r="W976" i="9"/>
  <c r="W983" i="9"/>
  <c r="BG441" i="9"/>
  <c r="Y454" i="9"/>
  <c r="Y982" i="9"/>
  <c r="Y466" i="9"/>
  <c r="Y455" i="9"/>
  <c r="Y987" i="9"/>
  <c r="Y461" i="9"/>
  <c r="X459" i="9"/>
  <c r="W987" i="9"/>
  <c r="W471" i="9"/>
  <c r="Y456" i="9"/>
  <c r="X983" i="9"/>
  <c r="X980" i="9"/>
  <c r="Y986" i="9"/>
  <c r="Y463" i="9"/>
  <c r="X970" i="9"/>
  <c r="W468" i="9"/>
  <c r="Y473" i="9"/>
  <c r="Y470" i="9"/>
  <c r="W458" i="9"/>
  <c r="X467" i="9"/>
  <c r="W977" i="9"/>
  <c r="X985" i="9"/>
  <c r="X977" i="9"/>
  <c r="W979" i="9"/>
  <c r="X969" i="9"/>
  <c r="Y459" i="9"/>
  <c r="X464" i="9"/>
  <c r="X463" i="9"/>
  <c r="Y977" i="9"/>
  <c r="W465" i="9"/>
  <c r="Y468" i="9"/>
  <c r="Y464" i="9"/>
  <c r="X976" i="9"/>
  <c r="Y469" i="9"/>
  <c r="W969" i="9"/>
  <c r="Y985" i="9"/>
  <c r="Y975" i="9"/>
  <c r="Y472" i="9"/>
  <c r="X469" i="9"/>
  <c r="X984" i="9"/>
  <c r="X471" i="9"/>
  <c r="W460" i="9"/>
  <c r="W456" i="9"/>
  <c r="W469" i="9"/>
  <c r="W974" i="9"/>
  <c r="X465" i="9"/>
  <c r="W981" i="9"/>
  <c r="Y976" i="9"/>
  <c r="X458" i="9"/>
  <c r="Y458" i="9"/>
  <c r="Y969" i="9"/>
  <c r="W978" i="9"/>
  <c r="Y980" i="9"/>
  <c r="X973" i="9"/>
  <c r="X974" i="9"/>
  <c r="X982" i="9"/>
  <c r="W464" i="9"/>
  <c r="X981" i="9"/>
  <c r="BE434" i="9"/>
  <c r="BE689" i="9" s="1"/>
  <c r="BF439" i="9"/>
  <c r="W454" i="9"/>
  <c r="Y971" i="9"/>
  <c r="W467" i="9"/>
  <c r="Y983" i="9"/>
  <c r="X455" i="9"/>
  <c r="W466" i="9"/>
  <c r="W470" i="9"/>
  <c r="X468" i="9"/>
  <c r="W985" i="9"/>
  <c r="X456" i="9"/>
  <c r="X971" i="9"/>
  <c r="Y462" i="9"/>
  <c r="W472" i="9"/>
  <c r="Y973" i="9"/>
  <c r="Y460" i="9"/>
  <c r="W982" i="9"/>
  <c r="X462" i="9"/>
  <c r="Y979" i="9"/>
  <c r="X470" i="9"/>
  <c r="W457" i="9"/>
  <c r="Y972" i="9"/>
  <c r="X975" i="9"/>
  <c r="X472" i="9"/>
  <c r="W971" i="9"/>
  <c r="Y981" i="9"/>
  <c r="W462" i="9"/>
  <c r="Y984" i="9"/>
  <c r="W970" i="9"/>
  <c r="AG790" i="9"/>
  <c r="AF95" i="9"/>
  <c r="AF525" i="9" s="1"/>
  <c r="BH517" i="9"/>
  <c r="AF133" i="9"/>
  <c r="AF527" i="9" s="1"/>
  <c r="AE402" i="9"/>
  <c r="AE610" i="9" s="1"/>
  <c r="AE892" i="9" s="1"/>
  <c r="X189" i="30"/>
  <c r="X201" i="30"/>
  <c r="Y189" i="30"/>
  <c r="BN246" i="26"/>
  <c r="BO246" i="26"/>
  <c r="BJ193" i="26"/>
  <c r="BO18" i="26"/>
  <c r="CR18" i="26" s="1"/>
  <c r="BN18" i="26"/>
  <c r="CQ18" i="26" s="1"/>
  <c r="W546" i="9"/>
  <c r="Y577" i="9"/>
  <c r="W548" i="9"/>
  <c r="W547" i="9"/>
  <c r="Y581" i="9"/>
  <c r="X576" i="9"/>
  <c r="X561" i="9"/>
  <c r="Y546" i="9"/>
  <c r="Y578" i="9"/>
  <c r="W549" i="9"/>
  <c r="Y588" i="9"/>
  <c r="Y572" i="9"/>
  <c r="Y565" i="9"/>
  <c r="W555" i="9"/>
  <c r="Y586" i="9"/>
  <c r="X583" i="9"/>
  <c r="X578" i="9"/>
  <c r="X556" i="9"/>
  <c r="Y561" i="9"/>
  <c r="X588" i="9"/>
  <c r="X565" i="9"/>
  <c r="X555" i="9"/>
  <c r="Y569" i="9"/>
  <c r="Y550" i="9"/>
  <c r="W556" i="9"/>
  <c r="Y582" i="9"/>
  <c r="X551" i="9"/>
  <c r="X581" i="9"/>
  <c r="X586" i="9"/>
  <c r="X577" i="9"/>
  <c r="Y571" i="9"/>
  <c r="Y555" i="9"/>
  <c r="Y583" i="9"/>
  <c r="X546" i="9"/>
  <c r="X569" i="9"/>
  <c r="Y556" i="9"/>
  <c r="Y573" i="9"/>
  <c r="Y548" i="9"/>
  <c r="Y570" i="9"/>
  <c r="X582" i="9"/>
  <c r="Y551" i="9"/>
  <c r="Y576" i="9"/>
  <c r="Y587" i="9"/>
  <c r="W561" i="9"/>
  <c r="X587" i="9"/>
  <c r="AF231" i="9"/>
  <c r="AF601" i="9" s="1"/>
  <c r="AE307" i="9"/>
  <c r="AE605" i="9" s="1"/>
  <c r="AE887" i="9" s="1"/>
  <c r="AG323" i="9"/>
  <c r="AG537" i="9" s="1"/>
  <c r="AE174" i="9"/>
  <c r="AE598" i="9" s="1"/>
  <c r="BJ250" i="3"/>
  <c r="AE890" i="9"/>
  <c r="AF361" i="9"/>
  <c r="AF539" i="9" s="1"/>
  <c r="AE193" i="9"/>
  <c r="AE599" i="9" s="1"/>
  <c r="AF288" i="9"/>
  <c r="AF604" i="9" s="1"/>
  <c r="AE893" i="9"/>
  <c r="AF418" i="9"/>
  <c r="AB269" i="9"/>
  <c r="AB603" i="9" s="1"/>
  <c r="AE345" i="9"/>
  <c r="AE607" i="9" s="1"/>
  <c r="AE592" i="9"/>
  <c r="AE835" i="9"/>
  <c r="AE1121" i="9" s="1"/>
  <c r="AE1145" i="9" s="1"/>
  <c r="AF155" i="9"/>
  <c r="AF597" i="9" s="1"/>
  <c r="AF845" i="9"/>
  <c r="BF999" i="9"/>
  <c r="BF907" i="9" s="1"/>
  <c r="AG870" i="9"/>
  <c r="BE994" i="9"/>
  <c r="BE902" i="9" s="1"/>
  <c r="BF67" i="9"/>
  <c r="BF71" i="9" s="1"/>
  <c r="BH377" i="9"/>
  <c r="BG1001" i="9"/>
  <c r="BG909" i="9" s="1"/>
  <c r="BO49" i="9"/>
  <c r="BN49" i="9"/>
  <c r="BO59" i="9"/>
  <c r="BO569" i="9" s="1"/>
  <c r="BO230" i="9"/>
  <c r="BO164" i="9"/>
  <c r="BO258" i="9"/>
  <c r="BO372" i="9"/>
  <c r="BO420" i="9"/>
  <c r="BO116" i="9"/>
  <c r="BO572" i="9" s="1"/>
  <c r="BN259" i="9"/>
  <c r="BN126" i="9"/>
  <c r="BO382" i="9"/>
  <c r="BN240" i="9"/>
  <c r="BO106" i="9"/>
  <c r="BN182" i="9"/>
  <c r="BN325" i="9"/>
  <c r="BN277" i="9"/>
  <c r="BN106" i="9"/>
  <c r="BN230" i="9"/>
  <c r="BN154" i="9"/>
  <c r="BN574" i="9" s="1"/>
  <c r="BO88" i="9"/>
  <c r="BO240" i="9"/>
  <c r="BO296" i="9"/>
  <c r="BN420" i="9"/>
  <c r="BN163" i="9"/>
  <c r="BN392" i="9"/>
  <c r="BN59" i="9"/>
  <c r="BN569" i="9" s="1"/>
  <c r="BO316" i="9"/>
  <c r="BO277" i="9"/>
  <c r="BO68" i="9"/>
  <c r="BO182" i="9"/>
  <c r="BO306" i="9"/>
  <c r="BN144" i="9"/>
  <c r="BO87" i="9"/>
  <c r="BN335" i="9"/>
  <c r="BN278" i="9"/>
  <c r="BO392" i="9"/>
  <c r="BO220" i="9"/>
  <c r="BN88" i="9"/>
  <c r="BN173" i="9"/>
  <c r="BN575" i="9" s="1"/>
  <c r="BN135" i="9"/>
  <c r="BN573" i="9" s="1"/>
  <c r="BO353" i="9"/>
  <c r="BN287" i="9"/>
  <c r="BN296" i="9"/>
  <c r="BN382" i="9"/>
  <c r="BN373" i="9"/>
  <c r="BN221" i="9"/>
  <c r="BN69" i="9"/>
  <c r="BO144" i="9"/>
  <c r="BN249" i="9"/>
  <c r="BN579" i="9" s="1"/>
  <c r="BN239" i="9"/>
  <c r="BN220" i="9"/>
  <c r="BN211" i="9"/>
  <c r="BO221" i="9"/>
  <c r="BO315" i="9"/>
  <c r="BO239" i="9"/>
  <c r="BN202" i="9"/>
  <c r="BN268" i="9"/>
  <c r="BN580" i="9" s="1"/>
  <c r="BO334" i="9"/>
  <c r="BO373" i="9"/>
  <c r="BO135" i="9"/>
  <c r="BO573" i="9" s="1"/>
  <c r="BO183" i="9"/>
  <c r="BO78" i="9"/>
  <c r="BO570" i="9" s="1"/>
  <c r="BO391" i="9"/>
  <c r="BN334" i="9"/>
  <c r="BO249" i="9"/>
  <c r="BO579" i="9" s="1"/>
  <c r="BN306" i="9"/>
  <c r="BN354" i="9"/>
  <c r="BN372" i="9"/>
  <c r="BO192" i="9"/>
  <c r="BO401" i="9"/>
  <c r="BO173" i="9"/>
  <c r="BO575" i="9" s="1"/>
  <c r="BN258" i="9"/>
  <c r="BN401" i="9"/>
  <c r="BO202" i="9"/>
  <c r="BO154" i="9"/>
  <c r="BO574" i="9" s="1"/>
  <c r="BN125" i="9"/>
  <c r="BN344" i="9"/>
  <c r="BN584" i="9" s="1"/>
  <c r="BO125" i="9"/>
  <c r="BO69" i="9"/>
  <c r="BO278" i="9"/>
  <c r="BN145" i="9"/>
  <c r="BN164" i="9"/>
  <c r="BN363" i="9"/>
  <c r="BN585" i="9" s="1"/>
  <c r="BN316" i="9"/>
  <c r="BO344" i="9"/>
  <c r="BO584" i="9" s="1"/>
  <c r="BN297" i="9"/>
  <c r="BO107" i="9"/>
  <c r="BO97" i="9"/>
  <c r="BO571" i="9" s="1"/>
  <c r="BO335" i="9"/>
  <c r="BO268" i="9"/>
  <c r="BO580" i="9" s="1"/>
  <c r="BO211" i="9"/>
  <c r="BN68" i="9"/>
  <c r="BM173" i="9"/>
  <c r="BM575" i="9" s="1"/>
  <c r="BN315" i="9"/>
  <c r="BO325" i="9"/>
  <c r="BN87" i="9"/>
  <c r="BO363" i="9"/>
  <c r="BO585" i="9" s="1"/>
  <c r="BN107" i="9"/>
  <c r="BO201" i="9"/>
  <c r="BO145" i="9"/>
  <c r="BO287" i="9"/>
  <c r="BO163" i="9"/>
  <c r="BN201" i="9"/>
  <c r="BO259" i="9"/>
  <c r="BN353" i="9"/>
  <c r="BN78" i="9"/>
  <c r="BO126" i="9"/>
  <c r="BN183" i="9"/>
  <c r="BN391" i="9"/>
  <c r="BN192" i="9"/>
  <c r="BO297" i="9"/>
  <c r="BO354" i="9"/>
  <c r="BN116" i="9"/>
  <c r="BN97" i="9"/>
  <c r="BN411" i="9"/>
  <c r="BO411" i="9"/>
  <c r="BN410" i="9"/>
  <c r="BO410" i="9"/>
  <c r="BM145" i="9"/>
  <c r="BM115" i="9"/>
  <c r="BM549" i="9" s="1"/>
  <c r="BO419" i="9"/>
  <c r="BM229" i="9"/>
  <c r="BM363" i="9"/>
  <c r="BM585" i="9" s="1"/>
  <c r="BO286" i="9"/>
  <c r="BO558" i="9" s="1"/>
  <c r="BN96" i="9"/>
  <c r="BM249" i="9"/>
  <c r="BM579" i="9" s="1"/>
  <c r="BM211" i="9"/>
  <c r="BM577" i="9" s="1"/>
  <c r="BM144" i="9"/>
  <c r="BZ144" i="9" s="1"/>
  <c r="BM325" i="9"/>
  <c r="BM583" i="9" s="1"/>
  <c r="BM172" i="9"/>
  <c r="BM552" i="9" s="1"/>
  <c r="BM392" i="9"/>
  <c r="BM495" i="9" s="1"/>
  <c r="BM305" i="9"/>
  <c r="BM559" i="9" s="1"/>
  <c r="BM267" i="9"/>
  <c r="BM557" i="9" s="1"/>
  <c r="BM354" i="9"/>
  <c r="BM220" i="9"/>
  <c r="BM182" i="9"/>
  <c r="BN248" i="9"/>
  <c r="BM410" i="9"/>
  <c r="BM278" i="9"/>
  <c r="BM126" i="9"/>
  <c r="BO343" i="9"/>
  <c r="BN305" i="9"/>
  <c r="BN559" i="9" s="1"/>
  <c r="BO210" i="9"/>
  <c r="BO554" i="9" s="1"/>
  <c r="BM183" i="9"/>
  <c r="BM287" i="9"/>
  <c r="BM581" i="9" s="1"/>
  <c r="BM68" i="9"/>
  <c r="BM154" i="9"/>
  <c r="BM574" i="9" s="1"/>
  <c r="BM202" i="9"/>
  <c r="BM335" i="9"/>
  <c r="BN419" i="9"/>
  <c r="BM286" i="9"/>
  <c r="BM558" i="9" s="1"/>
  <c r="BO134" i="9"/>
  <c r="BM248" i="9"/>
  <c r="BM411" i="9"/>
  <c r="BM372" i="9"/>
  <c r="BO115" i="9"/>
  <c r="BM134" i="9"/>
  <c r="BM420" i="9"/>
  <c r="BM588" i="9" s="1"/>
  <c r="BM419" i="9"/>
  <c r="BM565" i="9" s="1"/>
  <c r="BN153" i="9"/>
  <c r="BM315" i="9"/>
  <c r="BM362" i="9"/>
  <c r="BM562" i="9" s="1"/>
  <c r="BM306" i="9"/>
  <c r="BM582" i="9" s="1"/>
  <c r="BM191" i="9"/>
  <c r="BM553" i="9" s="1"/>
  <c r="BM125" i="9"/>
  <c r="BO305" i="9"/>
  <c r="BO559" i="9" s="1"/>
  <c r="BM221" i="9"/>
  <c r="BM259" i="9"/>
  <c r="BM268" i="9"/>
  <c r="BM580" i="9" s="1"/>
  <c r="BM135" i="9"/>
  <c r="BM573" i="9" s="1"/>
  <c r="BM258" i="9"/>
  <c r="BN134" i="9"/>
  <c r="BM344" i="9"/>
  <c r="BM584" i="9" s="1"/>
  <c r="BO248" i="9"/>
  <c r="BM69" i="9"/>
  <c r="BO400" i="9"/>
  <c r="BO564" i="9" s="1"/>
  <c r="BO96" i="9"/>
  <c r="BO153" i="9"/>
  <c r="BM401" i="9"/>
  <c r="BM587" i="9" s="1"/>
  <c r="BO191" i="9"/>
  <c r="BO553" i="9" s="1"/>
  <c r="BO381" i="9"/>
  <c r="BO563" i="9" s="1"/>
  <c r="BM163" i="9"/>
  <c r="BM87" i="9"/>
  <c r="BM334" i="9"/>
  <c r="BM343" i="9"/>
  <c r="BM164" i="9"/>
  <c r="BO172" i="9"/>
  <c r="BO552" i="9" s="1"/>
  <c r="BN115" i="9"/>
  <c r="BM297" i="9"/>
  <c r="BN286" i="9"/>
  <c r="BN558" i="9" s="1"/>
  <c r="BO267" i="9"/>
  <c r="BO557" i="9" s="1"/>
  <c r="BM97" i="9"/>
  <c r="BM571" i="9" s="1"/>
  <c r="BN77" i="9"/>
  <c r="BM324" i="9"/>
  <c r="BM560" i="9" s="1"/>
  <c r="BM116" i="9"/>
  <c r="BM572" i="9" s="1"/>
  <c r="BM240" i="9"/>
  <c r="BM153" i="9"/>
  <c r="BM551" i="9" s="1"/>
  <c r="BO362" i="9"/>
  <c r="BO562" i="9" s="1"/>
  <c r="BN191" i="9"/>
  <c r="BN553" i="9" s="1"/>
  <c r="BM239" i="9"/>
  <c r="BM381" i="9"/>
  <c r="BM563" i="9" s="1"/>
  <c r="BN362" i="9"/>
  <c r="BN562" i="9" s="1"/>
  <c r="BM296" i="9"/>
  <c r="BO229" i="9"/>
  <c r="BM78" i="9"/>
  <c r="BM570" i="9" s="1"/>
  <c r="BM277" i="9"/>
  <c r="X276" i="9"/>
  <c r="X280" i="9" s="1"/>
  <c r="BM353" i="9"/>
  <c r="BO324" i="9"/>
  <c r="BO560" i="9" s="1"/>
  <c r="BM96" i="9"/>
  <c r="BM373" i="9"/>
  <c r="BN324" i="9"/>
  <c r="BN560" i="9" s="1"/>
  <c r="BM77" i="9"/>
  <c r="BM230" i="9"/>
  <c r="BM578" i="9" s="1"/>
  <c r="BM391" i="9"/>
  <c r="BN400" i="9"/>
  <c r="BN564" i="9" s="1"/>
  <c r="BM192" i="9"/>
  <c r="BM576" i="9" s="1"/>
  <c r="BM316" i="9"/>
  <c r="BM106" i="9"/>
  <c r="BM210" i="9"/>
  <c r="BM554" i="9" s="1"/>
  <c r="BN381" i="9"/>
  <c r="BN563" i="9" s="1"/>
  <c r="BM382" i="9"/>
  <c r="BM586" i="9" s="1"/>
  <c r="BM107" i="9"/>
  <c r="BN267" i="9"/>
  <c r="BN557" i="9" s="1"/>
  <c r="BN172" i="9"/>
  <c r="BN552" i="9" s="1"/>
  <c r="BN229" i="9"/>
  <c r="BM201" i="9"/>
  <c r="BN210" i="9"/>
  <c r="BN554" i="9" s="1"/>
  <c r="BN343" i="9"/>
  <c r="BO77" i="9"/>
  <c r="BM88" i="9"/>
  <c r="BM400" i="9"/>
  <c r="BM564" i="9" s="1"/>
  <c r="BM59" i="9"/>
  <c r="BM569" i="9" s="1"/>
  <c r="BN58" i="9"/>
  <c r="BM49" i="9"/>
  <c r="BM58" i="9"/>
  <c r="BO58" i="9"/>
  <c r="BI154" i="6"/>
  <c r="BJ276" i="26"/>
  <c r="BJ235" i="26"/>
  <c r="BI168" i="20"/>
  <c r="BI178" i="20"/>
  <c r="BI50" i="30" s="1"/>
  <c r="BJ219" i="26"/>
  <c r="AA163" i="20"/>
  <c r="BM280" i="26"/>
  <c r="CP280" i="26" s="1"/>
  <c r="W248" i="6"/>
  <c r="BM279" i="26"/>
  <c r="CP279" i="26" s="1"/>
  <c r="BJ119" i="26"/>
  <c r="BJ145" i="26"/>
  <c r="BJ94" i="26"/>
  <c r="BJ93" i="26"/>
  <c r="CQ93" i="26" s="1"/>
  <c r="BM14" i="26"/>
  <c r="CP14" i="26" s="1"/>
  <c r="BM19" i="26"/>
  <c r="CP19" i="26" s="1"/>
  <c r="BM26" i="26"/>
  <c r="CP26" i="26" s="1"/>
  <c r="BM25" i="26"/>
  <c r="CP25" i="26" s="1"/>
  <c r="BN16" i="26"/>
  <c r="CQ16" i="26" s="1"/>
  <c r="BN13" i="26"/>
  <c r="CQ13" i="26" s="1"/>
  <c r="BM22" i="26"/>
  <c r="CP22" i="26" s="1"/>
  <c r="BM27" i="26"/>
  <c r="CP27" i="26" s="1"/>
  <c r="BM23" i="26"/>
  <c r="CP23" i="26" s="1"/>
  <c r="BO13" i="26"/>
  <c r="CR13" i="26" s="1"/>
  <c r="BM18" i="26"/>
  <c r="CP18" i="26" s="1"/>
  <c r="BM21" i="26"/>
  <c r="CP21" i="26" s="1"/>
  <c r="BO14" i="26"/>
  <c r="CR14" i="26" s="1"/>
  <c r="BM13" i="26"/>
  <c r="CP13" i="26" s="1"/>
  <c r="BO16" i="26"/>
  <c r="CR16" i="26" s="1"/>
  <c r="BN14" i="26"/>
  <c r="CQ14" i="26" s="1"/>
  <c r="BM15" i="26"/>
  <c r="CP15" i="26" s="1"/>
  <c r="BM20" i="26"/>
  <c r="CP20" i="26" s="1"/>
  <c r="BM24" i="26"/>
  <c r="CP24" i="26" s="1"/>
  <c r="BM17" i="26"/>
  <c r="CP17" i="26" s="1"/>
  <c r="BM16" i="26"/>
  <c r="CP16" i="26" s="1"/>
  <c r="BL254" i="6"/>
  <c r="BL131" i="30"/>
  <c r="CM131" i="30" s="1"/>
  <c r="CE131" i="30" s="1"/>
  <c r="BL242" i="6"/>
  <c r="BL248" i="6"/>
  <c r="BL125" i="30"/>
  <c r="CM125" i="30" s="1"/>
  <c r="CE125" i="30" s="1"/>
  <c r="BM277" i="26"/>
  <c r="CP277" i="26" s="1"/>
  <c r="BN210" i="26"/>
  <c r="CQ210" i="26" s="1"/>
  <c r="BM209" i="26"/>
  <c r="CP209" i="26" s="1"/>
  <c r="BO210" i="26"/>
  <c r="CR210" i="26" s="1"/>
  <c r="BL37" i="6"/>
  <c r="BL209" i="26"/>
  <c r="CS209" i="26" s="1"/>
  <c r="CK209" i="26" s="1"/>
  <c r="BM246" i="26"/>
  <c r="BL237" i="26"/>
  <c r="CS237" i="26" s="1"/>
  <c r="CK237" i="26" s="1"/>
  <c r="BM237" i="26"/>
  <c r="CP237" i="26" s="1"/>
  <c r="BM223" i="26"/>
  <c r="CP223" i="26" s="1"/>
  <c r="BM210" i="26"/>
  <c r="CP210" i="26" s="1"/>
  <c r="BN209" i="26"/>
  <c r="CD103" i="22"/>
  <c r="CD106" i="22"/>
  <c r="CD111" i="22"/>
  <c r="CD118" i="22"/>
  <c r="CD105" i="22"/>
  <c r="CD123" i="22"/>
  <c r="CC121" i="22"/>
  <c r="CC108" i="22"/>
  <c r="CC106" i="22"/>
  <c r="CC102" i="22"/>
  <c r="CC120" i="22"/>
  <c r="CC117" i="22"/>
  <c r="CB102" i="22"/>
  <c r="CB105" i="22"/>
  <c r="CB124" i="22"/>
  <c r="CB111" i="22"/>
  <c r="CB115" i="22"/>
  <c r="CB101" i="22"/>
  <c r="CD104" i="22"/>
  <c r="CD108" i="22"/>
  <c r="CD112" i="22"/>
  <c r="CD119" i="22"/>
  <c r="CD107" i="22"/>
  <c r="CD110" i="22"/>
  <c r="CC107" i="22"/>
  <c r="CC113" i="22"/>
  <c r="CC122" i="22"/>
  <c r="CC101" i="22"/>
  <c r="CC100" i="22"/>
  <c r="CC115" i="22"/>
  <c r="CB119" i="22"/>
  <c r="CB107" i="22"/>
  <c r="CB118" i="22"/>
  <c r="CB110" i="22"/>
  <c r="CB112" i="22"/>
  <c r="CB106" i="22"/>
  <c r="CD115" i="22"/>
  <c r="CD102" i="22"/>
  <c r="CD109" i="22"/>
  <c r="CD116" i="22"/>
  <c r="CD124" i="22"/>
  <c r="CD114" i="22"/>
  <c r="CC112" i="22"/>
  <c r="CC116" i="22"/>
  <c r="CC124" i="22"/>
  <c r="CC109" i="22"/>
  <c r="CC105" i="22"/>
  <c r="CC119" i="22"/>
  <c r="CB109" i="22"/>
  <c r="CB104" i="22"/>
  <c r="CB117" i="22"/>
  <c r="CB122" i="22"/>
  <c r="CB123" i="22"/>
  <c r="CB120" i="22"/>
  <c r="CD122" i="22"/>
  <c r="CD117" i="22"/>
  <c r="CD121" i="22"/>
  <c r="CD101" i="22"/>
  <c r="CD100" i="22"/>
  <c r="CD120" i="22"/>
  <c r="CD113" i="22"/>
  <c r="CC104" i="22"/>
  <c r="CC118" i="22"/>
  <c r="CC111" i="22"/>
  <c r="CC110" i="22"/>
  <c r="CC114" i="22"/>
  <c r="CC103" i="22"/>
  <c r="CC123" i="22"/>
  <c r="CB113" i="22"/>
  <c r="CB114" i="22"/>
  <c r="CB100" i="22"/>
  <c r="CB103" i="22"/>
  <c r="CB121" i="22"/>
  <c r="CB116" i="22"/>
  <c r="CB108" i="22"/>
  <c r="CD99" i="22"/>
  <c r="CC99" i="22"/>
  <c r="CB97" i="22"/>
  <c r="CB98" i="22"/>
  <c r="CD97" i="22"/>
  <c r="CC97" i="22"/>
  <c r="CD98" i="22"/>
  <c r="CC98" i="22"/>
  <c r="CB99" i="22"/>
  <c r="CB96" i="22"/>
  <c r="CD96" i="22"/>
  <c r="CC96" i="22"/>
  <c r="AK22" i="3"/>
  <c r="AK5" i="6"/>
  <c r="AK5" i="1"/>
  <c r="AK5" i="4"/>
  <c r="BJ238" i="3" l="1"/>
  <c r="BJ290" i="3"/>
  <c r="W833" i="9"/>
  <c r="Y286" i="26"/>
  <c r="CO286" i="26" s="1"/>
  <c r="A37" i="26" a="1"/>
  <c r="A37" i="26" s="1"/>
  <c r="BZ69" i="9"/>
  <c r="A137" i="22" a="1"/>
  <c r="A137" i="22" s="1"/>
  <c r="A128" i="22" a="1"/>
  <c r="A128" i="22" s="1"/>
  <c r="CJ23" i="26"/>
  <c r="CJ13" i="26"/>
  <c r="CI280" i="26"/>
  <c r="BZ201" i="9"/>
  <c r="AG769" i="9"/>
  <c r="AG792" i="9" s="1"/>
  <c r="AG815" i="9" s="1"/>
  <c r="AH769" i="9" s="1"/>
  <c r="CP70" i="26"/>
  <c r="CQ70" i="26"/>
  <c r="CP219" i="26"/>
  <c r="CQ219" i="26"/>
  <c r="BJ205" i="26"/>
  <c r="CP68" i="26"/>
  <c r="CQ68" i="26"/>
  <c r="BJ247" i="26"/>
  <c r="CQ247" i="26" s="1"/>
  <c r="CQ95" i="26"/>
  <c r="BN482" i="9"/>
  <c r="X831" i="9"/>
  <c r="CI288" i="26"/>
  <c r="CF205" i="6"/>
  <c r="A205" i="6" s="1" a="1"/>
  <c r="A205" i="6" s="1"/>
  <c r="BM150" i="30"/>
  <c r="CJ150" i="30" s="1"/>
  <c r="BN150" i="30"/>
  <c r="Y155" i="20"/>
  <c r="CI155" i="1"/>
  <c r="CC155" i="1" s="1"/>
  <c r="BO150" i="30"/>
  <c r="CI23" i="26"/>
  <c r="CI277" i="26"/>
  <c r="CJ238" i="26"/>
  <c r="CM44" i="26"/>
  <c r="CI44" i="26" s="1"/>
  <c r="CM42" i="26"/>
  <c r="CF209" i="6"/>
  <c r="A209" i="6" s="1" a="1"/>
  <c r="A209" i="6" s="1"/>
  <c r="BZ209" i="6"/>
  <c r="CI21" i="26"/>
  <c r="A35" i="26" a="1"/>
  <c r="A35" i="26" s="1"/>
  <c r="CJ278" i="26"/>
  <c r="A278" i="26" s="1" a="1"/>
  <c r="A278" i="26" s="1"/>
  <c r="CI269" i="26"/>
  <c r="CI250" i="26"/>
  <c r="CJ279" i="26"/>
  <c r="CJ237" i="26"/>
  <c r="A237" i="26" s="1" a="1"/>
  <c r="A237" i="26" s="1"/>
  <c r="CJ277" i="26"/>
  <c r="CJ250" i="26"/>
  <c r="CJ21" i="26"/>
  <c r="CI14" i="26"/>
  <c r="CJ20" i="26"/>
  <c r="CJ288" i="26"/>
  <c r="CI305" i="26"/>
  <c r="CI22" i="26"/>
  <c r="CI25" i="26"/>
  <c r="BN491" i="9"/>
  <c r="BO495" i="9"/>
  <c r="BN493" i="9"/>
  <c r="BO494" i="9"/>
  <c r="BM489" i="9"/>
  <c r="BZ164" i="9"/>
  <c r="BZ70" i="9"/>
  <c r="BZ146" i="9"/>
  <c r="BZ184" i="9"/>
  <c r="BZ222" i="9"/>
  <c r="BZ260" i="9"/>
  <c r="BZ298" i="9"/>
  <c r="BZ336" i="9"/>
  <c r="BZ374" i="9"/>
  <c r="BZ49" i="9"/>
  <c r="BZ412" i="9"/>
  <c r="BO486" i="9"/>
  <c r="BM492" i="9"/>
  <c r="BM480" i="9"/>
  <c r="BZ297" i="9"/>
  <c r="BZ315" i="9"/>
  <c r="BZ410" i="9"/>
  <c r="BZ229" i="9"/>
  <c r="BZ77" i="9"/>
  <c r="BZ248" i="9"/>
  <c r="BZ58" i="9"/>
  <c r="BZ353" i="9"/>
  <c r="BZ239" i="9"/>
  <c r="BZ240" i="9"/>
  <c r="BZ334" i="9"/>
  <c r="BZ259" i="9"/>
  <c r="BZ202" i="9"/>
  <c r="BZ182" i="9"/>
  <c r="BZ89" i="9"/>
  <c r="BZ127" i="9"/>
  <c r="BZ165" i="9"/>
  <c r="BZ203" i="9"/>
  <c r="BZ279" i="9"/>
  <c r="BZ317" i="9"/>
  <c r="BZ355" i="9"/>
  <c r="BZ393" i="9"/>
  <c r="BZ296" i="9"/>
  <c r="BO490" i="9"/>
  <c r="BZ100" i="9"/>
  <c r="BZ88" i="9"/>
  <c r="BZ106" i="9"/>
  <c r="BZ391" i="9"/>
  <c r="BZ373" i="9"/>
  <c r="BZ87" i="9"/>
  <c r="BZ258" i="9"/>
  <c r="BZ221" i="9"/>
  <c r="BZ372" i="9"/>
  <c r="BZ220" i="9"/>
  <c r="BZ145" i="9"/>
  <c r="BZ126" i="9"/>
  <c r="BZ382" i="9"/>
  <c r="BZ230" i="9"/>
  <c r="BZ51" i="9"/>
  <c r="BZ108" i="9"/>
  <c r="BZ241" i="9"/>
  <c r="BZ115" i="9"/>
  <c r="BZ316" i="9"/>
  <c r="BZ277" i="9"/>
  <c r="BZ163" i="9"/>
  <c r="BZ411" i="9"/>
  <c r="BZ68" i="9"/>
  <c r="BZ354" i="9"/>
  <c r="BZ343" i="9"/>
  <c r="BZ125" i="9"/>
  <c r="BZ134" i="9"/>
  <c r="BZ96" i="9"/>
  <c r="BZ183" i="9"/>
  <c r="BZ362" i="9"/>
  <c r="BZ135" i="9"/>
  <c r="BZ59" i="9"/>
  <c r="BZ214" i="9"/>
  <c r="BZ107" i="9"/>
  <c r="BZ210" i="9"/>
  <c r="BZ305" i="9"/>
  <c r="BZ419" i="9"/>
  <c r="BZ366" i="9"/>
  <c r="BZ347" i="9"/>
  <c r="BZ195" i="9"/>
  <c r="BZ153" i="9"/>
  <c r="BZ173" i="9"/>
  <c r="BZ385" i="9"/>
  <c r="BZ233" i="9"/>
  <c r="BZ81" i="9"/>
  <c r="BZ286" i="9"/>
  <c r="BZ381" i="9"/>
  <c r="BZ268" i="9"/>
  <c r="BZ328" i="9"/>
  <c r="BZ176" i="9"/>
  <c r="BZ62" i="9"/>
  <c r="BZ249" i="9"/>
  <c r="BZ401" i="9"/>
  <c r="BZ344" i="9"/>
  <c r="BZ363" i="9"/>
  <c r="BZ278" i="9"/>
  <c r="BZ420" i="9"/>
  <c r="BZ325" i="9"/>
  <c r="BZ392" i="9"/>
  <c r="BZ191" i="9"/>
  <c r="BN484" i="9"/>
  <c r="BO479" i="9"/>
  <c r="BZ400" i="9"/>
  <c r="BZ335" i="9"/>
  <c r="BZ138" i="9"/>
  <c r="BZ267" i="9"/>
  <c r="BZ306" i="9"/>
  <c r="BZ290" i="9"/>
  <c r="BZ423" i="9"/>
  <c r="BZ271" i="9"/>
  <c r="BZ119" i="9"/>
  <c r="BZ97" i="9"/>
  <c r="BZ309" i="9"/>
  <c r="BZ157" i="9"/>
  <c r="BZ78" i="9"/>
  <c r="BZ116" i="9"/>
  <c r="BZ192" i="9"/>
  <c r="BZ154" i="9"/>
  <c r="BZ324" i="9"/>
  <c r="BZ404" i="9"/>
  <c r="BZ252" i="9"/>
  <c r="BZ287" i="9"/>
  <c r="BZ172" i="9"/>
  <c r="BZ211" i="9"/>
  <c r="A122" i="26" a="1"/>
  <c r="A122" i="26" s="1"/>
  <c r="A47" i="1" a="1"/>
  <c r="A47" i="1" s="1"/>
  <c r="A287" i="26" a="1"/>
  <c r="A287" i="26" s="1"/>
  <c r="CB246" i="6"/>
  <c r="CJ210" i="26"/>
  <c r="A210" i="26" s="1" a="1"/>
  <c r="A210" i="26" s="1"/>
  <c r="CJ15" i="26"/>
  <c r="CJ260" i="26"/>
  <c r="A260" i="26" s="1" a="1"/>
  <c r="A260" i="26" s="1"/>
  <c r="CJ224" i="26"/>
  <c r="CJ24" i="26"/>
  <c r="CJ22" i="26"/>
  <c r="CJ26" i="26"/>
  <c r="A96" i="26" a="1"/>
  <c r="A96" i="26" s="1"/>
  <c r="A43" i="26" a="1"/>
  <c r="A43" i="26" s="1"/>
  <c r="CJ18" i="26"/>
  <c r="A69" i="26" a="1"/>
  <c r="A69" i="26" s="1"/>
  <c r="CJ305" i="26"/>
  <c r="CI26" i="26"/>
  <c r="A45" i="26" a="1"/>
  <c r="A45" i="26" s="1"/>
  <c r="A38" i="26" a="1"/>
  <c r="A38" i="26" s="1"/>
  <c r="CI224" i="26"/>
  <c r="CI246" i="26"/>
  <c r="CI279" i="26"/>
  <c r="X182" i="30"/>
  <c r="CN28" i="26"/>
  <c r="X183" i="30"/>
  <c r="CN29" i="26"/>
  <c r="CM30" i="26"/>
  <c r="CI30" i="26" s="1"/>
  <c r="CM234" i="26"/>
  <c r="CQ234" i="26"/>
  <c r="CN234" i="26"/>
  <c r="CO234" i="26"/>
  <c r="CR234" i="26"/>
  <c r="CJ269" i="26"/>
  <c r="CP94" i="26"/>
  <c r="CM94" i="26"/>
  <c r="CQ94" i="26"/>
  <c r="CN94" i="26"/>
  <c r="CR94" i="26"/>
  <c r="CO94" i="26"/>
  <c r="BJ221" i="26"/>
  <c r="CQ221" i="26" s="1"/>
  <c r="CN120" i="26"/>
  <c r="CR120" i="26"/>
  <c r="CO120" i="26"/>
  <c r="W39" i="26"/>
  <c r="CM36" i="26"/>
  <c r="BM313" i="26"/>
  <c r="CP313" i="26" s="1"/>
  <c r="CP311" i="26"/>
  <c r="BN168" i="1"/>
  <c r="CK168" i="1" s="1"/>
  <c r="CQ209" i="26"/>
  <c r="CJ19" i="26"/>
  <c r="CN205" i="26"/>
  <c r="CO205" i="26"/>
  <c r="CR205" i="26"/>
  <c r="BO186" i="30"/>
  <c r="CL186" i="30" s="1"/>
  <c r="CR246" i="26"/>
  <c r="CM29" i="26"/>
  <c r="W204" i="26"/>
  <c r="CM204" i="26" s="1"/>
  <c r="CM28" i="26"/>
  <c r="CI313" i="26"/>
  <c r="BO313" i="26"/>
  <c r="CR313" i="26" s="1"/>
  <c r="CR311" i="26"/>
  <c r="BJ248" i="26"/>
  <c r="CP121" i="26"/>
  <c r="CN121" i="26"/>
  <c r="CQ121" i="26"/>
  <c r="CR121" i="26"/>
  <c r="CO121" i="26"/>
  <c r="CI238" i="26"/>
  <c r="A238" i="26" s="1" a="1"/>
  <c r="A238" i="26" s="1"/>
  <c r="X39" i="26"/>
  <c r="CN36" i="26"/>
  <c r="CJ280" i="26"/>
  <c r="A280" i="26" s="1" a="1"/>
  <c r="A280" i="26" s="1"/>
  <c r="Y46" i="26"/>
  <c r="CO46" i="26" s="1"/>
  <c r="CO42" i="26"/>
  <c r="BM186" i="30"/>
  <c r="CJ186" i="30" s="1"/>
  <c r="CP246" i="26"/>
  <c r="CJ14" i="26"/>
  <c r="CN247" i="26"/>
  <c r="CR247" i="26"/>
  <c r="CI307" i="26"/>
  <c r="CN95" i="26"/>
  <c r="CO95" i="26"/>
  <c r="CR95" i="26"/>
  <c r="Y39" i="26"/>
  <c r="CO36" i="26"/>
  <c r="CJ16" i="26"/>
  <c r="CM119" i="26"/>
  <c r="CP119" i="26"/>
  <c r="CN119" i="26"/>
  <c r="CQ119" i="26"/>
  <c r="CO119" i="26"/>
  <c r="CR119" i="26"/>
  <c r="BN186" i="30"/>
  <c r="CK186" i="30" s="1"/>
  <c r="CQ246" i="26"/>
  <c r="Y183" i="30"/>
  <c r="Y83" i="35" s="1"/>
  <c r="CO29" i="26"/>
  <c r="BJ233" i="26"/>
  <c r="CN70" i="26"/>
  <c r="CR70" i="26"/>
  <c r="CJ70" i="26" s="1"/>
  <c r="CO70" i="26"/>
  <c r="BN313" i="26"/>
  <c r="CQ313" i="26" s="1"/>
  <c r="CQ311" i="26"/>
  <c r="CJ17" i="26"/>
  <c r="CJ27" i="26"/>
  <c r="CJ25" i="26"/>
  <c r="CN93" i="26"/>
  <c r="CO93" i="26"/>
  <c r="CR93" i="26"/>
  <c r="CM219" i="26"/>
  <c r="CN219" i="26"/>
  <c r="CR219" i="26"/>
  <c r="CO219" i="26"/>
  <c r="CM235" i="26"/>
  <c r="CQ235" i="26"/>
  <c r="CN235" i="26"/>
  <c r="CR235" i="26"/>
  <c r="CO235" i="26"/>
  <c r="Y182" i="30"/>
  <c r="CO28" i="26"/>
  <c r="W258" i="26"/>
  <c r="CM258" i="26" s="1"/>
  <c r="CM31" i="26"/>
  <c r="CI31" i="26" s="1"/>
  <c r="CN68" i="26"/>
  <c r="CR68" i="26"/>
  <c r="CJ68" i="26" s="1"/>
  <c r="CO68" i="26"/>
  <c r="BJ296" i="26"/>
  <c r="BN36" i="26"/>
  <c r="CQ36" i="26" s="1"/>
  <c r="BO36" i="26"/>
  <c r="CR36" i="26" s="1"/>
  <c r="BJ268" i="26"/>
  <c r="BO42" i="26"/>
  <c r="BJ298" i="26"/>
  <c r="BO31" i="26"/>
  <c r="CR31" i="26" s="1"/>
  <c r="BN31" i="26"/>
  <c r="BJ180" i="1"/>
  <c r="BJ222" i="26"/>
  <c r="BN42" i="26"/>
  <c r="CQ42" i="26" s="1"/>
  <c r="CD13" i="26" a="1"/>
  <c r="CD13" i="26" s="1"/>
  <c r="BJ220" i="26"/>
  <c r="BJ236" i="26"/>
  <c r="BZ26" i="20"/>
  <c r="BM496" i="9"/>
  <c r="BM488" i="9"/>
  <c r="BM484" i="9"/>
  <c r="A116" i="22" a="1"/>
  <c r="A116" i="22" s="1"/>
  <c r="A100" i="22" a="1"/>
  <c r="A100" i="22" s="1"/>
  <c r="A127" i="22" a="1"/>
  <c r="A127" i="22" s="1"/>
  <c r="A140" i="22" a="1"/>
  <c r="A140" i="22" s="1"/>
  <c r="A157" i="22" a="1"/>
  <c r="A157" i="22" s="1"/>
  <c r="A26" i="1" a="1"/>
  <c r="A26" i="1" s="1"/>
  <c r="A149" i="22" a="1"/>
  <c r="A149" i="22" s="1"/>
  <c r="A135" i="22" a="1"/>
  <c r="A135" i="22" s="1"/>
  <c r="A138" i="22" a="1"/>
  <c r="A138" i="22" s="1"/>
  <c r="A148" i="22" a="1"/>
  <c r="A148" i="22" s="1"/>
  <c r="A164" i="22" a="1"/>
  <c r="A164" i="22" s="1"/>
  <c r="A167" i="22" a="1"/>
  <c r="A167" i="22" s="1"/>
  <c r="A108" i="22" a="1"/>
  <c r="A108" i="22" s="1"/>
  <c r="A117" i="22" a="1"/>
  <c r="A117" i="22" s="1"/>
  <c r="A119" i="22" a="1"/>
  <c r="A119" i="22" s="1"/>
  <c r="A178" i="22" a="1"/>
  <c r="A178" i="22" s="1"/>
  <c r="A150" i="22" a="1"/>
  <c r="A150" i="22" s="1"/>
  <c r="A166" i="22" a="1"/>
  <c r="A166" i="22" s="1"/>
  <c r="A165" i="22" a="1"/>
  <c r="A165" i="22" s="1"/>
  <c r="A169" i="22" a="1"/>
  <c r="A169" i="22" s="1"/>
  <c r="A153" i="22" a="1"/>
  <c r="A153" i="22" s="1"/>
  <c r="A125" i="22" a="1"/>
  <c r="A125" i="22" s="1"/>
  <c r="A129" i="22" a="1"/>
  <c r="A129" i="22" s="1"/>
  <c r="A114" i="22" a="1"/>
  <c r="A114" i="22" s="1"/>
  <c r="A96" i="22" a="1"/>
  <c r="A96" i="22" s="1"/>
  <c r="A121" i="22" a="1"/>
  <c r="A121" i="22" s="1"/>
  <c r="A113" i="22" a="1"/>
  <c r="A113" i="22" s="1"/>
  <c r="A123" i="22" a="1"/>
  <c r="A123" i="22" s="1"/>
  <c r="A109" i="22" a="1"/>
  <c r="A109" i="22" s="1"/>
  <c r="A102" i="22" a="1"/>
  <c r="A102" i="22" s="1"/>
  <c r="A159" i="22" a="1"/>
  <c r="A159" i="22" s="1"/>
  <c r="A160" i="22" a="1"/>
  <c r="A160" i="22" s="1"/>
  <c r="A133" i="22" a="1"/>
  <c r="A133" i="22" s="1"/>
  <c r="CC186" i="30"/>
  <c r="X87" i="33"/>
  <c r="CH201" i="30"/>
  <c r="CK201" i="30"/>
  <c r="CI149" i="30"/>
  <c r="CL149" i="30"/>
  <c r="CG171" i="30"/>
  <c r="X83" i="35"/>
  <c r="CH183" i="30"/>
  <c r="CI150" i="30"/>
  <c r="CL150" i="30"/>
  <c r="CG148" i="30"/>
  <c r="Y88" i="33"/>
  <c r="CI202" i="30"/>
  <c r="CL202" i="30"/>
  <c r="CH189" i="30"/>
  <c r="CK189" i="30"/>
  <c r="Y84" i="33"/>
  <c r="CI197" i="30"/>
  <c r="CL197" i="30"/>
  <c r="W77" i="33"/>
  <c r="CJ190" i="30"/>
  <c r="CG190" i="30"/>
  <c r="Y77" i="33"/>
  <c r="CI190" i="30"/>
  <c r="CL190" i="30"/>
  <c r="CK171" i="30"/>
  <c r="CH171" i="30"/>
  <c r="CH148" i="30"/>
  <c r="CI148" i="30"/>
  <c r="CK150" i="30"/>
  <c r="CH150" i="30"/>
  <c r="CI189" i="30"/>
  <c r="CL189" i="30"/>
  <c r="CH181" i="30"/>
  <c r="CK181" i="30"/>
  <c r="CI181" i="30"/>
  <c r="CL181" i="30"/>
  <c r="X84" i="33"/>
  <c r="CH197" i="30"/>
  <c r="CK197" i="30"/>
  <c r="X77" i="33"/>
  <c r="CH190" i="30"/>
  <c r="CK190" i="30"/>
  <c r="CI171" i="30"/>
  <c r="CL171" i="30"/>
  <c r="X88" i="33"/>
  <c r="CH202" i="30"/>
  <c r="CK202" i="30"/>
  <c r="A115" i="22" a="1"/>
  <c r="A115" i="22" s="1"/>
  <c r="A145" i="22" a="1"/>
  <c r="A145" i="22" s="1"/>
  <c r="A163" i="22" a="1"/>
  <c r="A163" i="22" s="1"/>
  <c r="A170" i="22" a="1"/>
  <c r="A170" i="22" s="1"/>
  <c r="A134" i="22" a="1"/>
  <c r="A134" i="22" s="1"/>
  <c r="A142" i="22" a="1"/>
  <c r="A142" i="22" s="1"/>
  <c r="A156" i="22" a="1"/>
  <c r="A156" i="22" s="1"/>
  <c r="A173" i="22" a="1"/>
  <c r="A173" i="22" s="1"/>
  <c r="A118" i="22" a="1"/>
  <c r="A118" i="22" s="1"/>
  <c r="A99" i="22" a="1"/>
  <c r="A99" i="22" s="1"/>
  <c r="A103" i="22" a="1"/>
  <c r="A103" i="22" s="1"/>
  <c r="A122" i="22" a="1"/>
  <c r="A122" i="22" s="1"/>
  <c r="A106" i="22" a="1"/>
  <c r="A106" i="22" s="1"/>
  <c r="A107" i="22" a="1"/>
  <c r="A107" i="22" s="1"/>
  <c r="A111" i="22" a="1"/>
  <c r="A111" i="22" s="1"/>
  <c r="A144" i="22" a="1"/>
  <c r="A144" i="22" s="1"/>
  <c r="A146" i="22" a="1"/>
  <c r="A146" i="22" s="1"/>
  <c r="A162" i="22" a="1"/>
  <c r="A162" i="22" s="1"/>
  <c r="A179" i="22" a="1"/>
  <c r="A179" i="22" s="1"/>
  <c r="A168" i="22" a="1"/>
  <c r="A168" i="22" s="1"/>
  <c r="A155" i="22" a="1"/>
  <c r="A155" i="22" s="1"/>
  <c r="A126" i="22" a="1"/>
  <c r="A126" i="22" s="1"/>
  <c r="A141" i="22" a="1"/>
  <c r="A141" i="22" s="1"/>
  <c r="A152" i="22" a="1"/>
  <c r="A152" i="22" s="1"/>
  <c r="A147" i="22" a="1"/>
  <c r="A147" i="22" s="1"/>
  <c r="A172" i="22" a="1"/>
  <c r="A172" i="22" s="1"/>
  <c r="A176" i="22" a="1"/>
  <c r="A176" i="22" s="1"/>
  <c r="A112" i="22" a="1"/>
  <c r="A112" i="22" s="1"/>
  <c r="A131" i="22" a="1"/>
  <c r="A131" i="22" s="1"/>
  <c r="A177" i="22" a="1"/>
  <c r="A177" i="22" s="1"/>
  <c r="A98" i="22" a="1"/>
  <c r="A98" i="22" s="1"/>
  <c r="A124" i="22" a="1"/>
  <c r="A124" i="22" s="1"/>
  <c r="A97" i="22" a="1"/>
  <c r="A97" i="22" s="1"/>
  <c r="A120" i="22" a="1"/>
  <c r="A120" i="22" s="1"/>
  <c r="A104" i="22" a="1"/>
  <c r="A104" i="22" s="1"/>
  <c r="A110" i="22" a="1"/>
  <c r="A110" i="22" s="1"/>
  <c r="A101" i="22" a="1"/>
  <c r="A101" i="22" s="1"/>
  <c r="A105" i="22" a="1"/>
  <c r="A105" i="22" s="1"/>
  <c r="A130" i="22" a="1"/>
  <c r="A130" i="22" s="1"/>
  <c r="A132" i="22" a="1"/>
  <c r="A132" i="22" s="1"/>
  <c r="A151" i="22" a="1"/>
  <c r="A151" i="22" s="1"/>
  <c r="A174" i="22" a="1"/>
  <c r="A174" i="22" s="1"/>
  <c r="A139" i="22" a="1"/>
  <c r="A139" i="22" s="1"/>
  <c r="A143" i="22" a="1"/>
  <c r="A143" i="22" s="1"/>
  <c r="A175" i="22" a="1"/>
  <c r="A175" i="22" s="1"/>
  <c r="A161" i="22" a="1"/>
  <c r="A161" i="22" s="1"/>
  <c r="A154" i="22" a="1"/>
  <c r="A154" i="22" s="1"/>
  <c r="A171" i="22" a="1"/>
  <c r="A171" i="22" s="1"/>
  <c r="A136" i="22" a="1"/>
  <c r="A136" i="22" s="1"/>
  <c r="A158" i="22" a="1"/>
  <c r="A158" i="22" s="1"/>
  <c r="BZ2" i="22" a="1"/>
  <c r="BZ2" i="22" s="1"/>
  <c r="BL168" i="1"/>
  <c r="CM168" i="1" s="1"/>
  <c r="CE168" i="1" s="1"/>
  <c r="BJ246" i="3"/>
  <c r="BJ293" i="3"/>
  <c r="BJ237" i="3"/>
  <c r="BM493" i="9"/>
  <c r="BJ234" i="3"/>
  <c r="BJ235" i="3"/>
  <c r="BJ248" i="3"/>
  <c r="BM487" i="9"/>
  <c r="BM485" i="9"/>
  <c r="BM481" i="9"/>
  <c r="BO496" i="9"/>
  <c r="BO493" i="9"/>
  <c r="BO488" i="9"/>
  <c r="BO482" i="9"/>
  <c r="BO492" i="9"/>
  <c r="BN495" i="9"/>
  <c r="BO487" i="9"/>
  <c r="BJ292" i="3"/>
  <c r="BJ295" i="3"/>
  <c r="BN480" i="9"/>
  <c r="BN483" i="9"/>
  <c r="BJ284" i="3"/>
  <c r="BM168" i="1"/>
  <c r="CJ168" i="1" s="1"/>
  <c r="BN478" i="9"/>
  <c r="BN481" i="9"/>
  <c r="BO489" i="9"/>
  <c r="BN485" i="9"/>
  <c r="BO483" i="9"/>
  <c r="A46" i="1" a="1"/>
  <c r="A46" i="1" s="1"/>
  <c r="A25" i="1" a="1"/>
  <c r="A25" i="1" s="1"/>
  <c r="CC110" i="1"/>
  <c r="CC181" i="1"/>
  <c r="A82" i="1" a="1"/>
  <c r="A82" i="1" s="1"/>
  <c r="A56" i="1" a="1"/>
  <c r="A56" i="1" s="1"/>
  <c r="CC112" i="1"/>
  <c r="CM110" i="20"/>
  <c r="CL110" i="20"/>
  <c r="CK110" i="20"/>
  <c r="BC119" i="1"/>
  <c r="CC79" i="1"/>
  <c r="CL112" i="1"/>
  <c r="CD112" i="1" s="1"/>
  <c r="CC80" i="1"/>
  <c r="CL80" i="1"/>
  <c r="CD80" i="1" s="1"/>
  <c r="A45" i="1" a="1"/>
  <c r="A45" i="1" s="1"/>
  <c r="A133" i="1" a="1"/>
  <c r="A133" i="1" s="1"/>
  <c r="CL79" i="1"/>
  <c r="CD79" i="1" s="1"/>
  <c r="A150" i="1" a="1"/>
  <c r="A150" i="1" s="1"/>
  <c r="CC78" i="1"/>
  <c r="A95" i="1" a="1"/>
  <c r="A95" i="1" s="1"/>
  <c r="A96" i="1" a="1"/>
  <c r="A96" i="1" s="1"/>
  <c r="CL78" i="1"/>
  <c r="CD78" i="1" s="1"/>
  <c r="W1138" i="9"/>
  <c r="X1103" i="9"/>
  <c r="X1109" i="9" s="1"/>
  <c r="X1139" i="9"/>
  <c r="X1138" i="9"/>
  <c r="W1102" i="9"/>
  <c r="W1108" i="9" s="1"/>
  <c r="Y1102" i="9"/>
  <c r="Y1108" i="9" s="1"/>
  <c r="Y1103" i="9"/>
  <c r="Y1109" i="9" s="1"/>
  <c r="W1103" i="9"/>
  <c r="W1109" i="9" s="1"/>
  <c r="Y1139" i="9"/>
  <c r="Y1138" i="9"/>
  <c r="X1102" i="9"/>
  <c r="X1108" i="9" s="1"/>
  <c r="W1139" i="9"/>
  <c r="BN487" i="9"/>
  <c r="Y1097" i="9"/>
  <c r="W1097" i="9"/>
  <c r="A58" i="1" a="1"/>
  <c r="A58" i="1" s="1"/>
  <c r="BI48" i="30"/>
  <c r="BI183" i="20"/>
  <c r="CM181" i="20"/>
  <c r="CF82" i="6"/>
  <c r="A82" i="6" s="1" a="1"/>
  <c r="A82" i="6" s="1"/>
  <c r="BM202" i="30"/>
  <c r="W1104" i="9"/>
  <c r="W1110" i="9" s="1"/>
  <c r="CL181" i="20"/>
  <c r="BB56" i="33"/>
  <c r="Y57" i="33"/>
  <c r="CD181" i="20"/>
  <c r="A97" i="1" a="1"/>
  <c r="A97" i="1" s="1"/>
  <c r="A149" i="1" a="1"/>
  <c r="A149" i="1" s="1"/>
  <c r="A104" i="1" a="1"/>
  <c r="A104" i="1" s="1"/>
  <c r="BM478" i="9"/>
  <c r="BM482" i="9"/>
  <c r="BN496" i="9"/>
  <c r="BO478" i="9"/>
  <c r="BO491" i="9"/>
  <c r="A13" i="1" a="1"/>
  <c r="A13" i="1" s="1"/>
  <c r="X1140" i="9"/>
  <c r="CC130" i="1"/>
  <c r="A106" i="1" a="1"/>
  <c r="A106" i="1" s="1"/>
  <c r="A57" i="1" a="1"/>
  <c r="A57" i="1" s="1"/>
  <c r="A148" i="1" a="1"/>
  <c r="A148" i="1" s="1"/>
  <c r="BM634" i="9"/>
  <c r="BO634" i="9"/>
  <c r="BN634" i="9"/>
  <c r="BN633" i="9"/>
  <c r="BM633" i="9"/>
  <c r="BO633" i="9"/>
  <c r="BN632" i="9"/>
  <c r="BO632" i="9"/>
  <c r="BO631" i="9"/>
  <c r="BM631" i="9"/>
  <c r="BN631" i="9"/>
  <c r="BN630" i="9"/>
  <c r="BM630" i="9"/>
  <c r="BO630" i="9"/>
  <c r="BM629" i="9"/>
  <c r="BO629" i="9"/>
  <c r="BN629" i="9"/>
  <c r="BM628" i="9"/>
  <c r="BO628" i="9"/>
  <c r="BN628" i="9"/>
  <c r="BN627" i="9"/>
  <c r="BM627" i="9"/>
  <c r="BO627" i="9"/>
  <c r="BM626" i="9"/>
  <c r="BN626" i="9"/>
  <c r="BO626" i="9"/>
  <c r="BO625" i="9"/>
  <c r="BN625" i="9"/>
  <c r="BM625" i="9"/>
  <c r="BM624" i="9"/>
  <c r="BO624" i="9"/>
  <c r="BN624" i="9"/>
  <c r="BO623" i="9"/>
  <c r="BM623" i="9"/>
  <c r="BN623" i="9"/>
  <c r="BM622" i="9"/>
  <c r="BO622" i="9"/>
  <c r="BJ242" i="3"/>
  <c r="BN622" i="9"/>
  <c r="BN621" i="9"/>
  <c r="BM621" i="9"/>
  <c r="BO621" i="9"/>
  <c r="Y1140" i="9"/>
  <c r="BO620" i="9"/>
  <c r="BM620" i="9"/>
  <c r="BN620" i="9"/>
  <c r="BO619" i="9"/>
  <c r="BN619" i="9"/>
  <c r="BM619" i="9"/>
  <c r="BJ244" i="3"/>
  <c r="BJ240" i="3"/>
  <c r="BO618" i="9"/>
  <c r="BM618" i="9"/>
  <c r="BN618" i="9"/>
  <c r="W1140" i="9"/>
  <c r="BM494" i="9"/>
  <c r="BN494" i="9"/>
  <c r="BN488" i="9"/>
  <c r="W843" i="9"/>
  <c r="BN490" i="9"/>
  <c r="BN492" i="9"/>
  <c r="BJ289" i="3"/>
  <c r="BM490" i="9"/>
  <c r="W837" i="9"/>
  <c r="W831" i="9"/>
  <c r="BM617" i="9"/>
  <c r="BN617" i="9"/>
  <c r="BO617" i="9"/>
  <c r="BM486" i="9"/>
  <c r="BN486" i="9"/>
  <c r="BM616" i="9"/>
  <c r="BO616" i="9"/>
  <c r="BN616" i="9"/>
  <c r="BM615" i="9"/>
  <c r="BN615" i="9"/>
  <c r="BO615" i="9"/>
  <c r="AE1122" i="9"/>
  <c r="BM632" i="9"/>
  <c r="BJ243" i="3"/>
  <c r="BJ287" i="3"/>
  <c r="BO481" i="9"/>
  <c r="BN489" i="9"/>
  <c r="BJ282" i="3"/>
  <c r="BM491" i="9"/>
  <c r="BM483" i="9"/>
  <c r="BO485" i="9"/>
  <c r="BN479" i="9"/>
  <c r="BJ294" i="3"/>
  <c r="X843" i="9"/>
  <c r="BO480" i="9"/>
  <c r="BJ280" i="3"/>
  <c r="BJ233" i="3"/>
  <c r="BM479" i="9"/>
  <c r="BO484" i="9"/>
  <c r="W838" i="9"/>
  <c r="BI833" i="9"/>
  <c r="BI841" i="9"/>
  <c r="BI843" i="9"/>
  <c r="AJ861" i="9"/>
  <c r="AJ811" i="9"/>
  <c r="BI846" i="9"/>
  <c r="X833" i="9"/>
  <c r="AG863" i="9"/>
  <c r="AG813" i="9"/>
  <c r="AJ855" i="9"/>
  <c r="AJ805" i="9"/>
  <c r="BI770" i="9"/>
  <c r="BI793" i="9" s="1"/>
  <c r="BI866" i="9" s="1"/>
  <c r="BI760" i="9"/>
  <c r="BI783" i="9" s="1"/>
  <c r="BI856" i="9" s="1"/>
  <c r="BE831" i="9"/>
  <c r="BE712" i="9"/>
  <c r="BE758" i="9"/>
  <c r="BE781" i="9" s="1"/>
  <c r="BE854" i="9" s="1"/>
  <c r="BI773" i="9"/>
  <c r="BI796" i="9" s="1"/>
  <c r="BI869" i="9" s="1"/>
  <c r="BI714" i="9"/>
  <c r="BI236" i="3"/>
  <c r="BI247" i="3"/>
  <c r="BI240" i="3"/>
  <c r="BI768" i="9"/>
  <c r="BI791" i="9" s="1"/>
  <c r="BI864" i="9" s="1"/>
  <c r="BI727" i="9"/>
  <c r="BI249" i="3"/>
  <c r="BI238" i="3"/>
  <c r="BI250" i="3"/>
  <c r="BI234" i="3"/>
  <c r="BI248" i="3"/>
  <c r="BI241" i="3"/>
  <c r="BI724" i="9"/>
  <c r="BI246" i="3"/>
  <c r="BI722" i="9"/>
  <c r="BI244" i="3"/>
  <c r="BI239" i="3"/>
  <c r="BI243" i="3"/>
  <c r="BI245" i="3"/>
  <c r="BI237" i="3"/>
  <c r="BI242" i="3"/>
  <c r="BI235" i="3"/>
  <c r="AG867" i="9"/>
  <c r="AK763" i="9"/>
  <c r="AK786" i="9" s="1"/>
  <c r="AJ859" i="9"/>
  <c r="AG795" i="9"/>
  <c r="AG818" i="9" s="1"/>
  <c r="AF868" i="9"/>
  <c r="W1096" i="9"/>
  <c r="CD20" i="26" a="1"/>
  <c r="CD20" i="26" s="1"/>
  <c r="CC20" i="26" a="1"/>
  <c r="CC20" i="26" s="1"/>
  <c r="CC18" i="26" a="1"/>
  <c r="CC18" i="26" s="1"/>
  <c r="CD18" i="26" a="1"/>
  <c r="CD18" i="26" s="1"/>
  <c r="BM31" i="26"/>
  <c r="CD15" i="26" a="1"/>
  <c r="CD15" i="26" s="1"/>
  <c r="CC15" i="26" a="1"/>
  <c r="CC15" i="26" s="1"/>
  <c r="CC13" i="26" a="1"/>
  <c r="CC13" i="26" s="1"/>
  <c r="CD19" i="26" a="1"/>
  <c r="CD19" i="26" s="1"/>
  <c r="CC19" i="26" a="1"/>
  <c r="CC19" i="26" s="1"/>
  <c r="BM42" i="26"/>
  <c r="CP42" i="26" s="1"/>
  <c r="CC16" i="26" a="1"/>
  <c r="CC16" i="26" s="1"/>
  <c r="CD16" i="26" a="1"/>
  <c r="CD16" i="26" s="1"/>
  <c r="CD22" i="26" a="1"/>
  <c r="CD22" i="26" s="1"/>
  <c r="CC22" i="26" a="1"/>
  <c r="CC22" i="26" s="1"/>
  <c r="BM44" i="26"/>
  <c r="CP44" i="26" s="1"/>
  <c r="CD17" i="26" a="1"/>
  <c r="CD17" i="26" s="1"/>
  <c r="CC17" i="26" a="1"/>
  <c r="CC17" i="26" s="1"/>
  <c r="CD23" i="26" a="1"/>
  <c r="CD23" i="26" s="1"/>
  <c r="CC23" i="26" a="1"/>
  <c r="CC23" i="26" s="1"/>
  <c r="BM36" i="26"/>
  <c r="CP36" i="26" s="1"/>
  <c r="CD14" i="26" a="1"/>
  <c r="CD14" i="26" s="1"/>
  <c r="CC14" i="26" a="1"/>
  <c r="CC14" i="26" s="1"/>
  <c r="CC26" i="26" a="1"/>
  <c r="CC26" i="26" s="1"/>
  <c r="CD26" i="26" a="1"/>
  <c r="CD26" i="26" s="1"/>
  <c r="CC24" i="26" a="1"/>
  <c r="CC24" i="26" s="1"/>
  <c r="CD24" i="26" a="1"/>
  <c r="CD24" i="26" s="1"/>
  <c r="CC21" i="26" a="1"/>
  <c r="CC21" i="26" s="1"/>
  <c r="CD21" i="26" a="1"/>
  <c r="CD21" i="26" s="1"/>
  <c r="CD27" i="26" a="1"/>
  <c r="CD27" i="26" s="1"/>
  <c r="CC27" i="26" a="1"/>
  <c r="CC27" i="26" s="1"/>
  <c r="CD25" i="26" a="1"/>
  <c r="CD25" i="26" s="1"/>
  <c r="CC25" i="26" a="1"/>
  <c r="CC25" i="26" s="1"/>
  <c r="X147" i="20"/>
  <c r="CH188" i="1"/>
  <c r="A81" i="1" a="1"/>
  <c r="A81" i="1" s="1"/>
  <c r="A34" i="1" a="1"/>
  <c r="A34" i="1" s="1"/>
  <c r="A24" i="1" a="1"/>
  <c r="A24" i="1" s="1"/>
  <c r="A35" i="1" a="1"/>
  <c r="A35" i="1" s="1"/>
  <c r="A83" i="1" a="1"/>
  <c r="A83" i="1" s="1"/>
  <c r="A105" i="1" a="1"/>
  <c r="A105" i="1" s="1"/>
  <c r="A12" i="1" a="1"/>
  <c r="A12" i="1" s="1"/>
  <c r="Y171" i="20"/>
  <c r="CI171" i="1"/>
  <c r="CC171" i="1" s="1"/>
  <c r="CD147" i="1"/>
  <c r="A147" i="1" s="1" a="1"/>
  <c r="A147" i="1" s="1"/>
  <c r="CG168" i="1"/>
  <c r="CM141" i="20"/>
  <c r="Y147" i="20"/>
  <c r="CI188" i="1"/>
  <c r="A132" i="1" a="1"/>
  <c r="A132" i="1" s="1"/>
  <c r="A131" i="1" a="1"/>
  <c r="A131" i="1" s="1"/>
  <c r="A33" i="1" a="1"/>
  <c r="A33" i="1" s="1"/>
  <c r="CC182" i="1"/>
  <c r="CD182" i="1"/>
  <c r="BC194" i="1"/>
  <c r="CL133" i="20"/>
  <c r="CK133" i="20"/>
  <c r="BC197" i="1"/>
  <c r="AY199" i="1"/>
  <c r="BA165" i="1"/>
  <c r="W147" i="20"/>
  <c r="X182" i="20"/>
  <c r="Y182" i="20"/>
  <c r="CF43" i="6"/>
  <c r="A43" i="6" s="1" a="1"/>
  <c r="A43" i="6" s="1"/>
  <c r="W183" i="30"/>
  <c r="BN188" i="1"/>
  <c r="CK188" i="1" s="1"/>
  <c r="X232" i="26"/>
  <c r="CN232" i="26" s="1"/>
  <c r="X184" i="30"/>
  <c r="W232" i="26"/>
  <c r="CM232" i="26" s="1"/>
  <c r="W184" i="30"/>
  <c r="Y232" i="26"/>
  <c r="CO232" i="26" s="1"/>
  <c r="Y184" i="30"/>
  <c r="BN232" i="26"/>
  <c r="CQ232" i="26" s="1"/>
  <c r="BN184" i="30"/>
  <c r="W182" i="30"/>
  <c r="W259" i="6"/>
  <c r="W233" i="6" s="1"/>
  <c r="W187" i="1" s="1"/>
  <c r="BN69" i="6"/>
  <c r="Y325" i="26"/>
  <c r="Y239" i="26" s="1"/>
  <c r="CO239" i="26" s="1"/>
  <c r="Y326" i="26"/>
  <c r="Y270" i="26" s="1"/>
  <c r="CO270" i="26" s="1"/>
  <c r="X325" i="26"/>
  <c r="X239" i="26" s="1"/>
  <c r="CN239" i="26" s="1"/>
  <c r="X326" i="26"/>
  <c r="X270" i="26" s="1"/>
  <c r="CN270" i="26" s="1"/>
  <c r="W325" i="26"/>
  <c r="W239" i="26" s="1"/>
  <c r="CM239" i="26" s="1"/>
  <c r="W326" i="26"/>
  <c r="W270" i="26" s="1"/>
  <c r="CM270" i="26" s="1"/>
  <c r="Y324" i="26"/>
  <c r="Y251" i="26" s="1"/>
  <c r="CO251" i="26" s="1"/>
  <c r="Y323" i="26"/>
  <c r="Y225" i="26" s="1"/>
  <c r="CO225" i="26" s="1"/>
  <c r="X324" i="26"/>
  <c r="X251" i="26" s="1"/>
  <c r="CN251" i="26" s="1"/>
  <c r="X323" i="26"/>
  <c r="X225" i="26" s="1"/>
  <c r="CN225" i="26" s="1"/>
  <c r="W324" i="26"/>
  <c r="W251" i="26" s="1"/>
  <c r="CM251" i="26" s="1"/>
  <c r="W323" i="26"/>
  <c r="W225" i="26" s="1"/>
  <c r="CM225" i="26" s="1"/>
  <c r="BZ19" i="26"/>
  <c r="W211" i="26"/>
  <c r="CM211" i="26" s="1"/>
  <c r="CI211" i="26" s="1"/>
  <c r="BZ311" i="26"/>
  <c r="BZ305" i="26"/>
  <c r="BO307" i="26"/>
  <c r="CR307" i="26" s="1"/>
  <c r="BO322" i="26"/>
  <c r="BM307" i="26"/>
  <c r="CP307" i="26" s="1"/>
  <c r="BM322" i="26"/>
  <c r="BN307" i="26"/>
  <c r="CQ307" i="26" s="1"/>
  <c r="BN322" i="26"/>
  <c r="BZ317" i="26"/>
  <c r="BZ20" i="26"/>
  <c r="BZ18" i="26"/>
  <c r="BZ13" i="26"/>
  <c r="BZ17" i="26"/>
  <c r="BZ14" i="26"/>
  <c r="BZ16" i="26"/>
  <c r="BJ71" i="26"/>
  <c r="BZ25" i="26"/>
  <c r="BZ219" i="26"/>
  <c r="BZ23" i="26"/>
  <c r="BZ26" i="26"/>
  <c r="BZ24" i="26"/>
  <c r="BZ22" i="26"/>
  <c r="BZ246" i="26"/>
  <c r="BZ15" i="26"/>
  <c r="BZ27" i="26"/>
  <c r="BZ21" i="26"/>
  <c r="X286" i="26"/>
  <c r="CN286" i="26" s="1"/>
  <c r="W286" i="26"/>
  <c r="CM286" i="26" s="1"/>
  <c r="BN286" i="26"/>
  <c r="CQ286" i="26" s="1"/>
  <c r="BO30" i="26"/>
  <c r="CR30" i="26" s="1"/>
  <c r="BO44" i="26"/>
  <c r="CR44" i="26" s="1"/>
  <c r="W46" i="26"/>
  <c r="X46" i="26"/>
  <c r="CN46" i="26" s="1"/>
  <c r="BM69" i="6"/>
  <c r="BM30" i="26"/>
  <c r="CP30" i="26" s="1"/>
  <c r="BM28" i="26"/>
  <c r="CP28" i="26" s="1"/>
  <c r="BO28" i="26"/>
  <c r="CR28" i="26" s="1"/>
  <c r="BN28" i="26"/>
  <c r="CQ28" i="26" s="1"/>
  <c r="BN29" i="26"/>
  <c r="CQ29" i="26" s="1"/>
  <c r="BO29" i="26"/>
  <c r="CR29" i="26" s="1"/>
  <c r="BM29" i="26"/>
  <c r="CP29" i="26" s="1"/>
  <c r="BO69" i="6"/>
  <c r="BN147" i="20"/>
  <c r="CF216" i="6"/>
  <c r="A216" i="6" s="1" a="1"/>
  <c r="A216" i="6" s="1"/>
  <c r="BM171" i="30"/>
  <c r="CJ171" i="30" s="1"/>
  <c r="BO188" i="1"/>
  <c r="BO188" i="20" s="1"/>
  <c r="CM188" i="20" s="1"/>
  <c r="BI92" i="30"/>
  <c r="CM106" i="20"/>
  <c r="CE106" i="20" s="1"/>
  <c r="A106" i="20" s="1" a="1"/>
  <c r="A106" i="20" s="1"/>
  <c r="BZ106" i="20"/>
  <c r="CE172" i="20"/>
  <c r="CE88" i="20"/>
  <c r="CE38" i="20"/>
  <c r="CE101" i="20"/>
  <c r="CE115" i="20"/>
  <c r="CE55" i="20"/>
  <c r="CE50" i="20"/>
  <c r="CE42" i="20"/>
  <c r="CE143" i="20"/>
  <c r="CE77" i="20"/>
  <c r="CE41" i="20"/>
  <c r="CE111" i="20"/>
  <c r="CE32" i="20"/>
  <c r="CE122" i="20"/>
  <c r="CE48" i="20"/>
  <c r="CE142" i="20"/>
  <c r="CE29" i="20"/>
  <c r="CE75" i="20"/>
  <c r="CE20" i="20"/>
  <c r="CE137" i="20"/>
  <c r="CE59" i="20"/>
  <c r="CE43" i="20"/>
  <c r="CE198" i="20"/>
  <c r="CE102" i="20"/>
  <c r="CE54" i="20"/>
  <c r="CE36" i="20"/>
  <c r="CE92" i="20"/>
  <c r="CE44" i="20"/>
  <c r="CE146" i="20"/>
  <c r="CE123" i="20"/>
  <c r="CE61" i="20"/>
  <c r="CE19" i="20"/>
  <c r="CE94" i="20"/>
  <c r="CE87" i="20"/>
  <c r="CE72" i="20"/>
  <c r="CE16" i="20"/>
  <c r="CE90" i="20"/>
  <c r="CE76" i="20"/>
  <c r="CE65" i="20"/>
  <c r="CE103" i="20"/>
  <c r="CE73" i="20"/>
  <c r="CE53" i="20"/>
  <c r="CE169" i="20"/>
  <c r="CE126" i="20"/>
  <c r="CE91" i="20"/>
  <c r="CE27" i="20"/>
  <c r="CE74" i="20"/>
  <c r="CE125" i="20"/>
  <c r="CE21" i="20"/>
  <c r="CE71" i="20"/>
  <c r="CE154" i="20"/>
  <c r="CE68" i="20"/>
  <c r="CE22" i="20"/>
  <c r="CE64" i="20"/>
  <c r="Y259" i="6"/>
  <c r="Y233" i="6" s="1"/>
  <c r="Y187" i="1" s="1"/>
  <c r="AF542" i="9"/>
  <c r="CF190" i="6"/>
  <c r="A190" i="6" s="1" a="1"/>
  <c r="A190" i="6" s="1"/>
  <c r="BC147" i="30"/>
  <c r="X259" i="6"/>
  <c r="X233" i="6" s="1"/>
  <c r="X187" i="1" s="1"/>
  <c r="Y185" i="30"/>
  <c r="Y258" i="26"/>
  <c r="CO258" i="26" s="1"/>
  <c r="X185" i="30"/>
  <c r="X258" i="26"/>
  <c r="CN258" i="26" s="1"/>
  <c r="BC49" i="30"/>
  <c r="AK757" i="9"/>
  <c r="AK780" i="9" s="1"/>
  <c r="AH771" i="9"/>
  <c r="AH794" i="9" s="1"/>
  <c r="AH817" i="9" s="1"/>
  <c r="BJ232" i="3"/>
  <c r="W742" i="9"/>
  <c r="W739" i="9"/>
  <c r="W736" i="9"/>
  <c r="W743" i="9"/>
  <c r="W740" i="9"/>
  <c r="W744" i="9"/>
  <c r="W741" i="9"/>
  <c r="W746" i="9"/>
  <c r="W738" i="9"/>
  <c r="W735" i="9"/>
  <c r="X735" i="9"/>
  <c r="W750" i="9"/>
  <c r="X750" i="9"/>
  <c r="BN750" i="9" s="1"/>
  <c r="W745" i="9"/>
  <c r="X745" i="9"/>
  <c r="W748" i="9"/>
  <c r="W747" i="9"/>
  <c r="X747" i="9"/>
  <c r="BN747" i="9" s="1"/>
  <c r="W749" i="9"/>
  <c r="W751" i="9"/>
  <c r="W737" i="9"/>
  <c r="X737" i="9"/>
  <c r="X869" i="9"/>
  <c r="X864" i="9"/>
  <c r="X940" i="9"/>
  <c r="BN940" i="9" s="1"/>
  <c r="X926" i="9"/>
  <c r="BN926" i="9" s="1"/>
  <c r="X929" i="9"/>
  <c r="BN929" i="9" s="1"/>
  <c r="X931" i="9"/>
  <c r="BN931" i="9" s="1"/>
  <c r="X933" i="9"/>
  <c r="BN933" i="9" s="1"/>
  <c r="X938" i="9"/>
  <c r="BN938" i="9" s="1"/>
  <c r="X941" i="9"/>
  <c r="BN941" i="9" s="1"/>
  <c r="X935" i="9"/>
  <c r="BN935" i="9" s="1"/>
  <c r="Y941" i="9"/>
  <c r="BO941" i="9" s="1"/>
  <c r="X927" i="9"/>
  <c r="BN927" i="9" s="1"/>
  <c r="X936" i="9"/>
  <c r="BN936" i="9" s="1"/>
  <c r="X924" i="9"/>
  <c r="BN924" i="9" s="1"/>
  <c r="Y940" i="9"/>
  <c r="BO940" i="9" s="1"/>
  <c r="X928" i="9"/>
  <c r="BN928" i="9" s="1"/>
  <c r="X937" i="9"/>
  <c r="BN937" i="9" s="1"/>
  <c r="Y257" i="6"/>
  <c r="Y222" i="6" s="1"/>
  <c r="X257" i="6"/>
  <c r="X222" i="6" s="1"/>
  <c r="CF215" i="6"/>
  <c r="A215" i="6" s="1" a="1"/>
  <c r="A215" i="6" s="1"/>
  <c r="X258" i="6"/>
  <c r="X227" i="6" s="1"/>
  <c r="Y258" i="6"/>
  <c r="Y227" i="6" s="1"/>
  <c r="W258" i="6"/>
  <c r="W227" i="6" s="1"/>
  <c r="W228" i="6" s="1"/>
  <c r="W257" i="6"/>
  <c r="W222" i="6" s="1"/>
  <c r="BO248" i="6"/>
  <c r="BO258" i="6"/>
  <c r="BO227" i="6" s="1"/>
  <c r="BN248" i="6"/>
  <c r="BN258" i="6"/>
  <c r="BN227" i="6" s="1"/>
  <c r="BM248" i="6"/>
  <c r="BM258" i="6"/>
  <c r="AA39" i="30"/>
  <c r="CF55" i="6"/>
  <c r="A55" i="6" s="1" a="1"/>
  <c r="A55" i="6" s="1"/>
  <c r="CF59" i="6"/>
  <c r="A59" i="6" s="1" a="1"/>
  <c r="A59" i="6" s="1"/>
  <c r="CF63" i="6"/>
  <c r="A63" i="6" s="1" a="1"/>
  <c r="A63" i="6" s="1"/>
  <c r="BN162" i="1"/>
  <c r="CK162" i="1" s="1"/>
  <c r="BO162" i="1"/>
  <c r="CL162" i="1" s="1"/>
  <c r="X196" i="1"/>
  <c r="CH196" i="1" s="1"/>
  <c r="X162" i="20"/>
  <c r="Y196" i="1"/>
  <c r="CI196" i="1" s="1"/>
  <c r="Y162" i="20"/>
  <c r="X284" i="26"/>
  <c r="CN284" i="26" s="1"/>
  <c r="W185" i="30"/>
  <c r="Y284" i="26"/>
  <c r="CO284" i="26" s="1"/>
  <c r="W284" i="26"/>
  <c r="CM284" i="26" s="1"/>
  <c r="BJ198" i="26"/>
  <c r="BL70" i="30"/>
  <c r="CM70" i="30" s="1"/>
  <c r="CE70" i="30" s="1"/>
  <c r="AA34" i="30"/>
  <c r="CF189" i="6"/>
  <c r="A189" i="6" s="1" a="1"/>
  <c r="A189" i="6" s="1"/>
  <c r="BD67" i="1"/>
  <c r="BD134" i="1"/>
  <c r="BD39" i="30"/>
  <c r="BD49" i="1"/>
  <c r="BD156" i="1"/>
  <c r="BD60" i="1"/>
  <c r="BD37" i="1"/>
  <c r="BD151" i="1"/>
  <c r="BD107" i="1"/>
  <c r="BB160" i="1"/>
  <c r="BD84" i="1"/>
  <c r="BD15" i="1"/>
  <c r="BD42" i="30"/>
  <c r="BD117" i="1"/>
  <c r="BD34" i="30"/>
  <c r="BD28" i="1"/>
  <c r="BD152" i="30"/>
  <c r="BD59" i="33" s="1"/>
  <c r="CM133" i="20"/>
  <c r="Y1096" i="9"/>
  <c r="X1096" i="9"/>
  <c r="W1098" i="9"/>
  <c r="Y937" i="9"/>
  <c r="BO937" i="9" s="1"/>
  <c r="Y928" i="9"/>
  <c r="BO928" i="9" s="1"/>
  <c r="Y929" i="9"/>
  <c r="BO929" i="9" s="1"/>
  <c r="Y926" i="9"/>
  <c r="BO926" i="9" s="1"/>
  <c r="Y924" i="9"/>
  <c r="BO924" i="9" s="1"/>
  <c r="Y935" i="9"/>
  <c r="BO935" i="9" s="1"/>
  <c r="Y933" i="9"/>
  <c r="BO933" i="9" s="1"/>
  <c r="Y934" i="9"/>
  <c r="BO934" i="9" s="1"/>
  <c r="Y936" i="9"/>
  <c r="BO936" i="9" s="1"/>
  <c r="Y927" i="9"/>
  <c r="BO927" i="9" s="1"/>
  <c r="Y938" i="9"/>
  <c r="BO938" i="9" s="1"/>
  <c r="Y931" i="9"/>
  <c r="BO931" i="9" s="1"/>
  <c r="AE1027" i="9"/>
  <c r="AE1050" i="9" s="1"/>
  <c r="AE1032" i="9"/>
  <c r="AE1055" i="9" s="1"/>
  <c r="AH767" i="9"/>
  <c r="BJ231" i="3"/>
  <c r="X188" i="20"/>
  <c r="Y188" i="20"/>
  <c r="BM254" i="6"/>
  <c r="BN254" i="6"/>
  <c r="BO254" i="6"/>
  <c r="BN242" i="6"/>
  <c r="BM242" i="6"/>
  <c r="BI98" i="30"/>
  <c r="BI187" i="30" s="1"/>
  <c r="W116" i="1"/>
  <c r="CG116" i="1" s="1"/>
  <c r="BN285" i="26"/>
  <c r="CQ285" i="26" s="1"/>
  <c r="BO285" i="26"/>
  <c r="CR285" i="26" s="1"/>
  <c r="BM285" i="26"/>
  <c r="CP285" i="26" s="1"/>
  <c r="Y285" i="26"/>
  <c r="CO285" i="26" s="1"/>
  <c r="X1097" i="9"/>
  <c r="X285" i="26"/>
  <c r="CN285" i="26" s="1"/>
  <c r="Y156" i="20"/>
  <c r="X156" i="20"/>
  <c r="BO76" i="33"/>
  <c r="CF246" i="6"/>
  <c r="CF252" i="6"/>
  <c r="CF240" i="6"/>
  <c r="A240" i="6" s="1" a="1"/>
  <c r="A240" i="6" s="1"/>
  <c r="W1009" i="9"/>
  <c r="BM394" i="9"/>
  <c r="W1010" i="9"/>
  <c r="BM413" i="9"/>
  <c r="W999" i="9"/>
  <c r="BM204" i="9"/>
  <c r="W1003" i="9"/>
  <c r="BM280" i="9"/>
  <c r="W1004" i="9"/>
  <c r="BM299" i="9"/>
  <c r="W1001" i="9"/>
  <c r="BM242" i="9"/>
  <c r="W994" i="9"/>
  <c r="BM109" i="9"/>
  <c r="W1006" i="9"/>
  <c r="BM337" i="9"/>
  <c r="W997" i="9"/>
  <c r="BM166" i="9"/>
  <c r="W995" i="9"/>
  <c r="BM128" i="9"/>
  <c r="W1008" i="9"/>
  <c r="BM375" i="9"/>
  <c r="W992" i="9"/>
  <c r="BM71" i="9"/>
  <c r="W998" i="9"/>
  <c r="BM185" i="9"/>
  <c r="W1007" i="9"/>
  <c r="BM356" i="9"/>
  <c r="W1002" i="9"/>
  <c r="BM261" i="9"/>
  <c r="W1005" i="9"/>
  <c r="BM318" i="9"/>
  <c r="W993" i="9"/>
  <c r="BM90" i="9"/>
  <c r="W1000" i="9"/>
  <c r="BM223" i="9"/>
  <c r="W996" i="9"/>
  <c r="BM147" i="9"/>
  <c r="BO171" i="20"/>
  <c r="CM171" i="20" s="1"/>
  <c r="BO73" i="33"/>
  <c r="BO242" i="6"/>
  <c r="BL124" i="30"/>
  <c r="CM124" i="30" s="1"/>
  <c r="CE124" i="30" s="1"/>
  <c r="BL162" i="1"/>
  <c r="BJ174" i="26"/>
  <c r="BJ208" i="26"/>
  <c r="BJ150" i="26"/>
  <c r="X73" i="33"/>
  <c r="BN73" i="33"/>
  <c r="X76" i="33"/>
  <c r="Y76" i="33"/>
  <c r="Y73" i="33"/>
  <c r="BN76" i="33"/>
  <c r="X1098" i="9"/>
  <c r="Y1098" i="9"/>
  <c r="W929" i="9"/>
  <c r="BM929" i="9" s="1"/>
  <c r="W931" i="9"/>
  <c r="BM931" i="9" s="1"/>
  <c r="W932" i="9"/>
  <c r="BM932" i="9" s="1"/>
  <c r="W925" i="9"/>
  <c r="BM925" i="9" s="1"/>
  <c r="W930" i="9"/>
  <c r="BM930" i="9" s="1"/>
  <c r="W941" i="9"/>
  <c r="BM941" i="9" s="1"/>
  <c r="W923" i="9"/>
  <c r="BM923" i="9" s="1"/>
  <c r="W933" i="9"/>
  <c r="BM933" i="9" s="1"/>
  <c r="W934" i="9"/>
  <c r="BM934" i="9" s="1"/>
  <c r="W937" i="9"/>
  <c r="BM937" i="9" s="1"/>
  <c r="W927" i="9"/>
  <c r="BM927" i="9" s="1"/>
  <c r="W938" i="9"/>
  <c r="BM938" i="9" s="1"/>
  <c r="W939" i="9"/>
  <c r="BM939" i="9" s="1"/>
  <c r="W940" i="9"/>
  <c r="BM940" i="9" s="1"/>
  <c r="W936" i="9"/>
  <c r="BM936" i="9" s="1"/>
  <c r="W935" i="9"/>
  <c r="BM935" i="9" s="1"/>
  <c r="W924" i="9"/>
  <c r="BM924" i="9" s="1"/>
  <c r="W928" i="9"/>
  <c r="BM928" i="9" s="1"/>
  <c r="W926" i="9"/>
  <c r="BM926" i="9" s="1"/>
  <c r="BH939" i="9"/>
  <c r="X32" i="26"/>
  <c r="CN32" i="26" s="1"/>
  <c r="BJ207" i="26"/>
  <c r="BJ123" i="26"/>
  <c r="CQ123" i="26" s="1"/>
  <c r="BJ283" i="3"/>
  <c r="BJ296" i="3"/>
  <c r="W32" i="26"/>
  <c r="Y32" i="26"/>
  <c r="CO32" i="26" s="1"/>
  <c r="BJ277" i="3"/>
  <c r="BJ279" i="3"/>
  <c r="BJ281" i="3"/>
  <c r="BJ288" i="3"/>
  <c r="BJ285" i="3"/>
  <c r="BJ206" i="26"/>
  <c r="CQ206" i="26" s="1"/>
  <c r="BJ97" i="26"/>
  <c r="CQ97" i="26" s="1"/>
  <c r="BJ286" i="3"/>
  <c r="BJ291" i="3"/>
  <c r="BJ278" i="3"/>
  <c r="BJ294" i="26"/>
  <c r="BM454" i="9"/>
  <c r="BM970" i="9"/>
  <c r="BM981" i="9"/>
  <c r="BM456" i="9"/>
  <c r="BM975" i="9"/>
  <c r="BM972" i="9"/>
  <c r="BM463" i="9"/>
  <c r="BM986" i="9"/>
  <c r="BM459" i="9"/>
  <c r="BO987" i="9"/>
  <c r="BO984" i="9"/>
  <c r="BN975" i="9"/>
  <c r="BO979" i="9"/>
  <c r="BO973" i="9"/>
  <c r="BN456" i="9"/>
  <c r="BN455" i="9"/>
  <c r="BN981" i="9"/>
  <c r="BN974" i="9"/>
  <c r="BO458" i="9"/>
  <c r="BO976" i="9"/>
  <c r="BO464" i="9"/>
  <c r="BN463" i="9"/>
  <c r="BN969" i="9"/>
  <c r="BN467" i="9"/>
  <c r="BN980" i="9"/>
  <c r="BO982" i="9"/>
  <c r="BN460" i="9"/>
  <c r="BO970" i="9"/>
  <c r="BN466" i="9"/>
  <c r="BN978" i="9"/>
  <c r="BO974" i="9"/>
  <c r="BM462" i="9"/>
  <c r="BM971" i="9"/>
  <c r="BM466" i="9"/>
  <c r="BM467" i="9"/>
  <c r="BM464" i="9"/>
  <c r="BM978" i="9"/>
  <c r="BM969" i="9"/>
  <c r="BM980" i="9"/>
  <c r="BM984" i="9"/>
  <c r="BM973" i="9"/>
  <c r="BN987" i="9"/>
  <c r="BO981" i="9"/>
  <c r="BO972" i="9"/>
  <c r="BN462" i="9"/>
  <c r="BO462" i="9"/>
  <c r="BO971" i="9"/>
  <c r="BN973" i="9"/>
  <c r="BO975" i="9"/>
  <c r="BO469" i="9"/>
  <c r="BO468" i="9"/>
  <c r="BN464" i="9"/>
  <c r="BN977" i="9"/>
  <c r="BN970" i="9"/>
  <c r="BN983" i="9"/>
  <c r="BO461" i="9"/>
  <c r="BF432" i="9"/>
  <c r="BF687" i="9" s="1"/>
  <c r="BM457" i="9"/>
  <c r="BM469" i="9"/>
  <c r="BM460" i="9"/>
  <c r="BM979" i="9"/>
  <c r="BM458" i="9"/>
  <c r="BM471" i="9"/>
  <c r="BM983" i="9"/>
  <c r="BM455" i="9"/>
  <c r="BM461" i="9"/>
  <c r="BO473" i="9"/>
  <c r="BO460" i="9"/>
  <c r="BN971" i="9"/>
  <c r="BN468" i="9"/>
  <c r="BN982" i="9"/>
  <c r="BO980" i="9"/>
  <c r="BN458" i="9"/>
  <c r="BN465" i="9"/>
  <c r="BN471" i="9"/>
  <c r="BN469" i="9"/>
  <c r="BO977" i="9"/>
  <c r="BN985" i="9"/>
  <c r="BO470" i="9"/>
  <c r="BO463" i="9"/>
  <c r="BO456" i="9"/>
  <c r="BO455" i="9"/>
  <c r="BO467" i="9"/>
  <c r="BN461" i="9"/>
  <c r="BN972" i="9"/>
  <c r="BO471" i="9"/>
  <c r="BN454" i="9"/>
  <c r="BM982" i="9"/>
  <c r="BM472" i="9"/>
  <c r="BM985" i="9"/>
  <c r="BM470" i="9"/>
  <c r="BM974" i="9"/>
  <c r="BM465" i="9"/>
  <c r="BM977" i="9"/>
  <c r="BM468" i="9"/>
  <c r="BM987" i="9"/>
  <c r="BM976" i="9"/>
  <c r="BM473" i="9"/>
  <c r="BN473" i="9"/>
  <c r="BN472" i="9"/>
  <c r="BN470" i="9"/>
  <c r="BO983" i="9"/>
  <c r="BO969" i="9"/>
  <c r="BN984" i="9"/>
  <c r="BO472" i="9"/>
  <c r="BO985" i="9"/>
  <c r="BN976" i="9"/>
  <c r="BO459" i="9"/>
  <c r="BO986" i="9"/>
  <c r="BN459" i="9"/>
  <c r="BO466" i="9"/>
  <c r="BN986" i="9"/>
  <c r="BO978" i="9"/>
  <c r="BN457" i="9"/>
  <c r="BO457" i="9"/>
  <c r="BN979" i="9"/>
  <c r="BO465" i="9"/>
  <c r="BO454" i="9"/>
  <c r="AF98" i="9"/>
  <c r="AF594" i="9" s="1"/>
  <c r="AF876" i="9" s="1"/>
  <c r="W518" i="9"/>
  <c r="W516" i="9"/>
  <c r="W511" i="9"/>
  <c r="W514" i="9"/>
  <c r="W519" i="9"/>
  <c r="W502" i="9"/>
  <c r="W509" i="9"/>
  <c r="W505" i="9"/>
  <c r="BG510" i="9"/>
  <c r="BE503" i="9"/>
  <c r="BE1085" i="9" s="1"/>
  <c r="BF508" i="9"/>
  <c r="W508" i="9"/>
  <c r="W512" i="9"/>
  <c r="W513" i="9"/>
  <c r="W510" i="9"/>
  <c r="W503" i="9"/>
  <c r="W515" i="9"/>
  <c r="W506" i="9"/>
  <c r="W504" i="9"/>
  <c r="W517" i="9"/>
  <c r="W501" i="9"/>
  <c r="W507" i="9"/>
  <c r="AF136" i="9"/>
  <c r="AF596" i="9" s="1"/>
  <c r="AF878" i="9" s="1"/>
  <c r="BJ106" i="6"/>
  <c r="BI114" i="6"/>
  <c r="BI116" i="30" s="1"/>
  <c r="AF399" i="9"/>
  <c r="AF541" i="9" s="1"/>
  <c r="W218" i="26"/>
  <c r="CM218" i="26" s="1"/>
  <c r="X218" i="26"/>
  <c r="CN218" i="26" s="1"/>
  <c r="Y218" i="26"/>
  <c r="CO218" i="26" s="1"/>
  <c r="Y204" i="26"/>
  <c r="CO204" i="26" s="1"/>
  <c r="X204" i="26"/>
  <c r="CN204" i="26" s="1"/>
  <c r="AF304" i="9"/>
  <c r="AF536" i="9" s="1"/>
  <c r="BO546" i="9"/>
  <c r="BN561" i="9"/>
  <c r="BN555" i="9"/>
  <c r="BO551" i="9"/>
  <c r="BO556" i="9"/>
  <c r="BM555" i="9"/>
  <c r="BN571" i="9"/>
  <c r="BN576" i="9"/>
  <c r="BN570" i="9"/>
  <c r="BN578" i="9"/>
  <c r="BM546" i="9"/>
  <c r="BO555" i="9"/>
  <c r="BO548" i="9"/>
  <c r="BM550" i="9"/>
  <c r="BO561" i="9"/>
  <c r="BN548" i="9"/>
  <c r="BO565" i="9"/>
  <c r="BN572" i="9"/>
  <c r="BO581" i="9"/>
  <c r="BN577" i="9"/>
  <c r="BN586" i="9"/>
  <c r="BM548" i="9"/>
  <c r="BN547" i="9"/>
  <c r="BM561" i="9"/>
  <c r="BN551" i="9"/>
  <c r="BO549" i="9"/>
  <c r="BM556" i="9"/>
  <c r="BN556" i="9"/>
  <c r="BO587" i="9"/>
  <c r="BN582" i="9"/>
  <c r="BO582" i="9"/>
  <c r="BN546" i="9"/>
  <c r="BO547" i="9"/>
  <c r="BM547" i="9"/>
  <c r="BN549" i="9"/>
  <c r="BN550" i="9"/>
  <c r="BO550" i="9"/>
  <c r="BN565" i="9"/>
  <c r="BO583" i="9"/>
  <c r="BO577" i="9"/>
  <c r="BN587" i="9"/>
  <c r="BO576" i="9"/>
  <c r="BN581" i="9"/>
  <c r="BN588" i="9"/>
  <c r="BN583" i="9"/>
  <c r="BO586" i="9"/>
  <c r="BO588" i="9"/>
  <c r="BO578" i="9"/>
  <c r="AG228" i="9"/>
  <c r="AG532" i="9" s="1"/>
  <c r="AG326" i="9"/>
  <c r="AH323" i="9" s="1"/>
  <c r="AF171" i="9"/>
  <c r="AF529" i="9" s="1"/>
  <c r="AF364" i="9"/>
  <c r="AF608" i="9" s="1"/>
  <c r="AF883" i="9"/>
  <c r="AG152" i="9"/>
  <c r="AG528" i="9" s="1"/>
  <c r="AF879" i="9"/>
  <c r="AF421" i="9"/>
  <c r="AF611" i="9" s="1"/>
  <c r="AF840" i="9"/>
  <c r="AF1120" i="9" s="1"/>
  <c r="AF1144" i="9" s="1"/>
  <c r="AF523" i="9"/>
  <c r="AE874" i="9"/>
  <c r="AF342" i="9"/>
  <c r="AF538" i="9" s="1"/>
  <c r="AE889" i="9"/>
  <c r="AF888" i="9"/>
  <c r="AG285" i="9"/>
  <c r="AG535" i="9" s="1"/>
  <c r="AF886" i="9"/>
  <c r="AE881" i="9"/>
  <c r="AF190" i="9"/>
  <c r="AF530" i="9" s="1"/>
  <c r="AF860" i="9"/>
  <c r="AG785" i="9"/>
  <c r="AB885" i="9"/>
  <c r="AC266" i="9"/>
  <c r="AC534" i="9" s="1"/>
  <c r="AF865" i="9"/>
  <c r="BI371" i="9"/>
  <c r="BI375" i="9" s="1"/>
  <c r="BF992" i="9"/>
  <c r="BF900" i="9" s="1"/>
  <c r="W846" i="9"/>
  <c r="BG244" i="9"/>
  <c r="BE111" i="9"/>
  <c r="W836" i="9"/>
  <c r="W841" i="9"/>
  <c r="BF206" i="9"/>
  <c r="BM719" i="9"/>
  <c r="BM715" i="9"/>
  <c r="BM714" i="9"/>
  <c r="BN714" i="9"/>
  <c r="BM720" i="9"/>
  <c r="BM717" i="9"/>
  <c r="BM713" i="9"/>
  <c r="BM725" i="9"/>
  <c r="BM716" i="9"/>
  <c r="BM721" i="9"/>
  <c r="BM722" i="9"/>
  <c r="BN722" i="9"/>
  <c r="BN727" i="9"/>
  <c r="BM727" i="9"/>
  <c r="BM712" i="9"/>
  <c r="BN712" i="9"/>
  <c r="BM723" i="9"/>
  <c r="BM718" i="9"/>
  <c r="BM728" i="9"/>
  <c r="BM724" i="9"/>
  <c r="BN724" i="9"/>
  <c r="BM726" i="9"/>
  <c r="BM696" i="9"/>
  <c r="BM704" i="9"/>
  <c r="BN704" i="9"/>
  <c r="BM701" i="9"/>
  <c r="BN701" i="9"/>
  <c r="BM695" i="9"/>
  <c r="BM689" i="9"/>
  <c r="BM831" i="9" s="1"/>
  <c r="BN689" i="9"/>
  <c r="BM690" i="9"/>
  <c r="BM699" i="9"/>
  <c r="BN699" i="9"/>
  <c r="BM697" i="9"/>
  <c r="BM691" i="9"/>
  <c r="BM833" i="9" s="1"/>
  <c r="BN691" i="9"/>
  <c r="BM700" i="9"/>
  <c r="BM842" i="9" s="1"/>
  <c r="BM692" i="9"/>
  <c r="BM694" i="9"/>
  <c r="BM705" i="9"/>
  <c r="BM847" i="9" s="1"/>
  <c r="BM702" i="9"/>
  <c r="W282" i="9"/>
  <c r="W92" i="9"/>
  <c r="W263" i="9"/>
  <c r="W130" i="9"/>
  <c r="W320" i="9"/>
  <c r="W206" i="9"/>
  <c r="W839" i="9" s="1"/>
  <c r="W111" i="9"/>
  <c r="W396" i="9"/>
  <c r="W358" i="9"/>
  <c r="W301" i="9"/>
  <c r="W244" i="9"/>
  <c r="W225" i="9"/>
  <c r="W339" i="9"/>
  <c r="W844" i="9" s="1"/>
  <c r="W73" i="9"/>
  <c r="W834" i="9" s="1"/>
  <c r="W149" i="9"/>
  <c r="W168" i="9"/>
  <c r="W377" i="9"/>
  <c r="W415" i="9"/>
  <c r="W187" i="9"/>
  <c r="BL31" i="6"/>
  <c r="BL218" i="26"/>
  <c r="CS218" i="26" s="1"/>
  <c r="CK218" i="26" s="1"/>
  <c r="BL123" i="30"/>
  <c r="CM123" i="30" s="1"/>
  <c r="CE123" i="30" s="1"/>
  <c r="W281" i="26"/>
  <c r="CM281" i="26" s="1"/>
  <c r="AK28" i="3"/>
  <c r="AK26" i="3"/>
  <c r="AK4" i="6"/>
  <c r="AK4" i="1"/>
  <c r="AK4" i="4"/>
  <c r="AK20" i="3"/>
  <c r="B17" i="14" a="1"/>
  <c r="CJ219" i="26" l="1"/>
  <c r="BO185" i="30"/>
  <c r="BM1000" i="9"/>
  <c r="BM1007" i="9"/>
  <c r="BM995" i="9"/>
  <c r="BM1001" i="9"/>
  <c r="BM1010" i="9"/>
  <c r="BM993" i="9"/>
  <c r="BM998" i="9"/>
  <c r="BM997" i="9"/>
  <c r="BM1004" i="9"/>
  <c r="BM1009" i="9"/>
  <c r="BM1005" i="9"/>
  <c r="BM992" i="9"/>
  <c r="BM1006" i="9"/>
  <c r="BM1003" i="9"/>
  <c r="A250" i="26" a="1"/>
  <c r="A250" i="26" s="1"/>
  <c r="BM996" i="9"/>
  <c r="BM1002" i="9"/>
  <c r="BM1008" i="9"/>
  <c r="BM994" i="9"/>
  <c r="BM999" i="9"/>
  <c r="CH182" i="30"/>
  <c r="BI64" i="33"/>
  <c r="BI74" i="33"/>
  <c r="CI182" i="30"/>
  <c r="BN284" i="26"/>
  <c r="CQ284" i="26" s="1"/>
  <c r="A79" i="1" a="1"/>
  <c r="A79" i="1" s="1"/>
  <c r="CO247" i="26"/>
  <c r="A288" i="26" a="1"/>
  <c r="A288" i="26" s="1"/>
  <c r="CH180" i="1"/>
  <c r="CK180" i="1"/>
  <c r="CQ71" i="26"/>
  <c r="CP71" i="26"/>
  <c r="CP233" i="26"/>
  <c r="CQ233" i="26"/>
  <c r="CP205" i="26"/>
  <c r="CQ205" i="26"/>
  <c r="CC150" i="30"/>
  <c r="BI745" i="9"/>
  <c r="BI750" i="9"/>
  <c r="BI747" i="9"/>
  <c r="BI737" i="9"/>
  <c r="A277" i="26" a="1"/>
  <c r="A277" i="26" s="1"/>
  <c r="CI183" i="30"/>
  <c r="A269" i="26" a="1"/>
  <c r="A269" i="26" s="1"/>
  <c r="BZ31" i="26"/>
  <c r="CI42" i="26"/>
  <c r="BZ36" i="26"/>
  <c r="CM46" i="26"/>
  <c r="CI46" i="26" s="1"/>
  <c r="CM39" i="26"/>
  <c r="BZ42" i="26"/>
  <c r="BZ44" i="26"/>
  <c r="BE735" i="9"/>
  <c r="CD186" i="30"/>
  <c r="A279" i="26" a="1"/>
  <c r="A279" i="26" s="1"/>
  <c r="A305" i="26" a="1"/>
  <c r="A305" i="26" s="1"/>
  <c r="A26" i="26" a="1"/>
  <c r="A26" i="26" s="1"/>
  <c r="CD171" i="30"/>
  <c r="CI225" i="26"/>
  <c r="CI285" i="26"/>
  <c r="CJ29" i="26"/>
  <c r="CJ307" i="26"/>
  <c r="A307" i="26" s="1" a="1"/>
  <c r="A307" i="26" s="1"/>
  <c r="A224" i="26" a="1"/>
  <c r="A224" i="26" s="1"/>
  <c r="CI258" i="26"/>
  <c r="CI232" i="26"/>
  <c r="A25" i="26" a="1"/>
  <c r="A25" i="26" s="1"/>
  <c r="CJ36" i="26"/>
  <c r="CJ246" i="26"/>
  <c r="A246" i="26" s="1" a="1"/>
  <c r="A246" i="26" s="1"/>
  <c r="CI218" i="26"/>
  <c r="CI286" i="26"/>
  <c r="CJ311" i="26"/>
  <c r="A311" i="26" s="1" a="1"/>
  <c r="A311" i="26" s="1"/>
  <c r="CI36" i="26"/>
  <c r="BJ178" i="1"/>
  <c r="BZ207" i="26"/>
  <c r="CM207" i="26"/>
  <c r="CP207" i="26"/>
  <c r="CN207" i="26"/>
  <c r="CQ207" i="26"/>
  <c r="CO207" i="26"/>
  <c r="CR207" i="26"/>
  <c r="CN206" i="26"/>
  <c r="CO206" i="26"/>
  <c r="CR206" i="26"/>
  <c r="CJ285" i="26"/>
  <c r="CJ28" i="26"/>
  <c r="CN71" i="26"/>
  <c r="CR71" i="26"/>
  <c r="CJ71" i="26" s="1"/>
  <c r="CO71" i="26"/>
  <c r="BN46" i="26"/>
  <c r="CQ46" i="26" s="1"/>
  <c r="CI239" i="26"/>
  <c r="BJ179" i="1"/>
  <c r="CI235" i="26"/>
  <c r="CI219" i="26"/>
  <c r="A219" i="26" s="1" a="1"/>
  <c r="A219" i="26" s="1"/>
  <c r="CI119" i="26"/>
  <c r="CI204" i="26"/>
  <c r="CN221" i="26"/>
  <c r="CR221" i="26"/>
  <c r="CO221" i="26"/>
  <c r="CI94" i="26"/>
  <c r="CN123" i="26"/>
  <c r="CR123" i="26"/>
  <c r="CO123" i="26"/>
  <c r="CN97" i="26"/>
  <c r="CR97" i="26"/>
  <c r="CO97" i="26"/>
  <c r="CM32" i="26"/>
  <c r="CI32" i="26" s="1"/>
  <c r="CI284" i="26"/>
  <c r="CJ30" i="26"/>
  <c r="A30" i="26" s="1" a="1"/>
  <c r="A30" i="26" s="1"/>
  <c r="CI251" i="26"/>
  <c r="CI270" i="26"/>
  <c r="BM185" i="30"/>
  <c r="CJ185" i="30" s="1"/>
  <c r="CP31" i="26"/>
  <c r="CP220" i="26"/>
  <c r="CM220" i="26"/>
  <c r="CQ220" i="26"/>
  <c r="CN220" i="26"/>
  <c r="CO220" i="26"/>
  <c r="CR220" i="26"/>
  <c r="BO284" i="26"/>
  <c r="CR284" i="26" s="1"/>
  <c r="CR42" i="26"/>
  <c r="CJ42" i="26" s="1"/>
  <c r="CN233" i="26"/>
  <c r="CR233" i="26"/>
  <c r="CO233" i="26"/>
  <c r="CO39" i="26"/>
  <c r="Y116" i="1"/>
  <c r="BZ29" i="26"/>
  <c r="CJ94" i="26"/>
  <c r="CJ44" i="26"/>
  <c r="A44" i="26" s="1" a="1"/>
  <c r="A44" i="26" s="1"/>
  <c r="BN185" i="30"/>
  <c r="CK185" i="30" s="1"/>
  <c r="CQ31" i="26"/>
  <c r="CN39" i="26"/>
  <c r="X116" i="1"/>
  <c r="CJ121" i="26"/>
  <c r="BZ28" i="26"/>
  <c r="CI29" i="26"/>
  <c r="CJ313" i="26"/>
  <c r="A313" i="26" s="1" a="1"/>
  <c r="A313" i="26" s="1"/>
  <c r="CJ119" i="26"/>
  <c r="CP248" i="26"/>
  <c r="CN248" i="26"/>
  <c r="CQ248" i="26"/>
  <c r="CO248" i="26"/>
  <c r="CR248" i="26"/>
  <c r="CI28" i="26"/>
  <c r="CI234" i="26"/>
  <c r="BZ30" i="26"/>
  <c r="A21" i="26" a="1"/>
  <c r="A21" i="26" s="1"/>
  <c r="A16" i="26" a="1"/>
  <c r="A16" i="26" s="1"/>
  <c r="A17" i="26" a="1"/>
  <c r="A17" i="26" s="1"/>
  <c r="A19" i="26" a="1"/>
  <c r="A19" i="26" s="1"/>
  <c r="A20" i="26" a="1"/>
  <c r="A20" i="26" s="1"/>
  <c r="BJ221" i="6"/>
  <c r="BJ223" i="6" s="1"/>
  <c r="BJ130" i="30" s="1"/>
  <c r="BJ180" i="30"/>
  <c r="BO183" i="30"/>
  <c r="BO83" i="35" s="1"/>
  <c r="BN183" i="30"/>
  <c r="BN83" i="35" s="1"/>
  <c r="A24" i="26" a="1"/>
  <c r="A24" i="26" s="1"/>
  <c r="BO39" i="26"/>
  <c r="BN182" i="30"/>
  <c r="BM286" i="26"/>
  <c r="CP286" i="26" s="1"/>
  <c r="BM39" i="26"/>
  <c r="CP39" i="26" s="1"/>
  <c r="CI180" i="1"/>
  <c r="CL180" i="1"/>
  <c r="BM284" i="26"/>
  <c r="CP284" i="26" s="1"/>
  <c r="BO182" i="30"/>
  <c r="A23" i="26" a="1"/>
  <c r="A23" i="26" s="1"/>
  <c r="BN39" i="26"/>
  <c r="BN188" i="20"/>
  <c r="CL188" i="20" s="1"/>
  <c r="A27" i="26" a="1"/>
  <c r="A27" i="26" s="1"/>
  <c r="A14" i="26" a="1"/>
  <c r="A14" i="26" s="1"/>
  <c r="A22" i="26" a="1"/>
  <c r="A22" i="26" s="1"/>
  <c r="A15" i="26" a="1"/>
  <c r="A15" i="26" s="1"/>
  <c r="A18" i="26" a="1"/>
  <c r="A18" i="26" s="1"/>
  <c r="CC202" i="30"/>
  <c r="X1141" i="9"/>
  <c r="X196" i="30" s="1"/>
  <c r="CH196" i="30" s="1"/>
  <c r="CD150" i="30"/>
  <c r="A150" i="30" s="1" a="1"/>
  <c r="A150" i="30" s="1"/>
  <c r="CC148" i="30"/>
  <c r="CC190" i="30"/>
  <c r="CD190" i="30"/>
  <c r="CC171" i="30"/>
  <c r="CH185" i="30"/>
  <c r="W83" i="35"/>
  <c r="CG183" i="30"/>
  <c r="BM88" i="33"/>
  <c r="CJ202" i="30"/>
  <c r="CD202" i="30" s="1"/>
  <c r="CI184" i="30"/>
  <c r="CH184" i="30"/>
  <c r="CK184" i="30"/>
  <c r="CG185" i="30"/>
  <c r="CI185" i="30"/>
  <c r="CL185" i="30"/>
  <c r="CG182" i="30"/>
  <c r="CC182" i="30" s="1"/>
  <c r="CG184" i="30"/>
  <c r="A2" i="22" a="1"/>
  <c r="A2" i="22" s="1"/>
  <c r="B17" i="14"/>
  <c r="BM46" i="26"/>
  <c r="CP46" i="26" s="1"/>
  <c r="BM182" i="30"/>
  <c r="W1141" i="9"/>
  <c r="W196" i="30" s="1"/>
  <c r="Y1141" i="9"/>
  <c r="Y196" i="30" s="1"/>
  <c r="A112" i="1" a="1"/>
  <c r="A112" i="1" s="1"/>
  <c r="CE133" i="20"/>
  <c r="A133" i="20" s="1" a="1"/>
  <c r="A133" i="20" s="1"/>
  <c r="CE181" i="20"/>
  <c r="CE110" i="20"/>
  <c r="Y153" i="30"/>
  <c r="X153" i="30"/>
  <c r="BD119" i="1"/>
  <c r="BP112" i="20"/>
  <c r="BP80" i="20"/>
  <c r="A80" i="1" a="1"/>
  <c r="A80" i="1" s="1"/>
  <c r="BP79" i="20"/>
  <c r="BP78" i="20"/>
  <c r="A78" i="1" a="1"/>
  <c r="A78" i="1" s="1"/>
  <c r="BM1139" i="9"/>
  <c r="BO1138" i="9"/>
  <c r="BO1103" i="9"/>
  <c r="BO1109" i="9" s="1"/>
  <c r="BN1096" i="9"/>
  <c r="BN1103" i="9"/>
  <c r="BN1109" i="9" s="1"/>
  <c r="BM1103" i="9"/>
  <c r="BM1109" i="9" s="1"/>
  <c r="BN1102" i="9"/>
  <c r="BN1108" i="9" s="1"/>
  <c r="BN1139" i="9"/>
  <c r="BM1138" i="9"/>
  <c r="BO1102" i="9"/>
  <c r="BO1108" i="9" s="1"/>
  <c r="BM1102" i="9"/>
  <c r="BM1108" i="9" s="1"/>
  <c r="BO1139" i="9"/>
  <c r="BN1138" i="9"/>
  <c r="W1084" i="9"/>
  <c r="BO1096" i="9"/>
  <c r="Y107" i="20"/>
  <c r="Y183" i="20"/>
  <c r="X107" i="20"/>
  <c r="X183" i="20"/>
  <c r="BC56" i="33"/>
  <c r="W1111" i="9"/>
  <c r="W200" i="30" s="1"/>
  <c r="CC188" i="1"/>
  <c r="BN1140" i="9"/>
  <c r="BM1140" i="9"/>
  <c r="BO1140" i="9"/>
  <c r="AE1123" i="9"/>
  <c r="AE1146" i="9"/>
  <c r="AE1147" i="9" s="1"/>
  <c r="AE170" i="1" s="1"/>
  <c r="AE170" i="20" s="1"/>
  <c r="AE41" i="30" s="1"/>
  <c r="AK803" i="9"/>
  <c r="AL757" i="9" s="1"/>
  <c r="AK853" i="9"/>
  <c r="BE804" i="9"/>
  <c r="BI819" i="9"/>
  <c r="AG858" i="9"/>
  <c r="AG808" i="9"/>
  <c r="AK859" i="9"/>
  <c r="AK809" i="9"/>
  <c r="BI816" i="9"/>
  <c r="BI806" i="9"/>
  <c r="BI814" i="9"/>
  <c r="BJ699" i="9"/>
  <c r="W1099" i="9"/>
  <c r="W198" i="30" s="1"/>
  <c r="BJ701" i="9"/>
  <c r="BJ691" i="9"/>
  <c r="BM838" i="9"/>
  <c r="AH772" i="9"/>
  <c r="AG868" i="9"/>
  <c r="BM832" i="9"/>
  <c r="BM837" i="9"/>
  <c r="BN843" i="9"/>
  <c r="BN833" i="9"/>
  <c r="BM843" i="9"/>
  <c r="AI771" i="9"/>
  <c r="AI794" i="9" s="1"/>
  <c r="AH867" i="9"/>
  <c r="BN831" i="9"/>
  <c r="BF756" i="9"/>
  <c r="BF779" i="9" s="1"/>
  <c r="BF852" i="9" s="1"/>
  <c r="BF829" i="9"/>
  <c r="BL195" i="1"/>
  <c r="CM195" i="1" s="1"/>
  <c r="CE195" i="1" s="1"/>
  <c r="CM162" i="1"/>
  <c r="CE162" i="1" s="1"/>
  <c r="X187" i="20"/>
  <c r="CH187" i="1"/>
  <c r="Y187" i="20"/>
  <c r="CI187" i="1"/>
  <c r="BO147" i="20"/>
  <c r="CL188" i="1"/>
  <c r="A182" i="1" a="1"/>
  <c r="A182" i="1" s="1"/>
  <c r="W117" i="1"/>
  <c r="BA193" i="1"/>
  <c r="BD197" i="1"/>
  <c r="BB165" i="1"/>
  <c r="BD194" i="1"/>
  <c r="BO196" i="1"/>
  <c r="CL196" i="1" s="1"/>
  <c r="BL162" i="20"/>
  <c r="CN162" i="20" s="1"/>
  <c r="CF162" i="20" s="1"/>
  <c r="BL168" i="20"/>
  <c r="W289" i="26"/>
  <c r="BN289" i="26"/>
  <c r="CQ289" i="26" s="1"/>
  <c r="X289" i="26"/>
  <c r="CN289" i="26" s="1"/>
  <c r="Y289" i="26"/>
  <c r="CO289" i="26" s="1"/>
  <c r="BM232" i="26"/>
  <c r="CP232" i="26" s="1"/>
  <c r="BM184" i="30"/>
  <c r="CJ184" i="30" s="1"/>
  <c r="BM183" i="30"/>
  <c r="BM83" i="35" s="1"/>
  <c r="BO232" i="26"/>
  <c r="CR232" i="26" s="1"/>
  <c r="BO184" i="30"/>
  <c r="CL184" i="30" s="1"/>
  <c r="BN325" i="26"/>
  <c r="BN239" i="26" s="1"/>
  <c r="CQ239" i="26" s="1"/>
  <c r="BN326" i="26"/>
  <c r="BN270" i="26" s="1"/>
  <c r="CQ270" i="26" s="1"/>
  <c r="BO325" i="26"/>
  <c r="BO239" i="26" s="1"/>
  <c r="CR239" i="26" s="1"/>
  <c r="BO326" i="26"/>
  <c r="BO270" i="26" s="1"/>
  <c r="CR270" i="26" s="1"/>
  <c r="BM325" i="26"/>
  <c r="BM239" i="26" s="1"/>
  <c r="CP239" i="26" s="1"/>
  <c r="BM326" i="26"/>
  <c r="BM270" i="26" s="1"/>
  <c r="CP270" i="26" s="1"/>
  <c r="BM324" i="26"/>
  <c r="BM251" i="26" s="1"/>
  <c r="CP251" i="26" s="1"/>
  <c r="BM323" i="26"/>
  <c r="BM225" i="26" s="1"/>
  <c r="CP225" i="26" s="1"/>
  <c r="BN324" i="26"/>
  <c r="BN251" i="26" s="1"/>
  <c r="CQ251" i="26" s="1"/>
  <c r="BN323" i="26"/>
  <c r="BN225" i="26" s="1"/>
  <c r="CQ225" i="26" s="1"/>
  <c r="BO324" i="26"/>
  <c r="BO251" i="26" s="1"/>
  <c r="CR251" i="26" s="1"/>
  <c r="BO323" i="26"/>
  <c r="BO225" i="26" s="1"/>
  <c r="CR225" i="26" s="1"/>
  <c r="BN211" i="26"/>
  <c r="CQ211" i="26" s="1"/>
  <c r="BO211" i="26"/>
  <c r="CR211" i="26" s="1"/>
  <c r="BM211" i="26"/>
  <c r="CP211" i="26" s="1"/>
  <c r="BO286" i="26"/>
  <c r="BO46" i="26"/>
  <c r="CR46" i="26" s="1"/>
  <c r="CL147" i="20"/>
  <c r="AA147" i="30"/>
  <c r="BD147" i="30"/>
  <c r="BN259" i="6"/>
  <c r="BN233" i="6" s="1"/>
  <c r="BJ180" i="20"/>
  <c r="BO258" i="26"/>
  <c r="CR258" i="26" s="1"/>
  <c r="BN258" i="26"/>
  <c r="CQ258" i="26" s="1"/>
  <c r="BM258" i="26"/>
  <c r="CP258" i="26" s="1"/>
  <c r="BD49" i="30"/>
  <c r="BD195" i="20"/>
  <c r="AK759" i="9"/>
  <c r="AK782" i="9" s="1"/>
  <c r="AK805" i="9" s="1"/>
  <c r="AK765" i="9"/>
  <c r="AK788" i="9" s="1"/>
  <c r="AK811" i="9" s="1"/>
  <c r="W773" i="9"/>
  <c r="BM773" i="9" s="1"/>
  <c r="X773" i="9"/>
  <c r="W768" i="9"/>
  <c r="X768" i="9"/>
  <c r="W758" i="9"/>
  <c r="X758" i="9"/>
  <c r="W770" i="9"/>
  <c r="X770" i="9"/>
  <c r="W760" i="9"/>
  <c r="X760" i="9"/>
  <c r="BN1097" i="9"/>
  <c r="BN196" i="1"/>
  <c r="CK196" i="1" s="1"/>
  <c r="BN162" i="20"/>
  <c r="CL162" i="20" s="1"/>
  <c r="CF69" i="6"/>
  <c r="A69" i="6" s="1" a="1"/>
  <c r="A69" i="6" s="1"/>
  <c r="BO162" i="20"/>
  <c r="CM162" i="20" s="1"/>
  <c r="BO257" i="6"/>
  <c r="BO222" i="6" s="1"/>
  <c r="BM257" i="6"/>
  <c r="BM222" i="6" s="1"/>
  <c r="BM259" i="6"/>
  <c r="BM233" i="6" s="1"/>
  <c r="BO259" i="6"/>
  <c r="BO233" i="6" s="1"/>
  <c r="BN257" i="6"/>
  <c r="BN222" i="6" s="1"/>
  <c r="CF248" i="6"/>
  <c r="BM227" i="6"/>
  <c r="CF227" i="6" s="1"/>
  <c r="A227" i="6" s="1" a="1"/>
  <c r="A227" i="6" s="1"/>
  <c r="CF258" i="6"/>
  <c r="A258" i="6" s="1" a="1"/>
  <c r="A258" i="6" s="1"/>
  <c r="BF710" i="9"/>
  <c r="BF733" i="9" s="1"/>
  <c r="CG187" i="1"/>
  <c r="Y1099" i="9"/>
  <c r="Y198" i="30" s="1"/>
  <c r="BN218" i="26"/>
  <c r="CQ218" i="26" s="1"/>
  <c r="BL68" i="30"/>
  <c r="CM68" i="30" s="1"/>
  <c r="CE68" i="30" s="1"/>
  <c r="BO218" i="26"/>
  <c r="CR218" i="26" s="1"/>
  <c r="BE28" i="1"/>
  <c r="BE117" i="1"/>
  <c r="BE107" i="1"/>
  <c r="BE151" i="1"/>
  <c r="BE37" i="1"/>
  <c r="BE60" i="1"/>
  <c r="BE156" i="1"/>
  <c r="BE49" i="1"/>
  <c r="BE15" i="1"/>
  <c r="BE84" i="1"/>
  <c r="BE152" i="30"/>
  <c r="BE59" i="33" s="1"/>
  <c r="BE34" i="30"/>
  <c r="BE42" i="30"/>
  <c r="BE39" i="30"/>
  <c r="BD158" i="1"/>
  <c r="BE134" i="1"/>
  <c r="BE67" i="1"/>
  <c r="X226" i="6"/>
  <c r="X228" i="6" s="1"/>
  <c r="BO209" i="26"/>
  <c r="CR209" i="26" s="1"/>
  <c r="CJ209" i="26" s="1"/>
  <c r="A209" i="26" s="1" a="1"/>
  <c r="A209" i="26" s="1"/>
  <c r="BM1096" i="9"/>
  <c r="AF1019" i="9"/>
  <c r="AF1042" i="9" s="1"/>
  <c r="AE1029" i="9"/>
  <c r="AE1052" i="9" s="1"/>
  <c r="AH762" i="9"/>
  <c r="W116" i="20"/>
  <c r="CF254" i="6"/>
  <c r="CF242" i="6"/>
  <c r="A242" i="6" s="1" a="1"/>
  <c r="A242" i="6" s="1"/>
  <c r="BL196" i="1"/>
  <c r="CM196" i="1" s="1"/>
  <c r="CE196" i="1" s="1"/>
  <c r="AH795" i="9"/>
  <c r="BM747" i="9"/>
  <c r="BM1097" i="9"/>
  <c r="X1099" i="9"/>
  <c r="X198" i="30" s="1"/>
  <c r="BJ259" i="26"/>
  <c r="W154" i="6"/>
  <c r="BM281" i="26"/>
  <c r="W131" i="30"/>
  <c r="BJ299" i="26"/>
  <c r="BO1097" i="9"/>
  <c r="BJ267" i="26"/>
  <c r="CQ267" i="26" s="1"/>
  <c r="BL73" i="33"/>
  <c r="BL76" i="33"/>
  <c r="BN737" i="9"/>
  <c r="BE94" i="6"/>
  <c r="BE88" i="35"/>
  <c r="BL130" i="20"/>
  <c r="CN130" i="20" s="1"/>
  <c r="CF130" i="20" s="1"/>
  <c r="BM737" i="9"/>
  <c r="BO1098" i="9"/>
  <c r="BN1098" i="9"/>
  <c r="BM1098" i="9"/>
  <c r="BG932" i="9"/>
  <c r="BE925" i="9"/>
  <c r="BF930" i="9"/>
  <c r="BM750" i="9"/>
  <c r="BM32" i="26"/>
  <c r="CP32" i="26" s="1"/>
  <c r="BO32" i="26"/>
  <c r="CR32" i="26" s="1"/>
  <c r="BN32" i="26"/>
  <c r="CQ32" i="26" s="1"/>
  <c r="X435" i="9"/>
  <c r="X439" i="9"/>
  <c r="X447" i="9"/>
  <c r="X440" i="9"/>
  <c r="X449" i="9"/>
  <c r="X445" i="9"/>
  <c r="X443" i="9"/>
  <c r="X446" i="9"/>
  <c r="X438" i="9"/>
  <c r="X436" i="9"/>
  <c r="BI448" i="9"/>
  <c r="X442" i="9"/>
  <c r="X433" i="9"/>
  <c r="X448" i="9"/>
  <c r="X450" i="9"/>
  <c r="BM739" i="9"/>
  <c r="AG95" i="9"/>
  <c r="AG525" i="9" s="1"/>
  <c r="W1085" i="9"/>
  <c r="W88" i="35" s="1"/>
  <c r="BM502" i="9"/>
  <c r="BM513" i="9"/>
  <c r="BM509" i="9"/>
  <c r="BM519" i="9"/>
  <c r="BM518" i="9"/>
  <c r="BM503" i="9"/>
  <c r="BM515" i="9"/>
  <c r="BF501" i="9"/>
  <c r="BM507" i="9"/>
  <c r="BM517" i="9"/>
  <c r="BM516" i="9"/>
  <c r="BM504" i="9"/>
  <c r="BM512" i="9"/>
  <c r="BM508" i="9"/>
  <c r="BM506" i="9"/>
  <c r="BM505" i="9"/>
  <c r="BM510" i="9"/>
  <c r="BM501" i="9"/>
  <c r="BM514" i="9"/>
  <c r="AF402" i="9"/>
  <c r="AF610" i="9" s="1"/>
  <c r="AF892" i="9" s="1"/>
  <c r="AG133" i="9"/>
  <c r="AG527" i="9" s="1"/>
  <c r="BM218" i="26"/>
  <c r="CP218" i="26" s="1"/>
  <c r="BN204" i="26"/>
  <c r="CQ204" i="26" s="1"/>
  <c r="BO204" i="26"/>
  <c r="CR204" i="26" s="1"/>
  <c r="BM204" i="26"/>
  <c r="CP204" i="26" s="1"/>
  <c r="AF307" i="9"/>
  <c r="AF605" i="9" s="1"/>
  <c r="AF887" i="9" s="1"/>
  <c r="AG231" i="9"/>
  <c r="AG601" i="9" s="1"/>
  <c r="AG606" i="9"/>
  <c r="AG888" i="9" s="1"/>
  <c r="AF174" i="9"/>
  <c r="AF598" i="9" s="1"/>
  <c r="AH537" i="9"/>
  <c r="AH326" i="9"/>
  <c r="AH606" i="9" s="1"/>
  <c r="BM841" i="9"/>
  <c r="BM511" i="9"/>
  <c r="AG361" i="9"/>
  <c r="AG539" i="9" s="1"/>
  <c r="AF890" i="9"/>
  <c r="AC269" i="9"/>
  <c r="AC603" i="9" s="1"/>
  <c r="AF193" i="9"/>
  <c r="AF599" i="9" s="1"/>
  <c r="AF592" i="9"/>
  <c r="AG845" i="9"/>
  <c r="AF835" i="9"/>
  <c r="AF1121" i="9" s="1"/>
  <c r="AF1145" i="9" s="1"/>
  <c r="AF345" i="9"/>
  <c r="AF607" i="9" s="1"/>
  <c r="AG155" i="9"/>
  <c r="AG597" i="9" s="1"/>
  <c r="AG288" i="9"/>
  <c r="AG604" i="9" s="1"/>
  <c r="AG418" i="9"/>
  <c r="AF893" i="9"/>
  <c r="X866" i="9"/>
  <c r="BM846" i="9"/>
  <c r="BI1008" i="9"/>
  <c r="BI916" i="9" s="1"/>
  <c r="X856" i="9"/>
  <c r="BH238" i="9"/>
  <c r="BH242" i="9" s="1"/>
  <c r="BF73" i="9"/>
  <c r="BG200" i="9"/>
  <c r="BG204" i="9" s="1"/>
  <c r="BM836" i="9"/>
  <c r="BF105" i="9"/>
  <c r="BF109" i="9" s="1"/>
  <c r="BM244" i="9"/>
  <c r="BM301" i="9"/>
  <c r="BM149" i="9"/>
  <c r="BM339" i="9"/>
  <c r="BM844" i="9" s="1"/>
  <c r="BM282" i="9"/>
  <c r="BM748" i="9"/>
  <c r="BN745" i="9"/>
  <c r="BM745" i="9"/>
  <c r="BM749" i="9"/>
  <c r="BM735" i="9"/>
  <c r="BN735" i="9"/>
  <c r="BM377" i="9"/>
  <c r="BM92" i="9"/>
  <c r="BM358" i="9"/>
  <c r="BM168" i="9"/>
  <c r="BM206" i="9"/>
  <c r="BM839" i="9" s="1"/>
  <c r="BM263" i="9"/>
  <c r="BM111" i="9"/>
  <c r="BM187" i="9"/>
  <c r="BM225" i="9"/>
  <c r="BM73" i="9"/>
  <c r="BM834" i="9" s="1"/>
  <c r="BM415" i="9"/>
  <c r="BM396" i="9"/>
  <c r="BM320" i="9"/>
  <c r="BM130" i="9"/>
  <c r="Y276" i="9"/>
  <c r="Y280" i="9" s="1"/>
  <c r="BN276" i="9"/>
  <c r="Y200" i="9"/>
  <c r="Y204" i="9" s="1"/>
  <c r="BN200" i="9"/>
  <c r="Y371" i="9"/>
  <c r="Y375" i="9" s="1"/>
  <c r="BN371" i="9"/>
  <c r="Y409" i="9"/>
  <c r="Y413" i="9" s="1"/>
  <c r="BN409" i="9"/>
  <c r="Y257" i="9"/>
  <c r="Y261" i="9" s="1"/>
  <c r="BN257" i="9"/>
  <c r="Y86" i="9"/>
  <c r="Y90" i="9" s="1"/>
  <c r="BN86" i="9"/>
  <c r="Y219" i="9"/>
  <c r="Y223" i="9" s="1"/>
  <c r="BN219" i="9"/>
  <c r="BN124" i="9"/>
  <c r="Y124" i="9"/>
  <c r="Y128" i="9" s="1"/>
  <c r="BN143" i="9"/>
  <c r="Y143" i="9"/>
  <c r="Y147" i="9" s="1"/>
  <c r="BN181" i="9"/>
  <c r="Y181" i="9"/>
  <c r="Y185" i="9" s="1"/>
  <c r="Y352" i="9"/>
  <c r="Y356" i="9" s="1"/>
  <c r="BN352" i="9"/>
  <c r="Y314" i="9"/>
  <c r="Y318" i="9" s="1"/>
  <c r="BN314" i="9"/>
  <c r="BN333" i="9"/>
  <c r="Y333" i="9"/>
  <c r="Y337" i="9" s="1"/>
  <c r="Y390" i="9"/>
  <c r="Y394" i="9" s="1"/>
  <c r="BN390" i="9"/>
  <c r="BJ107" i="6"/>
  <c r="X276" i="26"/>
  <c r="BN276" i="26" s="1"/>
  <c r="BL28" i="6"/>
  <c r="W168" i="20"/>
  <c r="BL171" i="20"/>
  <c r="BL25" i="6"/>
  <c r="AL22" i="3"/>
  <c r="AL5" i="6"/>
  <c r="AL5" i="4"/>
  <c r="AL5" i="1"/>
  <c r="CJ233" i="26" l="1"/>
  <c r="CC183" i="30"/>
  <c r="A36" i="26" a="1"/>
  <c r="A36" i="26" s="1"/>
  <c r="A42" i="26" a="1"/>
  <c r="A42" i="26" s="1"/>
  <c r="A28" i="26" a="1"/>
  <c r="A28" i="26" s="1"/>
  <c r="A29" i="26" a="1"/>
  <c r="A29" i="26" s="1"/>
  <c r="CK182" i="30"/>
  <c r="CJ182" i="30"/>
  <c r="CL182" i="30"/>
  <c r="CJ205" i="26"/>
  <c r="CP259" i="26"/>
  <c r="CQ259" i="26"/>
  <c r="BJ52" i="30"/>
  <c r="CL180" i="20"/>
  <c r="BO187" i="1"/>
  <c r="CL187" i="1" s="1"/>
  <c r="BM187" i="1"/>
  <c r="CJ187" i="1" s="1"/>
  <c r="BN187" i="1"/>
  <c r="CK187" i="1" s="1"/>
  <c r="BZ46" i="26"/>
  <c r="BZ39" i="26"/>
  <c r="BZ32" i="26"/>
  <c r="BJ704" i="9"/>
  <c r="BJ846" i="9" s="1"/>
  <c r="A285" i="26" a="1"/>
  <c r="A285" i="26" s="1"/>
  <c r="BJ183" i="1"/>
  <c r="BM289" i="26"/>
  <c r="CP289" i="26" s="1"/>
  <c r="CJ220" i="26"/>
  <c r="CJ232" i="26"/>
  <c r="A232" i="26" s="1" a="1"/>
  <c r="A232" i="26" s="1"/>
  <c r="CJ218" i="26"/>
  <c r="A218" i="26" s="1" a="1"/>
  <c r="A218" i="26" s="1"/>
  <c r="A119" i="26" a="1"/>
  <c r="A119" i="26" s="1"/>
  <c r="CJ204" i="26"/>
  <c r="A204" i="26" s="1" a="1"/>
  <c r="A204" i="26" s="1"/>
  <c r="CJ270" i="26"/>
  <c r="A270" i="26" s="1" a="1"/>
  <c r="A270" i="26" s="1"/>
  <c r="CJ31" i="26"/>
  <c r="A31" i="26" s="1" a="1"/>
  <c r="A31" i="26" s="1"/>
  <c r="CJ258" i="26"/>
  <c r="A258" i="26" s="1" a="1"/>
  <c r="A258" i="26" s="1"/>
  <c r="CI39" i="26"/>
  <c r="BJ261" i="26"/>
  <c r="CN259" i="26"/>
  <c r="CO259" i="26"/>
  <c r="CR259" i="26"/>
  <c r="BN116" i="1"/>
  <c r="CK116" i="1" s="1"/>
  <c r="CQ39" i="26"/>
  <c r="CH116" i="1"/>
  <c r="X116" i="20"/>
  <c r="CI220" i="26"/>
  <c r="BJ179" i="20"/>
  <c r="CJ207" i="26"/>
  <c r="CH32" i="26"/>
  <c r="CI207" i="26"/>
  <c r="CN267" i="26"/>
  <c r="CR267" i="26"/>
  <c r="CO267" i="26"/>
  <c r="BO116" i="1"/>
  <c r="CL116" i="1" s="1"/>
  <c r="CR39" i="26"/>
  <c r="CJ32" i="26"/>
  <c r="BM154" i="6"/>
  <c r="BM98" i="30" s="1"/>
  <c r="BM187" i="30" s="1"/>
  <c r="BM74" i="33" s="1"/>
  <c r="CP281" i="26"/>
  <c r="BO289" i="26"/>
  <c r="CR289" i="26" s="1"/>
  <c r="CR286" i="26"/>
  <c r="CJ286" i="26" s="1"/>
  <c r="A286" i="26" s="1" a="1"/>
  <c r="A286" i="26" s="1"/>
  <c r="CJ225" i="26"/>
  <c r="A225" i="26" s="1" a="1"/>
  <c r="A225" i="26" s="1"/>
  <c r="CJ46" i="26"/>
  <c r="A46" i="26" s="1" a="1"/>
  <c r="A46" i="26" s="1"/>
  <c r="CL183" i="30"/>
  <c r="CJ284" i="26"/>
  <c r="A284" i="26" s="1" a="1"/>
  <c r="A284" i="26" s="1"/>
  <c r="A94" i="26" a="1"/>
  <c r="A94" i="26" s="1"/>
  <c r="CJ211" i="26"/>
  <c r="A211" i="26" s="1" a="1"/>
  <c r="A211" i="26" s="1"/>
  <c r="CJ251" i="26"/>
  <c r="A251" i="26" s="1" a="1"/>
  <c r="A251" i="26" s="1"/>
  <c r="CJ239" i="26"/>
  <c r="A239" i="26" s="1" a="1"/>
  <c r="A239" i="26" s="1"/>
  <c r="W107" i="6"/>
  <c r="CM289" i="26"/>
  <c r="CI289" i="26" s="1"/>
  <c r="CJ248" i="26"/>
  <c r="CI116" i="1"/>
  <c r="Y116" i="20"/>
  <c r="BJ72" i="33"/>
  <c r="CK183" i="30"/>
  <c r="BM116" i="1"/>
  <c r="CJ116" i="1" s="1"/>
  <c r="CC185" i="30"/>
  <c r="CD185" i="30"/>
  <c r="CC184" i="30"/>
  <c r="CD184" i="30"/>
  <c r="CG131" i="30"/>
  <c r="A171" i="30" a="1"/>
  <c r="A171" i="30" s="1"/>
  <c r="A186" i="30" a="1"/>
  <c r="A186" i="30" s="1"/>
  <c r="CH153" i="30"/>
  <c r="CI153" i="30"/>
  <c r="CI196" i="30"/>
  <c r="X85" i="33"/>
  <c r="CH198" i="30"/>
  <c r="Y85" i="33"/>
  <c r="CI198" i="30"/>
  <c r="CG198" i="30"/>
  <c r="CG196" i="30"/>
  <c r="CJ183" i="30"/>
  <c r="BO1141" i="9"/>
  <c r="BO196" i="30" s="1"/>
  <c r="CL196" i="30" s="1"/>
  <c r="BM1141" i="9"/>
  <c r="BM196" i="30" s="1"/>
  <c r="CJ196" i="30" s="1"/>
  <c r="BN1141" i="9"/>
  <c r="BN196" i="30" s="1"/>
  <c r="CK196" i="30" s="1"/>
  <c r="X113" i="20"/>
  <c r="X194" i="20" s="1"/>
  <c r="Y113" i="20"/>
  <c r="Y194" i="20" s="1"/>
  <c r="BE119" i="1"/>
  <c r="BQ112" i="20"/>
  <c r="BQ80" i="20"/>
  <c r="BQ79" i="20"/>
  <c r="BQ78" i="20"/>
  <c r="CC187" i="1"/>
  <c r="W85" i="33"/>
  <c r="CG117" i="1"/>
  <c r="CM147" i="20"/>
  <c r="BD56" i="33"/>
  <c r="AA56" i="33"/>
  <c r="AF1122" i="9"/>
  <c r="AH868" i="9"/>
  <c r="AH818" i="9"/>
  <c r="AI772" i="9" s="1"/>
  <c r="AI867" i="9"/>
  <c r="AI817" i="9"/>
  <c r="BJ722" i="9"/>
  <c r="BJ745" i="9" s="1"/>
  <c r="BF802" i="9"/>
  <c r="Y699" i="9"/>
  <c r="BO699" i="9" s="1"/>
  <c r="BJ727" i="9"/>
  <c r="BJ768" i="9"/>
  <c r="Y768" i="9" s="1"/>
  <c r="BJ841" i="9"/>
  <c r="AL765" i="9"/>
  <c r="AL788" i="9" s="1"/>
  <c r="AK861" i="9"/>
  <c r="AK855" i="9"/>
  <c r="BE194" i="1"/>
  <c r="BE197" i="1"/>
  <c r="CK95" i="20"/>
  <c r="CL95" i="20"/>
  <c r="CM95" i="20"/>
  <c r="CM140" i="20"/>
  <c r="BB193" i="1"/>
  <c r="BA199" i="1"/>
  <c r="BO187" i="20"/>
  <c r="CM187" i="20" s="1"/>
  <c r="BZ232" i="26"/>
  <c r="BM261" i="26"/>
  <c r="BZ218" i="26"/>
  <c r="BZ258" i="26"/>
  <c r="BZ204" i="26"/>
  <c r="AL780" i="9"/>
  <c r="CN168" i="20"/>
  <c r="CF168" i="20" s="1"/>
  <c r="BL42" i="30"/>
  <c r="V42" i="30" s="1"/>
  <c r="CM42" i="30" s="1"/>
  <c r="CE42" i="30" s="1"/>
  <c r="CN171" i="20"/>
  <c r="CF171" i="20" s="1"/>
  <c r="CM180" i="20"/>
  <c r="AG542" i="9"/>
  <c r="BE147" i="30"/>
  <c r="BN1099" i="9"/>
  <c r="BE195" i="20"/>
  <c r="BE49" i="30"/>
  <c r="AL763" i="9"/>
  <c r="AL786" i="9" s="1"/>
  <c r="AL759" i="9"/>
  <c r="AL782" i="9" s="1"/>
  <c r="AL805" i="9" s="1"/>
  <c r="AM736" i="9" s="1"/>
  <c r="W783" i="9"/>
  <c r="W796" i="9"/>
  <c r="W869" i="9" s="1"/>
  <c r="W793" i="9"/>
  <c r="W866" i="9" s="1"/>
  <c r="W781" i="9"/>
  <c r="W854" i="9" s="1"/>
  <c r="W791" i="9"/>
  <c r="BM768" i="9"/>
  <c r="BM770" i="9"/>
  <c r="BM760" i="9"/>
  <c r="BM758" i="9"/>
  <c r="A17" i="14"/>
  <c r="CM144" i="20"/>
  <c r="BM228" i="6"/>
  <c r="BM131" i="30" s="1"/>
  <c r="CJ131" i="30" s="1"/>
  <c r="W152" i="30"/>
  <c r="W117" i="20"/>
  <c r="W187" i="20"/>
  <c r="BN226" i="6"/>
  <c r="BN228" i="6" s="1"/>
  <c r="BN131" i="30" s="1"/>
  <c r="BL39" i="30"/>
  <c r="BL147" i="30" s="1"/>
  <c r="BL43" i="30"/>
  <c r="V43" i="30" s="1"/>
  <c r="CM43" i="30" s="1"/>
  <c r="CE43" i="30" s="1"/>
  <c r="X107" i="6"/>
  <c r="BL67" i="30"/>
  <c r="CM67" i="30" s="1"/>
  <c r="CE67" i="30" s="1"/>
  <c r="BF84" i="1"/>
  <c r="BF49" i="1"/>
  <c r="BF156" i="1"/>
  <c r="BF60" i="1"/>
  <c r="BF37" i="1"/>
  <c r="BF151" i="1"/>
  <c r="BF107" i="1"/>
  <c r="BD160" i="1"/>
  <c r="BF117" i="1"/>
  <c r="BF28" i="1"/>
  <c r="BF39" i="30"/>
  <c r="BF152" i="30"/>
  <c r="BF59" i="33" s="1"/>
  <c r="BF67" i="1"/>
  <c r="BF34" i="30"/>
  <c r="BF15" i="1"/>
  <c r="BF42" i="30"/>
  <c r="BE158" i="1"/>
  <c r="X131" i="30"/>
  <c r="AF1027" i="9"/>
  <c r="AF1050" i="9" s="1"/>
  <c r="AF1032" i="9"/>
  <c r="AF1055" i="9" s="1"/>
  <c r="BM1099" i="9"/>
  <c r="BL134" i="20"/>
  <c r="BL195" i="20"/>
  <c r="CN195" i="20" s="1"/>
  <c r="CF195" i="20" s="1"/>
  <c r="BN791" i="9"/>
  <c r="BN864" i="9" s="1"/>
  <c r="BN783" i="9"/>
  <c r="BN856" i="9" s="1"/>
  <c r="AH787" i="9"/>
  <c r="AH810" i="9" s="1"/>
  <c r="AH790" i="9"/>
  <c r="AH797" i="9"/>
  <c r="AH792" i="9"/>
  <c r="AH815" i="9" s="1"/>
  <c r="AF1105" i="9"/>
  <c r="AF199" i="30" s="1"/>
  <c r="AF86" i="33" s="1"/>
  <c r="BL66" i="30"/>
  <c r="CM66" i="30" s="1"/>
  <c r="CE66" i="30" s="1"/>
  <c r="BO1099" i="9"/>
  <c r="BJ178" i="20"/>
  <c r="BJ50" i="30" s="1"/>
  <c r="W98" i="30"/>
  <c r="X1009" i="9"/>
  <c r="BN394" i="9"/>
  <c r="X1010" i="9"/>
  <c r="BN413" i="9"/>
  <c r="X1005" i="9"/>
  <c r="BN318" i="9"/>
  <c r="X993" i="9"/>
  <c r="BN90" i="9"/>
  <c r="X999" i="9"/>
  <c r="BN204" i="9"/>
  <c r="X1006" i="9"/>
  <c r="BN337" i="9"/>
  <c r="X996" i="9"/>
  <c r="BN147" i="9"/>
  <c r="X1007" i="9"/>
  <c r="BN356" i="9"/>
  <c r="X1000" i="9"/>
  <c r="BN223" i="9"/>
  <c r="X1002" i="9"/>
  <c r="BN261" i="9"/>
  <c r="X1008" i="9"/>
  <c r="BN375" i="9"/>
  <c r="X1003" i="9"/>
  <c r="BN280" i="9"/>
  <c r="X998" i="9"/>
  <c r="BN185" i="9"/>
  <c r="X995" i="9"/>
  <c r="BN128" i="9"/>
  <c r="BM1085" i="9"/>
  <c r="BM88" i="35" s="1"/>
  <c r="BM741" i="9"/>
  <c r="W94" i="6"/>
  <c r="BF923" i="9"/>
  <c r="BN446" i="9"/>
  <c r="BN436" i="9"/>
  <c r="X444" i="9"/>
  <c r="BN449" i="9"/>
  <c r="BN445" i="9"/>
  <c r="BN433" i="9"/>
  <c r="BN450" i="9"/>
  <c r="BN439" i="9"/>
  <c r="BF434" i="9"/>
  <c r="BF689" i="9" s="1"/>
  <c r="BN438" i="9"/>
  <c r="BN435" i="9"/>
  <c r="BG439" i="9"/>
  <c r="X432" i="9"/>
  <c r="BN447" i="9"/>
  <c r="BN440" i="9"/>
  <c r="BN442" i="9"/>
  <c r="BN448" i="9"/>
  <c r="BN443" i="9"/>
  <c r="BH441" i="9"/>
  <c r="X434" i="9"/>
  <c r="BM743" i="9"/>
  <c r="BM751" i="9"/>
  <c r="AG98" i="9"/>
  <c r="AG594" i="9" s="1"/>
  <c r="AG876" i="9" s="1"/>
  <c r="BM740" i="9"/>
  <c r="X505" i="9"/>
  <c r="X516" i="9"/>
  <c r="X509" i="9"/>
  <c r="X511" i="9"/>
  <c r="X517" i="9"/>
  <c r="X512" i="9"/>
  <c r="X507" i="9"/>
  <c r="X504" i="9"/>
  <c r="BI517" i="9"/>
  <c r="X515" i="9"/>
  <c r="X518" i="9"/>
  <c r="X514" i="9"/>
  <c r="X502" i="9"/>
  <c r="X519" i="9"/>
  <c r="X508" i="9"/>
  <c r="AG399" i="9"/>
  <c r="AG541" i="9" s="1"/>
  <c r="AG136" i="9"/>
  <c r="AG596" i="9" s="1"/>
  <c r="AG878" i="9" s="1"/>
  <c r="AG304" i="9"/>
  <c r="AG536" i="9" s="1"/>
  <c r="AI323" i="9"/>
  <c r="AI537" i="9" s="1"/>
  <c r="AH228" i="9"/>
  <c r="AH532" i="9" s="1"/>
  <c r="AG171" i="9"/>
  <c r="AG529" i="9" s="1"/>
  <c r="Y162" i="9"/>
  <c r="Y166" i="9" s="1"/>
  <c r="X437" i="9"/>
  <c r="Y238" i="9"/>
  <c r="Y242" i="9" s="1"/>
  <c r="X441" i="9"/>
  <c r="BN67" i="9"/>
  <c r="BN105" i="9"/>
  <c r="Y67" i="9"/>
  <c r="Y71" i="9" s="1"/>
  <c r="BN162" i="9"/>
  <c r="Y105" i="9"/>
  <c r="Y109" i="9" s="1"/>
  <c r="BN238" i="9"/>
  <c r="AG364" i="9"/>
  <c r="AG608" i="9" s="1"/>
  <c r="AG865" i="9"/>
  <c r="AG883" i="9"/>
  <c r="AH152" i="9"/>
  <c r="AH528" i="9" s="1"/>
  <c r="AG879" i="9"/>
  <c r="AG840" i="9"/>
  <c r="AG1120" i="9" s="1"/>
  <c r="AG1144" i="9" s="1"/>
  <c r="AF881" i="9"/>
  <c r="AG190" i="9"/>
  <c r="AG530" i="9" s="1"/>
  <c r="AH285" i="9"/>
  <c r="AH535" i="9" s="1"/>
  <c r="AG886" i="9"/>
  <c r="AG342" i="9"/>
  <c r="AG538" i="9" s="1"/>
  <c r="AF889" i="9"/>
  <c r="AF874" i="9"/>
  <c r="AG523" i="9"/>
  <c r="AG421" i="9"/>
  <c r="AG611" i="9" s="1"/>
  <c r="AG860" i="9"/>
  <c r="AD266" i="9"/>
  <c r="AD534" i="9" s="1"/>
  <c r="Y295" i="9"/>
  <c r="Y299" i="9" s="1"/>
  <c r="BN295" i="9"/>
  <c r="X846" i="9"/>
  <c r="BG67" i="9"/>
  <c r="BG71" i="9" s="1"/>
  <c r="BF994" i="9"/>
  <c r="BF902" i="9" s="1"/>
  <c r="BG999" i="9"/>
  <c r="BG907" i="9" s="1"/>
  <c r="BI377" i="9"/>
  <c r="X841" i="9"/>
  <c r="BH1001" i="9"/>
  <c r="BH909" i="9" s="1"/>
  <c r="X320" i="9"/>
  <c r="X358" i="9"/>
  <c r="X225" i="9"/>
  <c r="X263" i="9"/>
  <c r="X377" i="9"/>
  <c r="X282" i="9"/>
  <c r="X339" i="9"/>
  <c r="X187" i="9"/>
  <c r="X130" i="9"/>
  <c r="X396" i="9"/>
  <c r="X92" i="9"/>
  <c r="X415" i="9"/>
  <c r="X206" i="9"/>
  <c r="X149" i="9"/>
  <c r="BM168" i="20"/>
  <c r="BJ168" i="20"/>
  <c r="Y226" i="6"/>
  <c r="BN107" i="6"/>
  <c r="X281" i="26"/>
  <c r="CN281" i="26" s="1"/>
  <c r="AL28" i="3"/>
  <c r="AL26" i="3"/>
  <c r="AL4" i="1"/>
  <c r="AL4" i="4"/>
  <c r="AL4" i="6"/>
  <c r="AL20" i="3"/>
  <c r="BM187" i="20" l="1"/>
  <c r="CK187" i="20" s="1"/>
  <c r="BJ773" i="9"/>
  <c r="Y773" i="9" s="1"/>
  <c r="BM107" i="6"/>
  <c r="Y704" i="9"/>
  <c r="BO704" i="9" s="1"/>
  <c r="CD182" i="30"/>
  <c r="A182" i="30" s="1" a="1"/>
  <c r="A182" i="30" s="1"/>
  <c r="BN187" i="20"/>
  <c r="CL187" i="20" s="1"/>
  <c r="BN1008" i="9"/>
  <c r="BN996" i="9"/>
  <c r="BN1005" i="9"/>
  <c r="BN995" i="9"/>
  <c r="BN1002" i="9"/>
  <c r="BN1006" i="9"/>
  <c r="BN1010" i="9"/>
  <c r="BN998" i="9"/>
  <c r="BN1000" i="9"/>
  <c r="BN999" i="9"/>
  <c r="BN1009" i="9"/>
  <c r="BN1003" i="9"/>
  <c r="BN1007" i="9"/>
  <c r="BN993" i="9"/>
  <c r="CJ259" i="26"/>
  <c r="CD187" i="1"/>
  <c r="BJ796" i="9"/>
  <c r="BJ791" i="9"/>
  <c r="BJ814" i="9" s="1"/>
  <c r="Y814" i="9" s="1"/>
  <c r="CJ289" i="26"/>
  <c r="A289" i="26" s="1" a="1"/>
  <c r="A289" i="26" s="1"/>
  <c r="CD116" i="1"/>
  <c r="BJ750" i="9"/>
  <c r="Y750" i="9" s="1"/>
  <c r="BO750" i="9" s="1"/>
  <c r="A220" i="26" a="1"/>
  <c r="A220" i="26" s="1"/>
  <c r="A32" i="26" a="1"/>
  <c r="A32" i="26" s="1"/>
  <c r="A207" i="26" a="1"/>
  <c r="A207" i="26" s="1"/>
  <c r="CJ39" i="26"/>
  <c r="A39" i="26" s="1" a="1"/>
  <c r="A39" i="26" s="1"/>
  <c r="BM34" i="6"/>
  <c r="BM69" i="30" s="1"/>
  <c r="CP261" i="26"/>
  <c r="Y117" i="20"/>
  <c r="Y197" i="20" s="1"/>
  <c r="Y152" i="30"/>
  <c r="Y59" i="33" s="1"/>
  <c r="X117" i="20"/>
  <c r="X197" i="20" s="1"/>
  <c r="X152" i="30"/>
  <c r="CD183" i="30"/>
  <c r="A183" i="30" s="1" a="1"/>
  <c r="A183" i="30" s="1"/>
  <c r="CC116" i="1"/>
  <c r="A184" i="30" a="1"/>
  <c r="A184" i="30" s="1"/>
  <c r="CD196" i="30"/>
  <c r="CC196" i="30"/>
  <c r="CC198" i="30"/>
  <c r="A202" i="30" a="1"/>
  <c r="A202" i="30" s="1"/>
  <c r="CH131" i="30"/>
  <c r="CK131" i="30"/>
  <c r="W187" i="30"/>
  <c r="CJ98" i="30"/>
  <c r="CG98" i="30"/>
  <c r="A185" i="30" a="1"/>
  <c r="A185" i="30" s="1"/>
  <c r="CG152" i="30"/>
  <c r="W119" i="20"/>
  <c r="W153" i="30"/>
  <c r="BF119" i="1"/>
  <c r="BR112" i="20"/>
  <c r="BR80" i="20"/>
  <c r="BR79" i="20"/>
  <c r="BR78" i="20"/>
  <c r="BJ869" i="9"/>
  <c r="Y791" i="9"/>
  <c r="Y864" i="9" s="1"/>
  <c r="BJ864" i="9"/>
  <c r="BJ183" i="20"/>
  <c r="BL56" i="33"/>
  <c r="BE56" i="33"/>
  <c r="AF1123" i="9"/>
  <c r="AF1146" i="9"/>
  <c r="AF1147" i="9" s="1"/>
  <c r="AF170" i="1" s="1"/>
  <c r="AF170" i="20" s="1"/>
  <c r="AF41" i="30" s="1"/>
  <c r="AL803" i="9"/>
  <c r="AM734" i="9" s="1"/>
  <c r="AL853" i="9"/>
  <c r="W805" i="9"/>
  <c r="Y727" i="9"/>
  <c r="BO727" i="9" s="1"/>
  <c r="AH870" i="9"/>
  <c r="AH820" i="9"/>
  <c r="AI774" i="9" s="1"/>
  <c r="AL859" i="9"/>
  <c r="AL809" i="9"/>
  <c r="AM740" i="9" s="1"/>
  <c r="AH863" i="9"/>
  <c r="AH813" i="9"/>
  <c r="AL861" i="9"/>
  <c r="AL811" i="9"/>
  <c r="AM742" i="9" s="1"/>
  <c r="Y745" i="9"/>
  <c r="BO745" i="9" s="1"/>
  <c r="Y722" i="9"/>
  <c r="BO722" i="9" s="1"/>
  <c r="BF831" i="9"/>
  <c r="BF712" i="9"/>
  <c r="BF735" i="9" s="1"/>
  <c r="BF758" i="9"/>
  <c r="BJ843" i="9"/>
  <c r="BJ724" i="9"/>
  <c r="BJ747" i="9" s="1"/>
  <c r="Y701" i="9"/>
  <c r="BJ770" i="9"/>
  <c r="Y770" i="9" s="1"/>
  <c r="BJ833" i="9"/>
  <c r="Y691" i="9"/>
  <c r="BJ714" i="9"/>
  <c r="BJ737" i="9" s="1"/>
  <c r="BJ760" i="9"/>
  <c r="Y760" i="9" s="1"/>
  <c r="BM806" i="9"/>
  <c r="W856" i="9"/>
  <c r="BM814" i="9"/>
  <c r="W864" i="9"/>
  <c r="AL855" i="9"/>
  <c r="CE95" i="20"/>
  <c r="A95" i="20" s="1" a="1"/>
  <c r="A95" i="20" s="1"/>
  <c r="BZ95" i="20"/>
  <c r="BB199" i="1"/>
  <c r="BF197" i="1"/>
  <c r="BF194" i="1"/>
  <c r="BD165" i="1"/>
  <c r="BM48" i="30"/>
  <c r="CK168" i="20"/>
  <c r="CN134" i="20"/>
  <c r="CF134" i="20" s="1"/>
  <c r="BO198" i="30"/>
  <c r="CL198" i="30" s="1"/>
  <c r="BM198" i="30"/>
  <c r="CJ198" i="30" s="1"/>
  <c r="BN198" i="30"/>
  <c r="CK198" i="30" s="1"/>
  <c r="BF147" i="30"/>
  <c r="V39" i="30"/>
  <c r="BF49" i="30"/>
  <c r="AJ771" i="9"/>
  <c r="AJ794" i="9" s="1"/>
  <c r="AJ817" i="9" s="1"/>
  <c r="BM791" i="9"/>
  <c r="BM864" i="9" s="1"/>
  <c r="BM783" i="9"/>
  <c r="BM856" i="9" s="1"/>
  <c r="BJ48" i="30"/>
  <c r="BJ201" i="30"/>
  <c r="BJ87" i="33" s="1"/>
  <c r="BJ111" i="6"/>
  <c r="BG84" i="1"/>
  <c r="BG42" i="30"/>
  <c r="BG15" i="1"/>
  <c r="BG34" i="30"/>
  <c r="BG134" i="1"/>
  <c r="BG67" i="1"/>
  <c r="BG152" i="30"/>
  <c r="BG59" i="33" s="1"/>
  <c r="BG195" i="20"/>
  <c r="BG28" i="1"/>
  <c r="BG117" i="1"/>
  <c r="BG107" i="1"/>
  <c r="BG151" i="1"/>
  <c r="BG37" i="1"/>
  <c r="BG60" i="1"/>
  <c r="BG156" i="1"/>
  <c r="BG49" i="1"/>
  <c r="BE160" i="1"/>
  <c r="BG39" i="30"/>
  <c r="BL26" i="30"/>
  <c r="BN814" i="9"/>
  <c r="AG1019" i="9"/>
  <c r="AG1042" i="9" s="1"/>
  <c r="AF1029" i="9"/>
  <c r="AF1052" i="9" s="1"/>
  <c r="BN806" i="9"/>
  <c r="BM804" i="9"/>
  <c r="AI769" i="9"/>
  <c r="AI764" i="9"/>
  <c r="BM816" i="9"/>
  <c r="BM819" i="9"/>
  <c r="W197" i="20"/>
  <c r="BN781" i="9"/>
  <c r="BN854" i="9" s="1"/>
  <c r="BN793" i="9"/>
  <c r="BN866" i="9" s="1"/>
  <c r="BN796" i="9"/>
  <c r="BN869" i="9" s="1"/>
  <c r="AH785" i="9"/>
  <c r="BN768" i="9"/>
  <c r="BN760" i="9"/>
  <c r="BP1105" i="9"/>
  <c r="BP199" i="30" s="1"/>
  <c r="BP86" i="33" s="1"/>
  <c r="BJ34" i="6"/>
  <c r="BJ69" i="30" s="1"/>
  <c r="X154" i="6"/>
  <c r="BN281" i="26"/>
  <c r="X992" i="9"/>
  <c r="BN71" i="9"/>
  <c r="X994" i="9"/>
  <c r="BN109" i="9"/>
  <c r="X1004" i="9"/>
  <c r="BN299" i="9"/>
  <c r="X1001" i="9"/>
  <c r="BN242" i="9"/>
  <c r="X997" i="9"/>
  <c r="BN166" i="9"/>
  <c r="BJ281" i="26"/>
  <c r="BJ154" i="6" s="1"/>
  <c r="BM94" i="6"/>
  <c r="BI939" i="9"/>
  <c r="Y449" i="9"/>
  <c r="Y446" i="9"/>
  <c r="Y436" i="9"/>
  <c r="Y443" i="9"/>
  <c r="Y447" i="9"/>
  <c r="BN434" i="9"/>
  <c r="Y445" i="9"/>
  <c r="Y433" i="9"/>
  <c r="Y440" i="9"/>
  <c r="BN444" i="9"/>
  <c r="Y439" i="9"/>
  <c r="Y435" i="9"/>
  <c r="BG432" i="9"/>
  <c r="BG687" i="9" s="1"/>
  <c r="BN432" i="9"/>
  <c r="Y442" i="9"/>
  <c r="Y448" i="9"/>
  <c r="Y450" i="9"/>
  <c r="Y438" i="9"/>
  <c r="BN441" i="9"/>
  <c r="AH95" i="9"/>
  <c r="AH525" i="9" s="1"/>
  <c r="BM796" i="9"/>
  <c r="BM869" i="9" s="1"/>
  <c r="BN504" i="9"/>
  <c r="BN519" i="9"/>
  <c r="BN509" i="9"/>
  <c r="BN511" i="9"/>
  <c r="BF503" i="9"/>
  <c r="BF1085" i="9" s="1"/>
  <c r="BN502" i="9"/>
  <c r="BN516" i="9"/>
  <c r="BN518" i="9"/>
  <c r="X513" i="9"/>
  <c r="X503" i="9"/>
  <c r="BN507" i="9"/>
  <c r="BN512" i="9"/>
  <c r="BN515" i="9"/>
  <c r="BN517" i="9"/>
  <c r="BN514" i="9"/>
  <c r="BN508" i="9"/>
  <c r="BN505" i="9"/>
  <c r="BH510" i="9"/>
  <c r="BG508" i="9"/>
  <c r="X501" i="9"/>
  <c r="X510" i="9"/>
  <c r="X506" i="9"/>
  <c r="AG402" i="9"/>
  <c r="AG610" i="9" s="1"/>
  <c r="AG892" i="9" s="1"/>
  <c r="AH133" i="9"/>
  <c r="AH527" i="9" s="1"/>
  <c r="AG307" i="9"/>
  <c r="AG605" i="9" s="1"/>
  <c r="AG887" i="9" s="1"/>
  <c r="AH231" i="9"/>
  <c r="AH601" i="9" s="1"/>
  <c r="AI326" i="9"/>
  <c r="AI606" i="9" s="1"/>
  <c r="AG174" i="9"/>
  <c r="AG598" i="9" s="1"/>
  <c r="X244" i="9"/>
  <c r="X168" i="9"/>
  <c r="BN437" i="9"/>
  <c r="X73" i="9"/>
  <c r="X111" i="9"/>
  <c r="X301" i="9"/>
  <c r="AH361" i="9"/>
  <c r="AH539" i="9" s="1"/>
  <c r="AG890" i="9"/>
  <c r="AG592" i="9"/>
  <c r="AG193" i="9"/>
  <c r="AG599" i="9" s="1"/>
  <c r="AH155" i="9"/>
  <c r="AH597" i="9" s="1"/>
  <c r="AD269" i="9"/>
  <c r="AD603" i="9" s="1"/>
  <c r="AH845" i="9"/>
  <c r="AG345" i="9"/>
  <c r="AG607" i="9" s="1"/>
  <c r="AG835" i="9"/>
  <c r="AG1121" i="9" s="1"/>
  <c r="AG1145" i="9" s="1"/>
  <c r="AH418" i="9"/>
  <c r="AG893" i="9"/>
  <c r="AH288" i="9"/>
  <c r="AH604" i="9" s="1"/>
  <c r="BH244" i="9"/>
  <c r="BJ371" i="9"/>
  <c r="BJ375" i="9" s="1"/>
  <c r="BF111" i="9"/>
  <c r="BN841" i="9"/>
  <c r="BG206" i="9"/>
  <c r="BG992" i="9"/>
  <c r="BG900" i="9" s="1"/>
  <c r="BN846" i="9"/>
  <c r="BM781" i="9"/>
  <c r="BM854" i="9" s="1"/>
  <c r="BM793" i="9"/>
  <c r="BM866" i="9" s="1"/>
  <c r="BN282" i="9"/>
  <c r="BN263" i="9"/>
  <c r="BN358" i="9"/>
  <c r="BN187" i="9"/>
  <c r="BN415" i="9"/>
  <c r="BN149" i="9"/>
  <c r="BN377" i="9"/>
  <c r="BN225" i="9"/>
  <c r="BN320" i="9"/>
  <c r="BN130" i="9"/>
  <c r="BN339" i="9"/>
  <c r="BN206" i="9"/>
  <c r="BN92" i="9"/>
  <c r="BN396" i="9"/>
  <c r="BO124" i="9"/>
  <c r="BO219" i="9"/>
  <c r="BO390" i="9"/>
  <c r="BO181" i="9"/>
  <c r="BO314" i="9"/>
  <c r="BO352" i="9"/>
  <c r="BO86" i="9"/>
  <c r="BO143" i="9"/>
  <c r="BO257" i="9"/>
  <c r="BO371" i="9"/>
  <c r="BO276" i="9"/>
  <c r="BO409" i="9"/>
  <c r="BO333" i="9"/>
  <c r="BO200" i="9"/>
  <c r="Y276" i="26"/>
  <c r="BO276" i="26" s="1"/>
  <c r="Y228" i="6"/>
  <c r="BO226" i="6"/>
  <c r="BO228" i="6" s="1"/>
  <c r="BO131" i="30" s="1"/>
  <c r="Y107" i="6"/>
  <c r="AM5" i="4"/>
  <c r="AM5" i="1"/>
  <c r="AM5" i="6"/>
  <c r="AM22" i="3"/>
  <c r="CE187" i="20" l="1"/>
  <c r="BN994" i="9"/>
  <c r="BN997" i="9"/>
  <c r="BN992" i="9"/>
  <c r="BN1001" i="9"/>
  <c r="BN1004" i="9"/>
  <c r="CG187" i="30"/>
  <c r="W74" i="33"/>
  <c r="A116" i="1" a="1"/>
  <c r="A116" i="1" s="1"/>
  <c r="BJ819" i="9"/>
  <c r="Y819" i="9" s="1"/>
  <c r="Y796" i="9"/>
  <c r="BJ783" i="9"/>
  <c r="BJ806" i="9" s="1"/>
  <c r="Y806" i="9" s="1"/>
  <c r="BJ793" i="9"/>
  <c r="BJ816" i="9" s="1"/>
  <c r="Y816" i="9" s="1"/>
  <c r="AN688" i="9"/>
  <c r="AN830" i="9" s="1"/>
  <c r="Y119" i="20"/>
  <c r="X119" i="20"/>
  <c r="BN154" i="6"/>
  <c r="BN98" i="30" s="1"/>
  <c r="BN187" i="30" s="1"/>
  <c r="BN74" i="33" s="1"/>
  <c r="CQ281" i="26"/>
  <c r="X59" i="33"/>
  <c r="CH152" i="30"/>
  <c r="A196" i="30" a="1"/>
  <c r="A196" i="30" s="1"/>
  <c r="CJ187" i="30"/>
  <c r="CD198" i="30"/>
  <c r="A198" i="30" s="1" a="1"/>
  <c r="A198" i="30" s="1"/>
  <c r="BO791" i="9"/>
  <c r="BO864" i="9" s="1"/>
  <c r="V147" i="30"/>
  <c r="CM147" i="30" s="1"/>
  <c r="CE147" i="30" s="1"/>
  <c r="CM39" i="30"/>
  <c r="CE39" i="30" s="1"/>
  <c r="CG153" i="30"/>
  <c r="W59" i="33"/>
  <c r="BG119" i="1"/>
  <c r="BS112" i="20"/>
  <c r="BS80" i="20"/>
  <c r="BS79" i="20"/>
  <c r="BS78" i="20"/>
  <c r="BM85" i="33"/>
  <c r="BO85" i="33"/>
  <c r="BN85" i="33"/>
  <c r="BF56" i="33"/>
  <c r="W48" i="30"/>
  <c r="W803" i="9"/>
  <c r="AG1122" i="9"/>
  <c r="AM757" i="9"/>
  <c r="AM780" i="9" s="1"/>
  <c r="W811" i="9"/>
  <c r="W809" i="9"/>
  <c r="AH858" i="9"/>
  <c r="AH808" i="9"/>
  <c r="AI762" i="9" s="1"/>
  <c r="BF781" i="9"/>
  <c r="BF804" i="9" s="1"/>
  <c r="AM763" i="9"/>
  <c r="AM786" i="9" s="1"/>
  <c r="AN694" i="9"/>
  <c r="BJ856" i="9"/>
  <c r="Y843" i="9"/>
  <c r="BO701" i="9"/>
  <c r="BO843" i="9" s="1"/>
  <c r="Y747" i="9"/>
  <c r="BO747" i="9" s="1"/>
  <c r="Y724" i="9"/>
  <c r="BO724" i="9" s="1"/>
  <c r="Y737" i="9"/>
  <c r="BO737" i="9" s="1"/>
  <c r="Y714" i="9"/>
  <c r="BO714" i="9" s="1"/>
  <c r="AM765" i="9"/>
  <c r="AN696" i="9"/>
  <c r="AM759" i="9"/>
  <c r="AM782" i="9" s="1"/>
  <c r="AM805" i="9" s="1"/>
  <c r="AN690" i="9"/>
  <c r="Y833" i="9"/>
  <c r="BO691" i="9"/>
  <c r="BO833" i="9" s="1"/>
  <c r="BJ866" i="9"/>
  <c r="AK771" i="9"/>
  <c r="AK794" i="9" s="1"/>
  <c r="AJ867" i="9"/>
  <c r="BG756" i="9"/>
  <c r="BG779" i="9" s="1"/>
  <c r="BG852" i="9" s="1"/>
  <c r="BG829" i="9"/>
  <c r="BE165" i="1"/>
  <c r="BG194" i="1"/>
  <c r="BG197" i="1"/>
  <c r="BD193" i="1"/>
  <c r="AH542" i="9"/>
  <c r="BG147" i="30"/>
  <c r="BG49" i="30"/>
  <c r="BG710" i="9"/>
  <c r="BG733" i="9" s="1"/>
  <c r="BG158" i="1"/>
  <c r="BJ92" i="30"/>
  <c r="BO109" i="6"/>
  <c r="BO201" i="30" s="1"/>
  <c r="BO87" i="33" s="1"/>
  <c r="Y201" i="30"/>
  <c r="BH39" i="30"/>
  <c r="BH49" i="1"/>
  <c r="BH156" i="1"/>
  <c r="BH60" i="1"/>
  <c r="BH37" i="1"/>
  <c r="BH151" i="1"/>
  <c r="BH107" i="1"/>
  <c r="BH67" i="1"/>
  <c r="BH134" i="1"/>
  <c r="BH15" i="1"/>
  <c r="BH28" i="1"/>
  <c r="BH34" i="30"/>
  <c r="BH42" i="30"/>
  <c r="BH117" i="1"/>
  <c r="BH152" i="30"/>
  <c r="BH59" i="33" s="1"/>
  <c r="BH84" i="1"/>
  <c r="V26" i="30"/>
  <c r="CM26" i="30" s="1"/>
  <c r="CE26" i="30" s="1"/>
  <c r="BO768" i="9"/>
  <c r="BO814" i="9"/>
  <c r="BN816" i="9"/>
  <c r="AG1032" i="9"/>
  <c r="AG1055" i="9" s="1"/>
  <c r="AG1027" i="9"/>
  <c r="AG1050" i="9" s="1"/>
  <c r="BN804" i="9"/>
  <c r="BN819" i="9"/>
  <c r="BN773" i="9"/>
  <c r="BN758" i="9"/>
  <c r="BN770" i="9"/>
  <c r="AI797" i="9"/>
  <c r="AI820" i="9" s="1"/>
  <c r="AI795" i="9"/>
  <c r="BO760" i="9"/>
  <c r="AG1105" i="9"/>
  <c r="AG199" i="30" s="1"/>
  <c r="AG86" i="33" s="1"/>
  <c r="BJ98" i="30"/>
  <c r="BJ187" i="30" s="1"/>
  <c r="X98" i="30"/>
  <c r="CF226" i="6"/>
  <c r="A226" i="6" s="1" a="1"/>
  <c r="A226" i="6" s="1"/>
  <c r="Y131" i="30"/>
  <c r="CF228" i="6"/>
  <c r="Y1010" i="9"/>
  <c r="BO413" i="9"/>
  <c r="Y1009" i="9"/>
  <c r="BO394" i="9"/>
  <c r="Y999" i="9"/>
  <c r="BO204" i="9"/>
  <c r="Y998" i="9"/>
  <c r="BO185" i="9"/>
  <c r="Y996" i="9"/>
  <c r="BO147" i="9"/>
  <c r="Y1000" i="9"/>
  <c r="BO223" i="9"/>
  <c r="Y1006" i="9"/>
  <c r="BO337" i="9"/>
  <c r="Y1003" i="9"/>
  <c r="BO280" i="9"/>
  <c r="Y1002" i="9"/>
  <c r="BO261" i="9"/>
  <c r="Y993" i="9"/>
  <c r="BO90" i="9"/>
  <c r="Y1005" i="9"/>
  <c r="BO318" i="9"/>
  <c r="Y995" i="9"/>
  <c r="BO128" i="9"/>
  <c r="Y1008" i="9"/>
  <c r="BO375" i="9"/>
  <c r="Y1007" i="9"/>
  <c r="BO356" i="9"/>
  <c r="BF94" i="6"/>
  <c r="BF88" i="35"/>
  <c r="BF925" i="9"/>
  <c r="BG930" i="9"/>
  <c r="BH932" i="9"/>
  <c r="BO450" i="9"/>
  <c r="BO447" i="9"/>
  <c r="BO440" i="9"/>
  <c r="BO446" i="9"/>
  <c r="BO443" i="9"/>
  <c r="BO442" i="9"/>
  <c r="BO433" i="9"/>
  <c r="BO445" i="9"/>
  <c r="BO449" i="9"/>
  <c r="BO435" i="9"/>
  <c r="BO436" i="9"/>
  <c r="Y434" i="9"/>
  <c r="BO438" i="9"/>
  <c r="Y444" i="9"/>
  <c r="Y432" i="9"/>
  <c r="BO439" i="9"/>
  <c r="BO448" i="9"/>
  <c r="BJ448" i="9"/>
  <c r="AH98" i="9"/>
  <c r="AH594" i="9" s="1"/>
  <c r="AH876" i="9" s="1"/>
  <c r="X1085" i="9"/>
  <c r="X88" i="35" s="1"/>
  <c r="Y511" i="9"/>
  <c r="Y264" i="9"/>
  <c r="X264" i="9"/>
  <c r="W264" i="9"/>
  <c r="Y518" i="9"/>
  <c r="Y397" i="9"/>
  <c r="W397" i="9"/>
  <c r="X397" i="9"/>
  <c r="BN506" i="9"/>
  <c r="Y512" i="9"/>
  <c r="Y283" i="9"/>
  <c r="X283" i="9"/>
  <c r="W283" i="9"/>
  <c r="Y502" i="9"/>
  <c r="Y93" i="9"/>
  <c r="W93" i="9"/>
  <c r="X93" i="9"/>
  <c r="Y504" i="9"/>
  <c r="Y131" i="9"/>
  <c r="X131" i="9"/>
  <c r="W131" i="9"/>
  <c r="BG501" i="9"/>
  <c r="BN513" i="9"/>
  <c r="Y508" i="9"/>
  <c r="Y207" i="9"/>
  <c r="W207" i="9"/>
  <c r="X207" i="9"/>
  <c r="Y519" i="9"/>
  <c r="Y416" i="9"/>
  <c r="W416" i="9"/>
  <c r="X416" i="9"/>
  <c r="Y517" i="9"/>
  <c r="Y378" i="9"/>
  <c r="X378" i="9"/>
  <c r="W378" i="9"/>
  <c r="Y505" i="9"/>
  <c r="Y150" i="9"/>
  <c r="X150" i="9"/>
  <c r="W150" i="9"/>
  <c r="Y516" i="9"/>
  <c r="Y359" i="9"/>
  <c r="X359" i="9"/>
  <c r="W359" i="9"/>
  <c r="Y507" i="9"/>
  <c r="Y188" i="9"/>
  <c r="X188" i="9"/>
  <c r="W188" i="9"/>
  <c r="Y509" i="9"/>
  <c r="Y226" i="9"/>
  <c r="X226" i="9"/>
  <c r="W226" i="9"/>
  <c r="Y515" i="9"/>
  <c r="Y340" i="9"/>
  <c r="W340" i="9"/>
  <c r="X340" i="9"/>
  <c r="Y514" i="9"/>
  <c r="Y321" i="9"/>
  <c r="W321" i="9"/>
  <c r="X321" i="9"/>
  <c r="BN501" i="9"/>
  <c r="AH399" i="9"/>
  <c r="AH541" i="9" s="1"/>
  <c r="AH136" i="9"/>
  <c r="AH596" i="9" s="1"/>
  <c r="AH878" i="9" s="1"/>
  <c r="AI228" i="9"/>
  <c r="AI532" i="9" s="1"/>
  <c r="AH304" i="9"/>
  <c r="AH536" i="9" s="1"/>
  <c r="AH171" i="9"/>
  <c r="AH529" i="9" s="1"/>
  <c r="AJ323" i="9"/>
  <c r="AJ537" i="9" s="1"/>
  <c r="BN73" i="9"/>
  <c r="BN168" i="9"/>
  <c r="BO238" i="9"/>
  <c r="Y441" i="9"/>
  <c r="BN503" i="9"/>
  <c r="BO162" i="9"/>
  <c r="Y437" i="9"/>
  <c r="BN244" i="9"/>
  <c r="BN510" i="9"/>
  <c r="BN111" i="9"/>
  <c r="BO105" i="9"/>
  <c r="BO67" i="9"/>
  <c r="BO295" i="9"/>
  <c r="BN301" i="9"/>
  <c r="AH364" i="9"/>
  <c r="AH608" i="9" s="1"/>
  <c r="AH865" i="9"/>
  <c r="AH883" i="9"/>
  <c r="AI152" i="9"/>
  <c r="AI528" i="9" s="1"/>
  <c r="AH879" i="9"/>
  <c r="AH523" i="9"/>
  <c r="AG874" i="9"/>
  <c r="AI845" i="9"/>
  <c r="AH888" i="9"/>
  <c r="AI285" i="9"/>
  <c r="AI535" i="9" s="1"/>
  <c r="AH421" i="9"/>
  <c r="AH611" i="9" s="1"/>
  <c r="AE266" i="9"/>
  <c r="AE534" i="9" s="1"/>
  <c r="AH860" i="9"/>
  <c r="AG881" i="9"/>
  <c r="AH190" i="9"/>
  <c r="AH530" i="9" s="1"/>
  <c r="AH342" i="9"/>
  <c r="AH538" i="9" s="1"/>
  <c r="AG889" i="9"/>
  <c r="AH840" i="9"/>
  <c r="AH1120" i="9" s="1"/>
  <c r="AH1144" i="9" s="1"/>
  <c r="Y841" i="9"/>
  <c r="Y846" i="9"/>
  <c r="BJ1008" i="9"/>
  <c r="BG73" i="9"/>
  <c r="BG105" i="9"/>
  <c r="BG109" i="9" s="1"/>
  <c r="BH200" i="9"/>
  <c r="BH204" i="9" s="1"/>
  <c r="BI238" i="9"/>
  <c r="BI242" i="9" s="1"/>
  <c r="Y339" i="9"/>
  <c r="Y92" i="9"/>
  <c r="Y358" i="9"/>
  <c r="Y187" i="9"/>
  <c r="Y225" i="9"/>
  <c r="Y282" i="9"/>
  <c r="Y206" i="9"/>
  <c r="Y415" i="9"/>
  <c r="Y377" i="9"/>
  <c r="Y263" i="9"/>
  <c r="Y149" i="9"/>
  <c r="Y320" i="9"/>
  <c r="Y396" i="9"/>
  <c r="Y130" i="9"/>
  <c r="W136" i="9"/>
  <c r="W269" i="9"/>
  <c r="W98" i="9"/>
  <c r="W364" i="9"/>
  <c r="W231" i="9"/>
  <c r="W402" i="9"/>
  <c r="X168" i="20"/>
  <c r="BP226" i="6"/>
  <c r="BP228" i="6" s="1"/>
  <c r="BP131" i="30" s="1"/>
  <c r="BO107" i="6"/>
  <c r="CF107" i="6" s="1"/>
  <c r="A107" i="6" s="1" a="1"/>
  <c r="A107" i="6" s="1"/>
  <c r="Y281" i="26"/>
  <c r="CO281" i="26" s="1"/>
  <c r="CI281" i="26" s="1"/>
  <c r="AM26" i="3"/>
  <c r="AM28" i="3"/>
  <c r="AM4" i="6"/>
  <c r="AM4" i="1"/>
  <c r="AM4" i="4"/>
  <c r="AM20" i="3"/>
  <c r="AN5" i="4"/>
  <c r="AN5" i="6"/>
  <c r="AN5" i="1"/>
  <c r="Y793" i="9" l="1"/>
  <c r="BO793" i="9" s="1"/>
  <c r="BO866" i="9" s="1"/>
  <c r="BO1007" i="9"/>
  <c r="BO993" i="9"/>
  <c r="BO1000" i="9"/>
  <c r="BO1009" i="9"/>
  <c r="BO1008" i="9"/>
  <c r="BO1002" i="9"/>
  <c r="BO996" i="9"/>
  <c r="BO1010" i="9"/>
  <c r="BO995" i="9"/>
  <c r="BO1003" i="9"/>
  <c r="BO998" i="9"/>
  <c r="BO1005" i="9"/>
  <c r="BO1006" i="9"/>
  <c r="BO999" i="9"/>
  <c r="BJ64" i="33"/>
  <c r="BJ74" i="33"/>
  <c r="Y783" i="9"/>
  <c r="BO806" i="9" s="1"/>
  <c r="Y869" i="9"/>
  <c r="BO796" i="9"/>
  <c r="BO869" i="9" s="1"/>
  <c r="AN711" i="9"/>
  <c r="CC153" i="30"/>
  <c r="V56" i="33"/>
  <c r="X187" i="30"/>
  <c r="CH98" i="30"/>
  <c r="CK98" i="30"/>
  <c r="CI131" i="30"/>
  <c r="CC131" i="30" s="1"/>
  <c r="CL131" i="30"/>
  <c r="CD131" i="30" s="1"/>
  <c r="CJ48" i="30"/>
  <c r="Y87" i="33"/>
  <c r="CI201" i="30"/>
  <c r="CL201" i="30"/>
  <c r="BH119" i="1"/>
  <c r="BT112" i="20"/>
  <c r="BT80" i="20"/>
  <c r="BT79" i="20"/>
  <c r="BT78" i="20"/>
  <c r="BG56" i="33"/>
  <c r="AG1123" i="9"/>
  <c r="AG1146" i="9"/>
  <c r="AG1147" i="9" s="1"/>
  <c r="AG170" i="1" s="1"/>
  <c r="AG170" i="20" s="1"/>
  <c r="AG41" i="30" s="1"/>
  <c r="X361" i="9"/>
  <c r="X539" i="9" s="1"/>
  <c r="X399" i="9"/>
  <c r="X402" i="9" s="1"/>
  <c r="X610" i="9" s="1"/>
  <c r="X892" i="9" s="1"/>
  <c r="X95" i="9"/>
  <c r="BN95" i="9" s="1"/>
  <c r="BN525" i="9" s="1"/>
  <c r="X266" i="9"/>
  <c r="X269" i="9" s="1"/>
  <c r="BN269" i="9" s="1"/>
  <c r="X228" i="9"/>
  <c r="X231" i="9" s="1"/>
  <c r="X601" i="9" s="1"/>
  <c r="X133" i="9"/>
  <c r="X136" i="9" s="1"/>
  <c r="X596" i="9" s="1"/>
  <c r="AM803" i="9"/>
  <c r="AN757" i="9" s="1"/>
  <c r="AM853" i="9"/>
  <c r="AI868" i="9"/>
  <c r="AI818" i="9"/>
  <c r="AJ772" i="9" s="1"/>
  <c r="AM859" i="9"/>
  <c r="AM809" i="9"/>
  <c r="AK867" i="9"/>
  <c r="AK817" i="9"/>
  <c r="AL771" i="9" s="1"/>
  <c r="BG802" i="9"/>
  <c r="BF854" i="9"/>
  <c r="Y856" i="9"/>
  <c r="Y866" i="9"/>
  <c r="AM855" i="9"/>
  <c r="BH197" i="1"/>
  <c r="BE193" i="1"/>
  <c r="BH194" i="1"/>
  <c r="BD199" i="1"/>
  <c r="X916" i="9"/>
  <c r="BN916" i="9" s="1"/>
  <c r="Y916" i="9"/>
  <c r="BO916" i="9" s="1"/>
  <c r="BH147" i="30"/>
  <c r="BH195" i="20"/>
  <c r="BH49" i="30"/>
  <c r="AM788" i="9"/>
  <c r="AM811" i="9" s="1"/>
  <c r="BG160" i="1"/>
  <c r="BJ114" i="6"/>
  <c r="BJ116" i="30" s="1"/>
  <c r="BI67" i="1"/>
  <c r="BI39" i="30"/>
  <c r="BI84" i="1"/>
  <c r="BI152" i="30"/>
  <c r="BI59" i="33" s="1"/>
  <c r="BI117" i="1"/>
  <c r="BI42" i="30"/>
  <c r="BI34" i="30"/>
  <c r="BI28" i="1"/>
  <c r="BI15" i="1"/>
  <c r="BH158" i="1"/>
  <c r="BI107" i="1"/>
  <c r="BI151" i="1"/>
  <c r="BI37" i="1"/>
  <c r="BI60" i="1"/>
  <c r="BI156" i="1"/>
  <c r="BI49" i="1"/>
  <c r="BO816" i="9"/>
  <c r="BO770" i="9"/>
  <c r="BO819" i="9"/>
  <c r="AG1029" i="9"/>
  <c r="AG1052" i="9" s="1"/>
  <c r="AH1019" i="9"/>
  <c r="AH1042" i="9" s="1"/>
  <c r="AJ774" i="9"/>
  <c r="BL132" i="30"/>
  <c r="CM132" i="30" s="1"/>
  <c r="CE132" i="30" s="1"/>
  <c r="BO773" i="9"/>
  <c r="AI787" i="9"/>
  <c r="AI792" i="9"/>
  <c r="AI815" i="9" s="1"/>
  <c r="AI785" i="9"/>
  <c r="BQ1105" i="9"/>
  <c r="BQ199" i="30" s="1"/>
  <c r="BQ86" i="33" s="1"/>
  <c r="BM703" i="9"/>
  <c r="Y154" i="6"/>
  <c r="BO281" i="26"/>
  <c r="W610" i="9"/>
  <c r="W892" i="9" s="1"/>
  <c r="BM402" i="9"/>
  <c r="W596" i="9"/>
  <c r="BM136" i="9"/>
  <c r="W601" i="9"/>
  <c r="BM231" i="9"/>
  <c r="Y1001" i="9"/>
  <c r="BO242" i="9"/>
  <c r="Y994" i="9"/>
  <c r="BO109" i="9"/>
  <c r="W603" i="9"/>
  <c r="BM269" i="9"/>
  <c r="Y997" i="9"/>
  <c r="BO166" i="9"/>
  <c r="W594" i="9"/>
  <c r="W876" i="9" s="1"/>
  <c r="BM98" i="9"/>
  <c r="Y992" i="9"/>
  <c r="BO71" i="9"/>
  <c r="W608" i="9"/>
  <c r="BM364" i="9"/>
  <c r="Y1004" i="9"/>
  <c r="BO299" i="9"/>
  <c r="X94" i="6"/>
  <c r="BG923" i="9"/>
  <c r="BO432" i="9"/>
  <c r="BO437" i="9"/>
  <c r="BO444" i="9"/>
  <c r="BO441" i="9"/>
  <c r="BI441" i="9"/>
  <c r="BO434" i="9"/>
  <c r="BH439" i="9"/>
  <c r="BG434" i="9"/>
  <c r="BG689" i="9" s="1"/>
  <c r="AI95" i="9"/>
  <c r="AI525" i="9" s="1"/>
  <c r="BN1085" i="9"/>
  <c r="BN88" i="35" s="1"/>
  <c r="BO508" i="9"/>
  <c r="BO505" i="9"/>
  <c r="BO516" i="9"/>
  <c r="Y302" i="9"/>
  <c r="W302" i="9"/>
  <c r="X302" i="9"/>
  <c r="BO504" i="9"/>
  <c r="BO511" i="9"/>
  <c r="BO502" i="9"/>
  <c r="BO518" i="9"/>
  <c r="BO517" i="9"/>
  <c r="BO509" i="9"/>
  <c r="BO512" i="9"/>
  <c r="BJ517" i="9"/>
  <c r="BJ378" i="9"/>
  <c r="AA378" i="9"/>
  <c r="AB378" i="9"/>
  <c r="AC378" i="9"/>
  <c r="AD378" i="9"/>
  <c r="AE378" i="9"/>
  <c r="AF378" i="9"/>
  <c r="AG378" i="9"/>
  <c r="AH378" i="9"/>
  <c r="AI378" i="9"/>
  <c r="AJ378" i="9"/>
  <c r="AK378" i="9"/>
  <c r="AL378" i="9"/>
  <c r="AM378" i="9"/>
  <c r="AN378" i="9"/>
  <c r="AO378" i="9"/>
  <c r="AP378" i="9"/>
  <c r="AQ378" i="9"/>
  <c r="AR378" i="9"/>
  <c r="AS378" i="9"/>
  <c r="AT378" i="9"/>
  <c r="AU378" i="9"/>
  <c r="AV378" i="9"/>
  <c r="AW378" i="9"/>
  <c r="AX378" i="9"/>
  <c r="AY378" i="9"/>
  <c r="AZ378" i="9"/>
  <c r="BA378" i="9"/>
  <c r="BB378" i="9"/>
  <c r="BC378" i="9"/>
  <c r="BD378" i="9"/>
  <c r="BG378" i="9"/>
  <c r="BI378" i="9"/>
  <c r="BE378" i="9"/>
  <c r="BF378" i="9"/>
  <c r="BH378" i="9"/>
  <c r="Y245" i="9"/>
  <c r="X245" i="9"/>
  <c r="W245" i="9"/>
  <c r="Y169" i="9"/>
  <c r="X169" i="9"/>
  <c r="W169" i="9"/>
  <c r="Y503" i="9"/>
  <c r="Y112" i="9"/>
  <c r="W112" i="9"/>
  <c r="X112" i="9"/>
  <c r="BO514" i="9"/>
  <c r="BO519" i="9"/>
  <c r="BO507" i="9"/>
  <c r="BO515" i="9"/>
  <c r="Y501" i="9"/>
  <c r="Y74" i="9"/>
  <c r="X74" i="9"/>
  <c r="W74" i="9"/>
  <c r="AH402" i="9"/>
  <c r="AH610" i="9" s="1"/>
  <c r="AH892" i="9" s="1"/>
  <c r="AI133" i="9"/>
  <c r="AI527" i="9" s="1"/>
  <c r="AH307" i="9"/>
  <c r="AH605" i="9" s="1"/>
  <c r="AH887" i="9" s="1"/>
  <c r="AH174" i="9"/>
  <c r="AH598" i="9" s="1"/>
  <c r="AI231" i="9"/>
  <c r="AI601" i="9" s="1"/>
  <c r="AJ326" i="9"/>
  <c r="Y506" i="9"/>
  <c r="W307" i="9"/>
  <c r="Y513" i="9"/>
  <c r="Y510" i="9"/>
  <c r="Y111" i="9"/>
  <c r="Y301" i="9"/>
  <c r="Y73" i="9"/>
  <c r="Y244" i="9"/>
  <c r="W174" i="9"/>
  <c r="Y168" i="9"/>
  <c r="AI361" i="9"/>
  <c r="AI539" i="9" s="1"/>
  <c r="AH890" i="9"/>
  <c r="AH193" i="9"/>
  <c r="AH599" i="9" s="1"/>
  <c r="AH893" i="9"/>
  <c r="AI418" i="9"/>
  <c r="AH345" i="9"/>
  <c r="AH607" i="9" s="1"/>
  <c r="AI840" i="9"/>
  <c r="AI1120" i="9" s="1"/>
  <c r="AI1144" i="9" s="1"/>
  <c r="AI288" i="9"/>
  <c r="AI604" i="9" s="1"/>
  <c r="AH592" i="9"/>
  <c r="AH835" i="9"/>
  <c r="AH1121" i="9" s="1"/>
  <c r="AH1145" i="9" s="1"/>
  <c r="AE269" i="9"/>
  <c r="AE603" i="9" s="1"/>
  <c r="AI155" i="9"/>
  <c r="AI597" i="9" s="1"/>
  <c r="W60" i="9"/>
  <c r="W250" i="9"/>
  <c r="W212" i="9"/>
  <c r="W840" i="9"/>
  <c r="W79" i="9"/>
  <c r="W845" i="9"/>
  <c r="W383" i="9"/>
  <c r="W288" i="9"/>
  <c r="W345" i="9"/>
  <c r="W117" i="9"/>
  <c r="W421" i="9"/>
  <c r="BI1001" i="9"/>
  <c r="BI909" i="9" s="1"/>
  <c r="BO846" i="9"/>
  <c r="BO841" i="9"/>
  <c r="BG994" i="9"/>
  <c r="BG902" i="9" s="1"/>
  <c r="V789" i="9"/>
  <c r="V862" i="9" s="1"/>
  <c r="BH999" i="9"/>
  <c r="BH907" i="9" s="1"/>
  <c r="BH67" i="9"/>
  <c r="BH71" i="9" s="1"/>
  <c r="W193" i="9"/>
  <c r="V784" i="9"/>
  <c r="V857" i="9" s="1"/>
  <c r="V1115" i="9" s="1"/>
  <c r="W835" i="9"/>
  <c r="V794" i="9"/>
  <c r="V867" i="9" s="1"/>
  <c r="W326" i="9"/>
  <c r="W155" i="9"/>
  <c r="BJ377" i="9"/>
  <c r="BP390" i="9"/>
  <c r="BP394" i="9" s="1"/>
  <c r="BO396" i="9"/>
  <c r="BO263" i="9"/>
  <c r="BO415" i="9"/>
  <c r="BP409" i="9" s="1"/>
  <c r="BP413" i="9" s="1"/>
  <c r="BO187" i="9"/>
  <c r="BP181" i="9" s="1"/>
  <c r="BP185" i="9" s="1"/>
  <c r="BO92" i="9"/>
  <c r="BP86" i="9" s="1"/>
  <c r="BP90" i="9" s="1"/>
  <c r="BO282" i="9"/>
  <c r="BP276" i="9" s="1"/>
  <c r="BP280" i="9" s="1"/>
  <c r="BO130" i="9"/>
  <c r="BO320" i="9"/>
  <c r="BP314" i="9" s="1"/>
  <c r="BP318" i="9" s="1"/>
  <c r="BO149" i="9"/>
  <c r="BP143" i="9" s="1"/>
  <c r="BP147" i="9" s="1"/>
  <c r="BO377" i="9"/>
  <c r="BO206" i="9"/>
  <c r="BO225" i="9"/>
  <c r="BP219" i="9" s="1"/>
  <c r="BP223" i="9" s="1"/>
  <c r="BO358" i="9"/>
  <c r="BP352" i="9" s="1"/>
  <c r="BP356" i="9" s="1"/>
  <c r="BO339" i="9"/>
  <c r="BP371" i="9"/>
  <c r="BP375" i="9" s="1"/>
  <c r="BP124" i="9"/>
  <c r="BP128" i="9" s="1"/>
  <c r="BN168" i="20"/>
  <c r="CL168" i="20" s="1"/>
  <c r="BQ226" i="6"/>
  <c r="BQ228" i="6" s="1"/>
  <c r="BQ131" i="30" s="1"/>
  <c r="AN20" i="3"/>
  <c r="AN22" i="3"/>
  <c r="AO22" i="3"/>
  <c r="AO5" i="6"/>
  <c r="AO5" i="4"/>
  <c r="AO5" i="1"/>
  <c r="AN4" i="1"/>
  <c r="AN4" i="4"/>
  <c r="AN4" i="6"/>
  <c r="BO1001" i="9" l="1"/>
  <c r="BO1004" i="9"/>
  <c r="BO997" i="9"/>
  <c r="BO992" i="9"/>
  <c r="BO994" i="9"/>
  <c r="CK187" i="30"/>
  <c r="X74" i="33"/>
  <c r="BO783" i="9"/>
  <c r="BO856" i="9" s="1"/>
  <c r="BN399" i="9"/>
  <c r="BN541" i="9" s="1"/>
  <c r="AN734" i="9"/>
  <c r="AO688" i="9" s="1"/>
  <c r="BN228" i="9"/>
  <c r="BN532" i="9" s="1"/>
  <c r="BN361" i="9"/>
  <c r="BN539" i="9" s="1"/>
  <c r="X364" i="9"/>
  <c r="BN364" i="9" s="1"/>
  <c r="BN231" i="9"/>
  <c r="BO154" i="6"/>
  <c r="BO98" i="30" s="1"/>
  <c r="BO187" i="30" s="1"/>
  <c r="BO74" i="33" s="1"/>
  <c r="CR281" i="26"/>
  <c r="CJ281" i="26" s="1"/>
  <c r="A281" i="26" s="1" a="1"/>
  <c r="A281" i="26" s="1"/>
  <c r="CH187" i="30"/>
  <c r="BN136" i="9"/>
  <c r="A131" i="30" a="1"/>
  <c r="A131" i="30" s="1"/>
  <c r="V1114" i="9"/>
  <c r="X534" i="9"/>
  <c r="BI119" i="1"/>
  <c r="BU112" i="20"/>
  <c r="BU80" i="20"/>
  <c r="BU79" i="20"/>
  <c r="BU78" i="20"/>
  <c r="Y1084" i="9"/>
  <c r="Y91" i="6" s="1"/>
  <c r="Y89" i="30" s="1"/>
  <c r="W1120" i="9"/>
  <c r="W1144" i="9" s="1"/>
  <c r="BH56" i="33"/>
  <c r="V1116" i="9"/>
  <c r="BN402" i="9"/>
  <c r="X527" i="9"/>
  <c r="X603" i="9"/>
  <c r="BN266" i="9"/>
  <c r="BN534" i="9" s="1"/>
  <c r="X98" i="9"/>
  <c r="BN98" i="9" s="1"/>
  <c r="X532" i="9"/>
  <c r="BN133" i="9"/>
  <c r="BN527" i="9" s="1"/>
  <c r="X525" i="9"/>
  <c r="X541" i="9"/>
  <c r="X323" i="9"/>
  <c r="X326" i="9" s="1"/>
  <c r="BN326" i="9" s="1"/>
  <c r="X190" i="9"/>
  <c r="BN190" i="9" s="1"/>
  <c r="BN530" i="9" s="1"/>
  <c r="Y133" i="9"/>
  <c r="Y266" i="9"/>
  <c r="Y399" i="9"/>
  <c r="X57" i="9"/>
  <c r="BN57" i="9" s="1"/>
  <c r="BN523" i="9" s="1"/>
  <c r="Y228" i="9"/>
  <c r="AA1016" i="9"/>
  <c r="AA1039" i="9" s="1"/>
  <c r="AI865" i="9"/>
  <c r="AI858" i="9"/>
  <c r="AI808" i="9"/>
  <c r="AJ762" i="9" s="1"/>
  <c r="AI860" i="9"/>
  <c r="AI810" i="9"/>
  <c r="AJ764" i="9" s="1"/>
  <c r="AN763" i="9"/>
  <c r="AN786" i="9" s="1"/>
  <c r="AN859" i="9" s="1"/>
  <c r="BG831" i="9"/>
  <c r="BG712" i="9"/>
  <c r="BG735" i="9" s="1"/>
  <c r="BG758" i="9"/>
  <c r="BG781" i="9" s="1"/>
  <c r="BG804" i="9" s="1"/>
  <c r="AN832" i="9"/>
  <c r="AN713" i="9"/>
  <c r="AN736" i="9" s="1"/>
  <c r="AN838" i="9"/>
  <c r="AN719" i="9"/>
  <c r="AN742" i="9" s="1"/>
  <c r="AN759" i="9"/>
  <c r="AN782" i="9" s="1"/>
  <c r="AN805" i="9" s="1"/>
  <c r="AN836" i="9"/>
  <c r="AN717" i="9"/>
  <c r="AN740" i="9" s="1"/>
  <c r="AA1018" i="9"/>
  <c r="AA1041" i="9" s="1"/>
  <c r="AN765" i="9"/>
  <c r="AM861" i="9"/>
  <c r="BI194" i="1"/>
  <c r="BI197" i="1"/>
  <c r="BE199" i="1"/>
  <c r="BG165" i="1"/>
  <c r="AI542" i="9"/>
  <c r="BI147" i="30"/>
  <c r="BN48" i="30"/>
  <c r="BI49" i="30"/>
  <c r="AN780" i="9"/>
  <c r="AN853" i="9" s="1"/>
  <c r="BJ28" i="1"/>
  <c r="CM23" i="20" s="1"/>
  <c r="CE23" i="20" s="1"/>
  <c r="BJ84" i="1"/>
  <c r="CM66" i="20" s="1"/>
  <c r="CE66" i="20" s="1"/>
  <c r="BJ67" i="1"/>
  <c r="BJ134" i="1"/>
  <c r="BH160" i="1"/>
  <c r="BJ15" i="1"/>
  <c r="BJ49" i="1"/>
  <c r="BJ156" i="1"/>
  <c r="CM127" i="20" s="1"/>
  <c r="CE127" i="20" s="1"/>
  <c r="BJ60" i="1"/>
  <c r="BJ37" i="1"/>
  <c r="BJ151" i="1"/>
  <c r="CM124" i="20" s="1"/>
  <c r="CE124" i="20" s="1"/>
  <c r="BJ107" i="1"/>
  <c r="CM89" i="20" s="1"/>
  <c r="CE89" i="20" s="1"/>
  <c r="BJ42" i="30"/>
  <c r="BJ152" i="30"/>
  <c r="BJ59" i="33" s="1"/>
  <c r="BJ34" i="30"/>
  <c r="BJ117" i="1"/>
  <c r="BJ39" i="30"/>
  <c r="X608" i="9"/>
  <c r="AH1032" i="9"/>
  <c r="AH1055" i="9" s="1"/>
  <c r="AH1027" i="9"/>
  <c r="AH1050" i="9" s="1"/>
  <c r="BM421" i="9"/>
  <c r="X418" i="9"/>
  <c r="BM383" i="9"/>
  <c r="X380" i="9"/>
  <c r="BM212" i="9"/>
  <c r="X209" i="9"/>
  <c r="BM288" i="9"/>
  <c r="X285" i="9"/>
  <c r="BM155" i="9"/>
  <c r="X152" i="9"/>
  <c r="BM117" i="9"/>
  <c r="X114" i="9"/>
  <c r="BM250" i="9"/>
  <c r="X247" i="9"/>
  <c r="BM174" i="9"/>
  <c r="X171" i="9"/>
  <c r="BM307" i="9"/>
  <c r="X304" i="9"/>
  <c r="BM345" i="9"/>
  <c r="X342" i="9"/>
  <c r="BM79" i="9"/>
  <c r="X76" i="9"/>
  <c r="X524" i="9" s="1"/>
  <c r="AJ797" i="9"/>
  <c r="AJ820" i="9" s="1"/>
  <c r="AL794" i="9"/>
  <c r="AJ795" i="9"/>
  <c r="BP276" i="26"/>
  <c r="BP281" i="26" s="1"/>
  <c r="BP154" i="6" s="1"/>
  <c r="Y98" i="30"/>
  <c r="W592" i="9"/>
  <c r="BM60" i="9"/>
  <c r="W606" i="9"/>
  <c r="BM326" i="9"/>
  <c r="W599" i="9"/>
  <c r="BM193" i="9"/>
  <c r="BN94" i="6"/>
  <c r="BJ939" i="9"/>
  <c r="X939" i="9" s="1"/>
  <c r="BN939" i="9" s="1"/>
  <c r="BP443" i="9"/>
  <c r="BP450" i="9"/>
  <c r="BP440" i="9"/>
  <c r="BP447" i="9"/>
  <c r="BP436" i="9"/>
  <c r="BP433" i="9"/>
  <c r="BH432" i="9"/>
  <c r="BH687" i="9" s="1"/>
  <c r="BP435" i="9"/>
  <c r="BP445" i="9"/>
  <c r="BP438" i="9"/>
  <c r="BP448" i="9"/>
  <c r="BP449" i="9"/>
  <c r="AI98" i="9"/>
  <c r="AI594" i="9" s="1"/>
  <c r="AI876" i="9" s="1"/>
  <c r="Y1085" i="9"/>
  <c r="Y88" i="35" s="1"/>
  <c r="BO503" i="9"/>
  <c r="BO510" i="9"/>
  <c r="BO506" i="9"/>
  <c r="BG503" i="9"/>
  <c r="BG1085" i="9" s="1"/>
  <c r="BH508" i="9"/>
  <c r="BI510" i="9"/>
  <c r="BO513" i="9"/>
  <c r="BO501" i="9"/>
  <c r="AI399" i="9"/>
  <c r="AI541" i="9" s="1"/>
  <c r="AI136" i="9"/>
  <c r="AI596" i="9" s="1"/>
  <c r="AI878" i="9" s="1"/>
  <c r="AI171" i="9"/>
  <c r="AI529" i="9" s="1"/>
  <c r="AI304" i="9"/>
  <c r="AI536" i="9" s="1"/>
  <c r="AJ228" i="9"/>
  <c r="AJ532" i="9" s="1"/>
  <c r="AK323" i="9"/>
  <c r="AJ606" i="9"/>
  <c r="BO244" i="9"/>
  <c r="BO168" i="9"/>
  <c r="BP162" i="9" s="1"/>
  <c r="BP166" i="9" s="1"/>
  <c r="W605" i="9"/>
  <c r="W887" i="9" s="1"/>
  <c r="W597" i="9"/>
  <c r="W879" i="9" s="1"/>
  <c r="W595" i="9"/>
  <c r="W877" i="9" s="1"/>
  <c r="W593" i="9"/>
  <c r="W607" i="9"/>
  <c r="W889" i="9" s="1"/>
  <c r="W600" i="9"/>
  <c r="W609" i="9"/>
  <c r="W602" i="9"/>
  <c r="W598" i="9"/>
  <c r="W611" i="9"/>
  <c r="W604" i="9"/>
  <c r="BO111" i="9"/>
  <c r="BO73" i="9"/>
  <c r="BP67" i="9"/>
  <c r="BP71" i="9" s="1"/>
  <c r="BO301" i="9"/>
  <c r="BP295" i="9" s="1"/>
  <c r="BP299" i="9" s="1"/>
  <c r="AI364" i="9"/>
  <c r="AI608" i="9" s="1"/>
  <c r="AJ152" i="9"/>
  <c r="AJ528" i="9" s="1"/>
  <c r="AI879" i="9"/>
  <c r="AJ845" i="9"/>
  <c r="BM698" i="9"/>
  <c r="AI190" i="9"/>
  <c r="AI530" i="9" s="1"/>
  <c r="AH881" i="9"/>
  <c r="AI523" i="9"/>
  <c r="AI342" i="9"/>
  <c r="AI538" i="9" s="1"/>
  <c r="AH889" i="9"/>
  <c r="AJ285" i="9"/>
  <c r="AJ535" i="9" s="1"/>
  <c r="AI870" i="9"/>
  <c r="AI421" i="9"/>
  <c r="AI611" i="9" s="1"/>
  <c r="AF266" i="9"/>
  <c r="AF534" i="9" s="1"/>
  <c r="AI835" i="9"/>
  <c r="AI1121" i="9" s="1"/>
  <c r="AI1145" i="9" s="1"/>
  <c r="BP333" i="9"/>
  <c r="BP337" i="9" s="1"/>
  <c r="BL784" i="9"/>
  <c r="BP105" i="9"/>
  <c r="BP109" i="9" s="1"/>
  <c r="BP238" i="9"/>
  <c r="BP242" i="9" s="1"/>
  <c r="BI244" i="9"/>
  <c r="BH206" i="9"/>
  <c r="BG111" i="9"/>
  <c r="BP257" i="9"/>
  <c r="BP261" i="9" s="1"/>
  <c r="BP200" i="9"/>
  <c r="BP204" i="9" s="1"/>
  <c r="AA383" i="9"/>
  <c r="AA609" i="9" s="1"/>
  <c r="BL794" i="9"/>
  <c r="BH992" i="9"/>
  <c r="BH900" i="9" s="1"/>
  <c r="BL789" i="9"/>
  <c r="BP1003" i="9"/>
  <c r="BP998" i="9"/>
  <c r="BP1007" i="9"/>
  <c r="BP996" i="9"/>
  <c r="BP1009" i="9"/>
  <c r="BP1005" i="9"/>
  <c r="BP1000" i="9"/>
  <c r="BP1010" i="9"/>
  <c r="BP993" i="9"/>
  <c r="BP995" i="9"/>
  <c r="BP1008" i="9"/>
  <c r="BR226" i="6"/>
  <c r="BR228" i="6" s="1"/>
  <c r="BR131" i="30" s="1"/>
  <c r="BP107" i="6"/>
  <c r="AN26" i="3"/>
  <c r="AN28" i="3"/>
  <c r="AO28" i="3"/>
  <c r="AO26" i="3"/>
  <c r="AP5" i="1"/>
  <c r="AP5" i="6"/>
  <c r="AP5" i="4"/>
  <c r="AO4" i="4"/>
  <c r="AO4" i="1"/>
  <c r="AO4" i="6"/>
  <c r="AO20" i="3"/>
  <c r="CF154" i="6" l="1"/>
  <c r="A154" i="6" s="1" a="1"/>
  <c r="A154" i="6" s="1"/>
  <c r="Y95" i="9"/>
  <c r="Y525" i="9" s="1"/>
  <c r="Y361" i="9"/>
  <c r="Y364" i="9" s="1"/>
  <c r="BO364" i="9" s="1"/>
  <c r="AO711" i="9"/>
  <c r="AO830" i="9"/>
  <c r="X606" i="9"/>
  <c r="X193" i="9"/>
  <c r="X599" i="9" s="1"/>
  <c r="Y187" i="30"/>
  <c r="CI98" i="30"/>
  <c r="CC98" i="30" s="1"/>
  <c r="CL98" i="30"/>
  <c r="CD98" i="30" s="1"/>
  <c r="CI152" i="30"/>
  <c r="CC152" i="30" s="1"/>
  <c r="Y87" i="35"/>
  <c r="X594" i="9"/>
  <c r="BJ119" i="1"/>
  <c r="BV112" i="20"/>
  <c r="BV80" i="20"/>
  <c r="BW79" i="20"/>
  <c r="BV79" i="20"/>
  <c r="BV78" i="20"/>
  <c r="BI56" i="33"/>
  <c r="V1117" i="9"/>
  <c r="V195" i="30" s="1"/>
  <c r="X530" i="9"/>
  <c r="X60" i="9"/>
  <c r="BN60" i="9" s="1"/>
  <c r="X537" i="9"/>
  <c r="BN323" i="9"/>
  <c r="BN537" i="9" s="1"/>
  <c r="X523" i="9"/>
  <c r="Y269" i="9"/>
  <c r="Y534" i="9"/>
  <c r="BO266" i="9"/>
  <c r="BO534" i="9" s="1"/>
  <c r="Y231" i="9"/>
  <c r="Y532" i="9"/>
  <c r="BO228" i="9"/>
  <c r="BO532" i="9" s="1"/>
  <c r="Y402" i="9"/>
  <c r="Y541" i="9"/>
  <c r="BO399" i="9"/>
  <c r="BO541" i="9" s="1"/>
  <c r="Y136" i="9"/>
  <c r="Y527" i="9"/>
  <c r="BO133" i="9"/>
  <c r="BO527" i="9" s="1"/>
  <c r="Y323" i="9"/>
  <c r="AB1016" i="9"/>
  <c r="AB1039" i="9" s="1"/>
  <c r="AN809" i="9"/>
  <c r="AL867" i="9"/>
  <c r="AL817" i="9"/>
  <c r="AM748" i="9" s="1"/>
  <c r="AN803" i="9"/>
  <c r="AO757" i="9" s="1"/>
  <c r="AJ868" i="9"/>
  <c r="AJ818" i="9"/>
  <c r="AI883" i="9"/>
  <c r="BG854" i="9"/>
  <c r="AO694" i="9"/>
  <c r="AO696" i="9"/>
  <c r="AO690" i="9"/>
  <c r="AJ769" i="9"/>
  <c r="AJ792" i="9" s="1"/>
  <c r="AI888" i="9"/>
  <c r="AN855" i="9"/>
  <c r="BH756" i="9"/>
  <c r="BH779" i="9" s="1"/>
  <c r="BH852" i="9" s="1"/>
  <c r="BH829" i="9"/>
  <c r="BH165" i="1"/>
  <c r="BJ197" i="1"/>
  <c r="BJ194" i="1"/>
  <c r="CM93" i="20"/>
  <c r="CE93" i="20" s="1"/>
  <c r="BG193" i="1"/>
  <c r="BJ147" i="30"/>
  <c r="X48" i="30"/>
  <c r="BJ49" i="30"/>
  <c r="BJ195" i="20"/>
  <c r="AN788" i="9"/>
  <c r="AN811" i="9" s="1"/>
  <c r="BH710" i="9"/>
  <c r="BH733" i="9" s="1"/>
  <c r="BJ158" i="1"/>
  <c r="Y939" i="9"/>
  <c r="BO939" i="9" s="1"/>
  <c r="AI1019" i="9"/>
  <c r="AI1042" i="9" s="1"/>
  <c r="AH1029" i="9"/>
  <c r="AH1052" i="9" s="1"/>
  <c r="X538" i="9"/>
  <c r="BN342" i="9"/>
  <c r="BN538" i="9" s="1"/>
  <c r="X345" i="9"/>
  <c r="X529" i="9"/>
  <c r="BN171" i="9"/>
  <c r="BN529" i="9" s="1"/>
  <c r="X174" i="9"/>
  <c r="X526" i="9"/>
  <c r="BN114" i="9"/>
  <c r="BN526" i="9" s="1"/>
  <c r="X117" i="9"/>
  <c r="X535" i="9"/>
  <c r="BN285" i="9"/>
  <c r="BN535" i="9" s="1"/>
  <c r="X288" i="9"/>
  <c r="X540" i="9"/>
  <c r="BN380" i="9"/>
  <c r="BN540" i="9" s="1"/>
  <c r="X383" i="9"/>
  <c r="BN76" i="9"/>
  <c r="BN524" i="9" s="1"/>
  <c r="X79" i="9"/>
  <c r="Y608" i="9"/>
  <c r="X536" i="9"/>
  <c r="BN304" i="9"/>
  <c r="BN536" i="9" s="1"/>
  <c r="X307" i="9"/>
  <c r="X533" i="9"/>
  <c r="BN247" i="9"/>
  <c r="BN533" i="9" s="1"/>
  <c r="X250" i="9"/>
  <c r="X528" i="9"/>
  <c r="BN152" i="9"/>
  <c r="BN528" i="9" s="1"/>
  <c r="X155" i="9"/>
  <c r="X531" i="9"/>
  <c r="BN209" i="9"/>
  <c r="BN531" i="9" s="1"/>
  <c r="X212" i="9"/>
  <c r="X542" i="9"/>
  <c r="BN418" i="9"/>
  <c r="BN542" i="9" s="1"/>
  <c r="X421" i="9"/>
  <c r="AJ787" i="9"/>
  <c r="AJ810" i="9" s="1"/>
  <c r="BP98" i="30"/>
  <c r="BP187" i="30" s="1"/>
  <c r="BP74" i="33" s="1"/>
  <c r="BG94" i="6"/>
  <c r="BG88" i="35"/>
  <c r="Y94" i="6"/>
  <c r="BH930" i="9"/>
  <c r="BG925" i="9"/>
  <c r="BI932" i="9"/>
  <c r="BP441" i="9"/>
  <c r="BP439" i="9"/>
  <c r="BP434" i="9"/>
  <c r="BP444" i="9"/>
  <c r="BP432" i="9"/>
  <c r="BP437" i="9"/>
  <c r="AJ95" i="9"/>
  <c r="AJ525" i="9" s="1"/>
  <c r="BO1085" i="9"/>
  <c r="BO88" i="35" s="1"/>
  <c r="BP517" i="9"/>
  <c r="BP509" i="9"/>
  <c r="BP516" i="9"/>
  <c r="BP519" i="9"/>
  <c r="BP504" i="9"/>
  <c r="BP507" i="9"/>
  <c r="BH501" i="9"/>
  <c r="BP505" i="9"/>
  <c r="BP514" i="9"/>
  <c r="BP502" i="9"/>
  <c r="BP512" i="9"/>
  <c r="AI402" i="9"/>
  <c r="AI610" i="9" s="1"/>
  <c r="AI892" i="9" s="1"/>
  <c r="AJ133" i="9"/>
  <c r="AJ527" i="9" s="1"/>
  <c r="AJ231" i="9"/>
  <c r="AJ601" i="9" s="1"/>
  <c r="AI174" i="9"/>
  <c r="AI598" i="9" s="1"/>
  <c r="AI307" i="9"/>
  <c r="AI605" i="9" s="1"/>
  <c r="AI887" i="9" s="1"/>
  <c r="AK537" i="9"/>
  <c r="AK326" i="9"/>
  <c r="BP997" i="9"/>
  <c r="BP518" i="9"/>
  <c r="BP1006" i="9"/>
  <c r="BP446" i="9"/>
  <c r="BP1002" i="9"/>
  <c r="BP442" i="9"/>
  <c r="BP992" i="9"/>
  <c r="BP1004" i="9"/>
  <c r="BP994" i="9"/>
  <c r="AJ361" i="9"/>
  <c r="AJ539" i="9" s="1"/>
  <c r="AI890" i="9"/>
  <c r="BP1001" i="9"/>
  <c r="AB380" i="9"/>
  <c r="AA891" i="9"/>
  <c r="AF269" i="9"/>
  <c r="AF603" i="9" s="1"/>
  <c r="AI345" i="9"/>
  <c r="AI607" i="9" s="1"/>
  <c r="AJ840" i="9"/>
  <c r="AJ1120" i="9" s="1"/>
  <c r="AJ1144" i="9" s="1"/>
  <c r="AI592" i="9"/>
  <c r="AI893" i="9"/>
  <c r="AJ418" i="9"/>
  <c r="AJ288" i="9"/>
  <c r="AJ604" i="9" s="1"/>
  <c r="AI193" i="9"/>
  <c r="AI599" i="9" s="1"/>
  <c r="BM693" i="9"/>
  <c r="AJ155" i="9"/>
  <c r="AJ597" i="9" s="1"/>
  <c r="BP999" i="9"/>
  <c r="BH105" i="9"/>
  <c r="BH109" i="9" s="1"/>
  <c r="BH73" i="9"/>
  <c r="BI200" i="9"/>
  <c r="BI204" i="9" s="1"/>
  <c r="BJ238" i="9"/>
  <c r="BJ242" i="9" s="1"/>
  <c r="BQ276" i="9"/>
  <c r="BQ280" i="9" s="1"/>
  <c r="BP282" i="9"/>
  <c r="BP358" i="9"/>
  <c r="BQ352" i="9" s="1"/>
  <c r="BQ356" i="9" s="1"/>
  <c r="BP320" i="9"/>
  <c r="BP187" i="9"/>
  <c r="BQ181" i="9" s="1"/>
  <c r="BQ185" i="9" s="1"/>
  <c r="BP225" i="9"/>
  <c r="BQ219" i="9" s="1"/>
  <c r="BQ223" i="9" s="1"/>
  <c r="BP396" i="9"/>
  <c r="BQ390" i="9" s="1"/>
  <c r="BQ394" i="9" s="1"/>
  <c r="BP149" i="9"/>
  <c r="BQ143" i="9" s="1"/>
  <c r="BQ147" i="9" s="1"/>
  <c r="BQ314" i="9"/>
  <c r="BQ318" i="9" s="1"/>
  <c r="BP415" i="9"/>
  <c r="BQ409" i="9" s="1"/>
  <c r="BQ413" i="9" s="1"/>
  <c r="BP92" i="9"/>
  <c r="BQ86" i="9" s="1"/>
  <c r="BQ90" i="9" s="1"/>
  <c r="BP377" i="9"/>
  <c r="BP130" i="9"/>
  <c r="BQ124" i="9" s="1"/>
  <c r="BQ128" i="9" s="1"/>
  <c r="BQ276" i="26"/>
  <c r="BQ281" i="26" s="1"/>
  <c r="BQ371" i="9"/>
  <c r="BQ375" i="9" s="1"/>
  <c r="AM156" i="20"/>
  <c r="BS226" i="6"/>
  <c r="BS228" i="6" s="1"/>
  <c r="BS131" i="30" s="1"/>
  <c r="AP20" i="3"/>
  <c r="AP22" i="3"/>
  <c r="AP4" i="6"/>
  <c r="AP4" i="1"/>
  <c r="AP4" i="4"/>
  <c r="Y98" i="9" l="1"/>
  <c r="Y594" i="9" s="1"/>
  <c r="BO95" i="9"/>
  <c r="BO525" i="9" s="1"/>
  <c r="CL187" i="30"/>
  <c r="CD187" i="30" s="1"/>
  <c r="Y74" i="33"/>
  <c r="CI187" i="30"/>
  <c r="CC187" i="30" s="1"/>
  <c r="Y190" i="9"/>
  <c r="Y530" i="9" s="1"/>
  <c r="Y539" i="9"/>
  <c r="X592" i="9"/>
  <c r="BO361" i="9"/>
  <c r="BO539" i="9" s="1"/>
  <c r="AO734" i="9"/>
  <c r="AP688" i="9" s="1"/>
  <c r="BN193" i="9"/>
  <c r="A98" i="30" a="1"/>
  <c r="A98" i="30" s="1"/>
  <c r="CK48" i="30"/>
  <c r="V83" i="33"/>
  <c r="BW80" i="20"/>
  <c r="BZ80" i="20" s="1"/>
  <c r="BZ80" i="1"/>
  <c r="AM197" i="20"/>
  <c r="BW112" i="20"/>
  <c r="BZ112" i="20" s="1"/>
  <c r="BZ112" i="1"/>
  <c r="BZ79" i="20"/>
  <c r="BZ79" i="1"/>
  <c r="BW78" i="20"/>
  <c r="BZ78" i="20" s="1"/>
  <c r="BZ78" i="1"/>
  <c r="Y57" i="9"/>
  <c r="Y60" i="9" s="1"/>
  <c r="Y592" i="9" s="1"/>
  <c r="BJ56" i="33"/>
  <c r="Y610" i="9"/>
  <c r="Y892" i="9" s="1"/>
  <c r="BO402" i="9"/>
  <c r="Y603" i="9"/>
  <c r="BO269" i="9"/>
  <c r="Y596" i="9"/>
  <c r="BO136" i="9"/>
  <c r="Y537" i="9"/>
  <c r="Y326" i="9"/>
  <c r="BO323" i="9"/>
  <c r="BO537" i="9" s="1"/>
  <c r="Y601" i="9"/>
  <c r="BO231" i="9"/>
  <c r="AJ860" i="9"/>
  <c r="W817" i="9"/>
  <c r="AJ865" i="9"/>
  <c r="AJ815" i="9"/>
  <c r="AJ888" i="9" s="1"/>
  <c r="BH802" i="9"/>
  <c r="AO765" i="9"/>
  <c r="AO788" i="9" s="1"/>
  <c r="AM771" i="9"/>
  <c r="AN702" i="9"/>
  <c r="AN861" i="9"/>
  <c r="AB1018" i="9"/>
  <c r="AB1041" i="9" s="1"/>
  <c r="BG199" i="1"/>
  <c r="BH193" i="1"/>
  <c r="AJ542" i="9"/>
  <c r="AB540" i="9"/>
  <c r="AK774" i="9"/>
  <c r="AK797" i="9" s="1"/>
  <c r="AK820" i="9" s="1"/>
  <c r="AK772" i="9"/>
  <c r="AK795" i="9" s="1"/>
  <c r="AK818" i="9" s="1"/>
  <c r="AO780" i="9"/>
  <c r="AM28" i="30"/>
  <c r="BJ160" i="1"/>
  <c r="AI1027" i="9"/>
  <c r="AI1050" i="9" s="1"/>
  <c r="AI1032" i="9"/>
  <c r="AI1055" i="9" s="1"/>
  <c r="AK764" i="9"/>
  <c r="BN250" i="9"/>
  <c r="Y247" i="9"/>
  <c r="X602" i="9"/>
  <c r="BN117" i="9"/>
  <c r="Y114" i="9"/>
  <c r="X595" i="9"/>
  <c r="X877" i="9" s="1"/>
  <c r="BN155" i="9"/>
  <c r="Y152" i="9"/>
  <c r="X597" i="9"/>
  <c r="X879" i="9" s="1"/>
  <c r="BN288" i="9"/>
  <c r="Y285" i="9"/>
  <c r="X604" i="9"/>
  <c r="BN212" i="9"/>
  <c r="Y209" i="9"/>
  <c r="X600" i="9"/>
  <c r="BN383" i="9"/>
  <c r="Y380" i="9"/>
  <c r="X609" i="9"/>
  <c r="BN421" i="9"/>
  <c r="Y418" i="9"/>
  <c r="X611" i="9"/>
  <c r="BN307" i="9"/>
  <c r="Y304" i="9"/>
  <c r="X605" i="9"/>
  <c r="X887" i="9" s="1"/>
  <c r="BN79" i="9"/>
  <c r="Y76" i="9"/>
  <c r="X593" i="9"/>
  <c r="BN174" i="9"/>
  <c r="Y171" i="9"/>
  <c r="X598" i="9"/>
  <c r="BN345" i="9"/>
  <c r="Y342" i="9"/>
  <c r="X607" i="9"/>
  <c r="X889" i="9" s="1"/>
  <c r="AJ785" i="9"/>
  <c r="BS1105" i="9"/>
  <c r="BS199" i="30" s="1"/>
  <c r="BS86" i="33" s="1"/>
  <c r="AI1105" i="9"/>
  <c r="AI199" i="30" s="1"/>
  <c r="AI86" i="33" s="1"/>
  <c r="BO94" i="6"/>
  <c r="BH923" i="9"/>
  <c r="BQ445" i="9"/>
  <c r="BI439" i="9"/>
  <c r="BQ438" i="9"/>
  <c r="BQ448" i="9"/>
  <c r="BH434" i="9"/>
  <c r="BH689" i="9" s="1"/>
  <c r="BQ435" i="9"/>
  <c r="BJ441" i="9"/>
  <c r="BQ436" i="9"/>
  <c r="BQ443" i="9"/>
  <c r="BQ433" i="9"/>
  <c r="BQ449" i="9"/>
  <c r="BQ447" i="9"/>
  <c r="BQ450" i="9"/>
  <c r="BQ440" i="9"/>
  <c r="AJ98" i="9"/>
  <c r="AJ594" i="9" s="1"/>
  <c r="AJ876" i="9" s="1"/>
  <c r="BP508" i="9"/>
  <c r="BP513" i="9"/>
  <c r="BP501" i="9"/>
  <c r="BP515" i="9"/>
  <c r="BP506" i="9"/>
  <c r="BP503" i="9"/>
  <c r="BP511" i="9"/>
  <c r="AJ399" i="9"/>
  <c r="AJ541" i="9" s="1"/>
  <c r="AJ136" i="9"/>
  <c r="AJ596" i="9" s="1"/>
  <c r="AJ878" i="9" s="1"/>
  <c r="AJ171" i="9"/>
  <c r="AJ529" i="9" s="1"/>
  <c r="AK228" i="9"/>
  <c r="AK532" i="9" s="1"/>
  <c r="AJ304" i="9"/>
  <c r="AJ536" i="9" s="1"/>
  <c r="BP168" i="9"/>
  <c r="AK606" i="9"/>
  <c r="AL323" i="9"/>
  <c r="BP73" i="9"/>
  <c r="BP263" i="9"/>
  <c r="BQ257" i="9" s="1"/>
  <c r="BQ261" i="9" s="1"/>
  <c r="BP244" i="9"/>
  <c r="BP510" i="9"/>
  <c r="BP301" i="9"/>
  <c r="BP339" i="9"/>
  <c r="BQ105" i="9"/>
  <c r="BQ109" i="9" s="1"/>
  <c r="BP111" i="9"/>
  <c r="AJ364" i="9"/>
  <c r="AJ608" i="9" s="1"/>
  <c r="AJ870" i="9"/>
  <c r="AJ421" i="9"/>
  <c r="AJ611" i="9" s="1"/>
  <c r="AJ342" i="9"/>
  <c r="AJ538" i="9" s="1"/>
  <c r="AI889" i="9"/>
  <c r="AG266" i="9"/>
  <c r="AG534" i="9" s="1"/>
  <c r="BP206" i="9"/>
  <c r="AK152" i="9"/>
  <c r="AK528" i="9" s="1"/>
  <c r="AJ879" i="9"/>
  <c r="AJ190" i="9"/>
  <c r="AJ530" i="9" s="1"/>
  <c r="AI881" i="9"/>
  <c r="AK285" i="9"/>
  <c r="AK535" i="9" s="1"/>
  <c r="AJ523" i="9"/>
  <c r="AK845" i="9"/>
  <c r="AJ835" i="9"/>
  <c r="AJ1121" i="9" s="1"/>
  <c r="AJ1145" i="9" s="1"/>
  <c r="AB383" i="9"/>
  <c r="AB609" i="9" s="1"/>
  <c r="BQ200" i="9"/>
  <c r="BQ204" i="9" s="1"/>
  <c r="BQ238" i="9"/>
  <c r="BQ242" i="9" s="1"/>
  <c r="BQ162" i="9"/>
  <c r="BQ166" i="9" s="1"/>
  <c r="BQ295" i="9"/>
  <c r="BQ299" i="9" s="1"/>
  <c r="BI999" i="9"/>
  <c r="BI907" i="9" s="1"/>
  <c r="BI67" i="9"/>
  <c r="BI71" i="9" s="1"/>
  <c r="BQ67" i="9"/>
  <c r="BQ71" i="9" s="1"/>
  <c r="BQ333" i="9"/>
  <c r="BQ337" i="9" s="1"/>
  <c r="BJ1001" i="9"/>
  <c r="BH994" i="9"/>
  <c r="BH902" i="9" s="1"/>
  <c r="BQ993" i="9"/>
  <c r="BQ996" i="9"/>
  <c r="BQ1009" i="9"/>
  <c r="BQ1007" i="9"/>
  <c r="BQ1003" i="9"/>
  <c r="BQ998" i="9"/>
  <c r="BQ1005" i="9"/>
  <c r="BQ1010" i="9"/>
  <c r="BQ1000" i="9"/>
  <c r="BQ995" i="9"/>
  <c r="BQ1008" i="9"/>
  <c r="BQ154" i="6"/>
  <c r="BR276" i="26"/>
  <c r="BR281" i="26" s="1"/>
  <c r="BT226" i="6"/>
  <c r="BT228" i="6" s="1"/>
  <c r="BT131" i="30" s="1"/>
  <c r="BQ107" i="6"/>
  <c r="AP28" i="3"/>
  <c r="AP26" i="3"/>
  <c r="AQ5" i="4"/>
  <c r="AQ5" i="1"/>
  <c r="AQ22" i="3"/>
  <c r="AQ5" i="6"/>
  <c r="BO98" i="9" l="1"/>
  <c r="BO190" i="9"/>
  <c r="BO530" i="9" s="1"/>
  <c r="Y193" i="9"/>
  <c r="Y599" i="9" s="1"/>
  <c r="AP830" i="9"/>
  <c r="AP711" i="9"/>
  <c r="AP734" i="9" s="1"/>
  <c r="AQ688" i="9" s="1"/>
  <c r="BO60" i="9"/>
  <c r="BO57" i="9"/>
  <c r="BO523" i="9" s="1"/>
  <c r="Y523" i="9"/>
  <c r="AK769" i="9"/>
  <c r="AK792" i="9" s="1"/>
  <c r="Y606" i="9"/>
  <c r="BO326" i="9"/>
  <c r="AO803" i="9"/>
  <c r="AP757" i="9" s="1"/>
  <c r="AP780" i="9" s="1"/>
  <c r="AO853" i="9"/>
  <c r="AJ858" i="9"/>
  <c r="AJ808" i="9"/>
  <c r="AK762" i="9" s="1"/>
  <c r="AO811" i="9"/>
  <c r="AO759" i="9"/>
  <c r="AO782" i="9" s="1"/>
  <c r="AO805" i="9" s="1"/>
  <c r="BH831" i="9"/>
  <c r="BH712" i="9"/>
  <c r="BH735" i="9" s="1"/>
  <c r="BH758" i="9"/>
  <c r="AO832" i="9"/>
  <c r="AO713" i="9"/>
  <c r="AO736" i="9" s="1"/>
  <c r="AJ883" i="9"/>
  <c r="AO836" i="9"/>
  <c r="AO717" i="9"/>
  <c r="AO740" i="9" s="1"/>
  <c r="AO763" i="9"/>
  <c r="AO786" i="9" s="1"/>
  <c r="AO859" i="9" s="1"/>
  <c r="AO838" i="9"/>
  <c r="AO719" i="9"/>
  <c r="AO742" i="9" s="1"/>
  <c r="AL772" i="9"/>
  <c r="AL795" i="9" s="1"/>
  <c r="AK868" i="9"/>
  <c r="AO861" i="9"/>
  <c r="BJ165" i="1"/>
  <c r="BH199" i="1"/>
  <c r="X909" i="9"/>
  <c r="BN909" i="9" s="1"/>
  <c r="Y909" i="9"/>
  <c r="BO909" i="9" s="1"/>
  <c r="AL774" i="9"/>
  <c r="AL797" i="9" s="1"/>
  <c r="AL820" i="9" s="1"/>
  <c r="AM794" i="9"/>
  <c r="AM817" i="9" s="1"/>
  <c r="AN22" i="30"/>
  <c r="AI1029" i="9"/>
  <c r="AI1052" i="9" s="1"/>
  <c r="AJ1019" i="9"/>
  <c r="AJ1042" i="9" s="1"/>
  <c r="Y524" i="9"/>
  <c r="BO76" i="9"/>
  <c r="BO524" i="9" s="1"/>
  <c r="Y79" i="9"/>
  <c r="Y531" i="9"/>
  <c r="BO209" i="9"/>
  <c r="BO531" i="9" s="1"/>
  <c r="Y212" i="9"/>
  <c r="Y529" i="9"/>
  <c r="BO171" i="9"/>
  <c r="BO529" i="9" s="1"/>
  <c r="Y174" i="9"/>
  <c r="Y540" i="9"/>
  <c r="BO380" i="9"/>
  <c r="BO540" i="9" s="1"/>
  <c r="Y383" i="9"/>
  <c r="Y526" i="9"/>
  <c r="BO114" i="9"/>
  <c r="BO526" i="9" s="1"/>
  <c r="Y117" i="9"/>
  <c r="Y538" i="9"/>
  <c r="BO342" i="9"/>
  <c r="BO538" i="9" s="1"/>
  <c r="Y345" i="9"/>
  <c r="Y542" i="9"/>
  <c r="BO418" i="9"/>
  <c r="BO542" i="9" s="1"/>
  <c r="Y421" i="9"/>
  <c r="Y528" i="9"/>
  <c r="BO152" i="9"/>
  <c r="BO528" i="9" s="1"/>
  <c r="Y155" i="9"/>
  <c r="Y533" i="9"/>
  <c r="BO247" i="9"/>
  <c r="BO533" i="9" s="1"/>
  <c r="Y250" i="9"/>
  <c r="Y536" i="9"/>
  <c r="BO304" i="9"/>
  <c r="BO536" i="9" s="1"/>
  <c r="Y307" i="9"/>
  <c r="Y535" i="9"/>
  <c r="BO285" i="9"/>
  <c r="BO535" i="9" s="1"/>
  <c r="Y288" i="9"/>
  <c r="BQ98" i="30"/>
  <c r="BQ187" i="30" s="1"/>
  <c r="CF94" i="6"/>
  <c r="A94" i="6" s="1" a="1"/>
  <c r="A94" i="6" s="1"/>
  <c r="BP1085" i="9"/>
  <c r="BP88" i="35" s="1"/>
  <c r="BQ434" i="9"/>
  <c r="BQ442" i="9"/>
  <c r="BI432" i="9"/>
  <c r="BI687" i="9" s="1"/>
  <c r="BQ432" i="9"/>
  <c r="BQ439" i="9"/>
  <c r="BQ444" i="9"/>
  <c r="AK95" i="9"/>
  <c r="AK525" i="9" s="1"/>
  <c r="BQ518" i="9"/>
  <c r="BQ509" i="9"/>
  <c r="BQ507" i="9"/>
  <c r="BQ505" i="9"/>
  <c r="BH503" i="9"/>
  <c r="BH1085" i="9" s="1"/>
  <c r="BI508" i="9"/>
  <c r="BQ519" i="9"/>
  <c r="BQ502" i="9"/>
  <c r="BQ517" i="9"/>
  <c r="BQ514" i="9"/>
  <c r="BQ516" i="9"/>
  <c r="BJ510" i="9"/>
  <c r="BJ245" i="9"/>
  <c r="AA245" i="9"/>
  <c r="AB245" i="9"/>
  <c r="AC245" i="9"/>
  <c r="AD245" i="9"/>
  <c r="AE245" i="9"/>
  <c r="AF245" i="9"/>
  <c r="AG245" i="9"/>
  <c r="AH245" i="9"/>
  <c r="AI245" i="9"/>
  <c r="AJ245" i="9"/>
  <c r="AK245" i="9"/>
  <c r="AM245" i="9"/>
  <c r="AL245" i="9"/>
  <c r="AN245" i="9"/>
  <c r="AO245" i="9"/>
  <c r="AP245" i="9"/>
  <c r="AQ245" i="9"/>
  <c r="AR245" i="9"/>
  <c r="AS245" i="9"/>
  <c r="AT245" i="9"/>
  <c r="AU245" i="9"/>
  <c r="AV245" i="9"/>
  <c r="AW245" i="9"/>
  <c r="AX245" i="9"/>
  <c r="AY245" i="9"/>
  <c r="AZ245" i="9"/>
  <c r="BA245" i="9"/>
  <c r="BB245" i="9"/>
  <c r="BC245" i="9"/>
  <c r="BD245" i="9"/>
  <c r="BF245" i="9"/>
  <c r="BI245" i="9"/>
  <c r="BG245" i="9"/>
  <c r="BE245" i="9"/>
  <c r="BH245" i="9"/>
  <c r="BQ504" i="9"/>
  <c r="AJ402" i="9"/>
  <c r="AJ610" i="9" s="1"/>
  <c r="AJ892" i="9" s="1"/>
  <c r="AK133" i="9"/>
  <c r="AK527" i="9" s="1"/>
  <c r="W117" i="13"/>
  <c r="AJ174" i="9"/>
  <c r="AJ598" i="9" s="1"/>
  <c r="AJ307" i="9"/>
  <c r="AJ605" i="9" s="1"/>
  <c r="AJ887" i="9" s="1"/>
  <c r="AK231" i="9"/>
  <c r="AK601" i="9" s="1"/>
  <c r="AL537" i="9"/>
  <c r="AL326" i="9"/>
  <c r="BQ1002" i="9"/>
  <c r="BQ282" i="9"/>
  <c r="BQ512" i="9"/>
  <c r="BQ997" i="9"/>
  <c r="BQ437" i="9"/>
  <c r="BQ1006" i="9"/>
  <c r="BQ446" i="9"/>
  <c r="BQ1001" i="9"/>
  <c r="BQ441" i="9"/>
  <c r="BQ1004" i="9"/>
  <c r="BQ994" i="9"/>
  <c r="AK361" i="9"/>
  <c r="AK539" i="9" s="1"/>
  <c r="AJ890" i="9"/>
  <c r="AJ193" i="9"/>
  <c r="AJ599" i="9" s="1"/>
  <c r="AJ345" i="9"/>
  <c r="AJ607" i="9" s="1"/>
  <c r="AJ893" i="9"/>
  <c r="AK418" i="9"/>
  <c r="AJ592" i="9"/>
  <c r="AK288" i="9"/>
  <c r="AK604" i="9" s="1"/>
  <c r="AK155" i="9"/>
  <c r="AK597" i="9" s="1"/>
  <c r="AG269" i="9"/>
  <c r="AG603" i="9" s="1"/>
  <c r="AK840" i="9"/>
  <c r="AK1120" i="9" s="1"/>
  <c r="AK1144" i="9" s="1"/>
  <c r="AC380" i="9"/>
  <c r="AB891" i="9"/>
  <c r="BQ999" i="9"/>
  <c r="BQ992" i="9"/>
  <c r="BI206" i="9"/>
  <c r="BH111" i="9"/>
  <c r="BI992" i="9"/>
  <c r="BI900" i="9" s="1"/>
  <c r="BJ244" i="9"/>
  <c r="BQ92" i="9"/>
  <c r="BR86" i="9" s="1"/>
  <c r="BR90" i="9" s="1"/>
  <c r="BQ149" i="9"/>
  <c r="BR143" i="9" s="1"/>
  <c r="BR147" i="9" s="1"/>
  <c r="BQ396" i="9"/>
  <c r="BR276" i="9"/>
  <c r="BR280" i="9" s="1"/>
  <c r="BQ358" i="9"/>
  <c r="BR352" i="9" s="1"/>
  <c r="BR356" i="9" s="1"/>
  <c r="BQ187" i="9"/>
  <c r="BR181" i="9" s="1"/>
  <c r="BR185" i="9" s="1"/>
  <c r="BQ320" i="9"/>
  <c r="BR314" i="9" s="1"/>
  <c r="BR318" i="9" s="1"/>
  <c r="BQ225" i="9"/>
  <c r="BR219" i="9" s="1"/>
  <c r="BR223" i="9" s="1"/>
  <c r="BQ415" i="9"/>
  <c r="BR409" i="9" s="1"/>
  <c r="BR413" i="9" s="1"/>
  <c r="BQ130" i="9"/>
  <c r="BQ377" i="9"/>
  <c r="BR154" i="6"/>
  <c r="BS276" i="26"/>
  <c r="BS281" i="26" s="1"/>
  <c r="AO156" i="20"/>
  <c r="BU226" i="6"/>
  <c r="BU228" i="6" s="1"/>
  <c r="BU131" i="30" s="1"/>
  <c r="AQ26" i="3"/>
  <c r="AQ28" i="3"/>
  <c r="AQ4" i="6"/>
  <c r="AQ4" i="4"/>
  <c r="AQ4" i="1"/>
  <c r="AQ20" i="3"/>
  <c r="BO193" i="9" l="1"/>
  <c r="BQ64" i="33"/>
  <c r="BQ74" i="33"/>
  <c r="AQ830" i="9"/>
  <c r="AQ711" i="9"/>
  <c r="AO22" i="30"/>
  <c r="AP803" i="9"/>
  <c r="AQ757" i="9" s="1"/>
  <c r="AQ780" i="9" s="1"/>
  <c r="AQ853" i="9" s="1"/>
  <c r="AP853" i="9"/>
  <c r="AD1016" i="9" s="1"/>
  <c r="AD1039" i="9" s="1"/>
  <c r="AC1016" i="9"/>
  <c r="AC1039" i="9" s="1"/>
  <c r="W820" i="9"/>
  <c r="AK865" i="9"/>
  <c r="AK815" i="9"/>
  <c r="AL868" i="9"/>
  <c r="AL818" i="9"/>
  <c r="AM749" i="9" s="1"/>
  <c r="AO809" i="9"/>
  <c r="AO855" i="9"/>
  <c r="AC1018" i="9" s="1"/>
  <c r="AC1041" i="9" s="1"/>
  <c r="BH781" i="9"/>
  <c r="BH804" i="9" s="1"/>
  <c r="AP696" i="9"/>
  <c r="AP690" i="9"/>
  <c r="AM774" i="9"/>
  <c r="AM797" i="9" s="1"/>
  <c r="AM820" i="9" s="1"/>
  <c r="AP694" i="9"/>
  <c r="AN844" i="9"/>
  <c r="AN725" i="9"/>
  <c r="AN748" i="9" s="1"/>
  <c r="AN771" i="9"/>
  <c r="AM867" i="9"/>
  <c r="BI756" i="9"/>
  <c r="BI779" i="9" s="1"/>
  <c r="BI852" i="9" s="1"/>
  <c r="BI829" i="9"/>
  <c r="BJ193" i="1"/>
  <c r="AC540" i="9"/>
  <c r="AK542" i="9"/>
  <c r="BI710" i="9"/>
  <c r="BI733" i="9" s="1"/>
  <c r="AO28" i="30"/>
  <c r="AJ1027" i="9"/>
  <c r="AJ1050" i="9" s="1"/>
  <c r="AJ1032" i="9"/>
  <c r="AJ1055" i="9" s="1"/>
  <c r="BO307" i="9"/>
  <c r="Y605" i="9"/>
  <c r="Y887" i="9" s="1"/>
  <c r="BO155" i="9"/>
  <c r="Y597" i="9"/>
  <c r="Y879" i="9" s="1"/>
  <c r="BO383" i="9"/>
  <c r="Y609" i="9"/>
  <c r="BO288" i="9"/>
  <c r="Y604" i="9"/>
  <c r="BO250" i="9"/>
  <c r="Y602" i="9"/>
  <c r="BO117" i="9"/>
  <c r="Y595" i="9"/>
  <c r="BO79" i="9"/>
  <c r="Y593" i="9"/>
  <c r="BO345" i="9"/>
  <c r="Y607" i="9"/>
  <c r="Y889" i="9" s="1"/>
  <c r="BO212" i="9"/>
  <c r="Y600" i="9"/>
  <c r="BO421" i="9"/>
  <c r="Y611" i="9"/>
  <c r="BO174" i="9"/>
  <c r="Y598" i="9"/>
  <c r="AK785" i="9"/>
  <c r="AK787" i="9"/>
  <c r="BT1105" i="9"/>
  <c r="BT199" i="30" s="1"/>
  <c r="BT86" i="33" s="1"/>
  <c r="AJ1105" i="9"/>
  <c r="AJ199" i="30" s="1"/>
  <c r="AJ86" i="33" s="1"/>
  <c r="BR98" i="30"/>
  <c r="BR187" i="30" s="1"/>
  <c r="BP94" i="6"/>
  <c r="BP97" i="6" s="1"/>
  <c r="BH94" i="6"/>
  <c r="BH88" i="35"/>
  <c r="BH925" i="9"/>
  <c r="BI930" i="9"/>
  <c r="BJ932" i="9"/>
  <c r="X932" i="9" s="1"/>
  <c r="BN932" i="9" s="1"/>
  <c r="BR436" i="9"/>
  <c r="BR445" i="9"/>
  <c r="BR443" i="9"/>
  <c r="BR438" i="9"/>
  <c r="BR447" i="9"/>
  <c r="BR440" i="9"/>
  <c r="BR433" i="9"/>
  <c r="BR450" i="9"/>
  <c r="AK98" i="9"/>
  <c r="AK594" i="9" s="1"/>
  <c r="AK876" i="9" s="1"/>
  <c r="BQ508" i="9"/>
  <c r="BQ503" i="9"/>
  <c r="BQ511" i="9"/>
  <c r="BI501" i="9"/>
  <c r="BQ513" i="9"/>
  <c r="BQ510" i="9"/>
  <c r="BQ506" i="9"/>
  <c r="BQ501" i="9"/>
  <c r="BQ515" i="9"/>
  <c r="AK399" i="9"/>
  <c r="AK541" i="9" s="1"/>
  <c r="AK136" i="9"/>
  <c r="AK596" i="9" s="1"/>
  <c r="AK878" i="9" s="1"/>
  <c r="AK171" i="9"/>
  <c r="AK529" i="9" s="1"/>
  <c r="AL228" i="9"/>
  <c r="AL532" i="9" s="1"/>
  <c r="AK304" i="9"/>
  <c r="AK536" i="9" s="1"/>
  <c r="AL606" i="9"/>
  <c r="AM323" i="9"/>
  <c r="BQ263" i="9"/>
  <c r="BR257" i="9" s="1"/>
  <c r="BR261" i="9" s="1"/>
  <c r="BQ339" i="9"/>
  <c r="BQ301" i="9"/>
  <c r="BQ168" i="9"/>
  <c r="BR162" i="9" s="1"/>
  <c r="BR166" i="9" s="1"/>
  <c r="BQ244" i="9"/>
  <c r="BQ111" i="9"/>
  <c r="BR105" i="9"/>
  <c r="BR109" i="9" s="1"/>
  <c r="BQ73" i="9"/>
  <c r="BQ1147" i="9" s="1"/>
  <c r="BQ170" i="1" s="1"/>
  <c r="BQ206" i="9"/>
  <c r="AK364" i="9"/>
  <c r="AK608" i="9" s="1"/>
  <c r="AL845" i="9"/>
  <c r="AK835" i="9"/>
  <c r="AK1121" i="9" s="1"/>
  <c r="AK1145" i="9" s="1"/>
  <c r="AK870" i="9"/>
  <c r="AK421" i="9"/>
  <c r="AK611" i="9" s="1"/>
  <c r="AL152" i="9"/>
  <c r="AL528" i="9" s="1"/>
  <c r="AK879" i="9"/>
  <c r="AK523" i="9"/>
  <c r="AK190" i="9"/>
  <c r="AK530" i="9" s="1"/>
  <c r="AJ881" i="9"/>
  <c r="AC383" i="9"/>
  <c r="AC609" i="9" s="1"/>
  <c r="AL285" i="9"/>
  <c r="AL535" i="9" s="1"/>
  <c r="AK342" i="9"/>
  <c r="AK538" i="9" s="1"/>
  <c r="AJ889" i="9"/>
  <c r="AH266" i="9"/>
  <c r="AH534" i="9" s="1"/>
  <c r="BR390" i="9"/>
  <c r="BR394" i="9" s="1"/>
  <c r="BR200" i="9"/>
  <c r="BR204" i="9" s="1"/>
  <c r="BR333" i="9"/>
  <c r="BR337" i="9" s="1"/>
  <c r="BR371" i="9"/>
  <c r="BR375" i="9" s="1"/>
  <c r="BR238" i="9"/>
  <c r="BR242" i="9" s="1"/>
  <c r="BR295" i="9"/>
  <c r="BR299" i="9" s="1"/>
  <c r="BI105" i="9"/>
  <c r="BI109" i="9" s="1"/>
  <c r="BI73" i="9"/>
  <c r="BR124" i="9"/>
  <c r="BR128" i="9" s="1"/>
  <c r="BR67" i="9"/>
  <c r="BR71" i="9" s="1"/>
  <c r="AA250" i="9"/>
  <c r="AA602" i="9" s="1"/>
  <c r="BJ200" i="9"/>
  <c r="BJ204" i="9" s="1"/>
  <c r="BR993" i="9"/>
  <c r="BR996" i="9"/>
  <c r="BR1003" i="9"/>
  <c r="BR1000" i="9"/>
  <c r="BR1005" i="9"/>
  <c r="BR1007" i="9"/>
  <c r="BR998" i="9"/>
  <c r="BR1010" i="9"/>
  <c r="BS154" i="6"/>
  <c r="BT276" i="26"/>
  <c r="BT281" i="26" s="1"/>
  <c r="BV226" i="6"/>
  <c r="BV228" i="6" s="1"/>
  <c r="BV131" i="30" s="1"/>
  <c r="BR107" i="6"/>
  <c r="AR5" i="6"/>
  <c r="AR22" i="3"/>
  <c r="AR5" i="4"/>
  <c r="AR5" i="1"/>
  <c r="BR64" i="33" l="1"/>
  <c r="BR74" i="33"/>
  <c r="AQ734" i="9"/>
  <c r="AR688" i="9" s="1"/>
  <c r="BQ1084" i="9"/>
  <c r="BQ87" i="35" s="1"/>
  <c r="AE1016" i="9"/>
  <c r="AE1039" i="9" s="1"/>
  <c r="W818" i="9"/>
  <c r="AK860" i="9"/>
  <c r="AK810" i="9"/>
  <c r="AK883" i="9" s="1"/>
  <c r="AK858" i="9"/>
  <c r="AK808" i="9"/>
  <c r="AL762" i="9" s="1"/>
  <c r="AQ803" i="9"/>
  <c r="BI802" i="9"/>
  <c r="BH854" i="9"/>
  <c r="AO702" i="9"/>
  <c r="AM772" i="9"/>
  <c r="AN703" i="9"/>
  <c r="AN774" i="9"/>
  <c r="AL769" i="9"/>
  <c r="AL792" i="9" s="1"/>
  <c r="AL815" i="9" s="1"/>
  <c r="AM746" i="9" s="1"/>
  <c r="AK888" i="9"/>
  <c r="AA1030" i="9"/>
  <c r="AA1053" i="9" s="1"/>
  <c r="BJ199" i="1"/>
  <c r="W47" i="6"/>
  <c r="W178" i="6"/>
  <c r="W79" i="6"/>
  <c r="W83" i="30" s="1"/>
  <c r="AN794" i="9"/>
  <c r="AN817" i="9" s="1"/>
  <c r="AP22" i="30"/>
  <c r="Y932" i="9"/>
  <c r="BO932" i="9" s="1"/>
  <c r="AJ1029" i="9"/>
  <c r="AJ1052" i="9" s="1"/>
  <c r="AK1019" i="9"/>
  <c r="AK1042" i="9" s="1"/>
  <c r="AP197" i="20"/>
  <c r="BS98" i="30"/>
  <c r="BS187" i="30" s="1"/>
  <c r="BP114" i="30"/>
  <c r="BI923" i="9"/>
  <c r="BR448" i="9"/>
  <c r="BR449" i="9"/>
  <c r="BI434" i="9"/>
  <c r="BI689" i="9" s="1"/>
  <c r="BJ439" i="9"/>
  <c r="BR432" i="9"/>
  <c r="BR444" i="9"/>
  <c r="BR442" i="9"/>
  <c r="BR434" i="9"/>
  <c r="BR437" i="9"/>
  <c r="AL95" i="9"/>
  <c r="AL525" i="9" s="1"/>
  <c r="BQ1085" i="9"/>
  <c r="BQ88" i="35" s="1"/>
  <c r="BR505" i="9"/>
  <c r="BR512" i="9"/>
  <c r="BR516" i="9"/>
  <c r="BR519" i="9"/>
  <c r="BR514" i="9"/>
  <c r="BR502" i="9"/>
  <c r="BR507" i="9"/>
  <c r="BR509" i="9"/>
  <c r="AK402" i="9"/>
  <c r="AK610" i="9" s="1"/>
  <c r="AK892" i="9" s="1"/>
  <c r="AL133" i="9"/>
  <c r="AL527" i="9" s="1"/>
  <c r="AL231" i="9"/>
  <c r="AL601" i="9" s="1"/>
  <c r="AK307" i="9"/>
  <c r="AK605" i="9" s="1"/>
  <c r="AK887" i="9" s="1"/>
  <c r="AK174" i="9"/>
  <c r="AK598" i="9" s="1"/>
  <c r="BR1002" i="9"/>
  <c r="AM537" i="9"/>
  <c r="AM326" i="9"/>
  <c r="BR997" i="9"/>
  <c r="BR1006" i="9"/>
  <c r="BR446" i="9"/>
  <c r="BR999" i="9"/>
  <c r="BR439" i="9"/>
  <c r="BR1001" i="9"/>
  <c r="BR441" i="9"/>
  <c r="BR995" i="9"/>
  <c r="BR435" i="9"/>
  <c r="BR994" i="9"/>
  <c r="BR992" i="9"/>
  <c r="BR1008" i="9"/>
  <c r="BR1009" i="9"/>
  <c r="BR1004" i="9"/>
  <c r="AK890" i="9"/>
  <c r="AL361" i="9"/>
  <c r="AL539" i="9" s="1"/>
  <c r="AK592" i="9"/>
  <c r="AK345" i="9"/>
  <c r="AK607" i="9" s="1"/>
  <c r="AL288" i="9"/>
  <c r="AL604" i="9" s="1"/>
  <c r="AK193" i="9"/>
  <c r="AK599" i="9" s="1"/>
  <c r="AL840" i="9"/>
  <c r="AL1120" i="9" s="1"/>
  <c r="AL1144" i="9" s="1"/>
  <c r="AK893" i="9"/>
  <c r="AL418" i="9"/>
  <c r="AB247" i="9"/>
  <c r="AA884" i="9"/>
  <c r="AH269" i="9"/>
  <c r="AH603" i="9" s="1"/>
  <c r="AC891" i="9"/>
  <c r="AD380" i="9"/>
  <c r="AL155" i="9"/>
  <c r="AL597" i="9" s="1"/>
  <c r="BJ67" i="9"/>
  <c r="BJ71" i="9" s="1"/>
  <c r="BJ999" i="9"/>
  <c r="BI994" i="9"/>
  <c r="BI902" i="9" s="1"/>
  <c r="BR92" i="9"/>
  <c r="BS86" i="9" s="1"/>
  <c r="BS90" i="9" s="1"/>
  <c r="BR149" i="9"/>
  <c r="BS143" i="9"/>
  <c r="BS147" i="9" s="1"/>
  <c r="BR282" i="9"/>
  <c r="BS276" i="9" s="1"/>
  <c r="BS280" i="9" s="1"/>
  <c r="BR320" i="9"/>
  <c r="BS314" i="9" s="1"/>
  <c r="BS318" i="9" s="1"/>
  <c r="BR225" i="9"/>
  <c r="BS219" i="9" s="1"/>
  <c r="BS223" i="9" s="1"/>
  <c r="BR358" i="9"/>
  <c r="BS352" i="9" s="1"/>
  <c r="BS356" i="9" s="1"/>
  <c r="BR187" i="9"/>
  <c r="BS181" i="9" s="1"/>
  <c r="BS185" i="9" s="1"/>
  <c r="BR415" i="9"/>
  <c r="BS409" i="9" s="1"/>
  <c r="BS413" i="9" s="1"/>
  <c r="BT154" i="6"/>
  <c r="BU276" i="26"/>
  <c r="BU281" i="26" s="1"/>
  <c r="BW226" i="6"/>
  <c r="BW228" i="6" s="1"/>
  <c r="BW131" i="30" s="1"/>
  <c r="BS107" i="6"/>
  <c r="AP156" i="20"/>
  <c r="AR26" i="3"/>
  <c r="AR28" i="3"/>
  <c r="AR4" i="6"/>
  <c r="AR4" i="1"/>
  <c r="AR4" i="4"/>
  <c r="AR20" i="3"/>
  <c r="AS22" i="3"/>
  <c r="AS5" i="6"/>
  <c r="AS5" i="4"/>
  <c r="AS5" i="1"/>
  <c r="BS64" i="33" l="1"/>
  <c r="BS74" i="33"/>
  <c r="AR830" i="9"/>
  <c r="AR711" i="9"/>
  <c r="AR757" i="9"/>
  <c r="AR780" i="9" s="1"/>
  <c r="W172" i="30"/>
  <c r="CG172" i="30" s="1"/>
  <c r="CG83" i="30"/>
  <c r="BQ91" i="6"/>
  <c r="BQ89" i="30" s="1"/>
  <c r="AA1024" i="9"/>
  <c r="AA1047" i="9" s="1"/>
  <c r="AA1126" i="9"/>
  <c r="W815" i="9"/>
  <c r="AL865" i="9"/>
  <c r="BI831" i="9"/>
  <c r="BI712" i="9"/>
  <c r="BI735" i="9" s="1"/>
  <c r="BI758" i="9"/>
  <c r="AP836" i="9"/>
  <c r="AP717" i="9"/>
  <c r="AP740" i="9" s="1"/>
  <c r="AP763" i="9"/>
  <c r="AP786" i="9" s="1"/>
  <c r="AP809" i="9" s="1"/>
  <c r="AN847" i="9"/>
  <c r="AN728" i="9"/>
  <c r="AN751" i="9" s="1"/>
  <c r="AO705" i="9" s="1"/>
  <c r="AP832" i="9"/>
  <c r="AP713" i="9"/>
  <c r="AP736" i="9" s="1"/>
  <c r="AP759" i="9"/>
  <c r="AP782" i="9" s="1"/>
  <c r="AP855" i="9" s="1"/>
  <c r="AP838" i="9"/>
  <c r="AP719" i="9"/>
  <c r="AP742" i="9" s="1"/>
  <c r="AP765" i="9"/>
  <c r="AP788" i="9" s="1"/>
  <c r="AP811" i="9" s="1"/>
  <c r="AO771" i="9"/>
  <c r="AN867" i="9"/>
  <c r="BJ156" i="20"/>
  <c r="BJ28" i="30" s="1"/>
  <c r="BM47" i="6"/>
  <c r="BM72" i="30" s="1"/>
  <c r="BM160" i="30" s="1"/>
  <c r="W72" i="30"/>
  <c r="W106" i="30"/>
  <c r="BM178" i="6"/>
  <c r="BM79" i="6"/>
  <c r="BM83" i="30" s="1"/>
  <c r="BM172" i="30" s="1"/>
  <c r="X907" i="9"/>
  <c r="BN907" i="9" s="1"/>
  <c r="Y907" i="9"/>
  <c r="BO907" i="9" s="1"/>
  <c r="AD540" i="9"/>
  <c r="AB533" i="9"/>
  <c r="AL542" i="9"/>
  <c r="AL764" i="9"/>
  <c r="AL787" i="9" s="1"/>
  <c r="AL810" i="9" s="1"/>
  <c r="AM741" i="9" s="1"/>
  <c r="AM795" i="9"/>
  <c r="AM818" i="9" s="1"/>
  <c r="AP28" i="30"/>
  <c r="AK1027" i="9"/>
  <c r="AK1050" i="9" s="1"/>
  <c r="AK1032" i="9"/>
  <c r="AK1055" i="9" s="1"/>
  <c r="AL785" i="9"/>
  <c r="BT98" i="30"/>
  <c r="BT187" i="30" s="1"/>
  <c r="BL82" i="30"/>
  <c r="CM82" i="30" s="1"/>
  <c r="CE82" i="30" s="1"/>
  <c r="BL81" i="30"/>
  <c r="CM81" i="30" s="1"/>
  <c r="CE81" i="30" s="1"/>
  <c r="BL126" i="30"/>
  <c r="CM126" i="30" s="1"/>
  <c r="CE126" i="30" s="1"/>
  <c r="BL77" i="30"/>
  <c r="CM77" i="30" s="1"/>
  <c r="CE77" i="30" s="1"/>
  <c r="BL78" i="30"/>
  <c r="CM78" i="30" s="1"/>
  <c r="CE78" i="30" s="1"/>
  <c r="BL95" i="30"/>
  <c r="CM95" i="30" s="1"/>
  <c r="CE95" i="30" s="1"/>
  <c r="BL101" i="30"/>
  <c r="CM101" i="30" s="1"/>
  <c r="CE101" i="30" s="1"/>
  <c r="BL105" i="30"/>
  <c r="CM105" i="30" s="1"/>
  <c r="CE105" i="30" s="1"/>
  <c r="BL103" i="30"/>
  <c r="CM103" i="30" s="1"/>
  <c r="CE103" i="30" s="1"/>
  <c r="BL96" i="30"/>
  <c r="CM96" i="30" s="1"/>
  <c r="CE96" i="30" s="1"/>
  <c r="BL79" i="30"/>
  <c r="CM79" i="30" s="1"/>
  <c r="CE79" i="30" s="1"/>
  <c r="BL104" i="30"/>
  <c r="CM104" i="30" s="1"/>
  <c r="CE104" i="30" s="1"/>
  <c r="BL102" i="30"/>
  <c r="CM102" i="30" s="1"/>
  <c r="CE102" i="30" s="1"/>
  <c r="BL99" i="30"/>
  <c r="CM99" i="30" s="1"/>
  <c r="CE99" i="30" s="1"/>
  <c r="BL97" i="30"/>
  <c r="CM97" i="30" s="1"/>
  <c r="CE97" i="30" s="1"/>
  <c r="AN797" i="9"/>
  <c r="AN820" i="9" s="1"/>
  <c r="BQ94" i="6"/>
  <c r="BS450" i="9"/>
  <c r="BS440" i="9"/>
  <c r="BJ432" i="9"/>
  <c r="BJ687" i="9" s="1"/>
  <c r="BS438" i="9"/>
  <c r="BS445" i="9"/>
  <c r="BS433" i="9"/>
  <c r="BS447" i="9"/>
  <c r="BS443" i="9"/>
  <c r="BS436" i="9"/>
  <c r="AL98" i="9"/>
  <c r="AL594" i="9" s="1"/>
  <c r="AL876" i="9" s="1"/>
  <c r="BR503" i="9"/>
  <c r="BR518" i="9"/>
  <c r="BR510" i="9"/>
  <c r="BR515" i="9"/>
  <c r="BI503" i="9"/>
  <c r="BI1085" i="9" s="1"/>
  <c r="BR506" i="9"/>
  <c r="BR511" i="9"/>
  <c r="BJ508" i="9"/>
  <c r="BJ207" i="9"/>
  <c r="AA207" i="9"/>
  <c r="AB207" i="9"/>
  <c r="AC207" i="9"/>
  <c r="AD207" i="9"/>
  <c r="AE207" i="9"/>
  <c r="AF207" i="9"/>
  <c r="AG207" i="9"/>
  <c r="AH207" i="9"/>
  <c r="AI207" i="9"/>
  <c r="AJ207" i="9"/>
  <c r="AK207" i="9"/>
  <c r="AL207" i="9"/>
  <c r="AM207" i="9"/>
  <c r="AN207" i="9"/>
  <c r="AO207" i="9"/>
  <c r="AP207" i="9"/>
  <c r="AQ207" i="9"/>
  <c r="AR207" i="9"/>
  <c r="AS207" i="9"/>
  <c r="AT207" i="9"/>
  <c r="AU207" i="9"/>
  <c r="AV207" i="9"/>
  <c r="AW207" i="9"/>
  <c r="AX207" i="9"/>
  <c r="AY207" i="9"/>
  <c r="AZ207" i="9"/>
  <c r="BA207" i="9"/>
  <c r="BB207" i="9"/>
  <c r="BC207" i="9"/>
  <c r="BD207" i="9"/>
  <c r="BH207" i="9"/>
  <c r="BF207" i="9"/>
  <c r="BG207" i="9"/>
  <c r="BI207" i="9"/>
  <c r="BE207" i="9"/>
  <c r="BR513" i="9"/>
  <c r="BR501" i="9"/>
  <c r="BR504" i="9"/>
  <c r="BR508" i="9"/>
  <c r="AL399" i="9"/>
  <c r="AL541" i="9" s="1"/>
  <c r="AM228" i="9"/>
  <c r="AM532" i="9" s="1"/>
  <c r="AL136" i="9"/>
  <c r="AL596" i="9" s="1"/>
  <c r="AL878" i="9" s="1"/>
  <c r="AL304" i="9"/>
  <c r="AL536" i="9" s="1"/>
  <c r="AL171" i="9"/>
  <c r="AL529" i="9" s="1"/>
  <c r="BQ170" i="20"/>
  <c r="BS257" i="9"/>
  <c r="BS261" i="9" s="1"/>
  <c r="BR263" i="9"/>
  <c r="AM606" i="9"/>
  <c r="AN323" i="9"/>
  <c r="BR168" i="9"/>
  <c r="BR244" i="9"/>
  <c r="BS200" i="9"/>
  <c r="BS204" i="9" s="1"/>
  <c r="BR339" i="9"/>
  <c r="BS333" i="9"/>
  <c r="BS337" i="9" s="1"/>
  <c r="BR130" i="9"/>
  <c r="BR206" i="9"/>
  <c r="BR377" i="9"/>
  <c r="BR517" i="9"/>
  <c r="BR111" i="9"/>
  <c r="BR73" i="9"/>
  <c r="BR1147" i="9" s="1"/>
  <c r="BR170" i="1" s="1"/>
  <c r="BR396" i="9"/>
  <c r="BR301" i="9"/>
  <c r="AL364" i="9"/>
  <c r="AL608" i="9" s="1"/>
  <c r="AD383" i="9"/>
  <c r="AD609" i="9" s="1"/>
  <c r="AI266" i="9"/>
  <c r="AI534" i="9" s="1"/>
  <c r="AM845" i="9"/>
  <c r="AL888" i="9"/>
  <c r="AM285" i="9"/>
  <c r="AM535" i="9" s="1"/>
  <c r="AM152" i="9"/>
  <c r="AM528" i="9" s="1"/>
  <c r="AL879" i="9"/>
  <c r="AL870" i="9"/>
  <c r="AL421" i="9"/>
  <c r="AL611" i="9" s="1"/>
  <c r="AL523" i="9"/>
  <c r="AL835" i="9"/>
  <c r="AL1121" i="9" s="1"/>
  <c r="AL1145" i="9" s="1"/>
  <c r="AL190" i="9"/>
  <c r="AL530" i="9" s="1"/>
  <c r="AK881" i="9"/>
  <c r="AB250" i="9"/>
  <c r="AB602" i="9" s="1"/>
  <c r="AL342" i="9"/>
  <c r="AL538" i="9" s="1"/>
  <c r="AK889" i="9"/>
  <c r="BS67" i="9"/>
  <c r="BS71" i="9" s="1"/>
  <c r="BS295" i="9"/>
  <c r="BS299" i="9" s="1"/>
  <c r="BS371" i="9"/>
  <c r="BS375" i="9" s="1"/>
  <c r="BS238" i="9"/>
  <c r="BS242" i="9" s="1"/>
  <c r="BS162" i="9"/>
  <c r="BS166" i="9" s="1"/>
  <c r="BI111" i="9"/>
  <c r="BS390" i="9"/>
  <c r="BS394" i="9" s="1"/>
  <c r="BJ206" i="9"/>
  <c r="BS105" i="9"/>
  <c r="BS109" i="9" s="1"/>
  <c r="BS124" i="9"/>
  <c r="BS128" i="9" s="1"/>
  <c r="BJ992" i="9"/>
  <c r="BS1005" i="9"/>
  <c r="BS996" i="9"/>
  <c r="BS993" i="9"/>
  <c r="BS1003" i="9"/>
  <c r="BS1000" i="9"/>
  <c r="BS1007" i="9"/>
  <c r="BS998" i="9"/>
  <c r="BS1010" i="9"/>
  <c r="BU154" i="6"/>
  <c r="BV276" i="26"/>
  <c r="BV281" i="26" s="1"/>
  <c r="AS28" i="3"/>
  <c r="AS26" i="3"/>
  <c r="AT5" i="4"/>
  <c r="AT5" i="1"/>
  <c r="AT5" i="6"/>
  <c r="AS4" i="1"/>
  <c r="AS4" i="4"/>
  <c r="AS4" i="6"/>
  <c r="AS20" i="3"/>
  <c r="BT64" i="33" l="1"/>
  <c r="BT74" i="33"/>
  <c r="AR734" i="9"/>
  <c r="AS688" i="9" s="1"/>
  <c r="CJ172" i="30"/>
  <c r="CJ83" i="30"/>
  <c r="W163" i="30"/>
  <c r="CG163" i="30" s="1"/>
  <c r="CG106" i="30"/>
  <c r="W160" i="30"/>
  <c r="CJ160" i="30" s="1"/>
  <c r="CJ72" i="30"/>
  <c r="CG72" i="30"/>
  <c r="AQ22" i="30"/>
  <c r="BR1084" i="9"/>
  <c r="BR87" i="35" s="1"/>
  <c r="AD1018" i="9"/>
  <c r="AD1041" i="9" s="1"/>
  <c r="AR803" i="9"/>
  <c r="AR853" i="9"/>
  <c r="W810" i="9"/>
  <c r="AP805" i="9"/>
  <c r="AL858" i="9"/>
  <c r="AL808" i="9"/>
  <c r="AM739" i="9" s="1"/>
  <c r="BI781" i="9"/>
  <c r="BI804" i="9" s="1"/>
  <c r="AM769" i="9"/>
  <c r="AN700" i="9"/>
  <c r="AP861" i="9"/>
  <c r="AP859" i="9"/>
  <c r="AQ696" i="9"/>
  <c r="AN726" i="9"/>
  <c r="AN749" i="9" s="1"/>
  <c r="AQ690" i="9"/>
  <c r="AQ694" i="9"/>
  <c r="AO844" i="9"/>
  <c r="AO725" i="9"/>
  <c r="AO748" i="9" s="1"/>
  <c r="AN772" i="9"/>
  <c r="AM868" i="9"/>
  <c r="AN695" i="9"/>
  <c r="AL860" i="9"/>
  <c r="AB1030" i="9"/>
  <c r="AB1053" i="9" s="1"/>
  <c r="BJ756" i="9"/>
  <c r="BJ829" i="9"/>
  <c r="BM106" i="30"/>
  <c r="BM163" i="30" s="1"/>
  <c r="X900" i="9"/>
  <c r="BN900" i="9" s="1"/>
  <c r="Y900" i="9"/>
  <c r="BO900" i="9" s="1"/>
  <c r="AO794" i="9"/>
  <c r="AO817" i="9" s="1"/>
  <c r="W687" i="9"/>
  <c r="W829" i="9" s="1"/>
  <c r="X687" i="9"/>
  <c r="X829" i="9" s="1"/>
  <c r="Y687" i="9"/>
  <c r="Y829" i="9" s="1"/>
  <c r="BJ710" i="9"/>
  <c r="BJ733" i="9" s="1"/>
  <c r="AB105" i="30"/>
  <c r="AB126" i="30"/>
  <c r="AL1019" i="9"/>
  <c r="AL1042" i="9" s="1"/>
  <c r="AK1029" i="9"/>
  <c r="AK1052" i="9" s="1"/>
  <c r="BU98" i="30"/>
  <c r="BU187" i="30" s="1"/>
  <c r="BQ97" i="6"/>
  <c r="BQ114" i="30" s="1"/>
  <c r="BL119" i="30"/>
  <c r="CM119" i="30" s="1"/>
  <c r="CE119" i="30" s="1"/>
  <c r="BL94" i="30"/>
  <c r="CM94" i="30" s="1"/>
  <c r="CE94" i="30" s="1"/>
  <c r="BL118" i="30"/>
  <c r="CM118" i="30" s="1"/>
  <c r="CE118" i="30" s="1"/>
  <c r="BL80" i="30"/>
  <c r="CM80" i="30" s="1"/>
  <c r="CE80" i="30" s="1"/>
  <c r="BL68" i="6"/>
  <c r="BL92" i="30"/>
  <c r="CM92" i="30" s="1"/>
  <c r="CE92" i="30" s="1"/>
  <c r="BL114" i="6"/>
  <c r="BL116" i="30" s="1"/>
  <c r="CM116" i="30" s="1"/>
  <c r="CE116" i="30" s="1"/>
  <c r="BL85" i="30"/>
  <c r="CM85" i="30" s="1"/>
  <c r="CE85" i="30" s="1"/>
  <c r="BI94" i="6"/>
  <c r="BI88" i="35"/>
  <c r="BI925" i="9"/>
  <c r="BJ930" i="9"/>
  <c r="X930" i="9" s="1"/>
  <c r="BN930" i="9" s="1"/>
  <c r="AM95" i="9"/>
  <c r="AM525" i="9" s="1"/>
  <c r="BS439" i="9"/>
  <c r="BS435" i="9"/>
  <c r="BS449" i="9"/>
  <c r="BS448" i="9"/>
  <c r="BS446" i="9"/>
  <c r="BS442" i="9"/>
  <c r="BS432" i="9"/>
  <c r="BS434" i="9"/>
  <c r="BS444" i="9"/>
  <c r="BR1085" i="9"/>
  <c r="BR88" i="35" s="1"/>
  <c r="BS502" i="9"/>
  <c r="BS519" i="9"/>
  <c r="BS509" i="9"/>
  <c r="BS514" i="9"/>
  <c r="BS507" i="9"/>
  <c r="BS512" i="9"/>
  <c r="BJ501" i="9"/>
  <c r="BJ74" i="9"/>
  <c r="AA74" i="9"/>
  <c r="AB74" i="9"/>
  <c r="AC74" i="9"/>
  <c r="AD74" i="9"/>
  <c r="AE74" i="9"/>
  <c r="AF74" i="9"/>
  <c r="AG74" i="9"/>
  <c r="AH74" i="9"/>
  <c r="AI74" i="9"/>
  <c r="AJ74" i="9"/>
  <c r="AK74" i="9"/>
  <c r="AL74" i="9"/>
  <c r="AM74" i="9"/>
  <c r="AN74" i="9"/>
  <c r="AO74" i="9"/>
  <c r="AP74" i="9"/>
  <c r="AQ74" i="9"/>
  <c r="AR74" i="9"/>
  <c r="AS74" i="9"/>
  <c r="AT74" i="9"/>
  <c r="AU74" i="9"/>
  <c r="AV74" i="9"/>
  <c r="AW74" i="9"/>
  <c r="AX74" i="9"/>
  <c r="AY74" i="9"/>
  <c r="AZ74" i="9"/>
  <c r="BA74" i="9"/>
  <c r="BB74" i="9"/>
  <c r="BC74" i="9"/>
  <c r="BD74" i="9"/>
  <c r="BG74" i="9"/>
  <c r="BI74" i="9"/>
  <c r="BF74" i="9"/>
  <c r="BH74" i="9"/>
  <c r="BE74" i="9"/>
  <c r="BS516" i="9"/>
  <c r="BS505" i="9"/>
  <c r="AL402" i="9"/>
  <c r="AL610" i="9" s="1"/>
  <c r="AL892" i="9" s="1"/>
  <c r="AM231" i="9"/>
  <c r="AM601" i="9" s="1"/>
  <c r="AM133" i="9"/>
  <c r="AM527" i="9" s="1"/>
  <c r="AL307" i="9"/>
  <c r="AL605" i="9" s="1"/>
  <c r="AL887" i="9" s="1"/>
  <c r="AL174" i="9"/>
  <c r="AL598" i="9" s="1"/>
  <c r="BS1002" i="9"/>
  <c r="AN537" i="9"/>
  <c r="AN326" i="9"/>
  <c r="BS999" i="9"/>
  <c r="BS1006" i="9"/>
  <c r="BS997" i="9"/>
  <c r="BS437" i="9"/>
  <c r="BS1001" i="9"/>
  <c r="BS441" i="9"/>
  <c r="BS995" i="9"/>
  <c r="BS994" i="9"/>
  <c r="BS992" i="9"/>
  <c r="BS1008" i="9"/>
  <c r="BS1004" i="9"/>
  <c r="BS1009" i="9"/>
  <c r="AM361" i="9"/>
  <c r="AM539" i="9" s="1"/>
  <c r="AL890" i="9"/>
  <c r="AL893" i="9"/>
  <c r="AM418" i="9"/>
  <c r="AM155" i="9"/>
  <c r="AM597" i="9" s="1"/>
  <c r="AM288" i="9"/>
  <c r="AM604" i="9" s="1"/>
  <c r="AC247" i="9"/>
  <c r="AB884" i="9"/>
  <c r="AB1126" i="9" s="1"/>
  <c r="AE380" i="9"/>
  <c r="AD891" i="9"/>
  <c r="AL345" i="9"/>
  <c r="AL607" i="9" s="1"/>
  <c r="AL592" i="9"/>
  <c r="AI269" i="9"/>
  <c r="AI603" i="9" s="1"/>
  <c r="AM840" i="9"/>
  <c r="AM1120" i="9" s="1"/>
  <c r="AM1144" i="9" s="1"/>
  <c r="AL193" i="9"/>
  <c r="AL599" i="9" s="1"/>
  <c r="BJ105" i="9"/>
  <c r="BJ109" i="9" s="1"/>
  <c r="BJ73" i="9"/>
  <c r="AA212" i="9"/>
  <c r="AA600" i="9" s="1"/>
  <c r="BS320" i="9"/>
  <c r="BT314" i="9" s="1"/>
  <c r="BT318" i="9" s="1"/>
  <c r="BS225" i="9"/>
  <c r="BT219" i="9" s="1"/>
  <c r="BT223" i="9" s="1"/>
  <c r="BS149" i="9"/>
  <c r="BT143" i="9" s="1"/>
  <c r="BT147" i="9" s="1"/>
  <c r="BS92" i="9"/>
  <c r="BT86" i="9" s="1"/>
  <c r="BT90" i="9" s="1"/>
  <c r="BS282" i="9"/>
  <c r="BT276" i="9" s="1"/>
  <c r="BT280" i="9" s="1"/>
  <c r="BS358" i="9"/>
  <c r="BT352" i="9" s="1"/>
  <c r="BT356" i="9" s="1"/>
  <c r="BS187" i="9"/>
  <c r="BT181" i="9" s="1"/>
  <c r="BT185" i="9" s="1"/>
  <c r="BS415" i="9"/>
  <c r="BT409" i="9" s="1"/>
  <c r="BT413" i="9" s="1"/>
  <c r="BT107" i="6"/>
  <c r="BV154" i="6"/>
  <c r="BW276" i="26"/>
  <c r="BW281" i="26" s="1"/>
  <c r="BW154" i="6" s="1"/>
  <c r="AT20" i="3"/>
  <c r="AT22" i="3"/>
  <c r="AU5" i="4"/>
  <c r="AU5" i="1"/>
  <c r="AU5" i="6"/>
  <c r="AT4" i="4"/>
  <c r="AT4" i="1"/>
  <c r="AT4" i="6"/>
  <c r="BU64" i="33" l="1"/>
  <c r="BU74" i="33"/>
  <c r="AS830" i="9"/>
  <c r="AS711" i="9"/>
  <c r="AS734" i="9" s="1"/>
  <c r="AT688" i="9" s="1"/>
  <c r="AT830" i="9" s="1"/>
  <c r="CG160" i="30"/>
  <c r="CJ163" i="30"/>
  <c r="CJ106" i="30"/>
  <c r="BR91" i="6"/>
  <c r="BR89" i="30" s="1"/>
  <c r="AF1016" i="9"/>
  <c r="AF1039" i="9" s="1"/>
  <c r="W808" i="9"/>
  <c r="BI854" i="9"/>
  <c r="AM762" i="9"/>
  <c r="AN693" i="9"/>
  <c r="AP702" i="9"/>
  <c r="AO703" i="9"/>
  <c r="AM764" i="9"/>
  <c r="AM787" i="9" s="1"/>
  <c r="AM810" i="9" s="1"/>
  <c r="AL883" i="9"/>
  <c r="AA1031" i="9"/>
  <c r="AA1054" i="9" s="1"/>
  <c r="AO867" i="9"/>
  <c r="AT711" i="9"/>
  <c r="AT734" i="9" s="1"/>
  <c r="AC533" i="9"/>
  <c r="AM542" i="9"/>
  <c r="AE540" i="9"/>
  <c r="AS757" i="9"/>
  <c r="AS780" i="9" s="1"/>
  <c r="AN795" i="9"/>
  <c r="AN818" i="9" s="1"/>
  <c r="BJ779" i="9"/>
  <c r="BJ802" i="9" s="1"/>
  <c r="Y802" i="9" s="1"/>
  <c r="W756" i="9"/>
  <c r="X756" i="9"/>
  <c r="BN756" i="9" s="1"/>
  <c r="Y756" i="9"/>
  <c r="W710" i="9"/>
  <c r="X710" i="9"/>
  <c r="BN710" i="9" s="1"/>
  <c r="Y710" i="9"/>
  <c r="BO710" i="9" s="1"/>
  <c r="BN687" i="9"/>
  <c r="BN829" i="9" s="1"/>
  <c r="BO687" i="9"/>
  <c r="BO829" i="9" s="1"/>
  <c r="AE105" i="30"/>
  <c r="AE126" i="30"/>
  <c r="AB162" i="30"/>
  <c r="AB63" i="33" s="1"/>
  <c r="AC162" i="30"/>
  <c r="AC63" i="33" s="1"/>
  <c r="Y930" i="9"/>
  <c r="BO930" i="9" s="1"/>
  <c r="AL1032" i="9"/>
  <c r="AL1055" i="9" s="1"/>
  <c r="AB1024" i="9"/>
  <c r="AB1047" i="9" s="1"/>
  <c r="AL1027" i="9"/>
  <c r="AL1050" i="9" s="1"/>
  <c r="AL1105" i="9"/>
  <c r="AL199" i="30" s="1"/>
  <c r="AL86" i="33" s="1"/>
  <c r="BW98" i="30"/>
  <c r="BV98" i="30"/>
  <c r="BV187" i="30" s="1"/>
  <c r="BR94" i="6"/>
  <c r="BJ923" i="9"/>
  <c r="X923" i="9" s="1"/>
  <c r="BN923" i="9" s="1"/>
  <c r="AM98" i="9"/>
  <c r="AM594" i="9" s="1"/>
  <c r="AM876" i="9" s="1"/>
  <c r="BT436" i="9"/>
  <c r="BT447" i="9"/>
  <c r="BT450" i="9"/>
  <c r="BT443" i="9"/>
  <c r="BJ434" i="9"/>
  <c r="BJ689" i="9" s="1"/>
  <c r="BT440" i="9"/>
  <c r="BT438" i="9"/>
  <c r="BT433" i="9"/>
  <c r="BT445" i="9"/>
  <c r="BS501" i="9"/>
  <c r="BS506" i="9"/>
  <c r="BS508" i="9"/>
  <c r="BS518" i="9"/>
  <c r="BS503" i="9"/>
  <c r="BS515" i="9"/>
  <c r="BS511" i="9"/>
  <c r="BS513" i="9"/>
  <c r="BS504" i="9"/>
  <c r="BT238" i="9"/>
  <c r="BT242" i="9" s="1"/>
  <c r="AM399" i="9"/>
  <c r="AM541" i="9" s="1"/>
  <c r="AN228" i="9"/>
  <c r="AN532" i="9" s="1"/>
  <c r="AM136" i="9"/>
  <c r="AM596" i="9" s="1"/>
  <c r="AM878" i="9" s="1"/>
  <c r="AM304" i="9"/>
  <c r="AM536" i="9" s="1"/>
  <c r="AM171" i="9"/>
  <c r="AM529" i="9" s="1"/>
  <c r="BS263" i="9"/>
  <c r="BT257" i="9" s="1"/>
  <c r="BT261" i="9" s="1"/>
  <c r="BT200" i="9"/>
  <c r="BT204" i="9" s="1"/>
  <c r="BS206" i="9"/>
  <c r="AN606" i="9"/>
  <c r="AO323" i="9"/>
  <c r="BT333" i="9"/>
  <c r="BT337" i="9" s="1"/>
  <c r="BR170" i="20"/>
  <c r="BS168" i="9"/>
  <c r="BT162" i="9" s="1"/>
  <c r="BT166" i="9" s="1"/>
  <c r="BS339" i="9"/>
  <c r="BS130" i="9"/>
  <c r="BS377" i="9"/>
  <c r="BS517" i="9"/>
  <c r="BS244" i="9"/>
  <c r="BS510" i="9"/>
  <c r="BS73" i="9"/>
  <c r="BS1147" i="9" s="1"/>
  <c r="BS170" i="1" s="1"/>
  <c r="BT105" i="9"/>
  <c r="BT109" i="9" s="1"/>
  <c r="BS111" i="9"/>
  <c r="BS301" i="9"/>
  <c r="BS396" i="9"/>
  <c r="BT390" i="9" s="1"/>
  <c r="BT394" i="9" s="1"/>
  <c r="BT396" i="9" s="1"/>
  <c r="AM364" i="9"/>
  <c r="AM608" i="9" s="1"/>
  <c r="AM190" i="9"/>
  <c r="AM530" i="9" s="1"/>
  <c r="AL881" i="9"/>
  <c r="AJ266" i="9"/>
  <c r="AJ534" i="9" s="1"/>
  <c r="AM835" i="9"/>
  <c r="AM1121" i="9" s="1"/>
  <c r="AM1145" i="9" s="1"/>
  <c r="AC250" i="9"/>
  <c r="AC602" i="9" s="1"/>
  <c r="AN845" i="9"/>
  <c r="AM870" i="9"/>
  <c r="AM421" i="9"/>
  <c r="AM611" i="9" s="1"/>
  <c r="AM523" i="9"/>
  <c r="AN152" i="9"/>
  <c r="AN528" i="9" s="1"/>
  <c r="AM879" i="9"/>
  <c r="AB209" i="9"/>
  <c r="AA882" i="9"/>
  <c r="AA1022" i="9" s="1"/>
  <c r="AA1045" i="9" s="1"/>
  <c r="AE383" i="9"/>
  <c r="AE609" i="9" s="1"/>
  <c r="AN285" i="9"/>
  <c r="AN535" i="9" s="1"/>
  <c r="AM342" i="9"/>
  <c r="AM538" i="9" s="1"/>
  <c r="AL889" i="9"/>
  <c r="BT124" i="9"/>
  <c r="BT128" i="9" s="1"/>
  <c r="BT67" i="9"/>
  <c r="BT71" i="9" s="1"/>
  <c r="BT295" i="9"/>
  <c r="BT299" i="9" s="1"/>
  <c r="BT371" i="9"/>
  <c r="BT375" i="9" s="1"/>
  <c r="BT996" i="9"/>
  <c r="AA79" i="9"/>
  <c r="AB862" i="9"/>
  <c r="AB1114" i="9" s="1"/>
  <c r="AA862" i="9"/>
  <c r="AA1114" i="9" s="1"/>
  <c r="BJ994" i="9"/>
  <c r="BT1005" i="9"/>
  <c r="BT993" i="9"/>
  <c r="BT1003" i="9"/>
  <c r="BT1000" i="9"/>
  <c r="BT1007" i="9"/>
  <c r="BT998" i="9"/>
  <c r="BT1010" i="9"/>
  <c r="AR156" i="20"/>
  <c r="AT28" i="3"/>
  <c r="AT26" i="3"/>
  <c r="AU20" i="3"/>
  <c r="AU22" i="3"/>
  <c r="AV5" i="6"/>
  <c r="AV5" i="1"/>
  <c r="AV5" i="4"/>
  <c r="AU4" i="4"/>
  <c r="AU4" i="6"/>
  <c r="AU4" i="1"/>
  <c r="BV64" i="33" l="1"/>
  <c r="BV74" i="33"/>
  <c r="AU688" i="9"/>
  <c r="AU830" i="9" s="1"/>
  <c r="AR22" i="30"/>
  <c r="AS803" i="9"/>
  <c r="AT757" i="9" s="1"/>
  <c r="AS853" i="9"/>
  <c r="AQ763" i="9"/>
  <c r="AQ786" i="9" s="1"/>
  <c r="AQ859" i="9" s="1"/>
  <c r="AO774" i="9"/>
  <c r="AO797" i="9" s="1"/>
  <c r="AO820" i="9" s="1"/>
  <c r="AQ765" i="9"/>
  <c r="AQ788" i="9" s="1"/>
  <c r="AQ861" i="9" s="1"/>
  <c r="BJ831" i="9"/>
  <c r="BJ712" i="9"/>
  <c r="BJ735" i="9" s="1"/>
  <c r="Y689" i="9"/>
  <c r="BJ758" i="9"/>
  <c r="Y758" i="9" s="1"/>
  <c r="BO758" i="9" s="1"/>
  <c r="AQ832" i="9"/>
  <c r="AQ713" i="9"/>
  <c r="AQ736" i="9" s="1"/>
  <c r="AQ759" i="9"/>
  <c r="AQ782" i="9" s="1"/>
  <c r="AQ855" i="9" s="1"/>
  <c r="AQ836" i="9"/>
  <c r="AQ717" i="9"/>
  <c r="AQ740" i="9" s="1"/>
  <c r="AN837" i="9"/>
  <c r="AN718" i="9"/>
  <c r="AN741" i="9" s="1"/>
  <c r="AO772" i="9"/>
  <c r="AO847" i="9"/>
  <c r="AO728" i="9"/>
  <c r="AO751" i="9" s="1"/>
  <c r="AP705" i="9" s="1"/>
  <c r="AN842" i="9"/>
  <c r="AN723" i="9"/>
  <c r="AN746" i="9" s="1"/>
  <c r="AQ838" i="9"/>
  <c r="AQ719" i="9"/>
  <c r="AQ742" i="9" s="1"/>
  <c r="AM860" i="9"/>
  <c r="AA1023" i="9" s="1"/>
  <c r="AA1046" i="9" s="1"/>
  <c r="AC1030" i="9"/>
  <c r="AC1053" i="9" s="1"/>
  <c r="AN868" i="9"/>
  <c r="BJ852" i="9"/>
  <c r="X902" i="9"/>
  <c r="BN902" i="9" s="1"/>
  <c r="Y902" i="9"/>
  <c r="BO902" i="9" s="1"/>
  <c r="BW187" i="30"/>
  <c r="AB531" i="9"/>
  <c r="W779" i="9"/>
  <c r="Y779" i="9"/>
  <c r="W688" i="9"/>
  <c r="W830" i="9" s="1"/>
  <c r="W1121" i="9" s="1"/>
  <c r="W1145" i="9" s="1"/>
  <c r="AM792" i="9"/>
  <c r="AM815" i="9" s="1"/>
  <c r="AM785" i="9"/>
  <c r="AM808" i="9" s="1"/>
  <c r="W733" i="9"/>
  <c r="X733" i="9"/>
  <c r="BN733" i="9" s="1"/>
  <c r="Y733" i="9"/>
  <c r="BO733" i="9" s="1"/>
  <c r="BM756" i="9"/>
  <c r="BM710" i="9"/>
  <c r="BM687" i="9"/>
  <c r="BM829" i="9" s="1"/>
  <c r="BN779" i="9"/>
  <c r="BN852" i="9" s="1"/>
  <c r="AR28" i="30"/>
  <c r="AE162" i="30"/>
  <c r="AE63" i="33" s="1"/>
  <c r="AF162" i="30"/>
  <c r="AF63" i="33" s="1"/>
  <c r="AH105" i="30"/>
  <c r="AH126" i="30"/>
  <c r="Y923" i="9"/>
  <c r="BO923" i="9" s="1"/>
  <c r="AA1033" i="9"/>
  <c r="AA1056" i="9" s="1"/>
  <c r="AL1029" i="9"/>
  <c r="AL1052" i="9" s="1"/>
  <c r="AM1019" i="9"/>
  <c r="AM1042" i="9" s="1"/>
  <c r="AA1065" i="9"/>
  <c r="AA1064" i="9"/>
  <c r="BR97" i="6"/>
  <c r="BR114" i="30" s="1"/>
  <c r="AA593" i="9"/>
  <c r="AA875" i="9" s="1"/>
  <c r="AA1015" i="9" s="1"/>
  <c r="AA1038" i="9" s="1"/>
  <c r="AB76" i="9"/>
  <c r="AB524" i="9" s="1"/>
  <c r="BS1085" i="9"/>
  <c r="BS88" i="35" s="1"/>
  <c r="AN95" i="9"/>
  <c r="AN525" i="9" s="1"/>
  <c r="BT446" i="9"/>
  <c r="BT439" i="9"/>
  <c r="BT441" i="9"/>
  <c r="BT435" i="9"/>
  <c r="BT448" i="9"/>
  <c r="BT434" i="9"/>
  <c r="BT437" i="9"/>
  <c r="BT432" i="9"/>
  <c r="BT444" i="9"/>
  <c r="BT449" i="9"/>
  <c r="BT442" i="9"/>
  <c r="AC789" i="9"/>
  <c r="BT514" i="9"/>
  <c r="BT505" i="9"/>
  <c r="BT519" i="9"/>
  <c r="BT512" i="9"/>
  <c r="BT516" i="9"/>
  <c r="BJ503" i="9"/>
  <c r="BJ1085" i="9" s="1"/>
  <c r="BJ112" i="9"/>
  <c r="AA112" i="9"/>
  <c r="AB112" i="9"/>
  <c r="AC112" i="9"/>
  <c r="AD112" i="9"/>
  <c r="AE112" i="9"/>
  <c r="AF112" i="9"/>
  <c r="AG112" i="9"/>
  <c r="AH112" i="9"/>
  <c r="AI112" i="9"/>
  <c r="AJ112" i="9"/>
  <c r="AK112" i="9"/>
  <c r="AL112" i="9"/>
  <c r="AM112" i="9"/>
  <c r="AN112" i="9"/>
  <c r="AO112" i="9"/>
  <c r="AP112" i="9"/>
  <c r="AQ112" i="9"/>
  <c r="AR112" i="9"/>
  <c r="AS112" i="9"/>
  <c r="AT112" i="9"/>
  <c r="AU112" i="9"/>
  <c r="AV112" i="9"/>
  <c r="AW112" i="9"/>
  <c r="AX112" i="9"/>
  <c r="AY112" i="9"/>
  <c r="AZ112" i="9"/>
  <c r="BA112" i="9"/>
  <c r="BB112" i="9"/>
  <c r="BC112" i="9"/>
  <c r="BD112" i="9"/>
  <c r="BE112" i="9"/>
  <c r="BI112" i="9"/>
  <c r="BG112" i="9"/>
  <c r="BF112" i="9"/>
  <c r="BH112" i="9"/>
  <c r="BT507" i="9"/>
  <c r="BT502" i="9"/>
  <c r="AM402" i="9"/>
  <c r="AM610" i="9" s="1"/>
  <c r="AM892" i="9" s="1"/>
  <c r="AN231" i="9"/>
  <c r="AN601" i="9" s="1"/>
  <c r="AN133" i="9"/>
  <c r="AM307" i="9"/>
  <c r="AM605" i="9" s="1"/>
  <c r="AM887" i="9" s="1"/>
  <c r="AM174" i="9"/>
  <c r="AM598" i="9" s="1"/>
  <c r="BT1002" i="9"/>
  <c r="BT1006" i="9"/>
  <c r="BT999" i="9"/>
  <c r="AO537" i="9"/>
  <c r="AO326" i="9"/>
  <c r="BT997" i="9"/>
  <c r="BT225" i="9"/>
  <c r="BT509" i="9"/>
  <c r="BT1009" i="9"/>
  <c r="BT994" i="9"/>
  <c r="BT1008" i="9"/>
  <c r="BT995" i="9"/>
  <c r="BT992" i="9"/>
  <c r="BT149" i="9"/>
  <c r="BU143" i="9" s="1"/>
  <c r="BU147" i="9" s="1"/>
  <c r="BT1004" i="9"/>
  <c r="AN361" i="9"/>
  <c r="AN539" i="9" s="1"/>
  <c r="AM890" i="9"/>
  <c r="AM193" i="9"/>
  <c r="AM599" i="9" s="1"/>
  <c r="AM345" i="9"/>
  <c r="AM607" i="9" s="1"/>
  <c r="AN288" i="9"/>
  <c r="AN604" i="9" s="1"/>
  <c r="AB212" i="9"/>
  <c r="AB600" i="9" s="1"/>
  <c r="AM592" i="9"/>
  <c r="AM893" i="9"/>
  <c r="AN418" i="9"/>
  <c r="AF380" i="9"/>
  <c r="AE891" i="9"/>
  <c r="AN155" i="9"/>
  <c r="AN597" i="9" s="1"/>
  <c r="AD247" i="9"/>
  <c r="AC884" i="9"/>
  <c r="AJ269" i="9"/>
  <c r="AJ603" i="9" s="1"/>
  <c r="BJ111" i="9"/>
  <c r="AA857" i="9"/>
  <c r="AA1115" i="9" s="1"/>
  <c r="AB857" i="9"/>
  <c r="BT320" i="9"/>
  <c r="BU314" i="9" s="1"/>
  <c r="BU318" i="9" s="1"/>
  <c r="BT92" i="9"/>
  <c r="BU86" i="9" s="1"/>
  <c r="BU90" i="9" s="1"/>
  <c r="BT282" i="9"/>
  <c r="BU276" i="9" s="1"/>
  <c r="BU280" i="9" s="1"/>
  <c r="BU219" i="9"/>
  <c r="BU223" i="9" s="1"/>
  <c r="BT358" i="9"/>
  <c r="BU352" i="9"/>
  <c r="BU356" i="9" s="1"/>
  <c r="BT187" i="9"/>
  <c r="BU181" i="9" s="1"/>
  <c r="BU185" i="9" s="1"/>
  <c r="BT415" i="9"/>
  <c r="BU409" i="9" s="1"/>
  <c r="BU413" i="9" s="1"/>
  <c r="BU107" i="6"/>
  <c r="AS156" i="20"/>
  <c r="AU26" i="3"/>
  <c r="AU28" i="3"/>
  <c r="AV20" i="3"/>
  <c r="AV22" i="3"/>
  <c r="AV4" i="6"/>
  <c r="AV4" i="1"/>
  <c r="AV4" i="4"/>
  <c r="BW64" i="33" l="1"/>
  <c r="BW74" i="33"/>
  <c r="BJ781" i="9"/>
  <c r="BJ804" i="9" s="1"/>
  <c r="Y804" i="9" s="1"/>
  <c r="AU711" i="9"/>
  <c r="AU734" i="9" s="1"/>
  <c r="AS22" i="30"/>
  <c r="AT780" i="9"/>
  <c r="AT853" i="9" s="1"/>
  <c r="AB1116" i="9"/>
  <c r="AB1115" i="9"/>
  <c r="AA1116" i="9"/>
  <c r="AG1016" i="9"/>
  <c r="AG1039" i="9" s="1"/>
  <c r="AQ809" i="9"/>
  <c r="AQ805" i="9"/>
  <c r="AC862" i="9"/>
  <c r="AC1114" i="9" s="1"/>
  <c r="AC812" i="9"/>
  <c r="AQ811" i="9"/>
  <c r="Y831" i="9"/>
  <c r="BO689" i="9"/>
  <c r="BO831" i="9" s="1"/>
  <c r="Y735" i="9"/>
  <c r="BO735" i="9" s="1"/>
  <c r="Y712" i="9"/>
  <c r="BO712" i="9" s="1"/>
  <c r="BJ854" i="9"/>
  <c r="AO726" i="9"/>
  <c r="AO749" i="9" s="1"/>
  <c r="AE1018" i="9"/>
  <c r="AE1041" i="9" s="1"/>
  <c r="AO700" i="9"/>
  <c r="AP844" i="9"/>
  <c r="AP725" i="9"/>
  <c r="AP748" i="9" s="1"/>
  <c r="AR696" i="9"/>
  <c r="AN716" i="9"/>
  <c r="AN739" i="9" s="1"/>
  <c r="AR694" i="9"/>
  <c r="AR690" i="9"/>
  <c r="AP771" i="9"/>
  <c r="AP794" i="9" s="1"/>
  <c r="AP817" i="9" s="1"/>
  <c r="AO695" i="9"/>
  <c r="AM865" i="9"/>
  <c r="AA1028" i="9" s="1"/>
  <c r="AA1051" i="9" s="1"/>
  <c r="AB1031" i="9"/>
  <c r="AB1054" i="9" s="1"/>
  <c r="AN762" i="9"/>
  <c r="AM858" i="9"/>
  <c r="AN764" i="9"/>
  <c r="AN787" i="9" s="1"/>
  <c r="AN810" i="9" s="1"/>
  <c r="AM883" i="9"/>
  <c r="AA1069" i="9" s="1"/>
  <c r="W852" i="9"/>
  <c r="BO779" i="9"/>
  <c r="BO852" i="9" s="1"/>
  <c r="Y852" i="9"/>
  <c r="AF540" i="9"/>
  <c r="AN542" i="9"/>
  <c r="AD533" i="9"/>
  <c r="BM779" i="9"/>
  <c r="BM852" i="9" s="1"/>
  <c r="BM688" i="9"/>
  <c r="BM830" i="9" s="1"/>
  <c r="AO795" i="9"/>
  <c r="AO868" i="9" s="1"/>
  <c r="AC1031" i="9" s="1"/>
  <c r="AC1054" i="9" s="1"/>
  <c r="W711" i="9"/>
  <c r="BM711" i="9" s="1"/>
  <c r="BM733" i="9"/>
  <c r="AS28" i="30"/>
  <c r="AK126" i="30"/>
  <c r="AH162" i="30"/>
  <c r="AH63" i="33" s="1"/>
  <c r="AI162" i="30"/>
  <c r="AI63" i="33" s="1"/>
  <c r="AK105" i="30"/>
  <c r="AC1024" i="9"/>
  <c r="AC1047" i="9" s="1"/>
  <c r="AA1079" i="9"/>
  <c r="AA1076" i="9"/>
  <c r="AM1032" i="9"/>
  <c r="AM1055" i="9" s="1"/>
  <c r="AA1078" i="9"/>
  <c r="AM1027" i="9"/>
  <c r="AM1050" i="9" s="1"/>
  <c r="AA1073" i="9"/>
  <c r="AM1105" i="9"/>
  <c r="AM199" i="30" s="1"/>
  <c r="AM86" i="33" s="1"/>
  <c r="BS94" i="6"/>
  <c r="BJ94" i="6"/>
  <c r="BJ88" i="35"/>
  <c r="AN98" i="9"/>
  <c r="AN594" i="9" s="1"/>
  <c r="AN876" i="9" s="1"/>
  <c r="BJ925" i="9"/>
  <c r="X925" i="9" s="1"/>
  <c r="BN925" i="9" s="1"/>
  <c r="BU450" i="9"/>
  <c r="BU440" i="9"/>
  <c r="BU445" i="9"/>
  <c r="BU438" i="9"/>
  <c r="BU443" i="9"/>
  <c r="BU436" i="9"/>
  <c r="BU447" i="9"/>
  <c r="BU433" i="9"/>
  <c r="BT510" i="9"/>
  <c r="BT1001" i="9"/>
  <c r="AC784" i="9"/>
  <c r="BT244" i="9"/>
  <c r="BT513" i="9"/>
  <c r="BT518" i="9"/>
  <c r="BT506" i="9"/>
  <c r="BU333" i="9"/>
  <c r="BU337" i="9" s="1"/>
  <c r="BT511" i="9"/>
  <c r="BT517" i="9"/>
  <c r="BT501" i="9"/>
  <c r="BT503" i="9"/>
  <c r="BT508" i="9"/>
  <c r="AN399" i="9"/>
  <c r="AN541" i="9" s="1"/>
  <c r="AO228" i="9"/>
  <c r="AO532" i="9" s="1"/>
  <c r="AN527" i="9"/>
  <c r="AN136" i="9"/>
  <c r="AN171" i="9"/>
  <c r="AN529" i="9" s="1"/>
  <c r="AN304" i="9"/>
  <c r="AN536" i="9" s="1"/>
  <c r="BS170" i="20"/>
  <c r="BT263" i="9"/>
  <c r="BT515" i="9"/>
  <c r="BT339" i="9"/>
  <c r="BU200" i="9"/>
  <c r="BU204" i="9" s="1"/>
  <c r="BT206" i="9"/>
  <c r="BU162" i="9"/>
  <c r="BU166" i="9" s="1"/>
  <c r="BT168" i="9"/>
  <c r="AO606" i="9"/>
  <c r="AP323" i="9"/>
  <c r="BT130" i="9"/>
  <c r="BT504" i="9"/>
  <c r="BT111" i="9"/>
  <c r="BT377" i="9"/>
  <c r="BU124" i="9"/>
  <c r="BU128" i="9" s="1"/>
  <c r="BT73" i="9"/>
  <c r="BT1147" i="9" s="1"/>
  <c r="BT170" i="1" s="1"/>
  <c r="BU996" i="9"/>
  <c r="BT301" i="9"/>
  <c r="AN364" i="9"/>
  <c r="AN608" i="9" s="1"/>
  <c r="AO845" i="9"/>
  <c r="AN523" i="9"/>
  <c r="AM881" i="9"/>
  <c r="AN190" i="9"/>
  <c r="AN530" i="9" s="1"/>
  <c r="AB79" i="9"/>
  <c r="AB593" i="9" s="1"/>
  <c r="AD250" i="9"/>
  <c r="AD602" i="9" s="1"/>
  <c r="AK266" i="9"/>
  <c r="AK534" i="9" s="1"/>
  <c r="AO152" i="9"/>
  <c r="AO528" i="9" s="1"/>
  <c r="AN879" i="9"/>
  <c r="AN835" i="9"/>
  <c r="AF383" i="9"/>
  <c r="AF609" i="9" s="1"/>
  <c r="AN870" i="9"/>
  <c r="AN421" i="9"/>
  <c r="AN611" i="9" s="1"/>
  <c r="AN342" i="9"/>
  <c r="AN538" i="9" s="1"/>
  <c r="AM889" i="9"/>
  <c r="AB882" i="9"/>
  <c r="AC209" i="9"/>
  <c r="AO285" i="9"/>
  <c r="AO535" i="9" s="1"/>
  <c r="BU295" i="9"/>
  <c r="BU299" i="9" s="1"/>
  <c r="AA117" i="9"/>
  <c r="AA595" i="9" s="1"/>
  <c r="BU257" i="9"/>
  <c r="BU261" i="9" s="1"/>
  <c r="BU67" i="9"/>
  <c r="BU71" i="9" s="1"/>
  <c r="BU390" i="9"/>
  <c r="BU394" i="9" s="1"/>
  <c r="BU105" i="9"/>
  <c r="BU109" i="9" s="1"/>
  <c r="BU371" i="9"/>
  <c r="BU375" i="9" s="1"/>
  <c r="BU238" i="9"/>
  <c r="BU242" i="9" s="1"/>
  <c r="BU1005" i="9"/>
  <c r="BU1003" i="9"/>
  <c r="BU1000" i="9"/>
  <c r="BU993" i="9"/>
  <c r="BU1007" i="9"/>
  <c r="BU998" i="9"/>
  <c r="BU1010" i="9"/>
  <c r="AV26" i="3"/>
  <c r="AV28" i="3"/>
  <c r="AW22" i="3"/>
  <c r="AW5" i="6"/>
  <c r="AW5" i="4"/>
  <c r="AW5" i="1"/>
  <c r="AT803" i="9" l="1"/>
  <c r="AU757" i="9" s="1"/>
  <c r="AU780" i="9" s="1"/>
  <c r="AU803" i="9" s="1"/>
  <c r="AC885" i="9"/>
  <c r="AC1126" i="9" s="1"/>
  <c r="AD766" i="9"/>
  <c r="Y781" i="9"/>
  <c r="BO781" i="9" s="1"/>
  <c r="BO854" i="9" s="1"/>
  <c r="AV688" i="9"/>
  <c r="AV711" i="9" s="1"/>
  <c r="AB1117" i="9"/>
  <c r="AB195" i="30" s="1"/>
  <c r="AB83" i="33" s="1"/>
  <c r="BT1084" i="9"/>
  <c r="BT87" i="35" s="1"/>
  <c r="AA1117" i="9"/>
  <c r="AA195" i="30" s="1"/>
  <c r="AA83" i="33" s="1"/>
  <c r="AU853" i="9"/>
  <c r="AH1016" i="9"/>
  <c r="AH1039" i="9" s="1"/>
  <c r="AO818" i="9"/>
  <c r="AC857" i="9"/>
  <c r="AC1115" i="9" s="1"/>
  <c r="AC807" i="9"/>
  <c r="AP867" i="9"/>
  <c r="AD1030" i="9" s="1"/>
  <c r="AD1053" i="9" s="1"/>
  <c r="Y854" i="9"/>
  <c r="AO693" i="9"/>
  <c r="AQ702" i="9"/>
  <c r="AP703" i="9"/>
  <c r="AN860" i="9"/>
  <c r="AB1023" i="9" s="1"/>
  <c r="AB1046" i="9" s="1"/>
  <c r="AN769" i="9"/>
  <c r="AN792" i="9" s="1"/>
  <c r="AM888" i="9"/>
  <c r="AA1074" i="9" s="1"/>
  <c r="AA1021" i="9"/>
  <c r="AA1044" i="9" s="1"/>
  <c r="BO756" i="9"/>
  <c r="X875" i="9"/>
  <c r="BM802" i="9"/>
  <c r="W875" i="9"/>
  <c r="AC531" i="9"/>
  <c r="AN785" i="9"/>
  <c r="AN808" i="9" s="1"/>
  <c r="W734" i="9"/>
  <c r="BN802" i="9"/>
  <c r="AL162" i="30"/>
  <c r="AL63" i="33" s="1"/>
  <c r="AK162" i="30"/>
  <c r="AK63" i="33" s="1"/>
  <c r="AN105" i="30"/>
  <c r="AN126" i="30"/>
  <c r="Y925" i="9"/>
  <c r="BO925" i="9" s="1"/>
  <c r="AB1022" i="9"/>
  <c r="AB1045" i="9" s="1"/>
  <c r="AM1029" i="9"/>
  <c r="AM1052" i="9" s="1"/>
  <c r="AA1075" i="9"/>
  <c r="AB1033" i="9"/>
  <c r="AB1056" i="9" s="1"/>
  <c r="AN1019" i="9"/>
  <c r="AN1042" i="9" s="1"/>
  <c r="AB1065" i="9"/>
  <c r="BS97" i="6"/>
  <c r="BS114" i="30" s="1"/>
  <c r="AO95" i="9"/>
  <c r="AO525" i="9" s="1"/>
  <c r="BU442" i="9"/>
  <c r="BU441" i="9"/>
  <c r="BU437" i="9"/>
  <c r="BU446" i="9"/>
  <c r="BU449" i="9"/>
  <c r="BU435" i="9"/>
  <c r="BU444" i="9"/>
  <c r="BU448" i="9"/>
  <c r="BU432" i="9"/>
  <c r="BU999" i="9"/>
  <c r="BT1085" i="9"/>
  <c r="BT88" i="35" s="1"/>
  <c r="BU512" i="9"/>
  <c r="BU516" i="9"/>
  <c r="BU507" i="9"/>
  <c r="BU514" i="9"/>
  <c r="BU519" i="9"/>
  <c r="BU509" i="9"/>
  <c r="AN402" i="9"/>
  <c r="AN610" i="9" s="1"/>
  <c r="AN892" i="9" s="1"/>
  <c r="AO231" i="9"/>
  <c r="AO601" i="9" s="1"/>
  <c r="AN307" i="9"/>
  <c r="AN605" i="9" s="1"/>
  <c r="AN887" i="9" s="1"/>
  <c r="AN596" i="9"/>
  <c r="AN878" i="9" s="1"/>
  <c r="AO133" i="9"/>
  <c r="AN174" i="9"/>
  <c r="AN598" i="9" s="1"/>
  <c r="BU439" i="9"/>
  <c r="BU997" i="9"/>
  <c r="AP537" i="9"/>
  <c r="AP326" i="9"/>
  <c r="BU994" i="9"/>
  <c r="BU434" i="9"/>
  <c r="BU149" i="9"/>
  <c r="BU505" i="9"/>
  <c r="BU92" i="9"/>
  <c r="BU502" i="9"/>
  <c r="BU995" i="9"/>
  <c r="BU1001" i="9"/>
  <c r="BV143" i="9"/>
  <c r="BV147" i="9" s="1"/>
  <c r="BU992" i="9"/>
  <c r="BU1004" i="9"/>
  <c r="BU1009" i="9"/>
  <c r="AN890" i="9"/>
  <c r="AO361" i="9"/>
  <c r="AO539" i="9" s="1"/>
  <c r="AN345" i="9"/>
  <c r="AN607" i="9" s="1"/>
  <c r="AB875" i="9"/>
  <c r="AC76" i="9"/>
  <c r="AC524" i="9" s="1"/>
  <c r="AN193" i="9"/>
  <c r="AN599" i="9" s="1"/>
  <c r="AC212" i="9"/>
  <c r="AC600" i="9" s="1"/>
  <c r="AG380" i="9"/>
  <c r="AF891" i="9"/>
  <c r="AB114" i="9"/>
  <c r="AA877" i="9"/>
  <c r="AA1128" i="9" s="1"/>
  <c r="AN893" i="9"/>
  <c r="AO418" i="9"/>
  <c r="AK269" i="9"/>
  <c r="AK603" i="9" s="1"/>
  <c r="AN592" i="9"/>
  <c r="AO288" i="9"/>
  <c r="AO604" i="9" s="1"/>
  <c r="AO155" i="9"/>
  <c r="AO597" i="9" s="1"/>
  <c r="AE247" i="9"/>
  <c r="AD884" i="9"/>
  <c r="BU1002" i="9"/>
  <c r="BU1008" i="9"/>
  <c r="BV314" i="9"/>
  <c r="BV318" i="9" s="1"/>
  <c r="BU320" i="9"/>
  <c r="BV86" i="9"/>
  <c r="BV90" i="9" s="1"/>
  <c r="BU282" i="9"/>
  <c r="BV276" i="9" s="1"/>
  <c r="BV280" i="9" s="1"/>
  <c r="BU225" i="9"/>
  <c r="BV219" i="9" s="1"/>
  <c r="BV223" i="9" s="1"/>
  <c r="BU358" i="9"/>
  <c r="BV352" i="9" s="1"/>
  <c r="BV356" i="9" s="1"/>
  <c r="BU187" i="9"/>
  <c r="BV181" i="9" s="1"/>
  <c r="BV185" i="9" s="1"/>
  <c r="BU415" i="9"/>
  <c r="BV409" i="9" s="1"/>
  <c r="BV413" i="9" s="1"/>
  <c r="AW28" i="3"/>
  <c r="AW26" i="3"/>
  <c r="AW4" i="1"/>
  <c r="AW4" i="4"/>
  <c r="AW4" i="6"/>
  <c r="AW20" i="3"/>
  <c r="AC880" i="9" l="1"/>
  <c r="AD761" i="9"/>
  <c r="AV734" i="9"/>
  <c r="AW688" i="9" s="1"/>
  <c r="AV757" i="9"/>
  <c r="AV780" i="9" s="1"/>
  <c r="AV853" i="9" s="1"/>
  <c r="AJ1016" i="9" s="1"/>
  <c r="AJ1039" i="9" s="1"/>
  <c r="AV830" i="9"/>
  <c r="BT91" i="6"/>
  <c r="BT89" i="30" s="1"/>
  <c r="AT22" i="30"/>
  <c r="AC1116" i="9"/>
  <c r="AI1016" i="9"/>
  <c r="AI1039" i="9" s="1"/>
  <c r="AN865" i="9"/>
  <c r="AB1028" i="9" s="1"/>
  <c r="AB1051" i="9" s="1"/>
  <c r="AN815" i="9"/>
  <c r="BO804" i="9"/>
  <c r="Y877" i="9"/>
  <c r="AA1067" i="9"/>
  <c r="AP847" i="9"/>
  <c r="AP728" i="9"/>
  <c r="AP751" i="9" s="1"/>
  <c r="AQ705" i="9" s="1"/>
  <c r="AP774" i="9"/>
  <c r="AP797" i="9" s="1"/>
  <c r="AP820" i="9" s="1"/>
  <c r="AR838" i="9"/>
  <c r="AR719" i="9"/>
  <c r="AR742" i="9" s="1"/>
  <c r="AR765" i="9"/>
  <c r="AR788" i="9" s="1"/>
  <c r="AR861" i="9" s="1"/>
  <c r="AR836" i="9"/>
  <c r="AR717" i="9"/>
  <c r="AR740" i="9" s="1"/>
  <c r="AR763" i="9"/>
  <c r="AR786" i="9" s="1"/>
  <c r="AR859" i="9" s="1"/>
  <c r="AR832" i="9"/>
  <c r="AR713" i="9"/>
  <c r="AR736" i="9" s="1"/>
  <c r="AO842" i="9"/>
  <c r="AO723" i="9"/>
  <c r="AO746" i="9" s="1"/>
  <c r="AO837" i="9"/>
  <c r="AO718" i="9"/>
  <c r="AO741" i="9" s="1"/>
  <c r="AO835" i="9"/>
  <c r="AR759" i="9"/>
  <c r="AR782" i="9" s="1"/>
  <c r="AR855" i="9" s="1"/>
  <c r="AO764" i="9"/>
  <c r="AO787" i="9" s="1"/>
  <c r="AO810" i="9" s="1"/>
  <c r="AN883" i="9"/>
  <c r="AB1069" i="9" s="1"/>
  <c r="AN858" i="9"/>
  <c r="BO802" i="9"/>
  <c r="Y875" i="9"/>
  <c r="AG540" i="9"/>
  <c r="AB526" i="9"/>
  <c r="AE533" i="9"/>
  <c r="AO542" i="9"/>
  <c r="AD789" i="9"/>
  <c r="BM734" i="9"/>
  <c r="AQ126" i="30"/>
  <c r="AO162" i="30"/>
  <c r="AO63" i="33" s="1"/>
  <c r="AN162" i="30"/>
  <c r="AN63" i="33" s="1"/>
  <c r="AQ105" i="30"/>
  <c r="AN1027" i="9"/>
  <c r="AN1050" i="9" s="1"/>
  <c r="AB1073" i="9"/>
  <c r="AB1076" i="9"/>
  <c r="AN1032" i="9"/>
  <c r="AN1055" i="9" s="1"/>
  <c r="AB1078" i="9"/>
  <c r="AA1127" i="9"/>
  <c r="AA1129" i="9" s="1"/>
  <c r="AA1017" i="9"/>
  <c r="AA1040" i="9" s="1"/>
  <c r="AB1015" i="9"/>
  <c r="AB1038" i="9" s="1"/>
  <c r="AD1024" i="9"/>
  <c r="AD1047" i="9" s="1"/>
  <c r="AB1079" i="9"/>
  <c r="AB1064" i="9"/>
  <c r="AN1105" i="9"/>
  <c r="AN199" i="30" s="1"/>
  <c r="AN86" i="33" s="1"/>
  <c r="AO98" i="9"/>
  <c r="AO594" i="9" s="1"/>
  <c r="AO876" i="9" s="1"/>
  <c r="BT94" i="6"/>
  <c r="BU508" i="9"/>
  <c r="BV200" i="9"/>
  <c r="BV204" i="9" s="1"/>
  <c r="BU206" i="9"/>
  <c r="BV447" i="9"/>
  <c r="BV440" i="9"/>
  <c r="BV445" i="9"/>
  <c r="BV450" i="9"/>
  <c r="BV443" i="9"/>
  <c r="BV436" i="9"/>
  <c r="BV438" i="9"/>
  <c r="BV433" i="9"/>
  <c r="BU339" i="9"/>
  <c r="BU1006" i="9"/>
  <c r="BV333" i="9"/>
  <c r="BV337" i="9" s="1"/>
  <c r="BU504" i="9"/>
  <c r="BU503" i="9"/>
  <c r="BU517" i="9"/>
  <c r="BU501" i="9"/>
  <c r="BU515" i="9"/>
  <c r="BU506" i="9"/>
  <c r="AO399" i="9"/>
  <c r="AO541" i="9" s="1"/>
  <c r="AP228" i="9"/>
  <c r="AP532" i="9" s="1"/>
  <c r="AO304" i="9"/>
  <c r="AO536" i="9" s="1"/>
  <c r="AO527" i="9"/>
  <c r="AO136" i="9"/>
  <c r="AO171" i="9"/>
  <c r="AO529" i="9" s="1"/>
  <c r="BT170" i="20"/>
  <c r="BU168" i="9"/>
  <c r="BV162" i="9" s="1"/>
  <c r="BV166" i="9" s="1"/>
  <c r="AP606" i="9"/>
  <c r="AQ323" i="9"/>
  <c r="BV105" i="9"/>
  <c r="BV109" i="9" s="1"/>
  <c r="BU111" i="9"/>
  <c r="BU396" i="9"/>
  <c r="BV390" i="9" s="1"/>
  <c r="BV394" i="9" s="1"/>
  <c r="BU518" i="9"/>
  <c r="BU301" i="9"/>
  <c r="BU513" i="9"/>
  <c r="BU263" i="9"/>
  <c r="BV257" i="9" s="1"/>
  <c r="BV261" i="9" s="1"/>
  <c r="BU511" i="9"/>
  <c r="BU244" i="9"/>
  <c r="BU510" i="9"/>
  <c r="BV124" i="9"/>
  <c r="BV128" i="9" s="1"/>
  <c r="BU130" i="9"/>
  <c r="BV996" i="9"/>
  <c r="BU73" i="9"/>
  <c r="BU1147" i="9" s="1"/>
  <c r="BU170" i="1" s="1"/>
  <c r="AO364" i="9"/>
  <c r="AO608" i="9" s="1"/>
  <c r="AP285" i="9"/>
  <c r="AP535" i="9" s="1"/>
  <c r="AO870" i="9"/>
  <c r="AO421" i="9"/>
  <c r="AO611" i="9" s="1"/>
  <c r="AO342" i="9"/>
  <c r="AO538" i="9" s="1"/>
  <c r="AN889" i="9"/>
  <c r="AB117" i="9"/>
  <c r="AB595" i="9" s="1"/>
  <c r="AG383" i="9"/>
  <c r="AG609" i="9" s="1"/>
  <c r="AC79" i="9"/>
  <c r="AC593" i="9" s="1"/>
  <c r="AE250" i="9"/>
  <c r="AE602" i="9" s="1"/>
  <c r="AL266" i="9"/>
  <c r="AL534" i="9" s="1"/>
  <c r="AD209" i="9"/>
  <c r="AC882" i="9"/>
  <c r="AP152" i="9"/>
  <c r="AP528" i="9" s="1"/>
  <c r="AO879" i="9"/>
  <c r="AO523" i="9"/>
  <c r="AN881" i="9"/>
  <c r="AO190" i="9"/>
  <c r="AO530" i="9" s="1"/>
  <c r="BU377" i="9"/>
  <c r="BV67" i="9"/>
  <c r="BV71" i="9" s="1"/>
  <c r="BV295" i="9"/>
  <c r="BV299" i="9" s="1"/>
  <c r="BV238" i="9"/>
  <c r="BV242" i="9" s="1"/>
  <c r="BV1005" i="9"/>
  <c r="BV1000" i="9"/>
  <c r="BV993" i="9"/>
  <c r="BV1003" i="9"/>
  <c r="BV1007" i="9"/>
  <c r="BV998" i="9"/>
  <c r="BV1010" i="9"/>
  <c r="AU156" i="20"/>
  <c r="AX22" i="3"/>
  <c r="AX5" i="6"/>
  <c r="AX5" i="4"/>
  <c r="AX5" i="1"/>
  <c r="AW830" i="9" l="1"/>
  <c r="AW711" i="9"/>
  <c r="AV803" i="9"/>
  <c r="AW757" i="9" s="1"/>
  <c r="AW780" i="9" s="1"/>
  <c r="AW803" i="9" s="1"/>
  <c r="AC1117" i="9"/>
  <c r="AC195" i="30" s="1"/>
  <c r="AC83" i="33" s="1"/>
  <c r="AO762" i="9"/>
  <c r="AO785" i="9" s="1"/>
  <c r="AO808" i="9" s="1"/>
  <c r="AR809" i="9"/>
  <c r="AR811" i="9"/>
  <c r="AD862" i="9"/>
  <c r="AD1114" i="9" s="1"/>
  <c r="AD812" i="9"/>
  <c r="AE766" i="9" s="1"/>
  <c r="AP845" i="9"/>
  <c r="AR805" i="9"/>
  <c r="AF1018" i="9"/>
  <c r="AF1041" i="9" s="1"/>
  <c r="AP695" i="9"/>
  <c r="AP700" i="9"/>
  <c r="AS690" i="9"/>
  <c r="AS694" i="9"/>
  <c r="AS696" i="9"/>
  <c r="AQ844" i="9"/>
  <c r="AQ725" i="9"/>
  <c r="AQ748" i="9" s="1"/>
  <c r="AQ771" i="9"/>
  <c r="AQ794" i="9" s="1"/>
  <c r="AQ867" i="9" s="1"/>
  <c r="AO716" i="9"/>
  <c r="AO739" i="9" s="1"/>
  <c r="AP726" i="9"/>
  <c r="AP749" i="9" s="1"/>
  <c r="AP772" i="9"/>
  <c r="AP795" i="9" s="1"/>
  <c r="AP868" i="9" s="1"/>
  <c r="AO769" i="9"/>
  <c r="AO792" i="9" s="1"/>
  <c r="AO815" i="9" s="1"/>
  <c r="AN888" i="9"/>
  <c r="AB1074" i="9" s="1"/>
  <c r="AB1021" i="9"/>
  <c r="AB1044" i="9" s="1"/>
  <c r="AO860" i="9"/>
  <c r="AC1023" i="9" s="1"/>
  <c r="AC1046" i="9" s="1"/>
  <c r="AD531" i="9"/>
  <c r="AD784" i="9"/>
  <c r="BV107" i="6"/>
  <c r="AU28" i="30"/>
  <c r="AR162" i="30"/>
  <c r="AR63" i="33" s="1"/>
  <c r="AQ162" i="30"/>
  <c r="AQ63" i="33" s="1"/>
  <c r="AT105" i="30"/>
  <c r="AT126" i="30"/>
  <c r="AN1029" i="9"/>
  <c r="AN1052" i="9" s="1"/>
  <c r="AB1075" i="9"/>
  <c r="AO1019" i="9"/>
  <c r="AO1042" i="9" s="1"/>
  <c r="AC1065" i="9"/>
  <c r="AC1033" i="9"/>
  <c r="AC1056" i="9" s="1"/>
  <c r="AC1022" i="9"/>
  <c r="AC1045" i="9" s="1"/>
  <c r="BT97" i="6"/>
  <c r="BT114" i="30" s="1"/>
  <c r="BW107" i="6"/>
  <c r="AP95" i="9"/>
  <c r="AP525" i="9" s="1"/>
  <c r="AA117" i="6"/>
  <c r="BV999" i="9"/>
  <c r="BV439" i="9"/>
  <c r="BV444" i="9"/>
  <c r="BV442" i="9"/>
  <c r="BV449" i="9"/>
  <c r="BV432" i="9"/>
  <c r="BV434" i="9"/>
  <c r="BV435" i="9"/>
  <c r="BV437" i="9"/>
  <c r="BV1006" i="9"/>
  <c r="BV446" i="9"/>
  <c r="BU1085" i="9"/>
  <c r="BU88" i="35" s="1"/>
  <c r="AO402" i="9"/>
  <c r="AO610" i="9" s="1"/>
  <c r="AO892" i="9" s="1"/>
  <c r="BV509" i="9"/>
  <c r="BV505" i="9"/>
  <c r="BV502" i="9"/>
  <c r="BV512" i="9"/>
  <c r="BV519" i="9"/>
  <c r="BV514" i="9"/>
  <c r="BV516" i="9"/>
  <c r="BV507" i="9"/>
  <c r="AP231" i="9"/>
  <c r="AP601" i="9" s="1"/>
  <c r="AO307" i="9"/>
  <c r="AO605" i="9" s="1"/>
  <c r="AO887" i="9" s="1"/>
  <c r="AO596" i="9"/>
  <c r="AO878" i="9" s="1"/>
  <c r="AP133" i="9"/>
  <c r="AO174" i="9"/>
  <c r="AO598" i="9" s="1"/>
  <c r="BV997" i="9"/>
  <c r="AQ537" i="9"/>
  <c r="AQ326" i="9"/>
  <c r="BV1002" i="9"/>
  <c r="BV994" i="9"/>
  <c r="BV1009" i="9"/>
  <c r="BV1001" i="9"/>
  <c r="BV441" i="9"/>
  <c r="BV995" i="9"/>
  <c r="BV149" i="9"/>
  <c r="BW143" i="9" s="1"/>
  <c r="BW147" i="9" s="1"/>
  <c r="AP361" i="9"/>
  <c r="AP539" i="9" s="1"/>
  <c r="AO890" i="9"/>
  <c r="BV1004" i="9"/>
  <c r="AO193" i="9"/>
  <c r="AO599" i="9" s="1"/>
  <c r="AF247" i="9"/>
  <c r="AE884" i="9"/>
  <c r="AP288" i="9"/>
  <c r="AP604" i="9" s="1"/>
  <c r="AP155" i="9"/>
  <c r="AP597" i="9" s="1"/>
  <c r="AD212" i="9"/>
  <c r="AD600" i="9" s="1"/>
  <c r="AL269" i="9"/>
  <c r="AL603" i="9" s="1"/>
  <c r="AC114" i="9"/>
  <c r="AB877" i="9"/>
  <c r="AB1128" i="9" s="1"/>
  <c r="AO592" i="9"/>
  <c r="AC875" i="9"/>
  <c r="AD76" i="9"/>
  <c r="AD524" i="9" s="1"/>
  <c r="AG891" i="9"/>
  <c r="AH380" i="9"/>
  <c r="AO345" i="9"/>
  <c r="AO607" i="9" s="1"/>
  <c r="AO893" i="9"/>
  <c r="AP418" i="9"/>
  <c r="BV371" i="9"/>
  <c r="BV375" i="9" s="1"/>
  <c r="BV992" i="9"/>
  <c r="BV320" i="9"/>
  <c r="BW314" i="9"/>
  <c r="BW318" i="9" s="1"/>
  <c r="BV225" i="9"/>
  <c r="BW219" i="9" s="1"/>
  <c r="BW223" i="9" s="1"/>
  <c r="BV92" i="9"/>
  <c r="BW86" i="9" s="1"/>
  <c r="BW90" i="9" s="1"/>
  <c r="BV282" i="9"/>
  <c r="BW276" i="9" s="1"/>
  <c r="BW280" i="9" s="1"/>
  <c r="BV358" i="9"/>
  <c r="BW352" i="9" s="1"/>
  <c r="BW356" i="9" s="1"/>
  <c r="BV187" i="9"/>
  <c r="BW181" i="9"/>
  <c r="BW185" i="9" s="1"/>
  <c r="BV415" i="9"/>
  <c r="BW409" i="9" s="1"/>
  <c r="BW413" i="9" s="1"/>
  <c r="AV156" i="20"/>
  <c r="AX28" i="3"/>
  <c r="AX26" i="3"/>
  <c r="AX4" i="4"/>
  <c r="AX4" i="6"/>
  <c r="AX4" i="1"/>
  <c r="AX20" i="3"/>
  <c r="AY5" i="4"/>
  <c r="AY5" i="1"/>
  <c r="AY5" i="6"/>
  <c r="AW853" i="9" l="1"/>
  <c r="AK1016" i="9" s="1"/>
  <c r="AK1039" i="9" s="1"/>
  <c r="AW734" i="9"/>
  <c r="AX688" i="9" s="1"/>
  <c r="AP818" i="9"/>
  <c r="AQ817" i="9"/>
  <c r="AD857" i="9"/>
  <c r="AD1115" i="9" s="1"/>
  <c r="AD807" i="9"/>
  <c r="AE761" i="9" s="1"/>
  <c r="AB1067" i="9"/>
  <c r="AP693" i="9"/>
  <c r="AS838" i="9"/>
  <c r="AS719" i="9"/>
  <c r="AS832" i="9"/>
  <c r="AS713" i="9"/>
  <c r="AS765" i="9"/>
  <c r="AS788" i="9" s="1"/>
  <c r="AS861" i="9" s="1"/>
  <c r="AS763" i="9"/>
  <c r="AS786" i="9" s="1"/>
  <c r="AS859" i="9" s="1"/>
  <c r="AS759" i="9"/>
  <c r="AS782" i="9" s="1"/>
  <c r="AS805" i="9" s="1"/>
  <c r="AS836" i="9"/>
  <c r="AS717" i="9"/>
  <c r="AQ703" i="9"/>
  <c r="AR702" i="9"/>
  <c r="AO883" i="9"/>
  <c r="AC1069" i="9" s="1"/>
  <c r="AD1031" i="9"/>
  <c r="AD1054" i="9" s="1"/>
  <c r="AE1030" i="9"/>
  <c r="AE1053" i="9" s="1"/>
  <c r="AO865" i="9"/>
  <c r="AC1028" i="9" s="1"/>
  <c r="AC1051" i="9" s="1"/>
  <c r="AE789" i="9"/>
  <c r="AE812" i="9" s="1"/>
  <c r="AF766" i="9" s="1"/>
  <c r="AD885" i="9"/>
  <c r="AD1126" i="9" s="1"/>
  <c r="AO858" i="9"/>
  <c r="AH540" i="9"/>
  <c r="AF533" i="9"/>
  <c r="AP542" i="9"/>
  <c r="AC526" i="9"/>
  <c r="AV28" i="30"/>
  <c r="AW126" i="30"/>
  <c r="AT162" i="30"/>
  <c r="AT63" i="33" s="1"/>
  <c r="AU162" i="30"/>
  <c r="AU63" i="33" s="1"/>
  <c r="AW105" i="30"/>
  <c r="AC1079" i="9"/>
  <c r="AB1127" i="9"/>
  <c r="AB1129" i="9" s="1"/>
  <c r="AB1017" i="9"/>
  <c r="AB1040" i="9" s="1"/>
  <c r="AC1064" i="9"/>
  <c r="AO1032" i="9"/>
  <c r="AO1055" i="9" s="1"/>
  <c r="AC1078" i="9"/>
  <c r="AC1015" i="9"/>
  <c r="AC1038" i="9" s="1"/>
  <c r="AE1024" i="9"/>
  <c r="AE1047" i="9" s="1"/>
  <c r="AC1076" i="9"/>
  <c r="AO1027" i="9"/>
  <c r="AO1050" i="9" s="1"/>
  <c r="AC1073" i="9"/>
  <c r="AO1105" i="9"/>
  <c r="AO199" i="30" s="1"/>
  <c r="AO86" i="33" s="1"/>
  <c r="AP98" i="9"/>
  <c r="AP594" i="9" s="1"/>
  <c r="AP876" i="9" s="1"/>
  <c r="BU94" i="6"/>
  <c r="BV515" i="9"/>
  <c r="BV508" i="9"/>
  <c r="BV206" i="9"/>
  <c r="BW200" i="9"/>
  <c r="BV339" i="9"/>
  <c r="BW333" i="9"/>
  <c r="BW337" i="9" s="1"/>
  <c r="BW438" i="9"/>
  <c r="BW433" i="9"/>
  <c r="BW436" i="9"/>
  <c r="BW440" i="9"/>
  <c r="BW450" i="9"/>
  <c r="BW443" i="9"/>
  <c r="BV448" i="9"/>
  <c r="BW447" i="9"/>
  <c r="BW445" i="9"/>
  <c r="AP399" i="9"/>
  <c r="AP541" i="9" s="1"/>
  <c r="BV518" i="9"/>
  <c r="BV511" i="9"/>
  <c r="BV513" i="9"/>
  <c r="BV503" i="9"/>
  <c r="BV506" i="9"/>
  <c r="BV510" i="9"/>
  <c r="AQ228" i="9"/>
  <c r="AQ532" i="9" s="1"/>
  <c r="AP304" i="9"/>
  <c r="AP536" i="9" s="1"/>
  <c r="AP527" i="9"/>
  <c r="AP136" i="9"/>
  <c r="AP171" i="9"/>
  <c r="AP529" i="9" s="1"/>
  <c r="BU170" i="20"/>
  <c r="BV168" i="9"/>
  <c r="BW162" i="9" s="1"/>
  <c r="BW166" i="9" s="1"/>
  <c r="AQ606" i="9"/>
  <c r="AR323" i="9"/>
  <c r="BW257" i="9"/>
  <c r="BW261" i="9" s="1"/>
  <c r="BV263" i="9"/>
  <c r="BV396" i="9"/>
  <c r="BV111" i="9"/>
  <c r="BW105" i="9"/>
  <c r="BW109" i="9" s="1"/>
  <c r="BV244" i="9"/>
  <c r="BV501" i="9"/>
  <c r="BV130" i="9"/>
  <c r="BV504" i="9"/>
  <c r="BW996" i="9"/>
  <c r="BV301" i="9"/>
  <c r="AP364" i="9"/>
  <c r="AP608" i="9" s="1"/>
  <c r="BV73" i="9"/>
  <c r="BV1147" i="9" s="1"/>
  <c r="BV170" i="1" s="1"/>
  <c r="AQ285" i="9"/>
  <c r="AQ535" i="9" s="1"/>
  <c r="AP190" i="9"/>
  <c r="AP530" i="9" s="1"/>
  <c r="AO881" i="9"/>
  <c r="AE209" i="9"/>
  <c r="AD882" i="9"/>
  <c r="AP342" i="9"/>
  <c r="AP538" i="9" s="1"/>
  <c r="AO889" i="9"/>
  <c r="AH383" i="9"/>
  <c r="AH609" i="9" s="1"/>
  <c r="AP523" i="9"/>
  <c r="AC117" i="9"/>
  <c r="AC595" i="9" s="1"/>
  <c r="AF250" i="9"/>
  <c r="AF602" i="9" s="1"/>
  <c r="AP870" i="9"/>
  <c r="AP421" i="9"/>
  <c r="AP611" i="9" s="1"/>
  <c r="AD79" i="9"/>
  <c r="AD593" i="9" s="1"/>
  <c r="AM266" i="9"/>
  <c r="AM534" i="9" s="1"/>
  <c r="AQ152" i="9"/>
  <c r="AQ528" i="9" s="1"/>
  <c r="AP879" i="9"/>
  <c r="BW238" i="9"/>
  <c r="BW242" i="9" s="1"/>
  <c r="BV1008" i="9"/>
  <c r="BW390" i="9"/>
  <c r="BW394" i="9" s="1"/>
  <c r="BW295" i="9"/>
  <c r="BW299" i="9" s="1"/>
  <c r="BW124" i="9"/>
  <c r="BW128" i="9" s="1"/>
  <c r="BW67" i="9"/>
  <c r="BW71" i="9" s="1"/>
  <c r="BO600" i="9"/>
  <c r="BW1005" i="9"/>
  <c r="BW1000" i="9"/>
  <c r="BW993" i="9"/>
  <c r="BW1003" i="9"/>
  <c r="BW1007" i="9"/>
  <c r="BW998" i="9"/>
  <c r="AY20" i="3"/>
  <c r="AY22" i="3"/>
  <c r="AY4" i="4"/>
  <c r="AY4" i="1"/>
  <c r="AY4" i="6"/>
  <c r="AZ5" i="4"/>
  <c r="AZ5" i="1"/>
  <c r="AZ5" i="6"/>
  <c r="AX711" i="9" l="1"/>
  <c r="AX734" i="9" s="1"/>
  <c r="AX830" i="9"/>
  <c r="AX757" i="9"/>
  <c r="AX780" i="9" s="1"/>
  <c r="AX803" i="9" s="1"/>
  <c r="X803" i="9" s="1"/>
  <c r="X876" i="9" s="1"/>
  <c r="X688" i="9"/>
  <c r="X830" i="9" s="1"/>
  <c r="AS742" i="9"/>
  <c r="AT696" i="9" s="1"/>
  <c r="AS740" i="9"/>
  <c r="AT694" i="9" s="1"/>
  <c r="AS736" i="9"/>
  <c r="AT690" i="9" s="1"/>
  <c r="AD1116" i="9"/>
  <c r="AY688" i="9"/>
  <c r="AS809" i="9"/>
  <c r="AS811" i="9"/>
  <c r="AP764" i="9"/>
  <c r="AP787" i="9" s="1"/>
  <c r="AP810" i="9" s="1"/>
  <c r="AS855" i="9"/>
  <c r="AP842" i="9"/>
  <c r="AP723" i="9"/>
  <c r="AP746" i="9" s="1"/>
  <c r="AP837" i="9"/>
  <c r="AP718" i="9"/>
  <c r="AP741" i="9" s="1"/>
  <c r="AQ847" i="9"/>
  <c r="AQ728" i="9"/>
  <c r="AQ751" i="9" s="1"/>
  <c r="AR705" i="9" s="1"/>
  <c r="AQ774" i="9"/>
  <c r="AQ797" i="9" s="1"/>
  <c r="AQ820" i="9" s="1"/>
  <c r="AC1021" i="9"/>
  <c r="AC1044" i="9" s="1"/>
  <c r="AP769" i="9"/>
  <c r="AP792" i="9" s="1"/>
  <c r="AP815" i="9" s="1"/>
  <c r="AO888" i="9"/>
  <c r="AC1074" i="9" s="1"/>
  <c r="AE784" i="9"/>
  <c r="AE807" i="9" s="1"/>
  <c r="AF761" i="9" s="1"/>
  <c r="AD880" i="9"/>
  <c r="AE862" i="9"/>
  <c r="AE1114" i="9" s="1"/>
  <c r="BW204" i="9"/>
  <c r="AE531" i="9"/>
  <c r="AX162" i="30"/>
  <c r="AX63" i="33" s="1"/>
  <c r="AW162" i="30"/>
  <c r="AW63" i="33" s="1"/>
  <c r="AZ105" i="30"/>
  <c r="AZ126" i="30"/>
  <c r="AO1029" i="9"/>
  <c r="AO1052" i="9" s="1"/>
  <c r="AC1075" i="9"/>
  <c r="AP1019" i="9"/>
  <c r="AP1042" i="9" s="1"/>
  <c r="AD1065" i="9"/>
  <c r="AD1033" i="9"/>
  <c r="AD1056" i="9" s="1"/>
  <c r="AD1022" i="9"/>
  <c r="AD1045" i="9" s="1"/>
  <c r="BU97" i="6"/>
  <c r="BU114" i="30" s="1"/>
  <c r="AQ95" i="9"/>
  <c r="AQ525" i="9" s="1"/>
  <c r="AB117" i="6"/>
  <c r="BW446" i="9"/>
  <c r="BW1006" i="9"/>
  <c r="BW439" i="9"/>
  <c r="BW442" i="9"/>
  <c r="BW1010" i="9"/>
  <c r="BW432" i="9"/>
  <c r="BW441" i="9"/>
  <c r="BW437" i="9"/>
  <c r="BW444" i="9"/>
  <c r="BW449" i="9"/>
  <c r="BW434" i="9"/>
  <c r="BV1085" i="9"/>
  <c r="BV88" i="35" s="1"/>
  <c r="AP402" i="9"/>
  <c r="AP610" i="9" s="1"/>
  <c r="AP892" i="9" s="1"/>
  <c r="BW519" i="9"/>
  <c r="BW507" i="9"/>
  <c r="BW509" i="9"/>
  <c r="BW505" i="9"/>
  <c r="BW512" i="9"/>
  <c r="BV517" i="9"/>
  <c r="BW516" i="9"/>
  <c r="BW514" i="9"/>
  <c r="AQ231" i="9"/>
  <c r="AQ601" i="9" s="1"/>
  <c r="AP307" i="9"/>
  <c r="AP605" i="9" s="1"/>
  <c r="AP887" i="9" s="1"/>
  <c r="AP596" i="9"/>
  <c r="AP878" i="9" s="1"/>
  <c r="AQ133" i="9"/>
  <c r="AP174" i="9"/>
  <c r="AP598" i="9" s="1"/>
  <c r="BW997" i="9"/>
  <c r="BW1002" i="9"/>
  <c r="AR537" i="9"/>
  <c r="AR326" i="9"/>
  <c r="BL600" i="9"/>
  <c r="BL882" i="9" s="1"/>
  <c r="BV170" i="20"/>
  <c r="BW994" i="9"/>
  <c r="BM600" i="9"/>
  <c r="BN600" i="9"/>
  <c r="BW995" i="9"/>
  <c r="BW435" i="9"/>
  <c r="BW502" i="9"/>
  <c r="BW149" i="9"/>
  <c r="BW992" i="9"/>
  <c r="BW1009" i="9"/>
  <c r="BW1001" i="9"/>
  <c r="BW1004" i="9"/>
  <c r="AQ361" i="9"/>
  <c r="AQ539" i="9" s="1"/>
  <c r="AP890" i="9"/>
  <c r="AQ155" i="9"/>
  <c r="AQ597" i="9" s="1"/>
  <c r="AD114" i="9"/>
  <c r="AC877" i="9"/>
  <c r="AC1128" i="9" s="1"/>
  <c r="AP193" i="9"/>
  <c r="AP599" i="9" s="1"/>
  <c r="BV377" i="9"/>
  <c r="AE76" i="9"/>
  <c r="AE524" i="9" s="1"/>
  <c r="AD875" i="9"/>
  <c r="AP592" i="9"/>
  <c r="AP345" i="9"/>
  <c r="AP607" i="9" s="1"/>
  <c r="BP209" i="9"/>
  <c r="BP531" i="9" s="1"/>
  <c r="AM269" i="9"/>
  <c r="AM603" i="9" s="1"/>
  <c r="AP893" i="9"/>
  <c r="AQ418" i="9"/>
  <c r="AG247" i="9"/>
  <c r="AF884" i="9"/>
  <c r="AH891" i="9"/>
  <c r="AI380" i="9"/>
  <c r="AE212" i="9"/>
  <c r="AE600" i="9" s="1"/>
  <c r="AQ288" i="9"/>
  <c r="AQ604" i="9" s="1"/>
  <c r="BW371" i="9"/>
  <c r="BW375" i="9" s="1"/>
  <c r="BL592" i="9"/>
  <c r="BO607" i="9"/>
  <c r="BM592" i="9"/>
  <c r="BN592" i="9"/>
  <c r="BO595" i="9"/>
  <c r="BL862" i="9"/>
  <c r="BO597" i="9"/>
  <c r="BW225" i="9"/>
  <c r="CL225" i="9" s="1"/>
  <c r="A225" i="9" s="1" a="1"/>
  <c r="A225" i="9" s="1"/>
  <c r="BN594" i="9"/>
  <c r="BW320" i="9"/>
  <c r="CL320" i="9" s="1"/>
  <c r="A320" i="9" s="1" a="1"/>
  <c r="A320" i="9" s="1"/>
  <c r="BO601" i="9"/>
  <c r="BW92" i="9"/>
  <c r="CL92" i="9" s="1"/>
  <c r="A92" i="9" s="1" a="1"/>
  <c r="A92" i="9" s="1"/>
  <c r="BO594" i="9"/>
  <c r="BL601" i="9"/>
  <c r="BN601" i="9"/>
  <c r="BL594" i="9"/>
  <c r="BM594" i="9"/>
  <c r="BM601" i="9"/>
  <c r="BW358" i="9"/>
  <c r="CL358" i="9" s="1"/>
  <c r="A358" i="9" s="1" a="1"/>
  <c r="A358" i="9" s="1"/>
  <c r="BW282" i="9"/>
  <c r="CL282" i="9" s="1"/>
  <c r="A282" i="9" s="1" a="1"/>
  <c r="A282" i="9" s="1"/>
  <c r="BL608" i="9"/>
  <c r="BN608" i="9"/>
  <c r="BO608" i="9"/>
  <c r="BM608" i="9"/>
  <c r="BW187" i="9"/>
  <c r="CL187" i="9" s="1"/>
  <c r="A187" i="9" s="1" a="1"/>
  <c r="A187" i="9" s="1"/>
  <c r="BW415" i="9"/>
  <c r="AY26" i="3"/>
  <c r="AY28" i="3"/>
  <c r="AZ20" i="3"/>
  <c r="AZ22" i="3"/>
  <c r="BA5" i="6"/>
  <c r="BA5" i="4"/>
  <c r="BA5" i="1"/>
  <c r="AZ4" i="4"/>
  <c r="AZ4" i="1"/>
  <c r="AZ4" i="6"/>
  <c r="BW999" i="9" l="1"/>
  <c r="X711" i="9"/>
  <c r="BN711" i="9" s="1"/>
  <c r="AX853" i="9"/>
  <c r="AL1016" i="9" s="1"/>
  <c r="AL1039" i="9" s="1"/>
  <c r="AT759" i="9"/>
  <c r="AT782" i="9" s="1"/>
  <c r="AT855" i="9" s="1"/>
  <c r="AH1018" i="9" s="1"/>
  <c r="AH1041" i="9" s="1"/>
  <c r="AT832" i="9"/>
  <c r="AT713" i="9"/>
  <c r="AT736" i="9" s="1"/>
  <c r="AU690" i="9" s="1"/>
  <c r="BN688" i="9"/>
  <c r="BN830" i="9" s="1"/>
  <c r="AT836" i="9"/>
  <c r="AT717" i="9"/>
  <c r="AT838" i="9"/>
  <c r="AT719" i="9"/>
  <c r="AT765" i="9"/>
  <c r="AT788" i="9" s="1"/>
  <c r="AT811" i="9" s="1"/>
  <c r="CL149" i="9"/>
  <c r="A149" i="9" s="1" a="1"/>
  <c r="A149" i="9" s="1"/>
  <c r="AD1117" i="9"/>
  <c r="AD195" i="30" s="1"/>
  <c r="AD83" i="33" s="1"/>
  <c r="BW508" i="9"/>
  <c r="X734" i="9"/>
  <c r="BN734" i="9" s="1"/>
  <c r="AP860" i="9"/>
  <c r="AD1023" i="9" s="1"/>
  <c r="AD1046" i="9" s="1"/>
  <c r="BW206" i="9"/>
  <c r="CL206" i="9" s="1"/>
  <c r="A206" i="9" s="1" a="1"/>
  <c r="A206" i="9" s="1"/>
  <c r="AP762" i="9"/>
  <c r="AP785" i="9" s="1"/>
  <c r="AP808" i="9" s="1"/>
  <c r="AP881" i="9" s="1"/>
  <c r="AC1067" i="9"/>
  <c r="AQ695" i="9"/>
  <c r="AT763" i="9"/>
  <c r="AT786" i="9" s="1"/>
  <c r="AR844" i="9"/>
  <c r="AR725" i="9"/>
  <c r="AR748" i="9" s="1"/>
  <c r="AR771" i="9"/>
  <c r="AR794" i="9" s="1"/>
  <c r="AR867" i="9" s="1"/>
  <c r="AF1030" i="9" s="1"/>
  <c r="AF1053" i="9" s="1"/>
  <c r="AQ726" i="9"/>
  <c r="AQ749" i="9" s="1"/>
  <c r="AQ845" i="9"/>
  <c r="AQ772" i="9"/>
  <c r="AQ795" i="9" s="1"/>
  <c r="AQ818" i="9" s="1"/>
  <c r="AQ700" i="9"/>
  <c r="AP716" i="9"/>
  <c r="AP739" i="9" s="1"/>
  <c r="AP835" i="9"/>
  <c r="AG1018" i="9"/>
  <c r="AG1041" i="9" s="1"/>
  <c r="AE857" i="9"/>
  <c r="AP865" i="9"/>
  <c r="AD1028" i="9" s="1"/>
  <c r="AD1051" i="9" s="1"/>
  <c r="AE885" i="9"/>
  <c r="AE1126" i="9" s="1"/>
  <c r="AF789" i="9"/>
  <c r="AF812" i="9" s="1"/>
  <c r="AG766" i="9" s="1"/>
  <c r="AP883" i="9"/>
  <c r="X47" i="6"/>
  <c r="X178" i="6"/>
  <c r="X79" i="6"/>
  <c r="X83" i="30" s="1"/>
  <c r="AI540" i="9"/>
  <c r="AQ542" i="9"/>
  <c r="AD526" i="9"/>
  <c r="AG533" i="9"/>
  <c r="W113" i="6"/>
  <c r="W145" i="6"/>
  <c r="W86" i="6"/>
  <c r="W188" i="30" s="1"/>
  <c r="W166" i="6"/>
  <c r="W70" i="6"/>
  <c r="W148" i="6"/>
  <c r="W175" i="6"/>
  <c r="W172" i="6"/>
  <c r="W157" i="6"/>
  <c r="W142" i="6"/>
  <c r="W138" i="6"/>
  <c r="W160" i="6"/>
  <c r="W163" i="6"/>
  <c r="W150" i="6"/>
  <c r="W169" i="6"/>
  <c r="X214" i="6"/>
  <c r="W73" i="6"/>
  <c r="W76" i="6"/>
  <c r="AZ162" i="30"/>
  <c r="AZ63" i="33" s="1"/>
  <c r="BA162" i="30"/>
  <c r="BA63" i="33" s="1"/>
  <c r="BC126" i="30"/>
  <c r="BC105" i="30"/>
  <c r="AP1027" i="9"/>
  <c r="AP1050" i="9" s="1"/>
  <c r="AD1073" i="9"/>
  <c r="AC1127" i="9"/>
  <c r="AC1129" i="9" s="1"/>
  <c r="AC1017" i="9"/>
  <c r="AC1040" i="9" s="1"/>
  <c r="AD1079" i="9"/>
  <c r="AD1076" i="9"/>
  <c r="AD1064" i="9"/>
  <c r="AD1015" i="9"/>
  <c r="AD1038" i="9" s="1"/>
  <c r="AF1024" i="9"/>
  <c r="AF1047" i="9" s="1"/>
  <c r="AP1032" i="9"/>
  <c r="AP1055" i="9" s="1"/>
  <c r="AD1078" i="9"/>
  <c r="AP1105" i="9"/>
  <c r="AP199" i="30" s="1"/>
  <c r="AP86" i="33" s="1"/>
  <c r="AQ98" i="9"/>
  <c r="AQ594" i="9" s="1"/>
  <c r="AQ876" i="9" s="1"/>
  <c r="BV94" i="6"/>
  <c r="AQ399" i="9"/>
  <c r="AQ541" i="9" s="1"/>
  <c r="BW339" i="9"/>
  <c r="BW515" i="9"/>
  <c r="BW448" i="9"/>
  <c r="BW501" i="9"/>
  <c r="BW511" i="9"/>
  <c r="BW510" i="9"/>
  <c r="BW504" i="9"/>
  <c r="BW503" i="9"/>
  <c r="AR228" i="9"/>
  <c r="AR532" i="9" s="1"/>
  <c r="AQ304" i="9"/>
  <c r="AQ536" i="9" s="1"/>
  <c r="AQ527" i="9"/>
  <c r="AQ136" i="9"/>
  <c r="AQ171" i="9"/>
  <c r="AQ529" i="9" s="1"/>
  <c r="BM603" i="9"/>
  <c r="BO603" i="9"/>
  <c r="BW168" i="9"/>
  <c r="CL168" i="9" s="1"/>
  <c r="A168" i="9" s="1" a="1"/>
  <c r="A168" i="9" s="1"/>
  <c r="BO598" i="9"/>
  <c r="BL598" i="9"/>
  <c r="BL880" i="9" s="1"/>
  <c r="BM598" i="9"/>
  <c r="BN598" i="9"/>
  <c r="BW506" i="9"/>
  <c r="BN603" i="9"/>
  <c r="BW263" i="9"/>
  <c r="CL263" i="9" s="1"/>
  <c r="A263" i="9" s="1" a="1"/>
  <c r="A263" i="9" s="1"/>
  <c r="BL603" i="9"/>
  <c r="BL885" i="9" s="1"/>
  <c r="AR606" i="9"/>
  <c r="AS323" i="9"/>
  <c r="BL607" i="9"/>
  <c r="BL889" i="9" s="1"/>
  <c r="BL595" i="9"/>
  <c r="BL877" i="9" s="1"/>
  <c r="BL597" i="9"/>
  <c r="BL879" i="9" s="1"/>
  <c r="BW111" i="9"/>
  <c r="CL111" i="9" s="1"/>
  <c r="A111" i="9" s="1" a="1"/>
  <c r="A111" i="9" s="1"/>
  <c r="BO596" i="9"/>
  <c r="BN596" i="9"/>
  <c r="BM596" i="9"/>
  <c r="BL596" i="9"/>
  <c r="BL878" i="9" s="1"/>
  <c r="BW130" i="9"/>
  <c r="CL130" i="9" s="1"/>
  <c r="A130" i="9" s="1" a="1"/>
  <c r="A130" i="9" s="1"/>
  <c r="BP57" i="9"/>
  <c r="BP523" i="9" s="1"/>
  <c r="BO592" i="9"/>
  <c r="BN607" i="9"/>
  <c r="BN889" i="9" s="1"/>
  <c r="BM597" i="9"/>
  <c r="BM879" i="9" s="1"/>
  <c r="BM607" i="9"/>
  <c r="BM889" i="9" s="1"/>
  <c r="BN597" i="9"/>
  <c r="BN879" i="9" s="1"/>
  <c r="BM595" i="9"/>
  <c r="BM877" i="9" s="1"/>
  <c r="BL610" i="9"/>
  <c r="BL892" i="9" s="1"/>
  <c r="BW518" i="9"/>
  <c r="BN595" i="9"/>
  <c r="BN877" i="9" s="1"/>
  <c r="BW513" i="9"/>
  <c r="BP399" i="9"/>
  <c r="BP541" i="9" s="1"/>
  <c r="BW396" i="9"/>
  <c r="CL396" i="9" s="1"/>
  <c r="A396" i="9" s="1" a="1"/>
  <c r="A396" i="9" s="1"/>
  <c r="BW73" i="9"/>
  <c r="BW1147" i="9" s="1"/>
  <c r="BW170" i="1" s="1"/>
  <c r="BW301" i="9"/>
  <c r="BW244" i="9"/>
  <c r="CL244" i="9" s="1"/>
  <c r="A244" i="9" s="1" a="1"/>
  <c r="A244" i="9" s="1"/>
  <c r="AQ364" i="9"/>
  <c r="AQ608" i="9" s="1"/>
  <c r="BP361" i="9"/>
  <c r="BP539" i="9" s="1"/>
  <c r="BP95" i="9"/>
  <c r="BP525" i="9" s="1"/>
  <c r="BP152" i="9"/>
  <c r="BP528" i="9" s="1"/>
  <c r="BO879" i="9"/>
  <c r="BP879" i="9" s="1"/>
  <c r="BQ879" i="9" s="1"/>
  <c r="BR879" i="9" s="1"/>
  <c r="BS879" i="9" s="1"/>
  <c r="BT879" i="9" s="1"/>
  <c r="BU879" i="9" s="1"/>
  <c r="BV879" i="9" s="1"/>
  <c r="BW879" i="9" s="1"/>
  <c r="BU1093" i="9"/>
  <c r="BS1093" i="9"/>
  <c r="BP342" i="9"/>
  <c r="BP538" i="9" s="1"/>
  <c r="BO889" i="9"/>
  <c r="BP889" i="9" s="1"/>
  <c r="BQ889" i="9" s="1"/>
  <c r="BR889" i="9" s="1"/>
  <c r="BS889" i="9" s="1"/>
  <c r="BT889" i="9" s="1"/>
  <c r="BU889" i="9" s="1"/>
  <c r="BV889" i="9" s="1"/>
  <c r="BW889" i="9" s="1"/>
  <c r="AG250" i="9"/>
  <c r="AG602" i="9" s="1"/>
  <c r="AN266" i="9"/>
  <c r="AN534" i="9" s="1"/>
  <c r="BT1093" i="9"/>
  <c r="BR1093" i="9"/>
  <c r="BP114" i="9"/>
  <c r="BP526" i="9" s="1"/>
  <c r="BO877" i="9"/>
  <c r="BP877" i="9" s="1"/>
  <c r="BQ877" i="9" s="1"/>
  <c r="BR877" i="9" s="1"/>
  <c r="BS877" i="9" s="1"/>
  <c r="BT877" i="9" s="1"/>
  <c r="BU877" i="9" s="1"/>
  <c r="BV877" i="9" s="1"/>
  <c r="BW877" i="9" s="1"/>
  <c r="AF209" i="9"/>
  <c r="AE882" i="9"/>
  <c r="AI383" i="9"/>
  <c r="AI609" i="9" s="1"/>
  <c r="AQ870" i="9"/>
  <c r="AQ421" i="9"/>
  <c r="AQ611" i="9" s="1"/>
  <c r="AQ523" i="9"/>
  <c r="AQ190" i="9"/>
  <c r="AQ530" i="9" s="1"/>
  <c r="BQ1093" i="9"/>
  <c r="BV1093" i="9"/>
  <c r="AR285" i="9"/>
  <c r="AR535" i="9" s="1"/>
  <c r="AE79" i="9"/>
  <c r="AE593" i="9" s="1"/>
  <c r="AD117" i="9"/>
  <c r="AD595" i="9" s="1"/>
  <c r="AR152" i="9"/>
  <c r="AR528" i="9" s="1"/>
  <c r="AQ879" i="9"/>
  <c r="BP228" i="9"/>
  <c r="BP532" i="9" s="1"/>
  <c r="BP1093" i="9"/>
  <c r="BP212" i="9"/>
  <c r="AQ342" i="9"/>
  <c r="AQ538" i="9" s="1"/>
  <c r="AP889" i="9"/>
  <c r="BW1008" i="9"/>
  <c r="BO593" i="9"/>
  <c r="BM599" i="9"/>
  <c r="BO599" i="9"/>
  <c r="BO604" i="9"/>
  <c r="BN606" i="9"/>
  <c r="BO611" i="9"/>
  <c r="BN599" i="9"/>
  <c r="BL599" i="9"/>
  <c r="BM840" i="9"/>
  <c r="BL883" i="9"/>
  <c r="BL840" i="9"/>
  <c r="BL867" i="9"/>
  <c r="BL1114" i="9" s="1"/>
  <c r="BM845" i="9"/>
  <c r="BL890" i="9"/>
  <c r="BL845" i="9"/>
  <c r="BM835" i="9"/>
  <c r="BM1121" i="9" s="1"/>
  <c r="BM1145" i="9" s="1"/>
  <c r="BM606" i="9"/>
  <c r="BO606" i="9"/>
  <c r="BL874" i="9"/>
  <c r="BO602" i="9"/>
  <c r="BL876" i="9"/>
  <c r="BL835" i="9"/>
  <c r="BL1121" i="9" s="1"/>
  <c r="BL1145" i="9" s="1"/>
  <c r="BL606" i="9"/>
  <c r="CL415" i="9"/>
  <c r="A415" i="9" s="1" a="1"/>
  <c r="A415" i="9" s="1"/>
  <c r="AX156" i="20"/>
  <c r="AZ26" i="3"/>
  <c r="AZ28" i="3"/>
  <c r="BA20" i="3"/>
  <c r="BA22" i="3"/>
  <c r="BB5" i="6"/>
  <c r="BB5" i="4"/>
  <c r="BB5" i="1"/>
  <c r="BA4" i="1"/>
  <c r="BA4" i="6"/>
  <c r="BA4" i="4"/>
  <c r="AT805" i="9" l="1"/>
  <c r="AU759" i="9" s="1"/>
  <c r="AU782" i="9" s="1"/>
  <c r="AU832" i="9"/>
  <c r="AU713" i="9"/>
  <c r="AT742" i="9"/>
  <c r="AU696" i="9" s="1"/>
  <c r="AT861" i="9"/>
  <c r="AT740" i="9"/>
  <c r="AU694" i="9" s="1"/>
  <c r="X172" i="30"/>
  <c r="CH172" i="30" s="1"/>
  <c r="CH83" i="30"/>
  <c r="CG188" i="30"/>
  <c r="BL1120" i="9"/>
  <c r="BL1144" i="9" s="1"/>
  <c r="BM1120" i="9"/>
  <c r="BM1144" i="9" s="1"/>
  <c r="AE1116" i="9"/>
  <c r="AE1115" i="9"/>
  <c r="BL1122" i="9"/>
  <c r="BP600" i="9"/>
  <c r="AY830" i="9"/>
  <c r="AY711" i="9"/>
  <c r="AY734" i="9" s="1"/>
  <c r="AP858" i="9"/>
  <c r="AD1021" i="9" s="1"/>
  <c r="AD1044" i="9" s="1"/>
  <c r="AY757" i="9"/>
  <c r="AY780" i="9" s="1"/>
  <c r="AD1069" i="9"/>
  <c r="AR817" i="9"/>
  <c r="AT859" i="9"/>
  <c r="AT809" i="9"/>
  <c r="AQ693" i="9"/>
  <c r="AQ769" i="9"/>
  <c r="AQ792" i="9" s="1"/>
  <c r="AR703" i="9"/>
  <c r="AS702" i="9"/>
  <c r="AQ868" i="9"/>
  <c r="AP888" i="9"/>
  <c r="AD1074" i="9" s="1"/>
  <c r="AF862" i="9"/>
  <c r="AF1114" i="9" s="1"/>
  <c r="AF784" i="9"/>
  <c r="AF807" i="9" s="1"/>
  <c r="AG761" i="9" s="1"/>
  <c r="AE880" i="9"/>
  <c r="BN47" i="6"/>
  <c r="BN72" i="30" s="1"/>
  <c r="BN160" i="30" s="1"/>
  <c r="X72" i="30"/>
  <c r="X217" i="6"/>
  <c r="BN217" i="6" s="1"/>
  <c r="X106" i="30"/>
  <c r="BN178" i="6"/>
  <c r="BN79" i="6"/>
  <c r="BN83" i="30" s="1"/>
  <c r="BN172" i="30" s="1"/>
  <c r="AF531" i="9"/>
  <c r="BN214" i="6"/>
  <c r="BM76" i="6"/>
  <c r="BM82" i="30" s="1"/>
  <c r="BM165" i="30" s="1"/>
  <c r="W82" i="30"/>
  <c r="BM169" i="6"/>
  <c r="W103" i="30"/>
  <c r="W163" i="1"/>
  <c r="CG163" i="1" s="1"/>
  <c r="BM172" i="6"/>
  <c r="BM104" i="30" s="1"/>
  <c r="BM168" i="30" s="1"/>
  <c r="W104" i="30"/>
  <c r="BM148" i="6"/>
  <c r="W151" i="6"/>
  <c r="W102" i="30"/>
  <c r="BM166" i="6"/>
  <c r="BM102" i="30" s="1"/>
  <c r="BM167" i="30" s="1"/>
  <c r="BM145" i="6"/>
  <c r="BM96" i="30" s="1"/>
  <c r="W96" i="30"/>
  <c r="W81" i="30"/>
  <c r="BM73" i="6"/>
  <c r="BM81" i="30" s="1"/>
  <c r="BM164" i="30" s="1"/>
  <c r="BM160" i="6"/>
  <c r="BM100" i="30" s="1"/>
  <c r="W100" i="30"/>
  <c r="BM113" i="6"/>
  <c r="W92" i="30"/>
  <c r="BM126" i="30"/>
  <c r="W126" i="30"/>
  <c r="BM150" i="6"/>
  <c r="BM97" i="30" s="1"/>
  <c r="W97" i="30"/>
  <c r="W94" i="30"/>
  <c r="BM138" i="6"/>
  <c r="W99" i="30"/>
  <c r="BM157" i="6"/>
  <c r="BM99" i="30" s="1"/>
  <c r="BM169" i="30" s="1"/>
  <c r="W85" i="30"/>
  <c r="BM86" i="6"/>
  <c r="BM188" i="30" s="1"/>
  <c r="CJ188" i="30" s="1"/>
  <c r="BM163" i="6"/>
  <c r="BM101" i="30" s="1"/>
  <c r="W101" i="30"/>
  <c r="W95" i="30"/>
  <c r="BM142" i="6"/>
  <c r="BM95" i="30" s="1"/>
  <c r="BM175" i="6"/>
  <c r="BM105" i="30" s="1"/>
  <c r="BM162" i="30" s="1"/>
  <c r="BM63" i="33" s="1"/>
  <c r="W105" i="30"/>
  <c r="W80" i="30"/>
  <c r="X67" i="6"/>
  <c r="BN67" i="6" s="1"/>
  <c r="BM70" i="6"/>
  <c r="AX28" i="30"/>
  <c r="BD162" i="30"/>
  <c r="BD63" i="33" s="1"/>
  <c r="BC162" i="30"/>
  <c r="BC63" i="33" s="1"/>
  <c r="BI105" i="30"/>
  <c r="BF105" i="30"/>
  <c r="BI126" i="30"/>
  <c r="BF126" i="30"/>
  <c r="BL119" i="6"/>
  <c r="BL93" i="30" s="1"/>
  <c r="CM93" i="30" s="1"/>
  <c r="CE93" i="30" s="1"/>
  <c r="AE1033" i="9"/>
  <c r="AE1056" i="9" s="1"/>
  <c r="AE1022" i="9"/>
  <c r="AE1045" i="9" s="1"/>
  <c r="AQ1019" i="9"/>
  <c r="AQ1042" i="9" s="1"/>
  <c r="AE1065" i="9"/>
  <c r="AP1029" i="9"/>
  <c r="AP1052" i="9" s="1"/>
  <c r="AD1075" i="9"/>
  <c r="BV97" i="6"/>
  <c r="BV114" i="30" s="1"/>
  <c r="BW1085" i="9"/>
  <c r="BW88" i="35" s="1"/>
  <c r="AR95" i="9"/>
  <c r="AR525" i="9" s="1"/>
  <c r="AC117" i="6"/>
  <c r="AQ402" i="9"/>
  <c r="AQ610" i="9" s="1"/>
  <c r="AQ892" i="9" s="1"/>
  <c r="CL339" i="9"/>
  <c r="A339" i="9" s="1" a="1"/>
  <c r="A339" i="9" s="1"/>
  <c r="AR231" i="9"/>
  <c r="AR601" i="9" s="1"/>
  <c r="BW517" i="9"/>
  <c r="AQ307" i="9"/>
  <c r="AQ605" i="9" s="1"/>
  <c r="AQ887" i="9" s="1"/>
  <c r="AQ174" i="9"/>
  <c r="AQ598" i="9" s="1"/>
  <c r="AQ596" i="9"/>
  <c r="AQ878" i="9" s="1"/>
  <c r="AR133" i="9"/>
  <c r="BP266" i="9"/>
  <c r="BP534" i="9" s="1"/>
  <c r="BP171" i="9"/>
  <c r="BP529" i="9" s="1"/>
  <c r="AS537" i="9"/>
  <c r="AS326" i="9"/>
  <c r="BL605" i="9"/>
  <c r="BL887" i="9" s="1"/>
  <c r="BW170" i="20"/>
  <c r="BL604" i="9"/>
  <c r="BL886" i="9" s="1"/>
  <c r="BL611" i="9"/>
  <c r="BL893" i="9" s="1"/>
  <c r="BL602" i="9"/>
  <c r="BL884" i="9" s="1"/>
  <c r="BL593" i="9"/>
  <c r="BL875" i="9" s="1"/>
  <c r="BP133" i="9"/>
  <c r="BP527" i="9" s="1"/>
  <c r="BP60" i="9"/>
  <c r="BN593" i="9"/>
  <c r="BN875" i="9" s="1"/>
  <c r="BM604" i="9"/>
  <c r="BN610" i="9"/>
  <c r="BN892" i="9" s="1"/>
  <c r="BO610" i="9"/>
  <c r="BO892" i="9" s="1"/>
  <c r="BP892" i="9" s="1"/>
  <c r="BQ892" i="9" s="1"/>
  <c r="BR892" i="9" s="1"/>
  <c r="BS892" i="9" s="1"/>
  <c r="BT892" i="9" s="1"/>
  <c r="BU892" i="9" s="1"/>
  <c r="BV892" i="9" s="1"/>
  <c r="BW892" i="9" s="1"/>
  <c r="BN611" i="9"/>
  <c r="BM605" i="9"/>
  <c r="BM887" i="9" s="1"/>
  <c r="BN605" i="9"/>
  <c r="BN887" i="9" s="1"/>
  <c r="BM593" i="9"/>
  <c r="BM875" i="9" s="1"/>
  <c r="BM602" i="9"/>
  <c r="BM611" i="9"/>
  <c r="BN602" i="9"/>
  <c r="BN604" i="9"/>
  <c r="BO605" i="9"/>
  <c r="BO887" i="9" s="1"/>
  <c r="BP887" i="9" s="1"/>
  <c r="BQ887" i="9" s="1"/>
  <c r="BR887" i="9" s="1"/>
  <c r="BS887" i="9" s="1"/>
  <c r="BT887" i="9" s="1"/>
  <c r="BU887" i="9" s="1"/>
  <c r="BV887" i="9" s="1"/>
  <c r="BW887" i="9" s="1"/>
  <c r="BM610" i="9"/>
  <c r="BM892" i="9" s="1"/>
  <c r="BP304" i="9"/>
  <c r="BP536" i="9" s="1"/>
  <c r="CL73" i="9"/>
  <c r="A73" i="9" s="1" a="1"/>
  <c r="A73" i="9" s="1"/>
  <c r="CL301" i="9"/>
  <c r="A301" i="9" s="1" a="1"/>
  <c r="A301" i="9" s="1"/>
  <c r="BW1093" i="9"/>
  <c r="BP98" i="9"/>
  <c r="BP231" i="9"/>
  <c r="BP402" i="9"/>
  <c r="BP364" i="9"/>
  <c r="AR361" i="9"/>
  <c r="AR539" i="9" s="1"/>
  <c r="AQ890" i="9"/>
  <c r="BP247" i="9"/>
  <c r="BP533" i="9" s="1"/>
  <c r="BP418" i="9"/>
  <c r="BP542" i="9" s="1"/>
  <c r="BQ209" i="9"/>
  <c r="BQ531" i="9" s="1"/>
  <c r="AQ893" i="9"/>
  <c r="AR418" i="9"/>
  <c r="BP76" i="9"/>
  <c r="BP524" i="9" s="1"/>
  <c r="BO875" i="9"/>
  <c r="AR155" i="9"/>
  <c r="AR597" i="9" s="1"/>
  <c r="AQ193" i="9"/>
  <c r="AQ599" i="9" s="1"/>
  <c r="AQ592" i="9"/>
  <c r="AF212" i="9"/>
  <c r="AF600" i="9" s="1"/>
  <c r="AH247" i="9"/>
  <c r="AG884" i="9"/>
  <c r="BP345" i="9"/>
  <c r="BP190" i="9"/>
  <c r="BP530" i="9" s="1"/>
  <c r="AE114" i="9"/>
  <c r="AD877" i="9"/>
  <c r="AD1128" i="9" s="1"/>
  <c r="AF76" i="9"/>
  <c r="AF524" i="9" s="1"/>
  <c r="AE875" i="9"/>
  <c r="AR288" i="9"/>
  <c r="AR604" i="9" s="1"/>
  <c r="AI891" i="9"/>
  <c r="AJ380" i="9"/>
  <c r="BP323" i="9"/>
  <c r="BP537" i="9" s="1"/>
  <c r="BP285" i="9"/>
  <c r="BP535" i="9" s="1"/>
  <c r="AQ345" i="9"/>
  <c r="AQ607" i="9" s="1"/>
  <c r="BP117" i="9"/>
  <c r="AN269" i="9"/>
  <c r="AN603" i="9" s="1"/>
  <c r="BP155" i="9"/>
  <c r="BW377" i="9"/>
  <c r="BL888" i="9"/>
  <c r="BL857" i="9"/>
  <c r="BL1115" i="9" s="1"/>
  <c r="BL881" i="9"/>
  <c r="BA28" i="3"/>
  <c r="BA26" i="3"/>
  <c r="BB20" i="3"/>
  <c r="BB22" i="3"/>
  <c r="BC5" i="4"/>
  <c r="BC5" i="1"/>
  <c r="BC5" i="6"/>
  <c r="BB4" i="1"/>
  <c r="BB4" i="4"/>
  <c r="BB4" i="6"/>
  <c r="CK172" i="30" l="1"/>
  <c r="AU838" i="9"/>
  <c r="AU719" i="9"/>
  <c r="AU765" i="9"/>
  <c r="AU788" i="9" s="1"/>
  <c r="AU811" i="9" s="1"/>
  <c r="AU717" i="9"/>
  <c r="AU836" i="9"/>
  <c r="AU736" i="9"/>
  <c r="AV690" i="9" s="1"/>
  <c r="AZ688" i="9"/>
  <c r="AZ830" i="9" s="1"/>
  <c r="W169" i="30"/>
  <c r="CG169" i="30" s="1"/>
  <c r="CJ99" i="30"/>
  <c r="CG99" i="30"/>
  <c r="W164" i="30"/>
  <c r="CJ164" i="30" s="1"/>
  <c r="CJ81" i="30"/>
  <c r="CG81" i="30"/>
  <c r="W167" i="30"/>
  <c r="CJ167" i="30" s="1"/>
  <c r="CJ102" i="30"/>
  <c r="CG102" i="30"/>
  <c r="W165" i="30"/>
  <c r="CJ165" i="30" s="1"/>
  <c r="CJ82" i="30"/>
  <c r="CG82" i="30"/>
  <c r="X160" i="30"/>
  <c r="CH160" i="30" s="1"/>
  <c r="CH72" i="30"/>
  <c r="CK72" i="30"/>
  <c r="CG126" i="30"/>
  <c r="CJ126" i="30"/>
  <c r="CG100" i="30"/>
  <c r="CJ100" i="30"/>
  <c r="CG96" i="30"/>
  <c r="CJ96" i="30"/>
  <c r="CG80" i="30"/>
  <c r="CJ95" i="30"/>
  <c r="CG95" i="30"/>
  <c r="CG85" i="30"/>
  <c r="CG94" i="30"/>
  <c r="W166" i="30"/>
  <c r="CG103" i="30"/>
  <c r="X163" i="30"/>
  <c r="CH163" i="30" s="1"/>
  <c r="CH106" i="30"/>
  <c r="CK83" i="30"/>
  <c r="W162" i="30"/>
  <c r="W63" i="33" s="1"/>
  <c r="CG105" i="30"/>
  <c r="CJ105" i="30"/>
  <c r="CG101" i="30"/>
  <c r="CJ101" i="30"/>
  <c r="CG97" i="30"/>
  <c r="CJ97" i="30"/>
  <c r="CG92" i="30"/>
  <c r="W168" i="30"/>
  <c r="CJ168" i="30" s="1"/>
  <c r="CG104" i="30"/>
  <c r="CJ104" i="30"/>
  <c r="CG166" i="30"/>
  <c r="BL1127" i="9"/>
  <c r="AE1117" i="9"/>
  <c r="AE195" i="30" s="1"/>
  <c r="AE83" i="33" s="1"/>
  <c r="BL1123" i="9"/>
  <c r="BL1146" i="9"/>
  <c r="BL1147" i="9" s="1"/>
  <c r="BL170" i="1" s="1"/>
  <c r="CM170" i="1" s="1"/>
  <c r="CE170" i="1" s="1"/>
  <c r="BL1116" i="9"/>
  <c r="BP595" i="9"/>
  <c r="BP597" i="9"/>
  <c r="BP601" i="9"/>
  <c r="BP607" i="9"/>
  <c r="BP594" i="9"/>
  <c r="BP608" i="9"/>
  <c r="BP610" i="9"/>
  <c r="AY803" i="9"/>
  <c r="AZ757" i="9" s="1"/>
  <c r="AY853" i="9"/>
  <c r="AU855" i="9"/>
  <c r="AU805" i="9"/>
  <c r="AQ815" i="9"/>
  <c r="AD1067" i="9"/>
  <c r="AU763" i="9"/>
  <c r="AU786" i="9" s="1"/>
  <c r="AS844" i="9"/>
  <c r="AS725" i="9"/>
  <c r="AQ842" i="9"/>
  <c r="AQ723" i="9"/>
  <c r="AQ746" i="9" s="1"/>
  <c r="AE1031" i="9"/>
  <c r="AE1054" i="9" s="1"/>
  <c r="AS771" i="9"/>
  <c r="AS794" i="9" s="1"/>
  <c r="AS867" i="9" s="1"/>
  <c r="AQ837" i="9"/>
  <c r="AQ718" i="9"/>
  <c r="AQ741" i="9" s="1"/>
  <c r="AQ764" i="9"/>
  <c r="AQ787" i="9" s="1"/>
  <c r="AQ810" i="9" s="1"/>
  <c r="AR847" i="9"/>
  <c r="AR728" i="9"/>
  <c r="AR751" i="9" s="1"/>
  <c r="AS705" i="9" s="1"/>
  <c r="AR774" i="9"/>
  <c r="AR797" i="9" s="1"/>
  <c r="AR820" i="9" s="1"/>
  <c r="AQ865" i="9"/>
  <c r="AE1028" i="9" s="1"/>
  <c r="AE1051" i="9" s="1"/>
  <c r="AF857" i="9"/>
  <c r="AF885" i="9"/>
  <c r="AF1126" i="9" s="1"/>
  <c r="AG789" i="9"/>
  <c r="AG812" i="9" s="1"/>
  <c r="AZ711" i="9"/>
  <c r="AZ734" i="9" s="1"/>
  <c r="BN106" i="30"/>
  <c r="BN163" i="30" s="1"/>
  <c r="W170" i="30"/>
  <c r="BM170" i="30"/>
  <c r="AJ540" i="9"/>
  <c r="AH533" i="9"/>
  <c r="AR542" i="9"/>
  <c r="AE526" i="9"/>
  <c r="BM159" i="30"/>
  <c r="W159" i="30"/>
  <c r="W163" i="20"/>
  <c r="W75" i="33"/>
  <c r="W119" i="30"/>
  <c r="BF162" i="30"/>
  <c r="BF63" i="33" s="1"/>
  <c r="BG162" i="30"/>
  <c r="BG63" i="33" s="1"/>
  <c r="BJ162" i="30"/>
  <c r="BJ63" i="33" s="1"/>
  <c r="BI162" i="30"/>
  <c r="BI63" i="33" s="1"/>
  <c r="AD1127" i="9"/>
  <c r="AD1129" i="9" s="1"/>
  <c r="AD1017" i="9"/>
  <c r="AD1040" i="9" s="1"/>
  <c r="AE1064" i="9"/>
  <c r="AG1024" i="9"/>
  <c r="AG1047" i="9" s="1"/>
  <c r="AE1076" i="9"/>
  <c r="AE1079" i="9"/>
  <c r="AQ1032" i="9"/>
  <c r="AQ1055" i="9" s="1"/>
  <c r="AE1078" i="9"/>
  <c r="AE1015" i="9"/>
  <c r="AE1038" i="9" s="1"/>
  <c r="AQ1027" i="9"/>
  <c r="AQ1050" i="9" s="1"/>
  <c r="AE1073" i="9"/>
  <c r="BR1105" i="9"/>
  <c r="BR199" i="30" s="1"/>
  <c r="BR86" i="33" s="1"/>
  <c r="AQ1105" i="9"/>
  <c r="AQ199" i="30" s="1"/>
  <c r="AQ86" i="33" s="1"/>
  <c r="BM85" i="30"/>
  <c r="CJ85" i="30" s="1"/>
  <c r="BM92" i="30"/>
  <c r="CJ92" i="30" s="1"/>
  <c r="BM80" i="30"/>
  <c r="CJ80" i="30" s="1"/>
  <c r="BQ68" i="6"/>
  <c r="BM68" i="6"/>
  <c r="BM94" i="30"/>
  <c r="CJ94" i="30" s="1"/>
  <c r="BM151" i="6"/>
  <c r="BM119" i="30" s="1"/>
  <c r="BM161" i="30" s="1"/>
  <c r="BM62" i="33" s="1"/>
  <c r="BM103" i="30"/>
  <c r="BM166" i="30" s="1"/>
  <c r="BM163" i="1"/>
  <c r="CJ163" i="1" s="1"/>
  <c r="BW94" i="6"/>
  <c r="AR98" i="9"/>
  <c r="AR594" i="9" s="1"/>
  <c r="AR876" i="9" s="1"/>
  <c r="BQ57" i="9"/>
  <c r="BQ523" i="9" s="1"/>
  <c r="AR399" i="9"/>
  <c r="AR541" i="9" s="1"/>
  <c r="AS228" i="9"/>
  <c r="AS532" i="9" s="1"/>
  <c r="AR304" i="9"/>
  <c r="AR536" i="9" s="1"/>
  <c r="AR171" i="9"/>
  <c r="AR529" i="9" s="1"/>
  <c r="AR527" i="9"/>
  <c r="AR136" i="9"/>
  <c r="BP269" i="9"/>
  <c r="BP174" i="9"/>
  <c r="AS606" i="9"/>
  <c r="AT323" i="9"/>
  <c r="BP136" i="9"/>
  <c r="BP592" i="9"/>
  <c r="BP307" i="9"/>
  <c r="BQ95" i="9"/>
  <c r="BQ525" i="9" s="1"/>
  <c r="BQ361" i="9"/>
  <c r="BQ539" i="9" s="1"/>
  <c r="BQ399" i="9"/>
  <c r="BQ541" i="9" s="1"/>
  <c r="AR364" i="9"/>
  <c r="AR608" i="9" s="1"/>
  <c r="BQ228" i="9"/>
  <c r="BQ532" i="9" s="1"/>
  <c r="BQ152" i="9"/>
  <c r="BQ528" i="9" s="1"/>
  <c r="AO266" i="9"/>
  <c r="AO534" i="9" s="1"/>
  <c r="BP326" i="9"/>
  <c r="BQ342" i="9"/>
  <c r="BQ538" i="9" s="1"/>
  <c r="AG209" i="9"/>
  <c r="AF882" i="9"/>
  <c r="AS152" i="9"/>
  <c r="AS528" i="9" s="1"/>
  <c r="AR879" i="9"/>
  <c r="BP79" i="9"/>
  <c r="BP421" i="9"/>
  <c r="BQ114" i="9"/>
  <c r="BQ526" i="9" s="1"/>
  <c r="BP288" i="9"/>
  <c r="AS285" i="9"/>
  <c r="AS535" i="9" s="1"/>
  <c r="AF79" i="9"/>
  <c r="AF593" i="9" s="1"/>
  <c r="BQ212" i="9"/>
  <c r="AR342" i="9"/>
  <c r="AR538" i="9" s="1"/>
  <c r="AQ889" i="9"/>
  <c r="AR523" i="9"/>
  <c r="AR190" i="9"/>
  <c r="AR530" i="9" s="1"/>
  <c r="AJ383" i="9"/>
  <c r="AJ609" i="9" s="1"/>
  <c r="AE117" i="9"/>
  <c r="AE595" i="9" s="1"/>
  <c r="BP193" i="9"/>
  <c r="AH250" i="9"/>
  <c r="AH602" i="9" s="1"/>
  <c r="AR421" i="9"/>
  <c r="AR611" i="9" s="1"/>
  <c r="BP250" i="9"/>
  <c r="CL377" i="9"/>
  <c r="A377" i="9" s="1" a="1"/>
  <c r="A377" i="9" s="1"/>
  <c r="BO609" i="9"/>
  <c r="AY156" i="20"/>
  <c r="BB28" i="3"/>
  <c r="BB26" i="3"/>
  <c r="BC20" i="3"/>
  <c r="BC22" i="3"/>
  <c r="BC4" i="4"/>
  <c r="BC4" i="6"/>
  <c r="BC4" i="1"/>
  <c r="BD5" i="4"/>
  <c r="BD5" i="6"/>
  <c r="BD5" i="1"/>
  <c r="AU861" i="9" l="1"/>
  <c r="CG167" i="30"/>
  <c r="CJ166" i="30"/>
  <c r="AV832" i="9"/>
  <c r="AV713" i="9"/>
  <c r="AS748" i="9"/>
  <c r="AT702" i="9" s="1"/>
  <c r="AV759" i="9"/>
  <c r="AV782" i="9" s="1"/>
  <c r="AV855" i="9" s="1"/>
  <c r="AU742" i="9"/>
  <c r="AV696" i="9" s="1"/>
  <c r="AU740" i="9"/>
  <c r="AV694" i="9" s="1"/>
  <c r="CJ169" i="30"/>
  <c r="CK160" i="30"/>
  <c r="CG165" i="30"/>
  <c r="CG164" i="30"/>
  <c r="CK163" i="30"/>
  <c r="CG168" i="30"/>
  <c r="CJ162" i="30"/>
  <c r="CG162" i="30"/>
  <c r="W161" i="30"/>
  <c r="W62" i="33" s="1"/>
  <c r="CJ119" i="30"/>
  <c r="CG119" i="30"/>
  <c r="CK106" i="30"/>
  <c r="CJ103" i="30"/>
  <c r="CG170" i="30"/>
  <c r="CJ170" i="30"/>
  <c r="BM64" i="33"/>
  <c r="CG159" i="30"/>
  <c r="CJ159" i="30"/>
  <c r="AF1116" i="9"/>
  <c r="AF1115" i="9"/>
  <c r="AI1018" i="9"/>
  <c r="AI1041" i="9" s="1"/>
  <c r="W64" i="33"/>
  <c r="BL170" i="20"/>
  <c r="BL173" i="20" s="1"/>
  <c r="CN173" i="20" s="1"/>
  <c r="CF173" i="20" s="1"/>
  <c r="BL173" i="1"/>
  <c r="BL1117" i="9"/>
  <c r="BL195" i="30" s="1"/>
  <c r="AR870" i="9"/>
  <c r="AF1033" i="9" s="1"/>
  <c r="AF1056" i="9" s="1"/>
  <c r="BP605" i="9"/>
  <c r="BP593" i="9"/>
  <c r="BP596" i="9"/>
  <c r="BP603" i="9"/>
  <c r="BP604" i="9"/>
  <c r="BQ600" i="9"/>
  <c r="BP606" i="9"/>
  <c r="BP602" i="9"/>
  <c r="BP599" i="9"/>
  <c r="BP611" i="9"/>
  <c r="BP598" i="9"/>
  <c r="AM1016" i="9"/>
  <c r="AM1039" i="9" s="1"/>
  <c r="AU859" i="9"/>
  <c r="AU809" i="9"/>
  <c r="AS817" i="9"/>
  <c r="AQ716" i="9"/>
  <c r="AQ739" i="9" s="1"/>
  <c r="AQ835" i="9"/>
  <c r="AQ762" i="9"/>
  <c r="AQ785" i="9" s="1"/>
  <c r="AQ808" i="9" s="1"/>
  <c r="AR695" i="9"/>
  <c r="AR845" i="9"/>
  <c r="AR726" i="9"/>
  <c r="AR749" i="9" s="1"/>
  <c r="AG1030" i="9"/>
  <c r="AG1053" i="9" s="1"/>
  <c r="AR700" i="9"/>
  <c r="AR772" i="9"/>
  <c r="AR795" i="9" s="1"/>
  <c r="AR868" i="9" s="1"/>
  <c r="AF1031" i="9" s="1"/>
  <c r="AF1054" i="9" s="1"/>
  <c r="AQ860" i="9"/>
  <c r="AF880" i="9"/>
  <c r="AG784" i="9"/>
  <c r="AG807" i="9" s="1"/>
  <c r="AQ888" i="9"/>
  <c r="AE1074" i="9" s="1"/>
  <c r="AG862" i="9"/>
  <c r="AG1114" i="9" s="1"/>
  <c r="BA688" i="9"/>
  <c r="CK131" i="20"/>
  <c r="CL131" i="20"/>
  <c r="CM131" i="20"/>
  <c r="AG531" i="9"/>
  <c r="AZ780" i="9"/>
  <c r="BP875" i="9"/>
  <c r="BQ875" i="9" s="1"/>
  <c r="BR875" i="9" s="1"/>
  <c r="BS875" i="9" s="1"/>
  <c r="BT875" i="9" s="1"/>
  <c r="BU875" i="9" s="1"/>
  <c r="BV875" i="9" s="1"/>
  <c r="BW875" i="9" s="1"/>
  <c r="AY28" i="30"/>
  <c r="AQ1029" i="9"/>
  <c r="AQ1052" i="9" s="1"/>
  <c r="AE1075" i="9"/>
  <c r="AR1019" i="9"/>
  <c r="AR1042" i="9" s="1"/>
  <c r="AF1065" i="9"/>
  <c r="AF1022" i="9"/>
  <c r="AF1045" i="9" s="1"/>
  <c r="BW97" i="6"/>
  <c r="BM163" i="20"/>
  <c r="CK163" i="20" s="1"/>
  <c r="BM75" i="33"/>
  <c r="AS95" i="9"/>
  <c r="AS525" i="9" s="1"/>
  <c r="BQ60" i="9"/>
  <c r="AD117" i="6"/>
  <c r="AR402" i="9"/>
  <c r="AR610" i="9" s="1"/>
  <c r="AR892" i="9" s="1"/>
  <c r="AS231" i="9"/>
  <c r="AS601" i="9" s="1"/>
  <c r="AR307" i="9"/>
  <c r="AR605" i="9" s="1"/>
  <c r="AR887" i="9" s="1"/>
  <c r="AR174" i="9"/>
  <c r="AR598" i="9" s="1"/>
  <c r="AR596" i="9"/>
  <c r="AR878" i="9" s="1"/>
  <c r="AS133" i="9"/>
  <c r="BQ266" i="9"/>
  <c r="BQ534" i="9" s="1"/>
  <c r="BQ171" i="9"/>
  <c r="BQ529" i="9" s="1"/>
  <c r="AT537" i="9"/>
  <c r="AT326" i="9"/>
  <c r="BL609" i="9"/>
  <c r="BQ133" i="9"/>
  <c r="BQ527" i="9" s="1"/>
  <c r="BQ304" i="9"/>
  <c r="BQ536" i="9" s="1"/>
  <c r="BN609" i="9"/>
  <c r="BM609" i="9"/>
  <c r="BQ98" i="9"/>
  <c r="AR890" i="9"/>
  <c r="AS361" i="9"/>
  <c r="AS539" i="9" s="1"/>
  <c r="BQ402" i="9"/>
  <c r="BQ231" i="9"/>
  <c r="BQ364" i="9"/>
  <c r="BQ190" i="9"/>
  <c r="BQ530" i="9" s="1"/>
  <c r="AR345" i="9"/>
  <c r="AR607" i="9" s="1"/>
  <c r="AS288" i="9"/>
  <c r="AS604" i="9" s="1"/>
  <c r="BQ76" i="9"/>
  <c r="BQ524" i="9" s="1"/>
  <c r="AK380" i="9"/>
  <c r="AJ891" i="9"/>
  <c r="BP380" i="9"/>
  <c r="BP540" i="9" s="1"/>
  <c r="AR592" i="9"/>
  <c r="BR209" i="9"/>
  <c r="BR531" i="9" s="1"/>
  <c r="AG212" i="9"/>
  <c r="AG600" i="9" s="1"/>
  <c r="BQ323" i="9"/>
  <c r="BQ537" i="9" s="1"/>
  <c r="AI247" i="9"/>
  <c r="AH884" i="9"/>
  <c r="AE877" i="9"/>
  <c r="AE1128" i="9" s="1"/>
  <c r="AF114" i="9"/>
  <c r="AG76" i="9"/>
  <c r="AG524" i="9" s="1"/>
  <c r="AF875" i="9"/>
  <c r="BQ418" i="9"/>
  <c r="BQ542" i="9" s="1"/>
  <c r="BQ247" i="9"/>
  <c r="BQ533" i="9" s="1"/>
  <c r="AR893" i="9"/>
  <c r="AS418" i="9"/>
  <c r="AR193" i="9"/>
  <c r="AR599" i="9" s="1"/>
  <c r="BQ285" i="9"/>
  <c r="BQ535" i="9" s="1"/>
  <c r="BQ117" i="9"/>
  <c r="AS155" i="9"/>
  <c r="AS597" i="9" s="1"/>
  <c r="BQ345" i="9"/>
  <c r="AO269" i="9"/>
  <c r="AO603" i="9" s="1"/>
  <c r="BQ155" i="9"/>
  <c r="BC26" i="3"/>
  <c r="BC28" i="3"/>
  <c r="BD20" i="3"/>
  <c r="BD22" i="3"/>
  <c r="BE22" i="3"/>
  <c r="BE5" i="6"/>
  <c r="BE5" i="4"/>
  <c r="BE5" i="1"/>
  <c r="BD4" i="1"/>
  <c r="BD4" i="4"/>
  <c r="BD4" i="6"/>
  <c r="AV805" i="9" l="1"/>
  <c r="AT844" i="9"/>
  <c r="AT725" i="9"/>
  <c r="AT748" i="9" s="1"/>
  <c r="AU702" i="9" s="1"/>
  <c r="AV836" i="9"/>
  <c r="AV717" i="9"/>
  <c r="AV838" i="9"/>
  <c r="AV719" i="9"/>
  <c r="AV765" i="9"/>
  <c r="AV788" i="9" s="1"/>
  <c r="AV811" i="9" s="1"/>
  <c r="AV736" i="9"/>
  <c r="AW690" i="9" s="1"/>
  <c r="CG161" i="30"/>
  <c r="CJ161" i="30"/>
  <c r="BL83" i="33"/>
  <c r="CM195" i="30"/>
  <c r="CE195" i="30" s="1"/>
  <c r="AF1117" i="9"/>
  <c r="AF195" i="30" s="1"/>
  <c r="AF83" i="33" s="1"/>
  <c r="AJ1018" i="9"/>
  <c r="AJ1041" i="9" s="1"/>
  <c r="CN170" i="20"/>
  <c r="CF170" i="20" s="1"/>
  <c r="BL41" i="30"/>
  <c r="CM173" i="1"/>
  <c r="CE173" i="1" s="1"/>
  <c r="BQ592" i="9"/>
  <c r="BQ608" i="9"/>
  <c r="BQ601" i="9"/>
  <c r="BQ610" i="9"/>
  <c r="BQ607" i="9"/>
  <c r="BQ594" i="9"/>
  <c r="BQ597" i="9"/>
  <c r="BQ595" i="9"/>
  <c r="AZ803" i="9"/>
  <c r="AZ853" i="9"/>
  <c r="AR818" i="9"/>
  <c r="AS847" i="9"/>
  <c r="AS728" i="9"/>
  <c r="AS751" i="9" s="1"/>
  <c r="AT705" i="9" s="1"/>
  <c r="AS703" i="9"/>
  <c r="AE1023" i="9"/>
  <c r="AE1046" i="9" s="1"/>
  <c r="AV763" i="9"/>
  <c r="AV786" i="9" s="1"/>
  <c r="AQ858" i="9"/>
  <c r="AE1021" i="9" s="1"/>
  <c r="AE1044" i="9" s="1"/>
  <c r="AR693" i="9"/>
  <c r="AQ883" i="9"/>
  <c r="AR764" i="9"/>
  <c r="AR787" i="9" s="1"/>
  <c r="AR860" i="9" s="1"/>
  <c r="AT771" i="9"/>
  <c r="AT794" i="9" s="1"/>
  <c r="AS774" i="9"/>
  <c r="AS797" i="9" s="1"/>
  <c r="AS870" i="9" s="1"/>
  <c r="AH766" i="9"/>
  <c r="AG885" i="9"/>
  <c r="AG1126" i="9" s="1"/>
  <c r="AH789" i="9"/>
  <c r="AH812" i="9" s="1"/>
  <c r="AG857" i="9"/>
  <c r="BA830" i="9"/>
  <c r="CE131" i="20"/>
  <c r="A131" i="20" s="1" a="1"/>
  <c r="A131" i="20" s="1"/>
  <c r="AK540" i="9"/>
  <c r="AS542" i="9"/>
  <c r="AI533" i="9"/>
  <c r="AF526" i="9"/>
  <c r="AE1127" i="9"/>
  <c r="AE1129" i="9" s="1"/>
  <c r="AE1017" i="9"/>
  <c r="AE1040" i="9" s="1"/>
  <c r="AR1032" i="9"/>
  <c r="AR1055" i="9" s="1"/>
  <c r="AF1078" i="9"/>
  <c r="AF1015" i="9"/>
  <c r="AF1038" i="9" s="1"/>
  <c r="AH1024" i="9"/>
  <c r="AH1047" i="9" s="1"/>
  <c r="AF1079" i="9"/>
  <c r="AF1076" i="9"/>
  <c r="AF1064" i="9"/>
  <c r="AR1027" i="9"/>
  <c r="AR1050" i="9" s="1"/>
  <c r="AF1073" i="9"/>
  <c r="AR1105" i="9"/>
  <c r="AR199" i="30" s="1"/>
  <c r="AR86" i="33" s="1"/>
  <c r="BW114" i="30"/>
  <c r="AS98" i="9"/>
  <c r="AS594" i="9" s="1"/>
  <c r="AS876" i="9" s="1"/>
  <c r="BR57" i="9"/>
  <c r="BR523" i="9" s="1"/>
  <c r="AS399" i="9"/>
  <c r="AS541" i="9" s="1"/>
  <c r="AT228" i="9"/>
  <c r="AT532" i="9" s="1"/>
  <c r="AS304" i="9"/>
  <c r="AS536" i="9" s="1"/>
  <c r="AS171" i="9"/>
  <c r="AS529" i="9" s="1"/>
  <c r="AS527" i="9"/>
  <c r="AS136" i="9"/>
  <c r="BQ269" i="9"/>
  <c r="BQ174" i="9"/>
  <c r="BQ136" i="9"/>
  <c r="AT606" i="9"/>
  <c r="AU323" i="9"/>
  <c r="BL891" i="9"/>
  <c r="BQ307" i="9"/>
  <c r="BR95" i="9"/>
  <c r="BR525" i="9" s="1"/>
  <c r="BR361" i="9"/>
  <c r="BR539" i="9" s="1"/>
  <c r="BR228" i="9"/>
  <c r="BR532" i="9" s="1"/>
  <c r="AS364" i="9"/>
  <c r="AS608" i="9" s="1"/>
  <c r="BR399" i="9"/>
  <c r="BR541" i="9" s="1"/>
  <c r="BQ250" i="9"/>
  <c r="AF117" i="9"/>
  <c r="AF595" i="9" s="1"/>
  <c r="BQ326" i="9"/>
  <c r="BR212" i="9"/>
  <c r="BR152" i="9"/>
  <c r="BR528" i="9" s="1"/>
  <c r="AT152" i="9"/>
  <c r="AT528" i="9" s="1"/>
  <c r="AS879" i="9"/>
  <c r="AP266" i="9"/>
  <c r="AP534" i="9" s="1"/>
  <c r="AS190" i="9"/>
  <c r="AS530" i="9" s="1"/>
  <c r="AS421" i="9"/>
  <c r="AS611" i="9" s="1"/>
  <c r="AG79" i="9"/>
  <c r="AG593" i="9" s="1"/>
  <c r="AH209" i="9"/>
  <c r="AG882" i="9"/>
  <c r="AS523" i="9"/>
  <c r="BP383" i="9"/>
  <c r="BQ193" i="9"/>
  <c r="AT285" i="9"/>
  <c r="AT535" i="9" s="1"/>
  <c r="BR342" i="9"/>
  <c r="BR538" i="9" s="1"/>
  <c r="BQ288" i="9"/>
  <c r="BQ421" i="9"/>
  <c r="BR114" i="9"/>
  <c r="BR526" i="9" s="1"/>
  <c r="AI250" i="9"/>
  <c r="AI602" i="9" s="1"/>
  <c r="AK383" i="9"/>
  <c r="AK609" i="9" s="1"/>
  <c r="BQ79" i="9"/>
  <c r="AS342" i="9"/>
  <c r="AS538" i="9" s="1"/>
  <c r="AR889" i="9"/>
  <c r="BA156" i="20"/>
  <c r="BD26" i="3"/>
  <c r="BD28" i="3"/>
  <c r="BE28" i="3"/>
  <c r="BE26" i="3"/>
  <c r="BE4" i="6"/>
  <c r="BE4" i="4"/>
  <c r="BE4" i="1"/>
  <c r="BE20" i="3"/>
  <c r="AV861" i="9" l="1"/>
  <c r="AU844" i="9"/>
  <c r="AU725" i="9"/>
  <c r="AW832" i="9"/>
  <c r="AW713" i="9"/>
  <c r="AW759" i="9"/>
  <c r="AW782" i="9" s="1"/>
  <c r="AW855" i="9" s="1"/>
  <c r="AK1018" i="9" s="1"/>
  <c r="AK1041" i="9" s="1"/>
  <c r="AV742" i="9"/>
  <c r="AW696" i="9" s="1"/>
  <c r="AV740" i="9"/>
  <c r="AW694" i="9" s="1"/>
  <c r="BL1128" i="9"/>
  <c r="BL1126" i="9"/>
  <c r="AG1116" i="9"/>
  <c r="AG1115" i="9"/>
  <c r="V41" i="30"/>
  <c r="CM41" i="30" s="1"/>
  <c r="CE41" i="30" s="1"/>
  <c r="BP609" i="9"/>
  <c r="BQ605" i="9"/>
  <c r="BQ596" i="9"/>
  <c r="BQ593" i="9"/>
  <c r="BQ611" i="9"/>
  <c r="BQ599" i="9"/>
  <c r="BR600" i="9"/>
  <c r="BQ604" i="9"/>
  <c r="BQ606" i="9"/>
  <c r="BQ598" i="9"/>
  <c r="BQ602" i="9"/>
  <c r="BQ603" i="9"/>
  <c r="AN1016" i="9"/>
  <c r="AN1039" i="9" s="1"/>
  <c r="AS820" i="9"/>
  <c r="AT774" i="9" s="1"/>
  <c r="AT797" i="9" s="1"/>
  <c r="AT820" i="9" s="1"/>
  <c r="AV859" i="9"/>
  <c r="AV809" i="9"/>
  <c r="AR810" i="9"/>
  <c r="AT867" i="9"/>
  <c r="AH1030" i="9" s="1"/>
  <c r="AH1053" i="9" s="1"/>
  <c r="AT817" i="9"/>
  <c r="BA757" i="9"/>
  <c r="BA780" i="9" s="1"/>
  <c r="AE1069" i="9"/>
  <c r="AF1023" i="9"/>
  <c r="AF1046" i="9" s="1"/>
  <c r="AQ881" i="9"/>
  <c r="AE1067" i="9" s="1"/>
  <c r="AT847" i="9"/>
  <c r="AT728" i="9"/>
  <c r="AT751" i="9" s="1"/>
  <c r="AU705" i="9" s="1"/>
  <c r="AS845" i="9"/>
  <c r="AS726" i="9"/>
  <c r="AR837" i="9"/>
  <c r="AR718" i="9"/>
  <c r="AR741" i="9" s="1"/>
  <c r="AR842" i="9"/>
  <c r="AR723" i="9"/>
  <c r="AR746" i="9" s="1"/>
  <c r="AR769" i="9"/>
  <c r="AR792" i="9" s="1"/>
  <c r="AR865" i="9" s="1"/>
  <c r="AF1028" i="9" s="1"/>
  <c r="AF1051" i="9" s="1"/>
  <c r="AS772" i="9"/>
  <c r="AS795" i="9" s="1"/>
  <c r="AS868" i="9" s="1"/>
  <c r="AG1031" i="9" s="1"/>
  <c r="AG1054" i="9" s="1"/>
  <c r="AH761" i="9"/>
  <c r="AH784" i="9" s="1"/>
  <c r="AH807" i="9" s="1"/>
  <c r="AG880" i="9"/>
  <c r="AH862" i="9"/>
  <c r="AH1114" i="9" s="1"/>
  <c r="BA711" i="9"/>
  <c r="BA734" i="9" s="1"/>
  <c r="AH531" i="9"/>
  <c r="BA28" i="30"/>
  <c r="AG1022" i="9"/>
  <c r="AG1045" i="9" s="1"/>
  <c r="AG1033" i="9"/>
  <c r="AG1056" i="9" s="1"/>
  <c r="AR1029" i="9"/>
  <c r="AR1052" i="9" s="1"/>
  <c r="AF1075" i="9"/>
  <c r="AS1019" i="9"/>
  <c r="AS1042" i="9" s="1"/>
  <c r="AT95" i="9"/>
  <c r="AT525" i="9" s="1"/>
  <c r="BR60" i="9"/>
  <c r="AS402" i="9"/>
  <c r="AS610" i="9" s="1"/>
  <c r="AS892" i="9" s="1"/>
  <c r="AE117" i="6"/>
  <c r="AT231" i="9"/>
  <c r="AT601" i="9" s="1"/>
  <c r="AS307" i="9"/>
  <c r="AS605" i="9" s="1"/>
  <c r="AS887" i="9" s="1"/>
  <c r="AS174" i="9"/>
  <c r="AS598" i="9" s="1"/>
  <c r="AS596" i="9"/>
  <c r="AS878" i="9" s="1"/>
  <c r="AT133" i="9"/>
  <c r="BR266" i="9"/>
  <c r="BR534" i="9" s="1"/>
  <c r="BR171" i="9"/>
  <c r="BR529" i="9" s="1"/>
  <c r="BR133" i="9"/>
  <c r="BR527" i="9" s="1"/>
  <c r="AU537" i="9"/>
  <c r="AU326" i="9"/>
  <c r="BR304" i="9"/>
  <c r="BR536" i="9" s="1"/>
  <c r="BR98" i="9"/>
  <c r="BR402" i="9"/>
  <c r="AT361" i="9"/>
  <c r="AT539" i="9" s="1"/>
  <c r="AS890" i="9"/>
  <c r="BR364" i="9"/>
  <c r="BR231" i="9"/>
  <c r="AS345" i="9"/>
  <c r="AS607" i="9" s="1"/>
  <c r="AI884" i="9"/>
  <c r="AJ247" i="9"/>
  <c r="BR418" i="9"/>
  <c r="BR542" i="9" s="1"/>
  <c r="BR345" i="9"/>
  <c r="BR190" i="9"/>
  <c r="BR530" i="9" s="1"/>
  <c r="AT418" i="9"/>
  <c r="AS193" i="9"/>
  <c r="AS599" i="9" s="1"/>
  <c r="BR76" i="9"/>
  <c r="BR524" i="9" s="1"/>
  <c r="AS592" i="9"/>
  <c r="AH76" i="9"/>
  <c r="AH524" i="9" s="1"/>
  <c r="AG875" i="9"/>
  <c r="BR117" i="9"/>
  <c r="BR285" i="9"/>
  <c r="BR535" i="9" s="1"/>
  <c r="BQ380" i="9"/>
  <c r="BQ540" i="9" s="1"/>
  <c r="AH212" i="9"/>
  <c r="AH600" i="9" s="1"/>
  <c r="AT155" i="9"/>
  <c r="AT597" i="9" s="1"/>
  <c r="BR155" i="9"/>
  <c r="BR323" i="9"/>
  <c r="BR537" i="9" s="1"/>
  <c r="BR247" i="9"/>
  <c r="BR533" i="9" s="1"/>
  <c r="AL380" i="9"/>
  <c r="AK891" i="9"/>
  <c r="AT288" i="9"/>
  <c r="AT604" i="9" s="1"/>
  <c r="AP269" i="9"/>
  <c r="AP603" i="9" s="1"/>
  <c r="BS209" i="9"/>
  <c r="BS531" i="9" s="1"/>
  <c r="AG114" i="9"/>
  <c r="AF877" i="9"/>
  <c r="AF1128" i="9" s="1"/>
  <c r="BB156" i="20"/>
  <c r="BF22" i="3"/>
  <c r="BF5" i="1"/>
  <c r="BF5" i="6"/>
  <c r="BF5" i="4"/>
  <c r="AW805" i="9" l="1"/>
  <c r="AW836" i="9"/>
  <c r="AW717" i="9"/>
  <c r="AW838" i="9"/>
  <c r="AW719" i="9"/>
  <c r="AW765" i="9"/>
  <c r="AW788" i="9" s="1"/>
  <c r="AW861" i="9" s="1"/>
  <c r="AS749" i="9"/>
  <c r="AT703" i="9" s="1"/>
  <c r="AU748" i="9"/>
  <c r="AV702" i="9" s="1"/>
  <c r="AW736" i="9"/>
  <c r="AX690" i="9" s="1"/>
  <c r="AG1117" i="9"/>
  <c r="AG195" i="30" s="1"/>
  <c r="AG83" i="33" s="1"/>
  <c r="BL1129" i="9"/>
  <c r="BL117" i="6" s="1"/>
  <c r="BL120" i="6" s="1"/>
  <c r="BL117" i="30" s="1"/>
  <c r="CM117" i="30" s="1"/>
  <c r="CE117" i="30" s="1"/>
  <c r="BR594" i="9"/>
  <c r="BR595" i="9"/>
  <c r="BR607" i="9"/>
  <c r="BR601" i="9"/>
  <c r="BR610" i="9"/>
  <c r="BR597" i="9"/>
  <c r="BR608" i="9"/>
  <c r="BR592" i="9"/>
  <c r="BA803" i="9"/>
  <c r="BA853" i="9"/>
  <c r="AS893" i="9"/>
  <c r="AR815" i="9"/>
  <c r="AS818" i="9"/>
  <c r="AR762" i="9"/>
  <c r="AR785" i="9" s="1"/>
  <c r="AR858" i="9" s="1"/>
  <c r="AF1021" i="9" s="1"/>
  <c r="AF1044" i="9" s="1"/>
  <c r="AU774" i="9"/>
  <c r="AU797" i="9" s="1"/>
  <c r="AU820" i="9" s="1"/>
  <c r="AS700" i="9"/>
  <c r="AR883" i="9"/>
  <c r="AS695" i="9"/>
  <c r="AR835" i="9"/>
  <c r="AR716" i="9"/>
  <c r="AR739" i="9" s="1"/>
  <c r="AW763" i="9"/>
  <c r="AW786" i="9" s="1"/>
  <c r="AW809" i="9" s="1"/>
  <c r="AU771" i="9"/>
  <c r="AU794" i="9" s="1"/>
  <c r="AU817" i="9" s="1"/>
  <c r="AU847" i="9"/>
  <c r="AU728" i="9"/>
  <c r="AU751" i="9" s="1"/>
  <c r="AV705" i="9" s="1"/>
  <c r="AH857" i="9"/>
  <c r="AH1115" i="9" s="1"/>
  <c r="AI766" i="9"/>
  <c r="AI789" i="9" s="1"/>
  <c r="AI862" i="9" s="1"/>
  <c r="AH885" i="9"/>
  <c r="BB688" i="9"/>
  <c r="AG526" i="9"/>
  <c r="AJ533" i="9"/>
  <c r="AL540" i="9"/>
  <c r="AT542" i="9"/>
  <c r="BB28" i="30"/>
  <c r="AG1065" i="9"/>
  <c r="AF1127" i="9"/>
  <c r="AF1129" i="9" s="1"/>
  <c r="AF1017" i="9"/>
  <c r="AF1040" i="9" s="1"/>
  <c r="AS1027" i="9"/>
  <c r="AS1050" i="9" s="1"/>
  <c r="AG1015" i="9"/>
  <c r="AG1038" i="9" s="1"/>
  <c r="AI1024" i="9"/>
  <c r="AI1047" i="9" s="1"/>
  <c r="AS1032" i="9"/>
  <c r="AS1055" i="9" s="1"/>
  <c r="AS1105" i="9"/>
  <c r="AS199" i="30" s="1"/>
  <c r="AS86" i="33" s="1"/>
  <c r="AT98" i="9"/>
  <c r="AT594" i="9" s="1"/>
  <c r="AT876" i="9" s="1"/>
  <c r="BS57" i="9"/>
  <c r="BS523" i="9" s="1"/>
  <c r="AT399" i="9"/>
  <c r="AT541" i="9" s="1"/>
  <c r="AU228" i="9"/>
  <c r="AU532" i="9" s="1"/>
  <c r="AT304" i="9"/>
  <c r="AT536" i="9" s="1"/>
  <c r="AT171" i="9"/>
  <c r="AT529" i="9" s="1"/>
  <c r="AT527" i="9"/>
  <c r="AT136" i="9"/>
  <c r="BR269" i="9"/>
  <c r="BR174" i="9"/>
  <c r="BR136" i="9"/>
  <c r="AU606" i="9"/>
  <c r="AV323" i="9"/>
  <c r="BR307" i="9"/>
  <c r="BS95" i="9"/>
  <c r="BS525" i="9" s="1"/>
  <c r="BS361" i="9"/>
  <c r="BS539" i="9" s="1"/>
  <c r="BS228" i="9"/>
  <c r="BS532" i="9" s="1"/>
  <c r="AT364" i="9"/>
  <c r="AT608" i="9" s="1"/>
  <c r="BS399" i="9"/>
  <c r="BS541" i="9" s="1"/>
  <c r="AQ266" i="9"/>
  <c r="AQ534" i="9" s="1"/>
  <c r="AL383" i="9"/>
  <c r="AL609" i="9" s="1"/>
  <c r="BR250" i="9"/>
  <c r="AI209" i="9"/>
  <c r="AH882" i="9"/>
  <c r="BS114" i="9"/>
  <c r="BS526" i="9" s="1"/>
  <c r="AJ250" i="9"/>
  <c r="AJ602" i="9" s="1"/>
  <c r="BS212" i="9"/>
  <c r="BR326" i="9"/>
  <c r="BS152" i="9"/>
  <c r="BS528" i="9" s="1"/>
  <c r="AT870" i="9"/>
  <c r="AT421" i="9"/>
  <c r="AT611" i="9" s="1"/>
  <c r="BR421" i="9"/>
  <c r="BQ383" i="9"/>
  <c r="BR288" i="9"/>
  <c r="AH79" i="9"/>
  <c r="AH593" i="9" s="1"/>
  <c r="BR193" i="9"/>
  <c r="AT342" i="9"/>
  <c r="AT538" i="9" s="1"/>
  <c r="AS889" i="9"/>
  <c r="AG117" i="9"/>
  <c r="AG595" i="9" s="1"/>
  <c r="AU285" i="9"/>
  <c r="AU535" i="9" s="1"/>
  <c r="AU152" i="9"/>
  <c r="AU528" i="9" s="1"/>
  <c r="AT879" i="9"/>
  <c r="AT523" i="9"/>
  <c r="BR79" i="9"/>
  <c r="AT190" i="9"/>
  <c r="AT530" i="9" s="1"/>
  <c r="BS342" i="9"/>
  <c r="BS538" i="9" s="1"/>
  <c r="BF28" i="3"/>
  <c r="BF26" i="3"/>
  <c r="BF4" i="6"/>
  <c r="BF4" i="1"/>
  <c r="BF4" i="4"/>
  <c r="BF20" i="3"/>
  <c r="AT726" i="9" l="1"/>
  <c r="AT749" i="9" s="1"/>
  <c r="AU703" i="9" s="1"/>
  <c r="AT845" i="9"/>
  <c r="AX832" i="9"/>
  <c r="AX713" i="9"/>
  <c r="AX759" i="9"/>
  <c r="AX782" i="9" s="1"/>
  <c r="AX855" i="9" s="1"/>
  <c r="AL1018" i="9" s="1"/>
  <c r="AL1041" i="9" s="1"/>
  <c r="AW742" i="9"/>
  <c r="AX696" i="9" s="1"/>
  <c r="AV844" i="9"/>
  <c r="AV725" i="9"/>
  <c r="AW811" i="9"/>
  <c r="AW740" i="9"/>
  <c r="AX694" i="9" s="1"/>
  <c r="BQ609" i="9"/>
  <c r="BR603" i="9"/>
  <c r="BR602" i="9"/>
  <c r="BR598" i="9"/>
  <c r="BR593" i="9"/>
  <c r="BR599" i="9"/>
  <c r="BR611" i="9"/>
  <c r="BR606" i="9"/>
  <c r="BS600" i="9"/>
  <c r="BR596" i="9"/>
  <c r="BR604" i="9"/>
  <c r="BR605" i="9"/>
  <c r="AO1016" i="9"/>
  <c r="AO1039" i="9" s="1"/>
  <c r="AI812" i="9"/>
  <c r="AI885" i="9" s="1"/>
  <c r="AR808" i="9"/>
  <c r="AR881" i="9" s="1"/>
  <c r="AF1067" i="9" s="1"/>
  <c r="AS764" i="9"/>
  <c r="AS787" i="9" s="1"/>
  <c r="AS860" i="9" s="1"/>
  <c r="AG1023" i="9" s="1"/>
  <c r="AG1046" i="9" s="1"/>
  <c r="AU867" i="9"/>
  <c r="AV774" i="9"/>
  <c r="AV797" i="9" s="1"/>
  <c r="AV820" i="9" s="1"/>
  <c r="AW859" i="9"/>
  <c r="AS693" i="9"/>
  <c r="AS837" i="9"/>
  <c r="AS718" i="9"/>
  <c r="AF1069" i="9"/>
  <c r="AS769" i="9"/>
  <c r="AS792" i="9" s="1"/>
  <c r="AR888" i="9"/>
  <c r="AF1074" i="9" s="1"/>
  <c r="AT772" i="9"/>
  <c r="AT795" i="9" s="1"/>
  <c r="AT818" i="9" s="1"/>
  <c r="AV847" i="9"/>
  <c r="AV728" i="9"/>
  <c r="AV751" i="9" s="1"/>
  <c r="AW705" i="9" s="1"/>
  <c r="AS842" i="9"/>
  <c r="AS723" i="9"/>
  <c r="AI761" i="9"/>
  <c r="AI784" i="9" s="1"/>
  <c r="AI807" i="9" s="1"/>
  <c r="AH880" i="9"/>
  <c r="BB830" i="9"/>
  <c r="AI531" i="9"/>
  <c r="AG1078" i="9"/>
  <c r="AG1076" i="9"/>
  <c r="AG1079" i="9"/>
  <c r="AG1073" i="9"/>
  <c r="AG1064" i="9"/>
  <c r="AT1019" i="9"/>
  <c r="AT1042" i="9" s="1"/>
  <c r="AH1033" i="9"/>
  <c r="AH1056" i="9" s="1"/>
  <c r="AS1029" i="9"/>
  <c r="AS1052" i="9" s="1"/>
  <c r="AH1022" i="9"/>
  <c r="AH1045" i="9" s="1"/>
  <c r="AU95" i="9"/>
  <c r="AU525" i="9" s="1"/>
  <c r="BS60" i="9"/>
  <c r="AT402" i="9"/>
  <c r="AT610" i="9" s="1"/>
  <c r="AT892" i="9" s="1"/>
  <c r="AU231" i="9"/>
  <c r="AU601" i="9" s="1"/>
  <c r="AF117" i="6"/>
  <c r="AT307" i="9"/>
  <c r="AT605" i="9" s="1"/>
  <c r="AT887" i="9" s="1"/>
  <c r="AT174" i="9"/>
  <c r="AT598" i="9" s="1"/>
  <c r="AT596" i="9"/>
  <c r="AT878" i="9" s="1"/>
  <c r="AU133" i="9"/>
  <c r="BS266" i="9"/>
  <c r="BS534" i="9" s="1"/>
  <c r="BS171" i="9"/>
  <c r="BS529" i="9" s="1"/>
  <c r="BS133" i="9"/>
  <c r="BS527" i="9" s="1"/>
  <c r="AV537" i="9"/>
  <c r="AV326" i="9"/>
  <c r="BS304" i="9"/>
  <c r="BS536" i="9" s="1"/>
  <c r="BS98" i="9"/>
  <c r="AT890" i="9"/>
  <c r="AU361" i="9"/>
  <c r="AU539" i="9" s="1"/>
  <c r="BS364" i="9"/>
  <c r="BS402" i="9"/>
  <c r="BS231" i="9"/>
  <c r="BS323" i="9"/>
  <c r="BS537" i="9" s="1"/>
  <c r="AI212" i="9"/>
  <c r="AI600" i="9" s="1"/>
  <c r="BS76" i="9"/>
  <c r="BS524" i="9" s="1"/>
  <c r="AT592" i="9"/>
  <c r="AU155" i="9"/>
  <c r="AU597" i="9" s="1"/>
  <c r="AH114" i="9"/>
  <c r="AG877" i="9"/>
  <c r="AG1128" i="9" s="1"/>
  <c r="BS190" i="9"/>
  <c r="BS530" i="9" s="1"/>
  <c r="AI76" i="9"/>
  <c r="AI524" i="9" s="1"/>
  <c r="AH875" i="9"/>
  <c r="BR380" i="9"/>
  <c r="BR540" i="9" s="1"/>
  <c r="AT893" i="9"/>
  <c r="AU418" i="9"/>
  <c r="BS247" i="9"/>
  <c r="BS533" i="9" s="1"/>
  <c r="BS345" i="9"/>
  <c r="AU288" i="9"/>
  <c r="AU604" i="9" s="1"/>
  <c r="BS418" i="9"/>
  <c r="BS542" i="9" s="1"/>
  <c r="BS155" i="9"/>
  <c r="BT209" i="9"/>
  <c r="BT531" i="9" s="1"/>
  <c r="AL891" i="9"/>
  <c r="AM380" i="9"/>
  <c r="AQ269" i="9"/>
  <c r="AQ603" i="9" s="1"/>
  <c r="AK247" i="9"/>
  <c r="AJ884" i="9"/>
  <c r="AT193" i="9"/>
  <c r="AT599" i="9" s="1"/>
  <c r="AT345" i="9"/>
  <c r="AT607" i="9" s="1"/>
  <c r="BS285" i="9"/>
  <c r="BS535" i="9" s="1"/>
  <c r="BS117" i="9"/>
  <c r="BE156" i="20"/>
  <c r="BD156" i="20"/>
  <c r="BG5" i="4"/>
  <c r="BG22" i="3"/>
  <c r="BG5" i="6"/>
  <c r="BG5" i="1"/>
  <c r="AU845" i="9" l="1"/>
  <c r="AU726" i="9"/>
  <c r="AU749" i="9" s="1"/>
  <c r="AV703" i="9" s="1"/>
  <c r="AX838" i="9"/>
  <c r="AX719" i="9"/>
  <c r="AS741" i="9"/>
  <c r="AT695" i="9" s="1"/>
  <c r="AX765" i="9"/>
  <c r="AX788" i="9" s="1"/>
  <c r="AX861" i="9" s="1"/>
  <c r="AV748" i="9"/>
  <c r="AW702" i="9" s="1"/>
  <c r="AS746" i="9"/>
  <c r="AT700" i="9" s="1"/>
  <c r="AX805" i="9"/>
  <c r="AX836" i="9"/>
  <c r="AX717" i="9"/>
  <c r="AX736" i="9"/>
  <c r="AY690" i="9" s="1"/>
  <c r="BS601" i="9"/>
  <c r="BS610" i="9"/>
  <c r="BS608" i="9"/>
  <c r="BS595" i="9"/>
  <c r="BS592" i="9"/>
  <c r="BS607" i="9"/>
  <c r="BS597" i="9"/>
  <c r="BS594" i="9"/>
  <c r="AJ766" i="9"/>
  <c r="AJ789" i="9" s="1"/>
  <c r="AJ862" i="9" s="1"/>
  <c r="AS865" i="9"/>
  <c r="AG1028" i="9" s="1"/>
  <c r="AG1051" i="9" s="1"/>
  <c r="AS815" i="9"/>
  <c r="AS888" i="9" s="1"/>
  <c r="AS810" i="9"/>
  <c r="AS883" i="9" s="1"/>
  <c r="AW774" i="9"/>
  <c r="AW797" i="9" s="1"/>
  <c r="AW820" i="9" s="1"/>
  <c r="AT868" i="9"/>
  <c r="AH1031" i="9" s="1"/>
  <c r="AH1054" i="9" s="1"/>
  <c r="AS835" i="9"/>
  <c r="AS716" i="9"/>
  <c r="AS762" i="9"/>
  <c r="AS785" i="9" s="1"/>
  <c r="AS808" i="9" s="1"/>
  <c r="AW847" i="9"/>
  <c r="AW728" i="9"/>
  <c r="AW751" i="9" s="1"/>
  <c r="AX705" i="9" s="1"/>
  <c r="AX763" i="9"/>
  <c r="AX786" i="9" s="1"/>
  <c r="AV771" i="9"/>
  <c r="AV794" i="9" s="1"/>
  <c r="AV817" i="9" s="1"/>
  <c r="AI1030" i="9"/>
  <c r="AI1053" i="9" s="1"/>
  <c r="AI857" i="9"/>
  <c r="AI1115" i="9" s="1"/>
  <c r="BB711" i="9"/>
  <c r="BB734" i="9" s="1"/>
  <c r="BB757" i="9"/>
  <c r="BB780" i="9" s="1"/>
  <c r="AK533" i="9"/>
  <c r="AM540" i="9"/>
  <c r="AH526" i="9"/>
  <c r="AU542" i="9"/>
  <c r="AH1065" i="9"/>
  <c r="BE28" i="30"/>
  <c r="BD28" i="30"/>
  <c r="AG1075" i="9"/>
  <c r="AG1127" i="9"/>
  <c r="AG1129" i="9" s="1"/>
  <c r="AG1017" i="9"/>
  <c r="AG1040" i="9" s="1"/>
  <c r="AH1015" i="9"/>
  <c r="AH1038" i="9" s="1"/>
  <c r="AJ1024" i="9"/>
  <c r="AJ1047" i="9" s="1"/>
  <c r="AT1027" i="9"/>
  <c r="AT1050" i="9" s="1"/>
  <c r="AT1032" i="9"/>
  <c r="AT1055" i="9" s="1"/>
  <c r="AT1105" i="9"/>
  <c r="AT199" i="30" s="1"/>
  <c r="AT86" i="33" s="1"/>
  <c r="BT57" i="9"/>
  <c r="BT523" i="9" s="1"/>
  <c r="AU98" i="9"/>
  <c r="AU594" i="9" s="1"/>
  <c r="AU876" i="9" s="1"/>
  <c r="AU399" i="9"/>
  <c r="AU541" i="9" s="1"/>
  <c r="AV228" i="9"/>
  <c r="AV532" i="9" s="1"/>
  <c r="AU304" i="9"/>
  <c r="AU536" i="9" s="1"/>
  <c r="AU171" i="9"/>
  <c r="AU529" i="9" s="1"/>
  <c r="AU527" i="9"/>
  <c r="AU136" i="9"/>
  <c r="BS269" i="9"/>
  <c r="BS174" i="9"/>
  <c r="BS136" i="9"/>
  <c r="AV606" i="9"/>
  <c r="AW323" i="9"/>
  <c r="BS307" i="9"/>
  <c r="BT95" i="9"/>
  <c r="BT525" i="9" s="1"/>
  <c r="BT361" i="9"/>
  <c r="BT539" i="9" s="1"/>
  <c r="BT228" i="9"/>
  <c r="BT532" i="9" s="1"/>
  <c r="AU364" i="9"/>
  <c r="AU608" i="9" s="1"/>
  <c r="BT399" i="9"/>
  <c r="BT541" i="9" s="1"/>
  <c r="BS288" i="9"/>
  <c r="AK250" i="9"/>
  <c r="AK602" i="9" s="1"/>
  <c r="BS421" i="9"/>
  <c r="BT342" i="9"/>
  <c r="BT538" i="9" s="1"/>
  <c r="BS193" i="9"/>
  <c r="AV152" i="9"/>
  <c r="AV528" i="9" s="1"/>
  <c r="AU879" i="9"/>
  <c r="AJ209" i="9"/>
  <c r="AI882" i="9"/>
  <c r="BT114" i="9"/>
  <c r="BT526" i="9" s="1"/>
  <c r="AM383" i="9"/>
  <c r="AM609" i="9" s="1"/>
  <c r="BT212" i="9"/>
  <c r="AU190" i="9"/>
  <c r="AU530" i="9" s="1"/>
  <c r="AR266" i="9"/>
  <c r="AR534" i="9" s="1"/>
  <c r="AU870" i="9"/>
  <c r="AU421" i="9"/>
  <c r="AU611" i="9" s="1"/>
  <c r="BR383" i="9"/>
  <c r="BS326" i="9"/>
  <c r="AU342" i="9"/>
  <c r="AU538" i="9" s="1"/>
  <c r="AT889" i="9"/>
  <c r="BT152" i="9"/>
  <c r="BT528" i="9" s="1"/>
  <c r="AV285" i="9"/>
  <c r="AV535" i="9" s="1"/>
  <c r="BS250" i="9"/>
  <c r="BS79" i="9"/>
  <c r="AI79" i="9"/>
  <c r="AI593" i="9" s="1"/>
  <c r="AH117" i="9"/>
  <c r="AH595" i="9" s="1"/>
  <c r="AU523" i="9"/>
  <c r="BG26" i="3"/>
  <c r="BG28" i="3"/>
  <c r="BG4" i="1"/>
  <c r="BG4" i="6"/>
  <c r="BG4" i="4"/>
  <c r="BG20" i="3"/>
  <c r="AT842" i="9" l="1"/>
  <c r="AT723" i="9"/>
  <c r="AT746" i="9" s="1"/>
  <c r="AU700" i="9" s="1"/>
  <c r="AV726" i="9"/>
  <c r="AV749" i="9" s="1"/>
  <c r="AW703" i="9" s="1"/>
  <c r="AW726" i="9" s="1"/>
  <c r="AV845" i="9"/>
  <c r="AW844" i="9"/>
  <c r="AW725" i="9"/>
  <c r="AT837" i="9"/>
  <c r="AT718" i="9"/>
  <c r="AY832" i="9"/>
  <c r="AY713" i="9"/>
  <c r="AY736" i="9" s="1"/>
  <c r="AZ690" i="9" s="1"/>
  <c r="AZ832" i="9" s="1"/>
  <c r="AS739" i="9"/>
  <c r="AT693" i="9" s="1"/>
  <c r="AX811" i="9"/>
  <c r="AY759" i="9"/>
  <c r="AY782" i="9" s="1"/>
  <c r="AY855" i="9" s="1"/>
  <c r="X805" i="9"/>
  <c r="AX742" i="9"/>
  <c r="AY696" i="9" s="1"/>
  <c r="AX740" i="9"/>
  <c r="AY694" i="9" s="1"/>
  <c r="BS606" i="9"/>
  <c r="BS611" i="9"/>
  <c r="BS605" i="9"/>
  <c r="BS598" i="9"/>
  <c r="BS603" i="9"/>
  <c r="BS593" i="9"/>
  <c r="BR609" i="9"/>
  <c r="BS599" i="9"/>
  <c r="BS604" i="9"/>
  <c r="BS602" i="9"/>
  <c r="BT600" i="9"/>
  <c r="BS596" i="9"/>
  <c r="AJ812" i="9"/>
  <c r="AJ885" i="9" s="1"/>
  <c r="BB803" i="9"/>
  <c r="BB853" i="9"/>
  <c r="AT764" i="9"/>
  <c r="AT787" i="9" s="1"/>
  <c r="AT769" i="9"/>
  <c r="AT792" i="9" s="1"/>
  <c r="AT815" i="9" s="1"/>
  <c r="AG1074" i="9"/>
  <c r="AX859" i="9"/>
  <c r="AX809" i="9"/>
  <c r="X809" i="9" s="1"/>
  <c r="AV867" i="9"/>
  <c r="AJ1030" i="9" s="1"/>
  <c r="AJ1053" i="9" s="1"/>
  <c r="AW771" i="9"/>
  <c r="AX847" i="9"/>
  <c r="AX728" i="9"/>
  <c r="AX751" i="9" s="1"/>
  <c r="AY705" i="9" s="1"/>
  <c r="AG1069" i="9"/>
  <c r="AS858" i="9"/>
  <c r="AU772" i="9"/>
  <c r="AU795" i="9" s="1"/>
  <c r="AJ761" i="9"/>
  <c r="AJ784" i="9" s="1"/>
  <c r="AJ807" i="9" s="1"/>
  <c r="AI880" i="9"/>
  <c r="BC688" i="9"/>
  <c r="AJ531" i="9"/>
  <c r="AH1079" i="9"/>
  <c r="AH1073" i="9"/>
  <c r="AH1078" i="9"/>
  <c r="AH1076" i="9"/>
  <c r="AH1064" i="9"/>
  <c r="AI1022" i="9"/>
  <c r="AI1045" i="9" s="1"/>
  <c r="AU1019" i="9"/>
  <c r="AU1042" i="9" s="1"/>
  <c r="AI1065" i="9"/>
  <c r="AT1029" i="9"/>
  <c r="AT1052" i="9" s="1"/>
  <c r="AI1033" i="9"/>
  <c r="AI1056" i="9" s="1"/>
  <c r="AX774" i="9"/>
  <c r="BT60" i="9"/>
  <c r="AV95" i="9"/>
  <c r="AV525" i="9" s="1"/>
  <c r="AU402" i="9"/>
  <c r="AU610" i="9" s="1"/>
  <c r="AU892" i="9" s="1"/>
  <c r="AV231" i="9"/>
  <c r="AV601" i="9" s="1"/>
  <c r="AG117" i="6"/>
  <c r="AU307" i="9"/>
  <c r="AU605" i="9" s="1"/>
  <c r="AU887" i="9" s="1"/>
  <c r="AU174" i="9"/>
  <c r="AU598" i="9" s="1"/>
  <c r="AU596" i="9"/>
  <c r="AU878" i="9" s="1"/>
  <c r="AV133" i="9"/>
  <c r="BT266" i="9"/>
  <c r="BT534" i="9" s="1"/>
  <c r="BT171" i="9"/>
  <c r="BT133" i="9"/>
  <c r="BT527" i="9" s="1"/>
  <c r="BT304" i="9"/>
  <c r="BT536" i="9" s="1"/>
  <c r="AW537" i="9"/>
  <c r="AW326" i="9"/>
  <c r="BT98" i="9"/>
  <c r="AU890" i="9"/>
  <c r="AV361" i="9"/>
  <c r="AV539" i="9" s="1"/>
  <c r="BT364" i="9"/>
  <c r="BT402" i="9"/>
  <c r="BT231" i="9"/>
  <c r="AI875" i="9"/>
  <c r="AJ76" i="9"/>
  <c r="AJ524" i="9" s="1"/>
  <c r="BT155" i="9"/>
  <c r="AR269" i="9"/>
  <c r="AR603" i="9" s="1"/>
  <c r="AN380" i="9"/>
  <c r="AM891" i="9"/>
  <c r="BT190" i="9"/>
  <c r="BT530" i="9" s="1"/>
  <c r="BT345" i="9"/>
  <c r="BT418" i="9"/>
  <c r="BT542" i="9" s="1"/>
  <c r="BT285" i="9"/>
  <c r="BT535" i="9" s="1"/>
  <c r="AI114" i="9"/>
  <c r="AH877" i="9"/>
  <c r="BT247" i="9"/>
  <c r="BT533" i="9" s="1"/>
  <c r="AV288" i="9"/>
  <c r="AV604" i="9" s="1"/>
  <c r="AU592" i="9"/>
  <c r="BT76" i="9"/>
  <c r="BT524" i="9" s="1"/>
  <c r="BS380" i="9"/>
  <c r="BS540" i="9" s="1"/>
  <c r="BU209" i="9"/>
  <c r="BU531" i="9" s="1"/>
  <c r="BT117" i="9"/>
  <c r="AJ212" i="9"/>
  <c r="AJ600" i="9" s="1"/>
  <c r="AV155" i="9"/>
  <c r="AV597" i="9" s="1"/>
  <c r="AK884" i="9"/>
  <c r="AL247" i="9"/>
  <c r="AU345" i="9"/>
  <c r="AU607" i="9" s="1"/>
  <c r="BT323" i="9"/>
  <c r="BT537" i="9" s="1"/>
  <c r="AU893" i="9"/>
  <c r="AV418" i="9"/>
  <c r="AU193" i="9"/>
  <c r="AU599" i="9" s="1"/>
  <c r="BH5" i="6"/>
  <c r="BH22" i="3"/>
  <c r="BH5" i="4"/>
  <c r="BH5" i="1"/>
  <c r="AU842" i="9" l="1"/>
  <c r="AU723" i="9"/>
  <c r="AU746" i="9" s="1"/>
  <c r="AV700" i="9" s="1"/>
  <c r="AY838" i="9"/>
  <c r="AY719" i="9"/>
  <c r="AY742" i="9" s="1"/>
  <c r="AZ696" i="9" s="1"/>
  <c r="AZ838" i="9" s="1"/>
  <c r="AT835" i="9"/>
  <c r="AT716" i="9"/>
  <c r="AW749" i="9"/>
  <c r="AX703" i="9" s="1"/>
  <c r="AX726" i="9" s="1"/>
  <c r="X811" i="9"/>
  <c r="AY765" i="9"/>
  <c r="AY788" i="9" s="1"/>
  <c r="AZ713" i="9"/>
  <c r="AZ736" i="9" s="1"/>
  <c r="BA690" i="9" s="1"/>
  <c r="BA832" i="9" s="1"/>
  <c r="AY805" i="9"/>
  <c r="AY836" i="9"/>
  <c r="AY717" i="9"/>
  <c r="AY740" i="9" s="1"/>
  <c r="AZ694" i="9" s="1"/>
  <c r="AZ836" i="9" s="1"/>
  <c r="AT741" i="9"/>
  <c r="AU695" i="9" s="1"/>
  <c r="AW748" i="9"/>
  <c r="AX702" i="9" s="1"/>
  <c r="AM1018" i="9"/>
  <c r="AM1041" i="9" s="1"/>
  <c r="AK766" i="9"/>
  <c r="AK789" i="9" s="1"/>
  <c r="AK812" i="9" s="1"/>
  <c r="AK885" i="9" s="1"/>
  <c r="AT865" i="9"/>
  <c r="AH1028" i="9" s="1"/>
  <c r="AH1051" i="9" s="1"/>
  <c r="BT597" i="9"/>
  <c r="BT610" i="9"/>
  <c r="BT594" i="9"/>
  <c r="BT608" i="9"/>
  <c r="BT595" i="9"/>
  <c r="BT607" i="9"/>
  <c r="BT601" i="9"/>
  <c r="BT592" i="9"/>
  <c r="AP1016" i="9"/>
  <c r="AP1039" i="9" s="1"/>
  <c r="AT810" i="9"/>
  <c r="AT883" i="9" s="1"/>
  <c r="AT860" i="9"/>
  <c r="AH1023" i="9" s="1"/>
  <c r="AH1046" i="9" s="1"/>
  <c r="AU868" i="9"/>
  <c r="AI1031" i="9" s="1"/>
  <c r="AI1054" i="9" s="1"/>
  <c r="AU818" i="9"/>
  <c r="AW794" i="9"/>
  <c r="AG1021" i="9"/>
  <c r="AG1044" i="9" s="1"/>
  <c r="BA713" i="9"/>
  <c r="BA736" i="9" s="1"/>
  <c r="AU769" i="9"/>
  <c r="AU792" i="9" s="1"/>
  <c r="AT888" i="9"/>
  <c r="AY763" i="9"/>
  <c r="AY786" i="9" s="1"/>
  <c r="AT762" i="9"/>
  <c r="AT785" i="9" s="1"/>
  <c r="AS881" i="9"/>
  <c r="AY847" i="9"/>
  <c r="AY728" i="9"/>
  <c r="AY751" i="9" s="1"/>
  <c r="AZ705" i="9" s="1"/>
  <c r="AJ857" i="9"/>
  <c r="AJ1115" i="9" s="1"/>
  <c r="BC830" i="9"/>
  <c r="AI526" i="9"/>
  <c r="AL533" i="9"/>
  <c r="AV542" i="9"/>
  <c r="AN540" i="9"/>
  <c r="AH1075" i="9"/>
  <c r="AA1077" i="9"/>
  <c r="AI1064" i="9"/>
  <c r="AI1079" i="9"/>
  <c r="AK1024" i="9"/>
  <c r="AK1047" i="9" s="1"/>
  <c r="AU1032" i="9"/>
  <c r="AU1055" i="9" s="1"/>
  <c r="AI1078" i="9"/>
  <c r="AH1127" i="9"/>
  <c r="AH1017" i="9"/>
  <c r="AH1040" i="9" s="1"/>
  <c r="AI1015" i="9"/>
  <c r="AI1038" i="9" s="1"/>
  <c r="AU1027" i="9"/>
  <c r="AU1050" i="9" s="1"/>
  <c r="AI1073" i="9"/>
  <c r="AI1076" i="9"/>
  <c r="AU1105" i="9"/>
  <c r="AU199" i="30" s="1"/>
  <c r="AU86" i="33" s="1"/>
  <c r="BU1105" i="9"/>
  <c r="BU199" i="30" s="1"/>
  <c r="BU86" i="33" s="1"/>
  <c r="BU57" i="9"/>
  <c r="BU523" i="9" s="1"/>
  <c r="AV98" i="9"/>
  <c r="AV594" i="9" s="1"/>
  <c r="AV876" i="9" s="1"/>
  <c r="AV399" i="9"/>
  <c r="AV541" i="9" s="1"/>
  <c r="AX797" i="9"/>
  <c r="AX820" i="9" s="1"/>
  <c r="X820" i="9" s="1"/>
  <c r="AV304" i="9"/>
  <c r="AV536" i="9" s="1"/>
  <c r="AW228" i="9"/>
  <c r="AW532" i="9" s="1"/>
  <c r="AV171" i="9"/>
  <c r="AV529" i="9" s="1"/>
  <c r="AV527" i="9"/>
  <c r="AV136" i="9"/>
  <c r="BT269" i="9"/>
  <c r="BT529" i="9"/>
  <c r="BT174" i="9"/>
  <c r="BT307" i="9"/>
  <c r="BT136" i="9"/>
  <c r="AW606" i="9"/>
  <c r="AX323" i="9"/>
  <c r="BU95" i="9"/>
  <c r="BU525" i="9" s="1"/>
  <c r="BU399" i="9"/>
  <c r="BU541" i="9" s="1"/>
  <c r="BU361" i="9"/>
  <c r="BU539" i="9" s="1"/>
  <c r="BU228" i="9"/>
  <c r="BU532" i="9" s="1"/>
  <c r="AV364" i="9"/>
  <c r="AV608" i="9" s="1"/>
  <c r="AV190" i="9"/>
  <c r="AV530" i="9" s="1"/>
  <c r="BT326" i="9"/>
  <c r="AW152" i="9"/>
  <c r="AW528" i="9" s="1"/>
  <c r="AV879" i="9"/>
  <c r="BU212" i="9"/>
  <c r="BS383" i="9"/>
  <c r="BT421" i="9"/>
  <c r="BU114" i="9"/>
  <c r="BU526" i="9" s="1"/>
  <c r="BT79" i="9"/>
  <c r="AI117" i="9"/>
  <c r="AI595" i="9" s="1"/>
  <c r="AN383" i="9"/>
  <c r="AN609" i="9" s="1"/>
  <c r="AW845" i="9"/>
  <c r="AV870" i="9"/>
  <c r="AV421" i="9"/>
  <c r="AV611" i="9" s="1"/>
  <c r="AV342" i="9"/>
  <c r="AV538" i="9" s="1"/>
  <c r="AU889" i="9"/>
  <c r="AL250" i="9"/>
  <c r="AL602" i="9" s="1"/>
  <c r="BU342" i="9"/>
  <c r="BU538" i="9" s="1"/>
  <c r="BT193" i="9"/>
  <c r="AJ79" i="9"/>
  <c r="AJ593" i="9" s="1"/>
  <c r="AK209" i="9"/>
  <c r="AJ882" i="9"/>
  <c r="AV523" i="9"/>
  <c r="AW285" i="9"/>
  <c r="AW535" i="9" s="1"/>
  <c r="BT250" i="9"/>
  <c r="BT288" i="9"/>
  <c r="AS266" i="9"/>
  <c r="AS534" i="9" s="1"/>
  <c r="BU152" i="9"/>
  <c r="BU528" i="9" s="1"/>
  <c r="BM738" i="9"/>
  <c r="BH26" i="3"/>
  <c r="BH28" i="3"/>
  <c r="BH4" i="1"/>
  <c r="BH4" i="6"/>
  <c r="BH4" i="4"/>
  <c r="BH20" i="3"/>
  <c r="AX844" i="9" l="1"/>
  <c r="AX725" i="9"/>
  <c r="AV842" i="9"/>
  <c r="AV723" i="9"/>
  <c r="AX749" i="9"/>
  <c r="AY703" i="9" s="1"/>
  <c r="AY726" i="9" s="1"/>
  <c r="AZ717" i="9"/>
  <c r="AZ740" i="9" s="1"/>
  <c r="BA694" i="9" s="1"/>
  <c r="AZ719" i="9"/>
  <c r="AZ742" i="9" s="1"/>
  <c r="BA696" i="9" s="1"/>
  <c r="AU718" i="9"/>
  <c r="AU837" i="9"/>
  <c r="AZ759" i="9"/>
  <c r="AZ782" i="9" s="1"/>
  <c r="AZ855" i="9" s="1"/>
  <c r="AN1018" i="9" s="1"/>
  <c r="AN1041" i="9" s="1"/>
  <c r="AY811" i="9"/>
  <c r="AZ765" i="9" s="1"/>
  <c r="AZ788" i="9" s="1"/>
  <c r="AZ861" i="9" s="1"/>
  <c r="AY861" i="9"/>
  <c r="AT739" i="9"/>
  <c r="AU693" i="9" s="1"/>
  <c r="AL766" i="9"/>
  <c r="AL789" i="9" s="1"/>
  <c r="AL812" i="9" s="1"/>
  <c r="AK862" i="9"/>
  <c r="AH1074" i="9"/>
  <c r="BT602" i="9"/>
  <c r="BU600" i="9"/>
  <c r="BT599" i="9"/>
  <c r="BT611" i="9"/>
  <c r="BT604" i="9"/>
  <c r="BS609" i="9"/>
  <c r="BT606" i="9"/>
  <c r="BT593" i="9"/>
  <c r="BT596" i="9"/>
  <c r="BT603" i="9"/>
  <c r="BT605" i="9"/>
  <c r="AU764" i="9"/>
  <c r="AU787" i="9" s="1"/>
  <c r="AU810" i="9" s="1"/>
  <c r="AY859" i="9"/>
  <c r="AY809" i="9"/>
  <c r="AT858" i="9"/>
  <c r="AH1021" i="9" s="1"/>
  <c r="AH1044" i="9" s="1"/>
  <c r="AT808" i="9"/>
  <c r="AW867" i="9"/>
  <c r="AK1030" i="9" s="1"/>
  <c r="AK1053" i="9" s="1"/>
  <c r="AW817" i="9"/>
  <c r="AX771" i="9" s="1"/>
  <c r="AX794" i="9" s="1"/>
  <c r="AX817" i="9" s="1"/>
  <c r="X817" i="9" s="1"/>
  <c r="AU865" i="9"/>
  <c r="AI1028" i="9" s="1"/>
  <c r="AI1051" i="9" s="1"/>
  <c r="AU815" i="9"/>
  <c r="AU888" i="9" s="1"/>
  <c r="AH1069" i="9"/>
  <c r="AV772" i="9"/>
  <c r="AV795" i="9" s="1"/>
  <c r="AV818" i="9" s="1"/>
  <c r="BB690" i="9"/>
  <c r="AG1067" i="9"/>
  <c r="AK761" i="9"/>
  <c r="AK784" i="9" s="1"/>
  <c r="AK807" i="9" s="1"/>
  <c r="AJ880" i="9"/>
  <c r="BC711" i="9"/>
  <c r="BC734" i="9" s="1"/>
  <c r="BC757" i="9"/>
  <c r="BC780" i="9" s="1"/>
  <c r="AK531" i="9"/>
  <c r="AJ1022" i="9"/>
  <c r="AJ1045" i="9" s="1"/>
  <c r="AV1019" i="9"/>
  <c r="AV1042" i="9" s="1"/>
  <c r="AJ1065" i="9"/>
  <c r="AJ1033" i="9"/>
  <c r="AJ1056" i="9" s="1"/>
  <c r="AU1029" i="9"/>
  <c r="AU1052" i="9" s="1"/>
  <c r="AI1075" i="9"/>
  <c r="AY774" i="9"/>
  <c r="BU60" i="9"/>
  <c r="AW95" i="9"/>
  <c r="AW525" i="9" s="1"/>
  <c r="AV402" i="9"/>
  <c r="AV610" i="9" s="1"/>
  <c r="AV892" i="9" s="1"/>
  <c r="AW231" i="9"/>
  <c r="AW601" i="9" s="1"/>
  <c r="AV307" i="9"/>
  <c r="AV605" i="9" s="1"/>
  <c r="AV887" i="9" s="1"/>
  <c r="AV174" i="9"/>
  <c r="AV598" i="9" s="1"/>
  <c r="AV596" i="9"/>
  <c r="AV878" i="9" s="1"/>
  <c r="AW133" i="9"/>
  <c r="BU266" i="9"/>
  <c r="BU534" i="9" s="1"/>
  <c r="BT598" i="9"/>
  <c r="BU171" i="9"/>
  <c r="BU304" i="9"/>
  <c r="BU536" i="9" s="1"/>
  <c r="BU133" i="9"/>
  <c r="BU527" i="9" s="1"/>
  <c r="AX537" i="9"/>
  <c r="AX326" i="9"/>
  <c r="BU98" i="9"/>
  <c r="BU364" i="9"/>
  <c r="AV890" i="9"/>
  <c r="AW361" i="9"/>
  <c r="AW539" i="9" s="1"/>
  <c r="BU402" i="9"/>
  <c r="BU231" i="9"/>
  <c r="AV893" i="9"/>
  <c r="AW418" i="9"/>
  <c r="AS269" i="9"/>
  <c r="AS603" i="9" s="1"/>
  <c r="BU247" i="9"/>
  <c r="BU533" i="9" s="1"/>
  <c r="BU190" i="9"/>
  <c r="BU530" i="9" s="1"/>
  <c r="AO380" i="9"/>
  <c r="AN891" i="9"/>
  <c r="BU117" i="9"/>
  <c r="AK212" i="9"/>
  <c r="AK600" i="9" s="1"/>
  <c r="BU345" i="9"/>
  <c r="BU155" i="9"/>
  <c r="AV592" i="9"/>
  <c r="AV345" i="9"/>
  <c r="AV607" i="9" s="1"/>
  <c r="BT380" i="9"/>
  <c r="BT540" i="9" s="1"/>
  <c r="AW155" i="9"/>
  <c r="AW597" i="9" s="1"/>
  <c r="AV193" i="9"/>
  <c r="AV599" i="9" s="1"/>
  <c r="AM247" i="9"/>
  <c r="AL884" i="9"/>
  <c r="AJ114" i="9"/>
  <c r="AI877" i="9"/>
  <c r="BU76" i="9"/>
  <c r="BU524" i="9" s="1"/>
  <c r="BU418" i="9"/>
  <c r="BU542" i="9" s="1"/>
  <c r="BU285" i="9"/>
  <c r="BU535" i="9" s="1"/>
  <c r="AW288" i="9"/>
  <c r="AW604" i="9" s="1"/>
  <c r="AK76" i="9"/>
  <c r="AK524" i="9" s="1"/>
  <c r="AJ875" i="9"/>
  <c r="BV209" i="9"/>
  <c r="BV531" i="9" s="1"/>
  <c r="BU323" i="9"/>
  <c r="BU537" i="9" s="1"/>
  <c r="BM742" i="9"/>
  <c r="BG156" i="20"/>
  <c r="BI22" i="3"/>
  <c r="BI5" i="6"/>
  <c r="BI5" i="1"/>
  <c r="BI5" i="4"/>
  <c r="AL862" i="9" l="1"/>
  <c r="AU716" i="9"/>
  <c r="AU739" i="9" s="1"/>
  <c r="AV693" i="9" s="1"/>
  <c r="AV835" i="9" s="1"/>
  <c r="AU835" i="9"/>
  <c r="BA836" i="9"/>
  <c r="BA717" i="9"/>
  <c r="BA740" i="9" s="1"/>
  <c r="BB694" i="9" s="1"/>
  <c r="AZ811" i="9"/>
  <c r="BA765" i="9" s="1"/>
  <c r="BA788" i="9" s="1"/>
  <c r="AY749" i="9"/>
  <c r="AZ703" i="9" s="1"/>
  <c r="AZ726" i="9" s="1"/>
  <c r="AU741" i="9"/>
  <c r="AV695" i="9" s="1"/>
  <c r="AX748" i="9"/>
  <c r="AY702" i="9" s="1"/>
  <c r="AZ805" i="9"/>
  <c r="BA719" i="9"/>
  <c r="BA742" i="9" s="1"/>
  <c r="BB696" i="9" s="1"/>
  <c r="BA838" i="9"/>
  <c r="AV746" i="9"/>
  <c r="AW700" i="9" s="1"/>
  <c r="AM743" i="9"/>
  <c r="AN697" i="9" s="1"/>
  <c r="W812" i="9"/>
  <c r="BU595" i="9"/>
  <c r="BU597" i="9"/>
  <c r="BU601" i="9"/>
  <c r="BU608" i="9"/>
  <c r="BU592" i="9"/>
  <c r="BU607" i="9"/>
  <c r="BU594" i="9"/>
  <c r="BU610" i="9"/>
  <c r="AU860" i="9"/>
  <c r="AI1023" i="9" s="1"/>
  <c r="AI1046" i="9" s="1"/>
  <c r="BC803" i="9"/>
  <c r="BC853" i="9"/>
  <c r="AI1074" i="9"/>
  <c r="AV769" i="9"/>
  <c r="AV792" i="9" s="1"/>
  <c r="AV815" i="9" s="1"/>
  <c r="AX867" i="9"/>
  <c r="AL1030" i="9" s="1"/>
  <c r="AL1053" i="9" s="1"/>
  <c r="AV868" i="9"/>
  <c r="AZ763" i="9"/>
  <c r="AZ786" i="9" s="1"/>
  <c r="AU762" i="9"/>
  <c r="AU785" i="9" s="1"/>
  <c r="AT881" i="9"/>
  <c r="AU883" i="9"/>
  <c r="AM766" i="9"/>
  <c r="AM789" i="9" s="1"/>
  <c r="AM812" i="9" s="1"/>
  <c r="AL885" i="9"/>
  <c r="AK857" i="9"/>
  <c r="AK1115" i="9" s="1"/>
  <c r="BD688" i="9"/>
  <c r="AW542" i="9"/>
  <c r="AJ526" i="9"/>
  <c r="AM533" i="9"/>
  <c r="AO540" i="9"/>
  <c r="BG28" i="30"/>
  <c r="AI1017" i="9"/>
  <c r="AI1040" i="9" s="1"/>
  <c r="AJ1015" i="9"/>
  <c r="AJ1038" i="9" s="1"/>
  <c r="AL1024" i="9"/>
  <c r="AL1047" i="9" s="1"/>
  <c r="AJ1064" i="9"/>
  <c r="AV1027" i="9"/>
  <c r="AV1050" i="9" s="1"/>
  <c r="AJ1073" i="9"/>
  <c r="AB1077" i="9"/>
  <c r="AJ1079" i="9"/>
  <c r="AJ1076" i="9"/>
  <c r="AV1032" i="9"/>
  <c r="AV1055" i="9" s="1"/>
  <c r="AJ1078" i="9"/>
  <c r="AY797" i="9"/>
  <c r="AY820" i="9" s="1"/>
  <c r="BV1105" i="9"/>
  <c r="BV199" i="30" s="1"/>
  <c r="BV86" i="33" s="1"/>
  <c r="AV1105" i="9"/>
  <c r="AV199" i="30" s="1"/>
  <c r="AV86" i="33" s="1"/>
  <c r="BV57" i="9"/>
  <c r="BV523" i="9" s="1"/>
  <c r="AW98" i="9"/>
  <c r="AW594" i="9" s="1"/>
  <c r="AW876" i="9" s="1"/>
  <c r="AW399" i="9"/>
  <c r="AW541" i="9" s="1"/>
  <c r="AX228" i="9"/>
  <c r="AX532" i="9" s="1"/>
  <c r="AW304" i="9"/>
  <c r="AW536" i="9" s="1"/>
  <c r="BM746" i="9"/>
  <c r="AW171" i="9"/>
  <c r="AW529" i="9" s="1"/>
  <c r="BU269" i="9"/>
  <c r="AW527" i="9"/>
  <c r="AW136" i="9"/>
  <c r="BU529" i="9"/>
  <c r="BU174" i="9"/>
  <c r="BU307" i="9"/>
  <c r="BU136" i="9"/>
  <c r="AX606" i="9"/>
  <c r="AY323" i="9"/>
  <c r="BV95" i="9"/>
  <c r="BV525" i="9" s="1"/>
  <c r="BV228" i="9"/>
  <c r="BV532" i="9" s="1"/>
  <c r="AW364" i="9"/>
  <c r="AW608" i="9" s="1"/>
  <c r="BV361" i="9"/>
  <c r="BV539" i="9" s="1"/>
  <c r="BV399" i="9"/>
  <c r="BV541" i="9" s="1"/>
  <c r="AM250" i="9"/>
  <c r="AM602" i="9" s="1"/>
  <c r="AX152" i="9"/>
  <c r="AX528" i="9" s="1"/>
  <c r="AW879" i="9"/>
  <c r="AW342" i="9"/>
  <c r="AW538" i="9" s="1"/>
  <c r="AV889" i="9"/>
  <c r="BV212" i="9"/>
  <c r="AX285" i="9"/>
  <c r="AX535" i="9" s="1"/>
  <c r="BU421" i="9"/>
  <c r="BU79" i="9"/>
  <c r="AX845" i="9"/>
  <c r="AW523" i="9"/>
  <c r="BV152" i="9"/>
  <c r="BV528" i="9" s="1"/>
  <c r="AL209" i="9"/>
  <c r="AK882" i="9"/>
  <c r="AW870" i="9"/>
  <c r="AW421" i="9"/>
  <c r="AW611" i="9" s="1"/>
  <c r="BU326" i="9"/>
  <c r="AW190" i="9"/>
  <c r="AW530" i="9" s="1"/>
  <c r="AT266" i="9"/>
  <c r="AT534" i="9" s="1"/>
  <c r="AK79" i="9"/>
  <c r="AK593" i="9" s="1"/>
  <c r="BU288" i="9"/>
  <c r="AJ117" i="9"/>
  <c r="AJ595" i="9" s="1"/>
  <c r="BT383" i="9"/>
  <c r="BV342" i="9"/>
  <c r="BV538" i="9" s="1"/>
  <c r="BV114" i="9"/>
  <c r="BV526" i="9" s="1"/>
  <c r="AO383" i="9"/>
  <c r="AO609" i="9" s="1"/>
  <c r="BU193" i="9"/>
  <c r="BU250" i="9"/>
  <c r="BI28" i="3"/>
  <c r="BI26" i="3"/>
  <c r="BJ5" i="4"/>
  <c r="BJ5" i="1"/>
  <c r="BJ5" i="6"/>
  <c r="Y47" i="6" s="1"/>
  <c r="BI4" i="4"/>
  <c r="BI4" i="1"/>
  <c r="BI4" i="6"/>
  <c r="BI20" i="3"/>
  <c r="AV716" i="9" l="1"/>
  <c r="AV739" i="9" s="1"/>
  <c r="AW693" i="9" s="1"/>
  <c r="AV837" i="9"/>
  <c r="AV718" i="9"/>
  <c r="AV764" i="9"/>
  <c r="AV787" i="9" s="1"/>
  <c r="AV860" i="9" s="1"/>
  <c r="AJ1023" i="9" s="1"/>
  <c r="AJ1046" i="9" s="1"/>
  <c r="AZ749" i="9"/>
  <c r="BA703" i="9" s="1"/>
  <c r="BA726" i="9" s="1"/>
  <c r="BA749" i="9" s="1"/>
  <c r="AW842" i="9"/>
  <c r="AW723" i="9"/>
  <c r="BA759" i="9"/>
  <c r="BA782" i="9" s="1"/>
  <c r="BA855" i="9" s="1"/>
  <c r="AO1018" i="9" s="1"/>
  <c r="AO1041" i="9" s="1"/>
  <c r="AY844" i="9"/>
  <c r="AY725" i="9"/>
  <c r="AY748" i="9" s="1"/>
  <c r="AZ702" i="9" s="1"/>
  <c r="AZ844" i="9" s="1"/>
  <c r="BT609" i="9"/>
  <c r="BU611" i="9"/>
  <c r="BU603" i="9"/>
  <c r="BU604" i="9"/>
  <c r="BU606" i="9"/>
  <c r="BV600" i="9"/>
  <c r="BU602" i="9"/>
  <c r="BU593" i="9"/>
  <c r="BU596" i="9"/>
  <c r="BU599" i="9"/>
  <c r="BU605" i="9"/>
  <c r="AQ1016" i="9"/>
  <c r="AQ1039" i="9" s="1"/>
  <c r="AZ859" i="9"/>
  <c r="AZ809" i="9"/>
  <c r="AV865" i="9"/>
  <c r="AJ1028" i="9" s="1"/>
  <c r="AJ1051" i="9" s="1"/>
  <c r="AU858" i="9"/>
  <c r="AI1021" i="9" s="1"/>
  <c r="AI1044" i="9" s="1"/>
  <c r="AU808" i="9"/>
  <c r="BA861" i="9"/>
  <c r="BA811" i="9"/>
  <c r="AI1069" i="9"/>
  <c r="AH1067" i="9"/>
  <c r="AW772" i="9"/>
  <c r="AW795" i="9" s="1"/>
  <c r="AW818" i="9" s="1"/>
  <c r="BB838" i="9"/>
  <c r="BB719" i="9"/>
  <c r="BB742" i="9" s="1"/>
  <c r="AZ847" i="9"/>
  <c r="AZ728" i="9"/>
  <c r="AZ751" i="9" s="1"/>
  <c r="BA705" i="9" s="1"/>
  <c r="BB836" i="9"/>
  <c r="BB717" i="9"/>
  <c r="BB740" i="9" s="1"/>
  <c r="AJ1031" i="9"/>
  <c r="AJ1054" i="9" s="1"/>
  <c r="AY771" i="9"/>
  <c r="AY794" i="9" s="1"/>
  <c r="AY817" i="9" s="1"/>
  <c r="BB832" i="9"/>
  <c r="BB713" i="9"/>
  <c r="BB736" i="9" s="1"/>
  <c r="AN839" i="9"/>
  <c r="AN720" i="9"/>
  <c r="AN743" i="9" s="1"/>
  <c r="AW769" i="9"/>
  <c r="AW792" i="9" s="1"/>
  <c r="AV888" i="9"/>
  <c r="AL761" i="9"/>
  <c r="AL784" i="9" s="1"/>
  <c r="AL807" i="9" s="1"/>
  <c r="AM738" i="9" s="1"/>
  <c r="AK880" i="9"/>
  <c r="AM862" i="9"/>
  <c r="BD830" i="9"/>
  <c r="BO47" i="6"/>
  <c r="CF47" i="6" s="1"/>
  <c r="A47" i="6" s="1" a="1"/>
  <c r="A47" i="6" s="1"/>
  <c r="Y79" i="6"/>
  <c r="Y83" i="30" s="1"/>
  <c r="Y178" i="6"/>
  <c r="X148" i="6"/>
  <c r="BN148" i="6" s="1"/>
  <c r="Y72" i="30"/>
  <c r="AL531" i="9"/>
  <c r="X142" i="6"/>
  <c r="X76" i="6"/>
  <c r="X157" i="6"/>
  <c r="X172" i="6"/>
  <c r="X166" i="6"/>
  <c r="X145" i="6"/>
  <c r="X138" i="6"/>
  <c r="X113" i="6"/>
  <c r="X163" i="6"/>
  <c r="X86" i="6"/>
  <c r="X169" i="6"/>
  <c r="X160" i="6"/>
  <c r="Y214" i="6"/>
  <c r="X175" i="6"/>
  <c r="X70" i="6"/>
  <c r="X73" i="6"/>
  <c r="X150" i="6"/>
  <c r="AK1033" i="9"/>
  <c r="AK1056" i="9" s="1"/>
  <c r="AW1019" i="9"/>
  <c r="AW1042" i="9" s="1"/>
  <c r="AK1065" i="9"/>
  <c r="AK1022" i="9"/>
  <c r="AK1045" i="9" s="1"/>
  <c r="AV1029" i="9"/>
  <c r="AV1052" i="9" s="1"/>
  <c r="AJ1075" i="9"/>
  <c r="AZ774" i="9"/>
  <c r="Y160" i="6"/>
  <c r="Y142" i="6"/>
  <c r="Y70" i="6"/>
  <c r="Y73" i="6"/>
  <c r="Y157" i="6"/>
  <c r="Y113" i="6"/>
  <c r="Y163" i="6"/>
  <c r="Y145" i="6"/>
  <c r="Y169" i="6"/>
  <c r="Y172" i="6"/>
  <c r="Y76" i="6"/>
  <c r="Y150" i="6"/>
  <c r="Y175" i="6"/>
  <c r="Y148" i="6"/>
  <c r="Y86" i="6"/>
  <c r="Y138" i="6"/>
  <c r="Y166" i="6"/>
  <c r="BV60" i="9"/>
  <c r="AX95" i="9"/>
  <c r="AX525" i="9" s="1"/>
  <c r="AW402" i="9"/>
  <c r="AW610" i="9" s="1"/>
  <c r="AW892" i="9" s="1"/>
  <c r="AX231" i="9"/>
  <c r="AX601" i="9" s="1"/>
  <c r="AW307" i="9"/>
  <c r="AW605" i="9" s="1"/>
  <c r="AW887" i="9" s="1"/>
  <c r="BM744" i="9"/>
  <c r="BM736" i="9"/>
  <c r="AW174" i="9"/>
  <c r="AW598" i="9" s="1"/>
  <c r="BV266" i="9"/>
  <c r="BV534" i="9" s="1"/>
  <c r="AW596" i="9"/>
  <c r="AW878" i="9" s="1"/>
  <c r="AX133" i="9"/>
  <c r="BV304" i="9"/>
  <c r="BV536" i="9" s="1"/>
  <c r="BU598" i="9"/>
  <c r="BV171" i="9"/>
  <c r="BV133" i="9"/>
  <c r="BV527" i="9" s="1"/>
  <c r="AY537" i="9"/>
  <c r="AY326" i="9"/>
  <c r="BV98" i="9"/>
  <c r="BV402" i="9"/>
  <c r="AW890" i="9"/>
  <c r="AX361" i="9"/>
  <c r="AX539" i="9" s="1"/>
  <c r="BV364" i="9"/>
  <c r="BV231" i="9"/>
  <c r="BV345" i="9"/>
  <c r="BV247" i="9"/>
  <c r="BV533" i="9" s="1"/>
  <c r="AO891" i="9"/>
  <c r="AP380" i="9"/>
  <c r="AK114" i="9"/>
  <c r="AJ877" i="9"/>
  <c r="BV285" i="9"/>
  <c r="BV535" i="9" s="1"/>
  <c r="AW893" i="9"/>
  <c r="AX418" i="9"/>
  <c r="BV76" i="9"/>
  <c r="BV524" i="9" s="1"/>
  <c r="AX288" i="9"/>
  <c r="AX604" i="9" s="1"/>
  <c r="AX155" i="9"/>
  <c r="AX597" i="9" s="1"/>
  <c r="AT269" i="9"/>
  <c r="AT603" i="9" s="1"/>
  <c r="BV117" i="9"/>
  <c r="AK875" i="9"/>
  <c r="AL76" i="9"/>
  <c r="AL524" i="9" s="1"/>
  <c r="BV323" i="9"/>
  <c r="BV537" i="9" s="1"/>
  <c r="BV418" i="9"/>
  <c r="BV542" i="9" s="1"/>
  <c r="BV190" i="9"/>
  <c r="BV530" i="9" s="1"/>
  <c r="BU380" i="9"/>
  <c r="BU540" i="9" s="1"/>
  <c r="AL212" i="9"/>
  <c r="AL600" i="9" s="1"/>
  <c r="AW592" i="9"/>
  <c r="BW209" i="9"/>
  <c r="BW531" i="9" s="1"/>
  <c r="AN247" i="9"/>
  <c r="AM884" i="9"/>
  <c r="AW193" i="9"/>
  <c r="AW599" i="9" s="1"/>
  <c r="BV155" i="9"/>
  <c r="AW345" i="9"/>
  <c r="AW607" i="9" s="1"/>
  <c r="BH156" i="20"/>
  <c r="BJ4" i="4"/>
  <c r="BJ4" i="1"/>
  <c r="BJ4" i="6"/>
  <c r="BJ20" i="3"/>
  <c r="AV810" i="9" l="1"/>
  <c r="BA805" i="9"/>
  <c r="BB759" i="9" s="1"/>
  <c r="BB782" i="9" s="1"/>
  <c r="BB855" i="9" s="1"/>
  <c r="AW716" i="9"/>
  <c r="AW835" i="9"/>
  <c r="AV741" i="9"/>
  <c r="AW695" i="9" s="1"/>
  <c r="AW764" i="9" s="1"/>
  <c r="AW787" i="9" s="1"/>
  <c r="AZ725" i="9"/>
  <c r="AZ748" i="9" s="1"/>
  <c r="BA702" i="9" s="1"/>
  <c r="AW746" i="9"/>
  <c r="AX700" i="9" s="1"/>
  <c r="Y172" i="30"/>
  <c r="CI172" i="30" s="1"/>
  <c r="CC172" i="30" s="1"/>
  <c r="CI83" i="30"/>
  <c r="CC83" i="30" s="1"/>
  <c r="Y160" i="30"/>
  <c r="CI160" i="30" s="1"/>
  <c r="CC160" i="30" s="1"/>
  <c r="CI72" i="30"/>
  <c r="CC72" i="30" s="1"/>
  <c r="J172" i="20"/>
  <c r="J133" i="20"/>
  <c r="J96" i="20"/>
  <c r="J138" i="20"/>
  <c r="J21" i="20"/>
  <c r="J45" i="20"/>
  <c r="J38" i="20"/>
  <c r="J48" i="20"/>
  <c r="J65" i="20"/>
  <c r="J144" i="20"/>
  <c r="J79" i="20"/>
  <c r="J42" i="20"/>
  <c r="J91" i="20"/>
  <c r="J14" i="20"/>
  <c r="J128" i="20"/>
  <c r="J16" i="20"/>
  <c r="J27" i="20"/>
  <c r="J72" i="20"/>
  <c r="J77" i="20"/>
  <c r="J127" i="20"/>
  <c r="J22" i="20"/>
  <c r="J146" i="20"/>
  <c r="J20" i="20"/>
  <c r="J46" i="20"/>
  <c r="J41" i="20"/>
  <c r="J137" i="20"/>
  <c r="J103" i="20"/>
  <c r="J149" i="20"/>
  <c r="J82" i="20"/>
  <c r="J55" i="20"/>
  <c r="J88" i="20"/>
  <c r="J29" i="20"/>
  <c r="J89" i="20"/>
  <c r="J56" i="20"/>
  <c r="J198" i="20"/>
  <c r="J106" i="20"/>
  <c r="J54" i="20"/>
  <c r="J71" i="20"/>
  <c r="J142" i="20"/>
  <c r="J47" i="20"/>
  <c r="J58" i="20"/>
  <c r="J102" i="20"/>
  <c r="J53" i="20"/>
  <c r="J64" i="20"/>
  <c r="J19" i="20"/>
  <c r="J122" i="20"/>
  <c r="J81" i="20"/>
  <c r="J36" i="20"/>
  <c r="J93" i="20"/>
  <c r="J66" i="20"/>
  <c r="J57" i="20"/>
  <c r="J90" i="20"/>
  <c r="J124" i="20"/>
  <c r="J110" i="20"/>
  <c r="J87" i="20"/>
  <c r="J125" i="20"/>
  <c r="J169" i="20"/>
  <c r="J132" i="20"/>
  <c r="J13" i="20"/>
  <c r="J44" i="20"/>
  <c r="J34" i="20"/>
  <c r="J94" i="20"/>
  <c r="J97" i="20"/>
  <c r="J32" i="20"/>
  <c r="J126" i="20"/>
  <c r="J95" i="20"/>
  <c r="J148" i="20"/>
  <c r="J92" i="20"/>
  <c r="J111" i="20"/>
  <c r="J75" i="20"/>
  <c r="J61" i="20"/>
  <c r="J80" i="20"/>
  <c r="J35" i="20"/>
  <c r="J24" i="20"/>
  <c r="J154" i="20"/>
  <c r="J145" i="20"/>
  <c r="J12" i="20"/>
  <c r="J23" i="20"/>
  <c r="J78" i="20"/>
  <c r="J150" i="20"/>
  <c r="J115" i="20"/>
  <c r="J140" i="20"/>
  <c r="J59" i="20"/>
  <c r="J139" i="20"/>
  <c r="J131" i="20"/>
  <c r="J74" i="20"/>
  <c r="J104" i="20"/>
  <c r="J143" i="20"/>
  <c r="J25" i="20"/>
  <c r="J129" i="20"/>
  <c r="J101" i="20"/>
  <c r="J33" i="20"/>
  <c r="J181" i="20"/>
  <c r="J43" i="20"/>
  <c r="J76" i="20"/>
  <c r="J50" i="20"/>
  <c r="J105" i="20"/>
  <c r="J123" i="20"/>
  <c r="J112" i="20"/>
  <c r="J83" i="20"/>
  <c r="J26" i="20"/>
  <c r="J73" i="20"/>
  <c r="J141" i="20"/>
  <c r="J68" i="20"/>
  <c r="K198" i="20"/>
  <c r="K140" i="20"/>
  <c r="K36" i="20"/>
  <c r="K92" i="20"/>
  <c r="K81" i="20"/>
  <c r="K26" i="20"/>
  <c r="K16" i="20"/>
  <c r="K25" i="20"/>
  <c r="K172" i="20"/>
  <c r="K34" i="20"/>
  <c r="K111" i="20"/>
  <c r="K112" i="20"/>
  <c r="K101" i="20"/>
  <c r="K46" i="20"/>
  <c r="K104" i="20"/>
  <c r="K71" i="20"/>
  <c r="K150" i="20"/>
  <c r="K95" i="20"/>
  <c r="K72" i="20"/>
  <c r="K181" i="20"/>
  <c r="K53" i="20"/>
  <c r="K20" i="20"/>
  <c r="K55" i="20"/>
  <c r="K110" i="20"/>
  <c r="K93" i="20"/>
  <c r="K103" i="20"/>
  <c r="K144" i="20"/>
  <c r="K105" i="20"/>
  <c r="K75" i="20"/>
  <c r="K133" i="20"/>
  <c r="K141" i="20"/>
  <c r="K45" i="20"/>
  <c r="K29" i="20"/>
  <c r="K76" i="20"/>
  <c r="K87" i="20"/>
  <c r="K131" i="20"/>
  <c r="K73" i="20"/>
  <c r="K79" i="20"/>
  <c r="K43" i="20"/>
  <c r="K139" i="20"/>
  <c r="K78" i="20"/>
  <c r="K68" i="20"/>
  <c r="K97" i="20"/>
  <c r="K149" i="20"/>
  <c r="K44" i="20"/>
  <c r="K23" i="20"/>
  <c r="K24" i="20"/>
  <c r="K13" i="20"/>
  <c r="K80" i="20"/>
  <c r="K106" i="20"/>
  <c r="K74" i="20"/>
  <c r="K94" i="20"/>
  <c r="K56" i="20"/>
  <c r="K88" i="20"/>
  <c r="K138" i="20"/>
  <c r="K54" i="20"/>
  <c r="K66" i="20"/>
  <c r="K33" i="20"/>
  <c r="K143" i="20"/>
  <c r="K129" i="20"/>
  <c r="K22" i="20"/>
  <c r="K41" i="20"/>
  <c r="K169" i="20"/>
  <c r="K61" i="20"/>
  <c r="K83" i="20"/>
  <c r="K48" i="20"/>
  <c r="K89" i="20"/>
  <c r="K47" i="20"/>
  <c r="K42" i="20"/>
  <c r="K125" i="20"/>
  <c r="K12" i="20"/>
  <c r="K122" i="20"/>
  <c r="K35" i="20"/>
  <c r="K142" i="20"/>
  <c r="K38" i="20"/>
  <c r="K127" i="20"/>
  <c r="K59" i="20"/>
  <c r="K126" i="20"/>
  <c r="K128" i="20"/>
  <c r="K14" i="20"/>
  <c r="K57" i="20"/>
  <c r="K115" i="20"/>
  <c r="K27" i="20"/>
  <c r="K145" i="20"/>
  <c r="K137" i="20"/>
  <c r="K146" i="20"/>
  <c r="K58" i="20"/>
  <c r="K77" i="20"/>
  <c r="K32" i="20"/>
  <c r="K96" i="20"/>
  <c r="K123" i="20"/>
  <c r="K82" i="20"/>
  <c r="K50" i="20"/>
  <c r="K19" i="20"/>
  <c r="K154" i="20"/>
  <c r="K148" i="20"/>
  <c r="K64" i="20"/>
  <c r="K124" i="20"/>
  <c r="K91" i="20"/>
  <c r="K102" i="20"/>
  <c r="K21" i="20"/>
  <c r="K90" i="20"/>
  <c r="K132" i="20"/>
  <c r="K65" i="20"/>
  <c r="L137" i="20"/>
  <c r="L88" i="20"/>
  <c r="L87" i="20"/>
  <c r="L26" i="20"/>
  <c r="L16" i="20"/>
  <c r="L154" i="20"/>
  <c r="L72" i="20"/>
  <c r="L14" i="20"/>
  <c r="L149" i="20"/>
  <c r="L123" i="20"/>
  <c r="L115" i="20"/>
  <c r="L150" i="20"/>
  <c r="L42" i="20"/>
  <c r="L75" i="20"/>
  <c r="L45" i="20"/>
  <c r="L59" i="20"/>
  <c r="L23" i="20"/>
  <c r="L148" i="20"/>
  <c r="L89" i="20"/>
  <c r="L127" i="20"/>
  <c r="L181" i="20"/>
  <c r="L129" i="20"/>
  <c r="L105" i="20"/>
  <c r="L96" i="20"/>
  <c r="L32" i="20"/>
  <c r="L172" i="20"/>
  <c r="L95" i="20"/>
  <c r="L34" i="20"/>
  <c r="L68" i="20"/>
  <c r="L57" i="20"/>
  <c r="L27" i="20"/>
  <c r="L128" i="20"/>
  <c r="L198" i="20"/>
  <c r="L132" i="20"/>
  <c r="L146" i="20"/>
  <c r="L104" i="20"/>
  <c r="L143" i="20"/>
  <c r="L48" i="20"/>
  <c r="L77" i="20"/>
  <c r="L103" i="20"/>
  <c r="L71" i="20"/>
  <c r="L41" i="20"/>
  <c r="L36" i="20"/>
  <c r="L20" i="20"/>
  <c r="L102" i="20"/>
  <c r="L141" i="20"/>
  <c r="L124" i="20"/>
  <c r="L110" i="20"/>
  <c r="L94" i="20"/>
  <c r="L133" i="20"/>
  <c r="L12" i="20"/>
  <c r="L139" i="20"/>
  <c r="L78" i="20"/>
  <c r="L47" i="20"/>
  <c r="L29" i="20"/>
  <c r="L38" i="20"/>
  <c r="L92" i="20"/>
  <c r="L55" i="20"/>
  <c r="L21" i="20"/>
  <c r="L145" i="20"/>
  <c r="L144" i="20"/>
  <c r="L125" i="20"/>
  <c r="L101" i="20"/>
  <c r="L46" i="20"/>
  <c r="L79" i="20"/>
  <c r="L112" i="20"/>
  <c r="L81" i="20"/>
  <c r="L54" i="20"/>
  <c r="L61" i="20"/>
  <c r="L93" i="20"/>
  <c r="L13" i="20"/>
  <c r="L44" i="20"/>
  <c r="L33" i="20"/>
  <c r="L24" i="20"/>
  <c r="L142" i="20"/>
  <c r="L80" i="20"/>
  <c r="L25" i="20"/>
  <c r="L58" i="20"/>
  <c r="L91" i="20"/>
  <c r="L74" i="20"/>
  <c r="L122" i="20"/>
  <c r="L53" i="20"/>
  <c r="L83" i="20"/>
  <c r="L56" i="20"/>
  <c r="L169" i="20"/>
  <c r="L66" i="20"/>
  <c r="L126" i="20"/>
  <c r="L97" i="20"/>
  <c r="L22" i="20"/>
  <c r="L73" i="20"/>
  <c r="L131" i="20"/>
  <c r="L65" i="20"/>
  <c r="L64" i="20"/>
  <c r="L43" i="20"/>
  <c r="L76" i="20"/>
  <c r="L106" i="20"/>
  <c r="L90" i="20"/>
  <c r="L35" i="20"/>
  <c r="L111" i="20"/>
  <c r="L138" i="20"/>
  <c r="L140" i="20"/>
  <c r="L19" i="20"/>
  <c r="L50" i="20"/>
  <c r="L82" i="20"/>
  <c r="J11" i="20"/>
  <c r="K11" i="20"/>
  <c r="L11" i="20"/>
  <c r="BV595" i="9"/>
  <c r="BV597" i="9"/>
  <c r="BV607" i="9"/>
  <c r="BV601" i="9"/>
  <c r="BV610" i="9"/>
  <c r="BV608" i="9"/>
  <c r="BV594" i="9"/>
  <c r="BW57" i="9"/>
  <c r="BW523" i="9" s="1"/>
  <c r="W807" i="9"/>
  <c r="AJ1074" i="9"/>
  <c r="AW865" i="9"/>
  <c r="AK1028" i="9" s="1"/>
  <c r="AK1051" i="9" s="1"/>
  <c r="AW815" i="9"/>
  <c r="BB805" i="9"/>
  <c r="AY867" i="9"/>
  <c r="AM1030" i="9" s="1"/>
  <c r="AM1053" i="9" s="1"/>
  <c r="AW868" i="9"/>
  <c r="AO697" i="9"/>
  <c r="AP1018" i="9"/>
  <c r="AP1041" i="9" s="1"/>
  <c r="BB765" i="9"/>
  <c r="BB788" i="9" s="1"/>
  <c r="BC694" i="9"/>
  <c r="BC696" i="9"/>
  <c r="AV883" i="9"/>
  <c r="AV762" i="9"/>
  <c r="AV785" i="9" s="1"/>
  <c r="AV808" i="9" s="1"/>
  <c r="AU881" i="9"/>
  <c r="AI1067" i="9" s="1"/>
  <c r="BA844" i="9"/>
  <c r="BA725" i="9"/>
  <c r="BA748" i="9" s="1"/>
  <c r="BC690" i="9"/>
  <c r="BA763" i="9"/>
  <c r="BA786" i="9" s="1"/>
  <c r="BB703" i="9"/>
  <c r="AN766" i="9"/>
  <c r="AN789" i="9" s="1"/>
  <c r="AN812" i="9" s="1"/>
  <c r="AM885" i="9"/>
  <c r="AA1025" i="9"/>
  <c r="AA1048" i="9" s="1"/>
  <c r="AL857" i="9"/>
  <c r="AL1115" i="9" s="1"/>
  <c r="AN692" i="9"/>
  <c r="BD711" i="9"/>
  <c r="BD734" i="9" s="1"/>
  <c r="BD757" i="9"/>
  <c r="BD780" i="9" s="1"/>
  <c r="BZ216" i="6"/>
  <c r="Y217" i="6"/>
  <c r="Y126" i="30" s="1"/>
  <c r="Y106" i="30"/>
  <c r="BO79" i="6"/>
  <c r="BO83" i="30" s="1"/>
  <c r="CL83" i="30" s="1"/>
  <c r="CD83" i="30" s="1"/>
  <c r="BO178" i="6"/>
  <c r="BO106" i="30" s="1"/>
  <c r="X151" i="6"/>
  <c r="X119" i="30" s="1"/>
  <c r="AN533" i="9"/>
  <c r="AX542" i="9"/>
  <c r="AK526" i="9"/>
  <c r="AP540" i="9"/>
  <c r="BO214" i="6"/>
  <c r="CF214" i="6" s="1"/>
  <c r="A214" i="6" s="1" a="1"/>
  <c r="A214" i="6" s="1"/>
  <c r="BZ205" i="6"/>
  <c r="BZ63" i="6"/>
  <c r="W765" i="9"/>
  <c r="BM765" i="9" s="1"/>
  <c r="X765" i="9"/>
  <c r="X105" i="30"/>
  <c r="BN175" i="6"/>
  <c r="BN105" i="30" s="1"/>
  <c r="BN162" i="30" s="1"/>
  <c r="BN63" i="33" s="1"/>
  <c r="BN86" i="6"/>
  <c r="BN188" i="30" s="1"/>
  <c r="X85" i="30"/>
  <c r="X188" i="30"/>
  <c r="X96" i="30"/>
  <c r="BN145" i="6"/>
  <c r="BN96" i="30" s="1"/>
  <c r="X82" i="30"/>
  <c r="BN76" i="6"/>
  <c r="BN82" i="30" s="1"/>
  <c r="BN165" i="30" s="1"/>
  <c r="BN150" i="6"/>
  <c r="BN97" i="30" s="1"/>
  <c r="X97" i="30"/>
  <c r="BN126" i="30"/>
  <c r="X126" i="30"/>
  <c r="X101" i="30"/>
  <c r="BN163" i="6"/>
  <c r="BN101" i="30" s="1"/>
  <c r="X102" i="30"/>
  <c r="BN166" i="6"/>
  <c r="BN102" i="30" s="1"/>
  <c r="BN167" i="30" s="1"/>
  <c r="X95" i="30"/>
  <c r="BN142" i="6"/>
  <c r="BN95" i="30" s="1"/>
  <c r="BN73" i="6"/>
  <c r="BN81" i="30" s="1"/>
  <c r="BN164" i="30" s="1"/>
  <c r="X81" i="30"/>
  <c r="X100" i="30"/>
  <c r="BN160" i="6"/>
  <c r="BN100" i="30" s="1"/>
  <c r="BN113" i="6"/>
  <c r="X92" i="30"/>
  <c r="X104" i="30"/>
  <c r="BN172" i="6"/>
  <c r="BN104" i="30" s="1"/>
  <c r="BN168" i="30" s="1"/>
  <c r="BN70" i="6"/>
  <c r="X80" i="30"/>
  <c r="X68" i="6"/>
  <c r="Y67" i="6"/>
  <c r="Y68" i="6" s="1"/>
  <c r="X103" i="30"/>
  <c r="BN169" i="6"/>
  <c r="X163" i="1"/>
  <c r="BN138" i="6"/>
  <c r="X94" i="30"/>
  <c r="BN157" i="6"/>
  <c r="BN99" i="30" s="1"/>
  <c r="BN169" i="30" s="1"/>
  <c r="X99" i="30"/>
  <c r="BH28" i="30"/>
  <c r="BO70" i="6"/>
  <c r="Y100" i="30"/>
  <c r="AJ1017" i="9"/>
  <c r="AJ1040" i="9" s="1"/>
  <c r="AW1027" i="9"/>
  <c r="AW1050" i="9" s="1"/>
  <c r="AK1073" i="9"/>
  <c r="AK1015" i="9"/>
  <c r="AK1038" i="9" s="1"/>
  <c r="AK1076" i="9"/>
  <c r="AK1079" i="9"/>
  <c r="AM1024" i="9"/>
  <c r="AM1047" i="9" s="1"/>
  <c r="AA1070" i="9"/>
  <c r="AC1077" i="9"/>
  <c r="AK1064" i="9"/>
  <c r="AW1032" i="9"/>
  <c r="AW1055" i="9" s="1"/>
  <c r="AK1078" i="9"/>
  <c r="BO160" i="6"/>
  <c r="BO100" i="30" s="1"/>
  <c r="AZ797" i="9"/>
  <c r="AZ820" i="9" s="1"/>
  <c r="AW1105" i="9"/>
  <c r="AW199" i="30" s="1"/>
  <c r="AW86" i="33" s="1"/>
  <c r="BW1105" i="9"/>
  <c r="BW199" i="30" s="1"/>
  <c r="BW86" i="33" s="1"/>
  <c r="BM169" i="1"/>
  <c r="CJ169" i="1" s="1"/>
  <c r="BO175" i="6"/>
  <c r="BO172" i="6"/>
  <c r="BO104" i="30" s="1"/>
  <c r="BO138" i="6"/>
  <c r="BO163" i="6"/>
  <c r="BO101" i="30" s="1"/>
  <c r="BO73" i="6"/>
  <c r="BO81" i="30" s="1"/>
  <c r="BO150" i="6"/>
  <c r="BO97" i="30" s="1"/>
  <c r="BO169" i="6"/>
  <c r="BO113" i="6"/>
  <c r="BO166" i="6"/>
  <c r="BO102" i="30" s="1"/>
  <c r="BO86" i="6"/>
  <c r="BO76" i="6"/>
  <c r="BO82" i="30" s="1"/>
  <c r="BO145" i="6"/>
  <c r="BO96" i="30" s="1"/>
  <c r="BO157" i="6"/>
  <c r="BO99" i="30" s="1"/>
  <c r="BO142" i="6"/>
  <c r="BO95" i="30" s="1"/>
  <c r="BO148" i="6"/>
  <c r="Y94" i="30"/>
  <c r="Y97" i="30"/>
  <c r="Y103" i="30"/>
  <c r="Y163" i="1"/>
  <c r="CI163" i="1" s="1"/>
  <c r="Y92" i="30"/>
  <c r="Y80" i="30"/>
  <c r="Y188" i="30"/>
  <c r="Y85" i="30"/>
  <c r="Y82" i="30"/>
  <c r="Y96" i="30"/>
  <c r="Y99" i="30"/>
  <c r="Y95" i="30"/>
  <c r="Y151" i="6"/>
  <c r="Y102" i="30"/>
  <c r="Y105" i="30"/>
  <c r="Y104" i="30"/>
  <c r="Y101" i="30"/>
  <c r="Y81" i="30"/>
  <c r="BV592" i="9"/>
  <c r="AX98" i="9"/>
  <c r="AX594" i="9" s="1"/>
  <c r="AX876" i="9" s="1"/>
  <c r="AX399" i="9"/>
  <c r="AX541" i="9" s="1"/>
  <c r="AY228" i="9"/>
  <c r="AY532" i="9" s="1"/>
  <c r="AX304" i="9"/>
  <c r="AX536" i="9" s="1"/>
  <c r="AX171" i="9"/>
  <c r="AX529" i="9" s="1"/>
  <c r="BV269" i="9"/>
  <c r="AX527" i="9"/>
  <c r="AX136" i="9"/>
  <c r="BV307" i="9"/>
  <c r="BV529" i="9"/>
  <c r="BV174" i="9"/>
  <c r="BV136" i="9"/>
  <c r="AY606" i="9"/>
  <c r="AZ323" i="9"/>
  <c r="BW95" i="9"/>
  <c r="BW525" i="9" s="1"/>
  <c r="BW361" i="9"/>
  <c r="BW539" i="9" s="1"/>
  <c r="AX364" i="9"/>
  <c r="AX608" i="9" s="1"/>
  <c r="BW228" i="9"/>
  <c r="BW532" i="9" s="1"/>
  <c r="BW399" i="9"/>
  <c r="BW541" i="9" s="1"/>
  <c r="BV193" i="9"/>
  <c r="BW114" i="9"/>
  <c r="BW526" i="9" s="1"/>
  <c r="AX190" i="9"/>
  <c r="AX530" i="9" s="1"/>
  <c r="AX523" i="9"/>
  <c r="BV421" i="9"/>
  <c r="AL79" i="9"/>
  <c r="AL593" i="9" s="1"/>
  <c r="AY152" i="9"/>
  <c r="AY528" i="9" s="1"/>
  <c r="AX879" i="9"/>
  <c r="AX342" i="9"/>
  <c r="AX538" i="9" s="1"/>
  <c r="AW889" i="9"/>
  <c r="BU383" i="9"/>
  <c r="AN250" i="9"/>
  <c r="AN602" i="9" s="1"/>
  <c r="BW212" i="9"/>
  <c r="AY845" i="9"/>
  <c r="AM209" i="9"/>
  <c r="AL882" i="9"/>
  <c r="BV326" i="9"/>
  <c r="BW152" i="9"/>
  <c r="BW528" i="9" s="1"/>
  <c r="AU266" i="9"/>
  <c r="AU534" i="9" s="1"/>
  <c r="BV288" i="9"/>
  <c r="BV250" i="9"/>
  <c r="AX870" i="9"/>
  <c r="AX421" i="9"/>
  <c r="AX611" i="9" s="1"/>
  <c r="AP383" i="9"/>
  <c r="AP609" i="9" s="1"/>
  <c r="BW342" i="9"/>
  <c r="BW538" i="9" s="1"/>
  <c r="AY285" i="9"/>
  <c r="AY535" i="9" s="1"/>
  <c r="BV79" i="9"/>
  <c r="AK117" i="9"/>
  <c r="AK595" i="9" s="1"/>
  <c r="BM110" i="1"/>
  <c r="BM103" i="1"/>
  <c r="CJ103" i="1" s="1"/>
  <c r="BM89" i="1"/>
  <c r="CJ89" i="1" s="1"/>
  <c r="BM141" i="1"/>
  <c r="CJ141" i="1" s="1"/>
  <c r="BM42" i="1"/>
  <c r="CJ42" i="1" s="1"/>
  <c r="BM54" i="1"/>
  <c r="CJ54" i="1" s="1"/>
  <c r="BM75" i="1"/>
  <c r="CJ75" i="1" s="1"/>
  <c r="BM143" i="1"/>
  <c r="CJ143" i="1" s="1"/>
  <c r="BM20" i="1"/>
  <c r="CJ20" i="1" s="1"/>
  <c r="BM92" i="1"/>
  <c r="CJ92" i="1" s="1"/>
  <c r="BM43" i="1"/>
  <c r="CJ43" i="1" s="1"/>
  <c r="BM142" i="1"/>
  <c r="CJ142" i="1" s="1"/>
  <c r="BM125" i="1"/>
  <c r="CJ125" i="1" s="1"/>
  <c r="BM59" i="1"/>
  <c r="BM129" i="1"/>
  <c r="CJ129" i="1" s="1"/>
  <c r="BM91" i="1"/>
  <c r="CJ91" i="1" s="1"/>
  <c r="BM44" i="1"/>
  <c r="CJ44" i="1" s="1"/>
  <c r="BM22" i="1"/>
  <c r="CJ22" i="1" s="1"/>
  <c r="BM124" i="1"/>
  <c r="CJ124" i="1" s="1"/>
  <c r="BM140" i="1"/>
  <c r="CJ140" i="1" s="1"/>
  <c r="BM102" i="1"/>
  <c r="CJ102" i="1" s="1"/>
  <c r="BM123" i="1"/>
  <c r="CJ123" i="1" s="1"/>
  <c r="BM139" i="1"/>
  <c r="CJ139" i="1" s="1"/>
  <c r="BM77" i="1"/>
  <c r="CJ77" i="1" s="1"/>
  <c r="BM74" i="1"/>
  <c r="CJ74" i="1" s="1"/>
  <c r="BM55" i="1"/>
  <c r="CJ55" i="1" s="1"/>
  <c r="BM138" i="1"/>
  <c r="CJ138" i="1" s="1"/>
  <c r="BM146" i="1"/>
  <c r="CJ146" i="1" s="1"/>
  <c r="BM53" i="1"/>
  <c r="CJ53" i="1" s="1"/>
  <c r="BM76" i="1"/>
  <c r="CJ76" i="1" s="1"/>
  <c r="BM127" i="1"/>
  <c r="CJ127" i="1" s="1"/>
  <c r="BN198" i="6"/>
  <c r="AW837" i="9" l="1"/>
  <c r="AW718" i="9"/>
  <c r="AX842" i="9"/>
  <c r="AX723" i="9"/>
  <c r="AW739" i="9"/>
  <c r="AX693" i="9" s="1"/>
  <c r="CI82" i="30"/>
  <c r="CL82" i="30"/>
  <c r="CI94" i="30"/>
  <c r="CI81" i="30"/>
  <c r="CL81" i="30"/>
  <c r="CI102" i="30"/>
  <c r="CL102" i="30"/>
  <c r="CL96" i="30"/>
  <c r="CI96" i="30"/>
  <c r="CI80" i="30"/>
  <c r="CL97" i="30"/>
  <c r="CI97" i="30"/>
  <c r="CH97" i="30"/>
  <c r="CK97" i="30"/>
  <c r="X161" i="30"/>
  <c r="X62" i="33" s="1"/>
  <c r="CH119" i="30"/>
  <c r="CI126" i="30"/>
  <c r="CL101" i="30"/>
  <c r="CI101" i="30"/>
  <c r="X169" i="30"/>
  <c r="CH169" i="30" s="1"/>
  <c r="CH99" i="30"/>
  <c r="CK99" i="30"/>
  <c r="X168" i="30"/>
  <c r="CH168" i="30" s="1"/>
  <c r="CK104" i="30"/>
  <c r="CH104" i="30"/>
  <c r="CK100" i="30"/>
  <c r="CH100" i="30"/>
  <c r="CK95" i="30"/>
  <c r="CH95" i="30"/>
  <c r="CH101" i="30"/>
  <c r="CK101" i="30"/>
  <c r="CK96" i="30"/>
  <c r="CH96" i="30"/>
  <c r="A83" i="30" a="1"/>
  <c r="A83" i="30" s="1"/>
  <c r="CI92" i="30"/>
  <c r="CI95" i="30"/>
  <c r="CL95" i="30"/>
  <c r="CL100" i="30"/>
  <c r="CI100" i="30"/>
  <c r="CH80" i="30"/>
  <c r="CH92" i="30"/>
  <c r="X164" i="30"/>
  <c r="CH164" i="30" s="1"/>
  <c r="CH81" i="30"/>
  <c r="CK81" i="30"/>
  <c r="CK126" i="30"/>
  <c r="CH126" i="30"/>
  <c r="X162" i="30"/>
  <c r="CK162" i="30" s="1"/>
  <c r="CH105" i="30"/>
  <c r="CK105" i="30"/>
  <c r="CL104" i="30"/>
  <c r="CI104" i="30"/>
  <c r="CI85" i="30"/>
  <c r="CI105" i="30"/>
  <c r="CI99" i="30"/>
  <c r="CL99" i="30"/>
  <c r="CI103" i="30"/>
  <c r="CH94" i="30"/>
  <c r="X166" i="30"/>
  <c r="CH166" i="30" s="1"/>
  <c r="CH103" i="30"/>
  <c r="X167" i="30"/>
  <c r="CH167" i="30" s="1"/>
  <c r="CH102" i="30"/>
  <c r="CK102" i="30"/>
  <c r="X165" i="30"/>
  <c r="CK165" i="30" s="1"/>
  <c r="CK82" i="30"/>
  <c r="CH82" i="30"/>
  <c r="CH85" i="30"/>
  <c r="Y163" i="30"/>
  <c r="CI163" i="30" s="1"/>
  <c r="CC163" i="30" s="1"/>
  <c r="CI106" i="30"/>
  <c r="CC106" i="30" s="1"/>
  <c r="CL106" i="30"/>
  <c r="CD106" i="30" s="1"/>
  <c r="CH188" i="30"/>
  <c r="CK188" i="30"/>
  <c r="CI188" i="30"/>
  <c r="BW60" i="9"/>
  <c r="BW592" i="9" s="1"/>
  <c r="BJ14" i="20" a="1"/>
  <c r="BJ14" i="20" s="1"/>
  <c r="BF14" i="20" a="1"/>
  <c r="BF14" i="20" s="1"/>
  <c r="BB14" i="20" a="1"/>
  <c r="BB14" i="20" s="1"/>
  <c r="BE14" i="20" a="1"/>
  <c r="BE14" i="20" s="1"/>
  <c r="BA14" i="20" a="1"/>
  <c r="BA14" i="20" s="1"/>
  <c r="BH14" i="20" a="1"/>
  <c r="BH14" i="20" s="1"/>
  <c r="BG14" i="20" a="1"/>
  <c r="BG14" i="20" s="1"/>
  <c r="AY14" i="20" a="1"/>
  <c r="AY14" i="20" s="1"/>
  <c r="BI14" i="20" a="1"/>
  <c r="BI14" i="20" s="1"/>
  <c r="AZ14" i="20" a="1"/>
  <c r="AZ14" i="20" s="1"/>
  <c r="BC14" i="20" a="1"/>
  <c r="BC14" i="20" s="1"/>
  <c r="BD14" i="20" a="1"/>
  <c r="BD14" i="20" s="1"/>
  <c r="AL14" i="20" a="1"/>
  <c r="AL14" i="20" s="1"/>
  <c r="AI14" i="20" a="1"/>
  <c r="AI14" i="20" s="1"/>
  <c r="AK14" i="20" a="1"/>
  <c r="AK14" i="20" s="1"/>
  <c r="AJ14" i="20" a="1"/>
  <c r="AJ14" i="20" s="1"/>
  <c r="AX14" i="20" a="1"/>
  <c r="AX14" i="20" s="1"/>
  <c r="AT14" i="20" a="1"/>
  <c r="AT14" i="20" s="1"/>
  <c r="AP14" i="20" a="1"/>
  <c r="AP14" i="20" s="1"/>
  <c r="AS14" i="20" a="1"/>
  <c r="AS14" i="20" s="1"/>
  <c r="AO14" i="20" a="1"/>
  <c r="AO14" i="20" s="1"/>
  <c r="AR14" i="20" a="1"/>
  <c r="AR14" i="20" s="1"/>
  <c r="AU14" i="20" a="1"/>
  <c r="AU14" i="20" s="1"/>
  <c r="AW14" i="20" a="1"/>
  <c r="AW14" i="20" s="1"/>
  <c r="AV14" i="20" a="1"/>
  <c r="AV14" i="20" s="1"/>
  <c r="AQ14" i="20" a="1"/>
  <c r="AQ14" i="20" s="1"/>
  <c r="AN14" i="20" a="1"/>
  <c r="AN14" i="20" s="1"/>
  <c r="AM14" i="20" a="1"/>
  <c r="AM14" i="20" s="1"/>
  <c r="CJ59" i="1"/>
  <c r="AI11" i="20" a="1"/>
  <c r="AI11" i="20" s="1"/>
  <c r="AJ11" i="20" a="1"/>
  <c r="AJ11" i="20" s="1"/>
  <c r="AK11" i="20" a="1"/>
  <c r="AK11" i="20" s="1"/>
  <c r="AL11" i="20" a="1"/>
  <c r="AL11" i="20" s="1"/>
  <c r="AM11" i="20" a="1"/>
  <c r="AM11" i="20" s="1"/>
  <c r="AN11" i="20" a="1"/>
  <c r="AN11" i="20" s="1"/>
  <c r="AO11" i="20" a="1"/>
  <c r="AO11" i="20" s="1"/>
  <c r="AP11" i="20" a="1"/>
  <c r="AP11" i="20" s="1"/>
  <c r="AQ11" i="20" a="1"/>
  <c r="AQ11" i="20" s="1"/>
  <c r="AR11" i="20" a="1"/>
  <c r="AR11" i="20" s="1"/>
  <c r="AS11" i="20" a="1"/>
  <c r="AS11" i="20" s="1"/>
  <c r="AT11" i="20" a="1"/>
  <c r="AT11" i="20" s="1"/>
  <c r="AY11" i="20" a="1"/>
  <c r="AY11" i="20" s="1"/>
  <c r="AZ11" i="20" a="1"/>
  <c r="AZ11" i="20" s="1"/>
  <c r="BA11" i="20" a="1"/>
  <c r="BA11" i="20" s="1"/>
  <c r="BB11" i="20" a="1"/>
  <c r="BB11" i="20" s="1"/>
  <c r="BC11" i="20" a="1"/>
  <c r="BC11" i="20" s="1"/>
  <c r="BD11" i="20" a="1"/>
  <c r="BD11" i="20" s="1"/>
  <c r="BE11" i="20" a="1"/>
  <c r="BE11" i="20" s="1"/>
  <c r="BF11" i="20" a="1"/>
  <c r="BF11" i="20" s="1"/>
  <c r="BG11" i="20" a="1"/>
  <c r="BG11" i="20" s="1"/>
  <c r="BH11" i="20" a="1"/>
  <c r="BH11" i="20" s="1"/>
  <c r="BI11" i="20" a="1"/>
  <c r="BI11" i="20" s="1"/>
  <c r="BJ11" i="20" a="1"/>
  <c r="BJ11" i="20" s="1"/>
  <c r="AU11" i="20" a="1"/>
  <c r="AU11" i="20" s="1"/>
  <c r="AV11" i="20" a="1"/>
  <c r="AV11" i="20" s="1"/>
  <c r="AW11" i="20" a="1"/>
  <c r="AW11" i="20" s="1"/>
  <c r="AX11" i="20" a="1"/>
  <c r="AX11" i="20" s="1"/>
  <c r="CJ110" i="1"/>
  <c r="BV604" i="9"/>
  <c r="BV611" i="9"/>
  <c r="BV596" i="9"/>
  <c r="BV599" i="9"/>
  <c r="BV593" i="9"/>
  <c r="BV606" i="9"/>
  <c r="BU609" i="9"/>
  <c r="BV602" i="9"/>
  <c r="BV605" i="9"/>
  <c r="BV603" i="9"/>
  <c r="BD803" i="9"/>
  <c r="BD853" i="9"/>
  <c r="AW860" i="9"/>
  <c r="AK1023" i="9" s="1"/>
  <c r="AK1046" i="9" s="1"/>
  <c r="AW810" i="9"/>
  <c r="BB861" i="9"/>
  <c r="BB811" i="9"/>
  <c r="BA859" i="9"/>
  <c r="BA809" i="9"/>
  <c r="AV858" i="9"/>
  <c r="AJ1021" i="9" s="1"/>
  <c r="AJ1044" i="9" s="1"/>
  <c r="AJ1069" i="9"/>
  <c r="AX772" i="9"/>
  <c r="AX795" i="9" s="1"/>
  <c r="AX818" i="9" s="1"/>
  <c r="X818" i="9" s="1"/>
  <c r="AK1031" i="9"/>
  <c r="AK1054" i="9" s="1"/>
  <c r="AZ771" i="9"/>
  <c r="AZ794" i="9" s="1"/>
  <c r="AZ817" i="9" s="1"/>
  <c r="BB702" i="9"/>
  <c r="AA1071" i="9"/>
  <c r="AN862" i="9"/>
  <c r="AM761" i="9"/>
  <c r="AM784" i="9" s="1"/>
  <c r="AM807" i="9" s="1"/>
  <c r="AL880" i="9"/>
  <c r="AX769" i="9"/>
  <c r="AX792" i="9" s="1"/>
  <c r="AW888" i="9"/>
  <c r="AK1074" i="9" s="1"/>
  <c r="X163" i="20"/>
  <c r="CH163" i="1"/>
  <c r="CC163" i="1" s="1"/>
  <c r="BM116" i="20"/>
  <c r="BZ246" i="6"/>
  <c r="Y166" i="30"/>
  <c r="BZ70" i="6"/>
  <c r="BZ207" i="6"/>
  <c r="BO72" i="30"/>
  <c r="BO217" i="6"/>
  <c r="BO126" i="30" s="1"/>
  <c r="CL126" i="30" s="1"/>
  <c r="CF79" i="6"/>
  <c r="A79" i="6" s="1" a="1"/>
  <c r="A79" i="6" s="1"/>
  <c r="BO172" i="30"/>
  <c r="CL172" i="30" s="1"/>
  <c r="CD172" i="30" s="1"/>
  <c r="BP172" i="30"/>
  <c r="BO163" i="30"/>
  <c r="BP163" i="30"/>
  <c r="CF178" i="6"/>
  <c r="A178" i="6" s="1" a="1"/>
  <c r="A178" i="6" s="1"/>
  <c r="BN170" i="30"/>
  <c r="X170" i="30"/>
  <c r="AM531" i="9"/>
  <c r="BO159" i="30"/>
  <c r="BP159" i="30"/>
  <c r="BO188" i="30"/>
  <c r="CL188" i="30" s="1"/>
  <c r="BP188" i="30"/>
  <c r="BO168" i="30"/>
  <c r="BP168" i="30"/>
  <c r="BO169" i="30"/>
  <c r="BP169" i="30"/>
  <c r="BO167" i="30"/>
  <c r="BP167" i="30"/>
  <c r="BO164" i="30"/>
  <c r="BP164" i="30"/>
  <c r="BN159" i="30"/>
  <c r="BO165" i="30"/>
  <c r="BP165" i="30"/>
  <c r="BO170" i="30"/>
  <c r="BP170" i="30"/>
  <c r="Y162" i="30"/>
  <c r="CF169" i="6"/>
  <c r="A169" i="6" s="1" a="1"/>
  <c r="A169" i="6" s="1"/>
  <c r="Y164" i="30"/>
  <c r="W788" i="9"/>
  <c r="W861" i="9" s="1"/>
  <c r="X788" i="9"/>
  <c r="X861" i="9" s="1"/>
  <c r="W759" i="9"/>
  <c r="X759" i="9"/>
  <c r="CF86" i="6"/>
  <c r="A86" i="6" s="1" a="1"/>
  <c r="A86" i="6" s="1"/>
  <c r="CF138" i="6"/>
  <c r="A138" i="6" s="1" a="1"/>
  <c r="A138" i="6" s="1"/>
  <c r="Y168" i="30"/>
  <c r="BN151" i="6"/>
  <c r="BN119" i="30" s="1"/>
  <c r="BN161" i="30" s="1"/>
  <c r="BN62" i="33" s="1"/>
  <c r="Y169" i="30"/>
  <c r="Y165" i="30"/>
  <c r="CF113" i="6"/>
  <c r="A113" i="6" s="1" a="1"/>
  <c r="A113" i="6" s="1"/>
  <c r="Y167" i="30"/>
  <c r="BO67" i="6"/>
  <c r="CF67" i="6" s="1"/>
  <c r="A67" i="6" s="1" a="1"/>
  <c r="A67" i="6" s="1"/>
  <c r="X159" i="30"/>
  <c r="X75" i="33"/>
  <c r="BM183" i="6"/>
  <c r="BN183" i="6"/>
  <c r="BM182" i="6"/>
  <c r="BN182" i="6"/>
  <c r="BN185" i="6"/>
  <c r="W149" i="30"/>
  <c r="BM188" i="6"/>
  <c r="BN188" i="6"/>
  <c r="BM196" i="6"/>
  <c r="BM155" i="1" s="1"/>
  <c r="BM155" i="20" s="1"/>
  <c r="BN196" i="6"/>
  <c r="BN155" i="1" s="1"/>
  <c r="BN155" i="20" s="1"/>
  <c r="BM197" i="6"/>
  <c r="BN197" i="6"/>
  <c r="BM187" i="6"/>
  <c r="BS68" i="6"/>
  <c r="BP67" i="6"/>
  <c r="BM154" i="1"/>
  <c r="CJ154" i="1" s="1"/>
  <c r="BM128" i="1"/>
  <c r="CJ128" i="1" s="1"/>
  <c r="BM90" i="1"/>
  <c r="CJ90" i="1" s="1"/>
  <c r="CF70" i="6"/>
  <c r="CF160" i="6"/>
  <c r="A160" i="6" s="1" a="1"/>
  <c r="A160" i="6" s="1"/>
  <c r="Y170" i="30"/>
  <c r="BM199" i="6"/>
  <c r="BM128" i="6"/>
  <c r="BZ128" i="6" s="1"/>
  <c r="BM200" i="6"/>
  <c r="CF200" i="6" s="1"/>
  <c r="A200" i="6" s="1" a="1"/>
  <c r="A200" i="6" s="1"/>
  <c r="BM111" i="1"/>
  <c r="CJ111" i="1" s="1"/>
  <c r="BM48" i="1"/>
  <c r="CJ48" i="1" s="1"/>
  <c r="BM145" i="1"/>
  <c r="CJ145" i="1" s="1"/>
  <c r="BM73" i="1"/>
  <c r="CJ73" i="1" s="1"/>
  <c r="BM94" i="1"/>
  <c r="CJ94" i="1" s="1"/>
  <c r="BM93" i="1"/>
  <c r="CJ93" i="1" s="1"/>
  <c r="BM144" i="1"/>
  <c r="CJ144" i="1" s="1"/>
  <c r="BM27" i="1"/>
  <c r="CJ27" i="1" s="1"/>
  <c r="BM71" i="1"/>
  <c r="CJ71" i="1" s="1"/>
  <c r="BM126" i="1"/>
  <c r="CJ126" i="1" s="1"/>
  <c r="BM36" i="1"/>
  <c r="CJ36" i="1" s="1"/>
  <c r="BM198" i="1"/>
  <c r="CJ198" i="1" s="1"/>
  <c r="BM66" i="1"/>
  <c r="CJ66" i="1" s="1"/>
  <c r="BM14" i="1"/>
  <c r="CJ14" i="1" s="1"/>
  <c r="BM132" i="6"/>
  <c r="BZ132" i="6" s="1"/>
  <c r="BM108" i="6"/>
  <c r="CF108" i="6" s="1"/>
  <c r="A108" i="6" s="1" a="1"/>
  <c r="A108" i="6" s="1"/>
  <c r="BM88" i="1"/>
  <c r="CJ88" i="1" s="1"/>
  <c r="BM101" i="1"/>
  <c r="CJ101" i="1" s="1"/>
  <c r="W107" i="1"/>
  <c r="BM41" i="1"/>
  <c r="CJ41" i="1" s="1"/>
  <c r="BM181" i="1"/>
  <c r="CJ181" i="1" s="1"/>
  <c r="BM72" i="1"/>
  <c r="CJ72" i="1" s="1"/>
  <c r="BM137" i="1"/>
  <c r="CJ137" i="1" s="1"/>
  <c r="BM65" i="1"/>
  <c r="CJ65" i="1" s="1"/>
  <c r="AL1033" i="9"/>
  <c r="AL1056" i="9" s="1"/>
  <c r="AL1022" i="9"/>
  <c r="AL1045" i="9" s="1"/>
  <c r="AX1019" i="9"/>
  <c r="AX1042" i="9" s="1"/>
  <c r="AW1029" i="9"/>
  <c r="AW1052" i="9" s="1"/>
  <c r="AK1075" i="9"/>
  <c r="BO151" i="6"/>
  <c r="BO119" i="30" s="1"/>
  <c r="BO85" i="30"/>
  <c r="CL85" i="30" s="1"/>
  <c r="BO105" i="30"/>
  <c r="CL105" i="30" s="1"/>
  <c r="CF145" i="6"/>
  <c r="A145" i="6" s="1" a="1"/>
  <c r="A145" i="6" s="1"/>
  <c r="BZ116" i="1"/>
  <c r="BP163" i="1"/>
  <c r="BP131" i="20" s="1"/>
  <c r="BZ131" i="20" s="1"/>
  <c r="BO80" i="30"/>
  <c r="CL80" i="30" s="1"/>
  <c r="CF172" i="6"/>
  <c r="A172" i="6" s="1" a="1"/>
  <c r="A172" i="6" s="1"/>
  <c r="BO94" i="30"/>
  <c r="CL94" i="30" s="1"/>
  <c r="BO92" i="30"/>
  <c r="CL92" i="30" s="1"/>
  <c r="CF142" i="6"/>
  <c r="A142" i="6" s="1" a="1"/>
  <c r="A142" i="6" s="1"/>
  <c r="CF150" i="6"/>
  <c r="A150" i="6" s="1" a="1"/>
  <c r="A150" i="6" s="1"/>
  <c r="CF163" i="6"/>
  <c r="A163" i="6" s="1" a="1"/>
  <c r="A163" i="6" s="1"/>
  <c r="BO103" i="30"/>
  <c r="CL103" i="30" s="1"/>
  <c r="CF148" i="6"/>
  <c r="A148" i="6" s="1" a="1"/>
  <c r="A148" i="6" s="1"/>
  <c r="CF157" i="6"/>
  <c r="A157" i="6" s="1" a="1"/>
  <c r="A157" i="6" s="1"/>
  <c r="CF76" i="6"/>
  <c r="A76" i="6" s="1" a="1"/>
  <c r="A76" i="6" s="1"/>
  <c r="CF166" i="6"/>
  <c r="A166" i="6" s="1" a="1"/>
  <c r="A166" i="6" s="1"/>
  <c r="CF73" i="6"/>
  <c r="A73" i="6" s="1" a="1"/>
  <c r="A73" i="6" s="1"/>
  <c r="CF175" i="6"/>
  <c r="A175" i="6" s="1" a="1"/>
  <c r="A175" i="6" s="1"/>
  <c r="Y119" i="30"/>
  <c r="BN92" i="30"/>
  <c r="CK92" i="30" s="1"/>
  <c r="BN94" i="30"/>
  <c r="CK94" i="30" s="1"/>
  <c r="BN80" i="30"/>
  <c r="CK80" i="30" s="1"/>
  <c r="BR68" i="6"/>
  <c r="BN68" i="6"/>
  <c r="Y159" i="30"/>
  <c r="BN85" i="30"/>
  <c r="CK85" i="30" s="1"/>
  <c r="Y163" i="20"/>
  <c r="Y75" i="33"/>
  <c r="BN103" i="30"/>
  <c r="BN166" i="30" s="1"/>
  <c r="BN163" i="1"/>
  <c r="CK163" i="1" s="1"/>
  <c r="BO163" i="1"/>
  <c r="CL163" i="1" s="1"/>
  <c r="AX402" i="9"/>
  <c r="AX610" i="9" s="1"/>
  <c r="AX892" i="9" s="1"/>
  <c r="AY95" i="9"/>
  <c r="AY525" i="9" s="1"/>
  <c r="AY231" i="9"/>
  <c r="AY601" i="9" s="1"/>
  <c r="AX307" i="9"/>
  <c r="AX605" i="9" s="1"/>
  <c r="AX887" i="9" s="1"/>
  <c r="AX174" i="9"/>
  <c r="AX598" i="9" s="1"/>
  <c r="BW266" i="9"/>
  <c r="BW534" i="9" s="1"/>
  <c r="AX596" i="9"/>
  <c r="AX878" i="9" s="1"/>
  <c r="AY133" i="9"/>
  <c r="BW304" i="9"/>
  <c r="BW536" i="9" s="1"/>
  <c r="BV598" i="9"/>
  <c r="BW171" i="9"/>
  <c r="BW133" i="9"/>
  <c r="BW527" i="9" s="1"/>
  <c r="AZ537" i="9"/>
  <c r="AZ326" i="9"/>
  <c r="BW600" i="9"/>
  <c r="BW98" i="9"/>
  <c r="BW402" i="9"/>
  <c r="AY361" i="9"/>
  <c r="AY539" i="9" s="1"/>
  <c r="AX890" i="9"/>
  <c r="BW231" i="9"/>
  <c r="BW364" i="9"/>
  <c r="AY288" i="9"/>
  <c r="AY604" i="9" s="1"/>
  <c r="BW285" i="9"/>
  <c r="BW535" i="9" s="1"/>
  <c r="AU269" i="9"/>
  <c r="AU603" i="9" s="1"/>
  <c r="BW323" i="9"/>
  <c r="BW537" i="9" s="1"/>
  <c r="BW418" i="9"/>
  <c r="BW542" i="9" s="1"/>
  <c r="AX193" i="9"/>
  <c r="AX599" i="9" s="1"/>
  <c r="BW76" i="9"/>
  <c r="BW524" i="9" s="1"/>
  <c r="BW345" i="9"/>
  <c r="AX893" i="9"/>
  <c r="AY418" i="9"/>
  <c r="AO247" i="9"/>
  <c r="AN884" i="9"/>
  <c r="AL875" i="9"/>
  <c r="AM76" i="9"/>
  <c r="AM524" i="9" s="1"/>
  <c r="AQ380" i="9"/>
  <c r="AX345" i="9"/>
  <c r="AX607" i="9" s="1"/>
  <c r="AX592" i="9"/>
  <c r="BW117" i="9"/>
  <c r="BW190" i="9"/>
  <c r="BW530" i="9" s="1"/>
  <c r="AL114" i="9"/>
  <c r="BW247" i="9"/>
  <c r="BW533" i="9" s="1"/>
  <c r="BW155" i="9"/>
  <c r="AM212" i="9"/>
  <c r="AM600" i="9" s="1"/>
  <c r="BV380" i="9"/>
  <c r="BV540" i="9" s="1"/>
  <c r="AY155" i="9"/>
  <c r="AY597" i="9" s="1"/>
  <c r="CC246" i="6"/>
  <c r="A246" i="6" s="1" a="1"/>
  <c r="A246" i="6" s="1"/>
  <c r="AX15" i="20" l="1"/>
  <c r="CD92" i="30"/>
  <c r="CC96" i="30"/>
  <c r="CD96" i="30"/>
  <c r="AW15" i="20"/>
  <c r="CJ155" i="1"/>
  <c r="CC102" i="30"/>
  <c r="AX716" i="9"/>
  <c r="AX835" i="9"/>
  <c r="AW741" i="9"/>
  <c r="AX695" i="9" s="1"/>
  <c r="AX764" i="9" s="1"/>
  <c r="AX787" i="9" s="1"/>
  <c r="AX746" i="9"/>
  <c r="AY700" i="9" s="1"/>
  <c r="BE688" i="9"/>
  <c r="BE830" i="9" s="1"/>
  <c r="CD85" i="30"/>
  <c r="CH165" i="30"/>
  <c r="CH162" i="30"/>
  <c r="CC82" i="30"/>
  <c r="CC126" i="30"/>
  <c r="X63" i="33"/>
  <c r="CK168" i="30"/>
  <c r="CH161" i="30"/>
  <c r="CL163" i="30"/>
  <c r="CD163" i="30" s="1"/>
  <c r="CC94" i="30"/>
  <c r="BN64" i="33"/>
  <c r="CK167" i="30"/>
  <c r="CK169" i="30"/>
  <c r="CC81" i="30"/>
  <c r="CC188" i="30"/>
  <c r="CC85" i="30"/>
  <c r="CD102" i="30"/>
  <c r="CC92" i="30"/>
  <c r="A92" i="30" s="1" a="1"/>
  <c r="A92" i="30" s="1"/>
  <c r="CD97" i="30"/>
  <c r="A96" i="30" a="1"/>
  <c r="A96" i="30" s="1"/>
  <c r="CC97" i="30"/>
  <c r="CK164" i="30"/>
  <c r="CD82" i="30"/>
  <c r="CD81" i="30"/>
  <c r="CC80" i="30"/>
  <c r="CD188" i="30"/>
  <c r="CD101" i="30"/>
  <c r="CD94" i="30"/>
  <c r="A106" i="30" a="1"/>
  <c r="A106" i="30" s="1"/>
  <c r="CC105" i="30"/>
  <c r="CC103" i="30"/>
  <c r="CC100" i="30"/>
  <c r="CD80" i="30"/>
  <c r="Y161" i="30"/>
  <c r="Y62" i="33" s="1"/>
  <c r="CI119" i="30"/>
  <c r="CC119" i="30" s="1"/>
  <c r="CL119" i="30"/>
  <c r="CD105" i="30"/>
  <c r="CD126" i="30"/>
  <c r="CD95" i="30"/>
  <c r="CD104" i="30"/>
  <c r="BO160" i="30"/>
  <c r="CL160" i="30" s="1"/>
  <c r="CD160" i="30" s="1"/>
  <c r="CL72" i="30"/>
  <c r="CD72" i="30" s="1"/>
  <c r="A72" i="30" s="1" a="1"/>
  <c r="A72" i="30" s="1"/>
  <c r="CK103" i="30"/>
  <c r="CD103" i="30" s="1"/>
  <c r="CC101" i="30"/>
  <c r="CD100" i="30"/>
  <c r="CD99" i="30"/>
  <c r="CK119" i="30"/>
  <c r="CC95" i="30"/>
  <c r="CC104" i="30"/>
  <c r="CC99" i="30"/>
  <c r="W57" i="33"/>
  <c r="CG149" i="30"/>
  <c r="CI165" i="30"/>
  <c r="CL165" i="30"/>
  <c r="CD165" i="30" s="1"/>
  <c r="CH170" i="30"/>
  <c r="CK170" i="30"/>
  <c r="CI166" i="30"/>
  <c r="CC166" i="30" s="1"/>
  <c r="CI159" i="30"/>
  <c r="CL159" i="30"/>
  <c r="CI169" i="30"/>
  <c r="CC169" i="30" s="1"/>
  <c r="CL169" i="30"/>
  <c r="Y63" i="33"/>
  <c r="CI162" i="30"/>
  <c r="CK161" i="30"/>
  <c r="CH159" i="30"/>
  <c r="CK159" i="30"/>
  <c r="CI170" i="30"/>
  <c r="CL170" i="30"/>
  <c r="CI167" i="30"/>
  <c r="CC167" i="30" s="1"/>
  <c r="CL167" i="30"/>
  <c r="CI164" i="30"/>
  <c r="CC164" i="30" s="1"/>
  <c r="CL164" i="30"/>
  <c r="CK166" i="30"/>
  <c r="CI168" i="30"/>
  <c r="CC168" i="30" s="1"/>
  <c r="CL168" i="30"/>
  <c r="AV15" i="20"/>
  <c r="BN14" i="20"/>
  <c r="CL14" i="20" s="1"/>
  <c r="BO14" i="20"/>
  <c r="CM14" i="20" s="1"/>
  <c r="BN11" i="20"/>
  <c r="CL11" i="20" s="1"/>
  <c r="BM14" i="20"/>
  <c r="CK14" i="20" s="1"/>
  <c r="BM11" i="20"/>
  <c r="CH14" i="20"/>
  <c r="AT15" i="20"/>
  <c r="AT197" i="20" s="1"/>
  <c r="AP15" i="20"/>
  <c r="AS15" i="20"/>
  <c r="AS197" i="20" s="1"/>
  <c r="AO15" i="20"/>
  <c r="AO197" i="20" s="1"/>
  <c r="AR15" i="20"/>
  <c r="AR197" i="20" s="1"/>
  <c r="AN15" i="20"/>
  <c r="AN197" i="20" s="1"/>
  <c r="CI14" i="20"/>
  <c r="AQ15" i="20"/>
  <c r="AQ197" i="20" s="1"/>
  <c r="AM15" i="20"/>
  <c r="AM22" i="30" s="1"/>
  <c r="CJ14" i="20"/>
  <c r="AX22" i="30"/>
  <c r="AX197" i="20"/>
  <c r="AW197" i="20"/>
  <c r="AW22" i="30"/>
  <c r="AV197" i="20"/>
  <c r="AV22" i="30"/>
  <c r="CI11" i="20"/>
  <c r="AU15" i="20"/>
  <c r="BO11" i="20"/>
  <c r="CJ11" i="20"/>
  <c r="CH11" i="20"/>
  <c r="BM113" i="1"/>
  <c r="CJ113" i="1" s="1"/>
  <c r="X64" i="33"/>
  <c r="Y64" i="33"/>
  <c r="CF217" i="6"/>
  <c r="AR1016" i="9"/>
  <c r="AR1039" i="9" s="1"/>
  <c r="AX865" i="9"/>
  <c r="AL1028" i="9" s="1"/>
  <c r="AL1051" i="9" s="1"/>
  <c r="AX815" i="9"/>
  <c r="X815" i="9" s="1"/>
  <c r="BE711" i="9"/>
  <c r="BE734" i="9" s="1"/>
  <c r="BA774" i="9"/>
  <c r="BA797" i="9" s="1"/>
  <c r="BA820" i="9" s="1"/>
  <c r="AX868" i="9"/>
  <c r="AL1031" i="9" s="1"/>
  <c r="AL1054" i="9" s="1"/>
  <c r="AZ867" i="9"/>
  <c r="AN1030" i="9" s="1"/>
  <c r="AN1053" i="9" s="1"/>
  <c r="BC838" i="9"/>
  <c r="BC719" i="9"/>
  <c r="BC742" i="9" s="1"/>
  <c r="AO839" i="9"/>
  <c r="AO720" i="9"/>
  <c r="AO743" i="9" s="1"/>
  <c r="BA847" i="9"/>
  <c r="BA728" i="9"/>
  <c r="BA751" i="9" s="1"/>
  <c r="BB705" i="9" s="1"/>
  <c r="AN834" i="9"/>
  <c r="AN1121" i="9" s="1"/>
  <c r="AN1145" i="9" s="1"/>
  <c r="AN715" i="9"/>
  <c r="AN738" i="9" s="1"/>
  <c r="BC765" i="9"/>
  <c r="AW762" i="9"/>
  <c r="AW785" i="9" s="1"/>
  <c r="AW808" i="9" s="1"/>
  <c r="AV881" i="9"/>
  <c r="AJ1067" i="9" s="1"/>
  <c r="AW883" i="9"/>
  <c r="BC832" i="9"/>
  <c r="BC713" i="9"/>
  <c r="BC736" i="9" s="1"/>
  <c r="BC759" i="9"/>
  <c r="BC836" i="9"/>
  <c r="BC717" i="9"/>
  <c r="BC740" i="9" s="1"/>
  <c r="BB726" i="9"/>
  <c r="BB749" i="9" s="1"/>
  <c r="BB763" i="9"/>
  <c r="BB786" i="9" s="1"/>
  <c r="BB809" i="9" s="1"/>
  <c r="AM857" i="9"/>
  <c r="AM1115" i="9" s="1"/>
  <c r="AB1025" i="9"/>
  <c r="AB1048" i="9" s="1"/>
  <c r="AO766" i="9"/>
  <c r="AO789" i="9" s="1"/>
  <c r="AO812" i="9" s="1"/>
  <c r="AN885" i="9"/>
  <c r="CD163" i="1"/>
  <c r="CG107" i="1"/>
  <c r="CL104" i="20"/>
  <c r="CK104" i="20"/>
  <c r="CM104" i="20"/>
  <c r="CL83" i="20"/>
  <c r="CK83" i="20"/>
  <c r="CM83" i="20"/>
  <c r="CK82" i="20"/>
  <c r="CL82" i="20"/>
  <c r="CM82" i="20"/>
  <c r="CK57" i="20"/>
  <c r="CL57" i="20"/>
  <c r="CM57" i="20"/>
  <c r="BM182" i="20"/>
  <c r="CM24" i="20"/>
  <c r="CL24" i="20"/>
  <c r="CK24" i="20"/>
  <c r="CK46" i="20"/>
  <c r="CL46" i="20"/>
  <c r="CM46" i="20"/>
  <c r="CL58" i="20"/>
  <c r="CK58" i="20"/>
  <c r="CM58" i="20"/>
  <c r="CL25" i="20"/>
  <c r="CM25" i="20"/>
  <c r="CK25" i="20"/>
  <c r="CK33" i="20"/>
  <c r="CL33" i="20"/>
  <c r="CM33" i="20"/>
  <c r="CL13" i="20"/>
  <c r="CK13" i="20"/>
  <c r="CM13" i="20"/>
  <c r="CL35" i="20"/>
  <c r="CK35" i="20"/>
  <c r="CM35" i="20"/>
  <c r="CL56" i="20"/>
  <c r="CK56" i="20"/>
  <c r="CM56" i="20"/>
  <c r="CK34" i="20"/>
  <c r="CL34" i="20"/>
  <c r="CM34" i="20"/>
  <c r="BM152" i="30"/>
  <c r="CJ152" i="30" s="1"/>
  <c r="CK116" i="20"/>
  <c r="CL45" i="20"/>
  <c r="CK45" i="20"/>
  <c r="CM45" i="20"/>
  <c r="BZ190" i="6"/>
  <c r="BZ182" i="1"/>
  <c r="CC252" i="6"/>
  <c r="BZ47" i="6"/>
  <c r="BZ196" i="6"/>
  <c r="CB252" i="6"/>
  <c r="BZ182" i="6"/>
  <c r="BZ188" i="6"/>
  <c r="BZ183" i="6"/>
  <c r="BZ215" i="6"/>
  <c r="BZ252" i="6"/>
  <c r="BZ59" i="6"/>
  <c r="BZ108" i="6"/>
  <c r="BP72" i="30"/>
  <c r="BP160" i="30" s="1"/>
  <c r="BO166" i="30"/>
  <c r="CL166" i="30" s="1"/>
  <c r="BP166" i="30"/>
  <c r="BP64" i="33" s="1"/>
  <c r="BP214" i="6"/>
  <c r="BP217" i="6" s="1"/>
  <c r="BQ214" i="6" s="1"/>
  <c r="BQ217" i="6" s="1"/>
  <c r="BM171" i="1"/>
  <c r="CJ171" i="1" s="1"/>
  <c r="CF199" i="6"/>
  <c r="A199" i="6" s="1" a="1"/>
  <c r="A199" i="6" s="1"/>
  <c r="BO161" i="30"/>
  <c r="BP161" i="30"/>
  <c r="AL526" i="9"/>
  <c r="AY542" i="9"/>
  <c r="AQ540" i="9"/>
  <c r="AO533" i="9"/>
  <c r="BO162" i="30"/>
  <c r="BO63" i="33" s="1"/>
  <c r="BP162" i="30"/>
  <c r="BP63" i="33" s="1"/>
  <c r="CF128" i="6"/>
  <c r="A128" i="6" s="1" a="1"/>
  <c r="A128" i="6" s="1"/>
  <c r="AY15" i="20"/>
  <c r="AZ15" i="20"/>
  <c r="BA15" i="20"/>
  <c r="BB15" i="20"/>
  <c r="BC15" i="20"/>
  <c r="BD15" i="20"/>
  <c r="BE15" i="20"/>
  <c r="BF15" i="20"/>
  <c r="BG15" i="20"/>
  <c r="BH15" i="20"/>
  <c r="BI15" i="20"/>
  <c r="BJ15" i="20"/>
  <c r="W782" i="9"/>
  <c r="W855" i="9" s="1"/>
  <c r="X782" i="9"/>
  <c r="X855" i="9" s="1"/>
  <c r="BM759" i="9"/>
  <c r="BO68" i="6"/>
  <c r="W197" i="1"/>
  <c r="CG197" i="1" s="1"/>
  <c r="W1019" i="9"/>
  <c r="BM1019" i="9" s="1"/>
  <c r="W1016" i="9"/>
  <c r="BM1016" i="9" s="1"/>
  <c r="A73" i="20" a="1"/>
  <c r="A73" i="20" s="1"/>
  <c r="CF188" i="6"/>
  <c r="A188" i="6" s="1" a="1"/>
  <c r="A188" i="6" s="1"/>
  <c r="BM115" i="1"/>
  <c r="CJ115" i="1" s="1"/>
  <c r="CF196" i="6"/>
  <c r="A196" i="6" s="1" a="1"/>
  <c r="A196" i="6" s="1"/>
  <c r="CF182" i="6"/>
  <c r="A182" i="6" s="1" a="1"/>
  <c r="A182" i="6" s="1"/>
  <c r="BM184" i="6"/>
  <c r="BM185" i="6"/>
  <c r="BN187" i="6"/>
  <c r="BN171" i="1" s="1"/>
  <c r="CK171" i="1" s="1"/>
  <c r="X171" i="20"/>
  <c r="BN184" i="6"/>
  <c r="BN149" i="30" s="1"/>
  <c r="X149" i="30"/>
  <c r="AL1065" i="9"/>
  <c r="W49" i="1"/>
  <c r="CG49" i="1" s="1"/>
  <c r="CG84" i="1"/>
  <c r="BM208" i="6"/>
  <c r="BP68" i="6"/>
  <c r="CF183" i="6"/>
  <c r="A183" i="6" s="1" a="1"/>
  <c r="A183" i="6" s="1"/>
  <c r="W162" i="1"/>
  <c r="CF197" i="6"/>
  <c r="A197" i="6" s="1" a="1"/>
  <c r="A197" i="6" s="1"/>
  <c r="BN759" i="9"/>
  <c r="BM64" i="1"/>
  <c r="CJ64" i="1" s="1"/>
  <c r="A64" i="20" a="1"/>
  <c r="A64" i="20" s="1"/>
  <c r="CC248" i="6"/>
  <c r="A248" i="6" s="1" a="1"/>
  <c r="A248" i="6" s="1"/>
  <c r="X107" i="1"/>
  <c r="CH107" i="1" s="1"/>
  <c r="Y98" i="1"/>
  <c r="CI98" i="1" s="1"/>
  <c r="X98" i="1"/>
  <c r="CH98" i="1" s="1"/>
  <c r="BM87" i="1"/>
  <c r="CJ87" i="1" s="1"/>
  <c r="W98" i="1"/>
  <c r="CG98" i="1" s="1"/>
  <c r="BM129" i="6"/>
  <c r="BM127" i="6"/>
  <c r="BM135" i="6"/>
  <c r="BM134" i="6"/>
  <c r="W181" i="30"/>
  <c r="BM131" i="6"/>
  <c r="BM130" i="6"/>
  <c r="W188" i="20"/>
  <c r="BM125" i="6"/>
  <c r="BM133" i="6"/>
  <c r="BM126" i="6"/>
  <c r="BM198" i="6"/>
  <c r="W201" i="6"/>
  <c r="W67" i="1"/>
  <c r="W151" i="1"/>
  <c r="CG151" i="1" s="1"/>
  <c r="BM156" i="1"/>
  <c r="CJ156" i="1" s="1"/>
  <c r="BM60" i="1"/>
  <c r="CJ60" i="1" s="1"/>
  <c r="BO198" i="1"/>
  <c r="CL198" i="1" s="1"/>
  <c r="BN77" i="1"/>
  <c r="CK77" i="1" s="1"/>
  <c r="BO101" i="1"/>
  <c r="CL101" i="1" s="1"/>
  <c r="Y107" i="1"/>
  <c r="CI107" i="1" s="1"/>
  <c r="BO66" i="1"/>
  <c r="CL66" i="1" s="1"/>
  <c r="BN23" i="1"/>
  <c r="CK23" i="1" s="1"/>
  <c r="BO103" i="1"/>
  <c r="CL103" i="1" s="1"/>
  <c r="BO64" i="1"/>
  <c r="CL64" i="1" s="1"/>
  <c r="Y67" i="1"/>
  <c r="CI67" i="1" s="1"/>
  <c r="BN32" i="1"/>
  <c r="CK32" i="1" s="1"/>
  <c r="X37" i="1"/>
  <c r="CH37" i="1" s="1"/>
  <c r="BO139" i="1"/>
  <c r="CL139" i="1" s="1"/>
  <c r="BN127" i="1"/>
  <c r="CK127" i="1" s="1"/>
  <c r="BO137" i="1"/>
  <c r="CL137" i="1" s="1"/>
  <c r="Y151" i="1"/>
  <c r="CI151" i="1" s="1"/>
  <c r="BO154" i="1"/>
  <c r="CL154" i="1" s="1"/>
  <c r="Y156" i="1"/>
  <c r="CI156" i="1" s="1"/>
  <c r="BN76" i="1"/>
  <c r="CK76" i="1" s="1"/>
  <c r="BN92" i="1"/>
  <c r="CK92" i="1" s="1"/>
  <c r="BN54" i="1"/>
  <c r="CK54" i="1" s="1"/>
  <c r="BO14" i="1"/>
  <c r="CL14" i="1" s="1"/>
  <c r="BO75" i="1"/>
  <c r="CL75" i="1" s="1"/>
  <c r="BN146" i="1"/>
  <c r="CK146" i="1" s="1"/>
  <c r="BO122" i="1"/>
  <c r="CL122" i="1" s="1"/>
  <c r="BN140" i="1"/>
  <c r="CK140" i="1" s="1"/>
  <c r="BO53" i="1"/>
  <c r="CL53" i="1" s="1"/>
  <c r="Y60" i="1"/>
  <c r="CI60" i="1" s="1"/>
  <c r="BO102" i="1"/>
  <c r="CL102" i="1" s="1"/>
  <c r="BO72" i="1"/>
  <c r="CL72" i="1" s="1"/>
  <c r="BN169" i="1"/>
  <c r="CK169" i="1" s="1"/>
  <c r="BN73" i="1"/>
  <c r="CK73" i="1" s="1"/>
  <c r="BO19" i="1"/>
  <c r="CL19" i="1" s="1"/>
  <c r="Y28" i="1"/>
  <c r="CI28" i="1" s="1"/>
  <c r="BN71" i="1"/>
  <c r="CK71" i="1" s="1"/>
  <c r="X84" i="1"/>
  <c r="CH84" i="1" s="1"/>
  <c r="BN21" i="1"/>
  <c r="CK21" i="1" s="1"/>
  <c r="BN87" i="1"/>
  <c r="CK87" i="1" s="1"/>
  <c r="BO94" i="1"/>
  <c r="CL94" i="1" s="1"/>
  <c r="BO93" i="1"/>
  <c r="CL93" i="1" s="1"/>
  <c r="BN48" i="1"/>
  <c r="CK48" i="1" s="1"/>
  <c r="BO74" i="1"/>
  <c r="CL74" i="1" s="1"/>
  <c r="BN198" i="1"/>
  <c r="CK198" i="1" s="1"/>
  <c r="BN91" i="1"/>
  <c r="CK91" i="1" s="1"/>
  <c r="BN101" i="1"/>
  <c r="CK101" i="1" s="1"/>
  <c r="BN22" i="1"/>
  <c r="CK22" i="1" s="1"/>
  <c r="BO23" i="1"/>
  <c r="CL23" i="1" s="1"/>
  <c r="CV50" i="1"/>
  <c r="BN59" i="1"/>
  <c r="BN64" i="1"/>
  <c r="CK64" i="1" s="1"/>
  <c r="X67" i="1"/>
  <c r="CH67" i="1" s="1"/>
  <c r="BO32" i="1"/>
  <c r="CL32" i="1" s="1"/>
  <c r="Y37" i="1"/>
  <c r="CI37" i="1" s="1"/>
  <c r="BN139" i="1"/>
  <c r="CK139" i="1" s="1"/>
  <c r="BO127" i="1"/>
  <c r="CL127" i="1" s="1"/>
  <c r="BN128" i="1"/>
  <c r="CK128" i="1" s="1"/>
  <c r="BO181" i="1"/>
  <c r="BN88" i="1"/>
  <c r="CK88" i="1" s="1"/>
  <c r="BO76" i="1"/>
  <c r="CL76" i="1" s="1"/>
  <c r="BN42" i="1"/>
  <c r="CK42" i="1" s="1"/>
  <c r="BO54" i="1"/>
  <c r="CL54" i="1" s="1"/>
  <c r="BN55" i="1"/>
  <c r="CK55" i="1" s="1"/>
  <c r="BN75" i="1"/>
  <c r="CK75" i="1" s="1"/>
  <c r="BN124" i="1"/>
  <c r="CK124" i="1" s="1"/>
  <c r="BN122" i="1"/>
  <c r="CK122" i="1" s="1"/>
  <c r="BO140" i="1"/>
  <c r="CL140" i="1" s="1"/>
  <c r="BO123" i="1"/>
  <c r="CL123" i="1" s="1"/>
  <c r="BN102" i="1"/>
  <c r="CK102" i="1" s="1"/>
  <c r="BN72" i="1"/>
  <c r="CK72" i="1" s="1"/>
  <c r="BO145" i="1"/>
  <c r="CL145" i="1" s="1"/>
  <c r="BO73" i="1"/>
  <c r="CL73" i="1" s="1"/>
  <c r="BN126" i="1"/>
  <c r="CK126" i="1" s="1"/>
  <c r="BN19" i="1"/>
  <c r="CK19" i="1" s="1"/>
  <c r="X28" i="1"/>
  <c r="CH28" i="1" s="1"/>
  <c r="Y84" i="1"/>
  <c r="CI84" i="1" s="1"/>
  <c r="BO71" i="1"/>
  <c r="CL71" i="1" s="1"/>
  <c r="BO21" i="1"/>
  <c r="CL21" i="1" s="1"/>
  <c r="BO115" i="1"/>
  <c r="CL115" i="1" s="1"/>
  <c r="Y117" i="1"/>
  <c r="BN144" i="1"/>
  <c r="CK144" i="1" s="1"/>
  <c r="BN94" i="1"/>
  <c r="CK94" i="1" s="1"/>
  <c r="BO36" i="1"/>
  <c r="CL36" i="1" s="1"/>
  <c r="BO48" i="1"/>
  <c r="CL48" i="1" s="1"/>
  <c r="CI113" i="1"/>
  <c r="BO110" i="1"/>
  <c r="BN143" i="1"/>
  <c r="CK143" i="1" s="1"/>
  <c r="BN74" i="1"/>
  <c r="CK74" i="1" s="1"/>
  <c r="BN129" i="1"/>
  <c r="CK129" i="1" s="1"/>
  <c r="BO91" i="1"/>
  <c r="CL91" i="1" s="1"/>
  <c r="BN142" i="1"/>
  <c r="CK142" i="1" s="1"/>
  <c r="BO22" i="1"/>
  <c r="CL22" i="1" s="1"/>
  <c r="BN41" i="1"/>
  <c r="CK41" i="1" s="1"/>
  <c r="X49" i="1"/>
  <c r="CH49" i="1" s="1"/>
  <c r="CL155" i="1"/>
  <c r="BN20" i="1"/>
  <c r="CK20" i="1" s="1"/>
  <c r="BO59" i="1"/>
  <c r="CL59" i="1" s="1"/>
  <c r="BN89" i="1"/>
  <c r="CK89" i="1" s="1"/>
  <c r="BO44" i="1"/>
  <c r="CL44" i="1" s="1"/>
  <c r="BO128" i="1"/>
  <c r="CL128" i="1" s="1"/>
  <c r="BN43" i="1"/>
  <c r="CK43" i="1" s="1"/>
  <c r="BN181" i="1"/>
  <c r="BO88" i="1"/>
  <c r="CL88" i="1" s="1"/>
  <c r="BN65" i="1"/>
  <c r="CK65" i="1" s="1"/>
  <c r="BO42" i="1"/>
  <c r="CL42" i="1" s="1"/>
  <c r="BO90" i="1"/>
  <c r="CL90" i="1" s="1"/>
  <c r="BO55" i="1"/>
  <c r="CL55" i="1" s="1"/>
  <c r="BN141" i="1"/>
  <c r="CK141" i="1" s="1"/>
  <c r="BO124" i="1"/>
  <c r="CL124" i="1" s="1"/>
  <c r="BO125" i="1"/>
  <c r="CL125" i="1" s="1"/>
  <c r="BN123" i="1"/>
  <c r="CK123" i="1" s="1"/>
  <c r="BN138" i="1"/>
  <c r="CK138" i="1" s="1"/>
  <c r="BN145" i="1"/>
  <c r="CK145" i="1" s="1"/>
  <c r="BO111" i="1"/>
  <c r="CL111" i="1" s="1"/>
  <c r="BO126" i="1"/>
  <c r="CL126" i="1" s="1"/>
  <c r="BN115" i="1"/>
  <c r="CK115" i="1" s="1"/>
  <c r="X117" i="1"/>
  <c r="BO144" i="1"/>
  <c r="CL144" i="1" s="1"/>
  <c r="BO27" i="1"/>
  <c r="CL27" i="1" s="1"/>
  <c r="BN36" i="1"/>
  <c r="CK36" i="1" s="1"/>
  <c r="BN110" i="1"/>
  <c r="CH113" i="1"/>
  <c r="BO143" i="1"/>
  <c r="BO77" i="1"/>
  <c r="CL77" i="1" s="1"/>
  <c r="BO129" i="1"/>
  <c r="CL129" i="1" s="1"/>
  <c r="BN66" i="1"/>
  <c r="CK66" i="1" s="1"/>
  <c r="BO142" i="1"/>
  <c r="CL142" i="1" s="1"/>
  <c r="BN103" i="1"/>
  <c r="CK103" i="1" s="1"/>
  <c r="BO41" i="1"/>
  <c r="CL41" i="1" s="1"/>
  <c r="Y49" i="1"/>
  <c r="CI49" i="1" s="1"/>
  <c r="CK155" i="1"/>
  <c r="BO20" i="1"/>
  <c r="CL20" i="1" s="1"/>
  <c r="CV68" i="1"/>
  <c r="CV61" i="1"/>
  <c r="CV38" i="1"/>
  <c r="X151" i="1"/>
  <c r="CH151" i="1" s="1"/>
  <c r="BN137" i="1"/>
  <c r="CK137" i="1" s="1"/>
  <c r="BO89" i="1"/>
  <c r="CL89" i="1" s="1"/>
  <c r="BN44" i="1"/>
  <c r="CK44" i="1" s="1"/>
  <c r="X156" i="1"/>
  <c r="CH156" i="1" s="1"/>
  <c r="BN154" i="1"/>
  <c r="CK154" i="1" s="1"/>
  <c r="BO43" i="1"/>
  <c r="CL43" i="1" s="1"/>
  <c r="BO92" i="1"/>
  <c r="CL92" i="1" s="1"/>
  <c r="BO65" i="1"/>
  <c r="CL65" i="1" s="1"/>
  <c r="BN14" i="1"/>
  <c r="BN90" i="1"/>
  <c r="CK90" i="1" s="1"/>
  <c r="BO146" i="1"/>
  <c r="CL146" i="1" s="1"/>
  <c r="BO141" i="1"/>
  <c r="CL141" i="1" s="1"/>
  <c r="X60" i="1"/>
  <c r="CH60" i="1" s="1"/>
  <c r="BN53" i="1"/>
  <c r="CK53" i="1" s="1"/>
  <c r="BN125" i="1"/>
  <c r="CK125" i="1" s="1"/>
  <c r="BO169" i="1"/>
  <c r="CL169" i="1" s="1"/>
  <c r="BO138" i="1"/>
  <c r="CL138" i="1" s="1"/>
  <c r="BN111" i="1"/>
  <c r="CK111" i="1" s="1"/>
  <c r="CV29" i="1"/>
  <c r="BO87" i="1"/>
  <c r="CL87" i="1" s="1"/>
  <c r="BN93" i="1"/>
  <c r="CK93" i="1" s="1"/>
  <c r="BN27" i="1"/>
  <c r="CK27" i="1" s="1"/>
  <c r="BM49" i="30"/>
  <c r="CF132" i="6"/>
  <c r="A132" i="6" s="1" a="1"/>
  <c r="A132" i="6" s="1"/>
  <c r="W189" i="30"/>
  <c r="W136" i="6"/>
  <c r="BM124" i="6"/>
  <c r="BZ124" i="6" s="1"/>
  <c r="W201" i="30"/>
  <c r="BM109" i="6"/>
  <c r="BZ109" i="6" s="1"/>
  <c r="W111" i="6"/>
  <c r="W197" i="30"/>
  <c r="BM110" i="6"/>
  <c r="BZ110" i="6" s="1"/>
  <c r="BM84" i="1"/>
  <c r="CJ84" i="1" s="1"/>
  <c r="BM151" i="1"/>
  <c r="CJ151" i="1" s="1"/>
  <c r="BM107" i="1"/>
  <c r="CJ107" i="1" s="1"/>
  <c r="BM49" i="1"/>
  <c r="CJ49" i="1" s="1"/>
  <c r="BP75" i="33"/>
  <c r="AL1015" i="9"/>
  <c r="AL1038" i="9" s="1"/>
  <c r="AN1024" i="9"/>
  <c r="AN1047" i="9" s="1"/>
  <c r="AB1070" i="9"/>
  <c r="AX1027" i="9"/>
  <c r="AX1050" i="9" s="1"/>
  <c r="AX1032" i="9"/>
  <c r="AX1055" i="9" s="1"/>
  <c r="CF151" i="6"/>
  <c r="A151" i="6" s="1" a="1"/>
  <c r="A151" i="6" s="1"/>
  <c r="A43" i="20" a="1"/>
  <c r="A43" i="20" s="1"/>
  <c r="A169" i="20" a="1"/>
  <c r="A169" i="20" s="1"/>
  <c r="BO49" i="30"/>
  <c r="Y49" i="30" s="1"/>
  <c r="A137" i="20" a="1"/>
  <c r="A137" i="20" s="1"/>
  <c r="A65" i="20" a="1"/>
  <c r="A65" i="20" s="1"/>
  <c r="A181" i="20" a="1"/>
  <c r="A181" i="20" s="1"/>
  <c r="A54" i="20" a="1"/>
  <c r="A54" i="20" s="1"/>
  <c r="A125" i="20" a="1"/>
  <c r="A125" i="20" s="1"/>
  <c r="A143" i="20" a="1"/>
  <c r="A143" i="20" s="1"/>
  <c r="BM21" i="1"/>
  <c r="CJ21" i="1" s="1"/>
  <c r="A20" i="20" a="1"/>
  <c r="A20" i="20" s="1"/>
  <c r="A115" i="20" a="1"/>
  <c r="A115" i="20" s="1"/>
  <c r="A92" i="20" a="1"/>
  <c r="A92" i="20" s="1"/>
  <c r="A102" i="20" a="1"/>
  <c r="A102" i="20" s="1"/>
  <c r="A123" i="20" a="1"/>
  <c r="A123" i="20" s="1"/>
  <c r="A59" i="20" a="1"/>
  <c r="A59" i="20" s="1"/>
  <c r="A53" i="20" a="1"/>
  <c r="A53" i="20" s="1"/>
  <c r="A72" i="20" a="1"/>
  <c r="A72" i="20" s="1"/>
  <c r="A19" i="20" a="1"/>
  <c r="A19" i="20" s="1"/>
  <c r="A55" i="20" a="1"/>
  <c r="A55" i="20" s="1"/>
  <c r="A122" i="20" a="1"/>
  <c r="A122" i="20" s="1"/>
  <c r="A32" i="20" a="1"/>
  <c r="A32" i="20" s="1"/>
  <c r="A75" i="20" a="1"/>
  <c r="A75" i="20" s="1"/>
  <c r="A44" i="20" a="1"/>
  <c r="A44" i="20" s="1"/>
  <c r="A74" i="20" a="1"/>
  <c r="A74" i="20" s="1"/>
  <c r="BM39" i="30"/>
  <c r="BM147" i="30" s="1"/>
  <c r="A87" i="20" a="1"/>
  <c r="A87" i="20" s="1"/>
  <c r="A88" i="20" a="1"/>
  <c r="A88" i="20" s="1"/>
  <c r="A22" i="20" a="1"/>
  <c r="A22" i="20" s="1"/>
  <c r="A77" i="20" a="1"/>
  <c r="A77" i="20" s="1"/>
  <c r="A41" i="20" a="1"/>
  <c r="A41" i="20" s="1"/>
  <c r="BM23" i="1"/>
  <c r="CJ23" i="1" s="1"/>
  <c r="A42" i="20" a="1"/>
  <c r="A42" i="20" s="1"/>
  <c r="BM34" i="30"/>
  <c r="W34" i="30" s="1"/>
  <c r="A198" i="20" a="1"/>
  <c r="A198" i="20" s="1"/>
  <c r="A89" i="20" a="1"/>
  <c r="A89" i="20" s="1"/>
  <c r="A101" i="20" a="1"/>
  <c r="A101" i="20" s="1"/>
  <c r="A76" i="20" a="1"/>
  <c r="A76" i="20" s="1"/>
  <c r="A103" i="20" a="1"/>
  <c r="A103" i="20" s="1"/>
  <c r="A110" i="20" a="1"/>
  <c r="A110" i="20" s="1"/>
  <c r="A91" i="20" a="1"/>
  <c r="A91" i="20" s="1"/>
  <c r="BM19" i="1"/>
  <c r="CJ19" i="1" s="1"/>
  <c r="W28" i="1"/>
  <c r="BM32" i="1"/>
  <c r="CJ32" i="1" s="1"/>
  <c r="W37" i="1"/>
  <c r="CG37" i="1" s="1"/>
  <c r="BN788" i="9"/>
  <c r="BN861" i="9" s="1"/>
  <c r="AX1105" i="9"/>
  <c r="AX199" i="30" s="1"/>
  <c r="AX86" i="33" s="1"/>
  <c r="BM122" i="1"/>
  <c r="CJ122" i="1" s="1"/>
  <c r="BP163" i="20"/>
  <c r="BO163" i="20"/>
  <c r="CM163" i="20" s="1"/>
  <c r="BN75" i="33"/>
  <c r="BN163" i="20"/>
  <c r="CL163" i="20" s="1"/>
  <c r="BO75" i="33"/>
  <c r="AY399" i="9"/>
  <c r="AY541" i="9" s="1"/>
  <c r="AY98" i="9"/>
  <c r="AY594" i="9" s="1"/>
  <c r="AY876" i="9" s="1"/>
  <c r="AZ228" i="9"/>
  <c r="AZ532" i="9" s="1"/>
  <c r="AY304" i="9"/>
  <c r="AY536" i="9" s="1"/>
  <c r="AY171" i="9"/>
  <c r="AY529" i="9" s="1"/>
  <c r="BW269" i="9"/>
  <c r="AY527" i="9"/>
  <c r="AY136" i="9"/>
  <c r="BW307" i="9"/>
  <c r="BW529" i="9"/>
  <c r="BW174" i="9"/>
  <c r="BW136" i="9"/>
  <c r="AZ606" i="9"/>
  <c r="BA323" i="9"/>
  <c r="BW594" i="9"/>
  <c r="BW597" i="9"/>
  <c r="BW608" i="9"/>
  <c r="BW595" i="9"/>
  <c r="BW607" i="9"/>
  <c r="BW601" i="9"/>
  <c r="BW610" i="9"/>
  <c r="AA201" i="6"/>
  <c r="AY364" i="9"/>
  <c r="AY608" i="9" s="1"/>
  <c r="AZ152" i="9"/>
  <c r="AZ528" i="9" s="1"/>
  <c r="AY879" i="9"/>
  <c r="BV383" i="9"/>
  <c r="BW193" i="9"/>
  <c r="AY523" i="9"/>
  <c r="AY342" i="9"/>
  <c r="AY538" i="9" s="1"/>
  <c r="AX889" i="9"/>
  <c r="AQ383" i="9"/>
  <c r="AQ609" i="9" s="1"/>
  <c r="AM79" i="9"/>
  <c r="AM593" i="9" s="1"/>
  <c r="AY870" i="9"/>
  <c r="AY421" i="9"/>
  <c r="AY611" i="9" s="1"/>
  <c r="BW79" i="9"/>
  <c r="BW288" i="9"/>
  <c r="AN209" i="9"/>
  <c r="AM882" i="9"/>
  <c r="BW421" i="9"/>
  <c r="BW326" i="9"/>
  <c r="AV266" i="9"/>
  <c r="AV534" i="9" s="1"/>
  <c r="AZ285" i="9"/>
  <c r="AZ535" i="9" s="1"/>
  <c r="AL117" i="9"/>
  <c r="AL595" i="9" s="1"/>
  <c r="AZ845" i="9"/>
  <c r="BW250" i="9"/>
  <c r="AK877" i="9"/>
  <c r="AP891" i="9"/>
  <c r="AO250" i="9"/>
  <c r="AO602" i="9" s="1"/>
  <c r="AY190" i="9"/>
  <c r="AY530" i="9" s="1"/>
  <c r="BM788" i="9"/>
  <c r="BM861" i="9" s="1"/>
  <c r="CD154" i="1" l="1"/>
  <c r="A154" i="1" s="1" a="1"/>
  <c r="A154" i="1" s="1"/>
  <c r="BE757" i="9"/>
  <c r="BE780" i="9" s="1"/>
  <c r="CC37" i="1"/>
  <c r="CD167" i="30"/>
  <c r="A82" i="30" a="1"/>
  <c r="A82" i="30" s="1"/>
  <c r="A102" i="30" a="1"/>
  <c r="A102" i="30" s="1"/>
  <c r="CD119" i="30"/>
  <c r="A252" i="6" a="1"/>
  <c r="A252" i="6" s="1"/>
  <c r="A85" i="30" a="1"/>
  <c r="A85" i="30" s="1"/>
  <c r="CD122" i="1"/>
  <c r="A122" i="1" s="1" a="1"/>
  <c r="A122" i="1" s="1"/>
  <c r="CD32" i="1"/>
  <c r="A32" i="1" s="1" a="1"/>
  <c r="A32" i="1" s="1"/>
  <c r="CL161" i="30"/>
  <c r="AX837" i="9"/>
  <c r="AX718" i="9"/>
  <c r="AY842" i="9"/>
  <c r="AY723" i="9"/>
  <c r="AY746" i="9" s="1"/>
  <c r="AZ700" i="9" s="1"/>
  <c r="AX739" i="9"/>
  <c r="AY693" i="9" s="1"/>
  <c r="BF688" i="9"/>
  <c r="BF830" i="9" s="1"/>
  <c r="CD53" i="1"/>
  <c r="A53" i="1" s="1" a="1"/>
  <c r="A53" i="1" s="1"/>
  <c r="CD137" i="1"/>
  <c r="A137" i="1" s="1" a="1"/>
  <c r="A137" i="1" s="1"/>
  <c r="CD168" i="30"/>
  <c r="CC162" i="30"/>
  <c r="CC165" i="30"/>
  <c r="A126" i="30" a="1"/>
  <c r="A126" i="30" s="1"/>
  <c r="A94" i="30" a="1"/>
  <c r="A94" i="30" s="1"/>
  <c r="CD169" i="30"/>
  <c r="A104" i="30" a="1"/>
  <c r="A104" i="30" s="1"/>
  <c r="A100" i="30" a="1"/>
  <c r="A100" i="30" s="1"/>
  <c r="A81" i="30" a="1"/>
  <c r="A81" i="30" s="1"/>
  <c r="A101" i="30" a="1"/>
  <c r="A101" i="30" s="1"/>
  <c r="A80" i="30" a="1"/>
  <c r="A80" i="30" s="1"/>
  <c r="CC159" i="30"/>
  <c r="CI161" i="30"/>
  <c r="CC161" i="30" s="1"/>
  <c r="CD103" i="1"/>
  <c r="A103" i="1" s="1" a="1"/>
  <c r="A103" i="1" s="1"/>
  <c r="A97" i="30" a="1"/>
  <c r="A97" i="30" s="1"/>
  <c r="AX888" i="9"/>
  <c r="AL1074" i="9" s="1"/>
  <c r="A103" i="30" a="1"/>
  <c r="A103" i="30" s="1"/>
  <c r="A95" i="30" a="1"/>
  <c r="A95" i="30" s="1"/>
  <c r="A105" i="30" a="1"/>
  <c r="A105" i="30" s="1"/>
  <c r="CD161" i="30"/>
  <c r="CD170" i="30"/>
  <c r="CC170" i="30"/>
  <c r="CD159" i="30"/>
  <c r="CD166" i="30"/>
  <c r="CD164" i="30"/>
  <c r="A99" i="30" a="1"/>
  <c r="A99" i="30" s="1"/>
  <c r="A119" i="30" a="1"/>
  <c r="A119" i="30" s="1"/>
  <c r="CL49" i="30"/>
  <c r="CJ34" i="30"/>
  <c r="CG34" i="30"/>
  <c r="CG189" i="30"/>
  <c r="CC189" i="30" s="1"/>
  <c r="X57" i="33"/>
  <c r="CH149" i="30"/>
  <c r="CC149" i="30" s="1"/>
  <c r="CK149" i="30"/>
  <c r="W87" i="33"/>
  <c r="CG201" i="30"/>
  <c r="CC201" i="30" s="1"/>
  <c r="CG181" i="30"/>
  <c r="CC181" i="30" s="1"/>
  <c r="W84" i="33"/>
  <c r="CG197" i="30"/>
  <c r="CC197" i="30" s="1"/>
  <c r="CL162" i="30"/>
  <c r="CD162" i="30" s="1"/>
  <c r="CD66" i="1"/>
  <c r="A66" i="1" s="1" a="1"/>
  <c r="A66" i="1" s="1"/>
  <c r="CD198" i="1"/>
  <c r="A198" i="1" s="1" a="1"/>
  <c r="A198" i="1" s="1"/>
  <c r="CE14" i="20"/>
  <c r="CD14" i="20"/>
  <c r="CK14" i="1"/>
  <c r="CD14" i="1" s="1"/>
  <c r="A14" i="1" s="1" a="1"/>
  <c r="A14" i="1" s="1"/>
  <c r="CD72" i="1"/>
  <c r="A72" i="1" s="1" a="1"/>
  <c r="A72" i="1" s="1"/>
  <c r="CD94" i="1"/>
  <c r="A94" i="1" s="1" a="1"/>
  <c r="A94" i="1" s="1"/>
  <c r="CK59" i="1"/>
  <c r="CD59" i="1" s="1"/>
  <c r="A59" i="1" s="1" a="1"/>
  <c r="A59" i="1" s="1"/>
  <c r="CD101" i="1"/>
  <c r="A101" i="1" s="1" a="1"/>
  <c r="A101" i="1" s="1"/>
  <c r="CM11" i="20"/>
  <c r="BJ197" i="20"/>
  <c r="BJ22" i="30"/>
  <c r="BF22" i="30"/>
  <c r="BF197" i="20"/>
  <c r="BB22" i="30"/>
  <c r="BB197" i="20"/>
  <c r="BI22" i="30"/>
  <c r="BI197" i="20"/>
  <c r="BE22" i="30"/>
  <c r="BE197" i="20"/>
  <c r="BA197" i="20"/>
  <c r="BA22" i="30"/>
  <c r="BH197" i="20"/>
  <c r="BH22" i="30"/>
  <c r="BD22" i="30"/>
  <c r="BD197" i="20"/>
  <c r="AZ22" i="30"/>
  <c r="AZ197" i="20"/>
  <c r="AU22" i="30"/>
  <c r="AU197" i="20"/>
  <c r="BG197" i="20"/>
  <c r="BG22" i="30"/>
  <c r="BC197" i="20"/>
  <c r="BC22" i="30"/>
  <c r="AY197" i="20"/>
  <c r="AY22" i="30"/>
  <c r="CD11" i="20"/>
  <c r="CK11" i="20"/>
  <c r="CL110" i="1"/>
  <c r="BO113" i="1"/>
  <c r="CK110" i="1"/>
  <c r="BN113" i="1"/>
  <c r="CD123" i="1"/>
  <c r="A123" i="1" s="1" a="1"/>
  <c r="A123" i="1" s="1"/>
  <c r="CD139" i="1"/>
  <c r="A139" i="1" s="1" a="1"/>
  <c r="A139" i="1" s="1"/>
  <c r="CD27" i="1"/>
  <c r="A27" i="1" s="1" a="1"/>
  <c r="A27" i="1" s="1"/>
  <c r="CD93" i="1"/>
  <c r="A93" i="1" s="1" a="1"/>
  <c r="A93" i="1" s="1"/>
  <c r="CK181" i="1"/>
  <c r="BN183" i="1"/>
  <c r="CL181" i="1"/>
  <c r="BO183" i="1"/>
  <c r="CK182" i="20"/>
  <c r="BP62" i="33"/>
  <c r="BM56" i="33"/>
  <c r="BO64" i="33"/>
  <c r="BO62" i="33"/>
  <c r="CD74" i="1"/>
  <c r="A74" i="1" s="1" a="1"/>
  <c r="A74" i="1" s="1"/>
  <c r="CD75" i="1"/>
  <c r="A75" i="1" s="1" a="1"/>
  <c r="A75" i="1" s="1"/>
  <c r="AY769" i="9"/>
  <c r="AY792" i="9" s="1"/>
  <c r="AY815" i="9" s="1"/>
  <c r="CC98" i="1"/>
  <c r="CD171" i="1"/>
  <c r="A171" i="1" s="1" a="1"/>
  <c r="A171" i="1" s="1"/>
  <c r="CD89" i="1"/>
  <c r="A89" i="1" s="1" a="1"/>
  <c r="A89" i="1" s="1"/>
  <c r="CD155" i="1"/>
  <c r="A155" i="1" s="1" a="1"/>
  <c r="A155" i="1" s="1"/>
  <c r="CD71" i="1"/>
  <c r="A71" i="1" s="1" a="1"/>
  <c r="A71" i="1" s="1"/>
  <c r="BW605" i="9"/>
  <c r="BW596" i="9"/>
  <c r="BW598" i="9"/>
  <c r="BV609" i="9"/>
  <c r="BW603" i="9"/>
  <c r="BE803" i="9"/>
  <c r="BE853" i="9"/>
  <c r="AX860" i="9"/>
  <c r="AL1023" i="9" s="1"/>
  <c r="AL1046" i="9" s="1"/>
  <c r="AX810" i="9"/>
  <c r="X810" i="9" s="1"/>
  <c r="BF711" i="9"/>
  <c r="BF734" i="9" s="1"/>
  <c r="BB859" i="9"/>
  <c r="BC782" i="9"/>
  <c r="BC805" i="9" s="1"/>
  <c r="BB844" i="9"/>
  <c r="BB725" i="9"/>
  <c r="BB748" i="9" s="1"/>
  <c r="BC703" i="9"/>
  <c r="AK1069" i="9"/>
  <c r="BC788" i="9"/>
  <c r="BC811" i="9" s="1"/>
  <c r="AO692" i="9"/>
  <c r="BA771" i="9"/>
  <c r="BA794" i="9" s="1"/>
  <c r="BA817" i="9" s="1"/>
  <c r="BD696" i="9"/>
  <c r="AY772" i="9"/>
  <c r="AY795" i="9" s="1"/>
  <c r="BD694" i="9"/>
  <c r="BD690" i="9"/>
  <c r="AW858" i="9"/>
  <c r="AK1021" i="9" s="1"/>
  <c r="AK1044" i="9" s="1"/>
  <c r="AP697" i="9"/>
  <c r="AB1071" i="9"/>
  <c r="AA1020" i="9"/>
  <c r="AA1043" i="9" s="1"/>
  <c r="BM811" i="9"/>
  <c r="BM884" i="9" s="1"/>
  <c r="W884" i="9"/>
  <c r="AO862" i="9"/>
  <c r="AM880" i="9"/>
  <c r="AN761" i="9"/>
  <c r="AN784" i="9" s="1"/>
  <c r="AN807" i="9" s="1"/>
  <c r="CD88" i="1"/>
  <c r="A88" i="1" s="1" a="1"/>
  <c r="A88" i="1" s="1"/>
  <c r="CD73" i="1"/>
  <c r="A73" i="1" s="1" a="1"/>
  <c r="A73" i="1" s="1"/>
  <c r="CD146" i="1"/>
  <c r="A146" i="1" s="1" a="1"/>
  <c r="A146" i="1" s="1"/>
  <c r="CD92" i="1"/>
  <c r="A92" i="1" s="1" a="1"/>
  <c r="A92" i="1" s="1"/>
  <c r="CD87" i="1"/>
  <c r="A87" i="1" s="1" a="1"/>
  <c r="A87" i="1" s="1"/>
  <c r="CD111" i="1"/>
  <c r="A111" i="1" s="1" a="1"/>
  <c r="A111" i="1" s="1"/>
  <c r="CD44" i="1"/>
  <c r="A44" i="1" s="1" a="1"/>
  <c r="A44" i="1" s="1"/>
  <c r="CD36" i="1"/>
  <c r="A36" i="1" s="1" a="1"/>
  <c r="A36" i="1" s="1"/>
  <c r="CD145" i="1"/>
  <c r="A145" i="1" s="1" a="1"/>
  <c r="A145" i="1" s="1"/>
  <c r="CD43" i="1"/>
  <c r="A43" i="1" s="1" a="1"/>
  <c r="A43" i="1" s="1"/>
  <c r="CD41" i="1"/>
  <c r="A41" i="1" s="1" a="1"/>
  <c r="A41" i="1" s="1"/>
  <c r="CD144" i="1"/>
  <c r="A144" i="1" s="1" a="1"/>
  <c r="A144" i="1" s="1"/>
  <c r="CD126" i="1"/>
  <c r="A126" i="1" s="1" a="1"/>
  <c r="A126" i="1" s="1"/>
  <c r="CD102" i="1"/>
  <c r="A102" i="1" s="1" a="1"/>
  <c r="A102" i="1" s="1"/>
  <c r="CD90" i="1"/>
  <c r="A90" i="1" s="1" a="1"/>
  <c r="A90" i="1" s="1"/>
  <c r="CD65" i="1"/>
  <c r="A65" i="1" s="1" a="1"/>
  <c r="A65" i="1" s="1"/>
  <c r="CD128" i="1"/>
  <c r="A128" i="1" s="1" a="1"/>
  <c r="A128" i="1" s="1"/>
  <c r="CD48" i="1"/>
  <c r="A48" i="1" s="1" a="1"/>
  <c r="A48" i="1" s="1"/>
  <c r="W162" i="20"/>
  <c r="CG162" i="1"/>
  <c r="CC162" i="1" s="1"/>
  <c r="X197" i="1"/>
  <c r="CH197" i="1" s="1"/>
  <c r="CH117" i="1"/>
  <c r="CD21" i="1"/>
  <c r="A21" i="1" s="1" a="1"/>
  <c r="A21" i="1" s="1"/>
  <c r="CD125" i="1"/>
  <c r="A125" i="1" s="1" a="1"/>
  <c r="A125" i="1" s="1"/>
  <c r="CD124" i="1"/>
  <c r="A124" i="1" s="1" a="1"/>
  <c r="A124" i="1" s="1"/>
  <c r="CD42" i="1"/>
  <c r="A42" i="1" s="1" a="1"/>
  <c r="A42" i="1" s="1"/>
  <c r="CD22" i="1"/>
  <c r="A22" i="1" s="1" a="1"/>
  <c r="A22" i="1" s="1"/>
  <c r="CD169" i="1"/>
  <c r="A169" i="1" s="1" a="1"/>
  <c r="A169" i="1" s="1"/>
  <c r="CD76" i="1"/>
  <c r="A76" i="1" s="1" a="1"/>
  <c r="A76" i="1" s="1"/>
  <c r="CD64" i="1"/>
  <c r="A64" i="1" s="1" a="1"/>
  <c r="A64" i="1" s="1"/>
  <c r="CC84" i="1"/>
  <c r="CD19" i="1"/>
  <c r="A19" i="1" s="1" a="1"/>
  <c r="A19" i="1" s="1"/>
  <c r="CD129" i="1"/>
  <c r="A129" i="1" s="1" a="1"/>
  <c r="A129" i="1" s="1"/>
  <c r="BO116" i="20"/>
  <c r="CM116" i="20" s="1"/>
  <c r="CL143" i="1"/>
  <c r="CD143" i="1" s="1"/>
  <c r="A143" i="1" s="1" a="1"/>
  <c r="A143" i="1" s="1"/>
  <c r="CD138" i="1"/>
  <c r="A138" i="1" s="1" a="1"/>
  <c r="A138" i="1" s="1"/>
  <c r="CD141" i="1"/>
  <c r="A141" i="1" s="1" a="1"/>
  <c r="A141" i="1" s="1"/>
  <c r="CD20" i="1"/>
  <c r="A20" i="1" s="1" a="1"/>
  <c r="A20" i="1" s="1"/>
  <c r="Y197" i="1"/>
  <c r="CI197" i="1" s="1"/>
  <c r="CI117" i="1"/>
  <c r="CD140" i="1"/>
  <c r="A140" i="1" s="1" a="1"/>
  <c r="A140" i="1" s="1"/>
  <c r="CG67" i="1"/>
  <c r="CC67" i="1" s="1"/>
  <c r="CG28" i="1"/>
  <c r="CC28" i="1" s="1"/>
  <c r="CC49" i="1"/>
  <c r="CD23" i="1"/>
  <c r="A23" i="1" s="1" a="1"/>
  <c r="A23" i="1" s="1"/>
  <c r="CD142" i="1"/>
  <c r="A142" i="1" s="1" a="1"/>
  <c r="A142" i="1" s="1"/>
  <c r="CD55" i="1"/>
  <c r="A55" i="1" s="1" a="1"/>
  <c r="A55" i="1" s="1"/>
  <c r="CD91" i="1"/>
  <c r="A91" i="1" s="1" a="1"/>
  <c r="A91" i="1" s="1"/>
  <c r="CD54" i="1"/>
  <c r="A54" i="1" s="1" a="1"/>
  <c r="A54" i="1" s="1"/>
  <c r="CD127" i="1"/>
  <c r="A127" i="1" s="1" a="1"/>
  <c r="A127" i="1" s="1"/>
  <c r="CD77" i="1"/>
  <c r="A77" i="1" s="1" a="1"/>
  <c r="A77" i="1" s="1"/>
  <c r="CD115" i="1"/>
  <c r="A115" i="1" s="1" a="1"/>
  <c r="A115" i="1" s="1"/>
  <c r="CC151" i="1"/>
  <c r="CC107" i="1"/>
  <c r="CE24" i="20"/>
  <c r="A24" i="20" s="1" a="1"/>
  <c r="A24" i="20" s="1"/>
  <c r="CE83" i="20"/>
  <c r="A83" i="20" s="1" a="1"/>
  <c r="A83" i="20" s="1"/>
  <c r="CE25" i="20"/>
  <c r="A25" i="20" s="1" a="1"/>
  <c r="A25" i="20" s="1"/>
  <c r="CE33" i="20"/>
  <c r="A33" i="20" s="1" a="1"/>
  <c r="A33" i="20" s="1"/>
  <c r="CE58" i="20"/>
  <c r="A58" i="20" s="1" a="1"/>
  <c r="A58" i="20" s="1"/>
  <c r="A124" i="20" a="1"/>
  <c r="A124" i="20" s="1"/>
  <c r="CE45" i="20"/>
  <c r="A45" i="20" s="1" a="1"/>
  <c r="A45" i="20" s="1"/>
  <c r="CE56" i="20"/>
  <c r="A56" i="20" s="1" a="1"/>
  <c r="A56" i="20" s="1"/>
  <c r="CE46" i="20"/>
  <c r="A46" i="20" s="1" a="1"/>
  <c r="A46" i="20" s="1"/>
  <c r="CL96" i="20"/>
  <c r="CK96" i="20"/>
  <c r="CM96" i="20"/>
  <c r="CE104" i="20"/>
  <c r="A104" i="20" s="1" a="1"/>
  <c r="A104" i="20" s="1"/>
  <c r="BO182" i="20"/>
  <c r="BN182" i="20"/>
  <c r="CE34" i="20"/>
  <c r="A34" i="20" s="1" a="1"/>
  <c r="A34" i="20" s="1"/>
  <c r="CE35" i="20"/>
  <c r="A35" i="20" s="1" a="1"/>
  <c r="A35" i="20" s="1"/>
  <c r="CE57" i="20"/>
  <c r="A57" i="20" s="1" a="1"/>
  <c r="A57" i="20" s="1"/>
  <c r="CE82" i="20"/>
  <c r="A82" i="20" s="1" a="1"/>
  <c r="A82" i="20" s="1"/>
  <c r="CK105" i="20"/>
  <c r="CL105" i="20"/>
  <c r="CM105" i="20"/>
  <c r="BN116" i="20"/>
  <c r="BN117" i="20" s="1"/>
  <c r="BN24" i="32" s="1"/>
  <c r="CE13" i="20"/>
  <c r="A13" i="20" s="1" a="1"/>
  <c r="A13" i="20" s="1"/>
  <c r="BP91" i="20"/>
  <c r="BP146" i="20"/>
  <c r="BP77" i="20"/>
  <c r="BP33" i="20"/>
  <c r="BP56" i="20"/>
  <c r="BP74" i="20"/>
  <c r="BP75" i="20"/>
  <c r="BP169" i="20"/>
  <c r="BP34" i="20"/>
  <c r="BP142" i="20"/>
  <c r="BP116" i="20"/>
  <c r="BP152" i="30" s="1"/>
  <c r="BP48" i="20"/>
  <c r="BP58" i="20"/>
  <c r="BP123" i="20"/>
  <c r="BP25" i="20"/>
  <c r="BP72" i="20"/>
  <c r="BP14" i="20"/>
  <c r="BP82" i="20"/>
  <c r="BP144" i="20"/>
  <c r="BP35" i="20"/>
  <c r="BP115" i="20"/>
  <c r="BP140" i="20"/>
  <c r="BP127" i="20"/>
  <c r="BP83" i="20"/>
  <c r="BP122" i="20"/>
  <c r="BP46" i="20"/>
  <c r="BM67" i="1"/>
  <c r="CJ67" i="1" s="1"/>
  <c r="BM117" i="1"/>
  <c r="BM194" i="1"/>
  <c r="CJ194" i="1" s="1"/>
  <c r="X194" i="1"/>
  <c r="CH194" i="1" s="1"/>
  <c r="Y194" i="1"/>
  <c r="CI194" i="1" s="1"/>
  <c r="BZ126" i="6"/>
  <c r="CF130" i="6"/>
  <c r="A130" i="6" s="1" a="1"/>
  <c r="A130" i="6" s="1"/>
  <c r="BZ130" i="6"/>
  <c r="BZ134" i="6"/>
  <c r="BZ184" i="6"/>
  <c r="CF198" i="6"/>
  <c r="A198" i="6" s="1" a="1"/>
  <c r="A198" i="6" s="1"/>
  <c r="BZ198" i="6"/>
  <c r="CF133" i="6"/>
  <c r="A133" i="6" s="1" a="1"/>
  <c r="A133" i="6" s="1"/>
  <c r="BZ133" i="6"/>
  <c r="CF135" i="6"/>
  <c r="A135" i="6" s="1" a="1"/>
  <c r="A135" i="6" s="1"/>
  <c r="BZ135" i="6"/>
  <c r="CF125" i="6"/>
  <c r="A125" i="6" s="1" a="1"/>
  <c r="A125" i="6" s="1"/>
  <c r="BZ125" i="6"/>
  <c r="CF131" i="6"/>
  <c r="A131" i="6" s="1" a="1"/>
  <c r="A131" i="6" s="1"/>
  <c r="BZ131" i="6"/>
  <c r="CF127" i="6"/>
  <c r="A127" i="6" s="1" a="1"/>
  <c r="A127" i="6" s="1"/>
  <c r="BZ127" i="6"/>
  <c r="BZ129" i="6"/>
  <c r="CF185" i="6"/>
  <c r="A185" i="6" s="1" a="1"/>
  <c r="A185" i="6" s="1"/>
  <c r="BZ185" i="6"/>
  <c r="BQ72" i="30"/>
  <c r="BQ160" i="30" s="1"/>
  <c r="BQ62" i="33" s="1"/>
  <c r="BP126" i="30"/>
  <c r="BM188" i="1"/>
  <c r="CJ188" i="1" s="1"/>
  <c r="CD188" i="1" s="1"/>
  <c r="A188" i="1" s="1" a="1"/>
  <c r="A188" i="1" s="1"/>
  <c r="BM189" i="30"/>
  <c r="CJ189" i="30" s="1"/>
  <c r="CD189" i="30" s="1"/>
  <c r="A189" i="30" s="1" a="1"/>
  <c r="A189" i="30" s="1"/>
  <c r="CE163" i="20"/>
  <c r="AN531" i="9"/>
  <c r="BM149" i="30"/>
  <c r="CJ149" i="30" s="1"/>
  <c r="BM201" i="30"/>
  <c r="CJ201" i="30" s="1"/>
  <c r="CD201" i="30" s="1"/>
  <c r="CF110" i="6"/>
  <c r="A110" i="6" s="1" a="1"/>
  <c r="A110" i="6" s="1"/>
  <c r="BM197" i="30"/>
  <c r="CJ197" i="30" s="1"/>
  <c r="CD197" i="30" s="1"/>
  <c r="CC254" i="6"/>
  <c r="A254" i="6" s="1" a="1"/>
  <c r="A254" i="6" s="1"/>
  <c r="BM181" i="30"/>
  <c r="CJ181" i="30" s="1"/>
  <c r="CD181" i="30" s="1"/>
  <c r="W49" i="30"/>
  <c r="A48" i="20" a="1"/>
  <c r="A48" i="20" s="1"/>
  <c r="A154" i="20" a="1"/>
  <c r="A154" i="20" s="1"/>
  <c r="A111" i="20" a="1"/>
  <c r="A111" i="20" s="1"/>
  <c r="A94" i="20" a="1"/>
  <c r="A94" i="20" s="1"/>
  <c r="BR214" i="6"/>
  <c r="BR217" i="6" s="1"/>
  <c r="BQ126" i="30"/>
  <c r="BN49" i="30"/>
  <c r="W39" i="30"/>
  <c r="BN782" i="9"/>
  <c r="BN855" i="9" s="1"/>
  <c r="BM782" i="9"/>
  <c r="BM855" i="9" s="1"/>
  <c r="A36" i="20" a="1"/>
  <c r="A36" i="20" s="1"/>
  <c r="BN171" i="20"/>
  <c r="CL171" i="20" s="1"/>
  <c r="A71" i="20" a="1"/>
  <c r="A71" i="20" s="1"/>
  <c r="W196" i="1"/>
  <c r="W1027" i="9"/>
  <c r="BM1027" i="9" s="1"/>
  <c r="W1032" i="9"/>
  <c r="BM1032" i="9" s="1"/>
  <c r="W1030" i="9"/>
  <c r="BM1030" i="9" s="1"/>
  <c r="W1018" i="9"/>
  <c r="BM1018" i="9" s="1"/>
  <c r="CF184" i="6"/>
  <c r="A184" i="6" s="1" a="1"/>
  <c r="A184" i="6" s="1"/>
  <c r="CF187" i="6"/>
  <c r="A187" i="6" s="1" a="1"/>
  <c r="A187" i="6" s="1"/>
  <c r="AL1064" i="9"/>
  <c r="AL1073" i="9"/>
  <c r="AL1079" i="9"/>
  <c r="AL1078" i="9"/>
  <c r="AL1076" i="9"/>
  <c r="BP183" i="1"/>
  <c r="BM117" i="20"/>
  <c r="BM24" i="32" s="1"/>
  <c r="CF208" i="6"/>
  <c r="A208" i="6" s="1" a="1"/>
  <c r="A208" i="6" s="1"/>
  <c r="BM211" i="6"/>
  <c r="BM125" i="30" s="1"/>
  <c r="X204" i="6"/>
  <c r="W125" i="30"/>
  <c r="BN39" i="30"/>
  <c r="BN147" i="30" s="1"/>
  <c r="BM162" i="1"/>
  <c r="CJ162" i="1" s="1"/>
  <c r="CD162" i="1" s="1"/>
  <c r="A27" i="20" a="1"/>
  <c r="A27" i="20" s="1"/>
  <c r="BO42" i="30"/>
  <c r="Y42" i="30" s="1"/>
  <c r="A126" i="20" a="1"/>
  <c r="A126" i="20" s="1"/>
  <c r="BP27" i="20"/>
  <c r="BQ46" i="20"/>
  <c r="A90" i="20" a="1"/>
  <c r="A90" i="20" s="1"/>
  <c r="BM98" i="1"/>
  <c r="CJ98" i="1" s="1"/>
  <c r="BO34" i="30"/>
  <c r="Y34" i="30" s="1"/>
  <c r="CF129" i="6"/>
  <c r="A129" i="6" s="1" a="1"/>
  <c r="A129" i="6" s="1"/>
  <c r="CF134" i="6"/>
  <c r="A134" i="6" s="1" a="1"/>
  <c r="A134" i="6" s="1"/>
  <c r="CF126" i="6"/>
  <c r="A126" i="6" s="1" a="1"/>
  <c r="A126" i="6" s="1"/>
  <c r="BN34" i="30"/>
  <c r="X34" i="30" s="1"/>
  <c r="W73" i="33"/>
  <c r="W171" i="20"/>
  <c r="BM171" i="20"/>
  <c r="CK171" i="20" s="1"/>
  <c r="BM201" i="6"/>
  <c r="BM124" i="30" s="1"/>
  <c r="X195" i="6"/>
  <c r="W124" i="30"/>
  <c r="CW38" i="1"/>
  <c r="CW68" i="1"/>
  <c r="CK113" i="1"/>
  <c r="BN117" i="1"/>
  <c r="CW50" i="1"/>
  <c r="BN107" i="1"/>
  <c r="CK107" i="1" s="1"/>
  <c r="BN84" i="1"/>
  <c r="CK84" i="1" s="1"/>
  <c r="BO60" i="1"/>
  <c r="CL60" i="1" s="1"/>
  <c r="BN37" i="1"/>
  <c r="CK37" i="1" s="1"/>
  <c r="BO67" i="1"/>
  <c r="CL67" i="1" s="1"/>
  <c r="BN60" i="1"/>
  <c r="CK60" i="1" s="1"/>
  <c r="BO49" i="1"/>
  <c r="CL49" i="1" s="1"/>
  <c r="CL113" i="1"/>
  <c r="BO37" i="1"/>
  <c r="CL37" i="1" s="1"/>
  <c r="BO151" i="1"/>
  <c r="CL151" i="1" s="1"/>
  <c r="BN156" i="1"/>
  <c r="CK156" i="1" s="1"/>
  <c r="BN151" i="1"/>
  <c r="CK151" i="1" s="1"/>
  <c r="BN49" i="1"/>
  <c r="CK49" i="1" s="1"/>
  <c r="BO28" i="1"/>
  <c r="CL28" i="1" s="1"/>
  <c r="BO107" i="1"/>
  <c r="CL107" i="1" s="1"/>
  <c r="BO98" i="1"/>
  <c r="CL98" i="1" s="1"/>
  <c r="CW29" i="1"/>
  <c r="CW61" i="1"/>
  <c r="BO117" i="1"/>
  <c r="BO84" i="1"/>
  <c r="CL84" i="1" s="1"/>
  <c r="BN28" i="1"/>
  <c r="CK28" i="1" s="1"/>
  <c r="BN67" i="1"/>
  <c r="CK67" i="1" s="1"/>
  <c r="BN98" i="1"/>
  <c r="CK98" i="1" s="1"/>
  <c r="BO156" i="1"/>
  <c r="CL156" i="1" s="1"/>
  <c r="BM111" i="6"/>
  <c r="X106" i="6"/>
  <c r="X111" i="6" s="1"/>
  <c r="BM136" i="6"/>
  <c r="BM139" i="6" s="1"/>
  <c r="BM118" i="30" s="1"/>
  <c r="X123" i="6"/>
  <c r="W139" i="6"/>
  <c r="W76" i="33"/>
  <c r="CF124" i="6"/>
  <c r="A124" i="6" s="1" a="1"/>
  <c r="A124" i="6" s="1"/>
  <c r="W114" i="6"/>
  <c r="CF109" i="6"/>
  <c r="A109" i="6" s="1" a="1"/>
  <c r="A109" i="6" s="1"/>
  <c r="BP34" i="30"/>
  <c r="AD1077" i="9"/>
  <c r="AK1017" i="9"/>
  <c r="AK1040" i="9" s="1"/>
  <c r="AM1022" i="9"/>
  <c r="AM1045" i="9" s="1"/>
  <c r="AA1068" i="9"/>
  <c r="AX1029" i="9"/>
  <c r="AX1052" i="9" s="1"/>
  <c r="AM1033" i="9"/>
  <c r="AM1056" i="9" s="1"/>
  <c r="AY1019" i="9"/>
  <c r="AY1042" i="9" s="1"/>
  <c r="A23" i="20" a="1"/>
  <c r="A23" i="20" s="1"/>
  <c r="A21" i="20" a="1"/>
  <c r="A21" i="20" s="1"/>
  <c r="BM28" i="1"/>
  <c r="CJ28" i="1" s="1"/>
  <c r="BM37" i="1"/>
  <c r="CJ37" i="1" s="1"/>
  <c r="BN765" i="9"/>
  <c r="AA124" i="30"/>
  <c r="AZ95" i="9"/>
  <c r="AZ525" i="9" s="1"/>
  <c r="AY402" i="9"/>
  <c r="AY610" i="9" s="1"/>
  <c r="AY892" i="9" s="1"/>
  <c r="AZ231" i="9"/>
  <c r="AZ601" i="9" s="1"/>
  <c r="AY307" i="9"/>
  <c r="AY605" i="9" s="1"/>
  <c r="AY887" i="9" s="1"/>
  <c r="AY174" i="9"/>
  <c r="AY598" i="9" s="1"/>
  <c r="AY596" i="9"/>
  <c r="AY878" i="9" s="1"/>
  <c r="AZ133" i="9"/>
  <c r="BA537" i="9"/>
  <c r="BA326" i="9"/>
  <c r="BW593" i="9"/>
  <c r="BW606" i="9"/>
  <c r="BW611" i="9"/>
  <c r="BW602" i="9"/>
  <c r="BW604" i="9"/>
  <c r="BW599" i="9"/>
  <c r="AB195" i="6"/>
  <c r="AZ361" i="9"/>
  <c r="AZ539" i="9" s="1"/>
  <c r="AY890" i="9"/>
  <c r="AL877" i="9"/>
  <c r="AM114" i="9"/>
  <c r="AY893" i="9"/>
  <c r="AZ418" i="9"/>
  <c r="AZ288" i="9"/>
  <c r="AZ604" i="9" s="1"/>
  <c r="AY193" i="9"/>
  <c r="AY599" i="9" s="1"/>
  <c r="AO884" i="9"/>
  <c r="AP247" i="9"/>
  <c r="AV269" i="9"/>
  <c r="AV603" i="9" s="1"/>
  <c r="AN76" i="9"/>
  <c r="AN524" i="9" s="1"/>
  <c r="AM875" i="9"/>
  <c r="AY345" i="9"/>
  <c r="AY607" i="9" s="1"/>
  <c r="AZ155" i="9"/>
  <c r="AZ597" i="9" s="1"/>
  <c r="AN212" i="9"/>
  <c r="AN600" i="9" s="1"/>
  <c r="AQ891" i="9"/>
  <c r="AR380" i="9"/>
  <c r="AY592" i="9"/>
  <c r="BW380" i="9"/>
  <c r="BW540" i="9" s="1"/>
  <c r="AI15" i="20"/>
  <c r="W60" i="1"/>
  <c r="CG60" i="1" s="1"/>
  <c r="CC60" i="1" s="1"/>
  <c r="CG113" i="1"/>
  <c r="CC113" i="1" s="1"/>
  <c r="W156" i="1"/>
  <c r="CG156" i="1" s="1"/>
  <c r="CC156" i="1" s="1"/>
  <c r="BF757" i="9" l="1"/>
  <c r="BF780" i="9" s="1"/>
  <c r="BF803" i="9" s="1"/>
  <c r="CD149" i="30"/>
  <c r="AX741" i="9"/>
  <c r="AY695" i="9" s="1"/>
  <c r="AY716" i="9"/>
  <c r="AY739" i="9" s="1"/>
  <c r="AZ693" i="9" s="1"/>
  <c r="AY835" i="9"/>
  <c r="AZ723" i="9"/>
  <c r="AZ746" i="9" s="1"/>
  <c r="BA700" i="9" s="1"/>
  <c r="AZ842" i="9"/>
  <c r="BG688" i="9"/>
  <c r="BG830" i="9" s="1"/>
  <c r="A201" i="30" a="1"/>
  <c r="A201" i="30" s="1"/>
  <c r="A181" i="30" a="1"/>
  <c r="A181" i="30" s="1"/>
  <c r="A197" i="30" a="1"/>
  <c r="A197" i="30" s="1"/>
  <c r="CE11" i="20"/>
  <c r="A11" i="20" s="1" a="1"/>
  <c r="A11" i="20" s="1"/>
  <c r="CJ124" i="30"/>
  <c r="CJ125" i="30"/>
  <c r="CG125" i="30"/>
  <c r="CH34" i="30"/>
  <c r="CK34" i="30"/>
  <c r="CI34" i="30"/>
  <c r="CL34" i="30"/>
  <c r="CI42" i="30"/>
  <c r="CL42" i="30"/>
  <c r="CG39" i="30"/>
  <c r="CJ39" i="30"/>
  <c r="CJ49" i="30"/>
  <c r="W24" i="32"/>
  <c r="BN153" i="30"/>
  <c r="CK153" i="30" s="1"/>
  <c r="BO117" i="20"/>
  <c r="CD110" i="1"/>
  <c r="A110" i="1" s="1" a="1"/>
  <c r="A110" i="1" s="1"/>
  <c r="BP43" i="20"/>
  <c r="BQ58" i="20"/>
  <c r="A14" i="20" a="1"/>
  <c r="A14" i="20" s="1"/>
  <c r="BQ56" i="20"/>
  <c r="BP117" i="1"/>
  <c r="BP197" i="1" s="1"/>
  <c r="BQ33" i="20"/>
  <c r="BQ117" i="1"/>
  <c r="BO152" i="30"/>
  <c r="CL152" i="30" s="1"/>
  <c r="BP111" i="20"/>
  <c r="BP88" i="20"/>
  <c r="BP93" i="20"/>
  <c r="BP92" i="20"/>
  <c r="BP76" i="20"/>
  <c r="BP22" i="20"/>
  <c r="BQ75" i="20"/>
  <c r="BQ113" i="1"/>
  <c r="BQ194" i="1" s="1"/>
  <c r="BQ150" i="20" s="1"/>
  <c r="BP113" i="1"/>
  <c r="BP194" i="1" s="1"/>
  <c r="BP150" i="20" s="1"/>
  <c r="BQ82" i="20"/>
  <c r="BM87" i="33"/>
  <c r="BP45" i="20"/>
  <c r="BM84" i="33"/>
  <c r="CL117" i="1"/>
  <c r="CK117" i="1"/>
  <c r="CL117" i="20"/>
  <c r="CK117" i="20"/>
  <c r="CJ117" i="1"/>
  <c r="CM182" i="20"/>
  <c r="BO52" i="30"/>
  <c r="Y52" i="30" s="1"/>
  <c r="BO183" i="20"/>
  <c r="CL182" i="20"/>
  <c r="BN52" i="30"/>
  <c r="X52" i="30" s="1"/>
  <c r="BN183" i="20"/>
  <c r="CD181" i="1"/>
  <c r="A181" i="1" s="1" a="1"/>
  <c r="A181" i="1" s="1"/>
  <c r="BN56" i="33"/>
  <c r="CD37" i="1"/>
  <c r="A37" i="1" s="1" a="1"/>
  <c r="A37" i="1" s="1"/>
  <c r="BQ25" i="20"/>
  <c r="BP90" i="20"/>
  <c r="BP195" i="20" s="1"/>
  <c r="BP59" i="20"/>
  <c r="BP141" i="20"/>
  <c r="BM188" i="20"/>
  <c r="CK188" i="20" s="1"/>
  <c r="CE188" i="20" s="1"/>
  <c r="A188" i="20" s="1" a="1"/>
  <c r="A188" i="20" s="1"/>
  <c r="BM197" i="1"/>
  <c r="CJ197" i="1" s="1"/>
  <c r="BP151" i="1"/>
  <c r="BP124" i="20" s="1"/>
  <c r="BQ140" i="20"/>
  <c r="BP143" i="20"/>
  <c r="CD151" i="1"/>
  <c r="A151" i="1" s="1" a="1"/>
  <c r="A151" i="1" s="1"/>
  <c r="CD49" i="1"/>
  <c r="A49" i="1" s="1" a="1"/>
  <c r="A49" i="1" s="1"/>
  <c r="CD156" i="1"/>
  <c r="A156" i="1" s="1" a="1"/>
  <c r="A156" i="1" s="1"/>
  <c r="CD107" i="1"/>
  <c r="A107" i="1" s="1" a="1"/>
  <c r="A107" i="1" s="1"/>
  <c r="BF853" i="9"/>
  <c r="AT1016" i="9" s="1"/>
  <c r="AT1039" i="9" s="1"/>
  <c r="AS1016" i="9"/>
  <c r="AS1039" i="9" s="1"/>
  <c r="AY868" i="9"/>
  <c r="AM1031" i="9" s="1"/>
  <c r="AM1054" i="9" s="1"/>
  <c r="AY818" i="9"/>
  <c r="AZ772" i="9" s="1"/>
  <c r="AZ795" i="9" s="1"/>
  <c r="AZ818" i="9" s="1"/>
  <c r="BG711" i="9"/>
  <c r="BG734" i="9" s="1"/>
  <c r="BC855" i="9"/>
  <c r="AP766" i="9"/>
  <c r="AP789" i="9" s="1"/>
  <c r="BC861" i="9"/>
  <c r="AW881" i="9"/>
  <c r="AK1067" i="9" s="1"/>
  <c r="AX762" i="9"/>
  <c r="AX785" i="9" s="1"/>
  <c r="AX808" i="9" s="1"/>
  <c r="X808" i="9" s="1"/>
  <c r="BA867" i="9"/>
  <c r="AO1030" i="9" s="1"/>
  <c r="AO1053" i="9" s="1"/>
  <c r="BC763" i="9"/>
  <c r="BC786" i="9" s="1"/>
  <c r="BC809" i="9" s="1"/>
  <c r="AX883" i="9"/>
  <c r="BC702" i="9"/>
  <c r="AA1066" i="9"/>
  <c r="BM805" i="9"/>
  <c r="BM878" i="9" s="1"/>
  <c r="W878" i="9"/>
  <c r="AC1025" i="9"/>
  <c r="AC1048" i="9" s="1"/>
  <c r="AY865" i="9"/>
  <c r="AM1028" i="9" s="1"/>
  <c r="AM1051" i="9" s="1"/>
  <c r="AO885" i="9"/>
  <c r="AN857" i="9"/>
  <c r="AN1115" i="9" s="1"/>
  <c r="CC197" i="1"/>
  <c r="CD28" i="1"/>
  <c r="A28" i="1" s="1" a="1"/>
  <c r="A28" i="1" s="1"/>
  <c r="BP42" i="20"/>
  <c r="BP73" i="20"/>
  <c r="BQ83" i="20"/>
  <c r="A162" i="1" a="1"/>
  <c r="A162" i="1" s="1"/>
  <c r="CD60" i="1"/>
  <c r="A60" i="1" s="1" a="1"/>
  <c r="A60" i="1" s="1"/>
  <c r="CD84" i="1"/>
  <c r="A84" i="1" s="1" a="1"/>
  <c r="A84" i="1" s="1"/>
  <c r="CD113" i="1"/>
  <c r="A113" i="1" s="1" a="1"/>
  <c r="A113" i="1" s="1"/>
  <c r="BQ35" i="20"/>
  <c r="BQ34" i="20"/>
  <c r="BP71" i="20"/>
  <c r="CD98" i="1"/>
  <c r="A98" i="1" s="1" a="1"/>
  <c r="A98" i="1" s="1"/>
  <c r="CD67" i="1"/>
  <c r="A67" i="1" s="1" a="1"/>
  <c r="A67" i="1" s="1"/>
  <c r="CG196" i="1"/>
  <c r="CC196" i="1" s="1"/>
  <c r="CC117" i="1"/>
  <c r="BP36" i="20"/>
  <c r="BP154" i="20"/>
  <c r="BP134" i="1"/>
  <c r="BP110" i="20"/>
  <c r="BP55" i="20"/>
  <c r="BQ116" i="20"/>
  <c r="BQ152" i="30" s="1"/>
  <c r="BP101" i="20"/>
  <c r="BP21" i="20"/>
  <c r="BP20" i="20"/>
  <c r="BP64" i="20"/>
  <c r="BP53" i="20"/>
  <c r="BP37" i="1"/>
  <c r="BP125" i="20"/>
  <c r="BP94" i="20"/>
  <c r="BP87" i="20"/>
  <c r="BP156" i="1"/>
  <c r="BP102" i="20"/>
  <c r="BP60" i="1"/>
  <c r="BP32" i="20"/>
  <c r="BP44" i="20"/>
  <c r="BP49" i="1"/>
  <c r="CE96" i="20"/>
  <c r="A96" i="20" s="1" a="1"/>
  <c r="A96" i="20" s="1"/>
  <c r="BP65" i="20"/>
  <c r="BP103" i="20"/>
  <c r="BP19" i="20"/>
  <c r="BP126" i="20"/>
  <c r="BP98" i="1"/>
  <c r="BP81" i="20" s="1"/>
  <c r="A93" i="20" a="1"/>
  <c r="A93" i="20" s="1"/>
  <c r="BP104" i="20"/>
  <c r="CL116" i="20"/>
  <c r="CE116" i="20" s="1"/>
  <c r="A116" i="20" s="1" a="1"/>
  <c r="A116" i="20" s="1"/>
  <c r="BN152" i="30"/>
  <c r="A66" i="20" a="1"/>
  <c r="A66" i="20" s="1"/>
  <c r="BQ104" i="20"/>
  <c r="BQ182" i="20"/>
  <c r="BQ52" i="30" s="1"/>
  <c r="BM147" i="20"/>
  <c r="BP84" i="1"/>
  <c r="BP66" i="20" s="1"/>
  <c r="BP57" i="20"/>
  <c r="BZ105" i="20"/>
  <c r="BP96" i="20"/>
  <c r="A127" i="20" a="1"/>
  <c r="A127" i="20" s="1"/>
  <c r="BQ57" i="20"/>
  <c r="BP54" i="20"/>
  <c r="BP182" i="20"/>
  <c r="BP52" i="30" s="1"/>
  <c r="CE105" i="20"/>
  <c r="A105" i="20" s="1" a="1"/>
  <c r="A105" i="20" s="1"/>
  <c r="CK81" i="20"/>
  <c r="CL81" i="20"/>
  <c r="CM81" i="20"/>
  <c r="BP107" i="1"/>
  <c r="BP89" i="20" s="1"/>
  <c r="BP28" i="1"/>
  <c r="BP23" i="20" s="1"/>
  <c r="BP67" i="1"/>
  <c r="BM162" i="20"/>
  <c r="CK162" i="20" s="1"/>
  <c r="CE162" i="20" s="1"/>
  <c r="A162" i="20" s="1" a="1"/>
  <c r="A162" i="20" s="1"/>
  <c r="BO197" i="1"/>
  <c r="CL197" i="1" s="1"/>
  <c r="BO194" i="1"/>
  <c r="CL194" i="1" s="1"/>
  <c r="BR72" i="30"/>
  <c r="BR160" i="30" s="1"/>
  <c r="BR62" i="33" s="1"/>
  <c r="BP198" i="20"/>
  <c r="CE171" i="20"/>
  <c r="A171" i="20" s="1" a="1"/>
  <c r="A171" i="20" s="1"/>
  <c r="BM114" i="6"/>
  <c r="BM116" i="30" s="1"/>
  <c r="BP117" i="20"/>
  <c r="AP533" i="9"/>
  <c r="AZ542" i="9"/>
  <c r="AM526" i="9"/>
  <c r="AR540" i="9"/>
  <c r="AB201" i="6"/>
  <c r="AC195" i="6" s="1"/>
  <c r="W147" i="30"/>
  <c r="X49" i="30"/>
  <c r="A149" i="30" a="1"/>
  <c r="A149" i="30" s="1"/>
  <c r="BS214" i="6"/>
  <c r="BS217" i="6" s="1"/>
  <c r="BR126" i="30"/>
  <c r="BP49" i="30"/>
  <c r="W757" i="9"/>
  <c r="BM757" i="9" s="1"/>
  <c r="X757" i="9"/>
  <c r="BN757" i="9" s="1"/>
  <c r="BN42" i="30"/>
  <c r="X42" i="30" s="1"/>
  <c r="BN194" i="1"/>
  <c r="CK194" i="1" s="1"/>
  <c r="BN197" i="1"/>
  <c r="CK197" i="1" s="1"/>
  <c r="BQ183" i="1"/>
  <c r="W1029" i="9"/>
  <c r="BM1029" i="9" s="1"/>
  <c r="AM1065" i="9"/>
  <c r="AL1075" i="9"/>
  <c r="BP181" i="20"/>
  <c r="BM42" i="30"/>
  <c r="W42" i="30" s="1"/>
  <c r="X39" i="30"/>
  <c r="X211" i="6"/>
  <c r="BN204" i="6"/>
  <c r="BQ21" i="20"/>
  <c r="BQ23" i="20"/>
  <c r="BR46" i="20"/>
  <c r="BQ103" i="20"/>
  <c r="BQ127" i="20"/>
  <c r="BQ124" i="20"/>
  <c r="BQ20" i="20"/>
  <c r="BQ36" i="20"/>
  <c r="BQ125" i="20"/>
  <c r="BQ123" i="20"/>
  <c r="BQ55" i="20"/>
  <c r="BQ71" i="20"/>
  <c r="BQ27" i="20"/>
  <c r="BQ141" i="20"/>
  <c r="BQ34" i="30" s="1"/>
  <c r="BQ54" i="20"/>
  <c r="BQ64" i="20"/>
  <c r="BQ67" i="1"/>
  <c r="BQ94" i="20"/>
  <c r="BQ87" i="20"/>
  <c r="BR82" i="20"/>
  <c r="BQ101" i="20"/>
  <c r="BQ19" i="20"/>
  <c r="BQ28" i="1"/>
  <c r="BQ169" i="20"/>
  <c r="BQ49" i="30" s="1"/>
  <c r="BQ53" i="20"/>
  <c r="BQ115" i="20"/>
  <c r="BQ90" i="20"/>
  <c r="BQ195" i="20" s="1"/>
  <c r="BQ111" i="20"/>
  <c r="BQ76" i="20"/>
  <c r="BQ73" i="20"/>
  <c r="BQ22" i="20"/>
  <c r="BQ88" i="20"/>
  <c r="BQ92" i="20"/>
  <c r="BQ154" i="20"/>
  <c r="BQ41" i="30" s="1"/>
  <c r="BQ59" i="20"/>
  <c r="BQ65" i="20"/>
  <c r="BM73" i="33"/>
  <c r="BM196" i="1"/>
  <c r="CJ196" i="1" s="1"/>
  <c r="CD196" i="1" s="1"/>
  <c r="X201" i="6"/>
  <c r="BN195" i="6"/>
  <c r="BN106" i="6"/>
  <c r="BN111" i="6" s="1"/>
  <c r="CX38" i="1"/>
  <c r="CX61" i="1"/>
  <c r="CX29" i="1"/>
  <c r="CX50" i="1"/>
  <c r="CX68" i="1"/>
  <c r="W116" i="30"/>
  <c r="W118" i="30"/>
  <c r="BN123" i="6"/>
  <c r="X136" i="6"/>
  <c r="BM76" i="33"/>
  <c r="Y106" i="6"/>
  <c r="X114" i="6"/>
  <c r="AE1077" i="9"/>
  <c r="AY1027" i="9"/>
  <c r="AY1050" i="9" s="1"/>
  <c r="AY1032" i="9"/>
  <c r="AY1055" i="9" s="1"/>
  <c r="AL1017" i="9"/>
  <c r="AL1040" i="9" s="1"/>
  <c r="AM1015" i="9"/>
  <c r="AM1038" i="9" s="1"/>
  <c r="AA1061" i="9"/>
  <c r="AO1024" i="9"/>
  <c r="AO1047" i="9" s="1"/>
  <c r="AC1070" i="9"/>
  <c r="W194" i="1"/>
  <c r="CG194" i="1" s="1"/>
  <c r="CC194" i="1" s="1"/>
  <c r="AY1105" i="9"/>
  <c r="AY199" i="30" s="1"/>
  <c r="AY86" i="33" s="1"/>
  <c r="AJ15" i="20"/>
  <c r="AL15" i="20"/>
  <c r="AK15" i="20"/>
  <c r="AZ98" i="9"/>
  <c r="AZ594" i="9" s="1"/>
  <c r="AZ876" i="9" s="1"/>
  <c r="AZ399" i="9"/>
  <c r="AZ541" i="9" s="1"/>
  <c r="AZ304" i="9"/>
  <c r="AZ536" i="9" s="1"/>
  <c r="BA228" i="9"/>
  <c r="BA532" i="9" s="1"/>
  <c r="AZ171" i="9"/>
  <c r="AZ529" i="9" s="1"/>
  <c r="AZ527" i="9"/>
  <c r="AZ136" i="9"/>
  <c r="BA606" i="9"/>
  <c r="BB323" i="9"/>
  <c r="AZ364" i="9"/>
  <c r="AZ608" i="9" s="1"/>
  <c r="BW383" i="9"/>
  <c r="AR383" i="9"/>
  <c r="AR609" i="9" s="1"/>
  <c r="AO209" i="9"/>
  <c r="AN882" i="9"/>
  <c r="BA152" i="9"/>
  <c r="BA528" i="9" s="1"/>
  <c r="AZ879" i="9"/>
  <c r="AZ523" i="9"/>
  <c r="AN79" i="9"/>
  <c r="AN593" i="9" s="1"/>
  <c r="AP250" i="9"/>
  <c r="AP602" i="9" s="1"/>
  <c r="BA845" i="9"/>
  <c r="AZ835" i="9"/>
  <c r="AW266" i="9"/>
  <c r="AW534" i="9" s="1"/>
  <c r="BA285" i="9"/>
  <c r="BA535" i="9" s="1"/>
  <c r="AZ342" i="9"/>
  <c r="AZ538" i="9" s="1"/>
  <c r="AY889" i="9"/>
  <c r="AZ870" i="9"/>
  <c r="AZ421" i="9"/>
  <c r="AZ611" i="9" s="1"/>
  <c r="AZ190" i="9"/>
  <c r="AZ530" i="9" s="1"/>
  <c r="AM117" i="9"/>
  <c r="AM595" i="9" s="1"/>
  <c r="AA28" i="20"/>
  <c r="AC156" i="20"/>
  <c r="AD156" i="20"/>
  <c r="AF156" i="20"/>
  <c r="BG757" i="9" l="1"/>
  <c r="BG780" i="9" s="1"/>
  <c r="BR25" i="20"/>
  <c r="BR57" i="20"/>
  <c r="BQ102" i="20"/>
  <c r="AY837" i="9"/>
  <c r="AY718" i="9"/>
  <c r="AY741" i="9" s="1"/>
  <c r="AZ695" i="9" s="1"/>
  <c r="AZ837" i="9" s="1"/>
  <c r="AY764" i="9"/>
  <c r="AY787" i="9" s="1"/>
  <c r="AY810" i="9" s="1"/>
  <c r="AZ716" i="9"/>
  <c r="AB124" i="30"/>
  <c r="BR56" i="20"/>
  <c r="BQ146" i="20"/>
  <c r="BQ110" i="20"/>
  <c r="BP24" i="32"/>
  <c r="BQ44" i="20"/>
  <c r="CM117" i="20"/>
  <c r="CE117" i="20" s="1"/>
  <c r="A117" i="20" s="1" a="1"/>
  <c r="A117" i="20" s="1"/>
  <c r="BO24" i="32"/>
  <c r="BR35" i="20"/>
  <c r="CJ118" i="30"/>
  <c r="CG118" i="30"/>
  <c r="CJ116" i="30"/>
  <c r="CG116" i="30"/>
  <c r="CD34" i="30"/>
  <c r="CC34" i="30"/>
  <c r="CG42" i="30"/>
  <c r="CJ42" i="30"/>
  <c r="CH42" i="30"/>
  <c r="CK42" i="30"/>
  <c r="CI52" i="30"/>
  <c r="CL52" i="30"/>
  <c r="CK49" i="30"/>
  <c r="CD49" i="30" s="1"/>
  <c r="CH52" i="30"/>
  <c r="CK52" i="30"/>
  <c r="X147" i="30"/>
  <c r="CH147" i="30" s="1"/>
  <c r="CK39" i="30"/>
  <c r="CH39" i="30"/>
  <c r="BN59" i="33"/>
  <c r="CK152" i="30"/>
  <c r="CD152" i="30" s="1"/>
  <c r="A152" i="30" s="1" a="1"/>
  <c r="A152" i="30" s="1"/>
  <c r="CG147" i="30"/>
  <c r="CJ147" i="30"/>
  <c r="BP153" i="30"/>
  <c r="BP59" i="33" s="1"/>
  <c r="BO153" i="30"/>
  <c r="CL153" i="30" s="1"/>
  <c r="X24" i="32"/>
  <c r="CG24" i="32" s="1"/>
  <c r="CF24" i="32"/>
  <c r="BQ48" i="20"/>
  <c r="BR58" i="20"/>
  <c r="BQ91" i="20"/>
  <c r="BR33" i="20"/>
  <c r="BQ98" i="1"/>
  <c r="BQ81" i="20" s="1"/>
  <c r="BQ77" i="20"/>
  <c r="BQ142" i="20"/>
  <c r="BQ74" i="20"/>
  <c r="BR34" i="20"/>
  <c r="BQ122" i="20"/>
  <c r="BQ32" i="20"/>
  <c r="BR113" i="1"/>
  <c r="BQ143" i="20"/>
  <c r="BQ37" i="1"/>
  <c r="BQ43" i="20"/>
  <c r="CD117" i="1"/>
  <c r="A117" i="1" s="1" a="1"/>
  <c r="A117" i="1" s="1"/>
  <c r="BQ42" i="20"/>
  <c r="BP183" i="20"/>
  <c r="BQ144" i="20"/>
  <c r="BQ156" i="1"/>
  <c r="BQ14" i="20"/>
  <c r="BQ45" i="20"/>
  <c r="AA37" i="20"/>
  <c r="CE182" i="20"/>
  <c r="A182" i="20" s="1" a="1"/>
  <c r="A182" i="20" s="1"/>
  <c r="W56" i="33"/>
  <c r="BP158" i="1"/>
  <c r="BP128" i="20" s="1"/>
  <c r="BQ49" i="1"/>
  <c r="BR116" i="20"/>
  <c r="BR152" i="30" s="1"/>
  <c r="BR104" i="20"/>
  <c r="BR83" i="20"/>
  <c r="BQ107" i="1"/>
  <c r="BQ89" i="20" s="1"/>
  <c r="BQ151" i="1"/>
  <c r="CD194" i="1"/>
  <c r="A194" i="1" s="1" a="1"/>
  <c r="A194" i="1" s="1"/>
  <c r="BG803" i="9"/>
  <c r="BG853" i="9"/>
  <c r="AU1016" i="9" s="1"/>
  <c r="AU1039" i="9" s="1"/>
  <c r="BH688" i="9"/>
  <c r="AP812" i="9"/>
  <c r="BC859" i="9"/>
  <c r="AL1069" i="9"/>
  <c r="BD836" i="9"/>
  <c r="BD717" i="9"/>
  <c r="AP839" i="9"/>
  <c r="AP720" i="9"/>
  <c r="AP743" i="9" s="1"/>
  <c r="AY860" i="9"/>
  <c r="BA842" i="9"/>
  <c r="BA723" i="9"/>
  <c r="BA746" i="9" s="1"/>
  <c r="BC726" i="9"/>
  <c r="BC749" i="9" s="1"/>
  <c r="BD838" i="9"/>
  <c r="BD719" i="9"/>
  <c r="AX858" i="9"/>
  <c r="AL1021" i="9" s="1"/>
  <c r="AL1044" i="9" s="1"/>
  <c r="BD765" i="9"/>
  <c r="BB847" i="9"/>
  <c r="BB728" i="9"/>
  <c r="BB751" i="9" s="1"/>
  <c r="BC705" i="9" s="1"/>
  <c r="BB774" i="9"/>
  <c r="BB797" i="9" s="1"/>
  <c r="BB820" i="9" s="1"/>
  <c r="BD832" i="9"/>
  <c r="BD713" i="9"/>
  <c r="BD759" i="9"/>
  <c r="AZ868" i="9"/>
  <c r="AN1031" i="9" s="1"/>
  <c r="AN1054" i="9" s="1"/>
  <c r="AO834" i="9"/>
  <c r="AO1121" i="9" s="1"/>
  <c r="AO1145" i="9" s="1"/>
  <c r="AO715" i="9"/>
  <c r="AO738" i="9" s="1"/>
  <c r="BB771" i="9"/>
  <c r="BB794" i="9" s="1"/>
  <c r="BB817" i="9" s="1"/>
  <c r="AQ1018" i="9"/>
  <c r="AQ1041" i="9" s="1"/>
  <c r="AC1071" i="9"/>
  <c r="AB1020" i="9"/>
  <c r="AB1043" i="9" s="1"/>
  <c r="AP862" i="9"/>
  <c r="AZ769" i="9"/>
  <c r="AZ792" i="9" s="1"/>
  <c r="AZ815" i="9" s="1"/>
  <c r="AY888" i="9"/>
  <c r="AM1074" i="9" s="1"/>
  <c r="AN880" i="9"/>
  <c r="AO761" i="9"/>
  <c r="AO784" i="9" s="1"/>
  <c r="AO857" i="9" s="1"/>
  <c r="AO1115" i="9" s="1"/>
  <c r="CD197" i="1"/>
  <c r="A197" i="1" s="1" a="1"/>
  <c r="A197" i="1" s="1"/>
  <c r="A196" i="1" a="1"/>
  <c r="A196" i="1" s="1"/>
  <c r="BQ126" i="20"/>
  <c r="BQ134" i="1"/>
  <c r="BQ60" i="1"/>
  <c r="BQ84" i="1"/>
  <c r="BQ66" i="20" s="1"/>
  <c r="BQ72" i="20"/>
  <c r="BQ197" i="1"/>
  <c r="BQ96" i="20"/>
  <c r="BQ93" i="20"/>
  <c r="BR182" i="20"/>
  <c r="BR52" i="30" s="1"/>
  <c r="BM153" i="30"/>
  <c r="CK147" i="20"/>
  <c r="CE147" i="20" s="1"/>
  <c r="A147" i="20" s="1" a="1"/>
  <c r="A147" i="20" s="1"/>
  <c r="CE81" i="20"/>
  <c r="A81" i="20" s="1" a="1"/>
  <c r="A81" i="20" s="1"/>
  <c r="BQ198" i="20"/>
  <c r="BS72" i="30"/>
  <c r="BS160" i="30" s="1"/>
  <c r="BS62" i="33" s="1"/>
  <c r="BN114" i="6"/>
  <c r="BN116" i="30" s="1"/>
  <c r="AO531" i="9"/>
  <c r="AC201" i="6"/>
  <c r="AC124" i="30" s="1"/>
  <c r="BT214" i="6"/>
  <c r="BT217" i="6" s="1"/>
  <c r="BS126" i="30"/>
  <c r="W780" i="9"/>
  <c r="W853" i="9" s="1"/>
  <c r="X780" i="9"/>
  <c r="BQ181" i="20"/>
  <c r="BQ183" i="20" s="1"/>
  <c r="BR183" i="1"/>
  <c r="AM1079" i="9"/>
  <c r="AM1073" i="9"/>
  <c r="AM1076" i="9"/>
  <c r="AM1064" i="9"/>
  <c r="AM1078" i="9"/>
  <c r="X125" i="30"/>
  <c r="Y204" i="6"/>
  <c r="BN211" i="6"/>
  <c r="BN125" i="30" s="1"/>
  <c r="BR126" i="20"/>
  <c r="BR22" i="20"/>
  <c r="BR76" i="20"/>
  <c r="BR90" i="20"/>
  <c r="BR195" i="20" s="1"/>
  <c r="BQ117" i="20"/>
  <c r="BR53" i="20"/>
  <c r="BR60" i="1"/>
  <c r="BR77" i="20"/>
  <c r="BR93" i="20"/>
  <c r="BR140" i="20"/>
  <c r="BR14" i="20"/>
  <c r="BR141" i="20"/>
  <c r="BR34" i="30" s="1"/>
  <c r="BR27" i="20"/>
  <c r="BR146" i="20"/>
  <c r="BR55" i="20"/>
  <c r="BR48" i="20"/>
  <c r="BR74" i="20"/>
  <c r="BS46" i="20"/>
  <c r="BR115" i="20"/>
  <c r="BR117" i="1"/>
  <c r="BR94" i="20"/>
  <c r="BR64" i="20"/>
  <c r="BR67" i="1"/>
  <c r="BR54" i="20"/>
  <c r="BS25" i="20"/>
  <c r="BR32" i="20"/>
  <c r="BR37" i="1"/>
  <c r="BR154" i="20"/>
  <c r="BR41" i="30" s="1"/>
  <c r="BR156" i="1"/>
  <c r="BR127" i="20" s="1"/>
  <c r="BR92" i="20"/>
  <c r="BR88" i="20"/>
  <c r="BR73" i="20"/>
  <c r="BR111" i="20"/>
  <c r="BR169" i="20"/>
  <c r="BS82" i="20"/>
  <c r="BR101" i="20"/>
  <c r="BR142" i="20"/>
  <c r="BR144" i="20"/>
  <c r="BR123" i="20"/>
  <c r="BR125" i="20"/>
  <c r="BR36" i="20"/>
  <c r="BR198" i="20"/>
  <c r="BR21" i="20"/>
  <c r="BR65" i="20"/>
  <c r="BR59" i="20"/>
  <c r="BR19" i="20"/>
  <c r="BR28" i="1"/>
  <c r="BR23" i="20" s="1"/>
  <c r="BR122" i="20"/>
  <c r="BR87" i="20"/>
  <c r="BR98" i="1"/>
  <c r="BR81" i="20" s="1"/>
  <c r="BR66" i="20"/>
  <c r="BR89" i="20"/>
  <c r="BS56" i="20"/>
  <c r="BR20" i="20"/>
  <c r="BR91" i="20"/>
  <c r="BR103" i="20"/>
  <c r="BR75" i="20"/>
  <c r="BS57" i="20"/>
  <c r="BR72" i="20"/>
  <c r="AA13" i="30"/>
  <c r="BN201" i="6"/>
  <c r="BN124" i="30" s="1"/>
  <c r="X124" i="30"/>
  <c r="Y195" i="6"/>
  <c r="CY50" i="1"/>
  <c r="CY61" i="1"/>
  <c r="CY68" i="1"/>
  <c r="CY38" i="1"/>
  <c r="CY29" i="1"/>
  <c r="BN136" i="6"/>
  <c r="BN139" i="6" s="1"/>
  <c r="BN118" i="30" s="1"/>
  <c r="Y123" i="6"/>
  <c r="X139" i="6"/>
  <c r="X116" i="30"/>
  <c r="Y111" i="6"/>
  <c r="BO106" i="6"/>
  <c r="BO111" i="6" s="1"/>
  <c r="AD28" i="30"/>
  <c r="AC28" i="30"/>
  <c r="AF28" i="30"/>
  <c r="AY1029" i="9"/>
  <c r="AY1052" i="9" s="1"/>
  <c r="AN1022" i="9"/>
  <c r="AN1045" i="9" s="1"/>
  <c r="AB1068" i="9"/>
  <c r="AN1033" i="9"/>
  <c r="AN1056" i="9" s="1"/>
  <c r="AZ1019" i="9"/>
  <c r="AZ1042" i="9" s="1"/>
  <c r="BA95" i="9"/>
  <c r="BA525" i="9" s="1"/>
  <c r="AZ402" i="9"/>
  <c r="AZ307" i="9"/>
  <c r="AZ605" i="9" s="1"/>
  <c r="AZ887" i="9" s="1"/>
  <c r="BA231" i="9"/>
  <c r="BA601" i="9" s="1"/>
  <c r="AZ174" i="9"/>
  <c r="AZ598" i="9" s="1"/>
  <c r="AZ596" i="9"/>
  <c r="AZ878" i="9" s="1"/>
  <c r="BA133" i="9"/>
  <c r="BB537" i="9"/>
  <c r="BB326" i="9"/>
  <c r="BW609" i="9"/>
  <c r="AZ890" i="9"/>
  <c r="BA361" i="9"/>
  <c r="BA539" i="9" s="1"/>
  <c r="AZ193" i="9"/>
  <c r="AZ599" i="9" s="1"/>
  <c r="BA155" i="9"/>
  <c r="BA597" i="9" s="1"/>
  <c r="AS380" i="9"/>
  <c r="AR891" i="9"/>
  <c r="AN875" i="9"/>
  <c r="AO76" i="9"/>
  <c r="AO524" i="9" s="1"/>
  <c r="AZ592" i="9"/>
  <c r="AM877" i="9"/>
  <c r="AN114" i="9"/>
  <c r="AW269" i="9"/>
  <c r="AW603" i="9" s="1"/>
  <c r="AZ893" i="9"/>
  <c r="BA418" i="9"/>
  <c r="AZ345" i="9"/>
  <c r="AZ607" i="9" s="1"/>
  <c r="BA288" i="9"/>
  <c r="BA604" i="9" s="1"/>
  <c r="AQ247" i="9"/>
  <c r="AP884" i="9"/>
  <c r="AO212" i="9"/>
  <c r="AO600" i="9" s="1"/>
  <c r="AA156" i="20"/>
  <c r="AA43" i="30" s="1"/>
  <c r="AL156" i="20"/>
  <c r="AI156" i="20"/>
  <c r="AJ156" i="20"/>
  <c r="AA49" i="20"/>
  <c r="AA60" i="20" s="1"/>
  <c r="AG156" i="20"/>
  <c r="BS34" i="20" l="1"/>
  <c r="BR44" i="20"/>
  <c r="BR71" i="20"/>
  <c r="BR102" i="20"/>
  <c r="BS35" i="20"/>
  <c r="BD742" i="9"/>
  <c r="BE696" i="9" s="1"/>
  <c r="BD736" i="9"/>
  <c r="BE690" i="9" s="1"/>
  <c r="AZ718" i="9"/>
  <c r="AZ741" i="9" s="1"/>
  <c r="BA695" i="9" s="1"/>
  <c r="BD740" i="9"/>
  <c r="BE694" i="9" s="1"/>
  <c r="AZ739" i="9"/>
  <c r="BA693" i="9" s="1"/>
  <c r="CD42" i="30"/>
  <c r="BS58" i="20"/>
  <c r="BR151" i="1"/>
  <c r="BR124" i="20" s="1"/>
  <c r="BR84" i="1"/>
  <c r="BR110" i="20"/>
  <c r="BQ24" i="32"/>
  <c r="CH116" i="30"/>
  <c r="CK116" i="30"/>
  <c r="CK124" i="30"/>
  <c r="CH125" i="30"/>
  <c r="CK125" i="30"/>
  <c r="CC42" i="30"/>
  <c r="X56" i="33"/>
  <c r="CK147" i="30"/>
  <c r="BM59" i="33"/>
  <c r="CJ153" i="30"/>
  <c r="CD153" i="30" s="1"/>
  <c r="A153" i="30" s="1" a="1"/>
  <c r="A153" i="30" s="1"/>
  <c r="BO59" i="33"/>
  <c r="BQ153" i="30"/>
  <c r="BQ59" i="33" s="1"/>
  <c r="Y24" i="32"/>
  <c r="BR42" i="20"/>
  <c r="BS33" i="20"/>
  <c r="BS104" i="20"/>
  <c r="BR49" i="1"/>
  <c r="BR43" i="20"/>
  <c r="BS83" i="20"/>
  <c r="BR107" i="1"/>
  <c r="BR134" i="1"/>
  <c r="BR143" i="20"/>
  <c r="BS116" i="20"/>
  <c r="BS152" i="30" s="1"/>
  <c r="AA67" i="20"/>
  <c r="AA17" i="30" s="1"/>
  <c r="AA14" i="30"/>
  <c r="AA84" i="20"/>
  <c r="AA18" i="30" s="1"/>
  <c r="BS45" i="20"/>
  <c r="BR45" i="20"/>
  <c r="BR96" i="20"/>
  <c r="BR117" i="20"/>
  <c r="BQ158" i="1"/>
  <c r="BQ128" i="20" s="1"/>
  <c r="BN780" i="9"/>
  <c r="BN853" i="9" s="1"/>
  <c r="X853" i="9"/>
  <c r="BH757" i="9"/>
  <c r="BH780" i="9" s="1"/>
  <c r="BH853" i="9" s="1"/>
  <c r="BH830" i="9"/>
  <c r="BH711" i="9"/>
  <c r="BH734" i="9" s="1"/>
  <c r="AO807" i="9"/>
  <c r="BD788" i="9"/>
  <c r="BD811" i="9" s="1"/>
  <c r="BB700" i="9"/>
  <c r="AM1023" i="9"/>
  <c r="AM1046" i="9" s="1"/>
  <c r="BA772" i="9"/>
  <c r="BA795" i="9" s="1"/>
  <c r="AY762" i="9"/>
  <c r="AY785" i="9" s="1"/>
  <c r="AY808" i="9" s="1"/>
  <c r="AX881" i="9"/>
  <c r="AL1067" i="9" s="1"/>
  <c r="AZ764" i="9"/>
  <c r="AZ787" i="9" s="1"/>
  <c r="AZ810" i="9" s="1"/>
  <c r="AY883" i="9"/>
  <c r="AQ697" i="9"/>
  <c r="AP692" i="9"/>
  <c r="W1021" i="9"/>
  <c r="BM1021" i="9" s="1"/>
  <c r="BD703" i="9"/>
  <c r="BD763" i="9"/>
  <c r="BD786" i="9" s="1"/>
  <c r="BD809" i="9" s="1"/>
  <c r="BB867" i="9"/>
  <c r="AP1030" i="9" s="1"/>
  <c r="AP1053" i="9" s="1"/>
  <c r="BD782" i="9"/>
  <c r="BD805" i="9" s="1"/>
  <c r="BC844" i="9"/>
  <c r="BC725" i="9"/>
  <c r="BC748" i="9" s="1"/>
  <c r="AZ865" i="9"/>
  <c r="AN1028" i="9" s="1"/>
  <c r="AN1051" i="9" s="1"/>
  <c r="AB1066" i="9"/>
  <c r="AP885" i="9"/>
  <c r="AC1020" i="9"/>
  <c r="AC1043" i="9" s="1"/>
  <c r="AD1025" i="9"/>
  <c r="AD1048" i="9" s="1"/>
  <c r="BS182" i="20"/>
  <c r="BS52" i="30" s="1"/>
  <c r="CK150" i="20"/>
  <c r="CL150" i="20"/>
  <c r="CM150" i="20"/>
  <c r="BT72" i="30"/>
  <c r="BT160" i="30" s="1"/>
  <c r="BT62" i="33" s="1"/>
  <c r="AD195" i="6"/>
  <c r="AD201" i="6" s="1"/>
  <c r="AS540" i="9"/>
  <c r="AQ533" i="9"/>
  <c r="AN526" i="9"/>
  <c r="BA542" i="9"/>
  <c r="BU214" i="6"/>
  <c r="BU217" i="6" s="1"/>
  <c r="BT126" i="30"/>
  <c r="BR49" i="30"/>
  <c r="BM780" i="9"/>
  <c r="BM853" i="9" s="1"/>
  <c r="BQ41" i="6"/>
  <c r="BQ51" i="30"/>
  <c r="BR181" i="20"/>
  <c r="BR183" i="20" s="1"/>
  <c r="BS183" i="1"/>
  <c r="AN1065" i="9"/>
  <c r="AM1075" i="9"/>
  <c r="AA15" i="30"/>
  <c r="AA16" i="30"/>
  <c r="Y211" i="6"/>
  <c r="BO204" i="6"/>
  <c r="CF204" i="6" s="1"/>
  <c r="A204" i="6" s="1" a="1"/>
  <c r="A204" i="6" s="1"/>
  <c r="BT57" i="20"/>
  <c r="BS72" i="20"/>
  <c r="BS20" i="20"/>
  <c r="BS65" i="20"/>
  <c r="BS21" i="20"/>
  <c r="BS125" i="20"/>
  <c r="BT82" i="20"/>
  <c r="BS101" i="20"/>
  <c r="BS169" i="20"/>
  <c r="BS92" i="20"/>
  <c r="BS154" i="20"/>
  <c r="BS156" i="1"/>
  <c r="BS115" i="20"/>
  <c r="BS117" i="1"/>
  <c r="BT46" i="20"/>
  <c r="BS146" i="20"/>
  <c r="BS141" i="20"/>
  <c r="BS34" i="30" s="1"/>
  <c r="BS90" i="20"/>
  <c r="BS195" i="20" s="1"/>
  <c r="BS91" i="20"/>
  <c r="BS59" i="20"/>
  <c r="BS36" i="20"/>
  <c r="BS144" i="20"/>
  <c r="BS88" i="20"/>
  <c r="BS64" i="20"/>
  <c r="BS67" i="1"/>
  <c r="BS74" i="20"/>
  <c r="BS55" i="20"/>
  <c r="BS27" i="20"/>
  <c r="BS140" i="20"/>
  <c r="BS126" i="20"/>
  <c r="BS103" i="20"/>
  <c r="BS66" i="20"/>
  <c r="BS87" i="20"/>
  <c r="BS98" i="1"/>
  <c r="BS81" i="20" s="1"/>
  <c r="BS122" i="20"/>
  <c r="BS142" i="20"/>
  <c r="BS73" i="20"/>
  <c r="BS127" i="20"/>
  <c r="BS54" i="20"/>
  <c r="BR197" i="1"/>
  <c r="BS43" i="20"/>
  <c r="BS48" i="20"/>
  <c r="BS22" i="20"/>
  <c r="BS75" i="20"/>
  <c r="BT56" i="20"/>
  <c r="BS71" i="20"/>
  <c r="BS84" i="1"/>
  <c r="BS89" i="20"/>
  <c r="BS19" i="20"/>
  <c r="BS28" i="1"/>
  <c r="BS23" i="20" s="1"/>
  <c r="BS123" i="20"/>
  <c r="BS111" i="20"/>
  <c r="BT25" i="20"/>
  <c r="BS32" i="20"/>
  <c r="BS37" i="1"/>
  <c r="BS94" i="20"/>
  <c r="BR194" i="1"/>
  <c r="BR150" i="20" s="1"/>
  <c r="BS14" i="20"/>
  <c r="BS77" i="20"/>
  <c r="BS53" i="20"/>
  <c r="BS60" i="1"/>
  <c r="BS76" i="20"/>
  <c r="AL28" i="30"/>
  <c r="AA28" i="30"/>
  <c r="AJ28" i="30"/>
  <c r="AI28" i="30"/>
  <c r="Y201" i="6"/>
  <c r="BO195" i="6"/>
  <c r="CF195" i="6" s="1"/>
  <c r="A195" i="6" s="1" a="1"/>
  <c r="A195" i="6" s="1"/>
  <c r="CZ29" i="1"/>
  <c r="CZ38" i="1"/>
  <c r="CZ68" i="1"/>
  <c r="CZ61" i="1"/>
  <c r="CZ50" i="1"/>
  <c r="X118" i="30"/>
  <c r="BO123" i="6"/>
  <c r="CF123" i="6" s="1"/>
  <c r="A123" i="6" s="1" a="1"/>
  <c r="A123" i="6" s="1"/>
  <c r="Y136" i="6"/>
  <c r="BP106" i="6"/>
  <c r="BP111" i="6" s="1"/>
  <c r="BO114" i="6"/>
  <c r="BO116" i="30" s="1"/>
  <c r="Y114" i="6"/>
  <c r="CF111" i="6"/>
  <c r="CF106" i="6"/>
  <c r="A106" i="6" s="1" a="1"/>
  <c r="A106" i="6" s="1"/>
  <c r="AG28" i="30"/>
  <c r="AJ197" i="20"/>
  <c r="AJ22" i="30"/>
  <c r="AI22" i="30"/>
  <c r="AL197" i="20"/>
  <c r="AL22" i="30"/>
  <c r="AK197" i="20"/>
  <c r="AK22" i="30"/>
  <c r="AP1024" i="9"/>
  <c r="AP1047" i="9" s="1"/>
  <c r="AD1070" i="9"/>
  <c r="AZ1027" i="9"/>
  <c r="AZ1050" i="9" s="1"/>
  <c r="AM1017" i="9"/>
  <c r="AM1040" i="9" s="1"/>
  <c r="AA1063" i="9"/>
  <c r="AN1015" i="9"/>
  <c r="AN1038" i="9" s="1"/>
  <c r="AB1061" i="9"/>
  <c r="AF1077" i="9"/>
  <c r="AI197" i="20"/>
  <c r="AZ1105" i="9"/>
  <c r="AZ199" i="30" s="1"/>
  <c r="AZ86" i="33" s="1"/>
  <c r="BA98" i="9"/>
  <c r="BA594" i="9" s="1"/>
  <c r="BA876" i="9" s="1"/>
  <c r="BA304" i="9"/>
  <c r="BA536" i="9" s="1"/>
  <c r="AZ610" i="9"/>
  <c r="AZ892" i="9" s="1"/>
  <c r="BA399" i="9"/>
  <c r="BB228" i="9"/>
  <c r="BB532" i="9" s="1"/>
  <c r="BA171" i="9"/>
  <c r="BA529" i="9" s="1"/>
  <c r="BA527" i="9"/>
  <c r="BA136" i="9"/>
  <c r="BB606" i="9"/>
  <c r="BC323" i="9"/>
  <c r="BA364" i="9"/>
  <c r="BA608" i="9" s="1"/>
  <c r="AO79" i="9"/>
  <c r="AO593" i="9" s="1"/>
  <c r="AX266" i="9"/>
  <c r="AX534" i="9" s="1"/>
  <c r="AQ250" i="9"/>
  <c r="AQ602" i="9" s="1"/>
  <c r="BB285" i="9"/>
  <c r="BB535" i="9" s="1"/>
  <c r="BA523" i="9"/>
  <c r="AP209" i="9"/>
  <c r="AO882" i="9"/>
  <c r="BA870" i="9"/>
  <c r="BA421" i="9"/>
  <c r="BA611" i="9" s="1"/>
  <c r="AN117" i="9"/>
  <c r="AN595" i="9" s="1"/>
  <c r="BB845" i="9"/>
  <c r="BA190" i="9"/>
  <c r="BA530" i="9" s="1"/>
  <c r="BA342" i="9"/>
  <c r="BA538" i="9" s="1"/>
  <c r="AZ889" i="9"/>
  <c r="BB152" i="9"/>
  <c r="BB528" i="9" s="1"/>
  <c r="BA879" i="9"/>
  <c r="AS383" i="9"/>
  <c r="AS609" i="9" s="1"/>
  <c r="BT58" i="20" l="1"/>
  <c r="BS42" i="20"/>
  <c r="BS49" i="1"/>
  <c r="BT34" i="20"/>
  <c r="BS44" i="20"/>
  <c r="BR24" i="32"/>
  <c r="BT35" i="20"/>
  <c r="BA716" i="9"/>
  <c r="BA739" i="9" s="1"/>
  <c r="BB693" i="9" s="1"/>
  <c r="BB716" i="9" s="1"/>
  <c r="BB739" i="9" s="1"/>
  <c r="BC693" i="9" s="1"/>
  <c r="BA835" i="9"/>
  <c r="BE836" i="9"/>
  <c r="BE717" i="9"/>
  <c r="BE740" i="9" s="1"/>
  <c r="BF694" i="9" s="1"/>
  <c r="BT83" i="20"/>
  <c r="BS134" i="1"/>
  <c r="BT104" i="20"/>
  <c r="BS110" i="20"/>
  <c r="BT33" i="20"/>
  <c r="BE832" i="9"/>
  <c r="BE713" i="9"/>
  <c r="BE719" i="9"/>
  <c r="BE838" i="9"/>
  <c r="BA837" i="9"/>
  <c r="BA718" i="9"/>
  <c r="BA741" i="9" s="1"/>
  <c r="BB695" i="9" s="1"/>
  <c r="BR158" i="1"/>
  <c r="BR128" i="20" s="1"/>
  <c r="A42" i="30" a="1"/>
  <c r="A42" i="30" s="1"/>
  <c r="BS113" i="1"/>
  <c r="BS194" i="1" s="1"/>
  <c r="BS150" i="20" s="1"/>
  <c r="CH118" i="30"/>
  <c r="CK118" i="30"/>
  <c r="CH24" i="32"/>
  <c r="CB24" i="32" s="1"/>
  <c r="A24" i="32" s="1" a="1"/>
  <c r="A24" i="32" s="1"/>
  <c r="BS198" i="20"/>
  <c r="BS143" i="20"/>
  <c r="BS107" i="1"/>
  <c r="BS102" i="20"/>
  <c r="BT116" i="20"/>
  <c r="BT152" i="30" s="1"/>
  <c r="BS117" i="20"/>
  <c r="BS151" i="1"/>
  <c r="BS124" i="20" s="1"/>
  <c r="BT113" i="1"/>
  <c r="AA98" i="20"/>
  <c r="BR153" i="30"/>
  <c r="BR59" i="33" s="1"/>
  <c r="AA107" i="20"/>
  <c r="BT45" i="20"/>
  <c r="BH803" i="9"/>
  <c r="AV1016" i="9"/>
  <c r="AV1039" i="9" s="1"/>
  <c r="BA868" i="9"/>
  <c r="AO1031" i="9" s="1"/>
  <c r="AO1054" i="9" s="1"/>
  <c r="BA818" i="9"/>
  <c r="AZ860" i="9"/>
  <c r="BD859" i="9"/>
  <c r="AM1069" i="9"/>
  <c r="AY858" i="9"/>
  <c r="AM1021" i="9" s="1"/>
  <c r="AM1044" i="9" s="1"/>
  <c r="BC771" i="9"/>
  <c r="BC794" i="9" s="1"/>
  <c r="BC817" i="9" s="1"/>
  <c r="BD702" i="9"/>
  <c r="BD855" i="9"/>
  <c r="BE759" i="9"/>
  <c r="BD861" i="9"/>
  <c r="AO880" i="9"/>
  <c r="AD1071" i="9"/>
  <c r="BA769" i="9"/>
  <c r="BA792" i="9" s="1"/>
  <c r="BA815" i="9" s="1"/>
  <c r="AZ888" i="9"/>
  <c r="AN1074" i="9" s="1"/>
  <c r="BS93" i="20"/>
  <c r="BT182" i="20"/>
  <c r="BT52" i="30" s="1"/>
  <c r="BS197" i="1"/>
  <c r="BS96" i="20"/>
  <c r="CE150" i="20"/>
  <c r="A150" i="20" s="1" a="1"/>
  <c r="A150" i="20" s="1"/>
  <c r="BU72" i="30"/>
  <c r="BU160" i="30" s="1"/>
  <c r="BU62" i="33" s="1"/>
  <c r="AE195" i="6"/>
  <c r="AE201" i="6" s="1"/>
  <c r="AD124" i="30"/>
  <c r="AP531" i="9"/>
  <c r="BV214" i="6"/>
  <c r="BV217" i="6" s="1"/>
  <c r="BU126" i="30"/>
  <c r="BS41" i="30"/>
  <c r="BS49" i="30"/>
  <c r="BS181" i="20"/>
  <c r="BS183" i="20" s="1"/>
  <c r="BT183" i="1"/>
  <c r="BR51" i="30"/>
  <c r="BR41" i="6"/>
  <c r="AN1073" i="9"/>
  <c r="AN1064" i="9"/>
  <c r="AN1079" i="9"/>
  <c r="AN1076" i="9"/>
  <c r="BO211" i="6"/>
  <c r="Y125" i="30"/>
  <c r="BU104" i="20"/>
  <c r="BT94" i="20"/>
  <c r="BT111" i="20"/>
  <c r="BT75" i="20"/>
  <c r="BT87" i="20"/>
  <c r="BT98" i="1"/>
  <c r="BT81" i="20" s="1"/>
  <c r="BT55" i="20"/>
  <c r="BT64" i="20"/>
  <c r="BT67" i="1"/>
  <c r="BT91" i="20"/>
  <c r="BT146" i="20"/>
  <c r="BU46" i="20"/>
  <c r="BT154" i="20"/>
  <c r="BT41" i="30" s="1"/>
  <c r="BT156" i="1"/>
  <c r="BT65" i="20"/>
  <c r="BU57" i="20"/>
  <c r="BT72" i="20"/>
  <c r="BT53" i="20"/>
  <c r="BT60" i="1"/>
  <c r="BU25" i="20"/>
  <c r="BT32" i="20"/>
  <c r="BT37" i="1"/>
  <c r="BT19" i="20"/>
  <c r="BT28" i="1"/>
  <c r="BU34" i="20"/>
  <c r="BT54" i="20"/>
  <c r="BT142" i="20"/>
  <c r="BT122" i="20"/>
  <c r="BT134" i="1"/>
  <c r="BT103" i="20"/>
  <c r="BT126" i="20"/>
  <c r="BT110" i="20"/>
  <c r="BT93" i="20"/>
  <c r="BT36" i="20"/>
  <c r="BT90" i="20"/>
  <c r="BT195" i="20" s="1"/>
  <c r="BU82" i="20"/>
  <c r="BT101" i="20"/>
  <c r="BT107" i="1"/>
  <c r="BT125" i="20"/>
  <c r="BT76" i="20"/>
  <c r="BT14" i="20"/>
  <c r="BT123" i="20"/>
  <c r="BU56" i="20"/>
  <c r="BT71" i="20"/>
  <c r="BT84" i="1"/>
  <c r="BT22" i="20"/>
  <c r="BT66" i="20"/>
  <c r="BT27" i="20"/>
  <c r="BT74" i="20"/>
  <c r="BT124" i="20"/>
  <c r="BT88" i="20"/>
  <c r="BT59" i="20"/>
  <c r="BT141" i="20"/>
  <c r="BT34" i="30" s="1"/>
  <c r="BU35" i="20"/>
  <c r="BT44" i="20"/>
  <c r="BT92" i="20"/>
  <c r="BT169" i="20"/>
  <c r="BT49" i="30" s="1"/>
  <c r="BT77" i="20"/>
  <c r="BT89" i="20"/>
  <c r="BT48" i="20"/>
  <c r="BT127" i="20"/>
  <c r="BU58" i="20"/>
  <c r="BT73" i="20"/>
  <c r="BT140" i="20"/>
  <c r="BT144" i="20"/>
  <c r="BT198" i="20"/>
  <c r="BT115" i="20"/>
  <c r="BT117" i="1"/>
  <c r="BT23" i="20"/>
  <c r="BT21" i="20"/>
  <c r="BT20" i="20"/>
  <c r="BO201" i="6"/>
  <c r="Y124" i="30"/>
  <c r="DA50" i="1"/>
  <c r="DA61" i="1"/>
  <c r="DA68" i="1"/>
  <c r="DA38" i="1"/>
  <c r="DA29" i="1"/>
  <c r="BO136" i="6"/>
  <c r="Y139" i="6"/>
  <c r="Y116" i="30"/>
  <c r="CF114" i="6"/>
  <c r="A114" i="6" s="1" a="1"/>
  <c r="A114" i="6" s="1"/>
  <c r="BP114" i="6"/>
  <c r="BP116" i="30" s="1"/>
  <c r="BQ106" i="6"/>
  <c r="BQ111" i="6" s="1"/>
  <c r="AO1022" i="9"/>
  <c r="AO1045" i="9" s="1"/>
  <c r="AC1068" i="9"/>
  <c r="AZ1032" i="9"/>
  <c r="AZ1055" i="9" s="1"/>
  <c r="BA1019" i="9"/>
  <c r="BA1042" i="9" s="1"/>
  <c r="AO1065" i="9"/>
  <c r="AZ1029" i="9"/>
  <c r="AZ1052" i="9" s="1"/>
  <c r="AO1033" i="9"/>
  <c r="AO1056" i="9" s="1"/>
  <c r="BB95" i="9"/>
  <c r="BB525" i="9" s="1"/>
  <c r="BA307" i="9"/>
  <c r="BA605" i="9" s="1"/>
  <c r="BA887" i="9" s="1"/>
  <c r="BA541" i="9"/>
  <c r="BA402" i="9"/>
  <c r="BB231" i="9"/>
  <c r="BB601" i="9" s="1"/>
  <c r="BA174" i="9"/>
  <c r="BA598" i="9" s="1"/>
  <c r="BA596" i="9"/>
  <c r="BA878" i="9" s="1"/>
  <c r="BB133" i="9"/>
  <c r="BC537" i="9"/>
  <c r="BC326" i="9"/>
  <c r="BB361" i="9"/>
  <c r="BB539" i="9" s="1"/>
  <c r="BA890" i="9"/>
  <c r="AX269" i="9"/>
  <c r="AX603" i="9" s="1"/>
  <c r="AS891" i="9"/>
  <c r="AT380" i="9"/>
  <c r="AN877" i="9"/>
  <c r="AO114" i="9"/>
  <c r="AP212" i="9"/>
  <c r="AP600" i="9" s="1"/>
  <c r="AR247" i="9"/>
  <c r="AQ884" i="9"/>
  <c r="AP76" i="9"/>
  <c r="AP524" i="9" s="1"/>
  <c r="AO875" i="9"/>
  <c r="BA345" i="9"/>
  <c r="BA607" i="9" s="1"/>
  <c r="BB155" i="9"/>
  <c r="BB597" i="9" s="1"/>
  <c r="BA893" i="9"/>
  <c r="BB418" i="9"/>
  <c r="BA592" i="9"/>
  <c r="BB288" i="9"/>
  <c r="BB604" i="9" s="1"/>
  <c r="BA193" i="9"/>
  <c r="BA599" i="9" s="1"/>
  <c r="BT43" i="20" l="1"/>
  <c r="BU83" i="20"/>
  <c r="BT42" i="20"/>
  <c r="BT49" i="1"/>
  <c r="BU33" i="20"/>
  <c r="BT102" i="20"/>
  <c r="BF836" i="9"/>
  <c r="BF717" i="9"/>
  <c r="BE742" i="9"/>
  <c r="BF696" i="9" s="1"/>
  <c r="BE736" i="9"/>
  <c r="BF690" i="9" s="1"/>
  <c r="BI688" i="9"/>
  <c r="BI830" i="9" s="1"/>
  <c r="BS158" i="1"/>
  <c r="BS128" i="20" s="1"/>
  <c r="BS24" i="32"/>
  <c r="BU116" i="20"/>
  <c r="BU152" i="30" s="1"/>
  <c r="CI125" i="30"/>
  <c r="CC125" i="30" s="1"/>
  <c r="CI116" i="30"/>
  <c r="CC116" i="30" s="1"/>
  <c r="CL116" i="30"/>
  <c r="CD116" i="30" s="1"/>
  <c r="BS153" i="30"/>
  <c r="BS59" i="33" s="1"/>
  <c r="BT143" i="20"/>
  <c r="BT151" i="1"/>
  <c r="BT158" i="1" s="1"/>
  <c r="BT128" i="20" s="1"/>
  <c r="BU113" i="1"/>
  <c r="BU194" i="1" s="1"/>
  <c r="BU150" i="20" s="1"/>
  <c r="AA20" i="30"/>
  <c r="AA113" i="20"/>
  <c r="AA134" i="20"/>
  <c r="AA26" i="30" s="1"/>
  <c r="BU45" i="20"/>
  <c r="BT96" i="20"/>
  <c r="AP761" i="9"/>
  <c r="AP784" i="9" s="1"/>
  <c r="AP857" i="9" s="1"/>
  <c r="AP1115" i="9" s="1"/>
  <c r="BD726" i="9"/>
  <c r="BI711" i="9"/>
  <c r="BI734" i="9" s="1"/>
  <c r="BB772" i="9"/>
  <c r="BB795" i="9" s="1"/>
  <c r="BB818" i="9" s="1"/>
  <c r="BC867" i="9"/>
  <c r="AQ1030" i="9" s="1"/>
  <c r="AQ1053" i="9" s="1"/>
  <c r="BE765" i="9"/>
  <c r="AR1018" i="9"/>
  <c r="AR1041" i="9" s="1"/>
  <c r="BB837" i="9"/>
  <c r="BB718" i="9"/>
  <c r="BB741" i="9" s="1"/>
  <c r="BE763" i="9"/>
  <c r="BE786" i="9" s="1"/>
  <c r="BE809" i="9" s="1"/>
  <c r="AQ839" i="9"/>
  <c r="AQ720" i="9"/>
  <c r="AQ743" i="9" s="1"/>
  <c r="AQ766" i="9"/>
  <c r="AQ789" i="9" s="1"/>
  <c r="AQ812" i="9" s="1"/>
  <c r="BE782" i="9"/>
  <c r="BE805" i="9" s="1"/>
  <c r="BC847" i="9"/>
  <c r="BC728" i="9"/>
  <c r="BC751" i="9" s="1"/>
  <c r="BD705" i="9" s="1"/>
  <c r="BC774" i="9"/>
  <c r="BC797" i="9" s="1"/>
  <c r="BC820" i="9" s="1"/>
  <c r="BB842" i="9"/>
  <c r="BB723" i="9"/>
  <c r="BB746" i="9" s="1"/>
  <c r="AP834" i="9"/>
  <c r="AP1121" i="9" s="1"/>
  <c r="AP1145" i="9" s="1"/>
  <c r="AP715" i="9"/>
  <c r="AP738" i="9" s="1"/>
  <c r="AN1023" i="9"/>
  <c r="AN1046" i="9" s="1"/>
  <c r="AZ762" i="9"/>
  <c r="AZ785" i="9" s="1"/>
  <c r="AZ808" i="9" s="1"/>
  <c r="AY881" i="9"/>
  <c r="AM1067" i="9" s="1"/>
  <c r="X703" i="9"/>
  <c r="BA764" i="9"/>
  <c r="BA787" i="9" s="1"/>
  <c r="BA810" i="9" s="1"/>
  <c r="AZ883" i="9"/>
  <c r="AC1066" i="9"/>
  <c r="BA888" i="9"/>
  <c r="BA865" i="9"/>
  <c r="AO1028" i="9" s="1"/>
  <c r="AO1051" i="9" s="1"/>
  <c r="BU182" i="20"/>
  <c r="BU52" i="30" s="1"/>
  <c r="BV72" i="30"/>
  <c r="BV160" i="30" s="1"/>
  <c r="BV62" i="33" s="1"/>
  <c r="AF195" i="6"/>
  <c r="AF201" i="6" s="1"/>
  <c r="AF124" i="30" s="1"/>
  <c r="AE124" i="30"/>
  <c r="CF136" i="6"/>
  <c r="AO526" i="9"/>
  <c r="BB542" i="9"/>
  <c r="AR533" i="9"/>
  <c r="AT540" i="9"/>
  <c r="BT181" i="20"/>
  <c r="BT183" i="20" s="1"/>
  <c r="BU183" i="1"/>
  <c r="BW214" i="6"/>
  <c r="BW217" i="6" s="1"/>
  <c r="BV126" i="30"/>
  <c r="BS51" i="30"/>
  <c r="BS41" i="6"/>
  <c r="AN1078" i="9"/>
  <c r="AN1075" i="9"/>
  <c r="CF211" i="6"/>
  <c r="BO125" i="30"/>
  <c r="CL125" i="30" s="1"/>
  <c r="CD125" i="30" s="1"/>
  <c r="BP204" i="6"/>
  <c r="BP211" i="6" s="1"/>
  <c r="BU21" i="20"/>
  <c r="BU27" i="20"/>
  <c r="BU36" i="20"/>
  <c r="BU110" i="20"/>
  <c r="BV57" i="20"/>
  <c r="BU72" i="20"/>
  <c r="BU65" i="20"/>
  <c r="BU154" i="20"/>
  <c r="BU41" i="30" s="1"/>
  <c r="BU156" i="1"/>
  <c r="BU55" i="20"/>
  <c r="BU87" i="20"/>
  <c r="BU98" i="1"/>
  <c r="BU81" i="20" s="1"/>
  <c r="BU111" i="20"/>
  <c r="BV104" i="20"/>
  <c r="BV58" i="20"/>
  <c r="BU73" i="20"/>
  <c r="BT117" i="20"/>
  <c r="BT24" i="32" s="1"/>
  <c r="BU140" i="20"/>
  <c r="BU48" i="20"/>
  <c r="BU49" i="1"/>
  <c r="BU74" i="20"/>
  <c r="BU22" i="20"/>
  <c r="BU14" i="20"/>
  <c r="BU125" i="20"/>
  <c r="BV82" i="20"/>
  <c r="BU101" i="20"/>
  <c r="BU107" i="1"/>
  <c r="BU90" i="20"/>
  <c r="BU195" i="20" s="1"/>
  <c r="BU126" i="20"/>
  <c r="BU142" i="20"/>
  <c r="BU146" i="20"/>
  <c r="BU91" i="20"/>
  <c r="BV33" i="20"/>
  <c r="BU42" i="20"/>
  <c r="BU64" i="20"/>
  <c r="BU67" i="1"/>
  <c r="BU94" i="20"/>
  <c r="BU169" i="20"/>
  <c r="BV56" i="20"/>
  <c r="BU71" i="20"/>
  <c r="BU84" i="1"/>
  <c r="BU20" i="20"/>
  <c r="BU115" i="20"/>
  <c r="BU117" i="1"/>
  <c r="BU144" i="20"/>
  <c r="BU127" i="20"/>
  <c r="BU141" i="20"/>
  <c r="BU34" i="30" s="1"/>
  <c r="BU124" i="20"/>
  <c r="BU123" i="20"/>
  <c r="BT194" i="1"/>
  <c r="BT150" i="20" s="1"/>
  <c r="BU93" i="20"/>
  <c r="BV25" i="20"/>
  <c r="BU32" i="20"/>
  <c r="BU37" i="1"/>
  <c r="BV46" i="20"/>
  <c r="BV83" i="20"/>
  <c r="BU102" i="20"/>
  <c r="BT197" i="1"/>
  <c r="BU59" i="20"/>
  <c r="BU76" i="20"/>
  <c r="BU23" i="20"/>
  <c r="BU198" i="20"/>
  <c r="BU89" i="20"/>
  <c r="BU77" i="20"/>
  <c r="BU92" i="20"/>
  <c r="BV35" i="20"/>
  <c r="BU44" i="20"/>
  <c r="BU88" i="20"/>
  <c r="BU66" i="20"/>
  <c r="BU103" i="20"/>
  <c r="BU122" i="20"/>
  <c r="BU134" i="1"/>
  <c r="BU54" i="20"/>
  <c r="BV34" i="20"/>
  <c r="BU43" i="20"/>
  <c r="BU19" i="20"/>
  <c r="BU28" i="1"/>
  <c r="BU53" i="20"/>
  <c r="BU60" i="1"/>
  <c r="BU75" i="20"/>
  <c r="BP195" i="6"/>
  <c r="BP201" i="6" s="1"/>
  <c r="BO124" i="30"/>
  <c r="CL124" i="30" s="1"/>
  <c r="CD124" i="30" s="1"/>
  <c r="CF201" i="6"/>
  <c r="DB29" i="1"/>
  <c r="DB38" i="1"/>
  <c r="DB68" i="1"/>
  <c r="DB61" i="1"/>
  <c r="DB50" i="1"/>
  <c r="Y118" i="30"/>
  <c r="BP123" i="6"/>
  <c r="BP136" i="6" s="1"/>
  <c r="BO139" i="6"/>
  <c r="BO118" i="30" s="1"/>
  <c r="BQ114" i="6"/>
  <c r="BQ116" i="30" s="1"/>
  <c r="BR106" i="6"/>
  <c r="BR111" i="6" s="1"/>
  <c r="AO1076" i="9"/>
  <c r="AO1064" i="9"/>
  <c r="AO1079" i="9"/>
  <c r="AO1015" i="9"/>
  <c r="AO1038" i="9" s="1"/>
  <c r="AC1061" i="9"/>
  <c r="AQ1024" i="9"/>
  <c r="AQ1047" i="9" s="1"/>
  <c r="AE1070" i="9"/>
  <c r="AN1017" i="9"/>
  <c r="AN1040" i="9" s="1"/>
  <c r="AB1063" i="9"/>
  <c r="BA1027" i="9"/>
  <c r="BA1050" i="9" s="1"/>
  <c r="AO1073" i="9"/>
  <c r="BA1105" i="9"/>
  <c r="BA199" i="30" s="1"/>
  <c r="BA86" i="33" s="1"/>
  <c r="BB98" i="9"/>
  <c r="BB594" i="9" s="1"/>
  <c r="BB876" i="9" s="1"/>
  <c r="BB304" i="9"/>
  <c r="BB536" i="9" s="1"/>
  <c r="BA610" i="9"/>
  <c r="BA892" i="9" s="1"/>
  <c r="BB399" i="9"/>
  <c r="BC228" i="9"/>
  <c r="BC532" i="9" s="1"/>
  <c r="BB171" i="9"/>
  <c r="BB529" i="9" s="1"/>
  <c r="BB527" i="9"/>
  <c r="BB136" i="9"/>
  <c r="BC606" i="9"/>
  <c r="BD323" i="9"/>
  <c r="BB364" i="9"/>
  <c r="BB608" i="9" s="1"/>
  <c r="AT383" i="9"/>
  <c r="AT609" i="9" s="1"/>
  <c r="AP79" i="9"/>
  <c r="AP593" i="9" s="1"/>
  <c r="BC285" i="9"/>
  <c r="BC535" i="9" s="1"/>
  <c r="BC845" i="9"/>
  <c r="AQ209" i="9"/>
  <c r="AP882" i="9"/>
  <c r="BB870" i="9"/>
  <c r="BB421" i="9"/>
  <c r="BB611" i="9" s="1"/>
  <c r="BC152" i="9"/>
  <c r="BC528" i="9" s="1"/>
  <c r="BB879" i="9"/>
  <c r="BB342" i="9"/>
  <c r="BB538" i="9" s="1"/>
  <c r="BA889" i="9"/>
  <c r="AO117" i="9"/>
  <c r="AO595" i="9" s="1"/>
  <c r="BB835" i="9"/>
  <c r="BB190" i="9"/>
  <c r="BB530" i="9" s="1"/>
  <c r="BB523" i="9"/>
  <c r="AR250" i="9"/>
  <c r="AR602" i="9" s="1"/>
  <c r="AY266" i="9"/>
  <c r="AY534" i="9" s="1"/>
  <c r="BI757" i="9" l="1"/>
  <c r="BI780" i="9" s="1"/>
  <c r="BI853" i="9" s="1"/>
  <c r="AW1016" i="9" s="1"/>
  <c r="AW1039" i="9" s="1"/>
  <c r="BV116" i="20"/>
  <c r="BV152" i="30" s="1"/>
  <c r="BU151" i="1"/>
  <c r="BU158" i="1" s="1"/>
  <c r="BU128" i="20" s="1"/>
  <c r="BU143" i="20"/>
  <c r="BF832" i="9"/>
  <c r="BF713" i="9"/>
  <c r="BF838" i="9"/>
  <c r="BF719" i="9"/>
  <c r="BD749" i="9"/>
  <c r="BE703" i="9" s="1"/>
  <c r="BE726" i="9" s="1"/>
  <c r="BF740" i="9"/>
  <c r="BG694" i="9" s="1"/>
  <c r="AD1020" i="9"/>
  <c r="AD1043" i="9" s="1"/>
  <c r="BU117" i="20"/>
  <c r="BU24" i="32" s="1"/>
  <c r="A116" i="30" a="1"/>
  <c r="A116" i="30" s="1"/>
  <c r="CI118" i="30"/>
  <c r="CC118" i="30" s="1"/>
  <c r="CL118" i="30"/>
  <c r="CD118" i="30" s="1"/>
  <c r="A125" i="30" a="1"/>
  <c r="A125" i="30" s="1"/>
  <c r="BU153" i="30"/>
  <c r="BU59" i="33" s="1"/>
  <c r="BT153" i="30"/>
  <c r="BT59" i="33" s="1"/>
  <c r="AA21" i="30"/>
  <c r="AA194" i="20"/>
  <c r="AA119" i="20"/>
  <c r="BV113" i="1"/>
  <c r="BV45" i="20"/>
  <c r="AP807" i="9"/>
  <c r="AP880" i="9" s="1"/>
  <c r="BB868" i="9"/>
  <c r="AP1031" i="9" s="1"/>
  <c r="AP1054" i="9" s="1"/>
  <c r="BC772" i="9"/>
  <c r="BC795" i="9" s="1"/>
  <c r="BC818" i="9" s="1"/>
  <c r="AO1074" i="9"/>
  <c r="BE859" i="9"/>
  <c r="BA860" i="9"/>
  <c r="X726" i="9"/>
  <c r="BN726" i="9" s="1"/>
  <c r="AQ862" i="9"/>
  <c r="BB769" i="9"/>
  <c r="BB792" i="9" s="1"/>
  <c r="BB815" i="9" s="1"/>
  <c r="BC700" i="9"/>
  <c r="BE855" i="9"/>
  <c r="BF759" i="9"/>
  <c r="AR697" i="9"/>
  <c r="BC716" i="9"/>
  <c r="BC739" i="9" s="1"/>
  <c r="BE788" i="9"/>
  <c r="BE811" i="9" s="1"/>
  <c r="AQ692" i="9"/>
  <c r="BC695" i="9"/>
  <c r="BD771" i="9"/>
  <c r="BD794" i="9" s="1"/>
  <c r="AN1069" i="9"/>
  <c r="BN703" i="9"/>
  <c r="BN845" i="9" s="1"/>
  <c r="X845" i="9"/>
  <c r="AZ858" i="9"/>
  <c r="AN1021" i="9" s="1"/>
  <c r="AN1044" i="9" s="1"/>
  <c r="BD844" i="9"/>
  <c r="BD725" i="9"/>
  <c r="BU197" i="1"/>
  <c r="BU96" i="20"/>
  <c r="BV182" i="20"/>
  <c r="BV52" i="30" s="1"/>
  <c r="BW72" i="30"/>
  <c r="BW160" i="30" s="1"/>
  <c r="BW62" i="33" s="1"/>
  <c r="AG195" i="6"/>
  <c r="AG201" i="6" s="1"/>
  <c r="AQ531" i="9"/>
  <c r="BU181" i="20"/>
  <c r="BU183" i="20" s="1"/>
  <c r="BV183" i="1"/>
  <c r="BT51" i="30"/>
  <c r="BT41" i="6"/>
  <c r="BW126" i="30"/>
  <c r="BU49" i="30"/>
  <c r="BP125" i="30"/>
  <c r="BQ204" i="6"/>
  <c r="BQ211" i="6" s="1"/>
  <c r="BZ53" i="1"/>
  <c r="BV53" i="20"/>
  <c r="BV60" i="1"/>
  <c r="BV103" i="20"/>
  <c r="BV44" i="20"/>
  <c r="BW25" i="20"/>
  <c r="BZ25" i="20" s="1"/>
  <c r="BV32" i="20"/>
  <c r="BV37" i="1"/>
  <c r="BW141" i="20"/>
  <c r="BV141" i="20"/>
  <c r="BV34" i="30" s="1"/>
  <c r="BV144" i="20"/>
  <c r="BV20" i="20"/>
  <c r="BW33" i="20"/>
  <c r="BZ33" i="20" s="1"/>
  <c r="BV42" i="20"/>
  <c r="BV146" i="20"/>
  <c r="BV90" i="20"/>
  <c r="BV195" i="20" s="1"/>
  <c r="BV14" i="20"/>
  <c r="BV74" i="20"/>
  <c r="BV49" i="1"/>
  <c r="BV87" i="20"/>
  <c r="BV98" i="1"/>
  <c r="BV81" i="20" s="1"/>
  <c r="BW75" i="20"/>
  <c r="BV75" i="20"/>
  <c r="BV43" i="20"/>
  <c r="BW88" i="20"/>
  <c r="BV88" i="20"/>
  <c r="BV77" i="20"/>
  <c r="BV59" i="20"/>
  <c r="BV123" i="20"/>
  <c r="BV169" i="20"/>
  <c r="BV49" i="30" s="1"/>
  <c r="BV143" i="20"/>
  <c r="BV126" i="20"/>
  <c r="BV125" i="20"/>
  <c r="BV140" i="20"/>
  <c r="BW58" i="20"/>
  <c r="BZ58" i="20" s="1"/>
  <c r="BV73" i="20"/>
  <c r="BV111" i="20"/>
  <c r="BV154" i="20"/>
  <c r="BV41" i="30" s="1"/>
  <c r="BV156" i="1"/>
  <c r="BV65" i="20"/>
  <c r="BV36" i="20"/>
  <c r="BV21" i="20"/>
  <c r="BV122" i="20"/>
  <c r="BV134" i="1"/>
  <c r="BW92" i="20"/>
  <c r="BV92" i="20"/>
  <c r="BV102" i="20"/>
  <c r="BV124" i="20"/>
  <c r="BV127" i="20"/>
  <c r="BV94" i="20"/>
  <c r="BV64" i="20"/>
  <c r="BV67" i="1"/>
  <c r="BV91" i="20"/>
  <c r="BV22" i="20"/>
  <c r="BV55" i="20"/>
  <c r="BZ19" i="1"/>
  <c r="BV19" i="20"/>
  <c r="BV28" i="1"/>
  <c r="BV23" i="20" s="1"/>
  <c r="BW54" i="20"/>
  <c r="BV54" i="20"/>
  <c r="BV198" i="20"/>
  <c r="BV76" i="20"/>
  <c r="BV115" i="20"/>
  <c r="BV117" i="1"/>
  <c r="BW56" i="20"/>
  <c r="BZ56" i="20" s="1"/>
  <c r="BV71" i="20"/>
  <c r="BV84" i="1"/>
  <c r="BV66" i="20" s="1"/>
  <c r="BW142" i="20"/>
  <c r="BV142" i="20"/>
  <c r="BW82" i="20"/>
  <c r="BZ82" i="20" s="1"/>
  <c r="BV101" i="20"/>
  <c r="BV107" i="1"/>
  <c r="BV89" i="20" s="1"/>
  <c r="BV48" i="20"/>
  <c r="BW57" i="20"/>
  <c r="BZ57" i="20" s="1"/>
  <c r="BV72" i="20"/>
  <c r="BV110" i="20"/>
  <c r="BV93" i="20"/>
  <c r="BV27" i="20"/>
  <c r="BP124" i="30"/>
  <c r="BQ195" i="6"/>
  <c r="BQ201" i="6" s="1"/>
  <c r="DC68" i="1"/>
  <c r="DC38" i="1"/>
  <c r="DC50" i="1"/>
  <c r="DC29" i="1"/>
  <c r="DC61" i="1"/>
  <c r="CF139" i="6"/>
  <c r="A139" i="6" s="1" a="1"/>
  <c r="A139" i="6" s="1"/>
  <c r="BQ123" i="6"/>
  <c r="BQ136" i="6" s="1"/>
  <c r="BP139" i="6"/>
  <c r="BP118" i="30" s="1"/>
  <c r="BS106" i="6"/>
  <c r="BS111" i="6" s="1"/>
  <c r="BR114" i="6"/>
  <c r="BR116" i="30" s="1"/>
  <c r="AG1077" i="9"/>
  <c r="BB1019" i="9"/>
  <c r="BB1042" i="9" s="1"/>
  <c r="AP1065" i="9"/>
  <c r="AP1033" i="9"/>
  <c r="AP1056" i="9" s="1"/>
  <c r="BA1032" i="9"/>
  <c r="BA1055" i="9" s="1"/>
  <c r="AO1078" i="9"/>
  <c r="AP1022" i="9"/>
  <c r="AP1045" i="9" s="1"/>
  <c r="AD1068" i="9"/>
  <c r="BA1029" i="9"/>
  <c r="BA1052" i="9" s="1"/>
  <c r="AO1075" i="9"/>
  <c r="BC95" i="9"/>
  <c r="BC525" i="9" s="1"/>
  <c r="BB307" i="9"/>
  <c r="BB605" i="9" s="1"/>
  <c r="BB887" i="9" s="1"/>
  <c r="BC231" i="9"/>
  <c r="BC601" i="9" s="1"/>
  <c r="BB541" i="9"/>
  <c r="BB402" i="9"/>
  <c r="BB174" i="9"/>
  <c r="BB598" i="9" s="1"/>
  <c r="BB596" i="9"/>
  <c r="BB878" i="9" s="1"/>
  <c r="BC133" i="9"/>
  <c r="BD537" i="9"/>
  <c r="BD326" i="9"/>
  <c r="BC361" i="9"/>
  <c r="BC539" i="9" s="1"/>
  <c r="BB890" i="9"/>
  <c r="AY269" i="9"/>
  <c r="AY603" i="9" s="1"/>
  <c r="BC155" i="9"/>
  <c r="BC597" i="9" s="1"/>
  <c r="AU380" i="9"/>
  <c r="AT891" i="9"/>
  <c r="BB592" i="9"/>
  <c r="BB193" i="9"/>
  <c r="BB599" i="9" s="1"/>
  <c r="BB345" i="9"/>
  <c r="BB607" i="9" s="1"/>
  <c r="BB893" i="9"/>
  <c r="BC418" i="9"/>
  <c r="AS247" i="9"/>
  <c r="AR884" i="9"/>
  <c r="AP114" i="9"/>
  <c r="AQ212" i="9"/>
  <c r="AQ600" i="9" s="1"/>
  <c r="BC288" i="9"/>
  <c r="BC604" i="9" s="1"/>
  <c r="AQ76" i="9"/>
  <c r="AQ524" i="9" s="1"/>
  <c r="AP875" i="9"/>
  <c r="BV117" i="20" l="1"/>
  <c r="BI803" i="9"/>
  <c r="BV151" i="1"/>
  <c r="BG717" i="9"/>
  <c r="BG836" i="9"/>
  <c r="BE749" i="9"/>
  <c r="BF703" i="9" s="1"/>
  <c r="BF726" i="9" s="1"/>
  <c r="BF749" i="9" s="1"/>
  <c r="BD748" i="9"/>
  <c r="BE702" i="9" s="1"/>
  <c r="BF736" i="9"/>
  <c r="BG690" i="9" s="1"/>
  <c r="BF742" i="9"/>
  <c r="BG696" i="9" s="1"/>
  <c r="BJ688" i="9"/>
  <c r="BJ830" i="9" s="1"/>
  <c r="A118" i="30" a="1"/>
  <c r="A118" i="30" s="1"/>
  <c r="BV24" i="32"/>
  <c r="BV153" i="30"/>
  <c r="BV59" i="33" s="1"/>
  <c r="BW113" i="1"/>
  <c r="BW194" i="1" s="1"/>
  <c r="BW150" i="20" s="1"/>
  <c r="BW59" i="20"/>
  <c r="BZ59" i="20" s="1"/>
  <c r="BZ59" i="1"/>
  <c r="BW45" i="20"/>
  <c r="BZ45" i="20" s="1"/>
  <c r="AE1025" i="9"/>
  <c r="AE1048" i="9" s="1"/>
  <c r="BV96" i="20"/>
  <c r="BD867" i="9"/>
  <c r="AR1030" i="9" s="1"/>
  <c r="AR1053" i="9" s="1"/>
  <c r="BD817" i="9"/>
  <c r="BB865" i="9"/>
  <c r="AP1028" i="9" s="1"/>
  <c r="AP1051" i="9" s="1"/>
  <c r="BC868" i="9"/>
  <c r="BA762" i="9"/>
  <c r="BA785" i="9" s="1"/>
  <c r="AZ881" i="9"/>
  <c r="AN1067" i="9" s="1"/>
  <c r="X749" i="9"/>
  <c r="BN749" i="9" s="1"/>
  <c r="BD693" i="9"/>
  <c r="BF782" i="9"/>
  <c r="BF805" i="9" s="1"/>
  <c r="AO1023" i="9"/>
  <c r="AO1046" i="9" s="1"/>
  <c r="AS1018" i="9"/>
  <c r="AS1041" i="9" s="1"/>
  <c r="BB764" i="9"/>
  <c r="BB787" i="9" s="1"/>
  <c r="BB810" i="9" s="1"/>
  <c r="BA883" i="9"/>
  <c r="BE861" i="9"/>
  <c r="AQ885" i="9"/>
  <c r="BF763" i="9"/>
  <c r="BF786" i="9" s="1"/>
  <c r="BB888" i="9"/>
  <c r="AD1066" i="9"/>
  <c r="BU41" i="6"/>
  <c r="BW46" i="20"/>
  <c r="BZ46" i="20" s="1"/>
  <c r="BW116" i="20"/>
  <c r="BW77" i="20"/>
  <c r="BZ77" i="20" s="1"/>
  <c r="BW43" i="20"/>
  <c r="BZ43" i="20" s="1"/>
  <c r="BW34" i="20"/>
  <c r="BZ34" i="20" s="1"/>
  <c r="BW104" i="20"/>
  <c r="BZ104" i="20" s="1"/>
  <c r="BZ129" i="1"/>
  <c r="BW182" i="20"/>
  <c r="BW52" i="30" s="1"/>
  <c r="BW44" i="20"/>
  <c r="BW35" i="20"/>
  <c r="BZ35" i="20" s="1"/>
  <c r="BW102" i="20"/>
  <c r="BZ102" i="20" s="1"/>
  <c r="BW83" i="20"/>
  <c r="BZ83" i="20" s="1"/>
  <c r="BW94" i="20"/>
  <c r="BZ94" i="20" s="1"/>
  <c r="BW103" i="20"/>
  <c r="BZ103" i="20" s="1"/>
  <c r="BZ75" i="20"/>
  <c r="BZ54" i="20"/>
  <c r="BZ88" i="20"/>
  <c r="BW34" i="30"/>
  <c r="BZ92" i="20"/>
  <c r="BU51" i="30"/>
  <c r="AG124" i="30"/>
  <c r="AH195" i="6"/>
  <c r="AH201" i="6" s="1"/>
  <c r="AU540" i="9"/>
  <c r="AS533" i="9"/>
  <c r="BC542" i="9"/>
  <c r="AP526" i="9"/>
  <c r="BV181" i="20"/>
  <c r="BV183" i="20" s="1"/>
  <c r="BW183" i="1"/>
  <c r="BW198" i="20"/>
  <c r="BZ198" i="20" s="1"/>
  <c r="W763" i="9"/>
  <c r="X763" i="9"/>
  <c r="BN763" i="9" s="1"/>
  <c r="BQ125" i="30"/>
  <c r="BR204" i="6"/>
  <c r="BR211" i="6" s="1"/>
  <c r="BZ127" i="1"/>
  <c r="BZ93" i="1"/>
  <c r="BZ142" i="1"/>
  <c r="BZ144" i="1"/>
  <c r="BZ92" i="1"/>
  <c r="BZ88" i="1"/>
  <c r="BZ43" i="1"/>
  <c r="BZ145" i="1"/>
  <c r="BZ94" i="1"/>
  <c r="BZ23" i="1"/>
  <c r="BZ198" i="1"/>
  <c r="BZ124" i="1"/>
  <c r="BZ102" i="1"/>
  <c r="BZ141" i="1"/>
  <c r="BW72" i="20"/>
  <c r="BZ72" i="20" s="1"/>
  <c r="BZ72" i="1"/>
  <c r="BV194" i="1"/>
  <c r="BV150" i="20" s="1"/>
  <c r="BW64" i="20"/>
  <c r="BZ64" i="20" s="1"/>
  <c r="BW67" i="1"/>
  <c r="BZ67" i="1" s="1"/>
  <c r="BZ64" i="1"/>
  <c r="BW122" i="20"/>
  <c r="BZ122" i="20" s="1"/>
  <c r="BW134" i="1"/>
  <c r="BW154" i="20"/>
  <c r="BW156" i="1"/>
  <c r="BZ156" i="1" s="1"/>
  <c r="BZ154" i="1"/>
  <c r="BW20" i="20"/>
  <c r="BZ20" i="20" s="1"/>
  <c r="BZ20" i="1"/>
  <c r="BV197" i="1"/>
  <c r="BZ54" i="1"/>
  <c r="BZ128" i="1"/>
  <c r="BW91" i="20"/>
  <c r="BZ91" i="20" s="1"/>
  <c r="BZ91" i="1"/>
  <c r="BZ122" i="1"/>
  <c r="BW21" i="20"/>
  <c r="BZ21" i="20" s="1"/>
  <c r="BZ21" i="1"/>
  <c r="BW65" i="20"/>
  <c r="BZ65" i="20" s="1"/>
  <c r="BZ65" i="1"/>
  <c r="BW73" i="20"/>
  <c r="BZ73" i="20" s="1"/>
  <c r="BZ73" i="1"/>
  <c r="BW49" i="1"/>
  <c r="BZ49" i="1" s="1"/>
  <c r="BZ41" i="1"/>
  <c r="BW53" i="20"/>
  <c r="BZ53" i="20" s="1"/>
  <c r="BW60" i="1"/>
  <c r="BW71" i="20"/>
  <c r="BZ71" i="20" s="1"/>
  <c r="BW84" i="1"/>
  <c r="BZ84" i="1" s="1"/>
  <c r="BZ71" i="1"/>
  <c r="BZ66" i="1"/>
  <c r="BW125" i="20"/>
  <c r="BZ125" i="20" s="1"/>
  <c r="BZ125" i="1"/>
  <c r="BW169" i="20"/>
  <c r="BZ169" i="20" s="1"/>
  <c r="BZ169" i="1"/>
  <c r="BW74" i="20"/>
  <c r="BZ74" i="20" s="1"/>
  <c r="BZ74" i="1"/>
  <c r="BW90" i="20"/>
  <c r="BZ90" i="20" s="1"/>
  <c r="BZ90" i="1"/>
  <c r="BW42" i="20"/>
  <c r="BZ42" i="20" s="1"/>
  <c r="BZ42" i="1"/>
  <c r="BW32" i="20"/>
  <c r="BZ32" i="20" s="1"/>
  <c r="BW37" i="1"/>
  <c r="BZ37" i="1" s="1"/>
  <c r="BZ32" i="1"/>
  <c r="BW110" i="20"/>
  <c r="BZ110" i="1"/>
  <c r="BZ155" i="1"/>
  <c r="BW76" i="20"/>
  <c r="BZ76" i="20" s="1"/>
  <c r="BZ76" i="1"/>
  <c r="BW55" i="20"/>
  <c r="BZ55" i="20" s="1"/>
  <c r="BZ55" i="1"/>
  <c r="BW22" i="20"/>
  <c r="BZ22" i="20" s="1"/>
  <c r="BZ22" i="1"/>
  <c r="BV158" i="1"/>
  <c r="BV128" i="20" s="1"/>
  <c r="BW151" i="1"/>
  <c r="BZ151" i="1" s="1"/>
  <c r="BZ137" i="1"/>
  <c r="BW126" i="20"/>
  <c r="BZ126" i="20" s="1"/>
  <c r="BZ126" i="1"/>
  <c r="BZ77" i="1"/>
  <c r="BW87" i="20"/>
  <c r="BZ87" i="20" s="1"/>
  <c r="BW98" i="1"/>
  <c r="BZ87" i="1"/>
  <c r="BW14" i="20"/>
  <c r="BZ14" i="20" s="1"/>
  <c r="BZ14" i="1"/>
  <c r="BW146" i="20"/>
  <c r="BZ146" i="1"/>
  <c r="BZ103" i="1"/>
  <c r="BZ138" i="1"/>
  <c r="BW27" i="20"/>
  <c r="BZ27" i="20" s="1"/>
  <c r="BZ27" i="1"/>
  <c r="BW48" i="20"/>
  <c r="BZ48" i="20" s="1"/>
  <c r="BZ48" i="1"/>
  <c r="BW101" i="20"/>
  <c r="BZ101" i="20" s="1"/>
  <c r="BW107" i="1"/>
  <c r="BZ107" i="1" s="1"/>
  <c r="BZ101" i="1"/>
  <c r="BZ139" i="1"/>
  <c r="BW115" i="20"/>
  <c r="BW117" i="1"/>
  <c r="BZ115" i="1"/>
  <c r="BW89" i="20"/>
  <c r="BZ89" i="20" s="1"/>
  <c r="BZ89" i="1"/>
  <c r="BW19" i="20"/>
  <c r="BZ19" i="20" s="1"/>
  <c r="BW28" i="1"/>
  <c r="BZ28" i="1" s="1"/>
  <c r="BW36" i="20"/>
  <c r="BZ36" i="20" s="1"/>
  <c r="BZ36" i="1"/>
  <c r="BW111" i="20"/>
  <c r="BZ111" i="20" s="1"/>
  <c r="BZ111" i="1"/>
  <c r="BW140" i="20"/>
  <c r="BZ140" i="1"/>
  <c r="BZ143" i="1"/>
  <c r="BW123" i="20"/>
  <c r="BZ123" i="20" s="1"/>
  <c r="BZ123" i="1"/>
  <c r="BZ75" i="1"/>
  <c r="BZ44" i="1"/>
  <c r="BQ124" i="30"/>
  <c r="BR195" i="6"/>
  <c r="BR201" i="6" s="1"/>
  <c r="DD61" i="1"/>
  <c r="DD29" i="1"/>
  <c r="DD50" i="1"/>
  <c r="DD38" i="1"/>
  <c r="DD68" i="1"/>
  <c r="BR123" i="6"/>
  <c r="BR136" i="6" s="1"/>
  <c r="BQ139" i="6"/>
  <c r="BQ118" i="30" s="1"/>
  <c r="BT106" i="6"/>
  <c r="BT111" i="6" s="1"/>
  <c r="BS114" i="6"/>
  <c r="BS116" i="30" s="1"/>
  <c r="AP1079" i="9"/>
  <c r="BB1027" i="9"/>
  <c r="BB1050" i="9" s="1"/>
  <c r="AP1073" i="9"/>
  <c r="AP1064" i="9"/>
  <c r="AR1024" i="9"/>
  <c r="AR1047" i="9" s="1"/>
  <c r="AF1070" i="9"/>
  <c r="AP1015" i="9"/>
  <c r="AP1038" i="9" s="1"/>
  <c r="AD1061" i="9"/>
  <c r="AP1076" i="9"/>
  <c r="BB1105" i="9"/>
  <c r="BB199" i="30" s="1"/>
  <c r="BB86" i="33" s="1"/>
  <c r="BC304" i="9"/>
  <c r="BC536" i="9" s="1"/>
  <c r="BC98" i="9"/>
  <c r="BC594" i="9" s="1"/>
  <c r="BC876" i="9" s="1"/>
  <c r="BD228" i="9"/>
  <c r="BD532" i="9" s="1"/>
  <c r="BB610" i="9"/>
  <c r="BB892" i="9" s="1"/>
  <c r="BC399" i="9"/>
  <c r="BC171" i="9"/>
  <c r="BC529" i="9" s="1"/>
  <c r="BC527" i="9"/>
  <c r="BC136" i="9"/>
  <c r="BD606" i="9"/>
  <c r="BE323" i="9"/>
  <c r="BC364" i="9"/>
  <c r="BC608" i="9" s="1"/>
  <c r="BD285" i="9"/>
  <c r="BD535" i="9" s="1"/>
  <c r="BC190" i="9"/>
  <c r="BC530" i="9" s="1"/>
  <c r="BC835" i="9"/>
  <c r="AQ79" i="9"/>
  <c r="AQ593" i="9" s="1"/>
  <c r="AP117" i="9"/>
  <c r="AP595" i="9" s="1"/>
  <c r="AS250" i="9"/>
  <c r="AS602" i="9" s="1"/>
  <c r="BC342" i="9"/>
  <c r="BC538" i="9" s="1"/>
  <c r="BB889" i="9"/>
  <c r="AZ266" i="9"/>
  <c r="AZ534" i="9" s="1"/>
  <c r="AR209" i="9"/>
  <c r="AQ882" i="9"/>
  <c r="BC870" i="9"/>
  <c r="BC421" i="9"/>
  <c r="BC611" i="9" s="1"/>
  <c r="AU383" i="9"/>
  <c r="AU609" i="9" s="1"/>
  <c r="BD845" i="9"/>
  <c r="AO877" i="9"/>
  <c r="BC523" i="9"/>
  <c r="BD152" i="9"/>
  <c r="BD528" i="9" s="1"/>
  <c r="BC879" i="9"/>
  <c r="BJ757" i="9" l="1"/>
  <c r="Y757" i="9" s="1"/>
  <c r="Y688" i="9"/>
  <c r="BO688" i="9" s="1"/>
  <c r="BO830" i="9" s="1"/>
  <c r="BJ711" i="9"/>
  <c r="BJ734" i="9" s="1"/>
  <c r="Y734" i="9" s="1"/>
  <c r="BO734" i="9" s="1"/>
  <c r="BE844" i="9"/>
  <c r="BE725" i="9"/>
  <c r="BG838" i="9"/>
  <c r="BG719" i="9"/>
  <c r="BG832" i="9"/>
  <c r="BG713" i="9"/>
  <c r="BG740" i="9"/>
  <c r="BH694" i="9" s="1"/>
  <c r="BZ44" i="20"/>
  <c r="BZ110" i="20"/>
  <c r="AE1071" i="9"/>
  <c r="BJ853" i="9"/>
  <c r="BC1016" i="9" s="1"/>
  <c r="BC1039" i="9" s="1"/>
  <c r="AP1074" i="9"/>
  <c r="AR766" i="9"/>
  <c r="AR789" i="9" s="1"/>
  <c r="AR862" i="9" s="1"/>
  <c r="BG703" i="9"/>
  <c r="BC769" i="9"/>
  <c r="BC792" i="9" s="1"/>
  <c r="BC815" i="9" s="1"/>
  <c r="BA858" i="9"/>
  <c r="AO1021" i="9" s="1"/>
  <c r="AO1044" i="9" s="1"/>
  <c r="BA808" i="9"/>
  <c r="BF859" i="9"/>
  <c r="BF809" i="9"/>
  <c r="AQ1031" i="9"/>
  <c r="AQ1054" i="9" s="1"/>
  <c r="BD772" i="9"/>
  <c r="BD795" i="9" s="1"/>
  <c r="BD818" i="9" s="1"/>
  <c r="AR839" i="9"/>
  <c r="AR720" i="9"/>
  <c r="AR743" i="9" s="1"/>
  <c r="X696" i="9"/>
  <c r="BE771" i="9"/>
  <c r="BE794" i="9" s="1"/>
  <c r="X694" i="9"/>
  <c r="BF765" i="9"/>
  <c r="AQ834" i="9"/>
  <c r="AQ1121" i="9" s="1"/>
  <c r="AQ1145" i="9" s="1"/>
  <c r="AQ715" i="9"/>
  <c r="AQ738" i="9" s="1"/>
  <c r="AQ761" i="9"/>
  <c r="AQ784" i="9" s="1"/>
  <c r="AQ807" i="9" s="1"/>
  <c r="AO1069" i="9"/>
  <c r="BF855" i="9"/>
  <c r="BG759" i="9"/>
  <c r="BD847" i="9"/>
  <c r="BD728" i="9"/>
  <c r="BD751" i="9" s="1"/>
  <c r="BE705" i="9" s="1"/>
  <c r="BD774" i="9"/>
  <c r="BD797" i="9" s="1"/>
  <c r="BD820" i="9" s="1"/>
  <c r="BB860" i="9"/>
  <c r="X690" i="9"/>
  <c r="BC837" i="9"/>
  <c r="BC718" i="9"/>
  <c r="BC741" i="9" s="1"/>
  <c r="BC842" i="9"/>
  <c r="BC723" i="9"/>
  <c r="BC746" i="9" s="1"/>
  <c r="BW124" i="20"/>
  <c r="BZ124" i="20" s="1"/>
  <c r="BZ150" i="20"/>
  <c r="BW144" i="20"/>
  <c r="BZ181" i="1"/>
  <c r="BW152" i="30"/>
  <c r="BZ116" i="20"/>
  <c r="BW127" i="20"/>
  <c r="BZ127" i="20" s="1"/>
  <c r="BW143" i="20"/>
  <c r="BZ143" i="20" s="1"/>
  <c r="BW197" i="1"/>
  <c r="BW96" i="20"/>
  <c r="BZ96" i="20" s="1"/>
  <c r="BZ98" i="1"/>
  <c r="BW81" i="20"/>
  <c r="BZ81" i="20" s="1"/>
  <c r="BW66" i="20"/>
  <c r="BZ66" i="20" s="1"/>
  <c r="BW93" i="20"/>
  <c r="BZ93" i="20" s="1"/>
  <c r="BW23" i="20"/>
  <c r="BZ23" i="20" s="1"/>
  <c r="BW181" i="20"/>
  <c r="BW183" i="20" s="1"/>
  <c r="BW117" i="20"/>
  <c r="BZ115" i="20"/>
  <c r="BW41" i="30"/>
  <c r="BZ154" i="20"/>
  <c r="BV41" i="6"/>
  <c r="BV51" i="30"/>
  <c r="AI195" i="6"/>
  <c r="AI201" i="6" s="1"/>
  <c r="AH124" i="30"/>
  <c r="AR531" i="9"/>
  <c r="BW49" i="30"/>
  <c r="BW195" i="20"/>
  <c r="BW42" i="30"/>
  <c r="W786" i="9"/>
  <c r="W859" i="9" s="1"/>
  <c r="X786" i="9"/>
  <c r="BM763" i="9"/>
  <c r="AH1077" i="9"/>
  <c r="BR125" i="30"/>
  <c r="BS204" i="6"/>
  <c r="BS211" i="6" s="1"/>
  <c r="BZ60" i="1"/>
  <c r="BZ117" i="1"/>
  <c r="BW158" i="1"/>
  <c r="BW128" i="20" s="1"/>
  <c r="BZ113" i="1"/>
  <c r="BS195" i="6"/>
  <c r="BS201" i="6" s="1"/>
  <c r="BR124" i="30"/>
  <c r="DE38" i="1"/>
  <c r="DE50" i="1"/>
  <c r="DE29" i="1"/>
  <c r="DE68" i="1"/>
  <c r="DE61" i="1"/>
  <c r="BR139" i="6"/>
  <c r="BR118" i="30" s="1"/>
  <c r="BS123" i="6"/>
  <c r="BS136" i="6" s="1"/>
  <c r="BU106" i="6"/>
  <c r="BU111" i="6" s="1"/>
  <c r="BT114" i="6"/>
  <c r="BT116" i="30" s="1"/>
  <c r="BB1032" i="9"/>
  <c r="BB1055" i="9" s="1"/>
  <c r="AP1078" i="9"/>
  <c r="BC1019" i="9"/>
  <c r="BC1042" i="9" s="1"/>
  <c r="AQ1065" i="9"/>
  <c r="AO1017" i="9"/>
  <c r="AO1040" i="9" s="1"/>
  <c r="AC1063" i="9"/>
  <c r="AQ1033" i="9"/>
  <c r="AQ1056" i="9" s="1"/>
  <c r="AQ1022" i="9"/>
  <c r="AQ1045" i="9" s="1"/>
  <c r="AE1068" i="9"/>
  <c r="BB1029" i="9"/>
  <c r="BB1052" i="9" s="1"/>
  <c r="AP1075" i="9"/>
  <c r="BC307" i="9"/>
  <c r="BC605" i="9" s="1"/>
  <c r="BC887" i="9" s="1"/>
  <c r="BD231" i="9"/>
  <c r="BD601" i="9" s="1"/>
  <c r="BD95" i="9"/>
  <c r="BD525" i="9" s="1"/>
  <c r="BC541" i="9"/>
  <c r="BC402" i="9"/>
  <c r="BC174" i="9"/>
  <c r="BC598" i="9" s="1"/>
  <c r="BC596" i="9"/>
  <c r="BC878" i="9" s="1"/>
  <c r="BD133" i="9"/>
  <c r="BE537" i="9"/>
  <c r="BE326" i="9"/>
  <c r="BC890" i="9"/>
  <c r="BD361" i="9"/>
  <c r="BD539" i="9" s="1"/>
  <c r="AR212" i="9"/>
  <c r="AR600" i="9" s="1"/>
  <c r="BC345" i="9"/>
  <c r="BC607" i="9" s="1"/>
  <c r="BC893" i="9"/>
  <c r="BD418" i="9"/>
  <c r="AT247" i="9"/>
  <c r="AS884" i="9"/>
  <c r="AR76" i="9"/>
  <c r="AR524" i="9" s="1"/>
  <c r="AQ875" i="9"/>
  <c r="BC193" i="9"/>
  <c r="BC599" i="9" s="1"/>
  <c r="AP877" i="9"/>
  <c r="AQ114" i="9"/>
  <c r="BD288" i="9"/>
  <c r="BD604" i="9" s="1"/>
  <c r="BD155" i="9"/>
  <c r="BD597" i="9" s="1"/>
  <c r="BC592" i="9"/>
  <c r="AV380" i="9"/>
  <c r="AU891" i="9"/>
  <c r="AZ269" i="9"/>
  <c r="AZ603" i="9" s="1"/>
  <c r="BJ780" i="9" l="1"/>
  <c r="Y711" i="9"/>
  <c r="BO711" i="9" s="1"/>
  <c r="Y830" i="9"/>
  <c r="BH836" i="9"/>
  <c r="BH717" i="9"/>
  <c r="BG742" i="9"/>
  <c r="BH696" i="9" s="1"/>
  <c r="BE748" i="9"/>
  <c r="BF702" i="9" s="1"/>
  <c r="BG736" i="9"/>
  <c r="BH690" i="9" s="1"/>
  <c r="BW24" i="32"/>
  <c r="BW153" i="30"/>
  <c r="BW59" i="33" s="1"/>
  <c r="BW51" i="30"/>
  <c r="AF1025" i="9"/>
  <c r="AF1048" i="9" s="1"/>
  <c r="BZ117" i="20"/>
  <c r="BZ181" i="20"/>
  <c r="BC865" i="9"/>
  <c r="AQ1028" i="9" s="1"/>
  <c r="AQ1051" i="9" s="1"/>
  <c r="AX1016" i="9"/>
  <c r="AX1039" i="9" s="1"/>
  <c r="AZ1016" i="9"/>
  <c r="AZ1039" i="9" s="1"/>
  <c r="BB1016" i="9"/>
  <c r="BB1039" i="9" s="1"/>
  <c r="AY1016" i="9"/>
  <c r="AY1039" i="9" s="1"/>
  <c r="BA1016" i="9"/>
  <c r="BA1039" i="9" s="1"/>
  <c r="Y853" i="9"/>
  <c r="BD716" i="9"/>
  <c r="AR812" i="9"/>
  <c r="AR885" i="9" s="1"/>
  <c r="BE867" i="9"/>
  <c r="AS1030" i="9" s="1"/>
  <c r="AS1053" i="9" s="1"/>
  <c r="BE817" i="9"/>
  <c r="BD868" i="9"/>
  <c r="AR1031" i="9" s="1"/>
  <c r="AR1054" i="9" s="1"/>
  <c r="BB762" i="9"/>
  <c r="BB785" i="9" s="1"/>
  <c r="BB808" i="9" s="1"/>
  <c r="BA881" i="9"/>
  <c r="AO1067" i="9" s="1"/>
  <c r="BD695" i="9"/>
  <c r="BC764" i="9"/>
  <c r="BC787" i="9" s="1"/>
  <c r="BC810" i="9" s="1"/>
  <c r="BB883" i="9"/>
  <c r="AR692" i="9"/>
  <c r="BN696" i="9"/>
  <c r="BN838" i="9" s="1"/>
  <c r="X838" i="9"/>
  <c r="BD700" i="9"/>
  <c r="BE774" i="9"/>
  <c r="BE797" i="9" s="1"/>
  <c r="BE820" i="9" s="1"/>
  <c r="BN694" i="9"/>
  <c r="BN836" i="9" s="1"/>
  <c r="X836" i="9"/>
  <c r="X719" i="9"/>
  <c r="BN719" i="9" s="1"/>
  <c r="BN690" i="9"/>
  <c r="BN832" i="9" s="1"/>
  <c r="X832" i="9"/>
  <c r="BG782" i="9"/>
  <c r="BG805" i="9" s="1"/>
  <c r="AQ857" i="9"/>
  <c r="BF788" i="9"/>
  <c r="BF811" i="9" s="1"/>
  <c r="X717" i="9"/>
  <c r="BN717" i="9" s="1"/>
  <c r="X693" i="9"/>
  <c r="X713" i="9"/>
  <c r="BN713" i="9" s="1"/>
  <c r="AP1023" i="9"/>
  <c r="AP1046" i="9" s="1"/>
  <c r="BE847" i="9"/>
  <c r="BE728" i="9"/>
  <c r="BE751" i="9" s="1"/>
  <c r="BF705" i="9" s="1"/>
  <c r="AT1018" i="9"/>
  <c r="AT1041" i="9" s="1"/>
  <c r="BG763" i="9"/>
  <c r="AS697" i="9"/>
  <c r="BC888" i="9"/>
  <c r="BN786" i="9"/>
  <c r="BN859" i="9" s="1"/>
  <c r="X859" i="9"/>
  <c r="BW41" i="6"/>
  <c r="AJ195" i="6"/>
  <c r="AJ201" i="6" s="1"/>
  <c r="AJ124" i="30" s="1"/>
  <c r="AI124" i="30"/>
  <c r="AQ526" i="9"/>
  <c r="AV540" i="9"/>
  <c r="BD542" i="9"/>
  <c r="AT533" i="9"/>
  <c r="W882" i="9"/>
  <c r="BM786" i="9"/>
  <c r="BM859" i="9" s="1"/>
  <c r="BS125" i="30"/>
  <c r="BT204" i="6"/>
  <c r="BT211" i="6" s="1"/>
  <c r="BS124" i="30"/>
  <c r="BT195" i="6"/>
  <c r="BT201" i="6" s="1"/>
  <c r="DF61" i="1"/>
  <c r="DF68" i="1"/>
  <c r="DF29" i="1"/>
  <c r="DF50" i="1"/>
  <c r="DF38" i="1"/>
  <c r="BS139" i="6"/>
  <c r="BS118" i="30" s="1"/>
  <c r="BT123" i="6"/>
  <c r="BT136" i="6" s="1"/>
  <c r="BV106" i="6"/>
  <c r="BV111" i="6" s="1"/>
  <c r="BU114" i="6"/>
  <c r="BU116" i="30" s="1"/>
  <c r="AQ1015" i="9"/>
  <c r="AQ1038" i="9" s="1"/>
  <c r="AE1061" i="9"/>
  <c r="AI1077" i="9"/>
  <c r="AQ1064" i="9"/>
  <c r="AP1017" i="9"/>
  <c r="AP1040" i="9" s="1"/>
  <c r="AD1063" i="9"/>
  <c r="AS1024" i="9"/>
  <c r="AS1047" i="9" s="1"/>
  <c r="AQ1076" i="9"/>
  <c r="BC1027" i="9"/>
  <c r="BC1050" i="9" s="1"/>
  <c r="AQ1073" i="9"/>
  <c r="AQ1079" i="9"/>
  <c r="BC1105" i="9"/>
  <c r="BC199" i="30" s="1"/>
  <c r="BC86" i="33" s="1"/>
  <c r="BD304" i="9"/>
  <c r="BD536" i="9" s="1"/>
  <c r="BD98" i="9"/>
  <c r="BD594" i="9" s="1"/>
  <c r="BD876" i="9" s="1"/>
  <c r="BE228" i="9"/>
  <c r="BE532" i="9" s="1"/>
  <c r="BC610" i="9"/>
  <c r="BC892" i="9" s="1"/>
  <c r="BD399" i="9"/>
  <c r="BD171" i="9"/>
  <c r="BD529" i="9" s="1"/>
  <c r="BD527" i="9"/>
  <c r="BD136" i="9"/>
  <c r="BE606" i="9"/>
  <c r="BF323" i="9"/>
  <c r="BD364" i="9"/>
  <c r="BD608" i="9" s="1"/>
  <c r="AT250" i="9"/>
  <c r="AT602" i="9" s="1"/>
  <c r="BE285" i="9"/>
  <c r="BE535" i="9" s="1"/>
  <c r="BD342" i="9"/>
  <c r="BD538" i="9" s="1"/>
  <c r="BC889" i="9"/>
  <c r="AS209" i="9"/>
  <c r="AR882" i="9"/>
  <c r="AV383" i="9"/>
  <c r="AV609" i="9" s="1"/>
  <c r="BE152" i="9"/>
  <c r="BE528" i="9" s="1"/>
  <c r="BD879" i="9"/>
  <c r="AQ117" i="9"/>
  <c r="AQ595" i="9" s="1"/>
  <c r="AR79" i="9"/>
  <c r="AR593" i="9" s="1"/>
  <c r="BE845" i="9"/>
  <c r="BD835" i="9"/>
  <c r="BA266" i="9"/>
  <c r="BA534" i="9" s="1"/>
  <c r="BD523" i="9"/>
  <c r="BD190" i="9"/>
  <c r="BD530" i="9" s="1"/>
  <c r="BD870" i="9"/>
  <c r="BD421" i="9"/>
  <c r="BD611" i="9" s="1"/>
  <c r="BJ803" i="9" l="1"/>
  <c r="Y803" i="9" s="1"/>
  <c r="Y876" i="9" s="1"/>
  <c r="Y780" i="9"/>
  <c r="BO780" i="9" s="1"/>
  <c r="BO853" i="9" s="1"/>
  <c r="BF844" i="9"/>
  <c r="BF725" i="9"/>
  <c r="BH838" i="9"/>
  <c r="BH719" i="9"/>
  <c r="BH740" i="9"/>
  <c r="BI694" i="9" s="1"/>
  <c r="BD739" i="9"/>
  <c r="BE693" i="9" s="1"/>
  <c r="BE716" i="9" s="1"/>
  <c r="BH832" i="9"/>
  <c r="BH713" i="9"/>
  <c r="BF771" i="9"/>
  <c r="BF794" i="9" s="1"/>
  <c r="BF817" i="9" s="1"/>
  <c r="AF1071" i="9"/>
  <c r="AE1020" i="9"/>
  <c r="AE1043" i="9" s="1"/>
  <c r="AQ1115" i="9"/>
  <c r="AQ1074" i="9"/>
  <c r="BG726" i="9"/>
  <c r="BG749" i="9" s="1"/>
  <c r="AS766" i="9"/>
  <c r="AS789" i="9" s="1"/>
  <c r="AS862" i="9" s="1"/>
  <c r="BE772" i="9"/>
  <c r="BE795" i="9" s="1"/>
  <c r="BE818" i="9" s="1"/>
  <c r="BB858" i="9"/>
  <c r="AP1021" i="9" s="1"/>
  <c r="AP1044" i="9" s="1"/>
  <c r="BF774" i="9"/>
  <c r="BF797" i="9" s="1"/>
  <c r="BF820" i="9" s="1"/>
  <c r="BF847" i="9"/>
  <c r="BF728" i="9"/>
  <c r="BF751" i="9" s="1"/>
  <c r="BG705" i="9" s="1"/>
  <c r="X835" i="9"/>
  <c r="BN693" i="9"/>
  <c r="BN835" i="9" s="1"/>
  <c r="BN805" i="9"/>
  <c r="BN878" i="9" s="1"/>
  <c r="X878" i="9"/>
  <c r="AP1069" i="9"/>
  <c r="X716" i="9"/>
  <c r="BN716" i="9" s="1"/>
  <c r="X740" i="9"/>
  <c r="BN740" i="9" s="1"/>
  <c r="AQ880" i="9"/>
  <c r="X742" i="9"/>
  <c r="BN742" i="9" s="1"/>
  <c r="BG786" i="9"/>
  <c r="BG809" i="9" s="1"/>
  <c r="X736" i="9"/>
  <c r="BN736" i="9" s="1"/>
  <c r="BN811" i="9"/>
  <c r="BN884" i="9" s="1"/>
  <c r="X884" i="9"/>
  <c r="AS839" i="9"/>
  <c r="AS720" i="9"/>
  <c r="BF861" i="9"/>
  <c r="BG855" i="9"/>
  <c r="BC860" i="9"/>
  <c r="AK195" i="6"/>
  <c r="AK201" i="6" s="1"/>
  <c r="AS531" i="9"/>
  <c r="BM809" i="9"/>
  <c r="BM882" i="9" s="1"/>
  <c r="X882" i="9"/>
  <c r="BU204" i="6"/>
  <c r="BU211" i="6" s="1"/>
  <c r="BT125" i="30"/>
  <c r="BT124" i="30"/>
  <c r="BU195" i="6"/>
  <c r="BU201" i="6" s="1"/>
  <c r="DG50" i="1"/>
  <c r="DG29" i="1"/>
  <c r="DG68" i="1"/>
  <c r="DG38" i="1"/>
  <c r="DG61" i="1"/>
  <c r="BU123" i="6"/>
  <c r="BU136" i="6" s="1"/>
  <c r="BT139" i="6"/>
  <c r="BT118" i="30" s="1"/>
  <c r="BV114" i="6"/>
  <c r="BV116" i="30" s="1"/>
  <c r="BW106" i="6"/>
  <c r="BW111" i="6" s="1"/>
  <c r="AG1070" i="9"/>
  <c r="BC1032" i="9"/>
  <c r="BC1055" i="9" s="1"/>
  <c r="AQ1078" i="9"/>
  <c r="BD1019" i="9"/>
  <c r="BD1042" i="9" s="1"/>
  <c r="AR1065" i="9"/>
  <c r="AR1022" i="9"/>
  <c r="AR1045" i="9" s="1"/>
  <c r="AF1068" i="9"/>
  <c r="BD1016" i="9"/>
  <c r="BD1039" i="9" s="1"/>
  <c r="AR1033" i="9"/>
  <c r="AR1056" i="9" s="1"/>
  <c r="BC1029" i="9"/>
  <c r="BC1052" i="9" s="1"/>
  <c r="AQ1075" i="9"/>
  <c r="BD307" i="9"/>
  <c r="BD605" i="9" s="1"/>
  <c r="BD887" i="9" s="1"/>
  <c r="BE231" i="9"/>
  <c r="BE601" i="9" s="1"/>
  <c r="BE95" i="9"/>
  <c r="BE525" i="9" s="1"/>
  <c r="BD541" i="9"/>
  <c r="BD402" i="9"/>
  <c r="BD174" i="9"/>
  <c r="BD598" i="9" s="1"/>
  <c r="BD596" i="9"/>
  <c r="BD878" i="9" s="1"/>
  <c r="BE133" i="9"/>
  <c r="BF537" i="9"/>
  <c r="BF326" i="9"/>
  <c r="BE361" i="9"/>
  <c r="BE539" i="9" s="1"/>
  <c r="BD890" i="9"/>
  <c r="BD893" i="9"/>
  <c r="BE418" i="9"/>
  <c r="BD193" i="9"/>
  <c r="BD599" i="9" s="1"/>
  <c r="AR114" i="9"/>
  <c r="AS212" i="9"/>
  <c r="AS600" i="9" s="1"/>
  <c r="AU247" i="9"/>
  <c r="AT884" i="9"/>
  <c r="AV891" i="9"/>
  <c r="AW380" i="9"/>
  <c r="BD592" i="9"/>
  <c r="BA269" i="9"/>
  <c r="BA603" i="9" s="1"/>
  <c r="AR875" i="9"/>
  <c r="AS76" i="9"/>
  <c r="AS524" i="9" s="1"/>
  <c r="BD345" i="9"/>
  <c r="BD607" i="9" s="1"/>
  <c r="BE288" i="9"/>
  <c r="BE604" i="9" s="1"/>
  <c r="BE155" i="9"/>
  <c r="BE597" i="9" s="1"/>
  <c r="BF867" i="9" l="1"/>
  <c r="AT1030" i="9" s="1"/>
  <c r="AT1053" i="9" s="1"/>
  <c r="BH736" i="9"/>
  <c r="AS743" i="9"/>
  <c r="AT697" i="9" s="1"/>
  <c r="BF748" i="9"/>
  <c r="BG702" i="9" s="1"/>
  <c r="BG771" i="9" s="1"/>
  <c r="BG794" i="9" s="1"/>
  <c r="BG817" i="9" s="1"/>
  <c r="BE739" i="9"/>
  <c r="BF693" i="9" s="1"/>
  <c r="BF716" i="9" s="1"/>
  <c r="BF739" i="9" s="1"/>
  <c r="BI836" i="9"/>
  <c r="BI717" i="9"/>
  <c r="BH742" i="9"/>
  <c r="AE1066" i="9"/>
  <c r="AG1025" i="9"/>
  <c r="AG1048" i="9" s="1"/>
  <c r="BH703" i="9"/>
  <c r="AS812" i="9"/>
  <c r="BE868" i="9"/>
  <c r="AS1031" i="9" s="1"/>
  <c r="AS1054" i="9" s="1"/>
  <c r="BB881" i="9"/>
  <c r="AP1067" i="9" s="1"/>
  <c r="BC762" i="9"/>
  <c r="BC785" i="9" s="1"/>
  <c r="BC808" i="9" s="1"/>
  <c r="BG774" i="9"/>
  <c r="BG797" i="9" s="1"/>
  <c r="BG820" i="9" s="1"/>
  <c r="AQ1023" i="9"/>
  <c r="AQ1046" i="9" s="1"/>
  <c r="AR834" i="9"/>
  <c r="AR1121" i="9" s="1"/>
  <c r="AR1145" i="9" s="1"/>
  <c r="AR715" i="9"/>
  <c r="AR738" i="9" s="1"/>
  <c r="AR761" i="9"/>
  <c r="AR784" i="9" s="1"/>
  <c r="AR857" i="9" s="1"/>
  <c r="BD764" i="9"/>
  <c r="BD787" i="9" s="1"/>
  <c r="BD810" i="9" s="1"/>
  <c r="BC883" i="9"/>
  <c r="BH759" i="9"/>
  <c r="BH782" i="9" s="1"/>
  <c r="BH805" i="9" s="1"/>
  <c r="BD842" i="9"/>
  <c r="BD723" i="9"/>
  <c r="BD769" i="9"/>
  <c r="BD792" i="9" s="1"/>
  <c r="BD815" i="9" s="1"/>
  <c r="BG847" i="9"/>
  <c r="BG728" i="9"/>
  <c r="BG751" i="9" s="1"/>
  <c r="BH705" i="9" s="1"/>
  <c r="AU1018" i="9"/>
  <c r="AU1041" i="9" s="1"/>
  <c r="X739" i="9"/>
  <c r="BN739" i="9" s="1"/>
  <c r="BD837" i="9"/>
  <c r="BD718" i="9"/>
  <c r="BG765" i="9"/>
  <c r="BG788" i="9" s="1"/>
  <c r="BG811" i="9" s="1"/>
  <c r="BG859" i="9"/>
  <c r="BW114" i="6"/>
  <c r="BW116" i="30" s="1"/>
  <c r="AK124" i="30"/>
  <c r="AL195" i="6"/>
  <c r="AL201" i="6" s="1"/>
  <c r="AL124" i="30" s="1"/>
  <c r="CG124" i="30" s="1"/>
  <c r="BE542" i="9"/>
  <c r="AU533" i="9"/>
  <c r="AR526" i="9"/>
  <c r="AW540" i="9"/>
  <c r="BN809" i="9"/>
  <c r="BN882" i="9" s="1"/>
  <c r="BV204" i="6"/>
  <c r="BV211" i="6" s="1"/>
  <c r="BU125" i="30"/>
  <c r="BV195" i="6"/>
  <c r="BV201" i="6" s="1"/>
  <c r="BU124" i="30"/>
  <c r="DH61" i="1"/>
  <c r="DH38" i="1"/>
  <c r="DH68" i="1"/>
  <c r="DH29" i="1"/>
  <c r="DH50" i="1"/>
  <c r="BU139" i="6"/>
  <c r="BU118" i="30" s="1"/>
  <c r="BV123" i="6"/>
  <c r="BV136" i="6" s="1"/>
  <c r="AT1024" i="9"/>
  <c r="AT1047" i="9" s="1"/>
  <c r="BD1027" i="9"/>
  <c r="BD1050" i="9" s="1"/>
  <c r="AR1073" i="9"/>
  <c r="AR1079" i="9"/>
  <c r="AR1064" i="9"/>
  <c r="AR1015" i="9"/>
  <c r="AR1038" i="9" s="1"/>
  <c r="AF1061" i="9"/>
  <c r="AJ1077" i="9"/>
  <c r="AR1076" i="9"/>
  <c r="BD1105" i="9"/>
  <c r="BD199" i="30" s="1"/>
  <c r="BD86" i="33" s="1"/>
  <c r="BE304" i="9"/>
  <c r="BE536" i="9" s="1"/>
  <c r="BF228" i="9"/>
  <c r="BF532" i="9" s="1"/>
  <c r="BE98" i="9"/>
  <c r="BE594" i="9" s="1"/>
  <c r="BE876" i="9" s="1"/>
  <c r="BD610" i="9"/>
  <c r="BD892" i="9" s="1"/>
  <c r="BE399" i="9"/>
  <c r="BE171" i="9"/>
  <c r="BE529" i="9" s="1"/>
  <c r="BE527" i="9"/>
  <c r="BE136" i="9"/>
  <c r="BF606" i="9"/>
  <c r="BG323" i="9"/>
  <c r="BE364" i="9"/>
  <c r="BE608" i="9" s="1"/>
  <c r="BF285" i="9"/>
  <c r="BF535" i="9" s="1"/>
  <c r="BE835" i="9"/>
  <c r="AU250" i="9"/>
  <c r="AU602" i="9" s="1"/>
  <c r="AQ877" i="9"/>
  <c r="BE190" i="9"/>
  <c r="BE530" i="9" s="1"/>
  <c r="AT209" i="9"/>
  <c r="AS882" i="9"/>
  <c r="AW383" i="9"/>
  <c r="AW609" i="9" s="1"/>
  <c r="BE870" i="9"/>
  <c r="BE421" i="9"/>
  <c r="BE611" i="9" s="1"/>
  <c r="AS79" i="9"/>
  <c r="AS593" i="9" s="1"/>
  <c r="BB266" i="9"/>
  <c r="BB534" i="9" s="1"/>
  <c r="BF152" i="9"/>
  <c r="BF528" i="9" s="1"/>
  <c r="BE879" i="9"/>
  <c r="BF845" i="9"/>
  <c r="BE342" i="9"/>
  <c r="BE538" i="9" s="1"/>
  <c r="BD889" i="9"/>
  <c r="BE523" i="9"/>
  <c r="AR117" i="9"/>
  <c r="AR595" i="9" s="1"/>
  <c r="AT839" i="9" l="1"/>
  <c r="AT720" i="9"/>
  <c r="AT743" i="9" s="1"/>
  <c r="AU697" i="9" s="1"/>
  <c r="AT766" i="9"/>
  <c r="AT789" i="9" s="1"/>
  <c r="AT812" i="9" s="1"/>
  <c r="BD746" i="9"/>
  <c r="BE700" i="9" s="1"/>
  <c r="BI740" i="9"/>
  <c r="BJ694" i="9" s="1"/>
  <c r="BD741" i="9"/>
  <c r="BE695" i="9" s="1"/>
  <c r="BI696" i="9"/>
  <c r="BG844" i="9"/>
  <c r="BG725" i="9"/>
  <c r="BI690" i="9"/>
  <c r="AF1020" i="9"/>
  <c r="AF1043" i="9" s="1"/>
  <c r="AR1115" i="9"/>
  <c r="AS885" i="9"/>
  <c r="AG1071" i="9" s="1"/>
  <c r="AR807" i="9"/>
  <c r="BG693" i="9"/>
  <c r="BH774" i="9"/>
  <c r="BH797" i="9" s="1"/>
  <c r="BH820" i="9" s="1"/>
  <c r="BF772" i="9"/>
  <c r="BF795" i="9" s="1"/>
  <c r="BF818" i="9" s="1"/>
  <c r="BC858" i="9"/>
  <c r="AQ1021" i="9" s="1"/>
  <c r="AQ1044" i="9" s="1"/>
  <c r="BH855" i="9"/>
  <c r="BD860" i="9"/>
  <c r="BH763" i="9"/>
  <c r="BH786" i="9" s="1"/>
  <c r="BH809" i="9" s="1"/>
  <c r="BG861" i="9"/>
  <c r="BG867" i="9"/>
  <c r="AU1030" i="9" s="1"/>
  <c r="AU1053" i="9" s="1"/>
  <c r="X702" i="9"/>
  <c r="BD865" i="9"/>
  <c r="AR1028" i="9" s="1"/>
  <c r="AR1051" i="9" s="1"/>
  <c r="AQ1069" i="9"/>
  <c r="AS692" i="9"/>
  <c r="BH847" i="9"/>
  <c r="BH728" i="9"/>
  <c r="BH751" i="9" s="1"/>
  <c r="BI705" i="9" s="1"/>
  <c r="BH765" i="9"/>
  <c r="BH788" i="9" s="1"/>
  <c r="AM195" i="6"/>
  <c r="AM201" i="6" s="1"/>
  <c r="AT531" i="9"/>
  <c r="AH1070" i="9"/>
  <c r="BW204" i="6"/>
  <c r="BW211" i="6" s="1"/>
  <c r="BW125" i="30" s="1"/>
  <c r="BV125" i="30"/>
  <c r="BW195" i="6"/>
  <c r="BW201" i="6" s="1"/>
  <c r="BW124" i="30" s="1"/>
  <c r="BV124" i="30"/>
  <c r="DI50" i="1"/>
  <c r="DI29" i="1"/>
  <c r="DI68" i="1"/>
  <c r="DI38" i="1"/>
  <c r="DI61" i="1"/>
  <c r="BW123" i="6"/>
  <c r="BW136" i="6" s="1"/>
  <c r="BV139" i="6"/>
  <c r="BV118" i="30" s="1"/>
  <c r="BD1029" i="9"/>
  <c r="BD1052" i="9" s="1"/>
  <c r="AR1075" i="9"/>
  <c r="AS1022" i="9"/>
  <c r="AS1045" i="9" s="1"/>
  <c r="AS1033" i="9"/>
  <c r="AS1056" i="9" s="1"/>
  <c r="BE1019" i="9"/>
  <c r="BE1042" i="9" s="1"/>
  <c r="AS1065" i="9"/>
  <c r="BD1032" i="9"/>
  <c r="BD1055" i="9" s="1"/>
  <c r="AR1078" i="9"/>
  <c r="AQ1017" i="9"/>
  <c r="AQ1040" i="9" s="1"/>
  <c r="AE1063" i="9"/>
  <c r="BE1016" i="9"/>
  <c r="BE1039" i="9" s="1"/>
  <c r="BF231" i="9"/>
  <c r="BF601" i="9" s="1"/>
  <c r="BE307" i="9"/>
  <c r="BE605" i="9" s="1"/>
  <c r="BE887" i="9" s="1"/>
  <c r="BF95" i="9"/>
  <c r="BF525" i="9" s="1"/>
  <c r="BE541" i="9"/>
  <c r="BE402" i="9"/>
  <c r="BE174" i="9"/>
  <c r="BE598" i="9" s="1"/>
  <c r="BE596" i="9"/>
  <c r="BE878" i="9" s="1"/>
  <c r="BF133" i="9"/>
  <c r="BG537" i="9"/>
  <c r="BG326" i="9"/>
  <c r="BE890" i="9"/>
  <c r="BF361" i="9"/>
  <c r="BF539" i="9" s="1"/>
  <c r="BF288" i="9"/>
  <c r="BF604" i="9" s="1"/>
  <c r="BE345" i="9"/>
  <c r="BE607" i="9" s="1"/>
  <c r="AS875" i="9"/>
  <c r="AT76" i="9"/>
  <c r="AT524" i="9" s="1"/>
  <c r="BE193" i="9"/>
  <c r="BE599" i="9" s="1"/>
  <c r="BF155" i="9"/>
  <c r="BF597" i="9" s="1"/>
  <c r="BB269" i="9"/>
  <c r="BB603" i="9" s="1"/>
  <c r="AV247" i="9"/>
  <c r="AU884" i="9"/>
  <c r="BE893" i="9"/>
  <c r="BF418" i="9"/>
  <c r="AX380" i="9"/>
  <c r="AT212" i="9"/>
  <c r="AT600" i="9" s="1"/>
  <c r="AS114" i="9"/>
  <c r="BE592" i="9"/>
  <c r="AT862" i="9" l="1"/>
  <c r="BE842" i="9"/>
  <c r="BE723" i="9"/>
  <c r="BE746" i="9" s="1"/>
  <c r="BF700" i="9" s="1"/>
  <c r="AU839" i="9"/>
  <c r="AU720" i="9"/>
  <c r="AU743" i="9" s="1"/>
  <c r="AV697" i="9" s="1"/>
  <c r="BE837" i="9"/>
  <c r="BE718" i="9"/>
  <c r="BI832" i="9"/>
  <c r="BI713" i="9"/>
  <c r="BI838" i="9"/>
  <c r="BI719" i="9"/>
  <c r="BG748" i="9"/>
  <c r="BH702" i="9" s="1"/>
  <c r="BJ836" i="9"/>
  <c r="BJ717" i="9"/>
  <c r="Y694" i="9"/>
  <c r="AH1025" i="9"/>
  <c r="AH1048" i="9" s="1"/>
  <c r="AS761" i="9"/>
  <c r="AS784" i="9" s="1"/>
  <c r="AS857" i="9" s="1"/>
  <c r="BH861" i="9"/>
  <c r="BH811" i="9"/>
  <c r="BI765" i="9" s="1"/>
  <c r="BH726" i="9"/>
  <c r="BH749" i="9" s="1"/>
  <c r="BF868" i="9"/>
  <c r="AT1031" i="9" s="1"/>
  <c r="AT1054" i="9" s="1"/>
  <c r="AR880" i="9"/>
  <c r="AF1066" i="9" s="1"/>
  <c r="BC881" i="9"/>
  <c r="AQ1067" i="9" s="1"/>
  <c r="BD762" i="9"/>
  <c r="BD785" i="9" s="1"/>
  <c r="BD808" i="9" s="1"/>
  <c r="BN702" i="9"/>
  <c r="BN844" i="9" s="1"/>
  <c r="X844" i="9"/>
  <c r="BH859" i="9"/>
  <c r="BE764" i="9"/>
  <c r="BE787" i="9" s="1"/>
  <c r="BE810" i="9" s="1"/>
  <c r="BD883" i="9"/>
  <c r="BD888" i="9"/>
  <c r="BE769" i="9"/>
  <c r="BE792" i="9" s="1"/>
  <c r="BE815" i="9" s="1"/>
  <c r="X725" i="9"/>
  <c r="BN725" i="9" s="1"/>
  <c r="AR1023" i="9"/>
  <c r="AR1046" i="9" s="1"/>
  <c r="AS834" i="9"/>
  <c r="AS1121" i="9" s="1"/>
  <c r="AS1145" i="9" s="1"/>
  <c r="AS715" i="9"/>
  <c r="AT885" i="9"/>
  <c r="AU766" i="9"/>
  <c r="AU789" i="9" s="1"/>
  <c r="AU812" i="9" s="1"/>
  <c r="BI759" i="9"/>
  <c r="BI782" i="9" s="1"/>
  <c r="BI805" i="9" s="1"/>
  <c r="BI847" i="9"/>
  <c r="BI728" i="9"/>
  <c r="BI751" i="9" s="1"/>
  <c r="BJ705" i="9" s="1"/>
  <c r="BI763" i="9"/>
  <c r="BI786" i="9" s="1"/>
  <c r="AV1018" i="9"/>
  <c r="AV1041" i="9" s="1"/>
  <c r="BW139" i="6"/>
  <c r="BW118" i="30" s="1"/>
  <c r="AM124" i="30"/>
  <c r="AN195" i="6"/>
  <c r="AN201" i="6" s="1"/>
  <c r="BF542" i="9"/>
  <c r="AS526" i="9"/>
  <c r="AX540" i="9"/>
  <c r="AV533" i="9"/>
  <c r="DJ61" i="1"/>
  <c r="DJ38" i="1"/>
  <c r="DJ68" i="1"/>
  <c r="DJ29" i="1"/>
  <c r="DJ50" i="1"/>
  <c r="AG1068" i="9"/>
  <c r="AS1064" i="9"/>
  <c r="AU1024" i="9"/>
  <c r="AU1047" i="9" s="1"/>
  <c r="AI1070" i="9"/>
  <c r="AS1076" i="9"/>
  <c r="AS1079" i="9"/>
  <c r="AS1015" i="9"/>
  <c r="AS1038" i="9" s="1"/>
  <c r="BE1027" i="9"/>
  <c r="BE1050" i="9" s="1"/>
  <c r="AS1073" i="9"/>
  <c r="BI774" i="9"/>
  <c r="BE1105" i="9"/>
  <c r="BE199" i="30" s="1"/>
  <c r="BE86" i="33" s="1"/>
  <c r="BF98" i="9"/>
  <c r="BF594" i="9" s="1"/>
  <c r="BF876" i="9" s="1"/>
  <c r="BG228" i="9"/>
  <c r="BG532" i="9" s="1"/>
  <c r="BF304" i="9"/>
  <c r="BF536" i="9" s="1"/>
  <c r="BE610" i="9"/>
  <c r="BE892" i="9" s="1"/>
  <c r="BF399" i="9"/>
  <c r="BF171" i="9"/>
  <c r="BF529" i="9" s="1"/>
  <c r="BF527" i="9"/>
  <c r="BF136" i="9"/>
  <c r="BG606" i="9"/>
  <c r="BH323" i="9"/>
  <c r="BF364" i="9"/>
  <c r="BF608" i="9" s="1"/>
  <c r="BG845" i="9"/>
  <c r="AS117" i="9"/>
  <c r="AS595" i="9" s="1"/>
  <c r="BF342" i="9"/>
  <c r="BF538" i="9" s="1"/>
  <c r="BE889" i="9"/>
  <c r="BF523" i="9"/>
  <c r="AX383" i="9"/>
  <c r="AX609" i="9" s="1"/>
  <c r="AU209" i="9"/>
  <c r="AT882" i="9"/>
  <c r="BF870" i="9"/>
  <c r="BF421" i="9"/>
  <c r="BF611" i="9" s="1"/>
  <c r="BG152" i="9"/>
  <c r="BG528" i="9" s="1"/>
  <c r="BF879" i="9"/>
  <c r="BF835" i="9"/>
  <c r="BF190" i="9"/>
  <c r="BF530" i="9" s="1"/>
  <c r="AT79" i="9"/>
  <c r="AT593" i="9" s="1"/>
  <c r="BG285" i="9"/>
  <c r="BG535" i="9" s="1"/>
  <c r="AR877" i="9"/>
  <c r="AW891" i="9"/>
  <c r="AV250" i="9"/>
  <c r="AV602" i="9" s="1"/>
  <c r="BC266" i="9"/>
  <c r="BC534" i="9" s="1"/>
  <c r="AV839" i="9" l="1"/>
  <c r="AV720" i="9"/>
  <c r="AV743" i="9" s="1"/>
  <c r="AW697" i="9" s="1"/>
  <c r="BH844" i="9"/>
  <c r="BH725" i="9"/>
  <c r="BH771" i="9"/>
  <c r="BH794" i="9" s="1"/>
  <c r="BH867" i="9" s="1"/>
  <c r="AV1030" i="9" s="1"/>
  <c r="AV1053" i="9" s="1"/>
  <c r="BF723" i="9"/>
  <c r="BF842" i="9"/>
  <c r="BO694" i="9"/>
  <c r="BO836" i="9" s="1"/>
  <c r="Y836" i="9"/>
  <c r="BJ740" i="9"/>
  <c r="Y740" i="9" s="1"/>
  <c r="BO740" i="9" s="1"/>
  <c r="Y717" i="9"/>
  <c r="BO717" i="9" s="1"/>
  <c r="BI736" i="9"/>
  <c r="BJ690" i="9" s="1"/>
  <c r="BI742" i="9"/>
  <c r="BE741" i="9"/>
  <c r="BF695" i="9" s="1"/>
  <c r="BF764" i="9" s="1"/>
  <c r="BF787" i="9" s="1"/>
  <c r="AS738" i="9"/>
  <c r="AT692" i="9" s="1"/>
  <c r="BI788" i="9"/>
  <c r="BI811" i="9" s="1"/>
  <c r="AH1071" i="9"/>
  <c r="AG1020" i="9"/>
  <c r="AG1043" i="9" s="1"/>
  <c r="AS1115" i="9"/>
  <c r="BI859" i="9"/>
  <c r="BI809" i="9"/>
  <c r="BI703" i="9"/>
  <c r="BG716" i="9"/>
  <c r="BG739" i="9" s="1"/>
  <c r="AS807" i="9"/>
  <c r="BG772" i="9"/>
  <c r="BG795" i="9" s="1"/>
  <c r="BG818" i="9" s="1"/>
  <c r="BD858" i="9"/>
  <c r="AR1021" i="9" s="1"/>
  <c r="AR1044" i="9" s="1"/>
  <c r="BE860" i="9"/>
  <c r="AS1023" i="9" s="1"/>
  <c r="AS1046" i="9" s="1"/>
  <c r="BJ847" i="9"/>
  <c r="BJ728" i="9"/>
  <c r="BJ751" i="9" s="1"/>
  <c r="X705" i="9"/>
  <c r="Y705" i="9"/>
  <c r="AU862" i="9"/>
  <c r="X748" i="9"/>
  <c r="BN748" i="9" s="1"/>
  <c r="BE883" i="9"/>
  <c r="BI855" i="9"/>
  <c r="AR1069" i="9"/>
  <c r="BE865" i="9"/>
  <c r="AS1028" i="9" s="1"/>
  <c r="AS1051" i="9" s="1"/>
  <c r="AR1074" i="9"/>
  <c r="AN124" i="30"/>
  <c r="AO195" i="6"/>
  <c r="AO201" i="6" s="1"/>
  <c r="AO124" i="30" s="1"/>
  <c r="AU531" i="9"/>
  <c r="DK50" i="1"/>
  <c r="DK29" i="1"/>
  <c r="DK68" i="1"/>
  <c r="DK38" i="1"/>
  <c r="DK61" i="1"/>
  <c r="AG1061" i="9"/>
  <c r="AT1022" i="9"/>
  <c r="AT1045" i="9" s="1"/>
  <c r="BE1029" i="9"/>
  <c r="BE1052" i="9" s="1"/>
  <c r="AS1075" i="9"/>
  <c r="BF1016" i="9"/>
  <c r="BF1039" i="9" s="1"/>
  <c r="AR1017" i="9"/>
  <c r="AR1040" i="9" s="1"/>
  <c r="AF1063" i="9"/>
  <c r="BF1019" i="9"/>
  <c r="BF1042" i="9" s="1"/>
  <c r="AT1065" i="9"/>
  <c r="AK1077" i="9"/>
  <c r="BE1032" i="9"/>
  <c r="BE1055" i="9" s="1"/>
  <c r="AS1078" i="9"/>
  <c r="AT1033" i="9"/>
  <c r="AT1056" i="9" s="1"/>
  <c r="BG95" i="9"/>
  <c r="BG525" i="9" s="1"/>
  <c r="BF307" i="9"/>
  <c r="BF605" i="9" s="1"/>
  <c r="BF887" i="9" s="1"/>
  <c r="BG231" i="9"/>
  <c r="BG601" i="9" s="1"/>
  <c r="BF174" i="9"/>
  <c r="BF598" i="9" s="1"/>
  <c r="BF541" i="9"/>
  <c r="BF402" i="9"/>
  <c r="BI797" i="9"/>
  <c r="BI820" i="9" s="1"/>
  <c r="BF596" i="9"/>
  <c r="BF878" i="9" s="1"/>
  <c r="BG133" i="9"/>
  <c r="BH537" i="9"/>
  <c r="BH326" i="9"/>
  <c r="BF890" i="9"/>
  <c r="BG361" i="9"/>
  <c r="BG539" i="9" s="1"/>
  <c r="AW247" i="9"/>
  <c r="AV884" i="9"/>
  <c r="BG288" i="9"/>
  <c r="BG604" i="9" s="1"/>
  <c r="AX891" i="9"/>
  <c r="AY380" i="9"/>
  <c r="BF193" i="9"/>
  <c r="BF599" i="9" s="1"/>
  <c r="BF893" i="9"/>
  <c r="BG418" i="9"/>
  <c r="AU212" i="9"/>
  <c r="AU600" i="9" s="1"/>
  <c r="AT114" i="9"/>
  <c r="BC269" i="9"/>
  <c r="BC603" i="9" s="1"/>
  <c r="AU76" i="9"/>
  <c r="AU524" i="9" s="1"/>
  <c r="AT875" i="9"/>
  <c r="BF592" i="9"/>
  <c r="BF345" i="9"/>
  <c r="BF607" i="9" s="1"/>
  <c r="BG155" i="9"/>
  <c r="BG597" i="9" s="1"/>
  <c r="AT715" i="9" l="1"/>
  <c r="AT738" i="9" s="1"/>
  <c r="AU692" i="9" s="1"/>
  <c r="AT834" i="9"/>
  <c r="AT1121" i="9" s="1"/>
  <c r="AT1145" i="9" s="1"/>
  <c r="AW839" i="9"/>
  <c r="AW720" i="9"/>
  <c r="BF746" i="9"/>
  <c r="BG700" i="9" s="1"/>
  <c r="BJ696" i="9"/>
  <c r="BJ765" i="9" s="1"/>
  <c r="Y765" i="9" s="1"/>
  <c r="BO765" i="9" s="1"/>
  <c r="BH817" i="9"/>
  <c r="BH748" i="9"/>
  <c r="AT761" i="9"/>
  <c r="AT784" i="9" s="1"/>
  <c r="AT807" i="9" s="1"/>
  <c r="BF837" i="9"/>
  <c r="BF718" i="9"/>
  <c r="BJ832" i="9"/>
  <c r="Y690" i="9"/>
  <c r="BJ713" i="9"/>
  <c r="AS880" i="9"/>
  <c r="BI861" i="9"/>
  <c r="AG1066" i="9"/>
  <c r="AI1025" i="9"/>
  <c r="AI1048" i="9" s="1"/>
  <c r="BH693" i="9"/>
  <c r="BF860" i="9"/>
  <c r="AT1023" i="9" s="1"/>
  <c r="AT1046" i="9" s="1"/>
  <c r="BF810" i="9"/>
  <c r="BG868" i="9"/>
  <c r="AU1031" i="9" s="1"/>
  <c r="AU1054" i="9" s="1"/>
  <c r="AS1069" i="9"/>
  <c r="BE762" i="9"/>
  <c r="BE785" i="9" s="1"/>
  <c r="BE808" i="9" s="1"/>
  <c r="BD881" i="9"/>
  <c r="AR1067" i="9" s="1"/>
  <c r="BJ763" i="9"/>
  <c r="Y763" i="9" s="1"/>
  <c r="BO763" i="9" s="1"/>
  <c r="BE888" i="9"/>
  <c r="AS1074" i="9" s="1"/>
  <c r="BF769" i="9"/>
  <c r="BF792" i="9" s="1"/>
  <c r="BF815" i="9" s="1"/>
  <c r="BJ759" i="9"/>
  <c r="Y759" i="9" s="1"/>
  <c r="BO759" i="9" s="1"/>
  <c r="AW1018" i="9"/>
  <c r="AW1041" i="9" s="1"/>
  <c r="Y847" i="9"/>
  <c r="BO705" i="9"/>
  <c r="BO847" i="9" s="1"/>
  <c r="AT857" i="9"/>
  <c r="X847" i="9"/>
  <c r="BN705" i="9"/>
  <c r="BN847" i="9" s="1"/>
  <c r="AV766" i="9"/>
  <c r="AV789" i="9" s="1"/>
  <c r="AV812" i="9" s="1"/>
  <c r="AU885" i="9"/>
  <c r="X728" i="9"/>
  <c r="BN728" i="9" s="1"/>
  <c r="Y728" i="9"/>
  <c r="BO728" i="9" s="1"/>
  <c r="AP195" i="6"/>
  <c r="AP201" i="6" s="1"/>
  <c r="AT526" i="9"/>
  <c r="AY540" i="9"/>
  <c r="BG542" i="9"/>
  <c r="AW533" i="9"/>
  <c r="AH1068" i="9"/>
  <c r="DL61" i="1"/>
  <c r="DL38" i="1"/>
  <c r="DL68" i="1"/>
  <c r="DL29" i="1"/>
  <c r="DL50" i="1"/>
  <c r="AT1015" i="9"/>
  <c r="AT1038" i="9" s="1"/>
  <c r="AV1024" i="9"/>
  <c r="AV1047" i="9" s="1"/>
  <c r="AJ1070" i="9"/>
  <c r="AT1064" i="9"/>
  <c r="BF1027" i="9"/>
  <c r="BF1050" i="9" s="1"/>
  <c r="AT1073" i="9"/>
  <c r="AT1079" i="9"/>
  <c r="AT1076" i="9"/>
  <c r="BJ774" i="9"/>
  <c r="BF1105" i="9"/>
  <c r="BF199" i="30" s="1"/>
  <c r="BF86" i="33" s="1"/>
  <c r="BG98" i="9"/>
  <c r="BG594" i="9" s="1"/>
  <c r="BG876" i="9" s="1"/>
  <c r="BG304" i="9"/>
  <c r="BG536" i="9" s="1"/>
  <c r="BH228" i="9"/>
  <c r="BH532" i="9" s="1"/>
  <c r="BG171" i="9"/>
  <c r="BG529" i="9" s="1"/>
  <c r="BF610" i="9"/>
  <c r="BF892" i="9" s="1"/>
  <c r="BG399" i="9"/>
  <c r="BG527" i="9"/>
  <c r="BG136" i="9"/>
  <c r="BH606" i="9"/>
  <c r="BI323" i="9"/>
  <c r="BG364" i="9"/>
  <c r="BG608" i="9" s="1"/>
  <c r="AT117" i="9"/>
  <c r="AT595" i="9" s="1"/>
  <c r="BG870" i="9"/>
  <c r="BG421" i="9"/>
  <c r="BG611" i="9" s="1"/>
  <c r="AU79" i="9"/>
  <c r="AU593" i="9" s="1"/>
  <c r="AS877" i="9"/>
  <c r="BG190" i="9"/>
  <c r="BG530" i="9" s="1"/>
  <c r="AY383" i="9"/>
  <c r="AY609" i="9" s="1"/>
  <c r="BH152" i="9"/>
  <c r="BH528" i="9" s="1"/>
  <c r="BG879" i="9"/>
  <c r="BG342" i="9"/>
  <c r="BG538" i="9" s="1"/>
  <c r="BF889" i="9"/>
  <c r="BH845" i="9"/>
  <c r="BD266" i="9"/>
  <c r="BD534" i="9" s="1"/>
  <c r="AV209" i="9"/>
  <c r="AU882" i="9"/>
  <c r="BH285" i="9"/>
  <c r="BH535" i="9" s="1"/>
  <c r="AW250" i="9"/>
  <c r="AW602" i="9" s="1"/>
  <c r="BG523" i="9"/>
  <c r="BG835" i="9"/>
  <c r="BJ782" i="9" l="1"/>
  <c r="BJ805" i="9" s="1"/>
  <c r="Y805" i="9" s="1"/>
  <c r="BJ786" i="9"/>
  <c r="BJ809" i="9" s="1"/>
  <c r="Y809" i="9" s="1"/>
  <c r="BJ788" i="9"/>
  <c r="BJ811" i="9" s="1"/>
  <c r="Y811" i="9" s="1"/>
  <c r="AU834" i="9"/>
  <c r="AU1121" i="9" s="1"/>
  <c r="AU1145" i="9" s="1"/>
  <c r="AU715" i="9"/>
  <c r="Y832" i="9"/>
  <c r="BO690" i="9"/>
  <c r="BO832" i="9" s="1"/>
  <c r="BG842" i="9"/>
  <c r="BG723" i="9"/>
  <c r="BF741" i="9"/>
  <c r="BG695" i="9" s="1"/>
  <c r="BJ838" i="9"/>
  <c r="Y696" i="9"/>
  <c r="BJ719" i="9"/>
  <c r="AW743" i="9"/>
  <c r="AX697" i="9" s="1"/>
  <c r="BJ736" i="9"/>
  <c r="Y736" i="9" s="1"/>
  <c r="BO736" i="9" s="1"/>
  <c r="Y713" i="9"/>
  <c r="BO713" i="9" s="1"/>
  <c r="BI702" i="9"/>
  <c r="AI1071" i="9"/>
  <c r="AH1020" i="9"/>
  <c r="AH1043" i="9" s="1"/>
  <c r="AT1115" i="9"/>
  <c r="BI726" i="9"/>
  <c r="BI749" i="9" s="1"/>
  <c r="BH772" i="9"/>
  <c r="BH795" i="9" s="1"/>
  <c r="BH818" i="9" s="1"/>
  <c r="BE858" i="9"/>
  <c r="AS1021" i="9" s="1"/>
  <c r="AS1044" i="9" s="1"/>
  <c r="BF883" i="9"/>
  <c r="AT1069" i="9" s="1"/>
  <c r="X751" i="9"/>
  <c r="BN751" i="9" s="1"/>
  <c r="Y751" i="9"/>
  <c r="BO751" i="9" s="1"/>
  <c r="BJ855" i="9"/>
  <c r="AV862" i="9"/>
  <c r="AU761" i="9"/>
  <c r="AU784" i="9" s="1"/>
  <c r="AU807" i="9" s="1"/>
  <c r="AT880" i="9"/>
  <c r="BJ861" i="9"/>
  <c r="BJ859" i="9"/>
  <c r="Y786" i="9"/>
  <c r="BF865" i="9"/>
  <c r="AP124" i="30"/>
  <c r="AQ195" i="6"/>
  <c r="AQ201" i="6" s="1"/>
  <c r="AQ124" i="30" s="1"/>
  <c r="AV531" i="9"/>
  <c r="W771" i="9"/>
  <c r="X771" i="9"/>
  <c r="W774" i="9"/>
  <c r="X774" i="9"/>
  <c r="Y774" i="9"/>
  <c r="W1031" i="9"/>
  <c r="BM1031" i="9" s="1"/>
  <c r="AL1077" i="9"/>
  <c r="AH1061" i="9"/>
  <c r="DM50" i="1"/>
  <c r="DM29" i="1"/>
  <c r="DM68" i="1"/>
  <c r="DM38" i="1"/>
  <c r="DM61" i="1"/>
  <c r="BG1016" i="9"/>
  <c r="BG1039" i="9" s="1"/>
  <c r="AU1022" i="9"/>
  <c r="AU1045" i="9" s="1"/>
  <c r="AI1068" i="9"/>
  <c r="BF1029" i="9"/>
  <c r="BF1052" i="9" s="1"/>
  <c r="AT1075" i="9"/>
  <c r="AS1017" i="9"/>
  <c r="AS1040" i="9" s="1"/>
  <c r="BF1032" i="9"/>
  <c r="BF1055" i="9" s="1"/>
  <c r="AT1078" i="9"/>
  <c r="BG1019" i="9"/>
  <c r="BG1042" i="9" s="1"/>
  <c r="AU1065" i="9"/>
  <c r="AU1033" i="9"/>
  <c r="AU1056" i="9" s="1"/>
  <c r="BG307" i="9"/>
  <c r="BG605" i="9" s="1"/>
  <c r="BG887" i="9" s="1"/>
  <c r="BH95" i="9"/>
  <c r="BH525" i="9" s="1"/>
  <c r="BH231" i="9"/>
  <c r="BH601" i="9" s="1"/>
  <c r="BG174" i="9"/>
  <c r="BG598" i="9" s="1"/>
  <c r="BG541" i="9"/>
  <c r="BG402" i="9"/>
  <c r="BG596" i="9"/>
  <c r="BG878" i="9" s="1"/>
  <c r="BH133" i="9"/>
  <c r="BI537" i="9"/>
  <c r="BI326" i="9"/>
  <c r="BG890" i="9"/>
  <c r="BH361" i="9"/>
  <c r="BH539" i="9" s="1"/>
  <c r="BG592" i="9"/>
  <c r="AX247" i="9"/>
  <c r="AW884" i="9"/>
  <c r="BG345" i="9"/>
  <c r="BG607" i="9" s="1"/>
  <c r="AZ380" i="9"/>
  <c r="AU114" i="9"/>
  <c r="AV212" i="9"/>
  <c r="AV600" i="9" s="1"/>
  <c r="BH155" i="9"/>
  <c r="BH597" i="9" s="1"/>
  <c r="BG893" i="9"/>
  <c r="BH418" i="9"/>
  <c r="BH288" i="9"/>
  <c r="BH604" i="9" s="1"/>
  <c r="BD269" i="9"/>
  <c r="BD603" i="9" s="1"/>
  <c r="BG193" i="9"/>
  <c r="BG599" i="9" s="1"/>
  <c r="AV76" i="9"/>
  <c r="AV524" i="9" s="1"/>
  <c r="AU875" i="9"/>
  <c r="Y788" i="9" l="1"/>
  <c r="BO788" i="9" s="1"/>
  <c r="BO861" i="9" s="1"/>
  <c r="Y782" i="9"/>
  <c r="BO782" i="9" s="1"/>
  <c r="BO855" i="9" s="1"/>
  <c r="BG837" i="9"/>
  <c r="BG718" i="9"/>
  <c r="BG764" i="9"/>
  <c r="BG787" i="9" s="1"/>
  <c r="BG810" i="9" s="1"/>
  <c r="BO696" i="9"/>
  <c r="BO838" i="9" s="1"/>
  <c r="Y838" i="9"/>
  <c r="BG746" i="9"/>
  <c r="BH700" i="9" s="1"/>
  <c r="BI844" i="9"/>
  <c r="BI725" i="9"/>
  <c r="AX839" i="9"/>
  <c r="AX720" i="9"/>
  <c r="AV692" i="9"/>
  <c r="AU738" i="9"/>
  <c r="BJ742" i="9"/>
  <c r="Y742" i="9" s="1"/>
  <c r="BO742" i="9" s="1"/>
  <c r="Y719" i="9"/>
  <c r="BO719" i="9" s="1"/>
  <c r="BI771" i="9"/>
  <c r="AH1066" i="9"/>
  <c r="AJ1025" i="9"/>
  <c r="AJ1048" i="9" s="1"/>
  <c r="BH716" i="9"/>
  <c r="BH739" i="9" s="1"/>
  <c r="BJ703" i="9"/>
  <c r="BH868" i="9"/>
  <c r="AV1031" i="9" s="1"/>
  <c r="AV1054" i="9" s="1"/>
  <c r="BE881" i="9"/>
  <c r="AS1067" i="9" s="1"/>
  <c r="BF762" i="9"/>
  <c r="BF785" i="9" s="1"/>
  <c r="BF808" i="9" s="1"/>
  <c r="BG769" i="9"/>
  <c r="BG792" i="9" s="1"/>
  <c r="BF888" i="9"/>
  <c r="AV885" i="9"/>
  <c r="AW766" i="9"/>
  <c r="AW789" i="9" s="1"/>
  <c r="AW812" i="9" s="1"/>
  <c r="X695" i="9"/>
  <c r="AT1028" i="9"/>
  <c r="AT1051" i="9" s="1"/>
  <c r="X700" i="9"/>
  <c r="Y859" i="9"/>
  <c r="BO786" i="9"/>
  <c r="BO859" i="9" s="1"/>
  <c r="Y855" i="9"/>
  <c r="AU857" i="9"/>
  <c r="Y861" i="9"/>
  <c r="AX1018" i="9"/>
  <c r="AX1041" i="9" s="1"/>
  <c r="AY1018" i="9"/>
  <c r="AY1041" i="9" s="1"/>
  <c r="AZ1018" i="9"/>
  <c r="AZ1041" i="9" s="1"/>
  <c r="BA1018" i="9"/>
  <c r="BA1041" i="9" s="1"/>
  <c r="BE1018" i="9"/>
  <c r="BE1041" i="9" s="1"/>
  <c r="BD1018" i="9"/>
  <c r="BD1041" i="9" s="1"/>
  <c r="BC1018" i="9"/>
  <c r="BC1041" i="9" s="1"/>
  <c r="BB1018" i="9"/>
  <c r="BB1041" i="9" s="1"/>
  <c r="BF1018" i="9"/>
  <c r="BF1041" i="9" s="1"/>
  <c r="AR195" i="6"/>
  <c r="AR201" i="6" s="1"/>
  <c r="BH542" i="9"/>
  <c r="AZ540" i="9"/>
  <c r="AU526" i="9"/>
  <c r="AX533" i="9"/>
  <c r="W794" i="9"/>
  <c r="W867" i="9" s="1"/>
  <c r="X794" i="9"/>
  <c r="BM774" i="9"/>
  <c r="BM771" i="9"/>
  <c r="DN61" i="1"/>
  <c r="DN38" i="1"/>
  <c r="DN68" i="1"/>
  <c r="DN29" i="1"/>
  <c r="DN50" i="1"/>
  <c r="AG1063" i="9"/>
  <c r="BG1018" i="9"/>
  <c r="BG1041" i="9" s="1"/>
  <c r="AU1064" i="9"/>
  <c r="AW1024" i="9"/>
  <c r="AW1047" i="9" s="1"/>
  <c r="AK1070" i="9"/>
  <c r="AU1079" i="9"/>
  <c r="AU1076" i="9"/>
  <c r="BG1027" i="9"/>
  <c r="BG1050" i="9" s="1"/>
  <c r="AU1073" i="9"/>
  <c r="AU1015" i="9"/>
  <c r="AU1038" i="9" s="1"/>
  <c r="AI1061" i="9"/>
  <c r="BJ797" i="9"/>
  <c r="BJ820" i="9" s="1"/>
  <c r="Y820" i="9" s="1"/>
  <c r="BG1105" i="9"/>
  <c r="BG199" i="30" s="1"/>
  <c r="BG86" i="33" s="1"/>
  <c r="BH304" i="9"/>
  <c r="BH536" i="9" s="1"/>
  <c r="BH98" i="9"/>
  <c r="BH594" i="9" s="1"/>
  <c r="BH876" i="9" s="1"/>
  <c r="BI228" i="9"/>
  <c r="BI532" i="9" s="1"/>
  <c r="BH171" i="9"/>
  <c r="BH529" i="9" s="1"/>
  <c r="BG610" i="9"/>
  <c r="BG892" i="9" s="1"/>
  <c r="BH399" i="9"/>
  <c r="BH527" i="9"/>
  <c r="BH136" i="9"/>
  <c r="BI606" i="9"/>
  <c r="BJ323" i="9"/>
  <c r="BH364" i="9"/>
  <c r="BH608" i="9" s="1"/>
  <c r="BH190" i="9"/>
  <c r="BH530" i="9" s="1"/>
  <c r="AU117" i="9"/>
  <c r="AU595" i="9" s="1"/>
  <c r="AV79" i="9"/>
  <c r="AV593" i="9" s="1"/>
  <c r="BE266" i="9"/>
  <c r="BE534" i="9" s="1"/>
  <c r="AW209" i="9"/>
  <c r="AV882" i="9"/>
  <c r="AY891" i="9"/>
  <c r="BH523" i="9"/>
  <c r="BI285" i="9"/>
  <c r="BI535" i="9" s="1"/>
  <c r="BI152" i="9"/>
  <c r="BI528" i="9" s="1"/>
  <c r="BH879" i="9"/>
  <c r="BH870" i="9"/>
  <c r="BH421" i="9"/>
  <c r="BH611" i="9" s="1"/>
  <c r="BH835" i="9"/>
  <c r="AT877" i="9"/>
  <c r="AZ383" i="9"/>
  <c r="AZ609" i="9" s="1"/>
  <c r="AX250" i="9"/>
  <c r="AX602" i="9" s="1"/>
  <c r="BH342" i="9"/>
  <c r="BH538" i="9" s="1"/>
  <c r="BG889" i="9"/>
  <c r="BI845" i="9"/>
  <c r="BG860" i="9" l="1"/>
  <c r="AU1023" i="9" s="1"/>
  <c r="AU1046" i="9" s="1"/>
  <c r="BI794" i="9"/>
  <c r="AV715" i="9"/>
  <c r="AV834" i="9"/>
  <c r="AV1121" i="9" s="1"/>
  <c r="AV1145" i="9" s="1"/>
  <c r="BH842" i="9"/>
  <c r="BH723" i="9"/>
  <c r="AX743" i="9"/>
  <c r="AY697" i="9" s="1"/>
  <c r="BI748" i="9"/>
  <c r="BJ702" i="9" s="1"/>
  <c r="BG741" i="9"/>
  <c r="BH695" i="9" s="1"/>
  <c r="AJ1071" i="9"/>
  <c r="AI1020" i="9"/>
  <c r="AI1043" i="9" s="1"/>
  <c r="AU1115" i="9"/>
  <c r="BG865" i="9"/>
  <c r="AU1028" i="9" s="1"/>
  <c r="AU1051" i="9" s="1"/>
  <c r="BG815" i="9"/>
  <c r="BI693" i="9"/>
  <c r="BI772" i="9"/>
  <c r="BI795" i="9" s="1"/>
  <c r="BI818" i="9" s="1"/>
  <c r="BF858" i="9"/>
  <c r="AT1021" i="9" s="1"/>
  <c r="AT1044" i="9" s="1"/>
  <c r="AW862" i="9"/>
  <c r="BO811" i="9"/>
  <c r="BO884" i="9" s="1"/>
  <c r="BP884" i="9" s="1"/>
  <c r="BQ884" i="9" s="1"/>
  <c r="BR884" i="9" s="1"/>
  <c r="BS884" i="9" s="1"/>
  <c r="BT884" i="9" s="1"/>
  <c r="BU884" i="9" s="1"/>
  <c r="BV884" i="9" s="1"/>
  <c r="BW884" i="9" s="1"/>
  <c r="Y884" i="9"/>
  <c r="X718" i="9"/>
  <c r="BN718" i="9" s="1"/>
  <c r="BG883" i="9"/>
  <c r="BO809" i="9"/>
  <c r="BO882" i="9" s="1"/>
  <c r="BP882" i="9" s="1"/>
  <c r="BQ882" i="9" s="1"/>
  <c r="BR882" i="9" s="1"/>
  <c r="BS882" i="9" s="1"/>
  <c r="BT882" i="9" s="1"/>
  <c r="BU882" i="9" s="1"/>
  <c r="BV882" i="9" s="1"/>
  <c r="BW882" i="9" s="1"/>
  <c r="Y882" i="9"/>
  <c r="X842" i="9"/>
  <c r="BN700" i="9"/>
  <c r="BN842" i="9" s="1"/>
  <c r="AT1074" i="9"/>
  <c r="AU880" i="9"/>
  <c r="AV761" i="9"/>
  <c r="AV784" i="9" s="1"/>
  <c r="AV807" i="9" s="1"/>
  <c r="BO805" i="9"/>
  <c r="BO878" i="9" s="1"/>
  <c r="BP878" i="9" s="1"/>
  <c r="BQ878" i="9" s="1"/>
  <c r="BR878" i="9" s="1"/>
  <c r="BS878" i="9" s="1"/>
  <c r="BT878" i="9" s="1"/>
  <c r="BU878" i="9" s="1"/>
  <c r="BV878" i="9" s="1"/>
  <c r="BW878" i="9" s="1"/>
  <c r="Y878" i="9"/>
  <c r="X723" i="9"/>
  <c r="BN723" i="9" s="1"/>
  <c r="BN695" i="9"/>
  <c r="BN837" i="9" s="1"/>
  <c r="X837" i="9"/>
  <c r="BN794" i="9"/>
  <c r="BN867" i="9" s="1"/>
  <c r="X867" i="9"/>
  <c r="AR124" i="30"/>
  <c r="AS195" i="6"/>
  <c r="AS201" i="6" s="1"/>
  <c r="AS124" i="30" s="1"/>
  <c r="AW531" i="9"/>
  <c r="W797" i="9"/>
  <c r="W870" i="9" s="1"/>
  <c r="X797" i="9"/>
  <c r="Y797" i="9"/>
  <c r="Y870" i="9" s="1"/>
  <c r="W772" i="9"/>
  <c r="X772" i="9"/>
  <c r="DO50" i="1"/>
  <c r="DO29" i="1"/>
  <c r="DO68" i="1"/>
  <c r="DO38" i="1"/>
  <c r="DO61" i="1"/>
  <c r="AV1033" i="9"/>
  <c r="AV1056" i="9" s="1"/>
  <c r="BG1029" i="9"/>
  <c r="BG1052" i="9" s="1"/>
  <c r="AU1075" i="9"/>
  <c r="AT1017" i="9"/>
  <c r="AT1040" i="9" s="1"/>
  <c r="BH1019" i="9"/>
  <c r="BH1042" i="9" s="1"/>
  <c r="AV1065" i="9"/>
  <c r="AV1022" i="9"/>
  <c r="AV1045" i="9" s="1"/>
  <c r="AJ1068" i="9"/>
  <c r="BG1032" i="9"/>
  <c r="BG1055" i="9" s="1"/>
  <c r="AU1078" i="9"/>
  <c r="BH1016" i="9"/>
  <c r="BH1039" i="9" s="1"/>
  <c r="BH307" i="9"/>
  <c r="BH605" i="9" s="1"/>
  <c r="BH887" i="9" s="1"/>
  <c r="BI95" i="9"/>
  <c r="BI525" i="9" s="1"/>
  <c r="BH174" i="9"/>
  <c r="BH598" i="9" s="1"/>
  <c r="BI231" i="9"/>
  <c r="BI601" i="9" s="1"/>
  <c r="BH541" i="9"/>
  <c r="BH402" i="9"/>
  <c r="BM794" i="9"/>
  <c r="BM867" i="9" s="1"/>
  <c r="BH596" i="9"/>
  <c r="BH878" i="9" s="1"/>
  <c r="BI133" i="9"/>
  <c r="BJ537" i="9"/>
  <c r="BJ326" i="9"/>
  <c r="BJ606" i="9" s="1"/>
  <c r="BH890" i="9"/>
  <c r="BI361" i="9"/>
  <c r="BI539" i="9" s="1"/>
  <c r="BA380" i="9"/>
  <c r="AZ891" i="9"/>
  <c r="BH893" i="9"/>
  <c r="BI418" i="9"/>
  <c r="BI288" i="9"/>
  <c r="BI604" i="9" s="1"/>
  <c r="BH592" i="9"/>
  <c r="AV114" i="9"/>
  <c r="AW212" i="9"/>
  <c r="AW600" i="9" s="1"/>
  <c r="AV875" i="9"/>
  <c r="AW76" i="9"/>
  <c r="AW524" i="9" s="1"/>
  <c r="BI155" i="9"/>
  <c r="BI597" i="9" s="1"/>
  <c r="AY247" i="9"/>
  <c r="AX884" i="9"/>
  <c r="BH345" i="9"/>
  <c r="BH607" i="9" s="1"/>
  <c r="BE269" i="9"/>
  <c r="BE603" i="9" s="1"/>
  <c r="BH193" i="9"/>
  <c r="BH599" i="9" s="1"/>
  <c r="AU1069" i="9" l="1"/>
  <c r="BH837" i="9"/>
  <c r="BH718" i="9"/>
  <c r="BH764" i="9"/>
  <c r="BH787" i="9" s="1"/>
  <c r="BH810" i="9" s="1"/>
  <c r="AY720" i="9"/>
  <c r="AY743" i="9" s="1"/>
  <c r="AZ697" i="9" s="1"/>
  <c r="AY839" i="9"/>
  <c r="AV738" i="9"/>
  <c r="AW692" i="9" s="1"/>
  <c r="BJ844" i="9"/>
  <c r="BJ725" i="9"/>
  <c r="Y702" i="9"/>
  <c r="BH746" i="9"/>
  <c r="BI700" i="9" s="1"/>
  <c r="BI817" i="9"/>
  <c r="BI867" i="9"/>
  <c r="AK1025" i="9"/>
  <c r="AK1048" i="9" s="1"/>
  <c r="AI1066" i="9"/>
  <c r="BJ845" i="9"/>
  <c r="BJ726" i="9"/>
  <c r="BJ749" i="9" s="1"/>
  <c r="Y703" i="9"/>
  <c r="BI868" i="9"/>
  <c r="AW1031" i="9" s="1"/>
  <c r="AW1054" i="9" s="1"/>
  <c r="BF881" i="9"/>
  <c r="AT1067" i="9" s="1"/>
  <c r="BG762" i="9"/>
  <c r="BG785" i="9" s="1"/>
  <c r="BG808" i="9" s="1"/>
  <c r="BH860" i="9"/>
  <c r="AV1023" i="9" s="1"/>
  <c r="AV1046" i="9" s="1"/>
  <c r="BH769" i="9"/>
  <c r="BH792" i="9" s="1"/>
  <c r="BH815" i="9" s="1"/>
  <c r="BG888" i="9"/>
  <c r="AU1074" i="9" s="1"/>
  <c r="AV857" i="9"/>
  <c r="BH883" i="9"/>
  <c r="X746" i="9"/>
  <c r="BN746" i="9" s="1"/>
  <c r="X741" i="9"/>
  <c r="BN741" i="9" s="1"/>
  <c r="AZ839" i="9"/>
  <c r="AZ720" i="9"/>
  <c r="AZ743" i="9" s="1"/>
  <c r="AX766" i="9"/>
  <c r="AX789" i="9" s="1"/>
  <c r="AX812" i="9" s="1"/>
  <c r="X812" i="9" s="1"/>
  <c r="AW885" i="9"/>
  <c r="BM817" i="9"/>
  <c r="BM890" i="9" s="1"/>
  <c r="W890" i="9"/>
  <c r="BN797" i="9"/>
  <c r="BN870" i="9" s="1"/>
  <c r="X870" i="9"/>
  <c r="AT195" i="6"/>
  <c r="AT201" i="6" s="1"/>
  <c r="AV526" i="9"/>
  <c r="BA540" i="9"/>
  <c r="BI542" i="9"/>
  <c r="AY533" i="9"/>
  <c r="W795" i="9"/>
  <c r="X795" i="9"/>
  <c r="X868" i="9" s="1"/>
  <c r="BM772" i="9"/>
  <c r="W764" i="9"/>
  <c r="X764" i="9"/>
  <c r="W893" i="9"/>
  <c r="BM797" i="9"/>
  <c r="BM870" i="9" s="1"/>
  <c r="AM1077" i="9"/>
  <c r="AH1063" i="9"/>
  <c r="DP61" i="1"/>
  <c r="DP38" i="1"/>
  <c r="DP68" i="1"/>
  <c r="DP29" i="1"/>
  <c r="DP50" i="1"/>
  <c r="BN771" i="9"/>
  <c r="AV1015" i="9"/>
  <c r="AV1038" i="9" s="1"/>
  <c r="AJ1061" i="9"/>
  <c r="BH1027" i="9"/>
  <c r="BH1050" i="9" s="1"/>
  <c r="AV1073" i="9"/>
  <c r="AV1079" i="9"/>
  <c r="AV1076" i="9"/>
  <c r="BH1018" i="9"/>
  <c r="BH1041" i="9" s="1"/>
  <c r="AV1064" i="9"/>
  <c r="AN1077" i="9"/>
  <c r="AX1024" i="9"/>
  <c r="AX1047" i="9" s="1"/>
  <c r="BO797" i="9"/>
  <c r="BO870" i="9" s="1"/>
  <c r="BH1105" i="9"/>
  <c r="BH199" i="30" s="1"/>
  <c r="BH86" i="33" s="1"/>
  <c r="BI304" i="9"/>
  <c r="BI536" i="9" s="1"/>
  <c r="BI98" i="9"/>
  <c r="BI594" i="9" s="1"/>
  <c r="BI876" i="9" s="1"/>
  <c r="BI171" i="9"/>
  <c r="BI529" i="9" s="1"/>
  <c r="BJ228" i="9"/>
  <c r="BJ532" i="9" s="1"/>
  <c r="BH610" i="9"/>
  <c r="BH892" i="9" s="1"/>
  <c r="BI399" i="9"/>
  <c r="BI527" i="9"/>
  <c r="BI136" i="9"/>
  <c r="BI364" i="9"/>
  <c r="BI608" i="9" s="1"/>
  <c r="BI870" i="9"/>
  <c r="BI421" i="9"/>
  <c r="BI611" i="9" s="1"/>
  <c r="AV117" i="9"/>
  <c r="AV595" i="9" s="1"/>
  <c r="BF266" i="9"/>
  <c r="BF534" i="9" s="1"/>
  <c r="AY250" i="9"/>
  <c r="AY602" i="9" s="1"/>
  <c r="AX209" i="9"/>
  <c r="AW882" i="9"/>
  <c r="BJ285" i="9"/>
  <c r="BJ535" i="9" s="1"/>
  <c r="BI835" i="9"/>
  <c r="BI523" i="9"/>
  <c r="BI342" i="9"/>
  <c r="BI538" i="9" s="1"/>
  <c r="BH889" i="9"/>
  <c r="BI190" i="9"/>
  <c r="BI530" i="9" s="1"/>
  <c r="BJ152" i="9"/>
  <c r="BJ528" i="9" s="1"/>
  <c r="BI879" i="9"/>
  <c r="AW79" i="9"/>
  <c r="AW593" i="9" s="1"/>
  <c r="AU877" i="9"/>
  <c r="BA383" i="9"/>
  <c r="BA609" i="9" s="1"/>
  <c r="AW1030" i="9" l="1"/>
  <c r="AW1053" i="9" s="1"/>
  <c r="AW834" i="9"/>
  <c r="AW1121" i="9" s="1"/>
  <c r="AW1145" i="9" s="1"/>
  <c r="AW715" i="9"/>
  <c r="BH741" i="9"/>
  <c r="BI695" i="9" s="1"/>
  <c r="BI842" i="9"/>
  <c r="BI723" i="9"/>
  <c r="BO702" i="9"/>
  <c r="BO844" i="9" s="1"/>
  <c r="Y844" i="9"/>
  <c r="BJ771" i="9"/>
  <c r="Y771" i="9" s="1"/>
  <c r="BO771" i="9" s="1"/>
  <c r="BJ748" i="9"/>
  <c r="Y748" i="9" s="1"/>
  <c r="BO748" i="9" s="1"/>
  <c r="Y725" i="9"/>
  <c r="BO725" i="9" s="1"/>
  <c r="AK1071" i="9"/>
  <c r="AJ1020" i="9"/>
  <c r="AJ1043" i="9" s="1"/>
  <c r="AV1115" i="9"/>
  <c r="BO703" i="9"/>
  <c r="BO845" i="9" s="1"/>
  <c r="Y845" i="9"/>
  <c r="Y749" i="9"/>
  <c r="BO749" i="9" s="1"/>
  <c r="Y726" i="9"/>
  <c r="BO726" i="9" s="1"/>
  <c r="BI716" i="9"/>
  <c r="BI739" i="9" s="1"/>
  <c r="BJ772" i="9"/>
  <c r="Y772" i="9" s="1"/>
  <c r="BG858" i="9"/>
  <c r="AU1021" i="9" s="1"/>
  <c r="AU1044" i="9" s="1"/>
  <c r="AV1069" i="9"/>
  <c r="AX862" i="9"/>
  <c r="AV880" i="9"/>
  <c r="AW761" i="9"/>
  <c r="AW784" i="9" s="1"/>
  <c r="AW807" i="9" s="1"/>
  <c r="BH865" i="9"/>
  <c r="AV1028" i="9" s="1"/>
  <c r="AV1051" i="9" s="1"/>
  <c r="BA697" i="9"/>
  <c r="X890" i="9"/>
  <c r="BM795" i="9"/>
  <c r="BM868" i="9" s="1"/>
  <c r="W868" i="9"/>
  <c r="AT124" i="30"/>
  <c r="AU195" i="6"/>
  <c r="AU201" i="6" s="1"/>
  <c r="AX531" i="9"/>
  <c r="BM818" i="9"/>
  <c r="BM891" i="9" s="1"/>
  <c r="W787" i="9"/>
  <c r="X787" i="9"/>
  <c r="X860" i="9" s="1"/>
  <c r="BM764" i="9"/>
  <c r="W1024" i="9"/>
  <c r="BM1024" i="9" s="1"/>
  <c r="BN772" i="9"/>
  <c r="BM820" i="9"/>
  <c r="BM893" i="9" s="1"/>
  <c r="BN774" i="9"/>
  <c r="X893" i="9"/>
  <c r="AL1070" i="9"/>
  <c r="BN817" i="9"/>
  <c r="BN890" i="9" s="1"/>
  <c r="DQ29" i="1"/>
  <c r="DQ68" i="1"/>
  <c r="DQ50" i="1"/>
  <c r="DQ38" i="1"/>
  <c r="DQ61" i="1"/>
  <c r="AU1017" i="9"/>
  <c r="AU1040" i="9" s="1"/>
  <c r="AI1063" i="9"/>
  <c r="BI1019" i="9"/>
  <c r="BI1042" i="9" s="1"/>
  <c r="AW1065" i="9"/>
  <c r="AW1033" i="9"/>
  <c r="AW1056" i="9" s="1"/>
  <c r="BH1029" i="9"/>
  <c r="BH1052" i="9" s="1"/>
  <c r="AV1075" i="9"/>
  <c r="AW1022" i="9"/>
  <c r="AW1045" i="9" s="1"/>
  <c r="AK1068" i="9"/>
  <c r="BH1032" i="9"/>
  <c r="BH1055" i="9" s="1"/>
  <c r="AV1078" i="9"/>
  <c r="BI1016" i="9"/>
  <c r="BI1039" i="9" s="1"/>
  <c r="BJ95" i="9"/>
  <c r="BJ525" i="9" s="1"/>
  <c r="BI307" i="9"/>
  <c r="BI605" i="9" s="1"/>
  <c r="BI887" i="9" s="1"/>
  <c r="BI174" i="9"/>
  <c r="BI598" i="9" s="1"/>
  <c r="BJ231" i="9"/>
  <c r="BJ601" i="9" s="1"/>
  <c r="BI541" i="9"/>
  <c r="BI402" i="9"/>
  <c r="BN795" i="9"/>
  <c r="BN868" i="9" s="1"/>
  <c r="BI596" i="9"/>
  <c r="BI878" i="9" s="1"/>
  <c r="BJ133" i="9"/>
  <c r="BJ361" i="9"/>
  <c r="BJ539" i="9" s="1"/>
  <c r="BI890" i="9"/>
  <c r="BI592" i="9"/>
  <c r="AX212" i="9"/>
  <c r="AX600" i="9" s="1"/>
  <c r="BJ155" i="9"/>
  <c r="BJ288" i="9"/>
  <c r="AZ247" i="9"/>
  <c r="AY884" i="9"/>
  <c r="BI345" i="9"/>
  <c r="BI607" i="9" s="1"/>
  <c r="BF269" i="9"/>
  <c r="BF603" i="9" s="1"/>
  <c r="BI193" i="9"/>
  <c r="BI599" i="9" s="1"/>
  <c r="BB380" i="9"/>
  <c r="AX76" i="9"/>
  <c r="AX524" i="9" s="1"/>
  <c r="AW875" i="9"/>
  <c r="AW114" i="9"/>
  <c r="BI893" i="9"/>
  <c r="BJ418" i="9"/>
  <c r="BJ795" i="9" l="1"/>
  <c r="BJ818" i="9" s="1"/>
  <c r="Y818" i="9" s="1"/>
  <c r="BJ794" i="9"/>
  <c r="BJ817" i="9" s="1"/>
  <c r="Y817" i="9" s="1"/>
  <c r="BO817" i="9" s="1"/>
  <c r="BO890" i="9" s="1"/>
  <c r="BP890" i="9" s="1"/>
  <c r="BQ890" i="9" s="1"/>
  <c r="BR890" i="9" s="1"/>
  <c r="BS890" i="9" s="1"/>
  <c r="BT890" i="9" s="1"/>
  <c r="BU890" i="9" s="1"/>
  <c r="BV890" i="9" s="1"/>
  <c r="BW890" i="9" s="1"/>
  <c r="BJ867" i="9"/>
  <c r="Y794" i="9"/>
  <c r="BI746" i="9"/>
  <c r="BJ700" i="9" s="1"/>
  <c r="AW738" i="9"/>
  <c r="AX692" i="9" s="1"/>
  <c r="BI837" i="9"/>
  <c r="BI718" i="9"/>
  <c r="BI764" i="9"/>
  <c r="BI787" i="9" s="1"/>
  <c r="AJ1066" i="9"/>
  <c r="AL1025" i="9"/>
  <c r="BJ693" i="9"/>
  <c r="BJ868" i="9"/>
  <c r="BH762" i="9"/>
  <c r="BH785" i="9" s="1"/>
  <c r="BH808" i="9" s="1"/>
  <c r="BG881" i="9"/>
  <c r="AU1067" i="9" s="1"/>
  <c r="AW857" i="9"/>
  <c r="BH888" i="9"/>
  <c r="AV1074" i="9" s="1"/>
  <c r="BI769" i="9"/>
  <c r="BI792" i="9" s="1"/>
  <c r="AY766" i="9"/>
  <c r="AY789" i="9" s="1"/>
  <c r="AY812" i="9" s="1"/>
  <c r="AX885" i="9"/>
  <c r="BM787" i="9"/>
  <c r="BM860" i="9" s="1"/>
  <c r="W860" i="9"/>
  <c r="W891" i="9"/>
  <c r="Y890" i="9"/>
  <c r="AV195" i="6"/>
  <c r="AV201" i="6" s="1"/>
  <c r="AU124" i="30"/>
  <c r="BJ542" i="9"/>
  <c r="AZ533" i="9"/>
  <c r="BB540" i="9"/>
  <c r="AW526" i="9"/>
  <c r="W769" i="9"/>
  <c r="BM769" i="9" s="1"/>
  <c r="X769" i="9"/>
  <c r="BN769" i="9" s="1"/>
  <c r="BN820" i="9"/>
  <c r="BN893" i="9" s="1"/>
  <c r="BO774" i="9"/>
  <c r="W1051" i="9"/>
  <c r="BM1051" i="9" s="1"/>
  <c r="BN764" i="9"/>
  <c r="DR61" i="1"/>
  <c r="DR38" i="1"/>
  <c r="DR50" i="1"/>
  <c r="DR68" i="1"/>
  <c r="DR29" i="1"/>
  <c r="BI1030" i="9"/>
  <c r="BI1053" i="9" s="1"/>
  <c r="AW1076" i="9"/>
  <c r="BI1027" i="9"/>
  <c r="BI1050" i="9" s="1"/>
  <c r="AW1073" i="9"/>
  <c r="AW1079" i="9"/>
  <c r="AY1024" i="9"/>
  <c r="AY1047" i="9" s="1"/>
  <c r="BI1018" i="9"/>
  <c r="BI1041" i="9" s="1"/>
  <c r="AW1064" i="9"/>
  <c r="AW1015" i="9"/>
  <c r="AW1038" i="9" s="1"/>
  <c r="AK1061" i="9"/>
  <c r="BO772" i="9"/>
  <c r="BI1105" i="9"/>
  <c r="BI199" i="30" s="1"/>
  <c r="BI86" i="33" s="1"/>
  <c r="BJ98" i="9"/>
  <c r="BJ594" i="9" s="1"/>
  <c r="BJ876" i="9" s="1"/>
  <c r="BJ304" i="9"/>
  <c r="BJ536" i="9" s="1"/>
  <c r="BJ171" i="9"/>
  <c r="BJ529" i="9" s="1"/>
  <c r="BI610" i="9"/>
  <c r="BI892" i="9" s="1"/>
  <c r="BJ399" i="9"/>
  <c r="BN787" i="9"/>
  <c r="BN860" i="9" s="1"/>
  <c r="BJ527" i="9"/>
  <c r="BJ136" i="9"/>
  <c r="BJ596" i="9" s="1"/>
  <c r="BJ878" i="9" s="1"/>
  <c r="BJ597" i="9"/>
  <c r="BJ879" i="9" s="1"/>
  <c r="BJ604" i="9"/>
  <c r="BJ364" i="9"/>
  <c r="AZ250" i="9"/>
  <c r="AZ602" i="9" s="1"/>
  <c r="AW117" i="9"/>
  <c r="AW595" i="9" s="1"/>
  <c r="AV877" i="9"/>
  <c r="BJ870" i="9"/>
  <c r="BJ421" i="9"/>
  <c r="AX79" i="9"/>
  <c r="AX593" i="9" s="1"/>
  <c r="BJ190" i="9"/>
  <c r="BJ530" i="9" s="1"/>
  <c r="BJ523" i="9"/>
  <c r="BA891" i="9"/>
  <c r="BB383" i="9"/>
  <c r="BB609" i="9" s="1"/>
  <c r="BG266" i="9"/>
  <c r="BG534" i="9" s="1"/>
  <c r="BJ342" i="9"/>
  <c r="BJ538" i="9" s="1"/>
  <c r="BI889" i="9"/>
  <c r="AY209" i="9"/>
  <c r="AX882" i="9"/>
  <c r="Y795" i="9" l="1"/>
  <c r="BG1030" i="9"/>
  <c r="BG1053" i="9" s="1"/>
  <c r="BH1030" i="9"/>
  <c r="BH1053" i="9" s="1"/>
  <c r="AZ1030" i="9"/>
  <c r="AZ1053" i="9" s="1"/>
  <c r="BF1030" i="9"/>
  <c r="BF1053" i="9" s="1"/>
  <c r="AX1030" i="9"/>
  <c r="AX1053" i="9" s="1"/>
  <c r="BC1030" i="9"/>
  <c r="BC1053" i="9" s="1"/>
  <c r="BB1030" i="9"/>
  <c r="BB1053" i="9" s="1"/>
  <c r="BA1030" i="9"/>
  <c r="BA1053" i="9" s="1"/>
  <c r="AY1030" i="9"/>
  <c r="AY1053" i="9" s="1"/>
  <c r="BD1030" i="9"/>
  <c r="BD1053" i="9" s="1"/>
  <c r="BE1030" i="9"/>
  <c r="BE1053" i="9" s="1"/>
  <c r="BI741" i="9"/>
  <c r="AX834" i="9"/>
  <c r="AX1121" i="9" s="1"/>
  <c r="AX1145" i="9" s="1"/>
  <c r="AX715" i="9"/>
  <c r="BO794" i="9"/>
  <c r="BO867" i="9" s="1"/>
  <c r="Y867" i="9"/>
  <c r="BJ842" i="9"/>
  <c r="Y700" i="9"/>
  <c r="BJ723" i="9"/>
  <c r="BI810" i="9"/>
  <c r="BI860" i="9"/>
  <c r="AW1023" i="9" s="1"/>
  <c r="AW1046" i="9" s="1"/>
  <c r="W1025" i="9"/>
  <c r="BM1025" i="9" s="1"/>
  <c r="AL1048" i="9"/>
  <c r="AL1071" i="9" s="1"/>
  <c r="AK1020" i="9"/>
  <c r="AK1043" i="9" s="1"/>
  <c r="AW1115" i="9"/>
  <c r="BI865" i="9"/>
  <c r="AW1028" i="9" s="1"/>
  <c r="AW1051" i="9" s="1"/>
  <c r="BI815" i="9"/>
  <c r="Y868" i="9"/>
  <c r="BO795" i="9"/>
  <c r="BO868" i="9" s="1"/>
  <c r="AZ1031" i="9"/>
  <c r="AZ1054" i="9" s="1"/>
  <c r="AX1031" i="9"/>
  <c r="AX1054" i="9" s="1"/>
  <c r="AY1031" i="9"/>
  <c r="AY1054" i="9" s="1"/>
  <c r="BH858" i="9"/>
  <c r="AV1021" i="9" s="1"/>
  <c r="AV1044" i="9" s="1"/>
  <c r="AY862" i="9"/>
  <c r="BA839" i="9"/>
  <c r="BA720" i="9"/>
  <c r="BA743" i="9" s="1"/>
  <c r="AX761" i="9"/>
  <c r="AX784" i="9" s="1"/>
  <c r="AX807" i="9" s="1"/>
  <c r="X807" i="9" s="1"/>
  <c r="AW880" i="9"/>
  <c r="BO818" i="9"/>
  <c r="BO891" i="9" s="1"/>
  <c r="BP891" i="9" s="1"/>
  <c r="BQ891" i="9" s="1"/>
  <c r="BR891" i="9" s="1"/>
  <c r="BS891" i="9" s="1"/>
  <c r="BT891" i="9" s="1"/>
  <c r="BU891" i="9" s="1"/>
  <c r="BV891" i="9" s="1"/>
  <c r="BW891" i="9" s="1"/>
  <c r="Y891" i="9"/>
  <c r="BO820" i="9"/>
  <c r="BO893" i="9" s="1"/>
  <c r="BP893" i="9" s="1"/>
  <c r="BQ893" i="9" s="1"/>
  <c r="BR893" i="9" s="1"/>
  <c r="BS893" i="9" s="1"/>
  <c r="BT893" i="9" s="1"/>
  <c r="BU893" i="9" s="1"/>
  <c r="BV893" i="9" s="1"/>
  <c r="BW893" i="9" s="1"/>
  <c r="Y893" i="9"/>
  <c r="W883" i="9"/>
  <c r="BN818" i="9"/>
  <c r="BN891" i="9" s="1"/>
  <c r="X891" i="9"/>
  <c r="BM810" i="9"/>
  <c r="BM883" i="9" s="1"/>
  <c r="AW195" i="6"/>
  <c r="AW201" i="6" s="1"/>
  <c r="AV124" i="30"/>
  <c r="AY531" i="9"/>
  <c r="W792" i="9"/>
  <c r="W865" i="9" s="1"/>
  <c r="X792" i="9"/>
  <c r="W762" i="9"/>
  <c r="X762" i="9"/>
  <c r="W1046" i="9"/>
  <c r="BM1046" i="9" s="1"/>
  <c r="W1023" i="9"/>
  <c r="BM1023" i="9" s="1"/>
  <c r="W1028" i="9"/>
  <c r="BM1028" i="9" s="1"/>
  <c r="AM1070" i="9"/>
  <c r="DS29" i="1"/>
  <c r="DS68" i="1"/>
  <c r="DS50" i="1"/>
  <c r="DS38" i="1"/>
  <c r="DS61" i="1"/>
  <c r="BI1064" i="9"/>
  <c r="BJ1018" i="9"/>
  <c r="BF1064" i="9"/>
  <c r="AY1064" i="9"/>
  <c r="AZ1064" i="9"/>
  <c r="BA1064" i="9"/>
  <c r="BB1064" i="9"/>
  <c r="BC1064" i="9"/>
  <c r="BG1064" i="9"/>
  <c r="BD1064" i="9"/>
  <c r="BI1032" i="9"/>
  <c r="BI1055" i="9" s="1"/>
  <c r="AW1078" i="9"/>
  <c r="BJ1016" i="9"/>
  <c r="BH1064" i="9"/>
  <c r="AX1022" i="9"/>
  <c r="AX1045" i="9" s="1"/>
  <c r="BI1065" i="9"/>
  <c r="BJ1019" i="9"/>
  <c r="BF1065" i="9"/>
  <c r="AY1065" i="9"/>
  <c r="AZ1065" i="9"/>
  <c r="BA1065" i="9"/>
  <c r="BB1065" i="9"/>
  <c r="BC1065" i="9"/>
  <c r="BD1065" i="9"/>
  <c r="BG1065" i="9"/>
  <c r="BH1065" i="9"/>
  <c r="BE1065" i="9"/>
  <c r="BI1029" i="9"/>
  <c r="BI1052" i="9" s="1"/>
  <c r="AW1075" i="9"/>
  <c r="BF1033" i="9"/>
  <c r="BF1056" i="9" s="1"/>
  <c r="BI1033" i="9"/>
  <c r="BI1056" i="9" s="1"/>
  <c r="AX1033" i="9"/>
  <c r="AX1056" i="9" s="1"/>
  <c r="AY1033" i="9"/>
  <c r="AY1056" i="9" s="1"/>
  <c r="AZ1033" i="9"/>
  <c r="AZ1056" i="9" s="1"/>
  <c r="BA1033" i="9"/>
  <c r="BA1056" i="9" s="1"/>
  <c r="BB1033" i="9"/>
  <c r="BB1056" i="9" s="1"/>
  <c r="BC1033" i="9"/>
  <c r="BC1056" i="9" s="1"/>
  <c r="BG1033" i="9"/>
  <c r="BG1056" i="9" s="1"/>
  <c r="BD1033" i="9"/>
  <c r="BD1056" i="9" s="1"/>
  <c r="BH1033" i="9"/>
  <c r="BH1056" i="9" s="1"/>
  <c r="BE1033" i="9"/>
  <c r="BE1056" i="9" s="1"/>
  <c r="BE1064" i="9"/>
  <c r="BA1031" i="9"/>
  <c r="BA1054" i="9" s="1"/>
  <c r="AO1077" i="9"/>
  <c r="AV1017" i="9"/>
  <c r="AV1040" i="9" s="1"/>
  <c r="AJ1063" i="9"/>
  <c r="BJ307" i="9"/>
  <c r="BJ605" i="9" s="1"/>
  <c r="BJ887" i="9" s="1"/>
  <c r="BJ174" i="9"/>
  <c r="BJ598" i="9" s="1"/>
  <c r="BJ541" i="9"/>
  <c r="BJ402" i="9"/>
  <c r="BJ610" i="9" s="1"/>
  <c r="BJ892" i="9" s="1"/>
  <c r="BH1078" i="9" s="1"/>
  <c r="BJ611" i="9"/>
  <c r="BJ893" i="9" s="1"/>
  <c r="BJ608" i="9"/>
  <c r="BJ890" i="9" s="1"/>
  <c r="AY212" i="9"/>
  <c r="AY600" i="9" s="1"/>
  <c r="BG269" i="9"/>
  <c r="BG603" i="9" s="1"/>
  <c r="AY76" i="9"/>
  <c r="AY524" i="9" s="1"/>
  <c r="AX875" i="9"/>
  <c r="BA247" i="9"/>
  <c r="AZ884" i="9"/>
  <c r="BJ345" i="9"/>
  <c r="BC380" i="9"/>
  <c r="BJ193" i="9"/>
  <c r="AX114" i="9"/>
  <c r="AW877" i="9"/>
  <c r="W68" i="6"/>
  <c r="CF68" i="6" s="1"/>
  <c r="A68" i="6" s="1" a="1"/>
  <c r="A68" i="6" s="1"/>
  <c r="BJ746" i="9" l="1"/>
  <c r="Y746" i="9" s="1"/>
  <c r="Y723" i="9"/>
  <c r="BO723" i="9" s="1"/>
  <c r="BI883" i="9"/>
  <c r="AW1069" i="9" s="1"/>
  <c r="Y842" i="9"/>
  <c r="BO700" i="9"/>
  <c r="BO842" i="9" s="1"/>
  <c r="AX738" i="9"/>
  <c r="AY692" i="9" s="1"/>
  <c r="BJ695" i="9"/>
  <c r="X1018" i="9"/>
  <c r="BN1018" i="9" s="1"/>
  <c r="BJ1041" i="9"/>
  <c r="BJ1064" i="9" s="1"/>
  <c r="X1019" i="9"/>
  <c r="BN1019" i="9" s="1"/>
  <c r="BJ1042" i="9"/>
  <c r="Y1042" i="9" s="1"/>
  <c r="BO1042" i="9" s="1"/>
  <c r="X1016" i="9"/>
  <c r="BN1016" i="9" s="1"/>
  <c r="BJ1039" i="9"/>
  <c r="AK1066" i="9"/>
  <c r="AM1025" i="9"/>
  <c r="AM1048" i="9" s="1"/>
  <c r="BJ835" i="9"/>
  <c r="BJ716" i="9"/>
  <c r="BJ739" i="9" s="1"/>
  <c r="Y693" i="9"/>
  <c r="BI888" i="9"/>
  <c r="BJ769" i="9"/>
  <c r="Y769" i="9" s="1"/>
  <c r="BO769" i="9" s="1"/>
  <c r="BI762" i="9"/>
  <c r="BI785" i="9" s="1"/>
  <c r="BI808" i="9" s="1"/>
  <c r="BH881" i="9"/>
  <c r="AV1067" i="9" s="1"/>
  <c r="AX857" i="9"/>
  <c r="AY885" i="9"/>
  <c r="AZ766" i="9"/>
  <c r="AZ789" i="9" s="1"/>
  <c r="AZ812" i="9" s="1"/>
  <c r="BB697" i="9"/>
  <c r="BN792" i="9"/>
  <c r="BN865" i="9" s="1"/>
  <c r="X865" i="9"/>
  <c r="BN810" i="9"/>
  <c r="BN883" i="9" s="1"/>
  <c r="X883" i="9"/>
  <c r="AW124" i="30"/>
  <c r="AX195" i="6"/>
  <c r="AX201" i="6" s="1"/>
  <c r="AX124" i="30" s="1"/>
  <c r="CH124" i="30" s="1"/>
  <c r="BC540" i="9"/>
  <c r="AX526" i="9"/>
  <c r="BA533" i="9"/>
  <c r="W785" i="9"/>
  <c r="X785" i="9"/>
  <c r="X858" i="9" s="1"/>
  <c r="W888" i="9"/>
  <c r="BM792" i="9"/>
  <c r="BM865" i="9" s="1"/>
  <c r="BM762" i="9"/>
  <c r="W1069" i="9"/>
  <c r="BM1069" i="9" s="1"/>
  <c r="W1033" i="9"/>
  <c r="BM1033" i="9" s="1"/>
  <c r="W1042" i="9"/>
  <c r="BM1042" i="9" s="1"/>
  <c r="W1022" i="9"/>
  <c r="BM1022" i="9" s="1"/>
  <c r="W1041" i="9"/>
  <c r="BM1041" i="9" s="1"/>
  <c r="W1074" i="9"/>
  <c r="BM1074" i="9" s="1"/>
  <c r="AL1068" i="9"/>
  <c r="DT61" i="1"/>
  <c r="DT38" i="1"/>
  <c r="DT50" i="1"/>
  <c r="DT68" i="1"/>
  <c r="DT29" i="1"/>
  <c r="Y1018" i="9"/>
  <c r="BO1018" i="9" s="1"/>
  <c r="X1042" i="9"/>
  <c r="BN1042" i="9" s="1"/>
  <c r="AX1065" i="9"/>
  <c r="X1041" i="9"/>
  <c r="BN1041" i="9" s="1"/>
  <c r="AX1064" i="9"/>
  <c r="Y1019" i="9"/>
  <c r="BO1019" i="9" s="1"/>
  <c r="Y1016" i="9"/>
  <c r="BO1016" i="9" s="1"/>
  <c r="BE1078" i="9"/>
  <c r="AZ1024" i="9"/>
  <c r="AZ1047" i="9" s="1"/>
  <c r="BJ1033" i="9"/>
  <c r="BJ1056" i="9" s="1"/>
  <c r="BI1079" i="9"/>
  <c r="BF1079" i="9"/>
  <c r="AY1079" i="9"/>
  <c r="AZ1079" i="9"/>
  <c r="BA1079" i="9"/>
  <c r="BB1079" i="9"/>
  <c r="BC1079" i="9"/>
  <c r="BG1079" i="9"/>
  <c r="BD1079" i="9"/>
  <c r="BH1079" i="9"/>
  <c r="BE1079" i="9"/>
  <c r="BJ1027" i="9"/>
  <c r="BI1073" i="9"/>
  <c r="BF1073" i="9"/>
  <c r="AY1073" i="9"/>
  <c r="AZ1073" i="9"/>
  <c r="BA1073" i="9"/>
  <c r="BB1073" i="9"/>
  <c r="BC1073" i="9"/>
  <c r="BG1073" i="9"/>
  <c r="BD1073" i="9"/>
  <c r="BH1073" i="9"/>
  <c r="BE1073" i="9"/>
  <c r="AW1017" i="9"/>
  <c r="AW1040" i="9" s="1"/>
  <c r="AK1063" i="9"/>
  <c r="AX1015" i="9"/>
  <c r="AX1038" i="9" s="1"/>
  <c r="BI1078" i="9"/>
  <c r="BJ1032" i="9"/>
  <c r="BF1078" i="9"/>
  <c r="AY1078" i="9"/>
  <c r="AZ1078" i="9"/>
  <c r="BA1078" i="9"/>
  <c r="BB1078" i="9"/>
  <c r="BC1078" i="9"/>
  <c r="BG1078" i="9"/>
  <c r="BD1078" i="9"/>
  <c r="BI1076" i="9"/>
  <c r="BJ1030" i="9"/>
  <c r="BF1076" i="9"/>
  <c r="AY1076" i="9"/>
  <c r="AZ1076" i="9"/>
  <c r="BA1076" i="9"/>
  <c r="BB1076" i="9"/>
  <c r="BC1076" i="9"/>
  <c r="BG1076" i="9"/>
  <c r="BD1076" i="9"/>
  <c r="BH1076" i="9"/>
  <c r="BE1076" i="9"/>
  <c r="BJ599" i="9"/>
  <c r="BJ607" i="9"/>
  <c r="BJ889" i="9" s="1"/>
  <c r="BJ592" i="9"/>
  <c r="AX117" i="9"/>
  <c r="AX595" i="9" s="1"/>
  <c r="BB891" i="9"/>
  <c r="BA250" i="9"/>
  <c r="BA602" i="9" s="1"/>
  <c r="BH266" i="9"/>
  <c r="BH534" i="9" s="1"/>
  <c r="AZ209" i="9"/>
  <c r="AY882" i="9"/>
  <c r="BC383" i="9"/>
  <c r="BC609" i="9" s="1"/>
  <c r="AY79" i="9"/>
  <c r="AY593" i="9" s="1"/>
  <c r="BJ792" i="9" l="1"/>
  <c r="BJ815" i="9" s="1"/>
  <c r="Y815" i="9" s="1"/>
  <c r="Y1041" i="9"/>
  <c r="BO1041" i="9" s="1"/>
  <c r="AY834" i="9"/>
  <c r="AY1121" i="9" s="1"/>
  <c r="AY1145" i="9" s="1"/>
  <c r="AY715" i="9"/>
  <c r="AY738" i="9" s="1"/>
  <c r="AZ692" i="9" s="1"/>
  <c r="AZ834" i="9" s="1"/>
  <c r="AZ1121" i="9" s="1"/>
  <c r="AZ1145" i="9" s="1"/>
  <c r="BJ837" i="9"/>
  <c r="Y695" i="9"/>
  <c r="BJ718" i="9"/>
  <c r="BJ764" i="9"/>
  <c r="Y764" i="9" s="1"/>
  <c r="BO764" i="9" s="1"/>
  <c r="BJ1065" i="9"/>
  <c r="Y1065" i="9" s="1"/>
  <c r="BO1065" i="9" s="1"/>
  <c r="X1030" i="9"/>
  <c r="BN1030" i="9" s="1"/>
  <c r="BJ1053" i="9"/>
  <c r="Y1053" i="9" s="1"/>
  <c r="BO1053" i="9" s="1"/>
  <c r="X1032" i="9"/>
  <c r="BN1032" i="9" s="1"/>
  <c r="BJ1055" i="9"/>
  <c r="BJ1078" i="9" s="1"/>
  <c r="X1027" i="9"/>
  <c r="BN1027" i="9" s="1"/>
  <c r="BJ1050" i="9"/>
  <c r="Y1050" i="9" s="1"/>
  <c r="BO1050" i="9" s="1"/>
  <c r="X1033" i="9"/>
  <c r="BN1033" i="9" s="1"/>
  <c r="AM1071" i="9"/>
  <c r="AL1020" i="9"/>
  <c r="AX1115" i="9"/>
  <c r="BO693" i="9"/>
  <c r="BO835" i="9" s="1"/>
  <c r="Y835" i="9"/>
  <c r="Y739" i="9"/>
  <c r="BO739" i="9" s="1"/>
  <c r="Y716" i="9"/>
  <c r="BO716" i="9" s="1"/>
  <c r="BJ865" i="9"/>
  <c r="Y792" i="9"/>
  <c r="BJ888" i="9"/>
  <c r="AW1074" i="9"/>
  <c r="BI858" i="9"/>
  <c r="AW1021" i="9" s="1"/>
  <c r="AW1044" i="9" s="1"/>
  <c r="AZ862" i="9"/>
  <c r="AX880" i="9"/>
  <c r="AY761" i="9"/>
  <c r="AY784" i="9" s="1"/>
  <c r="AY807" i="9" s="1"/>
  <c r="W881" i="9"/>
  <c r="W858" i="9"/>
  <c r="AY195" i="6"/>
  <c r="AY201" i="6" s="1"/>
  <c r="AZ195" i="6" s="1"/>
  <c r="BM785" i="9"/>
  <c r="BM858" i="9" s="1"/>
  <c r="AZ531" i="9"/>
  <c r="BM815" i="9"/>
  <c r="BM888" i="9" s="1"/>
  <c r="X888" i="9"/>
  <c r="W1055" i="9"/>
  <c r="BM1055" i="9" s="1"/>
  <c r="BN762" i="9"/>
  <c r="W1050" i="9"/>
  <c r="BM1050" i="9" s="1"/>
  <c r="X1065" i="9"/>
  <c r="BN1065" i="9" s="1"/>
  <c r="W1065" i="9"/>
  <c r="BM1065" i="9" s="1"/>
  <c r="W1053" i="9"/>
  <c r="BM1053" i="9" s="1"/>
  <c r="W1015" i="9"/>
  <c r="BM1015" i="9" s="1"/>
  <c r="W1056" i="9"/>
  <c r="BM1056" i="9" s="1"/>
  <c r="AN1070" i="9"/>
  <c r="X1064" i="9"/>
  <c r="BN1064" i="9" s="1"/>
  <c r="W1064" i="9"/>
  <c r="BM1064" i="9" s="1"/>
  <c r="Y1064" i="9"/>
  <c r="BO1064" i="9" s="1"/>
  <c r="X1056" i="9"/>
  <c r="BN1056" i="9" s="1"/>
  <c r="Y1056" i="9"/>
  <c r="BO1056" i="9" s="1"/>
  <c r="AL1061" i="9"/>
  <c r="DU29" i="1"/>
  <c r="DU68" i="1"/>
  <c r="DU50" i="1"/>
  <c r="DU38" i="1"/>
  <c r="DU61" i="1"/>
  <c r="X1053" i="9"/>
  <c r="BN1053" i="9" s="1"/>
  <c r="AX1076" i="9"/>
  <c r="X1050" i="9"/>
  <c r="BN1050" i="9" s="1"/>
  <c r="AX1073" i="9"/>
  <c r="Y1033" i="9"/>
  <c r="BO1033" i="9" s="1"/>
  <c r="BJ1079" i="9"/>
  <c r="Y1032" i="9"/>
  <c r="BO1032" i="9" s="1"/>
  <c r="Y1030" i="9"/>
  <c r="BO1030" i="9" s="1"/>
  <c r="X1055" i="9"/>
  <c r="BN1055" i="9" s="1"/>
  <c r="AX1078" i="9"/>
  <c r="Y1027" i="9"/>
  <c r="BO1027" i="9" s="1"/>
  <c r="AX1079" i="9"/>
  <c r="AY1022" i="9"/>
  <c r="AY1045" i="9" s="1"/>
  <c r="BB1031" i="9"/>
  <c r="BB1054" i="9" s="1"/>
  <c r="AP1077" i="9"/>
  <c r="BJ1029" i="9"/>
  <c r="BI1075" i="9"/>
  <c r="BF1075" i="9"/>
  <c r="AY1075" i="9"/>
  <c r="AZ1075" i="9"/>
  <c r="BA1075" i="9"/>
  <c r="BB1075" i="9"/>
  <c r="BC1075" i="9"/>
  <c r="BG1075" i="9"/>
  <c r="BD1075" i="9"/>
  <c r="BE1075" i="9"/>
  <c r="BH1075" i="9"/>
  <c r="BJ1105" i="9"/>
  <c r="BJ199" i="30" s="1"/>
  <c r="BJ86" i="33" s="1"/>
  <c r="BN785" i="9"/>
  <c r="BN858" i="9" s="1"/>
  <c r="BH269" i="9"/>
  <c r="BH603" i="9" s="1"/>
  <c r="AZ76" i="9"/>
  <c r="AZ524" i="9" s="1"/>
  <c r="AY875" i="9"/>
  <c r="AZ212" i="9"/>
  <c r="AZ600" i="9" s="1"/>
  <c r="BB247" i="9"/>
  <c r="BA884" i="9"/>
  <c r="AY114" i="9"/>
  <c r="BD380" i="9"/>
  <c r="BC891" i="9"/>
  <c r="BJ787" i="9" l="1"/>
  <c r="BJ810" i="9" s="1"/>
  <c r="AZ715" i="9"/>
  <c r="AZ738" i="9" s="1"/>
  <c r="BA692" i="9" s="1"/>
  <c r="BJ860" i="9"/>
  <c r="Y787" i="9"/>
  <c r="BJ741" i="9"/>
  <c r="Y741" i="9" s="1"/>
  <c r="BO741" i="9" s="1"/>
  <c r="Y718" i="9"/>
  <c r="BO718" i="9" s="1"/>
  <c r="Y837" i="9"/>
  <c r="BO695" i="9"/>
  <c r="BO837" i="9" s="1"/>
  <c r="Y1055" i="9"/>
  <c r="BO1055" i="9" s="1"/>
  <c r="BJ1073" i="9"/>
  <c r="Y1073" i="9" s="1"/>
  <c r="BO1073" i="9" s="1"/>
  <c r="BJ1076" i="9"/>
  <c r="Y1076" i="9" s="1"/>
  <c r="BO1076" i="9" s="1"/>
  <c r="X1029" i="9"/>
  <c r="BN1029" i="9" s="1"/>
  <c r="BJ1052" i="9"/>
  <c r="BJ1075" i="9" s="1"/>
  <c r="W1020" i="9"/>
  <c r="BM1020" i="9" s="1"/>
  <c r="AL1043" i="9"/>
  <c r="W1043" i="9" s="1"/>
  <c r="BM1043" i="9" s="1"/>
  <c r="AN1025" i="9"/>
  <c r="AN1048" i="9" s="1"/>
  <c r="BJ1028" i="9"/>
  <c r="BJ1051" i="9" s="1"/>
  <c r="Y1051" i="9" s="1"/>
  <c r="BO1051" i="9" s="1"/>
  <c r="Y865" i="9"/>
  <c r="BO792" i="9"/>
  <c r="BO865" i="9" s="1"/>
  <c r="AZ1028" i="9"/>
  <c r="AZ1051" i="9" s="1"/>
  <c r="BF1028" i="9"/>
  <c r="BF1051" i="9" s="1"/>
  <c r="BE1028" i="9"/>
  <c r="BE1051" i="9" s="1"/>
  <c r="BG1028" i="9"/>
  <c r="BA1028" i="9"/>
  <c r="BA1051" i="9" s="1"/>
  <c r="BH1028" i="9"/>
  <c r="BH1051" i="9" s="1"/>
  <c r="BB1028" i="9"/>
  <c r="BB1051" i="9" s="1"/>
  <c r="AY1028" i="9"/>
  <c r="AY1051" i="9" s="1"/>
  <c r="BD1028" i="9"/>
  <c r="BD1051" i="9" s="1"/>
  <c r="BI1028" i="9"/>
  <c r="BI1051" i="9" s="1"/>
  <c r="BC1028" i="9"/>
  <c r="BC1051" i="9" s="1"/>
  <c r="AX1028" i="9"/>
  <c r="AX1051" i="9" s="1"/>
  <c r="X1051" i="9" s="1"/>
  <c r="BN1051" i="9" s="1"/>
  <c r="BN808" i="9"/>
  <c r="BN881" i="9" s="1"/>
  <c r="BM808" i="9"/>
  <c r="BM881" i="9" s="1"/>
  <c r="BJ762" i="9"/>
  <c r="BI881" i="9"/>
  <c r="AW1067" i="9" s="1"/>
  <c r="AY857" i="9"/>
  <c r="BB839" i="9"/>
  <c r="BB720" i="9"/>
  <c r="BB743" i="9" s="1"/>
  <c r="BA766" i="9"/>
  <c r="BA789" i="9" s="1"/>
  <c r="BA812" i="9" s="1"/>
  <c r="AZ885" i="9"/>
  <c r="BA834" i="9"/>
  <c r="BA1121" i="9" s="1"/>
  <c r="BA1145" i="9" s="1"/>
  <c r="BA715" i="9"/>
  <c r="BA738" i="9" s="1"/>
  <c r="AY124" i="30"/>
  <c r="BB533" i="9"/>
  <c r="BD540" i="9"/>
  <c r="AY526" i="9"/>
  <c r="AZ201" i="6"/>
  <c r="AZ124" i="30" s="1"/>
  <c r="BN815" i="9"/>
  <c r="BN888" i="9" s="1"/>
  <c r="W1052" i="9"/>
  <c r="BM1052" i="9" s="1"/>
  <c r="X1076" i="9"/>
  <c r="BN1076" i="9" s="1"/>
  <c r="W1076" i="9"/>
  <c r="BM1076" i="9" s="1"/>
  <c r="W1044" i="9"/>
  <c r="BM1044" i="9" s="1"/>
  <c r="X1079" i="9"/>
  <c r="BN1079" i="9" s="1"/>
  <c r="W1079" i="9"/>
  <c r="BM1079" i="9" s="1"/>
  <c r="X1078" i="9"/>
  <c r="BN1078" i="9" s="1"/>
  <c r="W1078" i="9"/>
  <c r="BM1078" i="9" s="1"/>
  <c r="X1073" i="9"/>
  <c r="BN1073" i="9" s="1"/>
  <c r="W1073" i="9"/>
  <c r="BM1073" i="9" s="1"/>
  <c r="Y1078" i="9"/>
  <c r="BO1078" i="9" s="1"/>
  <c r="Y1079" i="9"/>
  <c r="BO1079" i="9" s="1"/>
  <c r="AM1068" i="9"/>
  <c r="DV61" i="1"/>
  <c r="DV38" i="1"/>
  <c r="DV50" i="1"/>
  <c r="DV68" i="1"/>
  <c r="DV29" i="1"/>
  <c r="Y1029" i="9"/>
  <c r="BO1029" i="9" s="1"/>
  <c r="X1052" i="9"/>
  <c r="BN1052" i="9" s="1"/>
  <c r="AX1075" i="9"/>
  <c r="AY1015" i="9"/>
  <c r="AY1038" i="9" s="1"/>
  <c r="BC1031" i="9"/>
  <c r="BC1054" i="9" s="1"/>
  <c r="AQ1077" i="9"/>
  <c r="BA1024" i="9"/>
  <c r="BA1047" i="9" s="1"/>
  <c r="AO1070" i="9"/>
  <c r="AX877" i="9"/>
  <c r="BA209" i="9"/>
  <c r="AZ882" i="9"/>
  <c r="AY117" i="9"/>
  <c r="AY595" i="9" s="1"/>
  <c r="AZ79" i="9"/>
  <c r="AZ593" i="9" s="1"/>
  <c r="BI266" i="9"/>
  <c r="BI534" i="9" s="1"/>
  <c r="BD383" i="9"/>
  <c r="BD609" i="9" s="1"/>
  <c r="BB250" i="9"/>
  <c r="BB602" i="9" s="1"/>
  <c r="Y762" i="9" l="1"/>
  <c r="BO762" i="9" s="1"/>
  <c r="BJ785" i="9"/>
  <c r="Y860" i="9"/>
  <c r="BO787" i="9"/>
  <c r="BO860" i="9" s="1"/>
  <c r="AZ1023" i="9"/>
  <c r="BE1023" i="9"/>
  <c r="AY1023" i="9"/>
  <c r="BD1023" i="9"/>
  <c r="BG1023" i="9"/>
  <c r="BA1023" i="9"/>
  <c r="BC1023" i="9"/>
  <c r="BI1023" i="9"/>
  <c r="BB1023" i="9"/>
  <c r="BF1023" i="9"/>
  <c r="AX1023" i="9"/>
  <c r="BH1023" i="9"/>
  <c r="Y810" i="9"/>
  <c r="BJ883" i="9"/>
  <c r="BJ1023" i="9" s="1"/>
  <c r="Y1052" i="9"/>
  <c r="BO1052" i="9" s="1"/>
  <c r="AL1066" i="9"/>
  <c r="W1066" i="9" s="1"/>
  <c r="BM1066" i="9" s="1"/>
  <c r="BG1051" i="9"/>
  <c r="BG1074" i="9" s="1"/>
  <c r="AN1071" i="9"/>
  <c r="AM1020" i="9"/>
  <c r="AM1043" i="9" s="1"/>
  <c r="AY1115" i="9"/>
  <c r="AZ1074" i="9"/>
  <c r="BF1074" i="9"/>
  <c r="AY1074" i="9"/>
  <c r="X881" i="9"/>
  <c r="BC1074" i="9"/>
  <c r="BH1074" i="9"/>
  <c r="BD1074" i="9"/>
  <c r="BA1074" i="9"/>
  <c r="BI1074" i="9"/>
  <c r="BB1074" i="9"/>
  <c r="BE1074" i="9"/>
  <c r="X1028" i="9"/>
  <c r="BN1028" i="9" s="1"/>
  <c r="AX1074" i="9"/>
  <c r="X1074" i="9" s="1"/>
  <c r="BN1074" i="9" s="1"/>
  <c r="BJ1074" i="9"/>
  <c r="Y1074" i="9" s="1"/>
  <c r="BO1074" i="9" s="1"/>
  <c r="Y1028" i="9"/>
  <c r="BO1028" i="9" s="1"/>
  <c r="BB692" i="9"/>
  <c r="BA862" i="9"/>
  <c r="AZ761" i="9"/>
  <c r="AZ784" i="9" s="1"/>
  <c r="AZ807" i="9" s="1"/>
  <c r="AY880" i="9"/>
  <c r="BC697" i="9"/>
  <c r="BO815" i="9"/>
  <c r="BO888" i="9" s="1"/>
  <c r="BP888" i="9" s="1"/>
  <c r="BQ888" i="9" s="1"/>
  <c r="BR888" i="9" s="1"/>
  <c r="BS888" i="9" s="1"/>
  <c r="BT888" i="9" s="1"/>
  <c r="BU888" i="9" s="1"/>
  <c r="BV888" i="9" s="1"/>
  <c r="BW888" i="9" s="1"/>
  <c r="Y888" i="9"/>
  <c r="BA195" i="6"/>
  <c r="BA201" i="6" s="1"/>
  <c r="BA531" i="9"/>
  <c r="X1075" i="9"/>
  <c r="BN1075" i="9" s="1"/>
  <c r="W1075" i="9"/>
  <c r="BM1075" i="9" s="1"/>
  <c r="W1067" i="9"/>
  <c r="BM1067" i="9" s="1"/>
  <c r="Y1075" i="9"/>
  <c r="BO1075" i="9" s="1"/>
  <c r="AM1061" i="9"/>
  <c r="DW29" i="1"/>
  <c r="DW68" i="1"/>
  <c r="DW50" i="1"/>
  <c r="DW38" i="1"/>
  <c r="DW61" i="1"/>
  <c r="AX1017" i="9"/>
  <c r="AX1040" i="9" s="1"/>
  <c r="AZ1022" i="9"/>
  <c r="AZ1045" i="9" s="1"/>
  <c r="BI269" i="9"/>
  <c r="BI603" i="9" s="1"/>
  <c r="AY877" i="9"/>
  <c r="AZ114" i="9"/>
  <c r="BC247" i="9"/>
  <c r="BB884" i="9"/>
  <c r="BA212" i="9"/>
  <c r="BA600" i="9" s="1"/>
  <c r="BE380" i="9"/>
  <c r="BA76" i="9"/>
  <c r="BA524" i="9" s="1"/>
  <c r="AZ875" i="9"/>
  <c r="BJ808" i="9" l="1"/>
  <c r="BJ858" i="9"/>
  <c r="Y785" i="9"/>
  <c r="BJ1046" i="9"/>
  <c r="Y1046" i="9" s="1"/>
  <c r="BO1046" i="9" s="1"/>
  <c r="Y1023" i="9"/>
  <c r="BO1023" i="9" s="1"/>
  <c r="BA1046" i="9"/>
  <c r="BA1069" i="9" s="1"/>
  <c r="Y883" i="9"/>
  <c r="BO810" i="9"/>
  <c r="BO883" i="9" s="1"/>
  <c r="BP883" i="9" s="1"/>
  <c r="BQ883" i="9" s="1"/>
  <c r="BR883" i="9" s="1"/>
  <c r="BS883" i="9" s="1"/>
  <c r="BT883" i="9" s="1"/>
  <c r="BU883" i="9" s="1"/>
  <c r="BV883" i="9" s="1"/>
  <c r="BW883" i="9" s="1"/>
  <c r="BB1046" i="9"/>
  <c r="BB1069" i="9" s="1"/>
  <c r="BG1046" i="9"/>
  <c r="BG1069" i="9" s="1"/>
  <c r="AZ1046" i="9"/>
  <c r="AZ1069" i="9" s="1"/>
  <c r="BF1046" i="9"/>
  <c r="BF1069" i="9" s="1"/>
  <c r="BE1046" i="9"/>
  <c r="BE1069" i="9" s="1"/>
  <c r="BH1046" i="9"/>
  <c r="BH1069" i="9" s="1"/>
  <c r="BI1046" i="9"/>
  <c r="BI1069" i="9" s="1"/>
  <c r="BD1046" i="9"/>
  <c r="BD1069" i="9" s="1"/>
  <c r="AX1046" i="9"/>
  <c r="X1046" i="9" s="1"/>
  <c r="BN1046" i="9" s="1"/>
  <c r="X1023" i="9"/>
  <c r="BN1023" i="9" s="1"/>
  <c r="BC1046" i="9"/>
  <c r="BC1069" i="9" s="1"/>
  <c r="AY1046" i="9"/>
  <c r="AY1069" i="9" s="1"/>
  <c r="AM1066" i="9"/>
  <c r="AO1025" i="9"/>
  <c r="AO1048" i="9" s="1"/>
  <c r="AZ857" i="9"/>
  <c r="BA885" i="9"/>
  <c r="BB766" i="9"/>
  <c r="BB789" i="9" s="1"/>
  <c r="BB812" i="9" s="1"/>
  <c r="BB195" i="6"/>
  <c r="BB201" i="6" s="1"/>
  <c r="BB124" i="30" s="1"/>
  <c r="BA124" i="30"/>
  <c r="BC533" i="9"/>
  <c r="BE540" i="9"/>
  <c r="AZ526" i="9"/>
  <c r="AN1068" i="9"/>
  <c r="W1017" i="9"/>
  <c r="BM1017" i="9" s="1"/>
  <c r="AL1063" i="9"/>
  <c r="DX61" i="1"/>
  <c r="DX38" i="1"/>
  <c r="DX50" i="1"/>
  <c r="DX68" i="1"/>
  <c r="DX29" i="1"/>
  <c r="AZ1015" i="9"/>
  <c r="AZ1038" i="9" s="1"/>
  <c r="BB1024" i="9"/>
  <c r="BB1047" i="9" s="1"/>
  <c r="AP1070" i="9"/>
  <c r="AY1017" i="9"/>
  <c r="AY1040" i="9" s="1"/>
  <c r="AM1063" i="9"/>
  <c r="BE383" i="9"/>
  <c r="BE609" i="9" s="1"/>
  <c r="AZ117" i="9"/>
  <c r="AZ595" i="9" s="1"/>
  <c r="BA79" i="9"/>
  <c r="BA593" i="9" s="1"/>
  <c r="BB209" i="9"/>
  <c r="BA882" i="9"/>
  <c r="BC250" i="9"/>
  <c r="BC602" i="9" s="1"/>
  <c r="BJ266" i="9"/>
  <c r="BJ534" i="9" s="1"/>
  <c r="BD891" i="9"/>
  <c r="Y858" i="9" l="1"/>
  <c r="BO785" i="9"/>
  <c r="BO858" i="9" s="1"/>
  <c r="AY1021" i="9"/>
  <c r="BC1021" i="9"/>
  <c r="BH1021" i="9"/>
  <c r="AZ1021" i="9"/>
  <c r="BI1021" i="9"/>
  <c r="BD1021" i="9"/>
  <c r="BA1021" i="9"/>
  <c r="BE1021" i="9"/>
  <c r="BF1021" i="9"/>
  <c r="AX1021" i="9"/>
  <c r="BB1021" i="9"/>
  <c r="BG1021" i="9"/>
  <c r="Y808" i="9"/>
  <c r="BJ881" i="9"/>
  <c r="BJ1021" i="9" s="1"/>
  <c r="BJ1069" i="9"/>
  <c r="Y1069" i="9" s="1"/>
  <c r="BO1069" i="9" s="1"/>
  <c r="AX1069" i="9"/>
  <c r="X1069" i="9" s="1"/>
  <c r="BN1069" i="9" s="1"/>
  <c r="AO1071" i="9"/>
  <c r="AN1020" i="9"/>
  <c r="AN1043" i="9" s="1"/>
  <c r="AZ1115" i="9"/>
  <c r="BB834" i="9"/>
  <c r="BB1121" i="9" s="1"/>
  <c r="BB1145" i="9" s="1"/>
  <c r="BB715" i="9"/>
  <c r="BB738" i="9" s="1"/>
  <c r="AZ880" i="9"/>
  <c r="BA761" i="9"/>
  <c r="BA784" i="9" s="1"/>
  <c r="BA807" i="9" s="1"/>
  <c r="BB862" i="9"/>
  <c r="BC839" i="9"/>
  <c r="BC720" i="9"/>
  <c r="BC743" i="9" s="1"/>
  <c r="BC195" i="6"/>
  <c r="BC201" i="6" s="1"/>
  <c r="BC124" i="30" s="1"/>
  <c r="BB531" i="9"/>
  <c r="AN1061" i="9"/>
  <c r="DY29" i="1"/>
  <c r="DY68" i="1"/>
  <c r="DY50" i="1"/>
  <c r="DY38" i="1"/>
  <c r="DY61" i="1"/>
  <c r="BD1031" i="9"/>
  <c r="BD1054" i="9" s="1"/>
  <c r="AR1077" i="9"/>
  <c r="BA1022" i="9"/>
  <c r="BA1045" i="9" s="1"/>
  <c r="AO1068" i="9"/>
  <c r="BB212" i="9"/>
  <c r="BB600" i="9" s="1"/>
  <c r="BD247" i="9"/>
  <c r="BC884" i="9"/>
  <c r="BB76" i="9"/>
  <c r="BB524" i="9" s="1"/>
  <c r="BA875" i="9"/>
  <c r="BA114" i="9"/>
  <c r="BJ269" i="9"/>
  <c r="BF380" i="9"/>
  <c r="BE891" i="9"/>
  <c r="BJ1044" i="9" l="1"/>
  <c r="Y1044" i="9" s="1"/>
  <c r="BO1044" i="9" s="1"/>
  <c r="Y1021" i="9"/>
  <c r="BO1021" i="9" s="1"/>
  <c r="AX1044" i="9"/>
  <c r="X1044" i="9" s="1"/>
  <c r="BN1044" i="9" s="1"/>
  <c r="X1021" i="9"/>
  <c r="BN1021" i="9" s="1"/>
  <c r="BD1044" i="9"/>
  <c r="BD1067" i="9" s="1"/>
  <c r="BC1044" i="9"/>
  <c r="BC1067" i="9" s="1"/>
  <c r="BO808" i="9"/>
  <c r="BO881" i="9" s="1"/>
  <c r="BP881" i="9" s="1"/>
  <c r="BQ881" i="9" s="1"/>
  <c r="BR881" i="9" s="1"/>
  <c r="BS881" i="9" s="1"/>
  <c r="BT881" i="9" s="1"/>
  <c r="BU881" i="9" s="1"/>
  <c r="BV881" i="9" s="1"/>
  <c r="BW881" i="9" s="1"/>
  <c r="Y881" i="9"/>
  <c r="BF1044" i="9"/>
  <c r="BF1067" i="9" s="1"/>
  <c r="BI1044" i="9"/>
  <c r="BI1067" i="9" s="1"/>
  <c r="AY1044" i="9"/>
  <c r="AY1067" i="9" s="1"/>
  <c r="BG1044" i="9"/>
  <c r="BG1067" i="9" s="1"/>
  <c r="BE1044" i="9"/>
  <c r="BE1067" i="9" s="1"/>
  <c r="AZ1044" i="9"/>
  <c r="AZ1067" i="9" s="1"/>
  <c r="BB1044" i="9"/>
  <c r="BB1067" i="9" s="1"/>
  <c r="BA1044" i="9"/>
  <c r="BA1067" i="9" s="1"/>
  <c r="BH1044" i="9"/>
  <c r="BH1067" i="9" s="1"/>
  <c r="AN1066" i="9"/>
  <c r="AP1025" i="9"/>
  <c r="AP1048" i="9" s="1"/>
  <c r="BA857" i="9"/>
  <c r="BC692" i="9"/>
  <c r="BB885" i="9"/>
  <c r="BC766" i="9"/>
  <c r="BC789" i="9" s="1"/>
  <c r="BC812" i="9" s="1"/>
  <c r="BD697" i="9"/>
  <c r="BA526" i="9"/>
  <c r="BF540" i="9"/>
  <c r="BD533" i="9"/>
  <c r="BD195" i="6"/>
  <c r="DZ38" i="1"/>
  <c r="DZ50" i="1"/>
  <c r="DZ29" i="1"/>
  <c r="DZ61" i="1"/>
  <c r="DZ68" i="1"/>
  <c r="BC1024" i="9"/>
  <c r="BC1047" i="9" s="1"/>
  <c r="AQ1070" i="9"/>
  <c r="BE1031" i="9"/>
  <c r="BE1054" i="9" s="1"/>
  <c r="AS1077" i="9"/>
  <c r="BA1015" i="9"/>
  <c r="BA1038" i="9" s="1"/>
  <c r="AO1061" i="9"/>
  <c r="BJ603" i="9"/>
  <c r="AZ877" i="9"/>
  <c r="BD250" i="9"/>
  <c r="BD602" i="9" s="1"/>
  <c r="BC209" i="9"/>
  <c r="BB882" i="9"/>
  <c r="BB79" i="9"/>
  <c r="BB593" i="9" s="1"/>
  <c r="BF383" i="9"/>
  <c r="BF609" i="9" s="1"/>
  <c r="BA117" i="9"/>
  <c r="BA595" i="9" s="1"/>
  <c r="BJ1067" i="9" l="1"/>
  <c r="Y1067" i="9" s="1"/>
  <c r="BO1067" i="9" s="1"/>
  <c r="AX1067" i="9"/>
  <c r="X1067" i="9" s="1"/>
  <c r="BN1067" i="9" s="1"/>
  <c r="AP1071" i="9"/>
  <c r="AO1020" i="9"/>
  <c r="AO1043" i="9" s="1"/>
  <c r="BA1115" i="9"/>
  <c r="BC862" i="9"/>
  <c r="BA880" i="9"/>
  <c r="BB761" i="9"/>
  <c r="BB784" i="9" s="1"/>
  <c r="BB807" i="9" s="1"/>
  <c r="BC531" i="9"/>
  <c r="BD201" i="6"/>
  <c r="EA68" i="1"/>
  <c r="EA61" i="1"/>
  <c r="EA29" i="1"/>
  <c r="EA50" i="1"/>
  <c r="EA38" i="1"/>
  <c r="AZ1017" i="9"/>
  <c r="AZ1040" i="9" s="1"/>
  <c r="BB1022" i="9"/>
  <c r="BB1045" i="9" s="1"/>
  <c r="AP1068" i="9"/>
  <c r="BB114" i="9"/>
  <c r="BA877" i="9"/>
  <c r="BE247" i="9"/>
  <c r="BD884" i="9"/>
  <c r="BF891" i="9"/>
  <c r="BG380" i="9"/>
  <c r="BC212" i="9"/>
  <c r="BC600" i="9" s="1"/>
  <c r="BC76" i="9"/>
  <c r="BC524" i="9" s="1"/>
  <c r="BB875" i="9"/>
  <c r="AO1066" i="9" l="1"/>
  <c r="AQ1025" i="9"/>
  <c r="AQ1048" i="9" s="1"/>
  <c r="BB857" i="9"/>
  <c r="BC834" i="9"/>
  <c r="BC1121" i="9" s="1"/>
  <c r="BC1145" i="9" s="1"/>
  <c r="BC715" i="9"/>
  <c r="BC738" i="9" s="1"/>
  <c r="BD766" i="9"/>
  <c r="BD789" i="9" s="1"/>
  <c r="BD812" i="9" s="1"/>
  <c r="BC885" i="9"/>
  <c r="BD839" i="9"/>
  <c r="BD720" i="9"/>
  <c r="BG540" i="9"/>
  <c r="BE533" i="9"/>
  <c r="BB526" i="9"/>
  <c r="BE195" i="6"/>
  <c r="BD124" i="30"/>
  <c r="AN1063" i="9"/>
  <c r="W1048" i="9"/>
  <c r="BM1048" i="9" s="1"/>
  <c r="EB38" i="1"/>
  <c r="EB29" i="1"/>
  <c r="EB68" i="1"/>
  <c r="EB50" i="1"/>
  <c r="EB61" i="1"/>
  <c r="BB1015" i="9"/>
  <c r="BB1038" i="9" s="1"/>
  <c r="AP1061" i="9"/>
  <c r="BF1031" i="9"/>
  <c r="BF1054" i="9" s="1"/>
  <c r="AT1077" i="9"/>
  <c r="BA1017" i="9"/>
  <c r="BA1040" i="9" s="1"/>
  <c r="AO1063" i="9"/>
  <c r="BD1024" i="9"/>
  <c r="BD1047" i="9" s="1"/>
  <c r="AR1070" i="9"/>
  <c r="BG383" i="9"/>
  <c r="BG609" i="9" s="1"/>
  <c r="BC79" i="9"/>
  <c r="BC593" i="9" s="1"/>
  <c r="BD209" i="9"/>
  <c r="BC882" i="9"/>
  <c r="BE250" i="9"/>
  <c r="BE602" i="9" s="1"/>
  <c r="BB117" i="9"/>
  <c r="BB595" i="9" s="1"/>
  <c r="BD743" i="9" l="1"/>
  <c r="BE697" i="9" s="1"/>
  <c r="AQ1071" i="9"/>
  <c r="AP1020" i="9"/>
  <c r="AP1043" i="9" s="1"/>
  <c r="BB1115" i="9"/>
  <c r="BD862" i="9"/>
  <c r="BD692" i="9"/>
  <c r="BB880" i="9"/>
  <c r="BC761" i="9"/>
  <c r="BC784" i="9" s="1"/>
  <c r="BC807" i="9" s="1"/>
  <c r="BD531" i="9"/>
  <c r="BE201" i="6"/>
  <c r="W1071" i="9"/>
  <c r="BM1071" i="9" s="1"/>
  <c r="EC50" i="1"/>
  <c r="EC29" i="1"/>
  <c r="EC38" i="1"/>
  <c r="EC61" i="1"/>
  <c r="EC68" i="1"/>
  <c r="BC1022" i="9"/>
  <c r="BC1045" i="9" s="1"/>
  <c r="AQ1068" i="9"/>
  <c r="BC114" i="9"/>
  <c r="BB877" i="9"/>
  <c r="BH380" i="9"/>
  <c r="BG891" i="9"/>
  <c r="BD212" i="9"/>
  <c r="BD600" i="9" s="1"/>
  <c r="BF247" i="9"/>
  <c r="BE884" i="9"/>
  <c r="BC875" i="9"/>
  <c r="BD76" i="9"/>
  <c r="BD524" i="9" s="1"/>
  <c r="BE720" i="9" l="1"/>
  <c r="BE839" i="9"/>
  <c r="AR1025" i="9"/>
  <c r="AR1048" i="9" s="1"/>
  <c r="AP1066" i="9"/>
  <c r="BC857" i="9"/>
  <c r="BE766" i="9"/>
  <c r="BE789" i="9" s="1"/>
  <c r="BE812" i="9" s="1"/>
  <c r="BD885" i="9"/>
  <c r="BH540" i="9"/>
  <c r="BF533" i="9"/>
  <c r="BC526" i="9"/>
  <c r="BE124" i="30"/>
  <c r="BF195" i="6"/>
  <c r="ED68" i="1"/>
  <c r="ED61" i="1"/>
  <c r="ED38" i="1"/>
  <c r="ED29" i="1"/>
  <c r="ED50" i="1"/>
  <c r="BE1024" i="9"/>
  <c r="BE1047" i="9" s="1"/>
  <c r="AS1070" i="9"/>
  <c r="BB1017" i="9"/>
  <c r="BB1040" i="9" s="1"/>
  <c r="AP1063" i="9"/>
  <c r="BC1015" i="9"/>
  <c r="BC1038" i="9" s="1"/>
  <c r="AQ1061" i="9"/>
  <c r="BG1031" i="9"/>
  <c r="BG1054" i="9" s="1"/>
  <c r="AU1077" i="9"/>
  <c r="BF250" i="9"/>
  <c r="BF602" i="9" s="1"/>
  <c r="BD79" i="9"/>
  <c r="BD593" i="9" s="1"/>
  <c r="BE209" i="9"/>
  <c r="BD882" i="9"/>
  <c r="BH383" i="9"/>
  <c r="BH609" i="9" s="1"/>
  <c r="BC117" i="9"/>
  <c r="BC595" i="9" s="1"/>
  <c r="BE743" i="9" l="1"/>
  <c r="BF697" i="9" s="1"/>
  <c r="AR1071" i="9"/>
  <c r="AQ1020" i="9"/>
  <c r="AQ1043" i="9" s="1"/>
  <c r="BC1115" i="9"/>
  <c r="BE862" i="9"/>
  <c r="BD834" i="9"/>
  <c r="BD1121" i="9" s="1"/>
  <c r="BD1145" i="9" s="1"/>
  <c r="BD715" i="9"/>
  <c r="BC880" i="9"/>
  <c r="BD761" i="9"/>
  <c r="BD784" i="9" s="1"/>
  <c r="BD807" i="9" s="1"/>
  <c r="BE531" i="9"/>
  <c r="BF201" i="6"/>
  <c r="W761" i="9"/>
  <c r="BM761" i="9" s="1"/>
  <c r="X761" i="9"/>
  <c r="BD1022" i="9"/>
  <c r="BD1045" i="9" s="1"/>
  <c r="AR1068" i="9"/>
  <c r="BD114" i="9"/>
  <c r="BG247" i="9"/>
  <c r="BF884" i="9"/>
  <c r="BE212" i="9"/>
  <c r="BE600" i="9" s="1"/>
  <c r="BI380" i="9"/>
  <c r="BE76" i="9"/>
  <c r="BE524" i="9" s="1"/>
  <c r="BD875" i="9"/>
  <c r="BF839" i="9" l="1"/>
  <c r="BF720" i="9"/>
  <c r="BD738" i="9"/>
  <c r="BE692" i="9" s="1"/>
  <c r="BE834" i="9" s="1"/>
  <c r="BE1121" i="9" s="1"/>
  <c r="BE1145" i="9" s="1"/>
  <c r="AS1025" i="9"/>
  <c r="AS1048" i="9" s="1"/>
  <c r="AQ1066" i="9"/>
  <c r="BD857" i="9"/>
  <c r="BF766" i="9"/>
  <c r="BF789" i="9" s="1"/>
  <c r="BF812" i="9" s="1"/>
  <c r="BE885" i="9"/>
  <c r="BI540" i="9"/>
  <c r="BD526" i="9"/>
  <c r="BG533" i="9"/>
  <c r="BG195" i="6"/>
  <c r="BF124" i="30"/>
  <c r="W784" i="9"/>
  <c r="X784" i="9"/>
  <c r="X857" i="9" s="1"/>
  <c r="X1115" i="9" s="1"/>
  <c r="BM29" i="1"/>
  <c r="CJ29" i="1" s="1"/>
  <c r="CQ29" i="1"/>
  <c r="BM38" i="1"/>
  <c r="CJ38" i="1" s="1"/>
  <c r="CQ38" i="1"/>
  <c r="BO68" i="1"/>
  <c r="CL68" i="1" s="1"/>
  <c r="CS68" i="1"/>
  <c r="BM61" i="1"/>
  <c r="CJ61" i="1" s="1"/>
  <c r="CQ61" i="1"/>
  <c r="BO50" i="1"/>
  <c r="CL50" i="1" s="1"/>
  <c r="CS50" i="1"/>
  <c r="BO29" i="1"/>
  <c r="CL29" i="1" s="1"/>
  <c r="CS29" i="1"/>
  <c r="BO38" i="1"/>
  <c r="CL38" i="1" s="1"/>
  <c r="CS38" i="1"/>
  <c r="BN68" i="1"/>
  <c r="CK68" i="1" s="1"/>
  <c r="CR68" i="1"/>
  <c r="BN50" i="1"/>
  <c r="CK50" i="1" s="1"/>
  <c r="CR50" i="1"/>
  <c r="BN38" i="1"/>
  <c r="CK38" i="1" s="1"/>
  <c r="CR38" i="1"/>
  <c r="BM68" i="1"/>
  <c r="CJ68" i="1" s="1"/>
  <c r="CQ68" i="1"/>
  <c r="BO61" i="1"/>
  <c r="CL61" i="1" s="1"/>
  <c r="CS61" i="1"/>
  <c r="BM50" i="1"/>
  <c r="CJ50" i="1" s="1"/>
  <c r="CQ50" i="1"/>
  <c r="BN29" i="1"/>
  <c r="CK29" i="1" s="1"/>
  <c r="CR29" i="1"/>
  <c r="BN61" i="1"/>
  <c r="CK61" i="1" s="1"/>
  <c r="CR61" i="1"/>
  <c r="BF1024" i="9"/>
  <c r="BF1047" i="9" s="1"/>
  <c r="AT1070" i="9"/>
  <c r="BD1015" i="9"/>
  <c r="BD1038" i="9" s="1"/>
  <c r="AR1061" i="9"/>
  <c r="BH891" i="9"/>
  <c r="BG250" i="9"/>
  <c r="BG602" i="9" s="1"/>
  <c r="BF209" i="9"/>
  <c r="BE882" i="9"/>
  <c r="BC877" i="9"/>
  <c r="BE79" i="9"/>
  <c r="BE593" i="9" s="1"/>
  <c r="BD117" i="9"/>
  <c r="BD595" i="9" s="1"/>
  <c r="BI383" i="9"/>
  <c r="BI609" i="9" s="1"/>
  <c r="BE715" i="9" l="1"/>
  <c r="BE738" i="9" s="1"/>
  <c r="BF692" i="9" s="1"/>
  <c r="BF743" i="9"/>
  <c r="BG697" i="9" s="1"/>
  <c r="AS1071" i="9"/>
  <c r="AR1020" i="9"/>
  <c r="AR1043" i="9" s="1"/>
  <c r="BD1115" i="9"/>
  <c r="CD68" i="1"/>
  <c r="CD50" i="1"/>
  <c r="BF862" i="9"/>
  <c r="BE761" i="9"/>
  <c r="BE784" i="9" s="1"/>
  <c r="BE807" i="9" s="1"/>
  <c r="BD880" i="9"/>
  <c r="BM784" i="9"/>
  <c r="BM857" i="9" s="1"/>
  <c r="BM1115" i="9" s="1"/>
  <c r="W857" i="9"/>
  <c r="W1115" i="9" s="1"/>
  <c r="CD38" i="1"/>
  <c r="CD61" i="1"/>
  <c r="CD29" i="1"/>
  <c r="BP41" i="20"/>
  <c r="EJ61" i="1"/>
  <c r="BP24" i="20"/>
  <c r="BF531" i="9"/>
  <c r="BG201" i="6"/>
  <c r="EH50" i="1"/>
  <c r="EI68" i="1"/>
  <c r="EI50" i="1"/>
  <c r="A61" i="20" a="1"/>
  <c r="A61" i="20" s="1"/>
  <c r="A38" i="20" a="1"/>
  <c r="A38" i="20" s="1"/>
  <c r="EH29" i="1"/>
  <c r="A50" i="20" a="1"/>
  <c r="A50" i="20" s="1"/>
  <c r="EI61" i="1"/>
  <c r="A68" i="20" a="1"/>
  <c r="A68" i="20" s="1"/>
  <c r="EH38" i="1"/>
  <c r="EI38" i="1"/>
  <c r="EI29" i="1"/>
  <c r="EG61" i="1"/>
  <c r="EG38" i="1"/>
  <c r="A29" i="20" a="1"/>
  <c r="A29" i="20" s="1"/>
  <c r="EH61" i="1"/>
  <c r="EG50" i="1"/>
  <c r="EG68" i="1"/>
  <c r="EH68" i="1"/>
  <c r="EG29" i="1"/>
  <c r="BE1022" i="9"/>
  <c r="BE1045" i="9" s="1"/>
  <c r="AS1068" i="9"/>
  <c r="BC1017" i="9"/>
  <c r="BC1040" i="9" s="1"/>
  <c r="AQ1063" i="9"/>
  <c r="BH1031" i="9"/>
  <c r="BH1054" i="9" s="1"/>
  <c r="AV1077" i="9"/>
  <c r="BN784" i="9"/>
  <c r="BN857" i="9" s="1"/>
  <c r="BN1115" i="9" s="1"/>
  <c r="BN761" i="9"/>
  <c r="BI891" i="9"/>
  <c r="BJ380" i="9"/>
  <c r="BE875" i="9"/>
  <c r="BF76" i="9"/>
  <c r="BF524" i="9" s="1"/>
  <c r="BG884" i="9"/>
  <c r="BH247" i="9"/>
  <c r="BE114" i="9"/>
  <c r="BD877" i="9"/>
  <c r="BF212" i="9"/>
  <c r="BF600" i="9" s="1"/>
  <c r="BG839" i="9" l="1"/>
  <c r="BG720" i="9"/>
  <c r="BF834" i="9"/>
  <c r="BF1121" i="9" s="1"/>
  <c r="BF1145" i="9" s="1"/>
  <c r="BF715" i="9"/>
  <c r="AR1066" i="9"/>
  <c r="AT1025" i="9"/>
  <c r="AT1048" i="9" s="1"/>
  <c r="BP68" i="20"/>
  <c r="EJ38" i="1"/>
  <c r="BP38" i="20"/>
  <c r="EJ68" i="1"/>
  <c r="EJ29" i="1"/>
  <c r="BE857" i="9"/>
  <c r="X697" i="9"/>
  <c r="BG766" i="9"/>
  <c r="BG789" i="9" s="1"/>
  <c r="BG812" i="9" s="1"/>
  <c r="BF885" i="9"/>
  <c r="BM807" i="9"/>
  <c r="BM880" i="9" s="1"/>
  <c r="W880" i="9"/>
  <c r="EJ50" i="1"/>
  <c r="BP29" i="20"/>
  <c r="BQ24" i="20"/>
  <c r="BP61" i="20"/>
  <c r="BQ61" i="20"/>
  <c r="BQ68" i="20"/>
  <c r="BP50" i="20"/>
  <c r="BQ41" i="20"/>
  <c r="BE526" i="9"/>
  <c r="BH533" i="9"/>
  <c r="BJ540" i="9"/>
  <c r="BH195" i="6"/>
  <c r="BG124" i="30"/>
  <c r="BQ38" i="20"/>
  <c r="EK38" i="1"/>
  <c r="BG1024" i="9"/>
  <c r="BG1047" i="9" s="1"/>
  <c r="AU1070" i="9"/>
  <c r="BI1031" i="9"/>
  <c r="BI1054" i="9" s="1"/>
  <c r="AW1077" i="9"/>
  <c r="BD1017" i="9"/>
  <c r="BD1040" i="9" s="1"/>
  <c r="AR1063" i="9"/>
  <c r="BE1015" i="9"/>
  <c r="BE1038" i="9" s="1"/>
  <c r="AS1061" i="9"/>
  <c r="BF79" i="9"/>
  <c r="BF593" i="9" s="1"/>
  <c r="BG209" i="9"/>
  <c r="BF882" i="9"/>
  <c r="BE117" i="9"/>
  <c r="BE595" i="9" s="1"/>
  <c r="BH250" i="9"/>
  <c r="BH602" i="9" s="1"/>
  <c r="BJ383" i="9"/>
  <c r="BF738" i="9" l="1"/>
  <c r="BG692" i="9" s="1"/>
  <c r="BG743" i="9"/>
  <c r="BH697" i="9" s="1"/>
  <c r="EK29" i="1"/>
  <c r="BR24" i="20"/>
  <c r="AT1071" i="9"/>
  <c r="AS1020" i="9"/>
  <c r="AS1043" i="9" s="1"/>
  <c r="BE1115" i="9"/>
  <c r="EK61" i="1"/>
  <c r="BQ29" i="20"/>
  <c r="EL61" i="1"/>
  <c r="EK50" i="1"/>
  <c r="BQ50" i="20"/>
  <c r="BR68" i="20"/>
  <c r="EK68" i="1"/>
  <c r="BR41" i="20"/>
  <c r="BG862" i="9"/>
  <c r="BN697" i="9"/>
  <c r="BN839" i="9" s="1"/>
  <c r="X839" i="9"/>
  <c r="X720" i="9"/>
  <c r="BN720" i="9" s="1"/>
  <c r="BF761" i="9"/>
  <c r="BF784" i="9" s="1"/>
  <c r="BF807" i="9" s="1"/>
  <c r="BE880" i="9"/>
  <c r="BG531" i="9"/>
  <c r="BH201" i="6"/>
  <c r="BR38" i="20"/>
  <c r="EL38" i="1"/>
  <c r="BF1022" i="9"/>
  <c r="BF1045" i="9" s="1"/>
  <c r="AT1068" i="9"/>
  <c r="BJ609" i="9"/>
  <c r="BJ891" i="9" s="1"/>
  <c r="BG212" i="9"/>
  <c r="BG600" i="9" s="1"/>
  <c r="BF114" i="9"/>
  <c r="BG76" i="9"/>
  <c r="BG524" i="9" s="1"/>
  <c r="BF875" i="9"/>
  <c r="BH884" i="9"/>
  <c r="BI247" i="9"/>
  <c r="BH839" i="9" l="1"/>
  <c r="BH720" i="9"/>
  <c r="BG834" i="9"/>
  <c r="BG1121" i="9" s="1"/>
  <c r="BG1145" i="9" s="1"/>
  <c r="BG715" i="9"/>
  <c r="EL29" i="1"/>
  <c r="EL68" i="1"/>
  <c r="BR29" i="20"/>
  <c r="BS24" i="20"/>
  <c r="BS68" i="20"/>
  <c r="BR61" i="20"/>
  <c r="EL50" i="1"/>
  <c r="BS41" i="20"/>
  <c r="EM61" i="1"/>
  <c r="AS1066" i="9"/>
  <c r="AU1025" i="9"/>
  <c r="AU1048" i="9" s="1"/>
  <c r="BR50" i="20"/>
  <c r="BF857" i="9"/>
  <c r="BF1115" i="9" s="1"/>
  <c r="X743" i="9"/>
  <c r="BN743" i="9" s="1"/>
  <c r="BH766" i="9"/>
  <c r="BH789" i="9" s="1"/>
  <c r="BG885" i="9"/>
  <c r="BI533" i="9"/>
  <c r="BF526" i="9"/>
  <c r="BH124" i="30"/>
  <c r="BI195" i="6"/>
  <c r="BS38" i="20"/>
  <c r="EM38" i="1"/>
  <c r="BF1015" i="9"/>
  <c r="BF1038" i="9" s="1"/>
  <c r="AT1061" i="9"/>
  <c r="BJ1031" i="9"/>
  <c r="BI1077" i="9"/>
  <c r="BF1077" i="9"/>
  <c r="AY1077" i="9"/>
  <c r="AZ1077" i="9"/>
  <c r="BA1077" i="9"/>
  <c r="BC1077" i="9"/>
  <c r="BB1077" i="9"/>
  <c r="BD1077" i="9"/>
  <c r="BG1077" i="9"/>
  <c r="BE1077" i="9"/>
  <c r="BH1077" i="9"/>
  <c r="BH1024" i="9"/>
  <c r="BH1047" i="9" s="1"/>
  <c r="AV1070" i="9"/>
  <c r="BE877" i="9"/>
  <c r="BF117" i="9"/>
  <c r="BF595" i="9" s="1"/>
  <c r="BH209" i="9"/>
  <c r="BG882" i="9"/>
  <c r="BI250" i="9"/>
  <c r="BI602" i="9" s="1"/>
  <c r="BG79" i="9"/>
  <c r="BG593" i="9" s="1"/>
  <c r="BG738" i="9" l="1"/>
  <c r="BH692" i="9" s="1"/>
  <c r="BH743" i="9"/>
  <c r="X1031" i="9"/>
  <c r="BN1031" i="9" s="1"/>
  <c r="BJ1054" i="9"/>
  <c r="Y1054" i="9" s="1"/>
  <c r="BO1054" i="9" s="1"/>
  <c r="EM29" i="1"/>
  <c r="BS29" i="20"/>
  <c r="EM68" i="1"/>
  <c r="EN68" i="1"/>
  <c r="BS61" i="20"/>
  <c r="BT24" i="20"/>
  <c r="BT41" i="20"/>
  <c r="BS50" i="20"/>
  <c r="EM50" i="1"/>
  <c r="BH862" i="9"/>
  <c r="BH812" i="9"/>
  <c r="BH885" i="9" s="1"/>
  <c r="AU1071" i="9"/>
  <c r="AT1020" i="9"/>
  <c r="AT1043" i="9" s="1"/>
  <c r="BF880" i="9"/>
  <c r="BG761" i="9"/>
  <c r="BG784" i="9" s="1"/>
  <c r="X692" i="9"/>
  <c r="BH531" i="9"/>
  <c r="BI201" i="6"/>
  <c r="W766" i="9"/>
  <c r="X766" i="9"/>
  <c r="W1054" i="9"/>
  <c r="BM1054" i="9" s="1"/>
  <c r="BT38" i="20"/>
  <c r="EN38" i="1"/>
  <c r="Y1031" i="9"/>
  <c r="BO1031" i="9" s="1"/>
  <c r="X1054" i="9"/>
  <c r="BN1054" i="9" s="1"/>
  <c r="AX1077" i="9"/>
  <c r="BE1017" i="9"/>
  <c r="BE1040" i="9" s="1"/>
  <c r="AS1063" i="9"/>
  <c r="BG1022" i="9"/>
  <c r="BG1045" i="9" s="1"/>
  <c r="AU1068" i="9"/>
  <c r="BJ247" i="9"/>
  <c r="BI884" i="9"/>
  <c r="BH76" i="9"/>
  <c r="BH524" i="9" s="1"/>
  <c r="BG875" i="9"/>
  <c r="BG114" i="9"/>
  <c r="BH212" i="9"/>
  <c r="BH600" i="9" s="1"/>
  <c r="BU24" i="20" l="1"/>
  <c r="BH834" i="9"/>
  <c r="BH1121" i="9" s="1"/>
  <c r="BH1145" i="9" s="1"/>
  <c r="BH715" i="9"/>
  <c r="BI697" i="9"/>
  <c r="BI766" i="9" s="1"/>
  <c r="BI789" i="9" s="1"/>
  <c r="BI812" i="9" s="1"/>
  <c r="BJ1077" i="9"/>
  <c r="Y1077" i="9" s="1"/>
  <c r="BO1077" i="9" s="1"/>
  <c r="EN61" i="1"/>
  <c r="BT61" i="20"/>
  <c r="BT68" i="20"/>
  <c r="EN29" i="1"/>
  <c r="BT29" i="20"/>
  <c r="EN50" i="1"/>
  <c r="BT50" i="20"/>
  <c r="BU41" i="20"/>
  <c r="AV1025" i="9"/>
  <c r="BG857" i="9"/>
  <c r="BG807" i="9"/>
  <c r="BN692" i="9"/>
  <c r="BN834" i="9" s="1"/>
  <c r="BN1121" i="9" s="1"/>
  <c r="BN1145" i="9" s="1"/>
  <c r="X834" i="9"/>
  <c r="X1121" i="9" s="1"/>
  <c r="X1145" i="9" s="1"/>
  <c r="AT1066" i="9"/>
  <c r="X715" i="9"/>
  <c r="BN715" i="9" s="1"/>
  <c r="BG526" i="9"/>
  <c r="BJ533" i="9"/>
  <c r="BJ195" i="6"/>
  <c r="BI124" i="30"/>
  <c r="W789" i="9"/>
  <c r="W862" i="9" s="1"/>
  <c r="X789" i="9"/>
  <c r="X862" i="9" s="1"/>
  <c r="BM766" i="9"/>
  <c r="X1077" i="9"/>
  <c r="BN1077" i="9" s="1"/>
  <c r="W1077" i="9"/>
  <c r="BM1077" i="9" s="1"/>
  <c r="BU38" i="20"/>
  <c r="EO38" i="1"/>
  <c r="BU61" i="20"/>
  <c r="EO61" i="1"/>
  <c r="BU68" i="20"/>
  <c r="BU29" i="20"/>
  <c r="EO29" i="1"/>
  <c r="BG1015" i="9"/>
  <c r="BG1038" i="9" s="1"/>
  <c r="AU1061" i="9"/>
  <c r="BI1024" i="9"/>
  <c r="BI1047" i="9" s="1"/>
  <c r="AW1070" i="9"/>
  <c r="BH79" i="9"/>
  <c r="BH593" i="9" s="1"/>
  <c r="BF877" i="9"/>
  <c r="BI209" i="9"/>
  <c r="BH882" i="9"/>
  <c r="BG117" i="9"/>
  <c r="BG595" i="9" s="1"/>
  <c r="BJ250" i="9"/>
  <c r="BV24" i="20" l="1"/>
  <c r="EO68" i="1"/>
  <c r="BI839" i="9"/>
  <c r="BI720" i="9"/>
  <c r="BH738" i="9"/>
  <c r="BI692" i="9" s="1"/>
  <c r="AV1048" i="9"/>
  <c r="AV1071" i="9" s="1"/>
  <c r="EO50" i="1"/>
  <c r="BU50" i="20"/>
  <c r="BV41" i="20"/>
  <c r="AU1020" i="9"/>
  <c r="AU1043" i="9" s="1"/>
  <c r="BG1115" i="9"/>
  <c r="BI862" i="9"/>
  <c r="BI885" i="9"/>
  <c r="X880" i="9"/>
  <c r="BN807" i="9"/>
  <c r="BN880" i="9" s="1"/>
  <c r="BH761" i="9"/>
  <c r="BH784" i="9" s="1"/>
  <c r="BH807" i="9" s="1"/>
  <c r="BG880" i="9"/>
  <c r="X738" i="9"/>
  <c r="BN738" i="9" s="1"/>
  <c r="BI531" i="9"/>
  <c r="BJ201" i="6"/>
  <c r="BJ124" i="30" s="1"/>
  <c r="CI124" i="30" s="1"/>
  <c r="CC124" i="30" s="1"/>
  <c r="A124" i="30" s="1" a="1"/>
  <c r="A124" i="30" s="1"/>
  <c r="BW24" i="20"/>
  <c r="BZ24" i="20" s="1"/>
  <c r="BV29" i="20"/>
  <c r="BV38" i="20"/>
  <c r="EP38" i="1"/>
  <c r="BV68" i="20"/>
  <c r="EP68" i="1"/>
  <c r="BZ61" i="1"/>
  <c r="BV61" i="20"/>
  <c r="EP61" i="1"/>
  <c r="BF1017" i="9"/>
  <c r="BF1040" i="9" s="1"/>
  <c r="AT1063" i="9"/>
  <c r="BH1022" i="9"/>
  <c r="BH1045" i="9" s="1"/>
  <c r="AV1068" i="9"/>
  <c r="BJ602" i="9"/>
  <c r="BJ884" i="9" s="1"/>
  <c r="BI76" i="9"/>
  <c r="BI524" i="9" s="1"/>
  <c r="BH875" i="9"/>
  <c r="BH114" i="9"/>
  <c r="BI212" i="9"/>
  <c r="BI600" i="9" s="1"/>
  <c r="EP29" i="1" l="1"/>
  <c r="BI834" i="9"/>
  <c r="BI1121" i="9" s="1"/>
  <c r="BI1145" i="9" s="1"/>
  <c r="BI715" i="9"/>
  <c r="BI743" i="9"/>
  <c r="EP50" i="1"/>
  <c r="BV50" i="20"/>
  <c r="BW41" i="20"/>
  <c r="BZ41" i="20" s="1"/>
  <c r="AW1025" i="9"/>
  <c r="AU1066" i="9"/>
  <c r="BH857" i="9"/>
  <c r="BH1115" i="9" s="1"/>
  <c r="BH526" i="9"/>
  <c r="BW68" i="20"/>
  <c r="BZ68" i="20" s="1"/>
  <c r="EQ68" i="1"/>
  <c r="CN68" i="1" s="1"/>
  <c r="CB68" i="1" s="1"/>
  <c r="A68" i="1" s="1" a="1"/>
  <c r="A68" i="1" s="1"/>
  <c r="BZ68" i="1"/>
  <c r="BZ50" i="1"/>
  <c r="BW29" i="20"/>
  <c r="BZ29" i="20" s="1"/>
  <c r="EQ29" i="1"/>
  <c r="CN29" i="1" s="1"/>
  <c r="CB29" i="1" s="1"/>
  <c r="A29" i="1" s="1" a="1"/>
  <c r="A29" i="1" s="1"/>
  <c r="BW61" i="20"/>
  <c r="BZ61" i="20" s="1"/>
  <c r="EQ61" i="1"/>
  <c r="CN61" i="1" s="1"/>
  <c r="CB61" i="1" s="1"/>
  <c r="A61" i="1" s="1" a="1"/>
  <c r="A61" i="1" s="1"/>
  <c r="BZ29" i="1"/>
  <c r="BW38" i="20"/>
  <c r="BZ38" i="20" s="1"/>
  <c r="EQ38" i="1"/>
  <c r="CN38" i="1" s="1"/>
  <c r="CB38" i="1" s="1"/>
  <c r="A38" i="1" s="1" a="1"/>
  <c r="A38" i="1" s="1"/>
  <c r="BZ38" i="1"/>
  <c r="BJ1024" i="9"/>
  <c r="BI1070" i="9"/>
  <c r="BF1070" i="9"/>
  <c r="AY1070" i="9"/>
  <c r="AZ1070" i="9"/>
  <c r="BA1070" i="9"/>
  <c r="BB1070" i="9"/>
  <c r="BC1070" i="9"/>
  <c r="BD1070" i="9"/>
  <c r="BG1070" i="9"/>
  <c r="BE1070" i="9"/>
  <c r="BH1070" i="9"/>
  <c r="BH1015" i="9"/>
  <c r="BH1038" i="9" s="1"/>
  <c r="AV1061" i="9"/>
  <c r="BG877" i="9"/>
  <c r="BH117" i="9"/>
  <c r="BH595" i="9" s="1"/>
  <c r="BJ209" i="9"/>
  <c r="BI882" i="9"/>
  <c r="BI79" i="9"/>
  <c r="BI593" i="9" s="1"/>
  <c r="BW50" i="20" l="1"/>
  <c r="BZ50" i="20" s="1"/>
  <c r="EQ50" i="1"/>
  <c r="CN50" i="1" s="1"/>
  <c r="CB50" i="1" s="1"/>
  <c r="A50" i="1" s="1" a="1"/>
  <c r="A50" i="1" s="1"/>
  <c r="BI738" i="9"/>
  <c r="BJ692" i="9" s="1"/>
  <c r="BJ697" i="9"/>
  <c r="AW1048" i="9"/>
  <c r="AW1071" i="9" s="1"/>
  <c r="X1024" i="9"/>
  <c r="BN1024" i="9" s="1"/>
  <c r="BJ1047" i="9"/>
  <c r="Y1047" i="9" s="1"/>
  <c r="BO1047" i="9" s="1"/>
  <c r="BH880" i="9"/>
  <c r="BI761" i="9"/>
  <c r="BI784" i="9" s="1"/>
  <c r="BI807" i="9" s="1"/>
  <c r="AV1020" i="9"/>
  <c r="AV1043" i="9" s="1"/>
  <c r="BJ531" i="9"/>
  <c r="W1047" i="9"/>
  <c r="BM1047" i="9" s="1"/>
  <c r="X1047" i="9"/>
  <c r="BN1047" i="9" s="1"/>
  <c r="AX1070" i="9"/>
  <c r="Y1024" i="9"/>
  <c r="BO1024" i="9" s="1"/>
  <c r="BG1017" i="9"/>
  <c r="BG1040" i="9" s="1"/>
  <c r="AU1063" i="9"/>
  <c r="BI1022" i="9"/>
  <c r="BI1045" i="9" s="1"/>
  <c r="AW1068" i="9"/>
  <c r="BN789" i="9"/>
  <c r="BN862" i="9" s="1"/>
  <c r="BM789" i="9"/>
  <c r="BM862" i="9" s="1"/>
  <c r="BH877" i="9"/>
  <c r="BI114" i="9"/>
  <c r="BJ76" i="9"/>
  <c r="BJ524" i="9" s="1"/>
  <c r="BI875" i="9"/>
  <c r="BJ212" i="9"/>
  <c r="BJ839" i="9" l="1"/>
  <c r="Y697" i="9"/>
  <c r="BJ766" i="9"/>
  <c r="Y766" i="9" s="1"/>
  <c r="BJ720" i="9"/>
  <c r="BJ834" i="9"/>
  <c r="BJ1121" i="9" s="1"/>
  <c r="BJ1145" i="9" s="1"/>
  <c r="Y692" i="9"/>
  <c r="BJ715" i="9"/>
  <c r="BJ1070" i="9"/>
  <c r="Y1070" i="9" s="1"/>
  <c r="BO1070" i="9" s="1"/>
  <c r="BI880" i="9"/>
  <c r="BJ761" i="9"/>
  <c r="Y761" i="9" s="1"/>
  <c r="BO761" i="9" s="1"/>
  <c r="BI857" i="9"/>
  <c r="BI1115" i="9" s="1"/>
  <c r="AV1066" i="9"/>
  <c r="BM812" i="9"/>
  <c r="BM885" i="9" s="1"/>
  <c r="W885" i="9"/>
  <c r="BI526" i="9"/>
  <c r="X1070" i="9"/>
  <c r="BN1070" i="9" s="1"/>
  <c r="W1070" i="9"/>
  <c r="BI1015" i="9"/>
  <c r="BI1038" i="9" s="1"/>
  <c r="AW1061" i="9"/>
  <c r="BH1017" i="9"/>
  <c r="BH1040" i="9" s="1"/>
  <c r="AV1063" i="9"/>
  <c r="BN766" i="9"/>
  <c r="BJ600" i="9"/>
  <c r="BJ882" i="9" s="1"/>
  <c r="BJ79" i="9"/>
  <c r="BI117" i="9"/>
  <c r="BI595" i="9" s="1"/>
  <c r="BJ784" i="9" l="1"/>
  <c r="BJ807" i="9" s="1"/>
  <c r="BJ789" i="9"/>
  <c r="BJ812" i="9" s="1"/>
  <c r="Y812" i="9" s="1"/>
  <c r="BM1070" i="9"/>
  <c r="BO697" i="9"/>
  <c r="BO839" i="9" s="1"/>
  <c r="Y839" i="9"/>
  <c r="BJ738" i="9"/>
  <c r="Y738" i="9" s="1"/>
  <c r="BO738" i="9" s="1"/>
  <c r="Y715" i="9"/>
  <c r="BO715" i="9" s="1"/>
  <c r="BJ862" i="9"/>
  <c r="BO692" i="9"/>
  <c r="BO834" i="9" s="1"/>
  <c r="BO1121" i="9" s="1"/>
  <c r="BO1145" i="9" s="1"/>
  <c r="Y834" i="9"/>
  <c r="Y1121" i="9" s="1"/>
  <c r="Y1145" i="9" s="1"/>
  <c r="BJ743" i="9"/>
  <c r="Y743" i="9" s="1"/>
  <c r="BO743" i="9" s="1"/>
  <c r="Y720" i="9"/>
  <c r="BO720" i="9" s="1"/>
  <c r="BJ857" i="9"/>
  <c r="AW1020" i="9"/>
  <c r="BN812" i="9"/>
  <c r="BN885" i="9" s="1"/>
  <c r="X885" i="9"/>
  <c r="BJ1022" i="9"/>
  <c r="BI1068" i="9"/>
  <c r="BF1068" i="9"/>
  <c r="AY1068" i="9"/>
  <c r="AZ1068" i="9"/>
  <c r="BA1068" i="9"/>
  <c r="BB1068" i="9"/>
  <c r="BC1068" i="9"/>
  <c r="BD1068" i="9"/>
  <c r="BG1068" i="9"/>
  <c r="BE1068" i="9"/>
  <c r="BH1068" i="9"/>
  <c r="BO766" i="9"/>
  <c r="BJ593" i="9"/>
  <c r="BJ875" i="9" s="1"/>
  <c r="BJ114" i="9"/>
  <c r="Y789" i="9" l="1"/>
  <c r="Y784" i="9"/>
  <c r="BO784" i="9" s="1"/>
  <c r="BO857" i="9" s="1"/>
  <c r="BO1115" i="9" s="1"/>
  <c r="BJ885" i="9"/>
  <c r="BJ1025" i="9" s="1"/>
  <c r="BJ1048" i="9" s="1"/>
  <c r="Y1048" i="9" s="1"/>
  <c r="BO1048" i="9" s="1"/>
  <c r="AY1025" i="9"/>
  <c r="BH1025" i="9"/>
  <c r="AX1025" i="9"/>
  <c r="AZ1025" i="9"/>
  <c r="BI1025" i="9"/>
  <c r="BB1025" i="9"/>
  <c r="BC1025" i="9"/>
  <c r="BA1025" i="9"/>
  <c r="BD1025" i="9"/>
  <c r="BF1025" i="9"/>
  <c r="BG1025" i="9"/>
  <c r="BE1025" i="9"/>
  <c r="Y862" i="9"/>
  <c r="BO789" i="9"/>
  <c r="BO862" i="9" s="1"/>
  <c r="AW1043" i="9"/>
  <c r="AW1066" i="9" s="1"/>
  <c r="X1022" i="9"/>
  <c r="BN1022" i="9" s="1"/>
  <c r="BJ1045" i="9"/>
  <c r="Y1045" i="9" s="1"/>
  <c r="BO1045" i="9" s="1"/>
  <c r="BC1020" i="9"/>
  <c r="BC1043" i="9" s="1"/>
  <c r="BJ1115" i="9"/>
  <c r="AZ1020" i="9"/>
  <c r="AZ1043" i="9" s="1"/>
  <c r="BH1020" i="9"/>
  <c r="BH1043" i="9" s="1"/>
  <c r="BF1020" i="9"/>
  <c r="BF1043" i="9" s="1"/>
  <c r="AY1020" i="9"/>
  <c r="AY1043" i="9" s="1"/>
  <c r="BE1020" i="9"/>
  <c r="BE1043" i="9" s="1"/>
  <c r="BD1020" i="9"/>
  <c r="BD1043" i="9" s="1"/>
  <c r="BG1020" i="9"/>
  <c r="BG1043" i="9" s="1"/>
  <c r="BA1020" i="9"/>
  <c r="BA1043" i="9" s="1"/>
  <c r="BI1020" i="9"/>
  <c r="BI1043" i="9" s="1"/>
  <c r="BB1020" i="9"/>
  <c r="BB1043" i="9" s="1"/>
  <c r="AX1020" i="9"/>
  <c r="AX1043" i="9" s="1"/>
  <c r="BJ880" i="9"/>
  <c r="Y807" i="9"/>
  <c r="BO807" i="9" s="1"/>
  <c r="BO880" i="9" s="1"/>
  <c r="BP880" i="9" s="1"/>
  <c r="BQ880" i="9" s="1"/>
  <c r="BR880" i="9" s="1"/>
  <c r="BS880" i="9" s="1"/>
  <c r="BT880" i="9" s="1"/>
  <c r="BU880" i="9" s="1"/>
  <c r="BV880" i="9" s="1"/>
  <c r="BW880" i="9" s="1"/>
  <c r="Y857" i="9"/>
  <c r="Y1115" i="9" s="1"/>
  <c r="BO812" i="9"/>
  <c r="BO885" i="9" s="1"/>
  <c r="BP885" i="9" s="1"/>
  <c r="BQ885" i="9" s="1"/>
  <c r="BR885" i="9" s="1"/>
  <c r="BS885" i="9" s="1"/>
  <c r="BT885" i="9" s="1"/>
  <c r="BU885" i="9" s="1"/>
  <c r="BV885" i="9" s="1"/>
  <c r="BW885" i="9" s="1"/>
  <c r="Y885" i="9"/>
  <c r="BJ526" i="9"/>
  <c r="W1045" i="9"/>
  <c r="BM1045" i="9" s="1"/>
  <c r="Y1022" i="9"/>
  <c r="BO1022" i="9" s="1"/>
  <c r="X1045" i="9"/>
  <c r="BN1045" i="9" s="1"/>
  <c r="AX1068" i="9"/>
  <c r="BF1061" i="9"/>
  <c r="BI1061" i="9"/>
  <c r="BJ1015" i="9"/>
  <c r="AY1061" i="9"/>
  <c r="AZ1061" i="9"/>
  <c r="BA1061" i="9"/>
  <c r="BB1061" i="9"/>
  <c r="BC1061" i="9"/>
  <c r="BD1061" i="9"/>
  <c r="BG1061" i="9"/>
  <c r="BE1061" i="9"/>
  <c r="BH1061" i="9"/>
  <c r="BI877" i="9"/>
  <c r="BJ117" i="9"/>
  <c r="BJ1071" i="9" l="1"/>
  <c r="Y1071" i="9" s="1"/>
  <c r="BO1071" i="9" s="1"/>
  <c r="Y1025" i="9"/>
  <c r="BO1025" i="9" s="1"/>
  <c r="BG1048" i="9"/>
  <c r="BG1071" i="9" s="1"/>
  <c r="BC1048" i="9"/>
  <c r="BC1071" i="9" s="1"/>
  <c r="AX1048" i="9"/>
  <c r="X1048" i="9" s="1"/>
  <c r="BN1048" i="9" s="1"/>
  <c r="X1025" i="9"/>
  <c r="BN1025" i="9" s="1"/>
  <c r="BF1048" i="9"/>
  <c r="BF1071" i="9" s="1"/>
  <c r="BB1048" i="9"/>
  <c r="BB1071" i="9" s="1"/>
  <c r="BH1048" i="9"/>
  <c r="BH1071" i="9" s="1"/>
  <c r="BD1048" i="9"/>
  <c r="BD1071" i="9" s="1"/>
  <c r="BI1048" i="9"/>
  <c r="BI1071" i="9" s="1"/>
  <c r="AY1048" i="9"/>
  <c r="AY1071" i="9" s="1"/>
  <c r="BE1048" i="9"/>
  <c r="BE1071" i="9" s="1"/>
  <c r="BA1048" i="9"/>
  <c r="BA1071" i="9" s="1"/>
  <c r="AZ1048" i="9"/>
  <c r="AZ1071" i="9" s="1"/>
  <c r="BJ1068" i="9"/>
  <c r="Y1068" i="9" s="1"/>
  <c r="BO1068" i="9" s="1"/>
  <c r="X1043" i="9"/>
  <c r="BN1043" i="9" s="1"/>
  <c r="X1015" i="9"/>
  <c r="BN1015" i="9" s="1"/>
  <c r="BJ1038" i="9"/>
  <c r="BJ1061" i="9" s="1"/>
  <c r="BA1066" i="9"/>
  <c r="Y880" i="9"/>
  <c r="BE1066" i="9"/>
  <c r="BC1066" i="9"/>
  <c r="BG1066" i="9"/>
  <c r="BB1066" i="9"/>
  <c r="BD1066" i="9"/>
  <c r="BI1066" i="9"/>
  <c r="AZ1066" i="9"/>
  <c r="AX1066" i="9"/>
  <c r="X1066" i="9" s="1"/>
  <c r="BN1066" i="9" s="1"/>
  <c r="BF1066" i="9"/>
  <c r="BJ1020" i="9"/>
  <c r="AY1066" i="9"/>
  <c r="BH1066" i="9"/>
  <c r="X1020" i="9"/>
  <c r="BN1020" i="9" s="1"/>
  <c r="W1038" i="9"/>
  <c r="BM1038" i="9" s="1"/>
  <c r="X1068" i="9"/>
  <c r="BN1068" i="9" s="1"/>
  <c r="W1068" i="9"/>
  <c r="BM1068" i="9" s="1"/>
  <c r="Y1015" i="9"/>
  <c r="BO1015" i="9" s="1"/>
  <c r="X1038" i="9"/>
  <c r="BN1038" i="9" s="1"/>
  <c r="AX1061" i="9"/>
  <c r="BI1017" i="9"/>
  <c r="BI1040" i="9" s="1"/>
  <c r="AW1063" i="9"/>
  <c r="BJ595" i="9"/>
  <c r="AX1071" i="9" l="1"/>
  <c r="X1071" i="9" s="1"/>
  <c r="BN1071" i="9" s="1"/>
  <c r="Y1038" i="9"/>
  <c r="BO1038" i="9" s="1"/>
  <c r="BJ1043" i="9"/>
  <c r="Y1043" i="9" s="1"/>
  <c r="BO1043" i="9" s="1"/>
  <c r="Y1020" i="9"/>
  <c r="BO1020" i="9" s="1"/>
  <c r="W1061" i="9"/>
  <c r="X1061" i="9"/>
  <c r="Y1061" i="9"/>
  <c r="BJ877" i="9"/>
  <c r="BJ1066" i="9" l="1"/>
  <c r="Y1066" i="9" s="1"/>
  <c r="BO1066" i="9" s="1"/>
  <c r="BM1061" i="9"/>
  <c r="BO1061" i="9"/>
  <c r="BN1061" i="9"/>
  <c r="BI1063" i="9"/>
  <c r="BJ1017" i="9"/>
  <c r="BF1063" i="9"/>
  <c r="AY1063" i="9"/>
  <c r="AZ1063" i="9"/>
  <c r="BA1063" i="9"/>
  <c r="BB1063" i="9"/>
  <c r="BC1063" i="9"/>
  <c r="BD1063" i="9"/>
  <c r="BG1063" i="9"/>
  <c r="BH1063" i="9"/>
  <c r="BE1063" i="9"/>
  <c r="BL83" i="6"/>
  <c r="BL19" i="32" s="1"/>
  <c r="X1017" i="9" l="1"/>
  <c r="BN1017" i="9" s="1"/>
  <c r="BJ1040" i="9"/>
  <c r="BJ1063" i="9" s="1"/>
  <c r="CE19" i="32"/>
  <c r="W1040" i="9"/>
  <c r="BM1040" i="9" s="1"/>
  <c r="Y1017" i="9"/>
  <c r="BO1017" i="9" s="1"/>
  <c r="X1040" i="9"/>
  <c r="BN1040" i="9" s="1"/>
  <c r="AX1063" i="9"/>
  <c r="BL84" i="30"/>
  <c r="CM84" i="30" s="1"/>
  <c r="CE84" i="30" s="1"/>
  <c r="Y1040" i="9" l="1"/>
  <c r="BO1040" i="9" s="1"/>
  <c r="X1063" i="9"/>
  <c r="BN1063" i="9" s="1"/>
  <c r="W1063" i="9"/>
  <c r="BM1063" i="9" s="1"/>
  <c r="Y1063" i="9"/>
  <c r="BO1063" i="9" s="1"/>
  <c r="AI1127" i="9" l="1"/>
  <c r="AJ1127" i="9" l="1"/>
  <c r="AK1127" i="9" l="1"/>
  <c r="AL1127" i="9" l="1"/>
  <c r="AM1127" i="9" l="1"/>
  <c r="AN1127" i="9" l="1"/>
  <c r="AO1127" i="9" l="1"/>
  <c r="AP1127" i="9" l="1"/>
  <c r="AQ1127" i="9" l="1"/>
  <c r="AR1127" i="9" l="1"/>
  <c r="AS1127" i="9" l="1"/>
  <c r="AT1127" i="9" l="1"/>
  <c r="AU1127" i="9" l="1"/>
  <c r="AV1127" i="9" l="1"/>
  <c r="BP1147" i="9"/>
  <c r="BP170" i="1" s="1"/>
  <c r="BP170" i="20" l="1"/>
  <c r="BP41" i="30" l="1"/>
  <c r="BP51" i="30"/>
  <c r="BP41" i="6"/>
  <c r="AW1127" i="9" l="1"/>
  <c r="AX1127" i="9" l="1"/>
  <c r="AY1127" i="9" l="1"/>
  <c r="AZ1127" i="9" l="1"/>
  <c r="BA1127" i="9" l="1"/>
  <c r="BB1127" i="9" l="1"/>
  <c r="BC1127" i="9" l="1"/>
  <c r="BD1127" i="9" l="1"/>
  <c r="BE1127" i="9" l="1"/>
  <c r="BF1127" i="9" l="1"/>
  <c r="BG1127" i="9" l="1"/>
  <c r="BH1127" i="9" l="1"/>
  <c r="BI1127" i="9" l="1"/>
  <c r="BJ1127" i="9" l="1"/>
  <c r="W1127" i="9" l="1"/>
  <c r="X1127" i="9" l="1"/>
  <c r="Y1127" i="9" l="1"/>
  <c r="BP1135" i="9" l="1"/>
  <c r="BQ1135" i="9" l="1"/>
  <c r="BR1135" i="9" l="1"/>
  <c r="BS1135" i="9" l="1"/>
  <c r="BT1135" i="9" l="1"/>
  <c r="BU1135" i="9" l="1"/>
  <c r="BV1135" i="9" l="1"/>
  <c r="CW16" i="1" l="1"/>
  <c r="AC173" i="1"/>
  <c r="AB173" i="1"/>
  <c r="CV16" i="1"/>
  <c r="AC175" i="1" l="1"/>
  <c r="AB24" i="30"/>
  <c r="AB28" i="20"/>
  <c r="AC24" i="30"/>
  <c r="AC28" i="20"/>
  <c r="CX16" i="1"/>
  <c r="AB43" i="30"/>
  <c r="AB173" i="20"/>
  <c r="AC43" i="30"/>
  <c r="AC173" i="20"/>
  <c r="AD173" i="1"/>
  <c r="AC185" i="1" l="1"/>
  <c r="AD175" i="1"/>
  <c r="AC37" i="20"/>
  <c r="AC13" i="30"/>
  <c r="AB37" i="20"/>
  <c r="AB13" i="30"/>
  <c r="AD24" i="30"/>
  <c r="AD28" i="20"/>
  <c r="AE173" i="1"/>
  <c r="AD43" i="30"/>
  <c r="AD173" i="20"/>
  <c r="CY16" i="1"/>
  <c r="AD185" i="1" l="1"/>
  <c r="AC189" i="1"/>
  <c r="AD37" i="20"/>
  <c r="AD13" i="30"/>
  <c r="AB49" i="20"/>
  <c r="AB15" i="30" s="1"/>
  <c r="AB14" i="30"/>
  <c r="AC49" i="20"/>
  <c r="AC14" i="30"/>
  <c r="AE24" i="30"/>
  <c r="AE28" i="20"/>
  <c r="AF28" i="20"/>
  <c r="CZ16" i="1"/>
  <c r="AF173" i="1"/>
  <c r="AE43" i="30"/>
  <c r="AE173" i="20"/>
  <c r="AC15" i="30" l="1"/>
  <c r="AC60" i="20"/>
  <c r="AC16" i="30" s="1"/>
  <c r="AB60" i="20"/>
  <c r="AB16" i="30" s="1"/>
  <c r="AF175" i="1"/>
  <c r="AD189" i="1"/>
  <c r="AE37" i="20"/>
  <c r="AE13" i="30"/>
  <c r="AF37" i="20"/>
  <c r="AF13" i="30"/>
  <c r="AD49" i="20"/>
  <c r="AD14" i="30"/>
  <c r="DA16" i="1"/>
  <c r="AF43" i="30"/>
  <c r="AF173" i="20"/>
  <c r="AG173" i="1"/>
  <c r="AF24" i="30"/>
  <c r="AC84" i="20" l="1"/>
  <c r="AC18" i="30" s="1"/>
  <c r="AD15" i="30"/>
  <c r="AD60" i="20"/>
  <c r="AD16" i="30" s="1"/>
  <c r="AB67" i="20"/>
  <c r="AB98" i="20"/>
  <c r="AC67" i="20"/>
  <c r="AC98" i="20"/>
  <c r="AB84" i="20"/>
  <c r="AB18" i="30" s="1"/>
  <c r="AF185" i="1"/>
  <c r="AG175" i="1"/>
  <c r="AF49" i="20"/>
  <c r="AF14" i="30"/>
  <c r="AE49" i="20"/>
  <c r="AE14" i="30"/>
  <c r="AG24" i="30"/>
  <c r="AG28" i="20"/>
  <c r="AH28" i="20"/>
  <c r="DB16" i="1"/>
  <c r="AG43" i="30"/>
  <c r="AG173" i="20"/>
  <c r="AC107" i="20" l="1"/>
  <c r="AC20" i="30" s="1"/>
  <c r="AC19" i="30"/>
  <c r="AC17" i="30"/>
  <c r="AB107" i="20"/>
  <c r="AB20" i="30" s="1"/>
  <c r="AB19" i="30"/>
  <c r="AE60" i="20"/>
  <c r="AE16" i="30" s="1"/>
  <c r="AB113" i="20"/>
  <c r="AB17" i="30"/>
  <c r="AC113" i="20"/>
  <c r="AC134" i="20"/>
  <c r="AC26" i="30" s="1"/>
  <c r="AF15" i="30"/>
  <c r="AF60" i="20"/>
  <c r="AF16" i="30" s="1"/>
  <c r="AD67" i="20"/>
  <c r="AE15" i="30"/>
  <c r="AG185" i="1"/>
  <c r="AF189" i="1"/>
  <c r="AH37" i="20"/>
  <c r="AH13" i="30"/>
  <c r="AG37" i="20"/>
  <c r="AG13" i="30"/>
  <c r="DC16" i="1"/>
  <c r="AH43" i="30"/>
  <c r="AH24" i="30"/>
  <c r="AD17" i="30" l="1"/>
  <c r="AC194" i="20"/>
  <c r="AC21" i="30"/>
  <c r="AC119" i="20"/>
  <c r="AB194" i="20"/>
  <c r="AB21" i="30"/>
  <c r="AD84" i="20"/>
  <c r="AE67" i="20"/>
  <c r="AF67" i="20"/>
  <c r="AF98" i="20"/>
  <c r="AC151" i="20"/>
  <c r="AF84" i="20"/>
  <c r="AF18" i="30" s="1"/>
  <c r="AG189" i="1"/>
  <c r="AH49" i="20"/>
  <c r="AH14" i="30"/>
  <c r="AG49" i="20"/>
  <c r="AG14" i="30"/>
  <c r="AI24" i="30"/>
  <c r="AI28" i="20"/>
  <c r="AJ28" i="20"/>
  <c r="DD16" i="1"/>
  <c r="AI43" i="30"/>
  <c r="AC158" i="20" l="1"/>
  <c r="AC160" i="20" s="1"/>
  <c r="AC165" i="20" s="1"/>
  <c r="AC27" i="30"/>
  <c r="AD98" i="20"/>
  <c r="AD18" i="30"/>
  <c r="AF107" i="20"/>
  <c r="AF20" i="30" s="1"/>
  <c r="AF19" i="30"/>
  <c r="AF17" i="30"/>
  <c r="AD113" i="20"/>
  <c r="AD134" i="20"/>
  <c r="AD26" i="30" s="1"/>
  <c r="AG15" i="30"/>
  <c r="AG60" i="20"/>
  <c r="AG16" i="30" s="1"/>
  <c r="AF113" i="20"/>
  <c r="AE17" i="30"/>
  <c r="AE84" i="20"/>
  <c r="AE18" i="30" s="1"/>
  <c r="AH15" i="30"/>
  <c r="AH60" i="20"/>
  <c r="AH16" i="30" s="1"/>
  <c r="AC196" i="20"/>
  <c r="AC33" i="30"/>
  <c r="AC151" i="30" s="1"/>
  <c r="AC58" i="33" s="1"/>
  <c r="AE98" i="20"/>
  <c r="AE19" i="30" s="1"/>
  <c r="AJ37" i="20"/>
  <c r="AJ13" i="30"/>
  <c r="AI37" i="20"/>
  <c r="AI13" i="30"/>
  <c r="AJ24" i="30"/>
  <c r="AJ43" i="30"/>
  <c r="DE16" i="1"/>
  <c r="AF119" i="20" l="1"/>
  <c r="AF134" i="20"/>
  <c r="AF26" i="30" s="1"/>
  <c r="AF21" i="30"/>
  <c r="AF194" i="20"/>
  <c r="AD194" i="20"/>
  <c r="AD21" i="30"/>
  <c r="AD107" i="20"/>
  <c r="AD19" i="30"/>
  <c r="AC40" i="30"/>
  <c r="AC191" i="30" s="1"/>
  <c r="AC78" i="33" s="1"/>
  <c r="AC193" i="20"/>
  <c r="AC199" i="20" s="1"/>
  <c r="AC175" i="20"/>
  <c r="AC185" i="20" s="1"/>
  <c r="AF151" i="20"/>
  <c r="AD151" i="20"/>
  <c r="AI60" i="20"/>
  <c r="AI16" i="30" s="1"/>
  <c r="AG67" i="20"/>
  <c r="AE107" i="20"/>
  <c r="AH67" i="20"/>
  <c r="AH17" i="30" s="1"/>
  <c r="AI49" i="20"/>
  <c r="AI15" i="30" s="1"/>
  <c r="AI14" i="30"/>
  <c r="AJ49" i="20"/>
  <c r="AJ14" i="30"/>
  <c r="AK24" i="30"/>
  <c r="AK28" i="20"/>
  <c r="DF16" i="1"/>
  <c r="AK43" i="30"/>
  <c r="AC176" i="30" l="1"/>
  <c r="AC66" i="33" s="1"/>
  <c r="AF158" i="20"/>
  <c r="AF160" i="20" s="1"/>
  <c r="AF165" i="20" s="1"/>
  <c r="AF27" i="30"/>
  <c r="AC232" i="6"/>
  <c r="AC189" i="20"/>
  <c r="AD119" i="20"/>
  <c r="AD20" i="30"/>
  <c r="AD158" i="20"/>
  <c r="AD27" i="30"/>
  <c r="AE20" i="30"/>
  <c r="AE113" i="20"/>
  <c r="AG17" i="30"/>
  <c r="AG84" i="20"/>
  <c r="AG18" i="30" s="1"/>
  <c r="AD196" i="20"/>
  <c r="AD33" i="30"/>
  <c r="AD151" i="30" s="1"/>
  <c r="AD58" i="33" s="1"/>
  <c r="AJ15" i="30"/>
  <c r="AJ60" i="20"/>
  <c r="AJ16" i="30" s="1"/>
  <c r="AI67" i="20"/>
  <c r="AF196" i="20"/>
  <c r="AF33" i="30"/>
  <c r="AF151" i="30" s="1"/>
  <c r="AF58" i="33" s="1"/>
  <c r="AG98" i="20"/>
  <c r="AH84" i="20"/>
  <c r="AK37" i="20"/>
  <c r="AK13" i="30"/>
  <c r="AL24" i="30"/>
  <c r="AL28" i="20"/>
  <c r="DG16" i="1"/>
  <c r="AL43" i="30"/>
  <c r="AD160" i="20" l="1"/>
  <c r="AD165" i="20" s="1"/>
  <c r="AD193" i="20" s="1"/>
  <c r="AD199" i="20" s="1"/>
  <c r="AD40" i="30"/>
  <c r="AD191" i="30" s="1"/>
  <c r="AD78" i="33" s="1"/>
  <c r="AF40" i="30"/>
  <c r="AF176" i="30" s="1"/>
  <c r="AF66" i="33" s="1"/>
  <c r="AF193" i="20"/>
  <c r="AF199" i="20" s="1"/>
  <c r="AF175" i="20"/>
  <c r="AF185" i="20" s="1"/>
  <c r="AE194" i="20"/>
  <c r="AE21" i="30"/>
  <c r="AH98" i="20"/>
  <c r="AH18" i="30"/>
  <c r="AG107" i="20"/>
  <c r="AG20" i="30" s="1"/>
  <c r="AG19" i="30"/>
  <c r="AJ84" i="20"/>
  <c r="AH113" i="20"/>
  <c r="AG113" i="20"/>
  <c r="AI17" i="30"/>
  <c r="AI84" i="20"/>
  <c r="AJ67" i="20"/>
  <c r="AJ17" i="30" s="1"/>
  <c r="AK49" i="20"/>
  <c r="AK14" i="30"/>
  <c r="AL37" i="20"/>
  <c r="AL13" i="30"/>
  <c r="AM24" i="30"/>
  <c r="AM28" i="20"/>
  <c r="DH16" i="1"/>
  <c r="AM43" i="30"/>
  <c r="AD176" i="30" l="1"/>
  <c r="AD66" i="33" s="1"/>
  <c r="AF191" i="30"/>
  <c r="AF78" i="33" s="1"/>
  <c r="AG119" i="20"/>
  <c r="AD175" i="20"/>
  <c r="AD185" i="20" s="1"/>
  <c r="AD232" i="6" s="1"/>
  <c r="AI98" i="20"/>
  <c r="AI18" i="30"/>
  <c r="AG194" i="20"/>
  <c r="AG21" i="30"/>
  <c r="AJ98" i="20"/>
  <c r="AJ18" i="30"/>
  <c r="AH194" i="20"/>
  <c r="AH21" i="30"/>
  <c r="AH107" i="20"/>
  <c r="AH20" i="30" s="1"/>
  <c r="AH19" i="30"/>
  <c r="AF232" i="6"/>
  <c r="AF189" i="20"/>
  <c r="AJ113" i="20"/>
  <c r="AK15" i="30"/>
  <c r="AK60" i="20"/>
  <c r="AK16" i="30" s="1"/>
  <c r="AI113" i="20"/>
  <c r="AG134" i="20"/>
  <c r="AL49" i="20"/>
  <c r="AL15" i="30" s="1"/>
  <c r="AL14" i="30"/>
  <c r="AM37" i="20"/>
  <c r="AM13" i="30"/>
  <c r="AN24" i="30"/>
  <c r="AN28" i="20"/>
  <c r="AN43" i="30"/>
  <c r="DI16" i="1"/>
  <c r="AD189" i="20" l="1"/>
  <c r="AI21" i="30"/>
  <c r="AI194" i="20"/>
  <c r="AJ21" i="30"/>
  <c r="AJ194" i="20"/>
  <c r="AG151" i="20"/>
  <c r="AG26" i="30"/>
  <c r="AJ107" i="20"/>
  <c r="AJ20" i="30" s="1"/>
  <c r="AJ19" i="30"/>
  <c r="AI107" i="20"/>
  <c r="AI20" i="30" s="1"/>
  <c r="AI19" i="30"/>
  <c r="AG196" i="20"/>
  <c r="AG33" i="30"/>
  <c r="AG151" i="30" s="1"/>
  <c r="AG58" i="33" s="1"/>
  <c r="AK67" i="20"/>
  <c r="AK17" i="30" s="1"/>
  <c r="AL60" i="20"/>
  <c r="AL16" i="30" s="1"/>
  <c r="AM49" i="20"/>
  <c r="AM15" i="30" s="1"/>
  <c r="AM14" i="30"/>
  <c r="AN37" i="20"/>
  <c r="AN13" i="30"/>
  <c r="AO24" i="30"/>
  <c r="AO28" i="20"/>
  <c r="AP28" i="20"/>
  <c r="DJ16" i="1"/>
  <c r="AO43" i="30"/>
  <c r="AG158" i="20" l="1"/>
  <c r="AG160" i="20" s="1"/>
  <c r="AG165" i="20" s="1"/>
  <c r="AG27" i="30"/>
  <c r="AK84" i="20"/>
  <c r="AK18" i="30" s="1"/>
  <c r="AM60" i="20"/>
  <c r="AM16" i="30" s="1"/>
  <c r="AK98" i="20"/>
  <c r="AL67" i="20"/>
  <c r="AL17" i="30" s="1"/>
  <c r="AL84" i="20"/>
  <c r="AN49" i="20"/>
  <c r="AN14" i="30"/>
  <c r="AP37" i="20"/>
  <c r="AP13" i="30"/>
  <c r="AO37" i="20"/>
  <c r="AO13" i="30"/>
  <c r="AQ28" i="20"/>
  <c r="DK16" i="1"/>
  <c r="AP43" i="30"/>
  <c r="AP24" i="30"/>
  <c r="AL98" i="20" l="1"/>
  <c r="AL18" i="30"/>
  <c r="AK107" i="20"/>
  <c r="AK20" i="30" s="1"/>
  <c r="AK19" i="30"/>
  <c r="AG40" i="30"/>
  <c r="AG193" i="20"/>
  <c r="AG199" i="20" s="1"/>
  <c r="AG175" i="20"/>
  <c r="AG185" i="20" s="1"/>
  <c r="AL113" i="20"/>
  <c r="AK113" i="20"/>
  <c r="AN15" i="30"/>
  <c r="AN60" i="20"/>
  <c r="AN16" i="30" s="1"/>
  <c r="AM67" i="20"/>
  <c r="AM17" i="30" s="1"/>
  <c r="AM84" i="20"/>
  <c r="AM18" i="30" s="1"/>
  <c r="AP49" i="20"/>
  <c r="AP14" i="30"/>
  <c r="AO49" i="20"/>
  <c r="AO60" i="20" s="1"/>
  <c r="AO16" i="30" s="1"/>
  <c r="AO14" i="30"/>
  <c r="AQ37" i="20"/>
  <c r="AQ13" i="30"/>
  <c r="AQ43" i="30"/>
  <c r="AQ24" i="30"/>
  <c r="AR28" i="20"/>
  <c r="DL16" i="1"/>
  <c r="AK194" i="20" l="1"/>
  <c r="AK21" i="30"/>
  <c r="AG232" i="6"/>
  <c r="AG189" i="20"/>
  <c r="AL194" i="20"/>
  <c r="AL21" i="30"/>
  <c r="AG191" i="30"/>
  <c r="AG78" i="33" s="1"/>
  <c r="AG176" i="30"/>
  <c r="AG66" i="33" s="1"/>
  <c r="AL107" i="20"/>
  <c r="AL20" i="30" s="1"/>
  <c r="AL19" i="30"/>
  <c r="AN67" i="20"/>
  <c r="AN17" i="30" s="1"/>
  <c r="AP15" i="30"/>
  <c r="AP60" i="20"/>
  <c r="AP16" i="30" s="1"/>
  <c r="AM98" i="20"/>
  <c r="AO84" i="20"/>
  <c r="AO18" i="30" s="1"/>
  <c r="AO67" i="20"/>
  <c r="AO17" i="30" s="1"/>
  <c r="AO98" i="20"/>
  <c r="AN84" i="20"/>
  <c r="AN18" i="30" s="1"/>
  <c r="AO15" i="30"/>
  <c r="AQ49" i="20"/>
  <c r="AQ14" i="30"/>
  <c r="AR37" i="20"/>
  <c r="AR13" i="30"/>
  <c r="AR43" i="30"/>
  <c r="DM16" i="1"/>
  <c r="AR24" i="30"/>
  <c r="AM107" i="20" l="1"/>
  <c r="AM20" i="30" s="1"/>
  <c r="AM19" i="30"/>
  <c r="AO107" i="20"/>
  <c r="AO20" i="30" s="1"/>
  <c r="AO19" i="30"/>
  <c r="AQ15" i="30"/>
  <c r="AQ60" i="20"/>
  <c r="AQ16" i="30" s="1"/>
  <c r="AM113" i="20"/>
  <c r="AN98" i="20"/>
  <c r="AO113" i="20"/>
  <c r="AP67" i="20"/>
  <c r="AP17" i="30" s="1"/>
  <c r="AR49" i="20"/>
  <c r="AR14" i="30"/>
  <c r="AS24" i="30"/>
  <c r="AS28" i="20"/>
  <c r="AT28" i="20"/>
  <c r="DN16" i="1"/>
  <c r="AS43" i="30"/>
  <c r="AM194" i="20" l="1"/>
  <c r="AM21" i="30"/>
  <c r="AO21" i="30"/>
  <c r="AO194" i="20"/>
  <c r="AN107" i="20"/>
  <c r="AN20" i="30" s="1"/>
  <c r="AN19" i="30"/>
  <c r="AQ67" i="20"/>
  <c r="AQ17" i="30" s="1"/>
  <c r="AR15" i="30"/>
  <c r="AR60" i="20"/>
  <c r="AR16" i="30" s="1"/>
  <c r="AN113" i="20"/>
  <c r="AQ84" i="20"/>
  <c r="AQ18" i="30" s="1"/>
  <c r="AP84" i="20"/>
  <c r="AT37" i="20"/>
  <c r="AT13" i="30"/>
  <c r="AS37" i="20"/>
  <c r="AS13" i="30"/>
  <c r="AT43" i="30"/>
  <c r="AT24" i="30"/>
  <c r="DO16" i="1"/>
  <c r="AN194" i="20" l="1"/>
  <c r="AN21" i="30"/>
  <c r="AP98" i="20"/>
  <c r="AP18" i="30"/>
  <c r="AP113" i="20"/>
  <c r="AR67" i="20"/>
  <c r="AQ98" i="20"/>
  <c r="AS49" i="20"/>
  <c r="AS14" i="30"/>
  <c r="AT49" i="20"/>
  <c r="AT15" i="30" s="1"/>
  <c r="AT14" i="30"/>
  <c r="AU24" i="30"/>
  <c r="AU28" i="20"/>
  <c r="DP16" i="1"/>
  <c r="AU43" i="30"/>
  <c r="AQ107" i="20" l="1"/>
  <c r="AQ20" i="30" s="1"/>
  <c r="AQ19" i="30"/>
  <c r="AP107" i="20"/>
  <c r="AP20" i="30" s="1"/>
  <c r="AP19" i="30"/>
  <c r="AP21" i="30"/>
  <c r="AP194" i="20"/>
  <c r="AS15" i="30"/>
  <c r="AS60" i="20"/>
  <c r="AS16" i="30" s="1"/>
  <c r="AR17" i="30"/>
  <c r="AR84" i="20"/>
  <c r="AQ113" i="20"/>
  <c r="AT60" i="20"/>
  <c r="AT16" i="30" s="1"/>
  <c r="AU37" i="20"/>
  <c r="AU13" i="30"/>
  <c r="AV24" i="30"/>
  <c r="AV28" i="20"/>
  <c r="DQ16" i="1"/>
  <c r="AV43" i="30"/>
  <c r="AQ21" i="30" l="1"/>
  <c r="AQ194" i="20"/>
  <c r="AR98" i="20"/>
  <c r="AR18" i="30"/>
  <c r="AR113" i="20"/>
  <c r="AT67" i="20"/>
  <c r="AT17" i="30" s="1"/>
  <c r="AT84" i="20"/>
  <c r="AT18" i="30" s="1"/>
  <c r="AS67" i="20"/>
  <c r="AV37" i="20"/>
  <c r="AV13" i="30"/>
  <c r="AU49" i="20"/>
  <c r="AU14" i="30"/>
  <c r="AW24" i="30"/>
  <c r="AW28" i="20"/>
  <c r="AW43" i="30"/>
  <c r="DR16" i="1"/>
  <c r="AR21" i="30" l="1"/>
  <c r="AR194" i="20"/>
  <c r="AR107" i="20"/>
  <c r="AR20" i="30" s="1"/>
  <c r="AR19" i="30"/>
  <c r="AU15" i="30"/>
  <c r="AU60" i="20"/>
  <c r="AU16" i="30" s="1"/>
  <c r="AS17" i="30"/>
  <c r="AS84" i="20"/>
  <c r="AS18" i="30" s="1"/>
  <c r="AS98" i="20"/>
  <c r="AT98" i="20"/>
  <c r="AW37" i="20"/>
  <c r="AW13" i="30"/>
  <c r="AV49" i="20"/>
  <c r="AV60" i="20" s="1"/>
  <c r="AV16" i="30" s="1"/>
  <c r="AV14" i="30"/>
  <c r="AX24" i="30"/>
  <c r="AX28" i="20"/>
  <c r="AY28" i="20"/>
  <c r="DS16" i="1"/>
  <c r="AX43" i="30"/>
  <c r="AT107" i="20" l="1"/>
  <c r="AT20" i="30" s="1"/>
  <c r="AT19" i="30"/>
  <c r="AS107" i="20"/>
  <c r="AS20" i="30" s="1"/>
  <c r="AS19" i="30"/>
  <c r="AS113" i="20"/>
  <c r="AU67" i="20"/>
  <c r="AV67" i="20"/>
  <c r="AV17" i="30" s="1"/>
  <c r="AT113" i="20"/>
  <c r="AV15" i="30"/>
  <c r="AY37" i="20"/>
  <c r="AY13" i="30"/>
  <c r="AW49" i="20"/>
  <c r="AW14" i="30"/>
  <c r="AX37" i="20"/>
  <c r="AX13" i="30"/>
  <c r="AY43" i="30"/>
  <c r="DT16" i="1"/>
  <c r="AY24" i="30"/>
  <c r="AT194" i="20" l="1"/>
  <c r="AT21" i="30"/>
  <c r="AS21" i="30"/>
  <c r="AS194" i="20"/>
  <c r="AW15" i="30"/>
  <c r="AW60" i="20"/>
  <c r="AW16" i="30" s="1"/>
  <c r="AU17" i="30"/>
  <c r="AU84" i="20"/>
  <c r="AV84" i="20"/>
  <c r="AX49" i="20"/>
  <c r="AX14" i="30"/>
  <c r="AY49" i="20"/>
  <c r="AY15" i="30" s="1"/>
  <c r="AY14" i="30"/>
  <c r="AZ24" i="30"/>
  <c r="AZ28" i="20"/>
  <c r="BA28" i="20"/>
  <c r="DU16" i="1"/>
  <c r="AZ43" i="30"/>
  <c r="AU98" i="20" l="1"/>
  <c r="AU18" i="30"/>
  <c r="AV98" i="20"/>
  <c r="AV18" i="30"/>
  <c r="AV113" i="20"/>
  <c r="AU113" i="20"/>
  <c r="AX60" i="20"/>
  <c r="AX16" i="30" s="1"/>
  <c r="AY60" i="20"/>
  <c r="AY16" i="30" s="1"/>
  <c r="AW67" i="20"/>
  <c r="AW17" i="30" s="1"/>
  <c r="AW84" i="20"/>
  <c r="AW18" i="30" s="1"/>
  <c r="AX15" i="30"/>
  <c r="AZ37" i="20"/>
  <c r="AZ13" i="30"/>
  <c r="BA37" i="20"/>
  <c r="BA13" i="30"/>
  <c r="BA24" i="30"/>
  <c r="BA43" i="30"/>
  <c r="DV16" i="1"/>
  <c r="AU21" i="30" l="1"/>
  <c r="AU194" i="20"/>
  <c r="AV107" i="20"/>
  <c r="AV20" i="30" s="1"/>
  <c r="AV19" i="30"/>
  <c r="AV21" i="30"/>
  <c r="AV194" i="20"/>
  <c r="AU107" i="20"/>
  <c r="AU20" i="30" s="1"/>
  <c r="AU19" i="30"/>
  <c r="AZ60" i="20"/>
  <c r="AZ16" i="30" s="1"/>
  <c r="AY67" i="20"/>
  <c r="AW98" i="20"/>
  <c r="AX67" i="20"/>
  <c r="AZ49" i="20"/>
  <c r="AZ15" i="30" s="1"/>
  <c r="AZ14" i="30"/>
  <c r="BA49" i="20"/>
  <c r="BA14" i="30"/>
  <c r="BB24" i="30"/>
  <c r="BB28" i="20"/>
  <c r="BB43" i="30"/>
  <c r="DW16" i="1"/>
  <c r="AW107" i="20" l="1"/>
  <c r="AW20" i="30" s="1"/>
  <c r="AW19" i="30"/>
  <c r="AY98" i="20"/>
  <c r="AZ67" i="20"/>
  <c r="AW113" i="20"/>
  <c r="BA60" i="20"/>
  <c r="BA16" i="30" s="1"/>
  <c r="AX17" i="30"/>
  <c r="AX84" i="20"/>
  <c r="AY17" i="30"/>
  <c r="AY84" i="20"/>
  <c r="AY18" i="30" s="1"/>
  <c r="BA15" i="30"/>
  <c r="BB37" i="20"/>
  <c r="BB13" i="30"/>
  <c r="BC24" i="30"/>
  <c r="BC28" i="20"/>
  <c r="DX16" i="1"/>
  <c r="BD28" i="20"/>
  <c r="BC43" i="30"/>
  <c r="AY107" i="20" l="1"/>
  <c r="AY20" i="30" s="1"/>
  <c r="AY19" i="30"/>
  <c r="AW194" i="20"/>
  <c r="AW21" i="30"/>
  <c r="AX98" i="20"/>
  <c r="AX18" i="30"/>
  <c r="BA84" i="20"/>
  <c r="BA18" i="30" s="1"/>
  <c r="AX113" i="20"/>
  <c r="AZ17" i="30"/>
  <c r="AZ84" i="20"/>
  <c r="AY113" i="20"/>
  <c r="BA67" i="20"/>
  <c r="BA17" i="30" s="1"/>
  <c r="BC37" i="20"/>
  <c r="BC13" i="30"/>
  <c r="BB49" i="20"/>
  <c r="BB14" i="30"/>
  <c r="BD37" i="20"/>
  <c r="BD13" i="30"/>
  <c r="DY16" i="1"/>
  <c r="BD24" i="30"/>
  <c r="BD43" i="30"/>
  <c r="AZ98" i="20" l="1"/>
  <c r="AZ18" i="30"/>
  <c r="AY21" i="30"/>
  <c r="AY194" i="20"/>
  <c r="AX21" i="30"/>
  <c r="AX194" i="20"/>
  <c r="AX107" i="20"/>
  <c r="AX20" i="30" s="1"/>
  <c r="AX19" i="30"/>
  <c r="AZ113" i="20"/>
  <c r="BB15" i="30"/>
  <c r="BB60" i="20"/>
  <c r="BB16" i="30" s="1"/>
  <c r="BA98" i="20"/>
  <c r="BD49" i="20"/>
  <c r="BD15" i="30" s="1"/>
  <c r="BD14" i="30"/>
  <c r="BC49" i="20"/>
  <c r="BC14" i="30"/>
  <c r="BE24" i="30"/>
  <c r="BE28" i="20"/>
  <c r="DZ16" i="1"/>
  <c r="BE43" i="30"/>
  <c r="AZ21" i="30" l="1"/>
  <c r="AZ194" i="20"/>
  <c r="BA107" i="20"/>
  <c r="BA20" i="30" s="1"/>
  <c r="BA19" i="30"/>
  <c r="AZ107" i="20"/>
  <c r="AZ20" i="30" s="1"/>
  <c r="AZ19" i="30"/>
  <c r="BA113" i="20"/>
  <c r="BB67" i="20"/>
  <c r="BB17" i="30" s="1"/>
  <c r="BB84" i="20"/>
  <c r="BB18" i="30" s="1"/>
  <c r="BD60" i="20"/>
  <c r="BD16" i="30" s="1"/>
  <c r="BC15" i="30"/>
  <c r="BC60" i="20"/>
  <c r="BC16" i="30" s="1"/>
  <c r="BE37" i="20"/>
  <c r="BE13" i="30"/>
  <c r="BF24" i="30"/>
  <c r="BF28" i="20"/>
  <c r="EA16" i="1"/>
  <c r="BF43" i="30"/>
  <c r="BA194" i="20" l="1"/>
  <c r="BA21" i="30"/>
  <c r="BD67" i="20"/>
  <c r="BD17" i="30" s="1"/>
  <c r="BC67" i="20"/>
  <c r="BB98" i="20"/>
  <c r="BE49" i="20"/>
  <c r="BE14" i="30"/>
  <c r="BF37" i="20"/>
  <c r="BF13" i="30"/>
  <c r="BG24" i="30"/>
  <c r="BG28" i="20"/>
  <c r="EB16" i="1"/>
  <c r="BG43" i="30"/>
  <c r="BB107" i="20" l="1"/>
  <c r="BB20" i="30" s="1"/>
  <c r="BB19" i="30"/>
  <c r="BB113" i="20"/>
  <c r="BC17" i="30"/>
  <c r="BC84" i="20"/>
  <c r="BE15" i="30"/>
  <c r="BE60" i="20"/>
  <c r="BE16" i="30" s="1"/>
  <c r="BD84" i="20"/>
  <c r="BF49" i="20"/>
  <c r="BF14" i="30"/>
  <c r="BG37" i="20"/>
  <c r="BG13" i="30"/>
  <c r="BH24" i="30"/>
  <c r="BH28" i="20"/>
  <c r="BH43" i="30"/>
  <c r="EC16" i="1"/>
  <c r="BB194" i="20" l="1"/>
  <c r="BB21" i="30"/>
  <c r="BC98" i="20"/>
  <c r="BC18" i="30"/>
  <c r="BD98" i="20"/>
  <c r="BD18" i="30"/>
  <c r="BC113" i="20"/>
  <c r="BD113" i="20"/>
  <c r="BF15" i="30"/>
  <c r="BF60" i="20"/>
  <c r="BF16" i="30" s="1"/>
  <c r="BE67" i="20"/>
  <c r="BE17" i="30" s="1"/>
  <c r="BE98" i="20"/>
  <c r="BE84" i="20"/>
  <c r="BE18" i="30" s="1"/>
  <c r="BH37" i="20"/>
  <c r="BH13" i="30"/>
  <c r="BG49" i="20"/>
  <c r="BG14" i="30"/>
  <c r="BI24" i="30"/>
  <c r="BI28" i="20"/>
  <c r="ED16" i="1"/>
  <c r="BJ28" i="20"/>
  <c r="BI43" i="30"/>
  <c r="BC194" i="20" l="1"/>
  <c r="BC21" i="30"/>
  <c r="BC107" i="20"/>
  <c r="BC20" i="30" s="1"/>
  <c r="BC19" i="30"/>
  <c r="BE107" i="20"/>
  <c r="BE20" i="30" s="1"/>
  <c r="BE19" i="30"/>
  <c r="BD21" i="30"/>
  <c r="BD194" i="20"/>
  <c r="BD107" i="20"/>
  <c r="BD20" i="30" s="1"/>
  <c r="BD19" i="30"/>
  <c r="BG15" i="30"/>
  <c r="BG60" i="20"/>
  <c r="BG16" i="30" s="1"/>
  <c r="BF67" i="20"/>
  <c r="BE113" i="20"/>
  <c r="BJ37" i="20"/>
  <c r="BJ13" i="30"/>
  <c r="BI37" i="20"/>
  <c r="BI13" i="30"/>
  <c r="BH49" i="20"/>
  <c r="BH14" i="30"/>
  <c r="BM16" i="1"/>
  <c r="CJ16" i="1" s="1"/>
  <c r="BM172" i="1"/>
  <c r="CJ172" i="1" s="1"/>
  <c r="BJ24" i="30"/>
  <c r="BO16" i="1"/>
  <c r="CL16" i="1" s="1"/>
  <c r="BO172" i="1"/>
  <c r="CL172" i="1" s="1"/>
  <c r="BN16" i="1"/>
  <c r="CK16" i="1" s="1"/>
  <c r="BN172" i="1"/>
  <c r="CK172" i="1" s="1"/>
  <c r="BJ43" i="30"/>
  <c r="BE21" i="30" l="1"/>
  <c r="BE194" i="20"/>
  <c r="BF17" i="30"/>
  <c r="BF84" i="20"/>
  <c r="BG67" i="20"/>
  <c r="BG17" i="30" s="1"/>
  <c r="BH15" i="30"/>
  <c r="BH60" i="20"/>
  <c r="BH16" i="30" s="1"/>
  <c r="CD16" i="1"/>
  <c r="CD172" i="1"/>
  <c r="A172" i="1" s="1" a="1"/>
  <c r="A172" i="1" s="1"/>
  <c r="BQ13" i="20"/>
  <c r="BI49" i="20"/>
  <c r="BI14" i="30"/>
  <c r="BJ49" i="20"/>
  <c r="BJ14" i="30"/>
  <c r="A172" i="20" a="1"/>
  <c r="A172" i="20" s="1"/>
  <c r="A16" i="20" a="1"/>
  <c r="A16" i="20" s="1"/>
  <c r="BF98" i="20" l="1"/>
  <c r="BF18" i="30"/>
  <c r="BI15" i="30"/>
  <c r="BI60" i="20"/>
  <c r="BI16" i="30" s="1"/>
  <c r="BG84" i="20"/>
  <c r="BJ60" i="20"/>
  <c r="BJ16" i="30" s="1"/>
  <c r="BH67" i="20"/>
  <c r="BH17" i="30" s="1"/>
  <c r="BF113" i="20"/>
  <c r="BH84" i="20"/>
  <c r="BJ15" i="30"/>
  <c r="BP137" i="20"/>
  <c r="BP16" i="20"/>
  <c r="BP24" i="30" s="1"/>
  <c r="BP13" i="20"/>
  <c r="BP172" i="20"/>
  <c r="BO24" i="30"/>
  <c r="Y24" i="30" s="1"/>
  <c r="BR13" i="20"/>
  <c r="BQ16" i="20"/>
  <c r="BN43" i="30"/>
  <c r="X43" i="30" s="1"/>
  <c r="BN24" i="30"/>
  <c r="X24" i="30" s="1"/>
  <c r="BM24" i="30"/>
  <c r="W24" i="30" s="1"/>
  <c r="BM43" i="30"/>
  <c r="CH43" i="30" l="1"/>
  <c r="CK43" i="30"/>
  <c r="X77" i="35"/>
  <c r="CH24" i="30"/>
  <c r="CK24" i="30"/>
  <c r="Y77" i="35"/>
  <c r="CL24" i="30"/>
  <c r="CI24" i="30"/>
  <c r="CJ24" i="30"/>
  <c r="CG24" i="30"/>
  <c r="BH98" i="20"/>
  <c r="BH18" i="30"/>
  <c r="BF194" i="20"/>
  <c r="BF21" i="30"/>
  <c r="BG98" i="20"/>
  <c r="BG18" i="30"/>
  <c r="BF107" i="20"/>
  <c r="BF20" i="30" s="1"/>
  <c r="BF19" i="30"/>
  <c r="BH113" i="20"/>
  <c r="BG113" i="20"/>
  <c r="BJ67" i="20"/>
  <c r="BJ17" i="30" s="1"/>
  <c r="BI67" i="20"/>
  <c r="BQ172" i="20"/>
  <c r="BQ137" i="20"/>
  <c r="W77" i="35"/>
  <c r="BQ24" i="30"/>
  <c r="BS13" i="20"/>
  <c r="BR16" i="20"/>
  <c r="W43" i="30"/>
  <c r="CJ43" i="30" l="1"/>
  <c r="CG43" i="30"/>
  <c r="CC24" i="30"/>
  <c r="CD24" i="30"/>
  <c r="BG194" i="20"/>
  <c r="BG21" i="30"/>
  <c r="BH194" i="20"/>
  <c r="BH21" i="30"/>
  <c r="BG107" i="20"/>
  <c r="BG20" i="30" s="1"/>
  <c r="BG19" i="30"/>
  <c r="BH107" i="20"/>
  <c r="BH20" i="30" s="1"/>
  <c r="BH19" i="30"/>
  <c r="BI17" i="30"/>
  <c r="BI84" i="20"/>
  <c r="BJ84" i="20"/>
  <c r="BJ18" i="30" s="1"/>
  <c r="BR172" i="20"/>
  <c r="BR137" i="20"/>
  <c r="BR24" i="30"/>
  <c r="BT13" i="20"/>
  <c r="BS16" i="20"/>
  <c r="A24" i="30" l="1" a="1"/>
  <c r="A24" i="30" s="1"/>
  <c r="BT172" i="20"/>
  <c r="BS172" i="20"/>
  <c r="BI98" i="20"/>
  <c r="BI18" i="30"/>
  <c r="BI113" i="20"/>
  <c r="BJ107" i="20"/>
  <c r="BJ98" i="20"/>
  <c r="BJ19" i="30" s="1"/>
  <c r="BT137" i="20"/>
  <c r="BS137" i="20"/>
  <c r="BS24" i="30"/>
  <c r="BU13" i="20"/>
  <c r="BT16" i="20"/>
  <c r="BI194" i="20" l="1"/>
  <c r="BI21" i="30"/>
  <c r="BI107" i="20"/>
  <c r="BI20" i="30" s="1"/>
  <c r="BI19" i="30"/>
  <c r="BJ20" i="30"/>
  <c r="BJ113" i="20"/>
  <c r="BU137" i="20"/>
  <c r="BT24" i="30"/>
  <c r="BU172" i="20"/>
  <c r="BV13" i="20"/>
  <c r="BU16" i="20"/>
  <c r="BO1084" i="9"/>
  <c r="BO91" i="6" s="1"/>
  <c r="BO89" i="30" s="1"/>
  <c r="CL89" i="30" s="1"/>
  <c r="BJ1084" i="9"/>
  <c r="BJ91" i="6" s="1"/>
  <c r="BI1084" i="9"/>
  <c r="BI91" i="6" s="1"/>
  <c r="BI89" i="30" s="1"/>
  <c r="BH1084" i="9"/>
  <c r="BH91" i="6" s="1"/>
  <c r="BH89" i="30" s="1"/>
  <c r="BG1084" i="9"/>
  <c r="BG91" i="6" s="1"/>
  <c r="BG89" i="30" s="1"/>
  <c r="BF1084" i="9"/>
  <c r="BF91" i="6" s="1"/>
  <c r="BF89" i="30" s="1"/>
  <c r="BE1084" i="9"/>
  <c r="BE91" i="6" s="1"/>
  <c r="BE89" i="30" s="1"/>
  <c r="BW1084" i="9"/>
  <c r="BW91" i="6" s="1"/>
  <c r="BW89" i="30" s="1"/>
  <c r="BD1084" i="9"/>
  <c r="BD91" i="6" s="1"/>
  <c r="BD89" i="30" s="1"/>
  <c r="BC1084" i="9"/>
  <c r="BC91" i="6" s="1"/>
  <c r="BC89" i="30" s="1"/>
  <c r="BV1084" i="9"/>
  <c r="BV91" i="6" s="1"/>
  <c r="BV89" i="30" s="1"/>
  <c r="BB1084" i="9"/>
  <c r="BB91" i="6" s="1"/>
  <c r="BB89" i="30" s="1"/>
  <c r="BU1084" i="9"/>
  <c r="BU91" i="6" s="1"/>
  <c r="BU89" i="30" s="1"/>
  <c r="BA1084" i="9"/>
  <c r="BA91" i="6" s="1"/>
  <c r="BA89" i="30" s="1"/>
  <c r="X1084" i="9"/>
  <c r="X91" i="6" s="1"/>
  <c r="AZ1084" i="9"/>
  <c r="AZ91" i="6" s="1"/>
  <c r="AZ89" i="30" s="1"/>
  <c r="BS1084" i="9"/>
  <c r="BS91" i="6" s="1"/>
  <c r="BS89" i="30" s="1"/>
  <c r="BN1084" i="9"/>
  <c r="BN91" i="6" s="1"/>
  <c r="BN89" i="30" s="1"/>
  <c r="AX1084" i="9"/>
  <c r="AX91" i="6" s="1"/>
  <c r="AX89" i="30" s="1"/>
  <c r="AY1084" i="9"/>
  <c r="AY91" i="6" s="1"/>
  <c r="AY89" i="30" s="1"/>
  <c r="AW1084" i="9"/>
  <c r="AW91" i="6" s="1"/>
  <c r="AW89" i="30" s="1"/>
  <c r="BP1084" i="9"/>
  <c r="BP91" i="6" s="1"/>
  <c r="BP89" i="30" s="1"/>
  <c r="W91" i="6"/>
  <c r="AV1084" i="9"/>
  <c r="AV91" i="6" s="1"/>
  <c r="AV89" i="30" s="1"/>
  <c r="AU1084" i="9"/>
  <c r="AU91" i="6" s="1"/>
  <c r="AU89" i="30" s="1"/>
  <c r="BM1084" i="9"/>
  <c r="BM91" i="6" s="1"/>
  <c r="AT1084" i="9"/>
  <c r="AT91" i="6" s="1"/>
  <c r="AT89" i="30" s="1"/>
  <c r="AS1084" i="9"/>
  <c r="AS91" i="6" s="1"/>
  <c r="AS89" i="30" s="1"/>
  <c r="AR1084" i="9"/>
  <c r="AR91" i="6" s="1"/>
  <c r="AR89" i="30" s="1"/>
  <c r="AQ1084" i="9"/>
  <c r="AQ91" i="6" s="1"/>
  <c r="AQ89" i="30" s="1"/>
  <c r="AB1084" i="9"/>
  <c r="AB91" i="6" s="1"/>
  <c r="AB89" i="30" s="1"/>
  <c r="AE1084" i="9"/>
  <c r="AE91" i="6" s="1"/>
  <c r="AE89" i="30" s="1"/>
  <c r="AC1084" i="9"/>
  <c r="AC87" i="35" s="1"/>
  <c r="AD1084" i="9"/>
  <c r="AD91" i="6" s="1"/>
  <c r="AD89" i="30" s="1"/>
  <c r="AG1084" i="9"/>
  <c r="AG87" i="35" s="1"/>
  <c r="AF1084" i="9"/>
  <c r="AF91" i="6" s="1"/>
  <c r="AF89" i="30" s="1"/>
  <c r="AP1084" i="9"/>
  <c r="AP91" i="6" s="1"/>
  <c r="AP89" i="30" s="1"/>
  <c r="AO1084" i="9"/>
  <c r="AO91" i="6" s="1"/>
  <c r="AO89" i="30" s="1"/>
  <c r="AN1084" i="9"/>
  <c r="AN91" i="6" s="1"/>
  <c r="AN89" i="30" s="1"/>
  <c r="AM1084" i="9"/>
  <c r="AM87" i="35" s="1"/>
  <c r="AL1084" i="9"/>
  <c r="AL91" i="6" s="1"/>
  <c r="AL89" i="30" s="1"/>
  <c r="AK1084" i="9"/>
  <c r="AK91" i="6" s="1"/>
  <c r="AK89" i="30" s="1"/>
  <c r="AJ1084" i="9"/>
  <c r="AJ91" i="6" s="1"/>
  <c r="AJ89" i="30" s="1"/>
  <c r="AI1084" i="9"/>
  <c r="AI87" i="35" s="1"/>
  <c r="AH1084" i="9"/>
  <c r="AH91" i="6" s="1"/>
  <c r="AH89" i="30" s="1"/>
  <c r="AE968" i="9"/>
  <c r="AH968" i="9"/>
  <c r="AH1104" i="9" s="1"/>
  <c r="AH1110" i="9" s="1"/>
  <c r="AH1111" i="9" s="1"/>
  <c r="AH200" i="30" s="1"/>
  <c r="AK968" i="9"/>
  <c r="AK1104" i="9" s="1"/>
  <c r="AK1110" i="9" s="1"/>
  <c r="AK1111" i="9" s="1"/>
  <c r="AK200" i="30" s="1"/>
  <c r="AB968" i="9"/>
  <c r="AB1104" i="9" s="1"/>
  <c r="AB1110" i="9" s="1"/>
  <c r="AB1111" i="9" s="1"/>
  <c r="AB200" i="30" s="1"/>
  <c r="AE1104" i="9" l="1"/>
  <c r="AE1110" i="9" s="1"/>
  <c r="AE1111" i="9" s="1"/>
  <c r="AE200" i="30" s="1"/>
  <c r="CG200" i="30" s="1"/>
  <c r="AK1105" i="9"/>
  <c r="AK199" i="30" s="1"/>
  <c r="AK86" i="33" s="1"/>
  <c r="AB1105" i="9"/>
  <c r="AB199" i="30" s="1"/>
  <c r="AB86" i="33" s="1"/>
  <c r="AH1105" i="9"/>
  <c r="AH199" i="30" s="1"/>
  <c r="AH86" i="33" s="1"/>
  <c r="BJ194" i="20"/>
  <c r="BJ21" i="30"/>
  <c r="BV137" i="20"/>
  <c r="BH87" i="35"/>
  <c r="BM89" i="30"/>
  <c r="AX87" i="35"/>
  <c r="BO87" i="35"/>
  <c r="BS87" i="35"/>
  <c r="BW87" i="35"/>
  <c r="BI87" i="35"/>
  <c r="AW87" i="35"/>
  <c r="BB87" i="35"/>
  <c r="BD87" i="35"/>
  <c r="BJ87" i="35"/>
  <c r="BF87" i="35"/>
  <c r="BM87" i="35"/>
  <c r="BV16" i="20"/>
  <c r="BV172" i="20"/>
  <c r="BU24" i="30"/>
  <c r="AN87" i="35"/>
  <c r="AC91" i="6"/>
  <c r="AC89" i="30" s="1"/>
  <c r="BA87" i="35"/>
  <c r="BG87" i="35"/>
  <c r="BU87" i="35"/>
  <c r="AK87" i="35"/>
  <c r="AB87" i="35"/>
  <c r="AQ87" i="35"/>
  <c r="AY87" i="35"/>
  <c r="AV87" i="35"/>
  <c r="AR87" i="35"/>
  <c r="BV87" i="35"/>
  <c r="AT87" i="35"/>
  <c r="AZ87" i="35"/>
  <c r="AD87" i="35"/>
  <c r="AH87" i="35"/>
  <c r="AP87" i="35"/>
  <c r="AU87" i="35"/>
  <c r="AS87" i="35"/>
  <c r="AJ87" i="35"/>
  <c r="AE87" i="35"/>
  <c r="BC87" i="35"/>
  <c r="X87" i="35"/>
  <c r="BP87" i="35"/>
  <c r="AG91" i="6"/>
  <c r="AG89" i="30" s="1"/>
  <c r="W87" i="35"/>
  <c r="AF87" i="35"/>
  <c r="BE87" i="35"/>
  <c r="BN87" i="35"/>
  <c r="AL87" i="35"/>
  <c r="AO87" i="35"/>
  <c r="W89" i="30"/>
  <c r="AI91" i="6"/>
  <c r="AI89" i="30" s="1"/>
  <c r="AM91" i="6"/>
  <c r="AM89" i="30" s="1"/>
  <c r="BJ89" i="30"/>
  <c r="CI89" i="30" s="1"/>
  <c r="X89" i="30"/>
  <c r="AE1105" i="9" l="1"/>
  <c r="AE199" i="30" s="1"/>
  <c r="AE86" i="33" s="1"/>
  <c r="CK89" i="30"/>
  <c r="CH89" i="30"/>
  <c r="CJ89" i="30"/>
  <c r="CG89" i="30"/>
  <c r="BW137" i="20"/>
  <c r="BZ137" i="20" s="1"/>
  <c r="BZ16" i="1"/>
  <c r="BW13" i="20"/>
  <c r="BZ13" i="20" s="1"/>
  <c r="BZ172" i="1"/>
  <c r="BV24" i="30"/>
  <c r="BW172" i="20"/>
  <c r="BZ172" i="20" s="1"/>
  <c r="BW16" i="20"/>
  <c r="CD89" i="30" l="1"/>
  <c r="CC89" i="30"/>
  <c r="BZ16" i="20"/>
  <c r="BW24" i="30"/>
  <c r="AB192" i="6" l="1"/>
  <c r="AH134" i="1"/>
  <c r="AH158" i="1" s="1"/>
  <c r="AT134" i="1"/>
  <c r="AT158" i="1" s="1"/>
  <c r="BF134" i="1"/>
  <c r="BF158" i="1" s="1"/>
  <c r="BI134" i="1"/>
  <c r="BI158" i="1" s="1"/>
  <c r="AW134" i="1"/>
  <c r="AW158" i="1" s="1"/>
  <c r="AK134" i="1"/>
  <c r="AK158" i="1" s="1"/>
  <c r="BC134" i="1"/>
  <c r="BC158" i="1" s="1"/>
  <c r="AN134" i="1"/>
  <c r="AN158" i="1" s="1"/>
  <c r="AZ134" i="1"/>
  <c r="AZ158" i="1" s="1"/>
  <c r="AQ134" i="1"/>
  <c r="AQ158" i="1" s="1"/>
  <c r="AN160" i="1" l="1"/>
  <c r="BF160" i="1"/>
  <c r="AQ160" i="1"/>
  <c r="AK160" i="1"/>
  <c r="AT160" i="1"/>
  <c r="BI160" i="1"/>
  <c r="BC160" i="1"/>
  <c r="AZ160" i="1"/>
  <c r="AW160" i="1"/>
  <c r="AH160" i="1"/>
  <c r="AB123" i="30"/>
  <c r="AE134" i="1"/>
  <c r="AE158" i="1" s="1"/>
  <c r="AT195" i="1"/>
  <c r="AE195" i="1"/>
  <c r="AN195" i="1"/>
  <c r="AK195" i="1"/>
  <c r="BI195" i="1"/>
  <c r="AC181" i="6"/>
  <c r="Y134" i="1"/>
  <c r="Y130" i="20"/>
  <c r="Y195" i="1"/>
  <c r="AB134" i="1"/>
  <c r="AB158" i="1" s="1"/>
  <c r="AB130" i="20"/>
  <c r="AE130" i="20"/>
  <c r="AQ130" i="20"/>
  <c r="BI130" i="20"/>
  <c r="AZ195" i="1"/>
  <c r="BC195" i="1"/>
  <c r="BF195" i="1"/>
  <c r="BN186" i="6"/>
  <c r="BO186" i="6"/>
  <c r="AT130" i="20"/>
  <c r="AK130" i="20"/>
  <c r="AH130" i="20"/>
  <c r="AN130" i="20"/>
  <c r="AZ130" i="20"/>
  <c r="AQ195" i="1"/>
  <c r="AB195" i="1"/>
  <c r="AW195" i="1"/>
  <c r="AH195" i="1"/>
  <c r="AW130" i="20"/>
  <c r="BC130" i="20"/>
  <c r="BF130" i="20"/>
  <c r="BO148" i="30" l="1"/>
  <c r="CL148" i="30" s="1"/>
  <c r="BO130" i="1"/>
  <c r="CL130" i="1" s="1"/>
  <c r="BN148" i="30"/>
  <c r="CK148" i="30" s="1"/>
  <c r="BN130" i="1"/>
  <c r="CK130" i="1" s="1"/>
  <c r="BO57" i="33"/>
  <c r="CM128" i="20"/>
  <c r="CI195" i="1"/>
  <c r="Y158" i="1"/>
  <c r="CI158" i="1" s="1"/>
  <c r="CI134" i="1"/>
  <c r="AB160" i="1"/>
  <c r="AH165" i="1"/>
  <c r="AZ165" i="1"/>
  <c r="BI165" i="1"/>
  <c r="AK165" i="1"/>
  <c r="BF165" i="1"/>
  <c r="CL128" i="20"/>
  <c r="AE160" i="1"/>
  <c r="AW165" i="1"/>
  <c r="BC165" i="1"/>
  <c r="AT165" i="1"/>
  <c r="AQ165" i="1"/>
  <c r="AN165" i="1"/>
  <c r="AC192" i="6"/>
  <c r="AQ195" i="20"/>
  <c r="AW195" i="20"/>
  <c r="X134" i="1"/>
  <c r="X130" i="20"/>
  <c r="X195" i="1"/>
  <c r="CH195" i="1" s="1"/>
  <c r="AE195" i="20"/>
  <c r="BC195" i="20"/>
  <c r="W192" i="6"/>
  <c r="BM186" i="6"/>
  <c r="BM130" i="1" s="1"/>
  <c r="AH195" i="20"/>
  <c r="AK195" i="20"/>
  <c r="AT195" i="20"/>
  <c r="BI195" i="20"/>
  <c r="AB195" i="20"/>
  <c r="Y134" i="20"/>
  <c r="Y195" i="20"/>
  <c r="AN195" i="20"/>
  <c r="BF195" i="20"/>
  <c r="AZ195" i="20"/>
  <c r="BN57" i="33" l="1"/>
  <c r="CM129" i="20"/>
  <c r="X158" i="1"/>
  <c r="CH158" i="1" s="1"/>
  <c r="CH134" i="1"/>
  <c r="AQ193" i="1"/>
  <c r="BC193" i="1"/>
  <c r="AN193" i="1"/>
  <c r="AT193" i="1"/>
  <c r="AW193" i="1"/>
  <c r="BF193" i="1"/>
  <c r="BI193" i="1"/>
  <c r="AH193" i="1"/>
  <c r="CL129" i="20"/>
  <c r="AK193" i="1"/>
  <c r="AZ193" i="1"/>
  <c r="AQ156" i="20"/>
  <c r="AQ28" i="30" s="1"/>
  <c r="AK156" i="20"/>
  <c r="AK28" i="30" s="1"/>
  <c r="AW156" i="20"/>
  <c r="AW28" i="30" s="1"/>
  <c r="BI156" i="20"/>
  <c r="BI28" i="30" s="1"/>
  <c r="AB119" i="20"/>
  <c r="BF156" i="20"/>
  <c r="BF28" i="30" s="1"/>
  <c r="AT156" i="20"/>
  <c r="AT28" i="30" s="1"/>
  <c r="AH156" i="20"/>
  <c r="AH28" i="30" s="1"/>
  <c r="AE119" i="20"/>
  <c r="AE165" i="1"/>
  <c r="AE175" i="1" s="1"/>
  <c r="AE185" i="1" s="1"/>
  <c r="CK128" i="20"/>
  <c r="CE128" i="20" s="1"/>
  <c r="BC156" i="20"/>
  <c r="BC28" i="30" s="1"/>
  <c r="AB165" i="1"/>
  <c r="BM148" i="30"/>
  <c r="CJ148" i="30" s="1"/>
  <c r="CD148" i="30" s="1"/>
  <c r="A148" i="30" s="1" a="1"/>
  <c r="A148" i="30" s="1"/>
  <c r="BZ186" i="6"/>
  <c r="AC123" i="30"/>
  <c r="CJ130" i="1"/>
  <c r="CD130" i="1" s="1"/>
  <c r="A130" i="1" s="1" a="1"/>
  <c r="A130" i="1" s="1"/>
  <c r="AD181" i="6"/>
  <c r="AD192" i="6" s="1"/>
  <c r="CF186" i="6"/>
  <c r="A186" i="6" s="1" a="1"/>
  <c r="A186" i="6" s="1"/>
  <c r="Y151" i="20"/>
  <c r="Y158" i="20" s="1"/>
  <c r="BN134" i="1"/>
  <c r="CK134" i="1" s="1"/>
  <c r="BN130" i="20"/>
  <c r="CL130" i="20" s="1"/>
  <c r="BN195" i="1"/>
  <c r="CK195" i="1" s="1"/>
  <c r="X134" i="20"/>
  <c r="X195" i="20"/>
  <c r="W130" i="20"/>
  <c r="W134" i="1"/>
  <c r="CG134" i="1" s="1"/>
  <c r="W195" i="1"/>
  <c r="BO134" i="1"/>
  <c r="CL134" i="1" s="1"/>
  <c r="BO195" i="1"/>
  <c r="CL195" i="1" s="1"/>
  <c r="BO130" i="20"/>
  <c r="CM130" i="20" s="1"/>
  <c r="BM192" i="6"/>
  <c r="X181" i="6"/>
  <c r="W123" i="30"/>
  <c r="CC134" i="1" l="1"/>
  <c r="Y160" i="20"/>
  <c r="Y165" i="20" s="1"/>
  <c r="Y193" i="20" s="1"/>
  <c r="Y196" i="20"/>
  <c r="BM57" i="33"/>
  <c r="CG195" i="1"/>
  <c r="CC195" i="1" s="1"/>
  <c r="AZ199" i="1"/>
  <c r="AQ199" i="1"/>
  <c r="BI199" i="1"/>
  <c r="AN199" i="1"/>
  <c r="AH199" i="1"/>
  <c r="BF199" i="1"/>
  <c r="AT199" i="1"/>
  <c r="AW199" i="1"/>
  <c r="AB134" i="20"/>
  <c r="AB175" i="1"/>
  <c r="AB185" i="1" s="1"/>
  <c r="AB189" i="1" s="1"/>
  <c r="AB193" i="1"/>
  <c r="AB199" i="1" s="1"/>
  <c r="AK199" i="1"/>
  <c r="BC199" i="1"/>
  <c r="AE193" i="1"/>
  <c r="AE134" i="20"/>
  <c r="AN156" i="20"/>
  <c r="AN28" i="30" s="1"/>
  <c r="CK129" i="20"/>
  <c r="CE129" i="20" s="1"/>
  <c r="AE189" i="1"/>
  <c r="AZ156" i="20"/>
  <c r="AZ28" i="30" s="1"/>
  <c r="BO158" i="1"/>
  <c r="CL158" i="1" s="1"/>
  <c r="AE181" i="6"/>
  <c r="AE192" i="6" s="1"/>
  <c r="AD123" i="30"/>
  <c r="X151" i="20"/>
  <c r="X158" i="20" s="1"/>
  <c r="BN158" i="1"/>
  <c r="CK158" i="1" s="1"/>
  <c r="BN195" i="20"/>
  <c r="CL195" i="20" s="1"/>
  <c r="BM123" i="30"/>
  <c r="CJ123" i="30" s="1"/>
  <c r="BO195" i="20"/>
  <c r="CM195" i="20" s="1"/>
  <c r="W158" i="1"/>
  <c r="CG158" i="1" s="1"/>
  <c r="CC158" i="1" s="1"/>
  <c r="BN181" i="6"/>
  <c r="X192" i="6"/>
  <c r="BM134" i="1"/>
  <c r="CJ134" i="1" s="1"/>
  <c r="CD134" i="1" s="1"/>
  <c r="BM130" i="20"/>
  <c r="CK130" i="20" s="1"/>
  <c r="CE130" i="20" s="1"/>
  <c r="A130" i="20" s="1" a="1"/>
  <c r="A130" i="20" s="1"/>
  <c r="BM195" i="1"/>
  <c r="CJ195" i="1" s="1"/>
  <c r="CD195" i="1" s="1"/>
  <c r="W195" i="20"/>
  <c r="W134" i="20"/>
  <c r="W151" i="20" s="1"/>
  <c r="A134" i="1" l="1" a="1"/>
  <c r="A134" i="1" s="1"/>
  <c r="Y199" i="20"/>
  <c r="X160" i="20"/>
  <c r="X165" i="20" s="1"/>
  <c r="X193" i="20" s="1"/>
  <c r="X196" i="20"/>
  <c r="A195" i="1" a="1"/>
  <c r="A195" i="1" s="1"/>
  <c r="AB151" i="20"/>
  <c r="AB27" i="30" s="1"/>
  <c r="CL155" i="20"/>
  <c r="BN156" i="20"/>
  <c r="AB156" i="20"/>
  <c r="AB28" i="30" s="1"/>
  <c r="AB26" i="30"/>
  <c r="AE26" i="30"/>
  <c r="CM155" i="20"/>
  <c r="BO156" i="20"/>
  <c r="AE151" i="20"/>
  <c r="AE199" i="1"/>
  <c r="BM158" i="1"/>
  <c r="CJ158" i="1" s="1"/>
  <c r="CD158" i="1" s="1"/>
  <c r="A158" i="1" s="1" a="1"/>
  <c r="A158" i="1" s="1"/>
  <c r="W158" i="20"/>
  <c r="W196" i="20" s="1"/>
  <c r="AE123" i="30"/>
  <c r="AF181" i="6"/>
  <c r="BN192" i="6"/>
  <c r="X123" i="30"/>
  <c r="Y181" i="6"/>
  <c r="BM195" i="20"/>
  <c r="CK195" i="20" s="1"/>
  <c r="CE195" i="20" s="1"/>
  <c r="A195" i="20" s="1" a="1"/>
  <c r="A195" i="20" s="1"/>
  <c r="X199" i="20" l="1"/>
  <c r="AB158" i="20"/>
  <c r="AE27" i="30"/>
  <c r="CL156" i="20"/>
  <c r="BN28" i="30"/>
  <c r="X28" i="30" s="1"/>
  <c r="A128" i="20" a="1"/>
  <c r="A128" i="20" s="1"/>
  <c r="BZ128" i="20"/>
  <c r="CM156" i="20"/>
  <c r="BO28" i="30"/>
  <c r="Y28" i="30" s="1"/>
  <c r="AF192" i="6"/>
  <c r="W160" i="20"/>
  <c r="W165" i="20" s="1"/>
  <c r="BN123" i="30"/>
  <c r="CK123" i="30" s="1"/>
  <c r="BO181" i="6"/>
  <c r="CF181" i="6" s="1"/>
  <c r="A181" i="6" s="1" a="1"/>
  <c r="A181" i="6" s="1"/>
  <c r="Y192" i="6"/>
  <c r="CL28" i="30" l="1"/>
  <c r="CI28" i="30"/>
  <c r="CH28" i="30"/>
  <c r="CK28" i="30"/>
  <c r="AB160" i="20"/>
  <c r="AB165" i="20" s="1"/>
  <c r="AB193" i="20" s="1"/>
  <c r="AB196" i="20"/>
  <c r="AB33" i="30"/>
  <c r="AB151" i="30" s="1"/>
  <c r="AB58" i="33" s="1"/>
  <c r="AE156" i="20"/>
  <c r="AG181" i="6"/>
  <c r="AF123" i="30"/>
  <c r="W193" i="20"/>
  <c r="W199" i="20" s="1"/>
  <c r="Y123" i="30"/>
  <c r="BO192" i="6"/>
  <c r="AB199" i="20" l="1"/>
  <c r="AB175" i="20"/>
  <c r="AB185" i="20" s="1"/>
  <c r="AB40" i="30"/>
  <c r="CK155" i="20"/>
  <c r="CE155" i="20" s="1"/>
  <c r="BM156" i="20"/>
  <c r="AE28" i="30"/>
  <c r="AE158" i="20"/>
  <c r="CF192" i="6"/>
  <c r="AG192" i="6"/>
  <c r="BO123" i="30"/>
  <c r="CL123" i="30" s="1"/>
  <c r="CD123" i="30" s="1"/>
  <c r="BP181" i="6"/>
  <c r="BP192" i="6" s="1"/>
  <c r="AE160" i="20" l="1"/>
  <c r="AE165" i="20" s="1"/>
  <c r="AE40" i="30" s="1"/>
  <c r="AE196" i="20"/>
  <c r="AE33" i="30"/>
  <c r="AE151" i="30" s="1"/>
  <c r="AE58" i="33" s="1"/>
  <c r="AB191" i="30"/>
  <c r="AB78" i="33" s="1"/>
  <c r="AB176" i="30"/>
  <c r="AB66" i="33" s="1"/>
  <c r="AB232" i="6"/>
  <c r="AB189" i="20"/>
  <c r="BM28" i="30"/>
  <c r="W28" i="30" s="1"/>
  <c r="CK156" i="20"/>
  <c r="CE156" i="20" s="1"/>
  <c r="A156" i="20" s="1" a="1"/>
  <c r="A156" i="20" s="1"/>
  <c r="AG123" i="30"/>
  <c r="AH181" i="6"/>
  <c r="BP123" i="30"/>
  <c r="BQ181" i="6"/>
  <c r="BQ192" i="6" s="1"/>
  <c r="CG28" i="30" l="1"/>
  <c r="CC28" i="30" s="1"/>
  <c r="CJ28" i="30"/>
  <c r="CD28" i="30" s="1"/>
  <c r="AE193" i="20"/>
  <c r="AE199" i="20" s="1"/>
  <c r="AE175" i="20"/>
  <c r="AE185" i="20" s="1"/>
  <c r="AE232" i="6" s="1"/>
  <c r="AE191" i="30"/>
  <c r="AE78" i="33" s="1"/>
  <c r="AE176" i="30"/>
  <c r="AE66" i="33" s="1"/>
  <c r="AH192" i="6"/>
  <c r="BQ123" i="30"/>
  <c r="BR181" i="6"/>
  <c r="BR192" i="6" s="1"/>
  <c r="A28" i="30" l="1" a="1"/>
  <c r="A28" i="30" s="1"/>
  <c r="AE189" i="20"/>
  <c r="AH123" i="30"/>
  <c r="AI181" i="6"/>
  <c r="BS181" i="6"/>
  <c r="BS192" i="6" s="1"/>
  <c r="BR123" i="30"/>
  <c r="AI192" i="6" l="1"/>
  <c r="BS123" i="30"/>
  <c r="BT181" i="6"/>
  <c r="BT192" i="6" s="1"/>
  <c r="AI123" i="30" l="1"/>
  <c r="AJ181" i="6"/>
  <c r="BU181" i="6"/>
  <c r="BU192" i="6" s="1"/>
  <c r="BT123" i="30"/>
  <c r="AJ192" i="6" l="1"/>
  <c r="BV181" i="6"/>
  <c r="BV192" i="6" s="1"/>
  <c r="BU123" i="30"/>
  <c r="AK181" i="6" l="1"/>
  <c r="AJ123" i="30"/>
  <c r="BV123" i="30"/>
  <c r="BW181" i="6"/>
  <c r="BW192" i="6" s="1"/>
  <c r="AK192" i="6" l="1"/>
  <c r="BW123" i="30"/>
  <c r="AK123" i="30" l="1"/>
  <c r="AL181" i="6"/>
  <c r="AL192" i="6" l="1"/>
  <c r="AM181" i="6" l="1"/>
  <c r="AL123" i="30"/>
  <c r="CG123" i="30" s="1"/>
  <c r="AM192" i="6" l="1"/>
  <c r="AN181" i="6" l="1"/>
  <c r="AM123" i="30"/>
  <c r="AN192" i="6" l="1"/>
  <c r="AN123" i="30" l="1"/>
  <c r="AO181" i="6"/>
  <c r="AO192" i="6" l="1"/>
  <c r="AO123" i="30" l="1"/>
  <c r="AP181" i="6"/>
  <c r="AP192" i="6" l="1"/>
  <c r="AP123" i="30" l="1"/>
  <c r="AQ181" i="6"/>
  <c r="AQ192" i="6" l="1"/>
  <c r="AR181" i="6" l="1"/>
  <c r="AQ123" i="30"/>
  <c r="AR192" i="6" l="1"/>
  <c r="AR123" i="30" l="1"/>
  <c r="AS181" i="6"/>
  <c r="AS192" i="6" l="1"/>
  <c r="AT181" i="6" l="1"/>
  <c r="AS123" i="30"/>
  <c r="AT192" i="6" l="1"/>
  <c r="AU181" i="6" l="1"/>
  <c r="AT123" i="30"/>
  <c r="AA78" i="30"/>
  <c r="AU192" i="6" l="1"/>
  <c r="AD77" i="30"/>
  <c r="AB79" i="30"/>
  <c r="AB77" i="30"/>
  <c r="AA79" i="30"/>
  <c r="AA158" i="30" s="1"/>
  <c r="AA77" i="30"/>
  <c r="AC77" i="30"/>
  <c r="AV181" i="6" l="1"/>
  <c r="AU123" i="30"/>
  <c r="AB78" i="30"/>
  <c r="AA157" i="30"/>
  <c r="AA61" i="33" s="1"/>
  <c r="AC79" i="30"/>
  <c r="AB157" i="30"/>
  <c r="AE77" i="30"/>
  <c r="AC157" i="30"/>
  <c r="AD157" i="30"/>
  <c r="AB158" i="30" l="1"/>
  <c r="AB61" i="33" s="1"/>
  <c r="AV192" i="6"/>
  <c r="AE157" i="30"/>
  <c r="AD79" i="30"/>
  <c r="AC78" i="30"/>
  <c r="AF77" i="30"/>
  <c r="AC158" i="30" l="1"/>
  <c r="AC61" i="33" s="1"/>
  <c r="AV123" i="30"/>
  <c r="AW181" i="6"/>
  <c r="AF157" i="30"/>
  <c r="AE79" i="30"/>
  <c r="AG77" i="30"/>
  <c r="AD78" i="30"/>
  <c r="AD158" i="30" l="1"/>
  <c r="AD61" i="33" s="1"/>
  <c r="AW192" i="6"/>
  <c r="AH77" i="30"/>
  <c r="AF79" i="30"/>
  <c r="AG157" i="30"/>
  <c r="AE78" i="30"/>
  <c r="AE158" i="30" l="1"/>
  <c r="AE61" i="33" s="1"/>
  <c r="AX181" i="6"/>
  <c r="AW123" i="30"/>
  <c r="AI77" i="30"/>
  <c r="AH157" i="30"/>
  <c r="AF78" i="30"/>
  <c r="AG79" i="30"/>
  <c r="AF158" i="30" l="1"/>
  <c r="AF61" i="33" s="1"/>
  <c r="AX192" i="6"/>
  <c r="AJ77" i="30"/>
  <c r="AH79" i="30"/>
  <c r="AG78" i="30"/>
  <c r="AI157" i="30"/>
  <c r="AG158" i="30" l="1"/>
  <c r="AG61" i="33" s="1"/>
  <c r="AX123" i="30"/>
  <c r="CH123" i="30" s="1"/>
  <c r="AY181" i="6"/>
  <c r="AI79" i="30"/>
  <c r="AH78" i="30"/>
  <c r="AK77" i="30"/>
  <c r="AJ157" i="30"/>
  <c r="AH158" i="30" l="1"/>
  <c r="AH61" i="33" s="1"/>
  <c r="AY192" i="6"/>
  <c r="AL77" i="30"/>
  <c r="W56" i="6"/>
  <c r="AI78" i="30"/>
  <c r="AJ79" i="30"/>
  <c r="AK157" i="30"/>
  <c r="AI158" i="30" l="1"/>
  <c r="AI61" i="33" s="1"/>
  <c r="AZ181" i="6"/>
  <c r="AY123" i="30"/>
  <c r="BM56" i="6"/>
  <c r="W77" i="30"/>
  <c r="AM77" i="30"/>
  <c r="AK79" i="30"/>
  <c r="AJ78" i="30"/>
  <c r="AL157" i="30"/>
  <c r="AJ158" i="30" l="1"/>
  <c r="AJ61" i="33" s="1"/>
  <c r="CG77" i="30"/>
  <c r="W157" i="30"/>
  <c r="AZ192" i="6"/>
  <c r="AM157" i="30"/>
  <c r="AN77" i="30"/>
  <c r="BM77" i="30"/>
  <c r="CJ77" i="30" s="1"/>
  <c r="AL79" i="30"/>
  <c r="W64" i="6"/>
  <c r="AK78" i="30"/>
  <c r="AK158" i="30" l="1"/>
  <c r="AK61" i="33" s="1"/>
  <c r="CG157" i="30"/>
  <c r="AZ123" i="30"/>
  <c r="BA181" i="6"/>
  <c r="BM157" i="30"/>
  <c r="CJ157" i="30" s="1"/>
  <c r="AO77" i="30"/>
  <c r="W79" i="30"/>
  <c r="BM64" i="6"/>
  <c r="AN157" i="30"/>
  <c r="AL78" i="30"/>
  <c r="W60" i="6"/>
  <c r="AM79" i="30"/>
  <c r="AL158" i="30" l="1"/>
  <c r="AL61" i="33" s="1"/>
  <c r="CG79" i="30"/>
  <c r="BA192" i="6"/>
  <c r="BM79" i="30"/>
  <c r="CJ79" i="30" s="1"/>
  <c r="AM78" i="30"/>
  <c r="BM60" i="6"/>
  <c r="W78" i="30"/>
  <c r="AP77" i="30"/>
  <c r="AN79" i="30"/>
  <c r="AO157" i="30"/>
  <c r="AM158" i="30" l="1"/>
  <c r="AM61" i="33" s="1"/>
  <c r="W158" i="30"/>
  <c r="W61" i="33" s="1"/>
  <c r="CG78" i="30"/>
  <c r="BB181" i="6"/>
  <c r="BA123" i="30"/>
  <c r="AQ77" i="30"/>
  <c r="BM78" i="30"/>
  <c r="BM158" i="30" s="1"/>
  <c r="BM61" i="33" s="1"/>
  <c r="AO79" i="30"/>
  <c r="AP157" i="30"/>
  <c r="AN78" i="30"/>
  <c r="AN158" i="30" l="1"/>
  <c r="AN61" i="33" s="1"/>
  <c r="CG158" i="30"/>
  <c r="CJ78" i="30"/>
  <c r="CJ158" i="30"/>
  <c r="BB192" i="6"/>
  <c r="AQ157" i="30"/>
  <c r="AO78" i="30"/>
  <c r="AP79" i="30"/>
  <c r="AR77" i="30"/>
  <c r="AO158" i="30" l="1"/>
  <c r="AO61" i="33" s="1"/>
  <c r="BC181" i="6"/>
  <c r="BB123" i="30"/>
  <c r="AS77" i="30"/>
  <c r="AQ79" i="30"/>
  <c r="AP78" i="30"/>
  <c r="AR157" i="30"/>
  <c r="AP158" i="30" l="1"/>
  <c r="AP61" i="33" s="1"/>
  <c r="BC192" i="6"/>
  <c r="AQ78" i="30"/>
  <c r="AR79" i="30"/>
  <c r="AS157" i="30"/>
  <c r="AT77" i="30"/>
  <c r="AQ158" i="30" l="1"/>
  <c r="AQ61" i="33" s="1"/>
  <c r="BC123" i="30"/>
  <c r="BD181" i="6"/>
  <c r="AS79" i="30"/>
  <c r="AT157" i="30"/>
  <c r="AU77" i="30"/>
  <c r="AR78" i="30"/>
  <c r="AR158" i="30" l="1"/>
  <c r="AR61" i="33" s="1"/>
  <c r="BD192" i="6"/>
  <c r="AV77" i="30"/>
  <c r="AS78" i="30"/>
  <c r="AU157" i="30"/>
  <c r="AT79" i="30"/>
  <c r="AS158" i="30" l="1"/>
  <c r="AS61" i="33" s="1"/>
  <c r="BE181" i="6"/>
  <c r="BD123" i="30"/>
  <c r="AT78" i="30"/>
  <c r="AU79" i="30"/>
  <c r="AW77" i="30"/>
  <c r="AV157" i="30"/>
  <c r="AT158" i="30" l="1"/>
  <c r="AT61" i="33" s="1"/>
  <c r="BE192" i="6"/>
  <c r="AW157" i="30"/>
  <c r="AV79" i="30"/>
  <c r="X56" i="6"/>
  <c r="AX77" i="30"/>
  <c r="AU78" i="30"/>
  <c r="AU158" i="30" l="1"/>
  <c r="AU61" i="33" s="1"/>
  <c r="BE123" i="30"/>
  <c r="BF181" i="6"/>
  <c r="AV78" i="30"/>
  <c r="X77" i="30"/>
  <c r="BN56" i="6"/>
  <c r="AW79" i="30"/>
  <c r="AX157" i="30"/>
  <c r="AY77" i="30"/>
  <c r="AV158" i="30" l="1"/>
  <c r="AV61" i="33" s="1"/>
  <c r="CH77" i="30"/>
  <c r="BF192" i="6"/>
  <c r="AY157" i="30"/>
  <c r="AX79" i="30"/>
  <c r="X64" i="6"/>
  <c r="BN77" i="30"/>
  <c r="CK77" i="30" s="1"/>
  <c r="AW78" i="30"/>
  <c r="AZ77" i="30"/>
  <c r="X157" i="30"/>
  <c r="AW158" i="30" l="1"/>
  <c r="AW61" i="33" s="1"/>
  <c r="CH157" i="30"/>
  <c r="BN157" i="30"/>
  <c r="CK157" i="30" s="1"/>
  <c r="BF123" i="30"/>
  <c r="BG181" i="6"/>
  <c r="AX78" i="30"/>
  <c r="X60" i="6"/>
  <c r="AY79" i="30"/>
  <c r="X79" i="30"/>
  <c r="BN64" i="6"/>
  <c r="BA77" i="30"/>
  <c r="AZ157" i="30"/>
  <c r="AX158" i="30" l="1"/>
  <c r="AX61" i="33" s="1"/>
  <c r="CH79" i="30"/>
  <c r="BG192" i="6"/>
  <c r="BB77" i="30"/>
  <c r="BN79" i="30"/>
  <c r="CK79" i="30" s="1"/>
  <c r="BN60" i="6"/>
  <c r="X78" i="30"/>
  <c r="BA157" i="30"/>
  <c r="AZ79" i="30"/>
  <c r="AY78" i="30"/>
  <c r="AY158" i="30" l="1"/>
  <c r="AY61" i="33" s="1"/>
  <c r="X158" i="30"/>
  <c r="X61" i="33" s="1"/>
  <c r="CH78" i="30"/>
  <c r="BG123" i="30"/>
  <c r="BH181" i="6"/>
  <c r="AZ78" i="30"/>
  <c r="BA79" i="30"/>
  <c r="BN78" i="30"/>
  <c r="BN158" i="30" s="1"/>
  <c r="BN61" i="33" s="1"/>
  <c r="BC77" i="30"/>
  <c r="BB157" i="30"/>
  <c r="AZ158" i="30" l="1"/>
  <c r="AZ61" i="33" s="1"/>
  <c r="CH158" i="30"/>
  <c r="CK78" i="30"/>
  <c r="CK158" i="30"/>
  <c r="BH192" i="6"/>
  <c r="BD77" i="30"/>
  <c r="BC157" i="30"/>
  <c r="BA78" i="30"/>
  <c r="BB79" i="30"/>
  <c r="BA158" i="30" l="1"/>
  <c r="BA61" i="33" s="1"/>
  <c r="BH123" i="30"/>
  <c r="BI181" i="6"/>
  <c r="BC79" i="30"/>
  <c r="BE77" i="30"/>
  <c r="BB78" i="30"/>
  <c r="BD157" i="30"/>
  <c r="BB158" i="30" l="1"/>
  <c r="BB61" i="33" s="1"/>
  <c r="BI192" i="6"/>
  <c r="BC78" i="30"/>
  <c r="BD79" i="30"/>
  <c r="BF77" i="30"/>
  <c r="BE157" i="30"/>
  <c r="BC158" i="30" l="1"/>
  <c r="BC61" i="33" s="1"/>
  <c r="BJ181" i="6"/>
  <c r="BI123" i="30"/>
  <c r="BG77" i="30"/>
  <c r="BF157" i="30"/>
  <c r="BE79" i="30"/>
  <c r="BD78" i="30"/>
  <c r="BD158" i="30" l="1"/>
  <c r="BD61" i="33" s="1"/>
  <c r="BJ192" i="6"/>
  <c r="BE78" i="30"/>
  <c r="BG157" i="30"/>
  <c r="BF79" i="30"/>
  <c r="BH77" i="30"/>
  <c r="BE158" i="30" l="1"/>
  <c r="BE61" i="33" s="1"/>
  <c r="BJ123" i="30"/>
  <c r="CI123" i="30" s="1"/>
  <c r="CC123" i="30" s="1"/>
  <c r="A123" i="30" s="1" a="1"/>
  <c r="A123" i="30" s="1"/>
  <c r="BG79" i="30"/>
  <c r="BH157" i="30"/>
  <c r="BF78" i="30"/>
  <c r="BI77" i="30"/>
  <c r="BF158" i="30" l="1"/>
  <c r="BF61" i="33" s="1"/>
  <c r="BI157" i="30"/>
  <c r="BG78" i="30"/>
  <c r="BH79" i="30"/>
  <c r="BJ77" i="30"/>
  <c r="Y56" i="6"/>
  <c r="BG158" i="30" l="1"/>
  <c r="BG61" i="33" s="1"/>
  <c r="BO56" i="6"/>
  <c r="CF56" i="6" s="1"/>
  <c r="A56" i="6" s="1" a="1"/>
  <c r="A56" i="6" s="1"/>
  <c r="Y77" i="30"/>
  <c r="BJ157" i="30"/>
  <c r="BI79" i="30"/>
  <c r="BH78" i="30"/>
  <c r="BH158" i="30" l="1"/>
  <c r="BH61" i="33" s="1"/>
  <c r="CI77" i="30"/>
  <c r="CC77" i="30" s="1"/>
  <c r="Y157" i="30"/>
  <c r="BI78" i="30"/>
  <c r="BJ79" i="30"/>
  <c r="Y64" i="6"/>
  <c r="BO77" i="30"/>
  <c r="CL77" i="30" s="1"/>
  <c r="CD77" i="30" s="1"/>
  <c r="BI158" i="30" l="1"/>
  <c r="BI61" i="33" s="1"/>
  <c r="A77" i="30" a="1"/>
  <c r="A77" i="30" s="1"/>
  <c r="CI157" i="30"/>
  <c r="CC157" i="30" s="1"/>
  <c r="BO157" i="30"/>
  <c r="CL157" i="30" s="1"/>
  <c r="CD157" i="30" s="1"/>
  <c r="BP157" i="30"/>
  <c r="Y79" i="30"/>
  <c r="BO64" i="6"/>
  <c r="BJ78" i="30"/>
  <c r="Y60" i="6"/>
  <c r="BJ158" i="30" l="1"/>
  <c r="BJ61" i="33" s="1"/>
  <c r="CI79" i="30"/>
  <c r="CC79" i="30" s="1"/>
  <c r="CF64" i="6"/>
  <c r="A64" i="6" s="1" a="1"/>
  <c r="A64" i="6" s="1"/>
  <c r="BZ64" i="6"/>
  <c r="BO79" i="30"/>
  <c r="CL79" i="30" s="1"/>
  <c r="CD79" i="30" s="1"/>
  <c r="Y78" i="30"/>
  <c r="BO60" i="6"/>
  <c r="Y158" i="30" l="1"/>
  <c r="Y61" i="33" s="1"/>
  <c r="CI78" i="30"/>
  <c r="CC78" i="30" s="1"/>
  <c r="A79" i="30" a="1"/>
  <c r="A79" i="30" s="1"/>
  <c r="CF60" i="6"/>
  <c r="A60" i="6" s="1" a="1"/>
  <c r="A60" i="6" s="1"/>
  <c r="BZ60" i="6"/>
  <c r="BO78" i="30"/>
  <c r="CL78" i="30" s="1"/>
  <c r="CD78" i="30" s="1"/>
  <c r="CI158" i="30" l="1"/>
  <c r="CC158" i="30" s="1"/>
  <c r="A78" i="30" a="1"/>
  <c r="A78" i="30" s="1"/>
  <c r="BP158" i="30"/>
  <c r="BP61" i="33" s="1"/>
  <c r="BO158" i="30"/>
  <c r="BO61" i="33" l="1"/>
  <c r="CL158" i="30"/>
  <c r="CD158" i="30" s="1"/>
  <c r="V1084" i="9" l="1"/>
  <c r="V91" i="6" s="1"/>
  <c r="AA1084" i="9"/>
  <c r="AA91" i="6" s="1"/>
  <c r="BL1084" i="9"/>
  <c r="BL91" i="6" s="1"/>
  <c r="F1150" i="9"/>
  <c r="BQ1150" i="9" l="1"/>
  <c r="BS1150" i="9"/>
  <c r="BT1150" i="9"/>
  <c r="BW1150" i="9"/>
  <c r="BP1150" i="9"/>
  <c r="BV1150" i="9"/>
  <c r="BU1150" i="9"/>
  <c r="BR1150" i="9"/>
  <c r="AA89" i="30"/>
  <c r="BL89" i="30"/>
  <c r="V89" i="30"/>
  <c r="W63" i="16"/>
  <c r="W78" i="16" s="1"/>
  <c r="W79" i="16" s="1"/>
  <c r="AA87" i="35"/>
  <c r="BL87" i="35"/>
  <c r="V87" i="35"/>
  <c r="CF91" i="6"/>
  <c r="A91" i="6" s="1" a="1"/>
  <c r="A91" i="6" s="1"/>
  <c r="F54" i="9"/>
  <c r="CM89" i="30" l="1"/>
  <c r="CE89" i="30" s="1"/>
  <c r="A89" i="30" s="1" a="1"/>
  <c r="A89" i="30" s="1"/>
  <c r="BZ63" i="16"/>
  <c r="V991" i="9"/>
  <c r="BL52" i="9"/>
  <c r="V54" i="9"/>
  <c r="W48" i="9"/>
  <c r="V500" i="9"/>
  <c r="V1086" i="9" s="1"/>
  <c r="W52" i="9" l="1"/>
  <c r="AA48" i="9"/>
  <c r="AA52" i="9" s="1"/>
  <c r="V1087" i="9"/>
  <c r="V89" i="35"/>
  <c r="V100" i="6"/>
  <c r="BM48" i="9"/>
  <c r="BM431" i="9" s="1"/>
  <c r="W431" i="9"/>
  <c r="BL991" i="9"/>
  <c r="BL500" i="9"/>
  <c r="BL1086" i="9" s="1"/>
  <c r="BL54" i="9"/>
  <c r="BL48" i="9"/>
  <c r="BL431" i="9" s="1"/>
  <c r="V431" i="9"/>
  <c r="BM1150" i="9" l="1"/>
  <c r="V103" i="6"/>
  <c r="BL1087" i="9"/>
  <c r="BL89" i="35"/>
  <c r="BL100" i="6"/>
  <c r="AA431" i="9"/>
  <c r="BM188" i="9" l="1"/>
  <c r="BM283" i="9"/>
  <c r="BM93" i="9"/>
  <c r="BM321" i="9"/>
  <c r="BM416" i="9"/>
  <c r="BM359" i="9"/>
  <c r="BM226" i="9"/>
  <c r="BM150" i="9"/>
  <c r="BM245" i="9"/>
  <c r="BM169" i="9"/>
  <c r="BM131" i="9"/>
  <c r="BM302" i="9"/>
  <c r="BM264" i="9"/>
  <c r="BM340" i="9"/>
  <c r="BM112" i="9"/>
  <c r="BM397" i="9"/>
  <c r="BM74" i="9"/>
  <c r="BM207" i="9"/>
  <c r="BM378" i="9"/>
  <c r="V115" i="30"/>
  <c r="AA54" i="9"/>
  <c r="AA500" i="9"/>
  <c r="AA1086" i="9" s="1"/>
  <c r="AA991" i="9"/>
  <c r="AB48" i="9"/>
  <c r="AB52" i="9" s="1"/>
  <c r="BL103" i="6"/>
  <c r="BL115" i="30" s="1"/>
  <c r="AB54" i="9" l="1"/>
  <c r="CM115" i="30"/>
  <c r="CE115" i="30" s="1"/>
  <c r="AA89" i="35"/>
  <c r="AA1087" i="9"/>
  <c r="AA100" i="6"/>
  <c r="AB431" i="9"/>
  <c r="AA899" i="9"/>
  <c r="AA1062" i="9" l="1"/>
  <c r="AB500" i="9"/>
  <c r="AB1086" i="9" s="1"/>
  <c r="AB991" i="9"/>
  <c r="AB899" i="9" s="1"/>
  <c r="AC48" i="9"/>
  <c r="AA922" i="9"/>
  <c r="AC52" i="9" l="1"/>
  <c r="AC431" i="9"/>
  <c r="AB89" i="35"/>
  <c r="AB1087" i="9"/>
  <c r="AB100" i="6"/>
  <c r="AB922" i="9"/>
  <c r="AB1062" i="9" l="1"/>
  <c r="AC54" i="9"/>
  <c r="AC500" i="9"/>
  <c r="AC1086" i="9" s="1"/>
  <c r="AC991" i="9"/>
  <c r="AD48" i="9"/>
  <c r="AD52" i="9" l="1"/>
  <c r="AC899" i="9"/>
  <c r="AC1087" i="9"/>
  <c r="AC89" i="35"/>
  <c r="AC100" i="6"/>
  <c r="AD431" i="9"/>
  <c r="AC1062" i="9" l="1"/>
  <c r="AD54" i="9"/>
  <c r="AD500" i="9"/>
  <c r="AD1086" i="9" s="1"/>
  <c r="AD991" i="9"/>
  <c r="AD899" i="9" s="1"/>
  <c r="AE48" i="9"/>
  <c r="AC922" i="9"/>
  <c r="AE52" i="9" l="1"/>
  <c r="AD1087" i="9"/>
  <c r="AD89" i="35"/>
  <c r="AD100" i="6"/>
  <c r="AE431" i="9"/>
  <c r="AD1062" i="9" l="1"/>
  <c r="AD922" i="9"/>
  <c r="AE54" i="9"/>
  <c r="AE500" i="9"/>
  <c r="AE1086" i="9" s="1"/>
  <c r="AE991" i="9"/>
  <c r="AF48" i="9"/>
  <c r="AF52" i="9" l="1"/>
  <c r="AF431" i="9"/>
  <c r="AE899" i="9"/>
  <c r="AE89" i="35"/>
  <c r="AE1087" i="9"/>
  <c r="AE100" i="6"/>
  <c r="AF54" i="9" l="1"/>
  <c r="AF991" i="9"/>
  <c r="AF500" i="9"/>
  <c r="AF1086" i="9" s="1"/>
  <c r="AG48" i="9"/>
  <c r="AE1062" i="9"/>
  <c r="AE922" i="9"/>
  <c r="AG52" i="9" l="1"/>
  <c r="AF899" i="9"/>
  <c r="AG431" i="9"/>
  <c r="AF1087" i="9"/>
  <c r="AF89" i="35"/>
  <c r="AF100" i="6"/>
  <c r="AF1062" i="9" l="1"/>
  <c r="AF922" i="9"/>
  <c r="AG54" i="9"/>
  <c r="AG500" i="9"/>
  <c r="AG1086" i="9" s="1"/>
  <c r="AG991" i="9"/>
  <c r="AH48" i="9"/>
  <c r="AH52" i="9" l="1"/>
  <c r="AG1087" i="9"/>
  <c r="AG89" i="35"/>
  <c r="AG100" i="6"/>
  <c r="AH431" i="9"/>
  <c r="AG899" i="9"/>
  <c r="AH828" i="9" l="1"/>
  <c r="AH755" i="9"/>
  <c r="AH778" i="9"/>
  <c r="AH801" i="9" s="1"/>
  <c r="AH709" i="9"/>
  <c r="AH732" i="9" s="1"/>
  <c r="AH54" i="9"/>
  <c r="AH991" i="9"/>
  <c r="AH500" i="9"/>
  <c r="AH1086" i="9" s="1"/>
  <c r="AI48" i="9"/>
  <c r="AG922" i="9"/>
  <c r="AH1122" i="9" l="1"/>
  <c r="AI52" i="9"/>
  <c r="AH851" i="9"/>
  <c r="AH1116" i="9" s="1"/>
  <c r="AH89" i="35"/>
  <c r="AH1087" i="9"/>
  <c r="AH100" i="6"/>
  <c r="AH899" i="9"/>
  <c r="AG1062" i="9"/>
  <c r="AI431" i="9"/>
  <c r="AI686" i="9" s="1"/>
  <c r="AI709" i="9" s="1"/>
  <c r="AI732" i="9" s="1"/>
  <c r="AH1123" i="9" l="1"/>
  <c r="AH1146" i="9"/>
  <c r="AH1147" i="9" s="1"/>
  <c r="AH170" i="1" s="1"/>
  <c r="AH170" i="20" s="1"/>
  <c r="AH41" i="30" s="1"/>
  <c r="AH1117" i="9"/>
  <c r="AH195" i="30" s="1"/>
  <c r="AH83" i="33" s="1"/>
  <c r="AH41" i="6"/>
  <c r="AH51" i="30"/>
  <c r="AH874" i="9"/>
  <c r="AI54" i="9"/>
  <c r="AI991" i="9"/>
  <c r="AI500" i="9"/>
  <c r="AI1086" i="9" s="1"/>
  <c r="AJ48" i="9"/>
  <c r="AH922" i="9"/>
  <c r="AH173" i="1" l="1"/>
  <c r="AH175" i="1" s="1"/>
  <c r="AI755" i="9"/>
  <c r="AI778" i="9" s="1"/>
  <c r="AI801" i="9" s="1"/>
  <c r="AJ52" i="9"/>
  <c r="AH173" i="20"/>
  <c r="AI828" i="9"/>
  <c r="AH1062" i="9"/>
  <c r="AI1087" i="9"/>
  <c r="AI89" i="35"/>
  <c r="AI100" i="6"/>
  <c r="AI899" i="9"/>
  <c r="AI922" i="9" s="1"/>
  <c r="AJ431" i="9"/>
  <c r="AI1122" i="9" l="1"/>
  <c r="AH185" i="1"/>
  <c r="AH119" i="20"/>
  <c r="AH134" i="20" s="1"/>
  <c r="AH26" i="30" s="1"/>
  <c r="AI851" i="9"/>
  <c r="AJ686" i="9"/>
  <c r="AJ54" i="9"/>
  <c r="AJ500" i="9"/>
  <c r="AJ1086" i="9" s="1"/>
  <c r="AJ991" i="9"/>
  <c r="AK48" i="9"/>
  <c r="AI1062" i="9"/>
  <c r="AI1123" i="9" l="1"/>
  <c r="AI1146" i="9"/>
  <c r="AI1147" i="9" s="1"/>
  <c r="AI170" i="1" s="1"/>
  <c r="AI173" i="1" s="1"/>
  <c r="AK52" i="9"/>
  <c r="AH189" i="1"/>
  <c r="AI874" i="9"/>
  <c r="AJ709" i="9"/>
  <c r="AJ732" i="9" s="1"/>
  <c r="AJ1087" i="9"/>
  <c r="AJ89" i="35"/>
  <c r="AJ100" i="6"/>
  <c r="AJ899" i="9"/>
  <c r="AK431" i="9"/>
  <c r="AI170" i="20" l="1"/>
  <c r="AI41" i="30" s="1"/>
  <c r="AJ755" i="9"/>
  <c r="AJ778" i="9" s="1"/>
  <c r="AJ801" i="9" s="1"/>
  <c r="AI175" i="1"/>
  <c r="AH151" i="20"/>
  <c r="AI51" i="30"/>
  <c r="AI41" i="6"/>
  <c r="AJ828" i="9"/>
  <c r="AJ1062" i="9"/>
  <c r="AJ922" i="9"/>
  <c r="AK54" i="9"/>
  <c r="AK991" i="9"/>
  <c r="AK500" i="9"/>
  <c r="AK1086" i="9" s="1"/>
  <c r="AL48" i="9"/>
  <c r="AK686" i="9" l="1"/>
  <c r="AI173" i="20"/>
  <c r="AJ1122" i="9"/>
  <c r="AJ851" i="9"/>
  <c r="AL52" i="9"/>
  <c r="AH27" i="30"/>
  <c r="AH158" i="20"/>
  <c r="AI185" i="1"/>
  <c r="AI119" i="20"/>
  <c r="AI134" i="20" s="1"/>
  <c r="AI26" i="30" s="1"/>
  <c r="AJ874" i="9"/>
  <c r="AK899" i="9"/>
  <c r="AK922" i="9" s="1"/>
  <c r="AL431" i="9"/>
  <c r="AK89" i="35"/>
  <c r="AK1087" i="9"/>
  <c r="AK100" i="6"/>
  <c r="AH160" i="20" l="1"/>
  <c r="AH165" i="20" s="1"/>
  <c r="AH40" i="30" s="1"/>
  <c r="AH33" i="30"/>
  <c r="AH151" i="30" s="1"/>
  <c r="AH58" i="33" s="1"/>
  <c r="AH196" i="20"/>
  <c r="AJ1123" i="9"/>
  <c r="AJ1146" i="9"/>
  <c r="AJ1147" i="9" s="1"/>
  <c r="AJ170" i="1" s="1"/>
  <c r="AJ170" i="20" s="1"/>
  <c r="AJ173" i="20" s="1"/>
  <c r="AK755" i="9"/>
  <c r="AK778" i="9" s="1"/>
  <c r="AK801" i="9" s="1"/>
  <c r="AI189" i="1"/>
  <c r="AJ41" i="6"/>
  <c r="AJ51" i="30"/>
  <c r="AK828" i="9"/>
  <c r="AK709" i="9"/>
  <c r="AK732" i="9" s="1"/>
  <c r="AL54" i="9"/>
  <c r="AL991" i="9"/>
  <c r="AL500" i="9"/>
  <c r="AL1086" i="9" s="1"/>
  <c r="AM48" i="9"/>
  <c r="AK1062" i="9"/>
  <c r="AH175" i="20" l="1"/>
  <c r="AH185" i="20" s="1"/>
  <c r="AH232" i="6" s="1"/>
  <c r="AH193" i="20"/>
  <c r="AH199" i="20" s="1"/>
  <c r="AH191" i="30"/>
  <c r="AH78" i="33" s="1"/>
  <c r="AH176" i="30"/>
  <c r="AH66" i="33" s="1"/>
  <c r="AJ173" i="1"/>
  <c r="AJ175" i="1" s="1"/>
  <c r="AJ185" i="1" s="1"/>
  <c r="AJ41" i="30"/>
  <c r="AK1122" i="9"/>
  <c r="AM52" i="9"/>
  <c r="AJ119" i="20"/>
  <c r="AJ134" i="20" s="1"/>
  <c r="AJ26" i="30" s="1"/>
  <c r="AI151" i="20"/>
  <c r="AK51" i="30"/>
  <c r="AK41" i="6"/>
  <c r="AK851" i="9"/>
  <c r="AL1087" i="9"/>
  <c r="AL89" i="35"/>
  <c r="AL100" i="6"/>
  <c r="AL899" i="9"/>
  <c r="W899" i="9" s="1"/>
  <c r="AM431" i="9"/>
  <c r="AL686" i="9" l="1"/>
  <c r="AH189" i="20"/>
  <c r="AK1123" i="9"/>
  <c r="AK1146" i="9"/>
  <c r="AK1147" i="9" s="1"/>
  <c r="AK170" i="1" s="1"/>
  <c r="AK170" i="20" s="1"/>
  <c r="AK41" i="30" s="1"/>
  <c r="AI158" i="20"/>
  <c r="AI27" i="30"/>
  <c r="AJ189" i="1"/>
  <c r="AK874" i="9"/>
  <c r="AL922" i="9"/>
  <c r="W922" i="9" s="1"/>
  <c r="AM54" i="9"/>
  <c r="AM500" i="9"/>
  <c r="AM1086" i="9" s="1"/>
  <c r="AM991" i="9"/>
  <c r="AN48" i="9"/>
  <c r="AI160" i="20" l="1"/>
  <c r="AI165" i="20" s="1"/>
  <c r="AI40" i="30" s="1"/>
  <c r="AI196" i="20"/>
  <c r="AI33" i="30"/>
  <c r="AI151" i="30" s="1"/>
  <c r="AI58" i="33" s="1"/>
  <c r="AK173" i="20"/>
  <c r="AK173" i="1"/>
  <c r="AK175" i="1" s="1"/>
  <c r="AK185" i="1" s="1"/>
  <c r="AL709" i="9"/>
  <c r="AL732" i="9" s="1"/>
  <c r="AN52" i="9"/>
  <c r="AK119" i="20"/>
  <c r="AK134" i="20" s="1"/>
  <c r="AK26" i="30" s="1"/>
  <c r="AJ151" i="20"/>
  <c r="AL755" i="9"/>
  <c r="AL778" i="9" s="1"/>
  <c r="AL801" i="9" s="1"/>
  <c r="AL828" i="9"/>
  <c r="AN431" i="9"/>
  <c r="AL1062" i="9"/>
  <c r="AM899" i="9"/>
  <c r="AM89" i="35"/>
  <c r="AM1087" i="9"/>
  <c r="AM100" i="6"/>
  <c r="AM686" i="9" l="1"/>
  <c r="AM828" i="9" s="1"/>
  <c r="W732" i="9"/>
  <c r="AI175" i="20"/>
  <c r="AI185" i="20" s="1"/>
  <c r="AI189" i="20" s="1"/>
  <c r="AI193" i="20"/>
  <c r="AI199" i="20" s="1"/>
  <c r="AI191" i="30"/>
  <c r="AI78" i="33" s="1"/>
  <c r="AI176" i="30"/>
  <c r="AI66" i="33" s="1"/>
  <c r="AL1122" i="9"/>
  <c r="W801" i="9"/>
  <c r="AJ158" i="20"/>
  <c r="AJ27" i="30"/>
  <c r="AK189" i="1"/>
  <c r="AL41" i="6"/>
  <c r="AL51" i="30"/>
  <c r="AL874" i="9"/>
  <c r="AL851" i="9"/>
  <c r="AM922" i="9"/>
  <c r="AM709" i="9"/>
  <c r="AM732" i="9" s="1"/>
  <c r="AN54" i="9"/>
  <c r="AN500" i="9"/>
  <c r="AN1086" i="9" s="1"/>
  <c r="AN991" i="9"/>
  <c r="AO48" i="9"/>
  <c r="AM755" i="9" l="1"/>
  <c r="AM778" i="9" s="1"/>
  <c r="AI232" i="6"/>
  <c r="AJ160" i="20"/>
  <c r="AJ165" i="20" s="1"/>
  <c r="AJ40" i="30" s="1"/>
  <c r="AJ33" i="30"/>
  <c r="AJ151" i="30" s="1"/>
  <c r="AJ58" i="33" s="1"/>
  <c r="AJ196" i="20"/>
  <c r="AL1123" i="9"/>
  <c r="AL1146" i="9"/>
  <c r="AL1147" i="9" s="1"/>
  <c r="AL170" i="1" s="1"/>
  <c r="AM1122" i="9"/>
  <c r="AO52" i="9"/>
  <c r="AK151" i="20"/>
  <c r="AM1062" i="9"/>
  <c r="AN686" i="9"/>
  <c r="AN89" i="35"/>
  <c r="AN1087" i="9"/>
  <c r="AN100" i="6"/>
  <c r="AO431" i="9"/>
  <c r="AN899" i="9"/>
  <c r="AJ175" i="20" l="1"/>
  <c r="AJ185" i="20" s="1"/>
  <c r="AJ189" i="20" s="1"/>
  <c r="AJ193" i="20"/>
  <c r="AJ199" i="20" s="1"/>
  <c r="AJ191" i="30"/>
  <c r="AJ78" i="33" s="1"/>
  <c r="AJ176" i="30"/>
  <c r="AJ66" i="33" s="1"/>
  <c r="AM1123" i="9"/>
  <c r="AM1146" i="9"/>
  <c r="AM1147" i="9" s="1"/>
  <c r="AM170" i="1" s="1"/>
  <c r="AM173" i="1" s="1"/>
  <c r="AL170" i="20"/>
  <c r="AL173" i="1"/>
  <c r="AL175" i="1" s="1"/>
  <c r="AL185" i="1" s="1"/>
  <c r="AM851" i="9"/>
  <c r="AA1014" i="9" s="1"/>
  <c r="AM801" i="9"/>
  <c r="AK27" i="30"/>
  <c r="AK158" i="20"/>
  <c r="AL119" i="20"/>
  <c r="AL134" i="20" s="1"/>
  <c r="AL26" i="30" s="1"/>
  <c r="AN922" i="9"/>
  <c r="AO54" i="9"/>
  <c r="AO500" i="9"/>
  <c r="AO1086" i="9" s="1"/>
  <c r="AO991" i="9"/>
  <c r="AP48" i="9"/>
  <c r="AA1037" i="9" l="1"/>
  <c r="AA1060" i="9" s="1"/>
  <c r="AJ232" i="6"/>
  <c r="AK160" i="20"/>
  <c r="AK165" i="20" s="1"/>
  <c r="AK40" i="30" s="1"/>
  <c r="AK33" i="30"/>
  <c r="AK151" i="30" s="1"/>
  <c r="AK58" i="33" s="1"/>
  <c r="AK196" i="20"/>
  <c r="AM170" i="20"/>
  <c r="AM41" i="30" s="1"/>
  <c r="AL173" i="20"/>
  <c r="AL41" i="30"/>
  <c r="AP52" i="9"/>
  <c r="AM175" i="1"/>
  <c r="AL189" i="1"/>
  <c r="AM51" i="30"/>
  <c r="AM41" i="6"/>
  <c r="AM874" i="9"/>
  <c r="AN755" i="9"/>
  <c r="AN1062" i="9"/>
  <c r="AN828" i="9"/>
  <c r="AN709" i="9"/>
  <c r="AN732" i="9" s="1"/>
  <c r="AO899" i="9"/>
  <c r="AO1087" i="9"/>
  <c r="AO89" i="35"/>
  <c r="AO100" i="6"/>
  <c r="AP431" i="9"/>
  <c r="AK175" i="20" l="1"/>
  <c r="AK185" i="20" s="1"/>
  <c r="AK232" i="6" s="1"/>
  <c r="AK193" i="20"/>
  <c r="AK199" i="20" s="1"/>
  <c r="AK191" i="30"/>
  <c r="AK78" i="33" s="1"/>
  <c r="AK176" i="30"/>
  <c r="AK66" i="33" s="1"/>
  <c r="AM173" i="20"/>
  <c r="AL151" i="20"/>
  <c r="AM185" i="1"/>
  <c r="AM119" i="20"/>
  <c r="AM134" i="20" s="1"/>
  <c r="AM26" i="30" s="1"/>
  <c r="AN41" i="6"/>
  <c r="AN51" i="30"/>
  <c r="AN778" i="9"/>
  <c r="AN801" i="9" s="1"/>
  <c r="AO686" i="9"/>
  <c r="AO1062" i="9"/>
  <c r="AP54" i="9"/>
  <c r="AP991" i="9"/>
  <c r="AP500" i="9"/>
  <c r="AP1086" i="9" s="1"/>
  <c r="AQ48" i="9"/>
  <c r="AO922" i="9"/>
  <c r="AK189" i="20" l="1"/>
  <c r="AQ52" i="9"/>
  <c r="AL158" i="20"/>
  <c r="AL27" i="30"/>
  <c r="AM189" i="1"/>
  <c r="AN851" i="9"/>
  <c r="AB1014" i="9" s="1"/>
  <c r="AN874" i="9"/>
  <c r="AP899" i="9"/>
  <c r="AP89" i="35"/>
  <c r="AP1087" i="9"/>
  <c r="AP100" i="6"/>
  <c r="AQ431" i="9"/>
  <c r="AL160" i="20" l="1"/>
  <c r="AL165" i="20" s="1"/>
  <c r="AL40" i="30" s="1"/>
  <c r="AL196" i="20"/>
  <c r="AL33" i="30"/>
  <c r="AL151" i="30" s="1"/>
  <c r="AL58" i="33" s="1"/>
  <c r="AO755" i="9"/>
  <c r="AM151" i="20"/>
  <c r="AN119" i="20"/>
  <c r="AN134" i="20" s="1"/>
  <c r="AN26" i="30" s="1"/>
  <c r="AB1037" i="9"/>
  <c r="AB1060" i="9" s="1"/>
  <c r="AO709" i="9"/>
  <c r="AO732" i="9" s="1"/>
  <c r="AO828" i="9"/>
  <c r="AP1062" i="9"/>
  <c r="AQ54" i="9"/>
  <c r="AQ500" i="9"/>
  <c r="AQ1086" i="9" s="1"/>
  <c r="AQ991" i="9"/>
  <c r="AR48" i="9"/>
  <c r="AP922" i="9"/>
  <c r="AL193" i="20" l="1"/>
  <c r="AL199" i="20" s="1"/>
  <c r="AL175" i="20"/>
  <c r="AL185" i="20" s="1"/>
  <c r="AL189" i="20" s="1"/>
  <c r="AL191" i="30"/>
  <c r="AL78" i="33" s="1"/>
  <c r="AL176" i="30"/>
  <c r="AL66" i="33" s="1"/>
  <c r="AR52" i="9"/>
  <c r="AM27" i="30"/>
  <c r="AM158" i="20"/>
  <c r="AO778" i="9"/>
  <c r="AO801" i="9" s="1"/>
  <c r="AP686" i="9"/>
  <c r="AR431" i="9"/>
  <c r="AQ899" i="9"/>
  <c r="AQ922" i="9" s="1"/>
  <c r="AQ1087" i="9"/>
  <c r="AQ89" i="35"/>
  <c r="AQ100" i="6"/>
  <c r="AL232" i="6" l="1"/>
  <c r="AM160" i="20"/>
  <c r="AM165" i="20" s="1"/>
  <c r="AM40" i="30" s="1"/>
  <c r="AM196" i="20"/>
  <c r="AM33" i="30"/>
  <c r="AM151" i="30" s="1"/>
  <c r="AM58" i="33" s="1"/>
  <c r="AN151" i="20"/>
  <c r="AO851" i="9"/>
  <c r="AO874" i="9"/>
  <c r="AR54" i="9"/>
  <c r="AR991" i="9"/>
  <c r="AR500" i="9"/>
  <c r="AR1086" i="9" s="1"/>
  <c r="AS48" i="9"/>
  <c r="AQ1062" i="9"/>
  <c r="AM175" i="20" l="1"/>
  <c r="AM185" i="20" s="1"/>
  <c r="AM189" i="20" s="1"/>
  <c r="AM193" i="20"/>
  <c r="AM199" i="20" s="1"/>
  <c r="AM191" i="30"/>
  <c r="AM78" i="33" s="1"/>
  <c r="AM176" i="30"/>
  <c r="AM66" i="33" s="1"/>
  <c r="AC1014" i="9"/>
  <c r="AC1037" i="9" s="1"/>
  <c r="AC1060" i="9" s="1"/>
  <c r="AP828" i="9"/>
  <c r="AS52" i="9"/>
  <c r="AN158" i="20"/>
  <c r="AN27" i="30"/>
  <c r="AP709" i="9"/>
  <c r="AP51" i="30"/>
  <c r="AP41" i="6"/>
  <c r="AP755" i="9"/>
  <c r="AP778" i="9" s="1"/>
  <c r="AP801" i="9" s="1"/>
  <c r="AR89" i="35"/>
  <c r="AR1087" i="9"/>
  <c r="AR100" i="6"/>
  <c r="AR899" i="9"/>
  <c r="AS431" i="9"/>
  <c r="AP732" i="9" l="1"/>
  <c r="AQ686" i="9" s="1"/>
  <c r="AM232" i="6"/>
  <c r="AN160" i="20"/>
  <c r="AN165" i="20" s="1"/>
  <c r="AN40" i="30" s="1"/>
  <c r="AN191" i="30" s="1"/>
  <c r="AN78" i="33" s="1"/>
  <c r="AN196" i="20"/>
  <c r="AN33" i="30"/>
  <c r="AN151" i="30" s="1"/>
  <c r="AN58" i="33" s="1"/>
  <c r="AO41" i="6"/>
  <c r="AO51" i="30"/>
  <c r="AP851" i="9"/>
  <c r="AP874" i="9"/>
  <c r="AR1062" i="9"/>
  <c r="AR922" i="9"/>
  <c r="AS54" i="9"/>
  <c r="AS991" i="9"/>
  <c r="AS500" i="9"/>
  <c r="AS1086" i="9" s="1"/>
  <c r="AT48" i="9"/>
  <c r="AN193" i="20" l="1"/>
  <c r="AN199" i="20" s="1"/>
  <c r="AQ755" i="9"/>
  <c r="AT52" i="9"/>
  <c r="AP119" i="20"/>
  <c r="AP134" i="20" s="1"/>
  <c r="AP26" i="30" s="1"/>
  <c r="AO119" i="20"/>
  <c r="AO134" i="20" s="1"/>
  <c r="AO26" i="30" s="1"/>
  <c r="AD1014" i="9"/>
  <c r="AD1037" i="9" s="1"/>
  <c r="AD1060" i="9" s="1"/>
  <c r="AQ828" i="9"/>
  <c r="AQ709" i="9"/>
  <c r="AQ732" i="9" s="1"/>
  <c r="AS1087" i="9"/>
  <c r="AS89" i="35"/>
  <c r="AS100" i="6"/>
  <c r="AT431" i="9"/>
  <c r="AS899" i="9"/>
  <c r="AQ778" i="9" l="1"/>
  <c r="AQ801" i="9" s="1"/>
  <c r="AR686" i="9"/>
  <c r="AS1062" i="9"/>
  <c r="AS922" i="9"/>
  <c r="AT54" i="9"/>
  <c r="AT500" i="9"/>
  <c r="AT1086" i="9" s="1"/>
  <c r="AT991" i="9"/>
  <c r="AU48" i="9"/>
  <c r="AU52" i="9" l="1"/>
  <c r="AP151" i="20"/>
  <c r="AO151" i="20"/>
  <c r="AQ51" i="30"/>
  <c r="AQ41" i="6"/>
  <c r="AQ851" i="9"/>
  <c r="AQ874" i="9"/>
  <c r="AT899" i="9"/>
  <c r="AT89" i="35"/>
  <c r="AT1087" i="9"/>
  <c r="AT100" i="6"/>
  <c r="AU431" i="9"/>
  <c r="AR828" i="9" l="1"/>
  <c r="AP27" i="30"/>
  <c r="AP158" i="20"/>
  <c r="AO158" i="20"/>
  <c r="AO27" i="30"/>
  <c r="AQ119" i="20"/>
  <c r="AQ134" i="20" s="1"/>
  <c r="AQ26" i="30" s="1"/>
  <c r="AE1014" i="9"/>
  <c r="AE1037" i="9" s="1"/>
  <c r="AE1060" i="9" s="1"/>
  <c r="AR755" i="9"/>
  <c r="AR778" i="9" s="1"/>
  <c r="AR801" i="9" s="1"/>
  <c r="AR709" i="9"/>
  <c r="AU54" i="9"/>
  <c r="AU500" i="9"/>
  <c r="AU1086" i="9" s="1"/>
  <c r="AU991" i="9"/>
  <c r="AV48" i="9"/>
  <c r="AT1062" i="9"/>
  <c r="AT922" i="9"/>
  <c r="AR732" i="9" l="1"/>
  <c r="AS686" i="9" s="1"/>
  <c r="AP160" i="20"/>
  <c r="AP165" i="20" s="1"/>
  <c r="AP40" i="30" s="1"/>
  <c r="AP191" i="30" s="1"/>
  <c r="AP78" i="33" s="1"/>
  <c r="AP33" i="30"/>
  <c r="AP151" i="30" s="1"/>
  <c r="AP58" i="33" s="1"/>
  <c r="AP196" i="20"/>
  <c r="AO160" i="20"/>
  <c r="AO165" i="20" s="1"/>
  <c r="AO40" i="30" s="1"/>
  <c r="AO191" i="30" s="1"/>
  <c r="AO78" i="33" s="1"/>
  <c r="AO33" i="30"/>
  <c r="AO151" i="30" s="1"/>
  <c r="AO58" i="33" s="1"/>
  <c r="AO196" i="20"/>
  <c r="AV52" i="9"/>
  <c r="AR41" i="6"/>
  <c r="AR51" i="30"/>
  <c r="AR851" i="9"/>
  <c r="AU899" i="9"/>
  <c r="AU922" i="9" s="1"/>
  <c r="AU89" i="35"/>
  <c r="AU1087" i="9"/>
  <c r="AU100" i="6"/>
  <c r="AV431" i="9"/>
  <c r="AS709" i="9" l="1"/>
  <c r="AS828" i="9"/>
  <c r="AO193" i="20"/>
  <c r="AO199" i="20" s="1"/>
  <c r="AP193" i="20"/>
  <c r="AP199" i="20" s="1"/>
  <c r="AQ151" i="20"/>
  <c r="AR119" i="20"/>
  <c r="AR134" i="20" s="1"/>
  <c r="AR26" i="30" s="1"/>
  <c r="AR874" i="9"/>
  <c r="AS755" i="9"/>
  <c r="AS778" i="9" s="1"/>
  <c r="AF1014" i="9"/>
  <c r="AF1037" i="9" s="1"/>
  <c r="AF1060" i="9" s="1"/>
  <c r="AU1062" i="9"/>
  <c r="AV54" i="9"/>
  <c r="AV991" i="9"/>
  <c r="AV500" i="9"/>
  <c r="AV1086" i="9" s="1"/>
  <c r="AW48" i="9"/>
  <c r="AS732" i="9" l="1"/>
  <c r="AT686" i="9" s="1"/>
  <c r="AS851" i="9"/>
  <c r="AS801" i="9"/>
  <c r="AW52" i="9"/>
  <c r="AQ158" i="20"/>
  <c r="AQ27" i="30"/>
  <c r="AS51" i="30"/>
  <c r="AS41" i="6"/>
  <c r="AV899" i="9"/>
  <c r="AW431" i="9"/>
  <c r="AV1087" i="9"/>
  <c r="AV89" i="35"/>
  <c r="AV100" i="6"/>
  <c r="AT709" i="9" l="1"/>
  <c r="AT732" i="9" s="1"/>
  <c r="AU686" i="9" s="1"/>
  <c r="AT828" i="9"/>
  <c r="AQ160" i="20"/>
  <c r="AQ165" i="20" s="1"/>
  <c r="AQ40" i="30" s="1"/>
  <c r="AQ191" i="30" s="1"/>
  <c r="AQ78" i="33" s="1"/>
  <c r="AQ33" i="30"/>
  <c r="AQ151" i="30" s="1"/>
  <c r="AQ58" i="33" s="1"/>
  <c r="AQ196" i="20"/>
  <c r="AG1014" i="9"/>
  <c r="AG1037" i="9" s="1"/>
  <c r="AG1060" i="9" s="1"/>
  <c r="AR151" i="20"/>
  <c r="AS119" i="20"/>
  <c r="AS134" i="20" s="1"/>
  <c r="AS26" i="30" s="1"/>
  <c r="AT51" i="30"/>
  <c r="AT41" i="6"/>
  <c r="AT755" i="9"/>
  <c r="AT778" i="9" s="1"/>
  <c r="AT801" i="9" s="1"/>
  <c r="AS874" i="9"/>
  <c r="AW54" i="9"/>
  <c r="AW500" i="9"/>
  <c r="AW1086" i="9" s="1"/>
  <c r="AW991" i="9"/>
  <c r="AX48" i="9"/>
  <c r="AV1062" i="9"/>
  <c r="AV922" i="9"/>
  <c r="AQ193" i="20" l="1"/>
  <c r="AQ199" i="20" s="1"/>
  <c r="AU709" i="9"/>
  <c r="AU732" i="9" s="1"/>
  <c r="AX52" i="9"/>
  <c r="AR158" i="20"/>
  <c r="AR27" i="30"/>
  <c r="AT119" i="20"/>
  <c r="AT134" i="20" s="1"/>
  <c r="AT26" i="30" s="1"/>
  <c r="AU828" i="9"/>
  <c r="AU755" i="9"/>
  <c r="AT851" i="9"/>
  <c r="AW899" i="9"/>
  <c r="AW1087" i="9"/>
  <c r="AW89" i="35"/>
  <c r="AW100" i="6"/>
  <c r="AX431" i="9"/>
  <c r="AV686" i="9" l="1"/>
  <c r="AV709" i="9" s="1"/>
  <c r="AV732" i="9" s="1"/>
  <c r="AR160" i="20"/>
  <c r="AR165" i="20" s="1"/>
  <c r="AR40" i="30" s="1"/>
  <c r="AR191" i="30" s="1"/>
  <c r="AR78" i="33" s="1"/>
  <c r="AR196" i="20"/>
  <c r="AR33" i="30"/>
  <c r="AR151" i="30" s="1"/>
  <c r="AR58" i="33" s="1"/>
  <c r="AS151" i="20"/>
  <c r="AV41" i="6"/>
  <c r="AV51" i="30"/>
  <c r="AU41" i="6"/>
  <c r="AU51" i="30"/>
  <c r="AH1014" i="9"/>
  <c r="AT874" i="9"/>
  <c r="AU778" i="9"/>
  <c r="AW1062" i="9"/>
  <c r="AW922" i="9"/>
  <c r="AX54" i="9"/>
  <c r="AX500" i="9"/>
  <c r="AX1086" i="9" s="1"/>
  <c r="AX991" i="9"/>
  <c r="AY48" i="9"/>
  <c r="AV828" i="9" l="1"/>
  <c r="AW686" i="9"/>
  <c r="AW709" i="9" s="1"/>
  <c r="AR193" i="20"/>
  <c r="AR199" i="20" s="1"/>
  <c r="AU851" i="9"/>
  <c r="AI1014" i="9" s="1"/>
  <c r="AI1037" i="9" s="1"/>
  <c r="AI1060" i="9" s="1"/>
  <c r="AU801" i="9"/>
  <c r="AV755" i="9" s="1"/>
  <c r="AY52" i="9"/>
  <c r="AS27" i="30"/>
  <c r="AS158" i="20"/>
  <c r="AT151" i="20"/>
  <c r="AV119" i="20"/>
  <c r="AV134" i="20" s="1"/>
  <c r="AV26" i="30" s="1"/>
  <c r="AW51" i="30"/>
  <c r="AW41" i="6"/>
  <c r="AH1037" i="9"/>
  <c r="AX899" i="9"/>
  <c r="AY431" i="9"/>
  <c r="AX89" i="35"/>
  <c r="AX1087" i="9"/>
  <c r="AX100" i="6"/>
  <c r="AW732" i="9" l="1"/>
  <c r="AX686" i="9" s="1"/>
  <c r="AW828" i="9"/>
  <c r="AS160" i="20"/>
  <c r="AS165" i="20" s="1"/>
  <c r="AS40" i="30" s="1"/>
  <c r="AS191" i="30" s="1"/>
  <c r="AS78" i="33" s="1"/>
  <c r="AS33" i="30"/>
  <c r="AS151" i="30" s="1"/>
  <c r="AS58" i="33" s="1"/>
  <c r="AS196" i="20"/>
  <c r="AT158" i="20"/>
  <c r="AT27" i="30"/>
  <c r="AU119" i="20"/>
  <c r="AU134" i="20" s="1"/>
  <c r="AU26" i="30" s="1"/>
  <c r="AW119" i="20"/>
  <c r="AW134" i="20" s="1"/>
  <c r="AW26" i="30" s="1"/>
  <c r="AX51" i="30"/>
  <c r="AX41" i="6"/>
  <c r="BM899" i="9"/>
  <c r="AH1060" i="9"/>
  <c r="AU874" i="9"/>
  <c r="AV778" i="9"/>
  <c r="AY54" i="9"/>
  <c r="AY500" i="9"/>
  <c r="AY1086" i="9" s="1"/>
  <c r="AY991" i="9"/>
  <c r="AZ48" i="9"/>
  <c r="AX922" i="9"/>
  <c r="AX828" i="9" l="1"/>
  <c r="AX709" i="9"/>
  <c r="AS193" i="20"/>
  <c r="AS199" i="20" s="1"/>
  <c r="AT160" i="20"/>
  <c r="AT165" i="20" s="1"/>
  <c r="AT40" i="30" s="1"/>
  <c r="AT191" i="30" s="1"/>
  <c r="AT78" i="33" s="1"/>
  <c r="AT196" i="20"/>
  <c r="AT33" i="30"/>
  <c r="AT151" i="30" s="1"/>
  <c r="AT58" i="33" s="1"/>
  <c r="AV851" i="9"/>
  <c r="AV801" i="9"/>
  <c r="AW755" i="9" s="1"/>
  <c r="AZ52" i="9"/>
  <c r="AV151" i="20"/>
  <c r="AY51" i="30"/>
  <c r="AY41" i="6"/>
  <c r="BM922" i="9"/>
  <c r="W1039" i="9"/>
  <c r="BM1039" i="9" s="1"/>
  <c r="AZ431" i="9"/>
  <c r="AY899" i="9"/>
  <c r="AY922" i="9" s="1"/>
  <c r="AX1062" i="9"/>
  <c r="AY89" i="35"/>
  <c r="AY1087" i="9"/>
  <c r="AY100" i="6"/>
  <c r="AX732" i="9" l="1"/>
  <c r="AY686" i="9" s="1"/>
  <c r="AT193" i="20"/>
  <c r="AT199" i="20" s="1"/>
  <c r="AJ1014" i="9"/>
  <c r="AJ1037" i="9" s="1"/>
  <c r="AJ1060" i="9" s="1"/>
  <c r="AV27" i="30"/>
  <c r="AV158" i="20"/>
  <c r="AW151" i="20"/>
  <c r="AX119" i="20"/>
  <c r="AX134" i="20" s="1"/>
  <c r="AX26" i="30" s="1"/>
  <c r="AU151" i="20"/>
  <c r="W1062" i="9"/>
  <c r="AV874" i="9"/>
  <c r="AW778" i="9"/>
  <c r="AZ54" i="9"/>
  <c r="AZ500" i="9"/>
  <c r="AZ1086" i="9" s="1"/>
  <c r="AZ991" i="9"/>
  <c r="BA48" i="9"/>
  <c r="AY1062" i="9"/>
  <c r="AY828" i="9" l="1"/>
  <c r="AY709" i="9"/>
  <c r="AV160" i="20"/>
  <c r="AV165" i="20" s="1"/>
  <c r="AV40" i="30" s="1"/>
  <c r="AV191" i="30" s="1"/>
  <c r="AV78" i="33" s="1"/>
  <c r="AV196" i="20"/>
  <c r="AV33" i="30"/>
  <c r="AV151" i="30" s="1"/>
  <c r="AV58" i="33" s="1"/>
  <c r="BM1062" i="9"/>
  <c r="AW851" i="9"/>
  <c r="AW801" i="9"/>
  <c r="AX755" i="9" s="1"/>
  <c r="BA52" i="9"/>
  <c r="AU27" i="30"/>
  <c r="AU158" i="20"/>
  <c r="AY119" i="20"/>
  <c r="AY134" i="20" s="1"/>
  <c r="AY26" i="30" s="1"/>
  <c r="AW27" i="30"/>
  <c r="AW158" i="20"/>
  <c r="AZ1087" i="9"/>
  <c r="AZ89" i="35"/>
  <c r="AZ100" i="6"/>
  <c r="BA431" i="9"/>
  <c r="AZ899" i="9"/>
  <c r="AZ922" i="9" s="1"/>
  <c r="AY732" i="9" l="1"/>
  <c r="AZ686" i="9" s="1"/>
  <c r="AV193" i="20"/>
  <c r="AV199" i="20" s="1"/>
  <c r="AW160" i="20"/>
  <c r="AW165" i="20" s="1"/>
  <c r="AW40" i="30" s="1"/>
  <c r="AW191" i="30" s="1"/>
  <c r="AW78" i="33" s="1"/>
  <c r="AW196" i="20"/>
  <c r="AW33" i="30"/>
  <c r="AW151" i="30" s="1"/>
  <c r="AW58" i="33" s="1"/>
  <c r="AU160" i="20"/>
  <c r="AU165" i="20" s="1"/>
  <c r="AU40" i="30" s="1"/>
  <c r="AU191" i="30" s="1"/>
  <c r="AU78" i="33" s="1"/>
  <c r="AU196" i="20"/>
  <c r="AU33" i="30"/>
  <c r="AU151" i="30" s="1"/>
  <c r="AU58" i="33" s="1"/>
  <c r="AK1014" i="9"/>
  <c r="AK1037" i="9" s="1"/>
  <c r="AK1060" i="9" s="1"/>
  <c r="AX151" i="20"/>
  <c r="AZ41" i="6"/>
  <c r="AZ51" i="30"/>
  <c r="AW874" i="9"/>
  <c r="AX778" i="9"/>
  <c r="BA54" i="9"/>
  <c r="BA991" i="9"/>
  <c r="BA500" i="9"/>
  <c r="BA1086" i="9" s="1"/>
  <c r="BB48" i="9"/>
  <c r="AZ1062" i="9"/>
  <c r="AZ828" i="9" l="1"/>
  <c r="AZ709" i="9"/>
  <c r="AZ732" i="9" s="1"/>
  <c r="BA686" i="9" s="1"/>
  <c r="BA709" i="9" s="1"/>
  <c r="AW193" i="20"/>
  <c r="AW199" i="20" s="1"/>
  <c r="AU193" i="20"/>
  <c r="AU199" i="20" s="1"/>
  <c r="AX851" i="9"/>
  <c r="AL1014" i="9" s="1"/>
  <c r="W1014" i="9" s="1"/>
  <c r="AX801" i="9"/>
  <c r="X801" i="9" s="1"/>
  <c r="BB52" i="9"/>
  <c r="AY151" i="20"/>
  <c r="AX27" i="30"/>
  <c r="AX158" i="20"/>
  <c r="BA899" i="9"/>
  <c r="BB431" i="9"/>
  <c r="BA89" i="35"/>
  <c r="BA1087" i="9"/>
  <c r="BA100" i="6"/>
  <c r="BA732" i="9" l="1"/>
  <c r="BB686" i="9" s="1"/>
  <c r="BA828" i="9"/>
  <c r="AX160" i="20"/>
  <c r="AX165" i="20" s="1"/>
  <c r="AX40" i="30" s="1"/>
  <c r="AX191" i="30" s="1"/>
  <c r="AX78" i="33" s="1"/>
  <c r="AX196" i="20"/>
  <c r="AX33" i="30"/>
  <c r="AX151" i="30" s="1"/>
  <c r="AX58" i="33" s="1"/>
  <c r="AY755" i="9"/>
  <c r="AY158" i="20"/>
  <c r="AY27" i="30"/>
  <c r="AZ119" i="20"/>
  <c r="AZ134" i="20" s="1"/>
  <c r="AZ26" i="30" s="1"/>
  <c r="AL1037" i="9"/>
  <c r="W1037" i="9" s="1"/>
  <c r="AX874" i="9"/>
  <c r="BA1062" i="9"/>
  <c r="BA922" i="9"/>
  <c r="BB54" i="9"/>
  <c r="BB991" i="9"/>
  <c r="BC48" i="9"/>
  <c r="BB500" i="9"/>
  <c r="BB1086" i="9" s="1"/>
  <c r="AX193" i="20" l="1"/>
  <c r="AX199" i="20" s="1"/>
  <c r="AY160" i="20"/>
  <c r="AY165" i="20" s="1"/>
  <c r="AY40" i="30" s="1"/>
  <c r="AY191" i="30" s="1"/>
  <c r="AY78" i="33" s="1"/>
  <c r="AY196" i="20"/>
  <c r="AY33" i="30"/>
  <c r="AY151" i="30" s="1"/>
  <c r="AY58" i="33" s="1"/>
  <c r="BC52" i="9"/>
  <c r="BA41" i="6"/>
  <c r="BA51" i="30"/>
  <c r="AY778" i="9"/>
  <c r="BB828" i="9"/>
  <c r="AL1060" i="9"/>
  <c r="BB709" i="9"/>
  <c r="BB899" i="9"/>
  <c r="BB1087" i="9"/>
  <c r="BB89" i="35"/>
  <c r="BB100" i="6"/>
  <c r="BC431" i="9"/>
  <c r="BB732" i="9" l="1"/>
  <c r="BC686" i="9" s="1"/>
  <c r="AY193" i="20"/>
  <c r="AY199" i="20" s="1"/>
  <c r="AY801" i="9"/>
  <c r="AZ755" i="9" s="1"/>
  <c r="AZ151" i="20"/>
  <c r="BA119" i="20"/>
  <c r="BA134" i="20" s="1"/>
  <c r="BA26" i="30" s="1"/>
  <c r="AY851" i="9"/>
  <c r="W1060" i="9"/>
  <c r="BC54" i="9"/>
  <c r="BC991" i="9"/>
  <c r="BC500" i="9"/>
  <c r="BC1086" i="9" s="1"/>
  <c r="BD48" i="9"/>
  <c r="BB1062" i="9"/>
  <c r="BB922" i="9"/>
  <c r="AY874" i="9" l="1"/>
  <c r="BD52" i="9"/>
  <c r="AZ158" i="20"/>
  <c r="AZ27" i="30"/>
  <c r="BB51" i="30"/>
  <c r="BB41" i="6"/>
  <c r="AM1014" i="9"/>
  <c r="AM1037" i="9" s="1"/>
  <c r="AZ778" i="9"/>
  <c r="BC828" i="9"/>
  <c r="BC709" i="9"/>
  <c r="BC89" i="35"/>
  <c r="BC1087" i="9"/>
  <c r="BC100" i="6"/>
  <c r="BC899" i="9"/>
  <c r="BD431" i="9"/>
  <c r="BC732" i="9" l="1"/>
  <c r="BD686" i="9" s="1"/>
  <c r="AZ160" i="20"/>
  <c r="AZ165" i="20" s="1"/>
  <c r="AZ40" i="30" s="1"/>
  <c r="AZ191" i="30" s="1"/>
  <c r="AZ78" i="33" s="1"/>
  <c r="AZ196" i="20"/>
  <c r="AZ33" i="30"/>
  <c r="AZ151" i="30" s="1"/>
  <c r="AZ58" i="33" s="1"/>
  <c r="AZ801" i="9"/>
  <c r="BA755" i="9" s="1"/>
  <c r="BA151" i="20"/>
  <c r="AZ851" i="9"/>
  <c r="AM1060" i="9"/>
  <c r="BD54" i="9"/>
  <c r="BD991" i="9"/>
  <c r="BE48" i="9"/>
  <c r="BD500" i="9"/>
  <c r="BD1086" i="9" s="1"/>
  <c r="BC1062" i="9"/>
  <c r="BC922" i="9"/>
  <c r="AZ193" i="20" l="1"/>
  <c r="AZ199" i="20" s="1"/>
  <c r="AZ874" i="9"/>
  <c r="BD709" i="9"/>
  <c r="BE52" i="9"/>
  <c r="BA27" i="30"/>
  <c r="BA158" i="20"/>
  <c r="BB119" i="20"/>
  <c r="BB134" i="20" s="1"/>
  <c r="BB26" i="30" s="1"/>
  <c r="BC41" i="6"/>
  <c r="BC51" i="30"/>
  <c r="AN1014" i="9"/>
  <c r="AN1037" i="9" s="1"/>
  <c r="BA778" i="9"/>
  <c r="BD828" i="9"/>
  <c r="BE431" i="9"/>
  <c r="BD899" i="9"/>
  <c r="BD1087" i="9"/>
  <c r="BD89" i="35"/>
  <c r="BD100" i="6"/>
  <c r="BD732" i="9" l="1"/>
  <c r="BE686" i="9" s="1"/>
  <c r="BE709" i="9" s="1"/>
  <c r="BA160" i="20"/>
  <c r="BA165" i="20" s="1"/>
  <c r="BA40" i="30" s="1"/>
  <c r="BA191" i="30" s="1"/>
  <c r="BA78" i="33" s="1"/>
  <c r="BA196" i="20"/>
  <c r="BA33" i="30"/>
  <c r="BA151" i="30" s="1"/>
  <c r="BA58" i="33" s="1"/>
  <c r="BA801" i="9"/>
  <c r="BB755" i="9" s="1"/>
  <c r="BC119" i="20"/>
  <c r="BC134" i="20" s="1"/>
  <c r="BC26" i="30" s="1"/>
  <c r="AN1060" i="9"/>
  <c r="BA851" i="9"/>
  <c r="BD1062" i="9"/>
  <c r="BE54" i="9"/>
  <c r="BE991" i="9"/>
  <c r="BE500" i="9"/>
  <c r="BE1086" i="9" s="1"/>
  <c r="BF48" i="9"/>
  <c r="BD922" i="9"/>
  <c r="BE732" i="9" l="1"/>
  <c r="BA193" i="20"/>
  <c r="BA199" i="20" s="1"/>
  <c r="BE828" i="9"/>
  <c r="BA874" i="9"/>
  <c r="BF52" i="9"/>
  <c r="BB151" i="20"/>
  <c r="BD41" i="6"/>
  <c r="BD51" i="30"/>
  <c r="AO1014" i="9"/>
  <c r="AO1037" i="9" s="1"/>
  <c r="AO1060" i="9" s="1"/>
  <c r="BB778" i="9"/>
  <c r="BF431" i="9"/>
  <c r="BE1087" i="9"/>
  <c r="BE89" i="35"/>
  <c r="BE100" i="6"/>
  <c r="BE899" i="9"/>
  <c r="BF686" i="9" l="1"/>
  <c r="BF709" i="9" s="1"/>
  <c r="BB801" i="9"/>
  <c r="BC755" i="9" s="1"/>
  <c r="BB158" i="20"/>
  <c r="BB27" i="30"/>
  <c r="BC151" i="20"/>
  <c r="BB851" i="9"/>
  <c r="BF54" i="9"/>
  <c r="BF500" i="9"/>
  <c r="BF1086" i="9" s="1"/>
  <c r="BG48" i="9"/>
  <c r="BF991" i="9"/>
  <c r="BE1062" i="9"/>
  <c r="BE922" i="9"/>
  <c r="BF732" i="9" l="1"/>
  <c r="BB160" i="20"/>
  <c r="BB165" i="20" s="1"/>
  <c r="BB40" i="30" s="1"/>
  <c r="BB191" i="30" s="1"/>
  <c r="BB78" i="33" s="1"/>
  <c r="BB33" i="30"/>
  <c r="BB151" i="30" s="1"/>
  <c r="BB58" i="33" s="1"/>
  <c r="BB196" i="20"/>
  <c r="BF828" i="9"/>
  <c r="BB874" i="9"/>
  <c r="BG52" i="9"/>
  <c r="BD119" i="20"/>
  <c r="BD134" i="20" s="1"/>
  <c r="BD26" i="30" s="1"/>
  <c r="BC27" i="30"/>
  <c r="BC158" i="20"/>
  <c r="BE51" i="30"/>
  <c r="BE41" i="6"/>
  <c r="AP1014" i="9"/>
  <c r="AP1037" i="9" s="1"/>
  <c r="AP1060" i="9" s="1"/>
  <c r="BC778" i="9"/>
  <c r="BG431" i="9"/>
  <c r="BF1087" i="9"/>
  <c r="BF89" i="35"/>
  <c r="BF100" i="6"/>
  <c r="BF899" i="9"/>
  <c r="BF922" i="9" s="1"/>
  <c r="BG686" i="9" l="1"/>
  <c r="BG828" i="9" s="1"/>
  <c r="BB193" i="20"/>
  <c r="BB199" i="20" s="1"/>
  <c r="BC160" i="20"/>
  <c r="BC165" i="20" s="1"/>
  <c r="BC40" i="30" s="1"/>
  <c r="BC191" i="30" s="1"/>
  <c r="BC78" i="33" s="1"/>
  <c r="BC196" i="20"/>
  <c r="BC33" i="30"/>
  <c r="BC151" i="30" s="1"/>
  <c r="BC58" i="33" s="1"/>
  <c r="BC851" i="9"/>
  <c r="BC801" i="9"/>
  <c r="BD755" i="9" s="1"/>
  <c r="BG54" i="9"/>
  <c r="BG991" i="9"/>
  <c r="BG500" i="9"/>
  <c r="BG1086" i="9" s="1"/>
  <c r="BH48" i="9"/>
  <c r="BF1062" i="9"/>
  <c r="BC193" i="20" l="1"/>
  <c r="BC199" i="20" s="1"/>
  <c r="BG709" i="9"/>
  <c r="AQ1014" i="9"/>
  <c r="AQ1037" i="9" s="1"/>
  <c r="AQ1060" i="9" s="1"/>
  <c r="BH52" i="9"/>
  <c r="BD151" i="20"/>
  <c r="BE119" i="20"/>
  <c r="BE134" i="20" s="1"/>
  <c r="BE26" i="30" s="1"/>
  <c r="BC874" i="9"/>
  <c r="BD778" i="9"/>
  <c r="BG899" i="9"/>
  <c r="BH431" i="9"/>
  <c r="BG89" i="35"/>
  <c r="BG1087" i="9"/>
  <c r="BG100" i="6"/>
  <c r="BG732" i="9" l="1"/>
  <c r="BH686" i="9" s="1"/>
  <c r="BH709" i="9" s="1"/>
  <c r="BD851" i="9"/>
  <c r="BD801" i="9"/>
  <c r="BE755" i="9" s="1"/>
  <c r="BD27" i="30"/>
  <c r="BD158" i="20"/>
  <c r="BF51" i="30"/>
  <c r="BF41" i="6"/>
  <c r="BH54" i="9"/>
  <c r="BH991" i="9"/>
  <c r="BI48" i="9"/>
  <c r="BH500" i="9"/>
  <c r="BH1086" i="9" s="1"/>
  <c r="BG1062" i="9"/>
  <c r="BG922" i="9"/>
  <c r="BH732" i="9" l="1"/>
  <c r="BD160" i="20"/>
  <c r="BD165" i="20" s="1"/>
  <c r="BD40" i="30" s="1"/>
  <c r="BD191" i="30" s="1"/>
  <c r="BD78" i="33" s="1"/>
  <c r="BD196" i="20"/>
  <c r="BD33" i="30"/>
  <c r="BD151" i="30" s="1"/>
  <c r="BD58" i="33" s="1"/>
  <c r="BH828" i="9"/>
  <c r="AR1014" i="9"/>
  <c r="AR1037" i="9" s="1"/>
  <c r="AR1060" i="9" s="1"/>
  <c r="BI52" i="9"/>
  <c r="BF119" i="20"/>
  <c r="BF134" i="20" s="1"/>
  <c r="BF26" i="30" s="1"/>
  <c r="BE151" i="20"/>
  <c r="BE778" i="9"/>
  <c r="BD874" i="9"/>
  <c r="BI431" i="9"/>
  <c r="BH899" i="9"/>
  <c r="BH1087" i="9"/>
  <c r="BH89" i="35"/>
  <c r="BH100" i="6"/>
  <c r="BI686" i="9" l="1"/>
  <c r="BI828" i="9" s="1"/>
  <c r="BD193" i="20"/>
  <c r="BD199" i="20" s="1"/>
  <c r="BE851" i="9"/>
  <c r="BE801" i="9"/>
  <c r="BF755" i="9" s="1"/>
  <c r="BF778" i="9" s="1"/>
  <c r="BE158" i="20"/>
  <c r="BE27" i="30"/>
  <c r="BG51" i="30"/>
  <c r="BG41" i="6"/>
  <c r="BH1062" i="9"/>
  <c r="BI54" i="9"/>
  <c r="BI991" i="9"/>
  <c r="BI899" i="9" s="1"/>
  <c r="BI500" i="9"/>
  <c r="BI1086" i="9" s="1"/>
  <c r="BJ48" i="9"/>
  <c r="BH922" i="9"/>
  <c r="BE160" i="20" l="1"/>
  <c r="BE165" i="20" s="1"/>
  <c r="BE40" i="30" s="1"/>
  <c r="BE191" i="30" s="1"/>
  <c r="BE78" i="33" s="1"/>
  <c r="BE196" i="20"/>
  <c r="BE33" i="30"/>
  <c r="BE151" i="30" s="1"/>
  <c r="BE58" i="33" s="1"/>
  <c r="BI709" i="9"/>
  <c r="AS1014" i="9"/>
  <c r="AS1037" i="9" s="1"/>
  <c r="AS1060" i="9" s="1"/>
  <c r="BE874" i="9"/>
  <c r="BF851" i="9"/>
  <c r="AT1014" i="9" s="1"/>
  <c r="AT1037" i="9" s="1"/>
  <c r="AT1060" i="9" s="1"/>
  <c r="BF801" i="9"/>
  <c r="BG755" i="9" s="1"/>
  <c r="BJ52" i="9"/>
  <c r="AB55" i="9" s="1"/>
  <c r="BG119" i="20"/>
  <c r="BG134" i="20" s="1"/>
  <c r="BG26" i="30" s="1"/>
  <c r="BF151" i="20"/>
  <c r="BH41" i="6"/>
  <c r="BH51" i="30"/>
  <c r="BJ431" i="9"/>
  <c r="BI1087" i="9"/>
  <c r="BI89" i="35"/>
  <c r="BI100" i="6"/>
  <c r="BI922" i="9"/>
  <c r="BI732" i="9" l="1"/>
  <c r="BJ686" i="9" s="1"/>
  <c r="BJ828" i="9" s="1"/>
  <c r="BE193" i="20"/>
  <c r="BE199" i="20" s="1"/>
  <c r="BF27" i="30"/>
  <c r="BF158" i="20"/>
  <c r="W686" i="9"/>
  <c r="X686" i="9"/>
  <c r="BF874" i="9"/>
  <c r="BG778" i="9"/>
  <c r="BJ54" i="9"/>
  <c r="BJ55" i="9"/>
  <c r="BJ991" i="9"/>
  <c r="BJ500" i="9"/>
  <c r="BJ1086" i="9" s="1"/>
  <c r="AA55" i="9"/>
  <c r="AA636" i="9" s="1"/>
  <c r="AB636" i="9"/>
  <c r="AC55" i="9"/>
  <c r="AC636" i="9" s="1"/>
  <c r="AD55" i="9"/>
  <c r="AD636" i="9" s="1"/>
  <c r="AE55" i="9"/>
  <c r="AE636" i="9" s="1"/>
  <c r="AF55" i="9"/>
  <c r="AG55" i="9"/>
  <c r="AH55" i="9"/>
  <c r="AH636" i="9" s="1"/>
  <c r="AI55" i="9"/>
  <c r="AI636" i="9" s="1"/>
  <c r="AJ55" i="9"/>
  <c r="AJ636" i="9" s="1"/>
  <c r="AK55" i="9"/>
  <c r="AK636" i="9" s="1"/>
  <c r="AL55" i="9"/>
  <c r="AL636" i="9" s="1"/>
  <c r="AM55" i="9"/>
  <c r="AM636" i="9" s="1"/>
  <c r="AN55" i="9"/>
  <c r="AN636" i="9" s="1"/>
  <c r="AO55" i="9"/>
  <c r="AO636" i="9" s="1"/>
  <c r="AP55" i="9"/>
  <c r="AP636" i="9" s="1"/>
  <c r="AQ55" i="9"/>
  <c r="AQ636" i="9" s="1"/>
  <c r="AR55" i="9"/>
  <c r="AR636" i="9" s="1"/>
  <c r="AS55" i="9"/>
  <c r="AT55" i="9"/>
  <c r="AU55" i="9"/>
  <c r="AV55" i="9"/>
  <c r="AV636" i="9" s="1"/>
  <c r="AW55" i="9"/>
  <c r="AW636" i="9" s="1"/>
  <c r="AX55" i="9"/>
  <c r="AX636" i="9" s="1"/>
  <c r="AY55" i="9"/>
  <c r="AY636" i="9" s="1"/>
  <c r="AZ55" i="9"/>
  <c r="AZ636" i="9" s="1"/>
  <c r="BA55" i="9"/>
  <c r="BA636" i="9" s="1"/>
  <c r="BB55" i="9"/>
  <c r="BB636" i="9" s="1"/>
  <c r="BC55" i="9"/>
  <c r="BC636" i="9" s="1"/>
  <c r="BD55" i="9"/>
  <c r="BD636" i="9" s="1"/>
  <c r="BG55" i="9"/>
  <c r="BE55" i="9"/>
  <c r="BE636" i="9" s="1"/>
  <c r="BF55" i="9"/>
  <c r="BI55" i="9"/>
  <c r="BH55" i="9"/>
  <c r="BI1062" i="9"/>
  <c r="BJ709" i="9" l="1"/>
  <c r="BJ732" i="9" s="1"/>
  <c r="Y686" i="9"/>
  <c r="BO686" i="9" s="1"/>
  <c r="BO828" i="9" s="1"/>
  <c r="BF160" i="20"/>
  <c r="BF165" i="20" s="1"/>
  <c r="BF40" i="30" s="1"/>
  <c r="BF191" i="30" s="1"/>
  <c r="BF78" i="33" s="1"/>
  <c r="BF196" i="20"/>
  <c r="BF33" i="30"/>
  <c r="BF151" i="30" s="1"/>
  <c r="BF58" i="33" s="1"/>
  <c r="BJ636" i="9"/>
  <c r="BG851" i="9"/>
  <c r="AU1014" i="9" s="1"/>
  <c r="AU1037" i="9" s="1"/>
  <c r="AU1060" i="9" s="1"/>
  <c r="BG801" i="9"/>
  <c r="BH755" i="9" s="1"/>
  <c r="BH119" i="20"/>
  <c r="BH134" i="20" s="1"/>
  <c r="BH26" i="30" s="1"/>
  <c r="BG151" i="20"/>
  <c r="W828" i="9"/>
  <c r="W709" i="9"/>
  <c r="X709" i="9"/>
  <c r="BJ1087" i="9"/>
  <c r="BJ89" i="35"/>
  <c r="BJ100" i="6"/>
  <c r="Y709" i="9" l="1"/>
  <c r="BO709" i="9" s="1"/>
  <c r="BF193" i="20"/>
  <c r="BF199" i="20" s="1"/>
  <c r="W1122" i="9"/>
  <c r="BG158" i="20"/>
  <c r="BG27" i="30"/>
  <c r="BI51" i="30"/>
  <c r="BI41" i="6"/>
  <c r="BM732" i="9"/>
  <c r="X732" i="9"/>
  <c r="Y732" i="9"/>
  <c r="BO732" i="9" s="1"/>
  <c r="Y828" i="9"/>
  <c r="BM709" i="9"/>
  <c r="BN686" i="9"/>
  <c r="BN828" i="9" s="1"/>
  <c r="X828" i="9"/>
  <c r="BN709" i="9"/>
  <c r="X899" i="9"/>
  <c r="BN899" i="9" s="1"/>
  <c r="Y899" i="9"/>
  <c r="BO899" i="9" s="1"/>
  <c r="BM686" i="9"/>
  <c r="BM828" i="9" s="1"/>
  <c r="BG874" i="9"/>
  <c r="BH778" i="9"/>
  <c r="X1039" i="9"/>
  <c r="BN1039" i="9" s="1"/>
  <c r="BJ922" i="9"/>
  <c r="BG160" i="20" l="1"/>
  <c r="BG165" i="20" s="1"/>
  <c r="BG40" i="30" s="1"/>
  <c r="BG191" i="30" s="1"/>
  <c r="BG78" i="33" s="1"/>
  <c r="BG196" i="20"/>
  <c r="BG33" i="30"/>
  <c r="BG151" i="30" s="1"/>
  <c r="BG58" i="33" s="1"/>
  <c r="W1123" i="9"/>
  <c r="W1146" i="9"/>
  <c r="W1147" i="9" s="1"/>
  <c r="W170" i="1" s="1"/>
  <c r="BM1122" i="9"/>
  <c r="BH801" i="9"/>
  <c r="BI755" i="9" s="1"/>
  <c r="BI778" i="9" s="1"/>
  <c r="BI119" i="20"/>
  <c r="BI134" i="20" s="1"/>
  <c r="BI26" i="30" s="1"/>
  <c r="BH151" i="20"/>
  <c r="BJ51" i="30"/>
  <c r="BJ41" i="6"/>
  <c r="Y922" i="9"/>
  <c r="BO922" i="9" s="1"/>
  <c r="X922" i="9"/>
  <c r="BN922" i="9" s="1"/>
  <c r="BN732" i="9"/>
  <c r="BH851" i="9"/>
  <c r="BJ1062" i="9"/>
  <c r="Y1039" i="9"/>
  <c r="BO1039" i="9" s="1"/>
  <c r="BG193" i="20" l="1"/>
  <c r="BG199" i="20" s="1"/>
  <c r="X1062" i="9"/>
  <c r="BN1062" i="9" s="1"/>
  <c r="W170" i="20"/>
  <c r="W173" i="20" s="1"/>
  <c r="W175" i="20" s="1"/>
  <c r="W173" i="1"/>
  <c r="BM1123" i="9"/>
  <c r="BM1146" i="9"/>
  <c r="BM1147" i="9" s="1"/>
  <c r="BM170" i="1" s="1"/>
  <c r="BH874" i="9"/>
  <c r="BI851" i="9"/>
  <c r="BI801" i="9"/>
  <c r="BJ755" i="9" s="1"/>
  <c r="BH27" i="30"/>
  <c r="BH158" i="20"/>
  <c r="BJ119" i="20"/>
  <c r="BJ134" i="20" s="1"/>
  <c r="BJ26" i="30" s="1"/>
  <c r="BM41" i="6"/>
  <c r="BM44" i="6" s="1"/>
  <c r="BM51" i="30"/>
  <c r="BN51" i="30"/>
  <c r="BN41" i="6"/>
  <c r="X41" i="6" s="1"/>
  <c r="AV1014" i="9"/>
  <c r="AV1037" i="9" s="1"/>
  <c r="AV1060" i="9" s="1"/>
  <c r="Y1062" i="9"/>
  <c r="BH160" i="20" l="1"/>
  <c r="BH165" i="20" s="1"/>
  <c r="BH40" i="30" s="1"/>
  <c r="BH191" i="30" s="1"/>
  <c r="BH78" i="33" s="1"/>
  <c r="BH196" i="20"/>
  <c r="BH33" i="30"/>
  <c r="BH151" i="30" s="1"/>
  <c r="BH58" i="33" s="1"/>
  <c r="BM173" i="1"/>
  <c r="BM170" i="20"/>
  <c r="AW1014" i="9"/>
  <c r="AW1037" i="9" s="1"/>
  <c r="AW1060" i="9" s="1"/>
  <c r="BI151" i="20"/>
  <c r="CM138" i="20"/>
  <c r="CK139" i="20"/>
  <c r="CL139" i="20"/>
  <c r="CM139" i="20"/>
  <c r="CL138" i="20"/>
  <c r="CK138" i="20"/>
  <c r="BM71" i="30"/>
  <c r="W41" i="6"/>
  <c r="W44" i="6" s="1"/>
  <c r="W51" i="30"/>
  <c r="X51" i="30"/>
  <c r="BO51" i="30"/>
  <c r="BO41" i="6"/>
  <c r="Y41" i="6" s="1"/>
  <c r="BI874" i="9"/>
  <c r="BJ778" i="9"/>
  <c r="BJ801" i="9" s="1"/>
  <c r="Y801" i="9" s="1"/>
  <c r="BO1062" i="9"/>
  <c r="CJ51" i="30" l="1"/>
  <c r="CK51" i="30"/>
  <c r="BH193" i="20"/>
  <c r="BH199" i="20" s="1"/>
  <c r="BM173" i="20"/>
  <c r="CK173" i="20" s="1"/>
  <c r="BM41" i="30"/>
  <c r="CE138" i="20"/>
  <c r="A138" i="20" s="1" a="1"/>
  <c r="A138" i="20" s="1"/>
  <c r="CL145" i="20"/>
  <c r="BJ151" i="20"/>
  <c r="CE139" i="20"/>
  <c r="BI158" i="20"/>
  <c r="BI27" i="30"/>
  <c r="Y51" i="30"/>
  <c r="W778" i="9"/>
  <c r="X778" i="9"/>
  <c r="Y778" i="9"/>
  <c r="W755" i="9"/>
  <c r="X755" i="9"/>
  <c r="Y755" i="9"/>
  <c r="BJ874" i="9"/>
  <c r="BJ851" i="9"/>
  <c r="BI1014" i="9" s="1"/>
  <c r="BJ1014" i="9" l="1"/>
  <c r="BJ1037" i="9" s="1"/>
  <c r="BJ1060" i="9" s="1"/>
  <c r="CL51" i="30"/>
  <c r="CD51" i="30" s="1"/>
  <c r="BI160" i="20"/>
  <c r="BI165" i="20" s="1"/>
  <c r="BI40" i="30" s="1"/>
  <c r="BI191" i="30" s="1"/>
  <c r="BI78" i="33" s="1"/>
  <c r="BI196" i="20"/>
  <c r="BI33" i="30"/>
  <c r="BI151" i="30" s="1"/>
  <c r="BI58" i="33" s="1"/>
  <c r="W41" i="30"/>
  <c r="CM145" i="20"/>
  <c r="BJ27" i="30"/>
  <c r="BJ158" i="20"/>
  <c r="X40" i="6"/>
  <c r="X44" i="6" s="1"/>
  <c r="W71" i="30"/>
  <c r="BM778" i="9"/>
  <c r="BM755" i="9"/>
  <c r="BI1037" i="9"/>
  <c r="BI1060" i="9" s="1"/>
  <c r="AX1014" i="9"/>
  <c r="AY1014" i="9"/>
  <c r="AY1037" i="9" s="1"/>
  <c r="AY1060" i="9" s="1"/>
  <c r="AZ1014" i="9"/>
  <c r="AZ1037" i="9" s="1"/>
  <c r="AZ1060" i="9" s="1"/>
  <c r="BA1014" i="9"/>
  <c r="BA1037" i="9" s="1"/>
  <c r="BA1060" i="9" s="1"/>
  <c r="BB1014" i="9"/>
  <c r="BB1037" i="9" s="1"/>
  <c r="BB1060" i="9" s="1"/>
  <c r="BH1014" i="9"/>
  <c r="BH1037" i="9" s="1"/>
  <c r="BH1060" i="9" s="1"/>
  <c r="BD1014" i="9"/>
  <c r="BD1037" i="9" s="1"/>
  <c r="BD1060" i="9" s="1"/>
  <c r="BE1014" i="9"/>
  <c r="BE1037" i="9" s="1"/>
  <c r="BE1060" i="9" s="1"/>
  <c r="BF1014" i="9"/>
  <c r="BF1037" i="9" s="1"/>
  <c r="BF1060" i="9" s="1"/>
  <c r="BG1014" i="9"/>
  <c r="BG1037" i="9" s="1"/>
  <c r="BG1060" i="9" s="1"/>
  <c r="BC1014" i="9"/>
  <c r="BC1037" i="9" s="1"/>
  <c r="BC1060" i="9" s="1"/>
  <c r="BO778" i="9"/>
  <c r="BO851" i="9" s="1"/>
  <c r="Y851" i="9"/>
  <c r="CJ71" i="30" l="1"/>
  <c r="CJ41" i="30"/>
  <c r="BI193" i="20"/>
  <c r="BI199" i="20" s="1"/>
  <c r="BJ160" i="20"/>
  <c r="BJ165" i="20" s="1"/>
  <c r="BJ40" i="30" s="1"/>
  <c r="BJ191" i="30" s="1"/>
  <c r="BJ78" i="33" s="1"/>
  <c r="BJ196" i="20"/>
  <c r="BJ33" i="30"/>
  <c r="BJ151" i="30" s="1"/>
  <c r="BJ58" i="33" s="1"/>
  <c r="BN40" i="6"/>
  <c r="BN778" i="9"/>
  <c r="BN851" i="9" s="1"/>
  <c r="X851" i="9"/>
  <c r="Y1014" i="9"/>
  <c r="BO1014" i="9" s="1"/>
  <c r="BM1014" i="9"/>
  <c r="W851" i="9"/>
  <c r="BM851" i="9"/>
  <c r="X1014" i="9"/>
  <c r="BN1014" i="9" s="1"/>
  <c r="AX1037" i="9"/>
  <c r="BJ193" i="20" l="1"/>
  <c r="BJ199" i="20" s="1"/>
  <c r="BN44" i="6"/>
  <c r="BN71" i="30" s="1"/>
  <c r="Y40" i="6"/>
  <c r="Y44" i="6" s="1"/>
  <c r="X71" i="30"/>
  <c r="X1037" i="9"/>
  <c r="BN1037" i="9" s="1"/>
  <c r="BM1037" i="9"/>
  <c r="Y1037" i="9"/>
  <c r="BO1037" i="9" s="1"/>
  <c r="BN755" i="9"/>
  <c r="AX1060" i="9"/>
  <c r="CK71" i="30" l="1"/>
  <c r="BO40" i="6"/>
  <c r="BO44" i="6" s="1"/>
  <c r="Y1060" i="9"/>
  <c r="X1060" i="9"/>
  <c r="BN1060" i="9" s="1"/>
  <c r="CF40" i="6" l="1"/>
  <c r="A40" i="6" s="1" a="1"/>
  <c r="A40" i="6" s="1"/>
  <c r="BO71" i="30"/>
  <c r="BP40" i="6"/>
  <c r="BP44" i="6" s="1"/>
  <c r="Y71" i="30"/>
  <c r="CF44" i="6"/>
  <c r="BM1060" i="9"/>
  <c r="BO1060" i="9"/>
  <c r="CL71" i="30" l="1"/>
  <c r="CD71" i="30" s="1"/>
  <c r="BP71" i="30"/>
  <c r="BQ40" i="6"/>
  <c r="BQ44" i="6" s="1"/>
  <c r="BR40" i="6" l="1"/>
  <c r="BR44" i="6" s="1"/>
  <c r="BQ71" i="30"/>
  <c r="BR71" i="30" l="1"/>
  <c r="BS40" i="6"/>
  <c r="BS44" i="6" s="1"/>
  <c r="BW1135" i="9"/>
  <c r="BT40" i="6" l="1"/>
  <c r="BT44" i="6" s="1"/>
  <c r="BS71" i="30"/>
  <c r="BU40" i="6" l="1"/>
  <c r="BU44" i="6" s="1"/>
  <c r="BT71" i="30"/>
  <c r="BV40" i="6" l="1"/>
  <c r="BV44" i="6" s="1"/>
  <c r="BU71" i="30"/>
  <c r="BO223" i="26"/>
  <c r="W121" i="26"/>
  <c r="BO746" i="9"/>
  <c r="BM235" i="26"/>
  <c r="CP235" i="26" s="1"/>
  <c r="CJ235" i="26" s="1"/>
  <c r="BM234" i="26"/>
  <c r="CP234" i="26" s="1"/>
  <c r="CJ234" i="26" s="1"/>
  <c r="V24" i="3"/>
  <c r="V12" i="3"/>
  <c r="V3" i="3" s="1"/>
  <c r="W248" i="26" l="1"/>
  <c r="CM248" i="26" s="1"/>
  <c r="CI248" i="26" s="1"/>
  <c r="A248" i="26" s="1" a="1"/>
  <c r="A248" i="26" s="1"/>
  <c r="CM121" i="26"/>
  <c r="CI121" i="26" s="1"/>
  <c r="A121" i="26" s="1" a="1"/>
  <c r="A121" i="26" s="1"/>
  <c r="BO168" i="1"/>
  <c r="CR223" i="26"/>
  <c r="CJ223" i="26" s="1"/>
  <c r="A223" i="26" s="1" a="1"/>
  <c r="A223" i="26" s="1"/>
  <c r="BM240" i="26"/>
  <c r="V3" i="22"/>
  <c r="V3" i="16"/>
  <c r="BW40" i="6"/>
  <c r="BV71" i="30"/>
  <c r="AJ14" i="3"/>
  <c r="BH14" i="3"/>
  <c r="AU14" i="3"/>
  <c r="AC14" i="3"/>
  <c r="V3" i="32"/>
  <c r="CI168" i="1"/>
  <c r="CC168" i="1" s="1"/>
  <c r="AR14" i="3"/>
  <c r="V3" i="9"/>
  <c r="BJ14" i="3"/>
  <c r="AZ14" i="3"/>
  <c r="AM14" i="3"/>
  <c r="V3" i="33"/>
  <c r="BE14" i="3"/>
  <c r="AW14" i="3"/>
  <c r="V5" i="13"/>
  <c r="AA5" i="13" s="1"/>
  <c r="V5" i="30"/>
  <c r="V5" i="28"/>
  <c r="V5" i="4"/>
  <c r="V5" i="38"/>
  <c r="V5" i="36"/>
  <c r="S5" i="11"/>
  <c r="V5" i="37"/>
  <c r="V65" i="3"/>
  <c r="V53" i="3"/>
  <c r="V61" i="3"/>
  <c r="V62" i="3"/>
  <c r="V49" i="3"/>
  <c r="V5" i="33"/>
  <c r="V5" i="35"/>
  <c r="V5" i="20"/>
  <c r="V5" i="32"/>
  <c r="V5" i="22"/>
  <c r="V5" i="1"/>
  <c r="V51" i="3"/>
  <c r="V48" i="3"/>
  <c r="V47" i="3"/>
  <c r="V55" i="3"/>
  <c r="V60" i="3"/>
  <c r="V57" i="3"/>
  <c r="V50" i="3"/>
  <c r="V58" i="3"/>
  <c r="V54" i="3"/>
  <c r="V5" i="12"/>
  <c r="V52" i="3"/>
  <c r="V5" i="6"/>
  <c r="V56" i="3"/>
  <c r="V66" i="3"/>
  <c r="V64" i="3"/>
  <c r="V63" i="3"/>
  <c r="V59" i="3"/>
  <c r="V5" i="9"/>
  <c r="V156" i="3"/>
  <c r="V140" i="3"/>
  <c r="V147" i="3"/>
  <c r="V151" i="3"/>
  <c r="V158" i="3"/>
  <c r="V139" i="3"/>
  <c r="V149" i="3"/>
  <c r="V143" i="3"/>
  <c r="V141" i="3"/>
  <c r="V154" i="3"/>
  <c r="V153" i="3"/>
  <c r="V142" i="3"/>
  <c r="V148" i="3"/>
  <c r="V157" i="3"/>
  <c r="V155" i="3"/>
  <c r="V152" i="3"/>
  <c r="V43" i="3"/>
  <c r="V146" i="3"/>
  <c r="V145" i="3"/>
  <c r="V150" i="3"/>
  <c r="V144" i="3"/>
  <c r="V5" i="26"/>
  <c r="W130" i="26" s="1"/>
  <c r="CL168" i="1"/>
  <c r="CD168" i="1" s="1"/>
  <c r="AA14" i="3"/>
  <c r="V3" i="36"/>
  <c r="V3" i="28"/>
  <c r="BN14" i="3"/>
  <c r="AB14" i="3"/>
  <c r="AE14" i="3"/>
  <c r="AG14" i="3"/>
  <c r="AK14" i="3"/>
  <c r="AO14" i="3"/>
  <c r="AS14" i="3"/>
  <c r="V3" i="1"/>
  <c r="CP2" i="1" s="1"/>
  <c r="AX14" i="3"/>
  <c r="BB14" i="3"/>
  <c r="BF14" i="3"/>
  <c r="V3" i="38"/>
  <c r="V3" i="12"/>
  <c r="V3" i="13"/>
  <c r="AA3" i="13" s="1"/>
  <c r="V3" i="20"/>
  <c r="BM14" i="3"/>
  <c r="AD14" i="3"/>
  <c r="AH14" i="3"/>
  <c r="AL14" i="3"/>
  <c r="AP14" i="3"/>
  <c r="AT14" i="3"/>
  <c r="AV14" i="3"/>
  <c r="AY14" i="3"/>
  <c r="BC14" i="3"/>
  <c r="BG14" i="3"/>
  <c r="BD14" i="3"/>
  <c r="V3" i="6"/>
  <c r="AQ14" i="3"/>
  <c r="AI14" i="3"/>
  <c r="BO14" i="3"/>
  <c r="BP14" i="3" s="1"/>
  <c r="BQ14" i="3" s="1"/>
  <c r="BR14" i="3" s="1"/>
  <c r="BS14" i="3" s="1"/>
  <c r="BT14" i="3" s="1"/>
  <c r="BU14" i="3" s="1"/>
  <c r="BV14" i="3" s="1"/>
  <c r="BW14" i="3" s="1"/>
  <c r="V3" i="35"/>
  <c r="S3" i="11"/>
  <c r="BI14" i="3"/>
  <c r="BA14" i="3"/>
  <c r="V3" i="4"/>
  <c r="AN14" i="3"/>
  <c r="AF14" i="3"/>
  <c r="BL14" i="3"/>
  <c r="V3" i="37"/>
  <c r="V3" i="26"/>
  <c r="V3" i="30"/>
  <c r="BZ248" i="26" l="1"/>
  <c r="BM31" i="6"/>
  <c r="BM68" i="30" s="1"/>
  <c r="A168" i="1" a="1"/>
  <c r="A168" i="1" s="1"/>
  <c r="CD14" i="9"/>
  <c r="A14" i="9" s="1" a="1"/>
  <c r="A14" i="9" s="1"/>
  <c r="CD13" i="9"/>
  <c r="A13" i="9" s="1" a="1"/>
  <c r="A13" i="9" s="1"/>
  <c r="V64" i="9"/>
  <c r="V102" i="9"/>
  <c r="CL102" i="9" s="1"/>
  <c r="A102" i="9" s="1" a="1"/>
  <c r="A102" i="9" s="1"/>
  <c r="V121" i="9"/>
  <c r="CL121" i="9" s="1"/>
  <c r="A121" i="9" s="1" a="1"/>
  <c r="A121" i="9" s="1"/>
  <c r="V159" i="9"/>
  <c r="CL159" i="9" s="1"/>
  <c r="A159" i="9" s="1" a="1"/>
  <c r="A159" i="9" s="1"/>
  <c r="V197" i="9"/>
  <c r="CL197" i="9" s="1"/>
  <c r="A197" i="9" s="1" a="1"/>
  <c r="A197" i="9" s="1"/>
  <c r="V235" i="9"/>
  <c r="CL235" i="9" s="1"/>
  <c r="A235" i="9" s="1" a="1"/>
  <c r="A235" i="9" s="1"/>
  <c r="V273" i="9"/>
  <c r="CL273" i="9" s="1"/>
  <c r="A273" i="9" s="1" a="1"/>
  <c r="A273" i="9" s="1"/>
  <c r="V311" i="9"/>
  <c r="CL311" i="9" s="1"/>
  <c r="A311" i="9" s="1" a="1"/>
  <c r="A311" i="9" s="1"/>
  <c r="V349" i="9"/>
  <c r="CL349" i="9" s="1"/>
  <c r="A349" i="9" s="1" a="1"/>
  <c r="A349" i="9" s="1"/>
  <c r="V387" i="9"/>
  <c r="CL387" i="9" s="1"/>
  <c r="A387" i="9" s="1" a="1"/>
  <c r="A387" i="9" s="1"/>
  <c r="V140" i="9"/>
  <c r="CL140" i="9" s="1"/>
  <c r="A140" i="9" s="1" a="1"/>
  <c r="A140" i="9" s="1"/>
  <c r="V292" i="9"/>
  <c r="CL292" i="9" s="1"/>
  <c r="A292" i="9" s="1" a="1"/>
  <c r="A292" i="9" s="1"/>
  <c r="V178" i="9"/>
  <c r="CL178" i="9" s="1"/>
  <c r="A178" i="9" s="1" a="1"/>
  <c r="A178" i="9" s="1"/>
  <c r="V330" i="9"/>
  <c r="CL330" i="9" s="1"/>
  <c r="A330" i="9" s="1" a="1"/>
  <c r="A330" i="9" s="1"/>
  <c r="V83" i="9"/>
  <c r="CL83" i="9" s="1"/>
  <c r="A83" i="9" s="1" a="1"/>
  <c r="A83" i="9" s="1"/>
  <c r="V254" i="9"/>
  <c r="CL254" i="9" s="1"/>
  <c r="A254" i="9" s="1" a="1"/>
  <c r="A254" i="9" s="1"/>
  <c r="V425" i="9"/>
  <c r="CL425" i="9" s="1"/>
  <c r="A425" i="9" s="1" a="1"/>
  <c r="A425" i="9" s="1"/>
  <c r="V368" i="9"/>
  <c r="CL368" i="9" s="1"/>
  <c r="A368" i="9" s="1" a="1"/>
  <c r="A368" i="9" s="1"/>
  <c r="V406" i="9"/>
  <c r="CL406" i="9" s="1"/>
  <c r="A406" i="9" s="1" a="1"/>
  <c r="A406" i="9" s="1"/>
  <c r="V216" i="9"/>
  <c r="CL216" i="9" s="1"/>
  <c r="A216" i="9" s="1" a="1"/>
  <c r="A216" i="9" s="1"/>
  <c r="AA188" i="26"/>
  <c r="AA191" i="26"/>
  <c r="W187" i="26"/>
  <c r="W192" i="26"/>
  <c r="W188" i="26"/>
  <c r="AA184" i="26"/>
  <c r="V184" i="26"/>
  <c r="W180" i="26"/>
  <c r="AA180" i="26"/>
  <c r="V180" i="26"/>
  <c r="V191" i="26"/>
  <c r="AA192" i="26"/>
  <c r="V192" i="26"/>
  <c r="AA187" i="26"/>
  <c r="W183" i="26"/>
  <c r="V179" i="26"/>
  <c r="W190" i="26"/>
  <c r="V190" i="26"/>
  <c r="W186" i="26"/>
  <c r="V188" i="26"/>
  <c r="V183" i="26"/>
  <c r="W184" i="26"/>
  <c r="CM184" i="26" s="1"/>
  <c r="W191" i="26"/>
  <c r="V187" i="26"/>
  <c r="AA183" i="26"/>
  <c r="AA186" i="26"/>
  <c r="W182" i="26"/>
  <c r="AA182" i="26"/>
  <c r="V178" i="26"/>
  <c r="W181" i="26"/>
  <c r="AA190" i="26"/>
  <c r="W189" i="26"/>
  <c r="AA181" i="26"/>
  <c r="V186" i="26"/>
  <c r="AA178" i="26"/>
  <c r="W178" i="26"/>
  <c r="V189" i="26"/>
  <c r="BL189" i="26" s="1"/>
  <c r="W185" i="26"/>
  <c r="AA185" i="26"/>
  <c r="AA189" i="26"/>
  <c r="V181" i="26"/>
  <c r="V182" i="26"/>
  <c r="V185" i="26"/>
  <c r="AA179" i="26"/>
  <c r="W179" i="26"/>
  <c r="BW44" i="6"/>
  <c r="BW71" i="30" s="1"/>
  <c r="V54" i="26"/>
  <c r="V58" i="26"/>
  <c r="V62" i="26"/>
  <c r="V66" i="26"/>
  <c r="V79" i="26"/>
  <c r="V83" i="26"/>
  <c r="V87" i="26"/>
  <c r="V91" i="26"/>
  <c r="V105" i="26"/>
  <c r="V110" i="26"/>
  <c r="V114" i="26"/>
  <c r="V118" i="26"/>
  <c r="V156" i="26"/>
  <c r="V160" i="26"/>
  <c r="V164" i="26"/>
  <c r="V168" i="26"/>
  <c r="V133" i="26"/>
  <c r="V137" i="26"/>
  <c r="V141" i="26"/>
  <c r="V131" i="26"/>
  <c r="V55" i="26"/>
  <c r="V59" i="26"/>
  <c r="V63" i="26"/>
  <c r="V67" i="26"/>
  <c r="V80" i="26"/>
  <c r="V84" i="26"/>
  <c r="V88" i="26"/>
  <c r="V92" i="26"/>
  <c r="V106" i="26"/>
  <c r="V111" i="26"/>
  <c r="V115" i="26"/>
  <c r="V104" i="26"/>
  <c r="V157" i="26"/>
  <c r="V161" i="26"/>
  <c r="V165" i="26"/>
  <c r="W154" i="26"/>
  <c r="V134" i="26"/>
  <c r="V138" i="26"/>
  <c r="V142" i="26"/>
  <c r="V130" i="26"/>
  <c r="V56" i="26"/>
  <c r="V64" i="26"/>
  <c r="V81" i="26"/>
  <c r="V89" i="26"/>
  <c r="V107" i="26"/>
  <c r="V116" i="26"/>
  <c r="V162" i="26"/>
  <c r="V154" i="26"/>
  <c r="V139" i="26"/>
  <c r="V57" i="26"/>
  <c r="V65" i="26"/>
  <c r="V82" i="26"/>
  <c r="V90" i="26"/>
  <c r="V108" i="26"/>
  <c r="V117" i="26"/>
  <c r="V163" i="26"/>
  <c r="V132" i="26"/>
  <c r="V140" i="26"/>
  <c r="W53" i="26"/>
  <c r="V60" i="26"/>
  <c r="W104" i="26"/>
  <c r="CM104" i="26" s="1"/>
  <c r="CI104" i="26" s="1"/>
  <c r="V85" i="26"/>
  <c r="W78" i="26"/>
  <c r="CM78" i="26" s="1"/>
  <c r="CI78" i="26" s="1"/>
  <c r="V112" i="26"/>
  <c r="V158" i="26"/>
  <c r="V166" i="26"/>
  <c r="V135" i="26"/>
  <c r="V143" i="26"/>
  <c r="V53" i="26"/>
  <c r="V61" i="26"/>
  <c r="V78" i="26"/>
  <c r="V86" i="26"/>
  <c r="V109" i="26"/>
  <c r="V113" i="26"/>
  <c r="V159" i="26"/>
  <c r="V167" i="26"/>
  <c r="V136" i="26"/>
  <c r="V144" i="26"/>
  <c r="V155" i="26"/>
  <c r="Y168" i="20"/>
  <c r="W105" i="3"/>
  <c r="V128" i="3"/>
  <c r="V105" i="3"/>
  <c r="V132" i="3"/>
  <c r="V109" i="3"/>
  <c r="W109" i="3"/>
  <c r="V104" i="3"/>
  <c r="W104" i="3"/>
  <c r="V127" i="3"/>
  <c r="V124" i="3"/>
  <c r="V101" i="3"/>
  <c r="W101" i="3"/>
  <c r="V107" i="3"/>
  <c r="V130" i="3"/>
  <c r="W107" i="3"/>
  <c r="W102" i="3"/>
  <c r="V125" i="3"/>
  <c r="V102" i="3"/>
  <c r="W97" i="3"/>
  <c r="V97" i="3"/>
  <c r="V120" i="3"/>
  <c r="V110" i="3"/>
  <c r="V133" i="3"/>
  <c r="W110" i="3"/>
  <c r="W98" i="3"/>
  <c r="V98" i="3"/>
  <c r="V121" i="3"/>
  <c r="V96" i="3"/>
  <c r="W96" i="3"/>
  <c r="V119" i="3"/>
  <c r="V93" i="3"/>
  <c r="V116" i="3"/>
  <c r="W93" i="3"/>
  <c r="W99" i="3"/>
  <c r="V122" i="3"/>
  <c r="V99" i="3"/>
  <c r="V20" i="3"/>
  <c r="V4" i="20"/>
  <c r="V4" i="13"/>
  <c r="AA4" i="13" s="1"/>
  <c r="V4" i="37"/>
  <c r="V4" i="36"/>
  <c r="V4" i="22"/>
  <c r="V4" i="12"/>
  <c r="V4" i="30"/>
  <c r="V4" i="32"/>
  <c r="V22" i="3"/>
  <c r="S4" i="11"/>
  <c r="V4" i="28"/>
  <c r="V4" i="35"/>
  <c r="V4" i="4"/>
  <c r="V4" i="33"/>
  <c r="V4" i="26"/>
  <c r="V4" i="38"/>
  <c r="W20" i="3"/>
  <c r="V4" i="6"/>
  <c r="V4" i="9"/>
  <c r="V16" i="3"/>
  <c r="V4" i="1"/>
  <c r="W100" i="3"/>
  <c r="V100" i="3"/>
  <c r="V123" i="3"/>
  <c r="V129" i="3"/>
  <c r="V106" i="3"/>
  <c r="W106" i="3"/>
  <c r="V108" i="3"/>
  <c r="V131" i="3"/>
  <c r="W108" i="3"/>
  <c r="AA164" i="26"/>
  <c r="AA166" i="26"/>
  <c r="AA133" i="26"/>
  <c r="AA139" i="26"/>
  <c r="AA135" i="26"/>
  <c r="W164" i="26"/>
  <c r="W194" i="26"/>
  <c r="W65" i="26"/>
  <c r="CM65" i="26" s="1"/>
  <c r="CI65" i="26" s="1"/>
  <c r="W60" i="26"/>
  <c r="CM60" i="26" s="1"/>
  <c r="CI60" i="26" s="1"/>
  <c r="W113" i="26"/>
  <c r="CM113" i="26" s="1"/>
  <c r="CI113" i="26" s="1"/>
  <c r="W58" i="26"/>
  <c r="CM58" i="26" s="1"/>
  <c r="CI58" i="26" s="1"/>
  <c r="AA167" i="26"/>
  <c r="AA159" i="26"/>
  <c r="AA196" i="26"/>
  <c r="AA137" i="26"/>
  <c r="W117" i="26"/>
  <c r="CM117" i="26" s="1"/>
  <c r="CI117" i="26" s="1"/>
  <c r="W115" i="26"/>
  <c r="CM115" i="26" s="1"/>
  <c r="CI115" i="26" s="1"/>
  <c r="W80" i="26"/>
  <c r="CM80" i="26" s="1"/>
  <c r="CI80" i="26" s="1"/>
  <c r="W59" i="26"/>
  <c r="CM59" i="26" s="1"/>
  <c r="CI59" i="26" s="1"/>
  <c r="W63" i="26"/>
  <c r="CM63" i="26" s="1"/>
  <c r="CI63" i="26" s="1"/>
  <c r="AA134" i="26"/>
  <c r="W165" i="26"/>
  <c r="W118" i="26"/>
  <c r="CM118" i="26" s="1"/>
  <c r="CI118" i="26" s="1"/>
  <c r="W107" i="26"/>
  <c r="CM107" i="26" s="1"/>
  <c r="CI107" i="26" s="1"/>
  <c r="W66" i="26"/>
  <c r="CM66" i="26" s="1"/>
  <c r="CI66" i="26" s="1"/>
  <c r="W87" i="26"/>
  <c r="CM87" i="26" s="1"/>
  <c r="CI87" i="26" s="1"/>
  <c r="W67" i="26"/>
  <c r="CM67" i="26" s="1"/>
  <c r="CI67" i="26" s="1"/>
  <c r="AA138" i="26"/>
  <c r="AA143" i="26"/>
  <c r="W167" i="26"/>
  <c r="W54" i="26"/>
  <c r="CM54" i="26" s="1"/>
  <c r="CI54" i="26" s="1"/>
  <c r="W91" i="26"/>
  <c r="CM91" i="26" s="1"/>
  <c r="CI91" i="26" s="1"/>
  <c r="AA141" i="26"/>
  <c r="AA161" i="26"/>
  <c r="AA144" i="26"/>
  <c r="W162" i="26"/>
  <c r="W111" i="26"/>
  <c r="CM111" i="26" s="1"/>
  <c r="CI111" i="26" s="1"/>
  <c r="W88" i="26"/>
  <c r="CM88" i="26" s="1"/>
  <c r="CI88" i="26" s="1"/>
  <c r="W161" i="26"/>
  <c r="W57" i="26"/>
  <c r="CM57" i="26" s="1"/>
  <c r="CI57" i="26" s="1"/>
  <c r="W79" i="26"/>
  <c r="CM79" i="26" s="1"/>
  <c r="CI79" i="26" s="1"/>
  <c r="W116" i="26"/>
  <c r="CM116" i="26" s="1"/>
  <c r="CI116" i="26" s="1"/>
  <c r="W62" i="26"/>
  <c r="CM62" i="26" s="1"/>
  <c r="CI62" i="26" s="1"/>
  <c r="AA160" i="26"/>
  <c r="W168" i="26"/>
  <c r="W196" i="26"/>
  <c r="W141" i="26"/>
  <c r="W110" i="26"/>
  <c r="CM110" i="26" s="1"/>
  <c r="CI110" i="26" s="1"/>
  <c r="W82" i="26"/>
  <c r="CM82" i="26" s="1"/>
  <c r="CI82" i="26" s="1"/>
  <c r="W90" i="26"/>
  <c r="CM90" i="26" s="1"/>
  <c r="CI90" i="26" s="1"/>
  <c r="AA142" i="26"/>
  <c r="W166" i="26"/>
  <c r="W114" i="26"/>
  <c r="CM114" i="26" s="1"/>
  <c r="CI114" i="26" s="1"/>
  <c r="W135" i="26"/>
  <c r="W92" i="26"/>
  <c r="CM92" i="26" s="1"/>
  <c r="CI92" i="26" s="1"/>
  <c r="W160" i="26"/>
  <c r="CM160" i="26" s="1"/>
  <c r="W144" i="26"/>
  <c r="W81" i="26"/>
  <c r="CM81" i="26" s="1"/>
  <c r="CI81" i="26" s="1"/>
  <c r="W159" i="26"/>
  <c r="W143" i="26"/>
  <c r="AA136" i="26"/>
  <c r="W108" i="26"/>
  <c r="CM108" i="26" s="1"/>
  <c r="CI108" i="26" s="1"/>
  <c r="W55" i="26"/>
  <c r="CM55" i="26" s="1"/>
  <c r="CI55" i="26" s="1"/>
  <c r="AA140" i="26"/>
  <c r="W89" i="26"/>
  <c r="CM89" i="26" s="1"/>
  <c r="CI89" i="26" s="1"/>
  <c r="W61" i="26"/>
  <c r="CM61" i="26" s="1"/>
  <c r="CI61" i="26" s="1"/>
  <c r="AA132" i="26"/>
  <c r="W112" i="26"/>
  <c r="CM112" i="26" s="1"/>
  <c r="CI112" i="26" s="1"/>
  <c r="AA130" i="26"/>
  <c r="W105" i="26"/>
  <c r="CM105" i="26" s="1"/>
  <c r="CI105" i="26" s="1"/>
  <c r="W85" i="26"/>
  <c r="CM85" i="26" s="1"/>
  <c r="CI85" i="26" s="1"/>
  <c r="W139" i="26"/>
  <c r="CM139" i="26" s="1"/>
  <c r="W132" i="26"/>
  <c r="W137" i="26"/>
  <c r="AA168" i="26"/>
  <c r="W84" i="26"/>
  <c r="CM84" i="26" s="1"/>
  <c r="CI84" i="26" s="1"/>
  <c r="AA162" i="26"/>
  <c r="W109" i="26"/>
  <c r="CM109" i="26" s="1"/>
  <c r="CI109" i="26" s="1"/>
  <c r="W136" i="26"/>
  <c r="W56" i="26"/>
  <c r="CM56" i="26" s="1"/>
  <c r="CI56" i="26" s="1"/>
  <c r="AA163" i="26"/>
  <c r="W83" i="26"/>
  <c r="CM83" i="26" s="1"/>
  <c r="CI83" i="26" s="1"/>
  <c r="AA165" i="26"/>
  <c r="W140" i="26"/>
  <c r="W138" i="26"/>
  <c r="CM138" i="26" s="1"/>
  <c r="W134" i="26"/>
  <c r="W163" i="26"/>
  <c r="W106" i="26"/>
  <c r="CM106" i="26" s="1"/>
  <c r="CI106" i="26" s="1"/>
  <c r="W86" i="26"/>
  <c r="CM86" i="26" s="1"/>
  <c r="CI86" i="26" s="1"/>
  <c r="W142" i="26"/>
  <c r="W155" i="26"/>
  <c r="AA157" i="26"/>
  <c r="W133" i="26"/>
  <c r="W64" i="26"/>
  <c r="CM64" i="26" s="1"/>
  <c r="CI64" i="26" s="1"/>
  <c r="W156" i="26"/>
  <c r="AA156" i="26"/>
  <c r="AA158" i="26"/>
  <c r="W158" i="26"/>
  <c r="W157" i="26"/>
  <c r="AA131" i="26"/>
  <c r="AA155" i="26"/>
  <c r="AA154" i="26"/>
  <c r="AA193" i="26"/>
  <c r="W131" i="26"/>
  <c r="W68" i="26"/>
  <c r="CM68" i="26" s="1"/>
  <c r="CI68" i="26" s="1"/>
  <c r="A68" i="26" s="1" a="1"/>
  <c r="A68" i="26" s="1"/>
  <c r="BO168" i="20"/>
  <c r="V207" i="9"/>
  <c r="V150" i="9"/>
  <c r="V169" i="9"/>
  <c r="V74" i="9"/>
  <c r="V245" i="9"/>
  <c r="V188" i="9"/>
  <c r="V93" i="9"/>
  <c r="V264" i="9"/>
  <c r="V112" i="9"/>
  <c r="V416" i="9"/>
  <c r="V359" i="9"/>
  <c r="V397" i="9"/>
  <c r="V283" i="9"/>
  <c r="V321" i="9"/>
  <c r="V340" i="9"/>
  <c r="V378" i="9"/>
  <c r="V226" i="9"/>
  <c r="V131" i="9"/>
  <c r="V302" i="9"/>
  <c r="W112" i="3"/>
  <c r="V112" i="3"/>
  <c r="V135" i="3"/>
  <c r="V103" i="3"/>
  <c r="W103" i="3"/>
  <c r="V126" i="3"/>
  <c r="W94" i="3"/>
  <c r="V117" i="3"/>
  <c r="V94" i="3"/>
  <c r="W95" i="3"/>
  <c r="V118" i="3"/>
  <c r="V95" i="3"/>
  <c r="W111" i="3"/>
  <c r="V134" i="3"/>
  <c r="V111" i="3"/>
  <c r="CM133" i="26" l="1"/>
  <c r="CM131" i="26"/>
  <c r="CM191" i="26"/>
  <c r="CM188" i="26"/>
  <c r="CM140" i="26"/>
  <c r="CM137" i="26"/>
  <c r="CP155" i="26"/>
  <c r="CQ155" i="26"/>
  <c r="CR155" i="26"/>
  <c r="CO155" i="26"/>
  <c r="CN155" i="26"/>
  <c r="CP158" i="26"/>
  <c r="CQ158" i="26"/>
  <c r="CN158" i="26"/>
  <c r="CR158" i="26"/>
  <c r="CO158" i="26"/>
  <c r="CP163" i="26"/>
  <c r="CQ163" i="26"/>
  <c r="CO163" i="26"/>
  <c r="CN163" i="26"/>
  <c r="CR163" i="26"/>
  <c r="CP162" i="26"/>
  <c r="CQ162" i="26"/>
  <c r="CN162" i="26"/>
  <c r="CO162" i="26"/>
  <c r="CR162" i="26"/>
  <c r="CP130" i="26"/>
  <c r="CQ130" i="26"/>
  <c r="CR130" i="26"/>
  <c r="CO130" i="26"/>
  <c r="CN130" i="26"/>
  <c r="CP136" i="26"/>
  <c r="CQ136" i="26"/>
  <c r="CN136" i="26"/>
  <c r="CR136" i="26"/>
  <c r="CO136" i="26"/>
  <c r="CP141" i="26"/>
  <c r="CQ141" i="26"/>
  <c r="CR141" i="26"/>
  <c r="CN141" i="26"/>
  <c r="CO141" i="26"/>
  <c r="CP143" i="26"/>
  <c r="CQ143" i="26"/>
  <c r="CN143" i="26"/>
  <c r="CR143" i="26"/>
  <c r="CO143" i="26"/>
  <c r="CP134" i="26"/>
  <c r="CQ134" i="26"/>
  <c r="CO134" i="26"/>
  <c r="CN134" i="26"/>
  <c r="CR134" i="26"/>
  <c r="CP159" i="26"/>
  <c r="CQ159" i="26"/>
  <c r="CN159" i="26"/>
  <c r="CO159" i="26"/>
  <c r="CR159" i="26"/>
  <c r="CP135" i="26"/>
  <c r="CQ135" i="26"/>
  <c r="CN135" i="26"/>
  <c r="CR135" i="26"/>
  <c r="CO135" i="26"/>
  <c r="CP164" i="26"/>
  <c r="CQ164" i="26"/>
  <c r="CR164" i="26"/>
  <c r="CN164" i="26"/>
  <c r="CO164" i="26"/>
  <c r="CP185" i="26"/>
  <c r="CQ185" i="26"/>
  <c r="CN185" i="26"/>
  <c r="CR185" i="26"/>
  <c r="CO185" i="26"/>
  <c r="CP178" i="26"/>
  <c r="CQ178" i="26"/>
  <c r="CN178" i="26"/>
  <c r="CR178" i="26"/>
  <c r="CO178" i="26"/>
  <c r="CP190" i="26"/>
  <c r="CQ190" i="26"/>
  <c r="CO190" i="26"/>
  <c r="CR190" i="26"/>
  <c r="CN190" i="26"/>
  <c r="CP131" i="26"/>
  <c r="CQ131" i="26"/>
  <c r="CO131" i="26"/>
  <c r="CN131" i="26"/>
  <c r="CR131" i="26"/>
  <c r="CP156" i="26"/>
  <c r="CQ156" i="26"/>
  <c r="CN156" i="26"/>
  <c r="CR156" i="26"/>
  <c r="CO156" i="26"/>
  <c r="CQ157" i="26"/>
  <c r="CN157" i="26"/>
  <c r="CO157" i="26"/>
  <c r="CR157" i="26"/>
  <c r="CP140" i="26"/>
  <c r="CQ140" i="26"/>
  <c r="CN140" i="26"/>
  <c r="CO140" i="26"/>
  <c r="CR140" i="26"/>
  <c r="CP160" i="26"/>
  <c r="CQ160" i="26"/>
  <c r="CN160" i="26"/>
  <c r="CO160" i="26"/>
  <c r="CR160" i="26"/>
  <c r="CP138" i="26"/>
  <c r="CQ138" i="26"/>
  <c r="CN138" i="26"/>
  <c r="CO138" i="26"/>
  <c r="CR138" i="26"/>
  <c r="CP167" i="26"/>
  <c r="CQ167" i="26"/>
  <c r="CO167" i="26"/>
  <c r="CN167" i="26"/>
  <c r="CR167" i="26"/>
  <c r="CP139" i="26"/>
  <c r="CQ139" i="26"/>
  <c r="CN139" i="26"/>
  <c r="CO139" i="26"/>
  <c r="CR139" i="26"/>
  <c r="CP186" i="26"/>
  <c r="CQ186" i="26"/>
  <c r="CN186" i="26"/>
  <c r="CR186" i="26"/>
  <c r="CO186" i="26"/>
  <c r="CP187" i="26"/>
  <c r="CQ187" i="26"/>
  <c r="CN187" i="26"/>
  <c r="CR187" i="26"/>
  <c r="CO187" i="26"/>
  <c r="CP184" i="26"/>
  <c r="CQ184" i="26"/>
  <c r="CR184" i="26"/>
  <c r="CO184" i="26"/>
  <c r="CN184" i="26"/>
  <c r="CP191" i="26"/>
  <c r="CQ191" i="26"/>
  <c r="CR191" i="26"/>
  <c r="CN191" i="26"/>
  <c r="CO191" i="26"/>
  <c r="CP193" i="26"/>
  <c r="CQ193" i="26"/>
  <c r="CO193" i="26"/>
  <c r="CR193" i="26"/>
  <c r="CN193" i="26"/>
  <c r="CP165" i="26"/>
  <c r="CQ165" i="26"/>
  <c r="CN165" i="26"/>
  <c r="CO165" i="26"/>
  <c r="CR165" i="26"/>
  <c r="CP168" i="26"/>
  <c r="CQ168" i="26"/>
  <c r="CR168" i="26"/>
  <c r="CN168" i="26"/>
  <c r="CO168" i="26"/>
  <c r="CP132" i="26"/>
  <c r="CQ132" i="26"/>
  <c r="CN132" i="26"/>
  <c r="CR132" i="26"/>
  <c r="CO132" i="26"/>
  <c r="CP142" i="26"/>
  <c r="CQ142" i="26"/>
  <c r="CR142" i="26"/>
  <c r="CO142" i="26"/>
  <c r="CN142" i="26"/>
  <c r="CP144" i="26"/>
  <c r="CQ144" i="26"/>
  <c r="CN144" i="26"/>
  <c r="CO144" i="26"/>
  <c r="CR144" i="26"/>
  <c r="CP137" i="26"/>
  <c r="CQ137" i="26"/>
  <c r="CN137" i="26"/>
  <c r="CR137" i="26"/>
  <c r="CO137" i="26"/>
  <c r="CP133" i="26"/>
  <c r="CQ133" i="26"/>
  <c r="CR133" i="26"/>
  <c r="CO133" i="26"/>
  <c r="CN133" i="26"/>
  <c r="CP181" i="26"/>
  <c r="CQ181" i="26"/>
  <c r="CO181" i="26"/>
  <c r="CN181" i="26"/>
  <c r="CR181" i="26"/>
  <c r="CP183" i="26"/>
  <c r="CQ183" i="26"/>
  <c r="CN183" i="26"/>
  <c r="CO183" i="26"/>
  <c r="CR183" i="26"/>
  <c r="CP180" i="26"/>
  <c r="CQ180" i="26"/>
  <c r="CR180" i="26"/>
  <c r="CO180" i="26"/>
  <c r="CN180" i="26"/>
  <c r="CP188" i="26"/>
  <c r="CQ188" i="26"/>
  <c r="CO188" i="26"/>
  <c r="CN188" i="26"/>
  <c r="CR188" i="26"/>
  <c r="CP154" i="26"/>
  <c r="CQ154" i="26"/>
  <c r="CR154" i="26"/>
  <c r="CO154" i="26"/>
  <c r="CN154" i="26"/>
  <c r="CP161" i="26"/>
  <c r="CQ161" i="26"/>
  <c r="CR161" i="26"/>
  <c r="CO161" i="26"/>
  <c r="CN161" i="26"/>
  <c r="CP196" i="26"/>
  <c r="CQ196" i="26"/>
  <c r="CR196" i="26"/>
  <c r="CO196" i="26"/>
  <c r="CN196" i="26"/>
  <c r="CP166" i="26"/>
  <c r="CQ166" i="26"/>
  <c r="CN166" i="26"/>
  <c r="CO166" i="26"/>
  <c r="CR166" i="26"/>
  <c r="CP179" i="26"/>
  <c r="CQ179" i="26"/>
  <c r="CN179" i="26"/>
  <c r="CR179" i="26"/>
  <c r="CO179" i="26"/>
  <c r="CP189" i="26"/>
  <c r="CQ189" i="26"/>
  <c r="CO189" i="26"/>
  <c r="CR189" i="26"/>
  <c r="CN189" i="26"/>
  <c r="CP182" i="26"/>
  <c r="CQ182" i="26"/>
  <c r="CO182" i="26"/>
  <c r="CN182" i="26"/>
  <c r="CR182" i="26"/>
  <c r="CP192" i="26"/>
  <c r="CQ192" i="26"/>
  <c r="CN192" i="26"/>
  <c r="CO192" i="26"/>
  <c r="CR192" i="26"/>
  <c r="CM167" i="26"/>
  <c r="CI167" i="26" s="1"/>
  <c r="CM166" i="26"/>
  <c r="CM182" i="26"/>
  <c r="CM143" i="26"/>
  <c r="CM159" i="26"/>
  <c r="CI159" i="26" s="1"/>
  <c r="CM134" i="26"/>
  <c r="CI134" i="26" s="1"/>
  <c r="CM135" i="26"/>
  <c r="CM190" i="26"/>
  <c r="CM161" i="26"/>
  <c r="CM142" i="26"/>
  <c r="CI142" i="26" s="1"/>
  <c r="CM132" i="26"/>
  <c r="CM144" i="26"/>
  <c r="CI144" i="26" s="1"/>
  <c r="CM185" i="26"/>
  <c r="CI185" i="26" s="1"/>
  <c r="CM168" i="26"/>
  <c r="CI168" i="26" s="1"/>
  <c r="BL159" i="26"/>
  <c r="CS159" i="26" s="1"/>
  <c r="CK159" i="26" s="1"/>
  <c r="BL86" i="26"/>
  <c r="BL234" i="26" s="1"/>
  <c r="CS234" i="26" s="1"/>
  <c r="CK234" i="26" s="1"/>
  <c r="A234" i="26" s="1" a="1"/>
  <c r="A234" i="26" s="1"/>
  <c r="W173" i="26"/>
  <c r="CM154" i="26"/>
  <c r="BL118" i="26"/>
  <c r="CS118" i="26" s="1"/>
  <c r="CK118" i="26" s="1"/>
  <c r="A118" i="26" s="1" a="1"/>
  <c r="A118" i="26" s="1"/>
  <c r="BL186" i="26"/>
  <c r="CS186" i="26" s="1"/>
  <c r="CK186" i="26" s="1"/>
  <c r="W195" i="26"/>
  <c r="CM181" i="26"/>
  <c r="CI181" i="26" s="1"/>
  <c r="BL190" i="26"/>
  <c r="CS190" i="26" s="1"/>
  <c r="CK190" i="26" s="1"/>
  <c r="CM162" i="26"/>
  <c r="CI162" i="26" s="1"/>
  <c r="BL135" i="26"/>
  <c r="CS135" i="26" s="1"/>
  <c r="CK135" i="26" s="1"/>
  <c r="W70" i="26"/>
  <c r="W71" i="26" s="1"/>
  <c r="CM53" i="26"/>
  <c r="CI53" i="26" s="1"/>
  <c r="BL63" i="26"/>
  <c r="CS63" i="26" s="1"/>
  <c r="CK63" i="26" s="1"/>
  <c r="A63" i="26" s="1" a="1"/>
  <c r="A63" i="26" s="1"/>
  <c r="BL164" i="26"/>
  <c r="CS164" i="26" s="1"/>
  <c r="CK164" i="26" s="1"/>
  <c r="BL114" i="26"/>
  <c r="CS114" i="26" s="1"/>
  <c r="CK114" i="26" s="1"/>
  <c r="A114" i="26" s="1" a="1"/>
  <c r="A114" i="26" s="1"/>
  <c r="BL62" i="26"/>
  <c r="CS62" i="26" s="1"/>
  <c r="CK62" i="26" s="1"/>
  <c r="A62" i="26" s="1" a="1"/>
  <c r="A62" i="26" s="1"/>
  <c r="W193" i="26"/>
  <c r="CM193" i="26" s="1"/>
  <c r="CI193" i="26" s="1"/>
  <c r="CM179" i="26"/>
  <c r="CS189" i="26"/>
  <c r="CK189" i="26" s="1"/>
  <c r="BL192" i="26"/>
  <c r="CS192" i="26" s="1"/>
  <c r="CK192" i="26" s="1"/>
  <c r="W172" i="26"/>
  <c r="CM158" i="26"/>
  <c r="AA171" i="26"/>
  <c r="AA249" i="26" s="1"/>
  <c r="CP157" i="26"/>
  <c r="W171" i="26"/>
  <c r="CM157" i="26"/>
  <c r="W170" i="26"/>
  <c r="CM156" i="26"/>
  <c r="CI156" i="26" s="1"/>
  <c r="W169" i="26"/>
  <c r="W208" i="26" s="1"/>
  <c r="CM155" i="26"/>
  <c r="CI155" i="26" s="1"/>
  <c r="CM163" i="26"/>
  <c r="CI163" i="26" s="1"/>
  <c r="CM136" i="26"/>
  <c r="CM141" i="26"/>
  <c r="CI141" i="26" s="1"/>
  <c r="W295" i="26"/>
  <c r="BL136" i="26"/>
  <c r="CS136" i="26" s="1"/>
  <c r="CK136" i="26" s="1"/>
  <c r="BL166" i="26"/>
  <c r="CS166" i="26" s="1"/>
  <c r="CK166" i="26" s="1"/>
  <c r="BL85" i="26"/>
  <c r="CS85" i="26" s="1"/>
  <c r="CK85" i="26" s="1"/>
  <c r="A85" i="26" s="1" a="1"/>
  <c r="A85" i="26" s="1"/>
  <c r="BL108" i="26"/>
  <c r="CS108" i="26" s="1"/>
  <c r="CK108" i="26" s="1"/>
  <c r="A108" i="26" s="1" a="1"/>
  <c r="A108" i="26" s="1"/>
  <c r="BL161" i="26"/>
  <c r="CS161" i="26" s="1"/>
  <c r="CK161" i="26" s="1"/>
  <c r="W197" i="26"/>
  <c r="CM178" i="26"/>
  <c r="CI178" i="26" s="1"/>
  <c r="CM189" i="26"/>
  <c r="CI189" i="26" s="1"/>
  <c r="CM180" i="26"/>
  <c r="CI180" i="26" s="1"/>
  <c r="CM192" i="26"/>
  <c r="W297" i="26"/>
  <c r="CM196" i="26"/>
  <c r="CM165" i="26"/>
  <c r="CI165" i="26" s="1"/>
  <c r="CM164" i="26"/>
  <c r="CI164" i="26" s="1"/>
  <c r="BL167" i="26"/>
  <c r="CS167" i="26" s="1"/>
  <c r="CK167" i="26" s="1"/>
  <c r="BL109" i="26"/>
  <c r="CS109" i="26" s="1"/>
  <c r="CK109" i="26" s="1"/>
  <c r="A109" i="26" s="1" a="1"/>
  <c r="A109" i="26" s="1"/>
  <c r="CM186" i="26"/>
  <c r="CM183" i="26"/>
  <c r="BL191" i="26"/>
  <c r="CS191" i="26" s="1"/>
  <c r="CK191" i="26" s="1"/>
  <c r="BL184" i="26"/>
  <c r="CS184" i="26" s="1"/>
  <c r="CK184" i="26" s="1"/>
  <c r="CM187" i="26"/>
  <c r="CM130" i="26"/>
  <c r="AA145" i="26"/>
  <c r="AA170" i="26"/>
  <c r="BL144" i="26"/>
  <c r="CS144" i="26" s="1"/>
  <c r="CK144" i="26" s="1"/>
  <c r="BL117" i="26"/>
  <c r="CS117" i="26" s="1"/>
  <c r="CK117" i="26" s="1"/>
  <c r="A117" i="26" s="1" a="1"/>
  <c r="A117" i="26" s="1"/>
  <c r="BL65" i="26"/>
  <c r="CS65" i="26" s="1"/>
  <c r="CK65" i="26" s="1"/>
  <c r="A65" i="26" s="1" a="1"/>
  <c r="A65" i="26" s="1"/>
  <c r="BL162" i="26"/>
  <c r="CS162" i="26" s="1"/>
  <c r="CK162" i="26" s="1"/>
  <c r="BL81" i="26"/>
  <c r="CS81" i="26" s="1"/>
  <c r="CK81" i="26" s="1"/>
  <c r="A81" i="26" s="1" a="1"/>
  <c r="A81" i="26" s="1"/>
  <c r="BL142" i="26"/>
  <c r="CS142" i="26" s="1"/>
  <c r="CK142" i="26" s="1"/>
  <c r="BL165" i="26"/>
  <c r="CS165" i="26" s="1"/>
  <c r="CK165" i="26" s="1"/>
  <c r="BL115" i="26"/>
  <c r="CS115" i="26" s="1"/>
  <c r="CK115" i="26" s="1"/>
  <c r="A115" i="26" s="1" a="1"/>
  <c r="A115" i="26" s="1"/>
  <c r="BL88" i="26"/>
  <c r="CS88" i="26" s="1"/>
  <c r="CK88" i="26" s="1"/>
  <c r="A88" i="26" s="1" a="1"/>
  <c r="A88" i="26" s="1"/>
  <c r="BL141" i="26"/>
  <c r="CS141" i="26" s="1"/>
  <c r="CK141" i="26" s="1"/>
  <c r="BL87" i="26"/>
  <c r="CS87" i="26" s="1"/>
  <c r="CK87" i="26" s="1"/>
  <c r="A87" i="26" s="1" a="1"/>
  <c r="A87" i="26" s="1"/>
  <c r="AA195" i="26"/>
  <c r="BL183" i="26"/>
  <c r="CS183" i="26" s="1"/>
  <c r="CK183" i="26" s="1"/>
  <c r="AA194" i="26"/>
  <c r="AA146" i="26"/>
  <c r="AA147" i="26"/>
  <c r="BL113" i="26"/>
  <c r="CS113" i="26" s="1"/>
  <c r="CK113" i="26" s="1"/>
  <c r="A113" i="26" s="1" a="1"/>
  <c r="A113" i="26" s="1"/>
  <c r="BL61" i="26"/>
  <c r="CS61" i="26" s="1"/>
  <c r="CK61" i="26" s="1"/>
  <c r="A61" i="26" s="1" a="1"/>
  <c r="A61" i="26" s="1"/>
  <c r="BL140" i="26"/>
  <c r="CS140" i="26" s="1"/>
  <c r="CK140" i="26" s="1"/>
  <c r="BL57" i="26"/>
  <c r="CS57" i="26" s="1"/>
  <c r="CK57" i="26" s="1"/>
  <c r="A57" i="26" s="1" a="1"/>
  <c r="A57" i="26" s="1"/>
  <c r="BL116" i="26"/>
  <c r="CS116" i="26" s="1"/>
  <c r="CK116" i="26" s="1"/>
  <c r="A116" i="26" s="1" a="1"/>
  <c r="A116" i="26" s="1"/>
  <c r="BL64" i="26"/>
  <c r="CS64" i="26" s="1"/>
  <c r="CK64" i="26" s="1"/>
  <c r="A64" i="26" s="1" a="1"/>
  <c r="A64" i="26" s="1"/>
  <c r="BL138" i="26"/>
  <c r="CS138" i="26" s="1"/>
  <c r="CK138" i="26" s="1"/>
  <c r="BL111" i="26"/>
  <c r="CS111" i="26" s="1"/>
  <c r="CK111" i="26" s="1"/>
  <c r="A111" i="26" s="1" a="1"/>
  <c r="A111" i="26" s="1"/>
  <c r="BL84" i="26"/>
  <c r="CS84" i="26" s="1"/>
  <c r="CK84" i="26" s="1"/>
  <c r="A84" i="26" s="1" a="1"/>
  <c r="A84" i="26" s="1"/>
  <c r="BL59" i="26"/>
  <c r="CS59" i="26" s="1"/>
  <c r="CK59" i="26" s="1"/>
  <c r="A59" i="26" s="1" a="1"/>
  <c r="A59" i="26" s="1"/>
  <c r="BL137" i="26"/>
  <c r="CS137" i="26" s="1"/>
  <c r="CK137" i="26" s="1"/>
  <c r="BL160" i="26"/>
  <c r="CS160" i="26" s="1"/>
  <c r="CK160" i="26" s="1"/>
  <c r="BL110" i="26"/>
  <c r="CS110" i="26" s="1"/>
  <c r="CK110" i="26" s="1"/>
  <c r="A110" i="26" s="1" a="1"/>
  <c r="A110" i="26" s="1"/>
  <c r="BL83" i="26"/>
  <c r="CS83" i="26" s="1"/>
  <c r="CK83" i="26" s="1"/>
  <c r="A83" i="26" s="1" a="1"/>
  <c r="A83" i="26" s="1"/>
  <c r="BL58" i="26"/>
  <c r="CS58" i="26" s="1"/>
  <c r="CK58" i="26" s="1"/>
  <c r="A58" i="26" s="1" a="1"/>
  <c r="A58" i="26" s="1"/>
  <c r="BL187" i="26"/>
  <c r="CS187" i="26" s="1"/>
  <c r="CK187" i="26" s="1"/>
  <c r="BL188" i="26"/>
  <c r="CS188" i="26" s="1"/>
  <c r="CK188" i="26" s="1"/>
  <c r="AA297" i="26"/>
  <c r="BL90" i="26"/>
  <c r="CS90" i="26" s="1"/>
  <c r="CK90" i="26" s="1"/>
  <c r="A90" i="26" s="1" a="1"/>
  <c r="A90" i="26" s="1"/>
  <c r="BL139" i="26"/>
  <c r="CS139" i="26" s="1"/>
  <c r="CK139" i="26" s="1"/>
  <c r="BL107" i="26"/>
  <c r="CS107" i="26" s="1"/>
  <c r="CK107" i="26" s="1"/>
  <c r="A107" i="26" s="1" a="1"/>
  <c r="A107" i="26" s="1"/>
  <c r="BL56" i="26"/>
  <c r="CS56" i="26" s="1"/>
  <c r="CK56" i="26" s="1"/>
  <c r="A56" i="26" s="1" a="1"/>
  <c r="A56" i="26" s="1"/>
  <c r="BL106" i="26"/>
  <c r="CS106" i="26" s="1"/>
  <c r="CK106" i="26" s="1"/>
  <c r="A106" i="26" s="1" a="1"/>
  <c r="A106" i="26" s="1"/>
  <c r="BL80" i="26"/>
  <c r="CS80" i="26" s="1"/>
  <c r="CK80" i="26" s="1"/>
  <c r="A80" i="26" s="1" a="1"/>
  <c r="A80" i="26" s="1"/>
  <c r="BL55" i="26"/>
  <c r="CS55" i="26" s="1"/>
  <c r="CK55" i="26" s="1"/>
  <c r="A55" i="26" s="1" a="1"/>
  <c r="A55" i="26" s="1"/>
  <c r="BL105" i="26"/>
  <c r="CS105" i="26" s="1"/>
  <c r="CK105" i="26" s="1"/>
  <c r="A105" i="26" s="1" a="1"/>
  <c r="A105" i="26" s="1"/>
  <c r="BL54" i="26"/>
  <c r="CS54" i="26" s="1"/>
  <c r="CK54" i="26" s="1"/>
  <c r="A54" i="26" s="1" a="1"/>
  <c r="A54" i="26" s="1"/>
  <c r="BL185" i="26"/>
  <c r="CS185" i="26" s="1"/>
  <c r="CK185" i="26" s="1"/>
  <c r="AA169" i="26"/>
  <c r="AA172" i="26"/>
  <c r="AA149" i="26"/>
  <c r="AA148" i="26"/>
  <c r="BL143" i="26"/>
  <c r="CS143" i="26" s="1"/>
  <c r="CK143" i="26" s="1"/>
  <c r="BL112" i="26"/>
  <c r="BL235" i="26" s="1"/>
  <c r="BL60" i="26"/>
  <c r="CS60" i="26" s="1"/>
  <c r="CK60" i="26" s="1"/>
  <c r="A60" i="26" s="1" a="1"/>
  <c r="A60" i="26" s="1"/>
  <c r="BL163" i="26"/>
  <c r="CS163" i="26" s="1"/>
  <c r="CK163" i="26" s="1"/>
  <c r="BL82" i="26"/>
  <c r="CS82" i="26" s="1"/>
  <c r="CK82" i="26" s="1"/>
  <c r="A82" i="26" s="1" a="1"/>
  <c r="A82" i="26" s="1"/>
  <c r="BL89" i="26"/>
  <c r="CS89" i="26" s="1"/>
  <c r="CK89" i="26" s="1"/>
  <c r="A89" i="26" s="1" a="1"/>
  <c r="A89" i="26" s="1"/>
  <c r="BL92" i="26"/>
  <c r="CS92" i="26" s="1"/>
  <c r="CK92" i="26" s="1"/>
  <c r="A92" i="26" s="1" a="1"/>
  <c r="A92" i="26" s="1"/>
  <c r="BL67" i="26"/>
  <c r="CS67" i="26" s="1"/>
  <c r="CK67" i="26" s="1"/>
  <c r="A67" i="26" s="1" a="1"/>
  <c r="A67" i="26" s="1"/>
  <c r="BL168" i="26"/>
  <c r="CS168" i="26" s="1"/>
  <c r="CK168" i="26" s="1"/>
  <c r="BL91" i="26"/>
  <c r="CS91" i="26" s="1"/>
  <c r="CK91" i="26" s="1"/>
  <c r="A91" i="26" s="1" a="1"/>
  <c r="A91" i="26" s="1"/>
  <c r="BL66" i="26"/>
  <c r="CS66" i="26" s="1"/>
  <c r="CK66" i="26" s="1"/>
  <c r="A66" i="26" s="1" a="1"/>
  <c r="A66" i="26" s="1"/>
  <c r="CM168" i="20"/>
  <c r="CE168" i="20" s="1"/>
  <c r="A168" i="20" s="1" a="1"/>
  <c r="A168" i="20" s="1"/>
  <c r="BO43" i="30"/>
  <c r="Y43" i="30" s="1"/>
  <c r="CK141" i="20"/>
  <c r="CE141" i="20" s="1"/>
  <c r="BL181" i="26"/>
  <c r="BL195" i="26" s="1"/>
  <c r="BL296" i="26" s="1"/>
  <c r="V195" i="26"/>
  <c r="V93" i="26"/>
  <c r="BL78" i="26"/>
  <c r="BL93" i="26" s="1"/>
  <c r="BL180" i="26"/>
  <c r="BL194" i="26" s="1"/>
  <c r="BL295" i="26" s="1"/>
  <c r="V194" i="26"/>
  <c r="V146" i="26"/>
  <c r="BL132" i="26"/>
  <c r="BL146" i="26" s="1"/>
  <c r="BL154" i="26"/>
  <c r="CS154" i="26" s="1"/>
  <c r="CK154" i="26" s="1"/>
  <c r="V173" i="26"/>
  <c r="V147" i="26"/>
  <c r="BL133" i="26"/>
  <c r="BL147" i="26" s="1"/>
  <c r="BL156" i="26"/>
  <c r="BL170" i="26" s="1"/>
  <c r="BL222" i="26" s="1"/>
  <c r="V170" i="26"/>
  <c r="BL179" i="26"/>
  <c r="V193" i="26"/>
  <c r="V148" i="26"/>
  <c r="BL134" i="26"/>
  <c r="BL148" i="26" s="1"/>
  <c r="BL157" i="26"/>
  <c r="BL171" i="26" s="1"/>
  <c r="BL249" i="26" s="1"/>
  <c r="V171" i="26"/>
  <c r="BL104" i="26"/>
  <c r="BL120" i="26" s="1"/>
  <c r="V120" i="26"/>
  <c r="V145" i="26"/>
  <c r="BL131" i="26"/>
  <c r="BL155" i="26"/>
  <c r="BL169" i="26" s="1"/>
  <c r="V169" i="26"/>
  <c r="BL53" i="26"/>
  <c r="CS53" i="26" s="1"/>
  <c r="CK53" i="26" s="1"/>
  <c r="V70" i="26"/>
  <c r="BL158" i="26"/>
  <c r="BL172" i="26" s="1"/>
  <c r="BL236" i="26" s="1"/>
  <c r="V172" i="26"/>
  <c r="BL178" i="26"/>
  <c r="CS178" i="26" s="1"/>
  <c r="CK178" i="26" s="1"/>
  <c r="V197" i="26"/>
  <c r="V149" i="26"/>
  <c r="BL130" i="26"/>
  <c r="BL149" i="26" s="1"/>
  <c r="BL182" i="26"/>
  <c r="BL196" i="26" s="1"/>
  <c r="BL297" i="26" s="1"/>
  <c r="V196" i="26"/>
  <c r="V95" i="26"/>
  <c r="BL79" i="26"/>
  <c r="BL95" i="26" s="1"/>
  <c r="BM95" i="26"/>
  <c r="CP95" i="26" s="1"/>
  <c r="CJ95" i="26" s="1"/>
  <c r="W95" i="26"/>
  <c r="CM95" i="26" s="1"/>
  <c r="CI95" i="26" s="1"/>
  <c r="BO48" i="30"/>
  <c r="AA294" i="26"/>
  <c r="AA173" i="26"/>
  <c r="BM120" i="26"/>
  <c r="CP120" i="26" s="1"/>
  <c r="CJ120" i="26" s="1"/>
  <c r="W120" i="26"/>
  <c r="CM120" i="26" s="1"/>
  <c r="CI120" i="26" s="1"/>
  <c r="BM146" i="26"/>
  <c r="W146" i="26"/>
  <c r="BM803" i="9"/>
  <c r="BM876" i="9" s="1"/>
  <c r="BM1127" i="9" s="1"/>
  <c r="W149" i="26"/>
  <c r="BM149" i="26"/>
  <c r="BO39" i="30"/>
  <c r="BO147" i="30" s="1"/>
  <c r="W205" i="26"/>
  <c r="CM205" i="26" s="1"/>
  <c r="CI205" i="26" s="1"/>
  <c r="A205" i="26" s="1" a="1"/>
  <c r="A205" i="26" s="1"/>
  <c r="W93" i="26"/>
  <c r="CM93" i="26" s="1"/>
  <c r="CI93" i="26" s="1"/>
  <c r="BM93" i="26"/>
  <c r="CP93" i="26" s="1"/>
  <c r="CJ93" i="26" s="1"/>
  <c r="BM147" i="26"/>
  <c r="W147" i="26"/>
  <c r="AA197" i="26"/>
  <c r="V18" i="3"/>
  <c r="W18" i="3"/>
  <c r="V28" i="3"/>
  <c r="V26" i="3"/>
  <c r="W148" i="26"/>
  <c r="BM148" i="26"/>
  <c r="W145" i="26"/>
  <c r="BM145" i="26"/>
  <c r="BL763" i="9"/>
  <c r="BL768" i="9"/>
  <c r="BL757" i="9"/>
  <c r="BL773" i="9"/>
  <c r="BL770" i="9"/>
  <c r="BL759" i="9"/>
  <c r="BL756" i="9"/>
  <c r="BL758" i="9"/>
  <c r="BL760" i="9"/>
  <c r="BL755" i="9"/>
  <c r="BL765" i="9"/>
  <c r="BL762" i="9"/>
  <c r="BL769" i="9"/>
  <c r="BL767" i="9"/>
  <c r="BL764" i="9"/>
  <c r="BL774" i="9"/>
  <c r="BL772" i="9"/>
  <c r="BL766" i="9"/>
  <c r="BL761" i="9"/>
  <c r="BL771" i="9"/>
  <c r="CI132" i="26" l="1"/>
  <c r="CI157" i="26"/>
  <c r="CI190" i="26"/>
  <c r="CI130" i="26"/>
  <c r="CJ157" i="26"/>
  <c r="CI135" i="26"/>
  <c r="CI187" i="26"/>
  <c r="CI158" i="26"/>
  <c r="CI143" i="26"/>
  <c r="CI183" i="26"/>
  <c r="CI186" i="26"/>
  <c r="BL145" i="26"/>
  <c r="BL150" i="26" s="1"/>
  <c r="BL180" i="30" s="1"/>
  <c r="BL193" i="26"/>
  <c r="CI154" i="26"/>
  <c r="CM145" i="26"/>
  <c r="W294" i="26"/>
  <c r="CM294" i="26" s="1"/>
  <c r="CI136" i="26"/>
  <c r="CI196" i="26"/>
  <c r="CI131" i="26"/>
  <c r="CI182" i="26"/>
  <c r="CI188" i="26"/>
  <c r="CJ137" i="26"/>
  <c r="CI191" i="26"/>
  <c r="CI184" i="26"/>
  <c r="CI160" i="26"/>
  <c r="CJ156" i="26"/>
  <c r="CI137" i="26"/>
  <c r="A137" i="26" s="1" a="1"/>
  <c r="A137" i="26" s="1"/>
  <c r="CJ185" i="26"/>
  <c r="A185" i="26" s="1" a="1"/>
  <c r="A185" i="26" s="1"/>
  <c r="CI161" i="26"/>
  <c r="CI139" i="26"/>
  <c r="CI140" i="26"/>
  <c r="CP145" i="26"/>
  <c r="CI192" i="26"/>
  <c r="W198" i="26"/>
  <c r="CI133" i="26"/>
  <c r="CJ133" i="26"/>
  <c r="CJ191" i="26"/>
  <c r="CI138" i="26"/>
  <c r="CJ180" i="26"/>
  <c r="CJ168" i="26"/>
  <c r="CJ184" i="26"/>
  <c r="CJ130" i="26"/>
  <c r="CJ155" i="26"/>
  <c r="CJ192" i="26"/>
  <c r="CJ166" i="26"/>
  <c r="CJ188" i="26"/>
  <c r="CJ132" i="26"/>
  <c r="CJ139" i="26"/>
  <c r="A139" i="26" s="1" a="1"/>
  <c r="A139" i="26" s="1"/>
  <c r="CJ140" i="26"/>
  <c r="CJ178" i="26"/>
  <c r="CJ159" i="26"/>
  <c r="CJ136" i="26"/>
  <c r="A136" i="26" s="1" a="1"/>
  <c r="A136" i="26" s="1"/>
  <c r="CJ158" i="26"/>
  <c r="CJ182" i="26"/>
  <c r="CJ167" i="26"/>
  <c r="A167" i="26" s="1" a="1"/>
  <c r="A167" i="26" s="1"/>
  <c r="CJ134" i="26"/>
  <c r="CI179" i="26"/>
  <c r="CI166" i="26"/>
  <c r="CJ189" i="26"/>
  <c r="CJ161" i="26"/>
  <c r="A161" i="26" s="1" a="1"/>
  <c r="A161" i="26" s="1"/>
  <c r="CJ183" i="26"/>
  <c r="CJ144" i="26"/>
  <c r="A144" i="26" s="1" a="1"/>
  <c r="A144" i="26" s="1"/>
  <c r="CJ165" i="26"/>
  <c r="A165" i="26" s="1" a="1"/>
  <c r="A165" i="26" s="1"/>
  <c r="CJ187" i="26"/>
  <c r="A187" i="26" s="1" a="1"/>
  <c r="A187" i="26" s="1"/>
  <c r="CJ138" i="26"/>
  <c r="CJ131" i="26"/>
  <c r="CJ164" i="26"/>
  <c r="CJ143" i="26"/>
  <c r="CJ162" i="26"/>
  <c r="CJ179" i="26"/>
  <c r="CJ154" i="26"/>
  <c r="CJ181" i="26"/>
  <c r="CJ142" i="26"/>
  <c r="CJ186" i="26"/>
  <c r="CJ160" i="26"/>
  <c r="A160" i="26" s="1" a="1"/>
  <c r="A160" i="26" s="1"/>
  <c r="CJ190" i="26"/>
  <c r="A190" i="26" s="1" a="1"/>
  <c r="A190" i="26" s="1"/>
  <c r="CJ135" i="26"/>
  <c r="CJ141" i="26"/>
  <c r="A141" i="26" s="1" a="1"/>
  <c r="A141" i="26" s="1"/>
  <c r="CJ163" i="26"/>
  <c r="A163" i="26" s="1" a="1"/>
  <c r="A163" i="26" s="1"/>
  <c r="CQ149" i="26"/>
  <c r="CO149" i="26"/>
  <c r="CR149" i="26"/>
  <c r="CN149" i="26"/>
  <c r="CQ146" i="26"/>
  <c r="CN146" i="26"/>
  <c r="CO146" i="26"/>
  <c r="CR146" i="26"/>
  <c r="CP170" i="26"/>
  <c r="CQ170" i="26"/>
  <c r="CR170" i="26"/>
  <c r="CO170" i="26"/>
  <c r="CN170" i="26"/>
  <c r="CP172" i="26"/>
  <c r="CQ172" i="26"/>
  <c r="CO172" i="26"/>
  <c r="CN172" i="26"/>
  <c r="CR172" i="26"/>
  <c r="CP297" i="26"/>
  <c r="CQ297" i="26"/>
  <c r="CN297" i="26"/>
  <c r="CR297" i="26"/>
  <c r="CO297" i="26"/>
  <c r="CP194" i="26"/>
  <c r="CQ194" i="26"/>
  <c r="CR194" i="26"/>
  <c r="CO194" i="26"/>
  <c r="CN194" i="26"/>
  <c r="CQ145" i="26"/>
  <c r="CN145" i="26"/>
  <c r="CO145" i="26"/>
  <c r="CR145" i="26"/>
  <c r="CJ193" i="26"/>
  <c r="CP197" i="26"/>
  <c r="CQ197" i="26"/>
  <c r="CO197" i="26"/>
  <c r="CN197" i="26"/>
  <c r="CR197" i="26"/>
  <c r="CP173" i="26"/>
  <c r="CQ173" i="26"/>
  <c r="CN173" i="26"/>
  <c r="CR173" i="26"/>
  <c r="CO173" i="26"/>
  <c r="CQ169" i="26"/>
  <c r="CR169" i="26"/>
  <c r="CO169" i="26"/>
  <c r="CN169" i="26"/>
  <c r="A159" i="26" a="1"/>
  <c r="A159" i="26" s="1"/>
  <c r="CP294" i="26"/>
  <c r="CQ294" i="26"/>
  <c r="CN294" i="26"/>
  <c r="CR294" i="26"/>
  <c r="CO294" i="26"/>
  <c r="CQ148" i="26"/>
  <c r="CO148" i="26"/>
  <c r="CN148" i="26"/>
  <c r="CR148" i="26"/>
  <c r="CQ147" i="26"/>
  <c r="CN147" i="26"/>
  <c r="CO147" i="26"/>
  <c r="CR147" i="26"/>
  <c r="CP195" i="26"/>
  <c r="CQ195" i="26"/>
  <c r="CN195" i="26"/>
  <c r="CR195" i="26"/>
  <c r="CO195" i="26"/>
  <c r="CQ249" i="26"/>
  <c r="CN249" i="26"/>
  <c r="CR249" i="26"/>
  <c r="CO249" i="26"/>
  <c r="CP171" i="26"/>
  <c r="CQ171" i="26"/>
  <c r="CO171" i="26"/>
  <c r="CN171" i="26"/>
  <c r="CR171" i="26"/>
  <c r="CJ196" i="26"/>
  <c r="W174" i="26"/>
  <c r="CM147" i="26"/>
  <c r="CM146" i="26"/>
  <c r="CM71" i="26"/>
  <c r="CI71" i="26" s="1"/>
  <c r="W259" i="26"/>
  <c r="W261" i="26" s="1"/>
  <c r="CM261" i="26" s="1"/>
  <c r="A189" i="26" a="1"/>
  <c r="A189" i="26" s="1"/>
  <c r="A135" i="26" a="1"/>
  <c r="A135" i="26" s="1"/>
  <c r="CP147" i="26"/>
  <c r="CP148" i="26"/>
  <c r="A142" i="26" a="1"/>
  <c r="A142" i="26" s="1"/>
  <c r="CS171" i="26"/>
  <c r="CK171" i="26" s="1"/>
  <c r="CS193" i="26"/>
  <c r="CK193" i="26" s="1"/>
  <c r="AA150" i="26"/>
  <c r="CM148" i="26"/>
  <c r="CP149" i="26"/>
  <c r="CP146" i="26"/>
  <c r="A192" i="26" a="1"/>
  <c r="A192" i="26" s="1"/>
  <c r="CM149" i="26"/>
  <c r="CS95" i="26"/>
  <c r="CK95" i="26" s="1"/>
  <c r="A95" i="26" s="1" a="1"/>
  <c r="A95" i="26" s="1"/>
  <c r="CS149" i="26"/>
  <c r="CK149" i="26" s="1"/>
  <c r="CS169" i="26"/>
  <c r="CK169" i="26" s="1"/>
  <c r="CS120" i="26"/>
  <c r="CK120" i="26" s="1"/>
  <c r="A120" i="26" s="1" a="1"/>
  <c r="A120" i="26" s="1"/>
  <c r="CS170" i="26"/>
  <c r="CK170" i="26" s="1"/>
  <c r="CS194" i="26"/>
  <c r="CK194" i="26" s="1"/>
  <c r="CS195" i="26"/>
  <c r="CK195" i="26" s="1"/>
  <c r="CS86" i="26"/>
  <c r="CK86" i="26" s="1"/>
  <c r="A86" i="26" s="1" a="1"/>
  <c r="A86" i="26" s="1"/>
  <c r="BZ235" i="26"/>
  <c r="CS235" i="26"/>
  <c r="CK235" i="26" s="1"/>
  <c r="A235" i="26" s="1" a="1"/>
  <c r="A235" i="26" s="1"/>
  <c r="A186" i="26" a="1"/>
  <c r="A186" i="26" s="1"/>
  <c r="CS133" i="26"/>
  <c r="CK133" i="26" s="1"/>
  <c r="A133" i="26" s="1" a="1"/>
  <c r="A133" i="26" s="1"/>
  <c r="CS157" i="26"/>
  <c r="CK157" i="26" s="1"/>
  <c r="A157" i="26" s="1" a="1"/>
  <c r="A157" i="26" s="1"/>
  <c r="CS158" i="26"/>
  <c r="CK158" i="26" s="1"/>
  <c r="A158" i="26" s="1" a="1"/>
  <c r="A158" i="26" s="1"/>
  <c r="W298" i="26"/>
  <c r="CM197" i="26"/>
  <c r="A53" i="26" a="1"/>
  <c r="A53" i="26" s="1"/>
  <c r="A162" i="26" a="1"/>
  <c r="A162" i="26" s="1"/>
  <c r="CS180" i="26"/>
  <c r="CK180" i="26" s="1"/>
  <c r="A180" i="26" s="1" a="1"/>
  <c r="A180" i="26" s="1"/>
  <c r="W268" i="26"/>
  <c r="CM173" i="26"/>
  <c r="CS196" i="26"/>
  <c r="CK196" i="26" s="1"/>
  <c r="CS148" i="26"/>
  <c r="CK148" i="26" s="1"/>
  <c r="AA208" i="26"/>
  <c r="CP169" i="26"/>
  <c r="CS79" i="26"/>
  <c r="CK79" i="26" s="1"/>
  <c r="A79" i="26" s="1" a="1"/>
  <c r="A79" i="26" s="1"/>
  <c r="CS134" i="26"/>
  <c r="CK134" i="26" s="1"/>
  <c r="A134" i="26" s="1" a="1"/>
  <c r="A134" i="26" s="1"/>
  <c r="W222" i="26"/>
  <c r="CM170" i="26"/>
  <c r="W233" i="26"/>
  <c r="CM70" i="26"/>
  <c r="CI70" i="26" s="1"/>
  <c r="CS78" i="26"/>
  <c r="CK78" i="26" s="1"/>
  <c r="A78" i="26" s="1" a="1"/>
  <c r="A78" i="26" s="1"/>
  <c r="W296" i="26"/>
  <c r="CM195" i="26"/>
  <c r="CS182" i="26"/>
  <c r="CK182" i="26" s="1"/>
  <c r="A182" i="26" s="1" a="1"/>
  <c r="A182" i="26" s="1"/>
  <c r="CS130" i="26"/>
  <c r="CK130" i="26" s="1"/>
  <c r="A130" i="26" s="1" a="1"/>
  <c r="A130" i="26" s="1"/>
  <c r="CS155" i="26"/>
  <c r="CK155" i="26" s="1"/>
  <c r="A155" i="26" s="1" a="1"/>
  <c r="A155" i="26" s="1"/>
  <c r="AA252" i="26"/>
  <c r="CP249" i="26"/>
  <c r="CS132" i="26"/>
  <c r="CK132" i="26" s="1"/>
  <c r="A164" i="26" a="1"/>
  <c r="A164" i="26" s="1"/>
  <c r="CM194" i="26"/>
  <c r="CS104" i="26"/>
  <c r="CK104" i="26" s="1"/>
  <c r="A104" i="26" s="1" a="1"/>
  <c r="A104" i="26" s="1"/>
  <c r="CS172" i="26"/>
  <c r="CK172" i="26" s="1"/>
  <c r="CS145" i="26"/>
  <c r="CK145" i="26" s="1"/>
  <c r="CS147" i="26"/>
  <c r="CK147" i="26" s="1"/>
  <c r="CS146" i="26"/>
  <c r="CK146" i="26" s="1"/>
  <c r="CS93" i="26"/>
  <c r="CK93" i="26" s="1"/>
  <c r="A93" i="26" s="1" a="1"/>
  <c r="A93" i="26" s="1"/>
  <c r="A183" i="26" a="1"/>
  <c r="A183" i="26" s="1"/>
  <c r="CS156" i="26"/>
  <c r="CK156" i="26" s="1"/>
  <c r="A156" i="26" s="1" a="1"/>
  <c r="A156" i="26" s="1"/>
  <c r="CM297" i="26"/>
  <c r="CI297" i="26" s="1"/>
  <c r="CS179" i="26"/>
  <c r="CK179" i="26" s="1"/>
  <c r="A179" i="26" s="1" a="1"/>
  <c r="A179" i="26" s="1"/>
  <c r="A178" i="26" a="1"/>
  <c r="A178" i="26" s="1"/>
  <c r="CM169" i="26"/>
  <c r="W249" i="26"/>
  <c r="CM249" i="26" s="1"/>
  <c r="CM171" i="26"/>
  <c r="CI171" i="26" s="1"/>
  <c r="W236" i="26"/>
  <c r="CM172" i="26"/>
  <c r="CS181" i="26"/>
  <c r="CK181" i="26" s="1"/>
  <c r="A181" i="26" s="1" a="1"/>
  <c r="A181" i="26" s="1"/>
  <c r="CS131" i="26"/>
  <c r="CK131" i="26" s="1"/>
  <c r="A131" i="26" s="1" a="1"/>
  <c r="A131" i="26" s="1"/>
  <c r="CS112" i="26"/>
  <c r="CK112" i="26" s="1"/>
  <c r="A112" i="26" s="1" a="1"/>
  <c r="A112" i="26" s="1"/>
  <c r="A168" i="26" a="1"/>
  <c r="A168" i="26" s="1"/>
  <c r="V236" i="26"/>
  <c r="CS236" i="26" s="1"/>
  <c r="CK236" i="26" s="1"/>
  <c r="AA295" i="26"/>
  <c r="AA268" i="26"/>
  <c r="V297" i="26"/>
  <c r="CS297" i="26" s="1"/>
  <c r="CK297" i="26" s="1"/>
  <c r="V298" i="26"/>
  <c r="V222" i="26"/>
  <c r="CS222" i="26" s="1"/>
  <c r="CK222" i="26" s="1"/>
  <c r="V268" i="26"/>
  <c r="V295" i="26"/>
  <c r="CS295" i="26" s="1"/>
  <c r="CK295" i="26" s="1"/>
  <c r="V296" i="26"/>
  <c r="CS296" i="26" s="1"/>
  <c r="CK296" i="26" s="1"/>
  <c r="AA296" i="26"/>
  <c r="AA298" i="26"/>
  <c r="V249" i="26"/>
  <c r="CS249" i="26" s="1"/>
  <c r="CK249" i="26" s="1"/>
  <c r="AA236" i="26"/>
  <c r="AA222" i="26"/>
  <c r="CI43" i="30"/>
  <c r="CC43" i="30" s="1"/>
  <c r="CL43" i="30"/>
  <c r="CD43" i="30" s="1"/>
  <c r="W150" i="26"/>
  <c r="AA41" i="6"/>
  <c r="AA44" i="6" s="1"/>
  <c r="AA51" i="30"/>
  <c r="BO56" i="33"/>
  <c r="AG636" i="9"/>
  <c r="AF636" i="9"/>
  <c r="BZ205" i="26"/>
  <c r="BL179" i="1"/>
  <c r="BL179" i="20" s="1"/>
  <c r="V233" i="26"/>
  <c r="V71" i="26"/>
  <c r="BL208" i="26"/>
  <c r="BL221" i="26"/>
  <c r="BL123" i="26"/>
  <c r="BL267" i="26" s="1"/>
  <c r="BL294" i="26"/>
  <c r="V206" i="26"/>
  <c r="V97" i="26"/>
  <c r="BL180" i="1"/>
  <c r="BL180" i="20" s="1"/>
  <c r="BL247" i="26"/>
  <c r="BL197" i="26"/>
  <c r="BL298" i="26" s="1"/>
  <c r="BL70" i="26"/>
  <c r="CS70" i="26" s="1"/>
  <c r="CK70" i="26" s="1"/>
  <c r="V180" i="1"/>
  <c r="V247" i="26"/>
  <c r="V150" i="26"/>
  <c r="BL173" i="26"/>
  <c r="BL268" i="26" s="1"/>
  <c r="V208" i="26"/>
  <c r="V174" i="26"/>
  <c r="V221" i="26"/>
  <c r="V123" i="26"/>
  <c r="V294" i="26"/>
  <c r="V198" i="26"/>
  <c r="BL206" i="26"/>
  <c r="BL97" i="26"/>
  <c r="BL221" i="6" s="1"/>
  <c r="BM329" i="26"/>
  <c r="W180" i="1"/>
  <c r="CG180" i="1" s="1"/>
  <c r="CC180" i="1" s="1"/>
  <c r="W247" i="26"/>
  <c r="CM247" i="26" s="1"/>
  <c r="CI247" i="26" s="1"/>
  <c r="BM180" i="1"/>
  <c r="BM247" i="26"/>
  <c r="CP247" i="26" s="1"/>
  <c r="CJ247" i="26" s="1"/>
  <c r="Y48" i="30"/>
  <c r="W874" i="9"/>
  <c r="BM97" i="26"/>
  <c r="CP97" i="26" s="1"/>
  <c r="CJ97" i="26" s="1"/>
  <c r="BM206" i="26"/>
  <c r="Y39" i="30"/>
  <c r="BO803" i="9"/>
  <c r="BO876" i="9" s="1"/>
  <c r="BN803" i="9"/>
  <c r="BN876" i="9" s="1"/>
  <c r="BN1127" i="9" s="1"/>
  <c r="BO757" i="9"/>
  <c r="BM221" i="26"/>
  <c r="BM123" i="26"/>
  <c r="CP123" i="26" s="1"/>
  <c r="CJ123" i="26" s="1"/>
  <c r="W206" i="26"/>
  <c r="W97" i="26"/>
  <c r="CM97" i="26" s="1"/>
  <c r="CI97" i="26" s="1"/>
  <c r="BM150" i="26"/>
  <c r="AA174" i="26"/>
  <c r="W221" i="26"/>
  <c r="W123" i="26"/>
  <c r="CM123" i="26" s="1"/>
  <c r="CI123" i="26" s="1"/>
  <c r="AA198" i="26"/>
  <c r="A154" i="26" l="1" a="1"/>
  <c r="A154" i="26" s="1"/>
  <c r="A132" i="26" a="1"/>
  <c r="A132" i="26" s="1"/>
  <c r="A193" i="26" a="1"/>
  <c r="A193" i="26" s="1"/>
  <c r="W178" i="1"/>
  <c r="A143" i="26" a="1"/>
  <c r="A143" i="26" s="1"/>
  <c r="CI172" i="26"/>
  <c r="A138" i="26" a="1"/>
  <c r="A138" i="26" s="1"/>
  <c r="CI169" i="26"/>
  <c r="CI146" i="26"/>
  <c r="CI145" i="26"/>
  <c r="A191" i="26" a="1"/>
  <c r="A191" i="26" s="1"/>
  <c r="A166" i="26" a="1"/>
  <c r="A166" i="26" s="1"/>
  <c r="A188" i="26" a="1"/>
  <c r="A188" i="26" s="1"/>
  <c r="A140" i="26" a="1"/>
  <c r="A140" i="26" s="1"/>
  <c r="A196" i="26" a="1"/>
  <c r="A196" i="26" s="1"/>
  <c r="CJ147" i="26"/>
  <c r="CI194" i="26"/>
  <c r="CJ249" i="26"/>
  <c r="CI149" i="26"/>
  <c r="A184" i="26" a="1"/>
  <c r="A184" i="26" s="1"/>
  <c r="CI197" i="26"/>
  <c r="CI294" i="26"/>
  <c r="CJ146" i="26"/>
  <c r="A146" i="26" s="1" a="1"/>
  <c r="A146" i="26" s="1"/>
  <c r="CJ169" i="26"/>
  <c r="CJ149" i="26"/>
  <c r="CI173" i="26"/>
  <c r="CI148" i="26"/>
  <c r="CI195" i="26"/>
  <c r="CI249" i="26"/>
  <c r="CI170" i="26"/>
  <c r="CJ148" i="26"/>
  <c r="CI147" i="26"/>
  <c r="A147" i="26" s="1" a="1"/>
  <c r="A147" i="26" s="1"/>
  <c r="CJ294" i="26"/>
  <c r="CJ145" i="26"/>
  <c r="CJ194" i="26"/>
  <c r="CJ297" i="26"/>
  <c r="A297" i="26" s="1" a="1"/>
  <c r="A297" i="26" s="1"/>
  <c r="CP174" i="26"/>
  <c r="CQ174" i="26"/>
  <c r="CN174" i="26"/>
  <c r="CR174" i="26"/>
  <c r="CO174" i="26"/>
  <c r="CQ208" i="26"/>
  <c r="CN208" i="26"/>
  <c r="CO208" i="26"/>
  <c r="CR208" i="26"/>
  <c r="CJ195" i="26"/>
  <c r="CJ173" i="26"/>
  <c r="CP198" i="26"/>
  <c r="CQ198" i="26"/>
  <c r="CR198" i="26"/>
  <c r="CN198" i="26"/>
  <c r="CO198" i="26"/>
  <c r="CG51" i="30"/>
  <c r="CH51" i="30"/>
  <c r="CI51" i="30"/>
  <c r="CP298" i="26"/>
  <c r="CQ298" i="26"/>
  <c r="CO298" i="26"/>
  <c r="CN298" i="26"/>
  <c r="CR298" i="26"/>
  <c r="CQ268" i="26"/>
  <c r="CN268" i="26"/>
  <c r="CR268" i="26"/>
  <c r="CO268" i="26"/>
  <c r="AA180" i="30"/>
  <c r="CQ150" i="26"/>
  <c r="CR150" i="26"/>
  <c r="CO150" i="26"/>
  <c r="CN150" i="26"/>
  <c r="CJ197" i="26"/>
  <c r="CQ222" i="26"/>
  <c r="CO222" i="26"/>
  <c r="CR222" i="26"/>
  <c r="CN222" i="26"/>
  <c r="CQ296" i="26"/>
  <c r="CR296" i="26"/>
  <c r="CN296" i="26"/>
  <c r="CO296" i="26"/>
  <c r="CP295" i="26"/>
  <c r="CQ295" i="26"/>
  <c r="CN295" i="26"/>
  <c r="CR295" i="26"/>
  <c r="CO295" i="26"/>
  <c r="CJ172" i="26"/>
  <c r="A172" i="26" s="1" a="1"/>
  <c r="A172" i="26" s="1"/>
  <c r="CQ236" i="26"/>
  <c r="CN236" i="26"/>
  <c r="CR236" i="26"/>
  <c r="CO236" i="26"/>
  <c r="A145" i="26" a="1"/>
  <c r="A145" i="26" s="1"/>
  <c r="CJ171" i="26"/>
  <c r="A171" i="26" s="1" a="1"/>
  <c r="A171" i="26" s="1"/>
  <c r="CJ170" i="26"/>
  <c r="A170" i="26" s="1" a="1"/>
  <c r="A170" i="26" s="1"/>
  <c r="BZ236" i="26"/>
  <c r="CM259" i="26"/>
  <c r="CI259" i="26" s="1"/>
  <c r="CP150" i="26"/>
  <c r="A195" i="26" a="1"/>
  <c r="A195" i="26" s="1"/>
  <c r="A43" i="30" a="1"/>
  <c r="A43" i="30" s="1"/>
  <c r="CS150" i="26"/>
  <c r="CK150" i="26" s="1"/>
  <c r="W299" i="26"/>
  <c r="BZ249" i="26"/>
  <c r="CS247" i="26"/>
  <c r="CK247" i="26" s="1"/>
  <c r="A247" i="26" s="1" a="1"/>
  <c r="A247" i="26" s="1"/>
  <c r="V179" i="1"/>
  <c r="V179" i="20" s="1"/>
  <c r="CN179" i="20" s="1"/>
  <c r="CF179" i="20" s="1"/>
  <c r="CS221" i="26"/>
  <c r="CK221" i="26" s="1"/>
  <c r="A249" i="26" a="1"/>
  <c r="A249" i="26" s="1"/>
  <c r="CS206" i="26"/>
  <c r="CK206" i="26" s="1"/>
  <c r="A149" i="26" a="1"/>
  <c r="A149" i="26" s="1"/>
  <c r="CS123" i="26"/>
  <c r="CK123" i="26" s="1"/>
  <c r="BM212" i="26"/>
  <c r="BM25" i="6" s="1"/>
  <c r="CP206" i="26"/>
  <c r="CJ206" i="26" s="1"/>
  <c r="CM295" i="26"/>
  <c r="A70" i="26" a="1"/>
  <c r="A70" i="26" s="1"/>
  <c r="CM222" i="26"/>
  <c r="W180" i="30"/>
  <c r="CG180" i="30" s="1"/>
  <c r="CM150" i="26"/>
  <c r="AA226" i="26"/>
  <c r="AB217" i="26" s="1"/>
  <c r="AB226" i="26" s="1"/>
  <c r="CP222" i="26"/>
  <c r="AA179" i="1"/>
  <c r="CP296" i="26"/>
  <c r="A169" i="26" a="1"/>
  <c r="A169" i="26" s="1"/>
  <c r="W226" i="26"/>
  <c r="CM221" i="26"/>
  <c r="CI221" i="26" s="1"/>
  <c r="AA299" i="26"/>
  <c r="BM226" i="26"/>
  <c r="BM28" i="6" s="1"/>
  <c r="BM67" i="30" s="1"/>
  <c r="CP221" i="26"/>
  <c r="CJ221" i="26" s="1"/>
  <c r="V178" i="1"/>
  <c r="CS294" i="26"/>
  <c r="CK294" i="26" s="1"/>
  <c r="CS208" i="26"/>
  <c r="CK208" i="26" s="1"/>
  <c r="CS97" i="26"/>
  <c r="CK97" i="26" s="1"/>
  <c r="AA178" i="1"/>
  <c r="CS268" i="26"/>
  <c r="CK268" i="26" s="1"/>
  <c r="AA271" i="26"/>
  <c r="CP268" i="26"/>
  <c r="AA37" i="6"/>
  <c r="AA70" i="30" s="1"/>
  <c r="AB245" i="26"/>
  <c r="AB252" i="26" s="1"/>
  <c r="CM233" i="26"/>
  <c r="CI233" i="26" s="1"/>
  <c r="W240" i="26"/>
  <c r="CM198" i="26"/>
  <c r="CS197" i="26"/>
  <c r="CK197" i="26" s="1"/>
  <c r="A197" i="26" s="1" a="1"/>
  <c r="A197" i="26" s="1"/>
  <c r="CM268" i="26"/>
  <c r="CS173" i="26"/>
  <c r="CK173" i="26" s="1"/>
  <c r="CM174" i="26"/>
  <c r="CI174" i="26" s="1"/>
  <c r="W179" i="1"/>
  <c r="W179" i="20" s="1"/>
  <c r="CM296" i="26"/>
  <c r="CI296" i="26" s="1"/>
  <c r="W212" i="26"/>
  <c r="X203" i="26" s="1"/>
  <c r="X212" i="26" s="1"/>
  <c r="CM206" i="26"/>
  <c r="CI206" i="26" s="1"/>
  <c r="BZ222" i="26"/>
  <c r="AA240" i="26"/>
  <c r="AA31" i="6" s="1"/>
  <c r="AA68" i="30" s="1"/>
  <c r="CP236" i="26"/>
  <c r="CS298" i="26"/>
  <c r="CK298" i="26" s="1"/>
  <c r="CM236" i="26"/>
  <c r="AA212" i="26"/>
  <c r="CP208" i="26"/>
  <c r="CJ208" i="26" s="1"/>
  <c r="CM208" i="26"/>
  <c r="CM298" i="26"/>
  <c r="CI298" i="26" s="1"/>
  <c r="BZ268" i="26"/>
  <c r="BM221" i="6"/>
  <c r="BM223" i="6" s="1"/>
  <c r="BM267" i="26"/>
  <c r="BM180" i="30"/>
  <c r="BM72" i="33" s="1"/>
  <c r="CH150" i="26"/>
  <c r="CH123" i="26"/>
  <c r="CH97" i="26"/>
  <c r="BL178" i="1"/>
  <c r="BL183" i="1" s="1"/>
  <c r="Y147" i="30"/>
  <c r="Y56" i="33" s="1"/>
  <c r="CL39" i="30"/>
  <c r="CD39" i="30" s="1"/>
  <c r="CI39" i="30"/>
  <c r="CC39" i="30" s="1"/>
  <c r="CL48" i="30"/>
  <c r="CD48" i="30" s="1"/>
  <c r="BL52" i="30"/>
  <c r="V52" i="30" s="1"/>
  <c r="CM52" i="30" s="1"/>
  <c r="CE52" i="30" s="1"/>
  <c r="BL49" i="30"/>
  <c r="V49" i="30" s="1"/>
  <c r="CM49" i="30" s="1"/>
  <c r="CE49" i="30" s="1"/>
  <c r="BL41" i="6"/>
  <c r="V41" i="6" s="1"/>
  <c r="BL51" i="30"/>
  <c r="V51" i="30" s="1"/>
  <c r="CM51" i="30" s="1"/>
  <c r="CE51" i="30" s="1"/>
  <c r="AB40" i="6"/>
  <c r="AB44" i="6" s="1"/>
  <c r="AA71" i="30"/>
  <c r="BP876" i="9"/>
  <c r="BO1127" i="9"/>
  <c r="CJ180" i="1"/>
  <c r="CD180" i="1" s="1"/>
  <c r="BM183" i="1"/>
  <c r="AU636" i="9"/>
  <c r="AS636" i="9"/>
  <c r="AT636" i="9"/>
  <c r="V142" i="20"/>
  <c r="BL142" i="20" s="1"/>
  <c r="CN142" i="20" s="1"/>
  <c r="CF142" i="20" s="1"/>
  <c r="CM180" i="1"/>
  <c r="CE180" i="1" s="1"/>
  <c r="V141" i="20"/>
  <c r="BL141" i="20" s="1"/>
  <c r="CN141" i="20" s="1"/>
  <c r="CF141" i="20" s="1"/>
  <c r="A141" i="20" s="1" a="1"/>
  <c r="A141" i="20" s="1"/>
  <c r="CM179" i="1"/>
  <c r="CE179" i="1" s="1"/>
  <c r="AA19" i="30"/>
  <c r="V180" i="20"/>
  <c r="CN180" i="20" s="1"/>
  <c r="CF180" i="20" s="1"/>
  <c r="W252" i="26"/>
  <c r="BM252" i="26"/>
  <c r="V267" i="26"/>
  <c r="CS267" i="26" s="1"/>
  <c r="CK267" i="26" s="1"/>
  <c r="V221" i="6"/>
  <c r="V180" i="30"/>
  <c r="CM180" i="30" s="1"/>
  <c r="CE180" i="30" s="1"/>
  <c r="V259" i="26"/>
  <c r="BZ208" i="26"/>
  <c r="BL233" i="26"/>
  <c r="BZ233" i="26" s="1"/>
  <c r="BL71" i="26"/>
  <c r="CH71" i="26" s="1"/>
  <c r="BZ221" i="26"/>
  <c r="V299" i="26"/>
  <c r="BL198" i="26"/>
  <c r="CH198" i="26" s="1"/>
  <c r="BL174" i="26"/>
  <c r="CH174" i="26" s="1"/>
  <c r="BL72" i="33"/>
  <c r="BL299" i="26"/>
  <c r="W180" i="20"/>
  <c r="W221" i="6"/>
  <c r="W223" i="6" s="1"/>
  <c r="BM801" i="9"/>
  <c r="BM874" i="9" s="1"/>
  <c r="BN801" i="9"/>
  <c r="BN874" i="9" s="1"/>
  <c r="BO755" i="9"/>
  <c r="X874" i="9"/>
  <c r="W267" i="26"/>
  <c r="CM267" i="26" s="1"/>
  <c r="CI267" i="26" s="1"/>
  <c r="W178" i="20"/>
  <c r="A194" i="26" l="1" a="1"/>
  <c r="A194" i="26" s="1"/>
  <c r="A294" i="26" a="1"/>
  <c r="A294" i="26" s="1"/>
  <c r="CI268" i="26"/>
  <c r="A148" i="26" a="1"/>
  <c r="A148" i="26" s="1"/>
  <c r="CJ150" i="26"/>
  <c r="CI295" i="26"/>
  <c r="A173" i="26" a="1"/>
  <c r="A173" i="26" s="1"/>
  <c r="CJ268" i="26"/>
  <c r="CJ222" i="26"/>
  <c r="CJ236" i="26"/>
  <c r="CJ296" i="26"/>
  <c r="CI150" i="26"/>
  <c r="CI208" i="26"/>
  <c r="CI198" i="26"/>
  <c r="CI236" i="26"/>
  <c r="A236" i="26" s="1" a="1"/>
  <c r="A236" i="26" s="1"/>
  <c r="CI222" i="26"/>
  <c r="A222" i="26" s="1" a="1"/>
  <c r="A222" i="26" s="1"/>
  <c r="V183" i="1"/>
  <c r="CC51" i="30"/>
  <c r="A51" i="30" s="1" a="1"/>
  <c r="A51" i="30" s="1"/>
  <c r="CJ198" i="26"/>
  <c r="AA183" i="1"/>
  <c r="CH178" i="1"/>
  <c r="CK178" i="1"/>
  <c r="CL178" i="1"/>
  <c r="CI178" i="1"/>
  <c r="CJ179" i="1"/>
  <c r="CH179" i="1"/>
  <c r="CK179" i="1"/>
  <c r="CL179" i="1"/>
  <c r="CI179" i="1"/>
  <c r="CJ298" i="26"/>
  <c r="A298" i="26" s="1" a="1"/>
  <c r="A298" i="26" s="1"/>
  <c r="CJ295" i="26"/>
  <c r="A295" i="26" s="1" a="1"/>
  <c r="A295" i="26" s="1"/>
  <c r="CP299" i="26"/>
  <c r="CQ299" i="26"/>
  <c r="CO299" i="26"/>
  <c r="CN299" i="26"/>
  <c r="CR299" i="26"/>
  <c r="AA72" i="33"/>
  <c r="CH180" i="30"/>
  <c r="CI180" i="30"/>
  <c r="CJ174" i="26"/>
  <c r="W72" i="33"/>
  <c r="AA178" i="20"/>
  <c r="CJ178" i="1"/>
  <c r="W25" i="6"/>
  <c r="W66" i="30" s="1"/>
  <c r="CJ180" i="30"/>
  <c r="CD180" i="30" s="1"/>
  <c r="A97" i="26" a="1"/>
  <c r="A97" i="26" s="1"/>
  <c r="AA179" i="20"/>
  <c r="CG178" i="1"/>
  <c r="CC178" i="1" s="1"/>
  <c r="AA28" i="6"/>
  <c r="AA67" i="30" s="1"/>
  <c r="A206" i="26" a="1"/>
  <c r="A206" i="26" s="1"/>
  <c r="AB231" i="26"/>
  <c r="AB240" i="26" s="1"/>
  <c r="AB31" i="6" s="1"/>
  <c r="AB68" i="30" s="1"/>
  <c r="A150" i="26" a="1"/>
  <c r="A150" i="26" s="1"/>
  <c r="A123" i="26" a="1"/>
  <c r="A123" i="26" s="1"/>
  <c r="V222" i="6"/>
  <c r="V257" i="6" s="1"/>
  <c r="W183" i="1"/>
  <c r="CG183" i="1" s="1"/>
  <c r="A208" i="26" a="1"/>
  <c r="A208" i="26" s="1"/>
  <c r="A221" i="26" a="1"/>
  <c r="A221" i="26" s="1"/>
  <c r="CG179" i="1"/>
  <c r="A296" i="26" a="1"/>
  <c r="A296" i="26" s="1"/>
  <c r="A268" i="26" a="1"/>
  <c r="A268" i="26" s="1"/>
  <c r="BM271" i="26"/>
  <c r="CP267" i="26"/>
  <c r="CJ267" i="26" s="1"/>
  <c r="A267" i="26" s="1" a="1"/>
  <c r="A267" i="26" s="1"/>
  <c r="CS71" i="26"/>
  <c r="CK71" i="26" s="1"/>
  <c r="A71" i="26" s="1" a="1"/>
  <c r="A71" i="26" s="1"/>
  <c r="CS198" i="26"/>
  <c r="CK198" i="26" s="1"/>
  <c r="CS299" i="26"/>
  <c r="CK299" i="26" s="1"/>
  <c r="X231" i="26"/>
  <c r="W31" i="6"/>
  <c r="W68" i="30" s="1"/>
  <c r="CJ68" i="30" s="1"/>
  <c r="CS174" i="26"/>
  <c r="CK174" i="26" s="1"/>
  <c r="A174" i="26" s="1" a="1"/>
  <c r="A174" i="26" s="1"/>
  <c r="AA25" i="6"/>
  <c r="AA66" i="30" s="1"/>
  <c r="AB203" i="26"/>
  <c r="AB212" i="26" s="1"/>
  <c r="BM37" i="6"/>
  <c r="BM70" i="30" s="1"/>
  <c r="AC245" i="26"/>
  <c r="AC252" i="26" s="1"/>
  <c r="AB37" i="6"/>
  <c r="AB70" i="30" s="1"/>
  <c r="AB266" i="26"/>
  <c r="AB271" i="26" s="1"/>
  <c r="AA52" i="6"/>
  <c r="AA76" i="30" s="1"/>
  <c r="CS233" i="26"/>
  <c r="CK233" i="26" s="1"/>
  <c r="A233" i="26" s="1" a="1"/>
  <c r="A233" i="26" s="1"/>
  <c r="CM299" i="26"/>
  <c r="AC217" i="26"/>
  <c r="AC226" i="26" s="1"/>
  <c r="AB28" i="6"/>
  <c r="AB67" i="30" s="1"/>
  <c r="A39" i="30" a="1"/>
  <c r="A39" i="30" s="1"/>
  <c r="CL147" i="30"/>
  <c r="CD147" i="30" s="1"/>
  <c r="CI147" i="30"/>
  <c r="CC147" i="30" s="1"/>
  <c r="W37" i="6"/>
  <c r="W70" i="30" s="1"/>
  <c r="W183" i="20"/>
  <c r="W185" i="20" s="1"/>
  <c r="W189" i="20" s="1"/>
  <c r="CF41" i="6"/>
  <c r="A41" i="6" s="1" a="1"/>
  <c r="A41" i="6" s="1"/>
  <c r="AB71" i="30"/>
  <c r="AC40" i="6"/>
  <c r="AC44" i="6" s="1"/>
  <c r="BQ876" i="9"/>
  <c r="BP1127" i="9"/>
  <c r="A180" i="1" a="1"/>
  <c r="A180" i="1" s="1"/>
  <c r="CK178" i="20"/>
  <c r="A142" i="20" a="1"/>
  <c r="A142" i="20" s="1"/>
  <c r="X245" i="26"/>
  <c r="BN245" i="26" s="1"/>
  <c r="BN252" i="26" s="1"/>
  <c r="BH636" i="9"/>
  <c r="BF636" i="9"/>
  <c r="BG636" i="9"/>
  <c r="CL64" i="9"/>
  <c r="A64" i="9" s="1" a="1"/>
  <c r="A64" i="9" s="1"/>
  <c r="BI636" i="9"/>
  <c r="V140" i="20"/>
  <c r="BL140" i="20" s="1"/>
  <c r="BL19" i="30" s="1"/>
  <c r="V19" i="30" s="1"/>
  <c r="CM178" i="1"/>
  <c r="CE178" i="1" s="1"/>
  <c r="BZ141" i="20"/>
  <c r="AA185" i="1"/>
  <c r="CK144" i="20"/>
  <c r="CE144" i="20" s="1"/>
  <c r="BZ142" i="20"/>
  <c r="BZ267" i="26"/>
  <c r="W271" i="26"/>
  <c r="V72" i="33"/>
  <c r="BL178" i="20"/>
  <c r="BL259" i="26"/>
  <c r="CS259" i="26" s="1"/>
  <c r="CK259" i="26" s="1"/>
  <c r="A259" i="26" s="1" a="1"/>
  <c r="A259" i="26" s="1"/>
  <c r="V178" i="20"/>
  <c r="V183" i="20" s="1"/>
  <c r="BM130" i="30"/>
  <c r="Y874" i="9"/>
  <c r="BM180" i="20"/>
  <c r="CJ183" i="1"/>
  <c r="AH886" i="9"/>
  <c r="AH1126" i="9" s="1"/>
  <c r="W34" i="6"/>
  <c r="X257" i="26"/>
  <c r="X261" i="26" s="1"/>
  <c r="CN261" i="26" s="1"/>
  <c r="AA48" i="30"/>
  <c r="BN203" i="26"/>
  <c r="BM66" i="30"/>
  <c r="W28" i="6"/>
  <c r="X217" i="26"/>
  <c r="X226" i="26" s="1"/>
  <c r="CI299" i="26" l="1"/>
  <c r="CC179" i="1"/>
  <c r="A198" i="26" a="1"/>
  <c r="A198" i="26" s="1"/>
  <c r="CD178" i="1"/>
  <c r="A178" i="1" s="1" a="1"/>
  <c r="A178" i="1" s="1"/>
  <c r="CC180" i="30"/>
  <c r="A180" i="30" s="1" a="1"/>
  <c r="A180" i="30" s="1"/>
  <c r="CG48" i="30"/>
  <c r="CH48" i="30"/>
  <c r="CI48" i="30"/>
  <c r="CK179" i="20"/>
  <c r="CL179" i="20"/>
  <c r="CM179" i="20"/>
  <c r="CJ299" i="26"/>
  <c r="A299" i="26" s="1" a="1"/>
  <c r="A299" i="26" s="1"/>
  <c r="CD179" i="1"/>
  <c r="A179" i="1" s="1" a="1"/>
  <c r="A179" i="1" s="1"/>
  <c r="AA50" i="30"/>
  <c r="CL178" i="20"/>
  <c r="CM178" i="20"/>
  <c r="CH183" i="1"/>
  <c r="CI183" i="1"/>
  <c r="CL183" i="1"/>
  <c r="CK183" i="1"/>
  <c r="AA183" i="20"/>
  <c r="AA49" i="30"/>
  <c r="CJ70" i="30"/>
  <c r="AC231" i="26"/>
  <c r="AC240" i="26" s="1"/>
  <c r="AD231" i="26" s="1"/>
  <c r="AD240" i="26" s="1"/>
  <c r="BL222" i="6"/>
  <c r="BL257" i="6" s="1"/>
  <c r="CF257" i="6" s="1"/>
  <c r="A257" i="6" s="1" a="1"/>
  <c r="A257" i="6" s="1"/>
  <c r="AB52" i="6"/>
  <c r="AB76" i="30" s="1"/>
  <c r="AC266" i="26"/>
  <c r="AC271" i="26" s="1"/>
  <c r="AB25" i="6"/>
  <c r="AB66" i="30" s="1"/>
  <c r="AC203" i="26"/>
  <c r="AC212" i="26" s="1"/>
  <c r="X240" i="26"/>
  <c r="BN231" i="26"/>
  <c r="BN240" i="26" s="1"/>
  <c r="BM52" i="6"/>
  <c r="BM76" i="30" s="1"/>
  <c r="BN37" i="6"/>
  <c r="BN70" i="30" s="1"/>
  <c r="AC37" i="6"/>
  <c r="AC70" i="30" s="1"/>
  <c r="AD245" i="26"/>
  <c r="AD252" i="26" s="1"/>
  <c r="AC28" i="6"/>
  <c r="AC67" i="30" s="1"/>
  <c r="AD217" i="26"/>
  <c r="AD226" i="26" s="1"/>
  <c r="CJ66" i="30"/>
  <c r="V72" i="35"/>
  <c r="V76" i="35" s="1"/>
  <c r="CM19" i="30"/>
  <c r="CE19" i="30" s="1"/>
  <c r="AC71" i="30"/>
  <c r="AD40" i="6"/>
  <c r="AD44" i="6" s="1"/>
  <c r="BM183" i="20"/>
  <c r="BM52" i="30"/>
  <c r="W52" i="30" s="1"/>
  <c r="BL183" i="20"/>
  <c r="BL50" i="30"/>
  <c r="V50" i="30" s="1"/>
  <c r="CM50" i="30" s="1"/>
  <c r="CE50" i="30" s="1"/>
  <c r="BR876" i="9"/>
  <c r="BQ1127" i="9"/>
  <c r="X252" i="26"/>
  <c r="AH1128" i="9"/>
  <c r="AH1129" i="9" s="1"/>
  <c r="AH117" i="6" s="1"/>
  <c r="V144" i="20"/>
  <c r="BL144" i="20" s="1"/>
  <c r="CN144" i="20" s="1"/>
  <c r="CF144" i="20" s="1"/>
  <c r="A144" i="20" s="1" a="1"/>
  <c r="A144" i="20" s="1"/>
  <c r="CM183" i="1"/>
  <c r="CE183" i="1" s="1"/>
  <c r="BZ140" i="20"/>
  <c r="AA189" i="1"/>
  <c r="CK145" i="20"/>
  <c r="CE145" i="20" s="1"/>
  <c r="CK140" i="20"/>
  <c r="CE140" i="20" s="1"/>
  <c r="CN140" i="20"/>
  <c r="CF140" i="20" s="1"/>
  <c r="BN212" i="26"/>
  <c r="BL48" i="30"/>
  <c r="BZ259" i="26"/>
  <c r="CN178" i="20"/>
  <c r="CF178" i="20" s="1"/>
  <c r="BM50" i="30"/>
  <c r="CK180" i="20"/>
  <c r="CE180" i="20" s="1"/>
  <c r="A180" i="20" s="1" a="1"/>
  <c r="A180" i="20" s="1"/>
  <c r="BO801" i="9"/>
  <c r="BO874" i="9" s="1"/>
  <c r="BP874" i="9" s="1"/>
  <c r="BQ874" i="9" s="1"/>
  <c r="AI767" i="9"/>
  <c r="AI790" i="9" s="1"/>
  <c r="AI813" i="9" s="1"/>
  <c r="W67" i="30"/>
  <c r="BN257" i="26"/>
  <c r="BN261" i="26" s="1"/>
  <c r="CQ261" i="26" s="1"/>
  <c r="X25" i="6"/>
  <c r="Y203" i="26"/>
  <c r="Y212" i="26" s="1"/>
  <c r="W52" i="6"/>
  <c r="X266" i="26"/>
  <c r="BN217" i="26"/>
  <c r="BN226" i="26" s="1"/>
  <c r="W130" i="30"/>
  <c r="X220" i="6"/>
  <c r="W69" i="30"/>
  <c r="CK183" i="20" l="1"/>
  <c r="CE178" i="20"/>
  <c r="CC48" i="30"/>
  <c r="AC31" i="6"/>
  <c r="AC68" i="30" s="1"/>
  <c r="CC183" i="1"/>
  <c r="CD183" i="1"/>
  <c r="A178" i="20" a="1"/>
  <c r="A178" i="20" s="1"/>
  <c r="CG49" i="30"/>
  <c r="CI49" i="30"/>
  <c r="CH49" i="30"/>
  <c r="CH50" i="30"/>
  <c r="CI50" i="30"/>
  <c r="CM183" i="20"/>
  <c r="CL183" i="20"/>
  <c r="CE179" i="20"/>
  <c r="A179" i="20" s="1" a="1"/>
  <c r="A179" i="20" s="1"/>
  <c r="AC25" i="6"/>
  <c r="AC66" i="30" s="1"/>
  <c r="AD203" i="26"/>
  <c r="AD212" i="26" s="1"/>
  <c r="BN25" i="6"/>
  <c r="BN66" i="30" s="1"/>
  <c r="AD37" i="6"/>
  <c r="AD70" i="30" s="1"/>
  <c r="AE245" i="26"/>
  <c r="AE252" i="26" s="1"/>
  <c r="BN31" i="6"/>
  <c r="BN68" i="30" s="1"/>
  <c r="AD266" i="26"/>
  <c r="AD271" i="26" s="1"/>
  <c r="AC52" i="6"/>
  <c r="AC76" i="30" s="1"/>
  <c r="X31" i="6"/>
  <c r="X68" i="30" s="1"/>
  <c r="Y231" i="26"/>
  <c r="AE231" i="26"/>
  <c r="AE240" i="26" s="1"/>
  <c r="AD31" i="6"/>
  <c r="AD68" i="30" s="1"/>
  <c r="AE217" i="26"/>
  <c r="AE226" i="26" s="1"/>
  <c r="AD28" i="6"/>
  <c r="AD67" i="30" s="1"/>
  <c r="Y245" i="26"/>
  <c r="Y252" i="26" s="1"/>
  <c r="Y37" i="6" s="1"/>
  <c r="CJ67" i="30"/>
  <c r="CG130" i="30"/>
  <c r="CJ130" i="30"/>
  <c r="CG69" i="30"/>
  <c r="CJ69" i="30"/>
  <c r="A147" i="30" a="1"/>
  <c r="A147" i="30" s="1"/>
  <c r="CG52" i="30"/>
  <c r="CC52" i="30" s="1"/>
  <c r="CJ52" i="30"/>
  <c r="CD52" i="30" s="1"/>
  <c r="AD71" i="30"/>
  <c r="AE40" i="6"/>
  <c r="AE44" i="6" s="1"/>
  <c r="A140" i="20" a="1"/>
  <c r="A140" i="20" s="1"/>
  <c r="X37" i="6"/>
  <c r="X70" i="30" s="1"/>
  <c r="BS876" i="9"/>
  <c r="BR1127" i="9"/>
  <c r="W50" i="30"/>
  <c r="AI886" i="9"/>
  <c r="AI1126" i="9" s="1"/>
  <c r="AI863" i="9"/>
  <c r="BZ144" i="20"/>
  <c r="V145" i="20"/>
  <c r="AA151" i="20"/>
  <c r="X271" i="26"/>
  <c r="V48" i="30"/>
  <c r="CM48" i="30" s="1"/>
  <c r="CE48" i="30" s="1"/>
  <c r="A48" i="30" s="1" a="1"/>
  <c r="A48" i="30" s="1"/>
  <c r="CN183" i="20"/>
  <c r="CF183" i="20" s="1"/>
  <c r="AJ767" i="9"/>
  <c r="AJ790" i="9" s="1"/>
  <c r="AJ813" i="9" s="1"/>
  <c r="BR874" i="9"/>
  <c r="BN220" i="6"/>
  <c r="BN223" i="6" s="1"/>
  <c r="X223" i="6"/>
  <c r="W76" i="30"/>
  <c r="BN34" i="6"/>
  <c r="BN69" i="30" s="1"/>
  <c r="X28" i="6"/>
  <c r="Y217" i="26"/>
  <c r="Y226" i="26" s="1"/>
  <c r="X34" i="6"/>
  <c r="Y257" i="26"/>
  <c r="Y261" i="26" s="1"/>
  <c r="CO261" i="26" s="1"/>
  <c r="CI261" i="26" s="1"/>
  <c r="BN28" i="6"/>
  <c r="BN67" i="30" s="1"/>
  <c r="BO203" i="26"/>
  <c r="BN266" i="26"/>
  <c r="X66" i="30"/>
  <c r="CE183" i="20" l="1"/>
  <c r="A183" i="20" s="1" a="1"/>
  <c r="A183" i="20" s="1"/>
  <c r="A183" i="1" a="1"/>
  <c r="A183" i="1" s="1"/>
  <c r="CC49" i="30"/>
  <c r="A49" i="30" s="1" a="1"/>
  <c r="A49" i="30" s="1"/>
  <c r="CK68" i="30"/>
  <c r="AD52" i="6"/>
  <c r="AD76" i="30" s="1"/>
  <c r="AE266" i="26"/>
  <c r="AE271" i="26" s="1"/>
  <c r="AE37" i="6"/>
  <c r="AE70" i="30" s="1"/>
  <c r="AF245" i="26"/>
  <c r="AF252" i="26" s="1"/>
  <c r="AD25" i="6"/>
  <c r="AD66" i="30" s="1"/>
  <c r="AE203" i="26"/>
  <c r="AE212" i="26" s="1"/>
  <c r="Y240" i="26"/>
  <c r="BO231" i="26"/>
  <c r="BO240" i="26" s="1"/>
  <c r="BO245" i="26"/>
  <c r="BO252" i="26" s="1"/>
  <c r="AF217" i="26"/>
  <c r="AF226" i="26" s="1"/>
  <c r="AE28" i="6"/>
  <c r="AE67" i="30" s="1"/>
  <c r="AF231" i="26"/>
  <c r="AF240" i="26" s="1"/>
  <c r="AF31" i="6" s="1"/>
  <c r="AF68" i="30" s="1"/>
  <c r="AE31" i="6"/>
  <c r="AE68" i="30" s="1"/>
  <c r="A52" i="30" a="1"/>
  <c r="A52" i="30" s="1"/>
  <c r="CJ76" i="30"/>
  <c r="CK70" i="30"/>
  <c r="CK66" i="30"/>
  <c r="CG50" i="30"/>
  <c r="CC50" i="30" s="1"/>
  <c r="CJ50" i="30"/>
  <c r="CD50" i="30" s="1"/>
  <c r="AE71" i="30"/>
  <c r="AF40" i="6"/>
  <c r="AF44" i="6" s="1"/>
  <c r="AI1116" i="9"/>
  <c r="AI1114" i="9"/>
  <c r="BT876" i="9"/>
  <c r="BS1127" i="9"/>
  <c r="AJ886" i="9"/>
  <c r="AJ1126" i="9" s="1"/>
  <c r="AJ863" i="9"/>
  <c r="AI1128" i="9"/>
  <c r="AI1129" i="9" s="1"/>
  <c r="AI117" i="6" s="1"/>
  <c r="BL145" i="20"/>
  <c r="AA201" i="20"/>
  <c r="AJ201" i="20"/>
  <c r="AO201" i="20"/>
  <c r="BH201" i="20"/>
  <c r="AW201" i="20"/>
  <c r="AI201" i="20"/>
  <c r="AM201" i="20"/>
  <c r="AC201" i="20"/>
  <c r="AX201" i="20"/>
  <c r="BC201" i="20"/>
  <c r="AP201" i="20"/>
  <c r="AL201" i="20"/>
  <c r="AB201" i="20"/>
  <c r="AF201" i="20"/>
  <c r="AR201" i="20"/>
  <c r="BE201" i="20"/>
  <c r="AT201" i="20"/>
  <c r="AE201" i="20"/>
  <c r="BF201" i="20"/>
  <c r="AU201" i="20"/>
  <c r="AK201" i="20"/>
  <c r="AN201" i="20"/>
  <c r="AD201" i="20"/>
  <c r="AS201" i="20"/>
  <c r="BI201" i="20"/>
  <c r="AY201" i="20"/>
  <c r="BG201" i="20"/>
  <c r="AH201" i="20"/>
  <c r="BD201" i="20"/>
  <c r="AG201" i="20"/>
  <c r="BB201" i="20"/>
  <c r="AQ201" i="20"/>
  <c r="BJ201" i="20"/>
  <c r="AZ201" i="20"/>
  <c r="BA201" i="20"/>
  <c r="AV201" i="20"/>
  <c r="AA158" i="20"/>
  <c r="AA27" i="30"/>
  <c r="BN271" i="26"/>
  <c r="BO212" i="26"/>
  <c r="BN329" i="26"/>
  <c r="AK767" i="9"/>
  <c r="AK790" i="9" s="1"/>
  <c r="AK813" i="9" s="1"/>
  <c r="BS874" i="9"/>
  <c r="X52" i="6"/>
  <c r="Y266" i="26"/>
  <c r="Y25" i="6"/>
  <c r="X69" i="30"/>
  <c r="Y70" i="30"/>
  <c r="BO257" i="26"/>
  <c r="BO261" i="26" s="1"/>
  <c r="CR261" i="26" s="1"/>
  <c r="CJ261" i="26" s="1"/>
  <c r="BO217" i="26"/>
  <c r="BO226" i="26" s="1"/>
  <c r="X130" i="30"/>
  <c r="Y220" i="6"/>
  <c r="X67" i="30"/>
  <c r="BN130" i="30"/>
  <c r="AF37" i="6" l="1"/>
  <c r="AF70" i="30" s="1"/>
  <c r="AG245" i="26"/>
  <c r="AG252" i="26" s="1"/>
  <c r="BP203" i="26"/>
  <c r="BO37" i="6"/>
  <c r="AF203" i="26"/>
  <c r="AF212" i="26" s="1"/>
  <c r="AE25" i="6"/>
  <c r="AE66" i="30" s="1"/>
  <c r="BN52" i="6"/>
  <c r="BN76" i="30" s="1"/>
  <c r="BO31" i="6"/>
  <c r="BO68" i="30" s="1"/>
  <c r="BP231" i="26"/>
  <c r="AE52" i="6"/>
  <c r="AE76" i="30" s="1"/>
  <c r="AF266" i="26"/>
  <c r="AF271" i="26" s="1"/>
  <c r="Y31" i="6"/>
  <c r="AG231" i="26"/>
  <c r="AG240" i="26" s="1"/>
  <c r="AG31" i="6" s="1"/>
  <c r="AG68" i="30" s="1"/>
  <c r="BP245" i="26"/>
  <c r="BP252" i="26" s="1"/>
  <c r="BP37" i="6" s="1"/>
  <c r="BP70" i="30" s="1"/>
  <c r="AG217" i="26"/>
  <c r="AG226" i="26" s="1"/>
  <c r="AF28" i="6"/>
  <c r="AF67" i="30" s="1"/>
  <c r="A50" i="30" a="1"/>
  <c r="A50" i="30" s="1"/>
  <c r="CK67" i="30"/>
  <c r="CK69" i="30"/>
  <c r="CH69" i="30"/>
  <c r="CH130" i="30"/>
  <c r="CK130" i="30"/>
  <c r="AI1117" i="9"/>
  <c r="AI195" i="30" s="1"/>
  <c r="AI83" i="33" s="1"/>
  <c r="AF71" i="30"/>
  <c r="AG40" i="6"/>
  <c r="AG44" i="6" s="1"/>
  <c r="AA160" i="20"/>
  <c r="AA165" i="20" s="1"/>
  <c r="AA40" i="30" s="1"/>
  <c r="AA196" i="20"/>
  <c r="AA33" i="30"/>
  <c r="AA151" i="30" s="1"/>
  <c r="AA58" i="33" s="1"/>
  <c r="BZ237" i="26"/>
  <c r="BO25" i="6"/>
  <c r="BO66" i="30" s="1"/>
  <c r="AJ1116" i="9"/>
  <c r="AJ1114" i="9"/>
  <c r="BU876" i="9"/>
  <c r="BT1127" i="9"/>
  <c r="AK886" i="9"/>
  <c r="AK1126" i="9" s="1"/>
  <c r="AK863" i="9"/>
  <c r="AJ1128" i="9"/>
  <c r="AJ1129" i="9" s="1"/>
  <c r="AJ117" i="6" s="1"/>
  <c r="CN145" i="20"/>
  <c r="CF145" i="20" s="1"/>
  <c r="BO329" i="26"/>
  <c r="Y271" i="26"/>
  <c r="BP240" i="26"/>
  <c r="BP31" i="6" s="1"/>
  <c r="BP68" i="30" s="1"/>
  <c r="AL767" i="9"/>
  <c r="AL790" i="9" s="1"/>
  <c r="AL813" i="9" s="1"/>
  <c r="AM744" i="9" s="1"/>
  <c r="BT874" i="9"/>
  <c r="Y28" i="6"/>
  <c r="BO266" i="26"/>
  <c r="Y34" i="6"/>
  <c r="Y223" i="6"/>
  <c r="BO220" i="6"/>
  <c r="BO223" i="6" s="1"/>
  <c r="Y66" i="30"/>
  <c r="BO28" i="6"/>
  <c r="BO67" i="30" s="1"/>
  <c r="BP217" i="26"/>
  <c r="BO34" i="6"/>
  <c r="BO69" i="30" s="1"/>
  <c r="BP257" i="26"/>
  <c r="BP261" i="26" s="1"/>
  <c r="X76" i="30"/>
  <c r="AH231" i="26" l="1"/>
  <c r="CF25" i="6"/>
  <c r="A25" i="6" s="1" a="1"/>
  <c r="A25" i="6" s="1"/>
  <c r="BQ245" i="26"/>
  <c r="BQ252" i="26" s="1"/>
  <c r="AG266" i="26"/>
  <c r="AG271" i="26" s="1"/>
  <c r="AF52" i="6"/>
  <c r="AF76" i="30" s="1"/>
  <c r="AF25" i="6"/>
  <c r="AF66" i="30" s="1"/>
  <c r="AG203" i="26"/>
  <c r="AG212" i="26" s="1"/>
  <c r="CF31" i="6"/>
  <c r="A31" i="6" s="1" a="1"/>
  <c r="A31" i="6" s="1"/>
  <c r="Y68" i="30"/>
  <c r="CL68" i="30" s="1"/>
  <c r="CD68" i="30" s="1"/>
  <c r="AG37" i="6"/>
  <c r="AG70" i="30" s="1"/>
  <c r="AH245" i="26"/>
  <c r="AH252" i="26" s="1"/>
  <c r="BO70" i="30"/>
  <c r="CL70" i="30" s="1"/>
  <c r="CD70" i="30" s="1"/>
  <c r="CF37" i="6"/>
  <c r="A37" i="6" s="1" a="1"/>
  <c r="A37" i="6" s="1"/>
  <c r="AH217" i="26"/>
  <c r="AH226" i="26" s="1"/>
  <c r="AG28" i="6"/>
  <c r="AG67" i="30" s="1"/>
  <c r="CL66" i="30"/>
  <c r="CD66" i="30" s="1"/>
  <c r="CK76" i="30"/>
  <c r="AA193" i="20"/>
  <c r="AA199" i="20" s="1"/>
  <c r="AA175" i="20"/>
  <c r="AA185" i="20" s="1"/>
  <c r="AA189" i="20" s="1"/>
  <c r="AA191" i="30"/>
  <c r="AA78" i="33" s="1"/>
  <c r="AA176" i="30"/>
  <c r="AA66" i="33" s="1"/>
  <c r="AG71" i="30"/>
  <c r="AH40" i="6"/>
  <c r="AH44" i="6" s="1"/>
  <c r="AJ1117" i="9"/>
  <c r="AJ195" i="30" s="1"/>
  <c r="AJ83" i="33" s="1"/>
  <c r="AK1116" i="9"/>
  <c r="AK1114" i="9"/>
  <c r="BV876" i="9"/>
  <c r="BU1127" i="9"/>
  <c r="W813" i="9"/>
  <c r="AL863" i="9"/>
  <c r="AK1128" i="9"/>
  <c r="AK1129" i="9" s="1"/>
  <c r="AK117" i="6" s="1"/>
  <c r="BO271" i="26"/>
  <c r="BP212" i="26"/>
  <c r="AH240" i="26"/>
  <c r="AI231" i="26" s="1"/>
  <c r="AI240" i="26" s="1"/>
  <c r="AI31" i="6" s="1"/>
  <c r="AI68" i="30" s="1"/>
  <c r="BP328" i="26"/>
  <c r="BQ231" i="26"/>
  <c r="BQ240" i="26" s="1"/>
  <c r="AM767" i="9"/>
  <c r="AM790" i="9" s="1"/>
  <c r="AM813" i="9" s="1"/>
  <c r="BU874" i="9"/>
  <c r="CF220" i="6"/>
  <c r="A220" i="6" s="1" a="1"/>
  <c r="A220" i="6" s="1"/>
  <c r="Y69" i="30"/>
  <c r="CF34" i="6"/>
  <c r="A34" i="6" s="1" a="1"/>
  <c r="A34" i="6" s="1"/>
  <c r="Y52" i="6"/>
  <c r="BO130" i="30"/>
  <c r="BP220" i="6"/>
  <c r="BP223" i="6" s="1"/>
  <c r="BQ257" i="26"/>
  <c r="BQ261" i="26" s="1"/>
  <c r="BP34" i="6"/>
  <c r="BP69" i="30" s="1"/>
  <c r="Y67" i="30"/>
  <c r="CF28" i="6"/>
  <c r="A28" i="6" s="1" a="1"/>
  <c r="A28" i="6" s="1"/>
  <c r="Y130" i="30"/>
  <c r="CF223" i="6"/>
  <c r="BO52" i="6" l="1"/>
  <c r="BO76" i="30" s="1"/>
  <c r="AG52" i="6"/>
  <c r="AG76" i="30" s="1"/>
  <c r="AH266" i="26"/>
  <c r="AH271" i="26" s="1"/>
  <c r="AH37" i="6"/>
  <c r="AH70" i="30" s="1"/>
  <c r="AI245" i="26"/>
  <c r="AI252" i="26" s="1"/>
  <c r="AG25" i="6"/>
  <c r="AG66" i="30" s="1"/>
  <c r="AH203" i="26"/>
  <c r="AH212" i="26" s="1"/>
  <c r="BQ37" i="6"/>
  <c r="BQ70" i="30" s="1"/>
  <c r="BR245" i="26"/>
  <c r="BR252" i="26" s="1"/>
  <c r="AH28" i="6"/>
  <c r="AH67" i="30" s="1"/>
  <c r="AI217" i="26"/>
  <c r="AI226" i="26" s="1"/>
  <c r="CL67" i="30"/>
  <c r="CD67" i="30" s="1"/>
  <c r="CI69" i="30"/>
  <c r="CC69" i="30" s="1"/>
  <c r="CL69" i="30"/>
  <c r="CD69" i="30" s="1"/>
  <c r="CI130" i="30"/>
  <c r="CC130" i="30" s="1"/>
  <c r="CL130" i="30"/>
  <c r="CD130" i="30" s="1"/>
  <c r="BP168" i="1"/>
  <c r="AA232" i="6"/>
  <c r="AA234" i="6" s="1"/>
  <c r="AI40" i="6"/>
  <c r="AI44" i="6" s="1"/>
  <c r="AH71" i="30"/>
  <c r="AK1117" i="9"/>
  <c r="AK195" i="30" s="1"/>
  <c r="AK83" i="33" s="1"/>
  <c r="AL1116" i="9"/>
  <c r="AL1114" i="9"/>
  <c r="BW876" i="9"/>
  <c r="BW1127" i="9" s="1"/>
  <c r="BV1127" i="9"/>
  <c r="BP266" i="26"/>
  <c r="BP271" i="26" s="1"/>
  <c r="BP52" i="6" s="1"/>
  <c r="AL886" i="9"/>
  <c r="AL1126" i="9" s="1"/>
  <c r="AN698" i="9"/>
  <c r="AM886" i="9"/>
  <c r="AM1126" i="9" s="1"/>
  <c r="AM863" i="9"/>
  <c r="AL1128" i="9"/>
  <c r="AH31" i="6"/>
  <c r="AH68" i="30" s="1"/>
  <c r="BQ31" i="6"/>
  <c r="BQ68" i="30" s="1"/>
  <c r="BP226" i="26"/>
  <c r="BZ223" i="26"/>
  <c r="AJ231" i="26"/>
  <c r="AJ240" i="26" s="1"/>
  <c r="BV874" i="9"/>
  <c r="BQ203" i="26"/>
  <c r="BP25" i="6"/>
  <c r="BQ34" i="6"/>
  <c r="BQ69" i="30" s="1"/>
  <c r="BR257" i="26"/>
  <c r="BR261" i="26" s="1"/>
  <c r="BP130" i="30"/>
  <c r="BQ220" i="6"/>
  <c r="BQ223" i="6" s="1"/>
  <c r="Y76" i="30"/>
  <c r="CF52" i="6"/>
  <c r="A52" i="6" s="1" a="1"/>
  <c r="A52" i="6" s="1"/>
  <c r="AH25" i="6" l="1"/>
  <c r="AH66" i="30" s="1"/>
  <c r="AI203" i="26"/>
  <c r="AI212" i="26" s="1"/>
  <c r="AI266" i="26"/>
  <c r="AI271" i="26" s="1"/>
  <c r="AH52" i="6"/>
  <c r="AH76" i="30" s="1"/>
  <c r="BS245" i="26"/>
  <c r="BS252" i="26" s="1"/>
  <c r="BR37" i="6"/>
  <c r="BR70" i="30" s="1"/>
  <c r="AI37" i="6"/>
  <c r="AI70" i="30" s="1"/>
  <c r="AJ245" i="26"/>
  <c r="AJ252" i="26" s="1"/>
  <c r="A69" i="30" a="1"/>
  <c r="A69" i="30" s="1"/>
  <c r="AJ217" i="26"/>
  <c r="AJ226" i="26" s="1"/>
  <c r="AI28" i="6"/>
  <c r="AI67" i="30" s="1"/>
  <c r="CL76" i="30"/>
  <c r="CD76" i="30" s="1"/>
  <c r="BQ266" i="26"/>
  <c r="BQ271" i="26" s="1"/>
  <c r="BQ52" i="6" s="1"/>
  <c r="AB231" i="6"/>
  <c r="AB234" i="6" s="1"/>
  <c r="AA132" i="30"/>
  <c r="AI71" i="30"/>
  <c r="AJ40" i="6"/>
  <c r="AJ44" i="6" s="1"/>
  <c r="AL1117" i="9"/>
  <c r="AL195" i="30" s="1"/>
  <c r="AL83" i="33" s="1"/>
  <c r="AL1129" i="9"/>
  <c r="AL117" i="6" s="1"/>
  <c r="AM1116" i="9"/>
  <c r="AM1114" i="9"/>
  <c r="AA1026" i="9"/>
  <c r="AA1049" i="9" s="1"/>
  <c r="AM1128" i="9"/>
  <c r="AM1129" i="9" s="1"/>
  <c r="AM117" i="6" s="1"/>
  <c r="BP173" i="1"/>
  <c r="BP138" i="20" s="1"/>
  <c r="BP133" i="20"/>
  <c r="BR231" i="26"/>
  <c r="BQ328" i="26"/>
  <c r="BP168" i="20"/>
  <c r="BP28" i="6"/>
  <c r="BP67" i="30" s="1"/>
  <c r="BQ217" i="26"/>
  <c r="BQ226" i="26" s="1"/>
  <c r="AK231" i="26"/>
  <c r="AK240" i="26" s="1"/>
  <c r="AJ31" i="6"/>
  <c r="AJ68" i="30" s="1"/>
  <c r="BP66" i="30"/>
  <c r="BW874" i="9"/>
  <c r="BR220" i="6"/>
  <c r="BR223" i="6" s="1"/>
  <c r="BQ130" i="30"/>
  <c r="BP76" i="30"/>
  <c r="BS257" i="26"/>
  <c r="BS261" i="26" s="1"/>
  <c r="BR34" i="6"/>
  <c r="BR69" i="30" s="1"/>
  <c r="AK245" i="26" l="1"/>
  <c r="AK252" i="26" s="1"/>
  <c r="AJ37" i="6"/>
  <c r="AJ70" i="30" s="1"/>
  <c r="AI52" i="6"/>
  <c r="AI76" i="30" s="1"/>
  <c r="AJ266" i="26"/>
  <c r="AJ271" i="26" s="1"/>
  <c r="AI25" i="6"/>
  <c r="AI66" i="30" s="1"/>
  <c r="AJ203" i="26"/>
  <c r="AJ212" i="26" s="1"/>
  <c r="BT245" i="26"/>
  <c r="BT252" i="26" s="1"/>
  <c r="BS37" i="6"/>
  <c r="BS70" i="30" s="1"/>
  <c r="AK217" i="26"/>
  <c r="AK226" i="26" s="1"/>
  <c r="AJ28" i="6"/>
  <c r="AJ67" i="30" s="1"/>
  <c r="BR266" i="26"/>
  <c r="BR271" i="26" s="1"/>
  <c r="BR52" i="6" s="1"/>
  <c r="BQ168" i="1"/>
  <c r="AM1117" i="9"/>
  <c r="AM195" i="30" s="1"/>
  <c r="AM83" i="33" s="1"/>
  <c r="AJ71" i="30"/>
  <c r="AK40" i="6"/>
  <c r="AK44" i="6" s="1"/>
  <c r="BP48" i="30"/>
  <c r="BP43" i="30"/>
  <c r="AA1072" i="9"/>
  <c r="AA1132" i="9" s="1"/>
  <c r="AN721" i="9"/>
  <c r="AN744" i="9" s="1"/>
  <c r="AN840" i="9"/>
  <c r="AN1120" i="9" s="1"/>
  <c r="AN1144" i="9" s="1"/>
  <c r="AN767" i="9"/>
  <c r="AN790" i="9" s="1"/>
  <c r="AN863" i="9" s="1"/>
  <c r="AN1114" i="9" s="1"/>
  <c r="AC231" i="6"/>
  <c r="AB132" i="30"/>
  <c r="BQ212" i="26"/>
  <c r="BQ25" i="6" s="1"/>
  <c r="BQ66" i="30" s="1"/>
  <c r="BR240" i="26"/>
  <c r="BR31" i="6" s="1"/>
  <c r="BR68" i="30" s="1"/>
  <c r="AK31" i="6"/>
  <c r="AK68" i="30" s="1"/>
  <c r="AL231" i="26"/>
  <c r="AL240" i="26" s="1"/>
  <c r="BP39" i="30"/>
  <c r="BP147" i="30" s="1"/>
  <c r="BP173" i="20"/>
  <c r="BR217" i="26"/>
  <c r="BR226" i="26" s="1"/>
  <c r="BQ28" i="6"/>
  <c r="BQ67" i="30" s="1"/>
  <c r="BQ76" i="30"/>
  <c r="BS34" i="6"/>
  <c r="BS69" i="30" s="1"/>
  <c r="BT257" i="26"/>
  <c r="BT261" i="26" s="1"/>
  <c r="BR130" i="30"/>
  <c r="BS220" i="6"/>
  <c r="BS223" i="6" s="1"/>
  <c r="BS266" i="26" l="1"/>
  <c r="BS271" i="26" s="1"/>
  <c r="BS52" i="6" s="1"/>
  <c r="AK266" i="26"/>
  <c r="AK271" i="26" s="1"/>
  <c r="AJ52" i="6"/>
  <c r="AJ76" i="30" s="1"/>
  <c r="AL31" i="6"/>
  <c r="AL68" i="30" s="1"/>
  <c r="CG68" i="30" s="1"/>
  <c r="CP240" i="26"/>
  <c r="CM240" i="26"/>
  <c r="BT37" i="6"/>
  <c r="BT70" i="30" s="1"/>
  <c r="BU245" i="26"/>
  <c r="BU252" i="26" s="1"/>
  <c r="AJ25" i="6"/>
  <c r="AJ66" i="30" s="1"/>
  <c r="AK203" i="26"/>
  <c r="AK212" i="26" s="1"/>
  <c r="AL245" i="26"/>
  <c r="AL252" i="26" s="1"/>
  <c r="AK37" i="6"/>
  <c r="AK70" i="30" s="1"/>
  <c r="AL217" i="26"/>
  <c r="AL226" i="26" s="1"/>
  <c r="AK28" i="6"/>
  <c r="AK67" i="30" s="1"/>
  <c r="AK71" i="30"/>
  <c r="AL40" i="6"/>
  <c r="AL44" i="6" s="1"/>
  <c r="AA1134" i="9"/>
  <c r="AA1133" i="9"/>
  <c r="BP56" i="33"/>
  <c r="AB1026" i="9"/>
  <c r="AB1049" i="9" s="1"/>
  <c r="AN1116" i="9"/>
  <c r="AN1122" i="9"/>
  <c r="AN813" i="9"/>
  <c r="AO698" i="9"/>
  <c r="BQ173" i="1"/>
  <c r="BQ138" i="20" s="1"/>
  <c r="BQ133" i="20"/>
  <c r="AC234" i="6"/>
  <c r="BQ168" i="20"/>
  <c r="BR203" i="26"/>
  <c r="BR328" i="26" s="1"/>
  <c r="BS231" i="26"/>
  <c r="BS240" i="26" s="1"/>
  <c r="AM231" i="26"/>
  <c r="BS217" i="26"/>
  <c r="BS226" i="26" s="1"/>
  <c r="BR28" i="6"/>
  <c r="BR67" i="30" s="1"/>
  <c r="BR76" i="30"/>
  <c r="BS130" i="30"/>
  <c r="BT220" i="6"/>
  <c r="BT223" i="6" s="1"/>
  <c r="BU257" i="26"/>
  <c r="BU261" i="26" s="1"/>
  <c r="BT34" i="6"/>
  <c r="BT69" i="30" s="1"/>
  <c r="BT266" i="26" l="1"/>
  <c r="BT271" i="26" s="1"/>
  <c r="CP226" i="26"/>
  <c r="CM226" i="26"/>
  <c r="BV245" i="26"/>
  <c r="BV252" i="26" s="1"/>
  <c r="BU37" i="6"/>
  <c r="BU70" i="30" s="1"/>
  <c r="CM252" i="26"/>
  <c r="CP252" i="26"/>
  <c r="AM245" i="26"/>
  <c r="AM252" i="26" s="1"/>
  <c r="AL37" i="6"/>
  <c r="AL70" i="30" s="1"/>
  <c r="CG70" i="30" s="1"/>
  <c r="AL203" i="26"/>
  <c r="AL212" i="26" s="1"/>
  <c r="AK25" i="6"/>
  <c r="AK66" i="30" s="1"/>
  <c r="AK52" i="6"/>
  <c r="AK76" i="30" s="1"/>
  <c r="AL266" i="26"/>
  <c r="AL271" i="26" s="1"/>
  <c r="AM217" i="26"/>
  <c r="AM226" i="26" s="1"/>
  <c r="AL28" i="6"/>
  <c r="AL67" i="30" s="1"/>
  <c r="CG67" i="30" s="1"/>
  <c r="BR168" i="1"/>
  <c r="BQ48" i="30"/>
  <c r="BQ43" i="30"/>
  <c r="AL71" i="30"/>
  <c r="CG71" i="30" s="1"/>
  <c r="AM40" i="6"/>
  <c r="AM44" i="6" s="1"/>
  <c r="AA1135" i="9"/>
  <c r="AA119" i="6" s="1"/>
  <c r="AA120" i="6" s="1"/>
  <c r="AA117" i="30" s="1"/>
  <c r="BQ173" i="20"/>
  <c r="BQ39" i="30"/>
  <c r="BQ147" i="30" s="1"/>
  <c r="AN1123" i="9"/>
  <c r="AN1146" i="9"/>
  <c r="AN1147" i="9" s="1"/>
  <c r="AN170" i="1" s="1"/>
  <c r="AN1117" i="9"/>
  <c r="AN195" i="30" s="1"/>
  <c r="AN83" i="33" s="1"/>
  <c r="AN886" i="9"/>
  <c r="AN1126" i="9" s="1"/>
  <c r="AC132" i="30"/>
  <c r="AD231" i="6"/>
  <c r="BR212" i="26"/>
  <c r="BR25" i="6" s="1"/>
  <c r="BR66" i="30" s="1"/>
  <c r="BT231" i="26"/>
  <c r="BT240" i="26" s="1"/>
  <c r="BS31" i="6"/>
  <c r="BS68" i="30" s="1"/>
  <c r="AM240" i="26"/>
  <c r="AN231" i="26" s="1"/>
  <c r="AN240" i="26" s="1"/>
  <c r="BT130" i="30"/>
  <c r="BU220" i="6"/>
  <c r="BU223" i="6" s="1"/>
  <c r="BS76" i="30"/>
  <c r="BT52" i="6"/>
  <c r="BU266" i="26"/>
  <c r="BU271" i="26" s="1"/>
  <c r="BV257" i="26"/>
  <c r="BV261" i="26" s="1"/>
  <c r="BU34" i="6"/>
  <c r="BU69" i="30" s="1"/>
  <c r="AN170" i="20" l="1"/>
  <c r="AN41" i="30" s="1"/>
  <c r="AM37" i="6"/>
  <c r="AM70" i="30" s="1"/>
  <c r="AN245" i="26"/>
  <c r="AN252" i="26" s="1"/>
  <c r="BW245" i="26"/>
  <c r="BW252" i="26" s="1"/>
  <c r="BW37" i="6" s="1"/>
  <c r="BW70" i="30" s="1"/>
  <c r="BV37" i="6"/>
  <c r="BV70" i="30" s="1"/>
  <c r="CM271" i="26"/>
  <c r="CP271" i="26"/>
  <c r="AM266" i="26"/>
  <c r="AM271" i="26" s="1"/>
  <c r="AL52" i="6"/>
  <c r="AL76" i="30" s="1"/>
  <c r="CG76" i="30" s="1"/>
  <c r="CM212" i="26"/>
  <c r="CP212" i="26"/>
  <c r="AL25" i="6"/>
  <c r="AL66" i="30" s="1"/>
  <c r="CG66" i="30" s="1"/>
  <c r="AM203" i="26"/>
  <c r="AM212" i="26" s="1"/>
  <c r="AM28" i="6"/>
  <c r="AM67" i="30" s="1"/>
  <c r="AN217" i="26"/>
  <c r="AN226" i="26" s="1"/>
  <c r="AM71" i="30"/>
  <c r="AN40" i="6"/>
  <c r="AN44" i="6" s="1"/>
  <c r="AA93" i="30"/>
  <c r="BQ56" i="33"/>
  <c r="AN173" i="1"/>
  <c r="AO767" i="9"/>
  <c r="AO790" i="9" s="1"/>
  <c r="AO863" i="9" s="1"/>
  <c r="AO1114" i="9" s="1"/>
  <c r="AN1128" i="9"/>
  <c r="AN1129" i="9" s="1"/>
  <c r="AN117" i="6" s="1"/>
  <c r="AB1072" i="9"/>
  <c r="AB1132" i="9" s="1"/>
  <c r="AO840" i="9"/>
  <c r="AO1120" i="9" s="1"/>
  <c r="AO1144" i="9" s="1"/>
  <c r="AO721" i="9"/>
  <c r="AO744" i="9" s="1"/>
  <c r="BS203" i="26"/>
  <c r="BS328" i="26" s="1"/>
  <c r="BR168" i="20"/>
  <c r="BR133" i="20"/>
  <c r="AD234" i="6"/>
  <c r="BR173" i="1"/>
  <c r="BR138" i="20" s="1"/>
  <c r="BT31" i="6"/>
  <c r="BT68" i="30" s="1"/>
  <c r="BU231" i="26"/>
  <c r="BU240" i="26" s="1"/>
  <c r="AN31" i="6"/>
  <c r="AN68" i="30" s="1"/>
  <c r="AO231" i="26"/>
  <c r="AO240" i="26" s="1"/>
  <c r="AO31" i="6" s="1"/>
  <c r="AO68" i="30" s="1"/>
  <c r="AM31" i="6"/>
  <c r="AM68" i="30" s="1"/>
  <c r="BT76" i="30"/>
  <c r="BU130" i="30"/>
  <c r="BV220" i="6"/>
  <c r="BV223" i="6" s="1"/>
  <c r="BU52" i="6"/>
  <c r="BV266" i="26"/>
  <c r="BV271" i="26" s="1"/>
  <c r="BW257" i="26"/>
  <c r="BW261" i="26" s="1"/>
  <c r="BV34" i="6"/>
  <c r="BV69" i="30" s="1"/>
  <c r="AN175" i="1" l="1"/>
  <c r="AN185" i="1" s="1"/>
  <c r="AN189" i="1" s="1"/>
  <c r="AN173" i="20"/>
  <c r="AN175" i="20" s="1"/>
  <c r="AN185" i="20" s="1"/>
  <c r="AN266" i="26"/>
  <c r="AN271" i="26" s="1"/>
  <c r="AM52" i="6"/>
  <c r="AM76" i="30" s="1"/>
  <c r="AO245" i="26"/>
  <c r="AO252" i="26" s="1"/>
  <c r="AN37" i="6"/>
  <c r="AN70" i="30" s="1"/>
  <c r="AN203" i="26"/>
  <c r="AN212" i="26" s="1"/>
  <c r="AM25" i="6"/>
  <c r="AM66" i="30" s="1"/>
  <c r="AO217" i="26"/>
  <c r="AO226" i="26" s="1"/>
  <c r="AN28" i="6"/>
  <c r="AN67" i="30" s="1"/>
  <c r="BS168" i="1"/>
  <c r="AO40" i="6"/>
  <c r="AO44" i="6" s="1"/>
  <c r="AN71" i="30"/>
  <c r="BR48" i="30"/>
  <c r="BR43" i="30"/>
  <c r="AB1134" i="9"/>
  <c r="AB1133" i="9"/>
  <c r="AN176" i="30"/>
  <c r="AN66" i="33" s="1"/>
  <c r="BR39" i="30"/>
  <c r="BR147" i="30" s="1"/>
  <c r="BR173" i="20"/>
  <c r="AO1122" i="9"/>
  <c r="AC1026" i="9"/>
  <c r="AC1049" i="9" s="1"/>
  <c r="AO1116" i="9"/>
  <c r="AO813" i="9"/>
  <c r="AO886" i="9" s="1"/>
  <c r="AO1126" i="9" s="1"/>
  <c r="AP698" i="9"/>
  <c r="AD132" i="30"/>
  <c r="AE231" i="6"/>
  <c r="BS212" i="26"/>
  <c r="BS25" i="6" s="1"/>
  <c r="BS66" i="30" s="1"/>
  <c r="BV231" i="26"/>
  <c r="BV240" i="26" s="1"/>
  <c r="BU31" i="6"/>
  <c r="BU68" i="30" s="1"/>
  <c r="AP231" i="26"/>
  <c r="BT217" i="26"/>
  <c r="BT226" i="26" s="1"/>
  <c r="BS28" i="6"/>
  <c r="BS67" i="30" s="1"/>
  <c r="BW34" i="6"/>
  <c r="BW69" i="30" s="1"/>
  <c r="BW266" i="26"/>
  <c r="BW271" i="26" s="1"/>
  <c r="BV52" i="6"/>
  <c r="BU76" i="30"/>
  <c r="BV130" i="30"/>
  <c r="BW220" i="6"/>
  <c r="BW223" i="6" s="1"/>
  <c r="AN232" i="6" l="1"/>
  <c r="AN189" i="20"/>
  <c r="AO37" i="6"/>
  <c r="AO70" i="30" s="1"/>
  <c r="AP245" i="26"/>
  <c r="AP252" i="26" s="1"/>
  <c r="AN25" i="6"/>
  <c r="AN66" i="30" s="1"/>
  <c r="AO203" i="26"/>
  <c r="AO212" i="26" s="1"/>
  <c r="AO266" i="26"/>
  <c r="AO271" i="26" s="1"/>
  <c r="AN52" i="6"/>
  <c r="AN76" i="30" s="1"/>
  <c r="AO28" i="6"/>
  <c r="AO67" i="30" s="1"/>
  <c r="AP217" i="26"/>
  <c r="AP226" i="26" s="1"/>
  <c r="AP40" i="6"/>
  <c r="AP44" i="6" s="1"/>
  <c r="AO71" i="30"/>
  <c r="AB1135" i="9"/>
  <c r="AB119" i="6" s="1"/>
  <c r="BR56" i="33"/>
  <c r="AO1117" i="9"/>
  <c r="AO195" i="30" s="1"/>
  <c r="AO83" i="33" s="1"/>
  <c r="AO1123" i="9"/>
  <c r="AO1146" i="9"/>
  <c r="AO1147" i="9" s="1"/>
  <c r="AO170" i="1" s="1"/>
  <c r="AO1128" i="9"/>
  <c r="AO1129" i="9" s="1"/>
  <c r="AO117" i="6" s="1"/>
  <c r="AC1072" i="9"/>
  <c r="AC1132" i="9" s="1"/>
  <c r="AE234" i="6"/>
  <c r="BS173" i="1"/>
  <c r="BS138" i="20" s="1"/>
  <c r="BS133" i="20"/>
  <c r="BT203" i="26"/>
  <c r="BT328" i="26" s="1"/>
  <c r="BS168" i="20"/>
  <c r="BV31" i="6"/>
  <c r="BV68" i="30" s="1"/>
  <c r="BW231" i="26"/>
  <c r="BW240" i="26" s="1"/>
  <c r="AP240" i="26"/>
  <c r="AP31" i="6" s="1"/>
  <c r="AP68" i="30" s="1"/>
  <c r="W767" i="9"/>
  <c r="BV76" i="30"/>
  <c r="BW52" i="6"/>
  <c r="BW130" i="30"/>
  <c r="AO173" i="1" l="1"/>
  <c r="AO25" i="6"/>
  <c r="AO66" i="30" s="1"/>
  <c r="AP203" i="26"/>
  <c r="AP212" i="26" s="1"/>
  <c r="AQ245" i="26"/>
  <c r="AQ252" i="26" s="1"/>
  <c r="AP37" i="6"/>
  <c r="AP70" i="30" s="1"/>
  <c r="AP266" i="26"/>
  <c r="AP271" i="26" s="1"/>
  <c r="AO52" i="6"/>
  <c r="AO76" i="30" s="1"/>
  <c r="AP28" i="6"/>
  <c r="AP67" i="30" s="1"/>
  <c r="AQ217" i="26"/>
  <c r="AQ226" i="26" s="1"/>
  <c r="BW31" i="6"/>
  <c r="BW68" i="30" s="1"/>
  <c r="BT168" i="1"/>
  <c r="BS48" i="30"/>
  <c r="BS43" i="30"/>
  <c r="AQ40" i="6"/>
  <c r="AQ44" i="6" s="1"/>
  <c r="AP71" i="30"/>
  <c r="AB120" i="6"/>
  <c r="AB117" i="30" s="1"/>
  <c r="AB93" i="30"/>
  <c r="AC1134" i="9"/>
  <c r="AC1133" i="9"/>
  <c r="AO170" i="20"/>
  <c r="AP840" i="9"/>
  <c r="AP1120" i="9" s="1"/>
  <c r="AP1144" i="9" s="1"/>
  <c r="AP721" i="9"/>
  <c r="AP744" i="9" s="1"/>
  <c r="AP767" i="9"/>
  <c r="AP790" i="9" s="1"/>
  <c r="AP863" i="9" s="1"/>
  <c r="AF231" i="6"/>
  <c r="AE132" i="30"/>
  <c r="BS173" i="20"/>
  <c r="BS39" i="30"/>
  <c r="BS147" i="30" s="1"/>
  <c r="AQ231" i="26"/>
  <c r="AQ240" i="26" s="1"/>
  <c r="AQ31" i="6" s="1"/>
  <c r="AQ68" i="30" s="1"/>
  <c r="BT212" i="26"/>
  <c r="BU203" i="26" s="1"/>
  <c r="BU328" i="26" s="1"/>
  <c r="W790" i="9"/>
  <c r="W863" i="9" s="1"/>
  <c r="W1114" i="9" s="1"/>
  <c r="BM767" i="9"/>
  <c r="BW76" i="30"/>
  <c r="AO175" i="1" l="1"/>
  <c r="AO185" i="1" s="1"/>
  <c r="AO189" i="1" s="1"/>
  <c r="AR245" i="26"/>
  <c r="AR252" i="26" s="1"/>
  <c r="AQ37" i="6"/>
  <c r="AQ70" i="30" s="1"/>
  <c r="AQ203" i="26"/>
  <c r="AQ212" i="26" s="1"/>
  <c r="AP25" i="6"/>
  <c r="AP66" i="30" s="1"/>
  <c r="AQ266" i="26"/>
  <c r="AQ271" i="26" s="1"/>
  <c r="AP52" i="6"/>
  <c r="AP76" i="30" s="1"/>
  <c r="AR217" i="26"/>
  <c r="AR226" i="26" s="1"/>
  <c r="AQ28" i="6"/>
  <c r="AQ67" i="30" s="1"/>
  <c r="BU168" i="1"/>
  <c r="AQ71" i="30"/>
  <c r="AR40" i="6"/>
  <c r="AR44" i="6" s="1"/>
  <c r="AP1116" i="9"/>
  <c r="AP1114" i="9"/>
  <c r="AC1135" i="9"/>
  <c r="AC119" i="6" s="1"/>
  <c r="BS56" i="33"/>
  <c r="AO173" i="20"/>
  <c r="AO175" i="20" s="1"/>
  <c r="AO185" i="20" s="1"/>
  <c r="AO41" i="30"/>
  <c r="W1116" i="9"/>
  <c r="AP1122" i="9"/>
  <c r="AP813" i="9"/>
  <c r="AD1026" i="9"/>
  <c r="AD1049" i="9" s="1"/>
  <c r="AQ698" i="9"/>
  <c r="AF234" i="6"/>
  <c r="BT173" i="1"/>
  <c r="BT138" i="20" s="1"/>
  <c r="BT133" i="20"/>
  <c r="BT168" i="20"/>
  <c r="BU212" i="26"/>
  <c r="BV203" i="26" s="1"/>
  <c r="AR231" i="26"/>
  <c r="BT25" i="6"/>
  <c r="BT66" i="30" s="1"/>
  <c r="BT28" i="6"/>
  <c r="BT67" i="30" s="1"/>
  <c r="BU217" i="26"/>
  <c r="BU226" i="26" s="1"/>
  <c r="W886" i="9"/>
  <c r="BM790" i="9"/>
  <c r="BM863" i="9" s="1"/>
  <c r="BM1114" i="9" s="1"/>
  <c r="AR203" i="26" l="1"/>
  <c r="AR212" i="26" s="1"/>
  <c r="AQ25" i="6"/>
  <c r="AQ66" i="30" s="1"/>
  <c r="AQ52" i="6"/>
  <c r="AQ76" i="30" s="1"/>
  <c r="AR266" i="26"/>
  <c r="AR271" i="26" s="1"/>
  <c r="AS245" i="26"/>
  <c r="AS252" i="26" s="1"/>
  <c r="AR37" i="6"/>
  <c r="AR70" i="30" s="1"/>
  <c r="AR28" i="6"/>
  <c r="AR67" i="30" s="1"/>
  <c r="AS217" i="26"/>
  <c r="AS226" i="26" s="1"/>
  <c r="AR71" i="30"/>
  <c r="AS40" i="6"/>
  <c r="AS44" i="6" s="1"/>
  <c r="BT48" i="30"/>
  <c r="BT43" i="30"/>
  <c r="AP1117" i="9"/>
  <c r="AP195" i="30" s="1"/>
  <c r="AP83" i="33" s="1"/>
  <c r="W1128" i="9"/>
  <c r="W1126" i="9"/>
  <c r="AC120" i="6"/>
  <c r="AC117" i="30" s="1"/>
  <c r="AC93" i="30"/>
  <c r="AO176" i="30"/>
  <c r="AO66" i="33" s="1"/>
  <c r="AO232" i="6"/>
  <c r="AO189" i="20"/>
  <c r="AP1123" i="9"/>
  <c r="AP1146" i="9"/>
  <c r="AP1147" i="9" s="1"/>
  <c r="AP170" i="1" s="1"/>
  <c r="W1117" i="9"/>
  <c r="W195" i="30" s="1"/>
  <c r="BM1116" i="9"/>
  <c r="AP886" i="9"/>
  <c r="AP1126" i="9" s="1"/>
  <c r="AG231" i="6"/>
  <c r="AF132" i="30"/>
  <c r="BT173" i="20"/>
  <c r="BT39" i="30"/>
  <c r="BT147" i="30" s="1"/>
  <c r="AR240" i="26"/>
  <c r="BU25" i="6"/>
  <c r="BU66" i="30" s="1"/>
  <c r="BM813" i="9"/>
  <c r="BM886" i="9" s="1"/>
  <c r="BV328" i="26"/>
  <c r="AP170" i="20" l="1"/>
  <c r="AP173" i="20" s="1"/>
  <c r="AP175" i="20" s="1"/>
  <c r="AP185" i="20" s="1"/>
  <c r="AP232" i="6" s="1"/>
  <c r="AT245" i="26"/>
  <c r="AT252" i="26" s="1"/>
  <c r="AS37" i="6"/>
  <c r="AS70" i="30" s="1"/>
  <c r="AR25" i="6"/>
  <c r="AR66" i="30" s="1"/>
  <c r="AS203" i="26"/>
  <c r="AS212" i="26" s="1"/>
  <c r="AR52" i="6"/>
  <c r="AR76" i="30" s="1"/>
  <c r="AS266" i="26"/>
  <c r="AS271" i="26" s="1"/>
  <c r="AS28" i="6"/>
  <c r="AS67" i="30" s="1"/>
  <c r="AT217" i="26"/>
  <c r="AT226" i="26" s="1"/>
  <c r="AR31" i="6"/>
  <c r="AR68" i="30" s="1"/>
  <c r="W83" i="33"/>
  <c r="BV168" i="1"/>
  <c r="AT40" i="6"/>
  <c r="AT44" i="6" s="1"/>
  <c r="AS71" i="30"/>
  <c r="BM1128" i="9"/>
  <c r="BM1126" i="9"/>
  <c r="W1129" i="9"/>
  <c r="W117" i="6" s="1"/>
  <c r="BT56" i="33"/>
  <c r="BM1117" i="9"/>
  <c r="BM195" i="30" s="1"/>
  <c r="BM83" i="33" s="1"/>
  <c r="AP173" i="1"/>
  <c r="AQ840" i="9"/>
  <c r="AQ1120" i="9" s="1"/>
  <c r="AQ1144" i="9" s="1"/>
  <c r="AQ721" i="9"/>
  <c r="AQ744" i="9" s="1"/>
  <c r="AQ767" i="9"/>
  <c r="AQ790" i="9" s="1"/>
  <c r="AQ813" i="9" s="1"/>
  <c r="AP1128" i="9"/>
  <c r="AP1129" i="9" s="1"/>
  <c r="AP117" i="6" s="1"/>
  <c r="AD1072" i="9"/>
  <c r="AD1132" i="9" s="1"/>
  <c r="AG234" i="6"/>
  <c r="AS231" i="26"/>
  <c r="AS240" i="26" s="1"/>
  <c r="AT231" i="26" s="1"/>
  <c r="AT240" i="26" s="1"/>
  <c r="AT31" i="6" s="1"/>
  <c r="AT68" i="30" s="1"/>
  <c r="BV212" i="26"/>
  <c r="BV217" i="26"/>
  <c r="BV226" i="26" s="1"/>
  <c r="BU28" i="6"/>
  <c r="BU67" i="30" s="1"/>
  <c r="BU133" i="20"/>
  <c r="AP175" i="1" l="1"/>
  <c r="AP185" i="1" s="1"/>
  <c r="AP189" i="1" s="1"/>
  <c r="AP41" i="30"/>
  <c r="AS25" i="6"/>
  <c r="AS66" i="30" s="1"/>
  <c r="AT203" i="26"/>
  <c r="AT212" i="26" s="1"/>
  <c r="AS52" i="6"/>
  <c r="AS76" i="30" s="1"/>
  <c r="AT266" i="26"/>
  <c r="AT271" i="26" s="1"/>
  <c r="AU245" i="26"/>
  <c r="AU252" i="26" s="1"/>
  <c r="AT37" i="6"/>
  <c r="AT70" i="30" s="1"/>
  <c r="AU217" i="26"/>
  <c r="AU226" i="26" s="1"/>
  <c r="AT28" i="6"/>
  <c r="AT67" i="30" s="1"/>
  <c r="CJ195" i="30"/>
  <c r="AU40" i="6"/>
  <c r="AU44" i="6" s="1"/>
  <c r="AT71" i="30"/>
  <c r="BM1129" i="9"/>
  <c r="BM117" i="6" s="1"/>
  <c r="AD1134" i="9"/>
  <c r="AD1133" i="9"/>
  <c r="AP189" i="20"/>
  <c r="AQ1122" i="9"/>
  <c r="AQ863" i="9"/>
  <c r="AR698" i="9"/>
  <c r="AG132" i="30"/>
  <c r="AH231" i="6"/>
  <c r="AS31" i="6"/>
  <c r="AS68" i="30" s="1"/>
  <c r="AU231" i="26"/>
  <c r="AU240" i="26" s="1"/>
  <c r="AU31" i="6" s="1"/>
  <c r="AU68" i="30" s="1"/>
  <c r="BU173" i="1"/>
  <c r="BU138" i="20" s="1"/>
  <c r="BU168" i="20"/>
  <c r="BU43" i="30" s="1"/>
  <c r="BV25" i="6"/>
  <c r="BW203" i="26"/>
  <c r="AP176" i="30" l="1"/>
  <c r="AP66" i="33" s="1"/>
  <c r="AT52" i="6"/>
  <c r="AT76" i="30" s="1"/>
  <c r="AU266" i="26"/>
  <c r="AU271" i="26" s="1"/>
  <c r="AT25" i="6"/>
  <c r="AT66" i="30" s="1"/>
  <c r="AU203" i="26"/>
  <c r="AU212" i="26" s="1"/>
  <c r="AU37" i="6"/>
  <c r="AU70" i="30" s="1"/>
  <c r="AV245" i="26"/>
  <c r="AV252" i="26" s="1"/>
  <c r="AV217" i="26"/>
  <c r="AV226" i="26" s="1"/>
  <c r="AU28" i="6"/>
  <c r="AU67" i="30" s="1"/>
  <c r="AV40" i="6"/>
  <c r="AV44" i="6" s="1"/>
  <c r="AU71" i="30"/>
  <c r="AQ1116" i="9"/>
  <c r="AQ1114" i="9"/>
  <c r="AD1135" i="9"/>
  <c r="AD119" i="6" s="1"/>
  <c r="AD93" i="30" s="1"/>
  <c r="AQ1123" i="9"/>
  <c r="AQ1146" i="9"/>
  <c r="AQ1147" i="9" s="1"/>
  <c r="AQ170" i="1" s="1"/>
  <c r="AQ886" i="9"/>
  <c r="AQ1126" i="9" s="1"/>
  <c r="AE1026" i="9"/>
  <c r="AE1049" i="9" s="1"/>
  <c r="AH234" i="6"/>
  <c r="AV231" i="26"/>
  <c r="AV240" i="26" s="1"/>
  <c r="AV31" i="6" s="1"/>
  <c r="AV68" i="30" s="1"/>
  <c r="BV133" i="20"/>
  <c r="BU48" i="30"/>
  <c r="BU173" i="20"/>
  <c r="BU39" i="30"/>
  <c r="BU147" i="30" s="1"/>
  <c r="BV66" i="30"/>
  <c r="AQ170" i="20" l="1"/>
  <c r="AQ41" i="30" s="1"/>
  <c r="AQ176" i="30" s="1"/>
  <c r="AQ66" i="33" s="1"/>
  <c r="AU25" i="6"/>
  <c r="AU66" i="30" s="1"/>
  <c r="AV203" i="26"/>
  <c r="AV212" i="26" s="1"/>
  <c r="AV37" i="6"/>
  <c r="AV70" i="30" s="1"/>
  <c r="AW245" i="26"/>
  <c r="AW252" i="26" s="1"/>
  <c r="AV266" i="26"/>
  <c r="AV271" i="26" s="1"/>
  <c r="AU52" i="6"/>
  <c r="AU76" i="30" s="1"/>
  <c r="AW217" i="26"/>
  <c r="AW226" i="26" s="1"/>
  <c r="AV28" i="6"/>
  <c r="AV67" i="30" s="1"/>
  <c r="BW328" i="26"/>
  <c r="BR329" i="26" s="1"/>
  <c r="BZ209" i="26"/>
  <c r="BZ2" i="26" s="1" a="1"/>
  <c r="BZ2" i="26" s="1"/>
  <c r="BW168" i="1"/>
  <c r="AW40" i="6"/>
  <c r="AW44" i="6" s="1"/>
  <c r="AV71" i="30"/>
  <c r="AQ1117" i="9"/>
  <c r="AQ195" i="30" s="1"/>
  <c r="AD120" i="6"/>
  <c r="AD117" i="30" s="1"/>
  <c r="BU56" i="33"/>
  <c r="AQ173" i="1"/>
  <c r="AR840" i="9"/>
  <c r="AR1120" i="9" s="1"/>
  <c r="AR1144" i="9" s="1"/>
  <c r="AR721" i="9"/>
  <c r="AR744" i="9" s="1"/>
  <c r="AR767" i="9"/>
  <c r="AR790" i="9" s="1"/>
  <c r="AR813" i="9" s="1"/>
  <c r="AQ1128" i="9"/>
  <c r="AQ1129" i="9" s="1"/>
  <c r="AQ117" i="6" s="1"/>
  <c r="AE1072" i="9"/>
  <c r="AE1132" i="9" s="1"/>
  <c r="AI231" i="6"/>
  <c r="AH132" i="30"/>
  <c r="AW231" i="26"/>
  <c r="AW240" i="26" s="1"/>
  <c r="AX231" i="26" s="1"/>
  <c r="BW212" i="26"/>
  <c r="BW25" i="6" s="1"/>
  <c r="BV28" i="6"/>
  <c r="BV67" i="30" s="1"/>
  <c r="BW217" i="26"/>
  <c r="BW226" i="26" s="1"/>
  <c r="BV168" i="20"/>
  <c r="BV43" i="30" s="1"/>
  <c r="BV173" i="1"/>
  <c r="BV138" i="20" s="1"/>
  <c r="B19" i="14" a="1"/>
  <c r="AQ173" i="20" l="1"/>
  <c r="AQ175" i="20" s="1"/>
  <c r="AQ185" i="20" s="1"/>
  <c r="AQ189" i="20" s="1"/>
  <c r="AQ83" i="33"/>
  <c r="AQ175" i="1"/>
  <c r="AQ185" i="1" s="1"/>
  <c r="AQ189" i="1" s="1"/>
  <c r="B19" i="14"/>
  <c r="AW37" i="6"/>
  <c r="AW70" i="30" s="1"/>
  <c r="AX245" i="26"/>
  <c r="AX252" i="26" s="1"/>
  <c r="AV25" i="6"/>
  <c r="AV66" i="30" s="1"/>
  <c r="AW203" i="26"/>
  <c r="AW212" i="26" s="1"/>
  <c r="AV52" i="6"/>
  <c r="AV76" i="30" s="1"/>
  <c r="AW266" i="26"/>
  <c r="AW271" i="26" s="1"/>
  <c r="AW28" i="6"/>
  <c r="AW67" i="30" s="1"/>
  <c r="AX217" i="26"/>
  <c r="AX226" i="26" s="1"/>
  <c r="BU329" i="26"/>
  <c r="BQ329" i="26"/>
  <c r="BW329" i="26"/>
  <c r="BT329" i="26"/>
  <c r="BP329" i="26"/>
  <c r="BV329" i="26"/>
  <c r="BS329" i="26"/>
  <c r="AW71" i="30"/>
  <c r="AX40" i="6"/>
  <c r="AX44" i="6" s="1"/>
  <c r="AE1134" i="9"/>
  <c r="AE1133" i="9"/>
  <c r="AQ232" i="6"/>
  <c r="AR1122" i="9"/>
  <c r="AS698" i="9"/>
  <c r="AR863" i="9"/>
  <c r="AI234" i="6"/>
  <c r="AW31" i="6"/>
  <c r="AW68" i="30" s="1"/>
  <c r="AX240" i="26"/>
  <c r="BV48" i="30"/>
  <c r="BV173" i="20"/>
  <c r="BV39" i="30"/>
  <c r="BV147" i="30" s="1"/>
  <c r="BW28" i="6"/>
  <c r="BW67" i="30" s="1"/>
  <c r="BW66" i="30"/>
  <c r="CN226" i="26" l="1"/>
  <c r="CQ226" i="26"/>
  <c r="AX203" i="26"/>
  <c r="AX212" i="26" s="1"/>
  <c r="AW25" i="6"/>
  <c r="AW66" i="30" s="1"/>
  <c r="AW52" i="6"/>
  <c r="AW76" i="30" s="1"/>
  <c r="AX266" i="26"/>
  <c r="AX271" i="26" s="1"/>
  <c r="CQ252" i="26"/>
  <c r="CN252" i="26"/>
  <c r="AY245" i="26"/>
  <c r="AY252" i="26" s="1"/>
  <c r="AX37" i="6"/>
  <c r="AX70" i="30" s="1"/>
  <c r="CH70" i="30" s="1"/>
  <c r="AY231" i="26"/>
  <c r="AY240" i="26" s="1"/>
  <c r="AY31" i="6" s="1"/>
  <c r="AY68" i="30" s="1"/>
  <c r="CQ240" i="26"/>
  <c r="CN240" i="26"/>
  <c r="AX28" i="6"/>
  <c r="AX67" i="30" s="1"/>
  <c r="CH67" i="30" s="1"/>
  <c r="AY217" i="26"/>
  <c r="AY226" i="26" s="1"/>
  <c r="AX71" i="30"/>
  <c r="CH71" i="30" s="1"/>
  <c r="AY40" i="6"/>
  <c r="AY44" i="6" s="1"/>
  <c r="AR1116" i="9"/>
  <c r="AR1114" i="9"/>
  <c r="AE1135" i="9"/>
  <c r="AE119" i="6" s="1"/>
  <c r="AE120" i="6" s="1"/>
  <c r="AE117" i="30" s="1"/>
  <c r="BV56" i="33"/>
  <c r="AR1123" i="9"/>
  <c r="AR1146" i="9"/>
  <c r="AR1147" i="9" s="1"/>
  <c r="AR170" i="1" s="1"/>
  <c r="AR170" i="20" s="1"/>
  <c r="AR41" i="30" s="1"/>
  <c r="AR886" i="9"/>
  <c r="AR1126" i="9" s="1"/>
  <c r="AS767" i="9"/>
  <c r="AS790" i="9" s="1"/>
  <c r="AS863" i="9" s="1"/>
  <c r="AS1114" i="9" s="1"/>
  <c r="AF1026" i="9"/>
  <c r="AF1049" i="9" s="1"/>
  <c r="AS840" i="9"/>
  <c r="AS1120" i="9" s="1"/>
  <c r="AS1144" i="9" s="1"/>
  <c r="AS721" i="9"/>
  <c r="AJ231" i="6"/>
  <c r="AI132" i="30"/>
  <c r="AX31" i="6"/>
  <c r="AX68" i="30" s="1"/>
  <c r="CH68" i="30" s="1"/>
  <c r="BW133" i="20"/>
  <c r="BZ133" i="20" s="1"/>
  <c r="AS744" i="9" l="1"/>
  <c r="AT698" i="9" s="1"/>
  <c r="AZ231" i="26"/>
  <c r="AZ240" i="26" s="1"/>
  <c r="BA231" i="26" s="1"/>
  <c r="BA240" i="26" s="1"/>
  <c r="BB231" i="26" s="1"/>
  <c r="BB240" i="26" s="1"/>
  <c r="AZ245" i="26"/>
  <c r="AZ252" i="26" s="1"/>
  <c r="AY37" i="6"/>
  <c r="AY70" i="30" s="1"/>
  <c r="CN212" i="26"/>
  <c r="CQ212" i="26"/>
  <c r="AY203" i="26"/>
  <c r="AY212" i="26" s="1"/>
  <c r="AX25" i="6"/>
  <c r="AX66" i="30" s="1"/>
  <c r="CH66" i="30" s="1"/>
  <c r="CN271" i="26"/>
  <c r="CQ271" i="26"/>
  <c r="AX52" i="6"/>
  <c r="AX76" i="30" s="1"/>
  <c r="CH76" i="30" s="1"/>
  <c r="AY266" i="26"/>
  <c r="AY271" i="26" s="1"/>
  <c r="AZ217" i="26"/>
  <c r="AZ226" i="26" s="1"/>
  <c r="AY28" i="6"/>
  <c r="AY67" i="30" s="1"/>
  <c r="AZ40" i="6"/>
  <c r="AZ44" i="6" s="1"/>
  <c r="AY71" i="30"/>
  <c r="AR1117" i="9"/>
  <c r="AR195" i="30" s="1"/>
  <c r="AE93" i="30"/>
  <c r="AR176" i="30"/>
  <c r="AR66" i="33" s="1"/>
  <c r="AR173" i="20"/>
  <c r="AR175" i="20" s="1"/>
  <c r="AR185" i="20" s="1"/>
  <c r="AR232" i="6" s="1"/>
  <c r="AR173" i="1"/>
  <c r="AR175" i="1" s="1"/>
  <c r="AR185" i="1" s="1"/>
  <c r="AR189" i="1" s="1"/>
  <c r="AS1116" i="9"/>
  <c r="AS1122" i="9"/>
  <c r="AS813" i="9"/>
  <c r="AG1026" i="9"/>
  <c r="AG1049" i="9" s="1"/>
  <c r="AR1128" i="9"/>
  <c r="AR1129" i="9" s="1"/>
  <c r="AR117" i="6" s="1"/>
  <c r="AF1072" i="9"/>
  <c r="AF1132" i="9" s="1"/>
  <c r="AJ234" i="6"/>
  <c r="BW168" i="20"/>
  <c r="BW43" i="30" s="1"/>
  <c r="BW173" i="1"/>
  <c r="BW138" i="20" s="1"/>
  <c r="AR83" i="33" l="1"/>
  <c r="AT840" i="9"/>
  <c r="AT1120" i="9" s="1"/>
  <c r="AT1144" i="9" s="1"/>
  <c r="AT721" i="9"/>
  <c r="AY52" i="6"/>
  <c r="AY76" i="30" s="1"/>
  <c r="AZ266" i="26"/>
  <c r="AZ271" i="26" s="1"/>
  <c r="AY25" i="6"/>
  <c r="AY66" i="30" s="1"/>
  <c r="AZ203" i="26"/>
  <c r="AZ212" i="26" s="1"/>
  <c r="BA245" i="26"/>
  <c r="BA252" i="26" s="1"/>
  <c r="AZ37" i="6"/>
  <c r="AZ70" i="30" s="1"/>
  <c r="AZ28" i="6"/>
  <c r="AZ67" i="30" s="1"/>
  <c r="BA217" i="26"/>
  <c r="BA226" i="26" s="1"/>
  <c r="BA40" i="6"/>
  <c r="BA44" i="6" s="1"/>
  <c r="AZ71" i="30"/>
  <c r="AF1134" i="9"/>
  <c r="AF1133" i="9"/>
  <c r="AR189" i="20"/>
  <c r="AS1117" i="9"/>
  <c r="AS195" i="30" s="1"/>
  <c r="AS83" i="33" s="1"/>
  <c r="AS1123" i="9"/>
  <c r="AS1146" i="9"/>
  <c r="AS1147" i="9" s="1"/>
  <c r="AS170" i="1" s="1"/>
  <c r="AT1122" i="9"/>
  <c r="AS886" i="9"/>
  <c r="AS1126" i="9" s="1"/>
  <c r="AT767" i="9"/>
  <c r="AT790" i="9" s="1"/>
  <c r="AT813" i="9" s="1"/>
  <c r="BZ138" i="20"/>
  <c r="AK231" i="6"/>
  <c r="AJ132" i="30"/>
  <c r="AZ31" i="6"/>
  <c r="AZ68" i="30" s="1"/>
  <c r="BA31" i="6"/>
  <c r="BA68" i="30" s="1"/>
  <c r="BW48" i="30"/>
  <c r="BW39" i="30"/>
  <c r="BW147" i="30" s="1"/>
  <c r="BW173" i="20"/>
  <c r="BB31" i="6"/>
  <c r="BB68" i="30" s="1"/>
  <c r="AT744" i="9" l="1"/>
  <c r="AU698" i="9" s="1"/>
  <c r="AZ25" i="6"/>
  <c r="AZ66" i="30" s="1"/>
  <c r="BA203" i="26"/>
  <c r="BA212" i="26" s="1"/>
  <c r="AZ52" i="6"/>
  <c r="AZ76" i="30" s="1"/>
  <c r="BA266" i="26"/>
  <c r="BA271" i="26" s="1"/>
  <c r="BA37" i="6"/>
  <c r="BA70" i="30" s="1"/>
  <c r="BB245" i="26"/>
  <c r="BB252" i="26" s="1"/>
  <c r="BA28" i="6"/>
  <c r="BA67" i="30" s="1"/>
  <c r="BB217" i="26"/>
  <c r="BB226" i="26" s="1"/>
  <c r="BA71" i="30"/>
  <c r="BB40" i="6"/>
  <c r="BB44" i="6" s="1"/>
  <c r="AF1135" i="9"/>
  <c r="AF119" i="6" s="1"/>
  <c r="BW56" i="33"/>
  <c r="AS173" i="1"/>
  <c r="AS175" i="1" s="1"/>
  <c r="AS185" i="1" s="1"/>
  <c r="AS189" i="1" s="1"/>
  <c r="AS170" i="20"/>
  <c r="AT1123" i="9"/>
  <c r="AT1146" i="9"/>
  <c r="AT1147" i="9" s="1"/>
  <c r="AT170" i="1" s="1"/>
  <c r="AT170" i="20" s="1"/>
  <c r="AT41" i="30" s="1"/>
  <c r="AU1122" i="9"/>
  <c r="AT863" i="9"/>
  <c r="AS1128" i="9"/>
  <c r="AS1129" i="9" s="1"/>
  <c r="AS117" i="6" s="1"/>
  <c r="AG1072" i="9"/>
  <c r="AG1132" i="9" s="1"/>
  <c r="AK234" i="6"/>
  <c r="BC231" i="26"/>
  <c r="BC240" i="26" s="1"/>
  <c r="AU840" i="9" l="1"/>
  <c r="AU1120" i="9" s="1"/>
  <c r="AU1144" i="9" s="1"/>
  <c r="AU721" i="9"/>
  <c r="BA52" i="6"/>
  <c r="BA76" i="30" s="1"/>
  <c r="BB266" i="26"/>
  <c r="BB271" i="26" s="1"/>
  <c r="BC245" i="26"/>
  <c r="BC252" i="26" s="1"/>
  <c r="BB37" i="6"/>
  <c r="BB70" i="30" s="1"/>
  <c r="BB203" i="26"/>
  <c r="BB212" i="26" s="1"/>
  <c r="BA25" i="6"/>
  <c r="BA66" i="30" s="1"/>
  <c r="BB28" i="6"/>
  <c r="BB67" i="30" s="1"/>
  <c r="BC217" i="26"/>
  <c r="BC226" i="26" s="1"/>
  <c r="BB71" i="30"/>
  <c r="BC40" i="6"/>
  <c r="BC44" i="6" s="1"/>
  <c r="AT1116" i="9"/>
  <c r="AT1114" i="9"/>
  <c r="AG1134" i="9"/>
  <c r="AG1133" i="9"/>
  <c r="AF93" i="30"/>
  <c r="AF120" i="6"/>
  <c r="AF117" i="30" s="1"/>
  <c r="AT176" i="30"/>
  <c r="AT66" i="33" s="1"/>
  <c r="AT173" i="20"/>
  <c r="AT175" i="20" s="1"/>
  <c r="AT185" i="20" s="1"/>
  <c r="AT189" i="20" s="1"/>
  <c r="AT173" i="1"/>
  <c r="AT175" i="1" s="1"/>
  <c r="AT185" i="1" s="1"/>
  <c r="AT189" i="1" s="1"/>
  <c r="AU1146" i="9"/>
  <c r="AS173" i="20"/>
  <c r="AS175" i="20" s="1"/>
  <c r="AS185" i="20" s="1"/>
  <c r="AS41" i="30"/>
  <c r="AV1122" i="9"/>
  <c r="AT886" i="9"/>
  <c r="AT1126" i="9" s="1"/>
  <c r="AU767" i="9"/>
  <c r="AU790" i="9" s="1"/>
  <c r="AU813" i="9" s="1"/>
  <c r="AH1026" i="9"/>
  <c r="AH1049" i="9" s="1"/>
  <c r="AL231" i="6"/>
  <c r="AK132" i="30"/>
  <c r="BD231" i="26"/>
  <c r="BD240" i="26" s="1"/>
  <c r="BC31" i="6"/>
  <c r="BC68" i="30" s="1"/>
  <c r="AU1123" i="9" l="1"/>
  <c r="AU1147" i="9"/>
  <c r="AU170" i="1" s="1"/>
  <c r="AU170" i="20" s="1"/>
  <c r="AU744" i="9"/>
  <c r="AV698" i="9" s="1"/>
  <c r="BD245" i="26"/>
  <c r="BD252" i="26" s="1"/>
  <c r="BC37" i="6"/>
  <c r="BC70" i="30" s="1"/>
  <c r="BB52" i="6"/>
  <c r="BB76" i="30" s="1"/>
  <c r="BC266" i="26"/>
  <c r="BC271" i="26" s="1"/>
  <c r="BB25" i="6"/>
  <c r="BB66" i="30" s="1"/>
  <c r="BC203" i="26"/>
  <c r="BC212" i="26" s="1"/>
  <c r="BC28" i="6"/>
  <c r="BC67" i="30" s="1"/>
  <c r="BD217" i="26"/>
  <c r="BD226" i="26" s="1"/>
  <c r="BC71" i="30"/>
  <c r="BD40" i="6"/>
  <c r="BD44" i="6" s="1"/>
  <c r="AT1117" i="9"/>
  <c r="AT195" i="30" s="1"/>
  <c r="AG1135" i="9"/>
  <c r="AG119" i="6" s="1"/>
  <c r="AS176" i="30"/>
  <c r="AS66" i="33" s="1"/>
  <c r="AT232" i="6"/>
  <c r="AV1146" i="9"/>
  <c r="AS189" i="20"/>
  <c r="AS232" i="6"/>
  <c r="AW1122" i="9"/>
  <c r="AU863" i="9"/>
  <c r="AT1128" i="9"/>
  <c r="AT1129" i="9" s="1"/>
  <c r="AT117" i="6" s="1"/>
  <c r="AH1072" i="9"/>
  <c r="AH1132" i="9" s="1"/>
  <c r="AL234" i="6"/>
  <c r="BD31" i="6"/>
  <c r="BD68" i="30" s="1"/>
  <c r="BE231" i="26"/>
  <c r="BE240" i="26" s="1"/>
  <c r="AT83" i="33" l="1"/>
  <c r="AU173" i="1"/>
  <c r="AU175" i="1" s="1"/>
  <c r="AU185" i="1" s="1"/>
  <c r="AU189" i="1" s="1"/>
  <c r="AV840" i="9"/>
  <c r="AV1120" i="9" s="1"/>
  <c r="AV721" i="9"/>
  <c r="BC52" i="6"/>
  <c r="BC76" i="30" s="1"/>
  <c r="BD266" i="26"/>
  <c r="BD271" i="26" s="1"/>
  <c r="BD203" i="26"/>
  <c r="BD212" i="26" s="1"/>
  <c r="BC25" i="6"/>
  <c r="BC66" i="30" s="1"/>
  <c r="BD37" i="6"/>
  <c r="BD70" i="30" s="1"/>
  <c r="BE245" i="26"/>
  <c r="BE252" i="26" s="1"/>
  <c r="BD28" i="6"/>
  <c r="BD67" i="30" s="1"/>
  <c r="BE217" i="26"/>
  <c r="BE226" i="26" s="1"/>
  <c r="BD71" i="30"/>
  <c r="BE40" i="6"/>
  <c r="BE44" i="6" s="1"/>
  <c r="AU1116" i="9"/>
  <c r="AU1114" i="9"/>
  <c r="AH1134" i="9"/>
  <c r="AH1133" i="9"/>
  <c r="AG120" i="6"/>
  <c r="AG117" i="30" s="1"/>
  <c r="AG93" i="30"/>
  <c r="AW1146" i="9"/>
  <c r="AU41" i="30"/>
  <c r="AU173" i="20"/>
  <c r="AU175" i="20" s="1"/>
  <c r="AU185" i="20" s="1"/>
  <c r="AX1122" i="9"/>
  <c r="AI1026" i="9"/>
  <c r="AI1049" i="9" s="1"/>
  <c r="AV767" i="9"/>
  <c r="AV790" i="9" s="1"/>
  <c r="AV813" i="9" s="1"/>
  <c r="AU886" i="9"/>
  <c r="AU1126" i="9" s="1"/>
  <c r="AL132" i="30"/>
  <c r="AM231" i="6"/>
  <c r="BF231" i="26"/>
  <c r="BE31" i="6"/>
  <c r="BE68" i="30" s="1"/>
  <c r="AV744" i="9" l="1"/>
  <c r="AW698" i="9" s="1"/>
  <c r="AV1144" i="9"/>
  <c r="AV1147" i="9" s="1"/>
  <c r="AV170" i="1" s="1"/>
  <c r="AV1123" i="9"/>
  <c r="BE37" i="6"/>
  <c r="BE70" i="30" s="1"/>
  <c r="BF245" i="26"/>
  <c r="BF252" i="26" s="1"/>
  <c r="BD52" i="6"/>
  <c r="BD76" i="30" s="1"/>
  <c r="BE266" i="26"/>
  <c r="BE271" i="26" s="1"/>
  <c r="BE203" i="26"/>
  <c r="BE212" i="26" s="1"/>
  <c r="BD25" i="6"/>
  <c r="BD66" i="30" s="1"/>
  <c r="BF217" i="26"/>
  <c r="BF226" i="26" s="1"/>
  <c r="BE28" i="6"/>
  <c r="BE67" i="30" s="1"/>
  <c r="BE71" i="30"/>
  <c r="BF40" i="6"/>
  <c r="BF44" i="6" s="1"/>
  <c r="AU1117" i="9"/>
  <c r="AU195" i="30" s="1"/>
  <c r="AH1135" i="9"/>
  <c r="AH119" i="6" s="1"/>
  <c r="AU176" i="30"/>
  <c r="AU66" i="33" s="1"/>
  <c r="AU232" i="6"/>
  <c r="AU189" i="20"/>
  <c r="AX1146" i="9"/>
  <c r="AY1122" i="9"/>
  <c r="AV863" i="9"/>
  <c r="AV1114" i="9" s="1"/>
  <c r="AU1128" i="9"/>
  <c r="AU1129" i="9" s="1"/>
  <c r="AU117" i="6" s="1"/>
  <c r="AI1072" i="9"/>
  <c r="AI1132" i="9" s="1"/>
  <c r="AV886" i="9"/>
  <c r="AV1126" i="9" s="1"/>
  <c r="AM234" i="6"/>
  <c r="BF240" i="26"/>
  <c r="BF31" i="6" s="1"/>
  <c r="BF68" i="30" s="1"/>
  <c r="AU83" i="33" l="1"/>
  <c r="AW840" i="9"/>
  <c r="AW1120" i="9" s="1"/>
  <c r="AW721" i="9"/>
  <c r="AW767" i="9"/>
  <c r="AW790" i="9" s="1"/>
  <c r="AW813" i="9" s="1"/>
  <c r="AV170" i="20"/>
  <c r="AV173" i="1"/>
  <c r="AV175" i="1" s="1"/>
  <c r="AV185" i="1" s="1"/>
  <c r="AV189" i="1" s="1"/>
  <c r="BE52" i="6"/>
  <c r="BE76" i="30" s="1"/>
  <c r="BF266" i="26"/>
  <c r="BF271" i="26" s="1"/>
  <c r="BG245" i="26"/>
  <c r="BG252" i="26" s="1"/>
  <c r="BF37" i="6"/>
  <c r="BF70" i="30" s="1"/>
  <c r="BE25" i="6"/>
  <c r="BE66" i="30" s="1"/>
  <c r="BF203" i="26"/>
  <c r="BF212" i="26" s="1"/>
  <c r="BG217" i="26"/>
  <c r="BG226" i="26" s="1"/>
  <c r="BF28" i="6"/>
  <c r="BF67" i="30" s="1"/>
  <c r="BG40" i="6"/>
  <c r="BG44" i="6" s="1"/>
  <c r="BF71" i="30"/>
  <c r="AI1134" i="9"/>
  <c r="AI1133" i="9"/>
  <c r="AH93" i="30"/>
  <c r="AH120" i="6"/>
  <c r="AH117" i="30" s="1"/>
  <c r="AY1146" i="9"/>
  <c r="AV1116" i="9"/>
  <c r="AJ1026" i="9"/>
  <c r="AJ1049" i="9" s="1"/>
  <c r="AV1128" i="9"/>
  <c r="AV1129" i="9" s="1"/>
  <c r="AV117" i="6" s="1"/>
  <c r="AN231" i="6"/>
  <c r="AM132" i="30"/>
  <c r="BG231" i="26"/>
  <c r="AW863" i="9" l="1"/>
  <c r="AV41" i="30"/>
  <c r="AV176" i="30" s="1"/>
  <c r="AV66" i="33" s="1"/>
  <c r="AV173" i="20"/>
  <c r="AV175" i="20" s="1"/>
  <c r="AV185" i="20" s="1"/>
  <c r="AW744" i="9"/>
  <c r="AX698" i="9" s="1"/>
  <c r="AW1144" i="9"/>
  <c r="AW1147" i="9" s="1"/>
  <c r="AW170" i="1" s="1"/>
  <c r="AW1123" i="9"/>
  <c r="BH245" i="26"/>
  <c r="BH252" i="26" s="1"/>
  <c r="BG37" i="6"/>
  <c r="BG70" i="30" s="1"/>
  <c r="BF25" i="6"/>
  <c r="BF66" i="30" s="1"/>
  <c r="BG203" i="26"/>
  <c r="BG212" i="26" s="1"/>
  <c r="BF52" i="6"/>
  <c r="BF76" i="30" s="1"/>
  <c r="BG266" i="26"/>
  <c r="BG271" i="26" s="1"/>
  <c r="BG28" i="6"/>
  <c r="BG67" i="30" s="1"/>
  <c r="BH217" i="26"/>
  <c r="BH226" i="26" s="1"/>
  <c r="BH40" i="6"/>
  <c r="BH44" i="6" s="1"/>
  <c r="BG71" i="30"/>
  <c r="AW1116" i="9"/>
  <c r="AW1114" i="9"/>
  <c r="AI1135" i="9"/>
  <c r="AI119" i="6" s="1"/>
  <c r="AI93" i="30" s="1"/>
  <c r="AV1117" i="9"/>
  <c r="AV195" i="30" s="1"/>
  <c r="AV83" i="33" s="1"/>
  <c r="AJ1072" i="9"/>
  <c r="AJ1132" i="9" s="1"/>
  <c r="AK1026" i="9"/>
  <c r="AK1049" i="9" s="1"/>
  <c r="AW886" i="9"/>
  <c r="AW1126" i="9" s="1"/>
  <c r="AN234" i="6"/>
  <c r="BG240" i="26"/>
  <c r="BH231" i="26" s="1"/>
  <c r="AX840" i="9" l="1"/>
  <c r="AX1120" i="9" s="1"/>
  <c r="AX721" i="9"/>
  <c r="AX767" i="9"/>
  <c r="AX790" i="9" s="1"/>
  <c r="AX813" i="9" s="1"/>
  <c r="X813" i="9" s="1"/>
  <c r="AW173" i="1"/>
  <c r="AW175" i="1" s="1"/>
  <c r="AW185" i="1" s="1"/>
  <c r="AW189" i="1" s="1"/>
  <c r="AW170" i="20"/>
  <c r="AV189" i="20"/>
  <c r="AV232" i="6"/>
  <c r="BG25" i="6"/>
  <c r="BG66" i="30" s="1"/>
  <c r="BH203" i="26"/>
  <c r="BH212" i="26" s="1"/>
  <c r="BH266" i="26"/>
  <c r="BH271" i="26" s="1"/>
  <c r="BG52" i="6"/>
  <c r="BG76" i="30" s="1"/>
  <c r="BI245" i="26"/>
  <c r="BI252" i="26" s="1"/>
  <c r="BH37" i="6"/>
  <c r="BH70" i="30" s="1"/>
  <c r="BI217" i="26"/>
  <c r="BI226" i="26" s="1"/>
  <c r="BH28" i="6"/>
  <c r="BH67" i="30" s="1"/>
  <c r="BH71" i="30"/>
  <c r="BI40" i="6"/>
  <c r="BI44" i="6" s="1"/>
  <c r="AW1117" i="9"/>
  <c r="AW195" i="30" s="1"/>
  <c r="AW83" i="33" s="1"/>
  <c r="AI120" i="6"/>
  <c r="AI117" i="30" s="1"/>
  <c r="AJ1134" i="9"/>
  <c r="AJ1133" i="9"/>
  <c r="AZ1122" i="9"/>
  <c r="AW1128" i="9"/>
  <c r="AW1129" i="9" s="1"/>
  <c r="AW117" i="6" s="1"/>
  <c r="AK1072" i="9"/>
  <c r="AK1132" i="9" s="1"/>
  <c r="AN132" i="30"/>
  <c r="AO231" i="6"/>
  <c r="BH240" i="26"/>
  <c r="BI231" i="26" s="1"/>
  <c r="BI240" i="26" s="1"/>
  <c r="BI31" i="6" s="1"/>
  <c r="BI68" i="30" s="1"/>
  <c r="BG31" i="6"/>
  <c r="BG68" i="30" s="1"/>
  <c r="AX863" i="9" l="1"/>
  <c r="AL1026" i="9" s="1"/>
  <c r="AL1049" i="9" s="1"/>
  <c r="AW41" i="30"/>
  <c r="AW176" i="30" s="1"/>
  <c r="AW66" i="33" s="1"/>
  <c r="AW173" i="20"/>
  <c r="AW175" i="20" s="1"/>
  <c r="AW185" i="20" s="1"/>
  <c r="AX744" i="9"/>
  <c r="AY698" i="9" s="1"/>
  <c r="AY767" i="9" s="1"/>
  <c r="AY790" i="9" s="1"/>
  <c r="AY813" i="9" s="1"/>
  <c r="AX1144" i="9"/>
  <c r="AX1147" i="9" s="1"/>
  <c r="AX170" i="1" s="1"/>
  <c r="AX1123" i="9"/>
  <c r="BI266" i="26"/>
  <c r="BI271" i="26" s="1"/>
  <c r="BH52" i="6"/>
  <c r="BH76" i="30" s="1"/>
  <c r="BH25" i="6"/>
  <c r="BH66" i="30" s="1"/>
  <c r="BI203" i="26"/>
  <c r="BI212" i="26" s="1"/>
  <c r="BJ245" i="26"/>
  <c r="BJ252" i="26" s="1"/>
  <c r="BI37" i="6"/>
  <c r="BI70" i="30" s="1"/>
  <c r="BJ217" i="26"/>
  <c r="BJ226" i="26" s="1"/>
  <c r="BI28" i="6"/>
  <c r="BI67" i="30" s="1"/>
  <c r="BI71" i="30"/>
  <c r="BJ40" i="6"/>
  <c r="BJ44" i="6" s="1"/>
  <c r="BJ71" i="30" s="1"/>
  <c r="CI71" i="30" s="1"/>
  <c r="CC71" i="30" s="1"/>
  <c r="A71" i="30" s="1" a="1"/>
  <c r="A71" i="30" s="1"/>
  <c r="AX1116" i="9"/>
  <c r="AX1114" i="9"/>
  <c r="AJ1135" i="9"/>
  <c r="AJ119" i="6" s="1"/>
  <c r="AJ93" i="30" s="1"/>
  <c r="AK1134" i="9"/>
  <c r="AK1133" i="9"/>
  <c r="AZ1146" i="9"/>
  <c r="AX886" i="9"/>
  <c r="AX1126" i="9" s="1"/>
  <c r="AO234" i="6"/>
  <c r="BJ231" i="26"/>
  <c r="BH31" i="6"/>
  <c r="BH68" i="30" s="1"/>
  <c r="AY840" i="9" l="1"/>
  <c r="AY1120" i="9" s="1"/>
  <c r="AY721" i="9"/>
  <c r="AY744" i="9" s="1"/>
  <c r="AZ698" i="9" s="1"/>
  <c r="AZ840" i="9" s="1"/>
  <c r="AZ1120" i="9" s="1"/>
  <c r="AW232" i="6"/>
  <c r="AW189" i="20"/>
  <c r="AX170" i="20"/>
  <c r="AX173" i="1"/>
  <c r="AX175" i="1" s="1"/>
  <c r="AX185" i="1" s="1"/>
  <c r="AX189" i="1" s="1"/>
  <c r="BJ203" i="26"/>
  <c r="BJ212" i="26" s="1"/>
  <c r="BI25" i="6"/>
  <c r="BI66" i="30" s="1"/>
  <c r="BJ28" i="6"/>
  <c r="BJ67" i="30" s="1"/>
  <c r="CI67" i="30" s="1"/>
  <c r="CC67" i="30" s="1"/>
  <c r="A67" i="30" s="1" a="1"/>
  <c r="A67" i="30" s="1"/>
  <c r="CO226" i="26"/>
  <c r="CI226" i="26" s="1"/>
  <c r="CR226" i="26"/>
  <c r="CJ226" i="26" s="1"/>
  <c r="CO252" i="26"/>
  <c r="CI252" i="26" s="1"/>
  <c r="CR252" i="26"/>
  <c r="CJ252" i="26" s="1"/>
  <c r="BJ37" i="6"/>
  <c r="BJ70" i="30" s="1"/>
  <c r="CI70" i="30" s="1"/>
  <c r="CC70" i="30" s="1"/>
  <c r="A70" i="30" s="1" a="1"/>
  <c r="A70" i="30" s="1"/>
  <c r="BJ266" i="26"/>
  <c r="BJ271" i="26" s="1"/>
  <c r="BI52" i="6"/>
  <c r="BI76" i="30" s="1"/>
  <c r="AX1117" i="9"/>
  <c r="AX195" i="30" s="1"/>
  <c r="AX83" i="33" s="1"/>
  <c r="AJ120" i="6"/>
  <c r="AJ117" i="30" s="1"/>
  <c r="AK1135" i="9"/>
  <c r="AK119" i="6" s="1"/>
  <c r="AY863" i="9"/>
  <c r="W1026" i="9"/>
  <c r="BM1026" i="9" s="1"/>
  <c r="AX1128" i="9"/>
  <c r="AX1129" i="9" s="1"/>
  <c r="AX117" i="6" s="1"/>
  <c r="AP231" i="6"/>
  <c r="AO132" i="30"/>
  <c r="BJ240" i="26"/>
  <c r="AX173" i="20" l="1"/>
  <c r="AX175" i="20" s="1"/>
  <c r="AX185" i="20" s="1"/>
  <c r="AX41" i="30"/>
  <c r="AX176" i="30" s="1"/>
  <c r="AX66" i="33" s="1"/>
  <c r="AZ721" i="9"/>
  <c r="AZ744" i="9" s="1"/>
  <c r="BA698" i="9" s="1"/>
  <c r="AZ1144" i="9"/>
  <c r="AZ1147" i="9" s="1"/>
  <c r="AZ170" i="1" s="1"/>
  <c r="AZ1123" i="9"/>
  <c r="AY1144" i="9"/>
  <c r="AY1147" i="9" s="1"/>
  <c r="AY170" i="1" s="1"/>
  <c r="AY1123" i="9"/>
  <c r="CO240" i="26"/>
  <c r="CI240" i="26" s="1"/>
  <c r="CR240" i="26"/>
  <c r="CJ240" i="26" s="1"/>
  <c r="CO271" i="26"/>
  <c r="CI271" i="26" s="1"/>
  <c r="CR271" i="26"/>
  <c r="CJ271" i="26" s="1"/>
  <c r="BJ52" i="6"/>
  <c r="BJ76" i="30" s="1"/>
  <c r="CI76" i="30" s="1"/>
  <c r="CC76" i="30" s="1"/>
  <c r="A76" i="30" s="1" a="1"/>
  <c r="A76" i="30" s="1"/>
  <c r="CO212" i="26"/>
  <c r="CI212" i="26" s="1"/>
  <c r="CR212" i="26"/>
  <c r="CJ212" i="26" s="1"/>
  <c r="BJ25" i="6"/>
  <c r="BJ66" i="30" s="1"/>
  <c r="CI66" i="30" s="1"/>
  <c r="CC66" i="30" s="1"/>
  <c r="A66" i="30" s="1" a="1"/>
  <c r="A66" i="30" s="1"/>
  <c r="BJ31" i="6"/>
  <c r="BJ68" i="30" s="1"/>
  <c r="CI68" i="30" s="1"/>
  <c r="CC68" i="30" s="1"/>
  <c r="A68" i="30" s="1" a="1"/>
  <c r="A68" i="30" s="1"/>
  <c r="AY1116" i="9"/>
  <c r="AY1114" i="9"/>
  <c r="AK93" i="30"/>
  <c r="AK120" i="6"/>
  <c r="AK117" i="30" s="1"/>
  <c r="BA1122" i="9"/>
  <c r="AM1026" i="9"/>
  <c r="AM1049" i="9" s="1"/>
  <c r="W1049" i="9"/>
  <c r="BM1049" i="9" s="1"/>
  <c r="AL1072" i="9"/>
  <c r="AY886" i="9"/>
  <c r="AY1126" i="9" s="1"/>
  <c r="AZ767" i="9"/>
  <c r="AZ790" i="9" s="1"/>
  <c r="AZ813" i="9" s="1"/>
  <c r="AP234" i="6"/>
  <c r="AZ170" i="20" l="1"/>
  <c r="AZ173" i="1"/>
  <c r="AZ175" i="1" s="1"/>
  <c r="AZ185" i="1" s="1"/>
  <c r="AZ189" i="1" s="1"/>
  <c r="BA721" i="9"/>
  <c r="BA744" i="9" s="1"/>
  <c r="BB698" i="9" s="1"/>
  <c r="BA840" i="9"/>
  <c r="BA1120" i="9" s="1"/>
  <c r="BA1144" i="9" s="1"/>
  <c r="AY173" i="1"/>
  <c r="AY175" i="1" s="1"/>
  <c r="AY185" i="1" s="1"/>
  <c r="AY189" i="1" s="1"/>
  <c r="AY170" i="20"/>
  <c r="AX232" i="6"/>
  <c r="AX189" i="20"/>
  <c r="AY1117" i="9"/>
  <c r="AY195" i="30" s="1"/>
  <c r="AY83" i="33" s="1"/>
  <c r="AL1133" i="9"/>
  <c r="AL1132" i="9"/>
  <c r="BA1146" i="9"/>
  <c r="W1072" i="9"/>
  <c r="W1132" i="9" s="1"/>
  <c r="AL1134" i="9"/>
  <c r="AZ863" i="9"/>
  <c r="AY1128" i="9"/>
  <c r="AY1129" i="9" s="1"/>
  <c r="AY117" i="6" s="1"/>
  <c r="AM1072" i="9"/>
  <c r="AM1132" i="9" s="1"/>
  <c r="AP132" i="30"/>
  <c r="AQ231" i="6"/>
  <c r="BA1123" i="9" l="1"/>
  <c r="BA1147" i="9"/>
  <c r="BA170" i="1" s="1"/>
  <c r="BA170" i="20" s="1"/>
  <c r="BA173" i="20" s="1"/>
  <c r="BA175" i="20" s="1"/>
  <c r="BA185" i="20" s="1"/>
  <c r="BA189" i="20" s="1"/>
  <c r="AY173" i="20"/>
  <c r="AY175" i="20" s="1"/>
  <c r="AY185" i="20" s="1"/>
  <c r="AY41" i="30"/>
  <c r="AY176" i="30" s="1"/>
  <c r="AY66" i="33" s="1"/>
  <c r="AZ173" i="20"/>
  <c r="AZ175" i="20" s="1"/>
  <c r="AZ185" i="20" s="1"/>
  <c r="AZ41" i="30"/>
  <c r="AZ176" i="30" s="1"/>
  <c r="AZ66" i="33" s="1"/>
  <c r="AL1135" i="9"/>
  <c r="AL119" i="6" s="1"/>
  <c r="AL93" i="30" s="1"/>
  <c r="AZ1116" i="9"/>
  <c r="AZ1114" i="9"/>
  <c r="W1133" i="9"/>
  <c r="AM1134" i="9"/>
  <c r="AM1133" i="9"/>
  <c r="BB840" i="9"/>
  <c r="BB1120" i="9" s="1"/>
  <c r="BB1144" i="9" s="1"/>
  <c r="BB721" i="9"/>
  <c r="BB744" i="9" s="1"/>
  <c r="AN1026" i="9"/>
  <c r="AN1049" i="9" s="1"/>
  <c r="AZ886" i="9"/>
  <c r="AZ1126" i="9" s="1"/>
  <c r="BA767" i="9"/>
  <c r="BA790" i="9" s="1"/>
  <c r="BA813" i="9" s="1"/>
  <c r="BM1072" i="9"/>
  <c r="BM1132" i="9" s="1"/>
  <c r="W1134" i="9"/>
  <c r="AQ234" i="6"/>
  <c r="BA41" i="30" l="1"/>
  <c r="BA232" i="6"/>
  <c r="BA173" i="1"/>
  <c r="BA175" i="1" s="1"/>
  <c r="BA185" i="1" s="1"/>
  <c r="BA189" i="1" s="1"/>
  <c r="AZ232" i="6"/>
  <c r="AZ189" i="20"/>
  <c r="AY189" i="20"/>
  <c r="AY232" i="6"/>
  <c r="AL120" i="6"/>
  <c r="AL117" i="30" s="1"/>
  <c r="AZ1117" i="9"/>
  <c r="AZ195" i="30" s="1"/>
  <c r="AZ83" i="33" s="1"/>
  <c r="W1135" i="9"/>
  <c r="W119" i="6" s="1"/>
  <c r="W120" i="6" s="1"/>
  <c r="AM1135" i="9"/>
  <c r="AM119" i="6" s="1"/>
  <c r="BM1134" i="9"/>
  <c r="BM1133" i="9"/>
  <c r="BA176" i="30"/>
  <c r="BA66" i="33" s="1"/>
  <c r="BB1122" i="9"/>
  <c r="BC698" i="9"/>
  <c r="BA863" i="9"/>
  <c r="AZ1128" i="9"/>
  <c r="AZ1129" i="9" s="1"/>
  <c r="AZ117" i="6" s="1"/>
  <c r="AN1072" i="9"/>
  <c r="AR231" i="6"/>
  <c r="AQ132" i="30"/>
  <c r="W93" i="30" l="1"/>
  <c r="BA1116" i="9"/>
  <c r="BA1114" i="9"/>
  <c r="AN1133" i="9"/>
  <c r="AN1132" i="9"/>
  <c r="AM120" i="6"/>
  <c r="AM117" i="30" s="1"/>
  <c r="AM93" i="30"/>
  <c r="BM1135" i="9"/>
  <c r="BM119" i="6" s="1"/>
  <c r="BB1123" i="9"/>
  <c r="BB1146" i="9"/>
  <c r="BB1147" i="9" s="1"/>
  <c r="BB170" i="1" s="1"/>
  <c r="BB173" i="1" s="1"/>
  <c r="BB175" i="1" s="1"/>
  <c r="BB185" i="1" s="1"/>
  <c r="BB189" i="1" s="1"/>
  <c r="AN1134" i="9"/>
  <c r="W117" i="30"/>
  <c r="AO1026" i="9"/>
  <c r="AO1049" i="9" s="1"/>
  <c r="BA886" i="9"/>
  <c r="BA1126" i="9" s="1"/>
  <c r="BB767" i="9"/>
  <c r="BB790" i="9" s="1"/>
  <c r="BB813" i="9" s="1"/>
  <c r="AR234" i="6"/>
  <c r="CG117" i="30" l="1"/>
  <c r="CG93" i="30"/>
  <c r="BA1117" i="9"/>
  <c r="BA195" i="30" s="1"/>
  <c r="BA83" i="33" s="1"/>
  <c r="AN1135" i="9"/>
  <c r="AN119" i="6" s="1"/>
  <c r="AN93" i="30" s="1"/>
  <c r="BM93" i="30"/>
  <c r="CJ93" i="30" s="1"/>
  <c r="BM120" i="6"/>
  <c r="BM117" i="30" s="1"/>
  <c r="CJ117" i="30" s="1"/>
  <c r="BB170" i="20"/>
  <c r="BC840" i="9"/>
  <c r="BC1120" i="9" s="1"/>
  <c r="BC1144" i="9" s="1"/>
  <c r="BC721" i="9"/>
  <c r="BC744" i="9" s="1"/>
  <c r="BB863" i="9"/>
  <c r="BA1128" i="9"/>
  <c r="BA1129" i="9" s="1"/>
  <c r="BA117" i="6" s="1"/>
  <c r="AO1072" i="9"/>
  <c r="AO1132" i="9" s="1"/>
  <c r="AR132" i="30"/>
  <c r="AS231" i="6"/>
  <c r="AN120" i="6" l="1"/>
  <c r="AN117" i="30" s="1"/>
  <c r="BB1116" i="9"/>
  <c r="BB1114" i="9"/>
  <c r="AO1134" i="9"/>
  <c r="AO1133" i="9"/>
  <c r="BB173" i="20"/>
  <c r="BB175" i="20" s="1"/>
  <c r="BB185" i="20" s="1"/>
  <c r="BB41" i="30"/>
  <c r="BC1122" i="9"/>
  <c r="BD698" i="9"/>
  <c r="AP1026" i="9"/>
  <c r="AP1049" i="9" s="1"/>
  <c r="BB886" i="9"/>
  <c r="BB1126" i="9" s="1"/>
  <c r="BC767" i="9"/>
  <c r="BC790" i="9" s="1"/>
  <c r="BC813" i="9" s="1"/>
  <c r="AS234" i="6"/>
  <c r="BB1117" i="9" l="1"/>
  <c r="BB195" i="30" s="1"/>
  <c r="BB83" i="33" s="1"/>
  <c r="AO1135" i="9"/>
  <c r="AO119" i="6" s="1"/>
  <c r="AO93" i="30" s="1"/>
  <c r="BB176" i="30"/>
  <c r="BB66" i="33" s="1"/>
  <c r="BB189" i="20"/>
  <c r="BB232" i="6"/>
  <c r="BC1123" i="9"/>
  <c r="BC1146" i="9"/>
  <c r="BC1147" i="9" s="1"/>
  <c r="BC170" i="1" s="1"/>
  <c r="BC170" i="20" s="1"/>
  <c r="BC41" i="30" s="1"/>
  <c r="BB1128" i="9"/>
  <c r="BB1129" i="9" s="1"/>
  <c r="BB117" i="6" s="1"/>
  <c r="AP1072" i="9"/>
  <c r="AP1132" i="9" s="1"/>
  <c r="BC863" i="9"/>
  <c r="AT231" i="6"/>
  <c r="AS132" i="30"/>
  <c r="BC1116" i="9" l="1"/>
  <c r="BC1114" i="9"/>
  <c r="AO120" i="6"/>
  <c r="AO117" i="30" s="1"/>
  <c r="AP1134" i="9"/>
  <c r="AP1133" i="9"/>
  <c r="BC176" i="30"/>
  <c r="BC66" i="33" s="1"/>
  <c r="BC173" i="20"/>
  <c r="BC175" i="20" s="1"/>
  <c r="BC185" i="20" s="1"/>
  <c r="BC232" i="6" s="1"/>
  <c r="BC173" i="1"/>
  <c r="BC175" i="1" s="1"/>
  <c r="BC185" i="1" s="1"/>
  <c r="BC189" i="1" s="1"/>
  <c r="BD840" i="9"/>
  <c r="BD1120" i="9" s="1"/>
  <c r="BD1144" i="9" s="1"/>
  <c r="BD721" i="9"/>
  <c r="AQ1026" i="9"/>
  <c r="AQ1049" i="9" s="1"/>
  <c r="BC886" i="9"/>
  <c r="BC1126" i="9" s="1"/>
  <c r="BD767" i="9"/>
  <c r="BD790" i="9" s="1"/>
  <c r="BD863" i="9" s="1"/>
  <c r="AT234" i="6"/>
  <c r="BD744" i="9" l="1"/>
  <c r="BE698" i="9" s="1"/>
  <c r="BC1117" i="9"/>
  <c r="BC195" i="30" s="1"/>
  <c r="BC83" i="33" s="1"/>
  <c r="BD1116" i="9"/>
  <c r="BD1114" i="9"/>
  <c r="AP1135" i="9"/>
  <c r="AP119" i="6" s="1"/>
  <c r="BC189" i="20"/>
  <c r="BD1122" i="9"/>
  <c r="BD813" i="9"/>
  <c r="AR1026" i="9"/>
  <c r="AR1049" i="9" s="1"/>
  <c r="BC1128" i="9"/>
  <c r="BC1129" i="9" s="1"/>
  <c r="BC117" i="6" s="1"/>
  <c r="AQ1072" i="9"/>
  <c r="AQ1132" i="9" s="1"/>
  <c r="AU231" i="6"/>
  <c r="AT132" i="30"/>
  <c r="BE840" i="9" l="1"/>
  <c r="BE1120" i="9" s="1"/>
  <c r="BE1144" i="9" s="1"/>
  <c r="BE721" i="9"/>
  <c r="BE767" i="9"/>
  <c r="BE790" i="9" s="1"/>
  <c r="BE863" i="9" s="1"/>
  <c r="BE1114" i="9" s="1"/>
  <c r="BD1117" i="9"/>
  <c r="BD195" i="30" s="1"/>
  <c r="BD83" i="33" s="1"/>
  <c r="AQ1134" i="9"/>
  <c r="AQ1133" i="9"/>
  <c r="AP120" i="6"/>
  <c r="AP117" i="30" s="1"/>
  <c r="AP93" i="30"/>
  <c r="BD1123" i="9"/>
  <c r="BD1146" i="9"/>
  <c r="BD1147" i="9" s="1"/>
  <c r="BD170" i="1" s="1"/>
  <c r="BE1122" i="9"/>
  <c r="BD886" i="9"/>
  <c r="AU234" i="6"/>
  <c r="BE813" i="9" l="1"/>
  <c r="BE886" i="9" s="1"/>
  <c r="BE1126" i="9" s="1"/>
  <c r="BE744" i="9"/>
  <c r="BF698" i="9" s="1"/>
  <c r="AR1072" i="9"/>
  <c r="AR1132" i="9" s="1"/>
  <c r="BD1126" i="9"/>
  <c r="AQ1135" i="9"/>
  <c r="AQ119" i="6" s="1"/>
  <c r="AR1134" i="9"/>
  <c r="AR1133" i="9"/>
  <c r="BD1128" i="9"/>
  <c r="BE1123" i="9"/>
  <c r="BE1146" i="9"/>
  <c r="BE1147" i="9" s="1"/>
  <c r="BE170" i="1" s="1"/>
  <c r="BD173" i="1"/>
  <c r="BD175" i="1" s="1"/>
  <c r="BD185" i="1" s="1"/>
  <c r="BD189" i="1" s="1"/>
  <c r="BD170" i="20"/>
  <c r="BF1122" i="9"/>
  <c r="BE1116" i="9"/>
  <c r="AS1026" i="9"/>
  <c r="AS1049" i="9" s="1"/>
  <c r="AU132" i="30"/>
  <c r="AV231" i="6"/>
  <c r="BF840" i="9" l="1"/>
  <c r="BF1120" i="9" s="1"/>
  <c r="BF1144" i="9" s="1"/>
  <c r="BF721" i="9"/>
  <c r="BF767" i="9"/>
  <c r="BF790" i="9" s="1"/>
  <c r="BD1129" i="9"/>
  <c r="BD117" i="6" s="1"/>
  <c r="AR1135" i="9"/>
  <c r="AR119" i="6" s="1"/>
  <c r="AQ120" i="6"/>
  <c r="AQ117" i="30" s="1"/>
  <c r="AQ93" i="30"/>
  <c r="BE1117" i="9"/>
  <c r="BE195" i="30" s="1"/>
  <c r="BE83" i="33" s="1"/>
  <c r="BD173" i="20"/>
  <c r="BD175" i="20" s="1"/>
  <c r="BD185" i="20" s="1"/>
  <c r="BD41" i="30"/>
  <c r="BF1146" i="9"/>
  <c r="BE173" i="1"/>
  <c r="BE175" i="1" s="1"/>
  <c r="BE185" i="1" s="1"/>
  <c r="BE189" i="1" s="1"/>
  <c r="BE170" i="20"/>
  <c r="BG1122" i="9"/>
  <c r="BF863" i="9"/>
  <c r="BF1114" i="9" s="1"/>
  <c r="BF813" i="9"/>
  <c r="BE1128" i="9"/>
  <c r="BE1129" i="9" s="1"/>
  <c r="BE117" i="6" s="1"/>
  <c r="AS1072" i="9"/>
  <c r="AS1132" i="9" s="1"/>
  <c r="AV234" i="6"/>
  <c r="BF1147" i="9" l="1"/>
  <c r="BF170" i="1" s="1"/>
  <c r="BF170" i="20" s="1"/>
  <c r="BF1123" i="9"/>
  <c r="BF744" i="9"/>
  <c r="BG698" i="9" s="1"/>
  <c r="AR93" i="30"/>
  <c r="AR120" i="6"/>
  <c r="AR117" i="30" s="1"/>
  <c r="AS1134" i="9"/>
  <c r="AS1133" i="9"/>
  <c r="BD176" i="30"/>
  <c r="BD66" i="33" s="1"/>
  <c r="BE41" i="30"/>
  <c r="BE173" i="20"/>
  <c r="BE175" i="20" s="1"/>
  <c r="BE185" i="20" s="1"/>
  <c r="BD232" i="6"/>
  <c r="BD189" i="20"/>
  <c r="BG1146" i="9"/>
  <c r="AT1026" i="9"/>
  <c r="AT1049" i="9" s="1"/>
  <c r="BF1116" i="9"/>
  <c r="BH1122" i="9"/>
  <c r="BF886" i="9"/>
  <c r="BF1126" i="9" s="1"/>
  <c r="AW231" i="6"/>
  <c r="AV132" i="30"/>
  <c r="BF173" i="1" l="1"/>
  <c r="BF175" i="1" s="1"/>
  <c r="BF185" i="1" s="1"/>
  <c r="BF189" i="1" s="1"/>
  <c r="BG840" i="9"/>
  <c r="BG1120" i="9" s="1"/>
  <c r="BG721" i="9"/>
  <c r="BG767" i="9"/>
  <c r="BG790" i="9" s="1"/>
  <c r="BG863" i="9" s="1"/>
  <c r="BG1114" i="9" s="1"/>
  <c r="AS1135" i="9"/>
  <c r="AS119" i="6" s="1"/>
  <c r="BE176" i="30"/>
  <c r="BE66" i="33" s="1"/>
  <c r="BF1117" i="9"/>
  <c r="BF195" i="30" s="1"/>
  <c r="BF83" i="33" s="1"/>
  <c r="BF41" i="30"/>
  <c r="BF173" i="20"/>
  <c r="BF175" i="20" s="1"/>
  <c r="BF185" i="20" s="1"/>
  <c r="BE232" i="6"/>
  <c r="BE189" i="20"/>
  <c r="BH1146" i="9"/>
  <c r="BI1122" i="9"/>
  <c r="X698" i="9"/>
  <c r="BF1128" i="9"/>
  <c r="BF1129" i="9" s="1"/>
  <c r="BF117" i="6" s="1"/>
  <c r="AT1072" i="9"/>
  <c r="AT1132" i="9" s="1"/>
  <c r="AW234" i="6"/>
  <c r="BG813" i="9" l="1"/>
  <c r="BG886" i="9" s="1"/>
  <c r="BG1126" i="9" s="1"/>
  <c r="BG744" i="9"/>
  <c r="BH698" i="9" s="1"/>
  <c r="BG1144" i="9"/>
  <c r="BG1147" i="9" s="1"/>
  <c r="BG170" i="1" s="1"/>
  <c r="BG1123" i="9"/>
  <c r="AT1134" i="9"/>
  <c r="AT1133" i="9"/>
  <c r="AS93" i="30"/>
  <c r="AS120" i="6"/>
  <c r="AS117" i="30" s="1"/>
  <c r="BF176" i="30"/>
  <c r="BF66" i="33" s="1"/>
  <c r="BF232" i="6"/>
  <c r="BF189" i="20"/>
  <c r="BI1146" i="9"/>
  <c r="BJ1122" i="9"/>
  <c r="AU1026" i="9"/>
  <c r="AU1049" i="9" s="1"/>
  <c r="BG1116" i="9"/>
  <c r="X840" i="9"/>
  <c r="X1120" i="9" s="1"/>
  <c r="X1144" i="9" s="1"/>
  <c r="BN698" i="9"/>
  <c r="BN840" i="9" s="1"/>
  <c r="BN1120" i="9" s="1"/>
  <c r="BN1144" i="9" s="1"/>
  <c r="X721" i="9"/>
  <c r="BN721" i="9" s="1"/>
  <c r="BG1128" i="9"/>
  <c r="AW132" i="30"/>
  <c r="AX231" i="6"/>
  <c r="BG1129" i="9" l="1"/>
  <c r="BG117" i="6" s="1"/>
  <c r="BH840" i="9"/>
  <c r="BH1120" i="9" s="1"/>
  <c r="BH721" i="9"/>
  <c r="BH767" i="9"/>
  <c r="BH790" i="9" s="1"/>
  <c r="BH813" i="9" s="1"/>
  <c r="BG170" i="20"/>
  <c r="BG173" i="1"/>
  <c r="BG175" i="1" s="1"/>
  <c r="BG185" i="1" s="1"/>
  <c r="BG189" i="1" s="1"/>
  <c r="BH1116" i="9"/>
  <c r="AT1135" i="9"/>
  <c r="AT119" i="6" s="1"/>
  <c r="BJ1146" i="9"/>
  <c r="BG1117" i="9"/>
  <c r="BG195" i="30" s="1"/>
  <c r="BG83" i="33" s="1"/>
  <c r="AU1072" i="9"/>
  <c r="AU1132" i="9" s="1"/>
  <c r="BO1122" i="9"/>
  <c r="BN1122" i="9"/>
  <c r="X1122" i="9"/>
  <c r="Y1122" i="9"/>
  <c r="X744" i="9"/>
  <c r="BN744" i="9" s="1"/>
  <c r="BH886" i="9"/>
  <c r="BH1126" i="9" s="1"/>
  <c r="AX234" i="6"/>
  <c r="BH863" i="9" l="1"/>
  <c r="BG173" i="20"/>
  <c r="BG175" i="20" s="1"/>
  <c r="BG185" i="20" s="1"/>
  <c r="BG41" i="30"/>
  <c r="BG176" i="30" s="1"/>
  <c r="BG66" i="33" s="1"/>
  <c r="BH744" i="9"/>
  <c r="BH1144" i="9"/>
  <c r="BH1147" i="9" s="1"/>
  <c r="BH170" i="1" s="1"/>
  <c r="BH1123" i="9"/>
  <c r="AT120" i="6"/>
  <c r="AT117" i="30" s="1"/>
  <c r="AT93" i="30"/>
  <c r="AU1134" i="9"/>
  <c r="AU1133" i="9"/>
  <c r="BN1123" i="9"/>
  <c r="BN1146" i="9"/>
  <c r="BN1147" i="9" s="1"/>
  <c r="BN170" i="1" s="1"/>
  <c r="Y1146" i="9"/>
  <c r="X1123" i="9"/>
  <c r="X1146" i="9"/>
  <c r="X1147" i="9" s="1"/>
  <c r="X170" i="1" s="1"/>
  <c r="BO1146" i="9"/>
  <c r="BH1128" i="9"/>
  <c r="BH1129" i="9" s="1"/>
  <c r="BH117" i="6" s="1"/>
  <c r="AX132" i="30"/>
  <c r="AY231" i="6"/>
  <c r="BH1114" i="9" l="1"/>
  <c r="BH1117" i="9" s="1"/>
  <c r="BH195" i="30" s="1"/>
  <c r="BH83" i="33" s="1"/>
  <c r="AV1026" i="9"/>
  <c r="BH173" i="1"/>
  <c r="BH175" i="1" s="1"/>
  <c r="BH185" i="1" s="1"/>
  <c r="BH189" i="1" s="1"/>
  <c r="BH170" i="20"/>
  <c r="BI698" i="9"/>
  <c r="BG232" i="6"/>
  <c r="BG189" i="20"/>
  <c r="BI1116" i="9"/>
  <c r="AU1135" i="9"/>
  <c r="AU119" i="6" s="1"/>
  <c r="AU93" i="30" s="1"/>
  <c r="AV1134" i="9"/>
  <c r="AV1133" i="9"/>
  <c r="BN173" i="1"/>
  <c r="BN170" i="20"/>
  <c r="X173" i="1"/>
  <c r="X170" i="20"/>
  <c r="X173" i="20" s="1"/>
  <c r="X175" i="20" s="1"/>
  <c r="X185" i="20" s="1"/>
  <c r="X189" i="20" s="1"/>
  <c r="AY234" i="6"/>
  <c r="AV1049" i="9" l="1"/>
  <c r="AV1072" i="9" s="1"/>
  <c r="AV1132" i="9" s="1"/>
  <c r="AV1135" i="9" s="1"/>
  <c r="AV119" i="6" s="1"/>
  <c r="AV120" i="6" s="1"/>
  <c r="AV117" i="30" s="1"/>
  <c r="BI840" i="9"/>
  <c r="BI1120" i="9" s="1"/>
  <c r="BI721" i="9"/>
  <c r="BI767" i="9"/>
  <c r="BI790" i="9" s="1"/>
  <c r="BH41" i="30"/>
  <c r="BH176" i="30" s="1"/>
  <c r="BH66" i="33" s="1"/>
  <c r="BH173" i="20"/>
  <c r="BH175" i="20" s="1"/>
  <c r="BH185" i="20" s="1"/>
  <c r="AU120" i="6"/>
  <c r="AU117" i="30" s="1"/>
  <c r="BN173" i="20"/>
  <c r="CL173" i="20" s="1"/>
  <c r="BN41" i="30"/>
  <c r="BI1128" i="9"/>
  <c r="X767" i="9"/>
  <c r="BN767" i="9" s="1"/>
  <c r="AZ231" i="6"/>
  <c r="AY132" i="30"/>
  <c r="BI744" i="9" l="1"/>
  <c r="BH189" i="20"/>
  <c r="BH232" i="6"/>
  <c r="BI813" i="9"/>
  <c r="BI863" i="9"/>
  <c r="BI1144" i="9"/>
  <c r="BI1147" i="9" s="1"/>
  <c r="BI170" i="1" s="1"/>
  <c r="BI1123" i="9"/>
  <c r="AV93" i="30"/>
  <c r="AW1134" i="9"/>
  <c r="AW1133" i="9"/>
  <c r="X41" i="30"/>
  <c r="X790" i="9"/>
  <c r="AZ234" i="6"/>
  <c r="BI1114" i="9" l="1"/>
  <c r="BI1117" i="9" s="1"/>
  <c r="BI195" i="30" s="1"/>
  <c r="BI83" i="33" s="1"/>
  <c r="AW1026" i="9"/>
  <c r="BI886" i="9"/>
  <c r="BI1126" i="9" s="1"/>
  <c r="BI1129" i="9" s="1"/>
  <c r="BI117" i="6" s="1"/>
  <c r="BI170" i="20"/>
  <c r="BI173" i="1"/>
  <c r="BJ698" i="9"/>
  <c r="CK41" i="30"/>
  <c r="BJ1116" i="9"/>
  <c r="BN790" i="9"/>
  <c r="BN863" i="9" s="1"/>
  <c r="BN1114" i="9" s="1"/>
  <c r="X863" i="9"/>
  <c r="X1114" i="9" s="1"/>
  <c r="BJ1128" i="9"/>
  <c r="AZ132" i="30"/>
  <c r="BA231" i="6"/>
  <c r="BI175" i="1" l="1"/>
  <c r="BI185" i="1" s="1"/>
  <c r="BI189" i="1" s="1"/>
  <c r="AW1049" i="9"/>
  <c r="AW1072" i="9" s="1"/>
  <c r="AW1132" i="9" s="1"/>
  <c r="AW1135" i="9" s="1"/>
  <c r="AW119" i="6" s="1"/>
  <c r="AW93" i="30" s="1"/>
  <c r="BJ840" i="9"/>
  <c r="BJ1120" i="9" s="1"/>
  <c r="Y698" i="9"/>
  <c r="BJ721" i="9"/>
  <c r="BJ767" i="9"/>
  <c r="Y767" i="9" s="1"/>
  <c r="BO767" i="9" s="1"/>
  <c r="BI41" i="30"/>
  <c r="BI173" i="20"/>
  <c r="BI175" i="20" s="1"/>
  <c r="BI185" i="20" s="1"/>
  <c r="BN1116" i="9"/>
  <c r="BO1116" i="9"/>
  <c r="Y1116" i="9"/>
  <c r="X1116" i="9"/>
  <c r="BN813" i="9"/>
  <c r="BN886" i="9" s="1"/>
  <c r="X886" i="9"/>
  <c r="BA234" i="6"/>
  <c r="BI176" i="30" l="1"/>
  <c r="BI66" i="33" s="1"/>
  <c r="AW120" i="6"/>
  <c r="AW117" i="30" s="1"/>
  <c r="BJ790" i="9"/>
  <c r="BI189" i="20"/>
  <c r="BI232" i="6"/>
  <c r="BJ744" i="9"/>
  <c r="Y744" i="9" s="1"/>
  <c r="BO744" i="9" s="1"/>
  <c r="Y721" i="9"/>
  <c r="BO721" i="9" s="1"/>
  <c r="Y840" i="9"/>
  <c r="Y1120" i="9" s="1"/>
  <c r="BO698" i="9"/>
  <c r="BO840" i="9" s="1"/>
  <c r="BO1120" i="9" s="1"/>
  <c r="BJ1144" i="9"/>
  <c r="BJ1147" i="9" s="1"/>
  <c r="BJ170" i="1" s="1"/>
  <c r="BJ1123" i="9"/>
  <c r="BJ813" i="9"/>
  <c r="Y790" i="9"/>
  <c r="BJ863" i="9"/>
  <c r="BN1128" i="9"/>
  <c r="BN1126" i="9"/>
  <c r="X1128" i="9"/>
  <c r="X1126" i="9"/>
  <c r="BJ1133" i="9"/>
  <c r="AX1133" i="9"/>
  <c r="AX1132" i="9"/>
  <c r="BA1134" i="9"/>
  <c r="BA1133" i="9"/>
  <c r="AY1134" i="9"/>
  <c r="AY1133" i="9"/>
  <c r="BG1134" i="9"/>
  <c r="BG1133" i="9"/>
  <c r="BI1134" i="9"/>
  <c r="BI1133" i="9"/>
  <c r="BF1134" i="9"/>
  <c r="BF1133" i="9"/>
  <c r="BD1134" i="9"/>
  <c r="BD1133" i="9"/>
  <c r="AZ1134" i="9"/>
  <c r="AZ1133" i="9"/>
  <c r="BB1134" i="9"/>
  <c r="BB1133" i="9"/>
  <c r="BH1134" i="9"/>
  <c r="BH1133" i="9"/>
  <c r="BE1134" i="9"/>
  <c r="BE1133" i="9"/>
  <c r="BC1134" i="9"/>
  <c r="BC1133" i="9"/>
  <c r="BN1117" i="9"/>
  <c r="BN195" i="30" s="1"/>
  <c r="BN83" i="33" s="1"/>
  <c r="X1117" i="9"/>
  <c r="X195" i="30" s="1"/>
  <c r="AX1134" i="9"/>
  <c r="BJ1134" i="9"/>
  <c r="BB231" i="6"/>
  <c r="BA132" i="30"/>
  <c r="CG170" i="1" l="1"/>
  <c r="CJ170" i="1"/>
  <c r="CK170" i="1"/>
  <c r="CH170" i="1"/>
  <c r="BJ1114" i="9"/>
  <c r="BJ1117" i="9" s="1"/>
  <c r="BJ195" i="30" s="1"/>
  <c r="AX1026" i="9"/>
  <c r="BC1026" i="9"/>
  <c r="BG1026" i="9"/>
  <c r="AY1026" i="9"/>
  <c r="BB1026" i="9"/>
  <c r="BF1026" i="9"/>
  <c r="BE1026" i="9"/>
  <c r="AZ1026" i="9"/>
  <c r="BA1026" i="9"/>
  <c r="BH1026" i="9"/>
  <c r="BD1026" i="9"/>
  <c r="BI1026" i="9"/>
  <c r="BJ173" i="1"/>
  <c r="BJ170" i="20"/>
  <c r="Y863" i="9"/>
  <c r="Y1114" i="9" s="1"/>
  <c r="Y1117" i="9" s="1"/>
  <c r="Y195" i="30" s="1"/>
  <c r="BO790" i="9"/>
  <c r="BO863" i="9" s="1"/>
  <c r="BO1114" i="9" s="1"/>
  <c r="BO1117" i="9" s="1"/>
  <c r="BO195" i="30" s="1"/>
  <c r="BO83" i="33" s="1"/>
  <c r="BO1144" i="9"/>
  <c r="BO1147" i="9" s="1"/>
  <c r="BO170" i="1" s="1"/>
  <c r="BO1123" i="9"/>
  <c r="Y813" i="9"/>
  <c r="BJ886" i="9"/>
  <c r="Y1144" i="9"/>
  <c r="Y1147" i="9" s="1"/>
  <c r="Y170" i="1" s="1"/>
  <c r="Y1123" i="9"/>
  <c r="X83" i="33"/>
  <c r="CH195" i="30"/>
  <c r="CK195" i="30"/>
  <c r="X1129" i="9"/>
  <c r="X117" i="6" s="1"/>
  <c r="Y1128" i="9"/>
  <c r="BN1129" i="9"/>
  <c r="BN117" i="6" s="1"/>
  <c r="AX1135" i="9"/>
  <c r="AX119" i="6" s="1"/>
  <c r="AX120" i="6" s="1"/>
  <c r="AX117" i="30" s="1"/>
  <c r="Y1133" i="9"/>
  <c r="X1133" i="9"/>
  <c r="X1132" i="9"/>
  <c r="X1134" i="9"/>
  <c r="Y1134" i="9"/>
  <c r="BO1128" i="9"/>
  <c r="BB234" i="6"/>
  <c r="CI195" i="30" l="1"/>
  <c r="CK170" i="20"/>
  <c r="CL170" i="20"/>
  <c r="BJ175" i="1"/>
  <c r="BJ185" i="1" s="1"/>
  <c r="BJ189" i="1" s="1"/>
  <c r="CJ173" i="1"/>
  <c r="CG173" i="1"/>
  <c r="CH173" i="1"/>
  <c r="CK173" i="1"/>
  <c r="BJ83" i="33"/>
  <c r="CG195" i="30"/>
  <c r="CC195" i="30" s="1"/>
  <c r="BD1049" i="9"/>
  <c r="BD1072" i="9" s="1"/>
  <c r="BD1132" i="9" s="1"/>
  <c r="BD1135" i="9" s="1"/>
  <c r="BD119" i="6" s="1"/>
  <c r="BE1049" i="9"/>
  <c r="BE1072" i="9" s="1"/>
  <c r="BE1132" i="9" s="1"/>
  <c r="BE1135" i="9" s="1"/>
  <c r="BE119" i="6" s="1"/>
  <c r="BG1049" i="9"/>
  <c r="BG1072" i="9" s="1"/>
  <c r="BG1132" i="9" s="1"/>
  <c r="BG1135" i="9" s="1"/>
  <c r="BG119" i="6" s="1"/>
  <c r="BH1049" i="9"/>
  <c r="BH1072" i="9" s="1"/>
  <c r="BH1132" i="9" s="1"/>
  <c r="BH1135" i="9" s="1"/>
  <c r="BH119" i="6" s="1"/>
  <c r="BF1049" i="9"/>
  <c r="BF1072" i="9" s="1"/>
  <c r="BF1132" i="9" s="1"/>
  <c r="BF1135" i="9" s="1"/>
  <c r="BF119" i="6" s="1"/>
  <c r="BC1049" i="9"/>
  <c r="BC1072" i="9" s="1"/>
  <c r="BC1132" i="9" s="1"/>
  <c r="BC1135" i="9" s="1"/>
  <c r="BC119" i="6" s="1"/>
  <c r="BA1049" i="9"/>
  <c r="BA1072" i="9" s="1"/>
  <c r="BA1132" i="9" s="1"/>
  <c r="BA1135" i="9" s="1"/>
  <c r="BA119" i="6" s="1"/>
  <c r="BB1049" i="9"/>
  <c r="BB1072" i="9" s="1"/>
  <c r="BB1132" i="9" s="1"/>
  <c r="BB1135" i="9" s="1"/>
  <c r="BB119" i="6" s="1"/>
  <c r="AX1049" i="9"/>
  <c r="X1049" i="9" s="1"/>
  <c r="BN1049" i="9" s="1"/>
  <c r="X1026" i="9"/>
  <c r="BN1026" i="9" s="1"/>
  <c r="BI1049" i="9"/>
  <c r="BI1072" i="9" s="1"/>
  <c r="BI1132" i="9" s="1"/>
  <c r="BI1135" i="9" s="1"/>
  <c r="BI119" i="6" s="1"/>
  <c r="BI120" i="6" s="1"/>
  <c r="BI117" i="30" s="1"/>
  <c r="AZ1049" i="9"/>
  <c r="AZ1072" i="9" s="1"/>
  <c r="AZ1132" i="9" s="1"/>
  <c r="AZ1135" i="9" s="1"/>
  <c r="AZ119" i="6" s="1"/>
  <c r="AZ120" i="6" s="1"/>
  <c r="AZ117" i="30" s="1"/>
  <c r="AY1049" i="9"/>
  <c r="AY1072" i="9" s="1"/>
  <c r="AY1132" i="9" s="1"/>
  <c r="AY1135" i="9" s="1"/>
  <c r="AY119" i="6" s="1"/>
  <c r="AY120" i="6" s="1"/>
  <c r="AY117" i="30" s="1"/>
  <c r="Y83" i="33"/>
  <c r="CL195" i="30"/>
  <c r="CD195" i="30" s="1"/>
  <c r="BJ1126" i="9"/>
  <c r="BJ1129" i="9" s="1"/>
  <c r="BJ117" i="6" s="1"/>
  <c r="BJ1026" i="9"/>
  <c r="BO813" i="9"/>
  <c r="BO886" i="9" s="1"/>
  <c r="Y886" i="9"/>
  <c r="Y1126" i="9" s="1"/>
  <c r="Y1129" i="9" s="1"/>
  <c r="Y117" i="6" s="1"/>
  <c r="BJ41" i="30"/>
  <c r="BJ173" i="20"/>
  <c r="BJ175" i="20" s="1"/>
  <c r="BJ185" i="20" s="1"/>
  <c r="Y170" i="20"/>
  <c r="Y173" i="20" s="1"/>
  <c r="Y175" i="20" s="1"/>
  <c r="Y185" i="20" s="1"/>
  <c r="Y189" i="20" s="1"/>
  <c r="Y173" i="1"/>
  <c r="CI173" i="1" s="1"/>
  <c r="CI170" i="1"/>
  <c r="CC170" i="1" s="1"/>
  <c r="CL170" i="1"/>
  <c r="CD170" i="1" s="1"/>
  <c r="BO170" i="20"/>
  <c r="BO173" i="1"/>
  <c r="CL173" i="1" s="1"/>
  <c r="AX93" i="30"/>
  <c r="X1135" i="9"/>
  <c r="X119" i="6" s="1"/>
  <c r="X120" i="6" s="1"/>
  <c r="BO1134" i="9"/>
  <c r="BO1133" i="9"/>
  <c r="BN1134" i="9"/>
  <c r="BN1133" i="9"/>
  <c r="BP1128" i="9"/>
  <c r="BB132" i="30"/>
  <c r="BC231" i="6"/>
  <c r="AZ93" i="30" l="1"/>
  <c r="CD173" i="1"/>
  <c r="CC173" i="1"/>
  <c r="BJ176" i="30"/>
  <c r="BJ66" i="33" s="1"/>
  <c r="CG41" i="30"/>
  <c r="CH41" i="30"/>
  <c r="AY93" i="30"/>
  <c r="BH120" i="6"/>
  <c r="BH117" i="30" s="1"/>
  <c r="BH93" i="30"/>
  <c r="BB93" i="30"/>
  <c r="BB120" i="6"/>
  <c r="BB117" i="30" s="1"/>
  <c r="BA93" i="30"/>
  <c r="BA120" i="6"/>
  <c r="BA117" i="30" s="1"/>
  <c r="BG120" i="6"/>
  <c r="BG117" i="30" s="1"/>
  <c r="BG93" i="30"/>
  <c r="BE120" i="6"/>
  <c r="BE117" i="30" s="1"/>
  <c r="BE93" i="30"/>
  <c r="BC120" i="6"/>
  <c r="BC117" i="30" s="1"/>
  <c r="BC93" i="30"/>
  <c r="BF120" i="6"/>
  <c r="BF117" i="30" s="1"/>
  <c r="BF93" i="30"/>
  <c r="BD120" i="6"/>
  <c r="BD117" i="30" s="1"/>
  <c r="BD93" i="30"/>
  <c r="BI93" i="30"/>
  <c r="AX1072" i="9"/>
  <c r="X1072" i="9" s="1"/>
  <c r="BN1072" i="9" s="1"/>
  <c r="BN1132" i="9" s="1"/>
  <c r="BN1135" i="9" s="1"/>
  <c r="BN119" i="6" s="1"/>
  <c r="A170" i="1" a="1"/>
  <c r="A170" i="1" s="1"/>
  <c r="BO173" i="20"/>
  <c r="CM173" i="20" s="1"/>
  <c r="CE173" i="20" s="1"/>
  <c r="A173" i="20" s="1" a="1"/>
  <c r="A173" i="20" s="1"/>
  <c r="CM170" i="20"/>
  <c r="CE170" i="20" s="1"/>
  <c r="A170" i="20" s="1" a="1"/>
  <c r="A170" i="20" s="1"/>
  <c r="BO41" i="30"/>
  <c r="Y41" i="30" s="1"/>
  <c r="BO1126" i="9"/>
  <c r="BO1129" i="9" s="1"/>
  <c r="BO117" i="6" s="1"/>
  <c r="CF117" i="6" s="1"/>
  <c r="A117" i="6" s="1" a="1"/>
  <c r="A117" i="6" s="1"/>
  <c r="BP886" i="9"/>
  <c r="BJ232" i="6"/>
  <c r="BJ189" i="20"/>
  <c r="BJ1049" i="9"/>
  <c r="Y1049" i="9" s="1"/>
  <c r="BO1049" i="9" s="1"/>
  <c r="Y1026" i="9"/>
  <c r="BO1026" i="9" s="1"/>
  <c r="A195" i="30" a="1"/>
  <c r="A195" i="30" s="1"/>
  <c r="X93" i="30"/>
  <c r="X117" i="30"/>
  <c r="BQ1128" i="9"/>
  <c r="BC234" i="6"/>
  <c r="A173" i="1" l="1" a="1"/>
  <c r="A173" i="1" s="1"/>
  <c r="BP1126" i="9"/>
  <c r="BP1129" i="9" s="1"/>
  <c r="BP117" i="6" s="1"/>
  <c r="BP120" i="6" s="1"/>
  <c r="BP117" i="30" s="1"/>
  <c r="BQ886" i="9"/>
  <c r="BJ1072" i="9"/>
  <c r="CI41" i="30"/>
  <c r="CC41" i="30" s="1"/>
  <c r="CL41" i="30"/>
  <c r="CD41" i="30" s="1"/>
  <c r="CH93" i="30"/>
  <c r="CH117" i="30"/>
  <c r="BN120" i="6"/>
  <c r="BN117" i="30" s="1"/>
  <c r="CK117" i="30" s="1"/>
  <c r="BN93" i="30"/>
  <c r="CK93" i="30" s="1"/>
  <c r="BR1128" i="9"/>
  <c r="BD231" i="6"/>
  <c r="BC132" i="30"/>
  <c r="A41" i="30" l="1" a="1"/>
  <c r="A41" i="30" s="1"/>
  <c r="BJ1132" i="9"/>
  <c r="BJ1135" i="9" s="1"/>
  <c r="BJ119" i="6" s="1"/>
  <c r="Y1072" i="9"/>
  <c r="BQ1126" i="9"/>
  <c r="BQ1129" i="9" s="1"/>
  <c r="BQ117" i="6" s="1"/>
  <c r="BQ120" i="6" s="1"/>
  <c r="BQ117" i="30" s="1"/>
  <c r="BR886" i="9"/>
  <c r="BS1128" i="9"/>
  <c r="BD234" i="6"/>
  <c r="BJ120" i="6" l="1"/>
  <c r="BJ117" i="30" s="1"/>
  <c r="BJ93" i="30"/>
  <c r="BR1126" i="9"/>
  <c r="BR1129" i="9" s="1"/>
  <c r="BR117" i="6" s="1"/>
  <c r="BR120" i="6" s="1"/>
  <c r="BR117" i="30" s="1"/>
  <c r="BS886" i="9"/>
  <c r="Y1132" i="9"/>
  <c r="Y1135" i="9" s="1"/>
  <c r="Y119" i="6" s="1"/>
  <c r="BO1072" i="9"/>
  <c r="BO1132" i="9" s="1"/>
  <c r="BO1135" i="9" s="1"/>
  <c r="BO119" i="6" s="1"/>
  <c r="BT1128" i="9"/>
  <c r="BE231" i="6"/>
  <c r="BD132" i="30"/>
  <c r="BS1126" i="9" l="1"/>
  <c r="BS1129" i="9" s="1"/>
  <c r="BS117" i="6" s="1"/>
  <c r="BS120" i="6" s="1"/>
  <c r="BS117" i="30" s="1"/>
  <c r="BT886" i="9"/>
  <c r="Y93" i="30"/>
  <c r="CI93" i="30" s="1"/>
  <c r="CC93" i="30" s="1"/>
  <c r="Y120" i="6"/>
  <c r="CF119" i="6"/>
  <c r="A119" i="6" s="1" a="1"/>
  <c r="A119" i="6" s="1"/>
  <c r="BO120" i="6"/>
  <c r="BO117" i="30" s="1"/>
  <c r="BO93" i="30"/>
  <c r="BU1128" i="9"/>
  <c r="BE234" i="6"/>
  <c r="CL93" i="30" l="1"/>
  <c r="CD93" i="30" s="1"/>
  <c r="A93" i="30" s="1" a="1"/>
  <c r="A93" i="30" s="1"/>
  <c r="Y117" i="30"/>
  <c r="CI117" i="30" s="1"/>
  <c r="CC117" i="30" s="1"/>
  <c r="CF120" i="6"/>
  <c r="A120" i="6" s="1" a="1"/>
  <c r="A120" i="6" s="1"/>
  <c r="BT1126" i="9"/>
  <c r="BT1129" i="9" s="1"/>
  <c r="BT117" i="6" s="1"/>
  <c r="BT120" i="6" s="1"/>
  <c r="BT117" i="30" s="1"/>
  <c r="BU886" i="9"/>
  <c r="BV1128" i="9"/>
  <c r="BF231" i="6"/>
  <c r="BE132" i="30"/>
  <c r="CL117" i="30" l="1"/>
  <c r="CD117" i="30" s="1"/>
  <c r="A117" i="30" s="1" a="1"/>
  <c r="A117" i="30" s="1"/>
  <c r="BU1126" i="9"/>
  <c r="BU1129" i="9" s="1"/>
  <c r="BU117" i="6" s="1"/>
  <c r="BU120" i="6" s="1"/>
  <c r="BU117" i="30" s="1"/>
  <c r="BV886" i="9"/>
  <c r="BW1128" i="9"/>
  <c r="BF234" i="6"/>
  <c r="BV1126" i="9" l="1"/>
  <c r="BV1129" i="9" s="1"/>
  <c r="BV117" i="6" s="1"/>
  <c r="BV120" i="6" s="1"/>
  <c r="BV117" i="30" s="1"/>
  <c r="BW886" i="9"/>
  <c r="BW1126" i="9" s="1"/>
  <c r="BW1129" i="9" s="1"/>
  <c r="BW117" i="6" s="1"/>
  <c r="BW120" i="6" s="1"/>
  <c r="BW117" i="30" s="1"/>
  <c r="BG231" i="6"/>
  <c r="BF132" i="30"/>
  <c r="BG234" i="6" l="1"/>
  <c r="BH231" i="6" l="1"/>
  <c r="BG132" i="30"/>
  <c r="BH234" i="6" l="1"/>
  <c r="X968" i="9"/>
  <c r="X1104" i="9" s="1"/>
  <c r="X1110" i="9" s="1"/>
  <c r="X1111" i="9" s="1"/>
  <c r="X200" i="30" s="1"/>
  <c r="CH200" i="30" l="1"/>
  <c r="BH132" i="30"/>
  <c r="BI231" i="6"/>
  <c r="BM50" i="9"/>
  <c r="Y968" i="9"/>
  <c r="Y1104" i="9" s="1"/>
  <c r="BO50" i="9"/>
  <c r="BO477" i="9" s="1"/>
  <c r="X1105" i="9"/>
  <c r="X199" i="30" s="1"/>
  <c r="BN50" i="9"/>
  <c r="BN477" i="9" s="1"/>
  <c r="BM477" i="9" l="1"/>
  <c r="BZ50" i="9"/>
  <c r="BZ2" i="9" s="1" a="1"/>
  <c r="BZ2" i="9" s="1"/>
  <c r="X86" i="33"/>
  <c r="CH199" i="30"/>
  <c r="Y1110" i="9"/>
  <c r="Y1111" i="9" s="1"/>
  <c r="Y200" i="30" s="1"/>
  <c r="Y1105" i="9"/>
  <c r="Y199" i="30" s="1"/>
  <c r="BI234" i="6"/>
  <c r="BO968" i="9"/>
  <c r="BO1104" i="9" s="1"/>
  <c r="BO1110" i="9" s="1"/>
  <c r="BO1111" i="9" s="1"/>
  <c r="BO200" i="30" s="1"/>
  <c r="BN968" i="9"/>
  <c r="BN1104" i="9" s="1"/>
  <c r="BN1110" i="9" s="1"/>
  <c r="BN1111" i="9" s="1"/>
  <c r="BN200" i="30" s="1"/>
  <c r="CK200" i="30" s="1"/>
  <c r="W54" i="9"/>
  <c r="W991" i="9"/>
  <c r="BM52" i="9"/>
  <c r="W500" i="9"/>
  <c r="X48" i="9"/>
  <c r="W1105" i="9"/>
  <c r="W199" i="30" s="1"/>
  <c r="BM968" i="9"/>
  <c r="BM1104" i="9" s="1"/>
  <c r="B20" i="14" a="1"/>
  <c r="B20" i="14" l="1"/>
  <c r="BM1110" i="9"/>
  <c r="BM1111" i="9" s="1"/>
  <c r="BM200" i="30" s="1"/>
  <c r="CJ200" i="30" s="1"/>
  <c r="CI200" i="30"/>
  <c r="CC200" i="30" s="1"/>
  <c r="CL200" i="30"/>
  <c r="W86" i="33"/>
  <c r="CG199" i="30"/>
  <c r="CI199" i="30"/>
  <c r="Y86" i="33"/>
  <c r="BN1105" i="9"/>
  <c r="BN199" i="30" s="1"/>
  <c r="BO1105" i="9"/>
  <c r="W1086" i="9"/>
  <c r="W89" i="35" s="1"/>
  <c r="X52" i="9"/>
  <c r="X54" i="9" s="1"/>
  <c r="BI132" i="30"/>
  <c r="BJ231" i="6"/>
  <c r="BM1105" i="9"/>
  <c r="BM199" i="30" s="1"/>
  <c r="BM54" i="9"/>
  <c r="BM991" i="9"/>
  <c r="BM500" i="9"/>
  <c r="BN48" i="9"/>
  <c r="BN431" i="9" s="1"/>
  <c r="X431" i="9"/>
  <c r="BM86" i="33" l="1"/>
  <c r="CD200" i="30"/>
  <c r="A200" i="30" s="1" a="1"/>
  <c r="A200" i="30" s="1"/>
  <c r="CC199" i="30"/>
  <c r="BN86" i="33"/>
  <c r="CK199" i="30"/>
  <c r="CJ199" i="30"/>
  <c r="BO199" i="30"/>
  <c r="W100" i="6"/>
  <c r="W1087" i="9"/>
  <c r="BM1086" i="9"/>
  <c r="BM1087" i="9" s="1"/>
  <c r="BN1150" i="9"/>
  <c r="BJ234" i="6"/>
  <c r="X991" i="9"/>
  <c r="BN52" i="9"/>
  <c r="X500" i="9"/>
  <c r="X1086" i="9" s="1"/>
  <c r="Y48" i="9"/>
  <c r="BN93" i="9" l="1"/>
  <c r="BN226" i="9"/>
  <c r="BN188" i="9"/>
  <c r="BN283" i="9"/>
  <c r="BN321" i="9"/>
  <c r="BN359" i="9"/>
  <c r="BN416" i="9"/>
  <c r="BN150" i="9"/>
  <c r="BN169" i="9"/>
  <c r="BN131" i="9"/>
  <c r="BN264" i="9"/>
  <c r="BN245" i="9"/>
  <c r="BN302" i="9"/>
  <c r="BN74" i="9"/>
  <c r="BN340" i="9"/>
  <c r="BN397" i="9"/>
  <c r="BN112" i="9"/>
  <c r="BN378" i="9"/>
  <c r="BN207" i="9"/>
  <c r="BO86" i="33"/>
  <c r="CL199" i="30"/>
  <c r="CD199" i="30" s="1"/>
  <c r="A199" i="30" s="1" a="1"/>
  <c r="A199" i="30" s="1"/>
  <c r="BJ132" i="30"/>
  <c r="BM89" i="35"/>
  <c r="BM100" i="6"/>
  <c r="Y52" i="9"/>
  <c r="Y431" i="9"/>
  <c r="BO48" i="9"/>
  <c r="BO431" i="9" s="1"/>
  <c r="X89" i="35"/>
  <c r="X1087" i="9"/>
  <c r="X100" i="6"/>
  <c r="BN991" i="9"/>
  <c r="BN54" i="9"/>
  <c r="BN500" i="9"/>
  <c r="BO1150" i="9" l="1"/>
  <c r="Y54" i="9"/>
  <c r="Y991" i="9"/>
  <c r="Y55" i="9"/>
  <c r="BO52" i="9"/>
  <c r="Y500" i="9"/>
  <c r="Y1086" i="9" s="1"/>
  <c r="X55" i="9"/>
  <c r="X636" i="9" s="1"/>
  <c r="W55" i="9"/>
  <c r="W636" i="9" s="1"/>
  <c r="V55" i="9"/>
  <c r="BN1086" i="9"/>
  <c r="BO188" i="9" l="1"/>
  <c r="BO283" i="9"/>
  <c r="BO321" i="9"/>
  <c r="BO93" i="9"/>
  <c r="BO416" i="9"/>
  <c r="BO359" i="9"/>
  <c r="BO226" i="9"/>
  <c r="BO150" i="9"/>
  <c r="BO245" i="9"/>
  <c r="BO302" i="9"/>
  <c r="BO169" i="9"/>
  <c r="BO131" i="9"/>
  <c r="BO264" i="9"/>
  <c r="BO112" i="9"/>
  <c r="BO340" i="9"/>
  <c r="BO74" i="9"/>
  <c r="BO397" i="9"/>
  <c r="BO207" i="9"/>
  <c r="BO378" i="9"/>
  <c r="V636" i="9"/>
  <c r="V1150" i="9"/>
  <c r="BL1150" i="9" s="1"/>
  <c r="Y636" i="9"/>
  <c r="Y1087" i="9"/>
  <c r="Y89" i="35"/>
  <c r="Y100" i="6"/>
  <c r="BN1087" i="9"/>
  <c r="BN89" i="35"/>
  <c r="BN100" i="6"/>
  <c r="BO54" i="9"/>
  <c r="BP48" i="9"/>
  <c r="BO991" i="9"/>
  <c r="BO500" i="9"/>
  <c r="BL264" i="9" l="1"/>
  <c r="BL112" i="9"/>
  <c r="BL188" i="9"/>
  <c r="BL416" i="9"/>
  <c r="BL378" i="9"/>
  <c r="BL340" i="9"/>
  <c r="BL302" i="9"/>
  <c r="BL226" i="9"/>
  <c r="BL150" i="9"/>
  <c r="BL74" i="9"/>
  <c r="BL93" i="9"/>
  <c r="BL131" i="9"/>
  <c r="BL169" i="9"/>
  <c r="BL397" i="9"/>
  <c r="BL359" i="9"/>
  <c r="BL321" i="9"/>
  <c r="BL283" i="9"/>
  <c r="BL245" i="9"/>
  <c r="BL207" i="9"/>
  <c r="BP52" i="9"/>
  <c r="BP431" i="9"/>
  <c r="BO1086" i="9"/>
  <c r="BO1087" i="9" l="1"/>
  <c r="BO89" i="35"/>
  <c r="BO100" i="6"/>
  <c r="BP54" i="9"/>
  <c r="BQ48" i="9"/>
  <c r="BP500" i="9"/>
  <c r="BP1086" i="9" s="1"/>
  <c r="BP991" i="9"/>
  <c r="BQ52" i="9" l="1"/>
  <c r="CF100" i="6"/>
  <c r="A100" i="6" s="1" a="1"/>
  <c r="A100" i="6" s="1"/>
  <c r="BP100" i="6"/>
  <c r="BP89" i="35"/>
  <c r="BP1087" i="9"/>
  <c r="BQ431" i="9"/>
  <c r="BQ991" i="9" l="1"/>
  <c r="BQ500" i="9"/>
  <c r="BQ1086" i="9" s="1"/>
  <c r="BQ54" i="9"/>
  <c r="BR48" i="9"/>
  <c r="BP103" i="6"/>
  <c r="BP115" i="30" s="1"/>
  <c r="BR52" i="9" l="1"/>
  <c r="BQ89" i="35"/>
  <c r="BQ100" i="6"/>
  <c r="BQ1087" i="9"/>
  <c r="BR431" i="9"/>
  <c r="BQ103" i="6" l="1"/>
  <c r="BQ115" i="30" s="1"/>
  <c r="BS48" i="9"/>
  <c r="BR991" i="9"/>
  <c r="BR54" i="9"/>
  <c r="BR500" i="9"/>
  <c r="BR1086" i="9" s="1"/>
  <c r="BS52" i="9" l="1"/>
  <c r="BS431" i="9"/>
  <c r="BR100" i="6"/>
  <c r="BR89" i="35"/>
  <c r="BR1087" i="9"/>
  <c r="BR103" i="6" l="1"/>
  <c r="BR115" i="30" s="1"/>
  <c r="BS991" i="9"/>
  <c r="BS54" i="9"/>
  <c r="BS500" i="9"/>
  <c r="BS1086" i="9" s="1"/>
  <c r="BT48" i="9"/>
  <c r="BT52" i="9" l="1"/>
  <c r="BT431" i="9"/>
  <c r="BS100" i="6"/>
  <c r="BS1087" i="9"/>
  <c r="BS89" i="35"/>
  <c r="BS103" i="6" l="1"/>
  <c r="BS115" i="30" s="1"/>
  <c r="BT991" i="9"/>
  <c r="BT500" i="9"/>
  <c r="BT1086" i="9" s="1"/>
  <c r="BU48" i="9"/>
  <c r="BT54" i="9"/>
  <c r="BU52" i="9" l="1"/>
  <c r="BU431" i="9"/>
  <c r="BT89" i="35"/>
  <c r="BT100" i="6"/>
  <c r="BT1087" i="9"/>
  <c r="BU991" i="9" l="1"/>
  <c r="BU54" i="9"/>
  <c r="BU500" i="9"/>
  <c r="BU1086" i="9" s="1"/>
  <c r="BV48" i="9"/>
  <c r="BT103" i="6"/>
  <c r="BT115" i="30" s="1"/>
  <c r="BV52" i="9" l="1"/>
  <c r="BV431" i="9"/>
  <c r="BU100" i="6"/>
  <c r="BU1087" i="9"/>
  <c r="BU89" i="35"/>
  <c r="BU103" i="6" l="1"/>
  <c r="BU115" i="30" s="1"/>
  <c r="BV991" i="9"/>
  <c r="BW48" i="9"/>
  <c r="BV54" i="9"/>
  <c r="BV500" i="9"/>
  <c r="BV1086" i="9" s="1"/>
  <c r="BW52" i="9" l="1"/>
  <c r="BV1087" i="9"/>
  <c r="BV89" i="35"/>
  <c r="BV100" i="6"/>
  <c r="BW431" i="9"/>
  <c r="BO55" i="9" l="1"/>
  <c r="BL55" i="9"/>
  <c r="BM55" i="9"/>
  <c r="BN55" i="9"/>
  <c r="BW54" i="9"/>
  <c r="BW500" i="9"/>
  <c r="BW1086" i="9" s="1"/>
  <c r="BW991" i="9"/>
  <c r="BL636" i="9"/>
  <c r="BM636" i="9"/>
  <c r="BN636" i="9"/>
  <c r="BO636" i="9"/>
  <c r="BV103" i="6"/>
  <c r="BV115" i="30" s="1"/>
  <c r="CL54" i="9" l="1"/>
  <c r="A54" i="9" s="1" a="1"/>
  <c r="A54" i="9" s="1"/>
  <c r="BW89" i="35"/>
  <c r="BW100" i="6"/>
  <c r="BW1087" i="9"/>
  <c r="BW103" i="6" l="1"/>
  <c r="BW115" i="30" s="1"/>
  <c r="BP397" i="9" l="1"/>
  <c r="BP416" i="9"/>
  <c r="BR397" i="9"/>
  <c r="BR416" i="9"/>
  <c r="BQ397" i="9"/>
  <c r="BQ416" i="9"/>
  <c r="BW397" i="9"/>
  <c r="BW416" i="9"/>
  <c r="BU397" i="9"/>
  <c r="BU416" i="9"/>
  <c r="BV397" i="9"/>
  <c r="BV416" i="9"/>
  <c r="BS397" i="9"/>
  <c r="BS416" i="9"/>
  <c r="BT397" i="9"/>
  <c r="BT416" i="9"/>
  <c r="BQ359" i="9"/>
  <c r="BQ378" i="9"/>
  <c r="BW359" i="9"/>
  <c r="BW378" i="9"/>
  <c r="BS359" i="9"/>
  <c r="BS378" i="9"/>
  <c r="BR359" i="9"/>
  <c r="BR378" i="9"/>
  <c r="BU359" i="9"/>
  <c r="BU378" i="9"/>
  <c r="BV359" i="9"/>
  <c r="BV378" i="9"/>
  <c r="BP359" i="9"/>
  <c r="BP378" i="9"/>
  <c r="BT359" i="9"/>
  <c r="BT378" i="9"/>
  <c r="BR321" i="9"/>
  <c r="BR340" i="9"/>
  <c r="BS321" i="9"/>
  <c r="BS340" i="9"/>
  <c r="BQ321" i="9"/>
  <c r="BQ340" i="9"/>
  <c r="BW321" i="9"/>
  <c r="BW340" i="9"/>
  <c r="BU321" i="9"/>
  <c r="BU340" i="9"/>
  <c r="BV321" i="9"/>
  <c r="BV340" i="9"/>
  <c r="BP321" i="9"/>
  <c r="BP340" i="9"/>
  <c r="BT321" i="9"/>
  <c r="BT340" i="9"/>
  <c r="BR283" i="9"/>
  <c r="BR302" i="9"/>
  <c r="BP283" i="9"/>
  <c r="BP302" i="9"/>
  <c r="BQ283" i="9"/>
  <c r="BQ302" i="9"/>
  <c r="BW283" i="9"/>
  <c r="BW302" i="9"/>
  <c r="BU283" i="9"/>
  <c r="BU302" i="9"/>
  <c r="BV283" i="9"/>
  <c r="BV302" i="9"/>
  <c r="BS283" i="9"/>
  <c r="BS302" i="9"/>
  <c r="BT283" i="9"/>
  <c r="BT302" i="9"/>
  <c r="BV245" i="9"/>
  <c r="BV264" i="9"/>
  <c r="BR245" i="9"/>
  <c r="BR264" i="9"/>
  <c r="BQ245" i="9"/>
  <c r="BQ264" i="9"/>
  <c r="BW245" i="9"/>
  <c r="BW264" i="9"/>
  <c r="BU245" i="9"/>
  <c r="BU264" i="9"/>
  <c r="BP245" i="9"/>
  <c r="BP264" i="9"/>
  <c r="BS245" i="9"/>
  <c r="BS264" i="9"/>
  <c r="BT245" i="9"/>
  <c r="BT264" i="9"/>
  <c r="BR207" i="9"/>
  <c r="BR226" i="9"/>
  <c r="BQ207" i="9"/>
  <c r="BQ226" i="9"/>
  <c r="BW207" i="9"/>
  <c r="BW226" i="9"/>
  <c r="BU207" i="9"/>
  <c r="BU226" i="9"/>
  <c r="BV207" i="9"/>
  <c r="BV226" i="9"/>
  <c r="BP207" i="9"/>
  <c r="BP226" i="9"/>
  <c r="BS207" i="9"/>
  <c r="BS226" i="9"/>
  <c r="BT207" i="9"/>
  <c r="BT226" i="9"/>
  <c r="BQ169" i="9"/>
  <c r="BQ188" i="9"/>
  <c r="BS169" i="9"/>
  <c r="BS188" i="9"/>
  <c r="BR169" i="9"/>
  <c r="BR188" i="9"/>
  <c r="BW169" i="9"/>
  <c r="BW188" i="9"/>
  <c r="BU169" i="9"/>
  <c r="BU188" i="9"/>
  <c r="BV169" i="9"/>
  <c r="BV188" i="9"/>
  <c r="BP169" i="9"/>
  <c r="BP188" i="9"/>
  <c r="BT169" i="9"/>
  <c r="BT188" i="9"/>
  <c r="BR131" i="9"/>
  <c r="BR150" i="9"/>
  <c r="BP131" i="9"/>
  <c r="BP150" i="9"/>
  <c r="BQ131" i="9"/>
  <c r="BQ150" i="9"/>
  <c r="BW131" i="9"/>
  <c r="BW150" i="9"/>
  <c r="BU131" i="9"/>
  <c r="BU150" i="9"/>
  <c r="BV131" i="9"/>
  <c r="BV150" i="9"/>
  <c r="BS131" i="9"/>
  <c r="BS150" i="9"/>
  <c r="BT131" i="9"/>
  <c r="BT150" i="9"/>
  <c r="BR93" i="9"/>
  <c r="BR112" i="9"/>
  <c r="BW93" i="9"/>
  <c r="BW112" i="9"/>
  <c r="BU93" i="9"/>
  <c r="BU112" i="9"/>
  <c r="BS93" i="9"/>
  <c r="BS112" i="9"/>
  <c r="BQ93" i="9"/>
  <c r="BQ112" i="9"/>
  <c r="BV93" i="9"/>
  <c r="BV112" i="9"/>
  <c r="BP93" i="9"/>
  <c r="BP112" i="9"/>
  <c r="BT93" i="9"/>
  <c r="BT112" i="9"/>
  <c r="BQ55" i="9"/>
  <c r="BQ74" i="9"/>
  <c r="BS55" i="9"/>
  <c r="BS74" i="9"/>
  <c r="BR55" i="9"/>
  <c r="BR74" i="9"/>
  <c r="BW55" i="9"/>
  <c r="BW74" i="9"/>
  <c r="BU55" i="9"/>
  <c r="BU74" i="9"/>
  <c r="BV55" i="9"/>
  <c r="BV74" i="9"/>
  <c r="BP55" i="9"/>
  <c r="BP74" i="9"/>
  <c r="BT55" i="9"/>
  <c r="BT74" i="9"/>
  <c r="BN11" i="1"/>
  <c r="CK11" i="1" s="1"/>
  <c r="X15" i="1"/>
  <c r="X119" i="1" s="1"/>
  <c r="Y15" i="1"/>
  <c r="W15" i="1"/>
  <c r="W119" i="1" s="1"/>
  <c r="BW636" i="9" l="1"/>
  <c r="BT636" i="9"/>
  <c r="BV636" i="9"/>
  <c r="BU636" i="9"/>
  <c r="CL112" i="9"/>
  <c r="A112" i="9" s="1" a="1"/>
  <c r="A112" i="9" s="1"/>
  <c r="CL188" i="9"/>
  <c r="A188" i="9" s="1" a="1"/>
  <c r="A188" i="9" s="1"/>
  <c r="CL359" i="9"/>
  <c r="A359" i="9" s="1" a="1"/>
  <c r="A359" i="9" s="1"/>
  <c r="CL397" i="9"/>
  <c r="A397" i="9" s="1" a="1"/>
  <c r="A397" i="9" s="1"/>
  <c r="BQ636" i="9"/>
  <c r="CL416" i="9"/>
  <c r="A416" i="9" s="1" a="1"/>
  <c r="A416" i="9" s="1"/>
  <c r="CL340" i="9"/>
  <c r="A340" i="9" s="1" a="1"/>
  <c r="A340" i="9" s="1"/>
  <c r="CL321" i="9"/>
  <c r="A321" i="9" s="1" a="1"/>
  <c r="A321" i="9" s="1"/>
  <c r="CL378" i="9"/>
  <c r="A378" i="9" s="1" a="1"/>
  <c r="A378" i="9" s="1"/>
  <c r="CL55" i="9"/>
  <c r="A55" i="9" s="1" a="1"/>
  <c r="A55" i="9" s="1"/>
  <c r="CL283" i="9"/>
  <c r="A283" i="9" s="1" a="1"/>
  <c r="A283" i="9" s="1"/>
  <c r="CL302" i="9"/>
  <c r="A302" i="9" s="1" a="1"/>
  <c r="A302" i="9" s="1"/>
  <c r="CL245" i="9"/>
  <c r="A245" i="9" s="1" a="1"/>
  <c r="A245" i="9" s="1"/>
  <c r="CL264" i="9"/>
  <c r="A264" i="9" s="1" a="1"/>
  <c r="A264" i="9" s="1"/>
  <c r="CL207" i="9"/>
  <c r="A207" i="9" s="1" a="1"/>
  <c r="A207" i="9" s="1"/>
  <c r="CL226" i="9"/>
  <c r="A226" i="9" s="1" a="1"/>
  <c r="A226" i="9" s="1"/>
  <c r="CL169" i="9"/>
  <c r="A169" i="9" s="1" a="1"/>
  <c r="A169" i="9" s="1"/>
  <c r="CL93" i="9"/>
  <c r="A93" i="9" s="1" a="1"/>
  <c r="A93" i="9" s="1"/>
  <c r="BS636" i="9"/>
  <c r="CL131" i="9"/>
  <c r="A131" i="9" s="1" a="1"/>
  <c r="A131" i="9" s="1"/>
  <c r="BP636" i="9"/>
  <c r="CL150" i="9"/>
  <c r="A150" i="9" s="1" a="1"/>
  <c r="A150" i="9" s="1"/>
  <c r="BR636" i="9"/>
  <c r="CL74" i="9"/>
  <c r="A74" i="9" s="1" a="1"/>
  <c r="A74" i="9" s="1"/>
  <c r="Y119" i="1"/>
  <c r="CI15" i="1"/>
  <c r="CH15" i="1"/>
  <c r="CG15" i="1"/>
  <c r="BN15" i="1"/>
  <c r="BN119" i="1" s="1"/>
  <c r="CQ16" i="1"/>
  <c r="CG119" i="1"/>
  <c r="CS16" i="1"/>
  <c r="CR16" i="1"/>
  <c r="BO11" i="1"/>
  <c r="CL11" i="1" s="1"/>
  <c r="BM11" i="1"/>
  <c r="CQ636" i="9" l="1"/>
  <c r="A636" i="9" s="1" a="1"/>
  <c r="A636" i="9" s="1"/>
  <c r="CC15" i="1"/>
  <c r="CK15" i="1"/>
  <c r="X160" i="1"/>
  <c r="CH119" i="1"/>
  <c r="Y160" i="1"/>
  <c r="CI119" i="1"/>
  <c r="W160" i="1"/>
  <c r="CG160" i="1" s="1"/>
  <c r="CJ11" i="1"/>
  <c r="CD11" i="1" s="1"/>
  <c r="A11" i="1" s="1" a="1"/>
  <c r="A11" i="1" s="1"/>
  <c r="CK12" i="20"/>
  <c r="CL12" i="20"/>
  <c r="CM12" i="20"/>
  <c r="CK119" i="1"/>
  <c r="EH16" i="1"/>
  <c r="BP201" i="1"/>
  <c r="BO15" i="1"/>
  <c r="BO119" i="1" s="1"/>
  <c r="BM15" i="1"/>
  <c r="BM119" i="1" s="1"/>
  <c r="CL15" i="1" l="1"/>
  <c r="BN160" i="1"/>
  <c r="CK160" i="1" s="1"/>
  <c r="CJ15" i="1"/>
  <c r="CC119" i="1"/>
  <c r="Y165" i="1"/>
  <c r="CI160" i="1"/>
  <c r="X165" i="1"/>
  <c r="CH160" i="1"/>
  <c r="BO15" i="20"/>
  <c r="A139" i="20" a="1"/>
  <c r="A139" i="20" s="1"/>
  <c r="BM15" i="20"/>
  <c r="BN15" i="20"/>
  <c r="CE12" i="20"/>
  <c r="A12" i="20" s="1" a="1"/>
  <c r="A12" i="20" s="1"/>
  <c r="W165" i="1"/>
  <c r="CG165" i="1" s="1"/>
  <c r="EG16" i="1"/>
  <c r="CJ119" i="1"/>
  <c r="BP11" i="20"/>
  <c r="BP15" i="1"/>
  <c r="BP119" i="1" s="1"/>
  <c r="BQ201" i="1"/>
  <c r="CL119" i="1"/>
  <c r="EI16" i="1"/>
  <c r="BN165" i="1" l="1"/>
  <c r="CK165" i="1" s="1"/>
  <c r="BN22" i="30"/>
  <c r="X22" i="30" s="1"/>
  <c r="X75" i="35" s="1"/>
  <c r="BN197" i="20"/>
  <c r="CL197" i="20" s="1"/>
  <c r="BN28" i="20"/>
  <c r="BN13" i="30" s="1"/>
  <c r="X13" i="30" s="1"/>
  <c r="BM197" i="20"/>
  <c r="CK197" i="20" s="1"/>
  <c r="BM22" i="30"/>
  <c r="W22" i="30" s="1"/>
  <c r="W75" i="35" s="1"/>
  <c r="BM28" i="20"/>
  <c r="BM13" i="30" s="1"/>
  <c r="W13" i="30" s="1"/>
  <c r="CG13" i="30" s="1"/>
  <c r="BO197" i="20"/>
  <c r="CM197" i="20" s="1"/>
  <c r="BO22" i="30"/>
  <c r="Y22" i="30" s="1"/>
  <c r="Y75" i="35" s="1"/>
  <c r="BO28" i="20"/>
  <c r="BO13" i="30" s="1"/>
  <c r="Y13" i="30" s="1"/>
  <c r="CD15" i="1"/>
  <c r="A15" i="1" s="1" a="1"/>
  <c r="A15" i="1" s="1"/>
  <c r="BP12" i="20"/>
  <c r="BP15" i="20" s="1"/>
  <c r="CL15" i="20"/>
  <c r="CK15" i="20"/>
  <c r="CM15" i="20"/>
  <c r="CC160" i="1"/>
  <c r="CD119" i="1"/>
  <c r="A119" i="1" s="1" a="1"/>
  <c r="A119" i="1" s="1"/>
  <c r="CH165" i="1"/>
  <c r="X193" i="1"/>
  <c r="X175" i="1"/>
  <c r="CI165" i="1"/>
  <c r="Y193" i="1"/>
  <c r="Y175" i="1"/>
  <c r="W175" i="1"/>
  <c r="W193" i="1"/>
  <c r="CG193" i="1" s="1"/>
  <c r="BN202" i="1"/>
  <c r="BN201" i="20" s="1"/>
  <c r="X201" i="20"/>
  <c r="CM97" i="20"/>
  <c r="A129" i="20" a="1"/>
  <c r="A129" i="20" s="1"/>
  <c r="CK97" i="20"/>
  <c r="CL149" i="20"/>
  <c r="CK149" i="20"/>
  <c r="CM149" i="20"/>
  <c r="CL97" i="20"/>
  <c r="BO202" i="1"/>
  <c r="BO201" i="20" s="1"/>
  <c r="Y201" i="20"/>
  <c r="BM160" i="1"/>
  <c r="CJ160" i="1" s="1"/>
  <c r="BO160" i="1"/>
  <c r="CL160" i="1" s="1"/>
  <c r="BQ11" i="20"/>
  <c r="BQ15" i="1"/>
  <c r="BQ119" i="1" s="1"/>
  <c r="BR201" i="1"/>
  <c r="EJ16" i="1"/>
  <c r="CK13" i="30" l="1"/>
  <c r="CH13" i="30"/>
  <c r="CJ13" i="30"/>
  <c r="CL13" i="30"/>
  <c r="CI13" i="30"/>
  <c r="CG22" i="30"/>
  <c r="CJ22" i="30"/>
  <c r="CK22" i="30"/>
  <c r="CH22" i="30"/>
  <c r="CL22" i="30"/>
  <c r="CI22" i="30"/>
  <c r="BN193" i="1"/>
  <c r="CK193" i="1" s="1"/>
  <c r="BN175" i="1"/>
  <c r="CK175" i="1" s="1"/>
  <c r="CE197" i="20"/>
  <c r="A197" i="20" s="1" a="1"/>
  <c r="A197" i="20" s="1"/>
  <c r="BP197" i="20"/>
  <c r="BP22" i="30"/>
  <c r="BP28" i="20"/>
  <c r="BP13" i="30" s="1"/>
  <c r="CL28" i="20"/>
  <c r="BN37" i="20"/>
  <c r="BN14" i="30" s="1"/>
  <c r="X14" i="30" s="1"/>
  <c r="BN49" i="20"/>
  <c r="CK28" i="20"/>
  <c r="BM37" i="20"/>
  <c r="BM14" i="30" s="1"/>
  <c r="W14" i="30" s="1"/>
  <c r="CM28" i="20"/>
  <c r="BO37" i="20"/>
  <c r="BO14" i="30" s="1"/>
  <c r="Y14" i="30" s="1"/>
  <c r="BO49" i="20"/>
  <c r="CE15" i="20"/>
  <c r="A15" i="20" s="1" a="1"/>
  <c r="A15" i="20" s="1"/>
  <c r="BQ12" i="20"/>
  <c r="BQ15" i="20" s="1"/>
  <c r="CD160" i="1"/>
  <c r="A160" i="1" s="1" a="1"/>
  <c r="A160" i="1" s="1"/>
  <c r="CC165" i="1"/>
  <c r="W185" i="1"/>
  <c r="CG175" i="1"/>
  <c r="Y199" i="1"/>
  <c r="CI199" i="1" s="1"/>
  <c r="CI193" i="1"/>
  <c r="X185" i="1"/>
  <c r="CH175" i="1"/>
  <c r="Y185" i="1"/>
  <c r="CI175" i="1"/>
  <c r="X199" i="1"/>
  <c r="CH199" i="1" s="1"/>
  <c r="CH193" i="1"/>
  <c r="W199" i="1"/>
  <c r="CG199" i="1" s="1"/>
  <c r="BP160" i="1"/>
  <c r="BP97" i="20"/>
  <c r="CE97" i="20"/>
  <c r="A97" i="20" s="1" a="1"/>
  <c r="A97" i="20" s="1"/>
  <c r="A155" i="20" a="1"/>
  <c r="A155" i="20" s="1"/>
  <c r="BM202" i="1"/>
  <c r="BM201" i="20" s="1"/>
  <c r="W201" i="20"/>
  <c r="CE149" i="20"/>
  <c r="A149" i="20" s="1" a="1"/>
  <c r="A149" i="20" s="1"/>
  <c r="A145" i="20" a="1"/>
  <c r="A145" i="20" s="1"/>
  <c r="BM165" i="1"/>
  <c r="CJ165" i="1" s="1"/>
  <c r="Y66" i="35"/>
  <c r="BO165" i="1"/>
  <c r="CL165" i="1" s="1"/>
  <c r="W66" i="35"/>
  <c r="BS201" i="1"/>
  <c r="BR11" i="20"/>
  <c r="BR15" i="1"/>
  <c r="BR119" i="1" s="1"/>
  <c r="EK16" i="1"/>
  <c r="X66" i="35"/>
  <c r="BN199" i="1" l="1"/>
  <c r="CK199" i="1" s="1"/>
  <c r="BN185" i="1"/>
  <c r="CK185" i="1" s="1"/>
  <c r="CD13" i="30"/>
  <c r="X67" i="35"/>
  <c r="CK14" i="30"/>
  <c r="CH14" i="30"/>
  <c r="W67" i="35"/>
  <c r="CG14" i="30"/>
  <c r="CJ14" i="30"/>
  <c r="CC22" i="30"/>
  <c r="CC13" i="30"/>
  <c r="A13" i="30" s="1" a="1"/>
  <c r="A13" i="30" s="1"/>
  <c r="Y67" i="35"/>
  <c r="CL14" i="30"/>
  <c r="CI14" i="30"/>
  <c r="CD22" i="30"/>
  <c r="CM49" i="20"/>
  <c r="BO15" i="30"/>
  <c r="Y15" i="30" s="1"/>
  <c r="CL49" i="20"/>
  <c r="BN15" i="30"/>
  <c r="X15" i="30" s="1"/>
  <c r="CK37" i="20"/>
  <c r="CE28" i="20"/>
  <c r="A28" i="20" s="1" a="1"/>
  <c r="A28" i="20" s="1"/>
  <c r="CM37" i="20"/>
  <c r="BO60" i="20"/>
  <c r="BO16" i="30" s="1"/>
  <c r="Y16" i="30" s="1"/>
  <c r="BP37" i="20"/>
  <c r="BP14" i="30" s="1"/>
  <c r="BP49" i="20"/>
  <c r="BP15" i="30" s="1"/>
  <c r="BQ197" i="20"/>
  <c r="BQ22" i="30"/>
  <c r="BQ28" i="20"/>
  <c r="BQ13" i="30" s="1"/>
  <c r="BM49" i="20"/>
  <c r="BM15" i="30" s="1"/>
  <c r="W15" i="30" s="1"/>
  <c r="CL37" i="20"/>
  <c r="BN60" i="20"/>
  <c r="BN16" i="30" s="1"/>
  <c r="X16" i="30" s="1"/>
  <c r="BR12" i="20"/>
  <c r="BR15" i="20" s="1"/>
  <c r="CC193" i="1"/>
  <c r="CC175" i="1"/>
  <c r="CC199" i="1"/>
  <c r="X189" i="1"/>
  <c r="CH189" i="1" s="1"/>
  <c r="CH185" i="1"/>
  <c r="W189" i="1"/>
  <c r="CG189" i="1" s="1"/>
  <c r="CG185" i="1"/>
  <c r="CD165" i="1"/>
  <c r="Y189" i="1"/>
  <c r="CI189" i="1" s="1"/>
  <c r="CI185" i="1"/>
  <c r="CL148" i="20"/>
  <c r="CL132" i="20"/>
  <c r="CK148" i="20"/>
  <c r="CM132" i="20"/>
  <c r="BP165" i="1"/>
  <c r="BP129" i="20"/>
  <c r="BP149" i="20"/>
  <c r="BP139" i="20"/>
  <c r="BQ160" i="1"/>
  <c r="BQ97" i="20"/>
  <c r="CM148" i="20"/>
  <c r="CK132" i="20"/>
  <c r="BM175" i="1"/>
  <c r="CJ175" i="1" s="1"/>
  <c r="BM193" i="1"/>
  <c r="CJ193" i="1" s="1"/>
  <c r="BT201" i="1"/>
  <c r="BS11" i="20"/>
  <c r="BS15" i="1"/>
  <c r="BS119" i="1" s="1"/>
  <c r="EL16" i="1"/>
  <c r="BO175" i="1"/>
  <c r="CL175" i="1" s="1"/>
  <c r="BO193" i="1"/>
  <c r="CL193" i="1" s="1"/>
  <c r="BN189" i="1" l="1"/>
  <c r="CK189" i="1" s="1"/>
  <c r="A22" i="30" a="1"/>
  <c r="A22" i="30" s="1"/>
  <c r="X69" i="35"/>
  <c r="CH16" i="30"/>
  <c r="CK16" i="30"/>
  <c r="Y69" i="35"/>
  <c r="CL16" i="30"/>
  <c r="CI16" i="30"/>
  <c r="X68" i="35"/>
  <c r="CK15" i="30"/>
  <c r="CH15" i="30"/>
  <c r="W68" i="35"/>
  <c r="CG15" i="30"/>
  <c r="CJ15" i="30"/>
  <c r="Y68" i="35"/>
  <c r="CL15" i="30"/>
  <c r="CI15" i="30"/>
  <c r="CD14" i="30"/>
  <c r="CC14" i="30"/>
  <c r="CE37" i="20"/>
  <c r="A37" i="20" s="1" a="1"/>
  <c r="A37" i="20" s="1"/>
  <c r="CK49" i="20"/>
  <c r="CE49" i="20" s="1"/>
  <c r="A49" i="20" s="1" a="1"/>
  <c r="A49" i="20" s="1"/>
  <c r="BO67" i="20"/>
  <c r="BO17" i="30" s="1"/>
  <c r="Y17" i="30" s="1"/>
  <c r="Y70" i="35" s="1"/>
  <c r="CM60" i="20"/>
  <c r="BR197" i="20"/>
  <c r="BR22" i="30"/>
  <c r="BR28" i="20"/>
  <c r="BR13" i="30" s="1"/>
  <c r="BN67" i="20"/>
  <c r="CL60" i="20"/>
  <c r="BM60" i="20"/>
  <c r="BM16" i="30" s="1"/>
  <c r="W16" i="30" s="1"/>
  <c r="BQ37" i="20"/>
  <c r="BP60" i="20"/>
  <c r="BP16" i="30" s="1"/>
  <c r="BS12" i="20"/>
  <c r="BS15" i="20" s="1"/>
  <c r="CD193" i="1"/>
  <c r="CC185" i="1"/>
  <c r="CD175" i="1"/>
  <c r="CC189" i="1"/>
  <c r="CE148" i="20"/>
  <c r="BP132" i="20"/>
  <c r="BP193" i="1"/>
  <c r="BP199" i="1" s="1"/>
  <c r="BP175" i="1"/>
  <c r="BP185" i="1" s="1"/>
  <c r="BP189" i="1" s="1"/>
  <c r="BP148" i="20" s="1"/>
  <c r="BQ149" i="20"/>
  <c r="BQ165" i="1"/>
  <c r="BQ129" i="20"/>
  <c r="BR160" i="1"/>
  <c r="BR97" i="20"/>
  <c r="BP145" i="20"/>
  <c r="BQ139" i="20"/>
  <c r="CE132" i="20"/>
  <c r="A132" i="20" s="1" a="1"/>
  <c r="A132" i="20" s="1"/>
  <c r="BM199" i="1"/>
  <c r="CJ199" i="1" s="1"/>
  <c r="BM185" i="1"/>
  <c r="CJ185" i="1" s="1"/>
  <c r="EM16" i="1"/>
  <c r="BO199" i="1"/>
  <c r="CL199" i="1" s="1"/>
  <c r="BO185" i="1"/>
  <c r="CL185" i="1" s="1"/>
  <c r="BU201" i="1"/>
  <c r="BT15" i="1"/>
  <c r="BT119" i="1" s="1"/>
  <c r="BT11" i="20"/>
  <c r="A14" i="30" l="1" a="1"/>
  <c r="A14" i="30" s="1"/>
  <c r="CL17" i="30"/>
  <c r="CI17" i="30"/>
  <c r="CD15" i="30"/>
  <c r="CC15" i="30"/>
  <c r="W69" i="35"/>
  <c r="CG16" i="30"/>
  <c r="CC16" i="30" s="1"/>
  <c r="CJ16" i="30"/>
  <c r="CD16" i="30" s="1"/>
  <c r="CL67" i="20"/>
  <c r="BN17" i="30"/>
  <c r="X17" i="30" s="1"/>
  <c r="X70" i="35" s="1"/>
  <c r="BQ49" i="20"/>
  <c r="BQ15" i="30" s="1"/>
  <c r="BQ14" i="30"/>
  <c r="BP67" i="20"/>
  <c r="BP17" i="30" s="1"/>
  <c r="BQ60" i="20"/>
  <c r="BQ16" i="30" s="1"/>
  <c r="BP84" i="20"/>
  <c r="BP98" i="20" s="1"/>
  <c r="BM67" i="20"/>
  <c r="BM17" i="30" s="1"/>
  <c r="W17" i="30" s="1"/>
  <c r="W70" i="35" s="1"/>
  <c r="CK60" i="20"/>
  <c r="CE60" i="20" s="1"/>
  <c r="A60" i="20" s="1" a="1"/>
  <c r="A60" i="20" s="1"/>
  <c r="BR37" i="20"/>
  <c r="BR14" i="30" s="1"/>
  <c r="BR49" i="20"/>
  <c r="BR15" i="30" s="1"/>
  <c r="BS22" i="30"/>
  <c r="BS197" i="20"/>
  <c r="BS28" i="20"/>
  <c r="BS13" i="30" s="1"/>
  <c r="BN84" i="20"/>
  <c r="CM67" i="20"/>
  <c r="BO84" i="20"/>
  <c r="BO18" i="30" s="1"/>
  <c r="Y18" i="30" s="1"/>
  <c r="BT12" i="20"/>
  <c r="BT15" i="20" s="1"/>
  <c r="CD199" i="1"/>
  <c r="CD185" i="1"/>
  <c r="BQ132" i="20"/>
  <c r="BQ193" i="1"/>
  <c r="BQ199" i="1" s="1"/>
  <c r="BQ175" i="1"/>
  <c r="BQ185" i="1" s="1"/>
  <c r="BQ189" i="1" s="1"/>
  <c r="BQ148" i="20" s="1"/>
  <c r="BS160" i="1"/>
  <c r="BS97" i="20"/>
  <c r="BQ145" i="20"/>
  <c r="BR149" i="20"/>
  <c r="BP42" i="30"/>
  <c r="BP156" i="20"/>
  <c r="BR139" i="20"/>
  <c r="BR165" i="1"/>
  <c r="BR129" i="20"/>
  <c r="BM189" i="1"/>
  <c r="CJ189" i="1" s="1"/>
  <c r="BU11" i="20"/>
  <c r="BV201" i="1"/>
  <c r="BU15" i="1"/>
  <c r="BU119" i="1" s="1"/>
  <c r="BO189" i="1"/>
  <c r="CL189" i="1" s="1"/>
  <c r="EN16" i="1"/>
  <c r="A16" i="30" l="1" a="1"/>
  <c r="A16" i="30" s="1"/>
  <c r="A15" i="30" a="1"/>
  <c r="A15" i="30" s="1"/>
  <c r="CH17" i="30"/>
  <c r="CK17" i="30"/>
  <c r="CG17" i="30"/>
  <c r="CJ17" i="30"/>
  <c r="Y71" i="35"/>
  <c r="CI18" i="30"/>
  <c r="CL18" i="30"/>
  <c r="BN98" i="20"/>
  <c r="BN19" i="30" s="1"/>
  <c r="X19" i="30" s="1"/>
  <c r="BN18" i="30"/>
  <c r="X18" i="30" s="1"/>
  <c r="BP19" i="30"/>
  <c r="BT22" i="30"/>
  <c r="BT197" i="20"/>
  <c r="BT28" i="20"/>
  <c r="BT13" i="30" s="1"/>
  <c r="BQ67" i="20"/>
  <c r="CL84" i="20"/>
  <c r="BN107" i="20"/>
  <c r="BN20" i="30" s="1"/>
  <c r="X20" i="30" s="1"/>
  <c r="BQ84" i="20"/>
  <c r="BQ18" i="30" s="1"/>
  <c r="CM84" i="20"/>
  <c r="BO98" i="20"/>
  <c r="BO19" i="30" s="1"/>
  <c r="Y19" i="30" s="1"/>
  <c r="BS37" i="20"/>
  <c r="BR60" i="20"/>
  <c r="BR16" i="30" s="1"/>
  <c r="CK67" i="20"/>
  <c r="CE67" i="20" s="1"/>
  <c r="A67" i="20" s="1" a="1"/>
  <c r="A67" i="20" s="1"/>
  <c r="BM84" i="20"/>
  <c r="BM18" i="30" s="1"/>
  <c r="W18" i="30" s="1"/>
  <c r="BM98" i="20"/>
  <c r="BM19" i="30" s="1"/>
  <c r="W19" i="30" s="1"/>
  <c r="BP18" i="30"/>
  <c r="BP107" i="20"/>
  <c r="BU12" i="20"/>
  <c r="BU15" i="20" s="1"/>
  <c r="CD189" i="1"/>
  <c r="BR132" i="20"/>
  <c r="BR175" i="1"/>
  <c r="BR185" i="1" s="1"/>
  <c r="BR189" i="1" s="1"/>
  <c r="BR148" i="20" s="1"/>
  <c r="BR193" i="1"/>
  <c r="BR199" i="1" s="1"/>
  <c r="BS139" i="20"/>
  <c r="BS149" i="20"/>
  <c r="BR145" i="20"/>
  <c r="BT160" i="1"/>
  <c r="BT97" i="20"/>
  <c r="BQ42" i="30"/>
  <c r="BQ156" i="20"/>
  <c r="BQ28" i="30" s="1"/>
  <c r="BS165" i="1"/>
  <c r="BS129" i="20"/>
  <c r="BP28" i="30"/>
  <c r="BW201" i="1"/>
  <c r="BV11" i="20"/>
  <c r="BV15" i="1"/>
  <c r="BV119" i="1" s="1"/>
  <c r="EO16" i="1"/>
  <c r="CC17" i="30" l="1"/>
  <c r="BW202" i="1"/>
  <c r="BU202" i="1"/>
  <c r="BT202" i="1"/>
  <c r="BS202" i="1"/>
  <c r="BV202" i="1"/>
  <c r="BQ202" i="1"/>
  <c r="BR202" i="1"/>
  <c r="CD17" i="30"/>
  <c r="A17" i="30" s="1" a="1"/>
  <c r="A17" i="30" s="1"/>
  <c r="W72" i="35"/>
  <c r="CJ19" i="30"/>
  <c r="CG19" i="30"/>
  <c r="X73" i="35"/>
  <c r="CK20" i="30"/>
  <c r="CH20" i="30"/>
  <c r="X72" i="35"/>
  <c r="CK19" i="30"/>
  <c r="CH19" i="30"/>
  <c r="W71" i="35"/>
  <c r="CJ18" i="30"/>
  <c r="CG18" i="30"/>
  <c r="Y72" i="35"/>
  <c r="CI19" i="30"/>
  <c r="CL19" i="30"/>
  <c r="X71" i="35"/>
  <c r="CK18" i="30"/>
  <c r="CH18" i="30"/>
  <c r="CL98" i="20"/>
  <c r="BS49" i="20"/>
  <c r="BS15" i="30" s="1"/>
  <c r="BS14" i="30"/>
  <c r="BQ98" i="20"/>
  <c r="BQ17" i="30"/>
  <c r="BP196" i="20"/>
  <c r="BP33" i="30"/>
  <c r="BP151" i="30" s="1"/>
  <c r="BP58" i="33" s="1"/>
  <c r="BP20" i="30"/>
  <c r="BP113" i="20"/>
  <c r="BP134" i="20"/>
  <c r="CK84" i="20"/>
  <c r="CE84" i="20" s="1"/>
  <c r="A84" i="20" s="1" a="1"/>
  <c r="A84" i="20" s="1"/>
  <c r="BM107" i="20"/>
  <c r="BM20" i="30" s="1"/>
  <c r="W20" i="30" s="1"/>
  <c r="BN196" i="20"/>
  <c r="CL196" i="20" s="1"/>
  <c r="BN33" i="30"/>
  <c r="BS60" i="20"/>
  <c r="BS16" i="30" s="1"/>
  <c r="BQ107" i="20"/>
  <c r="CK98" i="20"/>
  <c r="BR67" i="20"/>
  <c r="BR17" i="30" s="1"/>
  <c r="CM98" i="20"/>
  <c r="BN113" i="20"/>
  <c r="CL107" i="20"/>
  <c r="BT37" i="20"/>
  <c r="BT14" i="30" s="1"/>
  <c r="BT49" i="20"/>
  <c r="BT15" i="30" s="1"/>
  <c r="BU197" i="20"/>
  <c r="BU28" i="20"/>
  <c r="BU13" i="30" s="1"/>
  <c r="BR84" i="20"/>
  <c r="BO107" i="20"/>
  <c r="BO20" i="30" s="1"/>
  <c r="Y20" i="30" s="1"/>
  <c r="CI20" i="30" s="1"/>
  <c r="BZ11" i="1"/>
  <c r="BV12" i="20"/>
  <c r="BV15" i="20" s="1"/>
  <c r="BS132" i="20"/>
  <c r="BS175" i="1"/>
  <c r="BS185" i="1" s="1"/>
  <c r="BS189" i="1" s="1"/>
  <c r="BS148" i="20" s="1"/>
  <c r="BS193" i="1"/>
  <c r="BS199" i="1" s="1"/>
  <c r="BU160" i="1"/>
  <c r="BU97" i="20"/>
  <c r="BT165" i="1"/>
  <c r="BT129" i="20"/>
  <c r="BT149" i="20"/>
  <c r="BS145" i="20"/>
  <c r="BT139" i="20"/>
  <c r="BR42" i="30"/>
  <c r="BR156" i="20"/>
  <c r="BW15" i="1"/>
  <c r="BW119" i="1" s="1"/>
  <c r="BW11" i="20"/>
  <c r="BZ11" i="20" s="1"/>
  <c r="EP16" i="1"/>
  <c r="CD18" i="30" l="1"/>
  <c r="CC18" i="30"/>
  <c r="W73" i="35"/>
  <c r="CJ20" i="30"/>
  <c r="CG20" i="30"/>
  <c r="CC19" i="30"/>
  <c r="CD19" i="30"/>
  <c r="Y73" i="35"/>
  <c r="CL20" i="30"/>
  <c r="BN134" i="20"/>
  <c r="BN194" i="20"/>
  <c r="CL194" i="20" s="1"/>
  <c r="BN21" i="30"/>
  <c r="X21" i="30" s="1"/>
  <c r="BP26" i="30"/>
  <c r="BP21" i="30"/>
  <c r="BP194" i="20"/>
  <c r="BR98" i="20"/>
  <c r="BR19" i="30" s="1"/>
  <c r="BR18" i="30"/>
  <c r="CE98" i="20"/>
  <c r="A98" i="20" s="1" a="1"/>
  <c r="A98" i="20" s="1"/>
  <c r="BN119" i="20"/>
  <c r="BQ19" i="30"/>
  <c r="BP119" i="20"/>
  <c r="BQ196" i="20"/>
  <c r="BQ33" i="30"/>
  <c r="BQ151" i="30" s="1"/>
  <c r="BQ58" i="33" s="1"/>
  <c r="BT60" i="20"/>
  <c r="BT16" i="30" s="1"/>
  <c r="BO33" i="30"/>
  <c r="BO196" i="20"/>
  <c r="CM196" i="20" s="1"/>
  <c r="BS67" i="20"/>
  <c r="BS98" i="20"/>
  <c r="BN151" i="30"/>
  <c r="BN58" i="33" s="1"/>
  <c r="X33" i="30"/>
  <c r="BU37" i="20"/>
  <c r="BU14" i="30" s="1"/>
  <c r="BU49" i="20"/>
  <c r="BU15" i="30" s="1"/>
  <c r="BP151" i="20"/>
  <c r="BP27" i="30" s="1"/>
  <c r="BR107" i="20"/>
  <c r="CL113" i="20"/>
  <c r="BN151" i="20"/>
  <c r="BV197" i="20"/>
  <c r="BV22" i="30"/>
  <c r="BV28" i="20"/>
  <c r="BV13" i="30" s="1"/>
  <c r="CM107" i="20"/>
  <c r="BO113" i="20"/>
  <c r="BO119" i="20" s="1"/>
  <c r="BM196" i="20"/>
  <c r="CK196" i="20" s="1"/>
  <c r="BM33" i="30"/>
  <c r="BQ20" i="30"/>
  <c r="BQ113" i="20"/>
  <c r="BQ119" i="20" s="1"/>
  <c r="BM113" i="20"/>
  <c r="CK107" i="20"/>
  <c r="BW12" i="20"/>
  <c r="BZ12" i="20" s="1"/>
  <c r="BZ15" i="1"/>
  <c r="BT132" i="20"/>
  <c r="BT175" i="1"/>
  <c r="BT185" i="1" s="1"/>
  <c r="BT189" i="1" s="1"/>
  <c r="BT148" i="20" s="1"/>
  <c r="BT193" i="1"/>
  <c r="BT199" i="1" s="1"/>
  <c r="BV160" i="1"/>
  <c r="BV97" i="20"/>
  <c r="BS42" i="30"/>
  <c r="BS156" i="20"/>
  <c r="BS28" i="30" s="1"/>
  <c r="BR28" i="30"/>
  <c r="BU139" i="20"/>
  <c r="BU149" i="20"/>
  <c r="BT145" i="20"/>
  <c r="BU165" i="1"/>
  <c r="BU129" i="20"/>
  <c r="EQ16" i="1"/>
  <c r="CN16" i="1" s="1"/>
  <c r="BW15" i="20" l="1"/>
  <c r="A19" i="30" a="1"/>
  <c r="A19" i="30" s="1"/>
  <c r="A18" i="30" a="1"/>
  <c r="A18" i="30" s="1"/>
  <c r="CD20" i="30"/>
  <c r="X151" i="30"/>
  <c r="X58" i="33" s="1"/>
  <c r="CK33" i="30"/>
  <c r="CH33" i="30"/>
  <c r="CC20" i="30"/>
  <c r="A20" i="30" s="1" a="1"/>
  <c r="A20" i="30" s="1"/>
  <c r="X74" i="35"/>
  <c r="X76" i="35" s="1"/>
  <c r="CK21" i="30"/>
  <c r="CH21" i="30"/>
  <c r="CE196" i="20"/>
  <c r="CE107" i="20"/>
  <c r="A107" i="20" s="1" a="1"/>
  <c r="A107" i="20" s="1"/>
  <c r="CM119" i="20"/>
  <c r="CL151" i="20"/>
  <c r="BN27" i="30"/>
  <c r="X27" i="30" s="1"/>
  <c r="BS19" i="30"/>
  <c r="BP158" i="20"/>
  <c r="BP160" i="20" s="1"/>
  <c r="BP165" i="20" s="1"/>
  <c r="CL134" i="20"/>
  <c r="BN26" i="30"/>
  <c r="X26" i="30" s="1"/>
  <c r="BN158" i="20"/>
  <c r="CL158" i="20" s="1"/>
  <c r="BQ134" i="20"/>
  <c r="BQ21" i="30"/>
  <c r="BQ194" i="20"/>
  <c r="BS84" i="20"/>
  <c r="BS18" i="30" s="1"/>
  <c r="BS17" i="30"/>
  <c r="CL119" i="20"/>
  <c r="BM21" i="30"/>
  <c r="W21" i="30" s="1"/>
  <c r="BM194" i="20"/>
  <c r="CK194" i="20" s="1"/>
  <c r="BM119" i="20"/>
  <c r="BO134" i="20"/>
  <c r="BO194" i="20"/>
  <c r="CM194" i="20" s="1"/>
  <c r="BO21" i="30"/>
  <c r="Y21" i="30" s="1"/>
  <c r="CK113" i="20"/>
  <c r="BQ151" i="20"/>
  <c r="BQ27" i="30" s="1"/>
  <c r="BM151" i="30"/>
  <c r="BM58" i="33" s="1"/>
  <c r="W33" i="30"/>
  <c r="CM113" i="20"/>
  <c r="BO151" i="20"/>
  <c r="BV37" i="20"/>
  <c r="BV49" i="20"/>
  <c r="BV15" i="30" s="1"/>
  <c r="BR196" i="20"/>
  <c r="BR33" i="30"/>
  <c r="BR151" i="30" s="1"/>
  <c r="BR58" i="33" s="1"/>
  <c r="BN40" i="30"/>
  <c r="BU60" i="20"/>
  <c r="BU16" i="30" s="1"/>
  <c r="BS107" i="20"/>
  <c r="BO151" i="30"/>
  <c r="BO58" i="33" s="1"/>
  <c r="Y33" i="30"/>
  <c r="BW197" i="20"/>
  <c r="BW22" i="30"/>
  <c r="BW28" i="20"/>
  <c r="BW13" i="30" s="1"/>
  <c r="BM134" i="20"/>
  <c r="BR20" i="30"/>
  <c r="BR113" i="20"/>
  <c r="BR134" i="20"/>
  <c r="BT67" i="20"/>
  <c r="BQ40" i="30"/>
  <c r="BZ15" i="20"/>
  <c r="BU132" i="20"/>
  <c r="BU175" i="1"/>
  <c r="BU185" i="1" s="1"/>
  <c r="BU189" i="1" s="1"/>
  <c r="BU148" i="20" s="1"/>
  <c r="BU193" i="1"/>
  <c r="BU199" i="1" s="1"/>
  <c r="BV139" i="20"/>
  <c r="BW160" i="1"/>
  <c r="BW97" i="20"/>
  <c r="BV165" i="1"/>
  <c r="BV129" i="20"/>
  <c r="BT42" i="30"/>
  <c r="BT156" i="20"/>
  <c r="BV149" i="20"/>
  <c r="BU145" i="20"/>
  <c r="BZ2" i="1" a="1"/>
  <c r="BZ2" i="1" s="1"/>
  <c r="CB16" i="1"/>
  <c r="B15" i="14" a="1"/>
  <c r="CK151" i="30" l="1"/>
  <c r="CH151" i="30"/>
  <c r="W151" i="30"/>
  <c r="W58" i="33" s="1"/>
  <c r="CG33" i="30"/>
  <c r="CJ33" i="30"/>
  <c r="Y151" i="30"/>
  <c r="CI151" i="30" s="1"/>
  <c r="CI33" i="30"/>
  <c r="CL33" i="30"/>
  <c r="CK26" i="30"/>
  <c r="CH26" i="30"/>
  <c r="CK27" i="30"/>
  <c r="CH27" i="30"/>
  <c r="W74" i="35"/>
  <c r="W76" i="35" s="1"/>
  <c r="CJ21" i="30"/>
  <c r="CG21" i="30"/>
  <c r="Y74" i="35"/>
  <c r="Y76" i="35" s="1"/>
  <c r="CI21" i="30"/>
  <c r="CL21" i="30"/>
  <c r="CG151" i="30"/>
  <c r="B15" i="14"/>
  <c r="BN160" i="20"/>
  <c r="BN165" i="20" s="1"/>
  <c r="BP40" i="30"/>
  <c r="BP175" i="20"/>
  <c r="BP185" i="20" s="1"/>
  <c r="BP193" i="20"/>
  <c r="BP199" i="20" s="1"/>
  <c r="BR26" i="30"/>
  <c r="CM134" i="20"/>
  <c r="BO26" i="30"/>
  <c r="Y26" i="30" s="1"/>
  <c r="BO158" i="20"/>
  <c r="BR194" i="20"/>
  <c r="BR21" i="30"/>
  <c r="CM151" i="20"/>
  <c r="BO27" i="30"/>
  <c r="Y27" i="30" s="1"/>
  <c r="CK119" i="20"/>
  <c r="CE119" i="20" s="1"/>
  <c r="A119" i="20" s="1" a="1"/>
  <c r="A119" i="20" s="1"/>
  <c r="CK134" i="20"/>
  <c r="BM26" i="30"/>
  <c r="W26" i="30" s="1"/>
  <c r="CE194" i="20"/>
  <c r="A194" i="20" s="1" a="1"/>
  <c r="A194" i="20" s="1"/>
  <c r="BQ26" i="30"/>
  <c r="BQ158" i="20"/>
  <c r="BQ160" i="20" s="1"/>
  <c r="BQ165" i="20" s="1"/>
  <c r="BR119" i="20"/>
  <c r="BS196" i="20"/>
  <c r="BS33" i="30"/>
  <c r="BS151" i="30" s="1"/>
  <c r="BS58" i="33" s="1"/>
  <c r="BO40" i="30"/>
  <c r="BV14" i="30"/>
  <c r="BV60" i="20"/>
  <c r="BV16" i="30" s="1"/>
  <c r="BZ28" i="20"/>
  <c r="BW37" i="20"/>
  <c r="BR151" i="20"/>
  <c r="BR27" i="30" s="1"/>
  <c r="BS20" i="30"/>
  <c r="BS113" i="20"/>
  <c r="BR40" i="30"/>
  <c r="BM151" i="20"/>
  <c r="BM158" i="20" s="1"/>
  <c r="CK158" i="20" s="1"/>
  <c r="BM40" i="30"/>
  <c r="BQ191" i="30"/>
  <c r="BQ78" i="33" s="1"/>
  <c r="BQ176" i="30"/>
  <c r="BQ66" i="33" s="1"/>
  <c r="BT17" i="30"/>
  <c r="BT84" i="20"/>
  <c r="BT18" i="30" s="1"/>
  <c r="BU67" i="20"/>
  <c r="BN191" i="30"/>
  <c r="BN78" i="33" s="1"/>
  <c r="X40" i="30"/>
  <c r="BN176" i="30"/>
  <c r="BN66" i="33" s="1"/>
  <c r="CE113" i="20"/>
  <c r="A113" i="20" s="1" a="1"/>
  <c r="A113" i="20" s="1"/>
  <c r="A16" i="1" a="1"/>
  <c r="A16" i="1" s="1"/>
  <c r="BZ97" i="20"/>
  <c r="BV132" i="20"/>
  <c r="BV193" i="1"/>
  <c r="BV199" i="1" s="1"/>
  <c r="BV175" i="1"/>
  <c r="BV185" i="1" s="1"/>
  <c r="BV189" i="1" s="1"/>
  <c r="BV148" i="20" s="1"/>
  <c r="BW149" i="20"/>
  <c r="BZ149" i="20" s="1"/>
  <c r="BV145" i="20"/>
  <c r="BT28" i="30"/>
  <c r="BW139" i="20"/>
  <c r="BU42" i="30"/>
  <c r="BU156" i="20"/>
  <c r="BU28" i="30" s="1"/>
  <c r="BW165" i="1"/>
  <c r="BW129" i="20"/>
  <c r="CJ151" i="30" l="1"/>
  <c r="CC151" i="30"/>
  <c r="Y58" i="33"/>
  <c r="CL151" i="30"/>
  <c r="CC33" i="30"/>
  <c r="CG26" i="30"/>
  <c r="CJ26" i="30"/>
  <c r="CL26" i="30"/>
  <c r="CI26" i="30"/>
  <c r="CI27" i="30"/>
  <c r="CL27" i="30"/>
  <c r="CD33" i="30"/>
  <c r="CH40" i="30"/>
  <c r="CK40" i="30"/>
  <c r="CC21" i="30"/>
  <c r="CD21" i="30"/>
  <c r="CE134" i="20"/>
  <c r="A134" i="20" s="1" a="1"/>
  <c r="A134" i="20" s="1"/>
  <c r="CL160" i="20"/>
  <c r="CM158" i="20"/>
  <c r="CE158" i="20" s="1"/>
  <c r="BO160" i="20"/>
  <c r="BS134" i="20"/>
  <c r="BS194" i="20"/>
  <c r="BS21" i="30"/>
  <c r="BW49" i="20"/>
  <c r="BW14" i="30"/>
  <c r="CK151" i="20"/>
  <c r="CE151" i="20" s="1"/>
  <c r="BM27" i="30"/>
  <c r="W27" i="30" s="1"/>
  <c r="BQ175" i="20"/>
  <c r="BQ185" i="20" s="1"/>
  <c r="BQ193" i="20"/>
  <c r="BQ199" i="20" s="1"/>
  <c r="BN175" i="20"/>
  <c r="BN193" i="20"/>
  <c r="CL165" i="20"/>
  <c r="BU22" i="30"/>
  <c r="BU17" i="30"/>
  <c r="BP232" i="6"/>
  <c r="BP189" i="20"/>
  <c r="BM160" i="20"/>
  <c r="BS119" i="20"/>
  <c r="BR158" i="20"/>
  <c r="BR160" i="20" s="1"/>
  <c r="BR165" i="20" s="1"/>
  <c r="BP176" i="30"/>
  <c r="BP66" i="33" s="1"/>
  <c r="BP191" i="30"/>
  <c r="BP78" i="33" s="1"/>
  <c r="X191" i="30"/>
  <c r="X176" i="30"/>
  <c r="BV67" i="20"/>
  <c r="BT107" i="20"/>
  <c r="BT20" i="30" s="1"/>
  <c r="BT98" i="20"/>
  <c r="BR191" i="30"/>
  <c r="BR78" i="33" s="1"/>
  <c r="BR176" i="30"/>
  <c r="BR66" i="33" s="1"/>
  <c r="BS151" i="20"/>
  <c r="BS27" i="30" s="1"/>
  <c r="BW60" i="20"/>
  <c r="BW16" i="30" s="1"/>
  <c r="BZ37" i="20"/>
  <c r="BM191" i="30"/>
  <c r="BM78" i="33" s="1"/>
  <c r="W40" i="30"/>
  <c r="BM176" i="30"/>
  <c r="BM66" i="33" s="1"/>
  <c r="BO191" i="30"/>
  <c r="BO78" i="33" s="1"/>
  <c r="Y40" i="30"/>
  <c r="BO176" i="30"/>
  <c r="BO66" i="33" s="1"/>
  <c r="BU84" i="20"/>
  <c r="BU18" i="30" s="1"/>
  <c r="BW132" i="20"/>
  <c r="BZ132" i="20" s="1"/>
  <c r="BW175" i="1"/>
  <c r="BW185" i="1" s="1"/>
  <c r="BW189" i="1" s="1"/>
  <c r="BW148" i="20" s="1"/>
  <c r="BW193" i="1"/>
  <c r="BW199" i="1" s="1"/>
  <c r="BP202" i="1" s="1"/>
  <c r="BV42" i="30"/>
  <c r="BV156" i="20"/>
  <c r="BV28" i="30" s="1"/>
  <c r="BZ129" i="20"/>
  <c r="BZ139" i="20"/>
  <c r="BW145" i="20"/>
  <c r="BZ145" i="20" s="1"/>
  <c r="CD151" i="30" l="1"/>
  <c r="A21" i="30" a="1"/>
  <c r="A21" i="30" s="1"/>
  <c r="CC26" i="30"/>
  <c r="CG27" i="30"/>
  <c r="CC27" i="30" s="1"/>
  <c r="CJ27" i="30"/>
  <c r="CD27" i="30" s="1"/>
  <c r="CD26" i="30"/>
  <c r="CL40" i="30"/>
  <c r="CI40" i="30"/>
  <c r="CG40" i="30"/>
  <c r="CJ40" i="30"/>
  <c r="CH176" i="30"/>
  <c r="CK176" i="30"/>
  <c r="CH191" i="30"/>
  <c r="CK191" i="30"/>
  <c r="BR175" i="20"/>
  <c r="BR185" i="20" s="1"/>
  <c r="BR193" i="20"/>
  <c r="BR199" i="20" s="1"/>
  <c r="BQ232" i="6"/>
  <c r="BQ189" i="20"/>
  <c r="BS26" i="30"/>
  <c r="BS158" i="20"/>
  <c r="BS160" i="20" s="1"/>
  <c r="BS165" i="20" s="1"/>
  <c r="CL193" i="20"/>
  <c r="BN199" i="20"/>
  <c r="CL199" i="20" s="1"/>
  <c r="BZ49" i="20"/>
  <c r="BW15" i="30"/>
  <c r="BO165" i="20"/>
  <c r="CM160" i="20"/>
  <c r="BT19" i="30"/>
  <c r="CL175" i="20"/>
  <c r="BN185" i="20"/>
  <c r="BM165" i="20"/>
  <c r="CK160" i="20"/>
  <c r="W191" i="30"/>
  <c r="W176" i="30"/>
  <c r="BT113" i="20"/>
  <c r="BV17" i="30"/>
  <c r="BV84" i="20"/>
  <c r="BV18" i="30" s="1"/>
  <c r="Y191" i="30"/>
  <c r="Y176" i="30"/>
  <c r="BW67" i="20"/>
  <c r="X66" i="33"/>
  <c r="BZ60" i="20"/>
  <c r="X78" i="33"/>
  <c r="BU98" i="20"/>
  <c r="BU19" i="30" s="1"/>
  <c r="BT196" i="20"/>
  <c r="BT33" i="30"/>
  <c r="BT151" i="30" s="1"/>
  <c r="BT58" i="33" s="1"/>
  <c r="BV98" i="20"/>
  <c r="BZ155" i="20"/>
  <c r="BW156" i="20"/>
  <c r="A26" i="30" l="1" a="1"/>
  <c r="A26" i="30" s="1"/>
  <c r="CC40" i="30"/>
  <c r="CD40" i="30"/>
  <c r="CI191" i="30"/>
  <c r="CL191" i="30"/>
  <c r="CG176" i="30"/>
  <c r="CJ176" i="30"/>
  <c r="CG191" i="30"/>
  <c r="CJ191" i="30"/>
  <c r="CI176" i="30"/>
  <c r="CL176" i="30"/>
  <c r="BT21" i="30"/>
  <c r="BT194" i="20"/>
  <c r="BT119" i="20"/>
  <c r="BM175" i="20"/>
  <c r="BM193" i="20"/>
  <c r="CK165" i="20"/>
  <c r="BV19" i="30"/>
  <c r="BZ67" i="20"/>
  <c r="BW17" i="30"/>
  <c r="CE160" i="20"/>
  <c r="BS40" i="30"/>
  <c r="BS193" i="20"/>
  <c r="BS199" i="20" s="1"/>
  <c r="BS175" i="20"/>
  <c r="BS185" i="20" s="1"/>
  <c r="BO193" i="20"/>
  <c r="BO175" i="20"/>
  <c r="CM165" i="20"/>
  <c r="BN189" i="20"/>
  <c r="CL189" i="20" s="1"/>
  <c r="BN232" i="6"/>
  <c r="X232" i="6" s="1"/>
  <c r="CL185" i="20"/>
  <c r="BR189" i="20"/>
  <c r="BR232" i="6"/>
  <c r="Y66" i="33"/>
  <c r="W66" i="33"/>
  <c r="BU107" i="20"/>
  <c r="Y78" i="33"/>
  <c r="BT134" i="20"/>
  <c r="W78" i="33"/>
  <c r="BW84" i="20"/>
  <c r="BW18" i="30" s="1"/>
  <c r="BV107" i="20"/>
  <c r="BV20" i="30" s="1"/>
  <c r="BT151" i="20"/>
  <c r="BT27" i="30" s="1"/>
  <c r="BT201" i="20"/>
  <c r="BR201" i="20"/>
  <c r="X10" i="6"/>
  <c r="X52" i="33" s="1"/>
  <c r="BN262" i="6"/>
  <c r="BW28" i="30"/>
  <c r="BZ156" i="20"/>
  <c r="CD191" i="30" l="1"/>
  <c r="CC191" i="30"/>
  <c r="CD176" i="30"/>
  <c r="CC176" i="30"/>
  <c r="CE165" i="20"/>
  <c r="BS176" i="30"/>
  <c r="BS66" i="33" s="1"/>
  <c r="BS191" i="30"/>
  <c r="BS78" i="33" s="1"/>
  <c r="CK175" i="20"/>
  <c r="BM185" i="20"/>
  <c r="BT26" i="30"/>
  <c r="BT158" i="20"/>
  <c r="BT160" i="20" s="1"/>
  <c r="BT165" i="20" s="1"/>
  <c r="BS189" i="20"/>
  <c r="BS232" i="6"/>
  <c r="BO185" i="20"/>
  <c r="CM175" i="20"/>
  <c r="CM193" i="20"/>
  <c r="BO199" i="20"/>
  <c r="CM199" i="20" s="1"/>
  <c r="CK193" i="20"/>
  <c r="BM199" i="20"/>
  <c r="CK199" i="20" s="1"/>
  <c r="BZ84" i="20"/>
  <c r="BU20" i="30"/>
  <c r="BU113" i="20"/>
  <c r="BU134" i="20"/>
  <c r="BW98" i="20"/>
  <c r="BW19" i="30" s="1"/>
  <c r="BV113" i="20"/>
  <c r="BU33" i="30"/>
  <c r="BU151" i="30" s="1"/>
  <c r="BU58" i="33" s="1"/>
  <c r="BU196" i="20"/>
  <c r="BV33" i="30"/>
  <c r="BV151" i="30" s="1"/>
  <c r="BV58" i="33" s="1"/>
  <c r="BV196" i="20"/>
  <c r="BS201" i="20"/>
  <c r="BQ201" i="20"/>
  <c r="X228" i="26"/>
  <c r="X9" i="30"/>
  <c r="X203" i="30" s="1"/>
  <c r="X89" i="33" s="1"/>
  <c r="X91" i="33" s="1"/>
  <c r="X9" i="13"/>
  <c r="X9" i="12"/>
  <c r="BN10" i="6"/>
  <c r="BN52" i="33" s="1"/>
  <c r="X9" i="35"/>
  <c r="X263" i="26"/>
  <c r="X254" i="26"/>
  <c r="X214" i="26"/>
  <c r="X291" i="26"/>
  <c r="X9" i="32"/>
  <c r="X25" i="32" s="1"/>
  <c r="X12" i="6"/>
  <c r="X242" i="26"/>
  <c r="X273" i="26"/>
  <c r="X9" i="36"/>
  <c r="BU201" i="20"/>
  <c r="BV201" i="20"/>
  <c r="BW201" i="20"/>
  <c r="BP201" i="20"/>
  <c r="X18" i="32" l="1"/>
  <c r="CE199" i="20"/>
  <c r="CE193" i="20"/>
  <c r="BT40" i="30"/>
  <c r="BT175" i="20"/>
  <c r="BT185" i="20" s="1"/>
  <c r="BT193" i="20"/>
  <c r="BT199" i="20" s="1"/>
  <c r="BU194" i="20"/>
  <c r="BU21" i="30"/>
  <c r="BV134" i="20"/>
  <c r="BV194" i="20"/>
  <c r="BV21" i="30"/>
  <c r="BO232" i="6"/>
  <c r="Y232" i="6" s="1"/>
  <c r="BO189" i="20"/>
  <c r="CM189" i="20" s="1"/>
  <c r="CM185" i="20"/>
  <c r="BM232" i="6"/>
  <c r="BM189" i="20"/>
  <c r="CK189" i="20" s="1"/>
  <c r="CK185" i="20"/>
  <c r="BU26" i="30"/>
  <c r="BV119" i="20"/>
  <c r="CE175" i="20"/>
  <c r="BU119" i="20"/>
  <c r="BZ98" i="20"/>
  <c r="BU151" i="20"/>
  <c r="BU27" i="30" s="1"/>
  <c r="BW107" i="20"/>
  <c r="BW20" i="30" s="1"/>
  <c r="BV151" i="20"/>
  <c r="BV27" i="30" s="1"/>
  <c r="X192" i="30"/>
  <c r="X79" i="33" s="1"/>
  <c r="X81" i="33" s="1"/>
  <c r="X154" i="30"/>
  <c r="X173" i="30"/>
  <c r="X53" i="30"/>
  <c r="X26" i="32"/>
  <c r="X15" i="32"/>
  <c r="X102" i="13"/>
  <c r="X101" i="13"/>
  <c r="X131" i="13"/>
  <c r="X118" i="13"/>
  <c r="X132" i="13"/>
  <c r="X130" i="13"/>
  <c r="BO262" i="6"/>
  <c r="Y10" i="6"/>
  <c r="X18" i="35"/>
  <c r="X19" i="35" s="1"/>
  <c r="X13" i="35"/>
  <c r="X15" i="35"/>
  <c r="X16" i="35" s="1"/>
  <c r="X21" i="35"/>
  <c r="X44" i="30"/>
  <c r="X29" i="30"/>
  <c r="X23" i="30"/>
  <c r="X127" i="30"/>
  <c r="X73" i="30"/>
  <c r="X13" i="36"/>
  <c r="X17" i="36"/>
  <c r="X15" i="36"/>
  <c r="X54" i="12"/>
  <c r="X26" i="12"/>
  <c r="BN291" i="26"/>
  <c r="BN254" i="26"/>
  <c r="BN9" i="35"/>
  <c r="BN12" i="6"/>
  <c r="BN273" i="26"/>
  <c r="BN228" i="26"/>
  <c r="BN263" i="26"/>
  <c r="BN9" i="32"/>
  <c r="BN25" i="32" s="1"/>
  <c r="BN214" i="26"/>
  <c r="BN9" i="30"/>
  <c r="BN203" i="30" s="1"/>
  <c r="BN89" i="33" s="1"/>
  <c r="BN91" i="33" s="1"/>
  <c r="BN242" i="26"/>
  <c r="X123" i="13" l="1"/>
  <c r="X105" i="13"/>
  <c r="X98" i="13"/>
  <c r="Y52" i="33"/>
  <c r="BO10" i="6"/>
  <c r="CE185" i="20"/>
  <c r="CE189" i="20"/>
  <c r="BV26" i="30"/>
  <c r="BV158" i="20"/>
  <c r="BV160" i="20" s="1"/>
  <c r="BV165" i="20" s="1"/>
  <c r="BU158" i="20"/>
  <c r="BU160" i="20" s="1"/>
  <c r="BU165" i="20" s="1"/>
  <c r="BM234" i="6"/>
  <c r="W232" i="6"/>
  <c r="W234" i="6" s="1"/>
  <c r="BT189" i="20"/>
  <c r="BT232" i="6"/>
  <c r="BT191" i="30"/>
  <c r="BT176" i="30"/>
  <c r="BT66" i="33" s="1"/>
  <c r="BW113" i="20"/>
  <c r="BW134" i="20"/>
  <c r="BZ107" i="20"/>
  <c r="BW33" i="30"/>
  <c r="BW151" i="30" s="1"/>
  <c r="BW58" i="33" s="1"/>
  <c r="BW196" i="20"/>
  <c r="BN18" i="32"/>
  <c r="BN15" i="32"/>
  <c r="BN62" i="32" s="1"/>
  <c r="X62" i="32"/>
  <c r="BN53" i="30"/>
  <c r="CK53" i="30" s="1"/>
  <c r="BN192" i="30"/>
  <c r="BN79" i="33" s="1"/>
  <c r="BN81" i="33" s="1"/>
  <c r="BN154" i="30"/>
  <c r="BN173" i="30"/>
  <c r="BN26" i="32"/>
  <c r="CG26" i="32" s="1"/>
  <c r="CG25" i="32"/>
  <c r="X34" i="36"/>
  <c r="X60" i="35"/>
  <c r="X25" i="35"/>
  <c r="X14" i="32"/>
  <c r="X97" i="13"/>
  <c r="X31" i="30"/>
  <c r="Y12" i="6"/>
  <c r="Y254" i="26"/>
  <c r="Y9" i="35"/>
  <c r="Y9" i="13"/>
  <c r="Y263" i="26"/>
  <c r="Y242" i="26"/>
  <c r="Y228" i="26"/>
  <c r="Y291" i="26"/>
  <c r="Y9" i="30"/>
  <c r="Y203" i="30" s="1"/>
  <c r="Y89" i="33" s="1"/>
  <c r="Y9" i="32"/>
  <c r="Y25" i="32" s="1"/>
  <c r="Y9" i="36"/>
  <c r="Y273" i="26"/>
  <c r="Y9" i="12"/>
  <c r="Y214" i="26"/>
  <c r="X33" i="36"/>
  <c r="X24" i="35"/>
  <c r="BN29" i="30"/>
  <c r="CK29" i="30" s="1"/>
  <c r="BN61" i="30"/>
  <c r="BN45" i="32" s="1"/>
  <c r="BN59" i="30"/>
  <c r="BN23" i="30"/>
  <c r="CK23" i="30" s="1"/>
  <c r="BN44" i="30"/>
  <c r="CK44" i="30" s="1"/>
  <c r="BN127" i="30"/>
  <c r="CK127" i="30" s="1"/>
  <c r="BN73" i="30"/>
  <c r="CK73" i="30" s="1"/>
  <c r="BN18" i="35"/>
  <c r="BN19" i="35" s="1"/>
  <c r="BN15" i="35"/>
  <c r="BN16" i="35" s="1"/>
  <c r="BN13" i="35"/>
  <c r="BN21" i="35"/>
  <c r="X111" i="13"/>
  <c r="X114" i="13"/>
  <c r="X99" i="13" l="1"/>
  <c r="Y91" i="33"/>
  <c r="CG18" i="32"/>
  <c r="BM132" i="30"/>
  <c r="Y18" i="32"/>
  <c r="CG62" i="32"/>
  <c r="BV40" i="30"/>
  <c r="BV193" i="20"/>
  <c r="BV199" i="20" s="1"/>
  <c r="BV175" i="20"/>
  <c r="BV185" i="20" s="1"/>
  <c r="BW21" i="30"/>
  <c r="BW194" i="20"/>
  <c r="BW119" i="20"/>
  <c r="BT78" i="33"/>
  <c r="X231" i="6"/>
  <c r="W132" i="30"/>
  <c r="BU40" i="30"/>
  <c r="BU175" i="20"/>
  <c r="BU185" i="20" s="1"/>
  <c r="BU193" i="20"/>
  <c r="BU199" i="20" s="1"/>
  <c r="BW26" i="30"/>
  <c r="BZ113" i="20"/>
  <c r="BW151" i="20"/>
  <c r="BW27" i="30" s="1"/>
  <c r="CG15" i="32"/>
  <c r="BO52" i="33"/>
  <c r="Y53" i="30"/>
  <c r="Y192" i="30"/>
  <c r="Y79" i="33" s="1"/>
  <c r="Y81" i="33" s="1"/>
  <c r="Y154" i="30"/>
  <c r="X35" i="30"/>
  <c r="X37" i="30" s="1"/>
  <c r="Y173" i="30"/>
  <c r="Y15" i="35"/>
  <c r="Y16" i="35" s="1"/>
  <c r="Y18" i="35"/>
  <c r="Y19" i="35" s="1"/>
  <c r="Y13" i="35"/>
  <c r="Y21" i="35"/>
  <c r="X61" i="30"/>
  <c r="Y26" i="12"/>
  <c r="Y54" i="12"/>
  <c r="Y127" i="30"/>
  <c r="Y44" i="30"/>
  <c r="Y73" i="30"/>
  <c r="Y29" i="30"/>
  <c r="Y23" i="30"/>
  <c r="BN25" i="35"/>
  <c r="Y15" i="32"/>
  <c r="Y26" i="32"/>
  <c r="BN24" i="35"/>
  <c r="BN14" i="32"/>
  <c r="BN31" i="30"/>
  <c r="CK31" i="30" s="1"/>
  <c r="X34" i="32"/>
  <c r="X59" i="32"/>
  <c r="X66" i="32"/>
  <c r="X65" i="32"/>
  <c r="X39" i="32"/>
  <c r="X59" i="30"/>
  <c r="BO9" i="35"/>
  <c r="BO9" i="32"/>
  <c r="BO25" i="32" s="1"/>
  <c r="BO242" i="26"/>
  <c r="BO273" i="26"/>
  <c r="BO9" i="30"/>
  <c r="BO203" i="30" s="1"/>
  <c r="BO89" i="33" s="1"/>
  <c r="BO291" i="26"/>
  <c r="BO214" i="26"/>
  <c r="BO254" i="26"/>
  <c r="BO228" i="26"/>
  <c r="BO263" i="26"/>
  <c r="BO12" i="6"/>
  <c r="Y17" i="36"/>
  <c r="Y13" i="36"/>
  <c r="Y15" i="36"/>
  <c r="Y131" i="13"/>
  <c r="Y118" i="13"/>
  <c r="Y101" i="13"/>
  <c r="Y130" i="13"/>
  <c r="Y102" i="13"/>
  <c r="Y132" i="13"/>
  <c r="BO91" i="33" l="1"/>
  <c r="BN50" i="32"/>
  <c r="X50" i="32" s="1"/>
  <c r="BN54" i="32"/>
  <c r="X54" i="32" s="1"/>
  <c r="BN53" i="32"/>
  <c r="X53" i="32" s="1"/>
  <c r="BN51" i="32"/>
  <c r="X51" i="32" s="1"/>
  <c r="BN52" i="32"/>
  <c r="X52" i="32" s="1"/>
  <c r="BN56" i="32"/>
  <c r="X56" i="32" s="1"/>
  <c r="BN55" i="32"/>
  <c r="X55" i="32" s="1"/>
  <c r="BN39" i="32"/>
  <c r="CG39" i="32" s="1"/>
  <c r="CG132" i="30"/>
  <c r="CJ132" i="30"/>
  <c r="Y98" i="13"/>
  <c r="X43" i="32"/>
  <c r="X31" i="35" s="1"/>
  <c r="Y123" i="13"/>
  <c r="CK59" i="30"/>
  <c r="Y105" i="13"/>
  <c r="X45" i="32"/>
  <c r="CG45" i="32" s="1"/>
  <c r="CK61" i="30"/>
  <c r="X46" i="30"/>
  <c r="X55" i="30" s="1"/>
  <c r="X57" i="30" s="1"/>
  <c r="BW158" i="20"/>
  <c r="BW160" i="20" s="1"/>
  <c r="BW165" i="20" s="1"/>
  <c r="BV232" i="6"/>
  <c r="BV189" i="20"/>
  <c r="BU189" i="20"/>
  <c r="BU232" i="6"/>
  <c r="BZ119" i="20"/>
  <c r="BU191" i="30"/>
  <c r="BU176" i="30"/>
  <c r="BU66" i="33" s="1"/>
  <c r="BN231" i="6"/>
  <c r="BN234" i="6" s="1"/>
  <c r="BN16" i="6" s="1"/>
  <c r="X234" i="6"/>
  <c r="X16" i="6" s="1"/>
  <c r="BV176" i="30"/>
  <c r="BV66" i="33" s="1"/>
  <c r="BV191" i="30"/>
  <c r="BO18" i="32"/>
  <c r="BO15" i="32"/>
  <c r="BO62" i="32" s="1"/>
  <c r="Y62" i="32"/>
  <c r="CG14" i="32"/>
  <c r="BN59" i="32"/>
  <c r="BN34" i="32"/>
  <c r="CG34" i="32" s="1"/>
  <c r="BN66" i="32"/>
  <c r="CG66" i="32" s="1"/>
  <c r="BN65" i="32"/>
  <c r="CG65" i="32" s="1"/>
  <c r="BN46" i="32"/>
  <c r="X79" i="35"/>
  <c r="X103" i="13"/>
  <c r="BO53" i="30"/>
  <c r="CL53" i="30" s="1"/>
  <c r="BO192" i="30"/>
  <c r="BO79" i="33" s="1"/>
  <c r="BO81" i="33" s="1"/>
  <c r="BO154" i="30"/>
  <c r="BN35" i="30"/>
  <c r="BN37" i="30" s="1"/>
  <c r="BO173" i="30"/>
  <c r="BO29" i="30"/>
  <c r="CL29" i="30" s="1"/>
  <c r="BO61" i="30"/>
  <c r="BO45" i="32" s="1"/>
  <c r="BO73" i="30"/>
  <c r="CL73" i="30" s="1"/>
  <c r="BO127" i="30"/>
  <c r="CL127" i="30" s="1"/>
  <c r="BO59" i="30"/>
  <c r="BO23" i="30"/>
  <c r="CL23" i="30" s="1"/>
  <c r="BO44" i="30"/>
  <c r="CL44" i="30" s="1"/>
  <c r="Y24" i="35"/>
  <c r="Y33" i="36"/>
  <c r="Y60" i="35"/>
  <c r="Y25" i="35"/>
  <c r="Y34" i="36"/>
  <c r="Y14" i="32"/>
  <c r="Y97" i="13"/>
  <c r="Y31" i="30"/>
  <c r="BO15" i="35"/>
  <c r="BO16" i="35" s="1"/>
  <c r="BO21" i="35"/>
  <c r="BO18" i="35"/>
  <c r="BO19" i="35" s="1"/>
  <c r="BO13" i="35"/>
  <c r="Y111" i="13"/>
  <c r="BO26" i="32"/>
  <c r="CH26" i="32" s="1"/>
  <c r="CH25" i="32"/>
  <c r="Y114" i="13"/>
  <c r="X44" i="32" l="1"/>
  <c r="CG52" i="32"/>
  <c r="CG55" i="32"/>
  <c r="Y99" i="13"/>
  <c r="X144" i="30"/>
  <c r="X109" i="13" s="1"/>
  <c r="X112" i="13" s="1"/>
  <c r="X41" i="32"/>
  <c r="X42" i="32" s="1"/>
  <c r="CG56" i="32"/>
  <c r="CG54" i="32"/>
  <c r="X54" i="33"/>
  <c r="CG50" i="32"/>
  <c r="CG51" i="32"/>
  <c r="CG53" i="32"/>
  <c r="Y49" i="32"/>
  <c r="BO49" i="32" s="1"/>
  <c r="CH49" i="32" s="1"/>
  <c r="X34" i="35"/>
  <c r="X18" i="13"/>
  <c r="X46" i="32"/>
  <c r="X19" i="13" s="1"/>
  <c r="X95" i="35" s="1"/>
  <c r="CK37" i="30"/>
  <c r="X106" i="13"/>
  <c r="CK35" i="30"/>
  <c r="CH18" i="32"/>
  <c r="Y231" i="6"/>
  <c r="X132" i="30"/>
  <c r="BU78" i="33"/>
  <c r="BN132" i="30"/>
  <c r="BW40" i="30"/>
  <c r="BW175" i="20"/>
  <c r="BW185" i="20" s="1"/>
  <c r="BW193" i="20"/>
  <c r="BW199" i="20" s="1"/>
  <c r="BV78" i="33"/>
  <c r="CH15" i="32"/>
  <c r="CH62" i="32"/>
  <c r="BN46" i="30"/>
  <c r="BN55" i="30" s="1"/>
  <c r="BN43" i="32"/>
  <c r="Y35" i="30"/>
  <c r="Y37" i="30" s="1"/>
  <c r="Y65" i="32"/>
  <c r="Y34" i="32"/>
  <c r="Y59" i="32"/>
  <c r="Y66" i="32"/>
  <c r="BO14" i="32"/>
  <c r="BO31" i="30"/>
  <c r="CL31" i="30" s="1"/>
  <c r="BO25" i="35"/>
  <c r="X37" i="32"/>
  <c r="X38" i="32" s="1"/>
  <c r="X32" i="35"/>
  <c r="Y59" i="30"/>
  <c r="Y39" i="32"/>
  <c r="Y61" i="30"/>
  <c r="BO24" i="35"/>
  <c r="X2" i="20" l="1"/>
  <c r="X2" i="26"/>
  <c r="X2" i="6"/>
  <c r="X2" i="38"/>
  <c r="X2" i="30"/>
  <c r="X2" i="32"/>
  <c r="X2" i="12"/>
  <c r="X2" i="33"/>
  <c r="X2" i="36"/>
  <c r="X2" i="13"/>
  <c r="X2" i="35"/>
  <c r="X2" i="3"/>
  <c r="X2" i="1"/>
  <c r="X2" i="37"/>
  <c r="X38" i="35"/>
  <c r="X31" i="13"/>
  <c r="BO51" i="32"/>
  <c r="Y51" i="32" s="1"/>
  <c r="BO55" i="32"/>
  <c r="Y55" i="32" s="1"/>
  <c r="BO54" i="32"/>
  <c r="Y54" i="32" s="1"/>
  <c r="BO50" i="32"/>
  <c r="Y50" i="32" s="1"/>
  <c r="BO52" i="32"/>
  <c r="Y52" i="32" s="1"/>
  <c r="BO56" i="32"/>
  <c r="Y56" i="32" s="1"/>
  <c r="BO53" i="32"/>
  <c r="Y53" i="32" s="1"/>
  <c r="CG46" i="32"/>
  <c r="X38" i="12"/>
  <c r="X35" i="35"/>
  <c r="X15" i="12"/>
  <c r="CH132" i="30"/>
  <c r="CK132" i="30"/>
  <c r="BN37" i="32"/>
  <c r="BN38" i="32" s="1"/>
  <c r="CG38" i="32" s="1"/>
  <c r="BN57" i="30"/>
  <c r="CK57" i="30" s="1"/>
  <c r="CK55" i="30"/>
  <c r="CL59" i="30"/>
  <c r="Y43" i="32"/>
  <c r="Y44" i="32" s="1"/>
  <c r="Y32" i="35" s="1"/>
  <c r="CK46" i="30"/>
  <c r="Y45" i="32"/>
  <c r="Y18" i="13" s="1"/>
  <c r="CL61" i="30"/>
  <c r="BN144" i="30"/>
  <c r="CK144" i="30" s="1"/>
  <c r="BW176" i="30"/>
  <c r="BW66" i="33" s="1"/>
  <c r="BW191" i="30"/>
  <c r="BN133" i="30"/>
  <c r="BN40" i="32"/>
  <c r="X133" i="30"/>
  <c r="X40" i="32"/>
  <c r="BW232" i="6"/>
  <c r="BW189" i="20"/>
  <c r="Y234" i="6"/>
  <c r="Y16" i="6" s="1"/>
  <c r="BO231" i="6"/>
  <c r="BO66" i="32"/>
  <c r="CH66" i="32" s="1"/>
  <c r="BO34" i="32"/>
  <c r="CH34" i="32" s="1"/>
  <c r="BO59" i="32"/>
  <c r="BO65" i="32"/>
  <c r="CH65" i="32" s="1"/>
  <c r="BO46" i="32"/>
  <c r="CG43" i="32"/>
  <c r="BN44" i="32"/>
  <c r="CG44" i="32" s="1"/>
  <c r="BO39" i="32"/>
  <c r="CH39" i="32" s="1"/>
  <c r="BN54" i="33"/>
  <c r="BN41" i="32"/>
  <c r="Y79" i="35"/>
  <c r="X39" i="35"/>
  <c r="CH14" i="32"/>
  <c r="X32" i="13"/>
  <c r="Y46" i="30"/>
  <c r="Y103" i="13"/>
  <c r="BO35" i="30"/>
  <c r="CH54" i="32" l="1"/>
  <c r="CG37" i="32"/>
  <c r="Y31" i="35"/>
  <c r="CH55" i="32"/>
  <c r="CH52" i="32"/>
  <c r="CH56" i="32"/>
  <c r="CH50" i="32"/>
  <c r="CH51" i="32"/>
  <c r="CH53" i="32"/>
  <c r="CL35" i="30"/>
  <c r="BO37" i="30"/>
  <c r="CL37" i="30" s="1"/>
  <c r="Y34" i="35"/>
  <c r="CH45" i="32"/>
  <c r="Y46" i="32"/>
  <c r="Y19" i="13" s="1"/>
  <c r="Y95" i="35" s="1"/>
  <c r="Y41" i="32"/>
  <c r="Y38" i="35" s="1"/>
  <c r="X125" i="13"/>
  <c r="CK133" i="30"/>
  <c r="CG40" i="32"/>
  <c r="CF231" i="6"/>
  <c r="A231" i="6" s="1" a="1"/>
  <c r="A231" i="6" s="1"/>
  <c r="BO234" i="6"/>
  <c r="BO16" i="6" s="1"/>
  <c r="Y132" i="30"/>
  <c r="BW78" i="33"/>
  <c r="BN42" i="32"/>
  <c r="CG42" i="32" s="1"/>
  <c r="CG41" i="32"/>
  <c r="BO46" i="30"/>
  <c r="BO55" i="30" s="1"/>
  <c r="BO43" i="32"/>
  <c r="Y106" i="13"/>
  <c r="Y55" i="30"/>
  <c r="Y57" i="30" s="1"/>
  <c r="Y54" i="33"/>
  <c r="Y144" i="30"/>
  <c r="Y2" i="37" l="1"/>
  <c r="Y2" i="20"/>
  <c r="Y2" i="26"/>
  <c r="Y2" i="6"/>
  <c r="Y2" i="38"/>
  <c r="Y2" i="30"/>
  <c r="Y2" i="32"/>
  <c r="Y2" i="12"/>
  <c r="Y2" i="33"/>
  <c r="Y2" i="36"/>
  <c r="Y2" i="13"/>
  <c r="Y2" i="35"/>
  <c r="Y2" i="3"/>
  <c r="Y2" i="1"/>
  <c r="CH46" i="32"/>
  <c r="Y38" i="12"/>
  <c r="Y35" i="35"/>
  <c r="Y15" i="12"/>
  <c r="Y31" i="13"/>
  <c r="Y42" i="32"/>
  <c r="Y39" i="35" s="1"/>
  <c r="CI132" i="30"/>
  <c r="CC132" i="30" s="1"/>
  <c r="BO37" i="32"/>
  <c r="BO38" i="32" s="1"/>
  <c r="BO57" i="30"/>
  <c r="CL55" i="30"/>
  <c r="CL46" i="30"/>
  <c r="Y109" i="13"/>
  <c r="Y112" i="13" s="1"/>
  <c r="BO144" i="30"/>
  <c r="CL144" i="30" s="1"/>
  <c r="Y133" i="30"/>
  <c r="Y40" i="32"/>
  <c r="CF234" i="6"/>
  <c r="BP231" i="6"/>
  <c r="BP234" i="6" s="1"/>
  <c r="BO132" i="30"/>
  <c r="CL132" i="30" s="1"/>
  <c r="CD132" i="30" s="1"/>
  <c r="CH43" i="32"/>
  <c r="BO44" i="32"/>
  <c r="CH44" i="32" s="1"/>
  <c r="BO54" i="33"/>
  <c r="BO41" i="32"/>
  <c r="Y37" i="32"/>
  <c r="Y38" i="32" s="1"/>
  <c r="BM262" i="6"/>
  <c r="W10" i="6"/>
  <c r="W16" i="6" s="1"/>
  <c r="Y32" i="13" l="1"/>
  <c r="A132" i="30" a="1"/>
  <c r="A132" i="30" s="1"/>
  <c r="Y125" i="13"/>
  <c r="CL57" i="30"/>
  <c r="BQ231" i="6"/>
  <c r="BQ234" i="6" s="1"/>
  <c r="BP132" i="30"/>
  <c r="BO133" i="30"/>
  <c r="CL133" i="30" s="1"/>
  <c r="BO40" i="32"/>
  <c r="CH40" i="32" s="1"/>
  <c r="CH38" i="32"/>
  <c r="BO42" i="32"/>
  <c r="CH42" i="32" s="1"/>
  <c r="CH41" i="32"/>
  <c r="CH37" i="32"/>
  <c r="W9" i="36"/>
  <c r="W15" i="36" s="1"/>
  <c r="W52" i="33"/>
  <c r="W9" i="30"/>
  <c r="W203" i="30" s="1"/>
  <c r="W89" i="33" s="1"/>
  <c r="BM10" i="6"/>
  <c r="BM16" i="6" s="1"/>
  <c r="W9" i="32"/>
  <c r="W25" i="32" s="1"/>
  <c r="W273" i="26"/>
  <c r="W214" i="26"/>
  <c r="W9" i="12"/>
  <c r="W26" i="12" s="1"/>
  <c r="W12" i="6"/>
  <c r="W291" i="26"/>
  <c r="W254" i="26"/>
  <c r="W228" i="26"/>
  <c r="W263" i="26"/>
  <c r="W242" i="26"/>
  <c r="W9" i="13"/>
  <c r="W9" i="35"/>
  <c r="W18" i="32" l="1"/>
  <c r="W91" i="33"/>
  <c r="BR231" i="6"/>
  <c r="BR234" i="6" s="1"/>
  <c r="BQ132" i="30"/>
  <c r="W17" i="36"/>
  <c r="W13" i="36"/>
  <c r="BM12" i="6"/>
  <c r="BM52" i="33"/>
  <c r="W192" i="30"/>
  <c r="W79" i="33" s="1"/>
  <c r="W81" i="33" s="1"/>
  <c r="W154" i="30"/>
  <c r="W173" i="30"/>
  <c r="W53" i="30"/>
  <c r="W131" i="13"/>
  <c r="W102" i="13"/>
  <c r="W101" i="13"/>
  <c r="W127" i="30"/>
  <c r="BM9" i="30"/>
  <c r="BM203" i="30" s="1"/>
  <c r="BM89" i="33" s="1"/>
  <c r="W29" i="30"/>
  <c r="BM254" i="26"/>
  <c r="BM263" i="26"/>
  <c r="BM228" i="26"/>
  <c r="BM9" i="32"/>
  <c r="BM25" i="32" s="1"/>
  <c r="BM273" i="26"/>
  <c r="BM214" i="26"/>
  <c r="W133" i="30"/>
  <c r="BM291" i="26"/>
  <c r="W23" i="30"/>
  <c r="BM242" i="26"/>
  <c r="W44" i="30"/>
  <c r="W73" i="30"/>
  <c r="BM9" i="35"/>
  <c r="W54" i="12"/>
  <c r="W118" i="13"/>
  <c r="W132" i="13"/>
  <c r="W130" i="13"/>
  <c r="W18" i="35"/>
  <c r="W19" i="35" s="1"/>
  <c r="W15" i="35"/>
  <c r="W16" i="35" s="1"/>
  <c r="W21" i="35"/>
  <c r="W13" i="35"/>
  <c r="W15" i="32"/>
  <c r="W26" i="32"/>
  <c r="W98" i="13" l="1"/>
  <c r="W123" i="13"/>
  <c r="W105" i="13"/>
  <c r="W125" i="13"/>
  <c r="W97" i="13"/>
  <c r="W99" i="13" s="1"/>
  <c r="BR132" i="30"/>
  <c r="BS231" i="6"/>
  <c r="BS234" i="6" s="1"/>
  <c r="BM91" i="33"/>
  <c r="BM18" i="32"/>
  <c r="BM15" i="32"/>
  <c r="BM62" i="32" s="1"/>
  <c r="W62" i="32"/>
  <c r="BM192" i="30"/>
  <c r="BM79" i="33" s="1"/>
  <c r="BM81" i="33" s="1"/>
  <c r="BM154" i="30"/>
  <c r="BM173" i="30"/>
  <c r="BM53" i="30"/>
  <c r="CJ53" i="30" s="1"/>
  <c r="CD53" i="30" s="1"/>
  <c r="CF25" i="32"/>
  <c r="BM73" i="30"/>
  <c r="CJ73" i="30" s="1"/>
  <c r="CD73" i="30" s="1"/>
  <c r="BM15" i="35"/>
  <c r="BM16" i="35" s="1"/>
  <c r="BM29" i="30"/>
  <c r="CJ29" i="30" s="1"/>
  <c r="CD29" i="30" s="1"/>
  <c r="BM127" i="30"/>
  <c r="CJ127" i="30" s="1"/>
  <c r="CD127" i="30" s="1"/>
  <c r="W114" i="13"/>
  <c r="BM44" i="30"/>
  <c r="CJ44" i="30" s="1"/>
  <c r="CD44" i="30" s="1"/>
  <c r="BM59" i="30"/>
  <c r="BM133" i="30"/>
  <c r="CJ133" i="30" s="1"/>
  <c r="CD133" i="30" s="1"/>
  <c r="BM61" i="30"/>
  <c r="BM45" i="32" s="1"/>
  <c r="BM23" i="30"/>
  <c r="BM14" i="32" s="1"/>
  <c r="W31" i="30"/>
  <c r="W14" i="32"/>
  <c r="BM26" i="32"/>
  <c r="CF26" i="32" s="1"/>
  <c r="W111" i="13"/>
  <c r="BM18" i="35"/>
  <c r="BM19" i="35" s="1"/>
  <c r="BM21" i="35"/>
  <c r="BM13" i="35"/>
  <c r="W60" i="35"/>
  <c r="W34" i="36"/>
  <c r="W25" i="35"/>
  <c r="W33" i="36"/>
  <c r="W24" i="35"/>
  <c r="BM53" i="32" l="1"/>
  <c r="W53" i="32" s="1"/>
  <c r="BM52" i="32"/>
  <c r="W52" i="32" s="1"/>
  <c r="BM56" i="32"/>
  <c r="W56" i="32" s="1"/>
  <c r="BM50" i="32"/>
  <c r="W50" i="32" s="1"/>
  <c r="BM51" i="32"/>
  <c r="W51" i="32" s="1"/>
  <c r="BM55" i="32"/>
  <c r="W55" i="32" s="1"/>
  <c r="BM54" i="32"/>
  <c r="W54" i="32" s="1"/>
  <c r="CJ23" i="30"/>
  <c r="CD23" i="30" s="1"/>
  <c r="CF18" i="32"/>
  <c r="BT231" i="6"/>
  <c r="BT234" i="6" s="1"/>
  <c r="BS132" i="30"/>
  <c r="CF15" i="32"/>
  <c r="CF62" i="32"/>
  <c r="BM59" i="32"/>
  <c r="BM46" i="32"/>
  <c r="BM40" i="32"/>
  <c r="BM34" i="32"/>
  <c r="BM66" i="32"/>
  <c r="BM65" i="32"/>
  <c r="X49" i="32"/>
  <c r="BN49" i="32" s="1"/>
  <c r="CG49" i="32" s="1"/>
  <c r="W59" i="30"/>
  <c r="BM39" i="32"/>
  <c r="CF14" i="32"/>
  <c r="W35" i="30"/>
  <c r="W37" i="30" s="1"/>
  <c r="BM24" i="35"/>
  <c r="BM25" i="35"/>
  <c r="BM31" i="30"/>
  <c r="CJ31" i="30" s="1"/>
  <c r="CD31" i="30" s="1"/>
  <c r="W61" i="30"/>
  <c r="W40" i="32"/>
  <c r="W34" i="32"/>
  <c r="W39" i="32"/>
  <c r="W59" i="32"/>
  <c r="W66" i="32"/>
  <c r="W65" i="32"/>
  <c r="CF51" i="32" l="1"/>
  <c r="CF53" i="32"/>
  <c r="CJ59" i="30"/>
  <c r="CD59" i="30" s="1"/>
  <c r="W45" i="32"/>
  <c r="W34" i="35" s="1"/>
  <c r="CJ61" i="30"/>
  <c r="CD61" i="30" s="1"/>
  <c r="W43" i="32"/>
  <c r="W31" i="35" s="1"/>
  <c r="CF65" i="32"/>
  <c r="BU231" i="6"/>
  <c r="BU234" i="6" s="1"/>
  <c r="BT132" i="30"/>
  <c r="CF56" i="32"/>
  <c r="CF54" i="32"/>
  <c r="CF40" i="32"/>
  <c r="CF55" i="32"/>
  <c r="CF39" i="32"/>
  <c r="CF52" i="32"/>
  <c r="CF50" i="32"/>
  <c r="CF34" i="32"/>
  <c r="W79" i="35"/>
  <c r="CF66" i="32"/>
  <c r="W103" i="13"/>
  <c r="W46" i="30"/>
  <c r="BM35" i="30"/>
  <c r="CF45" i="32" l="1"/>
  <c r="W46" i="32"/>
  <c r="W19" i="13" s="1"/>
  <c r="W95" i="35" s="1"/>
  <c r="W18" i="13"/>
  <c r="W44" i="32"/>
  <c r="W32" i="35" s="1"/>
  <c r="CJ35" i="30"/>
  <c r="CD35" i="30" s="1"/>
  <c r="BM37" i="30"/>
  <c r="CJ37" i="30" s="1"/>
  <c r="CD37" i="30" s="1"/>
  <c r="W54" i="33"/>
  <c r="BU132" i="30"/>
  <c r="BV231" i="6"/>
  <c r="BV234" i="6" s="1"/>
  <c r="BM43" i="32"/>
  <c r="W41" i="32"/>
  <c r="W55" i="30"/>
  <c r="W57" i="30" s="1"/>
  <c r="BM46" i="30"/>
  <c r="CJ46" i="30" s="1"/>
  <c r="CD46" i="30" s="1"/>
  <c r="W106" i="13"/>
  <c r="W144" i="30"/>
  <c r="W2" i="20" l="1"/>
  <c r="W2" i="26"/>
  <c r="W2" i="6"/>
  <c r="W2" i="38"/>
  <c r="W2" i="30"/>
  <c r="W2" i="32"/>
  <c r="W2" i="12"/>
  <c r="W2" i="33"/>
  <c r="W2" i="36"/>
  <c r="W2" i="13"/>
  <c r="W2" i="35"/>
  <c r="W2" i="3"/>
  <c r="W2" i="1"/>
  <c r="W2" i="37"/>
  <c r="W38" i="12"/>
  <c r="W35" i="35"/>
  <c r="CF46" i="32"/>
  <c r="W15" i="12"/>
  <c r="W37" i="32"/>
  <c r="W38" i="32" s="1"/>
  <c r="W109" i="13"/>
  <c r="W112" i="13" s="1"/>
  <c r="BV132" i="30"/>
  <c r="BW231" i="6"/>
  <c r="BW234" i="6" s="1"/>
  <c r="BM44" i="32"/>
  <c r="CF44" i="32" s="1"/>
  <c r="CF43" i="32"/>
  <c r="BM54" i="33"/>
  <c r="BM41" i="32"/>
  <c r="BM42" i="32" s="1"/>
  <c r="W42" i="32"/>
  <c r="W32" i="13" s="1"/>
  <c r="W31" i="13"/>
  <c r="W38" i="35"/>
  <c r="BM55" i="30"/>
  <c r="BM144" i="30"/>
  <c r="CJ144" i="30" s="1"/>
  <c r="CD144" i="30" s="1"/>
  <c r="CJ55" i="30" l="1"/>
  <c r="CD55" i="30" s="1"/>
  <c r="BM57" i="30"/>
  <c r="CJ57" i="30" s="1"/>
  <c r="CD57" i="30" s="1"/>
  <c r="BW132" i="30"/>
  <c r="BM37" i="32"/>
  <c r="CF41" i="32"/>
  <c r="W39" i="35"/>
  <c r="CF42" i="32"/>
  <c r="CF37" i="32" l="1"/>
  <c r="BM38" i="32"/>
  <c r="CF38" i="32" s="1"/>
  <c r="BA10" i="6"/>
  <c r="AW10" i="6"/>
  <c r="BD10" i="6"/>
  <c r="BD16" i="6" s="1"/>
  <c r="AK10" i="6"/>
  <c r="BE10" i="6"/>
  <c r="BE16" i="6" s="1"/>
  <c r="AU10" i="6"/>
  <c r="AU16" i="6" s="1"/>
  <c r="AP10" i="6"/>
  <c r="AP16" i="6" s="1"/>
  <c r="AN10" i="6"/>
  <c r="BH10" i="6"/>
  <c r="BH16" i="6" s="1"/>
  <c r="AL10" i="6"/>
  <c r="AL16" i="6" s="1"/>
  <c r="AG10" i="6"/>
  <c r="AG16" i="6" s="1"/>
  <c r="AM10" i="6"/>
  <c r="AC10" i="6"/>
  <c r="AC16" i="6" s="1"/>
  <c r="BG10" i="6"/>
  <c r="AR10" i="6"/>
  <c r="AR16" i="6" s="1"/>
  <c r="AS10" i="6"/>
  <c r="AY10" i="6"/>
  <c r="AY16" i="6" s="1"/>
  <c r="BF10" i="6"/>
  <c r="AF10" i="6"/>
  <c r="AF16" i="6" s="1"/>
  <c r="AJ10" i="6"/>
  <c r="AB10" i="6"/>
  <c r="BJ10" i="6"/>
  <c r="AV10" i="6"/>
  <c r="AV16" i="6" s="1"/>
  <c r="BI10" i="6"/>
  <c r="AI10" i="6"/>
  <c r="AE10" i="6"/>
  <c r="AQ10" i="6"/>
  <c r="AX10" i="6"/>
  <c r="AX16" i="6" s="1"/>
  <c r="AH10" i="6"/>
  <c r="BB10" i="6"/>
  <c r="BB16" i="6" s="1"/>
  <c r="AZ10" i="6"/>
  <c r="AO10" i="6"/>
  <c r="AT10" i="6"/>
  <c r="AT16" i="6" s="1"/>
  <c r="BC10" i="6"/>
  <c r="AD10" i="6"/>
  <c r="AA10" i="6"/>
  <c r="AA16" i="6" s="1"/>
  <c r="AE52" i="33" l="1"/>
  <c r="AE16" i="6"/>
  <c r="BJ52" i="33"/>
  <c r="BJ16" i="6"/>
  <c r="BF52" i="33"/>
  <c r="BF16" i="6"/>
  <c r="BG52" i="33"/>
  <c r="BG16" i="6"/>
  <c r="AW52" i="33"/>
  <c r="AW16" i="6"/>
  <c r="AZ52" i="33"/>
  <c r="AZ16" i="6"/>
  <c r="AH52" i="33"/>
  <c r="AH16" i="6"/>
  <c r="AI52" i="33"/>
  <c r="AI16" i="6"/>
  <c r="AB52" i="33"/>
  <c r="AB16" i="6"/>
  <c r="BA52" i="33"/>
  <c r="BA16" i="6"/>
  <c r="BC52" i="33"/>
  <c r="BC16" i="6"/>
  <c r="AO52" i="33"/>
  <c r="AO16" i="6"/>
  <c r="BI52" i="33"/>
  <c r="BI16" i="6"/>
  <c r="AJ52" i="33"/>
  <c r="AJ16" i="6"/>
  <c r="AS52" i="33"/>
  <c r="AS16" i="6"/>
  <c r="AM52" i="33"/>
  <c r="AM16" i="6"/>
  <c r="AN52" i="33"/>
  <c r="AN16" i="6"/>
  <c r="AK52" i="33"/>
  <c r="AK16" i="6"/>
  <c r="AD52" i="33"/>
  <c r="AD16" i="6"/>
  <c r="AQ52" i="33"/>
  <c r="AQ16" i="6"/>
  <c r="AA52" i="33"/>
  <c r="AV9" i="32"/>
  <c r="AV52" i="33"/>
  <c r="AF9" i="32"/>
  <c r="AF52" i="33"/>
  <c r="AR9" i="32"/>
  <c r="AR52" i="33"/>
  <c r="AG9" i="32"/>
  <c r="AG52" i="33"/>
  <c r="AP9" i="32"/>
  <c r="AP52" i="33"/>
  <c r="BD9" i="32"/>
  <c r="BD52" i="33"/>
  <c r="AX9" i="35"/>
  <c r="AX18" i="35" s="1"/>
  <c r="AX19" i="35" s="1"/>
  <c r="AX52" i="33"/>
  <c r="BB9" i="32"/>
  <c r="BB52" i="33"/>
  <c r="AL9" i="35"/>
  <c r="AL15" i="35" s="1"/>
  <c r="AL16" i="35" s="1"/>
  <c r="AL52" i="33"/>
  <c r="AU9" i="32"/>
  <c r="AU52" i="33"/>
  <c r="AT9" i="30"/>
  <c r="AT203" i="30" s="1"/>
  <c r="AT89" i="33" s="1"/>
  <c r="AT52" i="33"/>
  <c r="AY9" i="32"/>
  <c r="AY52" i="33"/>
  <c r="AC9" i="35"/>
  <c r="AC13" i="35" s="1"/>
  <c r="AC52" i="33"/>
  <c r="BH9" i="32"/>
  <c r="BH52" i="33"/>
  <c r="BE9" i="32"/>
  <c r="BE52" i="33"/>
  <c r="AM9" i="32"/>
  <c r="AD12" i="6"/>
  <c r="AD254" i="26"/>
  <c r="AD273" i="26"/>
  <c r="AD263" i="26"/>
  <c r="AD214" i="26"/>
  <c r="AD242" i="26"/>
  <c r="AD291" i="26"/>
  <c r="AD228" i="26"/>
  <c r="AD9" i="30"/>
  <c r="AD203" i="30" s="1"/>
  <c r="AD89" i="33" s="1"/>
  <c r="AD91" i="33" s="1"/>
  <c r="AD9" i="35"/>
  <c r="AD9" i="32"/>
  <c r="AQ12" i="6"/>
  <c r="AQ9" i="35"/>
  <c r="AQ263" i="26"/>
  <c r="AQ254" i="26"/>
  <c r="AQ273" i="26"/>
  <c r="AQ291" i="26"/>
  <c r="AQ242" i="26"/>
  <c r="AQ9" i="32"/>
  <c r="AQ228" i="26"/>
  <c r="AQ214" i="26"/>
  <c r="AQ9" i="30"/>
  <c r="AQ203" i="30" s="1"/>
  <c r="AQ89" i="33" s="1"/>
  <c r="BI12" i="6"/>
  <c r="BI273" i="26"/>
  <c r="BI291" i="26"/>
  <c r="BI254" i="26"/>
  <c r="BI242" i="26"/>
  <c r="BI214" i="26"/>
  <c r="BI228" i="26"/>
  <c r="BI263" i="26"/>
  <c r="BI9" i="30"/>
  <c r="BI203" i="30" s="1"/>
  <c r="BI89" i="33" s="1"/>
  <c r="BI9" i="32"/>
  <c r="BI9" i="35"/>
  <c r="AS12" i="6"/>
  <c r="AS242" i="26"/>
  <c r="AS9" i="30"/>
  <c r="AS203" i="30" s="1"/>
  <c r="AS89" i="33" s="1"/>
  <c r="AS214" i="26"/>
  <c r="AS273" i="26"/>
  <c r="AS291" i="26"/>
  <c r="AS228" i="26"/>
  <c r="AS263" i="26"/>
  <c r="AS254" i="26"/>
  <c r="AS9" i="35"/>
  <c r="AS9" i="32"/>
  <c r="BC12" i="6"/>
  <c r="BC273" i="26"/>
  <c r="BC291" i="26"/>
  <c r="BC9" i="30"/>
  <c r="BC203" i="30" s="1"/>
  <c r="BC89" i="33" s="1"/>
  <c r="BC254" i="26"/>
  <c r="BC263" i="26"/>
  <c r="BC228" i="26"/>
  <c r="BC214" i="26"/>
  <c r="BC242" i="26"/>
  <c r="BC9" i="32"/>
  <c r="BC9" i="35"/>
  <c r="AH12" i="6"/>
  <c r="AH263" i="26"/>
  <c r="AH291" i="26"/>
  <c r="AH242" i="26"/>
  <c r="AH254" i="26"/>
  <c r="AH273" i="26"/>
  <c r="AH9" i="30"/>
  <c r="AH203" i="30" s="1"/>
  <c r="AH89" i="33" s="1"/>
  <c r="AH91" i="33" s="1"/>
  <c r="AH228" i="26"/>
  <c r="AH214" i="26"/>
  <c r="AH9" i="32"/>
  <c r="AH9" i="35"/>
  <c r="AE12" i="6"/>
  <c r="AE214" i="26"/>
  <c r="AE273" i="26"/>
  <c r="AE254" i="26"/>
  <c r="AE9" i="30"/>
  <c r="AE203" i="30" s="1"/>
  <c r="AE89" i="33" s="1"/>
  <c r="AE242" i="26"/>
  <c r="AE291" i="26"/>
  <c r="AE263" i="26"/>
  <c r="AE228" i="26"/>
  <c r="AE9" i="35"/>
  <c r="AE9" i="32"/>
  <c r="BF12" i="6"/>
  <c r="BF263" i="26"/>
  <c r="BF242" i="26"/>
  <c r="BF273" i="26"/>
  <c r="BF228" i="26"/>
  <c r="BF291" i="26"/>
  <c r="BF9" i="32"/>
  <c r="BF254" i="26"/>
  <c r="BF214" i="26"/>
  <c r="BF9" i="30"/>
  <c r="BF203" i="30" s="1"/>
  <c r="BF89" i="33" s="1"/>
  <c r="BF9" i="35"/>
  <c r="AO12" i="6"/>
  <c r="AO273" i="26"/>
  <c r="AO214" i="26"/>
  <c r="AO254" i="26"/>
  <c r="AO291" i="26"/>
  <c r="AO9" i="35"/>
  <c r="AO263" i="26"/>
  <c r="AO228" i="26"/>
  <c r="AO242" i="26"/>
  <c r="AO9" i="32"/>
  <c r="AO9" i="30"/>
  <c r="AO203" i="30" s="1"/>
  <c r="AO89" i="33" s="1"/>
  <c r="AO91" i="33" s="1"/>
  <c r="AJ12" i="6"/>
  <c r="AJ254" i="26"/>
  <c r="AJ228" i="26"/>
  <c r="AJ242" i="26"/>
  <c r="AJ263" i="26"/>
  <c r="AJ214" i="26"/>
  <c r="AJ273" i="26"/>
  <c r="AJ291" i="26"/>
  <c r="AJ9" i="32"/>
  <c r="AJ9" i="35"/>
  <c r="AJ9" i="30"/>
  <c r="AJ203" i="30" s="1"/>
  <c r="AJ89" i="33" s="1"/>
  <c r="AN12" i="6"/>
  <c r="AN228" i="26"/>
  <c r="AN242" i="26"/>
  <c r="AN291" i="26"/>
  <c r="AN263" i="26"/>
  <c r="AN214" i="26"/>
  <c r="AN254" i="26"/>
  <c r="AN273" i="26"/>
  <c r="AN9" i="30"/>
  <c r="AN203" i="30" s="1"/>
  <c r="AN89" i="33" s="1"/>
  <c r="AN9" i="35"/>
  <c r="AN9" i="32"/>
  <c r="BJ12" i="6"/>
  <c r="BJ228" i="26"/>
  <c r="BJ214" i="26"/>
  <c r="BJ263" i="26"/>
  <c r="BJ9" i="30"/>
  <c r="BJ203" i="30" s="1"/>
  <c r="BJ89" i="33" s="1"/>
  <c r="BJ254" i="26"/>
  <c r="BJ291" i="26"/>
  <c r="BJ9" i="35"/>
  <c r="BJ273" i="26"/>
  <c r="BJ242" i="26"/>
  <c r="BJ9" i="32"/>
  <c r="BG12" i="6"/>
  <c r="BG263" i="26"/>
  <c r="BG254" i="26"/>
  <c r="BG9" i="35"/>
  <c r="BG291" i="26"/>
  <c r="BG228" i="26"/>
  <c r="BG214" i="26"/>
  <c r="BG242" i="26"/>
  <c r="BG273" i="26"/>
  <c r="BG9" i="32"/>
  <c r="BG9" i="30"/>
  <c r="BG203" i="30" s="1"/>
  <c r="BG89" i="33" s="1"/>
  <c r="BG91" i="33" s="1"/>
  <c r="AA242" i="26"/>
  <c r="AA214" i="26"/>
  <c r="AA291" i="26"/>
  <c r="AA228" i="26"/>
  <c r="AA273" i="26"/>
  <c r="AA254" i="26"/>
  <c r="AA12" i="6"/>
  <c r="AA263" i="26"/>
  <c r="AA9" i="32"/>
  <c r="AZ12" i="6"/>
  <c r="AZ228" i="26"/>
  <c r="AZ291" i="26"/>
  <c r="AZ263" i="26"/>
  <c r="AZ242" i="26"/>
  <c r="AZ273" i="26"/>
  <c r="AZ9" i="30"/>
  <c r="AZ203" i="30" s="1"/>
  <c r="AZ89" i="33" s="1"/>
  <c r="AZ91" i="33" s="1"/>
  <c r="AZ254" i="26"/>
  <c r="AZ214" i="26"/>
  <c r="AI12" i="6"/>
  <c r="AI228" i="26"/>
  <c r="AI254" i="26"/>
  <c r="AI291" i="26"/>
  <c r="AI9" i="30"/>
  <c r="AI203" i="30" s="1"/>
  <c r="AI89" i="33" s="1"/>
  <c r="AI9" i="35"/>
  <c r="AI273" i="26"/>
  <c r="AI214" i="26"/>
  <c r="AI263" i="26"/>
  <c r="AI242" i="26"/>
  <c r="AB12" i="6"/>
  <c r="AB242" i="26"/>
  <c r="AB291" i="26"/>
  <c r="AB254" i="26"/>
  <c r="AB273" i="26"/>
  <c r="AB228" i="26"/>
  <c r="AB214" i="26"/>
  <c r="AB263" i="26"/>
  <c r="AB9" i="30"/>
  <c r="AT9" i="35"/>
  <c r="AV9" i="30"/>
  <c r="AV203" i="30" s="1"/>
  <c r="AV89" i="33" s="1"/>
  <c r="AR9" i="35"/>
  <c r="AU9" i="35"/>
  <c r="AX12" i="6"/>
  <c r="AX291" i="26"/>
  <c r="AX214" i="26"/>
  <c r="AX263" i="26"/>
  <c r="AX9" i="30"/>
  <c r="AX203" i="30" s="1"/>
  <c r="AX89" i="33" s="1"/>
  <c r="AX242" i="26"/>
  <c r="AX254" i="26"/>
  <c r="AX273" i="26"/>
  <c r="AX228" i="26"/>
  <c r="AF12" i="6"/>
  <c r="AF9" i="35"/>
  <c r="AF228" i="26"/>
  <c r="AF291" i="26"/>
  <c r="AF273" i="26"/>
  <c r="AF214" i="26"/>
  <c r="AF254" i="26"/>
  <c r="AF9" i="30"/>
  <c r="AF203" i="30" s="1"/>
  <c r="AF89" i="33" s="1"/>
  <c r="AF263" i="26"/>
  <c r="AF242" i="26"/>
  <c r="AR12" i="6"/>
  <c r="AR9" i="30"/>
  <c r="AR203" i="30" s="1"/>
  <c r="AR89" i="33" s="1"/>
  <c r="AR291" i="26"/>
  <c r="AR254" i="26"/>
  <c r="AR263" i="26"/>
  <c r="AR228" i="26"/>
  <c r="AR214" i="26"/>
  <c r="AR242" i="26"/>
  <c r="AR273" i="26"/>
  <c r="AL12" i="6"/>
  <c r="AL254" i="26"/>
  <c r="AL263" i="26"/>
  <c r="AL273" i="26"/>
  <c r="AL228" i="26"/>
  <c r="AL214" i="26"/>
  <c r="AL9" i="30"/>
  <c r="AL203" i="30" s="1"/>
  <c r="AL89" i="33" s="1"/>
  <c r="AL91" i="33" s="1"/>
  <c r="AL291" i="26"/>
  <c r="AL242" i="26"/>
  <c r="BH12" i="6"/>
  <c r="BH263" i="26"/>
  <c r="BH214" i="26"/>
  <c r="BH9" i="30"/>
  <c r="BH203" i="30" s="1"/>
  <c r="BH89" i="33" s="1"/>
  <c r="BH228" i="26"/>
  <c r="BH242" i="26"/>
  <c r="BH254" i="26"/>
  <c r="BH291" i="26"/>
  <c r="BH273" i="26"/>
  <c r="AL9" i="32"/>
  <c r="AP12" i="6"/>
  <c r="AP254" i="26"/>
  <c r="AP242" i="26"/>
  <c r="AP263" i="26"/>
  <c r="AP291" i="26"/>
  <c r="AP228" i="26"/>
  <c r="AP9" i="30"/>
  <c r="AP203" i="30" s="1"/>
  <c r="AP89" i="33" s="1"/>
  <c r="AP273" i="26"/>
  <c r="AP214" i="26"/>
  <c r="AA9" i="35"/>
  <c r="AW12" i="6"/>
  <c r="AW263" i="26"/>
  <c r="AW273" i="26"/>
  <c r="AW254" i="26"/>
  <c r="AW214" i="26"/>
  <c r="AW9" i="32"/>
  <c r="AW9" i="30"/>
  <c r="AW203" i="30" s="1"/>
  <c r="AW89" i="33" s="1"/>
  <c r="AW228" i="26"/>
  <c r="AW291" i="26"/>
  <c r="AW9" i="35"/>
  <c r="AW242" i="26"/>
  <c r="BA12" i="6"/>
  <c r="BA9" i="32"/>
  <c r="BA254" i="26"/>
  <c r="BA242" i="26"/>
  <c r="BA273" i="26"/>
  <c r="BA263" i="26"/>
  <c r="BA291" i="26"/>
  <c r="BA228" i="26"/>
  <c r="BA9" i="35"/>
  <c r="BA9" i="30"/>
  <c r="BA203" i="30" s="1"/>
  <c r="BA89" i="33" s="1"/>
  <c r="BA214" i="26"/>
  <c r="AT12" i="6"/>
  <c r="AT254" i="26"/>
  <c r="AT263" i="26"/>
  <c r="AT273" i="26"/>
  <c r="AT228" i="26"/>
  <c r="AT214" i="26"/>
  <c r="AT242" i="26"/>
  <c r="AT291" i="26"/>
  <c r="AV12" i="6"/>
  <c r="AV228" i="26"/>
  <c r="AV291" i="26"/>
  <c r="AV254" i="26"/>
  <c r="AV273" i="26"/>
  <c r="AV242" i="26"/>
  <c r="AV214" i="26"/>
  <c r="AV263" i="26"/>
  <c r="AA9" i="30"/>
  <c r="AZ9" i="35"/>
  <c r="AZ9" i="32"/>
  <c r="AI9" i="32"/>
  <c r="AB9" i="35"/>
  <c r="AT9" i="32"/>
  <c r="BE12" i="6"/>
  <c r="BE263" i="26"/>
  <c r="BE214" i="26"/>
  <c r="BE273" i="26"/>
  <c r="BE228" i="26"/>
  <c r="BE9" i="35"/>
  <c r="BE242" i="26"/>
  <c r="BE254" i="26"/>
  <c r="BE291" i="26"/>
  <c r="BE9" i="30"/>
  <c r="BE203" i="30" s="1"/>
  <c r="BE89" i="33" s="1"/>
  <c r="BE91" i="33" s="1"/>
  <c r="BH9" i="35"/>
  <c r="AA7" i="6"/>
  <c r="BB12" i="6"/>
  <c r="BB228" i="26"/>
  <c r="BB9" i="35"/>
  <c r="BB273" i="26"/>
  <c r="BB214" i="26"/>
  <c r="BB9" i="30"/>
  <c r="BB203" i="30" s="1"/>
  <c r="BB89" i="33" s="1"/>
  <c r="BB263" i="26"/>
  <c r="BB291" i="26"/>
  <c r="BB242" i="26"/>
  <c r="BB254" i="26"/>
  <c r="AY12" i="6"/>
  <c r="AY228" i="26"/>
  <c r="AY214" i="26"/>
  <c r="AY254" i="26"/>
  <c r="AY242" i="26"/>
  <c r="AY9" i="35"/>
  <c r="AY273" i="26"/>
  <c r="AY263" i="26"/>
  <c r="AY291" i="26"/>
  <c r="AY9" i="30"/>
  <c r="AY203" i="30" s="1"/>
  <c r="AY89" i="33" s="1"/>
  <c r="AY91" i="33" s="1"/>
  <c r="AC12" i="6"/>
  <c r="AC242" i="26"/>
  <c r="AC263" i="26"/>
  <c r="AC291" i="26"/>
  <c r="AC214" i="26"/>
  <c r="AC228" i="26"/>
  <c r="AC273" i="26"/>
  <c r="AC254" i="26"/>
  <c r="AC9" i="30"/>
  <c r="AC203" i="30" s="1"/>
  <c r="AC89" i="33" s="1"/>
  <c r="AX9" i="32"/>
  <c r="AM12" i="6"/>
  <c r="AM273" i="26"/>
  <c r="AM214" i="26"/>
  <c r="AM9" i="30"/>
  <c r="AM203" i="30" s="1"/>
  <c r="AM89" i="33" s="1"/>
  <c r="AM9" i="35"/>
  <c r="AM242" i="26"/>
  <c r="AM263" i="26"/>
  <c r="AM254" i="26"/>
  <c r="AM228" i="26"/>
  <c r="AM291" i="26"/>
  <c r="AB9" i="32"/>
  <c r="AG12" i="6"/>
  <c r="AG263" i="26"/>
  <c r="AG291" i="26"/>
  <c r="AG9" i="35"/>
  <c r="AG214" i="26"/>
  <c r="AG273" i="26"/>
  <c r="AG254" i="26"/>
  <c r="AG228" i="26"/>
  <c r="AG242" i="26"/>
  <c r="AG9" i="30"/>
  <c r="AG203" i="30" s="1"/>
  <c r="AG89" i="33" s="1"/>
  <c r="AU12" i="6"/>
  <c r="AU214" i="26"/>
  <c r="AU228" i="26"/>
  <c r="AU242" i="26"/>
  <c r="AU254" i="26"/>
  <c r="AU273" i="26"/>
  <c r="AU263" i="26"/>
  <c r="AU291" i="26"/>
  <c r="AU9" i="30"/>
  <c r="AU203" i="30" s="1"/>
  <c r="AU89" i="33" s="1"/>
  <c r="AC9" i="32"/>
  <c r="AP9" i="35"/>
  <c r="AK12" i="6"/>
  <c r="AK273" i="26"/>
  <c r="AK214" i="26"/>
  <c r="AK9" i="30"/>
  <c r="AK203" i="30" s="1"/>
  <c r="AK89" i="33" s="1"/>
  <c r="AK91" i="33" s="1"/>
  <c r="AK242" i="26"/>
  <c r="AK263" i="26"/>
  <c r="AK9" i="32"/>
  <c r="AK291" i="26"/>
  <c r="AK228" i="26"/>
  <c r="AK254" i="26"/>
  <c r="AK9" i="35"/>
  <c r="BD12" i="6"/>
  <c r="BD242" i="26"/>
  <c r="BD214" i="26"/>
  <c r="BD9" i="30"/>
  <c r="BD203" i="30" s="1"/>
  <c r="BD89" i="33" s="1"/>
  <c r="BD291" i="26"/>
  <c r="BD228" i="26"/>
  <c r="BD273" i="26"/>
  <c r="BD9" i="35"/>
  <c r="BD263" i="26"/>
  <c r="BD254" i="26"/>
  <c r="AV9" i="35"/>
  <c r="AM91" i="33" l="1"/>
  <c r="AW91" i="33"/>
  <c r="BC91" i="33"/>
  <c r="AS91" i="33"/>
  <c r="AN91" i="33"/>
  <c r="BF91" i="33"/>
  <c r="AE91" i="33"/>
  <c r="BI91" i="33"/>
  <c r="BA91" i="33"/>
  <c r="AI91" i="33"/>
  <c r="BJ91" i="33"/>
  <c r="AJ91" i="33"/>
  <c r="AQ91" i="33"/>
  <c r="AR91" i="33"/>
  <c r="AA25" i="32"/>
  <c r="AA24" i="35" s="1"/>
  <c r="AA26" i="32"/>
  <c r="AA25" i="35" s="1"/>
  <c r="BJ25" i="32"/>
  <c r="BJ24" i="35" s="1"/>
  <c r="BJ26" i="32"/>
  <c r="BJ25" i="35" s="1"/>
  <c r="AJ25" i="32"/>
  <c r="AJ24" i="35" s="1"/>
  <c r="AJ26" i="32"/>
  <c r="AJ25" i="35" s="1"/>
  <c r="BF25" i="32"/>
  <c r="BF24" i="35" s="1"/>
  <c r="BF26" i="32"/>
  <c r="BF25" i="35" s="1"/>
  <c r="AS25" i="32"/>
  <c r="AS24" i="35" s="1"/>
  <c r="AS26" i="32"/>
  <c r="AS25" i="35" s="1"/>
  <c r="BI25" i="32"/>
  <c r="BI24" i="35" s="1"/>
  <c r="BI26" i="32"/>
  <c r="BI25" i="35" s="1"/>
  <c r="AM25" i="32"/>
  <c r="AM24" i="35" s="1"/>
  <c r="AM26" i="32"/>
  <c r="AM25" i="35" s="1"/>
  <c r="BH25" i="32"/>
  <c r="BH24" i="35" s="1"/>
  <c r="BH26" i="32"/>
  <c r="BH25" i="35" s="1"/>
  <c r="AY25" i="32"/>
  <c r="AY24" i="35" s="1"/>
  <c r="AY26" i="32"/>
  <c r="AY25" i="35" s="1"/>
  <c r="AU25" i="32"/>
  <c r="AU24" i="35" s="1"/>
  <c r="AU26" i="32"/>
  <c r="AU25" i="35" s="1"/>
  <c r="BB25" i="32"/>
  <c r="BB24" i="35" s="1"/>
  <c r="BB26" i="32"/>
  <c r="BB25" i="35" s="1"/>
  <c r="BD25" i="32"/>
  <c r="BD24" i="35" s="1"/>
  <c r="BD26" i="32"/>
  <c r="BD25" i="35" s="1"/>
  <c r="AG26" i="32"/>
  <c r="AG25" i="35" s="1"/>
  <c r="AG25" i="32"/>
  <c r="AG24" i="35" s="1"/>
  <c r="AF26" i="32"/>
  <c r="AF25" i="35" s="1"/>
  <c r="AF25" i="32"/>
  <c r="AF24" i="35" s="1"/>
  <c r="AX25" i="32"/>
  <c r="AX24" i="35" s="1"/>
  <c r="AX26" i="32"/>
  <c r="AX25" i="35" s="1"/>
  <c r="AI25" i="32"/>
  <c r="AI24" i="35" s="1"/>
  <c r="AI26" i="32"/>
  <c r="AI25" i="35" s="1"/>
  <c r="AW25" i="32"/>
  <c r="AW24" i="35" s="1"/>
  <c r="AW26" i="32"/>
  <c r="AW25" i="35" s="1"/>
  <c r="AL25" i="32"/>
  <c r="AL24" i="35" s="1"/>
  <c r="AL26" i="32"/>
  <c r="AL25" i="35" s="1"/>
  <c r="AQ25" i="32"/>
  <c r="AQ26" i="32"/>
  <c r="AQ25" i="35" s="1"/>
  <c r="AD26" i="32"/>
  <c r="AD25" i="35" s="1"/>
  <c r="AD25" i="32"/>
  <c r="AD24" i="35" s="1"/>
  <c r="AK25" i="32"/>
  <c r="AK24" i="35" s="1"/>
  <c r="AK26" i="32"/>
  <c r="AK25" i="35" s="1"/>
  <c r="AB26" i="32"/>
  <c r="AB25" i="35" s="1"/>
  <c r="AB25" i="32"/>
  <c r="AB24" i="35" s="1"/>
  <c r="AZ25" i="32"/>
  <c r="AZ24" i="35" s="1"/>
  <c r="AZ26" i="32"/>
  <c r="AZ25" i="35" s="1"/>
  <c r="BA25" i="32"/>
  <c r="BA24" i="35" s="1"/>
  <c r="BA26" i="32"/>
  <c r="BA25" i="35" s="1"/>
  <c r="BG25" i="32"/>
  <c r="BG24" i="35" s="1"/>
  <c r="BG26" i="32"/>
  <c r="BG25" i="35" s="1"/>
  <c r="AO25" i="32"/>
  <c r="AO24" i="35" s="1"/>
  <c r="AO26" i="32"/>
  <c r="AO25" i="35" s="1"/>
  <c r="BC25" i="32"/>
  <c r="BC24" i="35" s="1"/>
  <c r="BC26" i="32"/>
  <c r="BC25" i="35" s="1"/>
  <c r="BE25" i="32"/>
  <c r="BE24" i="35" s="1"/>
  <c r="BE26" i="32"/>
  <c r="BE25" i="35" s="1"/>
  <c r="AP25" i="32"/>
  <c r="AP24" i="35" s="1"/>
  <c r="AP26" i="32"/>
  <c r="AP25" i="35" s="1"/>
  <c r="AR25" i="32"/>
  <c r="AR24" i="35" s="1"/>
  <c r="AR26" i="32"/>
  <c r="AR25" i="35" s="1"/>
  <c r="AV25" i="32"/>
  <c r="AV24" i="35" s="1"/>
  <c r="AV26" i="32"/>
  <c r="AV25" i="35" s="1"/>
  <c r="AC26" i="32"/>
  <c r="AC25" i="35" s="1"/>
  <c r="AC25" i="32"/>
  <c r="AC24" i="35" s="1"/>
  <c r="AT25" i="32"/>
  <c r="AT24" i="35" s="1"/>
  <c r="AT26" i="32"/>
  <c r="AT25" i="35" s="1"/>
  <c r="AN25" i="32"/>
  <c r="AN24" i="35" s="1"/>
  <c r="AN26" i="32"/>
  <c r="AN25" i="35" s="1"/>
  <c r="AE26" i="32"/>
  <c r="AE25" i="35" s="1"/>
  <c r="AE25" i="32"/>
  <c r="AE24" i="35" s="1"/>
  <c r="AH25" i="32"/>
  <c r="AH24" i="35" s="1"/>
  <c r="AH26" i="32"/>
  <c r="AH25" i="35" s="1"/>
  <c r="AT61" i="30"/>
  <c r="AL13" i="35"/>
  <c r="AX15" i="35"/>
  <c r="AX16" i="35" s="1"/>
  <c r="AT29" i="30"/>
  <c r="AX13" i="35"/>
  <c r="AT73" i="30"/>
  <c r="AL21" i="35"/>
  <c r="AT59" i="30"/>
  <c r="AC18" i="35"/>
  <c r="AC19" i="35" s="1"/>
  <c r="AL18" i="35"/>
  <c r="AL19" i="35" s="1"/>
  <c r="AX21" i="35"/>
  <c r="AT44" i="30"/>
  <c r="AT23" i="30"/>
  <c r="AT14" i="32" s="1"/>
  <c r="AT133" i="30"/>
  <c r="AT127" i="30"/>
  <c r="AC21" i="35"/>
  <c r="AX91" i="33"/>
  <c r="AV91" i="33"/>
  <c r="AC91" i="33"/>
  <c r="AP91" i="33"/>
  <c r="BD91" i="33"/>
  <c r="AU91" i="33"/>
  <c r="AG91" i="33"/>
  <c r="BB91" i="33"/>
  <c r="AT53" i="30"/>
  <c r="AT192" i="30"/>
  <c r="AT79" i="33" s="1"/>
  <c r="AT81" i="33" s="1"/>
  <c r="AT173" i="30"/>
  <c r="AF91" i="33"/>
  <c r="BH91" i="33"/>
  <c r="AT154" i="30"/>
  <c r="AT91" i="33"/>
  <c r="AB203" i="30"/>
  <c r="AB89" i="33" s="1"/>
  <c r="AB91" i="33" s="1"/>
  <c r="AB192" i="30"/>
  <c r="AB79" i="33" s="1"/>
  <c r="AB81" i="33" s="1"/>
  <c r="AC15" i="35"/>
  <c r="AC16" i="35" s="1"/>
  <c r="AA203" i="30"/>
  <c r="AA89" i="33" s="1"/>
  <c r="AA91" i="33" s="1"/>
  <c r="AA23" i="30"/>
  <c r="BD192" i="30"/>
  <c r="BD79" i="33" s="1"/>
  <c r="BD81" i="33" s="1"/>
  <c r="BD154" i="30"/>
  <c r="AU192" i="30"/>
  <c r="AU79" i="33" s="1"/>
  <c r="AU81" i="33" s="1"/>
  <c r="AU154" i="30"/>
  <c r="AM192" i="30"/>
  <c r="AM79" i="33" s="1"/>
  <c r="AM81" i="33" s="1"/>
  <c r="AM154" i="30"/>
  <c r="AP192" i="30"/>
  <c r="AP79" i="33" s="1"/>
  <c r="AP81" i="33" s="1"/>
  <c r="AP154" i="30"/>
  <c r="AB154" i="30"/>
  <c r="BJ192" i="30"/>
  <c r="BJ79" i="33" s="1"/>
  <c r="BJ81" i="33" s="1"/>
  <c r="BJ154" i="30"/>
  <c r="AC192" i="30"/>
  <c r="AC79" i="33" s="1"/>
  <c r="AC81" i="33" s="1"/>
  <c r="AC154" i="30"/>
  <c r="AL192" i="30"/>
  <c r="AL79" i="33" s="1"/>
  <c r="AL81" i="33" s="1"/>
  <c r="AL154" i="30"/>
  <c r="AR192" i="30"/>
  <c r="AR79" i="33" s="1"/>
  <c r="AR81" i="33" s="1"/>
  <c r="AR154" i="30"/>
  <c r="AF192" i="30"/>
  <c r="AF79" i="33" s="1"/>
  <c r="AF81" i="33" s="1"/>
  <c r="AF154" i="30"/>
  <c r="AJ192" i="30"/>
  <c r="AJ79" i="33" s="1"/>
  <c r="AJ81" i="33" s="1"/>
  <c r="AJ154" i="30"/>
  <c r="BF192" i="30"/>
  <c r="BF79" i="33" s="1"/>
  <c r="BF81" i="33" s="1"/>
  <c r="BF154" i="30"/>
  <c r="AE192" i="30"/>
  <c r="AE79" i="33" s="1"/>
  <c r="AE81" i="33" s="1"/>
  <c r="AE154" i="30"/>
  <c r="AS192" i="30"/>
  <c r="AS79" i="33" s="1"/>
  <c r="AS81" i="33" s="1"/>
  <c r="AS154" i="30"/>
  <c r="AQ192" i="30"/>
  <c r="AQ79" i="33" s="1"/>
  <c r="AQ81" i="33" s="1"/>
  <c r="AQ154" i="30"/>
  <c r="AK192" i="30"/>
  <c r="AK79" i="33" s="1"/>
  <c r="AK81" i="33" s="1"/>
  <c r="AK154" i="30"/>
  <c r="AG192" i="30"/>
  <c r="AG79" i="33" s="1"/>
  <c r="AG81" i="33" s="1"/>
  <c r="AG154" i="30"/>
  <c r="BB192" i="30"/>
  <c r="BB79" i="33" s="1"/>
  <c r="BB81" i="33" s="1"/>
  <c r="BB154" i="30"/>
  <c r="AX192" i="30"/>
  <c r="AX79" i="33" s="1"/>
  <c r="AX81" i="33" s="1"/>
  <c r="AX154" i="30"/>
  <c r="AV192" i="30"/>
  <c r="AV79" i="33" s="1"/>
  <c r="AV81" i="33" s="1"/>
  <c r="AV154" i="30"/>
  <c r="AO192" i="30"/>
  <c r="AO79" i="33" s="1"/>
  <c r="AO81" i="33" s="1"/>
  <c r="AO154" i="30"/>
  <c r="BC192" i="30"/>
  <c r="BC79" i="33" s="1"/>
  <c r="BC81" i="33" s="1"/>
  <c r="BC154" i="30"/>
  <c r="AY192" i="30"/>
  <c r="AY79" i="33" s="1"/>
  <c r="AY81" i="33" s="1"/>
  <c r="AY154" i="30"/>
  <c r="BE192" i="30"/>
  <c r="BE79" i="33" s="1"/>
  <c r="BE81" i="33" s="1"/>
  <c r="BE154" i="30"/>
  <c r="AA192" i="30"/>
  <c r="AA79" i="33" s="1"/>
  <c r="AA81" i="33" s="1"/>
  <c r="AA154" i="30"/>
  <c r="BA192" i="30"/>
  <c r="BA79" i="33" s="1"/>
  <c r="BA81" i="33" s="1"/>
  <c r="BA154" i="30"/>
  <c r="AW192" i="30"/>
  <c r="AW79" i="33" s="1"/>
  <c r="AW81" i="33" s="1"/>
  <c r="AW154" i="30"/>
  <c r="BH192" i="30"/>
  <c r="BH79" i="33" s="1"/>
  <c r="BH81" i="33" s="1"/>
  <c r="BH154" i="30"/>
  <c r="AI192" i="30"/>
  <c r="AI79" i="33" s="1"/>
  <c r="AI81" i="33" s="1"/>
  <c r="AI154" i="30"/>
  <c r="AZ192" i="30"/>
  <c r="AZ79" i="33" s="1"/>
  <c r="AZ81" i="33" s="1"/>
  <c r="AZ154" i="30"/>
  <c r="BG192" i="30"/>
  <c r="BG79" i="33" s="1"/>
  <c r="BG81" i="33" s="1"/>
  <c r="BG154" i="30"/>
  <c r="AN192" i="30"/>
  <c r="AN79" i="33" s="1"/>
  <c r="AN81" i="33" s="1"/>
  <c r="AN154" i="30"/>
  <c r="AH192" i="30"/>
  <c r="AH79" i="33" s="1"/>
  <c r="AH81" i="33" s="1"/>
  <c r="AH154" i="30"/>
  <c r="BI192" i="30"/>
  <c r="BI79" i="33" s="1"/>
  <c r="BI81" i="33" s="1"/>
  <c r="BI154" i="30"/>
  <c r="AD192" i="30"/>
  <c r="AD79" i="33" s="1"/>
  <c r="AD81" i="33" s="1"/>
  <c r="AD154" i="30"/>
  <c r="AC173" i="30"/>
  <c r="AC53" i="30"/>
  <c r="AL173" i="30"/>
  <c r="AL53" i="30"/>
  <c r="BB173" i="30"/>
  <c r="BB53" i="30"/>
  <c r="AU173" i="30"/>
  <c r="AU53" i="30"/>
  <c r="AM173" i="30"/>
  <c r="AM53" i="30"/>
  <c r="AP173" i="30"/>
  <c r="AP53" i="30"/>
  <c r="AB173" i="30"/>
  <c r="AB53" i="30"/>
  <c r="BJ173" i="30"/>
  <c r="BJ53" i="30"/>
  <c r="AH173" i="30"/>
  <c r="AH53" i="30"/>
  <c r="BI173" i="30"/>
  <c r="BI53" i="30"/>
  <c r="AD173" i="30"/>
  <c r="AD53" i="30"/>
  <c r="BD173" i="30"/>
  <c r="BD53" i="30"/>
  <c r="AR173" i="30"/>
  <c r="AR53" i="30"/>
  <c r="AJ173" i="30"/>
  <c r="AJ53" i="30"/>
  <c r="AK173" i="30"/>
  <c r="AK53" i="30"/>
  <c r="AX173" i="30"/>
  <c r="AX53" i="30"/>
  <c r="AV173" i="30"/>
  <c r="AV53" i="30"/>
  <c r="BF173" i="30"/>
  <c r="BF53" i="30"/>
  <c r="AE173" i="30"/>
  <c r="AE53" i="30"/>
  <c r="AS173" i="30"/>
  <c r="AS53" i="30"/>
  <c r="AQ173" i="30"/>
  <c r="AQ53" i="30"/>
  <c r="AF173" i="30"/>
  <c r="AF53" i="30"/>
  <c r="AG173" i="30"/>
  <c r="AG53" i="30"/>
  <c r="AY173" i="30"/>
  <c r="AY53" i="30"/>
  <c r="BE173" i="30"/>
  <c r="BE53" i="30"/>
  <c r="AA173" i="30"/>
  <c r="AA53" i="30"/>
  <c r="BA173" i="30"/>
  <c r="BA53" i="30"/>
  <c r="AW173" i="30"/>
  <c r="AW53" i="30"/>
  <c r="BH173" i="30"/>
  <c r="BH53" i="30"/>
  <c r="AI173" i="30"/>
  <c r="AI53" i="30"/>
  <c r="AZ173" i="30"/>
  <c r="AZ53" i="30"/>
  <c r="BG173" i="30"/>
  <c r="BG53" i="30"/>
  <c r="AN173" i="30"/>
  <c r="AN53" i="30"/>
  <c r="AO173" i="30"/>
  <c r="AO53" i="30"/>
  <c r="BC173" i="30"/>
  <c r="BC53" i="30"/>
  <c r="BD15" i="35"/>
  <c r="BD16" i="35" s="1"/>
  <c r="BD13" i="35"/>
  <c r="BD21" i="35"/>
  <c r="BD18" i="35"/>
  <c r="BD19" i="35" s="1"/>
  <c r="AM73" i="30"/>
  <c r="AM127" i="30"/>
  <c r="AM59" i="30"/>
  <c r="AM23" i="30"/>
  <c r="AM133" i="30"/>
  <c r="AM61" i="30"/>
  <c r="AM44" i="30"/>
  <c r="AM29" i="30"/>
  <c r="BE18" i="35"/>
  <c r="BE19" i="35" s="1"/>
  <c r="BE15" i="35"/>
  <c r="BE16" i="35" s="1"/>
  <c r="BE13" i="35"/>
  <c r="BE21" i="35"/>
  <c r="AB18" i="35"/>
  <c r="AB19" i="35" s="1"/>
  <c r="AB21" i="35"/>
  <c r="AB13" i="35"/>
  <c r="AB15" i="35"/>
  <c r="AB16" i="35" s="1"/>
  <c r="AA73" i="30"/>
  <c r="AA59" i="30"/>
  <c r="AA44" i="30"/>
  <c r="AA133" i="30"/>
  <c r="AA127" i="30"/>
  <c r="AA61" i="30"/>
  <c r="AA29" i="30"/>
  <c r="BD73" i="30"/>
  <c r="BD23" i="30"/>
  <c r="BD29" i="30"/>
  <c r="BD59" i="30"/>
  <c r="BD127" i="30"/>
  <c r="BD133" i="30"/>
  <c r="BD61" i="30"/>
  <c r="BD44" i="30"/>
  <c r="AU73" i="30"/>
  <c r="AU59" i="30"/>
  <c r="AU23" i="30"/>
  <c r="AU61" i="30"/>
  <c r="AU44" i="30"/>
  <c r="AU133" i="30"/>
  <c r="AU29" i="30"/>
  <c r="AU127" i="30"/>
  <c r="AY73" i="30"/>
  <c r="AY23" i="30"/>
  <c r="AY59" i="30"/>
  <c r="AY29" i="30"/>
  <c r="AY61" i="30"/>
  <c r="AY133" i="30"/>
  <c r="AY127" i="30"/>
  <c r="AY44" i="30"/>
  <c r="BB18" i="35"/>
  <c r="BB19" i="35" s="1"/>
  <c r="BB21" i="35"/>
  <c r="BB15" i="35"/>
  <c r="BB16" i="35" s="1"/>
  <c r="BB13" i="35"/>
  <c r="BA21" i="35"/>
  <c r="BA18" i="35"/>
  <c r="BA19" i="35" s="1"/>
  <c r="BA13" i="35"/>
  <c r="BA15" i="35"/>
  <c r="BA16" i="35" s="1"/>
  <c r="AW73" i="30"/>
  <c r="AW23" i="30"/>
  <c r="AW59" i="30"/>
  <c r="AW29" i="30"/>
  <c r="AW44" i="30"/>
  <c r="AW61" i="30"/>
  <c r="AW127" i="30"/>
  <c r="AW133" i="30"/>
  <c r="AA15" i="35"/>
  <c r="AA16" i="35" s="1"/>
  <c r="AA13" i="35"/>
  <c r="AA21" i="35"/>
  <c r="AA18" i="35"/>
  <c r="AA19" i="35" s="1"/>
  <c r="BH73" i="30"/>
  <c r="BH23" i="30"/>
  <c r="BH61" i="30"/>
  <c r="BH133" i="30"/>
  <c r="BH29" i="30"/>
  <c r="BH59" i="30"/>
  <c r="BH44" i="30"/>
  <c r="BH127" i="30"/>
  <c r="AR73" i="30"/>
  <c r="AR23" i="30"/>
  <c r="AR133" i="30"/>
  <c r="AR61" i="30"/>
  <c r="AR59" i="30"/>
  <c r="AR29" i="30"/>
  <c r="AR44" i="30"/>
  <c r="AR127" i="30"/>
  <c r="AF73" i="30"/>
  <c r="AF59" i="30"/>
  <c r="AF23" i="30"/>
  <c r="AF127" i="30"/>
  <c r="AF44" i="30"/>
  <c r="AF133" i="30"/>
  <c r="AF29" i="30"/>
  <c r="AF61" i="30"/>
  <c r="AF13" i="35"/>
  <c r="AF21" i="35"/>
  <c r="AF18" i="35"/>
  <c r="AF19" i="35" s="1"/>
  <c r="AF15" i="35"/>
  <c r="AF16" i="35" s="1"/>
  <c r="AV73" i="30"/>
  <c r="AV59" i="30"/>
  <c r="AV23" i="30"/>
  <c r="AV133" i="30"/>
  <c r="AV44" i="30"/>
  <c r="AV29" i="30"/>
  <c r="AV127" i="30"/>
  <c r="AV61" i="30"/>
  <c r="AI73" i="30"/>
  <c r="AI23" i="30"/>
  <c r="AI44" i="30"/>
  <c r="AI133" i="30"/>
  <c r="AI29" i="30"/>
  <c r="AI127" i="30"/>
  <c r="AI61" i="30"/>
  <c r="AI59" i="30"/>
  <c r="AZ73" i="30"/>
  <c r="AZ59" i="30"/>
  <c r="AZ23" i="30"/>
  <c r="AZ133" i="30"/>
  <c r="AZ44" i="30"/>
  <c r="AZ29" i="30"/>
  <c r="AZ127" i="30"/>
  <c r="AZ61" i="30"/>
  <c r="BG73" i="30"/>
  <c r="BG23" i="30"/>
  <c r="BG59" i="30"/>
  <c r="BG127" i="30"/>
  <c r="BG29" i="30"/>
  <c r="BG44" i="30"/>
  <c r="BG133" i="30"/>
  <c r="BG61" i="30"/>
  <c r="BJ15" i="35"/>
  <c r="BJ16" i="35" s="1"/>
  <c r="BJ21" i="35"/>
  <c r="BJ13" i="35"/>
  <c r="BJ18" i="35"/>
  <c r="BJ19" i="35" s="1"/>
  <c r="AN73" i="30"/>
  <c r="AN23" i="30"/>
  <c r="AN133" i="30"/>
  <c r="AN61" i="30"/>
  <c r="AN29" i="30"/>
  <c r="AN127" i="30"/>
  <c r="AN59" i="30"/>
  <c r="AN44" i="30"/>
  <c r="AE18" i="35"/>
  <c r="AE19" i="35" s="1"/>
  <c r="AE21" i="35"/>
  <c r="AE15" i="35"/>
  <c r="AE16" i="35" s="1"/>
  <c r="AE13" i="35"/>
  <c r="AH15" i="35"/>
  <c r="AH16" i="35" s="1"/>
  <c r="AH18" i="35"/>
  <c r="AH19" i="35" s="1"/>
  <c r="AH13" i="35"/>
  <c r="AH21" i="35"/>
  <c r="AH73" i="30"/>
  <c r="AH23" i="30"/>
  <c r="AH133" i="30"/>
  <c r="AH29" i="30"/>
  <c r="AH59" i="30"/>
  <c r="AH61" i="30"/>
  <c r="AH127" i="30"/>
  <c r="AH44" i="30"/>
  <c r="BC73" i="30"/>
  <c r="BC23" i="30"/>
  <c r="BC127" i="30"/>
  <c r="BC59" i="30"/>
  <c r="BC133" i="30"/>
  <c r="BC44" i="30"/>
  <c r="BC29" i="30"/>
  <c r="BC61" i="30"/>
  <c r="AD13" i="35"/>
  <c r="AD21" i="35"/>
  <c r="AD18" i="35"/>
  <c r="AD19" i="35" s="1"/>
  <c r="AD15" i="35"/>
  <c r="AD16" i="35" s="1"/>
  <c r="AK18" i="35"/>
  <c r="AK19" i="35" s="1"/>
  <c r="AK21" i="35"/>
  <c r="AK15" i="35"/>
  <c r="AK16" i="35" s="1"/>
  <c r="AK13" i="35"/>
  <c r="AC73" i="30"/>
  <c r="AC23" i="30"/>
  <c r="AC59" i="30"/>
  <c r="AC127" i="30"/>
  <c r="AC29" i="30"/>
  <c r="AC44" i="30"/>
  <c r="AC133" i="30"/>
  <c r="AC61" i="30"/>
  <c r="AY18" i="35"/>
  <c r="AY19" i="35" s="1"/>
  <c r="AY13" i="35"/>
  <c r="AY21" i="35"/>
  <c r="AY15" i="35"/>
  <c r="AY16" i="35" s="1"/>
  <c r="BB73" i="30"/>
  <c r="BB59" i="30"/>
  <c r="BB23" i="30"/>
  <c r="BB61" i="30"/>
  <c r="BB133" i="30"/>
  <c r="BB29" i="30"/>
  <c r="BB127" i="30"/>
  <c r="BB44" i="30"/>
  <c r="BH13" i="35"/>
  <c r="BH21" i="35"/>
  <c r="BH15" i="35"/>
  <c r="BH16" i="35" s="1"/>
  <c r="BH18" i="35"/>
  <c r="BH19" i="35" s="1"/>
  <c r="AW13" i="35"/>
  <c r="AW18" i="35"/>
  <c r="AW19" i="35" s="1"/>
  <c r="AW21" i="35"/>
  <c r="AW15" i="35"/>
  <c r="AW16" i="35" s="1"/>
  <c r="AT15" i="35"/>
  <c r="AT16" i="35" s="1"/>
  <c r="AT21" i="35"/>
  <c r="AT13" i="35"/>
  <c r="AT18" i="35"/>
  <c r="AT19" i="35" s="1"/>
  <c r="AJ73" i="30"/>
  <c r="AJ59" i="30"/>
  <c r="AJ23" i="30"/>
  <c r="AJ44" i="30"/>
  <c r="AJ29" i="30"/>
  <c r="AJ133" i="30"/>
  <c r="AJ61" i="30"/>
  <c r="AJ127" i="30"/>
  <c r="AO73" i="30"/>
  <c r="AO59" i="30"/>
  <c r="AO23" i="30"/>
  <c r="AO127" i="30"/>
  <c r="AO29" i="30"/>
  <c r="AO133" i="30"/>
  <c r="AO44" i="30"/>
  <c r="AO61" i="30"/>
  <c r="AE73" i="30"/>
  <c r="AE23" i="30"/>
  <c r="AE59" i="30"/>
  <c r="AE127" i="30"/>
  <c r="AE61" i="30"/>
  <c r="AE133" i="30"/>
  <c r="AE44" i="30"/>
  <c r="AE29" i="30"/>
  <c r="BC18" i="35"/>
  <c r="BC19" i="35" s="1"/>
  <c r="BC15" i="35"/>
  <c r="BC16" i="35" s="1"/>
  <c r="BC21" i="35"/>
  <c r="BC13" i="35"/>
  <c r="AS18" i="35"/>
  <c r="AS19" i="35" s="1"/>
  <c r="AS21" i="35"/>
  <c r="AS15" i="35"/>
  <c r="AS16" i="35" s="1"/>
  <c r="AS13" i="35"/>
  <c r="AS73" i="30"/>
  <c r="AS59" i="30"/>
  <c r="AS23" i="30"/>
  <c r="AS61" i="30"/>
  <c r="AS133" i="30"/>
  <c r="AS29" i="30"/>
  <c r="AS44" i="30"/>
  <c r="AS127" i="30"/>
  <c r="BI18" i="35"/>
  <c r="BI19" i="35" s="1"/>
  <c r="BI21" i="35"/>
  <c r="BI13" i="35"/>
  <c r="BI15" i="35"/>
  <c r="BI16" i="35" s="1"/>
  <c r="AQ24" i="35"/>
  <c r="AQ18" i="35"/>
  <c r="AQ19" i="35" s="1"/>
  <c r="AQ21" i="35"/>
  <c r="AQ13" i="35"/>
  <c r="AQ15" i="35"/>
  <c r="AQ16" i="35" s="1"/>
  <c r="AD73" i="30"/>
  <c r="AD59" i="30"/>
  <c r="AD23" i="30"/>
  <c r="AD127" i="30"/>
  <c r="AD44" i="30"/>
  <c r="AD61" i="30"/>
  <c r="AD133" i="30"/>
  <c r="AD29" i="30"/>
  <c r="AK73" i="30"/>
  <c r="AK59" i="30"/>
  <c r="AK23" i="30"/>
  <c r="AK61" i="30"/>
  <c r="AK127" i="30"/>
  <c r="AK44" i="30"/>
  <c r="AK29" i="30"/>
  <c r="AK133" i="30"/>
  <c r="AV15" i="35"/>
  <c r="AV16" i="35" s="1"/>
  <c r="AV18" i="35"/>
  <c r="AV19" i="35" s="1"/>
  <c r="AV21" i="35"/>
  <c r="AV13" i="35"/>
  <c r="AP15" i="35"/>
  <c r="AP16" i="35" s="1"/>
  <c r="AP18" i="35"/>
  <c r="AP19" i="35" s="1"/>
  <c r="AP13" i="35"/>
  <c r="AP21" i="35"/>
  <c r="AG15" i="35"/>
  <c r="AG16" i="35" s="1"/>
  <c r="AG13" i="35"/>
  <c r="AG18" i="35"/>
  <c r="AG19" i="35" s="1"/>
  <c r="AG21" i="35"/>
  <c r="AM18" i="35"/>
  <c r="AM19" i="35" s="1"/>
  <c r="AM13" i="35"/>
  <c r="AM21" i="35"/>
  <c r="AM15" i="35"/>
  <c r="AM16" i="35" s="1"/>
  <c r="BE73" i="30"/>
  <c r="BE59" i="30"/>
  <c r="BE127" i="30"/>
  <c r="BE133" i="30"/>
  <c r="BE61" i="30"/>
  <c r="BE23" i="30"/>
  <c r="BE44" i="30"/>
  <c r="BE29" i="30"/>
  <c r="AZ18" i="35"/>
  <c r="AZ19" i="35" s="1"/>
  <c r="AZ13" i="35"/>
  <c r="AZ21" i="35"/>
  <c r="AZ15" i="35"/>
  <c r="AZ16" i="35" s="1"/>
  <c r="AL73" i="30"/>
  <c r="CG73" i="30" s="1"/>
  <c r="AL23" i="30"/>
  <c r="AL59" i="30"/>
  <c r="AL29" i="30"/>
  <c r="AL127" i="30"/>
  <c r="CG127" i="30" s="1"/>
  <c r="AL133" i="30"/>
  <c r="CG133" i="30" s="1"/>
  <c r="AL44" i="30"/>
  <c r="AL61" i="30"/>
  <c r="AU15" i="35"/>
  <c r="AU16" i="35" s="1"/>
  <c r="AU18" i="35"/>
  <c r="AU19" i="35" s="1"/>
  <c r="AU21" i="35"/>
  <c r="AU13" i="35"/>
  <c r="AJ18" i="35"/>
  <c r="AJ19" i="35" s="1"/>
  <c r="AJ21" i="35"/>
  <c r="AJ13" i="35"/>
  <c r="AJ15" i="35"/>
  <c r="AJ16" i="35" s="1"/>
  <c r="BF21" i="35"/>
  <c r="BF18" i="35"/>
  <c r="BF19" i="35" s="1"/>
  <c r="BF13" i="35"/>
  <c r="BF15" i="35"/>
  <c r="BF16" i="35" s="1"/>
  <c r="AQ73" i="30"/>
  <c r="AQ59" i="30"/>
  <c r="AQ23" i="30"/>
  <c r="AQ127" i="30"/>
  <c r="AQ44" i="30"/>
  <c r="AQ133" i="30"/>
  <c r="AQ29" i="30"/>
  <c r="AQ61" i="30"/>
  <c r="AG73" i="30"/>
  <c r="AG23" i="30"/>
  <c r="AG59" i="30"/>
  <c r="AG44" i="30"/>
  <c r="AG133" i="30"/>
  <c r="AG29" i="30"/>
  <c r="AG127" i="30"/>
  <c r="AG61" i="30"/>
  <c r="BA73" i="30"/>
  <c r="BA23" i="30"/>
  <c r="BA61" i="30"/>
  <c r="BA133" i="30"/>
  <c r="BA44" i="30"/>
  <c r="BA59" i="30"/>
  <c r="BA29" i="30"/>
  <c r="BA127" i="30"/>
  <c r="AP73" i="30"/>
  <c r="AP59" i="30"/>
  <c r="AP133" i="30"/>
  <c r="AP29" i="30"/>
  <c r="AP23" i="30"/>
  <c r="AP44" i="30"/>
  <c r="AP61" i="30"/>
  <c r="AP127" i="30"/>
  <c r="AX73" i="30"/>
  <c r="CH73" i="30" s="1"/>
  <c r="AX23" i="30"/>
  <c r="AX133" i="30"/>
  <c r="CH133" i="30" s="1"/>
  <c r="AX127" i="30"/>
  <c r="CH127" i="30" s="1"/>
  <c r="AX59" i="30"/>
  <c r="AX29" i="30"/>
  <c r="AX44" i="30"/>
  <c r="AX61" i="30"/>
  <c r="AR13" i="35"/>
  <c r="AR18" i="35"/>
  <c r="AR19" i="35" s="1"/>
  <c r="AR21" i="35"/>
  <c r="AR15" i="35"/>
  <c r="AR16" i="35" s="1"/>
  <c r="AB73" i="30"/>
  <c r="AB23" i="30"/>
  <c r="AB59" i="30"/>
  <c r="AB29" i="30"/>
  <c r="AB61" i="30"/>
  <c r="AB44" i="30"/>
  <c r="AB133" i="30"/>
  <c r="AB127" i="30"/>
  <c r="AI15" i="35"/>
  <c r="AI16" i="35" s="1"/>
  <c r="AI13" i="35"/>
  <c r="AI18" i="35"/>
  <c r="AI19" i="35" s="1"/>
  <c r="AI21" i="35"/>
  <c r="BG15" i="35"/>
  <c r="BG16" i="35" s="1"/>
  <c r="BG18" i="35"/>
  <c r="BG19" i="35" s="1"/>
  <c r="BG21" i="35"/>
  <c r="BG13" i="35"/>
  <c r="BJ73" i="30"/>
  <c r="CI73" i="30" s="1"/>
  <c r="BJ23" i="30"/>
  <c r="BJ127" i="30"/>
  <c r="CI127" i="30" s="1"/>
  <c r="BJ61" i="30"/>
  <c r="BJ133" i="30"/>
  <c r="CI133" i="30" s="1"/>
  <c r="BJ59" i="30"/>
  <c r="BJ29" i="30"/>
  <c r="BJ44" i="30"/>
  <c r="AN13" i="35"/>
  <c r="AN21" i="35"/>
  <c r="AN18" i="35"/>
  <c r="AN19" i="35" s="1"/>
  <c r="AN15" i="35"/>
  <c r="AN16" i="35" s="1"/>
  <c r="AO15" i="35"/>
  <c r="AO16" i="35" s="1"/>
  <c r="AO18" i="35"/>
  <c r="AO19" i="35" s="1"/>
  <c r="AO21" i="35"/>
  <c r="AO13" i="35"/>
  <c r="BF73" i="30"/>
  <c r="BF23" i="30"/>
  <c r="BF133" i="30"/>
  <c r="BF61" i="30"/>
  <c r="BF59" i="30"/>
  <c r="BF29" i="30"/>
  <c r="BF127" i="30"/>
  <c r="BF44" i="30"/>
  <c r="BI73" i="30"/>
  <c r="BI23" i="30"/>
  <c r="BI59" i="30"/>
  <c r="BI127" i="30"/>
  <c r="BI29" i="30"/>
  <c r="BI133" i="30"/>
  <c r="BI44" i="30"/>
  <c r="BI61" i="30"/>
  <c r="CI59" i="30" l="1"/>
  <c r="CH29" i="30"/>
  <c r="CG29" i="30"/>
  <c r="CG44" i="30"/>
  <c r="CH44" i="30"/>
  <c r="CH59" i="30"/>
  <c r="CG53" i="30"/>
  <c r="CI53" i="30"/>
  <c r="CC127" i="30"/>
  <c r="CI61" i="30"/>
  <c r="CG61" i="30"/>
  <c r="CG59" i="30"/>
  <c r="CH61" i="30"/>
  <c r="CC133" i="30"/>
  <c r="CC73" i="30"/>
  <c r="CI44" i="30"/>
  <c r="CI29" i="30"/>
  <c r="CH53" i="30"/>
  <c r="CH23" i="30"/>
  <c r="CI23" i="30"/>
  <c r="CG23" i="30"/>
  <c r="AT31" i="30"/>
  <c r="AT35" i="30" s="1"/>
  <c r="AT37" i="30" s="1"/>
  <c r="AG14" i="32"/>
  <c r="AG31" i="30"/>
  <c r="AG35" i="30" s="1"/>
  <c r="AG37" i="30" s="1"/>
  <c r="BC14" i="32"/>
  <c r="BC31" i="30"/>
  <c r="BC35" i="30" s="1"/>
  <c r="BC37" i="30" s="1"/>
  <c r="AF14" i="32"/>
  <c r="AF31" i="30"/>
  <c r="AF35" i="30" s="1"/>
  <c r="AF37" i="30" s="1"/>
  <c r="AA14" i="32"/>
  <c r="AA31" i="30"/>
  <c r="AM14" i="32"/>
  <c r="AM31" i="30"/>
  <c r="AQ14" i="32"/>
  <c r="AQ31" i="30"/>
  <c r="AQ35" i="30" s="1"/>
  <c r="AQ37" i="30" s="1"/>
  <c r="BE14" i="32"/>
  <c r="BE31" i="30"/>
  <c r="BE35" i="30" s="1"/>
  <c r="BE37" i="30" s="1"/>
  <c r="AE31" i="30"/>
  <c r="AE35" i="30" s="1"/>
  <c r="AE37" i="30" s="1"/>
  <c r="AE14" i="32"/>
  <c r="AN14" i="32"/>
  <c r="AN31" i="30"/>
  <c r="AN35" i="30" s="1"/>
  <c r="AN37" i="30" s="1"/>
  <c r="BG14" i="32"/>
  <c r="BG31" i="30"/>
  <c r="BG35" i="30" s="1"/>
  <c r="BG37" i="30" s="1"/>
  <c r="AZ14" i="32"/>
  <c r="AZ31" i="30"/>
  <c r="AZ35" i="30" s="1"/>
  <c r="AZ37" i="30" s="1"/>
  <c r="AY14" i="32"/>
  <c r="AY31" i="30"/>
  <c r="AU14" i="32"/>
  <c r="AU31" i="30"/>
  <c r="AU35" i="30" s="1"/>
  <c r="AU37" i="30" s="1"/>
  <c r="AB14" i="32"/>
  <c r="AB31" i="30"/>
  <c r="AB35" i="30" s="1"/>
  <c r="AB37" i="30" s="1"/>
  <c r="AP14" i="32"/>
  <c r="AP31" i="30"/>
  <c r="AP35" i="30" s="1"/>
  <c r="AP37" i="30" s="1"/>
  <c r="BA14" i="32"/>
  <c r="BA31" i="30"/>
  <c r="BA35" i="30" s="1"/>
  <c r="BA37" i="30" s="1"/>
  <c r="AL14" i="32"/>
  <c r="AL31" i="30"/>
  <c r="AL35" i="30" s="1"/>
  <c r="AL37" i="30" s="1"/>
  <c r="AD14" i="32"/>
  <c r="AD31" i="30"/>
  <c r="AD35" i="30" s="1"/>
  <c r="AD37" i="30" s="1"/>
  <c r="AS14" i="32"/>
  <c r="AS31" i="30"/>
  <c r="AS35" i="30" s="1"/>
  <c r="AS37" i="30" s="1"/>
  <c r="AO14" i="32"/>
  <c r="AO31" i="30"/>
  <c r="AO35" i="30" s="1"/>
  <c r="AO37" i="30" s="1"/>
  <c r="AH14" i="32"/>
  <c r="AH31" i="30"/>
  <c r="AH35" i="30" s="1"/>
  <c r="AH37" i="30" s="1"/>
  <c r="AV14" i="32"/>
  <c r="AV31" i="30"/>
  <c r="AV35" i="30" s="1"/>
  <c r="AV37" i="30" s="1"/>
  <c r="AR14" i="32"/>
  <c r="AR31" i="30"/>
  <c r="AR35" i="30" s="1"/>
  <c r="AR37" i="30" s="1"/>
  <c r="BD14" i="32"/>
  <c r="BD31" i="30"/>
  <c r="BD35" i="30" s="1"/>
  <c r="BD37" i="30" s="1"/>
  <c r="BF14" i="32"/>
  <c r="BF31" i="30"/>
  <c r="BF35" i="30" s="1"/>
  <c r="BF37" i="30" s="1"/>
  <c r="AX14" i="32"/>
  <c r="AX31" i="30"/>
  <c r="AX35" i="30" s="1"/>
  <c r="AX37" i="30" s="1"/>
  <c r="BI14" i="32"/>
  <c r="BI31" i="30"/>
  <c r="BI35" i="30" s="1"/>
  <c r="BI37" i="30" s="1"/>
  <c r="BJ14" i="32"/>
  <c r="BJ31" i="30"/>
  <c r="BJ35" i="30" s="1"/>
  <c r="BJ37" i="30" s="1"/>
  <c r="AK14" i="32"/>
  <c r="AK31" i="30"/>
  <c r="AK35" i="30" s="1"/>
  <c r="AK37" i="30" s="1"/>
  <c r="AJ14" i="32"/>
  <c r="AJ31" i="30"/>
  <c r="AJ35" i="30" s="1"/>
  <c r="AJ37" i="30" s="1"/>
  <c r="BB14" i="32"/>
  <c r="BB31" i="30"/>
  <c r="BB35" i="30" s="1"/>
  <c r="BB37" i="30" s="1"/>
  <c r="AC31" i="30"/>
  <c r="AC35" i="30" s="1"/>
  <c r="AC37" i="30" s="1"/>
  <c r="AC14" i="32"/>
  <c r="AI14" i="32"/>
  <c r="AI31" i="30"/>
  <c r="AI35" i="30" s="1"/>
  <c r="AI37" i="30" s="1"/>
  <c r="BH14" i="32"/>
  <c r="BH31" i="30"/>
  <c r="BH35" i="30" s="1"/>
  <c r="BH37" i="30" s="1"/>
  <c r="AW14" i="32"/>
  <c r="AW31" i="30"/>
  <c r="AW35" i="30" s="1"/>
  <c r="AW37" i="30" s="1"/>
  <c r="AM35" i="30" l="1"/>
  <c r="AM46" i="30" s="1"/>
  <c r="CH31" i="30"/>
  <c r="CC61" i="30"/>
  <c r="CC53" i="30"/>
  <c r="CC29" i="30"/>
  <c r="AY35" i="30"/>
  <c r="AY46" i="30" s="1"/>
  <c r="CI31" i="30"/>
  <c r="AA35" i="30"/>
  <c r="AA46" i="30" s="1"/>
  <c r="CG31" i="30"/>
  <c r="CC59" i="30"/>
  <c r="CC44" i="30"/>
  <c r="CC23" i="30"/>
  <c r="AT46" i="30"/>
  <c r="AT54" i="33" s="1"/>
  <c r="AJ46" i="30"/>
  <c r="AJ54" i="33" s="1"/>
  <c r="AK46" i="30"/>
  <c r="AK54" i="33" s="1"/>
  <c r="BI46" i="30"/>
  <c r="BI54" i="33" s="1"/>
  <c r="AL46" i="30"/>
  <c r="AL54" i="33" s="1"/>
  <c r="AP46" i="30"/>
  <c r="AP54" i="33" s="1"/>
  <c r="BE46" i="30"/>
  <c r="BE54" i="33" s="1"/>
  <c r="AQ46" i="30"/>
  <c r="AQ54" i="33" s="1"/>
  <c r="BC46" i="30"/>
  <c r="BC54" i="33" s="1"/>
  <c r="BB46" i="30"/>
  <c r="BB54" i="33" s="1"/>
  <c r="AD46" i="30"/>
  <c r="AD54" i="33" s="1"/>
  <c r="AZ46" i="30"/>
  <c r="AZ54" i="33" s="1"/>
  <c r="AN46" i="30"/>
  <c r="AN54" i="33" s="1"/>
  <c r="AE46" i="30"/>
  <c r="AE54" i="33" s="1"/>
  <c r="AF46" i="30"/>
  <c r="AF54" i="33" s="1"/>
  <c r="AG46" i="30"/>
  <c r="AG54" i="33" s="1"/>
  <c r="AW46" i="30"/>
  <c r="AW54" i="33" s="1"/>
  <c r="AC46" i="30"/>
  <c r="AC54" i="33" s="1"/>
  <c r="BJ46" i="30"/>
  <c r="BJ54" i="33" s="1"/>
  <c r="BH46" i="30"/>
  <c r="BH54" i="33" s="1"/>
  <c r="AX46" i="30"/>
  <c r="AX54" i="33" s="1"/>
  <c r="BF46" i="30"/>
  <c r="BF54" i="33" s="1"/>
  <c r="AO46" i="30"/>
  <c r="AO54" i="33" s="1"/>
  <c r="BA46" i="30"/>
  <c r="BA54" i="33" s="1"/>
  <c r="AB46" i="30"/>
  <c r="AB54" i="33" s="1"/>
  <c r="AI46" i="30"/>
  <c r="AI54" i="33" s="1"/>
  <c r="BD46" i="30"/>
  <c r="BD54" i="33" s="1"/>
  <c r="AR46" i="30"/>
  <c r="AR54" i="33" s="1"/>
  <c r="AV46" i="30"/>
  <c r="AV54" i="33" s="1"/>
  <c r="AH46" i="30"/>
  <c r="AH54" i="33" s="1"/>
  <c r="AS46" i="30"/>
  <c r="AS54" i="33" s="1"/>
  <c r="AU46" i="30"/>
  <c r="AU54" i="33" s="1"/>
  <c r="BG46" i="30"/>
  <c r="BG54" i="33" s="1"/>
  <c r="AT144" i="30" l="1"/>
  <c r="CG35" i="30"/>
  <c r="AA37" i="30"/>
  <c r="CG37" i="30" s="1"/>
  <c r="CI35" i="30"/>
  <c r="AY37" i="30"/>
  <c r="CH35" i="30"/>
  <c r="AM37" i="30"/>
  <c r="CH37" i="30" s="1"/>
  <c r="AM54" i="33"/>
  <c r="CH46" i="30"/>
  <c r="AA54" i="33"/>
  <c r="CG46" i="30"/>
  <c r="AY54" i="33"/>
  <c r="CI46" i="30"/>
  <c r="CC31" i="30"/>
  <c r="AT55" i="30"/>
  <c r="AT57" i="30" s="1"/>
  <c r="AS144" i="30"/>
  <c r="AS55" i="30"/>
  <c r="AS57" i="30" s="1"/>
  <c r="AH55" i="30"/>
  <c r="AH57" i="30" s="1"/>
  <c r="AH144" i="30"/>
  <c r="AI55" i="30"/>
  <c r="AI57" i="30" s="1"/>
  <c r="AI144" i="30"/>
  <c r="BH144" i="30"/>
  <c r="BH55" i="30"/>
  <c r="BH57" i="30" s="1"/>
  <c r="AC144" i="30"/>
  <c r="AC55" i="30"/>
  <c r="AC57" i="30" s="1"/>
  <c r="AW144" i="30"/>
  <c r="AW55" i="30"/>
  <c r="AW57" i="30" s="1"/>
  <c r="AA55" i="30"/>
  <c r="AA57" i="30" s="1"/>
  <c r="AA144" i="30"/>
  <c r="AZ55" i="30"/>
  <c r="AZ57" i="30" s="1"/>
  <c r="AZ144" i="30"/>
  <c r="BI55" i="30"/>
  <c r="BI57" i="30" s="1"/>
  <c r="BI144" i="30"/>
  <c r="AK55" i="30"/>
  <c r="AK57" i="30" s="1"/>
  <c r="AK144" i="30"/>
  <c r="AV144" i="30"/>
  <c r="AV55" i="30"/>
  <c r="AV57" i="30" s="1"/>
  <c r="AF55" i="30"/>
  <c r="AF57" i="30" s="1"/>
  <c r="AF144" i="30"/>
  <c r="AD144" i="30"/>
  <c r="AD55" i="30"/>
  <c r="AD57" i="30" s="1"/>
  <c r="AJ55" i="30"/>
  <c r="AJ57" i="30" s="1"/>
  <c r="AJ144" i="30"/>
  <c r="BG144" i="30"/>
  <c r="BG55" i="30"/>
  <c r="BG57" i="30" s="1"/>
  <c r="AR55" i="30"/>
  <c r="AR57" i="30" s="1"/>
  <c r="AR144" i="30"/>
  <c r="AB55" i="30"/>
  <c r="AB57" i="30" s="1"/>
  <c r="AB144" i="30"/>
  <c r="AO55" i="30"/>
  <c r="AO57" i="30" s="1"/>
  <c r="AO144" i="30"/>
  <c r="BF144" i="30"/>
  <c r="BF55" i="30"/>
  <c r="BF57" i="30" s="1"/>
  <c r="AX144" i="30"/>
  <c r="AX55" i="30"/>
  <c r="AX57" i="30" s="1"/>
  <c r="AG55" i="30"/>
  <c r="AG57" i="30" s="1"/>
  <c r="AG144" i="30"/>
  <c r="AY55" i="30"/>
  <c r="AY144" i="30"/>
  <c r="BB55" i="30"/>
  <c r="BB57" i="30" s="1"/>
  <c r="BB144" i="30"/>
  <c r="BC144" i="30"/>
  <c r="BC55" i="30"/>
  <c r="BC57" i="30" s="1"/>
  <c r="AQ144" i="30"/>
  <c r="AQ55" i="30"/>
  <c r="AQ57" i="30" s="1"/>
  <c r="AP144" i="30"/>
  <c r="AP55" i="30"/>
  <c r="AP57" i="30" s="1"/>
  <c r="AU144" i="30"/>
  <c r="AU55" i="30"/>
  <c r="AU57" i="30" s="1"/>
  <c r="BD55" i="30"/>
  <c r="BD57" i="30" s="1"/>
  <c r="BD144" i="30"/>
  <c r="AM144" i="30"/>
  <c r="AM55" i="30"/>
  <c r="BA144" i="30"/>
  <c r="BA55" i="30"/>
  <c r="BA57" i="30" s="1"/>
  <c r="BJ144" i="30"/>
  <c r="BJ55" i="30"/>
  <c r="BJ57" i="30" s="1"/>
  <c r="AE144" i="30"/>
  <c r="AE55" i="30"/>
  <c r="AE57" i="30" s="1"/>
  <c r="AN144" i="30"/>
  <c r="AN55" i="30"/>
  <c r="AN57" i="30" s="1"/>
  <c r="BE144" i="30"/>
  <c r="BE55" i="30"/>
  <c r="BE57" i="30" s="1"/>
  <c r="AL55" i="30"/>
  <c r="AL57" i="30" s="1"/>
  <c r="AL144" i="30"/>
  <c r="CI37" i="30" l="1"/>
  <c r="CC37" i="30" s="1"/>
  <c r="CC35" i="30"/>
  <c r="CC46" i="30"/>
  <c r="CI55" i="30"/>
  <c r="AY57" i="30"/>
  <c r="CH55" i="30"/>
  <c r="AM57" i="30"/>
  <c r="CG55" i="30"/>
  <c r="CI144" i="30"/>
  <c r="CH144" i="30"/>
  <c r="CG144" i="30"/>
  <c r="CC55" i="30" l="1"/>
  <c r="CC144" i="30"/>
  <c r="CI57" i="30"/>
  <c r="CH57" i="30"/>
  <c r="CG57" i="30"/>
  <c r="BL130" i="30"/>
  <c r="CM130" i="30" s="1"/>
  <c r="CE130" i="30" s="1"/>
  <c r="A130" i="30" s="1" a="1"/>
  <c r="A130" i="30" s="1"/>
  <c r="CF222" i="6"/>
  <c r="A222" i="6" s="1" a="1"/>
  <c r="A222" i="6" s="1"/>
  <c r="CC57" i="30" l="1"/>
  <c r="N31" i="14" a="1"/>
  <c r="N31" i="14" s="1"/>
  <c r="C97" i="33"/>
  <c r="C83" i="6"/>
  <c r="M21" i="14" l="1"/>
  <c r="N21" i="14" s="1" a="1"/>
  <c r="N21" i="14" s="1"/>
  <c r="EX97" i="33"/>
  <c r="M27" i="14"/>
  <c r="N27" i="14" s="1" a="1"/>
  <c r="N27" i="14" s="1"/>
  <c r="C84" i="30"/>
  <c r="M24" i="14" s="1"/>
  <c r="EX83" i="6"/>
  <c r="N24" i="14" l="1" a="1"/>
  <c r="N24" i="14" s="1"/>
  <c r="EX84" i="30"/>
  <c r="V148" i="20"/>
  <c r="V146" i="20"/>
  <c r="V151" i="20" l="1"/>
  <c r="V158" i="20" s="1"/>
  <c r="V196" i="20" s="1"/>
  <c r="BL146" i="20"/>
  <c r="CN146" i="20" s="1"/>
  <c r="CF146" i="20" s="1"/>
  <c r="A146" i="20" s="1" a="1"/>
  <c r="A146" i="20" s="1"/>
  <c r="BL148" i="20"/>
  <c r="BZ146" i="20" l="1"/>
  <c r="BL151" i="20"/>
  <c r="BZ148" i="20"/>
  <c r="CN148" i="20"/>
  <c r="CF148" i="20" s="1"/>
  <c r="A148" i="20" s="1" a="1"/>
  <c r="A148" i="20" s="1"/>
  <c r="V160" i="20"/>
  <c r="BL27" i="30" l="1"/>
  <c r="V27" i="30" s="1"/>
  <c r="CM27" i="30" s="1"/>
  <c r="CE27" i="30" s="1"/>
  <c r="A27" i="30" s="1" a="1"/>
  <c r="A27" i="30" s="1"/>
  <c r="BL158" i="20"/>
  <c r="BZ151" i="20"/>
  <c r="CN151" i="20"/>
  <c r="CF151" i="20" s="1"/>
  <c r="A151" i="20" s="1" a="1"/>
  <c r="A151" i="20" s="1"/>
  <c r="BL196" i="20" l="1"/>
  <c r="CN196" i="20" s="1"/>
  <c r="CF196" i="20" s="1"/>
  <c r="A196" i="20" s="1" a="1"/>
  <c r="A196" i="20" s="1"/>
  <c r="BL33" i="30"/>
  <c r="BL160" i="20"/>
  <c r="BZ2" i="20" a="1"/>
  <c r="BZ2" i="20" s="1"/>
  <c r="CN158" i="20"/>
  <c r="CF158" i="20" s="1"/>
  <c r="A158" i="20" s="1" a="1"/>
  <c r="A158" i="20" s="1"/>
  <c r="B16" i="14" a="1"/>
  <c r="B16" i="14" l="1"/>
  <c r="BL151" i="30"/>
  <c r="BL58" i="33" s="1"/>
  <c r="V33" i="30"/>
  <c r="CN160" i="20"/>
  <c r="CF160" i="20" s="1"/>
  <c r="V151" i="30" l="1"/>
  <c r="CM151" i="30" s="1"/>
  <c r="CE151" i="30" s="1"/>
  <c r="CM33" i="30"/>
  <c r="CE33" i="30" s="1"/>
  <c r="A33" i="30" s="1" a="1"/>
  <c r="A33" i="30" s="1"/>
  <c r="A160" i="20" a="1"/>
  <c r="A160" i="20" s="1"/>
  <c r="V58" i="33" l="1"/>
  <c r="A151" i="30" a="1"/>
  <c r="A151" i="30" s="1"/>
  <c r="BL262" i="6" l="1"/>
  <c r="BN177" i="30" l="1"/>
  <c r="X177" i="30"/>
  <c r="Y177" i="30"/>
  <c r="BO177" i="30"/>
  <c r="AC177" i="30"/>
  <c r="AD177" i="30"/>
  <c r="AB177" i="30"/>
  <c r="AG177" i="30"/>
  <c r="AE177" i="30"/>
  <c r="AF177" i="30"/>
  <c r="AH177" i="30"/>
  <c r="AI177" i="30"/>
  <c r="AJ177" i="30"/>
  <c r="AO177" i="30"/>
  <c r="AK177" i="30"/>
  <c r="AM177" i="30"/>
  <c r="AN177" i="30"/>
  <c r="AP177" i="30"/>
  <c r="AQ177" i="30"/>
  <c r="AR177" i="30"/>
  <c r="AU177" i="30"/>
  <c r="AT177" i="30"/>
  <c r="AS177" i="30"/>
  <c r="AV177" i="30"/>
  <c r="AW177" i="30"/>
  <c r="BB177" i="30"/>
  <c r="BB82" i="35" s="1"/>
  <c r="AX177" i="30"/>
  <c r="AZ177" i="30"/>
  <c r="BF177" i="30"/>
  <c r="BF82" i="35" s="1"/>
  <c r="BA177" i="30"/>
  <c r="AY177" i="30"/>
  <c r="AY82" i="35" s="1"/>
  <c r="BC177" i="30"/>
  <c r="BE177" i="30"/>
  <c r="BE82" i="35" s="1"/>
  <c r="BD177" i="30"/>
  <c r="BG177" i="30"/>
  <c r="BI177" i="30"/>
  <c r="W177" i="30"/>
  <c r="AL177" i="30"/>
  <c r="BH177" i="30"/>
  <c r="BJ177" i="30"/>
  <c r="BM177" i="30"/>
  <c r="AA177" i="30"/>
  <c r="AA82" i="35" l="1"/>
  <c r="AA31" i="32"/>
  <c r="BM205" i="30"/>
  <c r="BM93" i="33" s="1"/>
  <c r="BM82" i="35"/>
  <c r="BJ31" i="32"/>
  <c r="BJ323" i="3" s="1"/>
  <c r="BJ82" i="35"/>
  <c r="BI31" i="32"/>
  <c r="BI336" i="3" s="1"/>
  <c r="BI82" i="35"/>
  <c r="BC31" i="32"/>
  <c r="BC333" i="3" s="1"/>
  <c r="BC82" i="35"/>
  <c r="AZ31" i="32"/>
  <c r="AZ340" i="3" s="1"/>
  <c r="AZ82" i="35"/>
  <c r="AV31" i="32"/>
  <c r="AV323" i="3" s="1"/>
  <c r="AV82" i="35"/>
  <c r="AR31" i="32"/>
  <c r="AR341" i="3" s="1"/>
  <c r="AR82" i="35"/>
  <c r="AM31" i="32"/>
  <c r="AM341" i="3" s="1"/>
  <c r="AM82" i="35"/>
  <c r="AI31" i="32"/>
  <c r="AI335" i="3" s="1"/>
  <c r="AI82" i="35"/>
  <c r="AG31" i="32"/>
  <c r="AG325" i="3" s="1"/>
  <c r="AG82" i="35"/>
  <c r="BO27" i="32"/>
  <c r="BO82" i="35"/>
  <c r="X68" i="33"/>
  <c r="X70" i="33" s="1"/>
  <c r="X82" i="35"/>
  <c r="BH31" i="32"/>
  <c r="BH340" i="3" s="1"/>
  <c r="BH82" i="35"/>
  <c r="BG31" i="32"/>
  <c r="BG327" i="3" s="1"/>
  <c r="BG82" i="35"/>
  <c r="AX31" i="32"/>
  <c r="AX331" i="3" s="1"/>
  <c r="AX82" i="35"/>
  <c r="AS31" i="32"/>
  <c r="AS326" i="3" s="1"/>
  <c r="AS82" i="35"/>
  <c r="AQ31" i="32"/>
  <c r="AQ336" i="3" s="1"/>
  <c r="AQ82" i="35"/>
  <c r="AK31" i="32"/>
  <c r="AK337" i="3" s="1"/>
  <c r="AK82" i="35"/>
  <c r="AH31" i="32"/>
  <c r="AH328" i="3" s="1"/>
  <c r="AH82" i="35"/>
  <c r="AB31" i="32"/>
  <c r="AB325" i="3" s="1"/>
  <c r="AB82" i="35"/>
  <c r="AL31" i="32"/>
  <c r="AL334" i="3" s="1"/>
  <c r="AL82" i="35"/>
  <c r="BD31" i="32"/>
  <c r="BD335" i="3" s="1"/>
  <c r="BD82" i="35"/>
  <c r="BA31" i="32"/>
  <c r="BA332" i="3" s="1"/>
  <c r="BA82" i="35"/>
  <c r="AT31" i="32"/>
  <c r="AT336" i="3" s="1"/>
  <c r="AT82" i="35"/>
  <c r="AP31" i="32"/>
  <c r="AP328" i="3" s="1"/>
  <c r="AP82" i="35"/>
  <c r="AO31" i="32"/>
  <c r="AO332" i="3" s="1"/>
  <c r="AO82" i="35"/>
  <c r="AF31" i="32"/>
  <c r="AF324" i="3" s="1"/>
  <c r="AF82" i="35"/>
  <c r="AD31" i="32"/>
  <c r="AD324" i="3" s="1"/>
  <c r="AD82" i="35"/>
  <c r="W205" i="30"/>
  <c r="W93" i="33" s="1"/>
  <c r="W82" i="35"/>
  <c r="AW31" i="32"/>
  <c r="AW331" i="3" s="1"/>
  <c r="AW82" i="35"/>
  <c r="AU31" i="32"/>
  <c r="AU336" i="3" s="1"/>
  <c r="AU82" i="35"/>
  <c r="AN31" i="32"/>
  <c r="AN337" i="3" s="1"/>
  <c r="AN82" i="35"/>
  <c r="AJ31" i="32"/>
  <c r="AJ337" i="3" s="1"/>
  <c r="AJ82" i="35"/>
  <c r="AE31" i="32"/>
  <c r="AE328" i="3" s="1"/>
  <c r="AE82" i="35"/>
  <c r="AC31" i="32"/>
  <c r="AC342" i="3" s="1"/>
  <c r="AC82" i="35"/>
  <c r="Y27" i="32"/>
  <c r="Y28" i="32" s="1"/>
  <c r="Y40" i="12" s="1"/>
  <c r="Y49" i="35" s="1"/>
  <c r="Y82" i="35"/>
  <c r="BN27" i="32"/>
  <c r="BN28" i="32" s="1"/>
  <c r="BN82" i="35"/>
  <c r="X31" i="32"/>
  <c r="X43" i="35" s="1"/>
  <c r="X27" i="32"/>
  <c r="X28" i="32" s="1"/>
  <c r="X40" i="12" s="1"/>
  <c r="X49" i="35" s="1"/>
  <c r="BM31" i="32"/>
  <c r="BM68" i="33"/>
  <c r="BM70" i="33" s="1"/>
  <c r="BM27" i="32"/>
  <c r="BH68" i="33"/>
  <c r="BH70" i="33" s="1"/>
  <c r="BH27" i="32"/>
  <c r="BH28" i="32" s="1"/>
  <c r="BH205" i="30"/>
  <c r="BH93" i="33" s="1"/>
  <c r="BE205" i="30"/>
  <c r="BE93" i="33" s="1"/>
  <c r="BE27" i="32"/>
  <c r="BE28" i="32" s="1"/>
  <c r="BE68" i="33"/>
  <c r="BE70" i="33" s="1"/>
  <c r="AY27" i="32"/>
  <c r="AY28" i="32" s="1"/>
  <c r="AY205" i="30"/>
  <c r="AY93" i="33" s="1"/>
  <c r="AY68" i="33"/>
  <c r="AY70" i="33" s="1"/>
  <c r="BB27" i="32"/>
  <c r="BB28" i="32" s="1"/>
  <c r="BB205" i="30"/>
  <c r="BB93" i="33" s="1"/>
  <c r="BB68" i="33"/>
  <c r="BB70" i="33" s="1"/>
  <c r="BB31" i="32"/>
  <c r="AA68" i="33"/>
  <c r="AA70" i="33" s="1"/>
  <c r="AA27" i="32"/>
  <c r="AA28" i="32" s="1"/>
  <c r="BA27" i="32"/>
  <c r="BA28" i="32" s="1"/>
  <c r="BA205" i="30"/>
  <c r="BA93" i="33" s="1"/>
  <c r="BA68" i="33"/>
  <c r="BA70" i="33" s="1"/>
  <c r="BJ68" i="33"/>
  <c r="BJ70" i="33" s="1"/>
  <c r="BJ205" i="30"/>
  <c r="BJ93" i="33" s="1"/>
  <c r="BJ27" i="32"/>
  <c r="BJ28" i="32" s="1"/>
  <c r="AL68" i="33"/>
  <c r="AL70" i="33" s="1"/>
  <c r="AL27" i="32"/>
  <c r="AL28" i="32" s="1"/>
  <c r="AL205" i="30"/>
  <c r="AL93" i="33" s="1"/>
  <c r="AA205" i="30"/>
  <c r="AA93" i="33" s="1"/>
  <c r="BI27" i="32"/>
  <c r="BI28" i="32" s="1"/>
  <c r="BI205" i="30"/>
  <c r="BI93" i="33" s="1"/>
  <c r="BI68" i="33"/>
  <c r="BI70" i="33" s="1"/>
  <c r="BD27" i="32"/>
  <c r="BD28" i="32" s="1"/>
  <c r="BD68" i="33"/>
  <c r="BD70" i="33" s="1"/>
  <c r="BD205" i="30"/>
  <c r="BD93" i="33" s="1"/>
  <c r="W31" i="32"/>
  <c r="W27" i="32"/>
  <c r="W28" i="32" s="1"/>
  <c r="W40" i="12" s="1"/>
  <c r="W49" i="35" s="1"/>
  <c r="W68" i="33"/>
  <c r="W70" i="33" s="1"/>
  <c r="BG27" i="32"/>
  <c r="BG28" i="32" s="1"/>
  <c r="BG205" i="30"/>
  <c r="BG93" i="33" s="1"/>
  <c r="BG68" i="33"/>
  <c r="BG70" i="33" s="1"/>
  <c r="BE31" i="32"/>
  <c r="BC27" i="32"/>
  <c r="BC28" i="32" s="1"/>
  <c r="BC205" i="30"/>
  <c r="BC93" i="33" s="1"/>
  <c r="BC68" i="33"/>
  <c r="BC70" i="33" s="1"/>
  <c r="AY31" i="32"/>
  <c r="BF205" i="30"/>
  <c r="BF93" i="33" s="1"/>
  <c r="BF27" i="32"/>
  <c r="BF28" i="32" s="1"/>
  <c r="BF68" i="33"/>
  <c r="BF70" i="33" s="1"/>
  <c r="BF31" i="32"/>
  <c r="AZ27" i="32"/>
  <c r="AZ28" i="32" s="1"/>
  <c r="AZ205" i="30"/>
  <c r="AZ93" i="33" s="1"/>
  <c r="AZ68" i="33"/>
  <c r="AZ70" i="33" s="1"/>
  <c r="AV27" i="32"/>
  <c r="AV28" i="32" s="1"/>
  <c r="AV68" i="33"/>
  <c r="AV70" i="33" s="1"/>
  <c r="AV205" i="30"/>
  <c r="AV93" i="33" s="1"/>
  <c r="AT27" i="32"/>
  <c r="AT28" i="32" s="1"/>
  <c r="AT205" i="30"/>
  <c r="AT93" i="33" s="1"/>
  <c r="AT68" i="33"/>
  <c r="AT70" i="33" s="1"/>
  <c r="AS68" i="33"/>
  <c r="AS70" i="33" s="1"/>
  <c r="AS27" i="32"/>
  <c r="AS28" i="32" s="1"/>
  <c r="AS205" i="30"/>
  <c r="AS93" i="33" s="1"/>
  <c r="AU68" i="33"/>
  <c r="AU70" i="33" s="1"/>
  <c r="AU205" i="30"/>
  <c r="AU93" i="33" s="1"/>
  <c r="AU27" i="32"/>
  <c r="AU28" i="32" s="1"/>
  <c r="AX27" i="32"/>
  <c r="AX28" i="32" s="1"/>
  <c r="AX68" i="33"/>
  <c r="AX70" i="33" s="1"/>
  <c r="AX205" i="30"/>
  <c r="AX93" i="33" s="1"/>
  <c r="AW27" i="32"/>
  <c r="AW28" i="32" s="1"/>
  <c r="AW68" i="33"/>
  <c r="AW70" i="33" s="1"/>
  <c r="AW205" i="30"/>
  <c r="AW93" i="33" s="1"/>
  <c r="AR205" i="30"/>
  <c r="AR93" i="33" s="1"/>
  <c r="AR27" i="32"/>
  <c r="AR28" i="32" s="1"/>
  <c r="AR68" i="33"/>
  <c r="AR70" i="33" s="1"/>
  <c r="AM27" i="32"/>
  <c r="AM28" i="32" s="1"/>
  <c r="AM205" i="30"/>
  <c r="AM93" i="33" s="1"/>
  <c r="AM68" i="33"/>
  <c r="AM70" i="33" s="1"/>
  <c r="AQ205" i="30"/>
  <c r="AQ93" i="33" s="1"/>
  <c r="AQ27" i="32"/>
  <c r="AQ28" i="32" s="1"/>
  <c r="AQ68" i="33"/>
  <c r="AQ70" i="33" s="1"/>
  <c r="AN68" i="33"/>
  <c r="AN70" i="33" s="1"/>
  <c r="AN205" i="30"/>
  <c r="AN93" i="33" s="1"/>
  <c r="AN27" i="32"/>
  <c r="AN28" i="32" s="1"/>
  <c r="AO68" i="33"/>
  <c r="AO70" i="33" s="1"/>
  <c r="AO205" i="30"/>
  <c r="AO93" i="33" s="1"/>
  <c r="AO27" i="32"/>
  <c r="AO28" i="32" s="1"/>
  <c r="AP68" i="33"/>
  <c r="AP70" i="33" s="1"/>
  <c r="AP205" i="30"/>
  <c r="AP93" i="33" s="1"/>
  <c r="AP27" i="32"/>
  <c r="AP28" i="32" s="1"/>
  <c r="AI27" i="32"/>
  <c r="AI28" i="32" s="1"/>
  <c r="AI205" i="30"/>
  <c r="AI93" i="33" s="1"/>
  <c r="AI68" i="33"/>
  <c r="AI70" i="33" s="1"/>
  <c r="AH27" i="32"/>
  <c r="AH28" i="32" s="1"/>
  <c r="AH205" i="30"/>
  <c r="AH93" i="33" s="1"/>
  <c r="AH68" i="33"/>
  <c r="AH70" i="33" s="1"/>
  <c r="AF27" i="32"/>
  <c r="AF28" i="32" s="1"/>
  <c r="AF205" i="30"/>
  <c r="AF93" i="33" s="1"/>
  <c r="AF68" i="33"/>
  <c r="AF70" i="33" s="1"/>
  <c r="AK27" i="32"/>
  <c r="AK28" i="32" s="1"/>
  <c r="AK68" i="33"/>
  <c r="AK70" i="33" s="1"/>
  <c r="AK205" i="30"/>
  <c r="AK93" i="33" s="1"/>
  <c r="AE27" i="32"/>
  <c r="AE28" i="32" s="1"/>
  <c r="AE205" i="30"/>
  <c r="AE93" i="33" s="1"/>
  <c r="AE68" i="33"/>
  <c r="AE70" i="33" s="1"/>
  <c r="AJ205" i="30"/>
  <c r="AJ93" i="33" s="1"/>
  <c r="AJ68" i="33"/>
  <c r="AJ70" i="33" s="1"/>
  <c r="AJ27" i="32"/>
  <c r="AJ28" i="32" s="1"/>
  <c r="AB27" i="32"/>
  <c r="AB28" i="32" s="1"/>
  <c r="AB68" i="33"/>
  <c r="AB70" i="33" s="1"/>
  <c r="AB205" i="30"/>
  <c r="AB93" i="33" s="1"/>
  <c r="AD68" i="33"/>
  <c r="AD70" i="33" s="1"/>
  <c r="AD27" i="32"/>
  <c r="AD28" i="32" s="1"/>
  <c r="AD205" i="30"/>
  <c r="AD93" i="33" s="1"/>
  <c r="AG205" i="30"/>
  <c r="AG93" i="33" s="1"/>
  <c r="AG68" i="33"/>
  <c r="AG70" i="33" s="1"/>
  <c r="AG27" i="32"/>
  <c r="AG28" i="32" s="1"/>
  <c r="AC205" i="30"/>
  <c r="AC93" i="33" s="1"/>
  <c r="AC68" i="33"/>
  <c r="AC27" i="32"/>
  <c r="AC28" i="32" s="1"/>
  <c r="BO68" i="33"/>
  <c r="BO70" i="33" s="1"/>
  <c r="BO205" i="30"/>
  <c r="BO93" i="33" s="1"/>
  <c r="BO31" i="32"/>
  <c r="BN68" i="33"/>
  <c r="BN70" i="33" s="1"/>
  <c r="BN31" i="32"/>
  <c r="Y205" i="30"/>
  <c r="Y93" i="33" s="1"/>
  <c r="Y68" i="33"/>
  <c r="Y70" i="33" s="1"/>
  <c r="BN205" i="30"/>
  <c r="BN93" i="33" s="1"/>
  <c r="Y31" i="32"/>
  <c r="X205" i="30"/>
  <c r="X93" i="33" s="1"/>
  <c r="AR342" i="3" l="1"/>
  <c r="AZ342" i="3"/>
  <c r="AI339" i="3"/>
  <c r="AG339" i="3"/>
  <c r="AI326" i="3"/>
  <c r="X95" i="33"/>
  <c r="AI337" i="3"/>
  <c r="AI323" i="3"/>
  <c r="AI336" i="3"/>
  <c r="AI328" i="3"/>
  <c r="AI341" i="3"/>
  <c r="AI325" i="3"/>
  <c r="AI332" i="3"/>
  <c r="AI329" i="3"/>
  <c r="AI342" i="3"/>
  <c r="AG329" i="3"/>
  <c r="AG341" i="3"/>
  <c r="AG332" i="3"/>
  <c r="AG334" i="3"/>
  <c r="AI330" i="3"/>
  <c r="AI338" i="3"/>
  <c r="AI327" i="3"/>
  <c r="AR327" i="3"/>
  <c r="AM323" i="3"/>
  <c r="AQ330" i="3"/>
  <c r="AF332" i="3"/>
  <c r="AQ323" i="3"/>
  <c r="AD331" i="3"/>
  <c r="AG326" i="3"/>
  <c r="AG336" i="3"/>
  <c r="AV328" i="3"/>
  <c r="BJ337" i="3"/>
  <c r="AD340" i="3"/>
  <c r="AG337" i="3"/>
  <c r="AG340" i="3"/>
  <c r="AV327" i="3"/>
  <c r="BJ326" i="3"/>
  <c r="AB324" i="3"/>
  <c r="AM326" i="3"/>
  <c r="CG31" i="32"/>
  <c r="AB332" i="3"/>
  <c r="AM342" i="3"/>
  <c r="BJ331" i="3"/>
  <c r="AO335" i="3"/>
  <c r="AD335" i="3"/>
  <c r="AG338" i="3"/>
  <c r="AG333" i="3"/>
  <c r="AG327" i="3"/>
  <c r="AH327" i="3"/>
  <c r="BJ332" i="3"/>
  <c r="AD341" i="3"/>
  <c r="AG324" i="3"/>
  <c r="AG331" i="3"/>
  <c r="AG342" i="3"/>
  <c r="AH324" i="3"/>
  <c r="AQ338" i="3"/>
  <c r="AM336" i="3"/>
  <c r="AV333" i="3"/>
  <c r="BJ333" i="3"/>
  <c r="AD329" i="3"/>
  <c r="AG330" i="3"/>
  <c r="AG323" i="3"/>
  <c r="AG328" i="3"/>
  <c r="AG335" i="3"/>
  <c r="AH336" i="3"/>
  <c r="AM339" i="3"/>
  <c r="AV334" i="3"/>
  <c r="BH325" i="3"/>
  <c r="BI324" i="3"/>
  <c r="AQ329" i="3"/>
  <c r="BH338" i="3"/>
  <c r="CH27" i="32"/>
  <c r="BO28" i="32"/>
  <c r="CH28" i="32" s="1"/>
  <c r="X45" i="13"/>
  <c r="X97" i="35" s="1"/>
  <c r="X2" i="9" s="1"/>
  <c r="AF326" i="3"/>
  <c r="AR340" i="3"/>
  <c r="AC324" i="3"/>
  <c r="AD333" i="3"/>
  <c r="AD328" i="3"/>
  <c r="AD337" i="3"/>
  <c r="AD336" i="3"/>
  <c r="AD342" i="3"/>
  <c r="AD325" i="3"/>
  <c r="AD330" i="3"/>
  <c r="AD332" i="3"/>
  <c r="AD334" i="3"/>
  <c r="AH339" i="3"/>
  <c r="AH338" i="3"/>
  <c r="AO339" i="3"/>
  <c r="X39" i="12"/>
  <c r="AD339" i="3"/>
  <c r="AD327" i="3"/>
  <c r="AD338" i="3"/>
  <c r="AD326" i="3"/>
  <c r="AH325" i="3"/>
  <c r="AH334" i="3"/>
  <c r="AH330" i="3"/>
  <c r="AO334" i="3"/>
  <c r="AN324" i="3"/>
  <c r="AD323" i="3"/>
  <c r="AH331" i="3"/>
  <c r="AH335" i="3"/>
  <c r="AO328" i="3"/>
  <c r="AN334" i="3"/>
  <c r="BH332" i="3"/>
  <c r="AB336" i="3"/>
  <c r="AB333" i="3"/>
  <c r="AC323" i="3"/>
  <c r="AF323" i="3"/>
  <c r="AF327" i="3"/>
  <c r="AK327" i="3"/>
  <c r="AB341" i="3"/>
  <c r="AB331" i="3"/>
  <c r="AB338" i="3"/>
  <c r="AF339" i="3"/>
  <c r="AF342" i="3"/>
  <c r="AK335" i="3"/>
  <c r="AB328" i="3"/>
  <c r="AB330" i="3"/>
  <c r="AC326" i="3"/>
  <c r="AF331" i="3"/>
  <c r="AK324" i="3"/>
  <c r="AE340" i="3"/>
  <c r="AE333" i="3"/>
  <c r="AE329" i="3"/>
  <c r="AJ336" i="3"/>
  <c r="AE341" i="3"/>
  <c r="AN327" i="3"/>
  <c r="AP327" i="3"/>
  <c r="AN333" i="3"/>
  <c r="AC333" i="3"/>
  <c r="AC341" i="3"/>
  <c r="AF335" i="3"/>
  <c r="AF337" i="3"/>
  <c r="AF325" i="3"/>
  <c r="AK342" i="3"/>
  <c r="AR329" i="3"/>
  <c r="AZ341" i="3"/>
  <c r="AJ329" i="3"/>
  <c r="AP325" i="3"/>
  <c r="AX327" i="3"/>
  <c r="AC325" i="3"/>
  <c r="AC329" i="3"/>
  <c r="AF340" i="3"/>
  <c r="AF328" i="3"/>
  <c r="AF341" i="3"/>
  <c r="AF330" i="3"/>
  <c r="AH341" i="3"/>
  <c r="AH332" i="3"/>
  <c r="AH323" i="3"/>
  <c r="AH342" i="3"/>
  <c r="AH340" i="3"/>
  <c r="AI324" i="3"/>
  <c r="AK339" i="3"/>
  <c r="AK323" i="3"/>
  <c r="AE324" i="3"/>
  <c r="AE332" i="3"/>
  <c r="AJ338" i="3"/>
  <c r="AO324" i="3"/>
  <c r="AN325" i="3"/>
  <c r="AN336" i="3"/>
  <c r="AR324" i="3"/>
  <c r="AP326" i="3"/>
  <c r="AR323" i="3"/>
  <c r="AR339" i="3"/>
  <c r="AQ324" i="3"/>
  <c r="AQ332" i="3"/>
  <c r="AM330" i="3"/>
  <c r="AM328" i="3"/>
  <c r="AV342" i="3"/>
  <c r="AV337" i="3"/>
  <c r="AZ329" i="3"/>
  <c r="AZ328" i="3"/>
  <c r="BH329" i="3"/>
  <c r="BJ338" i="3"/>
  <c r="BM209" i="30"/>
  <c r="BM97" i="33" s="1"/>
  <c r="BI335" i="3"/>
  <c r="AC331" i="3"/>
  <c r="AC334" i="3"/>
  <c r="AC336" i="3"/>
  <c r="AF338" i="3"/>
  <c r="AF329" i="3"/>
  <c r="AF336" i="3"/>
  <c r="AF333" i="3"/>
  <c r="AF334" i="3"/>
  <c r="AH326" i="3"/>
  <c r="AH329" i="3"/>
  <c r="AH333" i="3"/>
  <c r="AH337" i="3"/>
  <c r="AI331" i="3"/>
  <c r="AI334" i="3"/>
  <c r="AI333" i="3"/>
  <c r="AI340" i="3"/>
  <c r="AK340" i="3"/>
  <c r="AK330" i="3"/>
  <c r="AK336" i="3"/>
  <c r="AE323" i="3"/>
  <c r="AE339" i="3"/>
  <c r="AJ339" i="3"/>
  <c r="AO326" i="3"/>
  <c r="AO331" i="3"/>
  <c r="AN330" i="3"/>
  <c r="AN329" i="3"/>
  <c r="AP340" i="3"/>
  <c r="AR334" i="3"/>
  <c r="AQ333" i="3"/>
  <c r="AQ339" i="3"/>
  <c r="AM332" i="3"/>
  <c r="AM327" i="3"/>
  <c r="AM338" i="3"/>
  <c r="AV325" i="3"/>
  <c r="AV331" i="3"/>
  <c r="AZ325" i="3"/>
  <c r="BH339" i="3"/>
  <c r="BJ330" i="3"/>
  <c r="BJ342" i="3"/>
  <c r="BI332" i="3"/>
  <c r="BH335" i="3"/>
  <c r="AX332" i="3"/>
  <c r="AJ328" i="3"/>
  <c r="AX342" i="3"/>
  <c r="AX340" i="3"/>
  <c r="AC337" i="3"/>
  <c r="AC339" i="3"/>
  <c r="AC338" i="3"/>
  <c r="AC335" i="3"/>
  <c r="AC328" i="3"/>
  <c r="AK326" i="3"/>
  <c r="AK334" i="3"/>
  <c r="AK338" i="3"/>
  <c r="AK332" i="3"/>
  <c r="AK341" i="3"/>
  <c r="AE336" i="3"/>
  <c r="AE335" i="3"/>
  <c r="AE327" i="3"/>
  <c r="AJ324" i="3"/>
  <c r="AJ342" i="3"/>
  <c r="AJ330" i="3"/>
  <c r="AO336" i="3"/>
  <c r="AO337" i="3"/>
  <c r="AO329" i="3"/>
  <c r="AO325" i="3"/>
  <c r="AN339" i="3"/>
  <c r="AN328" i="3"/>
  <c r="AN326" i="3"/>
  <c r="AP324" i="3"/>
  <c r="AP333" i="3"/>
  <c r="AR336" i="3"/>
  <c r="AR332" i="3"/>
  <c r="AR325" i="3"/>
  <c r="AR335" i="3"/>
  <c r="AQ340" i="3"/>
  <c r="AQ331" i="3"/>
  <c r="AQ326" i="3"/>
  <c r="AQ328" i="3"/>
  <c r="AM324" i="3"/>
  <c r="AM334" i="3"/>
  <c r="AM333" i="3"/>
  <c r="AM335" i="3"/>
  <c r="AM340" i="3"/>
  <c r="AV329" i="3"/>
  <c r="AV340" i="3"/>
  <c r="AV336" i="3"/>
  <c r="AV330" i="3"/>
  <c r="AZ337" i="3"/>
  <c r="AZ326" i="3"/>
  <c r="AZ332" i="3"/>
  <c r="BH331" i="3"/>
  <c r="BH330" i="3"/>
  <c r="BH326" i="3"/>
  <c r="BJ325" i="3"/>
  <c r="BJ340" i="3"/>
  <c r="BH324" i="3"/>
  <c r="AX334" i="3"/>
  <c r="AX326" i="3"/>
  <c r="BI326" i="3"/>
  <c r="AC332" i="3"/>
  <c r="AC327" i="3"/>
  <c r="AC330" i="3"/>
  <c r="AC340" i="3"/>
  <c r="AK331" i="3"/>
  <c r="AK328" i="3"/>
  <c r="AK325" i="3"/>
  <c r="AK329" i="3"/>
  <c r="AK333" i="3"/>
  <c r="AE325" i="3"/>
  <c r="AE337" i="3"/>
  <c r="AE326" i="3"/>
  <c r="AE342" i="3"/>
  <c r="AJ340" i="3"/>
  <c r="AJ333" i="3"/>
  <c r="AO327" i="3"/>
  <c r="AO340" i="3"/>
  <c r="AO333" i="3"/>
  <c r="AO338" i="3"/>
  <c r="AN331" i="3"/>
  <c r="AN340" i="3"/>
  <c r="AN332" i="3"/>
  <c r="AN342" i="3"/>
  <c r="AP331" i="3"/>
  <c r="AP330" i="3"/>
  <c r="AR338" i="3"/>
  <c r="AR330" i="3"/>
  <c r="AR331" i="3"/>
  <c r="AQ334" i="3"/>
  <c r="AQ342" i="3"/>
  <c r="AQ325" i="3"/>
  <c r="AM325" i="3"/>
  <c r="AM337" i="3"/>
  <c r="AM331" i="3"/>
  <c r="AM329" i="3"/>
  <c r="AV338" i="3"/>
  <c r="AV332" i="3"/>
  <c r="AV326" i="3"/>
  <c r="AV339" i="3"/>
  <c r="AV335" i="3"/>
  <c r="AZ330" i="3"/>
  <c r="AZ336" i="3"/>
  <c r="BI341" i="3"/>
  <c r="BJ329" i="3"/>
  <c r="BH333" i="3"/>
  <c r="BH336" i="3"/>
  <c r="BH342" i="3"/>
  <c r="BJ341" i="3"/>
  <c r="BH323" i="3"/>
  <c r="AX337" i="3"/>
  <c r="AX333" i="3"/>
  <c r="BI325" i="3"/>
  <c r="AX325" i="3"/>
  <c r="AJ323" i="3"/>
  <c r="AJ325" i="3"/>
  <c r="AJ335" i="3"/>
  <c r="AJ341" i="3"/>
  <c r="AP341" i="3"/>
  <c r="AP337" i="3"/>
  <c r="AP342" i="3"/>
  <c r="AP335" i="3"/>
  <c r="AZ338" i="3"/>
  <c r="AZ335" i="3"/>
  <c r="AZ334" i="3"/>
  <c r="BI334" i="3"/>
  <c r="BI327" i="3"/>
  <c r="BI330" i="3"/>
  <c r="AJ332" i="3"/>
  <c r="AP338" i="3"/>
  <c r="AP323" i="3"/>
  <c r="AP334" i="3"/>
  <c r="AZ333" i="3"/>
  <c r="BI339" i="3"/>
  <c r="BI337" i="3"/>
  <c r="AX329" i="3"/>
  <c r="AJ334" i="3"/>
  <c r="AJ327" i="3"/>
  <c r="AJ326" i="3"/>
  <c r="AJ331" i="3"/>
  <c r="AP339" i="3"/>
  <c r="AP329" i="3"/>
  <c r="AP336" i="3"/>
  <c r="AP332" i="3"/>
  <c r="AR328" i="3"/>
  <c r="AR337" i="3"/>
  <c r="AR333" i="3"/>
  <c r="AR326" i="3"/>
  <c r="AZ323" i="3"/>
  <c r="AZ327" i="3"/>
  <c r="AZ339" i="3"/>
  <c r="AZ324" i="3"/>
  <c r="AZ331" i="3"/>
  <c r="BI329" i="3"/>
  <c r="BI338" i="3"/>
  <c r="BI342" i="3"/>
  <c r="BI331" i="3"/>
  <c r="AS332" i="3"/>
  <c r="BC336" i="3"/>
  <c r="BC331" i="3"/>
  <c r="BA326" i="3"/>
  <c r="BI340" i="3"/>
  <c r="BI328" i="3"/>
  <c r="BI333" i="3"/>
  <c r="BC328" i="3"/>
  <c r="BC340" i="3"/>
  <c r="BC329" i="3"/>
  <c r="BC341" i="3"/>
  <c r="BC323" i="3"/>
  <c r="BC327" i="3"/>
  <c r="AW342" i="3"/>
  <c r="AT327" i="3"/>
  <c r="AB334" i="3"/>
  <c r="AB335" i="3"/>
  <c r="AB327" i="3"/>
  <c r="AB323" i="3"/>
  <c r="AB339" i="3"/>
  <c r="AB329" i="3"/>
  <c r="AB337" i="3"/>
  <c r="AB340" i="3"/>
  <c r="AB342" i="3"/>
  <c r="AB326" i="3"/>
  <c r="AW340" i="3"/>
  <c r="AT338" i="3"/>
  <c r="AU332" i="3"/>
  <c r="AS331" i="3"/>
  <c r="AU324" i="3"/>
  <c r="AS341" i="3"/>
  <c r="BE95" i="33"/>
  <c r="AS333" i="3"/>
  <c r="AU329" i="3"/>
  <c r="AS329" i="3"/>
  <c r="AU337" i="3"/>
  <c r="AS337" i="3"/>
  <c r="AS328" i="3"/>
  <c r="AU327" i="3"/>
  <c r="AU341" i="3"/>
  <c r="AU328" i="3"/>
  <c r="AU331" i="3"/>
  <c r="AU339" i="3"/>
  <c r="AS335" i="3"/>
  <c r="AS338" i="3"/>
  <c r="AU340" i="3"/>
  <c r="BA330" i="3"/>
  <c r="BN95" i="33"/>
  <c r="W115" i="13"/>
  <c r="BA335" i="3"/>
  <c r="AS330" i="3"/>
  <c r="AL336" i="3"/>
  <c r="BA325" i="3"/>
  <c r="BG337" i="3"/>
  <c r="AL338" i="3"/>
  <c r="Y95" i="33"/>
  <c r="AL95" i="33"/>
  <c r="BA333" i="3"/>
  <c r="BH95" i="33"/>
  <c r="BG338" i="3"/>
  <c r="BD340" i="3"/>
  <c r="AQ95" i="33"/>
  <c r="BF95" i="33"/>
  <c r="AE338" i="3"/>
  <c r="AE334" i="3"/>
  <c r="AE330" i="3"/>
  <c r="AE331" i="3"/>
  <c r="AO342" i="3"/>
  <c r="AO330" i="3"/>
  <c r="AO341" i="3"/>
  <c r="AO323" i="3"/>
  <c r="AN323" i="3"/>
  <c r="AN338" i="3"/>
  <c r="AN341" i="3"/>
  <c r="AN335" i="3"/>
  <c r="AQ341" i="3"/>
  <c r="AQ335" i="3"/>
  <c r="AQ337" i="3"/>
  <c r="AQ327" i="3"/>
  <c r="AV341" i="3"/>
  <c r="AV324" i="3"/>
  <c r="BJ334" i="3"/>
  <c r="BH328" i="3"/>
  <c r="BH334" i="3"/>
  <c r="BH337" i="3"/>
  <c r="AW329" i="3"/>
  <c r="AW338" i="3"/>
  <c r="BJ327" i="3"/>
  <c r="BJ336" i="3"/>
  <c r="BJ335" i="3"/>
  <c r="BJ328" i="3"/>
  <c r="AT328" i="3"/>
  <c r="AT335" i="3"/>
  <c r="AX324" i="3"/>
  <c r="AX323" i="3"/>
  <c r="AX339" i="3"/>
  <c r="AX341" i="3"/>
  <c r="AX336" i="3"/>
  <c r="BH327" i="3"/>
  <c r="BA331" i="3"/>
  <c r="BJ324" i="3"/>
  <c r="BJ339" i="3"/>
  <c r="BC332" i="3"/>
  <c r="BC326" i="3"/>
  <c r="BC335" i="3"/>
  <c r="BC337" i="3"/>
  <c r="BG335" i="3"/>
  <c r="BD332" i="3"/>
  <c r="AW328" i="3"/>
  <c r="AW335" i="3"/>
  <c r="AW323" i="3"/>
  <c r="AT323" i="3"/>
  <c r="AT324" i="3"/>
  <c r="AT339" i="3"/>
  <c r="BC338" i="3"/>
  <c r="BC339" i="3"/>
  <c r="BC334" i="3"/>
  <c r="BC342" i="3"/>
  <c r="BD338" i="3"/>
  <c r="AW339" i="3"/>
  <c r="AW326" i="3"/>
  <c r="AW337" i="3"/>
  <c r="AT337" i="3"/>
  <c r="AT331" i="3"/>
  <c r="AT330" i="3"/>
  <c r="AX335" i="3"/>
  <c r="AX328" i="3"/>
  <c r="AX338" i="3"/>
  <c r="AX330" i="3"/>
  <c r="BH341" i="3"/>
  <c r="BC324" i="3"/>
  <c r="AU330" i="3"/>
  <c r="AU326" i="3"/>
  <c r="AU335" i="3"/>
  <c r="AU325" i="3"/>
  <c r="AU338" i="3"/>
  <c r="AW325" i="3"/>
  <c r="AW330" i="3"/>
  <c r="AW332" i="3"/>
  <c r="AW333" i="3"/>
  <c r="AW341" i="3"/>
  <c r="AT340" i="3"/>
  <c r="AT342" i="3"/>
  <c r="AT332" i="3"/>
  <c r="AT334" i="3"/>
  <c r="AT329" i="3"/>
  <c r="AS323" i="3"/>
  <c r="AS325" i="3"/>
  <c r="AS342" i="3"/>
  <c r="AS336" i="3"/>
  <c r="AS340" i="3"/>
  <c r="BA327" i="3"/>
  <c r="BA334" i="3"/>
  <c r="BG326" i="3"/>
  <c r="AL337" i="3"/>
  <c r="AL332" i="3"/>
  <c r="BD328" i="3"/>
  <c r="AU323" i="3"/>
  <c r="AU333" i="3"/>
  <c r="AU342" i="3"/>
  <c r="AU334" i="3"/>
  <c r="AW324" i="3"/>
  <c r="AW327" i="3"/>
  <c r="AW334" i="3"/>
  <c r="AW336" i="3"/>
  <c r="AT333" i="3"/>
  <c r="AT326" i="3"/>
  <c r="AT325" i="3"/>
  <c r="AT341" i="3"/>
  <c r="AS339" i="3"/>
  <c r="AS327" i="3"/>
  <c r="AS334" i="3"/>
  <c r="AS324" i="3"/>
  <c r="BA324" i="3"/>
  <c r="BA336" i="3"/>
  <c r="BA329" i="3"/>
  <c r="BC330" i="3"/>
  <c r="BC325" i="3"/>
  <c r="BG330" i="3"/>
  <c r="AL342" i="3"/>
  <c r="BD330" i="3"/>
  <c r="BI323" i="3"/>
  <c r="AP95" i="33"/>
  <c r="AX95" i="33"/>
  <c r="AT95" i="33"/>
  <c r="AA95" i="33"/>
  <c r="BG324" i="3"/>
  <c r="BG328" i="3"/>
  <c r="BG333" i="3"/>
  <c r="AL335" i="3"/>
  <c r="AL327" i="3"/>
  <c r="BD333" i="3"/>
  <c r="BD324" i="3"/>
  <c r="BD339" i="3"/>
  <c r="AJ95" i="33"/>
  <c r="AH95" i="33"/>
  <c r="AN95" i="33"/>
  <c r="AU95" i="33"/>
  <c r="AV95" i="33"/>
  <c r="AZ95" i="33"/>
  <c r="BD95" i="33"/>
  <c r="BB95" i="33"/>
  <c r="BA342" i="3"/>
  <c r="BA338" i="3"/>
  <c r="BA340" i="3"/>
  <c r="BG340" i="3"/>
  <c r="BG339" i="3"/>
  <c r="AL323" i="3"/>
  <c r="AL325" i="3"/>
  <c r="AL328" i="3"/>
  <c r="BD336" i="3"/>
  <c r="BD326" i="3"/>
  <c r="AR95" i="33"/>
  <c r="AD95" i="33"/>
  <c r="AC95" i="33"/>
  <c r="AE95" i="33"/>
  <c r="AI95" i="33"/>
  <c r="AW95" i="33"/>
  <c r="BJ95" i="33"/>
  <c r="BA95" i="33"/>
  <c r="BA339" i="3"/>
  <c r="BA341" i="3"/>
  <c r="BA323" i="3"/>
  <c r="BA337" i="3"/>
  <c r="W209" i="30"/>
  <c r="W97" i="33" s="1"/>
  <c r="BG341" i="3"/>
  <c r="BG325" i="3"/>
  <c r="BG342" i="3"/>
  <c r="BG336" i="3"/>
  <c r="BG334" i="3"/>
  <c r="AL329" i="3"/>
  <c r="AL340" i="3"/>
  <c r="AL333" i="3"/>
  <c r="AL331" i="3"/>
  <c r="AL339" i="3"/>
  <c r="BD331" i="3"/>
  <c r="BD342" i="3"/>
  <c r="BD337" i="3"/>
  <c r="BD327" i="3"/>
  <c r="BD325" i="3"/>
  <c r="BO95" i="33"/>
  <c r="AG95" i="33"/>
  <c r="AB95" i="33"/>
  <c r="AK95" i="33"/>
  <c r="AF95" i="33"/>
  <c r="AO95" i="33"/>
  <c r="AM95" i="33"/>
  <c r="BC95" i="33"/>
  <c r="BG95" i="33"/>
  <c r="BI95" i="33"/>
  <c r="BA328" i="3"/>
  <c r="AY95" i="33"/>
  <c r="BG332" i="3"/>
  <c r="BG329" i="3"/>
  <c r="BG323" i="3"/>
  <c r="BG331" i="3"/>
  <c r="AL324" i="3"/>
  <c r="AL330" i="3"/>
  <c r="AL326" i="3"/>
  <c r="AL341" i="3"/>
  <c r="BD323" i="3"/>
  <c r="BD329" i="3"/>
  <c r="BD341" i="3"/>
  <c r="BD334" i="3"/>
  <c r="AS95" i="33"/>
  <c r="W95" i="33"/>
  <c r="BM95" i="33"/>
  <c r="AC70" i="33"/>
  <c r="CG28" i="32"/>
  <c r="CH31" i="32"/>
  <c r="CF31" i="32"/>
  <c r="CF27" i="32"/>
  <c r="CG27" i="32"/>
  <c r="BF333" i="3"/>
  <c r="BF337" i="3"/>
  <c r="BF327" i="3"/>
  <c r="BF326" i="3"/>
  <c r="BF328" i="3"/>
  <c r="BF323" i="3"/>
  <c r="BF330" i="3"/>
  <c r="BF341" i="3"/>
  <c r="BF331" i="3"/>
  <c r="BF339" i="3"/>
  <c r="BF332" i="3"/>
  <c r="BF340" i="3"/>
  <c r="BF342" i="3"/>
  <c r="BF334" i="3"/>
  <c r="BF329" i="3"/>
  <c r="BF335" i="3"/>
  <c r="BF324" i="3"/>
  <c r="BF338" i="3"/>
  <c r="BF325" i="3"/>
  <c r="BF336" i="3"/>
  <c r="BE338" i="3"/>
  <c r="BE341" i="3"/>
  <c r="BE330" i="3"/>
  <c r="BE326" i="3"/>
  <c r="BE323" i="3"/>
  <c r="BE334" i="3"/>
  <c r="BE337" i="3"/>
  <c r="BE335" i="3"/>
  <c r="BE336" i="3"/>
  <c r="BE331" i="3"/>
  <c r="BE329" i="3"/>
  <c r="BE342" i="3"/>
  <c r="BE328" i="3"/>
  <c r="BE340" i="3"/>
  <c r="BE339" i="3"/>
  <c r="BE333" i="3"/>
  <c r="BE327" i="3"/>
  <c r="BE332" i="3"/>
  <c r="BE325" i="3"/>
  <c r="BE324" i="3"/>
  <c r="AA209" i="30"/>
  <c r="AA97" i="33" s="1"/>
  <c r="X115" i="13"/>
  <c r="AA337" i="3"/>
  <c r="AA341" i="3"/>
  <c r="AA329" i="3"/>
  <c r="AA338" i="3"/>
  <c r="AA328" i="3"/>
  <c r="AA335" i="3"/>
  <c r="AA336" i="3"/>
  <c r="AA326" i="3"/>
  <c r="AA333" i="3"/>
  <c r="AA342" i="3"/>
  <c r="AA334" i="3"/>
  <c r="AA331" i="3"/>
  <c r="AA325" i="3"/>
  <c r="AA340" i="3"/>
  <c r="AA323" i="3"/>
  <c r="AA327" i="3"/>
  <c r="AA339" i="3"/>
  <c r="AA324" i="3"/>
  <c r="AA332" i="3"/>
  <c r="AA330" i="3"/>
  <c r="BB338" i="3"/>
  <c r="BB333" i="3"/>
  <c r="BB337" i="3"/>
  <c r="BB323" i="3"/>
  <c r="BB334" i="3"/>
  <c r="BB328" i="3"/>
  <c r="BB332" i="3"/>
  <c r="BB340" i="3"/>
  <c r="BB341" i="3"/>
  <c r="BB325" i="3"/>
  <c r="BB331" i="3"/>
  <c r="BB327" i="3"/>
  <c r="BB339" i="3"/>
  <c r="BB335" i="3"/>
  <c r="BB326" i="3"/>
  <c r="BB329" i="3"/>
  <c r="BB342" i="3"/>
  <c r="BB336" i="3"/>
  <c r="BB330" i="3"/>
  <c r="BB324" i="3"/>
  <c r="Y45" i="13"/>
  <c r="Y97" i="35" s="1"/>
  <c r="Y2" i="9" s="1"/>
  <c r="Y43" i="35"/>
  <c r="Y39" i="12"/>
  <c r="W43" i="35"/>
  <c r="W39" i="12"/>
  <c r="W45" i="13"/>
  <c r="W97" i="35" s="1"/>
  <c r="W2" i="9" s="1"/>
  <c r="BM28" i="32"/>
  <c r="Y115" i="13"/>
  <c r="AY341" i="3"/>
  <c r="AY332" i="3"/>
  <c r="AY325" i="3"/>
  <c r="AY330" i="3"/>
  <c r="AY326" i="3"/>
  <c r="AY329" i="3"/>
  <c r="AY331" i="3"/>
  <c r="AY337" i="3"/>
  <c r="AY338" i="3"/>
  <c r="AY334" i="3"/>
  <c r="AY336" i="3"/>
  <c r="AY339" i="3"/>
  <c r="AY324" i="3"/>
  <c r="AY333" i="3"/>
  <c r="AY342" i="3"/>
  <c r="AY323" i="3"/>
  <c r="AY327" i="3"/>
  <c r="AY335" i="3"/>
  <c r="AY328" i="3"/>
  <c r="AY340" i="3"/>
  <c r="BM83" i="6" l="1"/>
  <c r="BM19" i="32" s="1"/>
  <c r="BM20" i="32" s="1"/>
  <c r="BN208" i="30"/>
  <c r="BN209" i="30" s="1"/>
  <c r="BN97" i="33" s="1"/>
  <c r="X208" i="30"/>
  <c r="X117" i="13" s="1"/>
  <c r="W119" i="13"/>
  <c r="W83" i="6"/>
  <c r="W19" i="32" s="1"/>
  <c r="W20" i="32" s="1"/>
  <c r="CF28" i="32"/>
  <c r="AA303" i="3"/>
  <c r="AA372" i="3" s="1"/>
  <c r="AA948" i="9" s="1"/>
  <c r="AA309" i="3"/>
  <c r="AA378" i="3" s="1"/>
  <c r="AA954" i="9" s="1"/>
  <c r="AA304" i="3"/>
  <c r="AA373" i="3" s="1"/>
  <c r="AA949" i="9" s="1"/>
  <c r="AA317" i="3"/>
  <c r="AA386" i="3" s="1"/>
  <c r="AA962" i="9" s="1"/>
  <c r="AA318" i="3"/>
  <c r="AA387" i="3" s="1"/>
  <c r="AA963" i="9" s="1"/>
  <c r="AA301" i="3"/>
  <c r="AA370" i="3" s="1"/>
  <c r="AA946" i="9" s="1"/>
  <c r="AA305" i="3"/>
  <c r="AA374" i="3" s="1"/>
  <c r="AA950" i="9" s="1"/>
  <c r="AA312" i="3"/>
  <c r="AA381" i="3" s="1"/>
  <c r="AA957" i="9" s="1"/>
  <c r="AA311" i="3"/>
  <c r="AA380" i="3" s="1"/>
  <c r="AA956" i="9" s="1"/>
  <c r="AA319" i="3"/>
  <c r="AA388" i="3" s="1"/>
  <c r="AA964" i="9" s="1"/>
  <c r="AA306" i="3"/>
  <c r="AA375" i="3" s="1"/>
  <c r="AA951" i="9" s="1"/>
  <c r="AA316" i="3"/>
  <c r="AA385" i="3" s="1"/>
  <c r="AA961" i="9" s="1"/>
  <c r="AA314" i="3"/>
  <c r="AA383" i="3" s="1"/>
  <c r="AA959" i="9" s="1"/>
  <c r="AA313" i="3"/>
  <c r="AA382" i="3" s="1"/>
  <c r="AA958" i="9" s="1"/>
  <c r="AA302" i="3"/>
  <c r="AA371" i="3" s="1"/>
  <c r="AA947" i="9" s="1"/>
  <c r="AA310" i="3"/>
  <c r="AA379" i="3" s="1"/>
  <c r="AA955" i="9" s="1"/>
  <c r="AA315" i="3"/>
  <c r="AA384" i="3" s="1"/>
  <c r="AA960" i="9" s="1"/>
  <c r="AA307" i="3"/>
  <c r="AA376" i="3" s="1"/>
  <c r="AA952" i="9" s="1"/>
  <c r="AA308" i="3"/>
  <c r="AA377" i="3" s="1"/>
  <c r="AA953" i="9" s="1"/>
  <c r="AA300" i="3"/>
  <c r="AA369" i="3" s="1"/>
  <c r="AA945" i="9" s="1"/>
  <c r="AB208" i="30"/>
  <c r="AB209" i="30" s="1"/>
  <c r="AB97" i="33" s="1"/>
  <c r="AA83" i="6"/>
  <c r="BM84" i="30" l="1"/>
  <c r="BM86" i="30" s="1"/>
  <c r="BM14" i="6"/>
  <c r="BM18" i="6" s="1"/>
  <c r="W99" i="33"/>
  <c r="BO208" i="30"/>
  <c r="BO209" i="30" s="1"/>
  <c r="BO97" i="33" s="1"/>
  <c r="BN83" i="6"/>
  <c r="BN19" i="32" s="1"/>
  <c r="BN20" i="32" s="1"/>
  <c r="W84" i="30"/>
  <c r="W14" i="6"/>
  <c r="W18" i="6" s="1"/>
  <c r="X209" i="30"/>
  <c r="X97" i="33" s="1"/>
  <c r="CF19" i="32"/>
  <c r="CF20" i="32"/>
  <c r="BM99" i="33"/>
  <c r="AA1090" i="9"/>
  <c r="AA1091" i="9"/>
  <c r="AA96" i="6" s="1"/>
  <c r="AA1092" i="9"/>
  <c r="AA102" i="6" s="1"/>
  <c r="AA84" i="30"/>
  <c r="AA86" i="30" s="1"/>
  <c r="AA14" i="6"/>
  <c r="AA19" i="32"/>
  <c r="AB311" i="3"/>
  <c r="AB380" i="3" s="1"/>
  <c r="AB956" i="9" s="1"/>
  <c r="AB303" i="3"/>
  <c r="AB372" i="3" s="1"/>
  <c r="AB948" i="9" s="1"/>
  <c r="AB308" i="3"/>
  <c r="AB377" i="3" s="1"/>
  <c r="AB953" i="9" s="1"/>
  <c r="AB312" i="3"/>
  <c r="AB381" i="3" s="1"/>
  <c r="AB957" i="9" s="1"/>
  <c r="AB301" i="3"/>
  <c r="AB370" i="3" s="1"/>
  <c r="AB946" i="9" s="1"/>
  <c r="AB306" i="3"/>
  <c r="AB375" i="3" s="1"/>
  <c r="AB951" i="9" s="1"/>
  <c r="AB302" i="3"/>
  <c r="AB371" i="3" s="1"/>
  <c r="AB947" i="9" s="1"/>
  <c r="AB317" i="3"/>
  <c r="AB386" i="3" s="1"/>
  <c r="AB962" i="9" s="1"/>
  <c r="AB307" i="3"/>
  <c r="AB376" i="3" s="1"/>
  <c r="AB952" i="9" s="1"/>
  <c r="AB310" i="3"/>
  <c r="AB379" i="3" s="1"/>
  <c r="AB955" i="9" s="1"/>
  <c r="AB305" i="3"/>
  <c r="AB374" i="3" s="1"/>
  <c r="AB950" i="9" s="1"/>
  <c r="AB316" i="3"/>
  <c r="AB385" i="3" s="1"/>
  <c r="AB961" i="9" s="1"/>
  <c r="AB315" i="3"/>
  <c r="AB384" i="3" s="1"/>
  <c r="AB960" i="9" s="1"/>
  <c r="AB304" i="3"/>
  <c r="AB373" i="3" s="1"/>
  <c r="AB949" i="9" s="1"/>
  <c r="AB309" i="3"/>
  <c r="AB378" i="3" s="1"/>
  <c r="AB954" i="9" s="1"/>
  <c r="AB314" i="3"/>
  <c r="AB383" i="3" s="1"/>
  <c r="AB959" i="9" s="1"/>
  <c r="AB319" i="3"/>
  <c r="AB388" i="3" s="1"/>
  <c r="AB964" i="9" s="1"/>
  <c r="AB300" i="3"/>
  <c r="AB369" i="3" s="1"/>
  <c r="AB945" i="9" s="1"/>
  <c r="AB313" i="3"/>
  <c r="AB382" i="3" s="1"/>
  <c r="AB958" i="9" s="1"/>
  <c r="AB318" i="3"/>
  <c r="AB387" i="3" s="1"/>
  <c r="AB963" i="9" s="1"/>
  <c r="AC208" i="30"/>
  <c r="AC209" i="30" s="1"/>
  <c r="AC97" i="33" s="1"/>
  <c r="AB83" i="6"/>
  <c r="W71" i="13"/>
  <c r="W99" i="35" s="1"/>
  <c r="W51" i="35"/>
  <c r="W23" i="35"/>
  <c r="BM20" i="6" l="1"/>
  <c r="W86" i="30"/>
  <c r="CJ84" i="30"/>
  <c r="BO83" i="6"/>
  <c r="BO19" i="32" s="1"/>
  <c r="BO20" i="32" s="1"/>
  <c r="BO99" i="33" s="1"/>
  <c r="BP208" i="30"/>
  <c r="BN84" i="30"/>
  <c r="BN86" i="30" s="1"/>
  <c r="W32" i="36"/>
  <c r="BN99" i="33"/>
  <c r="BN14" i="6"/>
  <c r="BN20" i="6" s="1"/>
  <c r="W20" i="6"/>
  <c r="X83" i="6"/>
  <c r="X19" i="32" s="1"/>
  <c r="X20" i="32" s="1"/>
  <c r="X119" i="13"/>
  <c r="Y208" i="30"/>
  <c r="Y117" i="13" s="1"/>
  <c r="AB1091" i="9"/>
  <c r="AB96" i="6" s="1"/>
  <c r="AB1090" i="9"/>
  <c r="AC318" i="3"/>
  <c r="AC387" i="3" s="1"/>
  <c r="AC963" i="9" s="1"/>
  <c r="AC303" i="3"/>
  <c r="AC372" i="3" s="1"/>
  <c r="AC948" i="9" s="1"/>
  <c r="AC315" i="3"/>
  <c r="AC384" i="3" s="1"/>
  <c r="AC960" i="9" s="1"/>
  <c r="AC305" i="3"/>
  <c r="AC374" i="3" s="1"/>
  <c r="AC950" i="9" s="1"/>
  <c r="AC316" i="3"/>
  <c r="AC385" i="3" s="1"/>
  <c r="AC961" i="9" s="1"/>
  <c r="AC314" i="3"/>
  <c r="AC383" i="3" s="1"/>
  <c r="AC959" i="9" s="1"/>
  <c r="AC300" i="3"/>
  <c r="AC369" i="3" s="1"/>
  <c r="AC945" i="9" s="1"/>
  <c r="AC309" i="3"/>
  <c r="AC378" i="3" s="1"/>
  <c r="AC954" i="9" s="1"/>
  <c r="AC317" i="3"/>
  <c r="AC386" i="3" s="1"/>
  <c r="AC962" i="9" s="1"/>
  <c r="AC310" i="3"/>
  <c r="AC379" i="3" s="1"/>
  <c r="AC955" i="9" s="1"/>
  <c r="AC302" i="3"/>
  <c r="AC371" i="3" s="1"/>
  <c r="AC947" i="9" s="1"/>
  <c r="AC304" i="3"/>
  <c r="AC373" i="3" s="1"/>
  <c r="AC949" i="9" s="1"/>
  <c r="AC301" i="3"/>
  <c r="AC370" i="3" s="1"/>
  <c r="AC946" i="9" s="1"/>
  <c r="AC311" i="3"/>
  <c r="AC380" i="3" s="1"/>
  <c r="AC956" i="9" s="1"/>
  <c r="AC312" i="3"/>
  <c r="AC381" i="3" s="1"/>
  <c r="AC957" i="9" s="1"/>
  <c r="AC313" i="3"/>
  <c r="AC382" i="3" s="1"/>
  <c r="AC958" i="9" s="1"/>
  <c r="AC319" i="3"/>
  <c r="AC388" i="3" s="1"/>
  <c r="AC964" i="9" s="1"/>
  <c r="AC307" i="3"/>
  <c r="AC376" i="3" s="1"/>
  <c r="AC952" i="9" s="1"/>
  <c r="AC306" i="3"/>
  <c r="AC375" i="3" s="1"/>
  <c r="AC951" i="9" s="1"/>
  <c r="AC308" i="3"/>
  <c r="AC377" i="3" s="1"/>
  <c r="AC953" i="9" s="1"/>
  <c r="AC83" i="6"/>
  <c r="AD208" i="30"/>
  <c r="AD209" i="30" s="1"/>
  <c r="AD97" i="33" s="1"/>
  <c r="AB1092" i="9"/>
  <c r="AB102" i="6" s="1"/>
  <c r="AA18" i="6"/>
  <c r="AA20" i="6"/>
  <c r="AA103" i="6"/>
  <c r="AA115" i="30" s="1"/>
  <c r="AA91" i="30"/>
  <c r="BM23" i="35"/>
  <c r="BM51" i="35"/>
  <c r="AA97" i="6"/>
  <c r="AA114" i="30" s="1"/>
  <c r="AA90" i="30"/>
  <c r="AB14" i="6"/>
  <c r="AB84" i="30"/>
  <c r="AB86" i="30" s="1"/>
  <c r="AB19" i="32"/>
  <c r="AA1093" i="9"/>
  <c r="X14" i="6" l="1"/>
  <c r="X20" i="6" s="1"/>
  <c r="CJ86" i="30"/>
  <c r="BO84" i="30"/>
  <c r="BO86" i="30" s="1"/>
  <c r="BO14" i="6"/>
  <c r="BO20" i="6" s="1"/>
  <c r="BN18" i="6"/>
  <c r="X99" i="33"/>
  <c r="X84" i="30"/>
  <c r="Y209" i="30"/>
  <c r="Y97" i="33" s="1"/>
  <c r="CG19" i="32"/>
  <c r="AA32" i="32"/>
  <c r="AA33" i="32" s="1"/>
  <c r="AC1090" i="9"/>
  <c r="AC1091" i="9"/>
  <c r="AC96" i="6" s="1"/>
  <c r="AB103" i="6"/>
  <c r="AB115" i="30" s="1"/>
  <c r="AB91" i="30"/>
  <c r="AC1092" i="9"/>
  <c r="AC102" i="6" s="1"/>
  <c r="AA107" i="30"/>
  <c r="AD304" i="3"/>
  <c r="AD373" i="3" s="1"/>
  <c r="AD949" i="9" s="1"/>
  <c r="AD316" i="3"/>
  <c r="AD385" i="3" s="1"/>
  <c r="AD961" i="9" s="1"/>
  <c r="AD311" i="3"/>
  <c r="AD380" i="3" s="1"/>
  <c r="AD956" i="9" s="1"/>
  <c r="AD310" i="3"/>
  <c r="AD379" i="3" s="1"/>
  <c r="AD955" i="9" s="1"/>
  <c r="AD319" i="3"/>
  <c r="AD388" i="3" s="1"/>
  <c r="AD964" i="9" s="1"/>
  <c r="AD314" i="3"/>
  <c r="AD383" i="3" s="1"/>
  <c r="AD959" i="9" s="1"/>
  <c r="AD302" i="3"/>
  <c r="AD371" i="3" s="1"/>
  <c r="AD947" i="9" s="1"/>
  <c r="AD308" i="3"/>
  <c r="AD377" i="3" s="1"/>
  <c r="AD953" i="9" s="1"/>
  <c r="AD318" i="3"/>
  <c r="AD387" i="3" s="1"/>
  <c r="AD963" i="9" s="1"/>
  <c r="AD307" i="3"/>
  <c r="AD376" i="3" s="1"/>
  <c r="AD952" i="9" s="1"/>
  <c r="AD300" i="3"/>
  <c r="AD369" i="3" s="1"/>
  <c r="AD945" i="9" s="1"/>
  <c r="AD305" i="3"/>
  <c r="AD374" i="3" s="1"/>
  <c r="AD950" i="9" s="1"/>
  <c r="AD317" i="3"/>
  <c r="AD386" i="3" s="1"/>
  <c r="AD962" i="9" s="1"/>
  <c r="AD312" i="3"/>
  <c r="AD381" i="3" s="1"/>
  <c r="AD957" i="9" s="1"/>
  <c r="AD315" i="3"/>
  <c r="AD384" i="3" s="1"/>
  <c r="AD960" i="9" s="1"/>
  <c r="AD313" i="3"/>
  <c r="AD382" i="3" s="1"/>
  <c r="AD958" i="9" s="1"/>
  <c r="AD301" i="3"/>
  <c r="AD370" i="3" s="1"/>
  <c r="AD946" i="9" s="1"/>
  <c r="AD306" i="3"/>
  <c r="AD375" i="3" s="1"/>
  <c r="AD951" i="9" s="1"/>
  <c r="AD303" i="3"/>
  <c r="AD372" i="3" s="1"/>
  <c r="AD948" i="9" s="1"/>
  <c r="AD309" i="3"/>
  <c r="AD378" i="3" s="1"/>
  <c r="AD954" i="9" s="1"/>
  <c r="AE208" i="30"/>
  <c r="AE209" i="30" s="1"/>
  <c r="AE97" i="33" s="1"/>
  <c r="AD83" i="6"/>
  <c r="AA120" i="30"/>
  <c r="AB90" i="30"/>
  <c r="AB97" i="6"/>
  <c r="AB114" i="30" s="1"/>
  <c r="BN51" i="35"/>
  <c r="BN23" i="35"/>
  <c r="AC84" i="30"/>
  <c r="AC86" i="30" s="1"/>
  <c r="AC14" i="6"/>
  <c r="AC19" i="32"/>
  <c r="AB20" i="6"/>
  <c r="AB18" i="6"/>
  <c r="AB1093" i="9"/>
  <c r="X51" i="35"/>
  <c r="X23" i="35"/>
  <c r="X71" i="13"/>
  <c r="X99" i="35" s="1"/>
  <c r="X18" i="6" l="1"/>
  <c r="BO18" i="6"/>
  <c r="Y119" i="13"/>
  <c r="X86" i="30"/>
  <c r="CK84" i="30"/>
  <c r="CG20" i="32"/>
  <c r="X32" i="36"/>
  <c r="Y83" i="6"/>
  <c r="Y19" i="32" s="1"/>
  <c r="Y20" i="32" s="1"/>
  <c r="AB32" i="32"/>
  <c r="AB33" i="32" s="1"/>
  <c r="AD1091" i="9"/>
  <c r="AD96" i="6" s="1"/>
  <c r="AD1090" i="9"/>
  <c r="AB120" i="30"/>
  <c r="AC1093" i="9"/>
  <c r="AC20" i="6"/>
  <c r="AC18" i="6"/>
  <c r="AD1092" i="9"/>
  <c r="AD102" i="6" s="1"/>
  <c r="AB107" i="30"/>
  <c r="AD84" i="30"/>
  <c r="AD86" i="30" s="1"/>
  <c r="AD14" i="6"/>
  <c r="AD19" i="32"/>
  <c r="AC91" i="30"/>
  <c r="AC103" i="6"/>
  <c r="AC115" i="30" s="1"/>
  <c r="AC97" i="6"/>
  <c r="AC114" i="30" s="1"/>
  <c r="AC90" i="30"/>
  <c r="AA22" i="32"/>
  <c r="AA100" i="33" s="1"/>
  <c r="AA23" i="32"/>
  <c r="AA109" i="30"/>
  <c r="AA111" i="30"/>
  <c r="AA135" i="30" s="1"/>
  <c r="BO23" i="35"/>
  <c r="BO51" i="35"/>
  <c r="AE301" i="3"/>
  <c r="AE370" i="3" s="1"/>
  <c r="AE946" i="9" s="1"/>
  <c r="AE306" i="3"/>
  <c r="AE375" i="3" s="1"/>
  <c r="AE951" i="9" s="1"/>
  <c r="AE319" i="3"/>
  <c r="AE388" i="3" s="1"/>
  <c r="AE964" i="9" s="1"/>
  <c r="AE303" i="3"/>
  <c r="AE372" i="3" s="1"/>
  <c r="AE948" i="9" s="1"/>
  <c r="AE310" i="3"/>
  <c r="AE379" i="3" s="1"/>
  <c r="AE955" i="9" s="1"/>
  <c r="AE318" i="3"/>
  <c r="AE387" i="3" s="1"/>
  <c r="AE963" i="9" s="1"/>
  <c r="AE316" i="3"/>
  <c r="AE385" i="3" s="1"/>
  <c r="AE961" i="9" s="1"/>
  <c r="AE307" i="3"/>
  <c r="AE376" i="3" s="1"/>
  <c r="AE952" i="9" s="1"/>
  <c r="AE305" i="3"/>
  <c r="AE374" i="3" s="1"/>
  <c r="AE950" i="9" s="1"/>
  <c r="AE300" i="3"/>
  <c r="AE369" i="3" s="1"/>
  <c r="AE945" i="9" s="1"/>
  <c r="AE313" i="3"/>
  <c r="AE382" i="3" s="1"/>
  <c r="AE958" i="9" s="1"/>
  <c r="AE304" i="3"/>
  <c r="AE373" i="3" s="1"/>
  <c r="AE949" i="9" s="1"/>
  <c r="AE302" i="3"/>
  <c r="AE371" i="3" s="1"/>
  <c r="AE947" i="9" s="1"/>
  <c r="AE308" i="3"/>
  <c r="AE377" i="3" s="1"/>
  <c r="AE953" i="9" s="1"/>
  <c r="AE317" i="3"/>
  <c r="AE386" i="3" s="1"/>
  <c r="AE962" i="9" s="1"/>
  <c r="AE315" i="3"/>
  <c r="AE384" i="3" s="1"/>
  <c r="AE960" i="9" s="1"/>
  <c r="AE311" i="3"/>
  <c r="AE380" i="3" s="1"/>
  <c r="AE956" i="9" s="1"/>
  <c r="AE309" i="3"/>
  <c r="AE378" i="3" s="1"/>
  <c r="AE954" i="9" s="1"/>
  <c r="AE314" i="3"/>
  <c r="AE383" i="3" s="1"/>
  <c r="AE959" i="9" s="1"/>
  <c r="AE312" i="3"/>
  <c r="AE381" i="3" s="1"/>
  <c r="AE957" i="9" s="1"/>
  <c r="AE83" i="6"/>
  <c r="AF208" i="30"/>
  <c r="AF209" i="30" s="1"/>
  <c r="AF97" i="33" s="1"/>
  <c r="CK86" i="30" l="1"/>
  <c r="Y14" i="6"/>
  <c r="Y20" i="6" s="1"/>
  <c r="CH19" i="32"/>
  <c r="CB19" i="32" s="1"/>
  <c r="Y99" i="33"/>
  <c r="Y84" i="30"/>
  <c r="CF83" i="6"/>
  <c r="A83" i="6" s="1" a="1"/>
  <c r="A83" i="6" s="1"/>
  <c r="AC32" i="32"/>
  <c r="AC33" i="32" s="1"/>
  <c r="CH20" i="32"/>
  <c r="AE1091" i="9"/>
  <c r="AE96" i="6" s="1"/>
  <c r="AE1090" i="9"/>
  <c r="AC120" i="30"/>
  <c r="AD1093" i="9"/>
  <c r="AC107" i="30"/>
  <c r="AB22" i="32"/>
  <c r="AB100" i="33" s="1"/>
  <c r="AB111" i="30"/>
  <c r="AB135" i="30" s="1"/>
  <c r="AB109" i="30"/>
  <c r="AB23" i="32"/>
  <c r="AD91" i="30"/>
  <c r="AD103" i="6"/>
  <c r="AD115" i="30" s="1"/>
  <c r="AD97" i="6"/>
  <c r="AD114" i="30" s="1"/>
  <c r="AD90" i="30"/>
  <c r="AA139" i="30"/>
  <c r="AA137" i="30"/>
  <c r="AF304" i="3"/>
  <c r="AF373" i="3" s="1"/>
  <c r="AF949" i="9" s="1"/>
  <c r="AF319" i="3"/>
  <c r="AF388" i="3" s="1"/>
  <c r="AF964" i="9" s="1"/>
  <c r="AF317" i="3"/>
  <c r="AF386" i="3" s="1"/>
  <c r="AF962" i="9" s="1"/>
  <c r="AF307" i="3"/>
  <c r="AF376" i="3" s="1"/>
  <c r="AF952" i="9" s="1"/>
  <c r="AF314" i="3"/>
  <c r="AF383" i="3" s="1"/>
  <c r="AF959" i="9" s="1"/>
  <c r="AF315" i="3"/>
  <c r="AF384" i="3" s="1"/>
  <c r="AF960" i="9" s="1"/>
  <c r="AF313" i="3"/>
  <c r="AF382" i="3" s="1"/>
  <c r="AF958" i="9" s="1"/>
  <c r="AF318" i="3"/>
  <c r="AF387" i="3" s="1"/>
  <c r="AF963" i="9" s="1"/>
  <c r="AF311" i="3"/>
  <c r="AF380" i="3" s="1"/>
  <c r="AF956" i="9" s="1"/>
  <c r="AF301" i="3"/>
  <c r="AF370" i="3" s="1"/>
  <c r="AF946" i="9" s="1"/>
  <c r="AF312" i="3"/>
  <c r="AF381" i="3" s="1"/>
  <c r="AF957" i="9" s="1"/>
  <c r="AF305" i="3"/>
  <c r="AF374" i="3" s="1"/>
  <c r="AF950" i="9" s="1"/>
  <c r="AF308" i="3"/>
  <c r="AF377" i="3" s="1"/>
  <c r="AF953" i="9" s="1"/>
  <c r="AF306" i="3"/>
  <c r="AF375" i="3" s="1"/>
  <c r="AF951" i="9" s="1"/>
  <c r="AF309" i="3"/>
  <c r="AF378" i="3" s="1"/>
  <c r="AF954" i="9" s="1"/>
  <c r="AF302" i="3"/>
  <c r="AF371" i="3" s="1"/>
  <c r="AF947" i="9" s="1"/>
  <c r="AF310" i="3"/>
  <c r="AF379" i="3" s="1"/>
  <c r="AF955" i="9" s="1"/>
  <c r="AF300" i="3"/>
  <c r="AF369" i="3" s="1"/>
  <c r="AF945" i="9" s="1"/>
  <c r="AF316" i="3"/>
  <c r="AF385" i="3" s="1"/>
  <c r="AF961" i="9" s="1"/>
  <c r="AF303" i="3"/>
  <c r="AF372" i="3" s="1"/>
  <c r="AF948" i="9" s="1"/>
  <c r="AG208" i="30"/>
  <c r="AG209" i="30" s="1"/>
  <c r="AG97" i="33" s="1"/>
  <c r="AF83" i="6"/>
  <c r="AE1092" i="9"/>
  <c r="AE102" i="6" s="1"/>
  <c r="AE84" i="30"/>
  <c r="AE86" i="30" s="1"/>
  <c r="AE14" i="6"/>
  <c r="AE19" i="32"/>
  <c r="AD20" i="6"/>
  <c r="AD18" i="6"/>
  <c r="Y18" i="6" l="1"/>
  <c r="Y86" i="30"/>
  <c r="CL84" i="30"/>
  <c r="CD84" i="30" s="1"/>
  <c r="Y32" i="36"/>
  <c r="AD32" i="32"/>
  <c r="AD33" i="32" s="1"/>
  <c r="AF1091" i="9"/>
  <c r="AF96" i="6" s="1"/>
  <c r="AF1090" i="9"/>
  <c r="AF1092" i="9"/>
  <c r="AF102" i="6" s="1"/>
  <c r="AF91" i="30" s="1"/>
  <c r="AE1093" i="9"/>
  <c r="AF14" i="6"/>
  <c r="AF84" i="30"/>
  <c r="AF86" i="30" s="1"/>
  <c r="AF19" i="32"/>
  <c r="AC22" i="32"/>
  <c r="AC100" i="33" s="1"/>
  <c r="AC23" i="32"/>
  <c r="AC111" i="30"/>
  <c r="AC135" i="30" s="1"/>
  <c r="AC109" i="30"/>
  <c r="AE18" i="6"/>
  <c r="AE20" i="6"/>
  <c r="AD107" i="30"/>
  <c r="Y23" i="35"/>
  <c r="Y51" i="35"/>
  <c r="Y71" i="13"/>
  <c r="Y99" i="35" s="1"/>
  <c r="AE97" i="6"/>
  <c r="AE114" i="30" s="1"/>
  <c r="AE90" i="30"/>
  <c r="AD120" i="30"/>
  <c r="AG304" i="3"/>
  <c r="AG373" i="3" s="1"/>
  <c r="AG949" i="9" s="1"/>
  <c r="AG307" i="3"/>
  <c r="AG376" i="3" s="1"/>
  <c r="AG952" i="9" s="1"/>
  <c r="AG313" i="3"/>
  <c r="AG382" i="3" s="1"/>
  <c r="AG958" i="9" s="1"/>
  <c r="AG303" i="3"/>
  <c r="AG372" i="3" s="1"/>
  <c r="AG948" i="9" s="1"/>
  <c r="AG306" i="3"/>
  <c r="AG375" i="3" s="1"/>
  <c r="AG951" i="9" s="1"/>
  <c r="AG312" i="3"/>
  <c r="AG381" i="3" s="1"/>
  <c r="AG957" i="9" s="1"/>
  <c r="AG305" i="3"/>
  <c r="AG374" i="3" s="1"/>
  <c r="AG950" i="9" s="1"/>
  <c r="AG319" i="3"/>
  <c r="AG388" i="3" s="1"/>
  <c r="AG964" i="9" s="1"/>
  <c r="AG314" i="3"/>
  <c r="AG383" i="3" s="1"/>
  <c r="AG959" i="9" s="1"/>
  <c r="AG317" i="3"/>
  <c r="AG386" i="3" s="1"/>
  <c r="AG962" i="9" s="1"/>
  <c r="AG300" i="3"/>
  <c r="AG369" i="3" s="1"/>
  <c r="AG945" i="9" s="1"/>
  <c r="AG311" i="3"/>
  <c r="AG380" i="3" s="1"/>
  <c r="AG956" i="9" s="1"/>
  <c r="AG302" i="3"/>
  <c r="AG371" i="3" s="1"/>
  <c r="AG947" i="9" s="1"/>
  <c r="AG309" i="3"/>
  <c r="AG378" i="3" s="1"/>
  <c r="AG954" i="9" s="1"/>
  <c r="AG301" i="3"/>
  <c r="AG370" i="3" s="1"/>
  <c r="AG946" i="9" s="1"/>
  <c r="AG308" i="3"/>
  <c r="AG377" i="3" s="1"/>
  <c r="AG953" i="9" s="1"/>
  <c r="AG315" i="3"/>
  <c r="AG384" i="3" s="1"/>
  <c r="AG960" i="9" s="1"/>
  <c r="AG316" i="3"/>
  <c r="AG385" i="3" s="1"/>
  <c r="AG961" i="9" s="1"/>
  <c r="AG318" i="3"/>
  <c r="AG387" i="3" s="1"/>
  <c r="AG963" i="9" s="1"/>
  <c r="AG310" i="3"/>
  <c r="AG379" i="3" s="1"/>
  <c r="AG955" i="9" s="1"/>
  <c r="AG83" i="6"/>
  <c r="AH208" i="30"/>
  <c r="AH209" i="30" s="1"/>
  <c r="AH97" i="33" s="1"/>
  <c r="AE91" i="30"/>
  <c r="AE103" i="6"/>
  <c r="AE115" i="30" s="1"/>
  <c r="AB139" i="30"/>
  <c r="AB137" i="30"/>
  <c r="CL86" i="30" l="1"/>
  <c r="CD86" i="30" s="1"/>
  <c r="AE32" i="32"/>
  <c r="AE33" i="32" s="1"/>
  <c r="AG1090" i="9"/>
  <c r="AG1091" i="9"/>
  <c r="AG96" i="6" s="1"/>
  <c r="AF103" i="6"/>
  <c r="AF115" i="30" s="1"/>
  <c r="AF1093" i="9"/>
  <c r="AE120" i="30"/>
  <c r="AG14" i="6"/>
  <c r="AG84" i="30"/>
  <c r="AG86" i="30" s="1"/>
  <c r="AG19" i="32"/>
  <c r="AH302" i="3"/>
  <c r="AH371" i="3" s="1"/>
  <c r="AH947" i="9" s="1"/>
  <c r="AH306" i="3"/>
  <c r="AH375" i="3" s="1"/>
  <c r="AH951" i="9" s="1"/>
  <c r="AH319" i="3"/>
  <c r="AH388" i="3" s="1"/>
  <c r="AH964" i="9" s="1"/>
  <c r="AH303" i="3"/>
  <c r="AH372" i="3" s="1"/>
  <c r="AH948" i="9" s="1"/>
  <c r="AH318" i="3"/>
  <c r="AH387" i="3" s="1"/>
  <c r="AH963" i="9" s="1"/>
  <c r="AH315" i="3"/>
  <c r="AH384" i="3" s="1"/>
  <c r="AH960" i="9" s="1"/>
  <c r="AH307" i="3"/>
  <c r="AH376" i="3" s="1"/>
  <c r="AH952" i="9" s="1"/>
  <c r="AH316" i="3"/>
  <c r="AH385" i="3" s="1"/>
  <c r="AH961" i="9" s="1"/>
  <c r="AH309" i="3"/>
  <c r="AH378" i="3" s="1"/>
  <c r="AH954" i="9" s="1"/>
  <c r="AH313" i="3"/>
  <c r="AH382" i="3" s="1"/>
  <c r="AH958" i="9" s="1"/>
  <c r="AH301" i="3"/>
  <c r="AH370" i="3" s="1"/>
  <c r="AH946" i="9" s="1"/>
  <c r="AH314" i="3"/>
  <c r="AH383" i="3" s="1"/>
  <c r="AH959" i="9" s="1"/>
  <c r="AH317" i="3"/>
  <c r="AH386" i="3" s="1"/>
  <c r="AH962" i="9" s="1"/>
  <c r="AH308" i="3"/>
  <c r="AH377" i="3" s="1"/>
  <c r="AH953" i="9" s="1"/>
  <c r="AH305" i="3"/>
  <c r="AH374" i="3" s="1"/>
  <c r="AH950" i="9" s="1"/>
  <c r="AH300" i="3"/>
  <c r="AH369" i="3" s="1"/>
  <c r="AH945" i="9" s="1"/>
  <c r="AH304" i="3"/>
  <c r="AH373" i="3" s="1"/>
  <c r="AH949" i="9" s="1"/>
  <c r="AH312" i="3"/>
  <c r="AH381" i="3" s="1"/>
  <c r="AH957" i="9" s="1"/>
  <c r="AH311" i="3"/>
  <c r="AH380" i="3" s="1"/>
  <c r="AH956" i="9" s="1"/>
  <c r="AH310" i="3"/>
  <c r="AH379" i="3" s="1"/>
  <c r="AH955" i="9" s="1"/>
  <c r="AI208" i="30"/>
  <c r="AI209" i="30" s="1"/>
  <c r="AI97" i="33" s="1"/>
  <c r="AH83" i="6"/>
  <c r="AF97" i="6"/>
  <c r="AF114" i="30" s="1"/>
  <c r="AF90" i="30"/>
  <c r="AG1092" i="9"/>
  <c r="AG102" i="6" s="1"/>
  <c r="AE107" i="30"/>
  <c r="AD22" i="32"/>
  <c r="AD100" i="33" s="1"/>
  <c r="AD23" i="32"/>
  <c r="AD111" i="30"/>
  <c r="AD135" i="30" s="1"/>
  <c r="AD109" i="30"/>
  <c r="AC139" i="30"/>
  <c r="AC137" i="30"/>
  <c r="AF20" i="6"/>
  <c r="AF18" i="6"/>
  <c r="AF32" i="32" l="1"/>
  <c r="AF33" i="32" s="1"/>
  <c r="AH1090" i="9"/>
  <c r="AH1091" i="9"/>
  <c r="AH96" i="6" s="1"/>
  <c r="AF120" i="30"/>
  <c r="AH1092" i="9"/>
  <c r="AH102" i="6" s="1"/>
  <c r="AH91" i="30" s="1"/>
  <c r="AG103" i="6"/>
  <c r="AG115" i="30" s="1"/>
  <c r="AG91" i="30"/>
  <c r="AG1093" i="9"/>
  <c r="AF107" i="30"/>
  <c r="AD137" i="30"/>
  <c r="AD139" i="30"/>
  <c r="AE22" i="32"/>
  <c r="AE100" i="33" s="1"/>
  <c r="AE109" i="30"/>
  <c r="AE23" i="32"/>
  <c r="AE111" i="30"/>
  <c r="AE135" i="30" s="1"/>
  <c r="AI316" i="3"/>
  <c r="AI385" i="3" s="1"/>
  <c r="AI961" i="9" s="1"/>
  <c r="AI300" i="3"/>
  <c r="AI369" i="3" s="1"/>
  <c r="AI945" i="9" s="1"/>
  <c r="AI306" i="3"/>
  <c r="AI375" i="3" s="1"/>
  <c r="AI951" i="9" s="1"/>
  <c r="AI318" i="3"/>
  <c r="AI387" i="3" s="1"/>
  <c r="AI963" i="9" s="1"/>
  <c r="AI307" i="3"/>
  <c r="AI376" i="3" s="1"/>
  <c r="AI952" i="9" s="1"/>
  <c r="AI314" i="3"/>
  <c r="AI383" i="3" s="1"/>
  <c r="AI959" i="9" s="1"/>
  <c r="AI308" i="3"/>
  <c r="AI377" i="3" s="1"/>
  <c r="AI953" i="9" s="1"/>
  <c r="AI304" i="3"/>
  <c r="AI373" i="3" s="1"/>
  <c r="AI949" i="9" s="1"/>
  <c r="AI305" i="3"/>
  <c r="AI374" i="3" s="1"/>
  <c r="AI950" i="9" s="1"/>
  <c r="AI301" i="3"/>
  <c r="AI370" i="3" s="1"/>
  <c r="AI946" i="9" s="1"/>
  <c r="AI309" i="3"/>
  <c r="AI378" i="3" s="1"/>
  <c r="AI954" i="9" s="1"/>
  <c r="AI310" i="3"/>
  <c r="AI379" i="3" s="1"/>
  <c r="AI955" i="9" s="1"/>
  <c r="AI317" i="3"/>
  <c r="AI386" i="3" s="1"/>
  <c r="AI962" i="9" s="1"/>
  <c r="AI313" i="3"/>
  <c r="AI382" i="3" s="1"/>
  <c r="AI958" i="9" s="1"/>
  <c r="AI302" i="3"/>
  <c r="AI371" i="3" s="1"/>
  <c r="AI947" i="9" s="1"/>
  <c r="AI312" i="3"/>
  <c r="AI381" i="3" s="1"/>
  <c r="AI957" i="9" s="1"/>
  <c r="AI311" i="3"/>
  <c r="AI380" i="3" s="1"/>
  <c r="AI956" i="9" s="1"/>
  <c r="AI319" i="3"/>
  <c r="AI388" i="3" s="1"/>
  <c r="AI964" i="9" s="1"/>
  <c r="AI315" i="3"/>
  <c r="AI384" i="3" s="1"/>
  <c r="AI960" i="9" s="1"/>
  <c r="AI303" i="3"/>
  <c r="AI372" i="3" s="1"/>
  <c r="AI948" i="9" s="1"/>
  <c r="AJ208" i="30"/>
  <c r="AJ209" i="30" s="1"/>
  <c r="AJ97" i="33" s="1"/>
  <c r="AI83" i="6"/>
  <c r="AG20" i="6"/>
  <c r="AG18" i="6"/>
  <c r="AG97" i="6"/>
  <c r="AG114" i="30" s="1"/>
  <c r="AG90" i="30"/>
  <c r="AH14" i="6"/>
  <c r="AH84" i="30"/>
  <c r="AH86" i="30" s="1"/>
  <c r="AH19" i="32"/>
  <c r="AG32" i="32" l="1"/>
  <c r="AG33" i="32" s="1"/>
  <c r="AI1091" i="9"/>
  <c r="AI96" i="6" s="1"/>
  <c r="AI1090" i="9"/>
  <c r="AG120" i="30"/>
  <c r="AH103" i="6"/>
  <c r="AH115" i="30" s="1"/>
  <c r="AH1093" i="9"/>
  <c r="AG107" i="30"/>
  <c r="AI14" i="6"/>
  <c r="AI84" i="30"/>
  <c r="AI86" i="30" s="1"/>
  <c r="AI19" i="32"/>
  <c r="AH20" i="6"/>
  <c r="AH18" i="6"/>
  <c r="AJ300" i="3"/>
  <c r="AJ369" i="3" s="1"/>
  <c r="AJ945" i="9" s="1"/>
  <c r="AJ309" i="3"/>
  <c r="AJ378" i="3" s="1"/>
  <c r="AJ954" i="9" s="1"/>
  <c r="AJ316" i="3"/>
  <c r="AJ385" i="3" s="1"/>
  <c r="AJ961" i="9" s="1"/>
  <c r="AJ314" i="3"/>
  <c r="AJ383" i="3" s="1"/>
  <c r="AJ959" i="9" s="1"/>
  <c r="AJ313" i="3"/>
  <c r="AJ382" i="3" s="1"/>
  <c r="AJ958" i="9" s="1"/>
  <c r="AJ319" i="3"/>
  <c r="AJ388" i="3" s="1"/>
  <c r="AJ964" i="9" s="1"/>
  <c r="AJ317" i="3"/>
  <c r="AJ386" i="3" s="1"/>
  <c r="AJ962" i="9" s="1"/>
  <c r="AJ304" i="3"/>
  <c r="AJ373" i="3" s="1"/>
  <c r="AJ949" i="9" s="1"/>
  <c r="AJ318" i="3"/>
  <c r="AJ387" i="3" s="1"/>
  <c r="AJ963" i="9" s="1"/>
  <c r="AJ315" i="3"/>
  <c r="AJ384" i="3" s="1"/>
  <c r="AJ960" i="9" s="1"/>
  <c r="AJ305" i="3"/>
  <c r="AJ374" i="3" s="1"/>
  <c r="AJ950" i="9" s="1"/>
  <c r="AJ301" i="3"/>
  <c r="AJ370" i="3" s="1"/>
  <c r="AJ946" i="9" s="1"/>
  <c r="AJ303" i="3"/>
  <c r="AJ372" i="3" s="1"/>
  <c r="AJ948" i="9" s="1"/>
  <c r="AJ312" i="3"/>
  <c r="AJ381" i="3" s="1"/>
  <c r="AJ957" i="9" s="1"/>
  <c r="AJ311" i="3"/>
  <c r="AJ380" i="3" s="1"/>
  <c r="AJ956" i="9" s="1"/>
  <c r="AJ307" i="3"/>
  <c r="AJ376" i="3" s="1"/>
  <c r="AJ952" i="9" s="1"/>
  <c r="AJ302" i="3"/>
  <c r="AJ371" i="3" s="1"/>
  <c r="AJ947" i="9" s="1"/>
  <c r="AJ308" i="3"/>
  <c r="AJ377" i="3" s="1"/>
  <c r="AJ953" i="9" s="1"/>
  <c r="AJ306" i="3"/>
  <c r="AJ375" i="3" s="1"/>
  <c r="AJ951" i="9" s="1"/>
  <c r="AJ310" i="3"/>
  <c r="AJ379" i="3" s="1"/>
  <c r="AJ955" i="9" s="1"/>
  <c r="AJ83" i="6"/>
  <c r="AK208" i="30"/>
  <c r="AK209" i="30" s="1"/>
  <c r="AK97" i="33" s="1"/>
  <c r="AI1092" i="9"/>
  <c r="AI102" i="6" s="1"/>
  <c r="AF22" i="32"/>
  <c r="AF100" i="33" s="1"/>
  <c r="AF109" i="30"/>
  <c r="AF23" i="32"/>
  <c r="AF111" i="30"/>
  <c r="AF135" i="30" s="1"/>
  <c r="AH90" i="30"/>
  <c r="AH97" i="6"/>
  <c r="AH114" i="30" s="1"/>
  <c r="AE139" i="30"/>
  <c r="AE137" i="30"/>
  <c r="AH32" i="32" l="1"/>
  <c r="AH33" i="32" s="1"/>
  <c r="AJ1091" i="9"/>
  <c r="AJ96" i="6" s="1"/>
  <c r="AJ1090" i="9"/>
  <c r="AH120" i="30"/>
  <c r="AK314" i="3"/>
  <c r="AK383" i="3" s="1"/>
  <c r="AK959" i="9" s="1"/>
  <c r="AK311" i="3"/>
  <c r="AK380" i="3" s="1"/>
  <c r="AK956" i="9" s="1"/>
  <c r="AK303" i="3"/>
  <c r="AK372" i="3" s="1"/>
  <c r="AK948" i="9" s="1"/>
  <c r="AK318" i="3"/>
  <c r="AK387" i="3" s="1"/>
  <c r="AK963" i="9" s="1"/>
  <c r="AK312" i="3"/>
  <c r="AK381" i="3" s="1"/>
  <c r="AK957" i="9" s="1"/>
  <c r="AK300" i="3"/>
  <c r="AK369" i="3" s="1"/>
  <c r="AK945" i="9" s="1"/>
  <c r="AK307" i="3"/>
  <c r="AK376" i="3" s="1"/>
  <c r="AK952" i="9" s="1"/>
  <c r="AK301" i="3"/>
  <c r="AK370" i="3" s="1"/>
  <c r="AK946" i="9" s="1"/>
  <c r="AK309" i="3"/>
  <c r="AK378" i="3" s="1"/>
  <c r="AK954" i="9" s="1"/>
  <c r="AK316" i="3"/>
  <c r="AK385" i="3" s="1"/>
  <c r="AK961" i="9" s="1"/>
  <c r="AK305" i="3"/>
  <c r="AK374" i="3" s="1"/>
  <c r="AK950" i="9" s="1"/>
  <c r="AK306" i="3"/>
  <c r="AK375" i="3" s="1"/>
  <c r="AK951" i="9" s="1"/>
  <c r="AK310" i="3"/>
  <c r="AK379" i="3" s="1"/>
  <c r="AK955" i="9" s="1"/>
  <c r="AK308" i="3"/>
  <c r="AK377" i="3" s="1"/>
  <c r="AK953" i="9" s="1"/>
  <c r="AK302" i="3"/>
  <c r="AK371" i="3" s="1"/>
  <c r="AK947" i="9" s="1"/>
  <c r="AK313" i="3"/>
  <c r="AK382" i="3" s="1"/>
  <c r="AK958" i="9" s="1"/>
  <c r="AK315" i="3"/>
  <c r="AK384" i="3" s="1"/>
  <c r="AK960" i="9" s="1"/>
  <c r="AK319" i="3"/>
  <c r="AK388" i="3" s="1"/>
  <c r="AK964" i="9" s="1"/>
  <c r="AK317" i="3"/>
  <c r="AK386" i="3" s="1"/>
  <c r="AK962" i="9" s="1"/>
  <c r="AK304" i="3"/>
  <c r="AK373" i="3" s="1"/>
  <c r="AK949" i="9" s="1"/>
  <c r="AK83" i="6"/>
  <c r="AL208" i="30"/>
  <c r="AL209" i="30" s="1"/>
  <c r="AL97" i="33" s="1"/>
  <c r="AI1093" i="9"/>
  <c r="AI20" i="6"/>
  <c r="AI18" i="6"/>
  <c r="AJ84" i="30"/>
  <c r="AJ86" i="30" s="1"/>
  <c r="AJ14" i="6"/>
  <c r="AJ19" i="32"/>
  <c r="AJ1092" i="9"/>
  <c r="AJ102" i="6" s="1"/>
  <c r="AG22" i="32"/>
  <c r="AG100" i="33" s="1"/>
  <c r="AG111" i="30"/>
  <c r="AG135" i="30" s="1"/>
  <c r="AG23" i="32"/>
  <c r="AG109" i="30"/>
  <c r="AH107" i="30"/>
  <c r="AF139" i="30"/>
  <c r="AF137" i="30"/>
  <c r="AI103" i="6"/>
  <c r="AI115" i="30" s="1"/>
  <c r="AI91" i="30"/>
  <c r="AI97" i="6"/>
  <c r="AI114" i="30" s="1"/>
  <c r="AI90" i="30"/>
  <c r="AI32" i="32" l="1"/>
  <c r="AI33" i="32" s="1"/>
  <c r="AK1090" i="9"/>
  <c r="AK1091" i="9"/>
  <c r="AK96" i="6" s="1"/>
  <c r="AI120" i="30"/>
  <c r="AH22" i="32"/>
  <c r="AH100" i="33" s="1"/>
  <c r="AH109" i="30"/>
  <c r="AH23" i="32"/>
  <c r="AH111" i="30"/>
  <c r="AH135" i="30" s="1"/>
  <c r="AG137" i="30"/>
  <c r="AG139" i="30"/>
  <c r="AJ103" i="6"/>
  <c r="AJ115" i="30" s="1"/>
  <c r="AJ91" i="30"/>
  <c r="AJ97" i="6"/>
  <c r="AJ114" i="30" s="1"/>
  <c r="AJ90" i="30"/>
  <c r="AJ18" i="6"/>
  <c r="AJ20" i="6"/>
  <c r="AJ1093" i="9"/>
  <c r="AL306" i="3"/>
  <c r="AL375" i="3" s="1"/>
  <c r="AL951" i="9" s="1"/>
  <c r="W951" i="9" s="1"/>
  <c r="BM951" i="9" s="1"/>
  <c r="AL300" i="3"/>
  <c r="AL369" i="3" s="1"/>
  <c r="AL945" i="9" s="1"/>
  <c r="AL310" i="3"/>
  <c r="AL379" i="3" s="1"/>
  <c r="AL955" i="9" s="1"/>
  <c r="W955" i="9" s="1"/>
  <c r="BM955" i="9" s="1"/>
  <c r="AL308" i="3"/>
  <c r="AL377" i="3" s="1"/>
  <c r="AL953" i="9" s="1"/>
  <c r="W953" i="9" s="1"/>
  <c r="BM953" i="9" s="1"/>
  <c r="AL317" i="3"/>
  <c r="AL386" i="3" s="1"/>
  <c r="AL962" i="9" s="1"/>
  <c r="W962" i="9" s="1"/>
  <c r="BM962" i="9" s="1"/>
  <c r="AL314" i="3"/>
  <c r="AL383" i="3" s="1"/>
  <c r="AL959" i="9" s="1"/>
  <c r="W959" i="9" s="1"/>
  <c r="BM959" i="9" s="1"/>
  <c r="AL302" i="3"/>
  <c r="AL371" i="3" s="1"/>
  <c r="AL947" i="9" s="1"/>
  <c r="AL312" i="3"/>
  <c r="AL381" i="3" s="1"/>
  <c r="AL957" i="9" s="1"/>
  <c r="W957" i="9" s="1"/>
  <c r="BM957" i="9" s="1"/>
  <c r="AL313" i="3"/>
  <c r="AL382" i="3" s="1"/>
  <c r="AL958" i="9" s="1"/>
  <c r="W958" i="9" s="1"/>
  <c r="BM958" i="9" s="1"/>
  <c r="AL303" i="3"/>
  <c r="AL372" i="3" s="1"/>
  <c r="AL948" i="9" s="1"/>
  <c r="W948" i="9" s="1"/>
  <c r="BM948" i="9" s="1"/>
  <c r="AL309" i="3"/>
  <c r="AL378" i="3" s="1"/>
  <c r="AL954" i="9" s="1"/>
  <c r="W954" i="9" s="1"/>
  <c r="BM954" i="9" s="1"/>
  <c r="AL304" i="3"/>
  <c r="AL373" i="3" s="1"/>
  <c r="AL949" i="9" s="1"/>
  <c r="W949" i="9" s="1"/>
  <c r="BM949" i="9" s="1"/>
  <c r="AL315" i="3"/>
  <c r="AL384" i="3" s="1"/>
  <c r="AL960" i="9" s="1"/>
  <c r="W960" i="9" s="1"/>
  <c r="BM960" i="9" s="1"/>
  <c r="AL318" i="3"/>
  <c r="AL387" i="3" s="1"/>
  <c r="AL963" i="9" s="1"/>
  <c r="W963" i="9" s="1"/>
  <c r="BM963" i="9" s="1"/>
  <c r="AL301" i="3"/>
  <c r="AL370" i="3" s="1"/>
  <c r="AL946" i="9" s="1"/>
  <c r="AL316" i="3"/>
  <c r="AL385" i="3" s="1"/>
  <c r="AL961" i="9" s="1"/>
  <c r="W961" i="9" s="1"/>
  <c r="BM961" i="9" s="1"/>
  <c r="AL319" i="3"/>
  <c r="AL388" i="3" s="1"/>
  <c r="AL964" i="9" s="1"/>
  <c r="W964" i="9" s="1"/>
  <c r="BM964" i="9" s="1"/>
  <c r="AL305" i="3"/>
  <c r="AL374" i="3" s="1"/>
  <c r="AL950" i="9" s="1"/>
  <c r="W950" i="9" s="1"/>
  <c r="BM950" i="9" s="1"/>
  <c r="AL311" i="3"/>
  <c r="AL380" i="3" s="1"/>
  <c r="AL956" i="9" s="1"/>
  <c r="W956" i="9" s="1"/>
  <c r="BM956" i="9" s="1"/>
  <c r="AL307" i="3"/>
  <c r="AL376" i="3" s="1"/>
  <c r="AL952" i="9" s="1"/>
  <c r="W952" i="9" s="1"/>
  <c r="BM952" i="9" s="1"/>
  <c r="AM208" i="30"/>
  <c r="AM209" i="30" s="1"/>
  <c r="AM97" i="33" s="1"/>
  <c r="AL83" i="6"/>
  <c r="AK1092" i="9"/>
  <c r="AK102" i="6" s="1"/>
  <c r="AI107" i="30"/>
  <c r="AK14" i="6"/>
  <c r="AK84" i="30"/>
  <c r="AK86" i="30" s="1"/>
  <c r="AK19" i="32"/>
  <c r="AJ32" i="32" l="1"/>
  <c r="AJ33" i="32" s="1"/>
  <c r="W947" i="9"/>
  <c r="AL1090" i="9"/>
  <c r="AJ120" i="30"/>
  <c r="AK103" i="6"/>
  <c r="AK115" i="30" s="1"/>
  <c r="AK91" i="30"/>
  <c r="AL1091" i="9"/>
  <c r="W946" i="9"/>
  <c r="AJ107" i="30"/>
  <c r="AK1093" i="9"/>
  <c r="AH137" i="30"/>
  <c r="AH139" i="30"/>
  <c r="AK20" i="6"/>
  <c r="AK18" i="6"/>
  <c r="AL14" i="6"/>
  <c r="AL84" i="30"/>
  <c r="AL19" i="32"/>
  <c r="AK90" i="30"/>
  <c r="AK97" i="6"/>
  <c r="AK114" i="30" s="1"/>
  <c r="AI22" i="32"/>
  <c r="AI100" i="33" s="1"/>
  <c r="AI109" i="30"/>
  <c r="AI23" i="32"/>
  <c r="AI111" i="30"/>
  <c r="AI135" i="30" s="1"/>
  <c r="AM305" i="3"/>
  <c r="AM374" i="3" s="1"/>
  <c r="AM950" i="9" s="1"/>
  <c r="AM316" i="3"/>
  <c r="AM385" i="3" s="1"/>
  <c r="AM961" i="9" s="1"/>
  <c r="AM307" i="3"/>
  <c r="AM376" i="3" s="1"/>
  <c r="AM952" i="9" s="1"/>
  <c r="AM311" i="3"/>
  <c r="AM380" i="3" s="1"/>
  <c r="AM956" i="9" s="1"/>
  <c r="AM303" i="3"/>
  <c r="AM372" i="3" s="1"/>
  <c r="AM948" i="9" s="1"/>
  <c r="AM306" i="3"/>
  <c r="AM375" i="3" s="1"/>
  <c r="AM951" i="9" s="1"/>
  <c r="AM310" i="3"/>
  <c r="AM379" i="3" s="1"/>
  <c r="AM955" i="9" s="1"/>
  <c r="AM304" i="3"/>
  <c r="AM373" i="3" s="1"/>
  <c r="AM949" i="9" s="1"/>
  <c r="AM308" i="3"/>
  <c r="AM377" i="3" s="1"/>
  <c r="AM953" i="9" s="1"/>
  <c r="AM317" i="3"/>
  <c r="AM386" i="3" s="1"/>
  <c r="AM962" i="9" s="1"/>
  <c r="AM301" i="3"/>
  <c r="AM370" i="3" s="1"/>
  <c r="AM946" i="9" s="1"/>
  <c r="AM300" i="3"/>
  <c r="AM369" i="3" s="1"/>
  <c r="AM945" i="9" s="1"/>
  <c r="AM318" i="3"/>
  <c r="AM387" i="3" s="1"/>
  <c r="AM963" i="9" s="1"/>
  <c r="AM315" i="3"/>
  <c r="AM384" i="3" s="1"/>
  <c r="AM960" i="9" s="1"/>
  <c r="AM314" i="3"/>
  <c r="AM383" i="3" s="1"/>
  <c r="AM959" i="9" s="1"/>
  <c r="AM302" i="3"/>
  <c r="AM371" i="3" s="1"/>
  <c r="AM947" i="9" s="1"/>
  <c r="AM313" i="3"/>
  <c r="AM382" i="3" s="1"/>
  <c r="AM958" i="9" s="1"/>
  <c r="AM319" i="3"/>
  <c r="AM388" i="3" s="1"/>
  <c r="AM964" i="9" s="1"/>
  <c r="AM309" i="3"/>
  <c r="AM378" i="3" s="1"/>
  <c r="AM954" i="9" s="1"/>
  <c r="AM312" i="3"/>
  <c r="AM381" i="3" s="1"/>
  <c r="AM957" i="9" s="1"/>
  <c r="AM83" i="6"/>
  <c r="AN208" i="30"/>
  <c r="AN209" i="30" s="1"/>
  <c r="AN97" i="33" s="1"/>
  <c r="AL1092" i="9"/>
  <c r="AL102" i="6" s="1"/>
  <c r="W945" i="9"/>
  <c r="CI19" i="32" l="1"/>
  <c r="AL86" i="30"/>
  <c r="CG86" i="30" s="1"/>
  <c r="CG84" i="30"/>
  <c r="AK32" i="32"/>
  <c r="AK33" i="32" s="1"/>
  <c r="AM1091" i="9"/>
  <c r="AM96" i="6" s="1"/>
  <c r="AM1090" i="9"/>
  <c r="BM947" i="9"/>
  <c r="W1090" i="9"/>
  <c r="AK120" i="30"/>
  <c r="AL91" i="30"/>
  <c r="AL103" i="6"/>
  <c r="AL115" i="30" s="1"/>
  <c r="AM84" i="30"/>
  <c r="AM86" i="30" s="1"/>
  <c r="AM14" i="6"/>
  <c r="AM19" i="32"/>
  <c r="AI137" i="30"/>
  <c r="AI139" i="30"/>
  <c r="W1091" i="9"/>
  <c r="BM946" i="9"/>
  <c r="AL96" i="6"/>
  <c r="AL1093" i="9"/>
  <c r="BM945" i="9"/>
  <c r="W1092" i="9"/>
  <c r="W102" i="6" s="1"/>
  <c r="AM1092" i="9"/>
  <c r="AM102" i="6" s="1"/>
  <c r="AJ22" i="32"/>
  <c r="AJ100" i="33" s="1"/>
  <c r="AJ111" i="30"/>
  <c r="AJ135" i="30" s="1"/>
  <c r="AJ109" i="30"/>
  <c r="AJ23" i="32"/>
  <c r="AN301" i="3"/>
  <c r="AN370" i="3" s="1"/>
  <c r="AN946" i="9" s="1"/>
  <c r="AN304" i="3"/>
  <c r="AN373" i="3" s="1"/>
  <c r="AN949" i="9" s="1"/>
  <c r="AN300" i="3"/>
  <c r="AN369" i="3" s="1"/>
  <c r="AN945" i="9" s="1"/>
  <c r="AN317" i="3"/>
  <c r="AN386" i="3" s="1"/>
  <c r="AN962" i="9" s="1"/>
  <c r="AN305" i="3"/>
  <c r="AN374" i="3" s="1"/>
  <c r="AN950" i="9" s="1"/>
  <c r="AN314" i="3"/>
  <c r="AN383" i="3" s="1"/>
  <c r="AN959" i="9" s="1"/>
  <c r="AN308" i="3"/>
  <c r="AN377" i="3" s="1"/>
  <c r="AN953" i="9" s="1"/>
  <c r="AN302" i="3"/>
  <c r="AN371" i="3" s="1"/>
  <c r="AN947" i="9" s="1"/>
  <c r="AN319" i="3"/>
  <c r="AN388" i="3" s="1"/>
  <c r="AN964" i="9" s="1"/>
  <c r="AN313" i="3"/>
  <c r="AN382" i="3" s="1"/>
  <c r="AN958" i="9" s="1"/>
  <c r="AN315" i="3"/>
  <c r="AN384" i="3" s="1"/>
  <c r="AN960" i="9" s="1"/>
  <c r="AN306" i="3"/>
  <c r="AN375" i="3" s="1"/>
  <c r="AN951" i="9" s="1"/>
  <c r="AN309" i="3"/>
  <c r="AN378" i="3" s="1"/>
  <c r="AN954" i="9" s="1"/>
  <c r="AN311" i="3"/>
  <c r="AN380" i="3" s="1"/>
  <c r="AN956" i="9" s="1"/>
  <c r="AN310" i="3"/>
  <c r="AN379" i="3" s="1"/>
  <c r="AN955" i="9" s="1"/>
  <c r="AN318" i="3"/>
  <c r="AN387" i="3" s="1"/>
  <c r="AN963" i="9" s="1"/>
  <c r="AN312" i="3"/>
  <c r="AN381" i="3" s="1"/>
  <c r="AN957" i="9" s="1"/>
  <c r="AN303" i="3"/>
  <c r="AN372" i="3" s="1"/>
  <c r="AN948" i="9" s="1"/>
  <c r="AN307" i="3"/>
  <c r="AN376" i="3" s="1"/>
  <c r="AN952" i="9" s="1"/>
  <c r="AN316" i="3"/>
  <c r="AN385" i="3" s="1"/>
  <c r="AN961" i="9" s="1"/>
  <c r="AO208" i="30"/>
  <c r="AO209" i="30" s="1"/>
  <c r="AO97" i="33" s="1"/>
  <c r="AN83" i="6"/>
  <c r="AK107" i="30"/>
  <c r="AL18" i="6"/>
  <c r="AL20" i="6"/>
  <c r="BM1092" i="9" l="1"/>
  <c r="BM102" i="6" s="1"/>
  <c r="BM103" i="6" s="1"/>
  <c r="BM115" i="30" s="1"/>
  <c r="BM1090" i="9"/>
  <c r="BM1091" i="9"/>
  <c r="BM96" i="6" s="1"/>
  <c r="AN1090" i="9"/>
  <c r="AN1091" i="9"/>
  <c r="AN96" i="6" s="1"/>
  <c r="AM1093" i="9"/>
  <c r="AJ139" i="30"/>
  <c r="AJ137" i="30"/>
  <c r="AN14" i="6"/>
  <c r="AN84" i="30"/>
  <c r="AN86" i="30" s="1"/>
  <c r="AN19" i="32"/>
  <c r="AO301" i="3"/>
  <c r="AO370" i="3" s="1"/>
  <c r="AO946" i="9" s="1"/>
  <c r="AO309" i="3"/>
  <c r="AO378" i="3" s="1"/>
  <c r="AO954" i="9" s="1"/>
  <c r="AO319" i="3"/>
  <c r="AO388" i="3" s="1"/>
  <c r="AO964" i="9" s="1"/>
  <c r="AO308" i="3"/>
  <c r="AO377" i="3" s="1"/>
  <c r="AO953" i="9" s="1"/>
  <c r="AO300" i="3"/>
  <c r="AO369" i="3" s="1"/>
  <c r="AO945" i="9" s="1"/>
  <c r="AO304" i="3"/>
  <c r="AO373" i="3" s="1"/>
  <c r="AO949" i="9" s="1"/>
  <c r="AO307" i="3"/>
  <c r="AO376" i="3" s="1"/>
  <c r="AO952" i="9" s="1"/>
  <c r="AO310" i="3"/>
  <c r="AO379" i="3" s="1"/>
  <c r="AO955" i="9" s="1"/>
  <c r="AO306" i="3"/>
  <c r="AO375" i="3" s="1"/>
  <c r="AO951" i="9" s="1"/>
  <c r="AO312" i="3"/>
  <c r="AO381" i="3" s="1"/>
  <c r="AO957" i="9" s="1"/>
  <c r="AO311" i="3"/>
  <c r="AO380" i="3" s="1"/>
  <c r="AO956" i="9" s="1"/>
  <c r="AO305" i="3"/>
  <c r="AO374" i="3" s="1"/>
  <c r="AO950" i="9" s="1"/>
  <c r="AO302" i="3"/>
  <c r="AO371" i="3" s="1"/>
  <c r="AO947" i="9" s="1"/>
  <c r="AO315" i="3"/>
  <c r="AO384" i="3" s="1"/>
  <c r="AO960" i="9" s="1"/>
  <c r="AO317" i="3"/>
  <c r="AO386" i="3" s="1"/>
  <c r="AO962" i="9" s="1"/>
  <c r="AO318" i="3"/>
  <c r="AO387" i="3" s="1"/>
  <c r="AO963" i="9" s="1"/>
  <c r="AO303" i="3"/>
  <c r="AO372" i="3" s="1"/>
  <c r="AO948" i="9" s="1"/>
  <c r="AO314" i="3"/>
  <c r="AO383" i="3" s="1"/>
  <c r="AO959" i="9" s="1"/>
  <c r="AO316" i="3"/>
  <c r="AO385" i="3" s="1"/>
  <c r="AO961" i="9" s="1"/>
  <c r="AO313" i="3"/>
  <c r="AO382" i="3" s="1"/>
  <c r="AO958" i="9" s="1"/>
  <c r="AO83" i="6"/>
  <c r="AP208" i="30"/>
  <c r="AP209" i="30" s="1"/>
  <c r="AP97" i="33" s="1"/>
  <c r="AM91" i="30"/>
  <c r="AM103" i="6"/>
  <c r="AM115" i="30" s="1"/>
  <c r="AL97" i="6"/>
  <c r="AL114" i="30" s="1"/>
  <c r="AL120" i="30" s="1"/>
  <c r="AL90" i="30"/>
  <c r="AK22" i="32"/>
  <c r="AK100" i="33" s="1"/>
  <c r="AK111" i="30"/>
  <c r="AK135" i="30" s="1"/>
  <c r="AK23" i="32"/>
  <c r="AK109" i="30"/>
  <c r="AM97" i="6"/>
  <c r="AM114" i="30" s="1"/>
  <c r="AM90" i="30"/>
  <c r="W103" i="6"/>
  <c r="W91" i="30"/>
  <c r="W96" i="6"/>
  <c r="W1093" i="9"/>
  <c r="AN1092" i="9"/>
  <c r="AN102" i="6" s="1"/>
  <c r="AM18" i="6"/>
  <c r="AM20" i="6"/>
  <c r="BM91" i="30" l="1"/>
  <c r="CJ91" i="30" s="1"/>
  <c r="CG91" i="30"/>
  <c r="AM32" i="32"/>
  <c r="AM33" i="32" s="1"/>
  <c r="AL32" i="32"/>
  <c r="AL33" i="32" s="1"/>
  <c r="BM1093" i="9"/>
  <c r="AO1090" i="9"/>
  <c r="AO1091" i="9"/>
  <c r="AO96" i="6" s="1"/>
  <c r="AM120" i="30"/>
  <c r="W115" i="30"/>
  <c r="AL107" i="30"/>
  <c r="AN91" i="30"/>
  <c r="AN103" i="6"/>
  <c r="AN115" i="30" s="1"/>
  <c r="AO14" i="6"/>
  <c r="AO84" i="30"/>
  <c r="AO86" i="30" s="1"/>
  <c r="AO19" i="32"/>
  <c r="AO1092" i="9"/>
  <c r="AO102" i="6" s="1"/>
  <c r="AN18" i="6"/>
  <c r="AN20" i="6"/>
  <c r="AN97" i="6"/>
  <c r="AN114" i="30" s="1"/>
  <c r="AN90" i="30"/>
  <c r="W90" i="30"/>
  <c r="W97" i="6"/>
  <c r="AM107" i="30"/>
  <c r="AK139" i="30"/>
  <c r="AK137" i="30"/>
  <c r="AN1093" i="9"/>
  <c r="BM97" i="6"/>
  <c r="BM114" i="30" s="1"/>
  <c r="BM120" i="30" s="1"/>
  <c r="BM90" i="30"/>
  <c r="AP306" i="3"/>
  <c r="AP375" i="3" s="1"/>
  <c r="AP951" i="9" s="1"/>
  <c r="AP313" i="3"/>
  <c r="AP382" i="3" s="1"/>
  <c r="AP958" i="9" s="1"/>
  <c r="AP304" i="3"/>
  <c r="AP373" i="3" s="1"/>
  <c r="AP949" i="9" s="1"/>
  <c r="AP300" i="3"/>
  <c r="AP369" i="3" s="1"/>
  <c r="AP945" i="9" s="1"/>
  <c r="AP302" i="3"/>
  <c r="AP371" i="3" s="1"/>
  <c r="AP947" i="9" s="1"/>
  <c r="AP317" i="3"/>
  <c r="AP386" i="3" s="1"/>
  <c r="AP962" i="9" s="1"/>
  <c r="AP319" i="3"/>
  <c r="AP388" i="3" s="1"/>
  <c r="AP964" i="9" s="1"/>
  <c r="AP311" i="3"/>
  <c r="AP380" i="3" s="1"/>
  <c r="AP956" i="9" s="1"/>
  <c r="AP314" i="3"/>
  <c r="AP383" i="3" s="1"/>
  <c r="AP959" i="9" s="1"/>
  <c r="AP318" i="3"/>
  <c r="AP387" i="3" s="1"/>
  <c r="AP963" i="9" s="1"/>
  <c r="AP315" i="3"/>
  <c r="AP384" i="3" s="1"/>
  <c r="AP960" i="9" s="1"/>
  <c r="AP308" i="3"/>
  <c r="AP377" i="3" s="1"/>
  <c r="AP953" i="9" s="1"/>
  <c r="AP303" i="3"/>
  <c r="AP372" i="3" s="1"/>
  <c r="AP948" i="9" s="1"/>
  <c r="AP307" i="3"/>
  <c r="AP376" i="3" s="1"/>
  <c r="AP952" i="9" s="1"/>
  <c r="AP316" i="3"/>
  <c r="AP385" i="3" s="1"/>
  <c r="AP961" i="9" s="1"/>
  <c r="AP305" i="3"/>
  <c r="AP374" i="3" s="1"/>
  <c r="AP950" i="9" s="1"/>
  <c r="AP310" i="3"/>
  <c r="AP379" i="3" s="1"/>
  <c r="AP955" i="9" s="1"/>
  <c r="AP312" i="3"/>
  <c r="AP381" i="3" s="1"/>
  <c r="AP957" i="9" s="1"/>
  <c r="AP309" i="3"/>
  <c r="AP378" i="3" s="1"/>
  <c r="AP954" i="9" s="1"/>
  <c r="AP301" i="3"/>
  <c r="AP370" i="3" s="1"/>
  <c r="AP946" i="9" s="1"/>
  <c r="AP83" i="6"/>
  <c r="AQ208" i="30"/>
  <c r="AQ209" i="30" s="1"/>
  <c r="AQ97" i="33" s="1"/>
  <c r="CG90" i="30" l="1"/>
  <c r="CJ90" i="30"/>
  <c r="CG115" i="30"/>
  <c r="CJ115" i="30"/>
  <c r="BM32" i="32"/>
  <c r="AN32" i="32"/>
  <c r="AN33" i="32" s="1"/>
  <c r="AP1091" i="9"/>
  <c r="AP96" i="6" s="1"/>
  <c r="AP1090" i="9"/>
  <c r="AN120" i="30"/>
  <c r="AP84" i="30"/>
  <c r="AP86" i="30" s="1"/>
  <c r="AP14" i="6"/>
  <c r="AP19" i="32"/>
  <c r="AN107" i="30"/>
  <c r="AO1093" i="9"/>
  <c r="AL22" i="32"/>
  <c r="AL100" i="33" s="1"/>
  <c r="AL23" i="32"/>
  <c r="AL109" i="30"/>
  <c r="AL111" i="30"/>
  <c r="AL135" i="30" s="1"/>
  <c r="W114" i="30"/>
  <c r="AO97" i="6"/>
  <c r="AO114" i="30" s="1"/>
  <c r="AO90" i="30"/>
  <c r="AO20" i="6"/>
  <c r="AO18" i="6"/>
  <c r="AP1092" i="9"/>
  <c r="AP102" i="6" s="1"/>
  <c r="BM107" i="30"/>
  <c r="W107" i="30"/>
  <c r="AO103" i="6"/>
  <c r="AO115" i="30" s="1"/>
  <c r="AO91" i="30"/>
  <c r="AQ310" i="3"/>
  <c r="AQ379" i="3" s="1"/>
  <c r="AQ955" i="9" s="1"/>
  <c r="AQ313" i="3"/>
  <c r="AQ382" i="3" s="1"/>
  <c r="AQ958" i="9" s="1"/>
  <c r="AQ300" i="3"/>
  <c r="AQ369" i="3" s="1"/>
  <c r="AQ945" i="9" s="1"/>
  <c r="AQ317" i="3"/>
  <c r="AQ386" i="3" s="1"/>
  <c r="AQ962" i="9" s="1"/>
  <c r="AQ306" i="3"/>
  <c r="AQ375" i="3" s="1"/>
  <c r="AQ951" i="9" s="1"/>
  <c r="AQ316" i="3"/>
  <c r="AQ385" i="3" s="1"/>
  <c r="AQ961" i="9" s="1"/>
  <c r="AQ307" i="3"/>
  <c r="AQ376" i="3" s="1"/>
  <c r="AQ952" i="9" s="1"/>
  <c r="AQ311" i="3"/>
  <c r="AQ380" i="3" s="1"/>
  <c r="AQ956" i="9" s="1"/>
  <c r="AQ315" i="3"/>
  <c r="AQ384" i="3" s="1"/>
  <c r="AQ960" i="9" s="1"/>
  <c r="AQ318" i="3"/>
  <c r="AQ387" i="3" s="1"/>
  <c r="AQ963" i="9" s="1"/>
  <c r="AQ304" i="3"/>
  <c r="AQ373" i="3" s="1"/>
  <c r="AQ949" i="9" s="1"/>
  <c r="AQ319" i="3"/>
  <c r="AQ388" i="3" s="1"/>
  <c r="AQ964" i="9" s="1"/>
  <c r="AQ309" i="3"/>
  <c r="AQ378" i="3" s="1"/>
  <c r="AQ954" i="9" s="1"/>
  <c r="AQ305" i="3"/>
  <c r="AQ374" i="3" s="1"/>
  <c r="AQ950" i="9" s="1"/>
  <c r="AQ302" i="3"/>
  <c r="AQ371" i="3" s="1"/>
  <c r="AQ947" i="9" s="1"/>
  <c r="AQ303" i="3"/>
  <c r="AQ372" i="3" s="1"/>
  <c r="AQ948" i="9" s="1"/>
  <c r="AQ312" i="3"/>
  <c r="AQ381" i="3" s="1"/>
  <c r="AQ957" i="9" s="1"/>
  <c r="AQ314" i="3"/>
  <c r="AQ383" i="3" s="1"/>
  <c r="AQ959" i="9" s="1"/>
  <c r="AQ308" i="3"/>
  <c r="AQ377" i="3" s="1"/>
  <c r="AQ953" i="9" s="1"/>
  <c r="AQ301" i="3"/>
  <c r="AQ370" i="3" s="1"/>
  <c r="AQ946" i="9" s="1"/>
  <c r="AQ83" i="6"/>
  <c r="AR208" i="30"/>
  <c r="AR209" i="30" s="1"/>
  <c r="AR97" i="33" s="1"/>
  <c r="AM22" i="32"/>
  <c r="AM100" i="33" s="1"/>
  <c r="AM109" i="30"/>
  <c r="AM111" i="30"/>
  <c r="AM135" i="30" s="1"/>
  <c r="AM23" i="32"/>
  <c r="W120" i="30" l="1"/>
  <c r="CG114" i="30"/>
  <c r="CJ114" i="30"/>
  <c r="CG107" i="30"/>
  <c r="CJ107" i="30"/>
  <c r="AO32" i="32"/>
  <c r="AO33" i="32" s="1"/>
  <c r="W32" i="32"/>
  <c r="W33" i="32" s="1"/>
  <c r="W57" i="13" s="1"/>
  <c r="W98" i="35" s="1"/>
  <c r="AQ1091" i="9"/>
  <c r="AQ96" i="6" s="1"/>
  <c r="AQ1090" i="9"/>
  <c r="AQ1092" i="9"/>
  <c r="AQ102" i="6" s="1"/>
  <c r="BM22" i="32"/>
  <c r="BM100" i="33" s="1"/>
  <c r="BM23" i="32"/>
  <c r="BM109" i="30"/>
  <c r="BM111" i="30"/>
  <c r="BM135" i="30" s="1"/>
  <c r="AO107" i="30"/>
  <c r="AP97" i="6"/>
  <c r="AP114" i="30" s="1"/>
  <c r="AP90" i="30"/>
  <c r="AR318" i="3"/>
  <c r="AR387" i="3" s="1"/>
  <c r="AR963" i="9" s="1"/>
  <c r="AR309" i="3"/>
  <c r="AR378" i="3" s="1"/>
  <c r="AR954" i="9" s="1"/>
  <c r="AR314" i="3"/>
  <c r="AR383" i="3" s="1"/>
  <c r="AR959" i="9" s="1"/>
  <c r="AR312" i="3"/>
  <c r="AR381" i="3" s="1"/>
  <c r="AR957" i="9" s="1"/>
  <c r="AR313" i="3"/>
  <c r="AR382" i="3" s="1"/>
  <c r="AR958" i="9" s="1"/>
  <c r="AR304" i="3"/>
  <c r="AR373" i="3" s="1"/>
  <c r="AR949" i="9" s="1"/>
  <c r="AR308" i="3"/>
  <c r="AR377" i="3" s="1"/>
  <c r="AR953" i="9" s="1"/>
  <c r="AR302" i="3"/>
  <c r="AR371" i="3" s="1"/>
  <c r="AR947" i="9" s="1"/>
  <c r="AR303" i="3"/>
  <c r="AR372" i="3" s="1"/>
  <c r="AR948" i="9" s="1"/>
  <c r="AR307" i="3"/>
  <c r="AR376" i="3" s="1"/>
  <c r="AR952" i="9" s="1"/>
  <c r="AR310" i="3"/>
  <c r="AR379" i="3" s="1"/>
  <c r="AR955" i="9" s="1"/>
  <c r="AR317" i="3"/>
  <c r="AR386" i="3" s="1"/>
  <c r="AR962" i="9" s="1"/>
  <c r="AR300" i="3"/>
  <c r="AR369" i="3" s="1"/>
  <c r="AR945" i="9" s="1"/>
  <c r="AR306" i="3"/>
  <c r="AR375" i="3" s="1"/>
  <c r="AR951" i="9" s="1"/>
  <c r="AR316" i="3"/>
  <c r="AR385" i="3" s="1"/>
  <c r="AR961" i="9" s="1"/>
  <c r="AR305" i="3"/>
  <c r="AR374" i="3" s="1"/>
  <c r="AR950" i="9" s="1"/>
  <c r="AR301" i="3"/>
  <c r="AR370" i="3" s="1"/>
  <c r="AR946" i="9" s="1"/>
  <c r="AR319" i="3"/>
  <c r="AR388" i="3" s="1"/>
  <c r="AR964" i="9" s="1"/>
  <c r="AR311" i="3"/>
  <c r="AR380" i="3" s="1"/>
  <c r="AR956" i="9" s="1"/>
  <c r="AR315" i="3"/>
  <c r="AR384" i="3" s="1"/>
  <c r="AR960" i="9" s="1"/>
  <c r="AS208" i="30"/>
  <c r="AS209" i="30" s="1"/>
  <c r="AS97" i="33" s="1"/>
  <c r="AR83" i="6"/>
  <c r="AP91" i="30"/>
  <c r="AP103" i="6"/>
  <c r="AP115" i="30" s="1"/>
  <c r="AO120" i="30"/>
  <c r="AP1093" i="9"/>
  <c r="AM137" i="30"/>
  <c r="AM139" i="30"/>
  <c r="AQ14" i="6"/>
  <c r="AQ84" i="30"/>
  <c r="AQ86" i="30" s="1"/>
  <c r="AQ19" i="32"/>
  <c r="W22" i="32"/>
  <c r="W100" i="33" s="1"/>
  <c r="W111" i="30"/>
  <c r="W109" i="30"/>
  <c r="W23" i="32"/>
  <c r="AL139" i="30"/>
  <c r="AL137" i="30"/>
  <c r="AN22" i="32"/>
  <c r="AN100" i="33" s="1"/>
  <c r="AN23" i="32"/>
  <c r="AN111" i="30"/>
  <c r="AN135" i="30" s="1"/>
  <c r="AN109" i="30"/>
  <c r="AP20" i="6"/>
  <c r="AP18" i="6"/>
  <c r="BM33" i="32"/>
  <c r="W135" i="30" l="1"/>
  <c r="W139" i="30" s="1"/>
  <c r="W124" i="13"/>
  <c r="CG120" i="30"/>
  <c r="CJ120" i="30"/>
  <c r="W122" i="13"/>
  <c r="CG109" i="30"/>
  <c r="CJ109" i="30"/>
  <c r="CG111" i="30"/>
  <c r="CJ111" i="30"/>
  <c r="AP32" i="32"/>
  <c r="AP33" i="32" s="1"/>
  <c r="AR1090" i="9"/>
  <c r="AR1091" i="9"/>
  <c r="AR96" i="6" s="1"/>
  <c r="CF33" i="32"/>
  <c r="CF23" i="32"/>
  <c r="CF32" i="32"/>
  <c r="CF22" i="32"/>
  <c r="W16" i="12"/>
  <c r="AQ1093" i="9"/>
  <c r="W47" i="35"/>
  <c r="AR1092" i="9"/>
  <c r="AR102" i="6" s="1"/>
  <c r="AR103" i="6" s="1"/>
  <c r="AR115" i="30" s="1"/>
  <c r="W83" i="13"/>
  <c r="W100" i="35" s="1"/>
  <c r="W56" i="35"/>
  <c r="W37" i="12"/>
  <c r="W14" i="12"/>
  <c r="AR14" i="6"/>
  <c r="AR84" i="30"/>
  <c r="AR86" i="30" s="1"/>
  <c r="AR19" i="32"/>
  <c r="AP120" i="30"/>
  <c r="AS301" i="3"/>
  <c r="AS370" i="3" s="1"/>
  <c r="AS946" i="9" s="1"/>
  <c r="AS300" i="3"/>
  <c r="AS369" i="3" s="1"/>
  <c r="AS945" i="9" s="1"/>
  <c r="AS317" i="3"/>
  <c r="AS386" i="3" s="1"/>
  <c r="AS962" i="9" s="1"/>
  <c r="AS303" i="3"/>
  <c r="AS372" i="3" s="1"/>
  <c r="AS948" i="9" s="1"/>
  <c r="AS315" i="3"/>
  <c r="AS384" i="3" s="1"/>
  <c r="AS960" i="9" s="1"/>
  <c r="AS309" i="3"/>
  <c r="AS378" i="3" s="1"/>
  <c r="AS954" i="9" s="1"/>
  <c r="AS302" i="3"/>
  <c r="AS371" i="3" s="1"/>
  <c r="AS947" i="9" s="1"/>
  <c r="AS305" i="3"/>
  <c r="AS374" i="3" s="1"/>
  <c r="AS950" i="9" s="1"/>
  <c r="AS310" i="3"/>
  <c r="AS379" i="3" s="1"/>
  <c r="AS955" i="9" s="1"/>
  <c r="AS311" i="3"/>
  <c r="AS380" i="3" s="1"/>
  <c r="AS956" i="9" s="1"/>
  <c r="AS314" i="3"/>
  <c r="AS383" i="3" s="1"/>
  <c r="AS959" i="9" s="1"/>
  <c r="AS306" i="3"/>
  <c r="AS375" i="3" s="1"/>
  <c r="AS951" i="9" s="1"/>
  <c r="AS308" i="3"/>
  <c r="AS377" i="3" s="1"/>
  <c r="AS953" i="9" s="1"/>
  <c r="AS318" i="3"/>
  <c r="AS387" i="3" s="1"/>
  <c r="AS963" i="9" s="1"/>
  <c r="AS319" i="3"/>
  <c r="AS388" i="3" s="1"/>
  <c r="AS964" i="9" s="1"/>
  <c r="AS312" i="3"/>
  <c r="AS381" i="3" s="1"/>
  <c r="AS957" i="9" s="1"/>
  <c r="AS316" i="3"/>
  <c r="AS385" i="3" s="1"/>
  <c r="AS961" i="9" s="1"/>
  <c r="AS307" i="3"/>
  <c r="AS376" i="3" s="1"/>
  <c r="AS952" i="9" s="1"/>
  <c r="AS304" i="3"/>
  <c r="AS373" i="3" s="1"/>
  <c r="AS949" i="9" s="1"/>
  <c r="AS313" i="3"/>
  <c r="AS382" i="3" s="1"/>
  <c r="AS958" i="9" s="1"/>
  <c r="AS83" i="6"/>
  <c r="AT208" i="30"/>
  <c r="AT209" i="30" s="1"/>
  <c r="AT97" i="33" s="1"/>
  <c r="AO22" i="32"/>
  <c r="AO100" i="33" s="1"/>
  <c r="AO23" i="32"/>
  <c r="AO109" i="30"/>
  <c r="AO111" i="30"/>
  <c r="AO135" i="30" s="1"/>
  <c r="AQ97" i="6"/>
  <c r="AQ114" i="30" s="1"/>
  <c r="AQ90" i="30"/>
  <c r="AN139" i="30"/>
  <c r="AN137" i="30"/>
  <c r="W55" i="35"/>
  <c r="AQ20" i="6"/>
  <c r="AQ18" i="6"/>
  <c r="AP107" i="30"/>
  <c r="BM139" i="30"/>
  <c r="BM137" i="30"/>
  <c r="AQ91" i="30"/>
  <c r="AQ103" i="6"/>
  <c r="AQ115" i="30" s="1"/>
  <c r="W44" i="12" l="1"/>
  <c r="W45" i="12"/>
  <c r="W137" i="30"/>
  <c r="CG135" i="30"/>
  <c r="CJ135" i="30"/>
  <c r="AQ32" i="32"/>
  <c r="AQ33" i="32" s="1"/>
  <c r="AS1090" i="9"/>
  <c r="AS1091" i="9"/>
  <c r="AS96" i="6" s="1"/>
  <c r="AR91" i="30"/>
  <c r="AR1093" i="9"/>
  <c r="AQ107" i="30"/>
  <c r="AS14" i="6"/>
  <c r="AS84" i="30"/>
  <c r="AS86" i="30" s="1"/>
  <c r="AS19" i="32"/>
  <c r="AS1092" i="9"/>
  <c r="AS102" i="6" s="1"/>
  <c r="W47" i="12"/>
  <c r="W48" i="12"/>
  <c r="W55" i="12" s="1"/>
  <c r="AQ120" i="30"/>
  <c r="AO139" i="30"/>
  <c r="AO137" i="30"/>
  <c r="AR97" i="6"/>
  <c r="AR114" i="30" s="1"/>
  <c r="AR120" i="30" s="1"/>
  <c r="AR90" i="30"/>
  <c r="AR18" i="6"/>
  <c r="AR20" i="6"/>
  <c r="AP22" i="32"/>
  <c r="AP100" i="33" s="1"/>
  <c r="AP111" i="30"/>
  <c r="AP135" i="30" s="1"/>
  <c r="AP109" i="30"/>
  <c r="AP23" i="32"/>
  <c r="AT307" i="3"/>
  <c r="AT376" i="3" s="1"/>
  <c r="AT952" i="9" s="1"/>
  <c r="AT313" i="3"/>
  <c r="AT382" i="3" s="1"/>
  <c r="AT958" i="9" s="1"/>
  <c r="AT301" i="3"/>
  <c r="AT370" i="3" s="1"/>
  <c r="AT946" i="9" s="1"/>
  <c r="AT302" i="3"/>
  <c r="AT371" i="3" s="1"/>
  <c r="AT947" i="9" s="1"/>
  <c r="AT304" i="3"/>
  <c r="AT373" i="3" s="1"/>
  <c r="AT949" i="9" s="1"/>
  <c r="AT308" i="3"/>
  <c r="AT377" i="3" s="1"/>
  <c r="AT953" i="9" s="1"/>
  <c r="AT300" i="3"/>
  <c r="AT369" i="3" s="1"/>
  <c r="AT945" i="9" s="1"/>
  <c r="AT315" i="3"/>
  <c r="AT384" i="3" s="1"/>
  <c r="AT960" i="9" s="1"/>
  <c r="AT309" i="3"/>
  <c r="AT378" i="3" s="1"/>
  <c r="AT954" i="9" s="1"/>
  <c r="AT303" i="3"/>
  <c r="AT372" i="3" s="1"/>
  <c r="AT948" i="9" s="1"/>
  <c r="AT318" i="3"/>
  <c r="AT387" i="3" s="1"/>
  <c r="AT963" i="9" s="1"/>
  <c r="AT310" i="3"/>
  <c r="AT379" i="3" s="1"/>
  <c r="AT955" i="9" s="1"/>
  <c r="AT306" i="3"/>
  <c r="AT375" i="3" s="1"/>
  <c r="AT951" i="9" s="1"/>
  <c r="AT312" i="3"/>
  <c r="AT381" i="3" s="1"/>
  <c r="AT957" i="9" s="1"/>
  <c r="AT314" i="3"/>
  <c r="AT383" i="3" s="1"/>
  <c r="AT959" i="9" s="1"/>
  <c r="AT311" i="3"/>
  <c r="AT380" i="3" s="1"/>
  <c r="AT956" i="9" s="1"/>
  <c r="AT317" i="3"/>
  <c r="AT386" i="3" s="1"/>
  <c r="AT962" i="9" s="1"/>
  <c r="AT319" i="3"/>
  <c r="AT388" i="3" s="1"/>
  <c r="AT964" i="9" s="1"/>
  <c r="AT305" i="3"/>
  <c r="AT374" i="3" s="1"/>
  <c r="AT950" i="9" s="1"/>
  <c r="AT316" i="3"/>
  <c r="AT385" i="3" s="1"/>
  <c r="AT961" i="9" s="1"/>
  <c r="AU208" i="30"/>
  <c r="AU209" i="30" s="1"/>
  <c r="AU97" i="33" s="1"/>
  <c r="AT83" i="6"/>
  <c r="W20" i="12"/>
  <c r="W27" i="12" s="1"/>
  <c r="W21" i="12"/>
  <c r="W19" i="12"/>
  <c r="AR32" i="32" l="1"/>
  <c r="AR33" i="32" s="1"/>
  <c r="AT1090" i="9"/>
  <c r="AT1091" i="9"/>
  <c r="AT96" i="6" s="1"/>
  <c r="AS1093" i="9"/>
  <c r="W49" i="12"/>
  <c r="W51" i="12" s="1"/>
  <c r="W56" i="12" s="1"/>
  <c r="W23" i="12"/>
  <c r="W28" i="12" s="1"/>
  <c r="AU305" i="3"/>
  <c r="AU374" i="3" s="1"/>
  <c r="AU950" i="9" s="1"/>
  <c r="AU309" i="3"/>
  <c r="AU378" i="3" s="1"/>
  <c r="AU954" i="9" s="1"/>
  <c r="AU307" i="3"/>
  <c r="AU376" i="3" s="1"/>
  <c r="AU952" i="9" s="1"/>
  <c r="AU316" i="3"/>
  <c r="AU385" i="3" s="1"/>
  <c r="AU961" i="9" s="1"/>
  <c r="AU310" i="3"/>
  <c r="AU379" i="3" s="1"/>
  <c r="AU955" i="9" s="1"/>
  <c r="AU312" i="3"/>
  <c r="AU381" i="3" s="1"/>
  <c r="AU957" i="9" s="1"/>
  <c r="AU318" i="3"/>
  <c r="AU387" i="3" s="1"/>
  <c r="AU963" i="9" s="1"/>
  <c r="AU300" i="3"/>
  <c r="AU369" i="3" s="1"/>
  <c r="AU945" i="9" s="1"/>
  <c r="AU314" i="3"/>
  <c r="AU383" i="3" s="1"/>
  <c r="AU959" i="9" s="1"/>
  <c r="AU303" i="3"/>
  <c r="AU372" i="3" s="1"/>
  <c r="AU948" i="9" s="1"/>
  <c r="AU317" i="3"/>
  <c r="AU386" i="3" s="1"/>
  <c r="AU962" i="9" s="1"/>
  <c r="AU302" i="3"/>
  <c r="AU371" i="3" s="1"/>
  <c r="AU947" i="9" s="1"/>
  <c r="AU301" i="3"/>
  <c r="AU370" i="3" s="1"/>
  <c r="AU946" i="9" s="1"/>
  <c r="AU311" i="3"/>
  <c r="AU380" i="3" s="1"/>
  <c r="AU956" i="9" s="1"/>
  <c r="AU315" i="3"/>
  <c r="AU384" i="3" s="1"/>
  <c r="AU960" i="9" s="1"/>
  <c r="AU306" i="3"/>
  <c r="AU375" i="3" s="1"/>
  <c r="AU951" i="9" s="1"/>
  <c r="AU308" i="3"/>
  <c r="AU377" i="3" s="1"/>
  <c r="AU953" i="9" s="1"/>
  <c r="AU313" i="3"/>
  <c r="AU382" i="3" s="1"/>
  <c r="AU958" i="9" s="1"/>
  <c r="AU319" i="3"/>
  <c r="AU388" i="3" s="1"/>
  <c r="AU964" i="9" s="1"/>
  <c r="AU304" i="3"/>
  <c r="AU373" i="3" s="1"/>
  <c r="AU949" i="9" s="1"/>
  <c r="AV208" i="30"/>
  <c r="AV209" i="30" s="1"/>
  <c r="AV97" i="33" s="1"/>
  <c r="AU83" i="6"/>
  <c r="AS103" i="6"/>
  <c r="AS115" i="30" s="1"/>
  <c r="AS91" i="30"/>
  <c r="AS18" i="6"/>
  <c r="AS20" i="6"/>
  <c r="AP139" i="30"/>
  <c r="AP137" i="30"/>
  <c r="AR107" i="30"/>
  <c r="AQ22" i="32"/>
  <c r="AQ100" i="33" s="1"/>
  <c r="AQ109" i="30"/>
  <c r="AQ111" i="30"/>
  <c r="AQ135" i="30" s="1"/>
  <c r="AQ23" i="32"/>
  <c r="AT1092" i="9"/>
  <c r="AT102" i="6" s="1"/>
  <c r="AT84" i="30"/>
  <c r="AT86" i="30" s="1"/>
  <c r="AT14" i="6"/>
  <c r="AT19" i="32"/>
  <c r="AS97" i="6"/>
  <c r="AS114" i="30" s="1"/>
  <c r="AS90" i="30"/>
  <c r="AB15" i="13" l="1"/>
  <c r="W15" i="13"/>
  <c r="W94" i="35" s="1"/>
  <c r="AB14" i="13"/>
  <c r="AS32" i="32"/>
  <c r="AS33" i="32" s="1"/>
  <c r="AU1090" i="9"/>
  <c r="AU1091" i="9"/>
  <c r="AU96" i="6" s="1"/>
  <c r="AS120" i="30"/>
  <c r="AT97" i="6"/>
  <c r="AT114" i="30" s="1"/>
  <c r="AT90" i="30"/>
  <c r="AS107" i="30"/>
  <c r="AT20" i="6"/>
  <c r="AT18" i="6"/>
  <c r="AQ139" i="30"/>
  <c r="AQ137" i="30"/>
  <c r="AT1093" i="9"/>
  <c r="AR22" i="32"/>
  <c r="AR100" i="33" s="1"/>
  <c r="AR109" i="30"/>
  <c r="AR23" i="32"/>
  <c r="AR111" i="30"/>
  <c r="AR135" i="30" s="1"/>
  <c r="AU84" i="30"/>
  <c r="AU86" i="30" s="1"/>
  <c r="AU14" i="6"/>
  <c r="AU19" i="32"/>
  <c r="AV318" i="3"/>
  <c r="AV387" i="3" s="1"/>
  <c r="AV963" i="9" s="1"/>
  <c r="AV309" i="3"/>
  <c r="AV378" i="3" s="1"/>
  <c r="AV954" i="9" s="1"/>
  <c r="AV300" i="3"/>
  <c r="AV369" i="3" s="1"/>
  <c r="AV945" i="9" s="1"/>
  <c r="AV316" i="3"/>
  <c r="AV385" i="3" s="1"/>
  <c r="AV961" i="9" s="1"/>
  <c r="AV315" i="3"/>
  <c r="AV384" i="3" s="1"/>
  <c r="AV960" i="9" s="1"/>
  <c r="AV311" i="3"/>
  <c r="AV380" i="3" s="1"/>
  <c r="AV956" i="9" s="1"/>
  <c r="AV304" i="3"/>
  <c r="AV373" i="3" s="1"/>
  <c r="AV949" i="9" s="1"/>
  <c r="AV314" i="3"/>
  <c r="AV383" i="3" s="1"/>
  <c r="AV959" i="9" s="1"/>
  <c r="AV313" i="3"/>
  <c r="AV382" i="3" s="1"/>
  <c r="AV958" i="9" s="1"/>
  <c r="AV305" i="3"/>
  <c r="AV374" i="3" s="1"/>
  <c r="AV950" i="9" s="1"/>
  <c r="AV303" i="3"/>
  <c r="AV372" i="3" s="1"/>
  <c r="AV948" i="9" s="1"/>
  <c r="AV312" i="3"/>
  <c r="AV381" i="3" s="1"/>
  <c r="AV957" i="9" s="1"/>
  <c r="AV307" i="3"/>
  <c r="AV376" i="3" s="1"/>
  <c r="AV952" i="9" s="1"/>
  <c r="AV308" i="3"/>
  <c r="AV377" i="3" s="1"/>
  <c r="AV953" i="9" s="1"/>
  <c r="AV301" i="3"/>
  <c r="AV370" i="3" s="1"/>
  <c r="AV946" i="9" s="1"/>
  <c r="AV317" i="3"/>
  <c r="AV386" i="3" s="1"/>
  <c r="AV962" i="9" s="1"/>
  <c r="AV310" i="3"/>
  <c r="AV379" i="3" s="1"/>
  <c r="AV955" i="9" s="1"/>
  <c r="AV319" i="3"/>
  <c r="AV388" i="3" s="1"/>
  <c r="AV964" i="9" s="1"/>
  <c r="AV306" i="3"/>
  <c r="AV375" i="3" s="1"/>
  <c r="AV951" i="9" s="1"/>
  <c r="AV302" i="3"/>
  <c r="AV371" i="3" s="1"/>
  <c r="AV947" i="9" s="1"/>
  <c r="AV83" i="6"/>
  <c r="AW208" i="30"/>
  <c r="AW209" i="30" s="1"/>
  <c r="AW97" i="33" s="1"/>
  <c r="AT103" i="6"/>
  <c r="AT115" i="30" s="1"/>
  <c r="AT91" i="30"/>
  <c r="AU1092" i="9"/>
  <c r="AU102" i="6" s="1"/>
  <c r="W14" i="13" l="1"/>
  <c r="W93" i="35" s="1"/>
  <c r="E35" i="28"/>
  <c r="AT32" i="32"/>
  <c r="AT33" i="32" s="1"/>
  <c r="AV1090" i="9"/>
  <c r="AV1091" i="9"/>
  <c r="AV96" i="6" s="1"/>
  <c r="AW316" i="3"/>
  <c r="AW385" i="3" s="1"/>
  <c r="AW961" i="9" s="1"/>
  <c r="AW312" i="3"/>
  <c r="AW381" i="3" s="1"/>
  <c r="AW957" i="9" s="1"/>
  <c r="AW307" i="3"/>
  <c r="AW376" i="3" s="1"/>
  <c r="AW952" i="9" s="1"/>
  <c r="AW309" i="3"/>
  <c r="AW378" i="3" s="1"/>
  <c r="AW954" i="9" s="1"/>
  <c r="AW302" i="3"/>
  <c r="AW371" i="3" s="1"/>
  <c r="AW947" i="9" s="1"/>
  <c r="AW300" i="3"/>
  <c r="AW369" i="3" s="1"/>
  <c r="AW945" i="9" s="1"/>
  <c r="AW314" i="3"/>
  <c r="AW383" i="3" s="1"/>
  <c r="AW959" i="9" s="1"/>
  <c r="AW301" i="3"/>
  <c r="AW370" i="3" s="1"/>
  <c r="AW946" i="9" s="1"/>
  <c r="AW313" i="3"/>
  <c r="AW382" i="3" s="1"/>
  <c r="AW958" i="9" s="1"/>
  <c r="AW304" i="3"/>
  <c r="AW373" i="3" s="1"/>
  <c r="AW949" i="9" s="1"/>
  <c r="AW308" i="3"/>
  <c r="AW377" i="3" s="1"/>
  <c r="AW953" i="9" s="1"/>
  <c r="AW311" i="3"/>
  <c r="AW380" i="3" s="1"/>
  <c r="AW956" i="9" s="1"/>
  <c r="AW319" i="3"/>
  <c r="AW388" i="3" s="1"/>
  <c r="AW964" i="9" s="1"/>
  <c r="AW303" i="3"/>
  <c r="AW372" i="3" s="1"/>
  <c r="AW948" i="9" s="1"/>
  <c r="AW305" i="3"/>
  <c r="AW374" i="3" s="1"/>
  <c r="AW950" i="9" s="1"/>
  <c r="AW318" i="3"/>
  <c r="AW387" i="3" s="1"/>
  <c r="AW963" i="9" s="1"/>
  <c r="AW317" i="3"/>
  <c r="AW386" i="3" s="1"/>
  <c r="AW962" i="9" s="1"/>
  <c r="AW310" i="3"/>
  <c r="AW379" i="3" s="1"/>
  <c r="AW955" i="9" s="1"/>
  <c r="AW315" i="3"/>
  <c r="AW384" i="3" s="1"/>
  <c r="AW960" i="9" s="1"/>
  <c r="AW306" i="3"/>
  <c r="AW375" i="3" s="1"/>
  <c r="AW951" i="9" s="1"/>
  <c r="AW83" i="6"/>
  <c r="AX208" i="30"/>
  <c r="AX209" i="30" s="1"/>
  <c r="AX97" i="33" s="1"/>
  <c r="AS22" i="32"/>
  <c r="AS100" i="33" s="1"/>
  <c r="AS23" i="32"/>
  <c r="AS111" i="30"/>
  <c r="AS135" i="30" s="1"/>
  <c r="AS109" i="30"/>
  <c r="AU97" i="6"/>
  <c r="AU114" i="30" s="1"/>
  <c r="AU90" i="30"/>
  <c r="AV14" i="6"/>
  <c r="AV84" i="30"/>
  <c r="AV86" i="30" s="1"/>
  <c r="AV19" i="32"/>
  <c r="AU20" i="6"/>
  <c r="AU18" i="6"/>
  <c r="AU103" i="6"/>
  <c r="AU115" i="30" s="1"/>
  <c r="AU91" i="30"/>
  <c r="AU1093" i="9"/>
  <c r="AT107" i="30"/>
  <c r="AV1092" i="9"/>
  <c r="AV102" i="6" s="1"/>
  <c r="AR137" i="30"/>
  <c r="AR139" i="30"/>
  <c r="AT120" i="30"/>
  <c r="AU32" i="32" l="1"/>
  <c r="AU33" i="32" s="1"/>
  <c r="AW1091" i="9"/>
  <c r="AW96" i="6" s="1"/>
  <c r="AW1090" i="9"/>
  <c r="AV1093" i="9"/>
  <c r="AU120" i="30"/>
  <c r="AT22" i="32"/>
  <c r="AT100" i="33" s="1"/>
  <c r="AT111" i="30"/>
  <c r="AT135" i="30" s="1"/>
  <c r="AT109" i="30"/>
  <c r="AT23" i="32"/>
  <c r="AX308" i="3"/>
  <c r="AX377" i="3" s="1"/>
  <c r="AX953" i="9" s="1"/>
  <c r="X953" i="9" s="1"/>
  <c r="BN953" i="9" s="1"/>
  <c r="AX310" i="3"/>
  <c r="AX379" i="3" s="1"/>
  <c r="AX955" i="9" s="1"/>
  <c r="X955" i="9" s="1"/>
  <c r="BN955" i="9" s="1"/>
  <c r="AX312" i="3"/>
  <c r="AX381" i="3" s="1"/>
  <c r="AX957" i="9" s="1"/>
  <c r="X957" i="9" s="1"/>
  <c r="BN957" i="9" s="1"/>
  <c r="AX305" i="3"/>
  <c r="AX374" i="3" s="1"/>
  <c r="AX950" i="9" s="1"/>
  <c r="X950" i="9" s="1"/>
  <c r="BN950" i="9" s="1"/>
  <c r="AX316" i="3"/>
  <c r="AX385" i="3" s="1"/>
  <c r="AX961" i="9" s="1"/>
  <c r="X961" i="9" s="1"/>
  <c r="BN961" i="9" s="1"/>
  <c r="AX311" i="3"/>
  <c r="AX380" i="3" s="1"/>
  <c r="AX956" i="9" s="1"/>
  <c r="X956" i="9" s="1"/>
  <c r="BN956" i="9" s="1"/>
  <c r="AX314" i="3"/>
  <c r="AX383" i="3" s="1"/>
  <c r="AX959" i="9" s="1"/>
  <c r="X959" i="9" s="1"/>
  <c r="BN959" i="9" s="1"/>
  <c r="AX300" i="3"/>
  <c r="AX369" i="3" s="1"/>
  <c r="AX945" i="9" s="1"/>
  <c r="AX304" i="3"/>
  <c r="AX373" i="3" s="1"/>
  <c r="AX949" i="9" s="1"/>
  <c r="X949" i="9" s="1"/>
  <c r="BN949" i="9" s="1"/>
  <c r="AX315" i="3"/>
  <c r="AX384" i="3" s="1"/>
  <c r="AX960" i="9" s="1"/>
  <c r="X960" i="9" s="1"/>
  <c r="BN960" i="9" s="1"/>
  <c r="AX319" i="3"/>
  <c r="AX388" i="3" s="1"/>
  <c r="AX964" i="9" s="1"/>
  <c r="X964" i="9" s="1"/>
  <c r="BN964" i="9" s="1"/>
  <c r="AX302" i="3"/>
  <c r="AX371" i="3" s="1"/>
  <c r="AX947" i="9" s="1"/>
  <c r="AX313" i="3"/>
  <c r="AX382" i="3" s="1"/>
  <c r="AX958" i="9" s="1"/>
  <c r="X958" i="9" s="1"/>
  <c r="BN958" i="9" s="1"/>
  <c r="AX317" i="3"/>
  <c r="AX386" i="3" s="1"/>
  <c r="AX962" i="9" s="1"/>
  <c r="X962" i="9" s="1"/>
  <c r="BN962" i="9" s="1"/>
  <c r="AX301" i="3"/>
  <c r="AX370" i="3" s="1"/>
  <c r="AX946" i="9" s="1"/>
  <c r="AX307" i="3"/>
  <c r="AX376" i="3" s="1"/>
  <c r="AX952" i="9" s="1"/>
  <c r="X952" i="9" s="1"/>
  <c r="BN952" i="9" s="1"/>
  <c r="AX306" i="3"/>
  <c r="AX375" i="3" s="1"/>
  <c r="AX951" i="9" s="1"/>
  <c r="X951" i="9" s="1"/>
  <c r="BN951" i="9" s="1"/>
  <c r="AX318" i="3"/>
  <c r="AX387" i="3" s="1"/>
  <c r="AX963" i="9" s="1"/>
  <c r="X963" i="9" s="1"/>
  <c r="BN963" i="9" s="1"/>
  <c r="AX309" i="3"/>
  <c r="AX378" i="3" s="1"/>
  <c r="AX954" i="9" s="1"/>
  <c r="X954" i="9" s="1"/>
  <c r="BN954" i="9" s="1"/>
  <c r="AX303" i="3"/>
  <c r="AX372" i="3" s="1"/>
  <c r="AX948" i="9" s="1"/>
  <c r="X948" i="9" s="1"/>
  <c r="BN948" i="9" s="1"/>
  <c r="AX83" i="6"/>
  <c r="AY208" i="30"/>
  <c r="AY209" i="30" s="1"/>
  <c r="AY97" i="33" s="1"/>
  <c r="AV103" i="6"/>
  <c r="AV115" i="30" s="1"/>
  <c r="AV91" i="30"/>
  <c r="AV18" i="6"/>
  <c r="AV20" i="6"/>
  <c r="AW1092" i="9"/>
  <c r="AW102" i="6" s="1"/>
  <c r="AS139" i="30"/>
  <c r="AS137" i="30"/>
  <c r="AW14" i="6"/>
  <c r="AW84" i="30"/>
  <c r="AW86" i="30" s="1"/>
  <c r="AW19" i="32"/>
  <c r="AV90" i="30"/>
  <c r="AV97" i="6"/>
  <c r="AV114" i="30" s="1"/>
  <c r="AU107" i="30"/>
  <c r="AV32" i="32" l="1"/>
  <c r="AV33" i="32" s="1"/>
  <c r="X947" i="9"/>
  <c r="AX1090" i="9"/>
  <c r="AV120" i="30"/>
  <c r="AW103" i="6"/>
  <c r="AW115" i="30" s="1"/>
  <c r="AW91" i="30"/>
  <c r="AX1092" i="9"/>
  <c r="AX102" i="6" s="1"/>
  <c r="X945" i="9"/>
  <c r="AU22" i="32"/>
  <c r="AU100" i="33" s="1"/>
  <c r="AU111" i="30"/>
  <c r="AU135" i="30" s="1"/>
  <c r="AU109" i="30"/>
  <c r="AU23" i="32"/>
  <c r="AV107" i="30"/>
  <c r="AW18" i="6"/>
  <c r="AW20" i="6"/>
  <c r="AY305" i="3"/>
  <c r="AY374" i="3" s="1"/>
  <c r="AY950" i="9" s="1"/>
  <c r="AY303" i="3"/>
  <c r="AY372" i="3" s="1"/>
  <c r="AY948" i="9" s="1"/>
  <c r="AY300" i="3"/>
  <c r="AY369" i="3" s="1"/>
  <c r="AY945" i="9" s="1"/>
  <c r="AY318" i="3"/>
  <c r="AY387" i="3" s="1"/>
  <c r="AY963" i="9" s="1"/>
  <c r="AY309" i="3"/>
  <c r="AY378" i="3" s="1"/>
  <c r="AY954" i="9" s="1"/>
  <c r="AY311" i="3"/>
  <c r="AY380" i="3" s="1"/>
  <c r="AY956" i="9" s="1"/>
  <c r="AY315" i="3"/>
  <c r="AY384" i="3" s="1"/>
  <c r="AY960" i="9" s="1"/>
  <c r="AY301" i="3"/>
  <c r="AY370" i="3" s="1"/>
  <c r="AY946" i="9" s="1"/>
  <c r="AY308" i="3"/>
  <c r="AY377" i="3" s="1"/>
  <c r="AY953" i="9" s="1"/>
  <c r="AY317" i="3"/>
  <c r="AY386" i="3" s="1"/>
  <c r="AY962" i="9" s="1"/>
  <c r="AY316" i="3"/>
  <c r="AY385" i="3" s="1"/>
  <c r="AY961" i="9" s="1"/>
  <c r="AY307" i="3"/>
  <c r="AY376" i="3" s="1"/>
  <c r="AY952" i="9" s="1"/>
  <c r="AY313" i="3"/>
  <c r="AY382" i="3" s="1"/>
  <c r="AY958" i="9" s="1"/>
  <c r="AY304" i="3"/>
  <c r="AY373" i="3" s="1"/>
  <c r="AY949" i="9" s="1"/>
  <c r="AY310" i="3"/>
  <c r="AY379" i="3" s="1"/>
  <c r="AY955" i="9" s="1"/>
  <c r="AY302" i="3"/>
  <c r="AY371" i="3" s="1"/>
  <c r="AY947" i="9" s="1"/>
  <c r="AY312" i="3"/>
  <c r="AY381" i="3" s="1"/>
  <c r="AY957" i="9" s="1"/>
  <c r="AY314" i="3"/>
  <c r="AY383" i="3" s="1"/>
  <c r="AY959" i="9" s="1"/>
  <c r="AY306" i="3"/>
  <c r="AY375" i="3" s="1"/>
  <c r="AY951" i="9" s="1"/>
  <c r="AY319" i="3"/>
  <c r="AY388" i="3" s="1"/>
  <c r="AY964" i="9" s="1"/>
  <c r="AY83" i="6"/>
  <c r="AZ208" i="30"/>
  <c r="AZ209" i="30" s="1"/>
  <c r="AZ97" i="33" s="1"/>
  <c r="AX1091" i="9"/>
  <c r="X946" i="9"/>
  <c r="AT139" i="30"/>
  <c r="AT137" i="30"/>
  <c r="AW90" i="30"/>
  <c r="AW97" i="6"/>
  <c r="AW114" i="30" s="1"/>
  <c r="AX84" i="30"/>
  <c r="AX14" i="6"/>
  <c r="AX19" i="32"/>
  <c r="AW1093" i="9"/>
  <c r="AX86" i="30" l="1"/>
  <c r="CH86" i="30" s="1"/>
  <c r="CH84" i="30"/>
  <c r="AW32" i="32"/>
  <c r="AW33" i="32" s="1"/>
  <c r="AW120" i="30"/>
  <c r="AY1090" i="9"/>
  <c r="AY1091" i="9"/>
  <c r="BN947" i="9"/>
  <c r="X1090" i="9"/>
  <c r="CJ19" i="32"/>
  <c r="AX1093" i="9"/>
  <c r="AX96" i="6"/>
  <c r="AY84" i="30"/>
  <c r="AY86" i="30" s="1"/>
  <c r="AY14" i="6"/>
  <c r="AY19" i="32"/>
  <c r="AV22" i="32"/>
  <c r="AV100" i="33" s="1"/>
  <c r="AV111" i="30"/>
  <c r="AV135" i="30" s="1"/>
  <c r="AV109" i="30"/>
  <c r="AV23" i="32"/>
  <c r="BN946" i="9"/>
  <c r="X1091" i="9"/>
  <c r="X1092" i="9"/>
  <c r="X102" i="6" s="1"/>
  <c r="BN945" i="9"/>
  <c r="AW107" i="30"/>
  <c r="AX103" i="6"/>
  <c r="AX115" i="30" s="1"/>
  <c r="AX91" i="30"/>
  <c r="AX20" i="6"/>
  <c r="AX18" i="6"/>
  <c r="AZ318" i="3"/>
  <c r="AZ387" i="3" s="1"/>
  <c r="AZ963" i="9" s="1"/>
  <c r="AZ314" i="3"/>
  <c r="AZ383" i="3" s="1"/>
  <c r="AZ959" i="9" s="1"/>
  <c r="AZ307" i="3"/>
  <c r="AZ376" i="3" s="1"/>
  <c r="AZ952" i="9" s="1"/>
  <c r="AZ306" i="3"/>
  <c r="AZ375" i="3" s="1"/>
  <c r="AZ951" i="9" s="1"/>
  <c r="AZ316" i="3"/>
  <c r="AZ385" i="3" s="1"/>
  <c r="AZ961" i="9" s="1"/>
  <c r="AZ309" i="3"/>
  <c r="AZ378" i="3" s="1"/>
  <c r="AZ954" i="9" s="1"/>
  <c r="AZ310" i="3"/>
  <c r="AZ379" i="3" s="1"/>
  <c r="AZ955" i="9" s="1"/>
  <c r="AZ319" i="3"/>
  <c r="AZ388" i="3" s="1"/>
  <c r="AZ964" i="9" s="1"/>
  <c r="AZ317" i="3"/>
  <c r="AZ386" i="3" s="1"/>
  <c r="AZ962" i="9" s="1"/>
  <c r="AZ311" i="3"/>
  <c r="AZ380" i="3" s="1"/>
  <c r="AZ956" i="9" s="1"/>
  <c r="AZ308" i="3"/>
  <c r="AZ377" i="3" s="1"/>
  <c r="AZ953" i="9" s="1"/>
  <c r="AZ304" i="3"/>
  <c r="AZ373" i="3" s="1"/>
  <c r="AZ949" i="9" s="1"/>
  <c r="AZ300" i="3"/>
  <c r="AZ369" i="3" s="1"/>
  <c r="AZ945" i="9" s="1"/>
  <c r="AZ305" i="3"/>
  <c r="AZ374" i="3" s="1"/>
  <c r="AZ950" i="9" s="1"/>
  <c r="AZ303" i="3"/>
  <c r="AZ372" i="3" s="1"/>
  <c r="AZ948" i="9" s="1"/>
  <c r="AZ301" i="3"/>
  <c r="AZ370" i="3" s="1"/>
  <c r="AZ946" i="9" s="1"/>
  <c r="AZ315" i="3"/>
  <c r="AZ384" i="3" s="1"/>
  <c r="AZ960" i="9" s="1"/>
  <c r="AZ302" i="3"/>
  <c r="AZ371" i="3" s="1"/>
  <c r="AZ947" i="9" s="1"/>
  <c r="AZ313" i="3"/>
  <c r="AZ382" i="3" s="1"/>
  <c r="AZ958" i="9" s="1"/>
  <c r="AZ312" i="3"/>
  <c r="AZ381" i="3" s="1"/>
  <c r="AZ957" i="9" s="1"/>
  <c r="BA208" i="30"/>
  <c r="BA209" i="30" s="1"/>
  <c r="BA97" i="33" s="1"/>
  <c r="AZ83" i="6"/>
  <c r="AY1092" i="9"/>
  <c r="AU137" i="30"/>
  <c r="AU139" i="30"/>
  <c r="BN1092" i="9" l="1"/>
  <c r="BN102" i="6" s="1"/>
  <c r="BN103" i="6" s="1"/>
  <c r="BN115" i="30" s="1"/>
  <c r="BN1090" i="9"/>
  <c r="BN1091" i="9"/>
  <c r="BN96" i="6" s="1"/>
  <c r="AZ1091" i="9"/>
  <c r="AZ1090" i="9"/>
  <c r="AY91" i="30"/>
  <c r="AY103" i="6"/>
  <c r="AY115" i="30" s="1"/>
  <c r="AY1093" i="9"/>
  <c r="AZ14" i="6"/>
  <c r="AZ84" i="30"/>
  <c r="AZ86" i="30" s="1"/>
  <c r="AZ19" i="32"/>
  <c r="AY97" i="6"/>
  <c r="AY114" i="30" s="1"/>
  <c r="AY90" i="30"/>
  <c r="X103" i="6"/>
  <c r="X91" i="30"/>
  <c r="AV137" i="30"/>
  <c r="AV139" i="30"/>
  <c r="AY20" i="6"/>
  <c r="AY18" i="6"/>
  <c r="BA304" i="3"/>
  <c r="BA373" i="3" s="1"/>
  <c r="BA949" i="9" s="1"/>
  <c r="BA302" i="3"/>
  <c r="BA371" i="3" s="1"/>
  <c r="BA947" i="9" s="1"/>
  <c r="BA301" i="3"/>
  <c r="BA370" i="3" s="1"/>
  <c r="BA946" i="9" s="1"/>
  <c r="BA306" i="3"/>
  <c r="BA375" i="3" s="1"/>
  <c r="BA951" i="9" s="1"/>
  <c r="BA308" i="3"/>
  <c r="BA377" i="3" s="1"/>
  <c r="BA953" i="9" s="1"/>
  <c r="BA312" i="3"/>
  <c r="BA381" i="3" s="1"/>
  <c r="BA957" i="9" s="1"/>
  <c r="BA307" i="3"/>
  <c r="BA376" i="3" s="1"/>
  <c r="BA952" i="9" s="1"/>
  <c r="BA305" i="3"/>
  <c r="BA374" i="3" s="1"/>
  <c r="BA950" i="9" s="1"/>
  <c r="BA310" i="3"/>
  <c r="BA379" i="3" s="1"/>
  <c r="BA955" i="9" s="1"/>
  <c r="BA300" i="3"/>
  <c r="BA369" i="3" s="1"/>
  <c r="BA945" i="9" s="1"/>
  <c r="BA319" i="3"/>
  <c r="BA388" i="3" s="1"/>
  <c r="BA964" i="9" s="1"/>
  <c r="BA313" i="3"/>
  <c r="BA382" i="3" s="1"/>
  <c r="BA958" i="9" s="1"/>
  <c r="BA316" i="3"/>
  <c r="BA385" i="3" s="1"/>
  <c r="BA961" i="9" s="1"/>
  <c r="BA317" i="3"/>
  <c r="BA386" i="3" s="1"/>
  <c r="BA962" i="9" s="1"/>
  <c r="BA309" i="3"/>
  <c r="BA378" i="3" s="1"/>
  <c r="BA954" i="9" s="1"/>
  <c r="BA314" i="3"/>
  <c r="BA383" i="3" s="1"/>
  <c r="BA959" i="9" s="1"/>
  <c r="BA303" i="3"/>
  <c r="BA372" i="3" s="1"/>
  <c r="BA948" i="9" s="1"/>
  <c r="BA315" i="3"/>
  <c r="BA384" i="3" s="1"/>
  <c r="BA960" i="9" s="1"/>
  <c r="BA318" i="3"/>
  <c r="BA387" i="3" s="1"/>
  <c r="BA963" i="9" s="1"/>
  <c r="BA311" i="3"/>
  <c r="BA380" i="3" s="1"/>
  <c r="BA956" i="9" s="1"/>
  <c r="BA83" i="6"/>
  <c r="BB208" i="30"/>
  <c r="BB209" i="30" s="1"/>
  <c r="BB97" i="33" s="1"/>
  <c r="AZ1092" i="9"/>
  <c r="AW22" i="32"/>
  <c r="AW100" i="33" s="1"/>
  <c r="AW111" i="30"/>
  <c r="AW135" i="30" s="1"/>
  <c r="AW109" i="30"/>
  <c r="AW23" i="32"/>
  <c r="X1093" i="9"/>
  <c r="X96" i="6"/>
  <c r="AX97" i="6"/>
  <c r="AX114" i="30" s="1"/>
  <c r="AX120" i="30" s="1"/>
  <c r="AX90" i="30"/>
  <c r="BN91" i="30" l="1"/>
  <c r="CK91" i="30" s="1"/>
  <c r="CH91" i="30"/>
  <c r="AY32" i="32"/>
  <c r="AY33" i="32" s="1"/>
  <c r="AX32" i="32"/>
  <c r="AX33" i="32" s="1"/>
  <c r="BN1093" i="9"/>
  <c r="BA1091" i="9"/>
  <c r="BA1090" i="9"/>
  <c r="AY120" i="30"/>
  <c r="AZ97" i="6"/>
  <c r="AZ114" i="30" s="1"/>
  <c r="AZ90" i="30"/>
  <c r="BN90" i="30"/>
  <c r="BN97" i="6"/>
  <c r="BN114" i="30" s="1"/>
  <c r="BN120" i="30" s="1"/>
  <c r="X90" i="30"/>
  <c r="X97" i="6"/>
  <c r="BA14" i="6"/>
  <c r="BA84" i="30"/>
  <c r="BA86" i="30" s="1"/>
  <c r="BA19" i="32"/>
  <c r="BA1092" i="9"/>
  <c r="X115" i="30"/>
  <c r="AX107" i="30"/>
  <c r="BB309" i="3"/>
  <c r="BB378" i="3" s="1"/>
  <c r="BB954" i="9" s="1"/>
  <c r="BB300" i="3"/>
  <c r="BB369" i="3" s="1"/>
  <c r="BB945" i="9" s="1"/>
  <c r="BB317" i="3"/>
  <c r="BB386" i="3" s="1"/>
  <c r="BB962" i="9" s="1"/>
  <c r="BB316" i="3"/>
  <c r="BB385" i="3" s="1"/>
  <c r="BB961" i="9" s="1"/>
  <c r="BB314" i="3"/>
  <c r="BB383" i="3" s="1"/>
  <c r="BB959" i="9" s="1"/>
  <c r="BB302" i="3"/>
  <c r="BB371" i="3" s="1"/>
  <c r="BB947" i="9" s="1"/>
  <c r="BB311" i="3"/>
  <c r="BB380" i="3" s="1"/>
  <c r="BB956" i="9" s="1"/>
  <c r="BB308" i="3"/>
  <c r="BB377" i="3" s="1"/>
  <c r="BB953" i="9" s="1"/>
  <c r="BB318" i="3"/>
  <c r="BB387" i="3" s="1"/>
  <c r="BB963" i="9" s="1"/>
  <c r="BB301" i="3"/>
  <c r="BB370" i="3" s="1"/>
  <c r="BB946" i="9" s="1"/>
  <c r="BB304" i="3"/>
  <c r="BB373" i="3" s="1"/>
  <c r="BB949" i="9" s="1"/>
  <c r="BB312" i="3"/>
  <c r="BB381" i="3" s="1"/>
  <c r="BB957" i="9" s="1"/>
  <c r="BB303" i="3"/>
  <c r="BB372" i="3" s="1"/>
  <c r="BB948" i="9" s="1"/>
  <c r="BB306" i="3"/>
  <c r="BB375" i="3" s="1"/>
  <c r="BB951" i="9" s="1"/>
  <c r="BB313" i="3"/>
  <c r="BB382" i="3" s="1"/>
  <c r="BB958" i="9" s="1"/>
  <c r="BB305" i="3"/>
  <c r="BB374" i="3" s="1"/>
  <c r="BB950" i="9" s="1"/>
  <c r="BB307" i="3"/>
  <c r="BB376" i="3" s="1"/>
  <c r="BB952" i="9" s="1"/>
  <c r="BB315" i="3"/>
  <c r="BB384" i="3" s="1"/>
  <c r="BB960" i="9" s="1"/>
  <c r="BB319" i="3"/>
  <c r="BB388" i="3" s="1"/>
  <c r="BB964" i="9" s="1"/>
  <c r="BB310" i="3"/>
  <c r="BB379" i="3" s="1"/>
  <c r="BB955" i="9" s="1"/>
  <c r="BB83" i="6"/>
  <c r="BC208" i="30"/>
  <c r="BC209" i="30" s="1"/>
  <c r="BC97" i="33" s="1"/>
  <c r="AW139" i="30"/>
  <c r="AW137" i="30"/>
  <c r="AZ1093" i="9"/>
  <c r="AY107" i="30"/>
  <c r="AZ91" i="30"/>
  <c r="AZ103" i="6"/>
  <c r="AZ115" i="30" s="1"/>
  <c r="AZ20" i="6"/>
  <c r="AZ18" i="6"/>
  <c r="CK115" i="30" l="1"/>
  <c r="CH115" i="30"/>
  <c r="CK90" i="30"/>
  <c r="CH90" i="30"/>
  <c r="BN32" i="32"/>
  <c r="AZ32" i="32"/>
  <c r="AZ33" i="32" s="1"/>
  <c r="BB1091" i="9"/>
  <c r="BB1090" i="9"/>
  <c r="AY22" i="32"/>
  <c r="AY100" i="33" s="1"/>
  <c r="AY23" i="32"/>
  <c r="AY111" i="30"/>
  <c r="AY135" i="30" s="1"/>
  <c r="AY109" i="30"/>
  <c r="BC314" i="3"/>
  <c r="BC383" i="3" s="1"/>
  <c r="BC959" i="9" s="1"/>
  <c r="BC315" i="3"/>
  <c r="BC384" i="3" s="1"/>
  <c r="BC960" i="9" s="1"/>
  <c r="BC313" i="3"/>
  <c r="BC382" i="3" s="1"/>
  <c r="BC958" i="9" s="1"/>
  <c r="BC304" i="3"/>
  <c r="BC373" i="3" s="1"/>
  <c r="BC949" i="9" s="1"/>
  <c r="BC318" i="3"/>
  <c r="BC387" i="3" s="1"/>
  <c r="BC963" i="9" s="1"/>
  <c r="BC301" i="3"/>
  <c r="BC370" i="3" s="1"/>
  <c r="BC946" i="9" s="1"/>
  <c r="BC311" i="3"/>
  <c r="BC380" i="3" s="1"/>
  <c r="BC956" i="9" s="1"/>
  <c r="BC308" i="3"/>
  <c r="BC377" i="3" s="1"/>
  <c r="BC953" i="9" s="1"/>
  <c r="BC306" i="3"/>
  <c r="BC375" i="3" s="1"/>
  <c r="BC951" i="9" s="1"/>
  <c r="BC319" i="3"/>
  <c r="BC388" i="3" s="1"/>
  <c r="BC964" i="9" s="1"/>
  <c r="BC312" i="3"/>
  <c r="BC381" i="3" s="1"/>
  <c r="BC957" i="9" s="1"/>
  <c r="BC310" i="3"/>
  <c r="BC379" i="3" s="1"/>
  <c r="BC955" i="9" s="1"/>
  <c r="BC302" i="3"/>
  <c r="BC371" i="3" s="1"/>
  <c r="BC947" i="9" s="1"/>
  <c r="BC303" i="3"/>
  <c r="BC372" i="3" s="1"/>
  <c r="BC948" i="9" s="1"/>
  <c r="BC307" i="3"/>
  <c r="BC376" i="3" s="1"/>
  <c r="BC952" i="9" s="1"/>
  <c r="BC300" i="3"/>
  <c r="BC369" i="3" s="1"/>
  <c r="BC945" i="9" s="1"/>
  <c r="BC305" i="3"/>
  <c r="BC374" i="3" s="1"/>
  <c r="BC950" i="9" s="1"/>
  <c r="BC309" i="3"/>
  <c r="BC378" i="3" s="1"/>
  <c r="BC954" i="9" s="1"/>
  <c r="BC316" i="3"/>
  <c r="BC385" i="3" s="1"/>
  <c r="BC961" i="9" s="1"/>
  <c r="BC317" i="3"/>
  <c r="BC386" i="3" s="1"/>
  <c r="BC962" i="9" s="1"/>
  <c r="BC83" i="6"/>
  <c r="BD208" i="30"/>
  <c r="BD209" i="30" s="1"/>
  <c r="BD97" i="33" s="1"/>
  <c r="X114" i="30"/>
  <c r="BA97" i="6"/>
  <c r="BA114" i="30" s="1"/>
  <c r="BA90" i="30"/>
  <c r="BB84" i="30"/>
  <c r="BB86" i="30" s="1"/>
  <c r="BB14" i="6"/>
  <c r="BB19" i="32"/>
  <c r="BB1092" i="9"/>
  <c r="X107" i="30"/>
  <c r="BA1093" i="9"/>
  <c r="BA103" i="6"/>
  <c r="BA115" i="30" s="1"/>
  <c r="BA91" i="30"/>
  <c r="BA18" i="6"/>
  <c r="BA20" i="6"/>
  <c r="AZ107" i="30"/>
  <c r="AX22" i="32"/>
  <c r="AX100" i="33" s="1"/>
  <c r="AX109" i="30"/>
  <c r="AX23" i="32"/>
  <c r="AX111" i="30"/>
  <c r="AX135" i="30" s="1"/>
  <c r="BN107" i="30"/>
  <c r="AZ120" i="30"/>
  <c r="X120" i="30" l="1"/>
  <c r="CH114" i="30"/>
  <c r="CK114" i="30"/>
  <c r="CH107" i="30"/>
  <c r="CK107" i="30"/>
  <c r="BA32" i="32"/>
  <c r="BA33" i="32" s="1"/>
  <c r="X32" i="32"/>
  <c r="X33" i="32" s="1"/>
  <c r="X57" i="13" s="1"/>
  <c r="X98" i="35" s="1"/>
  <c r="BC1091" i="9"/>
  <c r="BC1090" i="9"/>
  <c r="BA120" i="30"/>
  <c r="BB103" i="6"/>
  <c r="BB115" i="30" s="1"/>
  <c r="BB91" i="30"/>
  <c r="BB18" i="6"/>
  <c r="BB20" i="6"/>
  <c r="BB1093" i="9"/>
  <c r="AX139" i="30"/>
  <c r="AX137" i="30"/>
  <c r="BN33" i="32"/>
  <c r="BA107" i="30"/>
  <c r="BD311" i="3"/>
  <c r="BD380" i="3" s="1"/>
  <c r="BD956" i="9" s="1"/>
  <c r="BD314" i="3"/>
  <c r="BD383" i="3" s="1"/>
  <c r="BD959" i="9" s="1"/>
  <c r="BD301" i="3"/>
  <c r="BD370" i="3" s="1"/>
  <c r="BD946" i="9" s="1"/>
  <c r="BD317" i="3"/>
  <c r="BD386" i="3" s="1"/>
  <c r="BD962" i="9" s="1"/>
  <c r="BD306" i="3"/>
  <c r="BD375" i="3" s="1"/>
  <c r="BD951" i="9" s="1"/>
  <c r="BD315" i="3"/>
  <c r="BD384" i="3" s="1"/>
  <c r="BD960" i="9" s="1"/>
  <c r="BD312" i="3"/>
  <c r="BD381" i="3" s="1"/>
  <c r="BD957" i="9" s="1"/>
  <c r="BD305" i="3"/>
  <c r="BD374" i="3" s="1"/>
  <c r="BD950" i="9" s="1"/>
  <c r="BD309" i="3"/>
  <c r="BD378" i="3" s="1"/>
  <c r="BD954" i="9" s="1"/>
  <c r="BD302" i="3"/>
  <c r="BD371" i="3" s="1"/>
  <c r="BD947" i="9" s="1"/>
  <c r="BD307" i="3"/>
  <c r="BD376" i="3" s="1"/>
  <c r="BD952" i="9" s="1"/>
  <c r="BD316" i="3"/>
  <c r="BD385" i="3" s="1"/>
  <c r="BD961" i="9" s="1"/>
  <c r="BD303" i="3"/>
  <c r="BD372" i="3" s="1"/>
  <c r="BD948" i="9" s="1"/>
  <c r="BD319" i="3"/>
  <c r="BD388" i="3" s="1"/>
  <c r="BD964" i="9" s="1"/>
  <c r="BD308" i="3"/>
  <c r="BD377" i="3" s="1"/>
  <c r="BD953" i="9" s="1"/>
  <c r="BD313" i="3"/>
  <c r="BD382" i="3" s="1"/>
  <c r="BD958" i="9" s="1"/>
  <c r="BD300" i="3"/>
  <c r="BD369" i="3" s="1"/>
  <c r="BD945" i="9" s="1"/>
  <c r="BD304" i="3"/>
  <c r="BD373" i="3" s="1"/>
  <c r="BD949" i="9" s="1"/>
  <c r="BD318" i="3"/>
  <c r="BD387" i="3" s="1"/>
  <c r="BD963" i="9" s="1"/>
  <c r="BD310" i="3"/>
  <c r="BD379" i="3" s="1"/>
  <c r="BD955" i="9" s="1"/>
  <c r="BD83" i="6"/>
  <c r="BE208" i="30"/>
  <c r="BE209" i="30" s="1"/>
  <c r="BE97" i="33" s="1"/>
  <c r="AY139" i="30"/>
  <c r="AY137" i="30"/>
  <c r="BC14" i="6"/>
  <c r="BC19" i="32"/>
  <c r="BC84" i="30"/>
  <c r="BC86" i="30" s="1"/>
  <c r="BN22" i="32"/>
  <c r="BN100" i="33" s="1"/>
  <c r="BN23" i="32"/>
  <c r="BN109" i="30"/>
  <c r="BN111" i="30"/>
  <c r="BN135" i="30" s="1"/>
  <c r="X22" i="32"/>
  <c r="X100" i="33" s="1"/>
  <c r="X109" i="30"/>
  <c r="X111" i="30"/>
  <c r="X23" i="32"/>
  <c r="AZ22" i="32"/>
  <c r="AZ100" i="33" s="1"/>
  <c r="AZ111" i="30"/>
  <c r="AZ135" i="30" s="1"/>
  <c r="AZ23" i="32"/>
  <c r="AZ109" i="30"/>
  <c r="BB97" i="6"/>
  <c r="BB114" i="30" s="1"/>
  <c r="BB90" i="30"/>
  <c r="BC1092" i="9"/>
  <c r="X135" i="30" l="1"/>
  <c r="X137" i="30" s="1"/>
  <c r="CH111" i="30"/>
  <c r="CK111" i="30"/>
  <c r="X122" i="13"/>
  <c r="CK109" i="30"/>
  <c r="CH109" i="30"/>
  <c r="X124" i="13"/>
  <c r="CH120" i="30"/>
  <c r="CK120" i="30"/>
  <c r="BB32" i="32"/>
  <c r="BB33" i="32" s="1"/>
  <c r="BD1091" i="9"/>
  <c r="BD1090" i="9"/>
  <c r="CG23" i="32"/>
  <c r="CG33" i="32"/>
  <c r="CG22" i="32"/>
  <c r="CG32" i="32"/>
  <c r="X47" i="35"/>
  <c r="X16" i="12"/>
  <c r="BB120" i="30"/>
  <c r="BE318" i="3"/>
  <c r="BE387" i="3" s="1"/>
  <c r="BE963" i="9" s="1"/>
  <c r="BE319" i="3"/>
  <c r="BE388" i="3" s="1"/>
  <c r="BE964" i="9" s="1"/>
  <c r="BE315" i="3"/>
  <c r="BE384" i="3" s="1"/>
  <c r="BE960" i="9" s="1"/>
  <c r="BE312" i="3"/>
  <c r="BE381" i="3" s="1"/>
  <c r="BE957" i="9" s="1"/>
  <c r="BE300" i="3"/>
  <c r="BE369" i="3" s="1"/>
  <c r="BE945" i="9" s="1"/>
  <c r="BE309" i="3"/>
  <c r="BE378" i="3" s="1"/>
  <c r="BE954" i="9" s="1"/>
  <c r="BE307" i="3"/>
  <c r="BE376" i="3" s="1"/>
  <c r="BE952" i="9" s="1"/>
  <c r="BE314" i="3"/>
  <c r="BE383" i="3" s="1"/>
  <c r="BE959" i="9" s="1"/>
  <c r="BE311" i="3"/>
  <c r="BE380" i="3" s="1"/>
  <c r="BE956" i="9" s="1"/>
  <c r="BE305" i="3"/>
  <c r="BE374" i="3" s="1"/>
  <c r="BE950" i="9" s="1"/>
  <c r="BE301" i="3"/>
  <c r="BE370" i="3" s="1"/>
  <c r="BE946" i="9" s="1"/>
  <c r="BE310" i="3"/>
  <c r="BE379" i="3" s="1"/>
  <c r="BE955" i="9" s="1"/>
  <c r="BE302" i="3"/>
  <c r="BE371" i="3" s="1"/>
  <c r="BE947" i="9" s="1"/>
  <c r="BE317" i="3"/>
  <c r="BE386" i="3" s="1"/>
  <c r="BE962" i="9" s="1"/>
  <c r="BE306" i="3"/>
  <c r="BE375" i="3" s="1"/>
  <c r="BE951" i="9" s="1"/>
  <c r="BE308" i="3"/>
  <c r="BE377" i="3" s="1"/>
  <c r="BE953" i="9" s="1"/>
  <c r="BE303" i="3"/>
  <c r="BE372" i="3" s="1"/>
  <c r="BE948" i="9" s="1"/>
  <c r="BE304" i="3"/>
  <c r="BE373" i="3" s="1"/>
  <c r="BE949" i="9" s="1"/>
  <c r="BE316" i="3"/>
  <c r="BE385" i="3" s="1"/>
  <c r="BE961" i="9" s="1"/>
  <c r="BE313" i="3"/>
  <c r="BE382" i="3" s="1"/>
  <c r="BE958" i="9" s="1"/>
  <c r="BF208" i="30"/>
  <c r="BF209" i="30" s="1"/>
  <c r="BF97" i="33" s="1"/>
  <c r="BE83" i="6"/>
  <c r="X37" i="12"/>
  <c r="X56" i="35"/>
  <c r="X83" i="13"/>
  <c r="X100" i="35" s="1"/>
  <c r="X14" i="12"/>
  <c r="BN137" i="30"/>
  <c r="BN139" i="30"/>
  <c r="BC97" i="6"/>
  <c r="BC114" i="30" s="1"/>
  <c r="BC90" i="30"/>
  <c r="BD84" i="30"/>
  <c r="BD86" i="30" s="1"/>
  <c r="BD14" i="6"/>
  <c r="BD19" i="32"/>
  <c r="BD1092" i="9"/>
  <c r="BC91" i="30"/>
  <c r="BC103" i="6"/>
  <c r="BC115" i="30" s="1"/>
  <c r="BC1093" i="9"/>
  <c r="BC20" i="6"/>
  <c r="BC18" i="6"/>
  <c r="X55" i="35"/>
  <c r="BB107" i="30"/>
  <c r="AZ137" i="30"/>
  <c r="AZ139" i="30"/>
  <c r="BA22" i="32"/>
  <c r="BA100" i="33" s="1"/>
  <c r="BA23" i="32"/>
  <c r="BA109" i="30"/>
  <c r="BA111" i="30"/>
  <c r="BA135" i="30" s="1"/>
  <c r="X44" i="12" l="1"/>
  <c r="X139" i="30"/>
  <c r="CH135" i="30"/>
  <c r="CK135" i="30"/>
  <c r="BC32" i="32"/>
  <c r="BC33" i="32" s="1"/>
  <c r="BE1091" i="9"/>
  <c r="BE1090" i="9"/>
  <c r="BA139" i="30"/>
  <c r="BA137" i="30"/>
  <c r="BD18" i="6"/>
  <c r="BD20" i="6"/>
  <c r="X47" i="12"/>
  <c r="X45" i="12"/>
  <c r="X48" i="12"/>
  <c r="X55" i="12" s="1"/>
  <c r="BE14" i="6"/>
  <c r="BE84" i="30"/>
  <c r="BE86" i="30" s="1"/>
  <c r="BE19" i="32"/>
  <c r="BD103" i="6"/>
  <c r="BD115" i="30" s="1"/>
  <c r="BD91" i="30"/>
  <c r="BC107" i="30"/>
  <c r="X20" i="12"/>
  <c r="X27" i="12" s="1"/>
  <c r="X21" i="12"/>
  <c r="X19" i="12"/>
  <c r="BF315" i="3"/>
  <c r="BF384" i="3" s="1"/>
  <c r="BF960" i="9" s="1"/>
  <c r="BF309" i="3"/>
  <c r="BF378" i="3" s="1"/>
  <c r="BF954" i="9" s="1"/>
  <c r="BF312" i="3"/>
  <c r="BF381" i="3" s="1"/>
  <c r="BF957" i="9" s="1"/>
  <c r="BF308" i="3"/>
  <c r="BF377" i="3" s="1"/>
  <c r="BF953" i="9" s="1"/>
  <c r="BF302" i="3"/>
  <c r="BF371" i="3" s="1"/>
  <c r="BF947" i="9" s="1"/>
  <c r="BF306" i="3"/>
  <c r="BF375" i="3" s="1"/>
  <c r="BF951" i="9" s="1"/>
  <c r="BF305" i="3"/>
  <c r="BF374" i="3" s="1"/>
  <c r="BF950" i="9" s="1"/>
  <c r="BF311" i="3"/>
  <c r="BF380" i="3" s="1"/>
  <c r="BF956" i="9" s="1"/>
  <c r="BF301" i="3"/>
  <c r="BF370" i="3" s="1"/>
  <c r="BF946" i="9" s="1"/>
  <c r="BF314" i="3"/>
  <c r="BF383" i="3" s="1"/>
  <c r="BF959" i="9" s="1"/>
  <c r="BF313" i="3"/>
  <c r="BF382" i="3" s="1"/>
  <c r="BF958" i="9" s="1"/>
  <c r="BF307" i="3"/>
  <c r="BF376" i="3" s="1"/>
  <c r="BF952" i="9" s="1"/>
  <c r="BF300" i="3"/>
  <c r="BF369" i="3" s="1"/>
  <c r="BF945" i="9" s="1"/>
  <c r="BF317" i="3"/>
  <c r="BF386" i="3" s="1"/>
  <c r="BF962" i="9" s="1"/>
  <c r="BF319" i="3"/>
  <c r="BF388" i="3" s="1"/>
  <c r="BF964" i="9" s="1"/>
  <c r="BF318" i="3"/>
  <c r="BF387" i="3" s="1"/>
  <c r="BF963" i="9" s="1"/>
  <c r="BF316" i="3"/>
  <c r="BF385" i="3" s="1"/>
  <c r="BF961" i="9" s="1"/>
  <c r="BF310" i="3"/>
  <c r="BF379" i="3" s="1"/>
  <c r="BF955" i="9" s="1"/>
  <c r="BF303" i="3"/>
  <c r="BF372" i="3" s="1"/>
  <c r="BF948" i="9" s="1"/>
  <c r="BF304" i="3"/>
  <c r="BF373" i="3" s="1"/>
  <c r="BF949" i="9" s="1"/>
  <c r="BF83" i="6"/>
  <c r="BG208" i="30"/>
  <c r="BG209" i="30" s="1"/>
  <c r="BG97" i="33" s="1"/>
  <c r="BB22" i="32"/>
  <c r="BB100" i="33" s="1"/>
  <c r="BB111" i="30"/>
  <c r="BB135" i="30" s="1"/>
  <c r="BB23" i="32"/>
  <c r="BB109" i="30"/>
  <c r="BD90" i="30"/>
  <c r="BD97" i="6"/>
  <c r="BD114" i="30" s="1"/>
  <c r="BE1092" i="9"/>
  <c r="BC120" i="30"/>
  <c r="BD1093" i="9"/>
  <c r="BD32" i="32" l="1"/>
  <c r="BD33" i="32" s="1"/>
  <c r="BF1091" i="9"/>
  <c r="BF1090" i="9"/>
  <c r="BD120" i="30"/>
  <c r="BF1092" i="9"/>
  <c r="BF91" i="30" s="1"/>
  <c r="X23" i="12"/>
  <c r="X28" i="12" s="1"/>
  <c r="X49" i="12"/>
  <c r="X51" i="12" s="1"/>
  <c r="X56" i="12" s="1"/>
  <c r="BC22" i="32"/>
  <c r="BC100" i="33" s="1"/>
  <c r="BC109" i="30"/>
  <c r="BC23" i="32"/>
  <c r="BC111" i="30"/>
  <c r="BC135" i="30" s="1"/>
  <c r="BE90" i="30"/>
  <c r="BE97" i="6"/>
  <c r="BE114" i="30" s="1"/>
  <c r="BB139" i="30"/>
  <c r="BB137" i="30"/>
  <c r="BD107" i="30"/>
  <c r="BE1093" i="9"/>
  <c r="BE20" i="6"/>
  <c r="BE18" i="6"/>
  <c r="BG317" i="3"/>
  <c r="BG386" i="3" s="1"/>
  <c r="BG962" i="9" s="1"/>
  <c r="BG302" i="3"/>
  <c r="BG371" i="3" s="1"/>
  <c r="BG947" i="9" s="1"/>
  <c r="BG306" i="3"/>
  <c r="BG375" i="3" s="1"/>
  <c r="BG951" i="9" s="1"/>
  <c r="BG311" i="3"/>
  <c r="BG380" i="3" s="1"/>
  <c r="BG956" i="9" s="1"/>
  <c r="BG318" i="3"/>
  <c r="BG387" i="3" s="1"/>
  <c r="BG963" i="9" s="1"/>
  <c r="BG304" i="3"/>
  <c r="BG373" i="3" s="1"/>
  <c r="BG949" i="9" s="1"/>
  <c r="BG310" i="3"/>
  <c r="BG379" i="3" s="1"/>
  <c r="BG955" i="9" s="1"/>
  <c r="BG319" i="3"/>
  <c r="BG388" i="3" s="1"/>
  <c r="BG964" i="9" s="1"/>
  <c r="BG314" i="3"/>
  <c r="BG383" i="3" s="1"/>
  <c r="BG959" i="9" s="1"/>
  <c r="BG300" i="3"/>
  <c r="BG369" i="3" s="1"/>
  <c r="BG945" i="9" s="1"/>
  <c r="BG308" i="3"/>
  <c r="BG377" i="3" s="1"/>
  <c r="BG953" i="9" s="1"/>
  <c r="BG307" i="3"/>
  <c r="BG376" i="3" s="1"/>
  <c r="BG952" i="9" s="1"/>
  <c r="BG312" i="3"/>
  <c r="BG381" i="3" s="1"/>
  <c r="BG957" i="9" s="1"/>
  <c r="BG305" i="3"/>
  <c r="BG374" i="3" s="1"/>
  <c r="BG950" i="9" s="1"/>
  <c r="BG315" i="3"/>
  <c r="BG384" i="3" s="1"/>
  <c r="BG960" i="9" s="1"/>
  <c r="BG301" i="3"/>
  <c r="BG370" i="3" s="1"/>
  <c r="BG946" i="9" s="1"/>
  <c r="BG303" i="3"/>
  <c r="BG372" i="3" s="1"/>
  <c r="BG948" i="9" s="1"/>
  <c r="BG316" i="3"/>
  <c r="BG385" i="3" s="1"/>
  <c r="BG961" i="9" s="1"/>
  <c r="BG313" i="3"/>
  <c r="BG382" i="3" s="1"/>
  <c r="BG958" i="9" s="1"/>
  <c r="BG309" i="3"/>
  <c r="BG378" i="3" s="1"/>
  <c r="BG954" i="9" s="1"/>
  <c r="BH208" i="30"/>
  <c r="BH209" i="30" s="1"/>
  <c r="BH97" i="33" s="1"/>
  <c r="BG83" i="6"/>
  <c r="BE91" i="30"/>
  <c r="BE103" i="6"/>
  <c r="BE115" i="30" s="1"/>
  <c r="BF14" i="6"/>
  <c r="BF84" i="30"/>
  <c r="BF86" i="30" s="1"/>
  <c r="BF19" i="32"/>
  <c r="AC15" i="13" l="1"/>
  <c r="AC14" i="13"/>
  <c r="X15" i="13"/>
  <c r="X94" i="35" s="1"/>
  <c r="BE32" i="32"/>
  <c r="BE33" i="32" s="1"/>
  <c r="BG1091" i="9"/>
  <c r="BG1090" i="9"/>
  <c r="BF103" i="6"/>
  <c r="BF115" i="30" s="1"/>
  <c r="BF1093" i="9"/>
  <c r="BG14" i="6"/>
  <c r="BG84" i="30"/>
  <c r="BG86" i="30" s="1"/>
  <c r="BG19" i="32"/>
  <c r="BG1092" i="9"/>
  <c r="BC139" i="30"/>
  <c r="BC137" i="30"/>
  <c r="BF20" i="6"/>
  <c r="BF18" i="6"/>
  <c r="BH313" i="3"/>
  <c r="BH382" i="3" s="1"/>
  <c r="BH958" i="9" s="1"/>
  <c r="BH316" i="3"/>
  <c r="BH385" i="3" s="1"/>
  <c r="BH961" i="9" s="1"/>
  <c r="BH305" i="3"/>
  <c r="BH374" i="3" s="1"/>
  <c r="BH950" i="9" s="1"/>
  <c r="BH304" i="3"/>
  <c r="BH373" i="3" s="1"/>
  <c r="BH949" i="9" s="1"/>
  <c r="BH301" i="3"/>
  <c r="BH370" i="3" s="1"/>
  <c r="BH946" i="9" s="1"/>
  <c r="BH314" i="3"/>
  <c r="BH383" i="3" s="1"/>
  <c r="BH959" i="9" s="1"/>
  <c r="BH308" i="3"/>
  <c r="BH377" i="3" s="1"/>
  <c r="BH953" i="9" s="1"/>
  <c r="BH317" i="3"/>
  <c r="BH386" i="3" s="1"/>
  <c r="BH962" i="9" s="1"/>
  <c r="BH319" i="3"/>
  <c r="BH388" i="3" s="1"/>
  <c r="BH964" i="9" s="1"/>
  <c r="BH310" i="3"/>
  <c r="BH379" i="3" s="1"/>
  <c r="BH955" i="9" s="1"/>
  <c r="BH312" i="3"/>
  <c r="BH381" i="3" s="1"/>
  <c r="BH957" i="9" s="1"/>
  <c r="BH318" i="3"/>
  <c r="BH387" i="3" s="1"/>
  <c r="BH963" i="9" s="1"/>
  <c r="BH302" i="3"/>
  <c r="BH371" i="3" s="1"/>
  <c r="BH947" i="9" s="1"/>
  <c r="BH303" i="3"/>
  <c r="BH372" i="3" s="1"/>
  <c r="BH948" i="9" s="1"/>
  <c r="BH300" i="3"/>
  <c r="BH369" i="3" s="1"/>
  <c r="BH945" i="9" s="1"/>
  <c r="BH83" i="6"/>
  <c r="BH315" i="3"/>
  <c r="BH384" i="3" s="1"/>
  <c r="BH960" i="9" s="1"/>
  <c r="BH309" i="3"/>
  <c r="BH378" i="3" s="1"/>
  <c r="BH954" i="9" s="1"/>
  <c r="BH306" i="3"/>
  <c r="BH375" i="3" s="1"/>
  <c r="BH951" i="9" s="1"/>
  <c r="BH307" i="3"/>
  <c r="BH376" i="3" s="1"/>
  <c r="BH952" i="9" s="1"/>
  <c r="BH311" i="3"/>
  <c r="BH380" i="3" s="1"/>
  <c r="BH956" i="9" s="1"/>
  <c r="BI208" i="30"/>
  <c r="BI209" i="30" s="1"/>
  <c r="BI97" i="33" s="1"/>
  <c r="BF97" i="6"/>
  <c r="BF114" i="30" s="1"/>
  <c r="BF90" i="30"/>
  <c r="BE120" i="30"/>
  <c r="BD22" i="32"/>
  <c r="BD100" i="33" s="1"/>
  <c r="BD109" i="30"/>
  <c r="BD111" i="30"/>
  <c r="BD135" i="30" s="1"/>
  <c r="BD23" i="32"/>
  <c r="BE107" i="30"/>
  <c r="E39" i="28" l="1"/>
  <c r="X14" i="13"/>
  <c r="X93" i="35" s="1"/>
  <c r="BF32" i="32"/>
  <c r="BF33" i="32" s="1"/>
  <c r="BH1090" i="9"/>
  <c r="BH1091" i="9"/>
  <c r="BF120" i="30"/>
  <c r="BH1092" i="9"/>
  <c r="BH103" i="6" s="1"/>
  <c r="BH115" i="30" s="1"/>
  <c r="BG1093" i="9"/>
  <c r="BG91" i="30"/>
  <c r="BG103" i="6"/>
  <c r="BG115" i="30" s="1"/>
  <c r="BG18" i="6"/>
  <c r="BG20" i="6"/>
  <c r="BG90" i="30"/>
  <c r="BG97" i="6"/>
  <c r="BG114" i="30" s="1"/>
  <c r="BI300" i="3"/>
  <c r="BI369" i="3" s="1"/>
  <c r="BI945" i="9" s="1"/>
  <c r="BI315" i="3"/>
  <c r="BI384" i="3" s="1"/>
  <c r="BI960" i="9" s="1"/>
  <c r="BI310" i="3"/>
  <c r="BI379" i="3" s="1"/>
  <c r="BI955" i="9" s="1"/>
  <c r="BI306" i="3"/>
  <c r="BI375" i="3" s="1"/>
  <c r="BI951" i="9" s="1"/>
  <c r="BI311" i="3"/>
  <c r="BI380" i="3" s="1"/>
  <c r="BI956" i="9" s="1"/>
  <c r="BI319" i="3"/>
  <c r="BI388" i="3" s="1"/>
  <c r="BI964" i="9" s="1"/>
  <c r="BI314" i="3"/>
  <c r="BI383" i="3" s="1"/>
  <c r="BI959" i="9" s="1"/>
  <c r="BI305" i="3"/>
  <c r="BI374" i="3" s="1"/>
  <c r="BI950" i="9" s="1"/>
  <c r="BI318" i="3"/>
  <c r="BI387" i="3" s="1"/>
  <c r="BI963" i="9" s="1"/>
  <c r="BI302" i="3"/>
  <c r="BI371" i="3" s="1"/>
  <c r="BI947" i="9" s="1"/>
  <c r="BI83" i="6"/>
  <c r="BJ208" i="30"/>
  <c r="BJ209" i="30" s="1"/>
  <c r="BJ97" i="33" s="1"/>
  <c r="BI304" i="3"/>
  <c r="BI373" i="3" s="1"/>
  <c r="BI949" i="9" s="1"/>
  <c r="BI317" i="3"/>
  <c r="BI386" i="3" s="1"/>
  <c r="BI962" i="9" s="1"/>
  <c r="BI303" i="3"/>
  <c r="BI372" i="3" s="1"/>
  <c r="BI948" i="9" s="1"/>
  <c r="BI307" i="3"/>
  <c r="BI376" i="3" s="1"/>
  <c r="BI952" i="9" s="1"/>
  <c r="BI309" i="3"/>
  <c r="BI378" i="3" s="1"/>
  <c r="BI954" i="9" s="1"/>
  <c r="BI312" i="3"/>
  <c r="BI381" i="3" s="1"/>
  <c r="BI957" i="9" s="1"/>
  <c r="BI313" i="3"/>
  <c r="BI382" i="3" s="1"/>
  <c r="BI958" i="9" s="1"/>
  <c r="BI316" i="3"/>
  <c r="BI385" i="3" s="1"/>
  <c r="BI961" i="9" s="1"/>
  <c r="BI301" i="3"/>
  <c r="BI370" i="3" s="1"/>
  <c r="BI946" i="9" s="1"/>
  <c r="BI308" i="3"/>
  <c r="BI377" i="3" s="1"/>
  <c r="BI953" i="9" s="1"/>
  <c r="BE22" i="32"/>
  <c r="BE100" i="33" s="1"/>
  <c r="BE111" i="30"/>
  <c r="BE135" i="30" s="1"/>
  <c r="BE23" i="32"/>
  <c r="BE109" i="30"/>
  <c r="BD137" i="30"/>
  <c r="BD139" i="30"/>
  <c r="BF107" i="30"/>
  <c r="BH14" i="6"/>
  <c r="BH19" i="32"/>
  <c r="BH84" i="30"/>
  <c r="BH86" i="30" s="1"/>
  <c r="BG32" i="32" l="1"/>
  <c r="BG33" i="32" s="1"/>
  <c r="BI1091" i="9"/>
  <c r="BI1090" i="9"/>
  <c r="BG120" i="30"/>
  <c r="BH1093" i="9"/>
  <c r="BH91" i="30"/>
  <c r="BJ301" i="3"/>
  <c r="BJ370" i="3" s="1"/>
  <c r="BJ946" i="9" s="1"/>
  <c r="BJ318" i="3"/>
  <c r="BJ387" i="3" s="1"/>
  <c r="BJ963" i="9" s="1"/>
  <c r="Y963" i="9" s="1"/>
  <c r="BO963" i="9" s="1"/>
  <c r="BJ310" i="3"/>
  <c r="BJ379" i="3" s="1"/>
  <c r="BJ955" i="9" s="1"/>
  <c r="Y955" i="9" s="1"/>
  <c r="BO955" i="9" s="1"/>
  <c r="BJ303" i="3"/>
  <c r="BJ372" i="3" s="1"/>
  <c r="BJ948" i="9" s="1"/>
  <c r="Y948" i="9" s="1"/>
  <c r="BO948" i="9" s="1"/>
  <c r="BJ315" i="3"/>
  <c r="BJ384" i="3" s="1"/>
  <c r="BJ960" i="9" s="1"/>
  <c r="Y960" i="9" s="1"/>
  <c r="BO960" i="9" s="1"/>
  <c r="BJ304" i="3"/>
  <c r="BJ373" i="3" s="1"/>
  <c r="BJ949" i="9" s="1"/>
  <c r="Y949" i="9" s="1"/>
  <c r="BO949" i="9" s="1"/>
  <c r="BJ305" i="3"/>
  <c r="BJ374" i="3" s="1"/>
  <c r="BJ950" i="9" s="1"/>
  <c r="Y950" i="9" s="1"/>
  <c r="BO950" i="9" s="1"/>
  <c r="BJ314" i="3"/>
  <c r="BJ383" i="3" s="1"/>
  <c r="BJ959" i="9" s="1"/>
  <c r="Y959" i="9" s="1"/>
  <c r="BO959" i="9" s="1"/>
  <c r="BJ306" i="3"/>
  <c r="BJ375" i="3" s="1"/>
  <c r="BJ951" i="9" s="1"/>
  <c r="Y951" i="9" s="1"/>
  <c r="BO951" i="9" s="1"/>
  <c r="BJ307" i="3"/>
  <c r="BJ376" i="3" s="1"/>
  <c r="BJ952" i="9" s="1"/>
  <c r="Y952" i="9" s="1"/>
  <c r="BO952" i="9" s="1"/>
  <c r="BJ312" i="3"/>
  <c r="BJ381" i="3" s="1"/>
  <c r="BJ957" i="9" s="1"/>
  <c r="Y957" i="9" s="1"/>
  <c r="BO957" i="9" s="1"/>
  <c r="BJ319" i="3"/>
  <c r="BJ388" i="3" s="1"/>
  <c r="BJ964" i="9" s="1"/>
  <c r="Y964" i="9" s="1"/>
  <c r="BO964" i="9" s="1"/>
  <c r="BJ316" i="3"/>
  <c r="BJ385" i="3" s="1"/>
  <c r="BJ961" i="9" s="1"/>
  <c r="Y961" i="9" s="1"/>
  <c r="BO961" i="9" s="1"/>
  <c r="BJ309" i="3"/>
  <c r="BJ378" i="3" s="1"/>
  <c r="BJ954" i="9" s="1"/>
  <c r="Y954" i="9" s="1"/>
  <c r="BO954" i="9" s="1"/>
  <c r="BJ317" i="3"/>
  <c r="BJ386" i="3" s="1"/>
  <c r="BJ962" i="9" s="1"/>
  <c r="Y962" i="9" s="1"/>
  <c r="BO962" i="9" s="1"/>
  <c r="BJ300" i="3"/>
  <c r="BJ369" i="3" s="1"/>
  <c r="BJ945" i="9" s="1"/>
  <c r="BJ302" i="3"/>
  <c r="BJ371" i="3" s="1"/>
  <c r="BJ947" i="9" s="1"/>
  <c r="BJ311" i="3"/>
  <c r="BJ380" i="3" s="1"/>
  <c r="BJ956" i="9" s="1"/>
  <c r="Y956" i="9" s="1"/>
  <c r="BO956" i="9" s="1"/>
  <c r="BJ308" i="3"/>
  <c r="BJ377" i="3" s="1"/>
  <c r="BJ953" i="9" s="1"/>
  <c r="Y953" i="9" s="1"/>
  <c r="BO953" i="9" s="1"/>
  <c r="BJ313" i="3"/>
  <c r="BJ382" i="3" s="1"/>
  <c r="BJ958" i="9" s="1"/>
  <c r="Y958" i="9" s="1"/>
  <c r="BO958" i="9" s="1"/>
  <c r="BJ83" i="6"/>
  <c r="BE137" i="30"/>
  <c r="BE139" i="30"/>
  <c r="BI14" i="6"/>
  <c r="BI19" i="32"/>
  <c r="BI84" i="30"/>
  <c r="BI86" i="30" s="1"/>
  <c r="BH97" i="6"/>
  <c r="BH114" i="30" s="1"/>
  <c r="BH120" i="30" s="1"/>
  <c r="BH90" i="30"/>
  <c r="BH20" i="6"/>
  <c r="BH18" i="6"/>
  <c r="BG107" i="30"/>
  <c r="BF22" i="32"/>
  <c r="BF100" i="33" s="1"/>
  <c r="BF23" i="32"/>
  <c r="BF111" i="30"/>
  <c r="BF135" i="30" s="1"/>
  <c r="BF109" i="30"/>
  <c r="BI1092" i="9"/>
  <c r="BH32" i="32" l="1"/>
  <c r="BH33" i="32" s="1"/>
  <c r="Y947" i="9"/>
  <c r="BJ1090" i="9"/>
  <c r="BI90" i="30"/>
  <c r="BI97" i="6"/>
  <c r="BI114" i="30" s="1"/>
  <c r="BH107" i="30"/>
  <c r="BJ84" i="30"/>
  <c r="BJ19" i="32"/>
  <c r="BJ14" i="6"/>
  <c r="BI103" i="6"/>
  <c r="BI115" i="30" s="1"/>
  <c r="BI91" i="30"/>
  <c r="BG22" i="32"/>
  <c r="BG100" i="33" s="1"/>
  <c r="BG23" i="32"/>
  <c r="BG109" i="30"/>
  <c r="BG111" i="30"/>
  <c r="BG135" i="30" s="1"/>
  <c r="BI20" i="6"/>
  <c r="BI18" i="6"/>
  <c r="Y945" i="9"/>
  <c r="BJ1092" i="9"/>
  <c r="BJ102" i="6" s="1"/>
  <c r="Y946" i="9"/>
  <c r="BJ1091" i="9"/>
  <c r="BF139" i="30"/>
  <c r="BF137" i="30"/>
  <c r="BI1093" i="9"/>
  <c r="BJ86" i="30" l="1"/>
  <c r="CI86" i="30" s="1"/>
  <c r="CC86" i="30" s="1"/>
  <c r="CI84" i="30"/>
  <c r="CC84" i="30" s="1"/>
  <c r="A84" i="30" s="1" a="1"/>
  <c r="A84" i="30" s="1"/>
  <c r="BI32" i="32"/>
  <c r="BI33" i="32" s="1"/>
  <c r="BO947" i="9"/>
  <c r="Y1090" i="9"/>
  <c r="CK19" i="32"/>
  <c r="CC19" i="32" s="1"/>
  <c r="A19" i="32" s="1" a="1"/>
  <c r="A19" i="32" s="1"/>
  <c r="Y1092" i="9"/>
  <c r="Y102" i="6" s="1"/>
  <c r="BO945" i="9"/>
  <c r="BH22" i="32"/>
  <c r="BH100" i="33" s="1"/>
  <c r="BH111" i="30"/>
  <c r="BH135" i="30" s="1"/>
  <c r="BH109" i="30"/>
  <c r="BH23" i="32"/>
  <c r="BJ1093" i="9"/>
  <c r="BJ96" i="6"/>
  <c r="BJ20" i="6"/>
  <c r="BJ18" i="6"/>
  <c r="Y1091" i="9"/>
  <c r="BO946" i="9"/>
  <c r="BI120" i="30"/>
  <c r="BJ91" i="30"/>
  <c r="BJ103" i="6"/>
  <c r="BJ115" i="30" s="1"/>
  <c r="BG137" i="30"/>
  <c r="BG139" i="30"/>
  <c r="BI107" i="30"/>
  <c r="BO1092" i="9" l="1"/>
  <c r="BO102" i="6" s="1"/>
  <c r="BO91" i="30" s="1"/>
  <c r="BO1090" i="9"/>
  <c r="BO1091" i="9"/>
  <c r="BO96" i="6" s="1"/>
  <c r="BI22" i="32"/>
  <c r="BI100" i="33" s="1"/>
  <c r="BI23" i="32"/>
  <c r="BI111" i="30"/>
  <c r="BI135" i="30" s="1"/>
  <c r="BI109" i="30"/>
  <c r="BJ90" i="30"/>
  <c r="BJ97" i="6"/>
  <c r="BJ114" i="30" s="1"/>
  <c r="BJ120" i="30" s="1"/>
  <c r="BH139" i="30"/>
  <c r="BH137" i="30"/>
  <c r="Y96" i="6"/>
  <c r="Y1093" i="9"/>
  <c r="Y91" i="30"/>
  <c r="Y103" i="6"/>
  <c r="CF102" i="6" l="1"/>
  <c r="A102" i="6" s="1" a="1"/>
  <c r="A102" i="6" s="1"/>
  <c r="BO103" i="6"/>
  <c r="BO115" i="30" s="1"/>
  <c r="CI91" i="30"/>
  <c r="CC91" i="30" s="1"/>
  <c r="CL91" i="30"/>
  <c r="CD91" i="30" s="1"/>
  <c r="BJ32" i="32"/>
  <c r="BJ33" i="32" s="1"/>
  <c r="BO1093" i="9"/>
  <c r="Y90" i="30"/>
  <c r="Y97" i="6"/>
  <c r="CF96" i="6"/>
  <c r="A96" i="6" s="1" a="1"/>
  <c r="A96" i="6" s="1"/>
  <c r="BJ107" i="30"/>
  <c r="BI137" i="30"/>
  <c r="BI139" i="30"/>
  <c r="BO97" i="6"/>
  <c r="BO114" i="30" s="1"/>
  <c r="BO90" i="30"/>
  <c r="Y115" i="30"/>
  <c r="BO120" i="30" l="1"/>
  <c r="CF103" i="6"/>
  <c r="A103" i="6" s="1" a="1"/>
  <c r="A103" i="6" s="1"/>
  <c r="A91" i="30" a="1"/>
  <c r="A91" i="30" s="1"/>
  <c r="CI90" i="30"/>
  <c r="CC90" i="30" s="1"/>
  <c r="CL90" i="30"/>
  <c r="CD90" i="30" s="1"/>
  <c r="CI115" i="30"/>
  <c r="CC115" i="30" s="1"/>
  <c r="CL115" i="30"/>
  <c r="CD115" i="30" s="1"/>
  <c r="BO32" i="32"/>
  <c r="Y114" i="30"/>
  <c r="CF97" i="6"/>
  <c r="A97" i="6" s="1" a="1"/>
  <c r="A97" i="6" s="1"/>
  <c r="BO107" i="30"/>
  <c r="BJ22" i="32"/>
  <c r="BJ100" i="33" s="1"/>
  <c r="BJ109" i="30"/>
  <c r="BJ111" i="30"/>
  <c r="BJ135" i="30" s="1"/>
  <c r="BJ23" i="32"/>
  <c r="Y107" i="30"/>
  <c r="A115" i="30" l="1" a="1"/>
  <c r="A115" i="30" s="1"/>
  <c r="A90" i="30" a="1"/>
  <c r="A90" i="30" s="1"/>
  <c r="CI107" i="30"/>
  <c r="CC107" i="30" s="1"/>
  <c r="CL107" i="30"/>
  <c r="CD107" i="30" s="1"/>
  <c r="Y120" i="30"/>
  <c r="CI114" i="30"/>
  <c r="CC114" i="30" s="1"/>
  <c r="CL114" i="30"/>
  <c r="CD114" i="30" s="1"/>
  <c r="Y32" i="32"/>
  <c r="Y33" i="32" s="1"/>
  <c r="Y47" i="35" s="1"/>
  <c r="BO22" i="32"/>
  <c r="BO100" i="33" s="1"/>
  <c r="BO109" i="30"/>
  <c r="BO111" i="30"/>
  <c r="BO135" i="30" s="1"/>
  <c r="BO23" i="32"/>
  <c r="BJ137" i="30"/>
  <c r="BJ139" i="30"/>
  <c r="BO33" i="32"/>
  <c r="Y22" i="32"/>
  <c r="Y100" i="33" s="1"/>
  <c r="Y23" i="32"/>
  <c r="Y111" i="30"/>
  <c r="Y109" i="30"/>
  <c r="Y135" i="30" l="1"/>
  <c r="Y139" i="30" s="1"/>
  <c r="A114" i="30" a="1"/>
  <c r="A114" i="30" s="1"/>
  <c r="Y122" i="13"/>
  <c r="CI109" i="30"/>
  <c r="CC109" i="30" s="1"/>
  <c r="CL109" i="30"/>
  <c r="CD109" i="30" s="1"/>
  <c r="CI111" i="30"/>
  <c r="CC111" i="30" s="1"/>
  <c r="CL111" i="30"/>
  <c r="CD111" i="30" s="1"/>
  <c r="Y124" i="13"/>
  <c r="CI120" i="30"/>
  <c r="CC120" i="30" s="1"/>
  <c r="CL120" i="30"/>
  <c r="CD120" i="30" s="1"/>
  <c r="CH22" i="32"/>
  <c r="CH23" i="32"/>
  <c r="CH33" i="32"/>
  <c r="CH32" i="32"/>
  <c r="Y57" i="13"/>
  <c r="Y98" i="35" s="1"/>
  <c r="Y16" i="12"/>
  <c r="BO137" i="30"/>
  <c r="BO139" i="30"/>
  <c r="Y55" i="35"/>
  <c r="Y83" i="13"/>
  <c r="Y100" i="35" s="1"/>
  <c r="Y37" i="12"/>
  <c r="Y56" i="35"/>
  <c r="Y14" i="12"/>
  <c r="Y44" i="12" l="1"/>
  <c r="Y137" i="30"/>
  <c r="CI135" i="30"/>
  <c r="CC135" i="30" s="1"/>
  <c r="CL135" i="30"/>
  <c r="CD135" i="30" s="1"/>
  <c r="Y47" i="12"/>
  <c r="Y48" i="12"/>
  <c r="Y55" i="12" s="1"/>
  <c r="Y45" i="12"/>
  <c r="Y20" i="12"/>
  <c r="Y27" i="12" s="1"/>
  <c r="Y19" i="12"/>
  <c r="Y21" i="12"/>
  <c r="Y23" i="12" l="1"/>
  <c r="Y28" i="12" s="1"/>
  <c r="Y49" i="12"/>
  <c r="Y51" i="12" s="1"/>
  <c r="Y56" i="12" s="1"/>
  <c r="AD15" i="13" l="1"/>
  <c r="AD14" i="13"/>
  <c r="Y15" i="13"/>
  <c r="Y94" i="35" s="1"/>
  <c r="V329" i="26"/>
  <c r="Y14" i="13" l="1"/>
  <c r="Y93" i="35" s="1"/>
  <c r="E43" i="28"/>
  <c r="E281" i="26"/>
  <c r="E212" i="26"/>
  <c r="CG212" i="26" s="1"/>
  <c r="A212" i="26" s="1" a="1"/>
  <c r="A212" i="26" s="1"/>
  <c r="E261" i="26"/>
  <c r="CG261" i="26" s="1"/>
  <c r="A261" i="26" s="1" a="1"/>
  <c r="A261" i="26" s="1"/>
  <c r="E226" i="26"/>
  <c r="CG226" i="26" s="1"/>
  <c r="A226" i="26" s="1" a="1"/>
  <c r="A226" i="26" s="1"/>
  <c r="E252" i="26"/>
  <c r="CG252" i="26" s="1"/>
  <c r="A252" i="26" s="1" a="1"/>
  <c r="A252" i="26" s="1"/>
  <c r="E240" i="26"/>
  <c r="CG240" i="26" s="1"/>
  <c r="A240" i="26" s="1" a="1"/>
  <c r="A240" i="26" s="1"/>
  <c r="E271" i="26"/>
  <c r="CG271" i="26" s="1"/>
  <c r="A271" i="26" s="1" a="1"/>
  <c r="A271" i="26" s="1"/>
  <c r="BL329" i="26"/>
  <c r="BT262" i="6" l="1"/>
  <c r="BT10" i="6" s="1"/>
  <c r="BT9" i="32" s="1"/>
  <c r="BS262" i="6"/>
  <c r="BS10" i="6" s="1"/>
  <c r="BW262" i="6"/>
  <c r="BW10" i="6" s="1"/>
  <c r="BR262" i="6"/>
  <c r="BR10" i="6" s="1"/>
  <c r="BR9" i="30" s="1"/>
  <c r="BQ262" i="6"/>
  <c r="BQ10" i="6" s="1"/>
  <c r="BQ12" i="6" s="1"/>
  <c r="BV262" i="6"/>
  <c r="BV10" i="6" s="1"/>
  <c r="BV214" i="26" s="1"/>
  <c r="BU262" i="6"/>
  <c r="BU10" i="6" s="1"/>
  <c r="BP262" i="6"/>
  <c r="BP10" i="6" s="1"/>
  <c r="BW9" i="35" l="1"/>
  <c r="BW21" i="35" s="1"/>
  <c r="BW214" i="26"/>
  <c r="BS263" i="26"/>
  <c r="BS9" i="30"/>
  <c r="BS203" i="30" s="1"/>
  <c r="BS89" i="33" s="1"/>
  <c r="BT9" i="35"/>
  <c r="BT21" i="35" s="1"/>
  <c r="BU12" i="6"/>
  <c r="BU214" i="26"/>
  <c r="BU263" i="26"/>
  <c r="BU291" i="26"/>
  <c r="BU242" i="26"/>
  <c r="BU9" i="32"/>
  <c r="BU228" i="26"/>
  <c r="BU273" i="26"/>
  <c r="BU52" i="33"/>
  <c r="BU9" i="30"/>
  <c r="BU16" i="6"/>
  <c r="BU254" i="26"/>
  <c r="BU9" i="35"/>
  <c r="BR107" i="30"/>
  <c r="BR61" i="30"/>
  <c r="BR45" i="32" s="1"/>
  <c r="BR192" i="30"/>
  <c r="BR79" i="33" s="1"/>
  <c r="BR73" i="30"/>
  <c r="BR59" i="30"/>
  <c r="BR133" i="30"/>
  <c r="BR173" i="30"/>
  <c r="BR44" i="30"/>
  <c r="BR127" i="30"/>
  <c r="BR203" i="30"/>
  <c r="BR89" i="33" s="1"/>
  <c r="BR23" i="30"/>
  <c r="BR120" i="30"/>
  <c r="BR53" i="30"/>
  <c r="BR29" i="30"/>
  <c r="BR154" i="30"/>
  <c r="BT25" i="32"/>
  <c r="BT24" i="35" s="1"/>
  <c r="BT32" i="32"/>
  <c r="BT26" i="32"/>
  <c r="BT25" i="35" s="1"/>
  <c r="BT18" i="32"/>
  <c r="BT15" i="32"/>
  <c r="BT62" i="32" s="1"/>
  <c r="BV12" i="6"/>
  <c r="BV291" i="26"/>
  <c r="BV16" i="6"/>
  <c r="BV242" i="26"/>
  <c r="BV228" i="26"/>
  <c r="BV273" i="26"/>
  <c r="BV263" i="26"/>
  <c r="BV52" i="33"/>
  <c r="BV254" i="26"/>
  <c r="BV9" i="32"/>
  <c r="BV9" i="30"/>
  <c r="BV9" i="35"/>
  <c r="BP12" i="6"/>
  <c r="BP263" i="26"/>
  <c r="BP214" i="26"/>
  <c r="BP228" i="26"/>
  <c r="BP273" i="26"/>
  <c r="BP242" i="26"/>
  <c r="BP9" i="35"/>
  <c r="BP254" i="26"/>
  <c r="BP16" i="6"/>
  <c r="BP9" i="32"/>
  <c r="BP9" i="30"/>
  <c r="BP291" i="26"/>
  <c r="BP52" i="33"/>
  <c r="BW12" i="6"/>
  <c r="BW291" i="26"/>
  <c r="BW16" i="6"/>
  <c r="BW52" i="33"/>
  <c r="BW263" i="26"/>
  <c r="BW228" i="26"/>
  <c r="BW9" i="32"/>
  <c r="BQ214" i="26"/>
  <c r="BQ254" i="26"/>
  <c r="BS52" i="33"/>
  <c r="BW273" i="26"/>
  <c r="BR12" i="6"/>
  <c r="BR228" i="26"/>
  <c r="BR52" i="33"/>
  <c r="BR273" i="26"/>
  <c r="BR291" i="26"/>
  <c r="BR214" i="26"/>
  <c r="BR263" i="26"/>
  <c r="BR16" i="6"/>
  <c r="BR242" i="26"/>
  <c r="BR254" i="26"/>
  <c r="BS12" i="6"/>
  <c r="BS9" i="35"/>
  <c r="BT12" i="6"/>
  <c r="BT273" i="26"/>
  <c r="BT228" i="26"/>
  <c r="BT263" i="26"/>
  <c r="BT52" i="33"/>
  <c r="BT16" i="6"/>
  <c r="BT214" i="26"/>
  <c r="BT254" i="26"/>
  <c r="BT291" i="26"/>
  <c r="BT242" i="26"/>
  <c r="BQ9" i="35"/>
  <c r="BQ291" i="26"/>
  <c r="BQ52" i="33"/>
  <c r="BS214" i="26"/>
  <c r="BS254" i="26"/>
  <c r="BQ9" i="32"/>
  <c r="BS9" i="32"/>
  <c r="BW9" i="30"/>
  <c r="BQ263" i="26"/>
  <c r="BQ228" i="26"/>
  <c r="BQ242" i="26"/>
  <c r="BS291" i="26"/>
  <c r="BS273" i="26"/>
  <c r="BS242" i="26"/>
  <c r="BR9" i="32"/>
  <c r="BR9" i="35"/>
  <c r="BW242" i="26"/>
  <c r="BQ9" i="30"/>
  <c r="BT9" i="30"/>
  <c r="BQ16" i="6"/>
  <c r="BQ273" i="26"/>
  <c r="BS16" i="6"/>
  <c r="BS228" i="26"/>
  <c r="BW254" i="26"/>
  <c r="BW15" i="35" l="1"/>
  <c r="BW16" i="35" s="1"/>
  <c r="BW13" i="35"/>
  <c r="BT13" i="35"/>
  <c r="BW18" i="35"/>
  <c r="BW19" i="35" s="1"/>
  <c r="BS173" i="30"/>
  <c r="BS192" i="30"/>
  <c r="BS79" i="33" s="1"/>
  <c r="BS81" i="33" s="1"/>
  <c r="BS23" i="30"/>
  <c r="BS14" i="32" s="1"/>
  <c r="BS154" i="30"/>
  <c r="BS107" i="30"/>
  <c r="BS29" i="30"/>
  <c r="BS59" i="30"/>
  <c r="BS61" i="30"/>
  <c r="BS45" i="32" s="1"/>
  <c r="BS73" i="30"/>
  <c r="BS44" i="30"/>
  <c r="BS120" i="30"/>
  <c r="BS91" i="33"/>
  <c r="BT18" i="35"/>
  <c r="BT19" i="35" s="1"/>
  <c r="BT15" i="35"/>
  <c r="BT16" i="35" s="1"/>
  <c r="BS133" i="30"/>
  <c r="BS127" i="30"/>
  <c r="BS53" i="30"/>
  <c r="BQ15" i="35"/>
  <c r="BQ16" i="35" s="1"/>
  <c r="BQ13" i="35"/>
  <c r="BQ21" i="35"/>
  <c r="BQ18" i="35"/>
  <c r="BQ19" i="35" s="1"/>
  <c r="BS13" i="35"/>
  <c r="BS15" i="35"/>
  <c r="BS16" i="35" s="1"/>
  <c r="BS21" i="35"/>
  <c r="BS18" i="35"/>
  <c r="BS19" i="35" s="1"/>
  <c r="BP73" i="30"/>
  <c r="BP59" i="30"/>
  <c r="BP203" i="30"/>
  <c r="BP89" i="33" s="1"/>
  <c r="BP91" i="33" s="1"/>
  <c r="BP61" i="30"/>
  <c r="BP45" i="32" s="1"/>
  <c r="BP120" i="30"/>
  <c r="BP29" i="30"/>
  <c r="BP192" i="30"/>
  <c r="BP79" i="33" s="1"/>
  <c r="BP81" i="33" s="1"/>
  <c r="BP107" i="30"/>
  <c r="BP154" i="30"/>
  <c r="BP127" i="30"/>
  <c r="BP173" i="30"/>
  <c r="BP133" i="30"/>
  <c r="BP53" i="30"/>
  <c r="BP44" i="30"/>
  <c r="BP23" i="30"/>
  <c r="BR14" i="32"/>
  <c r="BR31" i="30"/>
  <c r="BR35" i="30" s="1"/>
  <c r="BR37" i="30" s="1"/>
  <c r="BR81" i="33"/>
  <c r="BT107" i="30"/>
  <c r="BT73" i="30"/>
  <c r="BT61" i="30"/>
  <c r="BT45" i="32" s="1"/>
  <c r="BT192" i="30"/>
  <c r="BT79" i="33" s="1"/>
  <c r="BT81" i="33" s="1"/>
  <c r="BT203" i="30"/>
  <c r="BT89" i="33" s="1"/>
  <c r="BT91" i="33" s="1"/>
  <c r="BT53" i="30"/>
  <c r="BT133" i="30"/>
  <c r="BT29" i="30"/>
  <c r="BT120" i="30"/>
  <c r="BT23" i="30"/>
  <c r="BT154" i="30"/>
  <c r="BT44" i="30"/>
  <c r="BT59" i="30"/>
  <c r="BT127" i="30"/>
  <c r="BT173" i="30"/>
  <c r="BQ73" i="30"/>
  <c r="BQ107" i="30"/>
  <c r="BQ154" i="30"/>
  <c r="BQ203" i="30"/>
  <c r="BQ89" i="33" s="1"/>
  <c r="BQ91" i="33" s="1"/>
  <c r="BQ120" i="30"/>
  <c r="BQ29" i="30"/>
  <c r="BQ127" i="30"/>
  <c r="BQ23" i="30"/>
  <c r="BQ133" i="30"/>
  <c r="BQ44" i="30"/>
  <c r="BQ59" i="30"/>
  <c r="BQ61" i="30"/>
  <c r="BQ45" i="32" s="1"/>
  <c r="BQ192" i="30"/>
  <c r="BQ79" i="33" s="1"/>
  <c r="BQ81" i="33" s="1"/>
  <c r="BQ173" i="30"/>
  <c r="BQ53" i="30"/>
  <c r="BR15" i="35"/>
  <c r="BR16" i="35" s="1"/>
  <c r="BR21" i="35"/>
  <c r="BR13" i="35"/>
  <c r="BR18" i="35"/>
  <c r="BR19" i="35" s="1"/>
  <c r="BQ26" i="32"/>
  <c r="BQ25" i="35" s="1"/>
  <c r="BQ18" i="32"/>
  <c r="BQ25" i="32"/>
  <c r="BQ24" i="35" s="1"/>
  <c r="BQ15" i="32"/>
  <c r="BQ62" i="32" s="1"/>
  <c r="BQ32" i="32"/>
  <c r="BP15" i="32"/>
  <c r="BP62" i="32" s="1"/>
  <c r="BP32" i="32"/>
  <c r="BP25" i="32"/>
  <c r="BP18" i="32"/>
  <c r="BP26" i="32"/>
  <c r="BP15" i="35"/>
  <c r="BP16" i="35" s="1"/>
  <c r="BP18" i="35"/>
  <c r="BP19" i="35" s="1"/>
  <c r="BP21" i="35"/>
  <c r="BP13" i="35"/>
  <c r="BV15" i="35"/>
  <c r="BV16" i="35" s="1"/>
  <c r="BV18" i="35"/>
  <c r="BV19" i="35" s="1"/>
  <c r="BV21" i="35"/>
  <c r="BV13" i="35"/>
  <c r="BR91" i="33"/>
  <c r="BR15" i="32"/>
  <c r="BR62" i="32" s="1"/>
  <c r="BR32" i="32"/>
  <c r="BR25" i="32"/>
  <c r="BR24" i="35" s="1"/>
  <c r="BR18" i="32"/>
  <c r="BR26" i="32"/>
  <c r="BR25" i="35" s="1"/>
  <c r="BW59" i="30"/>
  <c r="BW73" i="30"/>
  <c r="BW107" i="30"/>
  <c r="BW192" i="30"/>
  <c r="BW79" i="33" s="1"/>
  <c r="BW81" i="33" s="1"/>
  <c r="BW127" i="30"/>
  <c r="BW173" i="30"/>
  <c r="BW154" i="30"/>
  <c r="BW29" i="30"/>
  <c r="BW44" i="30"/>
  <c r="BW133" i="30"/>
  <c r="BW23" i="30"/>
  <c r="BW61" i="30"/>
  <c r="BW45" i="32" s="1"/>
  <c r="BW203" i="30"/>
  <c r="BW89" i="33" s="1"/>
  <c r="BW91" i="33" s="1"/>
  <c r="BW120" i="30"/>
  <c r="BW53" i="30"/>
  <c r="BS25" i="32"/>
  <c r="BS24" i="35" s="1"/>
  <c r="BS18" i="32"/>
  <c r="BS15" i="32"/>
  <c r="BS62" i="32" s="1"/>
  <c r="BS26" i="32"/>
  <c r="BS25" i="35" s="1"/>
  <c r="BS32" i="32"/>
  <c r="BV59" i="30"/>
  <c r="BV107" i="30"/>
  <c r="BV73" i="30"/>
  <c r="BV203" i="30"/>
  <c r="BV89" i="33" s="1"/>
  <c r="BV91" i="33" s="1"/>
  <c r="BV192" i="30"/>
  <c r="BV79" i="33" s="1"/>
  <c r="BV81" i="33" s="1"/>
  <c r="BV133" i="30"/>
  <c r="BV44" i="30"/>
  <c r="BV61" i="30"/>
  <c r="BV45" i="32" s="1"/>
  <c r="BV154" i="30"/>
  <c r="BV127" i="30"/>
  <c r="BV173" i="30"/>
  <c r="BV29" i="30"/>
  <c r="BV120" i="30"/>
  <c r="BV53" i="30"/>
  <c r="BV23" i="30"/>
  <c r="BU107" i="30"/>
  <c r="BU61" i="30"/>
  <c r="BU45" i="32" s="1"/>
  <c r="BU73" i="30"/>
  <c r="BU59" i="30"/>
  <c r="BU192" i="30"/>
  <c r="BU79" i="33" s="1"/>
  <c r="BU81" i="33" s="1"/>
  <c r="BU203" i="30"/>
  <c r="BU89" i="33" s="1"/>
  <c r="BU91" i="33" s="1"/>
  <c r="BU173" i="30"/>
  <c r="BU133" i="30"/>
  <c r="BU29" i="30"/>
  <c r="BU53" i="30"/>
  <c r="BU44" i="30"/>
  <c r="BU154" i="30"/>
  <c r="BU120" i="30"/>
  <c r="BU127" i="30"/>
  <c r="BU23" i="30"/>
  <c r="BU26" i="32"/>
  <c r="BU25" i="35" s="1"/>
  <c r="BU25" i="32"/>
  <c r="BU24" i="35" s="1"/>
  <c r="BU32" i="32"/>
  <c r="BU15" i="32"/>
  <c r="BU62" i="32" s="1"/>
  <c r="BU18" i="32"/>
  <c r="BW25" i="32"/>
  <c r="BW24" i="35" s="1"/>
  <c r="BW26" i="32"/>
  <c r="BW25" i="35" s="1"/>
  <c r="BW32" i="32"/>
  <c r="BW15" i="32"/>
  <c r="BW62" i="32" s="1"/>
  <c r="BW18" i="32"/>
  <c r="BV26" i="32"/>
  <c r="BV25" i="35" s="1"/>
  <c r="BV25" i="32"/>
  <c r="BV24" i="35" s="1"/>
  <c r="BV32" i="32"/>
  <c r="BV15" i="32"/>
  <c r="BV62" i="32" s="1"/>
  <c r="BV18" i="32"/>
  <c r="BU18" i="35"/>
  <c r="BU19" i="35" s="1"/>
  <c r="BU21" i="35"/>
  <c r="BU15" i="35"/>
  <c r="BU16" i="35" s="1"/>
  <c r="BU13" i="35"/>
  <c r="BS31" i="30" l="1"/>
  <c r="BS35" i="30" s="1"/>
  <c r="BS37" i="30" s="1"/>
  <c r="BS51" i="32"/>
  <c r="BS55" i="32"/>
  <c r="BS50" i="32"/>
  <c r="BS56" i="32"/>
  <c r="BS54" i="32"/>
  <c r="BS53" i="32"/>
  <c r="BS52" i="32"/>
  <c r="BR50" i="32"/>
  <c r="BR54" i="32"/>
  <c r="BR53" i="32"/>
  <c r="BR55" i="32"/>
  <c r="BR52" i="32"/>
  <c r="BR56" i="32"/>
  <c r="BR51" i="32"/>
  <c r="BS39" i="32"/>
  <c r="BR39" i="32"/>
  <c r="BP14" i="32"/>
  <c r="BP31" i="30"/>
  <c r="BP35" i="30" s="1"/>
  <c r="BP37" i="30" s="1"/>
  <c r="BU14" i="32"/>
  <c r="BU31" i="30"/>
  <c r="BU35" i="30" s="1"/>
  <c r="BU37" i="30" s="1"/>
  <c r="BS59" i="32"/>
  <c r="BS46" i="32"/>
  <c r="BS65" i="32"/>
  <c r="BS66" i="32"/>
  <c r="BS40" i="32"/>
  <c r="BS34" i="32"/>
  <c r="BS33" i="32"/>
  <c r="BP24" i="35"/>
  <c r="BV14" i="32"/>
  <c r="BV31" i="30"/>
  <c r="BV35" i="30" s="1"/>
  <c r="BV37" i="30" s="1"/>
  <c r="BW14" i="32"/>
  <c r="BW31" i="30"/>
  <c r="BW35" i="30" s="1"/>
  <c r="BW37" i="30" s="1"/>
  <c r="BS49" i="32"/>
  <c r="BQ14" i="32"/>
  <c r="BQ31" i="30"/>
  <c r="BQ35" i="30" s="1"/>
  <c r="BQ37" i="30" s="1"/>
  <c r="BR46" i="30"/>
  <c r="BR43" i="32"/>
  <c r="BR44" i="32" s="1"/>
  <c r="BP25" i="35"/>
  <c r="BT31" i="30"/>
  <c r="BT35" i="30" s="1"/>
  <c r="BT37" i="30" s="1"/>
  <c r="BT14" i="32"/>
  <c r="BR33" i="32"/>
  <c r="BR66" i="32"/>
  <c r="BR40" i="32"/>
  <c r="BR34" i="32"/>
  <c r="BR65" i="32"/>
  <c r="BR46" i="32"/>
  <c r="BR59" i="32"/>
  <c r="BS43" i="32" l="1"/>
  <c r="BS44" i="32" s="1"/>
  <c r="BS46" i="30"/>
  <c r="BS41" i="32" s="1"/>
  <c r="BS42" i="32" s="1"/>
  <c r="BQ53" i="32"/>
  <c r="BQ56" i="32"/>
  <c r="BQ52" i="32"/>
  <c r="BQ54" i="32"/>
  <c r="BQ51" i="32"/>
  <c r="BQ55" i="32"/>
  <c r="BQ50" i="32"/>
  <c r="BV50" i="32"/>
  <c r="BV54" i="32"/>
  <c r="BV51" i="32"/>
  <c r="BV53" i="32"/>
  <c r="BV52" i="32"/>
  <c r="BV56" i="32"/>
  <c r="BV55" i="32"/>
  <c r="BP52" i="32"/>
  <c r="BP56" i="32"/>
  <c r="BP51" i="32"/>
  <c r="BP55" i="32"/>
  <c r="BP53" i="32"/>
  <c r="BP50" i="32"/>
  <c r="BP54" i="32"/>
  <c r="BT52" i="32"/>
  <c r="BT56" i="32"/>
  <c r="BT55" i="32"/>
  <c r="BT53" i="32"/>
  <c r="BT51" i="32"/>
  <c r="BT50" i="32"/>
  <c r="BT54" i="32"/>
  <c r="BW51" i="32"/>
  <c r="BW55" i="32"/>
  <c r="BW50" i="32"/>
  <c r="BW54" i="32"/>
  <c r="BW52" i="32"/>
  <c r="BW53" i="32"/>
  <c r="BW56" i="32"/>
  <c r="BU53" i="32"/>
  <c r="BU52" i="32"/>
  <c r="BU50" i="32"/>
  <c r="BU54" i="32"/>
  <c r="BU56" i="32"/>
  <c r="BU51" i="32"/>
  <c r="BU55" i="32"/>
  <c r="BV39" i="32"/>
  <c r="BT39" i="32"/>
  <c r="BP39" i="32"/>
  <c r="BW39" i="32"/>
  <c r="BQ39" i="32"/>
  <c r="BT49" i="32"/>
  <c r="BT33" i="32"/>
  <c r="BT46" i="32"/>
  <c r="BT40" i="32"/>
  <c r="BT34" i="32"/>
  <c r="BT66" i="32"/>
  <c r="BT59" i="32"/>
  <c r="BT65" i="32"/>
  <c r="BU49" i="32"/>
  <c r="BR55" i="30"/>
  <c r="BR57" i="30" s="1"/>
  <c r="BR41" i="32"/>
  <c r="BR42" i="32" s="1"/>
  <c r="BR54" i="33"/>
  <c r="BR144" i="30"/>
  <c r="BR177" i="30" s="1"/>
  <c r="BU46" i="30"/>
  <c r="BU43" i="32"/>
  <c r="BU44" i="32" s="1"/>
  <c r="BP43" i="32"/>
  <c r="BP44" i="32" s="1"/>
  <c r="BP46" i="30"/>
  <c r="BT43" i="32"/>
  <c r="BT44" i="32" s="1"/>
  <c r="BT46" i="30"/>
  <c r="BQ43" i="32"/>
  <c r="BQ44" i="32" s="1"/>
  <c r="BQ46" i="30"/>
  <c r="BW46" i="30"/>
  <c r="BW43" i="32"/>
  <c r="BW44" i="32" s="1"/>
  <c r="BV43" i="32"/>
  <c r="BV44" i="32" s="1"/>
  <c r="BV46" i="30"/>
  <c r="BU40" i="32"/>
  <c r="BU34" i="32"/>
  <c r="BU59" i="32"/>
  <c r="BU65" i="32"/>
  <c r="BU46" i="32"/>
  <c r="BU33" i="32"/>
  <c r="BU66" i="32"/>
  <c r="BV49" i="32"/>
  <c r="BP66" i="32"/>
  <c r="BP33" i="32"/>
  <c r="BP46" i="32"/>
  <c r="BP59" i="32"/>
  <c r="BP65" i="32"/>
  <c r="BP34" i="32"/>
  <c r="BP40" i="32"/>
  <c r="BP49" i="32"/>
  <c r="BQ49" i="32"/>
  <c r="BQ66" i="32"/>
  <c r="BQ33" i="32"/>
  <c r="BQ40" i="32"/>
  <c r="BQ34" i="32"/>
  <c r="BQ59" i="32"/>
  <c r="BQ46" i="32"/>
  <c r="BQ65" i="32"/>
  <c r="BR49" i="32"/>
  <c r="BW34" i="32"/>
  <c r="BW66" i="32"/>
  <c r="BW65" i="32"/>
  <c r="BW46" i="32"/>
  <c r="BW59" i="32"/>
  <c r="BW40" i="32"/>
  <c r="BW33" i="32"/>
  <c r="BV65" i="32"/>
  <c r="BV34" i="32"/>
  <c r="BV59" i="32"/>
  <c r="BV66" i="32"/>
  <c r="BV33" i="32"/>
  <c r="BV40" i="32"/>
  <c r="BV46" i="32"/>
  <c r="BW49" i="32"/>
  <c r="BU39" i="32"/>
  <c r="BS54" i="33" l="1"/>
  <c r="BS144" i="30"/>
  <c r="BS177" i="30" s="1"/>
  <c r="BS82" i="35" s="1"/>
  <c r="BS55" i="30"/>
  <c r="BS57" i="30" s="1"/>
  <c r="BP55" i="30"/>
  <c r="BP57" i="30" s="1"/>
  <c r="BP41" i="32"/>
  <c r="BP42" i="32" s="1"/>
  <c r="BP54" i="33"/>
  <c r="BP144" i="30"/>
  <c r="BP177" i="30" s="1"/>
  <c r="BU41" i="32"/>
  <c r="BU42" i="32" s="1"/>
  <c r="BU144" i="30"/>
  <c r="BU177" i="30" s="1"/>
  <c r="BU54" i="33"/>
  <c r="BU55" i="30"/>
  <c r="BU57" i="30" s="1"/>
  <c r="BV54" i="33"/>
  <c r="BV55" i="30"/>
  <c r="BV57" i="30" s="1"/>
  <c r="BV41" i="32"/>
  <c r="BV42" i="32" s="1"/>
  <c r="BV144" i="30"/>
  <c r="BV177" i="30" s="1"/>
  <c r="BW55" i="30"/>
  <c r="BW57" i="30" s="1"/>
  <c r="BW41" i="32"/>
  <c r="BW42" i="32" s="1"/>
  <c r="BW54" i="33"/>
  <c r="BW144" i="30"/>
  <c r="BW177" i="30" s="1"/>
  <c r="BT55" i="30"/>
  <c r="BT57" i="30" s="1"/>
  <c r="BT54" i="33"/>
  <c r="BT41" i="32"/>
  <c r="BT42" i="32" s="1"/>
  <c r="BT144" i="30"/>
  <c r="BT177" i="30" s="1"/>
  <c r="BR37" i="32"/>
  <c r="BR38" i="32" s="1"/>
  <c r="BQ144" i="30"/>
  <c r="BQ177" i="30" s="1"/>
  <c r="BQ41" i="32"/>
  <c r="BQ42" i="32" s="1"/>
  <c r="BQ54" i="33"/>
  <c r="BQ55" i="30"/>
  <c r="BQ57" i="30" s="1"/>
  <c r="BR68" i="33"/>
  <c r="BR70" i="33" s="1"/>
  <c r="BR205" i="30"/>
  <c r="BR93" i="33" s="1"/>
  <c r="BR27" i="32"/>
  <c r="BR28" i="32" s="1"/>
  <c r="BR82" i="35"/>
  <c r="BR31" i="32"/>
  <c r="BS205" i="30" l="1"/>
  <c r="BS93" i="33" s="1"/>
  <c r="BS27" i="32"/>
  <c r="BS28" i="32" s="1"/>
  <c r="BS68" i="33"/>
  <c r="BS70" i="33" s="1"/>
  <c r="BS31" i="32"/>
  <c r="BS338" i="3" s="1"/>
  <c r="BS37" i="32"/>
  <c r="BS38" i="32" s="1"/>
  <c r="BR95" i="33"/>
  <c r="BV37" i="32"/>
  <c r="BV38" i="32" s="1"/>
  <c r="BU82" i="35"/>
  <c r="BU27" i="32"/>
  <c r="BU28" i="32" s="1"/>
  <c r="BU68" i="33"/>
  <c r="BU70" i="33" s="1"/>
  <c r="BU205" i="30"/>
  <c r="BU93" i="33" s="1"/>
  <c r="BU31" i="32"/>
  <c r="BT37" i="32"/>
  <c r="BT38" i="32" s="1"/>
  <c r="BW37" i="32"/>
  <c r="BW38" i="32" s="1"/>
  <c r="BP37" i="32"/>
  <c r="BP38" i="32" s="1"/>
  <c r="BQ68" i="33"/>
  <c r="BQ70" i="33" s="1"/>
  <c r="BQ205" i="30"/>
  <c r="BQ93" i="33" s="1"/>
  <c r="BQ27" i="32"/>
  <c r="BQ28" i="32" s="1"/>
  <c r="BQ82" i="35"/>
  <c r="BQ31" i="32"/>
  <c r="BT68" i="33"/>
  <c r="BT70" i="33" s="1"/>
  <c r="BT27" i="32"/>
  <c r="BT28" i="32" s="1"/>
  <c r="BT82" i="35"/>
  <c r="BT205" i="30"/>
  <c r="BT93" i="33" s="1"/>
  <c r="BT31" i="32"/>
  <c r="BW205" i="30"/>
  <c r="BW93" i="33" s="1"/>
  <c r="BW82" i="35"/>
  <c r="BW27" i="32"/>
  <c r="BW28" i="32" s="1"/>
  <c r="BW68" i="33"/>
  <c r="BW70" i="33" s="1"/>
  <c r="BW31" i="32"/>
  <c r="BV82" i="35"/>
  <c r="BV31" i="32"/>
  <c r="BV27" i="32"/>
  <c r="BV28" i="32" s="1"/>
  <c r="BV68" i="33"/>
  <c r="BV70" i="33" s="1"/>
  <c r="BV205" i="30"/>
  <c r="BV93" i="33" s="1"/>
  <c r="BU37" i="32"/>
  <c r="BU38" i="32" s="1"/>
  <c r="BP31" i="32"/>
  <c r="BP205" i="30"/>
  <c r="BP82" i="35"/>
  <c r="BP68" i="33"/>
  <c r="BP70" i="33" s="1"/>
  <c r="BP27" i="32"/>
  <c r="BP28" i="32" s="1"/>
  <c r="BR337" i="3"/>
  <c r="BR336" i="3"/>
  <c r="BR327" i="3"/>
  <c r="BR323" i="3"/>
  <c r="BR330" i="3"/>
  <c r="BR335" i="3"/>
  <c r="BR332" i="3"/>
  <c r="BR339" i="3"/>
  <c r="BR325" i="3"/>
  <c r="BR328" i="3"/>
  <c r="BR340" i="3"/>
  <c r="BR341" i="3"/>
  <c r="BR334" i="3"/>
  <c r="BR329" i="3"/>
  <c r="BR324" i="3"/>
  <c r="BR342" i="3"/>
  <c r="BR333" i="3"/>
  <c r="BR326" i="3"/>
  <c r="BR331" i="3"/>
  <c r="BR338" i="3"/>
  <c r="BQ37" i="32"/>
  <c r="BQ38" i="32" s="1"/>
  <c r="BS326" i="3" l="1"/>
  <c r="BS331" i="3"/>
  <c r="BS332" i="3"/>
  <c r="BS323" i="3"/>
  <c r="BS337" i="3"/>
  <c r="BS328" i="3"/>
  <c r="BS339" i="3"/>
  <c r="BS327" i="3"/>
  <c r="BS335" i="3"/>
  <c r="BS329" i="3"/>
  <c r="BS342" i="3"/>
  <c r="BS325" i="3"/>
  <c r="BS334" i="3"/>
  <c r="BS324" i="3"/>
  <c r="BS333" i="3"/>
  <c r="BS341" i="3"/>
  <c r="BS330" i="3"/>
  <c r="BS336" i="3"/>
  <c r="BS340" i="3"/>
  <c r="BS95" i="33"/>
  <c r="BU95" i="33"/>
  <c r="BT95" i="33"/>
  <c r="BV95" i="33"/>
  <c r="BQ95" i="33"/>
  <c r="BT323" i="3"/>
  <c r="BT325" i="3"/>
  <c r="BT332" i="3"/>
  <c r="BT340" i="3"/>
  <c r="BT333" i="3"/>
  <c r="BT336" i="3"/>
  <c r="BT339" i="3"/>
  <c r="BT335" i="3"/>
  <c r="BT326" i="3"/>
  <c r="BT341" i="3"/>
  <c r="BT338" i="3"/>
  <c r="BT342" i="3"/>
  <c r="BT329" i="3"/>
  <c r="BT327" i="3"/>
  <c r="BT330" i="3"/>
  <c r="BT337" i="3"/>
  <c r="BT331" i="3"/>
  <c r="BT324" i="3"/>
  <c r="BT334" i="3"/>
  <c r="BT328" i="3"/>
  <c r="BV330" i="3"/>
  <c r="BV331" i="3"/>
  <c r="BV335" i="3"/>
  <c r="BV327" i="3"/>
  <c r="BV337" i="3"/>
  <c r="BV342" i="3"/>
  <c r="BV324" i="3"/>
  <c r="BV338" i="3"/>
  <c r="BV328" i="3"/>
  <c r="BV334" i="3"/>
  <c r="BV336" i="3"/>
  <c r="BV329" i="3"/>
  <c r="BV323" i="3"/>
  <c r="BV339" i="3"/>
  <c r="BV341" i="3"/>
  <c r="BV332" i="3"/>
  <c r="BV325" i="3"/>
  <c r="BV340" i="3"/>
  <c r="BV326" i="3"/>
  <c r="BV333" i="3"/>
  <c r="BQ325" i="3"/>
  <c r="BQ330" i="3"/>
  <c r="BQ338" i="3"/>
  <c r="BQ334" i="3"/>
  <c r="BQ333" i="3"/>
  <c r="BQ328" i="3"/>
  <c r="BQ337" i="3"/>
  <c r="BQ331" i="3"/>
  <c r="BQ340" i="3"/>
  <c r="BQ323" i="3"/>
  <c r="BQ326" i="3"/>
  <c r="BQ339" i="3"/>
  <c r="BQ336" i="3"/>
  <c r="BQ342" i="3"/>
  <c r="BQ341" i="3"/>
  <c r="BQ324" i="3"/>
  <c r="BQ327" i="3"/>
  <c r="BQ329" i="3"/>
  <c r="BQ335" i="3"/>
  <c r="BQ332" i="3"/>
  <c r="BU336" i="3"/>
  <c r="BU330" i="3"/>
  <c r="BU329" i="3"/>
  <c r="BU334" i="3"/>
  <c r="BU323" i="3"/>
  <c r="BU328" i="3"/>
  <c r="BU339" i="3"/>
  <c r="BU340" i="3"/>
  <c r="BU335" i="3"/>
  <c r="BU332" i="3"/>
  <c r="BU331" i="3"/>
  <c r="BU341" i="3"/>
  <c r="BU326" i="3"/>
  <c r="BU337" i="3"/>
  <c r="BU338" i="3"/>
  <c r="BU333" i="3"/>
  <c r="BU325" i="3"/>
  <c r="BU342" i="3"/>
  <c r="BU324" i="3"/>
  <c r="BU327" i="3"/>
  <c r="BP93" i="33"/>
  <c r="BP95" i="33" s="1"/>
  <c r="BP209" i="30"/>
  <c r="BP342" i="3"/>
  <c r="BP329" i="3"/>
  <c r="BP332" i="3"/>
  <c r="BP333" i="3"/>
  <c r="BP340" i="3"/>
  <c r="BP337" i="3"/>
  <c r="BP326" i="3"/>
  <c r="BP339" i="3"/>
  <c r="BP341" i="3"/>
  <c r="BP336" i="3"/>
  <c r="BP331" i="3"/>
  <c r="BP338" i="3"/>
  <c r="BP330" i="3"/>
  <c r="BP325" i="3"/>
  <c r="BP335" i="3"/>
  <c r="BP327" i="3"/>
  <c r="BP324" i="3"/>
  <c r="BP328" i="3"/>
  <c r="BP334" i="3"/>
  <c r="BP323" i="3"/>
  <c r="BW333" i="3"/>
  <c r="BW332" i="3"/>
  <c r="BW336" i="3"/>
  <c r="BW326" i="3"/>
  <c r="BW328" i="3"/>
  <c r="BW337" i="3"/>
  <c r="BW325" i="3"/>
  <c r="BW342" i="3"/>
  <c r="BW334" i="3"/>
  <c r="BW330" i="3"/>
  <c r="BW331" i="3"/>
  <c r="BW323" i="3"/>
  <c r="BW324" i="3"/>
  <c r="BW340" i="3"/>
  <c r="BW327" i="3"/>
  <c r="BW329" i="3"/>
  <c r="BW341" i="3"/>
  <c r="BW335" i="3"/>
  <c r="BW338" i="3"/>
  <c r="BW339" i="3"/>
  <c r="BW95" i="33"/>
  <c r="BP348" i="3" l="1"/>
  <c r="BP301" i="3"/>
  <c r="BP370" i="3" s="1"/>
  <c r="BP346" i="3"/>
  <c r="BP300" i="3"/>
  <c r="BP369" i="3" s="1"/>
  <c r="BP309" i="3"/>
  <c r="BP378" i="3" s="1"/>
  <c r="BP347" i="3"/>
  <c r="BP317" i="3"/>
  <c r="BP386" i="3" s="1"/>
  <c r="BP307" i="3"/>
  <c r="BP376" i="3" s="1"/>
  <c r="BP97" i="33"/>
  <c r="BP351" i="3"/>
  <c r="BP353" i="3"/>
  <c r="BP355" i="3"/>
  <c r="BP311" i="3"/>
  <c r="BP380" i="3" s="1"/>
  <c r="BP360" i="3"/>
  <c r="BP319" i="3"/>
  <c r="BP388" i="3" s="1"/>
  <c r="BP364" i="3"/>
  <c r="BP354" i="3"/>
  <c r="BP363" i="3"/>
  <c r="BP356" i="3"/>
  <c r="BP302" i="3"/>
  <c r="BP371" i="3" s="1"/>
  <c r="BP352" i="3"/>
  <c r="BP357" i="3"/>
  <c r="BP359" i="3"/>
  <c r="BP306" i="3"/>
  <c r="BP375" i="3" s="1"/>
  <c r="BP310" i="3"/>
  <c r="BP379" i="3" s="1"/>
  <c r="BP349" i="3"/>
  <c r="BP361" i="3"/>
  <c r="BP312" i="3"/>
  <c r="BP381" i="3" s="1"/>
  <c r="BP318" i="3"/>
  <c r="BP387" i="3" s="1"/>
  <c r="BP308" i="3"/>
  <c r="BP377" i="3" s="1"/>
  <c r="BP350" i="3"/>
  <c r="BP316" i="3"/>
  <c r="BP385" i="3" s="1"/>
  <c r="BP304" i="3"/>
  <c r="BP373" i="3" s="1"/>
  <c r="BP358" i="3"/>
  <c r="BP362" i="3"/>
  <c r="BP305" i="3"/>
  <c r="BP374" i="3" s="1"/>
  <c r="BP315" i="3"/>
  <c r="BP384" i="3" s="1"/>
  <c r="BP314" i="3"/>
  <c r="BP383" i="3" s="1"/>
  <c r="BP365" i="3"/>
  <c r="BP313" i="3"/>
  <c r="BP382" i="3" s="1"/>
  <c r="BP303" i="3"/>
  <c r="BP372" i="3" s="1"/>
  <c r="BQ208" i="30"/>
  <c r="BQ209" i="30" s="1"/>
  <c r="BP83" i="6"/>
  <c r="BP19" i="32" l="1"/>
  <c r="BP20" i="32" s="1"/>
  <c r="BP84" i="30"/>
  <c r="BP86" i="30" s="1"/>
  <c r="BP14" i="6"/>
  <c r="BQ357" i="3"/>
  <c r="BQ363" i="3"/>
  <c r="BQ314" i="3"/>
  <c r="BQ383" i="3" s="1"/>
  <c r="BQ310" i="3"/>
  <c r="BQ379" i="3" s="1"/>
  <c r="BQ358" i="3"/>
  <c r="BQ362" i="3"/>
  <c r="BQ319" i="3"/>
  <c r="BQ388" i="3" s="1"/>
  <c r="BQ315" i="3"/>
  <c r="BQ384" i="3" s="1"/>
  <c r="BQ302" i="3"/>
  <c r="BQ371" i="3" s="1"/>
  <c r="BQ307" i="3"/>
  <c r="BQ376" i="3" s="1"/>
  <c r="BQ348" i="3"/>
  <c r="BQ317" i="3"/>
  <c r="BQ386" i="3" s="1"/>
  <c r="BQ347" i="3"/>
  <c r="BQ354" i="3"/>
  <c r="BQ309" i="3"/>
  <c r="BQ378" i="3" s="1"/>
  <c r="BQ300" i="3"/>
  <c r="BQ369" i="3" s="1"/>
  <c r="BQ349" i="3"/>
  <c r="BQ351" i="3"/>
  <c r="BQ356" i="3"/>
  <c r="BQ301" i="3"/>
  <c r="BQ370" i="3" s="1"/>
  <c r="BQ346" i="3"/>
  <c r="BQ361" i="3"/>
  <c r="BQ316" i="3"/>
  <c r="BQ385" i="3" s="1"/>
  <c r="BQ359" i="3"/>
  <c r="BQ308" i="3"/>
  <c r="BQ377" i="3" s="1"/>
  <c r="BQ303" i="3"/>
  <c r="BQ372" i="3" s="1"/>
  <c r="BQ311" i="3"/>
  <c r="BQ380" i="3" s="1"/>
  <c r="BQ312" i="3"/>
  <c r="BQ381" i="3" s="1"/>
  <c r="BQ306" i="3"/>
  <c r="BQ375" i="3" s="1"/>
  <c r="BQ97" i="33"/>
  <c r="BQ305" i="3"/>
  <c r="BQ374" i="3" s="1"/>
  <c r="BQ313" i="3"/>
  <c r="BQ382" i="3" s="1"/>
  <c r="BQ365" i="3"/>
  <c r="BQ352" i="3"/>
  <c r="BQ360" i="3"/>
  <c r="BQ364" i="3"/>
  <c r="BQ350" i="3"/>
  <c r="BQ304" i="3"/>
  <c r="BQ373" i="3" s="1"/>
  <c r="BQ318" i="3"/>
  <c r="BQ387" i="3" s="1"/>
  <c r="BQ353" i="3"/>
  <c r="BQ355" i="3"/>
  <c r="BQ83" i="6"/>
  <c r="BR208" i="30"/>
  <c r="BR209" i="30" s="1"/>
  <c r="BQ19" i="32" l="1"/>
  <c r="BQ20" i="32" s="1"/>
  <c r="BQ84" i="30"/>
  <c r="BQ86" i="30" s="1"/>
  <c r="BQ14" i="6"/>
  <c r="BP18" i="6"/>
  <c r="BP20" i="6"/>
  <c r="BR362" i="3"/>
  <c r="BR315" i="3"/>
  <c r="BR384" i="3" s="1"/>
  <c r="BR300" i="3"/>
  <c r="BR369" i="3" s="1"/>
  <c r="BR363" i="3"/>
  <c r="BR311" i="3"/>
  <c r="BR380" i="3" s="1"/>
  <c r="BR352" i="3"/>
  <c r="BR365" i="3"/>
  <c r="BR349" i="3"/>
  <c r="BR97" i="33"/>
  <c r="BR312" i="3"/>
  <c r="BR381" i="3" s="1"/>
  <c r="BR302" i="3"/>
  <c r="BR371" i="3" s="1"/>
  <c r="BR313" i="3"/>
  <c r="BR382" i="3" s="1"/>
  <c r="BR360" i="3"/>
  <c r="BR353" i="3"/>
  <c r="BR306" i="3"/>
  <c r="BR375" i="3" s="1"/>
  <c r="BR301" i="3"/>
  <c r="BR370" i="3" s="1"/>
  <c r="BR357" i="3"/>
  <c r="BR309" i="3"/>
  <c r="BR378" i="3" s="1"/>
  <c r="BR305" i="3"/>
  <c r="BR374" i="3" s="1"/>
  <c r="BR351" i="3"/>
  <c r="BR364" i="3"/>
  <c r="BR303" i="3"/>
  <c r="BR372" i="3" s="1"/>
  <c r="BR318" i="3"/>
  <c r="BR387" i="3" s="1"/>
  <c r="BR359" i="3"/>
  <c r="BR317" i="3"/>
  <c r="BR386" i="3" s="1"/>
  <c r="BR356" i="3"/>
  <c r="BR350" i="3"/>
  <c r="BR358" i="3"/>
  <c r="BR316" i="3"/>
  <c r="BR385" i="3" s="1"/>
  <c r="BR310" i="3"/>
  <c r="BR379" i="3" s="1"/>
  <c r="BR304" i="3"/>
  <c r="BR373" i="3" s="1"/>
  <c r="BR355" i="3"/>
  <c r="BR308" i="3"/>
  <c r="BR377" i="3" s="1"/>
  <c r="BR346" i="3"/>
  <c r="BR319" i="3"/>
  <c r="BR388" i="3" s="1"/>
  <c r="BR314" i="3"/>
  <c r="BR383" i="3" s="1"/>
  <c r="BR361" i="3"/>
  <c r="BR347" i="3"/>
  <c r="BR307" i="3"/>
  <c r="BR376" i="3" s="1"/>
  <c r="BR354" i="3"/>
  <c r="BR348" i="3"/>
  <c r="BR83" i="6"/>
  <c r="BS208" i="30"/>
  <c r="BS209" i="30" s="1"/>
  <c r="BP23" i="32"/>
  <c r="BP109" i="30"/>
  <c r="BP111" i="30"/>
  <c r="BP135" i="30" s="1"/>
  <c r="BP22" i="32"/>
  <c r="BP100" i="33" s="1"/>
  <c r="BP23" i="35"/>
  <c r="BP99" i="33"/>
  <c r="BP51" i="35"/>
  <c r="BS313" i="3" l="1"/>
  <c r="BS382" i="3" s="1"/>
  <c r="BS350" i="3"/>
  <c r="BS304" i="3"/>
  <c r="BS373" i="3" s="1"/>
  <c r="BS360" i="3"/>
  <c r="BS346" i="3"/>
  <c r="BS309" i="3"/>
  <c r="BS378" i="3" s="1"/>
  <c r="BS312" i="3"/>
  <c r="BS381" i="3" s="1"/>
  <c r="BS348" i="3"/>
  <c r="BS318" i="3"/>
  <c r="BS387" i="3" s="1"/>
  <c r="BS97" i="33"/>
  <c r="BS361" i="3"/>
  <c r="BS302" i="3"/>
  <c r="BS371" i="3" s="1"/>
  <c r="BS315" i="3"/>
  <c r="BS384" i="3" s="1"/>
  <c r="BS311" i="3"/>
  <c r="BS380" i="3" s="1"/>
  <c r="BS353" i="3"/>
  <c r="BS305" i="3"/>
  <c r="BS374" i="3" s="1"/>
  <c r="BS355" i="3"/>
  <c r="BS317" i="3"/>
  <c r="BS386" i="3" s="1"/>
  <c r="BS300" i="3"/>
  <c r="BS369" i="3" s="1"/>
  <c r="BS316" i="3"/>
  <c r="BS385" i="3" s="1"/>
  <c r="BS301" i="3"/>
  <c r="BS370" i="3" s="1"/>
  <c r="BS358" i="3"/>
  <c r="BS303" i="3"/>
  <c r="BS372" i="3" s="1"/>
  <c r="BS308" i="3"/>
  <c r="BS377" i="3" s="1"/>
  <c r="BS359" i="3"/>
  <c r="BS354" i="3"/>
  <c r="BS314" i="3"/>
  <c r="BS383" i="3" s="1"/>
  <c r="BS363" i="3"/>
  <c r="BS307" i="3"/>
  <c r="BS376" i="3" s="1"/>
  <c r="BS310" i="3"/>
  <c r="BS379" i="3" s="1"/>
  <c r="BS349" i="3"/>
  <c r="BS362" i="3"/>
  <c r="BS357" i="3"/>
  <c r="BS365" i="3"/>
  <c r="BS352" i="3"/>
  <c r="BS356" i="3"/>
  <c r="BS319" i="3"/>
  <c r="BS388" i="3" s="1"/>
  <c r="BS364" i="3"/>
  <c r="BS306" i="3"/>
  <c r="BS375" i="3" s="1"/>
  <c r="BS351" i="3"/>
  <c r="BS347" i="3"/>
  <c r="BS83" i="6"/>
  <c r="BT208" i="30"/>
  <c r="BT209" i="30" s="1"/>
  <c r="BP137" i="30"/>
  <c r="BP139" i="30"/>
  <c r="BR19" i="32"/>
  <c r="BR20" i="32" s="1"/>
  <c r="BR84" i="30"/>
  <c r="BR86" i="30" s="1"/>
  <c r="BR14" i="6"/>
  <c r="BQ20" i="6"/>
  <c r="BQ18" i="6"/>
  <c r="BQ109" i="30"/>
  <c r="BQ23" i="32"/>
  <c r="BQ22" i="32"/>
  <c r="BQ100" i="33" s="1"/>
  <c r="BQ111" i="30"/>
  <c r="BQ135" i="30" s="1"/>
  <c r="BQ51" i="35"/>
  <c r="BQ23" i="35"/>
  <c r="BQ99" i="33"/>
  <c r="BR20" i="6" l="1"/>
  <c r="BR18" i="6"/>
  <c r="BT362" i="3"/>
  <c r="BT358" i="3"/>
  <c r="BT303" i="3"/>
  <c r="BT372" i="3" s="1"/>
  <c r="BT302" i="3"/>
  <c r="BT371" i="3" s="1"/>
  <c r="BT357" i="3"/>
  <c r="BT365" i="3"/>
  <c r="BT359" i="3"/>
  <c r="BT355" i="3"/>
  <c r="BT348" i="3"/>
  <c r="BT312" i="3"/>
  <c r="BT381" i="3" s="1"/>
  <c r="BT347" i="3"/>
  <c r="BT315" i="3"/>
  <c r="BT384" i="3" s="1"/>
  <c r="BT309" i="3"/>
  <c r="BT378" i="3" s="1"/>
  <c r="BT360" i="3"/>
  <c r="BT318" i="3"/>
  <c r="BT387" i="3" s="1"/>
  <c r="BT364" i="3"/>
  <c r="BT305" i="3"/>
  <c r="BT374" i="3" s="1"/>
  <c r="BT307" i="3"/>
  <c r="BT376" i="3" s="1"/>
  <c r="BT304" i="3"/>
  <c r="BT373" i="3" s="1"/>
  <c r="BT313" i="3"/>
  <c r="BT382" i="3" s="1"/>
  <c r="BT349" i="3"/>
  <c r="BT97" i="33"/>
  <c r="BT363" i="3"/>
  <c r="BT316" i="3"/>
  <c r="BT385" i="3" s="1"/>
  <c r="BT311" i="3"/>
  <c r="BT380" i="3" s="1"/>
  <c r="BT319" i="3"/>
  <c r="BT388" i="3" s="1"/>
  <c r="BT317" i="3"/>
  <c r="BT386" i="3" s="1"/>
  <c r="BT300" i="3"/>
  <c r="BT369" i="3" s="1"/>
  <c r="BT361" i="3"/>
  <c r="BT310" i="3"/>
  <c r="BT379" i="3" s="1"/>
  <c r="BT346" i="3"/>
  <c r="BT306" i="3"/>
  <c r="BT375" i="3" s="1"/>
  <c r="BT301" i="3"/>
  <c r="BT370" i="3" s="1"/>
  <c r="BT353" i="3"/>
  <c r="BT351" i="3"/>
  <c r="BT356" i="3"/>
  <c r="BT314" i="3"/>
  <c r="BT383" i="3" s="1"/>
  <c r="BT350" i="3"/>
  <c r="BT352" i="3"/>
  <c r="BT308" i="3"/>
  <c r="BT377" i="3" s="1"/>
  <c r="BT354" i="3"/>
  <c r="BU208" i="30"/>
  <c r="BU209" i="30" s="1"/>
  <c r="BT83" i="6"/>
  <c r="BQ139" i="30"/>
  <c r="BQ137" i="30"/>
  <c r="BR23" i="35"/>
  <c r="BR51" i="35"/>
  <c r="BR99" i="33"/>
  <c r="BS84" i="30"/>
  <c r="BS86" i="30" s="1"/>
  <c r="BS19" i="32"/>
  <c r="BS20" i="32" s="1"/>
  <c r="BS14" i="6"/>
  <c r="BR23" i="32"/>
  <c r="BR109" i="30"/>
  <c r="BR111" i="30"/>
  <c r="BR135" i="30" s="1"/>
  <c r="BR22" i="32"/>
  <c r="BR100" i="33" s="1"/>
  <c r="BS23" i="32" l="1"/>
  <c r="BS109" i="30"/>
  <c r="BS22" i="32"/>
  <c r="BS100" i="33" s="1"/>
  <c r="BS111" i="30"/>
  <c r="BS135" i="30" s="1"/>
  <c r="BS51" i="35"/>
  <c r="BS99" i="33"/>
  <c r="BS23" i="35"/>
  <c r="BT84" i="30"/>
  <c r="BT86" i="30" s="1"/>
  <c r="BT19" i="32"/>
  <c r="BT20" i="32" s="1"/>
  <c r="BT14" i="6"/>
  <c r="BU300" i="3"/>
  <c r="BU369" i="3" s="1"/>
  <c r="BU346" i="3"/>
  <c r="BU364" i="3"/>
  <c r="BU307" i="3"/>
  <c r="BU376" i="3" s="1"/>
  <c r="BU347" i="3"/>
  <c r="BU349" i="3"/>
  <c r="BU316" i="3"/>
  <c r="BU385" i="3" s="1"/>
  <c r="BU97" i="33"/>
  <c r="BU348" i="3"/>
  <c r="BU305" i="3"/>
  <c r="BU374" i="3" s="1"/>
  <c r="BU312" i="3"/>
  <c r="BU381" i="3" s="1"/>
  <c r="BU303" i="3"/>
  <c r="BU372" i="3" s="1"/>
  <c r="BU311" i="3"/>
  <c r="BU380" i="3" s="1"/>
  <c r="BU353" i="3"/>
  <c r="BU318" i="3"/>
  <c r="BU387" i="3" s="1"/>
  <c r="BU356" i="3"/>
  <c r="BU355" i="3"/>
  <c r="BU359" i="3"/>
  <c r="BU310" i="3"/>
  <c r="BU379" i="3" s="1"/>
  <c r="BU304" i="3"/>
  <c r="BU373" i="3" s="1"/>
  <c r="BU314" i="3"/>
  <c r="BU383" i="3" s="1"/>
  <c r="BU308" i="3"/>
  <c r="BU377" i="3" s="1"/>
  <c r="BU358" i="3"/>
  <c r="BU317" i="3"/>
  <c r="BU386" i="3" s="1"/>
  <c r="BU319" i="3"/>
  <c r="BU388" i="3" s="1"/>
  <c r="BU357" i="3"/>
  <c r="BU350" i="3"/>
  <c r="BU313" i="3"/>
  <c r="BU382" i="3" s="1"/>
  <c r="BU360" i="3"/>
  <c r="BU309" i="3"/>
  <c r="BU378" i="3" s="1"/>
  <c r="BU361" i="3"/>
  <c r="BU354" i="3"/>
  <c r="BU352" i="3"/>
  <c r="BU315" i="3"/>
  <c r="BU384" i="3" s="1"/>
  <c r="BU362" i="3"/>
  <c r="BU301" i="3"/>
  <c r="BU370" i="3" s="1"/>
  <c r="BU306" i="3"/>
  <c r="BU375" i="3" s="1"/>
  <c r="BU365" i="3"/>
  <c r="BU351" i="3"/>
  <c r="BU302" i="3"/>
  <c r="BU371" i="3" s="1"/>
  <c r="BU363" i="3"/>
  <c r="BV208" i="30"/>
  <c r="BV209" i="30" s="1"/>
  <c r="BU83" i="6"/>
  <c r="BR139" i="30"/>
  <c r="BR137" i="30"/>
  <c r="BS20" i="6"/>
  <c r="BS18" i="6"/>
  <c r="BT20" i="6" l="1"/>
  <c r="BT18" i="6"/>
  <c r="BU19" i="32"/>
  <c r="BU20" i="32" s="1"/>
  <c r="BU84" i="30"/>
  <c r="BU86" i="30" s="1"/>
  <c r="BU14" i="6"/>
  <c r="BT99" i="33"/>
  <c r="BT23" i="35"/>
  <c r="BT51" i="35"/>
  <c r="BV315" i="3"/>
  <c r="BV384" i="3" s="1"/>
  <c r="BV361" i="3"/>
  <c r="BV357" i="3"/>
  <c r="BV308" i="3"/>
  <c r="BV377" i="3" s="1"/>
  <c r="BV349" i="3"/>
  <c r="BV364" i="3"/>
  <c r="BV365" i="3"/>
  <c r="BV97" i="33"/>
  <c r="BV363" i="3"/>
  <c r="BV303" i="3"/>
  <c r="BV372" i="3" s="1"/>
  <c r="BV350" i="3"/>
  <c r="BV346" i="3"/>
  <c r="BV353" i="3"/>
  <c r="BV358" i="3"/>
  <c r="BV359" i="3"/>
  <c r="BV314" i="3"/>
  <c r="BV383" i="3" s="1"/>
  <c r="BV305" i="3"/>
  <c r="BV374" i="3" s="1"/>
  <c r="BV311" i="3"/>
  <c r="BV380" i="3" s="1"/>
  <c r="BV316" i="3"/>
  <c r="BV385" i="3" s="1"/>
  <c r="BV312" i="3"/>
  <c r="BV381" i="3" s="1"/>
  <c r="BV317" i="3"/>
  <c r="BV386" i="3" s="1"/>
  <c r="BV306" i="3"/>
  <c r="BV375" i="3" s="1"/>
  <c r="BV318" i="3"/>
  <c r="BV387" i="3" s="1"/>
  <c r="BV310" i="3"/>
  <c r="BV379" i="3" s="1"/>
  <c r="BV351" i="3"/>
  <c r="BV304" i="3"/>
  <c r="BV373" i="3" s="1"/>
  <c r="BV313" i="3"/>
  <c r="BV382" i="3" s="1"/>
  <c r="BV352" i="3"/>
  <c r="BV355" i="3"/>
  <c r="BV319" i="3"/>
  <c r="BV388" i="3" s="1"/>
  <c r="BV348" i="3"/>
  <c r="BV301" i="3"/>
  <c r="BV370" i="3" s="1"/>
  <c r="BV309" i="3"/>
  <c r="BV378" i="3" s="1"/>
  <c r="BV362" i="3"/>
  <c r="BV354" i="3"/>
  <c r="BV302" i="3"/>
  <c r="BV371" i="3" s="1"/>
  <c r="BV356" i="3"/>
  <c r="BV300" i="3"/>
  <c r="BV369" i="3" s="1"/>
  <c r="BV347" i="3"/>
  <c r="BV360" i="3"/>
  <c r="BV307" i="3"/>
  <c r="BV376" i="3" s="1"/>
  <c r="BW208" i="30"/>
  <c r="BW209" i="30" s="1"/>
  <c r="BV83" i="6"/>
  <c r="BT109" i="30"/>
  <c r="BT23" i="32"/>
  <c r="BT22" i="32"/>
  <c r="BT100" i="33" s="1"/>
  <c r="BT111" i="30"/>
  <c r="BT135" i="30" s="1"/>
  <c r="BS137" i="30"/>
  <c r="BS139" i="30"/>
  <c r="BU18" i="6" l="1"/>
  <c r="BU20" i="6"/>
  <c r="BW315" i="3"/>
  <c r="BW384" i="3" s="1"/>
  <c r="BW304" i="3"/>
  <c r="BW373" i="3" s="1"/>
  <c r="BW360" i="3"/>
  <c r="BW357" i="3"/>
  <c r="BW303" i="3"/>
  <c r="BW372" i="3" s="1"/>
  <c r="BW317" i="3"/>
  <c r="BW386" i="3" s="1"/>
  <c r="BW365" i="3"/>
  <c r="BW307" i="3"/>
  <c r="BW376" i="3" s="1"/>
  <c r="BW349" i="3"/>
  <c r="BW300" i="3"/>
  <c r="BW369" i="3" s="1"/>
  <c r="BW359" i="3"/>
  <c r="BW358" i="3"/>
  <c r="BW313" i="3"/>
  <c r="BW382" i="3" s="1"/>
  <c r="BW301" i="3"/>
  <c r="BW370" i="3" s="1"/>
  <c r="BW355" i="3"/>
  <c r="BW310" i="3"/>
  <c r="BW379" i="3" s="1"/>
  <c r="BW311" i="3"/>
  <c r="BW380" i="3" s="1"/>
  <c r="BW350" i="3"/>
  <c r="BW351" i="3"/>
  <c r="BW312" i="3"/>
  <c r="BW381" i="3" s="1"/>
  <c r="BW319" i="3"/>
  <c r="BW388" i="3" s="1"/>
  <c r="BW356" i="3"/>
  <c r="BW361" i="3"/>
  <c r="BW362" i="3"/>
  <c r="BW354" i="3"/>
  <c r="BW364" i="3"/>
  <c r="BW306" i="3"/>
  <c r="BW375" i="3" s="1"/>
  <c r="BW308" i="3"/>
  <c r="BW377" i="3" s="1"/>
  <c r="BW309" i="3"/>
  <c r="BW378" i="3" s="1"/>
  <c r="BW363" i="3"/>
  <c r="BW347" i="3"/>
  <c r="BW314" i="3"/>
  <c r="BW383" i="3" s="1"/>
  <c r="BW348" i="3"/>
  <c r="BW318" i="3"/>
  <c r="BW387" i="3" s="1"/>
  <c r="BW305" i="3"/>
  <c r="BW374" i="3" s="1"/>
  <c r="BW316" i="3"/>
  <c r="BW385" i="3" s="1"/>
  <c r="BW346" i="3"/>
  <c r="BW353" i="3"/>
  <c r="BW97" i="33"/>
  <c r="BW352" i="3"/>
  <c r="BW302" i="3"/>
  <c r="BW371" i="3" s="1"/>
  <c r="BW83" i="6"/>
  <c r="BU23" i="32"/>
  <c r="BU109" i="30"/>
  <c r="BU22" i="32"/>
  <c r="BU100" i="33" s="1"/>
  <c r="BU111" i="30"/>
  <c r="BU135" i="30" s="1"/>
  <c r="BT137" i="30"/>
  <c r="BT139" i="30"/>
  <c r="BV84" i="30"/>
  <c r="BV86" i="30" s="1"/>
  <c r="BV19" i="32"/>
  <c r="BV20" i="32" s="1"/>
  <c r="BV14" i="6"/>
  <c r="BU99" i="33"/>
  <c r="BU23" i="35"/>
  <c r="BU51" i="35"/>
  <c r="BV51" i="35" l="1"/>
  <c r="BV99" i="33"/>
  <c r="BV23" i="35"/>
  <c r="BV18" i="6"/>
  <c r="BV20" i="6"/>
  <c r="BU139" i="30"/>
  <c r="BU137" i="30"/>
  <c r="BW84" i="30"/>
  <c r="BW86" i="30" s="1"/>
  <c r="BW19" i="32"/>
  <c r="BW20" i="32" s="1"/>
  <c r="BW14" i="6"/>
  <c r="BV109" i="30"/>
  <c r="BV23" i="32"/>
  <c r="BV111" i="30"/>
  <c r="BV135" i="30" s="1"/>
  <c r="BV137" i="30" s="1"/>
  <c r="BV22" i="32"/>
  <c r="BV100" i="33" s="1"/>
  <c r="BW99" i="33" l="1"/>
  <c r="BW23" i="35"/>
  <c r="BW51" i="35"/>
  <c r="BW23" i="32"/>
  <c r="BW109" i="30"/>
  <c r="BW111" i="30"/>
  <c r="BW135" i="30" s="1"/>
  <c r="BW22" i="32"/>
  <c r="BW100" i="33" s="1"/>
  <c r="BW20" i="6"/>
  <c r="BW18" i="6"/>
  <c r="BV139" i="30"/>
  <c r="BW137" i="30" l="1"/>
  <c r="BW139" i="30"/>
  <c r="V31" i="16" l="1"/>
  <c r="V78" i="16" l="1"/>
  <c r="V79" i="16" s="1"/>
  <c r="CB79" i="16" s="1"/>
  <c r="A79" i="16" s="1" a="1"/>
  <c r="A79" i="16" s="1"/>
  <c r="A2" i="16" s="1" a="1"/>
  <c r="A2" i="16" s="1"/>
  <c r="A18" i="14" s="1"/>
  <c r="BZ29" i="16"/>
  <c r="BZ2" i="16" s="1" a="1"/>
  <c r="BZ2" i="16" s="1"/>
  <c r="V81" i="16"/>
  <c r="B18" i="14" a="1"/>
  <c r="V164" i="30" l="1"/>
  <c r="V208" i="30"/>
  <c r="V188" i="30"/>
  <c r="V75" i="33" s="1"/>
  <c r="V163" i="1"/>
  <c r="V172" i="30"/>
  <c r="BL172" i="30" s="1"/>
  <c r="CM172" i="30" s="1"/>
  <c r="CE172" i="30" s="1"/>
  <c r="A172" i="30" s="1" a="1"/>
  <c r="A172" i="30" s="1"/>
  <c r="V161" i="30"/>
  <c r="BL161" i="30" s="1"/>
  <c r="CM161" i="30" s="1"/>
  <c r="CE161" i="30" s="1"/>
  <c r="A161" i="30" s="1" a="1"/>
  <c r="A161" i="30" s="1"/>
  <c r="B18" i="14"/>
  <c r="BL164" i="30"/>
  <c r="CM164" i="30" s="1"/>
  <c r="CE164" i="30" s="1"/>
  <c r="A164" i="30" s="1" a="1"/>
  <c r="A164" i="30" s="1"/>
  <c r="V170" i="30"/>
  <c r="V187" i="30"/>
  <c r="V74" i="33" s="1"/>
  <c r="V165" i="30"/>
  <c r="V167" i="30"/>
  <c r="V158" i="30"/>
  <c r="V169" i="30"/>
  <c r="V159" i="30"/>
  <c r="V168" i="30"/>
  <c r="V162" i="30"/>
  <c r="V166" i="30"/>
  <c r="V163" i="30"/>
  <c r="V160" i="30"/>
  <c r="V157" i="30"/>
  <c r="BL163" i="1" l="1"/>
  <c r="V163" i="20"/>
  <c r="V165" i="1"/>
  <c r="V117" i="13"/>
  <c r="BL208" i="30"/>
  <c r="BL188" i="30"/>
  <c r="BL75" i="33" s="1"/>
  <c r="V64" i="33"/>
  <c r="BL159" i="30"/>
  <c r="CM159" i="30" s="1"/>
  <c r="CE159" i="30" s="1"/>
  <c r="A159" i="30" s="1" a="1"/>
  <c r="A159" i="30" s="1"/>
  <c r="BL187" i="30"/>
  <c r="BL169" i="30"/>
  <c r="CM169" i="30" s="1"/>
  <c r="CE169" i="30" s="1"/>
  <c r="A169" i="30" s="1" a="1"/>
  <c r="A169" i="30" s="1"/>
  <c r="BL170" i="30"/>
  <c r="CM170" i="30" s="1"/>
  <c r="CE170" i="30" s="1"/>
  <c r="A170" i="30" s="1" a="1"/>
  <c r="A170" i="30" s="1"/>
  <c r="BL166" i="30"/>
  <c r="CM166" i="30" s="1"/>
  <c r="CE166" i="30" s="1"/>
  <c r="A166" i="30" s="1" a="1"/>
  <c r="A166" i="30" s="1"/>
  <c r="BL157" i="30"/>
  <c r="CM157" i="30" s="1"/>
  <c r="CE157" i="30" s="1"/>
  <c r="A157" i="30" s="1" a="1"/>
  <c r="A157" i="30" s="1"/>
  <c r="V61" i="33"/>
  <c r="BL158" i="30"/>
  <c r="CM158" i="30" s="1"/>
  <c r="CE158" i="30" s="1"/>
  <c r="A158" i="30" s="1" a="1"/>
  <c r="A158" i="30" s="1"/>
  <c r="BL162" i="30"/>
  <c r="CM162" i="30" s="1"/>
  <c r="CE162" i="30" s="1"/>
  <c r="A162" i="30" s="1" a="1"/>
  <c r="A162" i="30" s="1"/>
  <c r="V63" i="33"/>
  <c r="BL167" i="30"/>
  <c r="CM167" i="30" s="1"/>
  <c r="CE167" i="30" s="1"/>
  <c r="A167" i="30" s="1" a="1"/>
  <c r="A167" i="30" s="1"/>
  <c r="V62" i="33"/>
  <c r="BL160" i="30"/>
  <c r="BL62" i="33" s="1"/>
  <c r="BL163" i="30"/>
  <c r="CM163" i="30" s="1"/>
  <c r="CE163" i="30" s="1"/>
  <c r="A163" i="30" s="1" a="1"/>
  <c r="A163" i="30" s="1"/>
  <c r="BL168" i="30"/>
  <c r="CM168" i="30" s="1"/>
  <c r="CE168" i="30" s="1"/>
  <c r="A168" i="30" s="1" a="1"/>
  <c r="A168" i="30" s="1"/>
  <c r="BL165" i="30"/>
  <c r="CM187" i="30" l="1"/>
  <c r="CE187" i="30" s="1"/>
  <c r="A187" i="30" s="1" a="1"/>
  <c r="A187" i="30" s="1"/>
  <c r="BL74" i="33"/>
  <c r="V193" i="1"/>
  <c r="V199" i="1" s="1"/>
  <c r="V175" i="1"/>
  <c r="V185" i="1" s="1"/>
  <c r="V165" i="20"/>
  <c r="CM163" i="1"/>
  <c r="CE163" i="1" s="1"/>
  <c r="A163" i="1" s="1" a="1"/>
  <c r="A163" i="1" s="1"/>
  <c r="BL163" i="20"/>
  <c r="CN163" i="20" s="1"/>
  <c r="CF163" i="20" s="1"/>
  <c r="A163" i="20" s="1" a="1"/>
  <c r="A163" i="20" s="1"/>
  <c r="BL165" i="1"/>
  <c r="CM188" i="30"/>
  <c r="CE188" i="30" s="1"/>
  <c r="A188" i="30" s="1" a="1"/>
  <c r="A188" i="30" s="1"/>
  <c r="BL64" i="33"/>
  <c r="CM160" i="30"/>
  <c r="CE160" i="30" s="1"/>
  <c r="A160" i="30" s="1" a="1"/>
  <c r="A160" i="30" s="1"/>
  <c r="CM165" i="30"/>
  <c r="CE165" i="30" s="1"/>
  <c r="A165" i="30" s="1" a="1"/>
  <c r="A165" i="30" s="1"/>
  <c r="BL63" i="33"/>
  <c r="BL61" i="33"/>
  <c r="V193" i="20" l="1"/>
  <c r="V175" i="20"/>
  <c r="CM165" i="1"/>
  <c r="CE165" i="1" s="1"/>
  <c r="A165" i="1" s="1" a="1"/>
  <c r="A165" i="1" s="1"/>
  <c r="BL193" i="1"/>
  <c r="BL175" i="1"/>
  <c r="BL34" i="30"/>
  <c r="V34" i="30" s="1"/>
  <c r="CM34" i="30" s="1"/>
  <c r="CE34" i="30" s="1"/>
  <c r="A34" i="30" s="1" a="1"/>
  <c r="A34" i="30" s="1"/>
  <c r="BL165" i="20"/>
  <c r="CN165" i="20" s="1"/>
  <c r="CF165" i="20" s="1"/>
  <c r="A165" i="20" s="1" a="1"/>
  <c r="A165" i="20" s="1"/>
  <c r="CM175" i="1" l="1"/>
  <c r="CE175" i="1" s="1"/>
  <c r="A175" i="1" s="1" a="1"/>
  <c r="A175" i="1" s="1"/>
  <c r="BL185" i="1"/>
  <c r="V185" i="20"/>
  <c r="CM193" i="1"/>
  <c r="CE193" i="1" s="1"/>
  <c r="A193" i="1" s="1" a="1"/>
  <c r="A193" i="1" s="1"/>
  <c r="BL199" i="1"/>
  <c r="CM199" i="1" s="1"/>
  <c r="CE199" i="1" s="1"/>
  <c r="A199" i="1" s="1" a="1"/>
  <c r="A199" i="1" s="1"/>
  <c r="V199" i="20"/>
  <c r="BL40" i="30"/>
  <c r="BL175" i="20"/>
  <c r="BL185" i="20" s="1"/>
  <c r="BL232" i="6" s="1"/>
  <c r="V232" i="6" s="1"/>
  <c r="V233" i="6" s="1"/>
  <c r="BL193" i="20"/>
  <c r="BL199" i="20" s="1"/>
  <c r="BL176" i="30" l="1"/>
  <c r="BL66" i="33" s="1"/>
  <c r="BL191" i="30"/>
  <c r="BL78" i="33" s="1"/>
  <c r="V40" i="30"/>
  <c r="CN193" i="20"/>
  <c r="CF193" i="20" s="1"/>
  <c r="A193" i="20" s="1" a="1"/>
  <c r="A193" i="20" s="1"/>
  <c r="CN175" i="20"/>
  <c r="CF175" i="20" s="1"/>
  <c r="A175" i="20" s="1" a="1"/>
  <c r="A175" i="20" s="1"/>
  <c r="CN199" i="20"/>
  <c r="CF199" i="20" s="1"/>
  <c r="A199" i="20" s="1" a="1"/>
  <c r="A199" i="20" s="1"/>
  <c r="CN185" i="20"/>
  <c r="CF185" i="20" s="1"/>
  <c r="A185" i="20" s="1" a="1"/>
  <c r="A185" i="20" s="1"/>
  <c r="CF232" i="6"/>
  <c r="A232" i="6" s="1" a="1"/>
  <c r="A232" i="6" s="1"/>
  <c r="CM185" i="1"/>
  <c r="CE185" i="1" s="1"/>
  <c r="A185" i="1" s="1" a="1"/>
  <c r="A185" i="1" s="1"/>
  <c r="CM40" i="30" l="1"/>
  <c r="CE40" i="30" s="1"/>
  <c r="A40" i="30" s="1" a="1"/>
  <c r="A40" i="30" s="1"/>
  <c r="V191" i="30"/>
  <c r="V176" i="30"/>
  <c r="V187" i="1"/>
  <c r="BL233" i="6"/>
  <c r="CF233" i="6" s="1"/>
  <c r="A233" i="6" s="1" a="1"/>
  <c r="A233" i="6" s="1"/>
  <c r="V259" i="6"/>
  <c r="CM176" i="30" l="1"/>
  <c r="CE176" i="30" s="1"/>
  <c r="A176" i="30" s="1" a="1"/>
  <c r="A176" i="30" s="1"/>
  <c r="V66" i="33"/>
  <c r="CM191" i="30"/>
  <c r="CE191" i="30" s="1"/>
  <c r="A191" i="30" s="1" a="1"/>
  <c r="A191" i="30" s="1"/>
  <c r="V78" i="33"/>
  <c r="V187" i="20"/>
  <c r="V189" i="1"/>
  <c r="V202" i="1" s="1"/>
  <c r="BL187" i="1"/>
  <c r="BL259" i="6"/>
  <c r="CF259" i="6" s="1"/>
  <c r="A259" i="6" s="1" a="1"/>
  <c r="A259" i="6" s="1"/>
  <c r="V201" i="20" l="1"/>
  <c r="BL202" i="1"/>
  <c r="BL201" i="20" s="1"/>
  <c r="V10" i="6"/>
  <c r="V42" i="6" s="1"/>
  <c r="BL187" i="20"/>
  <c r="BL189" i="20" s="1"/>
  <c r="BL189" i="1"/>
  <c r="CM189" i="1" s="1"/>
  <c r="CE189" i="1" s="1"/>
  <c r="A189" i="1" s="1" a="1"/>
  <c r="A189" i="1" s="1"/>
  <c r="V189" i="20"/>
  <c r="CM187" i="1"/>
  <c r="CE187" i="1" s="1"/>
  <c r="A187" i="1" s="1" a="1"/>
  <c r="A187" i="1" s="1"/>
  <c r="V190" i="30" l="1"/>
  <c r="BL42" i="6"/>
  <c r="BL190" i="30" s="1"/>
  <c r="BL77" i="33" s="1"/>
  <c r="CN189" i="20"/>
  <c r="CF189" i="20" s="1"/>
  <c r="A189" i="20" s="1" a="1"/>
  <c r="A189" i="20" s="1"/>
  <c r="CP176" i="9"/>
  <c r="A176" i="9" s="1" a="1"/>
  <c r="A176" i="9" s="1"/>
  <c r="CP271" i="9"/>
  <c r="A271" i="9" s="1" a="1"/>
  <c r="A271" i="9" s="1"/>
  <c r="CP404" i="9"/>
  <c r="A404" i="9" s="1" a="1"/>
  <c r="A404" i="9" s="1"/>
  <c r="CP157" i="9"/>
  <c r="A157" i="9" s="1" a="1"/>
  <c r="A157" i="9" s="1"/>
  <c r="CP385" i="9"/>
  <c r="A385" i="9" s="1" a="1"/>
  <c r="A385" i="9" s="1"/>
  <c r="CP355" i="9"/>
  <c r="A355" i="9" s="1" a="1"/>
  <c r="A355" i="9" s="1"/>
  <c r="CP203" i="9"/>
  <c r="A203" i="9" s="1" a="1"/>
  <c r="A203" i="9" s="1"/>
  <c r="CP51" i="9"/>
  <c r="A51" i="9" s="1" a="1"/>
  <c r="A51" i="9" s="1"/>
  <c r="CP260" i="9"/>
  <c r="A260" i="9" s="1" a="1"/>
  <c r="A260" i="9" s="1"/>
  <c r="CP222" i="9"/>
  <c r="A222" i="9" s="1" a="1"/>
  <c r="A222" i="9" s="1"/>
  <c r="CP58" i="9"/>
  <c r="A58" i="9" s="1" a="1"/>
  <c r="A58" i="9" s="1"/>
  <c r="CP372" i="9"/>
  <c r="A372" i="9" s="1" a="1"/>
  <c r="A372" i="9" s="1"/>
  <c r="CP297" i="9"/>
  <c r="A297" i="9" s="1" a="1"/>
  <c r="A297" i="9" s="1"/>
  <c r="CP154" i="9"/>
  <c r="A154" i="9" s="1" a="1"/>
  <c r="A154" i="9" s="1"/>
  <c r="CP153" i="9"/>
  <c r="A153" i="9" s="1" a="1"/>
  <c r="A153" i="9" s="1"/>
  <c r="CP78" i="9"/>
  <c r="A78" i="9" s="1" a="1"/>
  <c r="A78" i="9" s="1"/>
  <c r="CP59" i="9"/>
  <c r="A59" i="9" s="1" a="1"/>
  <c r="A59" i="9" s="1"/>
  <c r="CP324" i="9"/>
  <c r="A324" i="9" s="1" a="1"/>
  <c r="A324" i="9" s="1"/>
  <c r="CP68" i="9"/>
  <c r="A68" i="9" s="1" a="1"/>
  <c r="A68" i="9" s="1"/>
  <c r="CP249" i="9"/>
  <c r="A249" i="9" s="1" a="1"/>
  <c r="A249" i="9" s="1"/>
  <c r="CP316" i="9"/>
  <c r="A316" i="9" s="1" a="1"/>
  <c r="A316" i="9" s="1"/>
  <c r="CP69" i="9"/>
  <c r="A69" i="9" s="1" a="1"/>
  <c r="A69" i="9" s="1"/>
  <c r="CP97" i="9"/>
  <c r="A97" i="9" s="1" a="1"/>
  <c r="A97" i="9" s="1"/>
  <c r="CP268" i="9"/>
  <c r="A268" i="9" s="1" a="1"/>
  <c r="A268" i="9" s="1"/>
  <c r="CP286" i="9"/>
  <c r="A286" i="9" s="1" a="1"/>
  <c r="A286" i="9" s="1"/>
  <c r="CP87" i="9"/>
  <c r="A87" i="9" s="1" a="1"/>
  <c r="A87" i="9" s="1"/>
  <c r="CP164" i="9"/>
  <c r="A164" i="9" s="1" a="1"/>
  <c r="A164" i="9" s="1"/>
  <c r="CP230" i="9"/>
  <c r="A230" i="9" s="1" a="1"/>
  <c r="A230" i="9" s="1"/>
  <c r="CP335" i="9"/>
  <c r="A335" i="9" s="1" a="1"/>
  <c r="A335" i="9" s="1"/>
  <c r="CP229" i="9"/>
  <c r="A229" i="9" s="1" a="1"/>
  <c r="A229" i="9" s="1"/>
  <c r="E217" i="6"/>
  <c r="CE217" i="6" s="1"/>
  <c r="A217" i="6" s="1" a="1"/>
  <c r="A217" i="6" s="1"/>
  <c r="E201" i="6"/>
  <c r="CE201" i="6" s="1"/>
  <c r="A201" i="6" s="1" a="1"/>
  <c r="A201" i="6" s="1"/>
  <c r="E136" i="6"/>
  <c r="CE136" i="6" s="1"/>
  <c r="A136" i="6" s="1" a="1"/>
  <c r="A136" i="6" s="1"/>
  <c r="V9" i="36"/>
  <c r="V273" i="26"/>
  <c r="V228" i="26"/>
  <c r="V9" i="12"/>
  <c r="V14" i="6"/>
  <c r="CP290" i="9"/>
  <c r="A290" i="9" s="1" a="1"/>
  <c r="A290" i="9" s="1"/>
  <c r="CP328" i="9"/>
  <c r="A328" i="9" s="1" a="1"/>
  <c r="A328" i="9" s="1"/>
  <c r="CP138" i="9"/>
  <c r="A138" i="9" s="1" a="1"/>
  <c r="A138" i="9" s="1"/>
  <c r="CP233" i="9"/>
  <c r="A233" i="9" s="1" a="1"/>
  <c r="A233" i="9" s="1"/>
  <c r="CP252" i="9"/>
  <c r="A252" i="9" s="1" a="1"/>
  <c r="A252" i="9" s="1"/>
  <c r="CP89" i="9"/>
  <c r="A89" i="9" s="1" a="1"/>
  <c r="A89" i="9" s="1"/>
  <c r="CP412" i="9"/>
  <c r="A412" i="9" s="1" a="1"/>
  <c r="A412" i="9" s="1"/>
  <c r="CP184" i="9"/>
  <c r="A184" i="9" s="1" a="1"/>
  <c r="A184" i="9" s="1"/>
  <c r="CP279" i="9"/>
  <c r="A279" i="9" s="1" a="1"/>
  <c r="A279" i="9" s="1"/>
  <c r="CP374" i="9"/>
  <c r="A374" i="9" s="1" a="1"/>
  <c r="A374" i="9" s="1"/>
  <c r="CP192" i="9"/>
  <c r="A192" i="9" s="1" a="1"/>
  <c r="A192" i="9" s="1"/>
  <c r="CP420" i="9"/>
  <c r="A420" i="9" s="1" a="1"/>
  <c r="A420" i="9" s="1"/>
  <c r="CP277" i="9"/>
  <c r="A277" i="9" s="1" a="1"/>
  <c r="A277" i="9" s="1"/>
  <c r="CP125" i="9"/>
  <c r="A125" i="9" s="1" a="1"/>
  <c r="A125" i="9" s="1"/>
  <c r="CP191" i="9"/>
  <c r="A191" i="9" s="1" a="1"/>
  <c r="A191" i="9" s="1"/>
  <c r="CP220" i="9"/>
  <c r="A220" i="9" s="1" a="1"/>
  <c r="A220" i="9" s="1"/>
  <c r="CP145" i="9"/>
  <c r="A145" i="9" s="1" a="1"/>
  <c r="A145" i="9" s="1"/>
  <c r="CP362" i="9"/>
  <c r="A362" i="9" s="1" a="1"/>
  <c r="A362" i="9" s="1"/>
  <c r="CP182" i="9"/>
  <c r="A182" i="9" s="1" a="1"/>
  <c r="A182" i="9" s="1"/>
  <c r="CP115" i="9"/>
  <c r="A115" i="9" s="1" a="1"/>
  <c r="A115" i="9" s="1"/>
  <c r="CP419" i="9"/>
  <c r="A419" i="9" s="1" a="1"/>
  <c r="A419" i="9" s="1"/>
  <c r="CP172" i="9"/>
  <c r="A172" i="9" s="1" a="1"/>
  <c r="A172" i="9" s="1"/>
  <c r="CP126" i="9"/>
  <c r="A126" i="9" s="1" a="1"/>
  <c r="A126" i="9" s="1"/>
  <c r="CP410" i="9"/>
  <c r="A410" i="9" s="1" a="1"/>
  <c r="A410" i="9" s="1"/>
  <c r="CP315" i="9"/>
  <c r="A315" i="9" s="1" a="1"/>
  <c r="A315" i="9" s="1"/>
  <c r="CP163" i="9"/>
  <c r="A163" i="9" s="1" a="1"/>
  <c r="A163" i="9" s="1"/>
  <c r="CP202" i="9"/>
  <c r="A202" i="9" s="1" a="1"/>
  <c r="A202" i="9" s="1"/>
  <c r="CP296" i="9"/>
  <c r="A296" i="9" s="1" a="1"/>
  <c r="A296" i="9" s="1"/>
  <c r="CP411" i="9"/>
  <c r="A411" i="9" s="1" a="1"/>
  <c r="A411" i="9" s="1"/>
  <c r="CP305" i="9"/>
  <c r="A305" i="9" s="1" a="1"/>
  <c r="A305" i="9" s="1"/>
  <c r="E223" i="6"/>
  <c r="CE223" i="6" s="1"/>
  <c r="A223" i="6" s="1" a="1"/>
  <c r="A223" i="6" s="1"/>
  <c r="E70" i="6"/>
  <c r="CE70" i="6" s="1"/>
  <c r="A70" i="6" s="1" a="1"/>
  <c r="A70" i="6" s="1"/>
  <c r="V254" i="26"/>
  <c r="V242" i="26"/>
  <c r="BL10" i="6"/>
  <c r="V214" i="26"/>
  <c r="V263" i="26"/>
  <c r="CP49" i="9"/>
  <c r="A49" i="9" s="1" a="1"/>
  <c r="A49" i="9" s="1"/>
  <c r="CP119" i="9"/>
  <c r="A119" i="9" s="1" a="1"/>
  <c r="A119" i="9" s="1"/>
  <c r="CP366" i="9"/>
  <c r="A366" i="9" s="1" a="1"/>
  <c r="A366" i="9" s="1"/>
  <c r="CP214" i="9"/>
  <c r="A214" i="9" s="1" a="1"/>
  <c r="A214" i="9" s="1"/>
  <c r="CP309" i="9"/>
  <c r="A309" i="9" s="1" a="1"/>
  <c r="A309" i="9" s="1"/>
  <c r="CP423" i="9"/>
  <c r="A423" i="9" s="1" a="1"/>
  <c r="A423" i="9" s="1"/>
  <c r="CP146" i="9"/>
  <c r="A146" i="9" s="1" a="1"/>
  <c r="A146" i="9" s="1"/>
  <c r="CP241" i="9"/>
  <c r="A241" i="9" s="1" a="1"/>
  <c r="A241" i="9" s="1"/>
  <c r="CP336" i="9"/>
  <c r="A336" i="9" s="1" a="1"/>
  <c r="A336" i="9" s="1"/>
  <c r="CP127" i="9"/>
  <c r="A127" i="9" s="1" a="1"/>
  <c r="A127" i="9" s="1"/>
  <c r="CP317" i="9"/>
  <c r="A317" i="9" s="1" a="1"/>
  <c r="A317" i="9" s="1"/>
  <c r="CP258" i="9"/>
  <c r="A258" i="9" s="1" a="1"/>
  <c r="A258" i="9" s="1"/>
  <c r="CP96" i="9"/>
  <c r="A96" i="9" s="1" a="1"/>
  <c r="A96" i="9" s="1"/>
  <c r="CP353" i="9"/>
  <c r="A353" i="9" s="1" a="1"/>
  <c r="A353" i="9" s="1"/>
  <c r="CP173" i="9"/>
  <c r="A173" i="9" s="1" a="1"/>
  <c r="A173" i="9" s="1"/>
  <c r="CP354" i="9"/>
  <c r="A354" i="9" s="1" a="1"/>
  <c r="A354" i="9" s="1"/>
  <c r="CP334" i="9"/>
  <c r="A334" i="9" s="1" a="1"/>
  <c r="A334" i="9" s="1"/>
  <c r="CP183" i="9"/>
  <c r="A183" i="9" s="1" a="1"/>
  <c r="A183" i="9" s="1"/>
  <c r="CP400" i="9"/>
  <c r="A400" i="9" s="1" a="1"/>
  <c r="A400" i="9" s="1"/>
  <c r="CP135" i="9"/>
  <c r="A135" i="9" s="1" a="1"/>
  <c r="A135" i="9" s="1"/>
  <c r="CP240" i="9"/>
  <c r="A240" i="9" s="1" a="1"/>
  <c r="A240" i="9" s="1"/>
  <c r="CP144" i="9"/>
  <c r="A144" i="9" s="1" a="1"/>
  <c r="A144" i="9" s="1"/>
  <c r="CP373" i="9"/>
  <c r="A373" i="9" s="1" a="1"/>
  <c r="A373" i="9" s="1"/>
  <c r="CP267" i="9"/>
  <c r="A267" i="9" s="1" a="1"/>
  <c r="A267" i="9" s="1"/>
  <c r="CP107" i="9"/>
  <c r="A107" i="9" s="1" a="1"/>
  <c r="A107" i="9" s="1"/>
  <c r="CP363" i="9"/>
  <c r="A363" i="9" s="1" a="1"/>
  <c r="A363" i="9" s="1"/>
  <c r="CP211" i="9"/>
  <c r="A211" i="9" s="1" a="1"/>
  <c r="A211" i="9" s="1"/>
  <c r="CP343" i="9"/>
  <c r="A343" i="9" s="1" a="1"/>
  <c r="A343" i="9" s="1"/>
  <c r="CP134" i="9"/>
  <c r="A134" i="9" s="1" a="1"/>
  <c r="A134" i="9" s="1"/>
  <c r="CP391" i="9"/>
  <c r="A391" i="9" s="1" a="1"/>
  <c r="A391" i="9" s="1"/>
  <c r="E211" i="6"/>
  <c r="CE211" i="6" s="1"/>
  <c r="A211" i="6" s="1" a="1"/>
  <c r="A211" i="6" s="1"/>
  <c r="E234" i="6"/>
  <c r="CE234" i="6" s="1"/>
  <c r="A234" i="6" s="1" a="1"/>
  <c r="A234" i="6" s="1"/>
  <c r="E192" i="6"/>
  <c r="CE192" i="6" s="1"/>
  <c r="A192" i="6" s="1" a="1"/>
  <c r="A192" i="6" s="1"/>
  <c r="V16" i="6"/>
  <c r="V9" i="30"/>
  <c r="V291" i="26"/>
  <c r="CP81" i="9"/>
  <c r="A81" i="9" s="1" a="1"/>
  <c r="A81" i="9" s="1"/>
  <c r="CP195" i="9"/>
  <c r="A195" i="9" s="1" a="1"/>
  <c r="A195" i="9" s="1"/>
  <c r="CP100" i="9"/>
  <c r="A100" i="9" s="1" a="1"/>
  <c r="A100" i="9" s="1"/>
  <c r="CP62" i="9"/>
  <c r="A62" i="9" s="1" a="1"/>
  <c r="A62" i="9" s="1"/>
  <c r="CP347" i="9"/>
  <c r="A347" i="9" s="1" a="1"/>
  <c r="A347" i="9" s="1"/>
  <c r="CP165" i="9"/>
  <c r="A165" i="9" s="1" a="1"/>
  <c r="A165" i="9" s="1"/>
  <c r="CP298" i="9"/>
  <c r="A298" i="9" s="1" a="1"/>
  <c r="A298" i="9" s="1"/>
  <c r="CP393" i="9"/>
  <c r="A393" i="9" s="1" a="1"/>
  <c r="A393" i="9" s="1"/>
  <c r="CP108" i="9"/>
  <c r="A108" i="9" s="1" a="1"/>
  <c r="A108" i="9" s="1"/>
  <c r="CP70" i="9"/>
  <c r="A70" i="9" s="1" a="1"/>
  <c r="A70" i="9" s="1"/>
  <c r="CP50" i="9"/>
  <c r="A50" i="9" s="1" a="1"/>
  <c r="A50" i="9" s="1"/>
  <c r="CP306" i="9"/>
  <c r="A306" i="9" s="1" a="1"/>
  <c r="A306" i="9" s="1"/>
  <c r="CP259" i="9"/>
  <c r="A259" i="9" s="1" a="1"/>
  <c r="A259" i="9" s="1"/>
  <c r="CP401" i="9"/>
  <c r="A401" i="9" s="1" a="1"/>
  <c r="A401" i="9" s="1"/>
  <c r="CP88" i="9"/>
  <c r="A88" i="9" s="1" a="1"/>
  <c r="A88" i="9" s="1"/>
  <c r="CP392" i="9"/>
  <c r="A392" i="9" s="1" a="1"/>
  <c r="A392" i="9" s="1"/>
  <c r="CP382" i="9"/>
  <c r="A382" i="9" s="1" a="1"/>
  <c r="A382" i="9" s="1"/>
  <c r="CP221" i="9"/>
  <c r="A221" i="9" s="1" a="1"/>
  <c r="A221" i="9" s="1"/>
  <c r="CP287" i="9"/>
  <c r="A287" i="9" s="1" a="1"/>
  <c r="A287" i="9" s="1"/>
  <c r="CP201" i="9"/>
  <c r="A201" i="9" s="1" a="1"/>
  <c r="A201" i="9" s="1"/>
  <c r="CP278" i="9"/>
  <c r="A278" i="9" s="1" a="1"/>
  <c r="A278" i="9" s="1"/>
  <c r="CP344" i="9"/>
  <c r="A344" i="9" s="1" a="1"/>
  <c r="A344" i="9" s="1"/>
  <c r="CP325" i="9"/>
  <c r="A325" i="9" s="1" a="1"/>
  <c r="A325" i="9" s="1"/>
  <c r="CP106" i="9"/>
  <c r="A106" i="9" s="1" a="1"/>
  <c r="A106" i="9" s="1"/>
  <c r="CP248" i="9"/>
  <c r="A248" i="9" s="1" a="1"/>
  <c r="A248" i="9" s="1"/>
  <c r="CP116" i="9"/>
  <c r="A116" i="9" s="1" a="1"/>
  <c r="A116" i="9" s="1"/>
  <c r="CP77" i="9"/>
  <c r="A77" i="9" s="1" a="1"/>
  <c r="A77" i="9" s="1"/>
  <c r="CP381" i="9"/>
  <c r="A381" i="9" s="1" a="1"/>
  <c r="A381" i="9" s="1"/>
  <c r="CP210" i="9"/>
  <c r="A210" i="9" s="1" a="1"/>
  <c r="A210" i="9" s="1"/>
  <c r="CP239" i="9"/>
  <c r="A239" i="9" s="1" a="1"/>
  <c r="A239" i="9" s="1"/>
  <c r="E228" i="6"/>
  <c r="CE228" i="6" s="1"/>
  <c r="A228" i="6" s="1" a="1"/>
  <c r="A228" i="6" s="1"/>
  <c r="E111" i="6"/>
  <c r="CE111" i="6" s="1"/>
  <c r="A111" i="6" s="1" a="1"/>
  <c r="A111" i="6" s="1"/>
  <c r="E44" i="6"/>
  <c r="CE44" i="6" s="1"/>
  <c r="A44" i="6" s="1" a="1"/>
  <c r="A44" i="6" s="1"/>
  <c r="V9" i="32"/>
  <c r="V12" i="6"/>
  <c r="V9" i="13"/>
  <c r="V9" i="35"/>
  <c r="V52" i="33"/>
  <c r="CN187" i="20"/>
  <c r="CF187" i="20" s="1"/>
  <c r="A187" i="20" s="1" a="1"/>
  <c r="A187" i="20" s="1"/>
  <c r="A2" i="1" a="1"/>
  <c r="A2" i="1" s="1"/>
  <c r="A15" i="14" s="1"/>
  <c r="BZ42" i="6" l="1"/>
  <c r="BZ2" i="6" s="1" a="1"/>
  <c r="BZ2" i="6" s="1"/>
  <c r="CF42" i="6"/>
  <c r="A42" i="6" s="1" a="1"/>
  <c r="A42" i="6" s="1"/>
  <c r="A2" i="20" a="1"/>
  <c r="A2" i="20" s="1"/>
  <c r="V77" i="33"/>
  <c r="CM190" i="30"/>
  <c r="CE190" i="30" s="1"/>
  <c r="A190" i="30" s="1" a="1"/>
  <c r="A190" i="30" s="1"/>
  <c r="V20" i="6"/>
  <c r="V18" i="6"/>
  <c r="V44" i="30"/>
  <c r="V105" i="13" s="1"/>
  <c r="V107" i="30"/>
  <c r="V173" i="30"/>
  <c r="V154" i="30"/>
  <c r="V120" i="30"/>
  <c r="V127" i="30"/>
  <c r="V53" i="30"/>
  <c r="V29" i="30"/>
  <c r="V98" i="13" s="1"/>
  <c r="V133" i="30"/>
  <c r="V125" i="13" s="1"/>
  <c r="V86" i="30"/>
  <c r="V192" i="30"/>
  <c r="V73" i="30"/>
  <c r="V203" i="30"/>
  <c r="V23" i="30"/>
  <c r="V17" i="36"/>
  <c r="V13" i="36"/>
  <c r="V15" i="36"/>
  <c r="V118" i="13"/>
  <c r="V131" i="13"/>
  <c r="V102" i="13"/>
  <c r="V101" i="13"/>
  <c r="V130" i="13"/>
  <c r="V132" i="13"/>
  <c r="V18" i="32"/>
  <c r="V26" i="32"/>
  <c r="V15" i="32"/>
  <c r="V62" i="32" s="1"/>
  <c r="V25" i="32"/>
  <c r="V32" i="32"/>
  <c r="BL14" i="6"/>
  <c r="CF14" i="6" s="1"/>
  <c r="A14" i="6" s="1" a="1"/>
  <c r="A14" i="6" s="1"/>
  <c r="BL214" i="26"/>
  <c r="CF214" i="26" s="1"/>
  <c r="A214" i="26" s="1" a="1"/>
  <c r="A214" i="26" s="1"/>
  <c r="BL9" i="30"/>
  <c r="BL242" i="26"/>
  <c r="CF242" i="26" s="1"/>
  <c r="A242" i="26" s="1" a="1"/>
  <c r="A242" i="26" s="1"/>
  <c r="BL52" i="33"/>
  <c r="BL9" i="32"/>
  <c r="BL291" i="26"/>
  <c r="BL263" i="26"/>
  <c r="CF263" i="26" s="1"/>
  <c r="A263" i="26" s="1" a="1"/>
  <c r="A263" i="26" s="1"/>
  <c r="BL254" i="26"/>
  <c r="CF254" i="26" s="1"/>
  <c r="A254" i="26" s="1" a="1"/>
  <c r="A254" i="26" s="1"/>
  <c r="BL12" i="6"/>
  <c r="BL16" i="6"/>
  <c r="BL9" i="35"/>
  <c r="BL273" i="26"/>
  <c r="CF273" i="26" s="1"/>
  <c r="A273" i="26" s="1" a="1"/>
  <c r="A273" i="26" s="1"/>
  <c r="BL228" i="26"/>
  <c r="CF228" i="26" s="1"/>
  <c r="A228" i="26" s="1" a="1"/>
  <c r="A228" i="26" s="1"/>
  <c r="V26" i="12"/>
  <c r="V54" i="12"/>
  <c r="V18" i="35"/>
  <c r="V19" i="35" s="1"/>
  <c r="V13" i="35"/>
  <c r="V15" i="35"/>
  <c r="V16" i="35" s="1"/>
  <c r="V21" i="35"/>
  <c r="A2" i="9" a="1"/>
  <c r="A2" i="9" s="1"/>
  <c r="A20" i="14" s="1"/>
  <c r="B21" i="14" a="1"/>
  <c r="V20" i="32" l="1"/>
  <c r="V99" i="33" s="1"/>
  <c r="AQ18" i="32"/>
  <c r="AQ20" i="32" s="1"/>
  <c r="AV18" i="32"/>
  <c r="AV20" i="32" s="1"/>
  <c r="AP18" i="32"/>
  <c r="AP20" i="32" s="1"/>
  <c r="AU18" i="32"/>
  <c r="AU20" i="32" s="1"/>
  <c r="AO18" i="32"/>
  <c r="AO20" i="32" s="1"/>
  <c r="AT18" i="32"/>
  <c r="AT20" i="32" s="1"/>
  <c r="AN18" i="32"/>
  <c r="AN20" i="32" s="1"/>
  <c r="AS18" i="32"/>
  <c r="AS20" i="32" s="1"/>
  <c r="AX18" i="32"/>
  <c r="AX20" i="32" s="1"/>
  <c r="CJ20" i="32" s="1"/>
  <c r="AM18" i="32"/>
  <c r="AM20" i="32" s="1"/>
  <c r="AR18" i="32"/>
  <c r="AR20" i="32" s="1"/>
  <c r="AW18" i="32"/>
  <c r="AW20" i="32" s="1"/>
  <c r="BC18" i="32"/>
  <c r="BC20" i="32" s="1"/>
  <c r="BH18" i="32"/>
  <c r="BH20" i="32" s="1"/>
  <c r="BB18" i="32"/>
  <c r="BB20" i="32" s="1"/>
  <c r="BG18" i="32"/>
  <c r="BG20" i="32" s="1"/>
  <c r="BA18" i="32"/>
  <c r="BA20" i="32" s="1"/>
  <c r="BF18" i="32"/>
  <c r="BF20" i="32" s="1"/>
  <c r="AZ18" i="32"/>
  <c r="AZ20" i="32" s="1"/>
  <c r="BE18" i="32"/>
  <c r="BE20" i="32" s="1"/>
  <c r="BJ18" i="32"/>
  <c r="BJ20" i="32" s="1"/>
  <c r="CK20" i="32" s="1"/>
  <c r="AY18" i="32"/>
  <c r="AY20" i="32" s="1"/>
  <c r="BD18" i="32"/>
  <c r="BD20" i="32" s="1"/>
  <c r="BI18" i="32"/>
  <c r="BI20" i="32" s="1"/>
  <c r="AB18" i="32"/>
  <c r="AB20" i="32" s="1"/>
  <c r="AG18" i="32"/>
  <c r="AG20" i="32" s="1"/>
  <c r="AL18" i="32"/>
  <c r="AL20" i="32" s="1"/>
  <c r="CI20" i="32" s="1"/>
  <c r="AA18" i="32"/>
  <c r="AA20" i="32" s="1"/>
  <c r="AF18" i="32"/>
  <c r="AF20" i="32" s="1"/>
  <c r="AK18" i="32"/>
  <c r="AK20" i="32" s="1"/>
  <c r="AE18" i="32"/>
  <c r="AE20" i="32" s="1"/>
  <c r="AJ18" i="32"/>
  <c r="AJ20" i="32" s="1"/>
  <c r="AD18" i="32"/>
  <c r="AD20" i="32" s="1"/>
  <c r="AI18" i="32"/>
  <c r="AI20" i="32" s="1"/>
  <c r="AC18" i="32"/>
  <c r="AC20" i="32" s="1"/>
  <c r="AH18" i="32"/>
  <c r="AH20" i="32" s="1"/>
  <c r="B21" i="14"/>
  <c r="A16" i="14"/>
  <c r="BL20" i="6"/>
  <c r="CD20" i="6" s="1"/>
  <c r="A20" i="6" s="1" a="1"/>
  <c r="A20" i="6" s="1"/>
  <c r="V71" i="13"/>
  <c r="V99" i="35" s="1"/>
  <c r="V109" i="30"/>
  <c r="V122" i="13" s="1"/>
  <c r="V23" i="32"/>
  <c r="BL44" i="30"/>
  <c r="CM44" i="30" s="1"/>
  <c r="CE44" i="30" s="1"/>
  <c r="A44" i="30" s="1" a="1"/>
  <c r="A44" i="30" s="1"/>
  <c r="BL53" i="30"/>
  <c r="CM53" i="30" s="1"/>
  <c r="CE53" i="30" s="1"/>
  <c r="A53" i="30" s="1" a="1"/>
  <c r="A53" i="30" s="1"/>
  <c r="BL29" i="30"/>
  <c r="CM29" i="30" s="1"/>
  <c r="CE29" i="30" s="1"/>
  <c r="A29" i="30" s="1" a="1"/>
  <c r="A29" i="30" s="1"/>
  <c r="BL192" i="30"/>
  <c r="BL79" i="33" s="1"/>
  <c r="BL81" i="33" s="1"/>
  <c r="BL86" i="30"/>
  <c r="BL73" i="30"/>
  <c r="BL127" i="30"/>
  <c r="CM127" i="30" s="1"/>
  <c r="CE127" i="30" s="1"/>
  <c r="A127" i="30" s="1" a="1"/>
  <c r="A127" i="30" s="1"/>
  <c r="BL133" i="30"/>
  <c r="CM133" i="30" s="1"/>
  <c r="CE133" i="30" s="1"/>
  <c r="A133" i="30" s="1" a="1"/>
  <c r="A133" i="30" s="1"/>
  <c r="BL173" i="30"/>
  <c r="BL154" i="30"/>
  <c r="BL107" i="30"/>
  <c r="BL120" i="30"/>
  <c r="CM120" i="30" s="1"/>
  <c r="CE120" i="30" s="1"/>
  <c r="A120" i="30" s="1" a="1"/>
  <c r="A120" i="30" s="1"/>
  <c r="BL203" i="30"/>
  <c r="BL89" i="33" s="1"/>
  <c r="BL91" i="33" s="1"/>
  <c r="BL23" i="30"/>
  <c r="CM23" i="30" s="1"/>
  <c r="CE23" i="30" s="1"/>
  <c r="A23" i="30" s="1" a="1"/>
  <c r="A23" i="30" s="1"/>
  <c r="BL61" i="30"/>
  <c r="BL59" i="30"/>
  <c r="V111" i="13"/>
  <c r="V79" i="33"/>
  <c r="V81" i="33" s="1"/>
  <c r="BL18" i="6"/>
  <c r="BL18" i="32"/>
  <c r="BL15" i="32"/>
  <c r="BL26" i="32"/>
  <c r="BL25" i="32"/>
  <c r="BZ25" i="32" s="1"/>
  <c r="BL32" i="32"/>
  <c r="CE32" i="32" s="1"/>
  <c r="CB32" i="32" s="1"/>
  <c r="A32" i="32" s="1" a="1"/>
  <c r="A32" i="32" s="1"/>
  <c r="V33" i="36"/>
  <c r="V24" i="35"/>
  <c r="V14" i="32"/>
  <c r="V31" i="30"/>
  <c r="V97" i="13"/>
  <c r="V99" i="13" s="1"/>
  <c r="V22" i="32"/>
  <c r="CF12" i="6"/>
  <c r="A12" i="6" s="1" a="1"/>
  <c r="A12" i="6" s="1"/>
  <c r="V89" i="33"/>
  <c r="V91" i="33" s="1"/>
  <c r="V114" i="13"/>
  <c r="V124" i="13"/>
  <c r="BL18" i="35"/>
  <c r="BL19" i="35" s="1"/>
  <c r="BL21" i="35"/>
  <c r="BL13" i="35"/>
  <c r="BL15" i="35"/>
  <c r="BL16" i="35" s="1"/>
  <c r="CF16" i="6"/>
  <c r="A16" i="6" s="1" a="1"/>
  <c r="A16" i="6" s="1"/>
  <c r="V25" i="35"/>
  <c r="V34" i="36"/>
  <c r="V60" i="35"/>
  <c r="V123" i="13"/>
  <c r="V111" i="30"/>
  <c r="A13" i="26" a="1"/>
  <c r="A13" i="26" s="1"/>
  <c r="A2" i="26" s="1" a="1"/>
  <c r="A2" i="26" s="1"/>
  <c r="A19" i="14" s="1"/>
  <c r="V51" i="35" l="1"/>
  <c r="V23" i="35"/>
  <c r="V32" i="36"/>
  <c r="CB81" i="33"/>
  <c r="A81" i="33" s="1" a="1"/>
  <c r="A81" i="33" s="1"/>
  <c r="CC20" i="32"/>
  <c r="AC23" i="35"/>
  <c r="AC51" i="35"/>
  <c r="AC99" i="33"/>
  <c r="BD51" i="35"/>
  <c r="BD99" i="33"/>
  <c r="BD23" i="35"/>
  <c r="BB23" i="35"/>
  <c r="BB51" i="35"/>
  <c r="BB99" i="33"/>
  <c r="AP51" i="35"/>
  <c r="AP99" i="33"/>
  <c r="AP23" i="35"/>
  <c r="AE99" i="33"/>
  <c r="AE51" i="35"/>
  <c r="AE23" i="35"/>
  <c r="AZ23" i="35"/>
  <c r="AZ99" i="33"/>
  <c r="AZ51" i="35"/>
  <c r="AN23" i="35"/>
  <c r="AN99" i="33"/>
  <c r="AN51" i="35"/>
  <c r="AI23" i="35"/>
  <c r="AI99" i="33"/>
  <c r="AI51" i="35"/>
  <c r="AK99" i="33"/>
  <c r="AK51" i="35"/>
  <c r="AK23" i="35"/>
  <c r="AG51" i="35"/>
  <c r="AG99" i="33"/>
  <c r="AG23" i="35"/>
  <c r="AY99" i="33"/>
  <c r="AY51" i="35"/>
  <c r="AY23" i="35"/>
  <c r="BF99" i="33"/>
  <c r="BF51" i="35"/>
  <c r="BF23" i="35"/>
  <c r="BH99" i="33"/>
  <c r="BH51" i="35"/>
  <c r="BH23" i="35"/>
  <c r="AM99" i="33"/>
  <c r="AM23" i="35"/>
  <c r="AM51" i="35"/>
  <c r="AT23" i="35"/>
  <c r="AT51" i="35"/>
  <c r="AT99" i="33"/>
  <c r="AV99" i="33"/>
  <c r="AV23" i="35"/>
  <c r="AV51" i="35"/>
  <c r="AL23" i="35"/>
  <c r="AL99" i="33"/>
  <c r="AL51" i="35"/>
  <c r="AR99" i="33"/>
  <c r="AR23" i="35"/>
  <c r="AR51" i="35"/>
  <c r="AD99" i="33"/>
  <c r="AD51" i="35"/>
  <c r="AD23" i="35"/>
  <c r="AF23" i="35"/>
  <c r="AF51" i="35"/>
  <c r="AF99" i="33"/>
  <c r="AB99" i="33"/>
  <c r="AB23" i="35"/>
  <c r="AB51" i="35"/>
  <c r="BJ99" i="33"/>
  <c r="BJ51" i="35"/>
  <c r="BJ23" i="35"/>
  <c r="BA99" i="33"/>
  <c r="BA51" i="35"/>
  <c r="BA23" i="35"/>
  <c r="BC99" i="33"/>
  <c r="BC23" i="35"/>
  <c r="BC51" i="35"/>
  <c r="AX23" i="35"/>
  <c r="AX99" i="33"/>
  <c r="AX51" i="35"/>
  <c r="AO99" i="33"/>
  <c r="AO51" i="35"/>
  <c r="AO23" i="35"/>
  <c r="AQ99" i="33"/>
  <c r="AQ23" i="35"/>
  <c r="AQ51" i="35"/>
  <c r="AH99" i="33"/>
  <c r="AH51" i="35"/>
  <c r="AH23" i="35"/>
  <c r="AJ23" i="35"/>
  <c r="AJ99" i="33"/>
  <c r="AJ51" i="35"/>
  <c r="AA99" i="33"/>
  <c r="AA23" i="35"/>
  <c r="AA51" i="35"/>
  <c r="BI99" i="33"/>
  <c r="BI23" i="35"/>
  <c r="BI51" i="35"/>
  <c r="BE99" i="33"/>
  <c r="BE51" i="35"/>
  <c r="BE23" i="35"/>
  <c r="BG99" i="33"/>
  <c r="BG23" i="35"/>
  <c r="BG51" i="35"/>
  <c r="AW99" i="33"/>
  <c r="AW23" i="35"/>
  <c r="AW51" i="35"/>
  <c r="AS23" i="35"/>
  <c r="AS51" i="35"/>
  <c r="AS99" i="33"/>
  <c r="AU23" i="35"/>
  <c r="AU99" i="33"/>
  <c r="AU51" i="35"/>
  <c r="CM73" i="30"/>
  <c r="CE73" i="30" s="1"/>
  <c r="A73" i="30" s="1" a="1"/>
  <c r="A73" i="30" s="1"/>
  <c r="BL111" i="30"/>
  <c r="BL135" i="30" s="1"/>
  <c r="V135" i="30"/>
  <c r="V55" i="35"/>
  <c r="V100" i="33"/>
  <c r="W49" i="32"/>
  <c r="BM49" i="32" s="1"/>
  <c r="CF49" i="32" s="1"/>
  <c r="CB49" i="32" s="1"/>
  <c r="A49" i="32" s="1" a="1"/>
  <c r="A49" i="32" s="1"/>
  <c r="V66" i="32"/>
  <c r="V79" i="35" s="1"/>
  <c r="V40" i="32"/>
  <c r="V33" i="32"/>
  <c r="V16" i="12" s="1"/>
  <c r="V59" i="32"/>
  <c r="V34" i="32"/>
  <c r="V65" i="32"/>
  <c r="BL20" i="32"/>
  <c r="CE18" i="32"/>
  <c r="CB18" i="32" s="1"/>
  <c r="A18" i="32" s="1" a="1"/>
  <c r="A18" i="32" s="1"/>
  <c r="CB91" i="33"/>
  <c r="A91" i="33" s="1" a="1"/>
  <c r="A91" i="33" s="1"/>
  <c r="CM86" i="30"/>
  <c r="CE86" i="30" s="1"/>
  <c r="A86" i="30" s="1" a="1"/>
  <c r="A86" i="30" s="1"/>
  <c r="BL23" i="32"/>
  <c r="CE23" i="32" s="1"/>
  <c r="CB23" i="32" s="1"/>
  <c r="A23" i="32" s="1" a="1"/>
  <c r="A23" i="32" s="1"/>
  <c r="BL109" i="30"/>
  <c r="CM109" i="30" s="1"/>
  <c r="CE109" i="30" s="1"/>
  <c r="A109" i="30" s="1" a="1"/>
  <c r="A109" i="30" s="1"/>
  <c r="BZ26" i="32"/>
  <c r="CE26" i="32"/>
  <c r="CB26" i="32" s="1"/>
  <c r="A26" i="32" s="1" a="1"/>
  <c r="A26" i="32" s="1"/>
  <c r="BL25" i="35"/>
  <c r="A2" i="6" a="1"/>
  <c r="A2" i="6" s="1"/>
  <c r="A21" i="14" s="1"/>
  <c r="V35" i="30"/>
  <c r="CE25" i="32"/>
  <c r="CB25" i="32" s="1"/>
  <c r="A25" i="32" s="1" a="1"/>
  <c r="A25" i="32" s="1"/>
  <c r="BL24" i="35"/>
  <c r="V39" i="32"/>
  <c r="V59" i="30"/>
  <c r="CM59" i="30" s="1"/>
  <c r="CE59" i="30" s="1"/>
  <c r="A59" i="30" s="1" a="1"/>
  <c r="A59" i="30" s="1"/>
  <c r="V56" i="35"/>
  <c r="V37" i="12"/>
  <c r="V14" i="12"/>
  <c r="V83" i="13"/>
  <c r="V100" i="35" s="1"/>
  <c r="BL45" i="32"/>
  <c r="V61" i="30"/>
  <c r="CM107" i="30"/>
  <c r="CE107" i="30" s="1"/>
  <c r="A107" i="30" s="1" a="1"/>
  <c r="A107" i="30" s="1"/>
  <c r="BL22" i="32"/>
  <c r="BL62" i="32"/>
  <c r="CE62" i="32" s="1"/>
  <c r="CB62" i="32" s="1"/>
  <c r="A62" i="32" s="1" a="1"/>
  <c r="A62" i="32" s="1"/>
  <c r="CE15" i="32"/>
  <c r="CB15" i="32" s="1"/>
  <c r="A15" i="32" s="1" a="1"/>
  <c r="A15" i="32" s="1"/>
  <c r="BL14" i="32"/>
  <c r="BL39" i="32" s="1"/>
  <c r="BL31" i="30"/>
  <c r="BL35" i="30" s="1"/>
  <c r="CE39" i="32" l="1"/>
  <c r="CB39" i="32" s="1"/>
  <c r="A39" i="32" s="1" a="1"/>
  <c r="A39" i="32" s="1"/>
  <c r="CM111" i="30"/>
  <c r="CE111" i="30" s="1"/>
  <c r="A111" i="30" s="1" a="1"/>
  <c r="A111" i="30" s="1"/>
  <c r="V57" i="13"/>
  <c r="V98" i="35" s="1"/>
  <c r="V47" i="35"/>
  <c r="BL139" i="30"/>
  <c r="BL137" i="30"/>
  <c r="BL46" i="30"/>
  <c r="BL43" i="32"/>
  <c r="BL37" i="30"/>
  <c r="BL100" i="33"/>
  <c r="CE22" i="32"/>
  <c r="CB22" i="32" s="1"/>
  <c r="A22" i="32" s="1" a="1"/>
  <c r="A22" i="32" s="1"/>
  <c r="BZ20" i="32"/>
  <c r="BL51" i="35"/>
  <c r="BL99" i="33"/>
  <c r="BL23" i="35"/>
  <c r="CE20" i="32"/>
  <c r="CB20" i="32" s="1"/>
  <c r="A20" i="32" s="1" a="1"/>
  <c r="A20" i="32" s="1"/>
  <c r="CM31" i="30"/>
  <c r="CE31" i="30" s="1"/>
  <c r="A31" i="30" s="1" a="1"/>
  <c r="A31" i="30" s="1"/>
  <c r="BL52" i="32"/>
  <c r="BL50" i="32"/>
  <c r="BL66" i="32"/>
  <c r="CE66" i="32" s="1"/>
  <c r="CB66" i="32" s="1"/>
  <c r="A66" i="32" s="1" a="1"/>
  <c r="A66" i="32" s="1"/>
  <c r="BL33" i="32"/>
  <c r="CE33" i="32" s="1"/>
  <c r="CB33" i="32" s="1"/>
  <c r="A33" i="32" s="1" a="1"/>
  <c r="A33" i="32" s="1"/>
  <c r="BL55" i="32"/>
  <c r="BL54" i="32"/>
  <c r="BL40" i="32"/>
  <c r="CE40" i="32" s="1"/>
  <c r="CB40" i="32" s="1"/>
  <c r="A40" i="32" s="1" a="1"/>
  <c r="A40" i="32" s="1"/>
  <c r="BL65" i="32"/>
  <c r="CE65" i="32" s="1"/>
  <c r="CB65" i="32" s="1"/>
  <c r="A65" i="32" s="1" a="1"/>
  <c r="A65" i="32" s="1"/>
  <c r="BL53" i="32"/>
  <c r="BL46" i="32"/>
  <c r="BL51" i="32"/>
  <c r="CE14" i="32"/>
  <c r="CB14" i="32" s="1"/>
  <c r="A14" i="32" s="1" a="1"/>
  <c r="A14" i="32" s="1"/>
  <c r="BL34" i="32"/>
  <c r="CE34" i="32" s="1"/>
  <c r="CB34" i="32" s="1"/>
  <c r="A34" i="32" s="1" a="1"/>
  <c r="A34" i="32" s="1"/>
  <c r="BL56" i="32"/>
  <c r="BL59" i="32"/>
  <c r="CM61" i="30"/>
  <c r="CE61" i="30" s="1"/>
  <c r="A61" i="30" s="1" a="1"/>
  <c r="A61" i="30" s="1"/>
  <c r="V45" i="32"/>
  <c r="V43" i="32"/>
  <c r="V103" i="13"/>
  <c r="V37" i="30"/>
  <c r="V46" i="30"/>
  <c r="CM35" i="30"/>
  <c r="CE35" i="30" s="1"/>
  <c r="A35" i="30" s="1" a="1"/>
  <c r="A35" i="30" s="1"/>
  <c r="V137" i="30"/>
  <c r="V139" i="30"/>
  <c r="CM135" i="30"/>
  <c r="CE135" i="30" s="1"/>
  <c r="A135" i="30" s="1" a="1"/>
  <c r="A135" i="30" s="1"/>
  <c r="CM37" i="30" l="1"/>
  <c r="CE37" i="30" s="1"/>
  <c r="CM46" i="30"/>
  <c r="CE46" i="30" s="1"/>
  <c r="A46" i="30" s="1" a="1"/>
  <c r="A46" i="30" s="1"/>
  <c r="V144" i="30"/>
  <c r="V41" i="32"/>
  <c r="V55" i="30"/>
  <c r="V106" i="13"/>
  <c r="V54" i="33"/>
  <c r="V51" i="32"/>
  <c r="CE51" i="32" s="1"/>
  <c r="CB51" i="32" s="1"/>
  <c r="A51" i="32" s="1" a="1"/>
  <c r="A51" i="32" s="1"/>
  <c r="BL44" i="32"/>
  <c r="CE43" i="32"/>
  <c r="CB43" i="32" s="1"/>
  <c r="A43" i="32" s="1" a="1"/>
  <c r="A43" i="32" s="1"/>
  <c r="CE45" i="32"/>
  <c r="CB45" i="32" s="1"/>
  <c r="A45" i="32" s="1" a="1"/>
  <c r="A45" i="32" s="1"/>
  <c r="V18" i="13"/>
  <c r="V34" i="35"/>
  <c r="V46" i="32"/>
  <c r="V56" i="32"/>
  <c r="CE56" i="32" s="1"/>
  <c r="CB56" i="32" s="1"/>
  <c r="A56" i="32" s="1" a="1"/>
  <c r="A56" i="32" s="1"/>
  <c r="V54" i="32"/>
  <c r="CE54" i="32" s="1"/>
  <c r="CB54" i="32" s="1"/>
  <c r="A54" i="32" s="1" a="1"/>
  <c r="A54" i="32" s="1"/>
  <c r="V50" i="32"/>
  <c r="CE50" i="32" s="1"/>
  <c r="CB50" i="32" s="1"/>
  <c r="A50" i="32" s="1" a="1"/>
  <c r="A50" i="32" s="1"/>
  <c r="BL54" i="33"/>
  <c r="BL144" i="30"/>
  <c r="BL177" i="30" s="1"/>
  <c r="BL55" i="30"/>
  <c r="BL41" i="32"/>
  <c r="V53" i="32"/>
  <c r="CE53" i="32" s="1"/>
  <c r="CB53" i="32" s="1"/>
  <c r="A53" i="32" s="1" a="1"/>
  <c r="A53" i="32" s="1"/>
  <c r="V55" i="32"/>
  <c r="CE55" i="32" s="1"/>
  <c r="CB55" i="32" s="1"/>
  <c r="A55" i="32" s="1" a="1"/>
  <c r="A55" i="32" s="1"/>
  <c r="V52" i="32"/>
  <c r="CE52" i="32" s="1"/>
  <c r="CB52" i="32" s="1"/>
  <c r="A52" i="32" s="1" a="1"/>
  <c r="A52" i="32" s="1"/>
  <c r="CA137" i="30"/>
  <c r="A137" i="30" s="1" a="1"/>
  <c r="A137" i="30" s="1"/>
  <c r="V31" i="35"/>
  <c r="V44" i="32"/>
  <c r="V32" i="35" s="1"/>
  <c r="BZ37" i="30"/>
  <c r="A37" i="30" s="1" a="1"/>
  <c r="A37" i="30" s="1"/>
  <c r="BZ139" i="30"/>
  <c r="A139" i="30" s="1" a="1"/>
  <c r="A139" i="30" s="1"/>
  <c r="CE41" i="32" l="1"/>
  <c r="CB41" i="32" s="1"/>
  <c r="A41" i="32" s="1" a="1"/>
  <c r="A41" i="32" s="1"/>
  <c r="BL42" i="32"/>
  <c r="BL57" i="30"/>
  <c r="BL37" i="32"/>
  <c r="V57" i="30"/>
  <c r="CM55" i="30"/>
  <c r="CE55" i="30" s="1"/>
  <c r="A55" i="30" s="1" a="1"/>
  <c r="A55" i="30" s="1"/>
  <c r="V37" i="32"/>
  <c r="V38" i="32" s="1"/>
  <c r="BL68" i="33"/>
  <c r="BL70" i="33" s="1"/>
  <c r="BL31" i="32"/>
  <c r="BL82" i="35"/>
  <c r="BL205" i="30"/>
  <c r="BL93" i="33" s="1"/>
  <c r="BL27" i="32"/>
  <c r="V38" i="35"/>
  <c r="V31" i="13"/>
  <c r="V42" i="32"/>
  <c r="V35" i="35"/>
  <c r="V19" i="13"/>
  <c r="V95" i="35" s="1"/>
  <c r="V38" i="12"/>
  <c r="V15" i="12"/>
  <c r="V28" i="12" s="1"/>
  <c r="CM144" i="30"/>
  <c r="CE144" i="30" s="1"/>
  <c r="A144" i="30" s="1" a="1"/>
  <c r="A144" i="30" s="1"/>
  <c r="V109" i="13"/>
  <c r="V112" i="13" s="1"/>
  <c r="V177" i="30"/>
  <c r="CE46" i="32"/>
  <c r="CB46" i="32" s="1"/>
  <c r="A46" i="32" s="1" a="1"/>
  <c r="A46" i="32" s="1"/>
  <c r="CE44" i="32"/>
  <c r="CB44" i="32" s="1"/>
  <c r="A44" i="32" s="1" a="1"/>
  <c r="A44" i="32" s="1"/>
  <c r="BL95" i="33" l="1"/>
  <c r="V21" i="12"/>
  <c r="V14" i="13"/>
  <c r="V93" i="35" s="1"/>
  <c r="V20" i="12"/>
  <c r="V27" i="12" s="1"/>
  <c r="V19" i="12"/>
  <c r="V39" i="35"/>
  <c r="V32" i="13"/>
  <c r="V31" i="32"/>
  <c r="CE31" i="32" s="1"/>
  <c r="CB31" i="32" s="1"/>
  <c r="A31" i="32" s="1" a="1"/>
  <c r="A31" i="32" s="1"/>
  <c r="V27" i="32"/>
  <c r="V28" i="32" s="1"/>
  <c r="V40" i="12" s="1"/>
  <c r="V82" i="35"/>
  <c r="V68" i="33"/>
  <c r="V70" i="33" s="1"/>
  <c r="CB70" i="33" s="1"/>
  <c r="A70" i="33" s="1" a="1"/>
  <c r="A70" i="33" s="1"/>
  <c r="V205" i="30"/>
  <c r="CE42" i="32"/>
  <c r="CB42" i="32" s="1"/>
  <c r="A42" i="32" s="1" a="1"/>
  <c r="A42" i="32" s="1"/>
  <c r="V2" i="20"/>
  <c r="V2" i="38"/>
  <c r="V2" i="33"/>
  <c r="V2" i="3"/>
  <c r="V2" i="12"/>
  <c r="V2" i="26"/>
  <c r="V2" i="30"/>
  <c r="V2" i="36"/>
  <c r="V2" i="1"/>
  <c r="V2" i="32"/>
  <c r="V2" i="13"/>
  <c r="V2" i="37"/>
  <c r="V2" i="6"/>
  <c r="V2" i="35"/>
  <c r="BZ57" i="30"/>
  <c r="CM57" i="30"/>
  <c r="CE57" i="30" s="1"/>
  <c r="CE27" i="32"/>
  <c r="CB27" i="32" s="1"/>
  <c r="A27" i="32" s="1" a="1"/>
  <c r="A27" i="32" s="1"/>
  <c r="BL28" i="32"/>
  <c r="CE37" i="32"/>
  <c r="CB37" i="32" s="1"/>
  <c r="A37" i="32" s="1" a="1"/>
  <c r="A37" i="32" s="1"/>
  <c r="BL38" i="32"/>
  <c r="CE38" i="32" s="1"/>
  <c r="CB38" i="32" s="1"/>
  <c r="A38" i="32" s="1" a="1"/>
  <c r="A38" i="32" s="1"/>
  <c r="CE28" i="32" l="1"/>
  <c r="CB28" i="32" s="1"/>
  <c r="A28" i="32" s="1" a="1"/>
  <c r="A28" i="32" s="1"/>
  <c r="A2" i="32" s="1" a="1"/>
  <c r="A2" i="32" s="1"/>
  <c r="A25" i="14" s="1"/>
  <c r="V23" i="12"/>
  <c r="V15" i="13" s="1"/>
  <c r="V94" i="35" s="1"/>
  <c r="E209" i="30"/>
  <c r="CB209" i="30" s="1"/>
  <c r="A209" i="30" s="1" a="1"/>
  <c r="A209" i="30" s="1"/>
  <c r="V49" i="35"/>
  <c r="A57" i="30" a="1"/>
  <c r="A57" i="30" s="1"/>
  <c r="V93" i="33"/>
  <c r="V95" i="33" s="1"/>
  <c r="CB95" i="33" s="1"/>
  <c r="A95" i="33" s="1" a="1"/>
  <c r="A95" i="33" s="1"/>
  <c r="A2" i="33" s="1" a="1"/>
  <c r="A2" i="33" s="1"/>
  <c r="A27" i="14" s="1"/>
  <c r="V115" i="13"/>
  <c r="BZ31" i="32"/>
  <c r="BZ2" i="32" s="1" a="1"/>
  <c r="BZ2" i="32" s="1"/>
  <c r="V43" i="35"/>
  <c r="V39" i="12"/>
  <c r="V45" i="13"/>
  <c r="V97" i="35" s="1"/>
  <c r="V2" i="9" s="1"/>
  <c r="B25" i="14" a="1"/>
  <c r="V56" i="12" l="1"/>
  <c r="AA14" i="13" s="1"/>
  <c r="A2" i="30" a="1"/>
  <c r="A2" i="30" s="1"/>
  <c r="A24" i="14" s="1"/>
  <c r="A1" i="14" s="1"/>
  <c r="B25" i="14"/>
  <c r="B1" i="14" s="1"/>
  <c r="V44" i="12"/>
  <c r="V47" i="12"/>
  <c r="V48" i="12"/>
  <c r="V55" i="12" s="1"/>
  <c r="V45" i="12"/>
  <c r="A1" i="13" l="1"/>
  <c r="A1" i="20"/>
  <c r="V49" i="12"/>
  <c r="V51" i="12" s="1"/>
  <c r="AA15" i="13" s="1"/>
  <c r="A1" i="38"/>
  <c r="A1" i="36"/>
  <c r="A1" i="37"/>
  <c r="A1" i="32"/>
  <c r="A1" i="22"/>
  <c r="A1" i="11"/>
  <c r="A1" i="33"/>
  <c r="A1" i="16"/>
  <c r="A1" i="12"/>
  <c r="A1" i="35"/>
  <c r="A1" i="4"/>
  <c r="A1" i="6"/>
  <c r="A1" i="30"/>
  <c r="A1" i="3"/>
  <c r="A1" i="28"/>
  <c r="A1" i="1"/>
  <c r="A1" i="26"/>
  <c r="A1"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<sst xmlns="http://schemas.openxmlformats.org/spreadsheetml/2006/main" count="8149" uniqueCount="2575">
  <si>
    <t>College Name</t>
  </si>
  <si>
    <t>Annual Timeline</t>
  </si>
  <si>
    <t>Financial Year</t>
  </si>
  <si>
    <t>Period Start date</t>
  </si>
  <si>
    <t>Period End Date</t>
  </si>
  <si>
    <t>Description</t>
  </si>
  <si>
    <t>Units</t>
  </si>
  <si>
    <t>£000's</t>
  </si>
  <si>
    <t>+ve/-ve (Cr/Dr)</t>
  </si>
  <si>
    <t>14-16 Income</t>
  </si>
  <si>
    <t>Total 14-16 Income</t>
  </si>
  <si>
    <t>Of which: subcontracted out</t>
  </si>
  <si>
    <t>16-19 Income</t>
  </si>
  <si>
    <t>16-19 Allocated Students (Lagged student number)</t>
  </si>
  <si>
    <t>No.</t>
  </si>
  <si>
    <t>16-19 Forecast Student Outturn</t>
  </si>
  <si>
    <t>ESFA 16-19 programme funding</t>
  </si>
  <si>
    <t>ESFA High Needs - element 2</t>
  </si>
  <si>
    <t>Local Authority High Needs - element 3</t>
  </si>
  <si>
    <t>Other funding including Local Authority and schools</t>
  </si>
  <si>
    <t>Total 16-19 Income</t>
  </si>
  <si>
    <t>Apprenticeships Income</t>
  </si>
  <si>
    <t>Total Apprenticeships Income</t>
  </si>
  <si>
    <t>AEB Grant - ESFA</t>
  </si>
  <si>
    <t>AEB Procured - ESFA</t>
  </si>
  <si>
    <t>Advanced Learner Loans income (excl. bursary)</t>
  </si>
  <si>
    <t>Subcontracted in - Adult Education and Training Income</t>
  </si>
  <si>
    <t>HE Income</t>
  </si>
  <si>
    <t xml:space="preserve">HE loans </t>
  </si>
  <si>
    <t>Subcontracted in - HE (Franchised)</t>
  </si>
  <si>
    <t>OfS grants</t>
  </si>
  <si>
    <t>Total HE Income</t>
  </si>
  <si>
    <t>Other income from provision of education and training</t>
  </si>
  <si>
    <t>ESFA Teachers Pension Scheme grant</t>
  </si>
  <si>
    <t>Commercial income</t>
  </si>
  <si>
    <t>Student training facilities</t>
  </si>
  <si>
    <t>Catering</t>
  </si>
  <si>
    <t>Nursery</t>
  </si>
  <si>
    <t>Residences and conferences</t>
  </si>
  <si>
    <t>Consultancy</t>
  </si>
  <si>
    <t>International overseas delivery</t>
  </si>
  <si>
    <t>Total commercial income</t>
  </si>
  <si>
    <t>Other Income</t>
  </si>
  <si>
    <t>Endowment income</t>
  </si>
  <si>
    <t>Non-cash accounting receipts or non-exchange transactions (gifts) excl. donated assets</t>
  </si>
  <si>
    <t>Total Other Income</t>
  </si>
  <si>
    <t>Teaching staff FTE</t>
  </si>
  <si>
    <t>Non-teaching staff FTE</t>
  </si>
  <si>
    <t>Teaching staff</t>
  </si>
  <si>
    <t>Contracted tuition services</t>
  </si>
  <si>
    <t>Teaching and other support staff</t>
  </si>
  <si>
    <t>Administration staff</t>
  </si>
  <si>
    <t>Operational &amp; maintenance staff</t>
  </si>
  <si>
    <t>Commercial staff costs</t>
  </si>
  <si>
    <t>Apprenticeship 2% payroll levy charge</t>
  </si>
  <si>
    <t>Other operating expenditure</t>
  </si>
  <si>
    <t>Teaching costs</t>
  </si>
  <si>
    <t>Teaching and other support costs</t>
  </si>
  <si>
    <t>Administration costs</t>
  </si>
  <si>
    <t>Operational &amp; maintenance costs</t>
  </si>
  <si>
    <t>Examination costs</t>
  </si>
  <si>
    <t>Rent and lease costs</t>
  </si>
  <si>
    <t>Commercial costs</t>
  </si>
  <si>
    <t>Subcontracting out costs</t>
  </si>
  <si>
    <t>Bad debt provision costs</t>
  </si>
  <si>
    <t>Total Other operating expenditure</t>
  </si>
  <si>
    <t>Restructuring Facility</t>
  </si>
  <si>
    <t>Total Emergency Funding</t>
  </si>
  <si>
    <t>Staff Restructuring Costs</t>
  </si>
  <si>
    <t>Staff restructuring enhanced pension costs</t>
  </si>
  <si>
    <t>Total Staff Restructuring Costs</t>
  </si>
  <si>
    <t>Release of Capital Grants</t>
  </si>
  <si>
    <t>Movement in holiday pay accrual</t>
  </si>
  <si>
    <t>Surplus/(deficit) before ITDA</t>
  </si>
  <si>
    <t>Interest, tax, depreciation and amortisation</t>
  </si>
  <si>
    <t>Depreciation and amortisation</t>
  </si>
  <si>
    <t>Interest and investment income</t>
  </si>
  <si>
    <t>Interest and other finance costs</t>
  </si>
  <si>
    <t>Taxation</t>
  </si>
  <si>
    <t>Total interest, tax, depreciation and amortisation</t>
  </si>
  <si>
    <t>Surplus/(deficit) after interest, tax, depreciation and amortisation costs</t>
  </si>
  <si>
    <t>Other gains and losses</t>
  </si>
  <si>
    <t>Gain/(loss) on disposal of fixed assets</t>
  </si>
  <si>
    <t>Total other gains and losses</t>
  </si>
  <si>
    <t>Total surplus/(deficit) for the year</t>
  </si>
  <si>
    <t>Resolved?</t>
  </si>
  <si>
    <t>+ve/-ve (Dr/Cr)</t>
  </si>
  <si>
    <t>Non-Current Assets</t>
  </si>
  <si>
    <t>*</t>
  </si>
  <si>
    <t>Monthly Timeline</t>
  </si>
  <si>
    <t>Ref. No.</t>
  </si>
  <si>
    <t>Opening Balance</t>
  </si>
  <si>
    <t>+ve (Dr)</t>
  </si>
  <si>
    <t>Additions</t>
  </si>
  <si>
    <t>Surplus/Loss on Revaluation</t>
  </si>
  <si>
    <t>Moved to Assets Held for Sale</t>
  </si>
  <si>
    <t>Depreciation</t>
  </si>
  <si>
    <t>Closing Balance</t>
  </si>
  <si>
    <t>-ve (Cr)</t>
  </si>
  <si>
    <t>No</t>
  </si>
  <si>
    <t>Equipment</t>
  </si>
  <si>
    <t>Additions (incl. donations)</t>
  </si>
  <si>
    <t>Investments</t>
  </si>
  <si>
    <t>Share of surplus/(deficit) in joint ventures</t>
  </si>
  <si>
    <t>Assets under Construction</t>
  </si>
  <si>
    <t>Current Assets</t>
  </si>
  <si>
    <t xml:space="preserve">Assets Held for Sale </t>
  </si>
  <si>
    <t>Stock</t>
  </si>
  <si>
    <t>Staff Costs (excl. restructuring)</t>
  </si>
  <si>
    <t>Trade Receivables</t>
  </si>
  <si>
    <t>Revaluations/(write-offs) (to SOCI other G/L)</t>
  </si>
  <si>
    <t>Bad debt write-off</t>
  </si>
  <si>
    <t>Other Receivables</t>
  </si>
  <si>
    <t>Prepayments</t>
  </si>
  <si>
    <t>Accrued Income</t>
  </si>
  <si>
    <t xml:space="preserve">Restricted Cash </t>
  </si>
  <si>
    <t>Forecast vs Actual</t>
  </si>
  <si>
    <t>Signage</t>
  </si>
  <si>
    <t>Date</t>
  </si>
  <si>
    <t>Education-specific EBITDA</t>
  </si>
  <si>
    <t>First Forecast Period Flag</t>
  </si>
  <si>
    <t>Disposals</t>
  </si>
  <si>
    <t>Land &amp; Buildings</t>
  </si>
  <si>
    <t>Overdrafts</t>
  </si>
  <si>
    <t>Closing loan capital balance</t>
  </si>
  <si>
    <t>+ve (Cr)</t>
  </si>
  <si>
    <t>Exceptional Financial Support (EFS) / Restructuring Fund (RF) Loans</t>
  </si>
  <si>
    <t>Commercial Loans</t>
  </si>
  <si>
    <t>Finance Lease Obligations</t>
  </si>
  <si>
    <t>Trade Payables</t>
  </si>
  <si>
    <t>Other Liabilities</t>
  </si>
  <si>
    <t>Fixed Assets Retentions</t>
  </si>
  <si>
    <t>Amount due within one year</t>
  </si>
  <si>
    <t>Recovery of ESFA/DA Funding</t>
  </si>
  <si>
    <t>Deferred Income</t>
  </si>
  <si>
    <t>Accruals</t>
  </si>
  <si>
    <t>Holiday and Sabbatical Pay Accrual</t>
  </si>
  <si>
    <t>Interest Payable</t>
  </si>
  <si>
    <t>Capital Grant Liability</t>
  </si>
  <si>
    <t>Capital Grant received in cash: ESFA</t>
  </si>
  <si>
    <t>Amortisation through I&amp;E: ESFA</t>
  </si>
  <si>
    <t>Amount due in one year</t>
  </si>
  <si>
    <t>Amount due after one year</t>
  </si>
  <si>
    <t>Bad Debt Provision</t>
  </si>
  <si>
    <t>Provided for/released in period</t>
  </si>
  <si>
    <t>Write-off in period</t>
  </si>
  <si>
    <t>Bursary Deferred Income Account</t>
  </si>
  <si>
    <t>Local Government Pension Scheme Provision</t>
  </si>
  <si>
    <t>Enhanced Pension Provision</t>
  </si>
  <si>
    <t>Movement due to mergers</t>
  </si>
  <si>
    <t>Current service charge net of employee contributions</t>
  </si>
  <si>
    <t xml:space="preserve">Employer Contributions </t>
  </si>
  <si>
    <t>Past service costs</t>
  </si>
  <si>
    <t>Curtailments and settlements</t>
  </si>
  <si>
    <t>Expected return on pension assets</t>
  </si>
  <si>
    <t>Interest on pension liabilities</t>
  </si>
  <si>
    <t>Lumpsum settlement payment</t>
  </si>
  <si>
    <t>-ve (Dr)</t>
  </si>
  <si>
    <t>Other Provisions</t>
  </si>
  <si>
    <t>Other Pension Provisions</t>
  </si>
  <si>
    <t>Corporation Tax</t>
  </si>
  <si>
    <t>+ve(Cr)</t>
  </si>
  <si>
    <t>Restricted Reserve</t>
  </si>
  <si>
    <t>Movement in year</t>
  </si>
  <si>
    <t>Transfer to/(from) restricted reserve</t>
  </si>
  <si>
    <t>Revaluation Reserve</t>
  </si>
  <si>
    <t>I&amp;E Reserve</t>
  </si>
  <si>
    <t>First Period BS Inputs Flag</t>
  </si>
  <si>
    <t>Forecast Period Flag</t>
  </si>
  <si>
    <t>Balance Sheet Check</t>
  </si>
  <si>
    <t>Transfer between Reserves</t>
  </si>
  <si>
    <t>Transfer to/(from) the following reserve:</t>
  </si>
  <si>
    <t>Transfer 2 - Movements between Reserves</t>
  </si>
  <si>
    <t>Balance Sheet Summary</t>
  </si>
  <si>
    <t>Total Non-Current Assets</t>
  </si>
  <si>
    <t>Total Current Assets</t>
  </si>
  <si>
    <t>Total Liabilities and Reserves</t>
  </si>
  <si>
    <t>Liabilities and Reserves</t>
  </si>
  <si>
    <t>Loans</t>
  </si>
  <si>
    <t>Loan No</t>
  </si>
  <si>
    <t>Lender</t>
  </si>
  <si>
    <t>Loan Category</t>
  </si>
  <si>
    <t>Total Loan Amount</t>
  </si>
  <si>
    <t>Interest Compounding Frequency</t>
  </si>
  <si>
    <t>Interest Payment Frequency</t>
  </si>
  <si>
    <t>Accrued Interest Opening Balance</t>
  </si>
  <si>
    <t>date</t>
  </si>
  <si>
    <t>%</t>
  </si>
  <si>
    <t>Name</t>
  </si>
  <si>
    <t>Select</t>
  </si>
  <si>
    <t>Loan 1</t>
  </si>
  <si>
    <t>Loan 2</t>
  </si>
  <si>
    <t>Loan 3</t>
  </si>
  <si>
    <t>Loan 4</t>
  </si>
  <si>
    <t>Loan 5</t>
  </si>
  <si>
    <t>Loan 6</t>
  </si>
  <si>
    <t>Loan 7</t>
  </si>
  <si>
    <t>Loan 8</t>
  </si>
  <si>
    <t>Loan 9</t>
  </si>
  <si>
    <t>Loan 10</t>
  </si>
  <si>
    <t>Loan 11</t>
  </si>
  <si>
    <t>Loan 12</t>
  </si>
  <si>
    <t>Loan 13</t>
  </si>
  <si>
    <t>Loan 14</t>
  </si>
  <si>
    <t>Loan 15</t>
  </si>
  <si>
    <t>Loan 16</t>
  </si>
  <si>
    <t>Loan 17</t>
  </si>
  <si>
    <t>Loan 18</t>
  </si>
  <si>
    <t>Loan 19</t>
  </si>
  <si>
    <t>Loan 20</t>
  </si>
  <si>
    <t>Loan Categories</t>
  </si>
  <si>
    <t>Monthly</t>
  </si>
  <si>
    <t>Quarterly</t>
  </si>
  <si>
    <t>Bi-Annually</t>
  </si>
  <si>
    <t>Annually</t>
  </si>
  <si>
    <t xml:space="preserve">Commercial </t>
  </si>
  <si>
    <t>Opening Balance does not exceed Facility</t>
  </si>
  <si>
    <t>Loan Start Date before Loan End Date</t>
  </si>
  <si>
    <t>Interest Frequency Options</t>
  </si>
  <si>
    <t>Drawdowns</t>
  </si>
  <si>
    <t>Outstanding Loan Balance at term end check</t>
  </si>
  <si>
    <t>Loan Flags</t>
  </si>
  <si>
    <t>Interest Payment</t>
  </si>
  <si>
    <t>Interest Payable Opening Balance</t>
  </si>
  <si>
    <t>Interest Payable Closing Balance</t>
  </si>
  <si>
    <t>Loan Term End Date</t>
  </si>
  <si>
    <t>Loan Term Start Date</t>
  </si>
  <si>
    <t>First Loan Term Period Flag</t>
  </si>
  <si>
    <t>Loan Term Flag</t>
  </si>
  <si>
    <t>Last Loan Term Period Flag</t>
  </si>
  <si>
    <t>Opening Loan Balance</t>
  </si>
  <si>
    <t>Closing Loan Balance</t>
  </si>
  <si>
    <t>Loans - Selected Calculation Option</t>
  </si>
  <si>
    <t>Loans Summary By Category</t>
  </si>
  <si>
    <t>Accrued Interest Expense</t>
  </si>
  <si>
    <t>Financial Health</t>
  </si>
  <si>
    <t>Top Score</t>
  </si>
  <si>
    <t>Financial Health Ratios</t>
  </si>
  <si>
    <t>Adjusted current ratio</t>
  </si>
  <si>
    <t>Borrowing as a % of adjusted income</t>
  </si>
  <si>
    <t>Calculate Grades</t>
  </si>
  <si>
    <t>Total Points</t>
  </si>
  <si>
    <t>Loan Parameters</t>
  </si>
  <si>
    <t>points</t>
  </si>
  <si>
    <t>Automated Moderation - EFS or ES</t>
  </si>
  <si>
    <t>College Self-Assessment</t>
  </si>
  <si>
    <t>Financial health grade - auto grade</t>
  </si>
  <si>
    <t>FH Rating</t>
  </si>
  <si>
    <t>Inadequate</t>
  </si>
  <si>
    <t>Requires Improvement</t>
  </si>
  <si>
    <t>Good</t>
  </si>
  <si>
    <t>Outstanding</t>
  </si>
  <si>
    <t>Cash generation from operations (as a % of income)</t>
  </si>
  <si>
    <t>Automated Moderation - Emergency Funding</t>
  </si>
  <si>
    <t>Automated Moderation - EBITDA score of zero</t>
  </si>
  <si>
    <t>Points</t>
  </si>
  <si>
    <t>Lookup</t>
  </si>
  <si>
    <t>Rule</t>
  </si>
  <si>
    <t>&gt;/= 0.5</t>
  </si>
  <si>
    <t>&gt;/= 0.6</t>
  </si>
  <si>
    <t>&gt;/= 0.7</t>
  </si>
  <si>
    <t>&gt;/= 0.8</t>
  </si>
  <si>
    <t>&gt;/= 1.0</t>
  </si>
  <si>
    <t>&gt;/= 1.2</t>
  </si>
  <si>
    <t>&gt;/= 1.4</t>
  </si>
  <si>
    <t>&gt;/= 1.6</t>
  </si>
  <si>
    <t>&gt;/= 1.8</t>
  </si>
  <si>
    <t>&gt;/= 2.0</t>
  </si>
  <si>
    <t>0</t>
  </si>
  <si>
    <t>Debt Service Cover</t>
  </si>
  <si>
    <t>Cash Generation from Operations</t>
  </si>
  <si>
    <t xml:space="preserve">Sector EBITDA as % Income </t>
  </si>
  <si>
    <t>Adjusted Current Ratio</t>
  </si>
  <si>
    <t>Borrowing as a % of Income</t>
  </si>
  <si>
    <t>Manual Loan Input Checks</t>
  </si>
  <si>
    <t>12 Year Annual Timeline</t>
  </si>
  <si>
    <t>ratio</t>
  </si>
  <si>
    <t>College Self-Assessment Narrative</t>
  </si>
  <si>
    <t xml:space="preserve">Optional </t>
  </si>
  <si>
    <t>Template</t>
  </si>
  <si>
    <t>ToC</t>
  </si>
  <si>
    <t>Ratios</t>
  </si>
  <si>
    <t>Parameters</t>
  </si>
  <si>
    <t>Timeline</t>
  </si>
  <si>
    <t>Outputs</t>
  </si>
  <si>
    <t>Inputs</t>
  </si>
  <si>
    <t>Other</t>
  </si>
  <si>
    <t>Intro</t>
  </si>
  <si>
    <t>EFS/RF</t>
  </si>
  <si>
    <t>Creditors: amounts falling due within one year</t>
  </si>
  <si>
    <t>Other Payments on Account</t>
  </si>
  <si>
    <t>Total Creditors: amounts falling due within one year</t>
  </si>
  <si>
    <t>Creditors: amounts falling due after one year</t>
  </si>
  <si>
    <t>Total Creditors: amounts falling due after one year</t>
  </si>
  <si>
    <t>Provisions</t>
  </si>
  <si>
    <t>Total Provisions</t>
  </si>
  <si>
    <t>Total Reserves</t>
  </si>
  <si>
    <t>Net Balance Sheet Position Check</t>
  </si>
  <si>
    <t xml:space="preserve">Past Service Deficit Employer Contributions </t>
  </si>
  <si>
    <t>Capital Grant received in cash: LEP</t>
  </si>
  <si>
    <t>Capital Grant received in cash: Other Grants</t>
  </si>
  <si>
    <t>Amortisation through I&amp;E: Other Grants</t>
  </si>
  <si>
    <t>Amortisation through I&amp;E: LEP</t>
  </si>
  <si>
    <t>Select Profile</t>
  </si>
  <si>
    <t>Profiles Link</t>
  </si>
  <si>
    <t>GFE</t>
  </si>
  <si>
    <t>AEB</t>
  </si>
  <si>
    <t>ALLB</t>
  </si>
  <si>
    <t>Custom 2</t>
  </si>
  <si>
    <t>Custom 3</t>
  </si>
  <si>
    <t>Custom 4</t>
  </si>
  <si>
    <t>Custom 5</t>
  </si>
  <si>
    <t>Custom 6</t>
  </si>
  <si>
    <t>Custom 7</t>
  </si>
  <si>
    <t>Custom 8</t>
  </si>
  <si>
    <t>Custom 9</t>
  </si>
  <si>
    <t>Custom 10</t>
  </si>
  <si>
    <t>Custom 11</t>
  </si>
  <si>
    <t>Custom 12</t>
  </si>
  <si>
    <t>Custom 13</t>
  </si>
  <si>
    <t>Custom 14</t>
  </si>
  <si>
    <t>Custom 15</t>
  </si>
  <si>
    <t>Custom 16</t>
  </si>
  <si>
    <t>Custom 17</t>
  </si>
  <si>
    <t>Custom 18</t>
  </si>
  <si>
    <t>Custom 19</t>
  </si>
  <si>
    <t>Custom 20</t>
  </si>
  <si>
    <t>Custom 21</t>
  </si>
  <si>
    <t>Custom 22</t>
  </si>
  <si>
    <t>Custom 23</t>
  </si>
  <si>
    <t>Custom 24</t>
  </si>
  <si>
    <t>Custom 25</t>
  </si>
  <si>
    <t xml:space="preserve">Custom 1 </t>
  </si>
  <si>
    <t>Straight line</t>
  </si>
  <si>
    <t>Selected Profile Name matches Profiles List</t>
  </si>
  <si>
    <t>i</t>
  </si>
  <si>
    <t>Annual vs Monthly I&amp;E Selection Dropdown</t>
  </si>
  <si>
    <t>Annual</t>
  </si>
  <si>
    <t>Monthly vs Annual</t>
  </si>
  <si>
    <t>Repayments</t>
  </si>
  <si>
    <t xml:space="preserve">Interest Expense </t>
  </si>
  <si>
    <t>Capital Grant received in cash: OfS</t>
  </si>
  <si>
    <t>Amortisation through I&amp;E: OfS</t>
  </si>
  <si>
    <t>2 possible methods for filling in I&amp;E Inputs:</t>
  </si>
  <si>
    <t>Financial Year Number</t>
  </si>
  <si>
    <t>Current Year Forecast Period Flag</t>
  </si>
  <si>
    <t>Current Year Flag</t>
  </si>
  <si>
    <t>Act vs Forecast Annual Period Index</t>
  </si>
  <si>
    <t>Current Year Actual Period Flag</t>
  </si>
  <si>
    <t>I&amp;E Monthly Profiles - Inputs</t>
  </si>
  <si>
    <t>I&amp;E Monthly Profiles - Forecast Only</t>
  </si>
  <si>
    <t>Capital Expenditure</t>
  </si>
  <si>
    <t>Asset Type</t>
  </si>
  <si>
    <t>Funding Source</t>
  </si>
  <si>
    <t>Fin Source</t>
  </si>
  <si>
    <t>Project Description</t>
  </si>
  <si>
    <t>ESFA</t>
  </si>
  <si>
    <t>OfS</t>
  </si>
  <si>
    <t>LEP</t>
  </si>
  <si>
    <t>Donation of FA</t>
  </si>
  <si>
    <t>Finance Lease</t>
  </si>
  <si>
    <t>Asset Type Assigned Check</t>
  </si>
  <si>
    <t>16-18 Apprenticeship learners</t>
  </si>
  <si>
    <t>19+ Apprenticeship learners</t>
  </si>
  <si>
    <t>Moved to Non-Current Assets</t>
  </si>
  <si>
    <t>Asset Type match</t>
  </si>
  <si>
    <t>£000's
+ve/-ve (Dr/Cr)</t>
  </si>
  <si>
    <t>Revaluation Date</t>
  </si>
  <si>
    <t>Fin Source Match</t>
  </si>
  <si>
    <t>Sale Description</t>
  </si>
  <si>
    <t>Date moved to Assets Held for Sale</t>
  </si>
  <si>
    <t>Net Book Value</t>
  </si>
  <si>
    <t>Date Sold</t>
  </si>
  <si>
    <t>Sign Check</t>
  </si>
  <si>
    <t>BS check threshold (£000's)</t>
  </si>
  <si>
    <t>Non-Current Asset Type</t>
  </si>
  <si>
    <t>Non-Current Asset Type for Capex</t>
  </si>
  <si>
    <t>Equipment Balance check</t>
  </si>
  <si>
    <t>Land &amp; Buildings Balance check</t>
  </si>
  <si>
    <t>Investments Balance check</t>
  </si>
  <si>
    <t xml:space="preserve">Other Non-Current Assets Balance check </t>
  </si>
  <si>
    <t>Assets under Construction Balance check</t>
  </si>
  <si>
    <t>Asset under Construction Description</t>
  </si>
  <si>
    <t>Land &amp; Buildings Sub-Total</t>
  </si>
  <si>
    <t>Equipment Sub-Total</t>
  </si>
  <si>
    <t>Movement from Assets under Construction</t>
  </si>
  <si>
    <t>Date moved from Assets under Construction</t>
  </si>
  <si>
    <t>Assets under Construction - Total Movement</t>
  </si>
  <si>
    <t>Assets held for Sale Balance check</t>
  </si>
  <si>
    <t>Movement from Fixed Assets</t>
  </si>
  <si>
    <t>Gain/Loss on Disposal</t>
  </si>
  <si>
    <t>Total</t>
  </si>
  <si>
    <t>Total Capital Expenditure</t>
  </si>
  <si>
    <t>Total Gain/Loss on Disposal</t>
  </si>
  <si>
    <t>Finance Lease Additions</t>
  </si>
  <si>
    <t>Total Finance Lease Additions</t>
  </si>
  <si>
    <t>Total Disposals</t>
  </si>
  <si>
    <t>Total Assets held for Sale</t>
  </si>
  <si>
    <t>Investments Sub-Total</t>
  </si>
  <si>
    <t>Other Sub-Total</t>
  </si>
  <si>
    <t>Fixed Asset Retentions</t>
  </si>
  <si>
    <t>College Type</t>
  </si>
  <si>
    <t>Transfer 1 - Movement from revaluation reserve to I&amp;E</t>
  </si>
  <si>
    <t>Reserve Accounts</t>
  </si>
  <si>
    <t>Reserve Movement Summary</t>
  </si>
  <si>
    <t>Reserves Selection Check</t>
  </si>
  <si>
    <t xml:space="preserve">Reserves Name Match </t>
  </si>
  <si>
    <t>College UPIN</t>
  </si>
  <si>
    <t>College Code</t>
  </si>
  <si>
    <t>College UKPRN</t>
  </si>
  <si>
    <t>College Details</t>
  </si>
  <si>
    <t>Date Inputs</t>
  </si>
  <si>
    <t>[End of list]</t>
  </si>
  <si>
    <t/>
  </si>
  <si>
    <t>Guide</t>
  </si>
  <si>
    <t>Model calculation method:</t>
  </si>
  <si>
    <t>Automated</t>
  </si>
  <si>
    <t>Total Surplus/Loss on Revaluation</t>
  </si>
  <si>
    <t>Reserves</t>
  </si>
  <si>
    <t>Self Assessment complete</t>
  </si>
  <si>
    <t>Subcontracted Out does not exceed total income</t>
  </si>
  <si>
    <t>Subcontracted in: 14-16 income</t>
  </si>
  <si>
    <t>Of which: subcontracted out: 14-16 income</t>
  </si>
  <si>
    <t>IE-1a-1a</t>
  </si>
  <si>
    <t>IE-1a-1SI</t>
  </si>
  <si>
    <t>IE-1a-1SO</t>
  </si>
  <si>
    <t>ESFA 16-19  other programme funding (exc. Bursaries)</t>
  </si>
  <si>
    <t>Subcontracted in: 16-19 income</t>
  </si>
  <si>
    <t>Of which: subcontracted out 16-19 income</t>
  </si>
  <si>
    <t>IE-1a-2a</t>
  </si>
  <si>
    <t>IE-1a-2b</t>
  </si>
  <si>
    <t>IE-1a-2c</t>
  </si>
  <si>
    <t>IE-1a-2d</t>
  </si>
  <si>
    <t>IE-1a-2e</t>
  </si>
  <si>
    <t>IE-1a-2SI</t>
  </si>
  <si>
    <t>IE-1a-2</t>
  </si>
  <si>
    <t>IE-1a-2SO</t>
  </si>
  <si>
    <t>Total apprenticeship programme funding</t>
  </si>
  <si>
    <t>Total employer contributions contracted apprenticeships</t>
  </si>
  <si>
    <t>Subcontracted in: Apprenticeship income</t>
  </si>
  <si>
    <t>Of which: subcontracted out Apprenticeship income</t>
  </si>
  <si>
    <t>IE-1b-1</t>
  </si>
  <si>
    <t>IE-1b-SI</t>
  </si>
  <si>
    <t>IE-1b</t>
  </si>
  <si>
    <t>IE-1b-SO</t>
  </si>
  <si>
    <t>Adult Education and Training Income (Excluding clawbacks)</t>
  </si>
  <si>
    <t>AEB Funding - Devolved Authorities</t>
  </si>
  <si>
    <t>Total Adult Education and Training Income (Excluding clawbacks)</t>
  </si>
  <si>
    <t>IE-1c-1</t>
  </si>
  <si>
    <t>IE-1c-2</t>
  </si>
  <si>
    <t>IE-1c-3</t>
  </si>
  <si>
    <t>IE-1c-4</t>
  </si>
  <si>
    <t>IE-1c-SI</t>
  </si>
  <si>
    <t>IE-1c</t>
  </si>
  <si>
    <t>IE-1c-SO</t>
  </si>
  <si>
    <t>IE-1d-1</t>
  </si>
  <si>
    <t>IE-1d-2</t>
  </si>
  <si>
    <t>IE-1d-3</t>
  </si>
  <si>
    <t>IE-1d-SI</t>
  </si>
  <si>
    <t>IE-1d</t>
  </si>
  <si>
    <t>IE-1d-SO</t>
  </si>
  <si>
    <t>Bursaries - net income (5% admin fee, ALLB and Free Meals)</t>
  </si>
  <si>
    <t>IE-1f-1</t>
  </si>
  <si>
    <t>IE-1f-2</t>
  </si>
  <si>
    <t>IE-1f-3</t>
  </si>
  <si>
    <t>IE-1f-4</t>
  </si>
  <si>
    <t>IE-1f-5</t>
  </si>
  <si>
    <t>IE-1f-6</t>
  </si>
  <si>
    <t>IE-1f</t>
  </si>
  <si>
    <t>Farming</t>
  </si>
  <si>
    <t>Other commercial income</t>
  </si>
  <si>
    <t>IE-1g-1</t>
  </si>
  <si>
    <t>IE-1g-2</t>
  </si>
  <si>
    <t>IE-1g-3</t>
  </si>
  <si>
    <t>IE-1g-4</t>
  </si>
  <si>
    <t>IE-1g-5</t>
  </si>
  <si>
    <t>IE-1g-6</t>
  </si>
  <si>
    <t>IE-1g</t>
  </si>
  <si>
    <t>IE-1h-1</t>
  </si>
  <si>
    <t>IE-1h-2</t>
  </si>
  <si>
    <t>IE-1h</t>
  </si>
  <si>
    <t>Other operating expenditure costs</t>
  </si>
  <si>
    <t>IE-2a-1</t>
  </si>
  <si>
    <t>IE-2a-2</t>
  </si>
  <si>
    <t>IE-2a-3</t>
  </si>
  <si>
    <t>IE-2a-4</t>
  </si>
  <si>
    <t>IE-2a-5</t>
  </si>
  <si>
    <t>IE-2a-6</t>
  </si>
  <si>
    <t>IE-2a-7</t>
  </si>
  <si>
    <t>IE-2a-8</t>
  </si>
  <si>
    <t>IE-2a</t>
  </si>
  <si>
    <t>IE-2b-1</t>
  </si>
  <si>
    <t>IE-2b-2</t>
  </si>
  <si>
    <t>IE-2b-3</t>
  </si>
  <si>
    <t>IE-2b-4</t>
  </si>
  <si>
    <t>IE-2b-5</t>
  </si>
  <si>
    <t>IE-2b-6</t>
  </si>
  <si>
    <t>IE-2b-7</t>
  </si>
  <si>
    <t>IE-2b-8</t>
  </si>
  <si>
    <t>IE-2b-9</t>
  </si>
  <si>
    <t>IE-2b-10</t>
  </si>
  <si>
    <t>IE-2b</t>
  </si>
  <si>
    <t>Education-Specific EBITDA</t>
  </si>
  <si>
    <t>Emergency Funding (including Solution Funding)</t>
  </si>
  <si>
    <t>IE-4a</t>
  </si>
  <si>
    <t>IE-4b</t>
  </si>
  <si>
    <t>IE-4</t>
  </si>
  <si>
    <t>IE-5a-1</t>
  </si>
  <si>
    <t>IE-5a-2</t>
  </si>
  <si>
    <t>IE-5a-3</t>
  </si>
  <si>
    <t>IE-5a-4</t>
  </si>
  <si>
    <t>IE-5a-5</t>
  </si>
  <si>
    <t>IE-5a</t>
  </si>
  <si>
    <t>IE-5</t>
  </si>
  <si>
    <t>IE-6a-1</t>
  </si>
  <si>
    <t>IE-6a-2</t>
  </si>
  <si>
    <t>IE-6a-3</t>
  </si>
  <si>
    <t>IE-6a</t>
  </si>
  <si>
    <t>IE-6</t>
  </si>
  <si>
    <t>Actuals Monthly Update</t>
  </si>
  <si>
    <t>Loan Opening Balance</t>
  </si>
  <si>
    <t>Manual Inputs Option selected</t>
  </si>
  <si>
    <t>Variable Interest Option</t>
  </si>
  <si>
    <t>Loan Amount</t>
  </si>
  <si>
    <t>End Date</t>
  </si>
  <si>
    <t>Manual Loan Data Inputs</t>
  </si>
  <si>
    <t>Loan Balance check</t>
  </si>
  <si>
    <t>Loan Interest Payment Frequency</t>
  </si>
  <si>
    <t>Loan Interest Compounding Frequency</t>
  </si>
  <si>
    <t>Daily</t>
  </si>
  <si>
    <t>Loan Interest Calculation Option</t>
  </si>
  <si>
    <t>Intr. accrues at Period End</t>
  </si>
  <si>
    <t>Intr. Accrues at Period End</t>
  </si>
  <si>
    <t>Applicable Interest Rate</t>
  </si>
  <si>
    <t>Var Intr. Flag</t>
  </si>
  <si>
    <t>Fixed Intr. Rate</t>
  </si>
  <si>
    <t>Days in Period</t>
  </si>
  <si>
    <t>Intr. compounding periods p.a.</t>
  </si>
  <si>
    <t>Loan Start Date</t>
  </si>
  <si>
    <t>Loan End Date</t>
  </si>
  <si>
    <t>Interest Compound Flag</t>
  </si>
  <si>
    <t>Loan Term Monthly Period Counter</t>
  </si>
  <si>
    <t>First Intr. Pay</t>
  </si>
  <si>
    <t xml:space="preserve">Monthly Period Counter since first interest payment </t>
  </si>
  <si>
    <t>Months per period</t>
  </si>
  <si>
    <t>Periods p.a.</t>
  </si>
  <si>
    <t>Compounded Interest - Calc</t>
  </si>
  <si>
    <t>First Actual Period Flag</t>
  </si>
  <si>
    <t>Actual Period Flag</t>
  </si>
  <si>
    <t>Interest Compound Period Counter</t>
  </si>
  <si>
    <t>Compounded Interest incl. initial balance - Calc</t>
  </si>
  <si>
    <t>Loan No.</t>
  </si>
  <si>
    <t>Loans Manual Inputs Reconciliation</t>
  </si>
  <si>
    <t>Check Flag</t>
  </si>
  <si>
    <t>Manual inputs Reconciliation</t>
  </si>
  <si>
    <t>Compound Frequency</t>
  </si>
  <si>
    <t>Payment Frequency</t>
  </si>
  <si>
    <t>Interest Payment based on payment frequency - Calc</t>
  </si>
  <si>
    <t>Interest Payment Flag</t>
  </si>
  <si>
    <t>Interest Calc Period flag</t>
  </si>
  <si>
    <t>Loan Calc Option</t>
  </si>
  <si>
    <t>Drawdown</t>
  </si>
  <si>
    <t>Sheet</t>
  </si>
  <si>
    <t>Row</t>
  </si>
  <si>
    <t>Column</t>
  </si>
  <si>
    <t>Adjustment for non-cash items</t>
  </si>
  <si>
    <t>Pension contributions costs less contributions paid</t>
  </si>
  <si>
    <t>Release of deferred capital grants</t>
  </si>
  <si>
    <t>Total non-cash adjustments</t>
  </si>
  <si>
    <t>Working capital movements</t>
  </si>
  <si>
    <t>(Increase)/decrease in stocks</t>
  </si>
  <si>
    <t>(Increase)/decrease in debtors</t>
  </si>
  <si>
    <t>Increase/(decrease) in creditors due within one year</t>
  </si>
  <si>
    <t>Movement in bursary deferred income account</t>
  </si>
  <si>
    <t>Total working capital movements</t>
  </si>
  <si>
    <t>Adjustment for investing or financing activities</t>
  </si>
  <si>
    <t>Net interest and finance costs payable/receivable</t>
  </si>
  <si>
    <t>Net cash flow from operating activities</t>
  </si>
  <si>
    <t>Receipts from sale of non-current assets</t>
  </si>
  <si>
    <t>Repayment of capital grants</t>
  </si>
  <si>
    <t>Release of restricted cash</t>
  </si>
  <si>
    <t>Receipt of deferred capital grants</t>
  </si>
  <si>
    <t>Net cash flow from investing activities</t>
  </si>
  <si>
    <t>Interest element of finance lease rental payments</t>
  </si>
  <si>
    <t>New long term loans/Finance leases</t>
  </si>
  <si>
    <t>Capital element of finance lease rental payments</t>
  </si>
  <si>
    <t>Net cash flow from financing activities</t>
  </si>
  <si>
    <t>Increase/(decrease) in cash and cash equivalents</t>
  </si>
  <si>
    <t>Analysis of cash and cash equivalents</t>
  </si>
  <si>
    <t>Cash flows from Investing Activities</t>
  </si>
  <si>
    <t>Cash Flow from Operating Activities</t>
  </si>
  <si>
    <t>Cash flows from Financing Activities</t>
  </si>
  <si>
    <t>Cash Flow</t>
  </si>
  <si>
    <t>IE</t>
  </si>
  <si>
    <t>Total 14-19 Income</t>
  </si>
  <si>
    <t>Surplus/(deficit) before ITDA Reconciliation</t>
  </si>
  <si>
    <t>Reconciliation</t>
  </si>
  <si>
    <t>Total surplus/(deficit) for the year Reconciliation</t>
  </si>
  <si>
    <t>Balance Sheet</t>
  </si>
  <si>
    <t>Net Current Assets/(Liabilities)</t>
  </si>
  <si>
    <t>Total assets less current liabilities</t>
  </si>
  <si>
    <t>Net Balance Sheet Position</t>
  </si>
  <si>
    <t>Balance Sheet Reconciliation</t>
  </si>
  <si>
    <t>Income &amp; Expenditure</t>
  </si>
  <si>
    <t>Yes/No</t>
  </si>
  <si>
    <t>(Increase)/decrease in accrued income</t>
  </si>
  <si>
    <t>Links to inputs</t>
  </si>
  <si>
    <t>Increase/(decrease) in Accruals</t>
  </si>
  <si>
    <t>Payments made towards Assets under Construction</t>
  </si>
  <si>
    <t>% Grant Funded</t>
  </si>
  <si>
    <t>Total Gain/Loss on Disposals</t>
  </si>
  <si>
    <t>(Increase)/decrease in prepayments</t>
  </si>
  <si>
    <t xml:space="preserve">Increase/(decrease) in corporation tax </t>
  </si>
  <si>
    <t>Adjusted Income and Expenditure for Ratio Calculation</t>
  </si>
  <si>
    <t>Adjusted Income</t>
  </si>
  <si>
    <t>Total Capital Expenditure Donations</t>
  </si>
  <si>
    <t>Capital Expenditure Donations</t>
  </si>
  <si>
    <t>Liquidity</t>
  </si>
  <si>
    <t>Current ratio</t>
  </si>
  <si>
    <t>Gearing</t>
  </si>
  <si>
    <t>Debt Service Cover Ratio</t>
  </si>
  <si>
    <t>Borrowing</t>
  </si>
  <si>
    <t>Margin</t>
  </si>
  <si>
    <t>Adjusted Operating Surplus (Deficit)</t>
  </si>
  <si>
    <t>Adjusted Operating Ratio</t>
  </si>
  <si>
    <t xml:space="preserve">EBITDA - standard </t>
  </si>
  <si>
    <t xml:space="preserve">EBITDA - education specific </t>
  </si>
  <si>
    <t>Income</t>
  </si>
  <si>
    <t>Year on year (month on month) increase - income</t>
  </si>
  <si>
    <t>Dependency on all other income</t>
  </si>
  <si>
    <t>Income Generating Activities</t>
  </si>
  <si>
    <t xml:space="preserve">Contribution from other income generating activities </t>
  </si>
  <si>
    <t>Expenditure</t>
  </si>
  <si>
    <t>Administration costs as a % of total expenditure 
(before depreciation, interest and tax costs)</t>
  </si>
  <si>
    <t>Staffing</t>
  </si>
  <si>
    <t>days</t>
  </si>
  <si>
    <t>Mid Year Merger Details</t>
  </si>
  <si>
    <t>Name of College merged with</t>
  </si>
  <si>
    <t>Total Operating Income</t>
  </si>
  <si>
    <t>Total surplus/(deficit) as a % of adjusted income</t>
  </si>
  <si>
    <t>Dependency on 14-19 income</t>
  </si>
  <si>
    <t>Cash Flow summary</t>
  </si>
  <si>
    <t>Cash Flow Graphs</t>
  </si>
  <si>
    <t>Increase/(decrease) in holiday and sabbatical pay accrual</t>
  </si>
  <si>
    <t>Covid support (incl. CJRS and Provider Relief Scheme)</t>
  </si>
  <si>
    <t>Total Staff Costs (excl. restructuring)</t>
  </si>
  <si>
    <t>SOCI</t>
  </si>
  <si>
    <t>Total expenditure</t>
  </si>
  <si>
    <t>Surplus/deficit subtotal</t>
  </si>
  <si>
    <t>Release of capital grants</t>
  </si>
  <si>
    <t>Emergency Funding &amp; RF</t>
  </si>
  <si>
    <t>Surplus/deficit before ITDA</t>
  </si>
  <si>
    <t>Total ITDA</t>
  </si>
  <si>
    <t>Surplus/(deficit) after ITDA</t>
  </si>
  <si>
    <t>CASH FLOW</t>
  </si>
  <si>
    <t>Operating surplus/deficit</t>
  </si>
  <si>
    <t>Net investment receipts and payments</t>
  </si>
  <si>
    <t>CFADS</t>
  </si>
  <si>
    <t>Net financing receipts and payments</t>
  </si>
  <si>
    <t>Total cash movement</t>
  </si>
  <si>
    <t>Opening cash</t>
  </si>
  <si>
    <t>Movement in restricted cash</t>
  </si>
  <si>
    <t>Closing cash</t>
  </si>
  <si>
    <t>BALANCE SHEET</t>
  </si>
  <si>
    <t>Net current assets</t>
  </si>
  <si>
    <t>Non current assets</t>
  </si>
  <si>
    <t>Non current liabilities and provisions</t>
  </si>
  <si>
    <t>Total net assets</t>
  </si>
  <si>
    <t>FEC Benchmarks</t>
  </si>
  <si>
    <t>Benchmark</t>
  </si>
  <si>
    <t>Definition</t>
  </si>
  <si>
    <t>Measure</t>
  </si>
  <si>
    <t>&gt;1</t>
  </si>
  <si>
    <t>Adjusted Operating Surplus/Deficit (as a % of income)</t>
  </si>
  <si>
    <t>&gt;2</t>
  </si>
  <si>
    <t>Net cashflow from operating activities divided by the total of interest paid, interest element of finance leases, repayment of amount borrowed and capital element of finance leases</t>
  </si>
  <si>
    <t>Surplus/(deficit) on continuing operations after depreciation and before exceptional items, tax, pension finance income and FRS 102 adjustments, divided by adjusted income</t>
  </si>
  <si>
    <t>&gt; 25 (all months)</t>
  </si>
  <si>
    <t>Total Staff costs as % of Adjusted Income</t>
  </si>
  <si>
    <t>Debt Service Cover (debt and finance lease repayments/interest costs as a % of operating cash flow)</t>
  </si>
  <si>
    <t>&gt;= 2.0</t>
  </si>
  <si>
    <t>&gt;=1.8</t>
  </si>
  <si>
    <t>&gt;=1.6</t>
  </si>
  <si>
    <t>&gt;=1.4</t>
  </si>
  <si>
    <t>&gt;=1.2</t>
  </si>
  <si>
    <t>&gt;=1.0</t>
  </si>
  <si>
    <t>&gt;=0.9</t>
  </si>
  <si>
    <t>&gt;=0.8</t>
  </si>
  <si>
    <t>&gt;=0.7</t>
  </si>
  <si>
    <t>&gt;=0.6</t>
  </si>
  <si>
    <t>&lt;0.6</t>
  </si>
  <si>
    <t>&gt;=10%</t>
  </si>
  <si>
    <t>&gt;=9%</t>
  </si>
  <si>
    <t>&gt;=8%</t>
  </si>
  <si>
    <t>&gt;=7%</t>
  </si>
  <si>
    <t>&gt;=6%</t>
  </si>
  <si>
    <t>&gt;=5%</t>
  </si>
  <si>
    <t>&gt;=4%</t>
  </si>
  <si>
    <t>&gt;=3%</t>
  </si>
  <si>
    <t>&gt;=2%</t>
  </si>
  <si>
    <t>&gt;=1%</t>
  </si>
  <si>
    <t>&lt;1%</t>
  </si>
  <si>
    <t>&gt;=2.0</t>
  </si>
  <si>
    <t>&gt;/= 10%</t>
  </si>
  <si>
    <t>&gt;/= 9%</t>
  </si>
  <si>
    <t>&gt;/= 8%</t>
  </si>
  <si>
    <t>&gt;/= 7%</t>
  </si>
  <si>
    <t>&gt;/= 6%</t>
  </si>
  <si>
    <t>&gt;/= 5%</t>
  </si>
  <si>
    <t>&gt;/= 4%</t>
  </si>
  <si>
    <t>&gt;/= 3%</t>
  </si>
  <si>
    <t>&gt;/= 2%</t>
  </si>
  <si>
    <t>&gt;/= 1%</t>
  </si>
  <si>
    <t>&lt;10%</t>
  </si>
  <si>
    <t>&lt;20%</t>
  </si>
  <si>
    <t>&lt;30%</t>
  </si>
  <si>
    <t>&lt;35%</t>
  </si>
  <si>
    <t>&lt;40%</t>
  </si>
  <si>
    <t>&lt;45%</t>
  </si>
  <si>
    <t>&lt;50%</t>
  </si>
  <si>
    <t>&lt;55%</t>
  </si>
  <si>
    <t>&lt;60%</t>
  </si>
  <si>
    <t>&gt;60%</t>
  </si>
  <si>
    <t>&lt; 0.5</t>
  </si>
  <si>
    <t>Dash Data</t>
  </si>
  <si>
    <t>Cash Flow Summary</t>
  </si>
  <si>
    <t>Working Capital Summary</t>
  </si>
  <si>
    <t>Other Liabilities (positive)</t>
  </si>
  <si>
    <t>Cash Days in Hand</t>
  </si>
  <si>
    <t>&gt;1.4</t>
  </si>
  <si>
    <t xml:space="preserve">Current assets (excluding restricted cash from disposal of fixed assets held for future reinvestment and assets held for resale) divided by current liabilities (excluding deferred capital grants and holiday pay accruals) </t>
  </si>
  <si>
    <t>Pay costs (as a % of income)</t>
  </si>
  <si>
    <t xml:space="preserve">Total staff costs (teaching and support, including contract tuition services but excluding restructuring and FRS102 pensions adjustments) as a percentage of adjusted income (excluding franchised provision income) </t>
  </si>
  <si>
    <t>&lt;65% (GFE)
&lt;70% (SFC)</t>
  </si>
  <si>
    <t>Financial grade as defined by ESFA (to note this is currently subject to review)</t>
  </si>
  <si>
    <t>Financial Health Grade</t>
  </si>
  <si>
    <t>Good or outstanding</t>
  </si>
  <si>
    <t>Min 2</t>
  </si>
  <si>
    <t>Financial Statements</t>
  </si>
  <si>
    <t>Financial Analysis - Ratios</t>
  </si>
  <si>
    <t>Financing</t>
  </si>
  <si>
    <t>Solvency</t>
  </si>
  <si>
    <t>The first time you use the CFFR</t>
  </si>
  <si>
    <t>Monthly inputs</t>
  </si>
  <si>
    <t>SOLVENCY</t>
  </si>
  <si>
    <t>FINANCING</t>
  </si>
  <si>
    <t>PERFORMANCE</t>
  </si>
  <si>
    <t>FINANCAL HEALTH</t>
  </si>
  <si>
    <t>DEBT</t>
  </si>
  <si>
    <t>Dashboard</t>
  </si>
  <si>
    <t>Opening Balances</t>
  </si>
  <si>
    <t>WC Dashboard</t>
  </si>
  <si>
    <t>I&amp;E Profiles</t>
  </si>
  <si>
    <t>I&amp;E Monthly</t>
  </si>
  <si>
    <t xml:space="preserve">Financial Health Grade  </t>
  </si>
  <si>
    <t>BS Forecasts</t>
  </si>
  <si>
    <t>Learner Numbers</t>
  </si>
  <si>
    <t>Apprenticeship Learners</t>
  </si>
  <si>
    <t>Guidance below</t>
  </si>
  <si>
    <t>Variable Annual Interest Rate Option (%)</t>
  </si>
  <si>
    <t>First Forecast Interest Payment flag</t>
  </si>
  <si>
    <t>Date of first forecast interest payment</t>
  </si>
  <si>
    <t>First Forecast Interest Payment Date</t>
  </si>
  <si>
    <t>Amount due After One Year</t>
  </si>
  <si>
    <t>Amount Due Within One Year</t>
  </si>
  <si>
    <t>Min Cash Position</t>
  </si>
  <si>
    <t>Breach of Cash Position Covenant Flag</t>
  </si>
  <si>
    <t>Min DSCR</t>
  </si>
  <si>
    <t>Breach of DSCR Covenant Flag</t>
  </si>
  <si>
    <t>Loan Covenant Breach Flag</t>
  </si>
  <si>
    <t>Amount Due Within One Year after Covenant Breach Adjustment</t>
  </si>
  <si>
    <t>Amounts due within one year</t>
  </si>
  <si>
    <t>Investing Inputs</t>
  </si>
  <si>
    <t>Capital Expenditure Projects data - monthly</t>
  </si>
  <si>
    <t>NCA Accounts</t>
  </si>
  <si>
    <t>Learners and Staff</t>
  </si>
  <si>
    <t>Total Staff FTE</t>
  </si>
  <si>
    <t>Staff FTE</t>
  </si>
  <si>
    <t>Total Apprenticeship learners</t>
  </si>
  <si>
    <t>Total 16-19 Leaners</t>
  </si>
  <si>
    <t>Includes Non-Current Asset inputs on a project by project basis. Non-Current Asset Account balances are derived based on the project data inputs.</t>
  </si>
  <si>
    <t>Learner and FTE Numbers</t>
  </si>
  <si>
    <t>Loan Data Table</t>
  </si>
  <si>
    <t>Interest rates can be provided as an annual interest rate within the table or as a variable interest rate across the timeline provided.</t>
  </si>
  <si>
    <t>Notes</t>
  </si>
  <si>
    <t>Annual inputs, with monthly allocations based on input profiles.</t>
  </si>
  <si>
    <t>Movement amount, date and description</t>
  </si>
  <si>
    <t>Disposal amount and Net Book Value, date, and description</t>
  </si>
  <si>
    <t>Automated Interest Calculations Option</t>
  </si>
  <si>
    <t>Some of the key inputs that are needed for the automated calculation are described below:</t>
  </si>
  <si>
    <t>Select a yes/no answer from the dropdown menu to state if the automated option should be applied.</t>
  </si>
  <si>
    <t>Annual 16-19, Apprenticeships, and Staff FTE numbers</t>
  </si>
  <si>
    <t>Steps to complete the CFFR:</t>
  </si>
  <si>
    <t>Optional completion notes:</t>
  </si>
  <si>
    <t>Table of Contents</t>
  </si>
  <si>
    <t>Version</t>
  </si>
  <si>
    <t>Input Sheets Guidelines</t>
  </si>
  <si>
    <t>Output Sheets Description</t>
  </si>
  <si>
    <t>Fin Stat</t>
  </si>
  <si>
    <t>An Output sheet laying out financial statements</t>
  </si>
  <si>
    <t>An output sheet calculating performance ratios based on Financial Statements</t>
  </si>
  <si>
    <t>Optional output notes:</t>
  </si>
  <si>
    <t>I&amp;E Inputs Completion Steps</t>
  </si>
  <si>
    <t>Loans Completion Steps</t>
  </si>
  <si>
    <t>Provides a snapshot of cash flow position over time including graphs and a summary of the Cash Flow Statement</t>
  </si>
  <si>
    <t xml:space="preserve">
Summary of annual Financial Statements
Total Income Mix vs Staff Costs % of Total Income Graph
</t>
  </si>
  <si>
    <t>Summary of debt breakdown
Debt breakdown graph showing:
- Overdrafts
- EFS/RF loans
- Commercial loans</t>
  </si>
  <si>
    <t>Graphs for:
- DSCR
- Borrowing % of Income</t>
  </si>
  <si>
    <t>Graphs for:
- Adjusted cash days (monthly)
- Adjusted current ratio</t>
  </si>
  <si>
    <t>Tab Styles</t>
  </si>
  <si>
    <t>Input</t>
  </si>
  <si>
    <t>Optional input</t>
  </si>
  <si>
    <t>Calc</t>
  </si>
  <si>
    <t>Input cells : data needs to be entered by the user.</t>
  </si>
  <si>
    <t>Optional input cells : data may be entered here for additional/optional information (e.g. for a further 8 year forecast)</t>
  </si>
  <si>
    <t>Calculation cells that are automatically calculated</t>
  </si>
  <si>
    <t>Calc - different</t>
  </si>
  <si>
    <t>This darker shade for calculation cells denotes calculation of totals or a different formula within a calculation block.</t>
  </si>
  <si>
    <t>Unassigned</t>
  </si>
  <si>
    <t>Unassigned cells or placeholders that do not contain any data.</t>
  </si>
  <si>
    <t>Cell Styles</t>
  </si>
  <si>
    <t>Input sheets</t>
  </si>
  <si>
    <t>Optional input sheet</t>
  </si>
  <si>
    <t>Output sheets</t>
  </si>
  <si>
    <t>Other sheets</t>
  </si>
  <si>
    <t>Yellow tabs denote the main data entry sheets for users to fill in.</t>
  </si>
  <si>
    <t>Green tabs are for optional input sheets that add additional flexibility for users, particularly for filling in I&amp;E data with annual rather than monthly forecasts. They only need to be filled in if this particular approach of data entry is used.</t>
  </si>
  <si>
    <t>User Template</t>
  </si>
  <si>
    <t>This is unprotected sheet that can be used by users for their own  calculations.</t>
  </si>
  <si>
    <t>Cash and investments divided by annual operating costs and interest charges, then multiplied by 365 days.
Effectively a measure of how many days it would take to exhaust cash reserves if all income were to stop.</t>
  </si>
  <si>
    <t>Surplus/Loss amount, date and description</t>
  </si>
  <si>
    <t xml:space="preserve">Cash Flow based on I&amp;E and BS inputs. 
Indirect cash flow derivation applied for operating cash flows.
</t>
  </si>
  <si>
    <t>Graphs for:
- EBITDA ratio (education specific)
- Adj. Operating Surplus/Deficit Ratio</t>
  </si>
  <si>
    <t>IE-1f-7</t>
  </si>
  <si>
    <t>IE-1a-1</t>
  </si>
  <si>
    <t>Capital grant repayments: OfS</t>
  </si>
  <si>
    <t>Capital grant repayments: LEP</t>
  </si>
  <si>
    <t>Capital grant repayments: Other Grants</t>
  </si>
  <si>
    <t>Assets Held for Sale Sub-Total</t>
  </si>
  <si>
    <t>Interest Payable Closing Balance - Calc</t>
  </si>
  <si>
    <t>Cash and cash equivalents at beginning of the period</t>
  </si>
  <si>
    <t>Cash and cash equivalents at end of the period</t>
  </si>
  <si>
    <t>Days Parameters</t>
  </si>
  <si>
    <t>Days per year</t>
  </si>
  <si>
    <t>Days per month</t>
  </si>
  <si>
    <t>Annual timeline reconciliation</t>
  </si>
  <si>
    <t>I&amp;E Annual</t>
  </si>
  <si>
    <t>Movement in Fixed Assets Retentions</t>
  </si>
  <si>
    <t>European Income</t>
  </si>
  <si>
    <t>ESFA - European Social Fund - direct</t>
  </si>
  <si>
    <t>Other European Funding</t>
  </si>
  <si>
    <t>Subcontracted in - European Funding</t>
  </si>
  <si>
    <t>Total European Funding</t>
  </si>
  <si>
    <t>Of which: subcontracted out European Funding income</t>
  </si>
  <si>
    <t>IE-1e-1</t>
  </si>
  <si>
    <t>IE-1e-2</t>
  </si>
  <si>
    <t>IE-1e-SI</t>
  </si>
  <si>
    <t>IE-1e</t>
  </si>
  <si>
    <t>IE-1e-SO</t>
  </si>
  <si>
    <t>Net Book Value of Disposals</t>
  </si>
  <si>
    <t>Description of Output Sheets:</t>
  </si>
  <si>
    <t>AEB Clawback</t>
  </si>
  <si>
    <t>Movement in AEB Clawback</t>
  </si>
  <si>
    <t>Total gifts and donated assets</t>
  </si>
  <si>
    <t>Donated Assets</t>
  </si>
  <si>
    <t>Balance Sheet Position</t>
  </si>
  <si>
    <t>Total Capital Expenditure from Finance Leases</t>
  </si>
  <si>
    <t>FRS102 adj. - LGPS and EPP current service costs (non-cash)</t>
  </si>
  <si>
    <t>Gross Sale Value</t>
  </si>
  <si>
    <t>Accrued Interest Expense during current Period - Calc</t>
  </si>
  <si>
    <t>Due Interest Payment - Calc</t>
  </si>
  <si>
    <t>Other staff costs</t>
  </si>
  <si>
    <t>Net Operating Income</t>
  </si>
  <si>
    <t>Total Operating Expenditure</t>
  </si>
  <si>
    <t xml:space="preserve">Total Operating Expenditure </t>
  </si>
  <si>
    <t>Adjusted cash days in hand</t>
  </si>
  <si>
    <t>Restructuring Facility related expenditure</t>
  </si>
  <si>
    <t>Income and Expenditure</t>
  </si>
  <si>
    <t>IE-2a-9</t>
  </si>
  <si>
    <t>FRS102 adj. - LGPS and EPP net interest charge (non-cash)</t>
  </si>
  <si>
    <t>IE-7</t>
  </si>
  <si>
    <t>IE-7a</t>
  </si>
  <si>
    <t>Interest payments</t>
  </si>
  <si>
    <t>Short Term vs. Long Term Debt</t>
  </si>
  <si>
    <t>Trade creditors days - non-pay expenditure</t>
  </si>
  <si>
    <t>Dependency on European Income</t>
  </si>
  <si>
    <t>Operating Expenditure excl. staff Restructuring Costs</t>
  </si>
  <si>
    <t>Trade debtor days -excluding funding body grants</t>
  </si>
  <si>
    <t>Links</t>
  </si>
  <si>
    <t>IE-7b</t>
  </si>
  <si>
    <t>Total Comprehensive Income</t>
  </si>
  <si>
    <t>Actuarial gain/(loss) on pensions adjustment</t>
  </si>
  <si>
    <t>Transfers (to)/from revaluation reserve adjustment</t>
  </si>
  <si>
    <t>IE-8</t>
  </si>
  <si>
    <t>IE-8a</t>
  </si>
  <si>
    <t>Dividends received</t>
  </si>
  <si>
    <t>Dividends received from investment in JVs</t>
  </si>
  <si>
    <t>Income &amp; Expenditure linking to I&amp;E inputs ("I&amp;E Annual" sheet)</t>
  </si>
  <si>
    <t>Interest Payable Amount due after one year</t>
  </si>
  <si>
    <t>Interest Payable Amount due within one year</t>
  </si>
  <si>
    <t>Interest Payable Amount due within one year after Covenant Breach Adjustment</t>
  </si>
  <si>
    <t>Interest Payable Closing Balance due within one year</t>
  </si>
  <si>
    <t>Year label</t>
  </si>
  <si>
    <t>Y1</t>
  </si>
  <si>
    <t>Y2</t>
  </si>
  <si>
    <t>Y3</t>
  </si>
  <si>
    <t>Y4</t>
  </si>
  <si>
    <t>Column letter(s)</t>
  </si>
  <si>
    <t>Ref</t>
  </si>
  <si>
    <t>Period</t>
  </si>
  <si>
    <t>DataType</t>
  </si>
  <si>
    <t>Actual/Forecast</t>
  </si>
  <si>
    <t>ErrorResult</t>
  </si>
  <si>
    <t>Welcome to the College Financial Forecast Return</t>
  </si>
  <si>
    <t>Movement in Recovery of ESFA/DA Funding</t>
  </si>
  <si>
    <t>Capital Expenditure Finance Leases</t>
  </si>
  <si>
    <t>Donated Assets adjustment</t>
  </si>
  <si>
    <t>New long term loans</t>
  </si>
  <si>
    <t>Actuarial (gain)/loss</t>
  </si>
  <si>
    <t>Error rounding</t>
  </si>
  <si>
    <t>Maximum number of months of actual data:</t>
  </si>
  <si>
    <t xml:space="preserve">General </t>
  </si>
  <si>
    <t>Maximum last date of actuals:</t>
  </si>
  <si>
    <t>First and Last month in the financial year</t>
  </si>
  <si>
    <t>Last Month (July)</t>
  </si>
  <si>
    <t>First Month (August)</t>
  </si>
  <si>
    <t>Month no</t>
  </si>
  <si>
    <t>First day of monthly actuals:</t>
  </si>
  <si>
    <t>Last day of monthly actuals:</t>
  </si>
  <si>
    <t>First day of monthly actuals calculated:</t>
  </si>
  <si>
    <t>Last day of monthly actuals calculated:</t>
  </si>
  <si>
    <t>Increase/(decrease) in creditors due after one year</t>
  </si>
  <si>
    <t>Differences</t>
  </si>
  <si>
    <t>Ref codes</t>
  </si>
  <si>
    <t>MetaData count</t>
  </si>
  <si>
    <t>Loans inputs flag</t>
  </si>
  <si>
    <t>Investing Inputs flag</t>
  </si>
  <si>
    <t>BS Forecasts inputs flag</t>
  </si>
  <si>
    <t xml:space="preserve">I&amp;E inputs flag </t>
  </si>
  <si>
    <t>Opening Balances Inputs Flag</t>
  </si>
  <si>
    <t>Surplus/(loss) on Revaluation of Investments</t>
  </si>
  <si>
    <t>Debtors falling due after one year</t>
  </si>
  <si>
    <t>(Increase)/decrease in debtors due after one year</t>
  </si>
  <si>
    <t>Checks</t>
  </si>
  <si>
    <t>Warning Flags</t>
  </si>
  <si>
    <t>Year 1 reconciliation against 4 year timeline</t>
  </si>
  <si>
    <t>Year 2 reconciliation against 4 year timeline</t>
  </si>
  <si>
    <t>Year 3 reconciliation against 4 year timeline</t>
  </si>
  <si>
    <t>Year 1 reconciliation against 12 year timeline</t>
  </si>
  <si>
    <t>Year 2 reconciliation against 12 year timeline</t>
  </si>
  <si>
    <t>Year 3 reconciliation against 12 year timeline</t>
  </si>
  <si>
    <t>Previous Year reconciliation against 12 year timeline</t>
  </si>
  <si>
    <t>Profile Selected</t>
  </si>
  <si>
    <t>Monthly data reconciliation to 12 year timeline</t>
  </si>
  <si>
    <t>Monthly data matches the 4 year annual data</t>
  </si>
  <si>
    <t>Movement in short term investments</t>
  </si>
  <si>
    <t>Cash and Cash Equivalents</t>
  </si>
  <si>
    <t>Other Taxation and Social Security</t>
  </si>
  <si>
    <t>Movement in Other Taxation and Social Security</t>
  </si>
  <si>
    <t>Cash paid</t>
  </si>
  <si>
    <t>Provisions made (released)</t>
  </si>
  <si>
    <t>Other provisions cash payment</t>
  </si>
  <si>
    <t>IE-2b-11</t>
  </si>
  <si>
    <t>Other Provisions adjustment</t>
  </si>
  <si>
    <t>-ve/+ve (Cr/Dr)</t>
  </si>
  <si>
    <t>Sign Warnings</t>
  </si>
  <si>
    <t>Sub-Total</t>
  </si>
  <si>
    <t>Accrued Interest Opening Balance Reconciliation</t>
  </si>
  <si>
    <t>Reconciliation Table against Opening Balances</t>
  </si>
  <si>
    <t>Land &amp; Buildings Finance Leases Sub-Total</t>
  </si>
  <si>
    <t>Equipment Finance Leases Sub-Total</t>
  </si>
  <si>
    <t>Assets Under Construction Finance Leases Sub-Total</t>
  </si>
  <si>
    <t>Land &amp; Buildings Donations Sub-Total</t>
  </si>
  <si>
    <t>Equipment Donations Sub-Total</t>
  </si>
  <si>
    <t>Assets Under Construction Donations Sub-Total</t>
  </si>
  <si>
    <t>Revaluation/ Fair Value Adjustment Description</t>
  </si>
  <si>
    <t>Self-funded</t>
  </si>
  <si>
    <t>Other Donations Sub-Total</t>
  </si>
  <si>
    <t>Other - Finance Leases Sub-Total</t>
  </si>
  <si>
    <t>Payments made towards Other Non-Current Assets</t>
  </si>
  <si>
    <t>Transaction date within model timeline</t>
  </si>
  <si>
    <t>Transfer 3 - Movements between Reserves</t>
  </si>
  <si>
    <t>NCA Reclassification 1 - Movements between NCA Accounts</t>
  </si>
  <si>
    <t>NCA Reclassification 2 - Movements between NCA Accounts</t>
  </si>
  <si>
    <t>Reclassification to the following NCA Account:</t>
  </si>
  <si>
    <t>Reclassification from the following NCA Account:</t>
  </si>
  <si>
    <t>NCA Reclassification 3 - Movements between NCA Accounts</t>
  </si>
  <si>
    <t>NCA Accounts Reclassification</t>
  </si>
  <si>
    <t>NCA Reclassification</t>
  </si>
  <si>
    <t>Surplus/Loss on Revaluation/Fair Value Adjustment</t>
  </si>
  <si>
    <t>Capital grant repayments: ESFA</t>
  </si>
  <si>
    <t>LE-1a</t>
  </si>
  <si>
    <t>LE-1b</t>
  </si>
  <si>
    <t>LE-1</t>
  </si>
  <si>
    <t>LE-2a</t>
  </si>
  <si>
    <t>LE-2b</t>
  </si>
  <si>
    <t>LE-2</t>
  </si>
  <si>
    <t>ST-1a</t>
  </si>
  <si>
    <t>ST-1b</t>
  </si>
  <si>
    <t>ST-1</t>
  </si>
  <si>
    <t>IE-1h-3</t>
  </si>
  <si>
    <t>IE-1i-1</t>
  </si>
  <si>
    <t>IE-1i-2</t>
  </si>
  <si>
    <t>IE-1i-3</t>
  </si>
  <si>
    <t>IE-1i</t>
  </si>
  <si>
    <t>IE-1</t>
  </si>
  <si>
    <t>IE-2c-1</t>
  </si>
  <si>
    <t>IE-2c-2</t>
  </si>
  <si>
    <t>IE-2c</t>
  </si>
  <si>
    <t>IE-2</t>
  </si>
  <si>
    <t>IE-3</t>
  </si>
  <si>
    <t>IE-6a-1a</t>
  </si>
  <si>
    <t>IE-6a-1b</t>
  </si>
  <si>
    <t>Total Other Income from Provision of Education and Training</t>
  </si>
  <si>
    <t>ESFA funding: 14-16 income</t>
  </si>
  <si>
    <t>EFS/RF Loans</t>
  </si>
  <si>
    <t>B-1a-OB</t>
  </si>
  <si>
    <t>B-1b-OB</t>
  </si>
  <si>
    <t>B-1c-OB</t>
  </si>
  <si>
    <t>B-1d-OB</t>
  </si>
  <si>
    <t>B-1e-OB</t>
  </si>
  <si>
    <t>B-1f-OB</t>
  </si>
  <si>
    <t>B-1g-OB</t>
  </si>
  <si>
    <t>B-1-OB</t>
  </si>
  <si>
    <t>B-2a-OB</t>
  </si>
  <si>
    <t>B-2b-OB</t>
  </si>
  <si>
    <t>B-2c-OB</t>
  </si>
  <si>
    <t>B-2d-OB</t>
  </si>
  <si>
    <t>B-2e-OB</t>
  </si>
  <si>
    <t>B-2f-OB</t>
  </si>
  <si>
    <t>B-2g-OB</t>
  </si>
  <si>
    <t>B-2h-OB</t>
  </si>
  <si>
    <t>B-2i-OB</t>
  </si>
  <si>
    <t>B-2j-OB</t>
  </si>
  <si>
    <t>B-2-OB</t>
  </si>
  <si>
    <t>B-3a-OB</t>
  </si>
  <si>
    <t>B-3b-OB</t>
  </si>
  <si>
    <t>B-3c-OB</t>
  </si>
  <si>
    <t>B-3d-OB</t>
  </si>
  <si>
    <t>B-3e-OB</t>
  </si>
  <si>
    <t>B-3f-OB</t>
  </si>
  <si>
    <t>B-3g-OB</t>
  </si>
  <si>
    <t>B-3h-OB</t>
  </si>
  <si>
    <t>B-3i-OB</t>
  </si>
  <si>
    <t>B-3j-OB</t>
  </si>
  <si>
    <t>B-3k-OB</t>
  </si>
  <si>
    <t>B-3l-OB</t>
  </si>
  <si>
    <t>B-3m-OB</t>
  </si>
  <si>
    <t>B-3n-OB</t>
  </si>
  <si>
    <t>B-3o-OB</t>
  </si>
  <si>
    <t>B-3p-OB</t>
  </si>
  <si>
    <t>B-3q-OB</t>
  </si>
  <si>
    <t>B-3r-OB</t>
  </si>
  <si>
    <t>B-3-OB</t>
  </si>
  <si>
    <t>B-6a-OB</t>
  </si>
  <si>
    <t>B-6b-OB</t>
  </si>
  <si>
    <t>B-6c-OB</t>
  </si>
  <si>
    <t>B-6d-OB</t>
  </si>
  <si>
    <t>B-6e-OB</t>
  </si>
  <si>
    <t>B-6f-OB</t>
  </si>
  <si>
    <t>B-6-OB</t>
  </si>
  <si>
    <t>B-7a-OB</t>
  </si>
  <si>
    <t>B-7b-OB</t>
  </si>
  <si>
    <t>B-7c-OB</t>
  </si>
  <si>
    <t>B-7d-OB</t>
  </si>
  <si>
    <t>B-7-OB</t>
  </si>
  <si>
    <t>B-9a-OB</t>
  </si>
  <si>
    <t>B-9b-OB</t>
  </si>
  <si>
    <t>B-9c-OB</t>
  </si>
  <si>
    <t>B-9-OB</t>
  </si>
  <si>
    <t>CP1</t>
  </si>
  <si>
    <t>CP2</t>
  </si>
  <si>
    <t>CP3</t>
  </si>
  <si>
    <t>CP4</t>
  </si>
  <si>
    <t>CP5</t>
  </si>
  <si>
    <t>CP6</t>
  </si>
  <si>
    <t>CP7</t>
  </si>
  <si>
    <t>CP8</t>
  </si>
  <si>
    <t>CP9</t>
  </si>
  <si>
    <t>CP10</t>
  </si>
  <si>
    <t>CP11</t>
  </si>
  <si>
    <t>CP12</t>
  </si>
  <si>
    <t>CP13</t>
  </si>
  <si>
    <t>CP14</t>
  </si>
  <si>
    <t>CP15</t>
  </si>
  <si>
    <t>AC1</t>
  </si>
  <si>
    <t>AC2</t>
  </si>
  <si>
    <t>AC3</t>
  </si>
  <si>
    <t>AC4</t>
  </si>
  <si>
    <t>AC5</t>
  </si>
  <si>
    <t>AC6</t>
  </si>
  <si>
    <t>AC7</t>
  </si>
  <si>
    <t>AC8</t>
  </si>
  <si>
    <t>AC9</t>
  </si>
  <si>
    <t>AC10</t>
  </si>
  <si>
    <t>AC11</t>
  </si>
  <si>
    <t>AC12</t>
  </si>
  <si>
    <t>AC13</t>
  </si>
  <si>
    <t>AC14</t>
  </si>
  <si>
    <t>AC15</t>
  </si>
  <si>
    <t>RV1</t>
  </si>
  <si>
    <t>RV2</t>
  </si>
  <si>
    <t>RV3</t>
  </si>
  <si>
    <t>RV4</t>
  </si>
  <si>
    <t>RV5</t>
  </si>
  <si>
    <t>RV6</t>
  </si>
  <si>
    <t>RV7</t>
  </si>
  <si>
    <t>RV8</t>
  </si>
  <si>
    <t>RV9</t>
  </si>
  <si>
    <t>RV10</t>
  </si>
  <si>
    <t>RV11</t>
  </si>
  <si>
    <t>RV12</t>
  </si>
  <si>
    <t>RV13</t>
  </si>
  <si>
    <t>RV14</t>
  </si>
  <si>
    <t>RV15</t>
  </si>
  <si>
    <t>Surplus/Loss on Revaluation/ Fair Value Adjustment</t>
  </si>
  <si>
    <t>AH1</t>
  </si>
  <si>
    <t>AH2</t>
  </si>
  <si>
    <t>AH3</t>
  </si>
  <si>
    <t>AH4</t>
  </si>
  <si>
    <t>AH5</t>
  </si>
  <si>
    <t>AH6</t>
  </si>
  <si>
    <t>AH7</t>
  </si>
  <si>
    <t>AH8</t>
  </si>
  <si>
    <t>AH9</t>
  </si>
  <si>
    <t>AH10</t>
  </si>
  <si>
    <t>AH11</t>
  </si>
  <si>
    <t>AH12</t>
  </si>
  <si>
    <t>AH13</t>
  </si>
  <si>
    <t>AH14</t>
  </si>
  <si>
    <t>AH15</t>
  </si>
  <si>
    <t>DS1</t>
  </si>
  <si>
    <t>DS2</t>
  </si>
  <si>
    <t>DS3</t>
  </si>
  <si>
    <t>DS4</t>
  </si>
  <si>
    <t>DS5</t>
  </si>
  <si>
    <t>DS6</t>
  </si>
  <si>
    <t>DS7</t>
  </si>
  <si>
    <t>DS8</t>
  </si>
  <si>
    <t>DS9</t>
  </si>
  <si>
    <t>DS10</t>
  </si>
  <si>
    <t>DS11</t>
  </si>
  <si>
    <t>DS12</t>
  </si>
  <si>
    <t>DS13</t>
  </si>
  <si>
    <t>DS14</t>
  </si>
  <si>
    <t>DS15</t>
  </si>
  <si>
    <t>B-1a-CB</t>
  </si>
  <si>
    <t>B-1c-CB</t>
  </si>
  <si>
    <t>B-1c-1</t>
  </si>
  <si>
    <t>B-1c-2</t>
  </si>
  <si>
    <t>B-1c-3</t>
  </si>
  <si>
    <t>B-1c-4</t>
  </si>
  <si>
    <t>B-1c-5</t>
  </si>
  <si>
    <t>B-1c-6</t>
  </si>
  <si>
    <t>B-1c-7</t>
  </si>
  <si>
    <t>B-1c-8</t>
  </si>
  <si>
    <t>B-1e-CB</t>
  </si>
  <si>
    <t>B-1e-1</t>
  </si>
  <si>
    <t>B-1e-2</t>
  </si>
  <si>
    <t>B-1e-3</t>
  </si>
  <si>
    <t>B-1e-4</t>
  </si>
  <si>
    <t>B-1e-6</t>
  </si>
  <si>
    <t>B-1e-7</t>
  </si>
  <si>
    <t>B-1d-CB</t>
  </si>
  <si>
    <t>B-1d-1</t>
  </si>
  <si>
    <t>B-1d-2</t>
  </si>
  <si>
    <t>B-1d-3</t>
  </si>
  <si>
    <t>B-2a-CB</t>
  </si>
  <si>
    <t>B-2a-1</t>
  </si>
  <si>
    <t>B-2a-2</t>
  </si>
  <si>
    <t>B-2a-3</t>
  </si>
  <si>
    <t>B-2a-4</t>
  </si>
  <si>
    <t>B-3j-CB</t>
  </si>
  <si>
    <t>B-3j-1</t>
  </si>
  <si>
    <t>B-3j-2</t>
  </si>
  <si>
    <t>B-3j-3</t>
  </si>
  <si>
    <t>B-3j-4</t>
  </si>
  <si>
    <t>IE-6a-1a-1</t>
  </si>
  <si>
    <t>IE-6a-1a-2</t>
  </si>
  <si>
    <t>IE-6a-1a-3</t>
  </si>
  <si>
    <t>IE-6a-1a-4</t>
  </si>
  <si>
    <t>LN-1-1a</t>
  </si>
  <si>
    <t>LN-1-1b</t>
  </si>
  <si>
    <t>LN-1</t>
  </si>
  <si>
    <t>LN-2</t>
  </si>
  <si>
    <t>LN-3</t>
  </si>
  <si>
    <t>LN-4</t>
  </si>
  <si>
    <t>LN-5</t>
  </si>
  <si>
    <t>LN-6</t>
  </si>
  <si>
    <t>LN-7</t>
  </si>
  <si>
    <t>LN-8</t>
  </si>
  <si>
    <t>LN-9</t>
  </si>
  <si>
    <t>LN-10</t>
  </si>
  <si>
    <t>LN-11</t>
  </si>
  <si>
    <t>LN-12</t>
  </si>
  <si>
    <t>LN-13</t>
  </si>
  <si>
    <t>LN-14</t>
  </si>
  <si>
    <t>LN-15</t>
  </si>
  <si>
    <t>LN-16</t>
  </si>
  <si>
    <t>LN-17</t>
  </si>
  <si>
    <t>LN-18</t>
  </si>
  <si>
    <t>LN-19</t>
  </si>
  <si>
    <t>LN-20</t>
  </si>
  <si>
    <t>B-1a-1</t>
  </si>
  <si>
    <t>B-1a-2</t>
  </si>
  <si>
    <t>B-1a-3</t>
  </si>
  <si>
    <t>B-1a-4</t>
  </si>
  <si>
    <t>B-1a-5</t>
  </si>
  <si>
    <t>B-1a-6</t>
  </si>
  <si>
    <t>B-1a-7</t>
  </si>
  <si>
    <t>B-1a-8</t>
  </si>
  <si>
    <t>B-1b-1</t>
  </si>
  <si>
    <t>B-1b-2</t>
  </si>
  <si>
    <t>B-1b-3</t>
  </si>
  <si>
    <t>B-1b-4</t>
  </si>
  <si>
    <t>B-1b-5</t>
  </si>
  <si>
    <t>B-1b-6</t>
  </si>
  <si>
    <t>B-1b-7</t>
  </si>
  <si>
    <t>B-1b-8</t>
  </si>
  <si>
    <t>B-1b-CB</t>
  </si>
  <si>
    <t>FL-1a</t>
  </si>
  <si>
    <t>FL-1b</t>
  </si>
  <si>
    <t>FL-1c</t>
  </si>
  <si>
    <t>FL-1d</t>
  </si>
  <si>
    <t>FL-1e</t>
  </si>
  <si>
    <t>FL-1</t>
  </si>
  <si>
    <t>NCA-1</t>
  </si>
  <si>
    <t>NCA-1a</t>
  </si>
  <si>
    <t>NCA-1b</t>
  </si>
  <si>
    <t>NCA-2</t>
  </si>
  <si>
    <t>NCA-2a</t>
  </si>
  <si>
    <t>NCA-2b</t>
  </si>
  <si>
    <t>NCA-3</t>
  </si>
  <si>
    <t>NCA-3a</t>
  </si>
  <si>
    <t>NCA-3b</t>
  </si>
  <si>
    <t>LN-2-1a</t>
  </si>
  <si>
    <t>LN-2-1b</t>
  </si>
  <si>
    <t>LN-20-1a</t>
  </si>
  <si>
    <t>LN-20-1b</t>
  </si>
  <si>
    <t>LN-19-1a</t>
  </si>
  <si>
    <t>LN-19-1b</t>
  </si>
  <si>
    <t>LN-18-1a</t>
  </si>
  <si>
    <t>LN-18-1b</t>
  </si>
  <si>
    <t>LN-17-1a</t>
  </si>
  <si>
    <t>LN-17-1b</t>
  </si>
  <si>
    <t>LN-16-1a</t>
  </si>
  <si>
    <t>LN-16-1b</t>
  </si>
  <si>
    <t>LN-15-1a</t>
  </si>
  <si>
    <t>LN-15-1b</t>
  </si>
  <si>
    <t>LN-14-1a</t>
  </si>
  <si>
    <t>LN-14-1b</t>
  </si>
  <si>
    <t>LN-13-1a</t>
  </si>
  <si>
    <t>LN-13-1b</t>
  </si>
  <si>
    <t>LN-12-1a</t>
  </si>
  <si>
    <t>LN-12-1b</t>
  </si>
  <si>
    <t>LN-11-1a</t>
  </si>
  <si>
    <t>LN-11-1b</t>
  </si>
  <si>
    <t>LN-10-1a</t>
  </si>
  <si>
    <t>LN-10-1b</t>
  </si>
  <si>
    <t>LN-9-1a</t>
  </si>
  <si>
    <t>LN-9-1b</t>
  </si>
  <si>
    <t>LN-8-1a</t>
  </si>
  <si>
    <t>LN-8-1b</t>
  </si>
  <si>
    <t>LN-7-1a</t>
  </si>
  <si>
    <t>LN-7-1b</t>
  </si>
  <si>
    <t>LN-6-1a</t>
  </si>
  <si>
    <t>LN-6-1b</t>
  </si>
  <si>
    <t>LN-5-1a</t>
  </si>
  <si>
    <t>LN-5-1b</t>
  </si>
  <si>
    <t>LN-4-1a</t>
  </si>
  <si>
    <t>LN-4-1b</t>
  </si>
  <si>
    <t>LN-3-1a</t>
  </si>
  <si>
    <t>LN-3-1b</t>
  </si>
  <si>
    <t>LN-1-2a</t>
  </si>
  <si>
    <t>LN-2-2a</t>
  </si>
  <si>
    <t>LN-3-2a</t>
  </si>
  <si>
    <t>LN-4-2a</t>
  </si>
  <si>
    <t>LN-5-2a</t>
  </si>
  <si>
    <t>LN-6-2a</t>
  </si>
  <si>
    <t>LN-7-2a</t>
  </si>
  <si>
    <t>LN-8-2a</t>
  </si>
  <si>
    <t>LN-9-2a</t>
  </si>
  <si>
    <t>LN-10-2a</t>
  </si>
  <si>
    <t>LN-11-2a</t>
  </si>
  <si>
    <t>LN-12-2a</t>
  </si>
  <si>
    <t>LN-13-2a</t>
  </si>
  <si>
    <t>LN-14-2a</t>
  </si>
  <si>
    <t>LN-15-2a</t>
  </si>
  <si>
    <t>LN-16-2a</t>
  </si>
  <si>
    <t>LN-17-2a</t>
  </si>
  <si>
    <t>LN-18-2a</t>
  </si>
  <si>
    <t>LN-19-2a</t>
  </si>
  <si>
    <t>LN-20-2a</t>
  </si>
  <si>
    <t>LN-1-2b</t>
  </si>
  <si>
    <t>LN-2-2b</t>
  </si>
  <si>
    <t>LN-3-2b</t>
  </si>
  <si>
    <t>LN-4-2b</t>
  </si>
  <si>
    <t>LN-5-2b</t>
  </si>
  <si>
    <t>LN-6-2b</t>
  </si>
  <si>
    <t>LN-7-2b</t>
  </si>
  <si>
    <t>LN-8-2b</t>
  </si>
  <si>
    <t>LN-9-2b</t>
  </si>
  <si>
    <t>LN-10-2b</t>
  </si>
  <si>
    <t>LN-11-2b</t>
  </si>
  <si>
    <t>LN-12-2b</t>
  </si>
  <si>
    <t>LN-13-2b</t>
  </si>
  <si>
    <t>LN-14-2b</t>
  </si>
  <si>
    <t>LN-15-2b</t>
  </si>
  <si>
    <t>LN-16-2b</t>
  </si>
  <si>
    <t>LN-17-2b</t>
  </si>
  <si>
    <t>LN-18-2b</t>
  </si>
  <si>
    <t>LN-19-2b</t>
  </si>
  <si>
    <t>LN-20-2b</t>
  </si>
  <si>
    <t>LN-1-2CB</t>
  </si>
  <si>
    <t>LN-2-2CB</t>
  </si>
  <si>
    <t>LN-3-2CB</t>
  </si>
  <si>
    <t>LN-4-2CB</t>
  </si>
  <si>
    <t>LN-5-2CB</t>
  </si>
  <si>
    <t>LN-6-2CB</t>
  </si>
  <si>
    <t>LN-7-2CB</t>
  </si>
  <si>
    <t>LN-8-2CB</t>
  </si>
  <si>
    <t>LN-9-2CB</t>
  </si>
  <si>
    <t>LN-10-2CB</t>
  </si>
  <si>
    <t>LN-11-2CB</t>
  </si>
  <si>
    <t>LN-12-2CB</t>
  </si>
  <si>
    <t>LN-13-2CB</t>
  </si>
  <si>
    <t>LN-14-2CB</t>
  </si>
  <si>
    <t>LN-15-2CB</t>
  </si>
  <si>
    <t>LN-16-2CB</t>
  </si>
  <si>
    <t>LN-17-2CB</t>
  </si>
  <si>
    <t>LN-18-2CB</t>
  </si>
  <si>
    <t>LN-19-2CB</t>
  </si>
  <si>
    <t>LN-20-2CB</t>
  </si>
  <si>
    <t>ST-LN-1-1CB</t>
  </si>
  <si>
    <t>ST-LN-2-1CB</t>
  </si>
  <si>
    <t>ST-LN-3-1CB</t>
  </si>
  <si>
    <t>ST-LN-4-1CB</t>
  </si>
  <si>
    <t>ST-LN-5-1CB</t>
  </si>
  <si>
    <t>ST-LN-6-1CB</t>
  </si>
  <si>
    <t>ST-LN-7-1CB</t>
  </si>
  <si>
    <t>ST-LN-8-1CB</t>
  </si>
  <si>
    <t>ST-LN-9-1CB</t>
  </si>
  <si>
    <t>ST-LN-10-1CB</t>
  </si>
  <si>
    <t>ST-LN-11-1CB</t>
  </si>
  <si>
    <t>ST-LN-12-1CB</t>
  </si>
  <si>
    <t>ST-LN-13-1CB</t>
  </si>
  <si>
    <t>ST-LN-14-1CB</t>
  </si>
  <si>
    <t>ST-LN-15-1CB</t>
  </si>
  <si>
    <t>ST-LN-16-1CB</t>
  </si>
  <si>
    <t>ST-LN-17-1CB</t>
  </si>
  <si>
    <t>ST-LN-18-1CB</t>
  </si>
  <si>
    <t>ST-LN-19-1CB</t>
  </si>
  <si>
    <t>ST-LN-20-1CB</t>
  </si>
  <si>
    <t>LN-1-1CB</t>
  </si>
  <si>
    <t>LN-2-1CB</t>
  </si>
  <si>
    <t>LN-3-1CB</t>
  </si>
  <si>
    <t>LN-4-1CB</t>
  </si>
  <si>
    <t>LN-5-1CB</t>
  </si>
  <si>
    <t>LN-6-1CB</t>
  </si>
  <si>
    <t>LN-7-1CB</t>
  </si>
  <si>
    <t>LN-8-1CB</t>
  </si>
  <si>
    <t>LN-9-1CB</t>
  </si>
  <si>
    <t>LN-10-1CB</t>
  </si>
  <si>
    <t>LN-11-1CB</t>
  </si>
  <si>
    <t>LN-12-1CB</t>
  </si>
  <si>
    <t>LN-13-1CB</t>
  </si>
  <si>
    <t>LN-14-1CB</t>
  </si>
  <si>
    <t>LN-15-1CB</t>
  </si>
  <si>
    <t>LN-16-1CB</t>
  </si>
  <si>
    <t>LN-17-1CB</t>
  </si>
  <si>
    <t>LN-18-1CB</t>
  </si>
  <si>
    <t>LN-19-1CB</t>
  </si>
  <si>
    <t>LN-20-1CB</t>
  </si>
  <si>
    <t>LN-1-1OB</t>
  </si>
  <si>
    <t>LN-2-1OB</t>
  </si>
  <si>
    <t>LN-3-1OB</t>
  </si>
  <si>
    <t>LN-4-1OB</t>
  </si>
  <si>
    <t>LN-5-1OB</t>
  </si>
  <si>
    <t>LN-6-1OB</t>
  </si>
  <si>
    <t>LN-7-1OB</t>
  </si>
  <si>
    <t>LN-8-1OB</t>
  </si>
  <si>
    <t>LN-9-1OB</t>
  </si>
  <si>
    <t>LN-10-1OB</t>
  </si>
  <si>
    <t>LN-11-1OB</t>
  </si>
  <si>
    <t>LN-12-1OB</t>
  </si>
  <si>
    <t>LN-13-1OB</t>
  </si>
  <si>
    <t>LN-14-1OB</t>
  </si>
  <si>
    <t>LN-15-1OB</t>
  </si>
  <si>
    <t>LN-16-1OB</t>
  </si>
  <si>
    <t>LN-17-1OB</t>
  </si>
  <si>
    <t>LN-18-1OB</t>
  </si>
  <si>
    <t>LN-19-1OB</t>
  </si>
  <si>
    <t>LN-20-1OB</t>
  </si>
  <si>
    <t>B-1f-CB</t>
  </si>
  <si>
    <t>B-1f-1</t>
  </si>
  <si>
    <t>B-1f-2</t>
  </si>
  <si>
    <t>B-1f-3</t>
  </si>
  <si>
    <t>B-2b-1</t>
  </si>
  <si>
    <t>B-2c-1</t>
  </si>
  <si>
    <t>B-2d-1</t>
  </si>
  <si>
    <t>B-2e-1</t>
  </si>
  <si>
    <t>B-2e-2</t>
  </si>
  <si>
    <t>B-2i-1</t>
  </si>
  <si>
    <t>BS-B-7a-1</t>
  </si>
  <si>
    <t>BS-B-7a-2</t>
  </si>
  <si>
    <t>BS-B-7a-3</t>
  </si>
  <si>
    <t>BS-B-7a-4</t>
  </si>
  <si>
    <t>BS-B-7a-5</t>
  </si>
  <si>
    <t>BS-B-7a-6</t>
  </si>
  <si>
    <t>BS-B-7a-7</t>
  </si>
  <si>
    <t>BS-B-7a-8</t>
  </si>
  <si>
    <t>BS-B-7a-9</t>
  </si>
  <si>
    <t>BS-B-7a-10</t>
  </si>
  <si>
    <t>BS-B-7b-1</t>
  </si>
  <si>
    <t>BS-B-7b-2</t>
  </si>
  <si>
    <t>BS-B-7b-3</t>
  </si>
  <si>
    <t>BS-B-7b-4</t>
  </si>
  <si>
    <t>BS-B-7b-5</t>
  </si>
  <si>
    <t>BS-B-7c-1</t>
  </si>
  <si>
    <t>BS-B-7c-2</t>
  </si>
  <si>
    <t>BS-B-7c-3</t>
  </si>
  <si>
    <t>BS-B-7c-4</t>
  </si>
  <si>
    <t>BS-B-7c-5</t>
  </si>
  <si>
    <t>BS-B-7d-1</t>
  </si>
  <si>
    <t>BS-B-7d-2</t>
  </si>
  <si>
    <t>BS-B-9a-1</t>
  </si>
  <si>
    <t>BS-B-9a-2</t>
  </si>
  <si>
    <t>BS-B-9c-1</t>
  </si>
  <si>
    <t>BS-B-9c-2</t>
  </si>
  <si>
    <t>ESF-CB</t>
  </si>
  <si>
    <t>COM-1CB</t>
  </si>
  <si>
    <t>FL-OB</t>
  </si>
  <si>
    <t>FL-2</t>
  </si>
  <si>
    <t>FL-3</t>
  </si>
  <si>
    <t>FL-4</t>
  </si>
  <si>
    <t>FL-CB</t>
  </si>
  <si>
    <t>INT-CB</t>
  </si>
  <si>
    <t>CG-OB</t>
  </si>
  <si>
    <t>CG-1</t>
  </si>
  <si>
    <t>CG-2</t>
  </si>
  <si>
    <t>CG-3</t>
  </si>
  <si>
    <t>CG-4</t>
  </si>
  <si>
    <t>CG-5</t>
  </si>
  <si>
    <t>CG-6</t>
  </si>
  <si>
    <t>CG-7</t>
  </si>
  <si>
    <t>CG-8</t>
  </si>
  <si>
    <t>CG-9</t>
  </si>
  <si>
    <t>CG-10</t>
  </si>
  <si>
    <t>CG-11</t>
  </si>
  <si>
    <t>CG-12</t>
  </si>
  <si>
    <t>CG-CB</t>
  </si>
  <si>
    <t>OL-CB</t>
  </si>
  <si>
    <t>T-1</t>
  </si>
  <si>
    <t>T-1a</t>
  </si>
  <si>
    <t>T-1b</t>
  </si>
  <si>
    <t>T-2</t>
  </si>
  <si>
    <t>T-2a</t>
  </si>
  <si>
    <t>T-2b</t>
  </si>
  <si>
    <t>T-3</t>
  </si>
  <si>
    <t>T-3a</t>
  </si>
  <si>
    <t>T-3b</t>
  </si>
  <si>
    <t>FS-IE-1a</t>
  </si>
  <si>
    <t>FS-B-1-CB</t>
  </si>
  <si>
    <t>FS-B-2-CB</t>
  </si>
  <si>
    <t>FS-B-3-CB</t>
  </si>
  <si>
    <t>FS-B-6-CB</t>
  </si>
  <si>
    <t>FS-B-7-CB</t>
  </si>
  <si>
    <t>FS-B-8-CB</t>
  </si>
  <si>
    <t>IC-1a-1</t>
  </si>
  <si>
    <t>IC-1a-2</t>
  </si>
  <si>
    <t>IC-1a-3</t>
  </si>
  <si>
    <t>IC-1a-4</t>
  </si>
  <si>
    <t>IC-1a-5</t>
  </si>
  <si>
    <t>IC-1a</t>
  </si>
  <si>
    <t>IC-1b-1</t>
  </si>
  <si>
    <t>IC-1b-2</t>
  </si>
  <si>
    <t>IC-1b-3</t>
  </si>
  <si>
    <t>IC-1b-4</t>
  </si>
  <si>
    <t>IC-1b-5</t>
  </si>
  <si>
    <t>IC-1b-6</t>
  </si>
  <si>
    <t>IC-1b-7</t>
  </si>
  <si>
    <t>IC-1b-8</t>
  </si>
  <si>
    <t>IC-1b-9</t>
  </si>
  <si>
    <t>IC-1b-10</t>
  </si>
  <si>
    <t>IC-1b-11</t>
  </si>
  <si>
    <t>IC-1b-12</t>
  </si>
  <si>
    <t>IC-1b</t>
  </si>
  <si>
    <t>IC-1c</t>
  </si>
  <si>
    <t>IC-1</t>
  </si>
  <si>
    <t>IC-2a</t>
  </si>
  <si>
    <t>IC-2b</t>
  </si>
  <si>
    <t>IC-2c</t>
  </si>
  <si>
    <t>IC-2d</t>
  </si>
  <si>
    <t>IC-2e</t>
  </si>
  <si>
    <t>IC-2f</t>
  </si>
  <si>
    <t>IC-2g</t>
  </si>
  <si>
    <t>IC-2</t>
  </si>
  <si>
    <t>IC-3a</t>
  </si>
  <si>
    <t>IC-3b</t>
  </si>
  <si>
    <t>IC-3c</t>
  </si>
  <si>
    <t>IC-3d</t>
  </si>
  <si>
    <t>IC-3e</t>
  </si>
  <si>
    <t>IC-3</t>
  </si>
  <si>
    <t>IC-4</t>
  </si>
  <si>
    <t>IC-5a</t>
  </si>
  <si>
    <t>IC-5</t>
  </si>
  <si>
    <t>R-1a</t>
  </si>
  <si>
    <t>R-1b</t>
  </si>
  <si>
    <t>R-2a-1</t>
  </si>
  <si>
    <t>R-2a-2</t>
  </si>
  <si>
    <t>R-2a</t>
  </si>
  <si>
    <t>R-2b</t>
  </si>
  <si>
    <t>R-2c</t>
  </si>
  <si>
    <t>R-2d</t>
  </si>
  <si>
    <t>R-2e</t>
  </si>
  <si>
    <t>R-4a</t>
  </si>
  <si>
    <t>R-4b</t>
  </si>
  <si>
    <t>R-4c</t>
  </si>
  <si>
    <t>R-4d</t>
  </si>
  <si>
    <t>R-5b</t>
  </si>
  <si>
    <t>R-5c</t>
  </si>
  <si>
    <t>R-5d</t>
  </si>
  <si>
    <t>R-5e</t>
  </si>
  <si>
    <t>R-5f</t>
  </si>
  <si>
    <t>R-6a</t>
  </si>
  <si>
    <t>R-6b</t>
  </si>
  <si>
    <t>R-6c</t>
  </si>
  <si>
    <t>R-6e</t>
  </si>
  <si>
    <t>R-6f</t>
  </si>
  <si>
    <t>R-7a</t>
  </si>
  <si>
    <t>R-8a</t>
  </si>
  <si>
    <t>R-9a</t>
  </si>
  <si>
    <t>R-9b</t>
  </si>
  <si>
    <t>Metadata?</t>
  </si>
  <si>
    <t>Yes</t>
  </si>
  <si>
    <t>R-5g</t>
  </si>
  <si>
    <t>R-6d</t>
  </si>
  <si>
    <t>R-5a</t>
  </si>
  <si>
    <t>R-2g</t>
  </si>
  <si>
    <t>FH-1a</t>
  </si>
  <si>
    <t>FH-1b</t>
  </si>
  <si>
    <t>FH-1c</t>
  </si>
  <si>
    <t>FH-2a</t>
  </si>
  <si>
    <t>FH-2b</t>
  </si>
  <si>
    <t>FH-2c</t>
  </si>
  <si>
    <t>FIN-1a</t>
  </si>
  <si>
    <t>FIN-1b</t>
  </si>
  <si>
    <t>FIN-1c</t>
  </si>
  <si>
    <t>FIN-3a</t>
  </si>
  <si>
    <t>FIN-3b</t>
  </si>
  <si>
    <t>FH-1d</t>
  </si>
  <si>
    <t>FH-3a</t>
  </si>
  <si>
    <t>FH-3b</t>
  </si>
  <si>
    <t>FIN-1d</t>
  </si>
  <si>
    <t>FIN-2a</t>
  </si>
  <si>
    <t>FIN-2b</t>
  </si>
  <si>
    <t>FIN-2c</t>
  </si>
  <si>
    <t>Year 3 Diff.</t>
  </si>
  <si>
    <t>Optional Prior Year Diff.</t>
  </si>
  <si>
    <t>Year 1 Diff.</t>
  </si>
  <si>
    <t>Year 2 Diff.</t>
  </si>
  <si>
    <t>Warnings</t>
  </si>
  <si>
    <t>Number of Flags where Subcontracted out Income &gt; Total Income</t>
  </si>
  <si>
    <t>Unique Description</t>
  </si>
  <si>
    <t xml:space="preserve">Interest Payable </t>
  </si>
  <si>
    <t>DB-B-1a</t>
  </si>
  <si>
    <t>DB-B-1b</t>
  </si>
  <si>
    <t>DB-B-2a</t>
  </si>
  <si>
    <t>% p.a.</t>
  </si>
  <si>
    <t>Early Repayment Fee</t>
  </si>
  <si>
    <t>Loan Capital Repayment (as per loan agreement)</t>
  </si>
  <si>
    <t xml:space="preserve">Early Repayment </t>
  </si>
  <si>
    <t>LN-1-1c</t>
  </si>
  <si>
    <t>LN-20-1c</t>
  </si>
  <si>
    <t>LN-19-1c</t>
  </si>
  <si>
    <t>LN-18-1c</t>
  </si>
  <si>
    <t>LN-17-1c</t>
  </si>
  <si>
    <t>LN-16-1c</t>
  </si>
  <si>
    <t>LN-15-1c</t>
  </si>
  <si>
    <t>LN-14-1c</t>
  </si>
  <si>
    <t>LN-13-1c</t>
  </si>
  <si>
    <t>LN-12-1c</t>
  </si>
  <si>
    <t>LN-11-1c</t>
  </si>
  <si>
    <t>LN-10-1c</t>
  </si>
  <si>
    <t>LN-9-1c</t>
  </si>
  <si>
    <t>LN-8-1c</t>
  </si>
  <si>
    <t>LN-7-1c</t>
  </si>
  <si>
    <t>LN-6-1c</t>
  </si>
  <si>
    <t>LN-5-1c</t>
  </si>
  <si>
    <t>LN-4-1c</t>
  </si>
  <si>
    <t>LN-3-1c</t>
  </si>
  <si>
    <t>LN-2-1c</t>
  </si>
  <si>
    <t>Loan Capital Repayment (incl. early repayment)</t>
  </si>
  <si>
    <t>Data entered for automated Interest Calc Only</t>
  </si>
  <si>
    <t>Attribute</t>
  </si>
  <si>
    <t>Custom Areas</t>
  </si>
  <si>
    <t>tbl_Loans</t>
  </si>
  <si>
    <t>Ref_invest cells in Column C</t>
  </si>
  <si>
    <t>Loan Covenants</t>
  </si>
  <si>
    <t>Loan covenant breach date</t>
  </si>
  <si>
    <t>Interest Op. Bal.</t>
  </si>
  <si>
    <t>Loans Op. Bal. Diff.</t>
  </si>
  <si>
    <t xml:space="preserve"> Interest Op. Bal. Diff.</t>
  </si>
  <si>
    <t>Loans Op. Bal.</t>
  </si>
  <si>
    <t>Info required if automated interest calc. is used</t>
  </si>
  <si>
    <t>Forecast Annual Interest Rate</t>
  </si>
  <si>
    <t xml:space="preserve">Interest Payment </t>
  </si>
  <si>
    <t>Loan Covenant Breach Date - Input</t>
  </si>
  <si>
    <t>Loan covenant breach date check</t>
  </si>
  <si>
    <t>LN-1-2c</t>
  </si>
  <si>
    <t>LN-2-2c</t>
  </si>
  <si>
    <t>LN-3-2c</t>
  </si>
  <si>
    <t>LN-4-2c</t>
  </si>
  <si>
    <t>LN-5-2c</t>
  </si>
  <si>
    <t>LN-6-2c</t>
  </si>
  <si>
    <t>LN-7-2c</t>
  </si>
  <si>
    <t>LN-8-2c</t>
  </si>
  <si>
    <t>LN-9-2c</t>
  </si>
  <si>
    <t>LN-10-2c</t>
  </si>
  <si>
    <t>LN-11-2c</t>
  </si>
  <si>
    <t>LN-12-2c</t>
  </si>
  <si>
    <t>LN-13-2c</t>
  </si>
  <si>
    <t>LN-14-2c</t>
  </si>
  <si>
    <t>LN-15-2c</t>
  </si>
  <si>
    <t>LN-16-2c</t>
  </si>
  <si>
    <t>LN-17-2c</t>
  </si>
  <si>
    <t>LN-18-2c</t>
  </si>
  <si>
    <t>LN-19-2c</t>
  </si>
  <si>
    <t>LN-20-2c</t>
  </si>
  <si>
    <t>Information Requirement by ESFA</t>
  </si>
  <si>
    <t>Early Repayment Fee check</t>
  </si>
  <si>
    <t>Interest Expense and Early Repayment Fee</t>
  </si>
  <si>
    <t>Other NCA</t>
  </si>
  <si>
    <t>Custom 26</t>
  </si>
  <si>
    <t>Custom 27</t>
  </si>
  <si>
    <t>Custom 28</t>
  </si>
  <si>
    <t>Custom 29</t>
  </si>
  <si>
    <t>Custom 30</t>
  </si>
  <si>
    <t>Custom 31</t>
  </si>
  <si>
    <t>Custom 32</t>
  </si>
  <si>
    <t>Custom 33</t>
  </si>
  <si>
    <t>Custom 34</t>
  </si>
  <si>
    <t>Custom 35</t>
  </si>
  <si>
    <t>Custom 36</t>
  </si>
  <si>
    <t>Custom 37</t>
  </si>
  <si>
    <t>Custom 38</t>
  </si>
  <si>
    <t>Custom 39</t>
  </si>
  <si>
    <t>Custom 40</t>
  </si>
  <si>
    <t>Custom 41</t>
  </si>
  <si>
    <t>Custom 42</t>
  </si>
  <si>
    <t>Custom 43</t>
  </si>
  <si>
    <t>Custom 44</t>
  </si>
  <si>
    <t>Custom 45</t>
  </si>
  <si>
    <t>Custom 46</t>
  </si>
  <si>
    <t>Custom 47</t>
  </si>
  <si>
    <t>Custom 48</t>
  </si>
  <si>
    <t>Custom 49</t>
  </si>
  <si>
    <t>Custom 50</t>
  </si>
  <si>
    <t>Custom 51</t>
  </si>
  <si>
    <t>Custom 52</t>
  </si>
  <si>
    <t>Custom 53</t>
  </si>
  <si>
    <t>Custom 54</t>
  </si>
  <si>
    <t>Custom 55</t>
  </si>
  <si>
    <t>Custom 56</t>
  </si>
  <si>
    <t>Custom 57</t>
  </si>
  <si>
    <t>Custom 58</t>
  </si>
  <si>
    <t>Custom 59</t>
  </si>
  <si>
    <t>Custom 60</t>
  </si>
  <si>
    <t>Custom 61</t>
  </si>
  <si>
    <t>Custom 62</t>
  </si>
  <si>
    <t>Custom 63</t>
  </si>
  <si>
    <t>Custom 64</t>
  </si>
  <si>
    <t>Custom 65</t>
  </si>
  <si>
    <t>Custom 66</t>
  </si>
  <si>
    <t>Custom 67</t>
  </si>
  <si>
    <t>Custom 68</t>
  </si>
  <si>
    <t>Custom 69</t>
  </si>
  <si>
    <t>Custom 70</t>
  </si>
  <si>
    <t>Custom 71</t>
  </si>
  <si>
    <t>Custom 72</t>
  </si>
  <si>
    <t>Custom 73</t>
  </si>
  <si>
    <t>Custom 74</t>
  </si>
  <si>
    <t>Custom 75</t>
  </si>
  <si>
    <t>Custom 76</t>
  </si>
  <si>
    <t>Custom 77</t>
  </si>
  <si>
    <t>Custom 78</t>
  </si>
  <si>
    <t>Custom 79</t>
  </si>
  <si>
    <t>Custom 80</t>
  </si>
  <si>
    <t>Opening Balance at (period start date):</t>
  </si>
  <si>
    <t>Cash and cash equivalents and short-term investments</t>
  </si>
  <si>
    <t>Cash generation from operations (as a % of adjusted income)</t>
  </si>
  <si>
    <t>Interest as a % of adjusted income</t>
  </si>
  <si>
    <t>Total comprehensive income as a % of adjusted income</t>
  </si>
  <si>
    <t>Available reserves as a % of adjusted income</t>
  </si>
  <si>
    <t>EBITDA as a % of adjusted income - standard</t>
  </si>
  <si>
    <t>EBITDA as a % of adjusted income - education specific</t>
  </si>
  <si>
    <t>Staff costs (incl. contract tuition services/excl. restructuring) as % of adjusted income (excl. income subcontracted out)</t>
  </si>
  <si>
    <t xml:space="preserve">Interest paid </t>
  </si>
  <si>
    <t>Early Loan Capital Repayment Fees</t>
  </si>
  <si>
    <t>IC-3a-1</t>
  </si>
  <si>
    <t>IC-3a-2</t>
  </si>
  <si>
    <t>IC-3d-1</t>
  </si>
  <si>
    <t>IC-3d-2</t>
  </si>
  <si>
    <t>Early Loan Capital Repayment</t>
  </si>
  <si>
    <t>Other non-cash adjustments</t>
  </si>
  <si>
    <t>Movement in Working Capital</t>
  </si>
  <si>
    <t>Movement in debtors and creditors falling due after one year</t>
  </si>
  <si>
    <t>Movements in other accruals, deferrals and provisions</t>
  </si>
  <si>
    <t>Net cash flow from operating activities reconciliation</t>
  </si>
  <si>
    <t>Net cash flow from investing activities reconciliation</t>
  </si>
  <si>
    <t>Net cash flow from financing activities reconciliation</t>
  </si>
  <si>
    <t>Interest and finance fee payments</t>
  </si>
  <si>
    <t xml:space="preserve">Loan Capital Repayment </t>
  </si>
  <si>
    <t>Increase/(decrease) in cash and cash equivalents reconciliation</t>
  </si>
  <si>
    <t>Payments made to acquire non-current assets and investments</t>
  </si>
  <si>
    <t>IC-2c-1</t>
  </si>
  <si>
    <t>IC-2c-2</t>
  </si>
  <si>
    <t>IC-2c-3</t>
  </si>
  <si>
    <t>IC-2c-4</t>
  </si>
  <si>
    <t>IC-2c-5</t>
  </si>
  <si>
    <t>IC-1a-O</t>
  </si>
  <si>
    <t>IC-1b-O</t>
  </si>
  <si>
    <t>IC-1a-2a</t>
  </si>
  <si>
    <t>IC-1a-2b</t>
  </si>
  <si>
    <t>IC-1a-2c</t>
  </si>
  <si>
    <t>IC-1b-1a</t>
  </si>
  <si>
    <t>IC-1b-2a</t>
  </si>
  <si>
    <t>IC-1b-2b</t>
  </si>
  <si>
    <t>IC-1b-1b</t>
  </si>
  <si>
    <t>IC-1b-1c</t>
  </si>
  <si>
    <t>IC-1b-3a</t>
  </si>
  <si>
    <t>IC-1b-3b</t>
  </si>
  <si>
    <t>Movements in taxes</t>
  </si>
  <si>
    <t>Fair value of Net Assets due to merger / de-merger</t>
  </si>
  <si>
    <t>IE-6a-4</t>
  </si>
  <si>
    <t>Cash movement due to merger / de-merger</t>
  </si>
  <si>
    <t>IC-3f</t>
  </si>
  <si>
    <t>Expenditure for Adjusted Cash Days</t>
  </si>
  <si>
    <t>Minimum of 12 months and number of  months since first day of monthly data</t>
  </si>
  <si>
    <t>Reconciliation between 4 year and monthly timeline</t>
  </si>
  <si>
    <t>4 year vs 12 year timeline</t>
  </si>
  <si>
    <t>4 year vs monthly timeline</t>
  </si>
  <si>
    <t>Auto Checks</t>
  </si>
  <si>
    <t>Exam and registration income</t>
  </si>
  <si>
    <t>IE-1f-8</t>
  </si>
  <si>
    <t>non-optional inputs</t>
  </si>
  <si>
    <t>non-optional inputs:</t>
  </si>
  <si>
    <t>Debt</t>
  </si>
  <si>
    <t>Benchmarks</t>
  </si>
  <si>
    <t>Adjusted current ratio points</t>
  </si>
  <si>
    <t>EBITDA as a % of income - education specific points</t>
  </si>
  <si>
    <t>Borrowing as a % of adjusted income points</t>
  </si>
  <si>
    <t>Debt Service Cover points</t>
  </si>
  <si>
    <t>Cash generation from operations points</t>
  </si>
  <si>
    <t>Minimum of debt service or cash generation points</t>
  </si>
  <si>
    <t>Financial Health Grading - Proposed System</t>
  </si>
  <si>
    <t>Financial Health Grade  - Proposed System</t>
  </si>
  <si>
    <t>EBITDA</t>
  </si>
  <si>
    <t>Debt as % of income</t>
  </si>
  <si>
    <t>Debt service cover (cash)</t>
  </si>
  <si>
    <t>&gt;=0.5</t>
  </si>
  <si>
    <t>&lt;0.5</t>
  </si>
  <si>
    <t>&gt;=60%</t>
  </si>
  <si>
    <t>Financial Health Grading - Existing System</t>
  </si>
  <si>
    <t>Financial Health Grade  - Existing System</t>
  </si>
  <si>
    <t>Financial Health Parameters - Existing System</t>
  </si>
  <si>
    <t>Financial Health Parameters - Proposed System</t>
  </si>
  <si>
    <t>Existing System</t>
  </si>
  <si>
    <t>Proposed System</t>
  </si>
  <si>
    <t>Grading System</t>
  </si>
  <si>
    <t>Ratio Scales</t>
  </si>
  <si>
    <t>Input Checks</t>
  </si>
  <si>
    <t>Selected Self Assessment is valid - previous year</t>
  </si>
  <si>
    <t>Selected Self Assessment is valid - year 1</t>
  </si>
  <si>
    <t>Selected Self Assessment is valid - year 2</t>
  </si>
  <si>
    <t>Selected Self Assessment is valid - year 3</t>
  </si>
  <si>
    <t xml:space="preserve">FEC </t>
  </si>
  <si>
    <t xml:space="preserve">College </t>
  </si>
  <si>
    <t>Cash gen from ops.</t>
  </si>
  <si>
    <t xml:space="preserve">Min </t>
  </si>
  <si>
    <t>Adj. Operating Income Ratio FEC Benchmark</t>
  </si>
  <si>
    <t>EBITDA as a % of income College Benchmark</t>
  </si>
  <si>
    <t>Adj. Operating Income Ratio College Benchmark</t>
  </si>
  <si>
    <t>Debt Service Cover Ratio FEC Benchmark</t>
  </si>
  <si>
    <t>Debt Service Cover Ratio College Benchmark</t>
  </si>
  <si>
    <t>Adjusted cash days FEC Benchmark</t>
  </si>
  <si>
    <t>Adjusted cash days College Benchmark</t>
  </si>
  <si>
    <t>Adjusted current ratio FEC Benchmark</t>
  </si>
  <si>
    <t>Adjusted current ratio College Benchmark</t>
  </si>
  <si>
    <t>Adjusted Cash days in hand</t>
  </si>
  <si>
    <t>Education-specific EBITDA as % of adjusted income. Measures underlying profitability as a percent of revenue.</t>
  </si>
  <si>
    <t>Adjusted Operating Surplus/Deficit as a % of adjusted income</t>
  </si>
  <si>
    <t>Total debt and interest expense as a % of adjusted income. Measures the ability to cover debt obligations out of revenue generated.</t>
  </si>
  <si>
    <t>ABINGDON AND WITNEY COLLEGE</t>
  </si>
  <si>
    <t>GFEC</t>
  </si>
  <si>
    <t>ABING</t>
  </si>
  <si>
    <t>ACTIVATE LEARNING</t>
  </si>
  <si>
    <t>OXFFE</t>
  </si>
  <si>
    <t>ADA NATIONAL COLLEGE FOR DIGITAL SKILLS</t>
  </si>
  <si>
    <t>NCDSK</t>
  </si>
  <si>
    <t>AQUINAS COLLEGE</t>
  </si>
  <si>
    <t>SFC</t>
  </si>
  <si>
    <t>AQUIN</t>
  </si>
  <si>
    <t>ASKHAM BRYAN COLLEGE</t>
  </si>
  <si>
    <t>A&amp;HC</t>
  </si>
  <si>
    <t>ASKBR</t>
  </si>
  <si>
    <t>AYLESBURY COLLEGE</t>
  </si>
  <si>
    <t>AYLES</t>
  </si>
  <si>
    <t>BARKING AND DAGENHAM COLLEGE</t>
  </si>
  <si>
    <t>BARKG</t>
  </si>
  <si>
    <t>BARNET &amp; SOUTHGATE COLLEGE</t>
  </si>
  <si>
    <t>BARNT</t>
  </si>
  <si>
    <t>BARNSLEY COLLEGE</t>
  </si>
  <si>
    <t>TC</t>
  </si>
  <si>
    <t>BNSLY</t>
  </si>
  <si>
    <t>BARTON PEVERIL SIXTH FORM COLLEGE</t>
  </si>
  <si>
    <t>BARPE</t>
  </si>
  <si>
    <t>BASINGSTOKE COLLEGE OF TECHNOLOGY</t>
  </si>
  <si>
    <t>BASNG</t>
  </si>
  <si>
    <t>BATH COLLEGE</t>
  </si>
  <si>
    <t>CYBAT</t>
  </si>
  <si>
    <t>BEDFORD COLLEGE</t>
  </si>
  <si>
    <t>BEDFD</t>
  </si>
  <si>
    <t>BRKAH</t>
  </si>
  <si>
    <t>BEXHILL COLLEGE</t>
  </si>
  <si>
    <t>BEXHL</t>
  </si>
  <si>
    <t>BIRMINGHAM METROPOLITAN COLLEGE</t>
  </si>
  <si>
    <t>SUTTN</t>
  </si>
  <si>
    <t>BISHOP AUCKLAND COLLEGE</t>
  </si>
  <si>
    <t>BSHAU</t>
  </si>
  <si>
    <t>BISHOP BURTON COLLEGE</t>
  </si>
  <si>
    <t>BISBU</t>
  </si>
  <si>
    <t>BLACKBURN COLLEGE</t>
  </si>
  <si>
    <t>BBURN</t>
  </si>
  <si>
    <t>BLACKPOOL AND THE FYLDE COLLEGE</t>
  </si>
  <si>
    <t>BFYLD</t>
  </si>
  <si>
    <t>BOLTON COLLEGE</t>
  </si>
  <si>
    <t>BOLCL</t>
  </si>
  <si>
    <t>BOLTON SIXTH FORM COLLEGE</t>
  </si>
  <si>
    <t>BLNSF</t>
  </si>
  <si>
    <t>BOSTON COLLEGE</t>
  </si>
  <si>
    <t>BOSTO</t>
  </si>
  <si>
    <t>BOURNEMOUTH AND POOLE COLLEGE, THE</t>
  </si>
  <si>
    <t>BPCFE</t>
  </si>
  <si>
    <t>BRADFORD COLLEGE</t>
  </si>
  <si>
    <t>BRILK</t>
  </si>
  <si>
    <t>BRIDGWATER AND TAUNTON COLLEGE</t>
  </si>
  <si>
    <t>BRIDG</t>
  </si>
  <si>
    <t>BRIGHTON HOVE AND SUSSEX SIXTH FORM COLLEGE</t>
  </si>
  <si>
    <t>BRIHO</t>
  </si>
  <si>
    <t>BROCKENHURST COLLEGE</t>
  </si>
  <si>
    <t>BROCK</t>
  </si>
  <si>
    <t>BROOKLANDS COLLEGE</t>
  </si>
  <si>
    <t>BRKLD</t>
  </si>
  <si>
    <t>BURNLEY COLLEGE</t>
  </si>
  <si>
    <t>BRNLY</t>
  </si>
  <si>
    <t>BURTON AND SOUTH DERBYSHIRE COLLEGE</t>
  </si>
  <si>
    <t>BURTN</t>
  </si>
  <si>
    <t>BURY COLLEGE</t>
  </si>
  <si>
    <t>BURYC</t>
  </si>
  <si>
    <t>CALDERDALE COLLEGE</t>
  </si>
  <si>
    <t>CALDE</t>
  </si>
  <si>
    <t>CAMBRIDGE REGIONAL COLLEGE</t>
  </si>
  <si>
    <t>CAMRE</t>
  </si>
  <si>
    <t>CAPEL MANOR COLLEGE</t>
  </si>
  <si>
    <t>CAPEL</t>
  </si>
  <si>
    <t>CARDINAL NEWMAN COLLEGE</t>
  </si>
  <si>
    <t>CARNE</t>
  </si>
  <si>
    <t>CARMEL COLLEGE</t>
  </si>
  <si>
    <t>CARML</t>
  </si>
  <si>
    <t>CENTRAL BEDFORDSHIRE COLLEGE</t>
  </si>
  <si>
    <t>DUNST</t>
  </si>
  <si>
    <t>CHEADLE AND MARPLE SIXTH FORM COLLEGE</t>
  </si>
  <si>
    <t>RIDGE</t>
  </si>
  <si>
    <t>CHELMSFORD COLLEGE</t>
  </si>
  <si>
    <t>CHELM</t>
  </si>
  <si>
    <t>CHESHIRE COLLEGE SOUTH AND WEST</t>
  </si>
  <si>
    <t>SOCHE</t>
  </si>
  <si>
    <t>CHESTERFIELD COLLEGE</t>
  </si>
  <si>
    <t>CHSTF</t>
  </si>
  <si>
    <t>CHICHESTER COLLEGE GROUP</t>
  </si>
  <si>
    <t>CHICH</t>
  </si>
  <si>
    <t>CHRIST THE KING SIXTH FORM COLLEGE</t>
  </si>
  <si>
    <t>CHKIN</t>
  </si>
  <si>
    <t>CIRENCESTER COLLEGE</t>
  </si>
  <si>
    <t>CIREN</t>
  </si>
  <si>
    <t>CITY COLLEGE NORWICH</t>
  </si>
  <si>
    <t>NRWCH</t>
  </si>
  <si>
    <t>CITY COLLEGE PLYMOUTH</t>
  </si>
  <si>
    <t>PLYFE</t>
  </si>
  <si>
    <t>CITY OF BRISTOL COLLEGE</t>
  </si>
  <si>
    <t>CTBRI</t>
  </si>
  <si>
    <t>CITY OF SUNDERLAND COLLEGE</t>
  </si>
  <si>
    <t>CTSUN</t>
  </si>
  <si>
    <t>CITY OF WOLVERHAMPTON COLLEGE</t>
  </si>
  <si>
    <t>WOLVE</t>
  </si>
  <si>
    <t>COLCHESTER INSTITUTE</t>
  </si>
  <si>
    <t>CLHIN</t>
  </si>
  <si>
    <t>CORNWALL COLLEGE</t>
  </si>
  <si>
    <t>CORNL</t>
  </si>
  <si>
    <t>COVENTRY COLLEGE</t>
  </si>
  <si>
    <t>HENCO</t>
  </si>
  <si>
    <t>CRAVEN COLLEGE</t>
  </si>
  <si>
    <t>CRAVN</t>
  </si>
  <si>
    <t>CROYDON COLLEGE</t>
  </si>
  <si>
    <t>CROYD</t>
  </si>
  <si>
    <t>DARLINGTON COLLEGE</t>
  </si>
  <si>
    <t>DARLN</t>
  </si>
  <si>
    <t>DCG</t>
  </si>
  <si>
    <t>DERBY</t>
  </si>
  <si>
    <t>DERWENTSIDE COLLEGE</t>
  </si>
  <si>
    <t>DERWE</t>
  </si>
  <si>
    <t>DN COLLEGES GROUP</t>
  </si>
  <si>
    <t>NTLND</t>
  </si>
  <si>
    <t>DUDLEY COLLEGE OF TECHNOLOGY</t>
  </si>
  <si>
    <t>DUDLY</t>
  </si>
  <si>
    <t>EALING, HAMMERSMITH &amp; WEST LONDON COLLEGE</t>
  </si>
  <si>
    <t>HAMWL</t>
  </si>
  <si>
    <t>EAST COAST COLLEGE</t>
  </si>
  <si>
    <t>LWSFT</t>
  </si>
  <si>
    <t>EAST DURHAM COLLEGE</t>
  </si>
  <si>
    <t>EDHCC</t>
  </si>
  <si>
    <t>EAST SURREY COLLEGE</t>
  </si>
  <si>
    <t>ESURR</t>
  </si>
  <si>
    <t>EAST SUSSEX COLLEGE GROUP</t>
  </si>
  <si>
    <t>HASTG</t>
  </si>
  <si>
    <t>EASTLEIGH COLLEGE</t>
  </si>
  <si>
    <t>ESTLH</t>
  </si>
  <si>
    <t>EKC GROUP</t>
  </si>
  <si>
    <t>THANT</t>
  </si>
  <si>
    <t>EXETER COLLEGE</t>
  </si>
  <si>
    <t>EXETE</t>
  </si>
  <si>
    <t>FAREHAM COLLEGE</t>
  </si>
  <si>
    <t>FAREH</t>
  </si>
  <si>
    <t>FARNBOROUGH COLLEGE OF TECHNOLOGY</t>
  </si>
  <si>
    <t>FCOTF</t>
  </si>
  <si>
    <t>FIRCROFT COLLEGE OF ADULT EDUCATION</t>
  </si>
  <si>
    <t>DC</t>
  </si>
  <si>
    <t>FIRCR</t>
  </si>
  <si>
    <t>FRANKLIN COLLEGE</t>
  </si>
  <si>
    <t>FRNKN</t>
  </si>
  <si>
    <t>FURNESS COLLEGE</t>
  </si>
  <si>
    <t>FURNE</t>
  </si>
  <si>
    <t>GATESHEAD COLLEGE</t>
  </si>
  <si>
    <t>GATHD</t>
  </si>
  <si>
    <t>GLOUCESTERSHIRE COLLEGE</t>
  </si>
  <si>
    <t>GLOUC</t>
  </si>
  <si>
    <t>GRANTHAM COLLEGE</t>
  </si>
  <si>
    <t>GRANT</t>
  </si>
  <si>
    <t>GREATER BRIGHTON METROPOLITAN COLLEGE</t>
  </si>
  <si>
    <t>NBROK</t>
  </si>
  <si>
    <t>GREENHEAD COLLEGE</t>
  </si>
  <si>
    <t>GRHED</t>
  </si>
  <si>
    <t>HALESOWEN COLLEGE</t>
  </si>
  <si>
    <t>HALES</t>
  </si>
  <si>
    <t>HARLOW COLLEGE</t>
  </si>
  <si>
    <t>HRLOW</t>
  </si>
  <si>
    <t>HARTLEPOOL COLLEGE OF FURTHER EDUCATION</t>
  </si>
  <si>
    <t>HPLFE</t>
  </si>
  <si>
    <t>HARTPURY COLLEGE OF FURTHER EDUCATION</t>
  </si>
  <si>
    <t>HRTPY</t>
  </si>
  <si>
    <t>HAVANT AND SOUTH DOWNS COLLEGE</t>
  </si>
  <si>
    <t>SDOWN</t>
  </si>
  <si>
    <t>HCUC</t>
  </si>
  <si>
    <t>UXBRI</t>
  </si>
  <si>
    <t>HEART OF WORCESTERSHIRE COLLEGE</t>
  </si>
  <si>
    <t>WRCTE</t>
  </si>
  <si>
    <t>HEREFORD COLLEGE OF ARTS</t>
  </si>
  <si>
    <t>AD&amp;PA</t>
  </si>
  <si>
    <t>HFDAD</t>
  </si>
  <si>
    <t>HERTE</t>
  </si>
  <si>
    <t>HEREWARD COLLEGE OF FURTHER EDUCATION</t>
  </si>
  <si>
    <t>HEREW</t>
  </si>
  <si>
    <t>HERTFORD REGIONAL COLLEGE</t>
  </si>
  <si>
    <t>HTREG</t>
  </si>
  <si>
    <t>HIGHBURY COLLEGE PORTSMOUTH</t>
  </si>
  <si>
    <t>HIGHB</t>
  </si>
  <si>
    <t>HILLS ROAD SIXTH FORM COLLEGE</t>
  </si>
  <si>
    <t>HILLS</t>
  </si>
  <si>
    <t>HOLY CROSS COLLEGE</t>
  </si>
  <si>
    <t>HOLYC</t>
  </si>
  <si>
    <t>HOPWOOD HALL COLLEGE</t>
  </si>
  <si>
    <t>HOPWD</t>
  </si>
  <si>
    <t>HUDDERSFIELD NEW COLLEGE</t>
  </si>
  <si>
    <t>HUNEW</t>
  </si>
  <si>
    <t>HUGH BAIRD COLLEGE</t>
  </si>
  <si>
    <t>HBAIR</t>
  </si>
  <si>
    <t>HULL COLLEGE</t>
  </si>
  <si>
    <t>HULLC</t>
  </si>
  <si>
    <t>PBORO</t>
  </si>
  <si>
    <t>ISLE OF WIGHT COLLEGE</t>
  </si>
  <si>
    <t>ISLWT</t>
  </si>
  <si>
    <t>ITCHEN COLLEGE</t>
  </si>
  <si>
    <t>ITCHE</t>
  </si>
  <si>
    <t>JOHN LEGGOTT SIXTH FORM COLLEGE</t>
  </si>
  <si>
    <t>JLEGG</t>
  </si>
  <si>
    <t>JOSEPH CHAMBERLAIN SIXTH FORM COLLEGE</t>
  </si>
  <si>
    <t>JCHAM</t>
  </si>
  <si>
    <t>KENDAL COLLEGE</t>
  </si>
  <si>
    <t>KENDA</t>
  </si>
  <si>
    <t>KING EDWARD VI COLLEGE STOURBRIDGE</t>
  </si>
  <si>
    <t>KEDST</t>
  </si>
  <si>
    <t>KINGSTON MAURWARD COLLEGE</t>
  </si>
  <si>
    <t>KMAUR</t>
  </si>
  <si>
    <t>KIRKLEES COLLEGE</t>
  </si>
  <si>
    <t>HUDTE</t>
  </si>
  <si>
    <t>LAKES COLLEGE WEST CUMBRIA</t>
  </si>
  <si>
    <t>WCUMB</t>
  </si>
  <si>
    <t>LANCASTER AND MORECAMBE COLLEGE</t>
  </si>
  <si>
    <t>LANMO</t>
  </si>
  <si>
    <t>LEEDS CITY COLLEGE</t>
  </si>
  <si>
    <t>LEETE</t>
  </si>
  <si>
    <t>LEEDS COLLEGE OF BUILDING</t>
  </si>
  <si>
    <t>LEEBU</t>
  </si>
  <si>
    <t>LEICESTER COLLEGE</t>
  </si>
  <si>
    <t>LCSTR</t>
  </si>
  <si>
    <t>LEYTON SIXTH FORM COLLEGE</t>
  </si>
  <si>
    <t>LEYTN</t>
  </si>
  <si>
    <t>LINCOLN COLLEGE</t>
  </si>
  <si>
    <t>NLINC</t>
  </si>
  <si>
    <t>LONDON SOUTH EAST COLLEGES</t>
  </si>
  <si>
    <t>BROML</t>
  </si>
  <si>
    <t>LONG ROAD SIXTH FORM COLLEGE</t>
  </si>
  <si>
    <t>LNGRD</t>
  </si>
  <si>
    <t>LORETO COLLEGE</t>
  </si>
  <si>
    <t>LORET</t>
  </si>
  <si>
    <t>LOUGHBOROUGH COLLEGE</t>
  </si>
  <si>
    <t>LOUFE</t>
  </si>
  <si>
    <t>LTE GROUP</t>
  </si>
  <si>
    <t>CYCOL</t>
  </si>
  <si>
    <t>LUTON SIXTH FORM COLLEGE</t>
  </si>
  <si>
    <t>LTNSF</t>
  </si>
  <si>
    <t>MACCLESFIELD COLLEGE</t>
  </si>
  <si>
    <t>MACCL</t>
  </si>
  <si>
    <t>MARY WARD SETTLEMENT</t>
  </si>
  <si>
    <t>MWARD</t>
  </si>
  <si>
    <t>MIDDLESBROUGH COLLEGE</t>
  </si>
  <si>
    <t>MIBRO</t>
  </si>
  <si>
    <t>MID-KENT COLLEGE</t>
  </si>
  <si>
    <t>MKENT</t>
  </si>
  <si>
    <t>MILTON KEYNES COLLEGE</t>
  </si>
  <si>
    <t>MILTN</t>
  </si>
  <si>
    <t>MORLEY COLLEGE LIMITED</t>
  </si>
  <si>
    <t>MORLE</t>
  </si>
  <si>
    <t>MOULTON COLLEGE</t>
  </si>
  <si>
    <t>MOULT</t>
  </si>
  <si>
    <t>MYERSCOUGH COLLEGE</t>
  </si>
  <si>
    <t>MYERS</t>
  </si>
  <si>
    <t>NATIONAL COLLEGE FOR ADVANCED TRANSPORT AND INFRASTRUCTURE(NCATI)</t>
  </si>
  <si>
    <t>NCHSR</t>
  </si>
  <si>
    <t>NCG</t>
  </si>
  <si>
    <t>NWCAS</t>
  </si>
  <si>
    <t>NELSON AND COLNE COLLEGE</t>
  </si>
  <si>
    <t>NELCO</t>
  </si>
  <si>
    <t>NEW CITY COLLEGE</t>
  </si>
  <si>
    <t>TOWHA</t>
  </si>
  <si>
    <t>NEW COLLEGE DURHAM</t>
  </si>
  <si>
    <t>NWDUR</t>
  </si>
  <si>
    <t>NEW COLLEGE SWINDON</t>
  </si>
  <si>
    <t>NWSWI</t>
  </si>
  <si>
    <t>NEWBURY COLLEGE</t>
  </si>
  <si>
    <t>NWBRY</t>
  </si>
  <si>
    <t>NEWCASTLE AND STAFFORD COLLEGES GROUP</t>
  </si>
  <si>
    <t>NELYM</t>
  </si>
  <si>
    <t>NEWHAM COLLEGE OF FURTHER EDUCATION</t>
  </si>
  <si>
    <t>NEWFE</t>
  </si>
  <si>
    <t>NEWHAM SIXTH FORM COLLEGE</t>
  </si>
  <si>
    <t>NEWSF</t>
  </si>
  <si>
    <t>NORTH EAST SURREY COLLEGE OF TECHNOLOGY (NESCOT)</t>
  </si>
  <si>
    <t>NESUR</t>
  </si>
  <si>
    <t>NORTH HERTFORDSHIRE COLLEGE</t>
  </si>
  <si>
    <t>NHERT</t>
  </si>
  <si>
    <t>NORTH KENT COLLEGE</t>
  </si>
  <si>
    <t>NWKEN</t>
  </si>
  <si>
    <t>NORTH WARWICKSHIRE AND SOUTH LEICESTERSHIRE COLLEGE</t>
  </si>
  <si>
    <t>NTWAR</t>
  </si>
  <si>
    <t>NORTHAMPTON COLLEGE</t>
  </si>
  <si>
    <t>NAMPT</t>
  </si>
  <si>
    <t>NORTHERN COLLEGE FOR RESIDENTIAL ADULT EDUCATION LIMITED(THE)</t>
  </si>
  <si>
    <t>NCRES</t>
  </si>
  <si>
    <t>NOTRE DAME CATHOLIC SIXTH FORM COLLEGE</t>
  </si>
  <si>
    <t>NOTRE</t>
  </si>
  <si>
    <t>NOTTINGHAM COLLEGE</t>
  </si>
  <si>
    <t>CLARN</t>
  </si>
  <si>
    <t>OAKLANDS COLLEGE</t>
  </si>
  <si>
    <t>OAKLA</t>
  </si>
  <si>
    <t>PETER SYMONDS COLLEGE</t>
  </si>
  <si>
    <t>PSYMO</t>
  </si>
  <si>
    <t>PETROC</t>
  </si>
  <si>
    <t>NTDEV</t>
  </si>
  <si>
    <t>PLUMPTON COLLEGE</t>
  </si>
  <si>
    <t>PLMTN</t>
  </si>
  <si>
    <t>PORTSMOUTH COLLEGE</t>
  </si>
  <si>
    <t>PRTCO</t>
  </si>
  <si>
    <t>PRESTON COLLEGE</t>
  </si>
  <si>
    <t>PREST</t>
  </si>
  <si>
    <t>QUEEN ELIZABETH SIXTH FORM COLLEGE</t>
  </si>
  <si>
    <t>QELIZ</t>
  </si>
  <si>
    <t>REASEHEATH COLLEGE</t>
  </si>
  <si>
    <t>REASE</t>
  </si>
  <si>
    <t>RICHARD HUISH COLLEGE</t>
  </si>
  <si>
    <t>RHUIS</t>
  </si>
  <si>
    <t>RICHMOND AND HILLCROFT ADULT AND COMMUNITY COLLEGE</t>
  </si>
  <si>
    <t>HILCT</t>
  </si>
  <si>
    <t>RICHMOND UPON THAMES COLLEGE</t>
  </si>
  <si>
    <t>RICHM</t>
  </si>
  <si>
    <t>RIVERSIDE COLLEGE</t>
  </si>
  <si>
    <t>HALTN</t>
  </si>
  <si>
    <t>RNN GROUP</t>
  </si>
  <si>
    <t>ROHAM</t>
  </si>
  <si>
    <t>RUNSHAW COLLEGE</t>
  </si>
  <si>
    <t>RUNSH</t>
  </si>
  <si>
    <t>RUSKIN COLLEGE</t>
  </si>
  <si>
    <t>RUSKN</t>
  </si>
  <si>
    <t>SALFORD CITY COLLEGE</t>
  </si>
  <si>
    <t>SALFD</t>
  </si>
  <si>
    <t>SANDWELL COLLEGE</t>
  </si>
  <si>
    <t>SANDW</t>
  </si>
  <si>
    <t>SCARBOROUGH SIXTH FORM COLLEGE</t>
  </si>
  <si>
    <t>SCARB</t>
  </si>
  <si>
    <t>SELBY COLLEGE</t>
  </si>
  <si>
    <t>SELBY</t>
  </si>
  <si>
    <t>SHEFFIELD COLLEGE, THE</t>
  </si>
  <si>
    <t>SHFCL</t>
  </si>
  <si>
    <t>SHIPLEY COLLEGE</t>
  </si>
  <si>
    <t>SHIPL</t>
  </si>
  <si>
    <t>SHREWSBURY COLLEGES GROUP</t>
  </si>
  <si>
    <t>SHWSF</t>
  </si>
  <si>
    <t>SIR GEORGE MONOUX COLLEGE</t>
  </si>
  <si>
    <t>SRGEO</t>
  </si>
  <si>
    <t>SOLIHULL COLLEGE AND UNIVERSITY CENTRE</t>
  </si>
  <si>
    <t>SOLFE</t>
  </si>
  <si>
    <t>SOUTH &amp; CITY COLLEGE BIRMINGHAM</t>
  </si>
  <si>
    <t>SOBIR</t>
  </si>
  <si>
    <t>LAMBE</t>
  </si>
  <si>
    <t>SOUTH DEVON COLLEGE</t>
  </si>
  <si>
    <t>SODEV</t>
  </si>
  <si>
    <t>SOUTH ESSEX COLLEGE OF FURTHER AND HIGHER EDUCATION</t>
  </si>
  <si>
    <t>SEEAT</t>
  </si>
  <si>
    <t>SOUTH GLOUCESTERSHIRE AND STROUD COLLEGE</t>
  </si>
  <si>
    <t>STROU</t>
  </si>
  <si>
    <t>SOUTH STAFFORDSHIRE COLLEGE</t>
  </si>
  <si>
    <t>TAMWO</t>
  </si>
  <si>
    <t>SOUTH THAMES COLLEGES GROUP</t>
  </si>
  <si>
    <t>KGSTN</t>
  </si>
  <si>
    <t>SOUTHAMPTON CITY COLLEGE</t>
  </si>
  <si>
    <t>SMPTE</t>
  </si>
  <si>
    <t>SOUTHPORT COLLEGE</t>
  </si>
  <si>
    <t>SPORT</t>
  </si>
  <si>
    <t>SPARSHOLT COLLEGE</t>
  </si>
  <si>
    <t>SPARS</t>
  </si>
  <si>
    <t>ST BRENDAN'S SIXTH FORM COLLEGE</t>
  </si>
  <si>
    <t>STBRN</t>
  </si>
  <si>
    <t>ST CHARLES CATHOLIC SIXTH FORM COLLEGE</t>
  </si>
  <si>
    <t>STCHA</t>
  </si>
  <si>
    <t>ST DOMINIC'S SIXTH FORM COLLEGE</t>
  </si>
  <si>
    <t>STDOM</t>
  </si>
  <si>
    <t>ST FRANCIS XAVIER SIXTH FORM COLLEGE</t>
  </si>
  <si>
    <t>SFXVA</t>
  </si>
  <si>
    <t>ST HELENS COLLEGE</t>
  </si>
  <si>
    <t>STHEL</t>
  </si>
  <si>
    <t>ST JOHN RIGBY RC SIXTH FORM COLLEGE</t>
  </si>
  <si>
    <t>STJOH</t>
  </si>
  <si>
    <t>ST MARY'S COLLEGE</t>
  </si>
  <si>
    <t>SMABL</t>
  </si>
  <si>
    <t>STANMORE COLLEGE</t>
  </si>
  <si>
    <t>STANM</t>
  </si>
  <si>
    <t>STOBI</t>
  </si>
  <si>
    <t>STOKE ON TRENT COLLEGE</t>
  </si>
  <si>
    <t>STOKE</t>
  </si>
  <si>
    <t>STRODE COLLEGE</t>
  </si>
  <si>
    <t>STRDE</t>
  </si>
  <si>
    <t>SUFFOLK NEW COLLEGE</t>
  </si>
  <si>
    <t>SUFFO</t>
  </si>
  <si>
    <t>TAMESIDE COLLEGE</t>
  </si>
  <si>
    <t>TAMES</t>
  </si>
  <si>
    <t>TEC PARTNERSHIP</t>
  </si>
  <si>
    <t>GRMBY</t>
  </si>
  <si>
    <t>TELFORD COLLEGE</t>
  </si>
  <si>
    <t>TELFD</t>
  </si>
  <si>
    <t>THE BLACKPOOL SIXTH FORM COLLEGE</t>
  </si>
  <si>
    <t>BKLSF</t>
  </si>
  <si>
    <t>THE BROOKE HOUSE SIXTH FORM COLLEGE</t>
  </si>
  <si>
    <t>BHSFC</t>
  </si>
  <si>
    <t>THE CITY LITERARY INSTITUTE</t>
  </si>
  <si>
    <t>CTLIT</t>
  </si>
  <si>
    <t>THE CITY OF LIVERPOOL COLLEGE</t>
  </si>
  <si>
    <t>CYLVP</t>
  </si>
  <si>
    <t>THE COLLEGE OF RICHARD COLLYER IN HORSHAM</t>
  </si>
  <si>
    <t>RCOLL</t>
  </si>
  <si>
    <t>THE COLLEGE OF WEST ANGLIA</t>
  </si>
  <si>
    <t>NKCOL</t>
  </si>
  <si>
    <t>THE HENLEY COLLEGE</t>
  </si>
  <si>
    <t>HENHE</t>
  </si>
  <si>
    <t>THE NORTHERN SCHOOL OF ART</t>
  </si>
  <si>
    <t>CLVAD</t>
  </si>
  <si>
    <t>THE OLDHAM COLLEGE</t>
  </si>
  <si>
    <t>OLDFE</t>
  </si>
  <si>
    <t>THE SIXTH FORM COLLEGE COLCHESTER</t>
  </si>
  <si>
    <t>SFCOL</t>
  </si>
  <si>
    <t>BRKSY</t>
  </si>
  <si>
    <t>THE TRAFFORD COLLEGE GROUP</t>
  </si>
  <si>
    <t>SOTRF</t>
  </si>
  <si>
    <t>THE WINDSOR FOREST COLLEGES GROUP</t>
  </si>
  <si>
    <t>EBERK</t>
  </si>
  <si>
    <t>THE WKCIC GROUP</t>
  </si>
  <si>
    <t>WMINS</t>
  </si>
  <si>
    <t>TRURO AND PENWITH COLLEGE</t>
  </si>
  <si>
    <t>TRURO</t>
  </si>
  <si>
    <t>TYNE COAST COLLEGE</t>
  </si>
  <si>
    <t>STTYN</t>
  </si>
  <si>
    <t>UNIFIED SEEVIC PALMER'S COLLEGE</t>
  </si>
  <si>
    <t>SEESF</t>
  </si>
  <si>
    <t>UNITED COLLEGES GROUP</t>
  </si>
  <si>
    <t>CYWST</t>
  </si>
  <si>
    <t>VARNDEAN COLLEGE</t>
  </si>
  <si>
    <t>VARND</t>
  </si>
  <si>
    <t>WAKEFIELD COLLEGE</t>
  </si>
  <si>
    <t>WAKEF</t>
  </si>
  <si>
    <t>WALSALL COLLEGE</t>
  </si>
  <si>
    <t>WACAT</t>
  </si>
  <si>
    <t>WALTHAM FOREST COLLEGE</t>
  </si>
  <si>
    <t>WALTH</t>
  </si>
  <si>
    <t>WARRINGTON &amp; VALE ROYAL COLLEGE</t>
  </si>
  <si>
    <t>WRGTN</t>
  </si>
  <si>
    <t>WARWICKSHIRE COLLEGE</t>
  </si>
  <si>
    <t>MDWAR</t>
  </si>
  <si>
    <t>WEST HERTS COLLEGE</t>
  </si>
  <si>
    <t>WEHRT</t>
  </si>
  <si>
    <t>WEST NOTTINGHAMSHIRE COLLEGE</t>
  </si>
  <si>
    <t>WTNOT</t>
  </si>
  <si>
    <t>WEST SUFFOLK COLLEGE</t>
  </si>
  <si>
    <t>WSUFF</t>
  </si>
  <si>
    <t>WEST THAMES COLLEGE</t>
  </si>
  <si>
    <t>WSTTH</t>
  </si>
  <si>
    <t>WESTON COLLEGE OF FURTHER AND HIGHER EDUCATION</t>
  </si>
  <si>
    <t>WESTO</t>
  </si>
  <si>
    <t>WEYMOUTH COLLEGE</t>
  </si>
  <si>
    <t>WEYMO</t>
  </si>
  <si>
    <t>WIGAN AND LEIGH COLLEGE</t>
  </si>
  <si>
    <t>WIGAN</t>
  </si>
  <si>
    <t>WILBERFORCE COLLEGE</t>
  </si>
  <si>
    <t>WILBE</t>
  </si>
  <si>
    <t>WILTSHIRE COLLEGE AND UNIVERSITY CENTRE</t>
  </si>
  <si>
    <t>WILTS</t>
  </si>
  <si>
    <t>WINSTANLEY COLLEGE</t>
  </si>
  <si>
    <t>WNSTY</t>
  </si>
  <si>
    <t>WIRRAL METROPOLITAN COLLEGE</t>
  </si>
  <si>
    <t>WIRRA</t>
  </si>
  <si>
    <t>WORKERS' EDUCATIONAL ASSOCIATION</t>
  </si>
  <si>
    <t>WORKE</t>
  </si>
  <si>
    <t>WORKING MEN'S COLLEGE CORPORATION</t>
  </si>
  <si>
    <t>WRKNG</t>
  </si>
  <si>
    <t>WQE AND REGENT COLLEGE GROUP</t>
  </si>
  <si>
    <t>WYGQU</t>
  </si>
  <si>
    <t>WYKE SIXTH FORM COLLEGE</t>
  </si>
  <si>
    <t>WYKES</t>
  </si>
  <si>
    <t>XAVERIAN COLLEGE</t>
  </si>
  <si>
    <t>XAVER</t>
  </si>
  <si>
    <t>YEOVIL COLLEGE</t>
  </si>
  <si>
    <t>YEOVI</t>
  </si>
  <si>
    <t>YORK COLLEGE</t>
  </si>
  <si>
    <t>YORFE</t>
  </si>
  <si>
    <t>Valid College Name Check</t>
  </si>
  <si>
    <t>Mid Year Merger Date</t>
  </si>
  <si>
    <t>COLLEGE TYPE</t>
  </si>
  <si>
    <t>COLLEGE CODE</t>
  </si>
  <si>
    <t>COLLEGE UPIN</t>
  </si>
  <si>
    <t>COLLEGE UKPRN</t>
  </si>
  <si>
    <t>&gt;=2</t>
  </si>
  <si>
    <t>&gt;=1</t>
  </si>
  <si>
    <t>&gt;=4.5%</t>
  </si>
  <si>
    <t>&gt;=3.5%</t>
  </si>
  <si>
    <t>&gt;=2.5%</t>
  </si>
  <si>
    <t>&gt;=1.5%</t>
  </si>
  <si>
    <t>&gt;=0.5%</t>
  </si>
  <si>
    <t>Borrowing as a % of adjusted income College Benchmark</t>
  </si>
  <si>
    <t>Full cost provision</t>
  </si>
  <si>
    <t>HE home student fees (not loans)</t>
  </si>
  <si>
    <t>International students - fee income</t>
  </si>
  <si>
    <t>Other fees (including non-apprenticeship co-funded)</t>
  </si>
  <si>
    <t>LEP learning provision activities</t>
  </si>
  <si>
    <t>LEP support</t>
  </si>
  <si>
    <t>IE-1f-9</t>
  </si>
  <si>
    <t>IE-1f-10</t>
  </si>
  <si>
    <t>IE-1g-7</t>
  </si>
  <si>
    <t>IE-1g-8</t>
  </si>
  <si>
    <t>IE-1j-1</t>
  </si>
  <si>
    <t>IE-1j-2</t>
  </si>
  <si>
    <t>IE-1j</t>
  </si>
  <si>
    <t>Year 1 Forecast</t>
  </si>
  <si>
    <t>Year 2 Forecast</t>
  </si>
  <si>
    <t>Year 3 Forecast</t>
  </si>
  <si>
    <t>Forecast Amounts</t>
  </si>
  <si>
    <t xml:space="preserve"> No.</t>
  </si>
  <si>
    <t xml:space="preserve">Previous Year reconciliation </t>
  </si>
  <si>
    <t>Monthly data reconciliation to 4 year annual data</t>
  </si>
  <si>
    <t>subcontracted out income &gt; total?</t>
  </si>
  <si>
    <t>List of Colleges</t>
  </si>
  <si>
    <t>Pension Provisions cash adjustments</t>
  </si>
  <si>
    <t>Reconciliation of Cash Flow Summary against Fin Stat</t>
  </si>
  <si>
    <t>Actuals Dates Check</t>
  </si>
  <si>
    <t>Self assessment inputs on the "Financial Health" output sheet.</t>
  </si>
  <si>
    <t>Option to enter college ratio benchmarks on the "Dashboard" sheet.</t>
  </si>
  <si>
    <t>Input exceptions on output sheets:</t>
  </si>
  <si>
    <t>Grey tabs are for any other sheets containing information or calculations such as Table of contents, a sheet of parameters, etc. These sheets are not filled in by users but may be referred to for information.</t>
  </si>
  <si>
    <t>Apply Variable Loan Interest Rate?</t>
  </si>
  <si>
    <t>Use Automated Interest Calculation?</t>
  </si>
  <si>
    <t>Prior year input flag</t>
  </si>
  <si>
    <t>Optional year input flag</t>
  </si>
  <si>
    <t>Liabilities and Reserve Balance</t>
  </si>
  <si>
    <t>Column Flags</t>
  </si>
  <si>
    <t>Input &amp; Auto Checks</t>
  </si>
  <si>
    <t>Year 1 Profile adds to up to 100%</t>
  </si>
  <si>
    <t>Year 2 Profile adds to up to 100%</t>
  </si>
  <si>
    <t>Year 3 Profile adds to up to 100%</t>
  </si>
  <si>
    <t>[keep blank for future-proofing]</t>
  </si>
  <si>
    <t>&lt;0.5%</t>
  </si>
  <si>
    <t>Income for trade debtor days calculation</t>
  </si>
  <si>
    <t>R-2d-1</t>
  </si>
  <si>
    <t>Optional forecast input flag</t>
  </si>
  <si>
    <t>BS Forecasts optional inputs check</t>
  </si>
  <si>
    <t>Periods in use Flag</t>
  </si>
  <si>
    <t>Investing - optional Inputs check</t>
  </si>
  <si>
    <t>Loans optional inputs check</t>
  </si>
  <si>
    <t>I&amp;E optional inputs check</t>
  </si>
  <si>
    <t>Auto checks</t>
  </si>
  <si>
    <t>Year 1 reconciliation to 4 year timeline</t>
  </si>
  <si>
    <t>Year 2 reconciliation to 4 year timeline</t>
  </si>
  <si>
    <t>Year 3 reconciliation to 4 year timeline</t>
  </si>
  <si>
    <t>Year 1 reconciliation to 12 year timeline</t>
  </si>
  <si>
    <t>Year 2 reconciliation to 12 year timeline</t>
  </si>
  <si>
    <t>Year 3 reconciliation to 12 year timeline</t>
  </si>
  <si>
    <t>Prior Year Reconciliation</t>
  </si>
  <si>
    <t>BS Check</t>
  </si>
  <si>
    <t xml:space="preserve">Prior Year Balance Reconciliation </t>
  </si>
  <si>
    <t>Dependency on 14-16 income</t>
  </si>
  <si>
    <t>Dependency on  Apprenticeship income</t>
  </si>
  <si>
    <t>Dependency on AEB income</t>
  </si>
  <si>
    <t>Dependency on HE income</t>
  </si>
  <si>
    <t>Reconciliation between 4- and 12-year Annual timeline</t>
  </si>
  <si>
    <t>Automated Financial Health Grade</t>
  </si>
  <si>
    <t xml:space="preserve">Financial Health Grade Self-Assessment </t>
  </si>
  <si>
    <t>Year ending:</t>
  </si>
  <si>
    <t>Declarations</t>
  </si>
  <si>
    <t>Accounting Officer's declaration</t>
  </si>
  <si>
    <t>Name:</t>
  </si>
  <si>
    <t>Date:</t>
  </si>
  <si>
    <t>Telephone Number:</t>
  </si>
  <si>
    <t>Email Address:</t>
  </si>
  <si>
    <t>FH-3a-1a</t>
  </si>
  <si>
    <t>FH-3a-1b</t>
  </si>
  <si>
    <t>FH-3a-2a</t>
  </si>
  <si>
    <t>FH-3a-2b</t>
  </si>
  <si>
    <t>FH-3a-3a</t>
  </si>
  <si>
    <t>FH-3a-3b</t>
  </si>
  <si>
    <t>Prior year balance check</t>
  </si>
  <si>
    <t xml:space="preserve">Negative Balance Check </t>
  </si>
  <si>
    <t xml:space="preserve">Tables Totals Reconciliation </t>
  </si>
  <si>
    <t>Note that this template will be used for multiple purposes with different declaration requirements. 
Please see column F for which declarations you need to complete for your return.</t>
  </si>
  <si>
    <t>Required for July College Financial Planning Return</t>
  </si>
  <si>
    <t>Required for:</t>
  </si>
  <si>
    <t>Required for all returns</t>
  </si>
  <si>
    <t>I confirm that this return includes the capital project and reflects the project financing as per the capital grant application.</t>
  </si>
  <si>
    <t>Required for capital grant applications</t>
  </si>
  <si>
    <t xml:space="preserve">Year 1 reconciliation </t>
  </si>
  <si>
    <t xml:space="preserve">Year 2 reconciliation </t>
  </si>
  <si>
    <t>Year 3 reconciliation</t>
  </si>
  <si>
    <t>Optional Prior Year reconciliation</t>
  </si>
  <si>
    <t>Loans Opening Balance Reconciliation to "Opening Balances" sheet</t>
  </si>
  <si>
    <t>Provide college name</t>
  </si>
  <si>
    <t>Declarations need to be entered here based on the purpose of the CFFR submission.</t>
  </si>
  <si>
    <t>Opening balances for current financial year.
Optional prior year opening balances (only fill in if the optional year is applied)</t>
  </si>
  <si>
    <t>1. Input depreciation for each NCA Account.
2. If applicable use the Movement due to Merger entry to account for any mid-year merger impact on Non-current assets. 
3. Input additions over time to the Investments account
4. Input Fixed Asset Retentions over time.</t>
  </si>
  <si>
    <t>Use this section in case of any asset reclassifications (e.g. from Land &amp; Buildings to Investments). Treated as a non-cash movement in NCA accounts.</t>
  </si>
  <si>
    <t>1. Forecast closing balances for Current Assets, Liabilities and Reserves
2. Additional inputs for:
- Receivables and Stock movements due to bad debt write-off/ stock revaluations and write-offs
- Finance Lease Obligations payments and interest
- Capital Grant Liability Account movements
- Pension Provision Accounts Movement 
- Transfers between Reserves
3. Please note some of the line items on "BS Forecasts" are referred from other sheets and need to be filled in there first for the Balance Sheet to balance:
-Most NCA accounts + finance Lease Additions link to the "Investing Inputs" sheet
-Loan balances and Interest Payable Balance link to the "Loans" sheet
-I&amp;E Reserve movement and Movement in Share of JV's link to I&amp;E</t>
  </si>
  <si>
    <t>Balance Sheet linking to Balance Sheet inputs ("BS Forecasts" sheet)</t>
  </si>
  <si>
    <t xml:space="preserve">Financial Health points allocated under the proposed system for:
- Adjusted current ratio
- EBITDA % of adjusted income
- Debt Service Cover Ratio/ (Cash generation from operations in case of no debt)
</t>
  </si>
  <si>
    <t>Gain/(loss) on Disposal of Investments</t>
  </si>
  <si>
    <t xml:space="preserve">Enter inputs for merger/ de-merger in current year
</t>
  </si>
  <si>
    <t>I confirm that the supporting commentary has been prepared with due regard to the financial planning checklist in the College Financial Planning Handbook.</t>
  </si>
  <si>
    <t>Note on Proposed Financial Health Grading System</t>
  </si>
  <si>
    <t xml:space="preserve">Gain/Loss on Disposal </t>
  </si>
  <si>
    <t>Automated Interest Calc Flag</t>
  </si>
  <si>
    <t>Summary Figures</t>
  </si>
  <si>
    <t>Enter the first and last date of monthly actuals (disregarding optional prior and forecast year dates, which will be auto-populated).
Maximum of 16 monthly periods of actuals data can be entered. Once the 16 months of actuals have been exhausted the model needs to be "rolled forward", i.e. the model start and end dates need to be reset and the actuals data needs to be shifted accordingly.</t>
  </si>
  <si>
    <t>Monthly or Annual</t>
  </si>
  <si>
    <r>
      <rPr>
        <b/>
        <sz val="11"/>
        <color theme="1"/>
        <rFont val="Calibri"/>
        <family val="2"/>
        <scheme val="minor"/>
      </rPr>
      <t>Step 2:</t>
    </r>
    <r>
      <rPr>
        <sz val="11"/>
        <color theme="1"/>
        <rFont val="Calibri"/>
        <family val="2"/>
        <scheme val="minor"/>
      </rPr>
      <t xml:space="preserve"> Update actual I&amp;E data in the 'I&amp;E Monthly' sheet using the monthly timeline. 
Update the Optional Prior year actuals if used.</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</si>
  <si>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'I&amp;E Annual' then links to outputs and calculations.</t>
    </r>
  </si>
  <si>
    <r>
      <rPr>
        <b/>
        <sz val="11"/>
        <color theme="1"/>
        <rFont val="Calibri"/>
        <family val="2"/>
        <scheme val="minor"/>
      </rPr>
      <t>Outcome:</t>
    </r>
    <r>
      <rPr>
        <sz val="11"/>
        <color theme="1"/>
        <rFont val="Calibri"/>
        <family val="2"/>
        <scheme val="minor"/>
      </rPr>
      <t xml:space="preserve"> The I&amp;E inputs will be reflected in the 'I&amp;E Annual' sheet. It links to outputs and calculations.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</si>
  <si>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It links to outputs and calculations.</t>
    </r>
  </si>
  <si>
    <r>
      <rPr>
        <b/>
        <sz val="11"/>
        <color theme="1"/>
        <rFont val="Calibri"/>
        <family val="2"/>
        <scheme val="minor"/>
      </rPr>
      <t xml:space="preserve">Outcome: </t>
    </r>
    <r>
      <rPr>
        <sz val="11"/>
        <color theme="1"/>
        <rFont val="Calibri"/>
        <family val="2"/>
        <scheme val="minor"/>
      </rPr>
      <t>The selected I&amp;E inputs for each line item will be reflected in the 'I&amp;E Annual' sheet. It links to outputs and calculations.</t>
    </r>
  </si>
  <si>
    <r>
      <rPr>
        <b/>
        <sz val="11"/>
        <color theme="1"/>
        <rFont val="Calibri"/>
        <family val="2"/>
        <scheme val="minor"/>
      </rPr>
      <t>Step 2a:</t>
    </r>
    <r>
      <rPr>
        <sz val="11"/>
        <color theme="1"/>
        <rFont val="Calibri"/>
        <family val="2"/>
        <scheme val="minor"/>
      </rPr>
      <t xml:space="preserve"> If the "Monthly" option is selected for any of the I&amp;E items, those items need to be entirely filled in on the "I&amp;E Monthly" sheet for the full monthly timeline</t>
    </r>
  </si>
  <si>
    <r>
      <rPr>
        <b/>
        <sz val="11"/>
        <color theme="1"/>
        <rFont val="Calibri"/>
        <family val="2"/>
        <scheme val="minor"/>
      </rPr>
      <t>Step 2b:</t>
    </r>
    <r>
      <rPr>
        <sz val="11"/>
        <color theme="1"/>
        <rFont val="Calibri"/>
        <family val="2"/>
        <scheme val="minor"/>
      </rPr>
      <t xml:space="preserve"> Enter I&amp;E data on an annual basis in the 'I&amp;E Annual' sheet for all line items that are set to "Annual" in column E.</t>
    </r>
  </si>
  <si>
    <r>
      <rPr>
        <b/>
        <sz val="11"/>
        <color theme="1"/>
        <rFont val="Calibri"/>
        <family val="2"/>
        <scheme val="minor"/>
      </rPr>
      <t>Step 3a:</t>
    </r>
    <r>
      <rPr>
        <sz val="11"/>
        <color theme="1"/>
        <rFont val="Calibri"/>
        <family val="2"/>
        <scheme val="minor"/>
      </rPr>
      <t xml:space="preserve"> On the 'I&amp;E profiles' sheet enter any custom profiles and name them. These will then appear in the dropdowns on 'I&amp;E Annual' Column E.</t>
    </r>
  </si>
  <si>
    <r>
      <rPr>
        <b/>
        <sz val="11"/>
        <color theme="1"/>
        <rFont val="Calibri"/>
        <family val="2"/>
        <scheme val="minor"/>
      </rPr>
      <t>Step 3b:</t>
    </r>
    <r>
      <rPr>
        <sz val="11"/>
        <color theme="1"/>
        <rFont val="Calibri"/>
        <family val="2"/>
        <scheme val="minor"/>
      </rPr>
      <t xml:space="preserve"> For all "Annual" line items on the 'I&amp;E Annual' sheet select a profile for each populated row from the dropdown menu in column E.</t>
    </r>
  </si>
  <si>
    <r>
      <rPr>
        <b/>
        <sz val="11"/>
        <color theme="1"/>
        <rFont val="Calibri"/>
        <family val="2"/>
        <scheme val="minor"/>
      </rPr>
      <t>Step 2:</t>
    </r>
    <r>
      <rPr>
        <sz val="11"/>
        <color theme="1"/>
        <rFont val="Calibri"/>
        <family val="2"/>
        <scheme val="minor"/>
      </rPr>
      <t xml:space="preserve"> Forecast data can be entered either entirely on the "I&amp;E Annual" sheet or partly on "I&amp;E Annual" and partly on "I&amp;E Monthly". For each I&amp;E line item choose whether it is to be entered on a monthly or on an annual basis using the dropdown menu in column G on the "I&amp;E Annual" sheet.</t>
    </r>
  </si>
  <si>
    <t>This approach is optional and is executed via the 2 optional I&amp;E input sheets: "I&amp;E Annual" and "I&amp;E Profiles". 
Use it in order to enter I&amp;E data as annual forecasts over the 3 year period and to allocate the monthly income and expenditure based on I&amp;E profiling on the "I&amp;E Profiles" sheet.</t>
  </si>
  <si>
    <r>
      <rPr>
        <b/>
        <sz val="11"/>
        <color theme="1"/>
        <rFont val="Calibri"/>
        <family val="2"/>
        <scheme val="minor"/>
      </rPr>
      <t>Step 2:</t>
    </r>
    <r>
      <rPr>
        <sz val="11"/>
        <color theme="1"/>
        <rFont val="Calibri"/>
        <family val="2"/>
        <scheme val="minor"/>
      </rPr>
      <t xml:space="preserve"> Update the actual data in the 'I&amp;E Monthly' sheet. The seasonal profiles will be updated automatically once the model end and start dates are updated.</t>
    </r>
  </si>
  <si>
    <t>Adjusted Ops Surplus/Deficit ratio</t>
  </si>
  <si>
    <t xml:space="preserve">Financial Health </t>
  </si>
  <si>
    <t>Fin Health</t>
  </si>
  <si>
    <t>Performance</t>
  </si>
  <si>
    <t>Debt Service Cover Ratio (DSCR)</t>
  </si>
  <si>
    <t>Fin Health Points</t>
  </si>
  <si>
    <t>Additions in period</t>
  </si>
  <si>
    <t>Released in period</t>
  </si>
  <si>
    <t>Net interest on provision in period</t>
  </si>
  <si>
    <t>Pension Lumpsum Settlement Payment</t>
  </si>
  <si>
    <t>Dashboard graphics and summary data providing a snapshot of financial performance
Graphs show FEC benchmark for the applicable ratios as a guideline only. Model Users have the option to include their own college-specific benchmark for these ratios as an optional input.</t>
  </si>
  <si>
    <r>
      <rPr>
        <b/>
        <sz val="11"/>
        <color theme="1"/>
        <rFont val="Calibri"/>
        <family val="2"/>
        <scheme val="minor"/>
      </rPr>
      <t>Step 3:</t>
    </r>
    <r>
      <rPr>
        <sz val="11"/>
        <color theme="1"/>
        <rFont val="Calibri"/>
        <family val="2"/>
        <scheme val="minor"/>
      </rPr>
      <t xml:space="preserve"> Update the annual forecast data for the current year in the 'I&amp;E Annual' sheet to reflect the change in actuals. Make sure the calculated monthly forecast figures in the 'I&amp;E Annual' sheet reflect the desired outcome by adjusting the annual data entries.</t>
    </r>
  </si>
  <si>
    <t>- a minimum requirement section: to be filled in for all loans entered</t>
  </si>
  <si>
    <t>- section on loan covenants: to be filled in if applicable</t>
  </si>
  <si>
    <t>- additional information section for automated interest calculation: to be filled in only if the automated interest calculation is used. If not used do not fill in this section.</t>
  </si>
  <si>
    <t>Provide details for each loan (e.g. lender, loan amount, loan term start and end date, loan interest, etc.) The Loans data table includes:</t>
  </si>
  <si>
    <t>Use the yes/no dropdown column in this table to specify if the interest automated calculation option should be applied for deriving interest expense and payments. 
By default the calculated option is set to not in use, i.e.  interest expense and interest payments need to be entered via the Manual Inputs Section across the full model timeline.</t>
  </si>
  <si>
    <t>By default the calculated option is set to not in use (unless specified otherwise as per above), i.e.  interest expense and interest payments need to be entered via the "Manual Loan Data Inputs" section across the full model timeline.</t>
  </si>
  <si>
    <t>Fill in capital loan balance and interest movements for each loan within this section (including data on early loan repayments and early repayment fees if applicable)</t>
  </si>
  <si>
    <r>
      <rPr>
        <b/>
        <sz val="11"/>
        <color theme="1"/>
        <rFont val="Calibri"/>
        <family val="2"/>
        <scheme val="minor"/>
      </rPr>
      <t xml:space="preserve">If the automated interest calc. option is not in use: </t>
    </r>
    <r>
      <rPr>
        <sz val="11"/>
        <color theme="1"/>
        <rFont val="Calibri"/>
        <family val="2"/>
        <scheme val="minor"/>
      </rPr>
      <t>fill in interest expense and interest payments in this section across the entire timeline</t>
    </r>
  </si>
  <si>
    <r>
      <t xml:space="preserve">Inputs need to be provided for:
-Loan drawdowns 
-Loan Capital Repayment (as per loan agreement)
-Early Loan Capital Repayment 
-Interest expense </t>
    </r>
    <r>
      <rPr>
        <b/>
        <sz val="11"/>
        <color theme="1"/>
        <rFont val="Calibri"/>
        <family val="2"/>
        <scheme val="minor"/>
      </rPr>
      <t>(actuals data as a minimum)</t>
    </r>
    <r>
      <rPr>
        <sz val="11"/>
        <color theme="1"/>
        <rFont val="Calibri"/>
        <family val="2"/>
        <scheme val="minor"/>
      </rPr>
      <t xml:space="preserve">
-Interest repayments </t>
    </r>
    <r>
      <rPr>
        <b/>
        <sz val="11"/>
        <color theme="1"/>
        <rFont val="Calibri"/>
        <family val="2"/>
        <scheme val="minor"/>
      </rPr>
      <t>(actuals data as a minimum)</t>
    </r>
    <r>
      <rPr>
        <sz val="11"/>
        <color theme="1"/>
        <rFont val="Calibri"/>
        <family val="2"/>
        <scheme val="minor"/>
      </rPr>
      <t xml:space="preserve">
- Early repayment fees</t>
    </r>
  </si>
  <si>
    <r>
      <rPr>
        <b/>
        <sz val="11"/>
        <color theme="1"/>
        <rFont val="Calibri"/>
        <family val="2"/>
        <scheme val="minor"/>
      </rPr>
      <t xml:space="preserve">If the automated interest calc. option is used: </t>
    </r>
    <r>
      <rPr>
        <sz val="11"/>
        <color theme="1"/>
        <rFont val="Calibri"/>
        <family val="2"/>
        <scheme val="minor"/>
      </rPr>
      <t>only fill in interest expense and interest payments for actuals periods in this section. The forecast periods interest expense and payments will be calculated in the "Loan Interest Calculation Option" section based on the loan capital and actual interest amounts provided in this section and the additional details provided in the Loans Data Table (as per above).</t>
    </r>
  </si>
  <si>
    <t>Provide the first date that interest payment is expected to occur in the forecast period. (This date should be in the future, should not be in the actuals period, otherwise the automated interest calculation will not be correct).</t>
  </si>
  <si>
    <t xml:space="preserve">Provide the frequency of interest compounding (e.g. interest compounds daily, monthly, quarterly, annually, or semi-annually) </t>
  </si>
  <si>
    <t>State if interest accrues at period end (the model default is that interest accrues at the beginning of the period). If it accrues at period end, then interest will be compounded after any interest payments in the period.</t>
  </si>
  <si>
    <t>This section automatically calculates interest expense and interest repayment for the forecast periods based on the inputs provided above.</t>
  </si>
  <si>
    <t>Order of Completion and Minimum Inputs Guidelines</t>
  </si>
  <si>
    <t>Enter inputs in the order that the input sheets are listed in the Table of Contents (ToC), i.e.</t>
  </si>
  <si>
    <t>Optional</t>
  </si>
  <si>
    <t>I&amp;E related inputs:</t>
  </si>
  <si>
    <t>BS related inputs:</t>
  </si>
  <si>
    <t>2 possible approaches:</t>
  </si>
  <si>
    <t>ii) As you are filling in the I&amp;E inputs use the links provided (in columns E-G) to navigate to the relevant model sections where you can fill in the specific inputs linking to the I&amp;E. This will allow you to have completed the I&amp;E inputs and have a full view of the I&amp;E before moving on to the remaining inputs.</t>
  </si>
  <si>
    <t>i) While filling in the I&amp;E inputs, ignore the line items that are linking to other sheets and cannot be filled in on the I&amp;E sheet(s). This means you would not be able to get a full picture of the I&amp;E before completing the BS inputs but will be able to maintain the flow of the model and minimise switching between sheets</t>
  </si>
  <si>
    <t>Optional sheets:</t>
  </si>
  <si>
    <t>This sheet is optional and can be used at any point in time to enter user calculations and workings that can then be linked to the input sheets above. Alternatively users may copy sheets into the model from other files and use them for workings/calculations to be linked to input sheets.</t>
  </si>
  <si>
    <t>User calculations:</t>
  </si>
  <si>
    <t>Enter Financial Health self-assessment on the "Financial Health" sheet.</t>
  </si>
  <si>
    <t>Option to provide college-specific ratio benchmarks to be shown against performance on the Dashboard graphs.</t>
  </si>
  <si>
    <t>Other:</t>
  </si>
  <si>
    <t>Inputs on Output Sheets:</t>
  </si>
  <si>
    <t>Performance summary figures provided in the model header across most input and output sheets. Use the dropdown menu to select item to be summarised on top of the sheet.</t>
  </si>
  <si>
    <t>Follow the colour scheme to identify the minimum inputs that need to be provided.</t>
  </si>
  <si>
    <t>Option to provide completion and output notes on the "Guide" sheet.</t>
  </si>
  <si>
    <t>Across sheets</t>
  </si>
  <si>
    <t>As a minimum fill in data across all "non-optional" input sheets, marked in yellow.</t>
  </si>
  <si>
    <t>On those sheets, as a minimum fill in all non-optional input cells (if items are applicable) marked in yellow.</t>
  </si>
  <si>
    <t xml:space="preserve">The non-optional/minimum requirement inputs cover the 3 year period, excluding the optional prior year and optional 8 year forecast periods. </t>
  </si>
  <si>
    <t>Minimum Inputs:</t>
  </si>
  <si>
    <t>Optional Inputs:</t>
  </si>
  <si>
    <t>`</t>
  </si>
  <si>
    <t>Compounded Interest Factor</t>
  </si>
  <si>
    <t>Financial Health (FH) estimates under the existing and the proposed FH grading system.
The sheet includes input cells for self assessment and a narrative field under each of the approaches.</t>
  </si>
  <si>
    <t xml:space="preserve">Financial Health points allocated under the existing system for:
- Adjusted current ratio
- EBITDA % of adjusted income
- Borrowing % of adjusted income
</t>
  </si>
  <si>
    <t>Provides a summary of Working Capital including graphs and a summary of:
- Stock balance
- Trade Receivables balance
- Trade Payables balance
- Adjusted Cash Days 
- Debtor days
- Creditor Days</t>
  </si>
  <si>
    <r>
      <rPr>
        <b/>
        <sz val="11"/>
        <color theme="1"/>
        <rFont val="Calibri"/>
        <family val="2"/>
        <scheme val="minor"/>
      </rPr>
      <t>Note</t>
    </r>
    <r>
      <rPr>
        <sz val="11"/>
        <color theme="1"/>
        <rFont val="Calibri"/>
        <family val="2"/>
        <scheme val="minor"/>
      </rPr>
      <t>: Some of the line items on the I&amp;E Monthly sheet are direct links to other input sheets. Therefore they cannot be filled in directly on the sheet but need to be entered elsewhere in the model. For such line items links are provided in columns E-G taking you to the relevant section of the model which needs to be filled in. Use the links to navigate to the relevant input sheets.</t>
    </r>
  </si>
  <si>
    <t>Suggested order of entering data inputs</t>
  </si>
  <si>
    <t>Input cells for the optional periods are marked in green. They can be used to provide additional data before and/or after the required 3 year period but are not part of the minimum requirement</t>
  </si>
  <si>
    <t>However, if opting to use the optional prior year and/or optional 8 year forecast, inputs for these periods need to be filled in consistently across all sheets (treated the same as the non-optional periods).</t>
  </si>
  <si>
    <t>Cover Sheet</t>
  </si>
  <si>
    <r>
      <rPr>
        <b/>
        <sz val="11"/>
        <color theme="1"/>
        <rFont val="Calibri"/>
        <family val="2"/>
        <scheme val="minor"/>
      </rPr>
      <t>Step 1:</t>
    </r>
    <r>
      <rPr>
        <sz val="11"/>
        <color theme="1"/>
        <rFont val="Calibri"/>
        <family val="2"/>
        <scheme val="minor"/>
      </rPr>
      <t xml:space="preserve"> Update the Model Date on the 'Cover Sheet'.</t>
    </r>
  </si>
  <si>
    <r>
      <rPr>
        <b/>
        <sz val="11"/>
        <color theme="1"/>
        <rFont val="Calibri"/>
        <family val="2"/>
        <scheme val="minor"/>
      </rPr>
      <t>Step 1:</t>
    </r>
    <r>
      <rPr>
        <sz val="11"/>
        <color theme="1"/>
        <rFont val="Calibri"/>
        <family val="2"/>
        <scheme val="minor"/>
      </rPr>
      <t xml:space="preserve"> Update the model start and end dates on the 'Cover Sheet'.</t>
    </r>
  </si>
  <si>
    <t>A summary of Financial Health grades is included on the 'Cover Sheet'. It is populated on the "Financial Health" tab and does not need to be populated here.</t>
  </si>
  <si>
    <t>CS-1a</t>
  </si>
  <si>
    <t>CS-1b</t>
  </si>
  <si>
    <t>CS-1c</t>
  </si>
  <si>
    <t>CS-1d</t>
  </si>
  <si>
    <t>CS-1e</t>
  </si>
  <si>
    <t>CS-2a</t>
  </si>
  <si>
    <t>CS-2b</t>
  </si>
  <si>
    <t>CS-2c</t>
  </si>
  <si>
    <t>CS-2d</t>
  </si>
  <si>
    <t>CS-2e</t>
  </si>
  <si>
    <t>CS-2f</t>
  </si>
  <si>
    <t>CS-3a</t>
  </si>
  <si>
    <t>CS-3b</t>
  </si>
  <si>
    <t>CS-3c</t>
  </si>
  <si>
    <t>CS-4a</t>
  </si>
  <si>
    <t>CS-4b</t>
  </si>
  <si>
    <t>CS-4c</t>
  </si>
  <si>
    <t>CS-4d</t>
  </si>
  <si>
    <t>CS-4e</t>
  </si>
  <si>
    <t>CS-4f-1</t>
  </si>
  <si>
    <t>CS-4f-2</t>
  </si>
  <si>
    <t>CS-4g-1</t>
  </si>
  <si>
    <t>CS-4g-2</t>
  </si>
  <si>
    <t>CS-4g-3</t>
  </si>
  <si>
    <t>CS-4g-4</t>
  </si>
  <si>
    <t>CS-4g-5</t>
  </si>
  <si>
    <t>CS-4g-6</t>
  </si>
  <si>
    <t>R-6g</t>
  </si>
  <si>
    <t>R-6h</t>
  </si>
  <si>
    <t>BS-B-9b-1</t>
  </si>
  <si>
    <t>BS-B-7c-6</t>
  </si>
  <si>
    <t>CFFR - protected version</t>
  </si>
  <si>
    <t>FINANCIAL DATA UNITS: £000</t>
  </si>
  <si>
    <t>Periods in Use Flag</t>
  </si>
  <si>
    <t>Valid College Data</t>
  </si>
  <si>
    <t>Monthly breakdown provided for actuals for FY 2021:</t>
  </si>
  <si>
    <t>I confirm that the most appropriate financial health grade for each of the three years is as shown above.</t>
  </si>
  <si>
    <t>Date of closest bank reconciliation:</t>
  </si>
  <si>
    <t>Name of contact for queries (if different):</t>
  </si>
  <si>
    <t>Total income</t>
  </si>
  <si>
    <t>Other income from non-learning activities incl. VAT recovered</t>
  </si>
  <si>
    <t>Emergency Funding</t>
  </si>
  <si>
    <t>Staff Costs excl. Restructuring</t>
  </si>
  <si>
    <t>Staff restructuring costs  (excl. enhanced pension costs)</t>
  </si>
  <si>
    <t>Of which: subcontracted out Adult Education and Training Income</t>
  </si>
  <si>
    <t>Other HE income (excl. fees)</t>
  </si>
  <si>
    <t>Emergency Funding (excl. from Total Income below)</t>
  </si>
  <si>
    <t>Investment in JVs and Associates (inc. overseas)</t>
  </si>
  <si>
    <t>Share of surplus / (deficit) in JVs and Associates (inc. overseas)</t>
  </si>
  <si>
    <t>Short-term Investments</t>
  </si>
  <si>
    <t>£000</t>
  </si>
  <si>
    <t>Merger date:</t>
  </si>
  <si>
    <t>I confirm that this return is consistent with the college's strategic plan and that the plan and accompanying commentary have been reviewed in accordance with the method agreed by the governing body. I agree that the data provided may be published by the Education and Skills Funding Agency.</t>
  </si>
  <si>
    <t>DATA UNITS: £000</t>
  </si>
  <si>
    <t>We are including the proposed Financial Health methodology as part of our consultation with colleges on the new system. This score will not be used for any formal Financial Health Assessments in FY2022 (the year ending 31st July 2022). Please look out for communications from ESFA about consultation with colleges on Financial Health if you have feedback or are interested in getting involved.</t>
  </si>
  <si>
    <t>BERKSHIRE COLLEGE OF AGRICULTURE</t>
  </si>
  <si>
    <t>EAST RIDING COLLEGE</t>
  </si>
  <si>
    <t>BEVER</t>
  </si>
  <si>
    <t>HADLOW COLLEGE</t>
  </si>
  <si>
    <t>HADLO</t>
  </si>
  <si>
    <t>HEREFORDSHIRE, LUDLOW, AND NORTH SHROPSHIRE COLLEGE</t>
  </si>
  <si>
    <t>INSPIRE EDUCATION GROUP</t>
  </si>
  <si>
    <t>NEW COLLEGE STAMFORD</t>
  </si>
  <si>
    <t>STAMF</t>
  </si>
  <si>
    <t>SOUTH BANK COLLEGES</t>
  </si>
  <si>
    <t>SWINDON COLLEGE</t>
  </si>
  <si>
    <t>SWIND</t>
  </si>
  <si>
    <t>THE SMB GROUP</t>
  </si>
  <si>
    <t>WEST KENT AND ASHFORD COLLEGE</t>
  </si>
  <si>
    <t>WEKNT</t>
  </si>
  <si>
    <t>WOODHOUSE COLLEGE</t>
  </si>
  <si>
    <t>WOODH</t>
  </si>
  <si>
    <t>IC-2c-6</t>
  </si>
  <si>
    <t>&lt;0.8</t>
  </si>
  <si>
    <t>&gt;=1.25</t>
  </si>
  <si>
    <t>&gt;=1.5</t>
  </si>
  <si>
    <t>&gt;=1.75</t>
  </si>
  <si>
    <t>&gt;=2.25</t>
  </si>
  <si>
    <t>&gt;=2.5</t>
  </si>
  <si>
    <t>&gt;=2.75</t>
  </si>
  <si>
    <t>Blue tabs are for the output sheets. These sheets are calculated by the model.
There are a number of exceptions where inputs can/need to be entered on some of the Output sheets as follows:</t>
  </si>
  <si>
    <t>Note some inputs on the I&amp;E line items are linking to Balance Sheet related inputs from the below input sheets. Therefore, it is not possible to completely fill in the I&amp;E sheets without populating at least some of the below BS related inputs. For I&amp;E line items that are linked to the below input sheets, links are provided in columns E-G on the "I&amp;E Monthly" (and "I&amp;E Annual") sheet, that take you to the relevant sections on the BS related input sheets.</t>
  </si>
  <si>
    <t>An optional approach is provided for filling in I&amp;E data using two optional input sheets: "I&amp;E Annual" and "I&amp;E Profiles". There is also an optional "User Template" sheet. Tabs for these sheets are marked in green and the sheets can be ignored if not opted for.</t>
  </si>
  <si>
    <t>Summary of Financial Health grading and points</t>
  </si>
  <si>
    <r>
      <rPr>
        <b/>
        <sz val="11"/>
        <color theme="1"/>
        <rFont val="Calibri"/>
        <family val="2"/>
        <scheme val="minor"/>
      </rPr>
      <t>Step 1:</t>
    </r>
    <r>
      <rPr>
        <sz val="11"/>
        <color theme="1"/>
        <rFont val="Calibri"/>
        <family val="2"/>
        <scheme val="minor"/>
      </rPr>
      <t xml:space="preserve"> Enter data for the minimum 3 year period on a monthly basis in the 'I&amp;E Monthly' sheet. (Actuals can be entered on a year to date basis for FY2021 only).
There is an option to provide additional inputs for i) Prior year; and for ii) 8 Forecast periods beyond the minimum 3 year period. These input fields are on an annual basis. They are optional and are marked in green accordingly.</t>
    </r>
  </si>
  <si>
    <r>
      <rPr>
        <b/>
        <sz val="11"/>
        <color theme="1"/>
        <rFont val="Calibri"/>
        <family val="2"/>
        <scheme val="minor"/>
      </rPr>
      <t xml:space="preserve">Step 3: </t>
    </r>
    <r>
      <rPr>
        <sz val="11"/>
        <color theme="1"/>
        <rFont val="Calibri"/>
        <family val="2"/>
        <scheme val="minor"/>
      </rPr>
      <t xml:space="preserve">Update current year forecast I&amp;E data in the 'I&amp;E Monthly' sheet using the monthly timeline. 
</t>
    </r>
  </si>
  <si>
    <r>
      <rPr>
        <b/>
        <sz val="11"/>
        <color theme="1"/>
        <rFont val="Calibri"/>
        <family val="2"/>
        <scheme val="minor"/>
      </rPr>
      <t>Step 1:</t>
    </r>
    <r>
      <rPr>
        <sz val="11"/>
        <color theme="1"/>
        <rFont val="Calibri"/>
        <family val="2"/>
        <scheme val="minor"/>
      </rPr>
      <t xml:space="preserve"> Enter the actuals data (and optional prior year and/or 8 year optional forecast data if used) on the 'I&amp;E Monthly' sheet.</t>
    </r>
  </si>
  <si>
    <t xml:space="preserve">Provide the frequency of interest payments, (e.g. interest is paid monthly, quarterly, annually, or semi-annually) </t>
  </si>
  <si>
    <t>Receipts from sale of Non-Current Assets</t>
  </si>
  <si>
    <t>Repayment of Capital Grants</t>
  </si>
  <si>
    <t>Payments made to acquire Land &amp; Buildings</t>
  </si>
  <si>
    <t>Payments made to acquire Equipment</t>
  </si>
  <si>
    <t>Payments made to acquire Investments</t>
  </si>
  <si>
    <t>Receipt of Deferred Capital Grants</t>
  </si>
  <si>
    <t>Dividends received from Investment in JVs</t>
  </si>
  <si>
    <t>Net cash flow from Investing Activities</t>
  </si>
  <si>
    <t>Interest and Investment Income</t>
  </si>
  <si>
    <t>Closing overdraft balance</t>
  </si>
  <si>
    <t>Transfer (from)/to the following reserve:</t>
  </si>
  <si>
    <t>Transfers to/(from) I&amp;E reserve</t>
  </si>
  <si>
    <t>Transfers to/(from) Revaluation Reserve</t>
  </si>
  <si>
    <t>Surplus/Loss on Revaluation of Tangible Non-Current Assets</t>
  </si>
  <si>
    <t>NatWest</t>
  </si>
  <si>
    <t>Post 16 capacity fund project</t>
  </si>
  <si>
    <t xml:space="preserve">Capital Transformation Fund </t>
  </si>
  <si>
    <t>FECA Capital</t>
  </si>
  <si>
    <t xml:space="preserve">WR Business &amp; Management </t>
  </si>
  <si>
    <t>DFE capital for T levels</t>
  </si>
  <si>
    <t>Andrew Dobson</t>
  </si>
  <si>
    <t>Jacquie Carman</t>
  </si>
  <si>
    <t>0121 602 7777</t>
  </si>
  <si>
    <t>jcarman@halesowen.ac.uk</t>
  </si>
  <si>
    <t>V1.1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</si>
</sst>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43" formatCode="_-* #,##0.00_-;\-* #,##0.00_-;_-* &quot;-&quot;??_-;_-@_-"/>
    <numFmt numFmtId="164" formatCode="&quot;ERROR&quot;;;&quot;OK&quot;"/>
    <numFmt numFmtId="165" formatCode="#,##0;[Red]\(#,##0\);\-"/>
    <numFmt numFmtId="166" formatCode="_-* #,##0.0_-;* \(#,##0.0\)_-;_-* &quot;-&quot;??_-;_-@_-"/>
    <numFmt numFmtId="167" formatCode="_-* #,##0_-;* \(#,##0\)_-;_-* &quot;-&quot;??_-;_-@_-"/>
    <numFmt numFmtId="168" formatCode="#,##0_ ;\(#,##0\);\-\ "/>
    <numFmt numFmtId="169" formatCode="&quot;Yes&quot;;;&quot;No&quot;"/>
    <numFmt numFmtId="170" formatCode="&quot;Forecast&quot;;&quot;Act/For&quot;;&quot;Actual&quot;"/>
    <numFmt numFmtId="171" formatCode="&quot;Annual&quot;;;&quot;Monthly&quot;"/>
    <numFmt numFmtId="172" formatCode="_-* ###0_-;* \(###0\)_-;_-* &quot;-&quot;??_-;_-@_-"/>
    <numFmt numFmtId="173" formatCode="_-* #,##0.00_-;* \(#,##0.00\)_-;_-* &quot;-&quot;??_-;_-@_-"/>
    <numFmt numFmtId="174" formatCode="_-* #,##0.0_-;\-* #,##0.0_-;_-* &quot;-&quot;?_-;_-@_-"/>
    <numFmt numFmtId="175" formatCode="&quot;Yes&quot;;;&quot;-&quot;"/>
    <numFmt numFmtId="176" formatCode="0;\-0;0;&quot;          &quot;@"/>
    <numFmt numFmtId="177" formatCode="0;\-0;0;&quot; - &quot;@"/>
    <numFmt numFmtId="178" formatCode="_-* #,##0.00000000_-;* \(#,##0.00000000\)_-;_-* &quot;-&quot;??_-;_-@_-"/>
    <numFmt numFmtId="179" formatCode="&quot;WARNING&quot;;;&quot;OK&quot;"/>
    <numFmt numFmtId="180" formatCode="_-* #,##0.000_-;* \(#,##0.000\)_-;_-* &quot;-&quot;??_-;_-@_-"/>
    <numFmt numFmtId="181" formatCode="[$-809]dd\ mmmm\ yyyy;@"/>
  </numFmts>
  <fonts count="4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color rgb="FFFF0000"/>
      <name val="Calibri"/>
      <family val="2"/>
      <scheme val="minor"/>
    </font>
    <font>
      <sz val="10"/>
      <name val="Calibri"/>
      <family val="2"/>
      <scheme val="minor"/>
    </font>
    <font>
      <b/>
      <sz val="8"/>
      <color theme="0"/>
      <name val="Arial"/>
      <family val="2"/>
    </font>
    <font>
      <b/>
      <sz val="11"/>
      <color theme="0"/>
      <name val="Calibri"/>
      <family val="2"/>
    </font>
    <font>
      <sz val="8"/>
      <name val="Calibri"/>
      <family val="2"/>
      <scheme val="minor"/>
    </font>
    <font>
      <b/>
      <sz val="10"/>
      <name val="Arial"/>
      <family val="2"/>
    </font>
    <font>
      <sz val="10"/>
      <name val="Arial"/>
      <family val="2"/>
    </font>
    <font>
      <sz val="11"/>
      <color theme="0"/>
      <name val="Calibri"/>
      <family val="2"/>
      <scheme val="minor"/>
    </font>
    <font>
      <u/>
      <sz val="11"/>
      <color theme="10"/>
      <name val="Calibri"/>
      <family val="2"/>
      <scheme val="minor"/>
    </font>
    <font>
      <u/>
      <sz val="8"/>
      <color theme="0"/>
      <name val="Calibri"/>
      <family val="2"/>
      <scheme val="minor"/>
    </font>
    <font>
      <sz val="15"/>
      <color theme="1"/>
      <name val="Calibri"/>
      <family val="2"/>
      <scheme val="minor"/>
    </font>
    <font>
      <b/>
      <sz val="11"/>
      <name val="Calibri"/>
      <family val="2"/>
      <scheme val="minor"/>
    </font>
    <font>
      <sz val="8"/>
      <color theme="0"/>
      <name val="Calibri"/>
      <family val="2"/>
      <scheme val="minor"/>
    </font>
    <font>
      <b/>
      <sz val="11"/>
      <color indexed="8"/>
      <name val="Calibri"/>
      <family val="2"/>
      <scheme val="minor"/>
    </font>
    <font>
      <sz val="11"/>
      <color theme="1"/>
      <name val="Webdings"/>
      <family val="1"/>
      <charset val="2"/>
    </font>
    <font>
      <b/>
      <sz val="11"/>
      <color theme="0"/>
      <name val="Calibri"/>
      <family val="2"/>
    </font>
    <font>
      <u/>
      <sz val="8"/>
      <color theme="10"/>
      <name val="Calibri"/>
      <family val="2"/>
      <scheme val="minor"/>
    </font>
    <font>
      <b/>
      <sz val="10"/>
      <color rgb="FFFF0000"/>
      <name val="Arial"/>
      <family val="2"/>
    </font>
    <font>
      <i/>
      <sz val="11"/>
      <color theme="1"/>
      <name val="Calibri"/>
      <family val="2"/>
      <scheme val="minor"/>
    </font>
    <font>
      <i/>
      <sz val="8"/>
      <color theme="1"/>
      <name val="Calibri"/>
      <family val="2"/>
      <scheme val="minor"/>
    </font>
    <font>
      <sz val="10"/>
      <color theme="1"/>
      <name val="Calibri"/>
      <family val="2"/>
      <scheme val="minor"/>
    </font>
    <font>
      <b/>
      <i/>
      <sz val="8"/>
      <color theme="1"/>
      <name val="Calibri"/>
      <family val="2"/>
      <scheme val="minor"/>
    </font>
    <font>
      <sz val="8"/>
      <color theme="1"/>
      <name val="Calibri"/>
      <family val="2"/>
      <scheme val="minor"/>
    </font>
    <font>
      <b/>
      <sz val="10"/>
      <name val="Arial"/>
      <family val="2"/>
    </font>
    <font>
      <u/>
      <sz val="9"/>
      <color theme="10"/>
      <name val="Calibri"/>
      <family val="2"/>
      <scheme val="minor"/>
    </font>
    <font>
      <b/>
      <sz val="11"/>
      <color theme="0"/>
      <name val="Calibri"/>
      <family val="2"/>
    </font>
    <font>
      <b/>
      <sz val="14"/>
      <color theme="1"/>
      <name val="Calibri"/>
      <family val="2"/>
      <scheme val="minor"/>
    </font>
    <font>
      <sz val="14"/>
      <color theme="1"/>
      <name val="Calibri"/>
      <family val="2"/>
      <scheme val="minor"/>
    </font>
    <font>
      <b/>
      <sz val="8"/>
      <color theme="1"/>
      <name val="Calibri"/>
      <family val="2"/>
      <scheme val="minor"/>
    </font>
    <font>
      <b/>
      <sz val="8"/>
      <name val="Arial"/>
      <family val="2"/>
    </font>
    <font>
      <b/>
      <sz val="8"/>
      <name val="Calibri"/>
      <family val="2"/>
      <scheme val="minor"/>
    </font>
    <font>
      <sz val="8"/>
      <name val="Arial"/>
      <family val="2"/>
    </font>
    <font>
      <b/>
      <sz val="11"/>
      <color rgb="FF000000"/>
      <name val="Calibri"/>
      <family val="2"/>
    </font>
    <font>
      <sz val="11"/>
      <color rgb="FF000000"/>
      <name val="Calibri"/>
      <family val="2"/>
    </font>
    <font>
      <b/>
      <u/>
      <sz val="11"/>
      <color theme="1"/>
      <name val="Calibri"/>
      <family val="2"/>
      <scheme val="minor"/>
    </font>
    <font>
      <b/>
      <sz val="8"/>
      <color theme="0"/>
      <name val="Calibri"/>
      <family val="2"/>
    </font>
    <font>
      <u/>
      <sz val="11"/>
      <color theme="1"/>
      <name val="Calibri"/>
      <family val="2"/>
      <scheme val="minor"/>
    </font>
  </fonts>
  <fills count="40">
    <fill>
      <patternFill patternType="none"/>
    </fill>
    <fill>
      <patternFill patternType="gray125"/>
    </fill>
    <fill>
      <patternFill patternType="solid">
        <fgColor theme="6" tint="0.79998168889431442"/>
        <bgColor indexed="65"/>
      </patternFill>
    </fill>
    <fill>
      <patternFill patternType="solid">
        <fgColor theme="7" tint="0.79998168889431442"/>
        <bgColor indexed="64"/>
      </patternFill>
    </fill>
    <fill>
      <patternFill patternType="solid">
        <fgColor rgb="FF0091DA"/>
        <bgColor indexed="64"/>
      </patternFill>
    </fill>
    <fill>
      <patternFill patternType="solid">
        <fgColor rgb="FFCCFFFF"/>
        <bgColor indexed="64"/>
      </patternFill>
    </fill>
    <fill>
      <patternFill patternType="solid">
        <fgColor rgb="FFBBF7DC"/>
        <bgColor indexed="64"/>
      </patternFill>
    </fill>
    <fill>
      <patternFill patternType="solid">
        <fgColor rgb="FF0070C0"/>
        <bgColor indexed="64"/>
      </patternFill>
    </fill>
    <fill>
      <patternFill patternType="solid">
        <fgColor theme="6" tint="0.59996337778862885"/>
        <bgColor indexed="64"/>
      </patternFill>
    </fill>
    <fill>
      <patternFill patternType="solid">
        <fgColor rgb="FF98C6EA"/>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rgb="FFEDEDED"/>
        <bgColor indexed="64"/>
      </patternFill>
    </fill>
    <fill>
      <patternFill patternType="solid">
        <fgColor rgb="FFFFF2CC"/>
        <bgColor indexed="64"/>
      </patternFill>
    </fill>
    <fill>
      <patternFill patternType="solid">
        <fgColor rgb="FFDBDBDB"/>
        <bgColor indexed="64"/>
      </patternFill>
    </fill>
    <fill>
      <patternFill patternType="solid">
        <fgColor rgb="FFA6A6A6"/>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D9E1F2"/>
        <bgColor indexed="64"/>
      </patternFill>
    </fill>
    <fill>
      <patternFill patternType="solid">
        <fgColor rgb="FFE2EFDA"/>
        <bgColor indexed="64"/>
      </patternFill>
    </fill>
  </fills>
  <borders count="46">
    <border>
      <left/>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
      <left style="thin">
        <color rgb="FF757171"/>
      </left>
      <right style="thin">
        <color rgb="FF757171"/>
      </right>
      <top style="thin">
        <color rgb="FF757171"/>
      </top>
      <bottom style="thin">
        <color rgb="FF757171"/>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Dashed">
        <color rgb="FF000000"/>
      </right>
      <top style="thin">
        <color rgb="FF000000"/>
      </top>
      <bottom style="thin">
        <color rgb="FF000000"/>
      </bottom>
      <diagonal/>
    </border>
    <border>
      <left style="mediumDashed">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Dashed">
        <color rgb="FF000000"/>
      </left>
      <right/>
      <top style="thin">
        <color rgb="FF000000"/>
      </top>
      <bottom style="thin">
        <color rgb="FF000000"/>
      </bottom>
      <diagonal/>
    </border>
    <border>
      <left style="hair">
        <color indexed="64"/>
      </left>
      <right/>
      <top/>
      <bottom/>
      <diagonal/>
    </border>
  </borders>
  <cellStyleXfs count="64">
    <xf numFmtId="0" fontId="0" fillId="0" borderId="0"/>
    <xf numFmtId="0" fontId="1" fillId="2" borderId="0" applyNumberFormat="0" applyBorder="0" applyAlignment="0" applyProtection="0"/>
    <xf numFmtId="0" fontId="6" fillId="0" borderId="9">
      <alignment horizontal="left" vertical="center" wrapText="1" indent="1"/>
    </xf>
    <xf numFmtId="165" fontId="7" fillId="4" borderId="10" applyAlignment="0"/>
    <xf numFmtId="167" fontId="1" fillId="6" borderId="11"/>
    <xf numFmtId="167" fontId="1" fillId="8" borderId="11"/>
    <xf numFmtId="166" fontId="1" fillId="5" borderId="11"/>
    <xf numFmtId="167" fontId="1" fillId="3" borderId="11"/>
    <xf numFmtId="167" fontId="3" fillId="27" borderId="11"/>
    <xf numFmtId="167" fontId="8" fillId="7" borderId="0" applyBorder="0" applyAlignment="0"/>
    <xf numFmtId="15" fontId="8" fillId="7" borderId="0"/>
    <xf numFmtId="15" fontId="1" fillId="8" borderId="11"/>
    <xf numFmtId="0" fontId="1" fillId="0" borderId="0">
      <alignment wrapText="1"/>
    </xf>
    <xf numFmtId="0" fontId="3" fillId="0" borderId="0">
      <alignment wrapText="1"/>
    </xf>
    <xf numFmtId="0" fontId="3" fillId="0" borderId="0">
      <alignment wrapText="1"/>
    </xf>
    <xf numFmtId="170" fontId="8" fillId="7" borderId="0"/>
    <xf numFmtId="15" fontId="1" fillId="0" borderId="0"/>
    <xf numFmtId="168" fontId="10" fillId="9" borderId="0" applyNumberFormat="0">
      <alignment vertical="center"/>
    </xf>
    <xf numFmtId="167" fontId="1" fillId="8" borderId="11"/>
    <xf numFmtId="15" fontId="4" fillId="3" borderId="11"/>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69" fontId="1" fillId="3" borderId="11"/>
    <xf numFmtId="0" fontId="10" fillId="9" borderId="10">
      <alignment horizontal="center" vertical="center" wrapText="1"/>
    </xf>
    <xf numFmtId="10" fontId="1" fillId="5" borderId="11"/>
    <xf numFmtId="15" fontId="4" fillId="5" borderId="11"/>
    <xf numFmtId="0" fontId="1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0" fontId="1" fillId="8" borderId="11"/>
    <xf numFmtId="167" fontId="14" fillId="7" borderId="0"/>
    <xf numFmtId="10" fontId="1" fillId="3" borderId="11"/>
    <xf numFmtId="10" fontId="1" fillId="6" borderId="11"/>
    <xf numFmtId="171" fontId="1" fillId="3" borderId="11"/>
    <xf numFmtId="172" fontId="1" fillId="8" borderId="11"/>
    <xf numFmtId="0" fontId="11" fillId="9" borderId="10" applyBorder="0">
      <alignment horizontal="center" vertical="center" wrapText="1"/>
    </xf>
    <xf numFmtId="166" fontId="21" fillId="8" borderId="11">
      <alignment wrapText="1"/>
    </xf>
    <xf numFmtId="166" fontId="1" fillId="0" borderId="11"/>
    <xf numFmtId="15" fontId="4" fillId="19" borderId="11"/>
    <xf numFmtId="0" fontId="25" fillId="0" borderId="0"/>
    <xf numFmtId="175" fontId="1" fillId="3" borderId="11"/>
    <xf numFmtId="0" fontId="6" fillId="0" borderId="19">
      <alignment horizontal="left" vertical="center" wrapText="1"/>
    </xf>
    <xf numFmtId="169" fontId="1" fillId="19" borderId="11">
      <protection locked="0"/>
    </xf>
    <xf numFmtId="177" fontId="1" fillId="0" borderId="0" applyFont="0" applyFill="0" applyBorder="0" applyAlignment="0" applyProtection="0">
      <alignment horizontal="left" vertical="top" wrapText="1"/>
    </xf>
    <xf numFmtId="0" fontId="27" fillId="0" borderId="0" applyFill="0"/>
    <xf numFmtId="15" fontId="1" fillId="27" borderId="11"/>
    <xf numFmtId="169" fontId="1" fillId="27" borderId="11" applyNumberFormat="0" applyFont="0" applyFill="0" applyAlignment="0" applyProtection="0">
      <protection locked="0"/>
    </xf>
    <xf numFmtId="0" fontId="36" fillId="9" borderId="0" applyFill="0" applyAlignment="0">
      <alignment vertical="center"/>
    </xf>
    <xf numFmtId="173" fontId="1" fillId="8" borderId="11"/>
    <xf numFmtId="9" fontId="1" fillId="8" borderId="11"/>
    <xf numFmtId="173" fontId="1" fillId="6" borderId="11"/>
    <xf numFmtId="10" fontId="1" fillId="27" borderId="11"/>
    <xf numFmtId="49" fontId="1" fillId="8" borderId="11"/>
    <xf numFmtId="0" fontId="1" fillId="0" borderId="0"/>
  </cellStyleXfs>
  <cellXfs count="608">
    <xf numFmtId="0" fontId="0" fillId="0" borderId="0" xfId="0"/>
    <xf numFmtId="0" fontId="0" fillId="0" borderId="0" xfId="0" applyAlignment="1">
      <alignment wrapText="1"/>
    </xf>
    <xf numFmtId="0" fontId="2" fillId="0" borderId="0" xfId="0" applyFont="1"/>
    <xf numFmtId="0" fontId="0" fillId="0" borderId="0" xfId="0" applyAlignment="1">
      <alignment horizontal="center" vertical="center"/>
    </xf>
    <xf numFmtId="0" fontId="4" fillId="0" borderId="0" xfId="0" applyFont="1"/>
    <xf numFmtId="0" fontId="3" fillId="0" borderId="0" xfId="0" applyFont="1"/>
    <xf numFmtId="0" fontId="5" fillId="0" borderId="0" xfId="0" applyFont="1"/>
    <xf numFmtId="164" fontId="0" fillId="0" borderId="0" xfId="0" applyNumberFormat="1" applyAlignment="1">
      <alignment horizontal="center"/>
    </xf>
    <xf numFmtId="6" fontId="0" fillId="0" borderId="0" xfId="0" quotePrefix="1" applyNumberFormat="1"/>
    <xf numFmtId="0" fontId="0" fillId="0" borderId="0" xfId="0" quotePrefix="1"/>
    <xf numFmtId="167" fontId="1" fillId="8" borderId="11" xfId="5"/>
    <xf numFmtId="0" fontId="0" fillId="0" borderId="0" xfId="0"/>
    <xf numFmtId="0" fontId="1" fillId="2" borderId="0" xfId="1"/>
    <xf numFmtId="167" fontId="3" fillId="27" borderId="11" xfId="8"/>
    <xf numFmtId="167" fontId="8" fillId="7" borderId="0" xfId="9"/>
    <xf numFmtId="0" fontId="0" fillId="0" borderId="0" xfId="0" applyAlignment="1">
      <alignment horizontal="left" vertical="center"/>
    </xf>
    <xf numFmtId="15" fontId="8" fillId="7" borderId="0" xfId="9" applyNumberFormat="1"/>
    <xf numFmtId="167" fontId="8" fillId="7" borderId="1" xfId="9" applyBorder="1"/>
    <xf numFmtId="167" fontId="8" fillId="7" borderId="2" xfId="9" applyBorder="1"/>
    <xf numFmtId="167" fontId="8" fillId="7" borderId="3" xfId="9" applyBorder="1"/>
    <xf numFmtId="167" fontId="8" fillId="7" borderId="0" xfId="9" applyFont="1"/>
    <xf numFmtId="15" fontId="8" fillId="7" borderId="6" xfId="10" applyBorder="1"/>
    <xf numFmtId="15" fontId="8" fillId="7" borderId="7" xfId="10" applyBorder="1"/>
    <xf numFmtId="15" fontId="8" fillId="7" borderId="8" xfId="10" applyBorder="1"/>
    <xf numFmtId="167" fontId="8" fillId="7" borderId="0" xfId="9" applyAlignment="1">
      <alignment horizontal="right"/>
    </xf>
    <xf numFmtId="0" fontId="0" fillId="0" borderId="0" xfId="0" applyBorder="1"/>
    <xf numFmtId="167" fontId="8" fillId="7" borderId="0" xfId="9" applyAlignment="1">
      <alignment wrapText="1"/>
    </xf>
    <xf numFmtId="0" fontId="3" fillId="0" borderId="0" xfId="0" applyFont="1" applyAlignment="1">
      <alignment wrapText="1"/>
    </xf>
    <xf numFmtId="0" fontId="1" fillId="2" borderId="0" xfId="1" applyAlignment="1">
      <alignment wrapText="1"/>
    </xf>
    <xf numFmtId="0" fontId="3" fillId="0" borderId="0" xfId="0" applyFont="1" applyAlignment="1"/>
    <xf numFmtId="0" fontId="0" fillId="0" borderId="11" xfId="0" applyBorder="1"/>
    <xf numFmtId="0" fontId="3" fillId="0" borderId="11" xfId="0" applyFont="1" applyBorder="1"/>
    <xf numFmtId="170" fontId="8" fillId="7" borderId="4" xfId="15" applyBorder="1"/>
    <xf numFmtId="170" fontId="8" fillId="7" borderId="0" xfId="15" applyBorder="1"/>
    <xf numFmtId="170" fontId="8" fillId="7" borderId="5" xfId="15" applyBorder="1"/>
    <xf numFmtId="0" fontId="0" fillId="0" borderId="0" xfId="0" applyBorder="1" applyAlignment="1">
      <alignment wrapText="1"/>
    </xf>
    <xf numFmtId="0" fontId="3" fillId="0" borderId="0" xfId="0" applyFont="1" applyBorder="1" applyAlignment="1">
      <alignment wrapText="1"/>
    </xf>
    <xf numFmtId="15" fontId="0" fillId="0" borderId="0" xfId="0" applyNumberFormat="1"/>
    <xf numFmtId="15" fontId="1" fillId="8" borderId="11" xfId="11"/>
    <xf numFmtId="0" fontId="1" fillId="0" borderId="0" xfId="12">
      <alignment wrapText="1"/>
    </xf>
    <xf numFmtId="0" fontId="10" fillId="9" borderId="0" xfId="17" applyNumberFormat="1">
      <alignment vertical="center"/>
    </xf>
    <xf numFmtId="0" fontId="0" fillId="0" borderId="0" xfId="0" applyBorder="1" applyAlignment="1"/>
    <xf numFmtId="0" fontId="0" fillId="2" borderId="0" xfId="1" applyFont="1"/>
    <xf numFmtId="167" fontId="8" fillId="7" borderId="0" xfId="9" applyAlignment="1">
      <alignment horizontal="right" wrapText="1"/>
    </xf>
    <xf numFmtId="167" fontId="8" fillId="7" borderId="0" xfId="9" applyAlignment="1"/>
    <xf numFmtId="167" fontId="1" fillId="8" borderId="11" xfId="18"/>
    <xf numFmtId="6" fontId="0" fillId="0" borderId="0" xfId="0" quotePrefix="1" applyNumberFormat="1" applyFont="1"/>
    <xf numFmtId="0" fontId="0" fillId="0" borderId="0" xfId="0" quotePrefix="1" applyFont="1"/>
    <xf numFmtId="0" fontId="0" fillId="0" borderId="0" xfId="0" applyFont="1"/>
    <xf numFmtId="0" fontId="11" fillId="9" borderId="0" xfId="17" applyNumberFormat="1" applyFont="1">
      <alignment vertical="center"/>
    </xf>
    <xf numFmtId="0" fontId="0" fillId="0" borderId="0" xfId="0" quotePrefix="1" applyAlignment="1">
      <alignment horizontal="left"/>
    </xf>
    <xf numFmtId="0" fontId="0" fillId="0" borderId="0" xfId="0" applyAlignment="1"/>
    <xf numFmtId="6" fontId="4" fillId="0" borderId="0" xfId="0" quotePrefix="1" applyNumberFormat="1" applyFont="1"/>
    <xf numFmtId="0" fontId="4" fillId="0" borderId="0" xfId="0" quotePrefix="1" applyFont="1"/>
    <xf numFmtId="0" fontId="0" fillId="2" borderId="0" xfId="1" applyFont="1" applyAlignment="1">
      <alignment wrapText="1"/>
    </xf>
    <xf numFmtId="0" fontId="10" fillId="9" borderId="12" xfId="32" applyBorder="1">
      <alignment horizontal="center" vertical="center" wrapText="1"/>
    </xf>
    <xf numFmtId="0" fontId="10" fillId="9" borderId="10" xfId="32" applyBorder="1">
      <alignment horizontal="center" vertical="center" wrapText="1"/>
    </xf>
    <xf numFmtId="0" fontId="10" fillId="9" borderId="13" xfId="32" applyBorder="1">
      <alignment horizontal="center" vertical="center" wrapText="1"/>
    </xf>
    <xf numFmtId="0" fontId="0" fillId="0" borderId="10" xfId="0" applyBorder="1" applyAlignment="1">
      <alignment horizontal="left"/>
    </xf>
    <xf numFmtId="0" fontId="0" fillId="0" borderId="13" xfId="0" applyBorder="1" applyAlignment="1">
      <alignment horizontal="left"/>
    </xf>
    <xf numFmtId="166" fontId="0" fillId="0" borderId="0" xfId="0" applyNumberFormat="1"/>
    <xf numFmtId="0" fontId="3" fillId="0" borderId="0" xfId="13">
      <alignment wrapText="1"/>
    </xf>
    <xf numFmtId="43" fontId="0" fillId="0" borderId="0" xfId="29" applyFont="1"/>
    <xf numFmtId="10" fontId="0" fillId="0" borderId="0" xfId="30" applyNumberFormat="1" applyFont="1"/>
    <xf numFmtId="166" fontId="3" fillId="0" borderId="0" xfId="13" applyNumberFormat="1">
      <alignment wrapText="1"/>
    </xf>
    <xf numFmtId="0" fontId="13" fillId="0" borderId="0" xfId="35"/>
    <xf numFmtId="10" fontId="1" fillId="8" borderId="11" xfId="39"/>
    <xf numFmtId="0" fontId="0" fillId="0" borderId="0" xfId="0"/>
    <xf numFmtId="167" fontId="8" fillId="7" borderId="0" xfId="9" applyAlignment="1">
      <alignment vertical="center" wrapText="1"/>
    </xf>
    <xf numFmtId="0" fontId="0" fillId="0" borderId="0" xfId="0" applyAlignment="1">
      <alignment vertical="center" wrapText="1"/>
    </xf>
    <xf numFmtId="0" fontId="10" fillId="9" borderId="0" xfId="17" applyNumberFormat="1" applyAlignment="1">
      <alignment vertical="center" wrapText="1"/>
    </xf>
    <xf numFmtId="0" fontId="1" fillId="2" borderId="0" xfId="1" applyAlignment="1">
      <alignment vertical="center" wrapText="1"/>
    </xf>
    <xf numFmtId="167" fontId="8" fillId="7" borderId="0" xfId="9" applyAlignment="1">
      <alignment horizontal="right" vertical="center" wrapText="1"/>
    </xf>
    <xf numFmtId="167" fontId="8" fillId="7" borderId="0" xfId="9" applyFont="1" applyAlignment="1">
      <alignment vertical="center" wrapText="1"/>
    </xf>
    <xf numFmtId="0" fontId="3" fillId="0" borderId="0" xfId="0" applyFont="1" applyAlignment="1">
      <alignment vertical="center" wrapText="1"/>
    </xf>
    <xf numFmtId="167" fontId="1" fillId="25" borderId="11" xfId="5" applyFill="1"/>
    <xf numFmtId="167" fontId="1" fillId="23" borderId="11" xfId="5" applyFill="1"/>
    <xf numFmtId="167" fontId="1" fillId="26" borderId="11" xfId="5" applyFill="1"/>
    <xf numFmtId="167" fontId="1" fillId="24" borderId="11" xfId="5" applyFill="1"/>
    <xf numFmtId="167" fontId="1" fillId="8" borderId="11" xfId="5" quotePrefix="1"/>
    <xf numFmtId="167" fontId="14" fillId="7" borderId="0" xfId="40"/>
    <xf numFmtId="170" fontId="8" fillId="7" borderId="0" xfId="15"/>
    <xf numFmtId="0" fontId="3" fillId="0" borderId="0" xfId="0" applyFont="1" applyBorder="1"/>
    <xf numFmtId="0" fontId="13" fillId="0" borderId="0" xfId="35" applyAlignment="1">
      <alignment wrapText="1"/>
    </xf>
    <xf numFmtId="166" fontId="13" fillId="8" borderId="14" xfId="35" applyNumberFormat="1" applyFill="1" applyBorder="1"/>
    <xf numFmtId="0" fontId="0" fillId="0" borderId="0" xfId="0" applyBorder="1" applyAlignment="1">
      <alignment horizontal="left" vertical="center"/>
    </xf>
    <xf numFmtId="0" fontId="13" fillId="0" borderId="0" xfId="35" applyBorder="1" applyAlignment="1">
      <alignment wrapText="1"/>
    </xf>
    <xf numFmtId="6" fontId="3" fillId="0" borderId="0" xfId="0" quotePrefix="1" applyNumberFormat="1" applyFont="1"/>
    <xf numFmtId="0" fontId="4" fillId="0" borderId="0" xfId="0" applyFont="1" applyFill="1"/>
    <xf numFmtId="0" fontId="16" fillId="0" borderId="0" xfId="0" applyFont="1" applyAlignment="1">
      <alignment wrapText="1"/>
    </xf>
    <xf numFmtId="0" fontId="4" fillId="0" borderId="0" xfId="0" applyFont="1" applyAlignment="1">
      <alignment wrapText="1"/>
    </xf>
    <xf numFmtId="0" fontId="4" fillId="0" borderId="0" xfId="12" applyFont="1">
      <alignment wrapText="1"/>
    </xf>
    <xf numFmtId="167" fontId="17" fillId="7" borderId="0" xfId="40" applyFont="1" applyAlignment="1">
      <alignment vertical="center"/>
    </xf>
    <xf numFmtId="0" fontId="0" fillId="0" borderId="0" xfId="0" applyFill="1"/>
    <xf numFmtId="0" fontId="3" fillId="0" borderId="0" xfId="0" applyFont="1" applyFill="1" applyAlignment="1"/>
    <xf numFmtId="0" fontId="18" fillId="0" borderId="0" xfId="0" applyFont="1"/>
    <xf numFmtId="0" fontId="0" fillId="19" borderId="0" xfId="0" applyFill="1"/>
    <xf numFmtId="0" fontId="0" fillId="19" borderId="0" xfId="0" applyFill="1" applyAlignment="1">
      <alignment wrapText="1"/>
    </xf>
    <xf numFmtId="166" fontId="13" fillId="8" borderId="11" xfId="35" applyNumberFormat="1" applyFill="1" applyBorder="1"/>
    <xf numFmtId="0" fontId="10" fillId="9" borderId="0" xfId="17" applyNumberFormat="1" applyAlignment="1">
      <alignment vertical="center"/>
    </xf>
    <xf numFmtId="0" fontId="13" fillId="0" borderId="0" xfId="35" applyBorder="1" applyAlignment="1">
      <alignment vertical="center" wrapText="1"/>
    </xf>
    <xf numFmtId="167" fontId="8" fillId="7" borderId="0" xfId="9" applyAlignment="1">
      <alignment vertical="center"/>
    </xf>
    <xf numFmtId="167" fontId="8" fillId="7" borderId="0" xfId="9" applyAlignment="1">
      <alignment horizontal="right" vertical="center"/>
    </xf>
    <xf numFmtId="172" fontId="1" fillId="8" borderId="11" xfId="44"/>
    <xf numFmtId="10" fontId="0" fillId="0" borderId="0" xfId="0" applyNumberFormat="1"/>
    <xf numFmtId="0" fontId="19" fillId="0" borderId="0" xfId="0" applyFont="1" applyFill="1" applyAlignment="1">
      <alignment horizontal="center"/>
    </xf>
    <xf numFmtId="0" fontId="13" fillId="2" borderId="0" xfId="35" applyFill="1"/>
    <xf numFmtId="0" fontId="21" fillId="2" borderId="0" xfId="35" applyFont="1" applyFill="1"/>
    <xf numFmtId="0" fontId="22" fillId="9" borderId="0" xfId="17" applyNumberFormat="1" applyFont="1">
      <alignment vertical="center"/>
    </xf>
    <xf numFmtId="0" fontId="0" fillId="0" borderId="15" xfId="0" applyBorder="1"/>
    <xf numFmtId="0" fontId="0" fillId="0" borderId="5" xfId="0" applyBorder="1" applyAlignment="1">
      <alignment horizontal="left" vertical="center" wrapText="1"/>
    </xf>
    <xf numFmtId="0" fontId="0" fillId="0" borderId="5"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3" fillId="0" borderId="0" xfId="0" quotePrefix="1" applyFont="1"/>
    <xf numFmtId="0" fontId="1" fillId="0" borderId="0" xfId="12" applyFill="1">
      <alignment wrapText="1"/>
    </xf>
    <xf numFmtId="0" fontId="16" fillId="0" borderId="0" xfId="0" applyFont="1" applyAlignment="1"/>
    <xf numFmtId="0" fontId="0" fillId="0" borderId="0" xfId="0" applyFont="1" applyAlignment="1">
      <alignment wrapText="1"/>
    </xf>
    <xf numFmtId="0" fontId="19" fillId="0" borderId="2" xfId="0" applyFont="1" applyFill="1" applyBorder="1" applyAlignment="1">
      <alignment horizontal="center" vertical="center"/>
    </xf>
    <xf numFmtId="167" fontId="0" fillId="8" borderId="11" xfId="5" applyFont="1"/>
    <xf numFmtId="170" fontId="8" fillId="7" borderId="4" xfId="15" applyFont="1" applyBorder="1"/>
    <xf numFmtId="170" fontId="8" fillId="7" borderId="0" xfId="15" applyFont="1" applyBorder="1"/>
    <xf numFmtId="170" fontId="8" fillId="7" borderId="5" xfId="15" applyFont="1" applyBorder="1"/>
    <xf numFmtId="170" fontId="8" fillId="7" borderId="0" xfId="15" applyFont="1"/>
    <xf numFmtId="164" fontId="0" fillId="0" borderId="0" xfId="0" applyNumberFormat="1" applyAlignment="1">
      <alignment horizontal="center" vertical="center"/>
    </xf>
    <xf numFmtId="167" fontId="8" fillId="7" borderId="0" xfId="9" applyAlignment="1">
      <alignment horizontal="left"/>
    </xf>
    <xf numFmtId="0" fontId="3" fillId="0" borderId="0" xfId="0" quotePrefix="1" applyFont="1" applyAlignment="1">
      <alignment horizontal="left"/>
    </xf>
    <xf numFmtId="167" fontId="8" fillId="7" borderId="0" xfId="9" applyAlignment="1">
      <alignment horizontal="centerContinuous"/>
    </xf>
    <xf numFmtId="166" fontId="21" fillId="8" borderId="11" xfId="46">
      <alignment wrapText="1"/>
    </xf>
    <xf numFmtId="167" fontId="8" fillId="7" borderId="0" xfId="9" applyFont="1" applyAlignment="1">
      <alignment vertical="center"/>
    </xf>
    <xf numFmtId="0" fontId="0" fillId="0" borderId="0" xfId="0" applyBorder="1" applyAlignment="1">
      <alignment vertical="center" wrapText="1"/>
    </xf>
    <xf numFmtId="0" fontId="3" fillId="0" borderId="0" xfId="0" applyFont="1" applyBorder="1" applyAlignment="1">
      <alignment vertical="center" wrapText="1"/>
    </xf>
    <xf numFmtId="0" fontId="1" fillId="0" borderId="0" xfId="12" applyAlignment="1">
      <alignment vertical="center" wrapText="1"/>
    </xf>
    <xf numFmtId="0" fontId="0" fillId="0" borderId="0" xfId="12" applyFont="1" applyAlignment="1">
      <alignment vertical="center" wrapText="1"/>
    </xf>
    <xf numFmtId="166" fontId="1" fillId="0" borderId="11" xfId="47"/>
    <xf numFmtId="0" fontId="0" fillId="0" borderId="0" xfId="0" applyFill="1" applyBorder="1" applyAlignment="1">
      <alignment vertical="center" wrapText="1"/>
    </xf>
    <xf numFmtId="0" fontId="3" fillId="0" borderId="0" xfId="0" applyFont="1" applyAlignment="1">
      <alignment vertical="center"/>
    </xf>
    <xf numFmtId="0" fontId="16" fillId="0" borderId="0" xfId="0" applyFont="1"/>
    <xf numFmtId="0" fontId="19" fillId="0" borderId="3" xfId="0" applyFont="1" applyFill="1" applyBorder="1" applyAlignment="1">
      <alignment horizontal="center" vertical="center"/>
    </xf>
    <xf numFmtId="167" fontId="1" fillId="6" borderId="11" xfId="4" applyProtection="1">
      <protection locked="0"/>
    </xf>
    <xf numFmtId="167" fontId="1" fillId="3" borderId="11" xfId="7" applyProtection="1">
      <protection locked="0"/>
    </xf>
    <xf numFmtId="15" fontId="4" fillId="3" borderId="11" xfId="19" applyProtection="1">
      <protection locked="0"/>
    </xf>
    <xf numFmtId="167" fontId="0" fillId="3" borderId="11" xfId="7" applyFont="1" applyProtection="1">
      <protection locked="0"/>
    </xf>
    <xf numFmtId="10" fontId="1" fillId="3" borderId="11" xfId="41" applyProtection="1">
      <protection locked="0"/>
    </xf>
    <xf numFmtId="167" fontId="1" fillId="3" borderId="14" xfId="7" applyBorder="1" applyProtection="1">
      <protection locked="0"/>
    </xf>
    <xf numFmtId="167" fontId="1" fillId="3" borderId="11" xfId="7" applyBorder="1" applyProtection="1">
      <protection locked="0"/>
    </xf>
    <xf numFmtId="0" fontId="10" fillId="9" borderId="0" xfId="17" applyNumberFormat="1" applyBorder="1">
      <alignment vertical="center"/>
    </xf>
    <xf numFmtId="0" fontId="19" fillId="0" borderId="0" xfId="0" applyFont="1" applyFill="1" applyBorder="1" applyAlignment="1">
      <alignment horizontal="center"/>
    </xf>
    <xf numFmtId="15" fontId="4" fillId="3" borderId="11" xfId="19" applyBorder="1" applyProtection="1">
      <protection locked="0"/>
    </xf>
    <xf numFmtId="0" fontId="1" fillId="0" borderId="0" xfId="12" applyBorder="1">
      <alignment wrapText="1"/>
    </xf>
    <xf numFmtId="167" fontId="3" fillId="27" borderId="11" xfId="8" applyBorder="1"/>
    <xf numFmtId="167" fontId="1" fillId="8" borderId="11" xfId="5" applyBorder="1"/>
    <xf numFmtId="164" fontId="0" fillId="0" borderId="0" xfId="0" applyNumberFormat="1" applyBorder="1" applyAlignment="1">
      <alignment horizontal="center"/>
    </xf>
    <xf numFmtId="0" fontId="5" fillId="0" borderId="0" xfId="0" applyFont="1" applyBorder="1"/>
    <xf numFmtId="167" fontId="1" fillId="6" borderId="11" xfId="4" applyBorder="1" applyProtection="1">
      <protection locked="0"/>
    </xf>
    <xf numFmtId="0" fontId="0" fillId="0" borderId="0" xfId="0" applyProtection="1">
      <protection locked="0"/>
    </xf>
    <xf numFmtId="0" fontId="0" fillId="0" borderId="0" xfId="0" applyAlignment="1" applyProtection="1">
      <alignment wrapText="1"/>
      <protection locked="0"/>
    </xf>
    <xf numFmtId="15" fontId="4" fillId="19" borderId="11" xfId="48"/>
    <xf numFmtId="0" fontId="23" fillId="0" borderId="0" xfId="0" applyFont="1" applyAlignment="1">
      <alignment wrapText="1"/>
    </xf>
    <xf numFmtId="166" fontId="24" fillId="0" borderId="0" xfId="0" applyNumberFormat="1" applyFont="1"/>
    <xf numFmtId="0" fontId="0" fillId="0" borderId="0" xfId="0" applyAlignment="1">
      <alignment vertical="center"/>
    </xf>
    <xf numFmtId="0" fontId="1" fillId="2" borderId="0" xfId="1" applyAlignment="1">
      <alignment vertical="center"/>
    </xf>
    <xf numFmtId="0" fontId="0" fillId="2" borderId="0" xfId="1" applyFont="1" applyAlignment="1">
      <alignment vertical="center"/>
    </xf>
    <xf numFmtId="0" fontId="11" fillId="9" borderId="2" xfId="45" applyBorder="1">
      <alignment horizontal="center" vertical="center" wrapText="1"/>
    </xf>
    <xf numFmtId="169" fontId="1" fillId="3" borderId="14" xfId="31" applyBorder="1" applyProtection="1">
      <protection locked="0"/>
    </xf>
    <xf numFmtId="15" fontId="4" fillId="3" borderId="14" xfId="19" applyBorder="1" applyProtection="1">
      <protection locked="0"/>
    </xf>
    <xf numFmtId="0" fontId="0" fillId="0" borderId="0" xfId="0" applyFont="1" applyAlignment="1">
      <alignment vertical="center" wrapText="1"/>
    </xf>
    <xf numFmtId="174" fontId="0" fillId="0" borderId="0" xfId="0" applyNumberFormat="1" applyAlignment="1">
      <alignment horizontal="center"/>
    </xf>
    <xf numFmtId="0" fontId="19" fillId="0" borderId="0" xfId="0" applyFont="1" applyFill="1" applyAlignment="1">
      <alignment horizontal="center" vertical="center"/>
    </xf>
    <xf numFmtId="0" fontId="0" fillId="0" borderId="0" xfId="0" quotePrefix="1" applyBorder="1" applyAlignment="1">
      <alignment horizontal="left"/>
    </xf>
    <xf numFmtId="166" fontId="3" fillId="0" borderId="0" xfId="13" applyNumberFormat="1" applyBorder="1">
      <alignment wrapText="1"/>
    </xf>
    <xf numFmtId="15" fontId="4" fillId="19" borderId="11" xfId="48" applyBorder="1"/>
    <xf numFmtId="0" fontId="0" fillId="0" borderId="0" xfId="0" quotePrefix="1" applyBorder="1"/>
    <xf numFmtId="0" fontId="3" fillId="0" borderId="0" xfId="0" applyFont="1" applyProtection="1">
      <protection locked="0"/>
    </xf>
    <xf numFmtId="0" fontId="3" fillId="0" borderId="0" xfId="0" applyFont="1" applyFill="1" applyBorder="1" applyAlignment="1">
      <alignment vertical="center" wrapText="1"/>
    </xf>
    <xf numFmtId="0" fontId="0" fillId="0" borderId="0" xfId="0" applyFill="1" applyAlignment="1">
      <alignment wrapText="1"/>
    </xf>
    <xf numFmtId="169" fontId="1" fillId="8" borderId="11" xfId="5" applyNumberFormat="1"/>
    <xf numFmtId="0" fontId="1" fillId="0" borderId="0" xfId="12" applyFill="1" applyAlignment="1">
      <alignment vertical="center" wrapText="1"/>
    </xf>
    <xf numFmtId="0" fontId="0" fillId="0" borderId="0" xfId="0" applyAlignment="1" applyProtection="1">
      <alignment vertical="center"/>
      <protection locked="0"/>
    </xf>
    <xf numFmtId="166" fontId="21" fillId="8" borderId="11" xfId="46" applyAlignment="1">
      <alignment vertical="center" wrapText="1"/>
    </xf>
    <xf numFmtId="0" fontId="0" fillId="0" borderId="0" xfId="0" applyAlignment="1" applyProtection="1">
      <alignment vertical="center" wrapText="1"/>
      <protection locked="0"/>
    </xf>
    <xf numFmtId="0" fontId="4" fillId="0" borderId="0" xfId="0" applyFont="1" applyFill="1" applyAlignment="1">
      <alignment wrapText="1"/>
    </xf>
    <xf numFmtId="0" fontId="0" fillId="0" borderId="0" xfId="0" applyFill="1" applyAlignment="1"/>
    <xf numFmtId="0" fontId="3" fillId="0" borderId="0" xfId="0" applyFont="1" applyFill="1" applyAlignment="1">
      <alignment wrapText="1"/>
    </xf>
    <xf numFmtId="167" fontId="13" fillId="28" borderId="0" xfId="35" applyNumberFormat="1" applyFill="1"/>
    <xf numFmtId="0" fontId="0" fillId="0" borderId="0" xfId="0" applyFill="1" applyProtection="1">
      <protection locked="0"/>
    </xf>
    <xf numFmtId="164" fontId="0" fillId="0" borderId="0" xfId="0" applyNumberFormat="1" applyFill="1" applyAlignment="1">
      <alignment horizontal="center"/>
    </xf>
    <xf numFmtId="0" fontId="3" fillId="0" borderId="0" xfId="0" applyFont="1" applyFill="1"/>
    <xf numFmtId="0" fontId="4" fillId="0" borderId="0" xfId="0" applyFont="1" applyAlignment="1" applyProtection="1">
      <alignment wrapText="1"/>
      <protection locked="0"/>
    </xf>
    <xf numFmtId="167" fontId="8" fillId="7" borderId="0" xfId="9" applyFont="1" applyAlignment="1">
      <alignment wrapText="1"/>
    </xf>
    <xf numFmtId="0" fontId="3" fillId="0" borderId="0" xfId="0" applyFont="1" applyAlignment="1" applyProtection="1">
      <alignment wrapText="1"/>
      <protection locked="0"/>
    </xf>
    <xf numFmtId="0" fontId="10" fillId="9" borderId="0" xfId="17" applyNumberFormat="1" applyAlignment="1">
      <alignment wrapText="1"/>
    </xf>
    <xf numFmtId="0" fontId="0" fillId="0" borderId="0" xfId="0" applyFill="1" applyBorder="1" applyAlignment="1">
      <alignment wrapText="1"/>
    </xf>
    <xf numFmtId="0" fontId="1" fillId="29" borderId="0" xfId="1" applyFill="1"/>
    <xf numFmtId="0" fontId="0" fillId="29" borderId="0" xfId="1" applyFont="1" applyFill="1"/>
    <xf numFmtId="15" fontId="4" fillId="30" borderId="11" xfId="19" applyFill="1" applyProtection="1">
      <protection locked="0"/>
    </xf>
    <xf numFmtId="167" fontId="1" fillId="30" borderId="11" xfId="7" applyFill="1" applyProtection="1">
      <protection locked="0"/>
    </xf>
    <xf numFmtId="167" fontId="8" fillId="7" borderId="0" xfId="9" applyFill="1" applyAlignment="1">
      <alignment horizontal="right"/>
    </xf>
    <xf numFmtId="167" fontId="1" fillId="31" borderId="11" xfId="18" applyFill="1"/>
    <xf numFmtId="167" fontId="1" fillId="31" borderId="11" xfId="5" applyFill="1"/>
    <xf numFmtId="170" fontId="8" fillId="7" borderId="4" xfId="15" applyFill="1" applyBorder="1"/>
    <xf numFmtId="10" fontId="1" fillId="31" borderId="11" xfId="39" applyFill="1"/>
    <xf numFmtId="167" fontId="8" fillId="7" borderId="1" xfId="9" applyFill="1" applyBorder="1"/>
    <xf numFmtId="167" fontId="8" fillId="7" borderId="2" xfId="9" applyFill="1" applyBorder="1"/>
    <xf numFmtId="167" fontId="8" fillId="7" borderId="3" xfId="9" applyFill="1" applyBorder="1"/>
    <xf numFmtId="170" fontId="8" fillId="7" borderId="0" xfId="15" applyFill="1" applyBorder="1"/>
    <xf numFmtId="170" fontId="8" fillId="7" borderId="5" xfId="15" applyFill="1" applyBorder="1"/>
    <xf numFmtId="170" fontId="8" fillId="7" borderId="0" xfId="15" applyFill="1"/>
    <xf numFmtId="167" fontId="1" fillId="6" borderId="11" xfId="4" applyFill="1" applyProtection="1">
      <protection locked="0"/>
    </xf>
    <xf numFmtId="167" fontId="3" fillId="32" borderId="11" xfId="8" applyFill="1"/>
    <xf numFmtId="167" fontId="1" fillId="30" borderId="14" xfId="7" applyFill="1" applyBorder="1" applyProtection="1">
      <protection locked="0"/>
    </xf>
    <xf numFmtId="15" fontId="8" fillId="7" borderId="6" xfId="10" applyFill="1" applyBorder="1"/>
    <xf numFmtId="15" fontId="8" fillId="7" borderId="7" xfId="10" applyFill="1" applyBorder="1"/>
    <xf numFmtId="167" fontId="1" fillId="31" borderId="11" xfId="5" applyFill="1" applyBorder="1"/>
    <xf numFmtId="167" fontId="1" fillId="31" borderId="14" xfId="5" applyFill="1" applyBorder="1"/>
    <xf numFmtId="166" fontId="13" fillId="31" borderId="14" xfId="35" applyNumberFormat="1" applyFill="1" applyBorder="1"/>
    <xf numFmtId="166" fontId="3" fillId="0" borderId="0" xfId="13" applyNumberFormat="1" applyFill="1">
      <alignment wrapText="1"/>
    </xf>
    <xf numFmtId="15" fontId="4" fillId="30" borderId="14" xfId="19" applyFill="1" applyBorder="1" applyProtection="1">
      <protection locked="0"/>
    </xf>
    <xf numFmtId="15" fontId="4" fillId="33" borderId="11" xfId="48" applyFill="1" applyBorder="1"/>
    <xf numFmtId="166" fontId="0" fillId="0" borderId="0" xfId="0" applyNumberFormat="1" applyFill="1"/>
    <xf numFmtId="167" fontId="1" fillId="6" borderId="11" xfId="4" applyFill="1" applyBorder="1" applyProtection="1">
      <protection locked="0"/>
    </xf>
    <xf numFmtId="169" fontId="1" fillId="30" borderId="14" xfId="31" applyFill="1" applyBorder="1" applyProtection="1">
      <protection locked="0"/>
    </xf>
    <xf numFmtId="167" fontId="4" fillId="31" borderId="11" xfId="5" applyFont="1" applyFill="1"/>
    <xf numFmtId="0" fontId="0" fillId="0" borderId="0" xfId="0" applyAlignment="1">
      <alignment horizontal="center" vertical="center"/>
    </xf>
    <xf numFmtId="170" fontId="20" fillId="7" borderId="4" xfId="15" applyFont="1" applyFill="1" applyBorder="1"/>
    <xf numFmtId="167" fontId="1" fillId="30" borderId="11" xfId="7" applyFill="1" applyBorder="1" applyProtection="1">
      <protection locked="0"/>
    </xf>
    <xf numFmtId="0" fontId="3" fillId="0" borderId="0" xfId="0" applyFont="1" applyFill="1" applyProtection="1">
      <protection locked="0"/>
    </xf>
    <xf numFmtId="0" fontId="0" fillId="0" borderId="0" xfId="0" applyFill="1" applyBorder="1"/>
    <xf numFmtId="164" fontId="0" fillId="0" borderId="0" xfId="0" applyNumberFormat="1" applyFill="1" applyBorder="1" applyAlignment="1">
      <alignment horizontal="center"/>
    </xf>
    <xf numFmtId="174" fontId="0" fillId="0" borderId="0" xfId="0" applyNumberFormat="1" applyFill="1" applyAlignment="1">
      <alignment horizontal="center"/>
    </xf>
    <xf numFmtId="0" fontId="0" fillId="0" borderId="0" xfId="0" applyFont="1" applyFill="1"/>
    <xf numFmtId="15" fontId="1" fillId="31" borderId="11" xfId="11" applyFill="1"/>
    <xf numFmtId="172" fontId="1" fillId="31" borderId="11" xfId="44" applyFill="1"/>
    <xf numFmtId="10" fontId="1" fillId="30" borderId="14" xfId="41" applyFill="1" applyBorder="1" applyProtection="1">
      <protection locked="0"/>
    </xf>
    <xf numFmtId="167" fontId="1" fillId="8" borderId="11" xfId="5" applyAlignment="1">
      <alignment wrapText="1"/>
    </xf>
    <xf numFmtId="0" fontId="0" fillId="0" borderId="0" xfId="0" applyFill="1" applyAlignment="1" applyProtection="1">
      <alignment wrapText="1"/>
      <protection locked="0"/>
    </xf>
    <xf numFmtId="0" fontId="0" fillId="34" borderId="0" xfId="0" applyFill="1" applyAlignment="1" applyProtection="1">
      <alignment wrapText="1"/>
      <protection locked="0"/>
    </xf>
    <xf numFmtId="0" fontId="3" fillId="0" borderId="0" xfId="0" applyFont="1" applyFill="1" applyAlignment="1" applyProtection="1">
      <alignment wrapText="1"/>
      <protection locked="0"/>
    </xf>
    <xf numFmtId="9" fontId="0" fillId="0" borderId="0" xfId="0" applyNumberFormat="1"/>
    <xf numFmtId="167" fontId="1" fillId="8" borderId="14" xfId="5" applyBorder="1"/>
    <xf numFmtId="0" fontId="3" fillId="0" borderId="1" xfId="0" applyFont="1" applyBorder="1"/>
    <xf numFmtId="0" fontId="3" fillId="0" borderId="2" xfId="0" applyFont="1" applyBorder="1"/>
    <xf numFmtId="0" fontId="3" fillId="0" borderId="3" xfId="0" applyFont="1" applyBorder="1"/>
    <xf numFmtId="0" fontId="27" fillId="0" borderId="6" xfId="0" applyFont="1" applyBorder="1" applyAlignment="1">
      <alignment horizontal="left"/>
    </xf>
    <xf numFmtId="0" fontId="27" fillId="0" borderId="7" xfId="0" applyFont="1" applyBorder="1" applyAlignment="1">
      <alignment horizontal="left"/>
    </xf>
    <xf numFmtId="0" fontId="27" fillId="0" borderId="8" xfId="0" applyFont="1" applyBorder="1" applyAlignment="1">
      <alignment horizontal="left"/>
    </xf>
    <xf numFmtId="0" fontId="0" fillId="0" borderId="0" xfId="0" applyFill="1" applyBorder="1" applyProtection="1">
      <protection locked="0"/>
    </xf>
    <xf numFmtId="0" fontId="15" fillId="0" borderId="0" xfId="0" applyFont="1" applyFill="1" applyBorder="1" applyProtection="1">
      <protection locked="0"/>
    </xf>
    <xf numFmtId="0" fontId="0" fillId="0" borderId="0" xfId="0" applyBorder="1" applyProtection="1">
      <protection locked="0"/>
    </xf>
    <xf numFmtId="167" fontId="8" fillId="7" borderId="0" xfId="9" applyBorder="1"/>
    <xf numFmtId="166" fontId="13" fillId="8" borderId="11" xfId="35" applyNumberFormat="1" applyFill="1" applyBorder="1" applyAlignment="1">
      <alignment vertical="center" wrapText="1"/>
    </xf>
    <xf numFmtId="15" fontId="4" fillId="33" borderId="11" xfId="48" applyFill="1"/>
    <xf numFmtId="0" fontId="28" fillId="9" borderId="0" xfId="17" applyNumberFormat="1" applyFont="1">
      <alignment vertical="center"/>
    </xf>
    <xf numFmtId="0" fontId="10" fillId="9" borderId="0" xfId="17" applyNumberFormat="1" applyFont="1">
      <alignment vertical="center"/>
    </xf>
    <xf numFmtId="0" fontId="0" fillId="0" borderId="16" xfId="0" applyBorder="1" applyAlignment="1">
      <alignment horizontal="center" vertical="center"/>
    </xf>
    <xf numFmtId="0" fontId="0" fillId="0" borderId="21" xfId="0" applyBorder="1" applyAlignment="1">
      <alignment horizontal="center" vertical="center"/>
    </xf>
    <xf numFmtId="0" fontId="3" fillId="0" borderId="21" xfId="0" applyFont="1" applyBorder="1" applyAlignment="1">
      <alignment horizontal="center" vertical="center"/>
    </xf>
    <xf numFmtId="0" fontId="0" fillId="0" borderId="23" xfId="0" applyBorder="1"/>
    <xf numFmtId="0" fontId="3" fillId="0" borderId="24" xfId="0" applyFont="1" applyBorder="1" applyAlignment="1">
      <alignment horizontal="center" vertical="center"/>
    </xf>
    <xf numFmtId="0" fontId="0" fillId="0" borderId="26" xfId="0" applyBorder="1"/>
    <xf numFmtId="0" fontId="13" fillId="0" borderId="0" xfId="35" applyAlignment="1">
      <alignment horizontal="left" vertical="center"/>
    </xf>
    <xf numFmtId="167" fontId="0" fillId="19" borderId="11" xfId="7" applyFont="1" applyFill="1" applyProtection="1"/>
    <xf numFmtId="0" fontId="0" fillId="0" borderId="0" xfId="0" applyAlignment="1">
      <alignment horizontal="left" vertical="top"/>
    </xf>
    <xf numFmtId="0" fontId="0" fillId="0" borderId="0" xfId="0" applyAlignment="1">
      <alignment horizontal="center" vertical="center"/>
    </xf>
    <xf numFmtId="0" fontId="0" fillId="0" borderId="0" xfId="0"/>
    <xf numFmtId="0" fontId="0" fillId="0" borderId="0" xfId="0"/>
    <xf numFmtId="167" fontId="30" fillId="7" borderId="0" xfId="9" applyFont="1"/>
    <xf numFmtId="0" fontId="13" fillId="0" borderId="4" xfId="35" applyBorder="1" applyAlignment="1">
      <alignment vertical="center" wrapText="1"/>
    </xf>
    <xf numFmtId="0" fontId="13" fillId="0" borderId="25" xfId="35" applyBorder="1" applyAlignment="1">
      <alignment horizontal="left" vertical="center" wrapText="1"/>
    </xf>
    <xf numFmtId="0" fontId="13" fillId="0" borderId="22" xfId="35" applyBorder="1" applyAlignment="1">
      <alignment horizontal="left" vertical="center" wrapText="1"/>
    </xf>
    <xf numFmtId="177" fontId="29" fillId="0" borderId="17" xfId="53" applyFont="1" applyBorder="1" applyAlignment="1">
      <alignment horizontal="left" vertical="center" wrapText="1"/>
    </xf>
    <xf numFmtId="177" fontId="29" fillId="0" borderId="22" xfId="53" applyFont="1" applyBorder="1" applyAlignment="1">
      <alignment horizontal="left" vertical="center" wrapText="1"/>
    </xf>
    <xf numFmtId="178" fontId="3" fillId="27" borderId="11" xfId="8" applyNumberFormat="1"/>
    <xf numFmtId="178" fontId="1" fillId="8" borderId="11" xfId="5" applyNumberFormat="1"/>
    <xf numFmtId="0" fontId="0" fillId="0" borderId="0" xfId="0"/>
    <xf numFmtId="0" fontId="0" fillId="0" borderId="0" xfId="0" applyAlignment="1">
      <alignment horizontal="center" vertical="center" wrapText="1"/>
    </xf>
    <xf numFmtId="0" fontId="0" fillId="0" borderId="0" xfId="0" applyAlignment="1">
      <alignment horizontal="center" vertical="center"/>
    </xf>
    <xf numFmtId="0" fontId="0" fillId="0" borderId="0" xfId="0"/>
    <xf numFmtId="0" fontId="0" fillId="0" borderId="0" xfId="0"/>
    <xf numFmtId="15" fontId="0" fillId="0" borderId="11" xfId="0" applyNumberFormat="1" applyBorder="1" applyAlignment="1">
      <alignment horizontal="left" vertical="center"/>
    </xf>
    <xf numFmtId="0" fontId="3" fillId="0" borderId="11" xfId="0" applyFont="1" applyBorder="1" applyAlignment="1">
      <alignment horizontal="left" vertical="center"/>
    </xf>
    <xf numFmtId="0" fontId="3" fillId="0" borderId="28" xfId="0" applyFont="1" applyBorder="1" applyAlignment="1">
      <alignment horizontal="center" vertical="center"/>
    </xf>
    <xf numFmtId="0" fontId="13" fillId="0" borderId="29" xfId="35" applyBorder="1" applyAlignment="1">
      <alignment horizontal="left" vertical="center" wrapText="1"/>
    </xf>
    <xf numFmtId="0" fontId="0" fillId="0" borderId="6" xfId="0" applyBorder="1" applyAlignment="1">
      <alignment horizontal="center" vertical="center"/>
    </xf>
    <xf numFmtId="167" fontId="0" fillId="6" borderId="27" xfId="4" applyFont="1" applyBorder="1" applyAlignment="1">
      <alignment vertical="center" wrapText="1"/>
    </xf>
    <xf numFmtId="167" fontId="0" fillId="8" borderId="27" xfId="5" applyFont="1" applyBorder="1" applyAlignment="1">
      <alignment vertical="center"/>
    </xf>
    <xf numFmtId="167" fontId="3" fillId="35" borderId="27" xfId="8" applyFill="1" applyBorder="1" applyAlignment="1">
      <alignment vertical="center"/>
    </xf>
    <xf numFmtId="167" fontId="0" fillId="3" borderId="11" xfId="7" applyFont="1" applyAlignment="1">
      <alignment vertical="center"/>
    </xf>
    <xf numFmtId="167" fontId="0" fillId="6" borderId="11" xfId="4" applyFont="1" applyAlignment="1">
      <alignment vertical="center"/>
    </xf>
    <xf numFmtId="167" fontId="0" fillId="8" borderId="11" xfId="5" applyFont="1" applyAlignment="1">
      <alignment vertical="center"/>
    </xf>
    <xf numFmtId="167" fontId="3" fillId="27" borderId="11" xfId="8" applyAlignment="1">
      <alignment vertical="center"/>
    </xf>
    <xf numFmtId="166" fontId="0" fillId="0" borderId="11" xfId="47" applyFont="1" applyAlignment="1">
      <alignment vertical="center"/>
    </xf>
    <xf numFmtId="0" fontId="31" fillId="0" borderId="0" xfId="0" applyFont="1" applyAlignment="1">
      <alignment horizontal="centerContinuous" vertical="center" wrapText="1"/>
    </xf>
    <xf numFmtId="0" fontId="0" fillId="0" borderId="0" xfId="0" applyAlignment="1">
      <alignment horizontal="left"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0" fillId="0" borderId="11" xfId="0" applyBorder="1" applyAlignment="1">
      <alignment vertical="center" wrapText="1"/>
    </xf>
    <xf numFmtId="0" fontId="0" fillId="0" borderId="11" xfId="0" applyBorder="1" applyAlignment="1">
      <alignment horizontal="left" vertical="center" wrapText="1"/>
    </xf>
    <xf numFmtId="177" fontId="25" fillId="0" borderId="0" xfId="53" applyFont="1" applyAlignment="1">
      <alignment horizontal="left" vertical="center" wrapText="1"/>
    </xf>
    <xf numFmtId="0" fontId="32" fillId="0" borderId="0" xfId="0" applyFont="1" applyAlignment="1">
      <alignment horizontal="centerContinuous" vertical="center" wrapText="1"/>
    </xf>
    <xf numFmtId="0" fontId="4" fillId="0" borderId="2" xfId="35" applyFont="1" applyBorder="1" applyAlignment="1">
      <alignment horizontal="left" vertical="center" wrapText="1"/>
    </xf>
    <xf numFmtId="0" fontId="4" fillId="0" borderId="22" xfId="35" applyFont="1" applyBorder="1" applyAlignment="1">
      <alignment horizontal="left" vertical="center" wrapText="1"/>
    </xf>
    <xf numFmtId="176" fontId="4" fillId="0" borderId="17" xfId="35" applyNumberFormat="1" applyFont="1" applyBorder="1" applyAlignment="1">
      <alignment horizontal="left" vertical="center" wrapText="1"/>
    </xf>
    <xf numFmtId="0" fontId="4" fillId="0" borderId="29" xfId="35" applyFont="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0" fillId="0" borderId="4" xfId="0" applyBorder="1" applyAlignment="1">
      <alignment vertical="center" wrapText="1"/>
    </xf>
    <xf numFmtId="0" fontId="0" fillId="0" borderId="0" xfId="0" applyBorder="1" applyAlignment="1">
      <alignment horizontal="left" vertical="center" wrapText="1"/>
    </xf>
    <xf numFmtId="0" fontId="0" fillId="0" borderId="4" xfId="0" applyFont="1" applyBorder="1" applyAlignment="1">
      <alignment vertical="center" wrapText="1"/>
    </xf>
    <xf numFmtId="0" fontId="0" fillId="0" borderId="16" xfId="0" applyBorder="1" applyAlignment="1">
      <alignment vertical="center" wrapText="1"/>
    </xf>
    <xf numFmtId="0" fontId="0" fillId="0" borderId="17" xfId="0" applyBorder="1" applyAlignment="1">
      <alignment horizontal="left" vertical="center" wrapText="1"/>
    </xf>
    <xf numFmtId="0" fontId="0" fillId="0" borderId="6" xfId="0" applyBorder="1" applyAlignment="1">
      <alignment vertical="center" wrapText="1"/>
    </xf>
    <xf numFmtId="0" fontId="0" fillId="0" borderId="7" xfId="0" applyBorder="1" applyAlignment="1">
      <alignment horizontal="left" vertical="center" wrapText="1"/>
    </xf>
    <xf numFmtId="0" fontId="3" fillId="0" borderId="4" xfId="0" applyFont="1" applyBorder="1" applyAlignment="1">
      <alignment vertical="center" wrapText="1"/>
    </xf>
    <xf numFmtId="167" fontId="0" fillId="36" borderId="27" xfId="7" applyFont="1" applyFill="1" applyBorder="1" applyAlignment="1">
      <alignment vertical="center"/>
    </xf>
    <xf numFmtId="167" fontId="0" fillId="8" borderId="11" xfId="5" applyFont="1" applyAlignment="1">
      <alignment wrapText="1"/>
    </xf>
    <xf numFmtId="0" fontId="0" fillId="33" borderId="0" xfId="0" applyFill="1"/>
    <xf numFmtId="0" fontId="0" fillId="0" borderId="0" xfId="0"/>
    <xf numFmtId="174" fontId="0" fillId="0" borderId="0" xfId="0" applyNumberFormat="1" applyProtection="1">
      <protection locked="0"/>
    </xf>
    <xf numFmtId="0" fontId="0" fillId="0" borderId="0" xfId="0"/>
    <xf numFmtId="0" fontId="0" fillId="0" borderId="0" xfId="0"/>
    <xf numFmtId="0" fontId="0" fillId="0" borderId="0" xfId="0"/>
    <xf numFmtId="166" fontId="21" fillId="8" borderId="11" xfId="46" applyAlignment="1">
      <alignment wrapText="1"/>
    </xf>
    <xf numFmtId="0" fontId="0" fillId="0" borderId="0" xfId="0"/>
    <xf numFmtId="0" fontId="0" fillId="0" borderId="0" xfId="0"/>
    <xf numFmtId="0" fontId="0" fillId="0" borderId="0" xfId="0"/>
    <xf numFmtId="0" fontId="0" fillId="0" borderId="0" xfId="0"/>
    <xf numFmtId="0" fontId="0" fillId="0" borderId="0" xfId="0"/>
    <xf numFmtId="43" fontId="0" fillId="0" borderId="0" xfId="0" applyNumberFormat="1" applyAlignment="1">
      <alignment vertical="center"/>
    </xf>
    <xf numFmtId="43" fontId="0" fillId="0" borderId="0" xfId="0" applyNumberFormat="1"/>
    <xf numFmtId="0" fontId="0" fillId="0" borderId="0" xfId="0"/>
    <xf numFmtId="0" fontId="0" fillId="0" borderId="0" xfId="0"/>
    <xf numFmtId="0" fontId="0" fillId="0" borderId="0" xfId="0" applyFill="1" applyAlignment="1">
      <alignment vertical="center" wrapText="1"/>
    </xf>
    <xf numFmtId="0" fontId="0" fillId="0" borderId="0" xfId="0"/>
    <xf numFmtId="0" fontId="3" fillId="0" borderId="0" xfId="0" applyFont="1" applyFill="1" applyBorder="1"/>
    <xf numFmtId="0" fontId="3" fillId="0" borderId="0" xfId="12" applyFont="1" applyAlignment="1">
      <alignment vertical="center" wrapText="1"/>
    </xf>
    <xf numFmtId="0" fontId="3" fillId="2" borderId="0" xfId="1" applyFont="1"/>
    <xf numFmtId="0" fontId="0" fillId="0" borderId="0" xfId="54" applyFont="1"/>
    <xf numFmtId="0" fontId="27" fillId="0" borderId="0" xfId="54"/>
    <xf numFmtId="0" fontId="10" fillId="9" borderId="0" xfId="54" applyFont="1" applyFill="1"/>
    <xf numFmtId="0" fontId="0" fillId="0" borderId="0" xfId="54" applyFont="1" applyFill="1"/>
    <xf numFmtId="0" fontId="27" fillId="0" borderId="0" xfId="54" applyFill="1"/>
    <xf numFmtId="167" fontId="1" fillId="3" borderId="11" xfId="7" applyProtection="1">
      <protection locked="0"/>
    </xf>
    <xf numFmtId="167" fontId="2" fillId="6" borderId="11" xfId="4" applyFont="1" applyProtection="1">
      <protection locked="0"/>
    </xf>
    <xf numFmtId="167" fontId="4" fillId="6" borderId="11" xfId="4" applyFont="1" applyProtection="1">
      <protection locked="0"/>
    </xf>
    <xf numFmtId="167" fontId="1" fillId="3" borderId="11" xfId="7" applyProtection="1">
      <protection locked="0"/>
    </xf>
    <xf numFmtId="166" fontId="21" fillId="8" borderId="11" xfId="46" applyBorder="1">
      <alignment wrapText="1"/>
    </xf>
    <xf numFmtId="166" fontId="1" fillId="0" borderId="11" xfId="47" applyBorder="1"/>
    <xf numFmtId="167" fontId="1" fillId="31" borderId="11" xfId="18" applyFill="1" applyBorder="1"/>
    <xf numFmtId="6" fontId="0" fillId="0" borderId="0" xfId="0" quotePrefix="1" applyNumberFormat="1" applyFont="1" applyFill="1"/>
    <xf numFmtId="43" fontId="3" fillId="0" borderId="0" xfId="0" applyNumberFormat="1" applyFont="1"/>
    <xf numFmtId="15" fontId="1" fillId="27" borderId="11" xfId="55"/>
    <xf numFmtId="167" fontId="1" fillId="3" borderId="11" xfId="7" applyProtection="1">
      <protection locked="0"/>
    </xf>
    <xf numFmtId="0" fontId="3" fillId="0" borderId="0" xfId="0" applyFont="1" applyFill="1" applyAlignment="1">
      <alignment vertical="center" wrapText="1"/>
    </xf>
    <xf numFmtId="0" fontId="0" fillId="0" borderId="0" xfId="54" applyFont="1" applyAlignment="1">
      <alignment vertical="center"/>
    </xf>
    <xf numFmtId="167" fontId="1" fillId="3" borderId="11" xfId="7" applyProtection="1">
      <protection locked="0"/>
    </xf>
    <xf numFmtId="0" fontId="0" fillId="0" borderId="0" xfId="0" applyNumberFormat="1" applyAlignment="1">
      <alignment horizontal="center"/>
    </xf>
    <xf numFmtId="0" fontId="0" fillId="0" borderId="0" xfId="0" applyNumberFormat="1"/>
    <xf numFmtId="0" fontId="0" fillId="0" borderId="0" xfId="12" applyFont="1">
      <alignment wrapText="1"/>
    </xf>
    <xf numFmtId="0" fontId="0" fillId="0" borderId="0" xfId="0" applyAlignment="1">
      <alignment horizontal="center" vertical="center" wrapText="1"/>
    </xf>
    <xf numFmtId="164" fontId="13" fillId="0" borderId="0" xfId="35" applyNumberFormat="1" applyAlignment="1">
      <alignment horizontal="center"/>
    </xf>
    <xf numFmtId="179" fontId="0" fillId="0" borderId="0" xfId="0" applyNumberFormat="1" applyAlignment="1">
      <alignment horizontal="center"/>
    </xf>
    <xf numFmtId="0" fontId="0" fillId="0" borderId="0" xfId="0" applyAlignment="1">
      <alignment horizontal="center" vertical="center" wrapText="1"/>
    </xf>
    <xf numFmtId="0" fontId="0" fillId="0" borderId="0" xfId="0" applyFill="1" applyAlignment="1">
      <alignment horizontal="left" vertical="center" wrapText="1"/>
    </xf>
    <xf numFmtId="179" fontId="13" fillId="0" borderId="0" xfId="35" applyNumberFormat="1" applyAlignment="1">
      <alignment horizontal="center"/>
    </xf>
    <xf numFmtId="166" fontId="3" fillId="0" borderId="11" xfId="47" applyFont="1"/>
    <xf numFmtId="166" fontId="1" fillId="0" borderId="11" xfId="47" applyFont="1"/>
    <xf numFmtId="0" fontId="11" fillId="9" borderId="2" xfId="45" applyBorder="1" applyAlignment="1">
      <alignment horizontal="center" vertical="center" wrapText="1"/>
    </xf>
    <xf numFmtId="167" fontId="1" fillId="31" borderId="31" xfId="5" applyFill="1" applyBorder="1"/>
    <xf numFmtId="167" fontId="3" fillId="27" borderId="32" xfId="8" applyBorder="1"/>
    <xf numFmtId="167" fontId="1" fillId="3" borderId="11" xfId="7" applyProtection="1">
      <protection locked="0"/>
    </xf>
    <xf numFmtId="167" fontId="3" fillId="27" borderId="11" xfId="8" applyProtection="1"/>
    <xf numFmtId="0" fontId="3" fillId="0" borderId="12" xfId="0" applyFont="1" applyBorder="1" applyAlignment="1">
      <alignment horizontal="center"/>
    </xf>
    <xf numFmtId="0" fontId="3" fillId="0" borderId="10" xfId="0" applyFont="1" applyBorder="1" applyAlignment="1">
      <alignment horizontal="center"/>
    </xf>
    <xf numFmtId="0" fontId="3" fillId="0" borderId="13" xfId="0" applyFont="1" applyBorder="1" applyAlignment="1">
      <alignment horizontal="center"/>
    </xf>
    <xf numFmtId="0" fontId="10" fillId="9" borderId="0" xfId="17" applyNumberFormat="1" applyFont="1" applyBorder="1">
      <alignment vertical="center"/>
    </xf>
    <xf numFmtId="0" fontId="27" fillId="0" borderId="0" xfId="0" applyFont="1"/>
    <xf numFmtId="0" fontId="34" fillId="9" borderId="0" xfId="17" applyNumberFormat="1" applyFont="1">
      <alignment vertical="center"/>
    </xf>
    <xf numFmtId="0" fontId="27" fillId="0" borderId="0" xfId="54" applyFont="1"/>
    <xf numFmtId="0" fontId="34" fillId="9" borderId="0" xfId="54" applyFont="1" applyFill="1"/>
    <xf numFmtId="0" fontId="33" fillId="0" borderId="0" xfId="54" applyFont="1"/>
    <xf numFmtId="0" fontId="27" fillId="0" borderId="0" xfId="54" applyFont="1" applyFill="1"/>
    <xf numFmtId="0" fontId="27" fillId="2" borderId="0" xfId="1" applyFont="1"/>
    <xf numFmtId="0" fontId="9" fillId="0" borderId="0" xfId="54" applyFont="1"/>
    <xf numFmtId="0" fontId="9" fillId="0" borderId="0" xfId="54" applyFont="1" applyFill="1"/>
    <xf numFmtId="169" fontId="1" fillId="3" borderId="11" xfId="31"/>
    <xf numFmtId="166" fontId="1" fillId="3" borderId="11" xfId="56" applyNumberFormat="1" applyFill="1" applyProtection="1">
      <protection locked="0"/>
    </xf>
    <xf numFmtId="166" fontId="1" fillId="30" borderId="11" xfId="56" applyNumberFormat="1" applyFill="1" applyProtection="1">
      <protection locked="0"/>
    </xf>
    <xf numFmtId="0" fontId="27" fillId="9" borderId="0" xfId="54" applyFill="1"/>
    <xf numFmtId="0" fontId="27" fillId="0" borderId="0" xfId="54" applyAlignment="1">
      <alignment vertical="center"/>
    </xf>
    <xf numFmtId="0" fontId="10" fillId="9" borderId="0" xfId="54" applyFont="1" applyFill="1" applyAlignment="1">
      <alignment vertical="center"/>
    </xf>
    <xf numFmtId="173" fontId="1" fillId="8" borderId="11" xfId="58"/>
    <xf numFmtId="0" fontId="0" fillId="0" borderId="0" xfId="0" applyAlignment="1">
      <alignment horizontal="center" vertical="center" wrapText="1"/>
    </xf>
    <xf numFmtId="179" fontId="0" fillId="0" borderId="0" xfId="0" applyNumberFormat="1" applyAlignment="1">
      <alignment horizontal="center" vertical="center"/>
    </xf>
    <xf numFmtId="174" fontId="0" fillId="0" borderId="0" xfId="0" quotePrefix="1" applyNumberFormat="1"/>
    <xf numFmtId="166" fontId="1" fillId="3" borderId="11" xfId="56" applyNumberFormat="1" applyFill="1" applyProtection="1">
      <protection locked="0"/>
    </xf>
    <xf numFmtId="170" fontId="0" fillId="0" borderId="11" xfId="0" applyNumberFormat="1" applyBorder="1"/>
    <xf numFmtId="167" fontId="0" fillId="0" borderId="11" xfId="0" applyNumberFormat="1" applyBorder="1"/>
    <xf numFmtId="0" fontId="3" fillId="0" borderId="10" xfId="0" applyFont="1" applyBorder="1" applyAlignment="1">
      <alignment horizontal="centerContinuous"/>
    </xf>
    <xf numFmtId="0" fontId="3" fillId="0" borderId="10" xfId="0" quotePrefix="1" applyFont="1" applyBorder="1" applyAlignment="1">
      <alignment horizontal="centerContinuous"/>
    </xf>
    <xf numFmtId="0" fontId="3" fillId="0" borderId="12" xfId="0" applyFont="1" applyBorder="1" applyAlignment="1">
      <alignment horizontal="centerContinuous"/>
    </xf>
    <xf numFmtId="0" fontId="3" fillId="0" borderId="13" xfId="0" applyFont="1" applyBorder="1" applyAlignment="1">
      <alignment horizontal="centerContinuous"/>
    </xf>
    <xf numFmtId="0" fontId="3" fillId="0" borderId="0" xfId="13" applyFill="1">
      <alignment wrapText="1"/>
    </xf>
    <xf numFmtId="15" fontId="3" fillId="0" borderId="0" xfId="0" applyNumberFormat="1" applyFont="1" applyAlignment="1">
      <alignment wrapText="1"/>
    </xf>
    <xf numFmtId="0" fontId="35" fillId="0" borderId="0" xfId="54" applyFont="1"/>
    <xf numFmtId="0" fontId="33" fillId="0" borderId="0" xfId="54" applyFont="1" applyFill="1"/>
    <xf numFmtId="0" fontId="27" fillId="2" borderId="0" xfId="1" applyFont="1" applyAlignment="1">
      <alignment vertical="center"/>
    </xf>
    <xf numFmtId="0" fontId="36" fillId="9" borderId="0" xfId="57" applyFont="1">
      <alignment vertical="center"/>
    </xf>
    <xf numFmtId="0" fontId="9" fillId="0" borderId="0" xfId="57" applyFont="1" applyFill="1" applyAlignment="1"/>
    <xf numFmtId="0" fontId="34" fillId="9" borderId="0" xfId="57" applyFont="1">
      <alignment vertical="center"/>
    </xf>
    <xf numFmtId="0" fontId="9" fillId="0" borderId="0" xfId="57" applyFont="1" applyFill="1" applyAlignment="1">
      <alignment wrapText="1"/>
    </xf>
    <xf numFmtId="0" fontId="9" fillId="0" borderId="0" xfId="0" applyFont="1"/>
    <xf numFmtId="0" fontId="27" fillId="9" borderId="0" xfId="54" applyFont="1" applyFill="1"/>
    <xf numFmtId="0" fontId="9" fillId="0" borderId="0" xfId="0" applyFont="1" applyFill="1"/>
    <xf numFmtId="167" fontId="0" fillId="8" borderId="11" xfId="18" applyFont="1"/>
    <xf numFmtId="0" fontId="11" fillId="9" borderId="1" xfId="45" applyBorder="1">
      <alignment horizontal="center" vertical="center" wrapText="1"/>
    </xf>
    <xf numFmtId="0" fontId="11" fillId="9" borderId="3" xfId="45" applyBorder="1">
      <alignment horizontal="center" vertical="center" wrapText="1"/>
    </xf>
    <xf numFmtId="0" fontId="0" fillId="0" borderId="12" xfId="0" applyBorder="1" applyAlignment="1">
      <alignment horizontal="left"/>
    </xf>
    <xf numFmtId="15" fontId="8" fillId="7" borderId="0" xfId="10"/>
    <xf numFmtId="43" fontId="10" fillId="9" borderId="0" xfId="17" applyNumberFormat="1">
      <alignment vertical="center"/>
    </xf>
    <xf numFmtId="174" fontId="0" fillId="0" borderId="0" xfId="0" applyNumberFormat="1" applyFill="1" applyProtection="1">
      <protection locked="0"/>
    </xf>
    <xf numFmtId="0" fontId="0" fillId="0" borderId="6" xfId="0" applyBorder="1"/>
    <xf numFmtId="0" fontId="0" fillId="0" borderId="7" xfId="0" applyBorder="1"/>
    <xf numFmtId="0" fontId="0" fillId="0" borderId="8" xfId="0" applyBorder="1"/>
    <xf numFmtId="0" fontId="3" fillId="0" borderId="4" xfId="0" applyFont="1" applyBorder="1" applyAlignment="1">
      <alignment horizontal="centerContinuous"/>
    </xf>
    <xf numFmtId="0" fontId="3" fillId="0" borderId="0" xfId="0" applyFont="1" applyBorder="1" applyAlignment="1">
      <alignment horizontal="centerContinuous"/>
    </xf>
    <xf numFmtId="0" fontId="3" fillId="0" borderId="5" xfId="0" applyFont="1" applyBorder="1" applyAlignment="1">
      <alignment horizontal="centerContinuous"/>
    </xf>
    <xf numFmtId="166" fontId="0" fillId="3" borderId="11" xfId="56" applyNumberFormat="1" applyFont="1" applyFill="1" applyProtection="1">
      <protection locked="0"/>
    </xf>
    <xf numFmtId="169" fontId="1" fillId="3" borderId="11" xfId="56" applyFill="1" applyProtection="1">
      <protection locked="0"/>
    </xf>
    <xf numFmtId="0" fontId="0" fillId="0" borderId="0" xfId="0" applyFill="1" applyBorder="1" applyAlignment="1">
      <alignment vertical="center"/>
    </xf>
    <xf numFmtId="0" fontId="18" fillId="0" borderId="0" xfId="0" applyFont="1" applyFill="1" applyBorder="1" applyAlignment="1">
      <alignment wrapText="1"/>
    </xf>
    <xf numFmtId="0" fontId="3" fillId="0" borderId="0" xfId="0" applyFont="1" applyFill="1" applyBorder="1" applyAlignment="1">
      <alignment wrapText="1"/>
    </xf>
    <xf numFmtId="0" fontId="0" fillId="0" borderId="0" xfId="0" applyFill="1" applyBorder="1" applyAlignment="1"/>
    <xf numFmtId="0" fontId="0" fillId="0" borderId="0" xfId="0" applyFont="1" applyAlignment="1"/>
    <xf numFmtId="173" fontId="1" fillId="8" borderId="11" xfId="58" quotePrefix="1"/>
    <xf numFmtId="0" fontId="37" fillId="0" borderId="34" xfId="0" applyFont="1" applyBorder="1" applyAlignment="1">
      <alignment horizontal="center" vertical="center" wrapText="1" readingOrder="1"/>
    </xf>
    <xf numFmtId="0" fontId="37" fillId="38" borderId="33" xfId="0" applyFont="1" applyFill="1" applyBorder="1" applyAlignment="1">
      <alignment horizontal="center" vertical="center" wrapText="1" readingOrder="1"/>
    </xf>
    <xf numFmtId="0" fontId="37" fillId="39" borderId="33" xfId="0" applyFont="1" applyFill="1" applyBorder="1" applyAlignment="1">
      <alignment horizontal="center" vertical="center" wrapText="1" readingOrder="1"/>
    </xf>
    <xf numFmtId="0" fontId="37" fillId="39" borderId="39" xfId="0" applyFont="1" applyFill="1" applyBorder="1" applyAlignment="1">
      <alignment horizontal="center" vertical="center" wrapText="1" readingOrder="1"/>
    </xf>
    <xf numFmtId="0" fontId="37" fillId="39" borderId="40" xfId="0" applyFont="1" applyFill="1" applyBorder="1" applyAlignment="1">
      <alignment horizontal="center" wrapText="1" readingOrder="1"/>
    </xf>
    <xf numFmtId="0" fontId="38" fillId="0" borderId="33" xfId="0" applyFont="1" applyBorder="1" applyAlignment="1">
      <alignment horizontal="center" wrapText="1" readingOrder="1"/>
    </xf>
    <xf numFmtId="0" fontId="38" fillId="38" borderId="33" xfId="0" applyFont="1" applyFill="1" applyBorder="1" applyAlignment="1">
      <alignment horizontal="center" wrapText="1" readingOrder="1"/>
    </xf>
    <xf numFmtId="9" fontId="38" fillId="39" borderId="33" xfId="0" applyNumberFormat="1" applyFont="1" applyFill="1" applyBorder="1" applyAlignment="1">
      <alignment horizontal="center" wrapText="1" readingOrder="1"/>
    </xf>
    <xf numFmtId="0" fontId="38" fillId="39" borderId="33" xfId="0" applyFont="1" applyFill="1" applyBorder="1" applyAlignment="1">
      <alignment horizontal="center" wrapText="1" readingOrder="1"/>
    </xf>
    <xf numFmtId="0" fontId="38" fillId="39" borderId="39" xfId="0" applyFont="1" applyFill="1" applyBorder="1" applyAlignment="1">
      <alignment horizontal="center" wrapText="1" readingOrder="1"/>
    </xf>
    <xf numFmtId="0" fontId="37" fillId="0" borderId="35" xfId="0" applyFont="1" applyBorder="1" applyAlignment="1">
      <alignment horizontal="center" vertical="center" wrapText="1" readingOrder="1"/>
    </xf>
    <xf numFmtId="0" fontId="38" fillId="37" borderId="33" xfId="0" applyFont="1" applyFill="1" applyBorder="1" applyAlignment="1">
      <alignment horizontal="center" wrapText="1" readingOrder="1"/>
    </xf>
    <xf numFmtId="0" fontId="38" fillId="37" borderId="39" xfId="0" applyFont="1" applyFill="1" applyBorder="1" applyAlignment="1">
      <alignment horizontal="center" wrapText="1" readingOrder="1"/>
    </xf>
    <xf numFmtId="0" fontId="37" fillId="39" borderId="36" xfId="0" applyFont="1" applyFill="1" applyBorder="1" applyAlignment="1">
      <alignment horizontal="centerContinuous" vertical="center" readingOrder="1"/>
    </xf>
    <xf numFmtId="0" fontId="37" fillId="39" borderId="37" xfId="0" applyFont="1" applyFill="1" applyBorder="1" applyAlignment="1">
      <alignment horizontal="centerContinuous" vertical="center" wrapText="1" readingOrder="1"/>
    </xf>
    <xf numFmtId="0" fontId="37" fillId="39" borderId="38" xfId="0" applyFont="1" applyFill="1" applyBorder="1" applyAlignment="1">
      <alignment horizontal="centerContinuous" vertical="center" wrapText="1" readingOrder="1"/>
    </xf>
    <xf numFmtId="0" fontId="37" fillId="38" borderId="36" xfId="0" applyFont="1" applyFill="1" applyBorder="1" applyAlignment="1">
      <alignment horizontal="centerContinuous" vertical="center" readingOrder="1"/>
    </xf>
    <xf numFmtId="0" fontId="37" fillId="38" borderId="37" xfId="0" applyFont="1" applyFill="1" applyBorder="1" applyAlignment="1">
      <alignment horizontal="centerContinuous" vertical="center" wrapText="1" readingOrder="1"/>
    </xf>
    <xf numFmtId="0" fontId="37" fillId="38" borderId="38" xfId="0" applyFont="1" applyFill="1" applyBorder="1" applyAlignment="1">
      <alignment horizontal="centerContinuous" vertical="center" wrapText="1" readingOrder="1"/>
    </xf>
    <xf numFmtId="10" fontId="1" fillId="8" borderId="11" xfId="39" applyAlignment="1">
      <alignment vertical="center"/>
    </xf>
    <xf numFmtId="164" fontId="13" fillId="0" borderId="0" xfId="35" applyNumberFormat="1" applyAlignment="1">
      <alignment horizontal="center" vertical="center"/>
    </xf>
    <xf numFmtId="167" fontId="8" fillId="7" borderId="0" xfId="9" applyAlignment="1">
      <alignment horizontal="center" vertical="center"/>
    </xf>
    <xf numFmtId="167" fontId="1" fillId="8" borderId="11" xfId="5" applyAlignment="1">
      <alignment vertical="center"/>
    </xf>
    <xf numFmtId="0" fontId="28" fillId="9" borderId="0" xfId="17" applyNumberFormat="1" applyFont="1" applyAlignment="1">
      <alignment vertical="center"/>
    </xf>
    <xf numFmtId="0" fontId="0" fillId="0" borderId="27" xfId="0" applyBorder="1" applyAlignment="1">
      <alignment wrapText="1"/>
    </xf>
    <xf numFmtId="0" fontId="0" fillId="0" borderId="0" xfId="0" applyAlignment="1">
      <alignment horizontal="center" vertical="center"/>
    </xf>
    <xf numFmtId="0" fontId="0" fillId="0" borderId="27" xfId="0" applyFill="1" applyBorder="1" applyAlignment="1">
      <alignment vertical="center" wrapText="1"/>
    </xf>
    <xf numFmtId="10" fontId="1" fillId="27" borderId="11" xfId="61"/>
    <xf numFmtId="179" fontId="13" fillId="0" borderId="0" xfId="35" applyNumberFormat="1" applyAlignment="1">
      <alignment horizontal="center" vertical="center"/>
    </xf>
    <xf numFmtId="0" fontId="3" fillId="0" borderId="0" xfId="0" applyFont="1" applyFill="1" applyAlignment="1">
      <alignment vertical="center"/>
    </xf>
    <xf numFmtId="0" fontId="0" fillId="0" borderId="2" xfId="0" applyBorder="1"/>
    <xf numFmtId="164" fontId="3" fillId="0" borderId="0" xfId="0" applyNumberFormat="1" applyFont="1"/>
    <xf numFmtId="167" fontId="0" fillId="0" borderId="2" xfId="0" applyNumberFormat="1" applyBorder="1"/>
    <xf numFmtId="166" fontId="21" fillId="8" borderId="11" xfId="46" applyBorder="1" applyAlignment="1">
      <alignment vertical="center" wrapText="1"/>
    </xf>
    <xf numFmtId="0" fontId="0" fillId="0" borderId="0" xfId="0" applyAlignment="1">
      <alignment horizontal="center" vertical="center"/>
    </xf>
    <xf numFmtId="177" fontId="25" fillId="0" borderId="4" xfId="53" applyFont="1" applyBorder="1" applyAlignment="1">
      <alignment horizontal="left" vertical="center" wrapText="1"/>
    </xf>
    <xf numFmtId="177" fontId="25" fillId="0" borderId="0" xfId="53" applyFont="1" applyBorder="1" applyAlignment="1">
      <alignment horizontal="left" vertical="center" wrapText="1"/>
    </xf>
    <xf numFmtId="0" fontId="39" fillId="0" borderId="0" xfId="0" applyFont="1"/>
    <xf numFmtId="0" fontId="4" fillId="0" borderId="0" xfId="0" applyFont="1" applyAlignment="1">
      <alignment horizontal="center" vertical="center" wrapText="1"/>
    </xf>
    <xf numFmtId="167" fontId="0" fillId="31" borderId="11" xfId="5" applyFont="1" applyFill="1"/>
    <xf numFmtId="10" fontId="1" fillId="8" borderId="11" xfId="39" quotePrefix="1"/>
    <xf numFmtId="0" fontId="0" fillId="0" borderId="0" xfId="0" applyAlignment="1">
      <alignment horizontal="center" vertical="center" wrapText="1"/>
    </xf>
    <xf numFmtId="0" fontId="19" fillId="0" borderId="0" xfId="0" applyFont="1" applyAlignment="1">
      <alignment horizontal="center"/>
    </xf>
    <xf numFmtId="166" fontId="21" fillId="8" borderId="15" xfId="46" applyBorder="1" applyAlignment="1">
      <alignment vertical="center" wrapText="1"/>
    </xf>
    <xf numFmtId="0" fontId="26" fillId="0" borderId="0" xfId="0" applyFont="1" applyAlignment="1" applyProtection="1">
      <alignment vertical="center" wrapText="1"/>
      <protection locked="0"/>
    </xf>
    <xf numFmtId="180" fontId="0" fillId="0" borderId="0" xfId="0" applyNumberFormat="1" applyProtection="1">
      <protection locked="0"/>
    </xf>
    <xf numFmtId="167" fontId="40" fillId="7" borderId="0" xfId="9" applyFont="1" applyAlignment="1">
      <alignment vertical="center"/>
    </xf>
    <xf numFmtId="167" fontId="8" fillId="7" borderId="0" xfId="9" applyFont="1" applyAlignment="1">
      <alignment horizontal="center" vertical="center" wrapText="1"/>
    </xf>
    <xf numFmtId="181" fontId="3" fillId="0" borderId="0" xfId="0" applyNumberFormat="1" applyFont="1" applyAlignment="1">
      <alignment horizontal="left"/>
    </xf>
    <xf numFmtId="166" fontId="1" fillId="3" borderId="11" xfId="56" applyNumberFormat="1" applyFill="1" applyAlignment="1" applyProtection="1">
      <alignment wrapText="1"/>
      <protection locked="0"/>
    </xf>
    <xf numFmtId="0" fontId="1" fillId="2" borderId="0" xfId="1" applyAlignment="1">
      <alignment textRotation="90" wrapText="1"/>
    </xf>
    <xf numFmtId="0" fontId="0" fillId="0" borderId="0" xfId="0" applyAlignment="1">
      <alignment horizontal="center" vertical="center" wrapText="1"/>
    </xf>
    <xf numFmtId="0" fontId="0" fillId="0" borderId="0" xfId="0" applyAlignment="1">
      <alignment horizontal="center" vertical="center"/>
    </xf>
    <xf numFmtId="0" fontId="27" fillId="0" borderId="0" xfId="12" applyFont="1" applyAlignment="1"/>
    <xf numFmtId="0" fontId="0" fillId="0" borderId="0" xfId="0" applyAlignment="1">
      <alignment horizontal="center" vertical="center"/>
    </xf>
    <xf numFmtId="0" fontId="0" fillId="0" borderId="0" xfId="0" applyAlignment="1">
      <alignment horizontal="center" vertical="center"/>
    </xf>
    <xf numFmtId="167" fontId="8" fillId="7" borderId="1" xfId="9" applyBorder="1" applyAlignment="1">
      <alignment horizontal="left" vertical="center" wrapText="1"/>
    </xf>
    <xf numFmtId="167" fontId="8" fillId="7" borderId="2" xfId="9" applyBorder="1" applyAlignment="1">
      <alignment horizontal="center" vertical="center"/>
    </xf>
    <xf numFmtId="167" fontId="8" fillId="7" borderId="1" xfId="9" applyBorder="1" applyAlignment="1">
      <alignment horizontal="left" vertical="center"/>
    </xf>
    <xf numFmtId="167" fontId="1" fillId="31" borderId="11" xfId="5" applyFill="1" applyBorder="1" applyProtection="1"/>
    <xf numFmtId="177" fontId="29" fillId="0" borderId="7" xfId="53" applyFont="1" applyBorder="1" applyAlignment="1">
      <alignment horizontal="left" vertical="center" wrapText="1"/>
    </xf>
    <xf numFmtId="0" fontId="0" fillId="0" borderId="0" xfId="0" quotePrefix="1" applyBorder="1" applyAlignment="1">
      <alignment horizontal="left" vertical="center" wrapText="1"/>
    </xf>
    <xf numFmtId="0" fontId="3" fillId="0" borderId="0" xfId="0" applyFont="1" applyBorder="1" applyAlignment="1">
      <alignment horizontal="left" vertical="center"/>
    </xf>
    <xf numFmtId="0" fontId="41" fillId="0" borderId="0" xfId="0" applyFont="1" applyBorder="1" applyAlignment="1">
      <alignment horizontal="left" vertical="center" wrapText="1"/>
    </xf>
    <xf numFmtId="10" fontId="38" fillId="39" borderId="44" xfId="0" applyNumberFormat="1" applyFont="1" applyFill="1" applyBorder="1" applyAlignment="1">
      <alignment horizontal="center" wrapText="1" readingOrder="1"/>
    </xf>
    <xf numFmtId="0" fontId="0" fillId="0" borderId="41" xfId="0" applyBorder="1"/>
    <xf numFmtId="0" fontId="0" fillId="0" borderId="42" xfId="0" applyBorder="1"/>
    <xf numFmtId="0" fontId="0" fillId="0" borderId="43" xfId="0" applyBorder="1"/>
    <xf numFmtId="167" fontId="1" fillId="25" borderId="45" xfId="5" applyFill="1" applyBorder="1" applyAlignment="1"/>
    <xf numFmtId="167" fontId="1" fillId="25" borderId="0" xfId="5" applyFill="1" applyBorder="1" applyAlignment="1"/>
    <xf numFmtId="167" fontId="1" fillId="23" borderId="45" xfId="5" applyFill="1" applyBorder="1" applyAlignment="1"/>
    <xf numFmtId="167" fontId="1" fillId="23" borderId="0" xfId="5" applyFill="1" applyBorder="1" applyAlignment="1"/>
    <xf numFmtId="167" fontId="1" fillId="26" borderId="45" xfId="5" applyFill="1" applyBorder="1" applyAlignment="1"/>
    <xf numFmtId="167" fontId="1" fillId="26" borderId="0" xfId="5" applyFill="1" applyBorder="1" applyAlignment="1"/>
    <xf numFmtId="167" fontId="1" fillId="24" borderId="45" xfId="5" applyFill="1" applyBorder="1" applyAlignment="1"/>
    <xf numFmtId="167" fontId="1" fillId="24" borderId="0" xfId="5" applyFill="1" applyBorder="1" applyAlignment="1"/>
    <xf numFmtId="167" fontId="0" fillId="19" borderId="11" xfId="7" applyFont="1" applyFill="1" applyAlignment="1" applyProtection="1">
      <alignment wrapText="1"/>
    </xf>
    <xf numFmtId="167" fontId="1" fillId="6" borderId="20" xfId="4" applyBorder="1" applyAlignment="1" applyProtection="1">
      <alignment wrapText="1"/>
      <protection locked="0"/>
    </xf>
    <xf numFmtId="167" fontId="1" fillId="6" borderId="30" xfId="4" applyBorder="1" applyAlignment="1" applyProtection="1">
      <alignment wrapText="1"/>
      <protection locked="0"/>
    </xf>
    <xf numFmtId="167" fontId="8" fillId="7" borderId="0" xfId="9" applyBorder="1" applyAlignment="1">
      <alignment horizontal="right"/>
    </xf>
    <xf numFmtId="10" fontId="1" fillId="6" borderId="11" xfId="42" applyAlignment="1" applyProtection="1">
      <alignment vertical="center"/>
      <protection locked="0"/>
    </xf>
    <xf numFmtId="173" fontId="1" fillId="6" borderId="11" xfId="60" applyAlignment="1" applyProtection="1">
      <alignment vertical="center"/>
      <protection locked="0"/>
    </xf>
    <xf numFmtId="167" fontId="1" fillId="6" borderId="11" xfId="4" applyAlignment="1" applyProtection="1">
      <alignment vertical="center"/>
      <protection locked="0"/>
    </xf>
    <xf numFmtId="0" fontId="27" fillId="0" borderId="0" xfId="49" applyFont="1"/>
    <xf numFmtId="0" fontId="36" fillId="0" borderId="0" xfId="57" applyFill="1" applyAlignment="1"/>
    <xf numFmtId="0" fontId="0" fillId="0" borderId="0" xfId="0" applyProtection="1"/>
    <xf numFmtId="0" fontId="16" fillId="0" borderId="0" xfId="0" applyFont="1" applyProtection="1"/>
    <xf numFmtId="0" fontId="0" fillId="0" borderId="0" xfId="0" applyAlignment="1" applyProtection="1">
      <alignment wrapText="1"/>
    </xf>
    <xf numFmtId="0" fontId="5" fillId="0" borderId="0" xfId="0" applyFont="1" applyProtection="1"/>
    <xf numFmtId="0" fontId="0" fillId="2" borderId="0" xfId="1" applyFont="1" applyProtection="1"/>
    <xf numFmtId="167" fontId="1" fillId="8" borderId="11" xfId="5" applyProtection="1"/>
    <xf numFmtId="0" fontId="0" fillId="0" borderId="0" xfId="54" applyFont="1" applyAlignment="1" applyProtection="1">
      <alignment vertical="center"/>
    </xf>
    <xf numFmtId="0" fontId="0" fillId="0" borderId="0" xfId="0" applyAlignment="1" applyProtection="1">
      <alignment vertical="center" wrapText="1"/>
    </xf>
    <xf numFmtId="167" fontId="1" fillId="8" borderId="11" xfId="18" applyProtection="1"/>
    <xf numFmtId="0" fontId="1" fillId="2" borderId="0" xfId="1" applyProtection="1"/>
    <xf numFmtId="0" fontId="10" fillId="9" borderId="0" xfId="17" applyNumberFormat="1" applyProtection="1">
      <alignment vertical="center"/>
    </xf>
    <xf numFmtId="0" fontId="10" fillId="9" borderId="0" xfId="17" applyNumberFormat="1" applyFont="1" applyProtection="1">
      <alignment vertical="center"/>
    </xf>
    <xf numFmtId="0" fontId="4" fillId="0" borderId="0" xfId="0" applyFont="1" applyProtection="1"/>
    <xf numFmtId="0" fontId="3" fillId="0" borderId="0" xfId="0" applyFont="1" applyProtection="1"/>
    <xf numFmtId="167" fontId="0" fillId="8" borderId="11" xfId="5" applyFont="1" applyProtection="1"/>
    <xf numFmtId="166" fontId="1" fillId="0" borderId="11" xfId="47" applyProtection="1"/>
    <xf numFmtId="0" fontId="0" fillId="0" borderId="0" xfId="0" applyFill="1" applyProtection="1"/>
    <xf numFmtId="9" fontId="1" fillId="8" borderId="11" xfId="59" applyProtection="1"/>
    <xf numFmtId="173" fontId="1" fillId="8" borderId="11" xfId="58" applyProtection="1"/>
    <xf numFmtId="0" fontId="4" fillId="0" borderId="0" xfId="0" applyFont="1" applyBorder="1" applyProtection="1"/>
    <xf numFmtId="0" fontId="28" fillId="9" borderId="0" xfId="17" applyNumberFormat="1" applyFont="1" applyProtection="1">
      <alignment vertical="center"/>
    </xf>
    <xf numFmtId="0" fontId="1" fillId="2" borderId="0" xfId="1" applyAlignment="1" applyProtection="1">
      <alignment wrapText="1"/>
    </xf>
    <xf numFmtId="49" fontId="1" fillId="3" borderId="11" xfId="56" applyNumberFormat="1" applyFill="1" applyAlignment="1" applyProtection="1">
      <alignment wrapText="1"/>
      <protection locked="0"/>
    </xf>
    <xf numFmtId="173" fontId="1" fillId="8" borderId="11" xfId="5" applyNumberFormat="1" applyAlignment="1">
      <alignment vertical="center"/>
    </xf>
    <xf numFmtId="0" fontId="4" fillId="0" borderId="27" xfId="0" applyFont="1" applyBorder="1" applyAlignment="1">
      <alignment vertical="center"/>
    </xf>
    <xf numFmtId="0" fontId="4" fillId="0" borderId="27" xfId="0" applyFont="1" applyBorder="1" applyAlignment="1">
      <alignment horizontal="center" vertical="center"/>
    </xf>
    <xf numFmtId="0" fontId="11" fillId="0" borderId="27" xfId="0" applyFont="1" applyBorder="1"/>
    <xf numFmtId="0" fontId="11" fillId="0" borderId="27" xfId="0" applyFont="1" applyBorder="1" applyAlignment="1">
      <alignment horizontal="center"/>
    </xf>
    <xf numFmtId="0" fontId="4" fillId="0" borderId="27" xfId="0" applyFont="1" applyBorder="1" applyAlignment="1">
      <alignment vertical="top"/>
    </xf>
    <xf numFmtId="0" fontId="1" fillId="8" borderId="11" xfId="62" applyNumberFormat="1"/>
    <xf numFmtId="169" fontId="1" fillId="27" borderId="11" xfId="56" applyFill="1" applyProtection="1"/>
    <xf numFmtId="169" fontId="1" fillId="19" borderId="11" xfId="56" applyFill="1" applyProtection="1"/>
    <xf numFmtId="0" fontId="3" fillId="0" borderId="0" xfId="0" applyFont="1" applyAlignment="1" applyProtection="1">
      <alignment vertical="center"/>
    </xf>
    <xf numFmtId="0" fontId="0" fillId="0" borderId="0" xfId="0" applyFill="1" applyAlignment="1" applyProtection="1">
      <alignment vertical="center"/>
    </xf>
    <xf numFmtId="0" fontId="0" fillId="0" borderId="0" xfId="0" applyAlignment="1" applyProtection="1">
      <alignment vertical="center"/>
    </xf>
    <xf numFmtId="0" fontId="4" fillId="0" borderId="0" xfId="0" applyFont="1" applyFill="1" applyAlignment="1" applyProtection="1">
      <alignment vertical="center" wrapText="1"/>
    </xf>
    <xf numFmtId="0" fontId="0" fillId="0" borderId="0" xfId="0" applyFill="1" applyAlignment="1" applyProtection="1">
      <alignment vertical="center" wrapText="1"/>
    </xf>
    <xf numFmtId="0" fontId="10" fillId="9" borderId="0" xfId="17" applyNumberFormat="1" applyAlignment="1" applyProtection="1">
      <alignment vertical="center"/>
    </xf>
    <xf numFmtId="0" fontId="13" fillId="0" borderId="0" xfId="35" applyAlignment="1" applyProtection="1">
      <alignment vertical="center"/>
    </xf>
    <xf numFmtId="0" fontId="4" fillId="0" borderId="0" xfId="0" applyFont="1" applyAlignment="1" applyProtection="1">
      <alignment vertical="center"/>
    </xf>
    <xf numFmtId="0" fontId="13" fillId="0" borderId="0" xfId="35" applyFill="1" applyAlignment="1" applyProtection="1">
      <alignment vertical="center"/>
    </xf>
    <xf numFmtId="0" fontId="3" fillId="0" borderId="0" xfId="0" applyFont="1" applyAlignment="1" applyProtection="1">
      <alignment vertical="center" wrapText="1"/>
    </xf>
    <xf numFmtId="0" fontId="9" fillId="0" borderId="0" xfId="54" applyFont="1" applyFill="1" applyAlignment="1" applyProtection="1">
      <alignment vertical="center"/>
    </xf>
    <xf numFmtId="0" fontId="0" fillId="0" borderId="0" xfId="54" applyFont="1" applyFill="1" applyAlignment="1" applyProtection="1">
      <alignment vertical="center" wrapText="1"/>
    </xf>
    <xf numFmtId="0" fontId="0" fillId="0" borderId="0" xfId="54" applyFont="1" applyFill="1" applyAlignment="1" applyProtection="1">
      <alignment vertical="center"/>
    </xf>
    <xf numFmtId="0" fontId="0" fillId="0" borderId="0" xfId="0" applyFont="1" applyFill="1" applyProtection="1"/>
    <xf numFmtId="0" fontId="0" fillId="0" borderId="0" xfId="0" applyFont="1" applyProtection="1"/>
    <xf numFmtId="0" fontId="0" fillId="0" borderId="0" xfId="0" applyFill="1" applyAlignment="1" applyProtection="1">
      <alignment wrapText="1"/>
    </xf>
    <xf numFmtId="166" fontId="0" fillId="30" borderId="11" xfId="56" applyNumberFormat="1" applyFont="1" applyFill="1" applyProtection="1">
      <protection locked="0"/>
    </xf>
    <xf numFmtId="167" fontId="1" fillId="3" borderId="11" xfId="7" applyProtection="1">
      <protection locked="0"/>
    </xf>
    <xf numFmtId="167" fontId="1" fillId="3" borderId="11" xfId="7" applyProtection="1">
      <protection locked="0"/>
    </xf>
    <xf numFmtId="167" fontId="1" fillId="3" borderId="11" xfId="7" applyProtection="1">
      <protection locked="0"/>
    </xf>
    <xf numFmtId="167" fontId="1" fillId="3" borderId="11" xfId="7" applyProtection="1">
      <protection locked="0"/>
    </xf>
    <xf numFmtId="0" fontId="1" fillId="2" borderId="0" xfId="1" applyAlignment="1">
      <alignment horizontal="center" textRotation="90"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Border="1" applyAlignment="1">
      <alignment horizontal="center" wrapText="1"/>
    </xf>
    <xf numFmtId="0" fontId="0" fillId="0" borderId="7" xfId="0" applyBorder="1" applyAlignment="1">
      <alignment horizont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0" xfId="0" applyFill="1" applyAlignment="1">
      <alignment horizontal="center" vertical="center" wrapText="1"/>
    </xf>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0" fillId="0" borderId="0" xfId="0" applyAlignment="1">
      <alignment horizontal="center" wrapText="1"/>
    </xf>
    <xf numFmtId="167" fontId="1" fillId="3" borderId="11" xfId="7" applyProtection="1">
      <protection locked="0"/>
    </xf>
    <xf numFmtId="167" fontId="1" fillId="6" borderId="11" xfId="4" applyProtection="1">
      <protection locked="0"/>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0" fillId="2" borderId="0" xfId="1" applyFont="1" applyAlignment="1">
      <alignment horizontal="center" textRotation="90" wrapText="1"/>
    </xf>
  </cellXfs>
  <cellStyles count="64">
    <cellStyle name="%_actual input" xfId="33" xr:uid="{7CCBA750-FDC4-4332-A881-BF70FED586F8}"/>
    <cellStyle name="%_calc_diff" xfId="61" xr:uid="{F77C64C8-7B1A-4C88-B97A-CFEE5A4779EB}"/>
    <cellStyle name="%_forecast input" xfId="41" xr:uid="{0C7ED7F6-FE06-40ED-B38F-A47E32EE1124}"/>
    <cellStyle name="%_graphs" xfId="59" xr:uid="{5AAEA13F-3A7B-4B9A-9568-6FD4843084E5}"/>
    <cellStyle name="%_optional input" xfId="42" xr:uid="{CD7528D5-4BDB-414C-8F76-0D1FA9555358}"/>
    <cellStyle name="£calculation" xfId="5" xr:uid="{6F82EB78-C5CD-4555-B124-6DF84840391E}"/>
    <cellStyle name="£calculation total" xfId="8" xr:uid="{2874CD77-8BE5-4278-9FFD-12501912D9BD}"/>
    <cellStyle name="20% - Accent3" xfId="1" builtinId="38"/>
    <cellStyle name="20% - Accent4" xfId="36" builtinId="42" hidden="1"/>
    <cellStyle name="20% - Accent6" xfId="26" builtinId="50" hidden="1"/>
    <cellStyle name="40% - Accent4" xfId="37" builtinId="43" hidden="1"/>
    <cellStyle name="40% - Accent6" xfId="27" builtinId="51" hidden="1"/>
    <cellStyle name="60% - Accent4" xfId="38" builtinId="44" hidden="1"/>
    <cellStyle name="60% - Accent6" xfId="28" builtinId="52" hidden="1"/>
    <cellStyle name="Accent1" xfId="20" builtinId="29" hidden="1"/>
    <cellStyle name="Accent2" xfId="21" builtinId="33" hidden="1"/>
    <cellStyle name="Accent3" xfId="22" builtinId="37" hidden="1"/>
    <cellStyle name="Accent4" xfId="23" builtinId="41" hidden="1"/>
    <cellStyle name="Accent5" xfId="24" builtinId="45" hidden="1"/>
    <cellStyle name="Accent6" xfId="25" builtinId="49" hidden="1"/>
    <cellStyle name="Actual_vs_Forecast" xfId="15" xr:uid="{331E164F-3C3A-4B86-84B6-C13C775F2E67}"/>
    <cellStyle name="Actuals Input" xfId="6" xr:uid="{451AA9D0-402F-492E-AAFB-B587DB10E327}"/>
    <cellStyle name="calc date" xfId="48" xr:uid="{FAFC37F9-680E-4329-AC6D-27B171D954E0}"/>
    <cellStyle name="calc year" xfId="44" xr:uid="{116E3A0C-68D7-470D-902E-C851C7C33431}"/>
    <cellStyle name="calc yes_no" xfId="52" xr:uid="{2039D677-BBEF-4BBA-A6EE-C416EF877DE4}"/>
    <cellStyle name="Calc_%" xfId="39" xr:uid="{B407EC92-5B5E-4F68-93F1-29D8D178F9BB}"/>
    <cellStyle name="Comma" xfId="29" builtinId="3"/>
    <cellStyle name="date" xfId="16" xr:uid="{FDFF6057-C35B-42A7-960E-C90622DAE873}"/>
    <cellStyle name="Date Input" xfId="19" xr:uid="{15AE64B9-0542-4F98-92CE-E7FEC6A713F0}"/>
    <cellStyle name="date_actual input" xfId="34" xr:uid="{3F9CCDD7-8AC4-4290-976E-7096E15971B7}"/>
    <cellStyle name="date_calc" xfId="11" xr:uid="{70243F14-6FE6-44D6-BF56-058BCCA0091B}"/>
    <cellStyle name="date_diff_calc" xfId="55" xr:uid="{8F3BE293-6D25-4445-A164-4E84F6413E71}"/>
    <cellStyle name="date_Modelheader" xfId="10" xr:uid="{870F3A9D-D158-47FC-8F6E-A8459BCC41D0}"/>
    <cellStyle name="Descr_total" xfId="14" xr:uid="{EAFE5E79-2D3F-42A4-AA6D-BE06AAB25038}"/>
    <cellStyle name="Description" xfId="12" xr:uid="{EB832428-66E5-45E3-9741-D39F2EA769D4}"/>
    <cellStyle name="Flag" xfId="18" xr:uid="{A3250531-EEA4-4978-8900-FC22343CB756}"/>
    <cellStyle name="Forecast Input" xfId="7" xr:uid="{198465A4-2011-434C-9F2F-578B083BF90A}"/>
    <cellStyle name="Hyperlink" xfId="35" builtinId="8"/>
    <cellStyle name="hyperlink_calc" xfId="46" xr:uid="{494F7D56-8DDE-4D99-A277-F212C5B630DC}"/>
    <cellStyle name="hyperlink_header" xfId="40" xr:uid="{445AD3DC-C547-418F-BED9-0B7E1F415EBF}"/>
    <cellStyle name="i_LineItem_Label 2" xfId="2" xr:uid="{8CF606C7-4B4D-41A4-A5B6-24832FE87E08}"/>
    <cellStyle name="Indent" xfId="53" xr:uid="{532F5EF2-96DD-4750-93BE-13495B0F65D4}"/>
    <cellStyle name="Modelheader" xfId="9" xr:uid="{1618E447-898A-4C1C-A84C-B0D9A6237EFF}"/>
    <cellStyle name="monthly_vs_annual input" xfId="43" xr:uid="{6CF1BCCF-EA33-40FE-B855-A777A6F54749}"/>
    <cellStyle name="Normal" xfId="0" builtinId="0"/>
    <cellStyle name="Normal 2" xfId="63" xr:uid="{ED034C8C-4E71-4103-B172-3F3A01F6FB10}"/>
    <cellStyle name="Normal 3" xfId="49" xr:uid="{E84FE7C9-7D4F-417E-A92D-589F8AAF576F}"/>
    <cellStyle name="Optional input" xfId="4" xr:uid="{4048F046-A6B5-45A7-A40D-90BF22039E2E}"/>
    <cellStyle name="Percent" xfId="30" builtinId="5"/>
    <cellStyle name="Ratio_calc" xfId="58" xr:uid="{33FF67C0-8F13-46BE-8940-DF21EFC05309}"/>
    <cellStyle name="ratio_optional" xfId="60" xr:uid="{B3879FCD-CDA2-45C6-85E9-3309388EEEF6}"/>
    <cellStyle name="Ref" xfId="54" xr:uid="{E8C714B8-BBB9-473E-8708-0BAB0BF84A96}"/>
    <cellStyle name="Ref_invest" xfId="57" xr:uid="{8C5332D8-5BBB-4F2E-9356-12C816DD4215}"/>
    <cellStyle name="ReferenceCells" xfId="51" xr:uid="{A07CFEA7-B8C9-4B87-9840-A77CAD4C1B51}"/>
    <cellStyle name="Section Separator 2" xfId="3" xr:uid="{44D772B1-5D9B-4176-AAC7-C055CD28AE54}"/>
    <cellStyle name="Subtitle 2" xfId="13" xr:uid="{C274F0EB-4D46-4561-A9F5-BBF3947F4FFB}"/>
    <cellStyle name="Table Header" xfId="32" xr:uid="{66B485C7-8296-42CE-AA48-C313EEFEE5F1}"/>
    <cellStyle name="Table Header non-Bold" xfId="45" xr:uid="{77EEE7EC-D2EF-444F-A409-68EA91303311}"/>
    <cellStyle name="Text" xfId="56" xr:uid="{04D8ECF7-893A-4F46-83A9-EF684D8C0F4F}"/>
    <cellStyle name="text_calc" xfId="62" xr:uid="{A8777FF1-9432-4015-B6FD-A55D50C00D40}"/>
    <cellStyle name="Title 2" xfId="17" xr:uid="{D061C1B9-10C0-45ED-9A63-CDB1ED7641B0}"/>
    <cellStyle name="Unassigned" xfId="47" xr:uid="{55ECCC36-47F0-4810-8032-13414FA2587E}"/>
    <cellStyle name="Yes/&quot;-&quot;_Input" xfId="50" xr:uid="{E602BB6C-3927-4CA2-8C97-C6C9977D8514}"/>
    <cellStyle name="Yes/No_Input" xfId="31" xr:uid="{D0FCAE54-B296-4A2E-91A6-5D20CBD4DC14}"/>
  </cellStyles>
  <dxfs count="278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rgb="FFBBF7DC"/>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rgb="FFBBF7DC"/>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rgb="FFBBF7DC"/>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rgb="FFBBF7DC"/>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rgb="FFFFF2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rgb="FFBBF7DC"/>
        </patternFill>
      </fill>
    </dxf>
    <dxf>
      <numFmt numFmtId="14" formatCode="0.00%"/>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ill>
        <patternFill>
          <bgColor theme="0"/>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ill>
        <patternFill>
          <bgColor theme="0"/>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right style="thin">
          <color theme="1"/>
        </right>
        <vertical/>
        <horizontal/>
      </border>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4" formatCode="0.00%"/>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border>
        <right style="thin">
          <color theme="1"/>
        </right>
        <vertical/>
        <horizontal/>
      </border>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font>
        <color rgb="FF9C0006"/>
      </font>
      <fill>
        <patternFill>
          <bgColor rgb="FFFFC7CE"/>
        </patternFill>
      </fill>
    </dxf>
    <dxf>
      <font>
        <color rgb="FF006100"/>
      </font>
      <fill>
        <patternFill>
          <bgColor rgb="FFC6EFCE"/>
        </patternFill>
      </fill>
    </dxf>
    <dxf>
      <border>
        <right style="thin">
          <color theme="1"/>
        </right>
        <vertical/>
        <horizontal/>
      </border>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border>
        <right style="thin">
          <color theme="1"/>
        </right>
        <vertical/>
        <horizontal/>
      </border>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2CC"/>
      <color rgb="FFBBF7DC"/>
      <color rgb="FFBCFCD4"/>
      <color rgb="FFFFFFFF"/>
      <color rgb="FFFFCCFF"/>
      <color rgb="FFF2CCFC"/>
      <color rgb="FFD7F7FD"/>
      <color rgb="FFCCFFFF"/>
      <color rgb="FFF7E3FD"/>
      <color rgb="FFD0F7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Flow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'Cash Flow Summary'!$D$68</c:f>
              <c:strCache>
                <c:ptCount val="1"/>
                <c:pt idx="0">
                  <c:v>Net cash flow from operating activities</c:v>
                </c:pt>
              </c:strCache>
            </c:strRef>
          </c:tx>
          <c:spPr>
            <a:solidFill>
              <a:schemeClr val="accent1"/>
            </a:solidFill>
            <a:ln>
              <a:noFill/>
            </a:ln>
            <a:effectLst/>
          </c:spPr>
          <c:invertIfNegative val="0"/>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'Cash Flow Summary'!$AA$68:$BJ$68</c:f>
              <c:numCache>
                <c:formatCode>_-* #,##0_-;* \(#,##0\)_-;_-* "-"??_-;_-@_-</c:formatCode>
                <c:ptCount val="36"/>
                <c:pt idx="0">
                  <c:v>5369</c:v>
                </c:pt>
                <c:pt idx="1">
                  <c:v>1067</c:v>
                </c:pt>
                <c:pt idx="2">
                  <c:v>350</c:v>
                </c:pt>
                <c:pt idx="3">
                  <c:v>130</c:v>
                </c:pt>
                <c:pt idx="4">
                  <c:v>-764</c:v>
                </c:pt>
                <c:pt idx="5">
                  <c:v>-553</c:v>
                </c:pt>
                <c:pt idx="6">
                  <c:v>-580</c:v>
                </c:pt>
                <c:pt idx="7">
                  <c:v>-784</c:v>
                </c:pt>
                <c:pt idx="8">
                  <c:v>1468</c:v>
                </c:pt>
                <c:pt idx="9">
                  <c:v>398</c:v>
                </c:pt>
                <c:pt idx="10">
                  <c:v>465</c:v>
                </c:pt>
                <c:pt idx="11">
                  <c:v>-1130</c:v>
                </c:pt>
                <c:pt idx="12">
                  <c:v>2920</c:v>
                </c:pt>
                <c:pt idx="13">
                  <c:v>1122</c:v>
                </c:pt>
                <c:pt idx="14">
                  <c:v>246</c:v>
                </c:pt>
                <c:pt idx="15">
                  <c:v>-301</c:v>
                </c:pt>
                <c:pt idx="16">
                  <c:v>-767</c:v>
                </c:pt>
                <c:pt idx="17">
                  <c:v>-752</c:v>
                </c:pt>
                <c:pt idx="18">
                  <c:v>-728</c:v>
                </c:pt>
                <c:pt idx="19">
                  <c:v>-795</c:v>
                </c:pt>
                <c:pt idx="20">
                  <c:v>1607</c:v>
                </c:pt>
                <c:pt idx="21">
                  <c:v>505</c:v>
                </c:pt>
                <c:pt idx="22">
                  <c:v>106</c:v>
                </c:pt>
                <c:pt idx="23">
                  <c:v>-734</c:v>
                </c:pt>
                <c:pt idx="24">
                  <c:v>2370.7483333333334</c:v>
                </c:pt>
                <c:pt idx="25">
                  <c:v>1168.3566666666661</c:v>
                </c:pt>
                <c:pt idx="26">
                  <c:v>255.48833333333278</c:v>
                </c:pt>
                <c:pt idx="27">
                  <c:v>-306.61333333333323</c:v>
                </c:pt>
                <c:pt idx="28">
                  <c:v>-784.53</c:v>
                </c:pt>
                <c:pt idx="29">
                  <c:v>-608.22999999999979</c:v>
                </c:pt>
                <c:pt idx="30">
                  <c:v>-846.74166666666702</c:v>
                </c:pt>
                <c:pt idx="31">
                  <c:v>-808.5183333333332</c:v>
                </c:pt>
                <c:pt idx="32">
                  <c:v>1762.378333333334</c:v>
                </c:pt>
                <c:pt idx="33">
                  <c:v>555.06833333333361</c:v>
                </c:pt>
                <c:pt idx="34">
                  <c:v>117.19333333333361</c:v>
                </c:pt>
                <c:pt idx="35">
                  <c:v>-760.79000000000042</c:v>
                </c:pt>
              </c:numCache>
            </c:numRef>
          </c:val>
          <c:extLst>
            <c:ext xmlns:c16="http://schemas.microsoft.com/office/drawing/2014/chart" uri="{C3380CC4-5D6E-409C-BE32-E72D297353CC}">
              <c16:uniqueId val="{00000000-6183-40B8-86F9-E03BD1A48ABD}"/>
            </c:ext>
          </c:extLst>
        </c:ser>
        <c:ser>
          <c:idx val="1"/>
          <c:order val="1"/>
          <c:tx>
            <c:strRef>
              <c:f>'Cash Flow Summary'!$D$79</c:f>
              <c:strCache>
                <c:ptCount val="1"/>
                <c:pt idx="0">
                  <c:v>Net cash flow from investing activities</c:v>
                </c:pt>
              </c:strCache>
            </c:strRef>
          </c:tx>
          <c:spPr>
            <a:solidFill>
              <a:schemeClr val="accent2"/>
            </a:solidFill>
            <a:ln>
              <a:noFill/>
            </a:ln>
            <a:effectLst/>
          </c:spPr>
          <c:invertIfNegative val="0"/>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'Cash Flow Summary'!$AA$79:$BJ$79</c:f>
              <c:numCache>
                <c:formatCode>_-* #,##0_-;* \(#,##0\)_-;_-* "-"??_-;_-@_-</c:formatCode>
                <c:ptCount val="36"/>
                <c:pt idx="0">
                  <c:v>-106</c:v>
                </c:pt>
                <c:pt idx="1">
                  <c:v>1070</c:v>
                </c:pt>
                <c:pt idx="2">
                  <c:v>-2240</c:v>
                </c:pt>
                <c:pt idx="3">
                  <c:v>4</c:v>
                </c:pt>
                <c:pt idx="4">
                  <c:v>352</c:v>
                </c:pt>
                <c:pt idx="5">
                  <c:v>0</c:v>
                </c:pt>
                <c:pt idx="6">
                  <c:v>5</c:v>
                </c:pt>
                <c:pt idx="7">
                  <c:v>-1069</c:v>
                </c:pt>
                <c:pt idx="8">
                  <c:v>0</c:v>
                </c:pt>
                <c:pt idx="9">
                  <c:v>47</c:v>
                </c:pt>
                <c:pt idx="10">
                  <c:v>-12</c:v>
                </c:pt>
                <c:pt idx="11">
                  <c:v>-73</c:v>
                </c:pt>
                <c:pt idx="12">
                  <c:v>-1081</c:v>
                </c:pt>
                <c:pt idx="13">
                  <c:v>-790</c:v>
                </c:pt>
                <c:pt idx="14">
                  <c:v>-362</c:v>
                </c:pt>
                <c:pt idx="15">
                  <c:v>-193</c:v>
                </c:pt>
                <c:pt idx="16">
                  <c:v>-437</c:v>
                </c:pt>
                <c:pt idx="17">
                  <c:v>-444</c:v>
                </c:pt>
                <c:pt idx="18">
                  <c:v>-445</c:v>
                </c:pt>
                <c:pt idx="19">
                  <c:v>-540</c:v>
                </c:pt>
                <c:pt idx="20">
                  <c:v>-498</c:v>
                </c:pt>
                <c:pt idx="21">
                  <c:v>-321</c:v>
                </c:pt>
                <c:pt idx="22">
                  <c:v>-317</c:v>
                </c:pt>
                <c:pt idx="23">
                  <c:v>2612</c:v>
                </c:pt>
                <c:pt idx="24">
                  <c:v>-207</c:v>
                </c:pt>
                <c:pt idx="25">
                  <c:v>-194</c:v>
                </c:pt>
                <c:pt idx="26">
                  <c:v>-203</c:v>
                </c:pt>
                <c:pt idx="27">
                  <c:v>-209</c:v>
                </c:pt>
                <c:pt idx="28">
                  <c:v>-209</c:v>
                </c:pt>
                <c:pt idx="29">
                  <c:v>-204</c:v>
                </c:pt>
                <c:pt idx="30">
                  <c:v>-264</c:v>
                </c:pt>
                <c:pt idx="31">
                  <c:v>-154</c:v>
                </c:pt>
                <c:pt idx="32">
                  <c:v>-155</c:v>
                </c:pt>
                <c:pt idx="33">
                  <c:v>-174</c:v>
                </c:pt>
                <c:pt idx="34">
                  <c:v>-179</c:v>
                </c:pt>
                <c:pt idx="35">
                  <c:v>1451</c:v>
                </c:pt>
              </c:numCache>
            </c:numRef>
          </c:val>
          <c:extLst>
            <c:ext xmlns:c16="http://schemas.microsoft.com/office/drawing/2014/chart" uri="{C3380CC4-5D6E-409C-BE32-E72D297353CC}">
              <c16:uniqueId val="{00000001-6183-40B8-86F9-E03BD1A48ABD}"/>
            </c:ext>
          </c:extLst>
        </c:ser>
        <c:ser>
          <c:idx val="2"/>
          <c:order val="2"/>
          <c:tx>
            <c:strRef>
              <c:f>'Cash Flow Summary'!$D$89</c:f>
              <c:strCache>
                <c:ptCount val="1"/>
                <c:pt idx="0">
                  <c:v>Net cash flow from financing activities</c:v>
                </c:pt>
              </c:strCache>
            </c:strRef>
          </c:tx>
          <c:spPr>
            <a:solidFill>
              <a:schemeClr val="accent3"/>
            </a:solidFill>
            <a:ln>
              <a:noFill/>
            </a:ln>
            <a:effectLst/>
          </c:spPr>
          <c:invertIfNegative val="0"/>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'Cash Flow Summary'!$AA$89:$BJ$89</c:f>
              <c:numCache>
                <c:formatCode>_-* #,##0_-;* \(#,##0\)_-;_-* "-"??_-;_-@_-</c:formatCode>
                <c:ptCount val="36"/>
                <c:pt idx="0">
                  <c:v>-92</c:v>
                </c:pt>
                <c:pt idx="1">
                  <c:v>-42</c:v>
                </c:pt>
                <c:pt idx="2">
                  <c:v>-41</c:v>
                </c:pt>
                <c:pt idx="3">
                  <c:v>-91</c:v>
                </c:pt>
                <c:pt idx="4">
                  <c:v>-42</c:v>
                </c:pt>
                <c:pt idx="5">
                  <c:v>-32</c:v>
                </c:pt>
                <c:pt idx="6">
                  <c:v>-80</c:v>
                </c:pt>
                <c:pt idx="7">
                  <c:v>-30</c:v>
                </c:pt>
                <c:pt idx="8">
                  <c:v>-30</c:v>
                </c:pt>
                <c:pt idx="9">
                  <c:v>-80</c:v>
                </c:pt>
                <c:pt idx="10">
                  <c:v>-30</c:v>
                </c:pt>
                <c:pt idx="11">
                  <c:v>-30</c:v>
                </c:pt>
                <c:pt idx="12">
                  <c:v>-81</c:v>
                </c:pt>
                <c:pt idx="13">
                  <c:v>-31</c:v>
                </c:pt>
                <c:pt idx="14">
                  <c:v>-30</c:v>
                </c:pt>
                <c:pt idx="15">
                  <c:v>-80</c:v>
                </c:pt>
                <c:pt idx="16">
                  <c:v>-31</c:v>
                </c:pt>
                <c:pt idx="17">
                  <c:v>-30</c:v>
                </c:pt>
                <c:pt idx="18">
                  <c:v>-80</c:v>
                </c:pt>
                <c:pt idx="19">
                  <c:v>-30</c:v>
                </c:pt>
                <c:pt idx="20">
                  <c:v>-30</c:v>
                </c:pt>
                <c:pt idx="21">
                  <c:v>-80</c:v>
                </c:pt>
                <c:pt idx="22">
                  <c:v>-30</c:v>
                </c:pt>
                <c:pt idx="23">
                  <c:v>-30</c:v>
                </c:pt>
                <c:pt idx="24">
                  <c:v>-81</c:v>
                </c:pt>
                <c:pt idx="25">
                  <c:v>-31</c:v>
                </c:pt>
                <c:pt idx="26">
                  <c:v>-30</c:v>
                </c:pt>
                <c:pt idx="27">
                  <c:v>-80</c:v>
                </c:pt>
                <c:pt idx="28">
                  <c:v>-31</c:v>
                </c:pt>
                <c:pt idx="29">
                  <c:v>-30</c:v>
                </c:pt>
                <c:pt idx="30">
                  <c:v>-80</c:v>
                </c:pt>
                <c:pt idx="31">
                  <c:v>-30</c:v>
                </c:pt>
                <c:pt idx="32">
                  <c:v>-30</c:v>
                </c:pt>
                <c:pt idx="33">
                  <c:v>-80</c:v>
                </c:pt>
                <c:pt idx="34">
                  <c:v>-30</c:v>
                </c:pt>
                <c:pt idx="35">
                  <c:v>-30</c:v>
                </c:pt>
              </c:numCache>
            </c:numRef>
          </c:val>
          <c:extLst>
            <c:ext xmlns:c16="http://schemas.microsoft.com/office/drawing/2014/chart" uri="{C3380CC4-5D6E-409C-BE32-E72D297353CC}">
              <c16:uniqueId val="{00000002-6183-40B8-86F9-E03BD1A48ABD}"/>
            </c:ext>
          </c:extLst>
        </c:ser>
        <c:dLbls>
          <c:showLegendKey val="0"/>
          <c:showVal val="0"/>
          <c:showCatName val="0"/>
          <c:showSerName val="0"/>
          <c:showPercent val="0"/>
          <c:showBubbleSize val="0"/>
        </c:dLbls>
        <c:gapWidth val="150"/>
        <c:overlap val="100"/>
        <c:axId val="1431854255"/>
        <c:axId val="1372930575"/>
      </c:barChart>
      <c:lineChart>
        <c:grouping val="standard"/>
        <c:varyColors val="0"/>
        <c:ser>
          <c:idx val="3"/>
          <c:order val="3"/>
          <c:tx>
            <c:strRef>
              <c:f>'Cash Flow Summary'!$D$97</c:f>
              <c:strCache>
                <c:ptCount val="1"/>
                <c:pt idx="0">
                  <c:v>Cash and cash equivalents at end of the period</c:v>
                </c:pt>
              </c:strCache>
            </c:strRef>
          </c:tx>
          <c:spPr>
            <a:ln w="28575" cap="rnd">
              <a:solidFill>
                <a:schemeClr val="tx1"/>
              </a:solidFill>
              <a:round/>
            </a:ln>
            <a:effectLst/>
          </c:spPr>
          <c:marker>
            <c:symbol val="none"/>
          </c:marker>
          <c:val>
            <c:numRef>
              <c:f>'Cash Flow Summary'!$AA$97:$BJ$97</c:f>
              <c:numCache>
                <c:formatCode>_-* #,##0_-;* \(#,##0\)_-;_-* "-"??_-;_-@_-</c:formatCode>
                <c:ptCount val="36"/>
                <c:pt idx="0">
                  <c:v>8818</c:v>
                </c:pt>
                <c:pt idx="1">
                  <c:v>10913</c:v>
                </c:pt>
                <c:pt idx="2">
                  <c:v>8982</c:v>
                </c:pt>
                <c:pt idx="3">
                  <c:v>9025</c:v>
                </c:pt>
                <c:pt idx="4">
                  <c:v>8571</c:v>
                </c:pt>
                <c:pt idx="5">
                  <c:v>7986</c:v>
                </c:pt>
                <c:pt idx="6">
                  <c:v>7331</c:v>
                </c:pt>
                <c:pt idx="7">
                  <c:v>5448</c:v>
                </c:pt>
                <c:pt idx="8">
                  <c:v>6886</c:v>
                </c:pt>
                <c:pt idx="9">
                  <c:v>7251</c:v>
                </c:pt>
                <c:pt idx="10">
                  <c:v>7674</c:v>
                </c:pt>
                <c:pt idx="11">
                  <c:v>6441</c:v>
                </c:pt>
                <c:pt idx="12">
                  <c:v>8199</c:v>
                </c:pt>
                <c:pt idx="13">
                  <c:v>8500</c:v>
                </c:pt>
                <c:pt idx="14">
                  <c:v>8354</c:v>
                </c:pt>
                <c:pt idx="15">
                  <c:v>7780</c:v>
                </c:pt>
                <c:pt idx="16">
                  <c:v>6545</c:v>
                </c:pt>
                <c:pt idx="17">
                  <c:v>5319</c:v>
                </c:pt>
                <c:pt idx="18">
                  <c:v>4066</c:v>
                </c:pt>
                <c:pt idx="19">
                  <c:v>2701</c:v>
                </c:pt>
                <c:pt idx="20">
                  <c:v>3780</c:v>
                </c:pt>
                <c:pt idx="21">
                  <c:v>3884</c:v>
                </c:pt>
                <c:pt idx="22">
                  <c:v>3643</c:v>
                </c:pt>
                <c:pt idx="23">
                  <c:v>5491</c:v>
                </c:pt>
                <c:pt idx="24">
                  <c:v>7573.748333333333</c:v>
                </c:pt>
                <c:pt idx="25">
                  <c:v>8517.1049999999996</c:v>
                </c:pt>
                <c:pt idx="26">
                  <c:v>8539.5933333333323</c:v>
                </c:pt>
                <c:pt idx="27">
                  <c:v>7943.98</c:v>
                </c:pt>
                <c:pt idx="28">
                  <c:v>6919.45</c:v>
                </c:pt>
                <c:pt idx="29">
                  <c:v>6077.22</c:v>
                </c:pt>
                <c:pt idx="30">
                  <c:v>4886.4783333333335</c:v>
                </c:pt>
                <c:pt idx="31">
                  <c:v>3893.96</c:v>
                </c:pt>
                <c:pt idx="32">
                  <c:v>5471.338333333334</c:v>
                </c:pt>
                <c:pt idx="33">
                  <c:v>5772.4066666666677</c:v>
                </c:pt>
                <c:pt idx="34">
                  <c:v>5680.6000000000013</c:v>
                </c:pt>
                <c:pt idx="35">
                  <c:v>6340.8100000000013</c:v>
                </c:pt>
              </c:numCache>
            </c:numRef>
          </c:val>
          <c:smooth val="0"/>
          <c:extLst>
            <c:ext xmlns:c16="http://schemas.microsoft.com/office/drawing/2014/chart" uri="{C3380CC4-5D6E-409C-BE32-E72D297353CC}">
              <c16:uniqueId val="{00000003-6183-40B8-86F9-E03BD1A48ABD}"/>
            </c:ext>
          </c:extLst>
        </c:ser>
        <c:dLbls>
          <c:showLegendKey val="0"/>
          <c:showVal val="0"/>
          <c:showCatName val="0"/>
          <c:showSerName val="0"/>
          <c:showPercent val="0"/>
          <c:showBubbleSize val="0"/>
        </c:dLbls>
        <c:marker val="1"/>
        <c:smooth val="0"/>
        <c:axId val="842174815"/>
        <c:axId val="1344382031"/>
      </c:lineChart>
      <c:dateAx>
        <c:axId val="143185425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2930575"/>
        <c:crosses val="autoZero"/>
        <c:auto val="0"/>
        <c:lblOffset val="100"/>
        <c:baseTimeUnit val="months"/>
        <c:majorUnit val="2"/>
        <c:majorTimeUnit val="months"/>
      </c:dateAx>
      <c:valAx>
        <c:axId val="13729305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Flow</a:t>
                </a:r>
                <a:r>
                  <a:rPr lang="en-US" baseline="0"/>
                  <a:t> breakdown (£000's)</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1854255"/>
        <c:crosses val="autoZero"/>
        <c:crossBetween val="between"/>
      </c:valAx>
      <c:valAx>
        <c:axId val="134438203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174815"/>
        <c:crosses val="max"/>
        <c:crossBetween val="between"/>
      </c:valAx>
      <c:catAx>
        <c:axId val="842174815"/>
        <c:scaling>
          <c:orientation val="minMax"/>
        </c:scaling>
        <c:delete val="1"/>
        <c:axPos val="b"/>
        <c:majorTickMark val="out"/>
        <c:minorTickMark val="none"/>
        <c:tickLblPos val="nextTo"/>
        <c:crossAx val="134438203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Current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Data'!$D$56</c:f>
              <c:strCache>
                <c:ptCount val="1"/>
                <c:pt idx="0">
                  <c:v>Adjusted current ratio</c:v>
                </c:pt>
              </c:strCache>
            </c:strRef>
          </c:tx>
          <c:spPr>
            <a:solidFill>
              <a:schemeClr val="accent1"/>
            </a:solidFill>
            <a:ln>
              <a:noFill/>
            </a:ln>
            <a:effectLst/>
          </c:spPr>
          <c:invertIfNegative val="0"/>
          <c:cat>
            <c:strRef>
              <c:f>'Dash Data'!$V$3:$Y$3</c:f>
              <c:strCache>
                <c:ptCount val="4"/>
                <c:pt idx="0">
                  <c:v> FY2020 </c:v>
                </c:pt>
                <c:pt idx="1">
                  <c:v> FY2021 </c:v>
                </c:pt>
                <c:pt idx="2">
                  <c:v> FY2022 </c:v>
                </c:pt>
                <c:pt idx="3">
                  <c:v> FY2023 </c:v>
                </c:pt>
              </c:strCache>
            </c:strRef>
          </c:cat>
          <c:val>
            <c:numRef>
              <c:f>'Dash Data'!$V$56:$Y$56</c:f>
              <c:numCache>
                <c:formatCode>_-* #,##0.00_-;* \(#,##0.00\)_-;_-* "-"??_-;_-@_-</c:formatCode>
                <c:ptCount val="4"/>
                <c:pt idx="0">
                  <c:v>0</c:v>
                </c:pt>
                <c:pt idx="1">
                  <c:v>5.2057808455565144</c:v>
                </c:pt>
                <c:pt idx="2">
                  <c:v>4.4522345223452238</c:v>
                </c:pt>
                <c:pt idx="3">
                  <c:v>5.7139128305582769</c:v>
                </c:pt>
              </c:numCache>
            </c:numRef>
          </c:val>
          <c:extLst>
            <c:ext xmlns:c16="http://schemas.microsoft.com/office/drawing/2014/chart" uri="{C3380CC4-5D6E-409C-BE32-E72D297353CC}">
              <c16:uniqueId val="{00000003-1AE3-49F2-8314-A293383B1308}"/>
            </c:ext>
          </c:extLst>
        </c:ser>
        <c:dLbls>
          <c:showLegendKey val="0"/>
          <c:showVal val="0"/>
          <c:showCatName val="0"/>
          <c:showSerName val="0"/>
          <c:showPercent val="0"/>
          <c:showBubbleSize val="0"/>
        </c:dLbls>
        <c:gapWidth val="219"/>
        <c:axId val="1622330799"/>
        <c:axId val="1707931055"/>
        <c:extLst>
          <c:ext xmlns:c15="http://schemas.microsoft.com/office/drawing/2012/chart" uri="{02D57815-91ED-43cb-92C2-25804820EDAC}">
            <c15:filteredBarSeries>
              <c15:ser>
                <c:idx val="0"/>
                <c:order val="0"/>
                <c:tx>
                  <c:strRef>
                    <c:extLst>
                      <c:ext uri="{02D57815-91ED-43cb-92C2-25804820EDAC}">
                        <c15:formulaRef>
                          <c15:sqref>'Dash Data'!$D$51</c15:sqref>
                        </c15:formulaRef>
                      </c:ext>
                    </c:extLst>
                    <c:strCache>
                      <c:ptCount val="1"/>
                      <c:pt idx="0">
                        <c:v>Adjusted cash days in hand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c:ext uri="{02D57815-91ED-43cb-92C2-25804820EDAC}">
                        <c15:formulaRef>
                          <c15:sqref>'Dash Data'!$W$51:$Y$51</c15:sqref>
                        </c15:formulaRef>
                      </c:ext>
                    </c:extLst>
                    <c:numCache>
                      <c:formatCode>_-* #,##0_-;* \(#,##0\)_-;_-* "-"??_-;_-@_-</c:formatCode>
                      <c:ptCount val="3"/>
                      <c:pt idx="0">
                        <c:v>146.54175959393984</c:v>
                      </c:pt>
                      <c:pt idx="1">
                        <c:v>123.04741442632584</c:v>
                      </c:pt>
                      <c:pt idx="2">
                        <c:v>130.53428966542288</c:v>
                      </c:pt>
                    </c:numCache>
                  </c:numRef>
                </c:val>
                <c:extLst>
                  <c:ext xmlns:c16="http://schemas.microsoft.com/office/drawing/2014/chart" uri="{C3380CC4-5D6E-409C-BE32-E72D297353CC}">
                    <c16:uniqueId val="{00000000-1AE3-49F2-8314-A293383B13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'Dash Data'!$D$52</c15:sqref>
                        </c15:formulaRef>
                      </c:ext>
                    </c:extLst>
                    <c:strCache>
                      <c:ptCount val="1"/>
                      <c:pt idx="0">
                        <c:v>Adjusted cash days FEC Benchmark</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xmlns:c15="http://schemas.microsoft.com/office/drawing/2012/chart">
                      <c:ext xmlns:c15="http://schemas.microsoft.com/office/drawing/2012/chart" uri="{02D57815-91ED-43cb-92C2-25804820EDAC}">
                        <c15:formulaRef>
                          <c15:sqref>'Dash Data'!$W$52:$Y$52</c15:sqref>
                        </c15:formulaRef>
                      </c:ext>
                    </c:extLst>
                    <c:numCache>
                      <c:formatCode>_-* #,##0_-;* \(#,##0\)_-;_-* "-"??_-;_-@_-</c:formatCode>
                      <c:ptCount val="3"/>
                      <c:pt idx="0">
                        <c:v>25</c:v>
                      </c:pt>
                      <c:pt idx="1">
                        <c:v>25</c:v>
                      </c:pt>
                      <c:pt idx="2">
                        <c:v>25</c:v>
                      </c:pt>
                    </c:numCache>
                  </c:numRef>
                </c:val>
                <c:extLst xmlns:c15="http://schemas.microsoft.com/office/drawing/2012/chart">
                  <c:ext xmlns:c16="http://schemas.microsoft.com/office/drawing/2014/chart" uri="{C3380CC4-5D6E-409C-BE32-E72D297353CC}">
                    <c16:uniqueId val="{00000001-1AE3-49F2-8314-A293383B13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'Dash Data'!$D$55</c15:sqref>
                        </c15:formulaRef>
                      </c:ext>
                    </c:extLst>
                    <c:strCache>
                      <c:ptCount val="1"/>
                      <c:pt idx="0">
                        <c:v>Current ratio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xmlns:c15="http://schemas.microsoft.com/office/drawing/2012/chart">
                      <c:ext xmlns:c15="http://schemas.microsoft.com/office/drawing/2012/chart" uri="{02D57815-91ED-43cb-92C2-25804820EDAC}">
                        <c15:formulaRef>
                          <c15:sqref>'Dash Data'!$W$55:$Y$55</c15:sqref>
                        </c15:formulaRef>
                      </c:ext>
                    </c:extLst>
                    <c:numCache>
                      <c:formatCode>_-* #,##0.00_-;* \(#,##0.00\)_-;_-* "-"??_-;_-@_-</c:formatCode>
                      <c:ptCount val="3"/>
                      <c:pt idx="0">
                        <c:v>4.3297452457839976</c:v>
                      </c:pt>
                      <c:pt idx="1">
                        <c:v>3.6772773450728073</c:v>
                      </c:pt>
                      <c:pt idx="2">
                        <c:v>4.4652927669345583</c:v>
                      </c:pt>
                    </c:numCache>
                  </c:numRef>
                </c:val>
                <c:extLst xmlns:c15="http://schemas.microsoft.com/office/drawing/2012/chart">
                  <c:ext xmlns:c16="http://schemas.microsoft.com/office/drawing/2014/chart" uri="{C3380CC4-5D6E-409C-BE32-E72D297353CC}">
                    <c16:uniqueId val="{00000002-1AE3-49F2-8314-A293383B130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'Dash Data'!$D$60</c15:sqref>
                        </c15:formulaRef>
                      </c:ext>
                    </c:extLst>
                    <c:strCache>
                      <c:ptCount val="1"/>
                      <c:pt idx="0">
                        <c:v>Trade creditors days - non-pay expenditure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xmlns:c15="http://schemas.microsoft.com/office/drawing/2012/chart">
                      <c:ext xmlns:c15="http://schemas.microsoft.com/office/drawing/2012/chart" uri="{02D57815-91ED-43cb-92C2-25804820EDAC}">
                        <c15:formulaRef>
                          <c15:sqref>'Dash Data'!$W$60:$Y$60</c15:sqref>
                        </c15:formulaRef>
                      </c:ext>
                    </c:extLst>
                    <c:numCache>
                      <c:formatCode>_-* #,##0_-;* \(#,##0\)_-;_-* "-"??_-;_-@_-</c:formatCode>
                      <c:ptCount val="3"/>
                      <c:pt idx="0">
                        <c:v>34.140067812463464</c:v>
                      </c:pt>
                      <c:pt idx="1">
                        <c:v>36.410995344712923</c:v>
                      </c:pt>
                      <c:pt idx="2">
                        <c:v>33.532365893503801</c:v>
                      </c:pt>
                    </c:numCache>
                  </c:numRef>
                </c:val>
                <c:extLst xmlns:c15="http://schemas.microsoft.com/office/drawing/2012/chart">
                  <c:ext xmlns:c16="http://schemas.microsoft.com/office/drawing/2014/chart" uri="{C3380CC4-5D6E-409C-BE32-E72D297353CC}">
                    <c16:uniqueId val="{00000005-1AE3-49F2-8314-A293383B1308}"/>
                  </c:ext>
                </c:extLst>
              </c15:ser>
            </c15:filteredBarSeries>
          </c:ext>
        </c:extLst>
      </c:barChart>
      <c:lineChart>
        <c:grouping val="standard"/>
        <c:varyColors val="0"/>
        <c:ser>
          <c:idx val="4"/>
          <c:order val="4"/>
          <c:tx>
            <c:strRef>
              <c:f>'Dash Data'!$D$57</c:f>
              <c:strCache>
                <c:ptCount val="1"/>
                <c:pt idx="0">
                  <c:v>Adjusted current ratio FEC Benchmark</c:v>
                </c:pt>
              </c:strCache>
            </c:strRef>
          </c:tx>
          <c:spPr>
            <a:ln w="28575" cap="rnd">
              <a:solidFill>
                <a:schemeClr val="accent2">
                  <a:lumMod val="75000"/>
                </a:schemeClr>
              </a:solidFill>
              <a:round/>
            </a:ln>
            <a:effectLst/>
          </c:spPr>
          <c:marker>
            <c:symbol val="none"/>
          </c:marker>
          <c:cat>
            <c:strRef>
              <c:f>'Dash Data'!$V$3:$Y$3</c:f>
              <c:strCache>
                <c:ptCount val="4"/>
                <c:pt idx="0">
                  <c:v> FY2020 </c:v>
                </c:pt>
                <c:pt idx="1">
                  <c:v> FY2021 </c:v>
                </c:pt>
                <c:pt idx="2">
                  <c:v> FY2022 </c:v>
                </c:pt>
                <c:pt idx="3">
                  <c:v> FY2023 </c:v>
                </c:pt>
              </c:strCache>
            </c:strRef>
          </c:cat>
          <c:val>
            <c:numRef>
              <c:f>'Dash Data'!$V$57:$Y$57</c:f>
              <c:numCache>
                <c:formatCode>_-* #,##0.00_-;* \(#,##0.00\)_-;_-* "-"??_-;_-@_-</c:formatCode>
                <c:ptCount val="4"/>
                <c:pt idx="0">
                  <c:v>1.4</c:v>
                </c:pt>
                <c:pt idx="1">
                  <c:v>1.4</c:v>
                </c:pt>
                <c:pt idx="2">
                  <c:v>1.4</c:v>
                </c:pt>
                <c:pt idx="3">
                  <c:v>1.4</c:v>
                </c:pt>
              </c:numCache>
            </c:numRef>
          </c:val>
          <c:smooth val="0"/>
          <c:extLst>
            <c:ext xmlns:c16="http://schemas.microsoft.com/office/drawing/2014/chart" uri="{C3380CC4-5D6E-409C-BE32-E72D297353CC}">
              <c16:uniqueId val="{00000004-1AE3-49F2-8314-A293383B1308}"/>
            </c:ext>
          </c:extLst>
        </c:ser>
        <c:ser>
          <c:idx val="6"/>
          <c:order val="6"/>
          <c:tx>
            <c:strRef>
              <c:f>'Dash Data'!$D$58</c:f>
              <c:strCache>
                <c:ptCount val="1"/>
                <c:pt idx="0">
                  <c:v>Adjusted current ratio College Benchmark</c:v>
                </c:pt>
              </c:strCache>
            </c:strRef>
          </c:tx>
          <c:spPr>
            <a:ln w="28575" cap="rnd">
              <a:solidFill>
                <a:schemeClr val="bg1">
                  <a:lumMod val="65000"/>
                </a:schemeClr>
              </a:solidFill>
              <a:round/>
            </a:ln>
            <a:effectLst/>
          </c:spPr>
          <c:marker>
            <c:symbol val="none"/>
          </c:marker>
          <c:val>
            <c:numRef>
              <c:f>'Dash Data'!$V$58:$Y$58</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A9F9-4A86-9D1B-4FDC4077489B}"/>
            </c:ext>
          </c:extLst>
        </c:ser>
        <c:dLbls>
          <c:showLegendKey val="0"/>
          <c:showVal val="0"/>
          <c:showCatName val="0"/>
          <c:showSerName val="0"/>
          <c:showPercent val="0"/>
          <c:showBubbleSize val="0"/>
        </c:dLbls>
        <c:marker val="1"/>
        <c:smooth val="0"/>
        <c:axId val="1622330799"/>
        <c:axId val="1707931055"/>
      </c:lineChart>
      <c:catAx>
        <c:axId val="16223307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1055"/>
        <c:crosses val="autoZero"/>
        <c:auto val="1"/>
        <c:lblAlgn val="ctr"/>
        <c:lblOffset val="100"/>
        <c:noMultiLvlLbl val="0"/>
      </c:catAx>
      <c:valAx>
        <c:axId val="1707931055"/>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33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Income</a:t>
            </a:r>
            <a:r>
              <a:rPr lang="en-GB" baseline="0"/>
              <a:t> Mix and Staff cost % of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'Dash Data'!$D$66</c:f>
              <c:strCache>
                <c:ptCount val="1"/>
                <c:pt idx="0">
                  <c:v>Total 14-19 Income</c:v>
                </c:pt>
              </c:strCache>
            </c:strRef>
          </c:tx>
          <c:spPr>
            <a:solidFill>
              <a:schemeClr val="accent1"/>
            </a:solidFill>
            <a:ln>
              <a:noFill/>
            </a:ln>
            <a:effectLst/>
          </c:spPr>
          <c:invertIfNegative val="0"/>
          <c:cat>
            <c:strRef>
              <c:f>'Dash Data'!$V$3:$Y$3</c:f>
              <c:strCache>
                <c:ptCount val="4"/>
                <c:pt idx="0">
                  <c:v> FY2020 </c:v>
                </c:pt>
                <c:pt idx="1">
                  <c:v> FY2021 </c:v>
                </c:pt>
                <c:pt idx="2">
                  <c:v> FY2022 </c:v>
                </c:pt>
                <c:pt idx="3">
                  <c:v> FY2023 </c:v>
                </c:pt>
              </c:strCache>
            </c:strRef>
          </c:cat>
          <c:val>
            <c:numRef>
              <c:f>'Dash Data'!$V$66:$Y$66</c:f>
              <c:numCache>
                <c:formatCode>_-* #,##0_-;* \(#,##0\)_-;_-* "-"??_-;_-@_-</c:formatCode>
                <c:ptCount val="4"/>
                <c:pt idx="0">
                  <c:v>0</c:v>
                </c:pt>
                <c:pt idx="1">
                  <c:v>21270</c:v>
                </c:pt>
                <c:pt idx="2">
                  <c:v>22371</c:v>
                </c:pt>
                <c:pt idx="3">
                  <c:v>23144.85</c:v>
                </c:pt>
              </c:numCache>
            </c:numRef>
          </c:val>
          <c:extLst>
            <c:ext xmlns:c16="http://schemas.microsoft.com/office/drawing/2014/chart" uri="{C3380CC4-5D6E-409C-BE32-E72D297353CC}">
              <c16:uniqueId val="{00000000-A9F5-4650-BCA8-EC01FF2E9746}"/>
            </c:ext>
          </c:extLst>
        </c:ser>
        <c:ser>
          <c:idx val="1"/>
          <c:order val="1"/>
          <c:tx>
            <c:strRef>
              <c:f>'Dash Data'!$D$67</c:f>
              <c:strCache>
                <c:ptCount val="1"/>
                <c:pt idx="0">
                  <c:v>Total Apprenticeships Income</c:v>
                </c:pt>
              </c:strCache>
            </c:strRef>
          </c:tx>
          <c:spPr>
            <a:solidFill>
              <a:schemeClr val="accent2"/>
            </a:solidFill>
            <a:ln>
              <a:noFill/>
            </a:ln>
            <a:effectLst/>
          </c:spPr>
          <c:invertIfNegative val="0"/>
          <c:cat>
            <c:strRef>
              <c:f>'Dash Data'!$V$3:$Y$3</c:f>
              <c:strCache>
                <c:ptCount val="4"/>
                <c:pt idx="0">
                  <c:v> FY2020 </c:v>
                </c:pt>
                <c:pt idx="1">
                  <c:v> FY2021 </c:v>
                </c:pt>
                <c:pt idx="2">
                  <c:v> FY2022 </c:v>
                </c:pt>
                <c:pt idx="3">
                  <c:v> FY2023 </c:v>
                </c:pt>
              </c:strCache>
            </c:strRef>
          </c:cat>
          <c:val>
            <c:numRef>
              <c:f>'Dash Data'!$V$67:$Y$67</c:f>
              <c:numCache>
                <c:formatCode>_-* #,##0_-;* \(#,##0\)_-;_-* "-"??_-;_-@_-</c:formatCode>
                <c:ptCount val="4"/>
                <c:pt idx="0">
                  <c:v>0</c:v>
                </c:pt>
                <c:pt idx="1">
                  <c:v>509</c:v>
                </c:pt>
                <c:pt idx="2">
                  <c:v>615</c:v>
                </c:pt>
                <c:pt idx="3">
                  <c:v>638.89</c:v>
                </c:pt>
              </c:numCache>
            </c:numRef>
          </c:val>
          <c:extLst>
            <c:ext xmlns:c16="http://schemas.microsoft.com/office/drawing/2014/chart" uri="{C3380CC4-5D6E-409C-BE32-E72D297353CC}">
              <c16:uniqueId val="{00000001-A9F5-4650-BCA8-EC01FF2E9746}"/>
            </c:ext>
          </c:extLst>
        </c:ser>
        <c:ser>
          <c:idx val="2"/>
          <c:order val="2"/>
          <c:tx>
            <c:strRef>
              <c:f>'Dash Data'!$D$68</c:f>
              <c:strCache>
                <c:ptCount val="1"/>
                <c:pt idx="0">
                  <c:v>Total Adult Education and Training Income (Excluding clawbacks)</c:v>
                </c:pt>
              </c:strCache>
            </c:strRef>
          </c:tx>
          <c:spPr>
            <a:solidFill>
              <a:schemeClr val="accent3"/>
            </a:solidFill>
            <a:ln>
              <a:noFill/>
            </a:ln>
            <a:effectLst/>
          </c:spPr>
          <c:invertIfNegative val="0"/>
          <c:cat>
            <c:strRef>
              <c:f>'Dash Data'!$V$3:$Y$3</c:f>
              <c:strCache>
                <c:ptCount val="4"/>
                <c:pt idx="0">
                  <c:v> FY2020 </c:v>
                </c:pt>
                <c:pt idx="1">
                  <c:v> FY2021 </c:v>
                </c:pt>
                <c:pt idx="2">
                  <c:v> FY2022 </c:v>
                </c:pt>
                <c:pt idx="3">
                  <c:v> FY2023 </c:v>
                </c:pt>
              </c:strCache>
            </c:strRef>
          </c:cat>
          <c:val>
            <c:numRef>
              <c:f>'Dash Data'!$V$68:$Y$68</c:f>
              <c:numCache>
                <c:formatCode>_-* #,##0_-;* \(#,##0\)_-;_-* "-"??_-;_-@_-</c:formatCode>
                <c:ptCount val="4"/>
                <c:pt idx="0">
                  <c:v>0</c:v>
                </c:pt>
                <c:pt idx="1">
                  <c:v>1461</c:v>
                </c:pt>
                <c:pt idx="2">
                  <c:v>1497</c:v>
                </c:pt>
                <c:pt idx="3">
                  <c:v>1567.3999999999996</c:v>
                </c:pt>
              </c:numCache>
            </c:numRef>
          </c:val>
          <c:extLst>
            <c:ext xmlns:c16="http://schemas.microsoft.com/office/drawing/2014/chart" uri="{C3380CC4-5D6E-409C-BE32-E72D297353CC}">
              <c16:uniqueId val="{00000002-A9F5-4650-BCA8-EC01FF2E9746}"/>
            </c:ext>
          </c:extLst>
        </c:ser>
        <c:ser>
          <c:idx val="3"/>
          <c:order val="3"/>
          <c:tx>
            <c:strRef>
              <c:f>'Dash Data'!$D$69</c:f>
              <c:strCache>
                <c:ptCount val="1"/>
                <c:pt idx="0">
                  <c:v>Total HE Income</c:v>
                </c:pt>
              </c:strCache>
            </c:strRef>
          </c:tx>
          <c:spPr>
            <a:solidFill>
              <a:schemeClr val="accent4"/>
            </a:solidFill>
            <a:ln>
              <a:noFill/>
            </a:ln>
            <a:effectLst/>
          </c:spPr>
          <c:invertIfNegative val="0"/>
          <c:cat>
            <c:strRef>
              <c:f>'Dash Data'!$V$3:$Y$3</c:f>
              <c:strCache>
                <c:ptCount val="4"/>
                <c:pt idx="0">
                  <c:v> FY2020 </c:v>
                </c:pt>
                <c:pt idx="1">
                  <c:v> FY2021 </c:v>
                </c:pt>
                <c:pt idx="2">
                  <c:v> FY2022 </c:v>
                </c:pt>
                <c:pt idx="3">
                  <c:v> FY2023 </c:v>
                </c:pt>
              </c:strCache>
            </c:strRef>
          </c:cat>
          <c:val>
            <c:numRef>
              <c:f>'Dash Data'!$V$69:$Y$69</c:f>
              <c:numCache>
                <c:formatCode>_-* #,##0_-;* \(#,##0\)_-;_-* "-"??_-;_-@_-</c:formatCode>
                <c:ptCount val="4"/>
                <c:pt idx="0">
                  <c:v>0</c:v>
                </c:pt>
                <c:pt idx="1">
                  <c:v>751</c:v>
                </c:pt>
                <c:pt idx="2">
                  <c:v>750</c:v>
                </c:pt>
                <c:pt idx="3">
                  <c:v>795</c:v>
                </c:pt>
              </c:numCache>
            </c:numRef>
          </c:val>
          <c:extLst>
            <c:ext xmlns:c16="http://schemas.microsoft.com/office/drawing/2014/chart" uri="{C3380CC4-5D6E-409C-BE32-E72D297353CC}">
              <c16:uniqueId val="{00000003-A9F5-4650-BCA8-EC01FF2E9746}"/>
            </c:ext>
          </c:extLst>
        </c:ser>
        <c:ser>
          <c:idx val="4"/>
          <c:order val="4"/>
          <c:tx>
            <c:strRef>
              <c:f>'Dash Data'!$D$71</c:f>
              <c:strCache>
                <c:ptCount val="1"/>
                <c:pt idx="0">
                  <c:v>Total Other Income from Provision of Education and Training</c:v>
                </c:pt>
              </c:strCache>
            </c:strRef>
          </c:tx>
          <c:spPr>
            <a:solidFill>
              <a:schemeClr val="accent5"/>
            </a:solidFill>
            <a:ln>
              <a:noFill/>
            </a:ln>
            <a:effectLst/>
          </c:spPr>
          <c:invertIfNegative val="0"/>
          <c:cat>
            <c:strRef>
              <c:f>'Dash Data'!$V$3:$Y$3</c:f>
              <c:strCache>
                <c:ptCount val="4"/>
                <c:pt idx="0">
                  <c:v> FY2020 </c:v>
                </c:pt>
                <c:pt idx="1">
                  <c:v> FY2021 </c:v>
                </c:pt>
                <c:pt idx="2">
                  <c:v> FY2022 </c:v>
                </c:pt>
                <c:pt idx="3">
                  <c:v> FY2023 </c:v>
                </c:pt>
              </c:strCache>
            </c:strRef>
          </c:cat>
          <c:val>
            <c:numRef>
              <c:f>'Dash Data'!$V$71:$Y$71</c:f>
              <c:numCache>
                <c:formatCode>_-* #,##0_-;* \(#,##0\)_-;_-* "-"??_-;_-@_-</c:formatCode>
                <c:ptCount val="4"/>
                <c:pt idx="0">
                  <c:v>0</c:v>
                </c:pt>
                <c:pt idx="1">
                  <c:v>2901</c:v>
                </c:pt>
                <c:pt idx="2">
                  <c:v>2650</c:v>
                </c:pt>
                <c:pt idx="3">
                  <c:v>2650</c:v>
                </c:pt>
              </c:numCache>
            </c:numRef>
          </c:val>
          <c:extLst>
            <c:ext xmlns:c16="http://schemas.microsoft.com/office/drawing/2014/chart" uri="{C3380CC4-5D6E-409C-BE32-E72D297353CC}">
              <c16:uniqueId val="{00000004-A9F5-4650-BCA8-EC01FF2E9746}"/>
            </c:ext>
          </c:extLst>
        </c:ser>
        <c:ser>
          <c:idx val="5"/>
          <c:order val="5"/>
          <c:tx>
            <c:strRef>
              <c:f>'Dash Data'!$D$72</c:f>
              <c:strCache>
                <c:ptCount val="1"/>
                <c:pt idx="0">
                  <c:v>Total commercial income</c:v>
                </c:pt>
              </c:strCache>
            </c:strRef>
          </c:tx>
          <c:spPr>
            <a:solidFill>
              <a:schemeClr val="accent6"/>
            </a:solidFill>
            <a:ln>
              <a:noFill/>
            </a:ln>
            <a:effectLst/>
          </c:spPr>
          <c:invertIfNegative val="0"/>
          <c:cat>
            <c:strRef>
              <c:f>'Dash Data'!$V$3:$Y$3</c:f>
              <c:strCache>
                <c:ptCount val="4"/>
                <c:pt idx="0">
                  <c:v> FY2020 </c:v>
                </c:pt>
                <c:pt idx="1">
                  <c:v> FY2021 </c:v>
                </c:pt>
                <c:pt idx="2">
                  <c:v> FY2022 </c:v>
                </c:pt>
                <c:pt idx="3">
                  <c:v> FY2023 </c:v>
                </c:pt>
              </c:strCache>
            </c:strRef>
          </c:cat>
          <c:val>
            <c:numRef>
              <c:f>'Dash Data'!$V$72:$Y$72</c:f>
              <c:numCache>
                <c:formatCode>_-* #,##0_-;* \(#,##0\)_-;_-* "-"??_-;_-@_-</c:formatCode>
                <c:ptCount val="4"/>
                <c:pt idx="0">
                  <c:v>0</c:v>
                </c:pt>
                <c:pt idx="1">
                  <c:v>938</c:v>
                </c:pt>
                <c:pt idx="2">
                  <c:v>1250</c:v>
                </c:pt>
                <c:pt idx="3">
                  <c:v>1275.2299999999998</c:v>
                </c:pt>
              </c:numCache>
            </c:numRef>
          </c:val>
          <c:extLst>
            <c:ext xmlns:c16="http://schemas.microsoft.com/office/drawing/2014/chart" uri="{C3380CC4-5D6E-409C-BE32-E72D297353CC}">
              <c16:uniqueId val="{00000005-A9F5-4650-BCA8-EC01FF2E9746}"/>
            </c:ext>
          </c:extLst>
        </c:ser>
        <c:ser>
          <c:idx val="6"/>
          <c:order val="6"/>
          <c:tx>
            <c:strRef>
              <c:f>'Dash Data'!$D$73</c:f>
              <c:strCache>
                <c:ptCount val="1"/>
                <c:pt idx="0">
                  <c:v>Total Other Income</c:v>
                </c:pt>
              </c:strCache>
            </c:strRef>
          </c:tx>
          <c:spPr>
            <a:solidFill>
              <a:schemeClr val="accent1">
                <a:lumMod val="60000"/>
              </a:schemeClr>
            </a:solidFill>
            <a:ln>
              <a:noFill/>
            </a:ln>
            <a:effectLst/>
          </c:spPr>
          <c:invertIfNegative val="0"/>
          <c:cat>
            <c:strRef>
              <c:f>'Dash Data'!$V$3:$Y$3</c:f>
              <c:strCache>
                <c:ptCount val="4"/>
                <c:pt idx="0">
                  <c:v> FY2020 </c:v>
                </c:pt>
                <c:pt idx="1">
                  <c:v> FY2021 </c:v>
                </c:pt>
                <c:pt idx="2">
                  <c:v> FY2022 </c:v>
                </c:pt>
                <c:pt idx="3">
                  <c:v> FY2023 </c:v>
                </c:pt>
              </c:strCache>
            </c:strRef>
          </c:cat>
          <c:val>
            <c:numRef>
              <c:f>'Dash Data'!$V$73:$Y$73</c:f>
              <c:numCache>
                <c:formatCode>_-* #,##0_-;* \(#,##0\)_-;_-* "-"??_-;_-@_-</c:formatCode>
                <c:ptCount val="4"/>
                <c:pt idx="0">
                  <c:v>0</c:v>
                </c:pt>
                <c:pt idx="1">
                  <c:v>135</c:v>
                </c:pt>
                <c:pt idx="2">
                  <c:v>0</c:v>
                </c:pt>
                <c:pt idx="3">
                  <c:v>0</c:v>
                </c:pt>
              </c:numCache>
            </c:numRef>
          </c:val>
          <c:extLst>
            <c:ext xmlns:c16="http://schemas.microsoft.com/office/drawing/2014/chart" uri="{C3380CC4-5D6E-409C-BE32-E72D297353CC}">
              <c16:uniqueId val="{00000006-A9F5-4650-BCA8-EC01FF2E9746}"/>
            </c:ext>
          </c:extLst>
        </c:ser>
        <c:ser>
          <c:idx val="7"/>
          <c:order val="7"/>
          <c:tx>
            <c:strRef>
              <c:f>'Dash Data'!$D$74</c:f>
              <c:strCache>
                <c:ptCount val="1"/>
                <c:pt idx="0">
                  <c:v>Total Emergency Funding</c:v>
                </c:pt>
              </c:strCache>
            </c:strRef>
          </c:tx>
          <c:spPr>
            <a:solidFill>
              <a:schemeClr val="accent2">
                <a:lumMod val="60000"/>
              </a:schemeClr>
            </a:solidFill>
            <a:ln>
              <a:noFill/>
            </a:ln>
            <a:effectLst/>
          </c:spPr>
          <c:invertIfNegative val="0"/>
          <c:cat>
            <c:strRef>
              <c:f>'Dash Data'!$V$3:$Y$3</c:f>
              <c:strCache>
                <c:ptCount val="4"/>
                <c:pt idx="0">
                  <c:v> FY2020 </c:v>
                </c:pt>
                <c:pt idx="1">
                  <c:v> FY2021 </c:v>
                </c:pt>
                <c:pt idx="2">
                  <c:v> FY2022 </c:v>
                </c:pt>
                <c:pt idx="3">
                  <c:v> FY2023 </c:v>
                </c:pt>
              </c:strCache>
            </c:strRef>
          </c:cat>
          <c:val>
            <c:numRef>
              <c:f>'Dash Data'!$V$74:$Y$74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7-A9F5-4650-BCA8-EC01FF2E9746}"/>
            </c:ext>
          </c:extLst>
        </c:ser>
        <c:dLbls>
          <c:showLegendKey val="0"/>
          <c:showVal val="0"/>
          <c:showCatName val="0"/>
          <c:showSerName val="0"/>
          <c:showPercent val="0"/>
          <c:showBubbleSize val="0"/>
        </c:dLbls>
        <c:gapWidth val="150"/>
        <c:overlap val="100"/>
        <c:axId val="1880317983"/>
        <c:axId val="1220409199"/>
      </c:barChart>
      <c:lineChart>
        <c:grouping val="standard"/>
        <c:varyColors val="0"/>
        <c:ser>
          <c:idx val="8"/>
          <c:order val="8"/>
          <c:tx>
            <c:strRef>
              <c:f>'Dash Data'!$D$79</c:f>
              <c:strCache>
                <c:ptCount val="1"/>
                <c:pt idx="0">
                  <c:v>Total Staff costs as % of Adjusted Income</c:v>
                </c:pt>
              </c:strCache>
            </c:strRef>
          </c:tx>
          <c:spPr>
            <a:ln w="28575" cap="rnd">
              <a:solidFill>
                <a:schemeClr val="accent3">
                  <a:lumMod val="60000"/>
                </a:schemeClr>
              </a:solidFill>
              <a:round/>
            </a:ln>
            <a:effectLst/>
          </c:spPr>
          <c:marker>
            <c:symbol val="none"/>
          </c:marker>
          <c:val>
            <c:numRef>
              <c:f>'Dash Data'!$V$79:$Y$79</c:f>
              <c:numCache>
                <c:formatCode>0%</c:formatCode>
                <c:ptCount val="4"/>
                <c:pt idx="0">
                  <c:v>0</c:v>
                </c:pt>
                <c:pt idx="1">
                  <c:v>0.61873949880241663</c:v>
                </c:pt>
                <c:pt idx="2">
                  <c:v>0.61973715815118557</c:v>
                </c:pt>
                <c:pt idx="3">
                  <c:v>0.61978777643595107</c:v>
                </c:pt>
              </c:numCache>
            </c:numRef>
          </c:val>
          <c:smooth val="0"/>
          <c:extLst>
            <c:ext xmlns:c16="http://schemas.microsoft.com/office/drawing/2014/chart" uri="{C3380CC4-5D6E-409C-BE32-E72D297353CC}">
              <c16:uniqueId val="{00000008-A9F5-4650-BCA8-EC01FF2E9746}"/>
            </c:ext>
          </c:extLst>
        </c:ser>
        <c:dLbls>
          <c:showLegendKey val="0"/>
          <c:showVal val="0"/>
          <c:showCatName val="0"/>
          <c:showSerName val="0"/>
          <c:showPercent val="0"/>
          <c:showBubbleSize val="0"/>
        </c:dLbls>
        <c:marker val="1"/>
        <c:smooth val="0"/>
        <c:axId val="1880317983"/>
        <c:axId val="1220409199"/>
      </c:lineChart>
      <c:catAx>
        <c:axId val="1880317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9199"/>
        <c:crosses val="autoZero"/>
        <c:auto val="1"/>
        <c:lblAlgn val="ctr"/>
        <c:lblOffset val="100"/>
        <c:noMultiLvlLbl val="0"/>
      </c:catAx>
      <c:valAx>
        <c:axId val="122040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17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Debt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'Dash Data'!$D$87</c:f>
              <c:strCache>
                <c:ptCount val="1"/>
                <c:pt idx="0">
                  <c:v>Overdrafts</c:v>
                </c:pt>
              </c:strCache>
            </c:strRef>
          </c:tx>
          <c:spPr>
            <a:solidFill>
              <a:schemeClr val="accent1"/>
            </a:solidFill>
            <a:ln>
              <a:noFill/>
            </a:ln>
            <a:effectLst/>
          </c:spPr>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'Dash Data'!$AA$87:$BJ$87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493-4A6C-87DD-25A79A214651}"/>
            </c:ext>
          </c:extLst>
        </c:ser>
        <c:ser>
          <c:idx val="1"/>
          <c:order val="1"/>
          <c:tx>
            <c:strRef>
              <c:f>'Dash Data'!$D$88</c:f>
              <c:strCache>
                <c:ptCount val="1"/>
                <c:pt idx="0">
                  <c:v>EFS/RF</c:v>
                </c:pt>
              </c:strCache>
            </c:strRef>
          </c:tx>
          <c:spPr>
            <a:solidFill>
              <a:schemeClr val="accent2"/>
            </a:solidFill>
            <a:ln>
              <a:noFill/>
            </a:ln>
            <a:effectLst/>
          </c:spPr>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'Dash Data'!$AA$88:$BJ$88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4493-4A6C-87DD-25A79A214651}"/>
            </c:ext>
          </c:extLst>
        </c:ser>
        <c:ser>
          <c:idx val="2"/>
          <c:order val="2"/>
          <c:tx>
            <c:strRef>
              <c:f>'Dash Data'!$D$89</c:f>
              <c:strCache>
                <c:ptCount val="1"/>
                <c:pt idx="0">
                  <c:v>Commercial </c:v>
                </c:pt>
              </c:strCache>
            </c:strRef>
          </c:tx>
          <c:spPr>
            <a:solidFill>
              <a:schemeClr val="accent3"/>
            </a:solidFill>
            <a:ln>
              <a:noFill/>
            </a:ln>
            <a:effectLst/>
          </c:spPr>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'Dash Data'!$AA$89:$BJ$89</c:f>
              <c:numCache>
                <c:formatCode>_-* #,##0_-;* \(#,##0\)_-;_-* "-"??_-;_-@_-</c:formatCode>
                <c:ptCount val="36"/>
                <c:pt idx="0">
                  <c:v>2987</c:v>
                </c:pt>
                <c:pt idx="1">
                  <c:v>2963</c:v>
                </c:pt>
                <c:pt idx="2">
                  <c:v>2939</c:v>
                </c:pt>
                <c:pt idx="3">
                  <c:v>2883</c:v>
                </c:pt>
                <c:pt idx="4">
                  <c:v>2858</c:v>
                </c:pt>
                <c:pt idx="5">
                  <c:v>2843</c:v>
                </c:pt>
                <c:pt idx="6">
                  <c:v>2798</c:v>
                </c:pt>
                <c:pt idx="7">
                  <c:v>2785</c:v>
                </c:pt>
                <c:pt idx="8">
                  <c:v>2772</c:v>
                </c:pt>
                <c:pt idx="9">
                  <c:v>2727</c:v>
                </c:pt>
                <c:pt idx="10">
                  <c:v>2714</c:v>
                </c:pt>
                <c:pt idx="11">
                  <c:v>2701</c:v>
                </c:pt>
                <c:pt idx="12">
                  <c:v>2657</c:v>
                </c:pt>
                <c:pt idx="13">
                  <c:v>2644</c:v>
                </c:pt>
                <c:pt idx="14">
                  <c:v>2631</c:v>
                </c:pt>
                <c:pt idx="15">
                  <c:v>2586</c:v>
                </c:pt>
                <c:pt idx="16">
                  <c:v>2572</c:v>
                </c:pt>
                <c:pt idx="17">
                  <c:v>2559</c:v>
                </c:pt>
                <c:pt idx="18">
                  <c:v>2514</c:v>
                </c:pt>
                <c:pt idx="19">
                  <c:v>2501</c:v>
                </c:pt>
                <c:pt idx="20">
                  <c:v>2488</c:v>
                </c:pt>
                <c:pt idx="21">
                  <c:v>2443</c:v>
                </c:pt>
                <c:pt idx="22">
                  <c:v>2430</c:v>
                </c:pt>
                <c:pt idx="23">
                  <c:v>2417</c:v>
                </c:pt>
                <c:pt idx="24">
                  <c:v>2373</c:v>
                </c:pt>
                <c:pt idx="25">
                  <c:v>2360</c:v>
                </c:pt>
                <c:pt idx="26">
                  <c:v>2347</c:v>
                </c:pt>
                <c:pt idx="27">
                  <c:v>2302</c:v>
                </c:pt>
                <c:pt idx="28">
                  <c:v>2288</c:v>
                </c:pt>
                <c:pt idx="29">
                  <c:v>2275</c:v>
                </c:pt>
                <c:pt idx="30">
                  <c:v>2230</c:v>
                </c:pt>
                <c:pt idx="31">
                  <c:v>2217</c:v>
                </c:pt>
                <c:pt idx="32">
                  <c:v>2204</c:v>
                </c:pt>
                <c:pt idx="33">
                  <c:v>2159</c:v>
                </c:pt>
                <c:pt idx="34">
                  <c:v>2146</c:v>
                </c:pt>
                <c:pt idx="35">
                  <c:v>2133</c:v>
                </c:pt>
              </c:numCache>
            </c:numRef>
          </c:val>
          <c:extLst>
            <c:ext xmlns:c16="http://schemas.microsoft.com/office/drawing/2014/chart" uri="{C3380CC4-5D6E-409C-BE32-E72D297353CC}">
              <c16:uniqueId val="{00000002-4493-4A6C-87DD-25A79A214651}"/>
            </c:ext>
          </c:extLst>
        </c:ser>
        <c:dLbls>
          <c:showLegendKey val="0"/>
          <c:showVal val="0"/>
          <c:showCatName val="0"/>
          <c:showSerName val="0"/>
          <c:showPercent val="0"/>
          <c:showBubbleSize val="0"/>
        </c:dLbls>
        <c:axId val="1554159839"/>
        <c:axId val="804451087"/>
      </c:areaChart>
      <c:dateAx>
        <c:axId val="15541598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451087"/>
        <c:crosses val="autoZero"/>
        <c:auto val="1"/>
        <c:lblOffset val="100"/>
        <c:baseTimeUnit val="months"/>
      </c:dateAx>
      <c:valAx>
        <c:axId val="8044510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598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balance and cash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cash days in hand</c:v>
                </c:pt>
              </c:strCache>
            </c:strRef>
          </c:tx>
          <c:spPr>
            <a:solidFill>
              <a:schemeClr val="accent1"/>
            </a:solidFill>
            <a:ln>
              <a:noFill/>
            </a:ln>
            <a:effectLst/>
          </c:spPr>
          <c:invertIfNegative val="0"/>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'Dash Data'!$AA$23:$BJ$23</c:f>
              <c:numCache>
                <c:formatCode>_-* #,##0_-;* \(#,##0\)_-;_-* "-"??_-;_-@_-</c:formatCode>
                <c:ptCount val="36"/>
                <c:pt idx="0">
                  <c:v>179.90348381142812</c:v>
                </c:pt>
                <c:pt idx="1">
                  <c:v>209.30727524417443</c:v>
                </c:pt>
                <c:pt idx="2">
                  <c:v>182.20526032454049</c:v>
                </c:pt>
                <c:pt idx="3">
                  <c:v>182.80877489810047</c:v>
                </c:pt>
                <c:pt idx="4">
                  <c:v>176.43678381911866</c:v>
                </c:pt>
                <c:pt idx="5">
                  <c:v>168.22617857417518</c:v>
                </c:pt>
                <c:pt idx="6">
                  <c:v>159.0331077443667</c:v>
                </c:pt>
                <c:pt idx="7">
                  <c:v>132.60478351149735</c:v>
                </c:pt>
                <c:pt idx="8">
                  <c:v>152.78743366915327</c:v>
                </c:pt>
                <c:pt idx="9">
                  <c:v>157.91028993309237</c:v>
                </c:pt>
                <c:pt idx="10">
                  <c:v>163.84718911020533</c:v>
                </c:pt>
                <c:pt idx="11">
                  <c:v>146.54175959393984</c:v>
                </c:pt>
                <c:pt idx="12">
                  <c:v>159.34901571911266</c:v>
                </c:pt>
                <c:pt idx="13">
                  <c:v>163.38401645365064</c:v>
                </c:pt>
                <c:pt idx="14">
                  <c:v>161.4268400176289</c:v>
                </c:pt>
                <c:pt idx="15">
                  <c:v>153.73218745409139</c:v>
                </c:pt>
                <c:pt idx="16">
                  <c:v>137.17661965623623</c:v>
                </c:pt>
                <c:pt idx="17">
                  <c:v>120.74169972087557</c:v>
                </c:pt>
                <c:pt idx="18">
                  <c:v>103.94483619803142</c:v>
                </c:pt>
                <c:pt idx="19">
                  <c:v>85.646577053033653</c:v>
                </c:pt>
                <c:pt idx="20">
                  <c:v>100.1109152343176</c:v>
                </c:pt>
                <c:pt idx="21">
                  <c:v>101.50506831203172</c:v>
                </c:pt>
                <c:pt idx="22">
                  <c:v>98.27438666079037</c:v>
                </c:pt>
                <c:pt idx="23">
                  <c:v>123.04741442632584</c:v>
                </c:pt>
                <c:pt idx="24">
                  <c:v>146.58212879518371</c:v>
                </c:pt>
                <c:pt idx="25">
                  <c:v>158.86079320147661</c:v>
                </c:pt>
                <c:pt idx="26">
                  <c:v>159.15349977557921</c:v>
                </c:pt>
                <c:pt idx="27">
                  <c:v>151.40103827895885</c:v>
                </c:pt>
                <c:pt idx="28">
                  <c:v>138.06582744228774</c:v>
                </c:pt>
                <c:pt idx="29">
                  <c:v>127.10342065774313</c:v>
                </c:pt>
                <c:pt idx="30">
                  <c:v>111.60481039058726</c:v>
                </c:pt>
                <c:pt idx="31">
                  <c:v>98.686261168737801</c:v>
                </c:pt>
                <c:pt idx="32">
                  <c:v>119.21730725250001</c:v>
                </c:pt>
                <c:pt idx="33">
                  <c:v>123.13599162606175</c:v>
                </c:pt>
                <c:pt idx="34">
                  <c:v>121.94104247258456</c:v>
                </c:pt>
                <c:pt idx="35">
                  <c:v>130.53428966542288</c:v>
                </c:pt>
              </c:numCache>
            </c:numRef>
          </c:val>
          <c:extLst>
            <c:ext xmlns:c16="http://schemas.microsoft.com/office/drawing/2014/chart" uri="{C3380CC4-5D6E-409C-BE32-E72D297353CC}">
              <c16:uniqueId val="{00000000-2C08-4BD0-A534-87841E90B2C7}"/>
            </c:ext>
          </c:extLst>
        </c:ser>
        <c:dLbls>
          <c:showLegendKey val="0"/>
          <c:showVal val="0"/>
          <c:showCatName val="0"/>
          <c:showSerName val="0"/>
          <c:showPercent val="0"/>
          <c:showBubbleSize val="0"/>
        </c:dLbls>
        <c:gapWidth val="219"/>
        <c:axId val="1534304175"/>
        <c:axId val="1344392847"/>
        <c:extLst>
          <c:ext xmlns:c15="http://schemas.microsoft.com/office/drawing/2012/chart" uri="{02D57815-91ED-43cb-92C2-25804820EDAC}">
            <c15:filteredBarSeries>
              <c15:ser>
                <c:idx val="2"/>
                <c:order val="2"/>
                <c:tx>
                  <c:strRef>
                    <c:extLst>
                      <c:ext uri="{02D57815-91ED-43cb-92C2-25804820EDAC}">
                        <c15:formulaRef>
                          <c15:sqref>'Dash Data'!$D$25</c15:sqref>
                        </c15:formulaRef>
                      </c:ext>
                    </c:extLst>
                    <c:strCache>
                      <c:ptCount val="1"/>
                      <c:pt idx="0">
                        <c:v>Trade creditors days - non-pay expenditure</c:v>
                      </c:pt>
                    </c:strCache>
                  </c:strRef>
                </c:tx>
                <c:spPr>
                  <a:solidFill>
                    <a:schemeClr val="accent3"/>
                  </a:solidFill>
                  <a:ln>
                    <a:noFill/>
                  </a:ln>
                  <a:effectLst/>
                </c:spPr>
                <c:invertIfNegative val="0"/>
                <c:cat>
                  <c:numRef>
                    <c:extLst>
                      <c:ext uri="{02D57815-91ED-43cb-92C2-25804820EDAC}">
                        <c15:formulaRef>
                          <c15:sqref>'Dash Data'!$AA$5:$BJ$5</c15:sqref>
                        </c15:formulaRef>
                      </c:ext>
                    </c:extLst>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extLst>
                      <c:ext uri="{02D57815-91ED-43cb-92C2-25804820EDAC}">
                        <c15:formulaRef>
                          <c15:sqref>'Dash Data'!$AA$25:$BJ$25</c15:sqref>
                        </c15:formulaRef>
                      </c:ext>
                    </c:extLst>
                    <c:numCache>
                      <c:formatCode>_-* #,##0_-;* \(#,##0\)_-;_-* "-"??_-;_-@_-</c:formatCode>
                      <c:ptCount val="36"/>
                      <c:pt idx="0">
                        <c:v>77.41935483870968</c:v>
                      </c:pt>
                      <c:pt idx="1">
                        <c:v>40.336134453781519</c:v>
                      </c:pt>
                      <c:pt idx="2">
                        <c:v>32.87671232876712</c:v>
                      </c:pt>
                      <c:pt idx="3">
                        <c:v>28.846153846153847</c:v>
                      </c:pt>
                      <c:pt idx="4">
                        <c:v>34.433285509325678</c:v>
                      </c:pt>
                      <c:pt idx="5">
                        <c:v>36.144578313253014</c:v>
                      </c:pt>
                      <c:pt idx="6">
                        <c:v>46.332046332046332</c:v>
                      </c:pt>
                      <c:pt idx="7">
                        <c:v>30.495552731893266</c:v>
                      </c:pt>
                      <c:pt idx="8">
                        <c:v>37.795275590551178</c:v>
                      </c:pt>
                      <c:pt idx="9">
                        <c:v>23.483365949119374</c:v>
                      </c:pt>
                      <c:pt idx="10">
                        <c:v>25</c:v>
                      </c:pt>
                      <c:pt idx="11">
                        <c:v>29.887920298879202</c:v>
                      </c:pt>
                      <c:pt idx="12">
                        <c:v>68.354430379746844</c:v>
                      </c:pt>
                      <c:pt idx="13">
                        <c:v>44.628099173553714</c:v>
                      </c:pt>
                      <c:pt idx="14">
                        <c:v>36.486486486486484</c:v>
                      </c:pt>
                      <c:pt idx="15">
                        <c:v>32.066508313539195</c:v>
                      </c:pt>
                      <c:pt idx="16">
                        <c:v>35.667107001321007</c:v>
                      </c:pt>
                      <c:pt idx="17">
                        <c:v>37.709497206703915</c:v>
                      </c:pt>
                      <c:pt idx="18">
                        <c:v>34.090909090909093</c:v>
                      </c:pt>
                      <c:pt idx="19">
                        <c:v>31.358885017421606</c:v>
                      </c:pt>
                      <c:pt idx="20">
                        <c:v>33.877038895859471</c:v>
                      </c:pt>
                      <c:pt idx="21">
                        <c:v>28.815368196371399</c:v>
                      </c:pt>
                      <c:pt idx="22">
                        <c:v>31.69014084507042</c:v>
                      </c:pt>
                      <c:pt idx="23">
                        <c:v>37.087912087912088</c:v>
                      </c:pt>
                      <c:pt idx="24">
                        <c:v>62.857424571090512</c:v>
                      </c:pt>
                      <c:pt idx="25">
                        <c:v>41.063463179761342</c:v>
                      </c:pt>
                      <c:pt idx="26">
                        <c:v>33.582458104237318</c:v>
                      </c:pt>
                      <c:pt idx="27">
                        <c:v>29.564360453320194</c:v>
                      </c:pt>
                      <c:pt idx="28">
                        <c:v>32.903225806451609</c:v>
                      </c:pt>
                      <c:pt idx="29">
                        <c:v>34.683731969559929</c:v>
                      </c:pt>
                      <c:pt idx="30">
                        <c:v>31.419805566850258</c:v>
                      </c:pt>
                      <c:pt idx="31">
                        <c:v>28.913859376594516</c:v>
                      </c:pt>
                      <c:pt idx="32">
                        <c:v>31.202393407117818</c:v>
                      </c:pt>
                      <c:pt idx="33">
                        <c:v>26.519405965306376</c:v>
                      </c:pt>
                      <c:pt idx="34">
                        <c:v>29.173697909218316</c:v>
                      </c:pt>
                      <c:pt idx="35">
                        <c:v>34.131063283006739</c:v>
                      </c:pt>
                    </c:numCache>
                  </c:numRef>
                </c:val>
                <c:extLst>
                  <c:ext xmlns:c16="http://schemas.microsoft.com/office/drawing/2014/chart" uri="{C3380CC4-5D6E-409C-BE32-E72D297353CC}">
                    <c16:uniqueId val="{00000002-2C08-4BD0-A534-87841E90B2C7}"/>
                  </c:ext>
                </c:extLst>
              </c15:ser>
            </c15:filteredBarSeries>
          </c:ext>
        </c:extLst>
      </c:barChart>
      <c:lineChart>
        <c:grouping val="standard"/>
        <c:varyColors val="0"/>
        <c:ser>
          <c:idx val="1"/>
          <c:order val="1"/>
          <c:tx>
            <c:strRef>
              <c:f>'Cash Flow Summary'!$D$97</c:f>
              <c:strCache>
                <c:ptCount val="1"/>
                <c:pt idx="0">
                  <c:v>Cash and cash equivalents at end of the period</c:v>
                </c:pt>
              </c:strCache>
            </c:strRef>
          </c:tx>
          <c:spPr>
            <a:ln w="28575" cap="rnd">
              <a:solidFill>
                <a:schemeClr val="tx1"/>
              </a:solidFill>
              <a:round/>
            </a:ln>
            <a:effectLst/>
          </c:spPr>
          <c:marker>
            <c:symbol val="none"/>
          </c:marker>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'Cash Flow Summary'!$AA$97:$BJ$97</c:f>
              <c:numCache>
                <c:formatCode>_-* #,##0_-;* \(#,##0\)_-;_-* "-"??_-;_-@_-</c:formatCode>
                <c:ptCount val="36"/>
                <c:pt idx="0">
                  <c:v>8818</c:v>
                </c:pt>
                <c:pt idx="1">
                  <c:v>10913</c:v>
                </c:pt>
                <c:pt idx="2">
                  <c:v>8982</c:v>
                </c:pt>
                <c:pt idx="3">
                  <c:v>9025</c:v>
                </c:pt>
                <c:pt idx="4">
                  <c:v>8571</c:v>
                </c:pt>
                <c:pt idx="5">
                  <c:v>7986</c:v>
                </c:pt>
                <c:pt idx="6">
                  <c:v>7331</c:v>
                </c:pt>
                <c:pt idx="7">
                  <c:v>5448</c:v>
                </c:pt>
                <c:pt idx="8">
                  <c:v>6886</c:v>
                </c:pt>
                <c:pt idx="9">
                  <c:v>7251</c:v>
                </c:pt>
                <c:pt idx="10">
                  <c:v>7674</c:v>
                </c:pt>
                <c:pt idx="11">
                  <c:v>6441</c:v>
                </c:pt>
                <c:pt idx="12">
                  <c:v>8199</c:v>
                </c:pt>
                <c:pt idx="13">
                  <c:v>8500</c:v>
                </c:pt>
                <c:pt idx="14">
                  <c:v>8354</c:v>
                </c:pt>
                <c:pt idx="15">
                  <c:v>7780</c:v>
                </c:pt>
                <c:pt idx="16">
                  <c:v>6545</c:v>
                </c:pt>
                <c:pt idx="17">
                  <c:v>5319</c:v>
                </c:pt>
                <c:pt idx="18">
                  <c:v>4066</c:v>
                </c:pt>
                <c:pt idx="19">
                  <c:v>2701</c:v>
                </c:pt>
                <c:pt idx="20">
                  <c:v>3780</c:v>
                </c:pt>
                <c:pt idx="21">
                  <c:v>3884</c:v>
                </c:pt>
                <c:pt idx="22">
                  <c:v>3643</c:v>
                </c:pt>
                <c:pt idx="23">
                  <c:v>5491</c:v>
                </c:pt>
                <c:pt idx="24">
                  <c:v>7573.748333333333</c:v>
                </c:pt>
                <c:pt idx="25">
                  <c:v>8517.1049999999996</c:v>
                </c:pt>
                <c:pt idx="26">
                  <c:v>8539.5933333333323</c:v>
                </c:pt>
                <c:pt idx="27">
                  <c:v>7943.98</c:v>
                </c:pt>
                <c:pt idx="28">
                  <c:v>6919.45</c:v>
                </c:pt>
                <c:pt idx="29">
                  <c:v>6077.22</c:v>
                </c:pt>
                <c:pt idx="30">
                  <c:v>4886.4783333333335</c:v>
                </c:pt>
                <c:pt idx="31">
                  <c:v>3893.96</c:v>
                </c:pt>
                <c:pt idx="32">
                  <c:v>5471.338333333334</c:v>
                </c:pt>
                <c:pt idx="33">
                  <c:v>5772.4066666666677</c:v>
                </c:pt>
                <c:pt idx="34">
                  <c:v>5680.6000000000013</c:v>
                </c:pt>
                <c:pt idx="35">
                  <c:v>6340.8100000000013</c:v>
                </c:pt>
              </c:numCache>
            </c:numRef>
          </c:val>
          <c:smooth val="0"/>
          <c:extLst>
            <c:ext xmlns:c16="http://schemas.microsoft.com/office/drawing/2014/chart" uri="{C3380CC4-5D6E-409C-BE32-E72D297353CC}">
              <c16:uniqueId val="{00000001-2C08-4BD0-A534-87841E90B2C7}"/>
            </c:ext>
          </c:extLst>
        </c:ser>
        <c:dLbls>
          <c:showLegendKey val="0"/>
          <c:showVal val="0"/>
          <c:showCatName val="0"/>
          <c:showSerName val="0"/>
          <c:showPercent val="0"/>
          <c:showBubbleSize val="0"/>
        </c:dLbls>
        <c:marker val="1"/>
        <c:smooth val="0"/>
        <c:axId val="1670830399"/>
        <c:axId val="1667792079"/>
      </c:lineChart>
      <c:dateAx>
        <c:axId val="153430417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0"/>
        <c:lblOffset val="100"/>
        <c:baseTimeUnit val="months"/>
        <c:majorUnit val="2"/>
        <c:majorTimeUnit val="months"/>
      </c:date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At val="1"/>
        <c:crossBetween val="between"/>
      </c:valAx>
      <c:valAx>
        <c:axId val="166779207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830399"/>
        <c:crosses val="max"/>
        <c:crossBetween val="between"/>
      </c:valAx>
      <c:dateAx>
        <c:axId val="1670830399"/>
        <c:scaling>
          <c:orientation val="minMax"/>
        </c:scaling>
        <c:delete val="1"/>
        <c:axPos val="b"/>
        <c:numFmt formatCode="d\-mmm\-yy" sourceLinked="1"/>
        <c:majorTickMark val="out"/>
        <c:minorTickMark val="none"/>
        <c:tickLblPos val="nextTo"/>
        <c:crossAx val="1667792079"/>
        <c:crosses val="autoZero"/>
        <c:auto val="1"/>
        <c:lblOffset val="100"/>
        <c:baseTimeUnit val="month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Working</a:t>
            </a:r>
            <a:r>
              <a:rPr lang="en-US" baseline="0"/>
              <a:t> Capital Accounts - monthly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 Data'!$D$16</c:f>
              <c:strCache>
                <c:ptCount val="1"/>
                <c:pt idx="0">
                  <c:v>Trade Receivables</c:v>
                </c:pt>
              </c:strCache>
            </c:strRef>
          </c:tx>
          <c:spPr>
            <a:ln w="28575" cap="rnd">
              <a:solidFill>
                <a:schemeClr val="accent1"/>
              </a:solidFill>
              <a:round/>
            </a:ln>
            <a:effectLst/>
          </c:spPr>
          <c:marker>
            <c:symbol val="none"/>
          </c:marker>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'Dash Data'!$AA$16:$BJ$16</c:f>
              <c:numCache>
                <c:formatCode>_-* #,##0_-;* \(#,##0\)_-;_-* "-"??_-;_-@_-</c:formatCode>
                <c:ptCount val="36"/>
                <c:pt idx="0">
                  <c:v>1000</c:v>
                </c:pt>
                <c:pt idx="1">
                  <c:v>1300</c:v>
                </c:pt>
                <c:pt idx="2">
                  <c:v>1300</c:v>
                </c:pt>
                <c:pt idx="3">
                  <c:v>1300</c:v>
                </c:pt>
                <c:pt idx="4">
                  <c:v>1200</c:v>
                </c:pt>
                <c:pt idx="5">
                  <c:v>1200</c:v>
                </c:pt>
                <c:pt idx="6">
                  <c:v>1200</c:v>
                </c:pt>
                <c:pt idx="7">
                  <c:v>1200</c:v>
                </c:pt>
                <c:pt idx="8">
                  <c:v>1200</c:v>
                </c:pt>
                <c:pt idx="9">
                  <c:v>1200</c:v>
                </c:pt>
                <c:pt idx="10">
                  <c:v>1150</c:v>
                </c:pt>
                <c:pt idx="11">
                  <c:v>1125</c:v>
                </c:pt>
                <c:pt idx="12">
                  <c:v>1125</c:v>
                </c:pt>
                <c:pt idx="13">
                  <c:v>1250</c:v>
                </c:pt>
                <c:pt idx="14">
                  <c:v>1250</c:v>
                </c:pt>
                <c:pt idx="15">
                  <c:v>1250</c:v>
                </c:pt>
                <c:pt idx="16">
                  <c:v>1250</c:v>
                </c:pt>
                <c:pt idx="17">
                  <c:v>1250</c:v>
                </c:pt>
                <c:pt idx="18">
                  <c:v>1150</c:v>
                </c:pt>
                <c:pt idx="19">
                  <c:v>1150</c:v>
                </c:pt>
                <c:pt idx="20">
                  <c:v>1150</c:v>
                </c:pt>
                <c:pt idx="21">
                  <c:v>1150</c:v>
                </c:pt>
                <c:pt idx="22">
                  <c:v>1150</c:v>
                </c:pt>
                <c:pt idx="23">
                  <c:v>1150</c:v>
                </c:pt>
                <c:pt idx="24">
                  <c:v>1150</c:v>
                </c:pt>
                <c:pt idx="25">
                  <c:v>1250</c:v>
                </c:pt>
                <c:pt idx="26">
                  <c:v>1250</c:v>
                </c:pt>
                <c:pt idx="27">
                  <c:v>1250</c:v>
                </c:pt>
                <c:pt idx="28">
                  <c:v>1250</c:v>
                </c:pt>
                <c:pt idx="29">
                  <c:v>1200</c:v>
                </c:pt>
                <c:pt idx="30">
                  <c:v>1200</c:v>
                </c:pt>
                <c:pt idx="31">
                  <c:v>1200</c:v>
                </c:pt>
                <c:pt idx="32">
                  <c:v>1100</c:v>
                </c:pt>
                <c:pt idx="33">
                  <c:v>1100</c:v>
                </c:pt>
                <c:pt idx="34">
                  <c:v>1100</c:v>
                </c:pt>
                <c:pt idx="35">
                  <c:v>1100</c:v>
                </c:pt>
              </c:numCache>
            </c:numRef>
          </c:val>
          <c:smooth val="0"/>
          <c:extLst>
            <c:ext xmlns:c16="http://schemas.microsoft.com/office/drawing/2014/chart" uri="{C3380CC4-5D6E-409C-BE32-E72D297353CC}">
              <c16:uniqueId val="{00000000-E1B3-4DFD-A1E6-33634C0AB82A}"/>
            </c:ext>
          </c:extLst>
        </c:ser>
        <c:ser>
          <c:idx val="1"/>
          <c:order val="1"/>
          <c:tx>
            <c:strRef>
              <c:f>'Dash Data'!$D$13</c:f>
              <c:strCache>
                <c:ptCount val="1"/>
                <c:pt idx="0">
                  <c:v>Stock</c:v>
                </c:pt>
              </c:strCache>
            </c:strRef>
          </c:tx>
          <c:spPr>
            <a:ln w="28575" cap="rnd">
              <a:solidFill>
                <a:schemeClr val="accent2"/>
              </a:solidFill>
              <a:round/>
            </a:ln>
            <a:effectLst/>
          </c:spPr>
          <c:marker>
            <c:symbol val="none"/>
          </c:marker>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'Dash Data'!$AA$13:$BJ$13</c:f>
              <c:numCache>
                <c:formatCode>_-* #,##0_-;* \(#,##0\)_-;_-* "-"??_-;_-@_-</c:formatCode>
                <c:ptCount val="36"/>
                <c:pt idx="0">
                  <c:v>26</c:v>
                </c:pt>
                <c:pt idx="1">
                  <c:v>26</c:v>
                </c:pt>
                <c:pt idx="2">
                  <c:v>26</c:v>
                </c:pt>
                <c:pt idx="3">
                  <c:v>26</c:v>
                </c:pt>
                <c:pt idx="4">
                  <c:v>26</c:v>
                </c:pt>
                <c:pt idx="5">
                  <c:v>26</c:v>
                </c:pt>
                <c:pt idx="6">
                  <c:v>26</c:v>
                </c:pt>
                <c:pt idx="7">
                  <c:v>26</c:v>
                </c:pt>
                <c:pt idx="8">
                  <c:v>26</c:v>
                </c:pt>
                <c:pt idx="9">
                  <c:v>26</c:v>
                </c:pt>
                <c:pt idx="10">
                  <c:v>26</c:v>
                </c:pt>
                <c:pt idx="11">
                  <c:v>26</c:v>
                </c:pt>
                <c:pt idx="12">
                  <c:v>26</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numCache>
            </c:numRef>
          </c:val>
          <c:smooth val="0"/>
          <c:extLst>
            <c:ext xmlns:c16="http://schemas.microsoft.com/office/drawing/2014/chart" uri="{C3380CC4-5D6E-409C-BE32-E72D297353CC}">
              <c16:uniqueId val="{00000002-E1B3-4DFD-A1E6-33634C0AB82A}"/>
            </c:ext>
          </c:extLst>
        </c:ser>
        <c:ser>
          <c:idx val="2"/>
          <c:order val="2"/>
          <c:tx>
            <c:strRef>
              <c:f>'Dash Data'!$D$19</c:f>
              <c:strCache>
                <c:ptCount val="1"/>
                <c:pt idx="0">
                  <c:v>Trade Payables</c:v>
                </c:pt>
              </c:strCache>
            </c:strRef>
          </c:tx>
          <c:spPr>
            <a:ln w="28575" cap="rnd">
              <a:solidFill>
                <a:schemeClr val="accent3"/>
              </a:solidFill>
              <a:round/>
            </a:ln>
            <a:effectLst/>
          </c:spPr>
          <c:marker>
            <c:symbol val="none"/>
          </c:marker>
          <c:val>
            <c:numRef>
              <c:f>'Dash Data'!$AA$19:$BJ$19</c:f>
              <c:numCache>
                <c:formatCode>_-* #,##0_-;* \(#,##0\)_-;_-* "-"??_-;_-@_-</c:formatCode>
                <c:ptCount val="36"/>
                <c:pt idx="0">
                  <c:v>800</c:v>
                </c:pt>
                <c:pt idx="1">
                  <c:v>800</c:v>
                </c:pt>
                <c:pt idx="2">
                  <c:v>800</c:v>
                </c:pt>
                <c:pt idx="3">
                  <c:v>800</c:v>
                </c:pt>
                <c:pt idx="4">
                  <c:v>800</c:v>
                </c:pt>
                <c:pt idx="5">
                  <c:v>800</c:v>
                </c:pt>
                <c:pt idx="6">
                  <c:v>800</c:v>
                </c:pt>
                <c:pt idx="7">
                  <c:v>800</c:v>
                </c:pt>
                <c:pt idx="8">
                  <c:v>800</c:v>
                </c:pt>
                <c:pt idx="9">
                  <c:v>800</c:v>
                </c:pt>
                <c:pt idx="10">
                  <c:v>800</c:v>
                </c:pt>
                <c:pt idx="11">
                  <c:v>800</c:v>
                </c:pt>
                <c:pt idx="12">
                  <c:v>900</c:v>
                </c:pt>
                <c:pt idx="13">
                  <c:v>900</c:v>
                </c:pt>
                <c:pt idx="14">
                  <c:v>900</c:v>
                </c:pt>
                <c:pt idx="15">
                  <c:v>900</c:v>
                </c:pt>
                <c:pt idx="16">
                  <c:v>900</c:v>
                </c:pt>
                <c:pt idx="17">
                  <c:v>900</c:v>
                </c:pt>
                <c:pt idx="18">
                  <c:v>900</c:v>
                </c:pt>
                <c:pt idx="19">
                  <c:v>900</c:v>
                </c:pt>
                <c:pt idx="20">
                  <c:v>900</c:v>
                </c:pt>
                <c:pt idx="21">
                  <c:v>900</c:v>
                </c:pt>
                <c:pt idx="22">
                  <c:v>900</c:v>
                </c:pt>
                <c:pt idx="23">
                  <c:v>900</c:v>
                </c:pt>
                <c:pt idx="24">
                  <c:v>850</c:v>
                </c:pt>
                <c:pt idx="25">
                  <c:v>850</c:v>
                </c:pt>
                <c:pt idx="26">
                  <c:v>850</c:v>
                </c:pt>
                <c:pt idx="27">
                  <c:v>850</c:v>
                </c:pt>
                <c:pt idx="28">
                  <c:v>850</c:v>
                </c:pt>
                <c:pt idx="29">
                  <c:v>850</c:v>
                </c:pt>
                <c:pt idx="30">
                  <c:v>850</c:v>
                </c:pt>
                <c:pt idx="31">
                  <c:v>850</c:v>
                </c:pt>
                <c:pt idx="32">
                  <c:v>850</c:v>
                </c:pt>
                <c:pt idx="33">
                  <c:v>850</c:v>
                </c:pt>
                <c:pt idx="34">
                  <c:v>850</c:v>
                </c:pt>
                <c:pt idx="35">
                  <c:v>850</c:v>
                </c:pt>
              </c:numCache>
            </c:numRef>
          </c:val>
          <c:smooth val="0"/>
          <c:extLst>
            <c:ext xmlns:c16="http://schemas.microsoft.com/office/drawing/2014/chart" uri="{C3380CC4-5D6E-409C-BE32-E72D297353CC}">
              <c16:uniqueId val="{00000003-E1B3-4DFD-A1E6-33634C0AB82A}"/>
            </c:ext>
          </c:extLst>
        </c:ser>
        <c:dLbls>
          <c:showLegendKey val="0"/>
          <c:showVal val="0"/>
          <c:showCatName val="0"/>
          <c:showSerName val="0"/>
          <c:showPercent val="0"/>
          <c:showBubbleSize val="0"/>
        </c:dLbls>
        <c:smooth val="0"/>
        <c:axId val="1554178239"/>
        <c:axId val="319540095"/>
        <c:extLst>
          <c:ext xmlns:c15="http://schemas.microsoft.com/office/drawing/2012/chart" uri="{02D57815-91ED-43cb-92C2-25804820EDAC}">
            <c15:filteredLineSeries>
              <c15:ser>
                <c:idx val="3"/>
                <c:order val="3"/>
                <c:tx>
                  <c:strRef>
                    <c:extLst>
                      <c:ext uri="{02D57815-91ED-43cb-92C2-25804820EDAC}">
                        <c15:formulaRef>
                          <c15:sqref>'Dash Data'!$D$21</c15:sqref>
                        </c15:formulaRef>
                      </c:ext>
                    </c:extLst>
                    <c:strCache>
                      <c:ptCount val="1"/>
                      <c:pt idx="0">
                        <c:v>Other Liabilities (positive)</c:v>
                      </c:pt>
                    </c:strCache>
                  </c:strRef>
                </c:tx>
                <c:spPr>
                  <a:ln w="28575" cap="rnd">
                    <a:solidFill>
                      <a:schemeClr val="accent4"/>
                    </a:solidFill>
                    <a:round/>
                  </a:ln>
                  <a:effectLst/>
                </c:spPr>
                <c:marker>
                  <c:symbol val="none"/>
                </c:marker>
                <c:val>
                  <c:numRef>
                    <c:extLst>
                      <c:ext uri="{02D57815-91ED-43cb-92C2-25804820EDAC}">
                        <c15:formulaRef>
                          <c15:sqref>'Dash Data'!$AA$21:$BJ$21</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4-E1B3-4DFD-A1E6-33634C0AB82A}"/>
                  </c:ext>
                </c:extLst>
              </c15:ser>
            </c15:filteredLineSeries>
          </c:ext>
        </c:extLst>
      </c:lineChart>
      <c:dateAx>
        <c:axId val="15541782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40095"/>
        <c:crosses val="autoZero"/>
        <c:auto val="1"/>
        <c:lblOffset val="100"/>
        <c:baseTimeUnit val="months"/>
      </c:dateAx>
      <c:valAx>
        <c:axId val="319540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78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Cash days and WC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cash days in hand</c:v>
                </c:pt>
              </c:strCache>
            </c:strRef>
          </c:tx>
          <c:spPr>
            <a:solidFill>
              <a:schemeClr val="accent1"/>
            </a:solidFill>
            <a:ln>
              <a:noFill/>
            </a:ln>
            <a:effectLst/>
          </c:spPr>
          <c:invertIfNegative val="0"/>
          <c:cat>
            <c:strRef>
              <c:f>'Dash Data'!$V$3:$Y$3</c:f>
              <c:strCache>
                <c:ptCount val="4"/>
                <c:pt idx="0">
                  <c:v> FY2020 </c:v>
                </c:pt>
                <c:pt idx="1">
                  <c:v> FY2021 </c:v>
                </c:pt>
                <c:pt idx="2">
                  <c:v> FY2022 </c:v>
                </c:pt>
                <c:pt idx="3">
                  <c:v> FY2023 </c:v>
                </c:pt>
              </c:strCache>
            </c:strRef>
          </c:cat>
          <c:val>
            <c:numRef>
              <c:f>'Dash Data'!$V$23:$Y$23</c:f>
              <c:numCache>
                <c:formatCode>_-* #,##0_-;* \(#,##0\)_-;_-* "-"??_-;_-@_-</c:formatCode>
                <c:ptCount val="4"/>
                <c:pt idx="0">
                  <c:v>0</c:v>
                </c:pt>
                <c:pt idx="1">
                  <c:v>146.54175959393984</c:v>
                </c:pt>
                <c:pt idx="2">
                  <c:v>123.04741442632584</c:v>
                </c:pt>
                <c:pt idx="3">
                  <c:v>130.53428966542288</c:v>
                </c:pt>
              </c:numCache>
            </c:numRef>
          </c:val>
          <c:extLst>
            <c:ext xmlns:c16="http://schemas.microsoft.com/office/drawing/2014/chart" uri="{C3380CC4-5D6E-409C-BE32-E72D297353CC}">
              <c16:uniqueId val="{00000000-9278-4AE7-9E0F-F85D6E449825}"/>
            </c:ext>
          </c:extLst>
        </c:ser>
        <c:ser>
          <c:idx val="1"/>
          <c:order val="1"/>
          <c:tx>
            <c:strRef>
              <c:f>'Dash Data'!$D$24</c:f>
              <c:strCache>
                <c:ptCount val="1"/>
                <c:pt idx="0">
                  <c:v>Trade debtor days -excluding funding body grants</c:v>
                </c:pt>
              </c:strCache>
            </c:strRef>
          </c:tx>
          <c:spPr>
            <a:solidFill>
              <a:schemeClr val="accent2"/>
            </a:solidFill>
            <a:ln>
              <a:noFill/>
            </a:ln>
            <a:effectLst/>
          </c:spPr>
          <c:invertIfNegative val="0"/>
          <c:cat>
            <c:strRef>
              <c:f>'Dash Data'!$V$3:$Y$3</c:f>
              <c:strCache>
                <c:ptCount val="4"/>
                <c:pt idx="0">
                  <c:v> FY2020 </c:v>
                </c:pt>
                <c:pt idx="1">
                  <c:v> FY2021 </c:v>
                </c:pt>
                <c:pt idx="2">
                  <c:v> FY2022 </c:v>
                </c:pt>
                <c:pt idx="3">
                  <c:v> FY2023 </c:v>
                </c:pt>
              </c:strCache>
            </c:strRef>
          </c:cat>
          <c:val>
            <c:numRef>
              <c:f>'Dash Data'!$V$24:$Y$24</c:f>
              <c:numCache>
                <c:formatCode>_-* #,##0_-;* \(#,##0\)_-;_-* "-"??_-;_-@_-</c:formatCode>
                <c:ptCount val="4"/>
                <c:pt idx="0">
                  <c:v>0</c:v>
                </c:pt>
                <c:pt idx="1">
                  <c:v>110.85988120950324</c:v>
                </c:pt>
                <c:pt idx="2">
                  <c:v>121.3150289017341</c:v>
                </c:pt>
                <c:pt idx="3">
                  <c:v>114.37996940371428</c:v>
                </c:pt>
              </c:numCache>
            </c:numRef>
          </c:val>
          <c:extLst>
            <c:ext xmlns:c16="http://schemas.microsoft.com/office/drawing/2014/chart" uri="{C3380CC4-5D6E-409C-BE32-E72D297353CC}">
              <c16:uniqueId val="{00000001-9278-4AE7-9E0F-F85D6E449825}"/>
            </c:ext>
          </c:extLst>
        </c:ser>
        <c:ser>
          <c:idx val="2"/>
          <c:order val="2"/>
          <c:tx>
            <c:strRef>
              <c:f>'Dash Data'!$D$25</c:f>
              <c:strCache>
                <c:ptCount val="1"/>
                <c:pt idx="0">
                  <c:v>Trade creditors days - non-pay expenditure</c:v>
                </c:pt>
              </c:strCache>
            </c:strRef>
          </c:tx>
          <c:spPr>
            <a:solidFill>
              <a:schemeClr val="accent3"/>
            </a:solidFill>
            <a:ln>
              <a:noFill/>
            </a:ln>
            <a:effectLst/>
          </c:spPr>
          <c:invertIfNegative val="0"/>
          <c:cat>
            <c:strRef>
              <c:f>'Dash Data'!$V$3:$Y$3</c:f>
              <c:strCache>
                <c:ptCount val="4"/>
                <c:pt idx="0">
                  <c:v> FY2020 </c:v>
                </c:pt>
                <c:pt idx="1">
                  <c:v> FY2021 </c:v>
                </c:pt>
                <c:pt idx="2">
                  <c:v> FY2022 </c:v>
                </c:pt>
                <c:pt idx="3">
                  <c:v> FY2023 </c:v>
                </c:pt>
              </c:strCache>
            </c:strRef>
          </c:cat>
          <c:val>
            <c:numRef>
              <c:f>'Dash Data'!$V$25:$Y$25</c:f>
              <c:numCache>
                <c:formatCode>_-* #,##0_-;* \(#,##0\)_-;_-* "-"??_-;_-@_-</c:formatCode>
                <c:ptCount val="4"/>
                <c:pt idx="0">
                  <c:v>0</c:v>
                </c:pt>
                <c:pt idx="1">
                  <c:v>34.140067812463464</c:v>
                </c:pt>
                <c:pt idx="2">
                  <c:v>36.410995344712923</c:v>
                </c:pt>
                <c:pt idx="3">
                  <c:v>33.532365893503801</c:v>
                </c:pt>
              </c:numCache>
            </c:numRef>
          </c:val>
          <c:extLst>
            <c:ext xmlns:c16="http://schemas.microsoft.com/office/drawing/2014/chart" uri="{C3380CC4-5D6E-409C-BE32-E72D297353CC}">
              <c16:uniqueId val="{00000002-9278-4AE7-9E0F-F85D6E449825}"/>
            </c:ext>
          </c:extLst>
        </c:ser>
        <c:dLbls>
          <c:showLegendKey val="0"/>
          <c:showVal val="0"/>
          <c:showCatName val="0"/>
          <c:showSerName val="0"/>
          <c:showPercent val="0"/>
          <c:showBubbleSize val="0"/>
        </c:dLbls>
        <c:gapWidth val="219"/>
        <c:overlap val="-27"/>
        <c:axId val="1534304175"/>
        <c:axId val="1344392847"/>
      </c:barChart>
      <c:catAx>
        <c:axId val="1534304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1"/>
        <c:lblAlgn val="ctr"/>
        <c:lblOffset val="100"/>
        <c:noMultiLvlLbl val="0"/>
      </c:cat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Education-specific</a:t>
            </a:r>
            <a:r>
              <a:rPr lang="en-GB" baseline="0"/>
              <a:t> </a:t>
            </a:r>
            <a:r>
              <a:rPr lang="en-GB"/>
              <a:t>EBITDA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Data'!$D$35</c:f>
              <c:strCache>
                <c:ptCount val="1"/>
                <c:pt idx="0">
                  <c:v>EBITDA as a % of adjusted income - education specific</c:v>
                </c:pt>
              </c:strCache>
            </c:strRef>
          </c:tx>
          <c:spPr>
            <a:solidFill>
              <a:schemeClr val="accent1"/>
            </a:solidFill>
            <a:ln>
              <a:noFill/>
            </a:ln>
            <a:effectLst/>
          </c:spPr>
          <c:invertIfNegative val="0"/>
          <c:cat>
            <c:strRef>
              <c:f>'Dash Data'!$V$3:$Y$3</c:f>
              <c:strCache>
                <c:ptCount val="4"/>
                <c:pt idx="0">
                  <c:v> FY2020 </c:v>
                </c:pt>
                <c:pt idx="1">
                  <c:v> FY2021 </c:v>
                </c:pt>
                <c:pt idx="2">
                  <c:v> FY2022 </c:v>
                </c:pt>
                <c:pt idx="3">
                  <c:v> FY2023 </c:v>
                </c:pt>
              </c:strCache>
            </c:strRef>
          </c:cat>
          <c:val>
            <c:numRef>
              <c:f>'Dash Data'!$V$35:$Y$35</c:f>
              <c:numCache>
                <c:formatCode>0%</c:formatCode>
                <c:ptCount val="4"/>
                <c:pt idx="0">
                  <c:v>0</c:v>
                </c:pt>
                <c:pt idx="1">
                  <c:v>7.2641475708719122E-2</c:v>
                </c:pt>
                <c:pt idx="2">
                  <c:v>7.0342792437291968E-2</c:v>
                </c:pt>
                <c:pt idx="3">
                  <c:v>7.2259524115815529E-2</c:v>
                </c:pt>
              </c:numCache>
            </c:numRef>
          </c:val>
          <c:extLst>
            <c:ext xmlns:c16="http://schemas.microsoft.com/office/drawing/2014/chart" uri="{C3380CC4-5D6E-409C-BE32-E72D297353CC}">
              <c16:uniqueId val="{00000003-BB03-4338-915C-966F92C455B9}"/>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c:ext uri="{02D57815-91ED-43cb-92C2-25804820EDAC}">
                        <c15:formulaRef>
                          <c15:sqref>'Dash Data'!$W$32:$Y$32</c15:sqref>
                        </c15:formulaRef>
                      </c:ext>
                    </c:extLst>
                    <c:numCache>
                      <c:formatCode>0%</c:formatCode>
                      <c:ptCount val="3"/>
                      <c:pt idx="0">
                        <c:v>8.9407643084402813E-2</c:v>
                      </c:pt>
                      <c:pt idx="1">
                        <c:v>8.79799608825447E-2</c:v>
                      </c:pt>
                      <c:pt idx="2">
                        <c:v>9.1240110399865487E-2</c:v>
                      </c:pt>
                    </c:numCache>
                  </c:numRef>
                </c:val>
                <c:extLst>
                  <c:ext xmlns:c16="http://schemas.microsoft.com/office/drawing/2014/chart" uri="{C3380CC4-5D6E-409C-BE32-E72D297353CC}">
                    <c16:uniqueId val="{00000000-BB03-4338-915C-966F92C455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'Dash Data'!$D$39</c15:sqref>
                        </c15:formulaRef>
                      </c:ext>
                    </c:extLst>
                    <c:strCache>
                      <c:ptCount val="1"/>
                      <c:pt idx="0">
                        <c:v>Adjusted Operating Ratio</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xmlns:c15="http://schemas.microsoft.com/office/drawing/2012/chart">
                      <c:ext xmlns:c15="http://schemas.microsoft.com/office/drawing/2012/chart" uri="{02D57815-91ED-43cb-92C2-25804820EDAC}">
                        <c15:formulaRef>
                          <c15:sqref>'Dash Data'!$V$39:$Y$39</c15:sqref>
                        </c15:formulaRef>
                      </c:ext>
                    </c:extLst>
                    <c:numCache>
                      <c:formatCode>0%</c:formatCode>
                      <c:ptCount val="4"/>
                      <c:pt idx="0">
                        <c:v>0</c:v>
                      </c:pt>
                      <c:pt idx="1">
                        <c:v>1.5729453401494297E-2</c:v>
                      </c:pt>
                      <c:pt idx="2">
                        <c:v>1.4960710976906976E-2</c:v>
                      </c:pt>
                      <c:pt idx="3">
                        <c:v>1.8010282757550147E-2</c:v>
                      </c:pt>
                    </c:numCache>
                  </c:numRef>
                </c:val>
                <c:extLst xmlns:c15="http://schemas.microsoft.com/office/drawing/2012/chart">
                  <c:ext xmlns:c16="http://schemas.microsoft.com/office/drawing/2014/chart" uri="{C3380CC4-5D6E-409C-BE32-E72D297353CC}">
                    <c16:uniqueId val="{00000004-BB03-4338-915C-966F92C455B9}"/>
                  </c:ext>
                </c:extLst>
              </c15:ser>
            </c15:filteredBarSeries>
          </c:ext>
        </c:extLst>
      </c:barChart>
      <c:lineChart>
        <c:grouping val="standard"/>
        <c:varyColors val="0"/>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accent2">
                        <a:lumMod val="75000"/>
                      </a:schemeClr>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6-BB03-4338-915C-966F92C455B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'Dash Data'!$D$40</c15:sqref>
                        </c15:formulaRef>
                      </c:ext>
                    </c:extLst>
                    <c:strCache>
                      <c:ptCount val="1"/>
                      <c:pt idx="0">
                        <c:v>Adj. Operating Income Ratio FEC Benchmark</c:v>
                      </c:pt>
                    </c:strCache>
                  </c:strRef>
                </c:tx>
                <c:spPr>
                  <a:ln w="28575" cap="rnd">
                    <a:solidFill>
                      <a:schemeClr val="accent2">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'Dash Data'!$V$40:$Y$40</c15:sqref>
                        </c15:formulaRef>
                      </c:ext>
                    </c:extLst>
                    <c:numCache>
                      <c:formatCode>0%</c:formatCode>
                      <c:ptCount val="4"/>
                      <c:pt idx="0">
                        <c:v>0.01</c:v>
                      </c:pt>
                      <c:pt idx="1">
                        <c:v>0.01</c:v>
                      </c:pt>
                      <c:pt idx="2">
                        <c:v>0.01</c:v>
                      </c:pt>
                      <c:pt idx="3">
                        <c:v>0.01</c:v>
                      </c:pt>
                    </c:numCache>
                  </c:numRef>
                </c:val>
                <c:smooth val="0"/>
                <c:extLst xmlns:c15="http://schemas.microsoft.com/office/drawing/2012/chart">
                  <c:ext xmlns:c16="http://schemas.microsoft.com/office/drawing/2014/chart" uri="{C3380CC4-5D6E-409C-BE32-E72D297353CC}">
                    <c16:uniqueId val="{00000007-BB03-4338-915C-966F92C455B9}"/>
                  </c:ext>
                </c:extLst>
              </c15:ser>
            </c15:filteredLineSeries>
          </c:ext>
        </c:extLst>
      </c:lineChart>
      <c:lineChart>
        <c:grouping val="standard"/>
        <c:varyColors val="0"/>
        <c:ser>
          <c:idx val="8"/>
          <c:order val="8"/>
          <c:tx>
            <c:strRef>
              <c:f>'Dash Data'!$D$36</c:f>
              <c:strCache>
                <c:ptCount val="1"/>
                <c:pt idx="0">
                  <c:v>EBITDA as a % of income College Benchmark</c:v>
                </c:pt>
              </c:strCache>
            </c:strRef>
          </c:tx>
          <c:spPr>
            <a:ln w="28575" cap="rnd">
              <a:solidFill>
                <a:schemeClr val="bg1">
                  <a:lumMod val="75000"/>
                </a:schemeClr>
              </a:solidFill>
              <a:round/>
            </a:ln>
            <a:effectLst/>
          </c:spPr>
          <c:marker>
            <c:symbol val="none"/>
          </c:marker>
          <c:val>
            <c:numRef>
              <c:f>'Dash Data'!$V$36:$Y$36</c:f>
              <c:numCache>
                <c:formatCode>0%</c:formatCode>
                <c:ptCount val="4"/>
                <c:pt idx="0">
                  <c:v>0</c:v>
                </c:pt>
                <c:pt idx="1">
                  <c:v>0</c:v>
                </c:pt>
                <c:pt idx="2">
                  <c:v>0</c:v>
                </c:pt>
                <c:pt idx="3">
                  <c:v>0</c:v>
                </c:pt>
              </c:numCache>
            </c:numRef>
          </c:val>
          <c:smooth val="1"/>
          <c:extLst>
            <c:ext xmlns:c16="http://schemas.microsoft.com/office/drawing/2014/chart" uri="{C3380CC4-5D6E-409C-BE32-E72D297353CC}">
              <c16:uniqueId val="{00000002-0F36-4E80-8497-F33680FAAF2F}"/>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FY2021 </c:v>
                      </c:pt>
                      <c:pt idx="1">
                        <c:v> FY2022 </c:v>
                      </c:pt>
                      <c:pt idx="2">
                        <c:v> FY2023 </c:v>
                      </c:pt>
                    </c:strCache>
                  </c:strRef>
                </c:cat>
                <c:val>
                  <c:numRef>
                    <c:extLst>
                      <c:ext uri="{02D57815-91ED-43cb-92C2-25804820EDAC}">
                        <c15:formulaRef>
                          <c15:sqref>'Dash Data'!$V$31:$Y$31</c15:sqref>
                        </c15:formulaRef>
                      </c:ext>
                    </c:extLst>
                    <c:numCache>
                      <c:formatCode>_-* #,##0_-;* \(#,##0\)_-;_-* "-"??_-;_-@_-</c:formatCode>
                      <c:ptCount val="4"/>
                      <c:pt idx="0">
                        <c:v>0</c:v>
                      </c:pt>
                      <c:pt idx="1">
                        <c:v>2501</c:v>
                      </c:pt>
                      <c:pt idx="2">
                        <c:v>2564</c:v>
                      </c:pt>
                      <c:pt idx="3">
                        <c:v>2744.8100000000013</c:v>
                      </c:pt>
                    </c:numCache>
                  </c:numRef>
                </c:val>
                <c:smooth val="0"/>
                <c:extLst>
                  <c:ext xmlns:c16="http://schemas.microsoft.com/office/drawing/2014/chart" uri="{C3380CC4-5D6E-409C-BE32-E72D297353CC}">
                    <c16:uniqueId val="{00000001-BB03-4338-915C-966F92C455B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FY2021 </c:v>
                      </c:pt>
                      <c:pt idx="1">
                        <c:v> FY2022 </c:v>
                      </c:pt>
                      <c:pt idx="2">
                        <c:v> FY2023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2032</c:v>
                      </c:pt>
                      <c:pt idx="2">
                        <c:v>2050</c:v>
                      </c:pt>
                      <c:pt idx="3">
                        <c:v>2173.8100000000013</c:v>
                      </c:pt>
                    </c:numCache>
                  </c:numRef>
                </c:val>
                <c:smooth val="0"/>
                <c:extLst xmlns:c15="http://schemas.microsoft.com/office/drawing/2012/chart">
                  <c:ext xmlns:c16="http://schemas.microsoft.com/office/drawing/2014/chart" uri="{C3380CC4-5D6E-409C-BE32-E72D297353CC}">
                    <c16:uniqueId val="{00000002-BB03-4338-915C-966F92C455B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FY2021 </c:v>
                      </c:pt>
                      <c:pt idx="1">
                        <c:v> FY2022 </c:v>
                      </c:pt>
                      <c:pt idx="2">
                        <c:v> FY2023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440</c:v>
                      </c:pt>
                      <c:pt idx="2">
                        <c:v>436</c:v>
                      </c:pt>
                      <c:pt idx="3">
                        <c:v>541.81000000000131</c:v>
                      </c:pt>
                    </c:numCache>
                  </c:numRef>
                </c:val>
                <c:smooth val="0"/>
                <c:extLst xmlns:c15="http://schemas.microsoft.com/office/drawing/2012/chart">
                  <c:ext xmlns:c16="http://schemas.microsoft.com/office/drawing/2014/chart" uri="{C3380CC4-5D6E-409C-BE32-E72D297353CC}">
                    <c16:uniqueId val="{00000005-BB03-4338-915C-966F92C455B9}"/>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Operating Surplus/Deficit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'Dash Data'!$D$39</c:f>
              <c:strCache>
                <c:ptCount val="1"/>
                <c:pt idx="0">
                  <c:v>Adjusted Operating Ratio</c:v>
                </c:pt>
              </c:strCache>
              <c:extLst xmlns:c15="http://schemas.microsoft.com/office/drawing/2012/chart"/>
            </c:strRef>
          </c:tx>
          <c:spPr>
            <a:solidFill>
              <a:schemeClr val="accent1"/>
            </a:solidFill>
            <a:ln>
              <a:noFill/>
            </a:ln>
            <a:effectLst/>
          </c:spPr>
          <c:invertIfNegative val="0"/>
          <c:cat>
            <c:strRef>
              <c:f>'Dash Data'!$V$3:$Y$3</c:f>
              <c:strCache>
                <c:ptCount val="4"/>
                <c:pt idx="0">
                  <c:v> FY2020 </c:v>
                </c:pt>
                <c:pt idx="1">
                  <c:v> FY2021 </c:v>
                </c:pt>
                <c:pt idx="2">
                  <c:v> FY2022 </c:v>
                </c:pt>
                <c:pt idx="3">
                  <c:v> FY2023 </c:v>
                </c:pt>
              </c:strCache>
            </c:strRef>
          </c:cat>
          <c:val>
            <c:numRef>
              <c:f>'Dash Data'!$V$39:$Y$39</c:f>
              <c:numCache>
                <c:formatCode>0%</c:formatCode>
                <c:ptCount val="4"/>
                <c:pt idx="0">
                  <c:v>0</c:v>
                </c:pt>
                <c:pt idx="1">
                  <c:v>1.5729453401494297E-2</c:v>
                </c:pt>
                <c:pt idx="2">
                  <c:v>1.4960710976906976E-2</c:v>
                </c:pt>
                <c:pt idx="3">
                  <c:v>1.8010282757550147E-2</c:v>
                </c:pt>
              </c:numCache>
              <c:extLst xmlns:c15="http://schemas.microsoft.com/office/drawing/2012/chart"/>
            </c:numRef>
          </c:val>
          <c:extLst>
            <c:ext xmlns:c16="http://schemas.microsoft.com/office/drawing/2014/chart" uri="{C3380CC4-5D6E-409C-BE32-E72D297353CC}">
              <c16:uniqueId val="{00000005-AF78-45C0-9101-480DA6398166}"/>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c:ext uri="{02D57815-91ED-43cb-92C2-25804820EDAC}">
                        <c15:formulaRef>
                          <c15:sqref>'Dash Data'!$W$32:$Y$32</c15:sqref>
                        </c15:formulaRef>
                      </c:ext>
                    </c:extLst>
                    <c:numCache>
                      <c:formatCode>0%</c:formatCode>
                      <c:ptCount val="3"/>
                      <c:pt idx="0">
                        <c:v>8.9407643084402813E-2</c:v>
                      </c:pt>
                      <c:pt idx="1">
                        <c:v>8.79799608825447E-2</c:v>
                      </c:pt>
                      <c:pt idx="2">
                        <c:v>9.1240110399865487E-2</c:v>
                      </c:pt>
                    </c:numCache>
                  </c:numRef>
                </c:val>
                <c:extLst>
                  <c:ext xmlns:c16="http://schemas.microsoft.com/office/drawing/2014/chart" uri="{C3380CC4-5D6E-409C-BE32-E72D297353CC}">
                    <c16:uniqueId val="{00000000-AF78-45C0-9101-480DA639816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Data'!$D$35</c15:sqref>
                        </c15:formulaRef>
                      </c:ext>
                    </c:extLst>
                    <c:strCache>
                      <c:ptCount val="1"/>
                      <c:pt idx="0">
                        <c:v>EBITDA as a % of adjusted income - education specific</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xmlns:c15="http://schemas.microsoft.com/office/drawing/2012/chart">
                      <c:ext xmlns:c15="http://schemas.microsoft.com/office/drawing/2012/chart" uri="{02D57815-91ED-43cb-92C2-25804820EDAC}">
                        <c15:formulaRef>
                          <c15:sqref>'Dash Data'!$V$35:$Y$35</c15:sqref>
                        </c15:formulaRef>
                      </c:ext>
                    </c:extLst>
                    <c:numCache>
                      <c:formatCode>0%</c:formatCode>
                      <c:ptCount val="4"/>
                      <c:pt idx="0">
                        <c:v>0</c:v>
                      </c:pt>
                      <c:pt idx="1">
                        <c:v>7.2641475708719122E-2</c:v>
                      </c:pt>
                      <c:pt idx="2">
                        <c:v>7.0342792437291968E-2</c:v>
                      </c:pt>
                      <c:pt idx="3">
                        <c:v>7.2259524115815529E-2</c:v>
                      </c:pt>
                    </c:numCache>
                  </c:numRef>
                </c:val>
                <c:extLst xmlns:c15="http://schemas.microsoft.com/office/drawing/2012/chart">
                  <c:ext xmlns:c16="http://schemas.microsoft.com/office/drawing/2014/chart" uri="{C3380CC4-5D6E-409C-BE32-E72D297353CC}">
                    <c16:uniqueId val="{00000001-AF78-45C0-9101-480DA6398166}"/>
                  </c:ext>
                </c:extLst>
              </c15:ser>
            </c15:filteredBarSeries>
          </c:ext>
        </c:extLst>
      </c:barChart>
      <c:lineChart>
        <c:grouping val="standard"/>
        <c:varyColors val="0"/>
        <c:ser>
          <c:idx val="7"/>
          <c:order val="7"/>
          <c:tx>
            <c:strRef>
              <c:f>'Dash Data'!$D$40</c:f>
              <c:strCache>
                <c:ptCount val="1"/>
                <c:pt idx="0">
                  <c:v>Adj. Operating Income Ratio FEC Benchmark</c:v>
                </c:pt>
              </c:strCache>
              <c:extLst xmlns:c15="http://schemas.microsoft.com/office/drawing/2012/chart"/>
            </c:strRef>
          </c:tx>
          <c:spPr>
            <a:ln w="28575" cap="rnd">
              <a:solidFill>
                <a:schemeClr val="accent2">
                  <a:lumMod val="75000"/>
                </a:schemeClr>
              </a:solidFill>
              <a:round/>
            </a:ln>
            <a:effectLst/>
          </c:spPr>
          <c:marker>
            <c:symbol val="none"/>
          </c:marker>
          <c:val>
            <c:numRef>
              <c:f>'Dash Data'!$V$40:$Y$40</c:f>
              <c:numCache>
                <c:formatCode>0%</c:formatCode>
                <c:ptCount val="4"/>
                <c:pt idx="0">
                  <c:v>0.01</c:v>
                </c:pt>
                <c:pt idx="1">
                  <c:v>0.01</c:v>
                </c:pt>
                <c:pt idx="2">
                  <c:v>0.01</c:v>
                </c:pt>
                <c:pt idx="3">
                  <c:v>0.01</c:v>
                </c:pt>
              </c:numCache>
              <c:extLst xmlns:c15="http://schemas.microsoft.com/office/drawing/2012/chart"/>
            </c:numRef>
          </c:val>
          <c:smooth val="0"/>
          <c:extLst>
            <c:ext xmlns:c16="http://schemas.microsoft.com/office/drawing/2014/chart" uri="{C3380CC4-5D6E-409C-BE32-E72D297353CC}">
              <c16:uniqueId val="{00000007-AF78-45C0-9101-480DA6398166}"/>
            </c:ext>
          </c:extLst>
        </c:ser>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tx1"/>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2-AF78-45C0-9101-480DA6398166}"/>
                  </c:ext>
                </c:extLst>
              </c15:ser>
            </c15:filteredLineSeries>
          </c:ext>
        </c:extLst>
      </c:lineChart>
      <c:lineChart>
        <c:grouping val="standard"/>
        <c:varyColors val="0"/>
        <c:ser>
          <c:idx val="8"/>
          <c:order val="8"/>
          <c:tx>
            <c:strRef>
              <c:f>'Dash Data'!$D$41</c:f>
              <c:strCache>
                <c:ptCount val="1"/>
                <c:pt idx="0">
                  <c:v>Adj. Operating Income Ratio College Benchmark</c:v>
                </c:pt>
              </c:strCache>
            </c:strRef>
          </c:tx>
          <c:spPr>
            <a:ln w="28575" cap="rnd">
              <a:solidFill>
                <a:schemeClr val="bg1">
                  <a:lumMod val="75000"/>
                </a:schemeClr>
              </a:solidFill>
              <a:round/>
            </a:ln>
            <a:effectLst/>
          </c:spPr>
          <c:marker>
            <c:symbol val="none"/>
          </c:marker>
          <c:val>
            <c:numRef>
              <c:f>'Dash Data'!$V$41:$Y$41</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BDBD-453B-BBCE-2CCFCCC6CCC1}"/>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FY2021 </c:v>
                      </c:pt>
                      <c:pt idx="1">
                        <c:v> FY2022 </c:v>
                      </c:pt>
                      <c:pt idx="2">
                        <c:v> FY2023 </c:v>
                      </c:pt>
                    </c:strCache>
                  </c:strRef>
                </c:cat>
                <c:val>
                  <c:numRef>
                    <c:extLst>
                      <c:ext uri="{02D57815-91ED-43cb-92C2-25804820EDAC}">
                        <c15:formulaRef>
                          <c15:sqref>'Dash Data'!$V$31:$Y$31</c15:sqref>
                        </c15:formulaRef>
                      </c:ext>
                    </c:extLst>
                    <c:numCache>
                      <c:formatCode>_-* #,##0_-;* \(#,##0\)_-;_-* "-"??_-;_-@_-</c:formatCode>
                      <c:ptCount val="4"/>
                      <c:pt idx="0">
                        <c:v>0</c:v>
                      </c:pt>
                      <c:pt idx="1">
                        <c:v>2501</c:v>
                      </c:pt>
                      <c:pt idx="2">
                        <c:v>2564</c:v>
                      </c:pt>
                      <c:pt idx="3">
                        <c:v>2744.8100000000013</c:v>
                      </c:pt>
                    </c:numCache>
                  </c:numRef>
                </c:val>
                <c:smooth val="0"/>
                <c:extLst>
                  <c:ext xmlns:c16="http://schemas.microsoft.com/office/drawing/2014/chart" uri="{C3380CC4-5D6E-409C-BE32-E72D297353CC}">
                    <c16:uniqueId val="{00000003-AF78-45C0-9101-480DA63981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FY2021 </c:v>
                      </c:pt>
                      <c:pt idx="1">
                        <c:v> FY2022 </c:v>
                      </c:pt>
                      <c:pt idx="2">
                        <c:v> FY2023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2032</c:v>
                      </c:pt>
                      <c:pt idx="2">
                        <c:v>2050</c:v>
                      </c:pt>
                      <c:pt idx="3">
                        <c:v>2173.8100000000013</c:v>
                      </c:pt>
                    </c:numCache>
                  </c:numRef>
                </c:val>
                <c:smooth val="0"/>
                <c:extLst xmlns:c15="http://schemas.microsoft.com/office/drawing/2012/chart">
                  <c:ext xmlns:c16="http://schemas.microsoft.com/office/drawing/2014/chart" uri="{C3380CC4-5D6E-409C-BE32-E72D297353CC}">
                    <c16:uniqueId val="{00000004-AF78-45C0-9101-480DA639816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FY2021 </c:v>
                      </c:pt>
                      <c:pt idx="1">
                        <c:v> FY2022 </c:v>
                      </c:pt>
                      <c:pt idx="2">
                        <c:v> FY2023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440</c:v>
                      </c:pt>
                      <c:pt idx="2">
                        <c:v>436</c:v>
                      </c:pt>
                      <c:pt idx="3">
                        <c:v>541.81000000000131</c:v>
                      </c:pt>
                    </c:numCache>
                  </c:numRef>
                </c:val>
                <c:smooth val="0"/>
                <c:extLst xmlns:c15="http://schemas.microsoft.com/office/drawing/2012/chart">
                  <c:ext xmlns:c16="http://schemas.microsoft.com/office/drawing/2014/chart" uri="{C3380CC4-5D6E-409C-BE32-E72D297353CC}">
                    <c16:uniqueId val="{00000006-AF78-45C0-9101-480DA6398166}"/>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DSCR vs. Benchmark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Data'!$D$43</c:f>
              <c:strCache>
                <c:ptCount val="1"/>
                <c:pt idx="0">
                  <c:v>Debt Service Cover Ratio</c:v>
                </c:pt>
              </c:strCache>
            </c:strRef>
          </c:tx>
          <c:spPr>
            <a:solidFill>
              <a:schemeClr val="accent1"/>
            </a:solidFill>
            <a:ln>
              <a:noFill/>
            </a:ln>
            <a:effectLst/>
          </c:spPr>
          <c:invertIfNegative val="0"/>
          <c:cat>
            <c:strRef>
              <c:f>'Dash Data'!$V$3:$Y$3</c:f>
              <c:strCache>
                <c:ptCount val="4"/>
                <c:pt idx="0">
                  <c:v> FY2020 </c:v>
                </c:pt>
                <c:pt idx="1">
                  <c:v> FY2021 </c:v>
                </c:pt>
                <c:pt idx="2">
                  <c:v> FY2022 </c:v>
                </c:pt>
                <c:pt idx="3">
                  <c:v> FY2023 </c:v>
                </c:pt>
              </c:strCache>
            </c:strRef>
          </c:cat>
          <c:val>
            <c:numRef>
              <c:f>'Dash Data'!$V$43:$Y$43</c:f>
              <c:numCache>
                <c:formatCode>_-* #,##0.00_-;* \(#,##0.00\)_-;_-* "-"??_-;_-@_-</c:formatCode>
                <c:ptCount val="4"/>
                <c:pt idx="0">
                  <c:v>0</c:v>
                </c:pt>
                <c:pt idx="1">
                  <c:v>8.7677419354838708</c:v>
                </c:pt>
                <c:pt idx="2">
                  <c:v>4.3143872113676736</c:v>
                </c:pt>
                <c:pt idx="3">
                  <c:v>3.7545470692717609</c:v>
                </c:pt>
              </c:numCache>
            </c:numRef>
          </c:val>
          <c:extLst>
            <c:ext xmlns:c16="http://schemas.microsoft.com/office/drawing/2014/chart" uri="{C3380CC4-5D6E-409C-BE32-E72D297353CC}">
              <c16:uniqueId val="{00000000-CB82-4D49-BB7D-2EB065E1E18F}"/>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1"/>
                <c:order val="1"/>
                <c:tx>
                  <c:strRef>
                    <c:extLst>
                      <c:ext uri="{02D57815-91ED-43cb-92C2-25804820EDAC}">
                        <c15:formulaRef>
                          <c15:sqref>'Dash Data'!$D$47</c15:sqref>
                        </c15:formulaRef>
                      </c:ext>
                    </c:extLst>
                    <c:strCache>
                      <c:ptCount val="1"/>
                      <c:pt idx="0">
                        <c:v>Borrowing as a % of adjusted income</c:v>
                      </c:pt>
                    </c:strCache>
                  </c:strRef>
                </c:tx>
                <c:spPr>
                  <a:solidFill>
                    <a:schemeClr val="accent2"/>
                  </a:solidFill>
                  <a:ln>
                    <a:noFill/>
                  </a:ln>
                  <a:effectLst/>
                </c:spPr>
                <c:invertIfNegative val="0"/>
                <c:cat>
                  <c:strRef>
                    <c:extLst>
                      <c:ex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c:ext uri="{02D57815-91ED-43cb-92C2-25804820EDAC}">
                        <c15:formulaRef>
                          <c15:sqref>'Dash Data'!$W$47:$Y$47</c15:sqref>
                        </c15:formulaRef>
                      </c:ext>
                    </c:extLst>
                    <c:numCache>
                      <c:formatCode>0%</c:formatCode>
                      <c:ptCount val="3"/>
                      <c:pt idx="0">
                        <c:v>0.11049941014549744</c:v>
                      </c:pt>
                      <c:pt idx="1">
                        <c:v>9.1720138626771433E-2</c:v>
                      </c:pt>
                      <c:pt idx="2">
                        <c:v>7.4958357391475758E-2</c:v>
                      </c:pt>
                    </c:numCache>
                  </c:numRef>
                </c:val>
                <c:extLst>
                  <c:ext xmlns:c16="http://schemas.microsoft.com/office/drawing/2014/chart" uri="{C3380CC4-5D6E-409C-BE32-E72D297353CC}">
                    <c16:uniqueId val="{00000001-CB82-4D49-BB7D-2EB065E1E18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pt idx="0">
                        <c:v>Cash generation from operations (as a % of income)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pt idx="0">
                        <c:v>0.19433024702391591</c:v>
                      </c:pt>
                      <c:pt idx="1">
                        <c:v>8.3347630648869367E-2</c:v>
                      </c:pt>
                      <c:pt idx="2">
                        <c:v>7.0265066712938126E-2</c:v>
                      </c:pt>
                    </c:numCache>
                  </c:numRef>
                </c:val>
                <c:extLst xmlns:c15="http://schemas.microsoft.com/office/drawing/2012/chart">
                  <c:ext xmlns:c16="http://schemas.microsoft.com/office/drawing/2014/chart" uri="{C3380CC4-5D6E-409C-BE32-E72D297353CC}">
                    <c16:uniqueId val="{00000003-CB82-4D49-BB7D-2EB065E1E18F}"/>
                  </c:ext>
                </c:extLst>
              </c15:ser>
            </c15:filteredBarSeries>
          </c:ext>
        </c:extLst>
      </c:barChart>
      <c:lineChart>
        <c:grouping val="standard"/>
        <c:varyColors val="0"/>
        <c:ser>
          <c:idx val="2"/>
          <c:order val="2"/>
          <c:tx>
            <c:strRef>
              <c:f>'Dash Data'!$D$44</c:f>
              <c:strCache>
                <c:ptCount val="1"/>
                <c:pt idx="0">
                  <c:v>Debt Service Cover Ratio FEC Benchmark</c:v>
                </c:pt>
              </c:strCache>
            </c:strRef>
          </c:tx>
          <c:spPr>
            <a:ln w="28575" cap="rnd">
              <a:solidFill>
                <a:schemeClr val="accent2">
                  <a:lumMod val="75000"/>
                </a:schemeClr>
              </a:solidFill>
              <a:round/>
            </a:ln>
            <a:effectLst/>
          </c:spPr>
          <c:marker>
            <c:symbol val="none"/>
          </c:marker>
          <c:cat>
            <c:strRef>
              <c:f>'Dash Data'!$W$3:$Y$3</c:f>
              <c:strCache>
                <c:ptCount val="3"/>
                <c:pt idx="0">
                  <c:v> FY2021 </c:v>
                </c:pt>
                <c:pt idx="1">
                  <c:v> FY2022 </c:v>
                </c:pt>
                <c:pt idx="2">
                  <c:v> FY2023 </c:v>
                </c:pt>
              </c:strCache>
            </c:strRef>
          </c:cat>
          <c:val>
            <c:numRef>
              <c:f>'Dash Data'!$V$44:$Y$44</c:f>
              <c:numCache>
                <c:formatCode>_-* #,##0.00_-;* \(#,##0.00\)_-;_-* "-"??_-;_-@_-</c:formatCode>
                <c:ptCount val="4"/>
                <c:pt idx="0">
                  <c:v>2</c:v>
                </c:pt>
                <c:pt idx="1">
                  <c:v>2</c:v>
                </c:pt>
                <c:pt idx="2">
                  <c:v>2</c:v>
                </c:pt>
                <c:pt idx="3">
                  <c:v>2</c:v>
                </c:pt>
              </c:numCache>
            </c:numRef>
          </c:val>
          <c:smooth val="0"/>
          <c:extLst>
            <c:ext xmlns:c16="http://schemas.microsoft.com/office/drawing/2014/chart" uri="{C3380CC4-5D6E-409C-BE32-E72D297353CC}">
              <c16:uniqueId val="{00000002-CB82-4D49-BB7D-2EB065E1E18F}"/>
            </c:ext>
          </c:extLst>
        </c:ser>
        <c:ser>
          <c:idx val="4"/>
          <c:order val="4"/>
          <c:tx>
            <c:strRef>
              <c:f>'Dash Data'!$D$45</c:f>
              <c:strCache>
                <c:ptCount val="1"/>
                <c:pt idx="0">
                  <c:v>Debt Service Cover Ratio College Benchmark</c:v>
                </c:pt>
              </c:strCache>
            </c:strRef>
          </c:tx>
          <c:spPr>
            <a:ln w="28575" cap="rnd">
              <a:solidFill>
                <a:schemeClr val="bg1">
                  <a:lumMod val="75000"/>
                </a:schemeClr>
              </a:solidFill>
              <a:round/>
            </a:ln>
            <a:effectLst/>
          </c:spPr>
          <c:marker>
            <c:symbol val="none"/>
          </c:marker>
          <c:val>
            <c:numRef>
              <c:f>'Dash Data'!$V$45:$Y$45</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173D-4981-B57B-8EB6EA895EA2}"/>
            </c:ext>
          </c:extLst>
        </c:ser>
        <c:dLbls>
          <c:showLegendKey val="0"/>
          <c:showVal val="0"/>
          <c:showCatName val="0"/>
          <c:showSerName val="0"/>
          <c:showPercent val="0"/>
          <c:showBubbleSize val="0"/>
        </c:dLbls>
        <c:marker val="1"/>
        <c:smooth val="0"/>
        <c:axId val="1880385983"/>
        <c:axId val="1220408783"/>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Borrowing % of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'Dash Data'!$D$47</c:f>
              <c:strCache>
                <c:ptCount val="1"/>
                <c:pt idx="0">
                  <c:v>Borrowing as a % of adjusted income</c:v>
                </c:pt>
              </c:strCache>
              <c:extLst xmlns:c15="http://schemas.microsoft.com/office/drawing/2012/chart"/>
            </c:strRef>
          </c:tx>
          <c:spPr>
            <a:solidFill>
              <a:schemeClr val="accent1"/>
            </a:solidFill>
            <a:ln>
              <a:noFill/>
            </a:ln>
            <a:effectLst/>
          </c:spPr>
          <c:invertIfNegative val="0"/>
          <c:cat>
            <c:strRef>
              <c:f>'Dash Data'!$V$3:$Y$3</c:f>
              <c:strCache>
                <c:ptCount val="4"/>
                <c:pt idx="0">
                  <c:v> FY2020 </c:v>
                </c:pt>
                <c:pt idx="1">
                  <c:v> FY2021 </c:v>
                </c:pt>
                <c:pt idx="2">
                  <c:v> FY2022 </c:v>
                </c:pt>
                <c:pt idx="3">
                  <c:v> FY2023 </c:v>
                </c:pt>
              </c:strCache>
            </c:strRef>
          </c:cat>
          <c:val>
            <c:numRef>
              <c:f>'Dash Data'!$V$47:$Y$47</c:f>
              <c:numCache>
                <c:formatCode>0%</c:formatCode>
                <c:ptCount val="4"/>
                <c:pt idx="0">
                  <c:v>0</c:v>
                </c:pt>
                <c:pt idx="1">
                  <c:v>0.11049941014549744</c:v>
                </c:pt>
                <c:pt idx="2">
                  <c:v>9.1720138626771433E-2</c:v>
                </c:pt>
                <c:pt idx="3">
                  <c:v>7.4958357391475758E-2</c:v>
                </c:pt>
              </c:numCache>
            </c:numRef>
          </c:val>
          <c:extLst>
            <c:ext xmlns:c16="http://schemas.microsoft.com/office/drawing/2014/chart" uri="{C3380CC4-5D6E-409C-BE32-E72D297353CC}">
              <c16:uniqueId val="{00000002-03F2-4392-859C-49E6F1747726}"/>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0"/>
                <c:order val="0"/>
                <c:tx>
                  <c:strRef>
                    <c:extLst>
                      <c:ext uri="{02D57815-91ED-43cb-92C2-25804820EDAC}">
                        <c15:formulaRef>
                          <c15:sqref>'Dash Data'!$D$43</c15:sqref>
                        </c15:formulaRef>
                      </c:ext>
                    </c:extLst>
                    <c:strCache>
                      <c:ptCount val="1"/>
                      <c:pt idx="0">
                        <c:v>Debt Service Cover Ratio</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c:ext uri="{02D57815-91ED-43cb-92C2-25804820EDAC}">
                        <c15:formulaRef>
                          <c15:sqref>'Dash Data'!$W$43:$Y$43</c15:sqref>
                        </c15:formulaRef>
                      </c:ext>
                    </c:extLst>
                    <c:numCache>
                      <c:formatCode>_-* #,##0.00_-;* \(#,##0.00\)_-;_-* "-"??_-;_-@_-</c:formatCode>
                      <c:ptCount val="3"/>
                      <c:pt idx="0">
                        <c:v>8.7677419354838708</c:v>
                      </c:pt>
                      <c:pt idx="1">
                        <c:v>4.3143872113676736</c:v>
                      </c:pt>
                      <c:pt idx="2">
                        <c:v>3.7545470692717609</c:v>
                      </c:pt>
                    </c:numCache>
                  </c:numRef>
                </c:val>
                <c:extLst>
                  <c:ext xmlns:c16="http://schemas.microsoft.com/office/drawing/2014/chart" uri="{C3380CC4-5D6E-409C-BE32-E72D297353CC}">
                    <c16:uniqueId val="{00000000-03F2-4392-859C-49E6F17477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pt idx="0">
                        <c:v>Cash generation from operations (as a % of income)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FY2020 </c:v>
                      </c:pt>
                      <c:pt idx="1">
                        <c:v> FY2021 </c:v>
                      </c:pt>
                      <c:pt idx="2">
                        <c:v> FY2022 </c:v>
                      </c:pt>
                      <c:pt idx="3">
                        <c:v> FY2023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pt idx="0">
                        <c:v>0.19433024702391591</c:v>
                      </c:pt>
                      <c:pt idx="1">
                        <c:v>8.3347630648869367E-2</c:v>
                      </c:pt>
                      <c:pt idx="2">
                        <c:v>7.0265066712938126E-2</c:v>
                      </c:pt>
                    </c:numCache>
                  </c:numRef>
                </c:val>
                <c:extLst xmlns:c15="http://schemas.microsoft.com/office/drawing/2012/chart">
                  <c:ext xmlns:c16="http://schemas.microsoft.com/office/drawing/2014/chart" uri="{C3380CC4-5D6E-409C-BE32-E72D297353CC}">
                    <c16:uniqueId val="{00000003-03F2-4392-859C-49E6F1747726}"/>
                  </c:ext>
                </c:extLst>
              </c15:ser>
            </c15:filteredBarSeries>
          </c:ext>
        </c:extLst>
      </c:barChart>
      <c:lineChart>
        <c:grouping val="standard"/>
        <c:varyColors val="0"/>
        <c:ser>
          <c:idx val="4"/>
          <c:order val="4"/>
          <c:tx>
            <c:strRef>
              <c:f>'Dash Data'!$D$48</c:f>
              <c:strCache>
                <c:ptCount val="1"/>
                <c:pt idx="0">
                  <c:v>Borrowing as a % of adjusted income College Benchmark</c:v>
                </c:pt>
              </c:strCache>
            </c:strRef>
          </c:tx>
          <c:spPr>
            <a:ln w="28575" cap="rnd">
              <a:solidFill>
                <a:schemeClr val="bg1">
                  <a:lumMod val="75000"/>
                </a:schemeClr>
              </a:solidFill>
              <a:round/>
            </a:ln>
            <a:effectLst/>
          </c:spPr>
          <c:marker>
            <c:symbol val="none"/>
          </c:marker>
          <c:val>
            <c:numRef>
              <c:f>'Dash Data'!$V$48:$Y$48</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91B1-4E06-8565-78BA4570B5A9}"/>
            </c:ext>
          </c:extLst>
        </c:ser>
        <c:dLbls>
          <c:showLegendKey val="0"/>
          <c:showVal val="0"/>
          <c:showCatName val="0"/>
          <c:showSerName val="0"/>
          <c:showPercent val="0"/>
          <c:showBubbleSize val="0"/>
        </c:dLbls>
        <c:marker val="1"/>
        <c:smooth val="0"/>
        <c:axId val="1880385983"/>
        <c:axId val="1220408783"/>
        <c:extLst>
          <c:ext xmlns:c15="http://schemas.microsoft.com/office/drawing/2012/chart" uri="{02D57815-91ED-43cb-92C2-25804820EDAC}">
            <c15:filteredLineSeries>
              <c15:ser>
                <c:idx val="2"/>
                <c:order val="2"/>
                <c:tx>
                  <c:strRef>
                    <c:extLst>
                      <c:ext uri="{02D57815-91ED-43cb-92C2-25804820EDAC}">
                        <c15:formulaRef>
                          <c15:sqref>'Dash Data'!$D$44</c15:sqref>
                        </c15:formulaRef>
                      </c:ext>
                    </c:extLst>
                    <c:strCache>
                      <c:ptCount val="1"/>
                      <c:pt idx="0">
                        <c:v>Debt Service Cover Ratio FEC Benchmark</c:v>
                      </c:pt>
                    </c:strCache>
                  </c:strRef>
                </c:tx>
                <c:spPr>
                  <a:ln w="28575" cap="rnd">
                    <a:solidFill>
                      <a:schemeClr val="tx1"/>
                    </a:solidFill>
                    <a:round/>
                  </a:ln>
                  <a:effectLst/>
                </c:spPr>
                <c:marker>
                  <c:symbol val="none"/>
                </c:marker>
                <c:cat>
                  <c:strRef>
                    <c:extLst>
                      <c:ext uri="{02D57815-91ED-43cb-92C2-25804820EDAC}">
                        <c15:formulaRef>
                          <c15:sqref>'Dash Data'!$W$3:$Y$3</c15:sqref>
                        </c15:formulaRef>
                      </c:ext>
                    </c:extLst>
                    <c:strCache>
                      <c:ptCount val="3"/>
                      <c:pt idx="0">
                        <c:v> FY2021 </c:v>
                      </c:pt>
                      <c:pt idx="1">
                        <c:v> FY2022 </c:v>
                      </c:pt>
                      <c:pt idx="2">
                        <c:v> FY2023 </c:v>
                      </c:pt>
                    </c:strCache>
                  </c:strRef>
                </c:cat>
                <c:val>
                  <c:numRef>
                    <c:extLst>
                      <c:ext uri="{02D57815-91ED-43cb-92C2-25804820EDAC}">
                        <c15:formulaRef>
                          <c15:sqref>'Dash Data'!$W$44:$Y$44</c15:sqref>
                        </c15:formulaRef>
                      </c:ext>
                    </c:extLst>
                    <c:numCache>
                      <c:formatCode>_-* #,##0.00_-;* \(#,##0.00\)_-;_-* "-"??_-;_-@_-</c:formatCode>
                      <c:ptCount val="3"/>
                      <c:pt idx="0">
                        <c:v>2</c:v>
                      </c:pt>
                      <c:pt idx="1">
                        <c:v>2</c:v>
                      </c:pt>
                      <c:pt idx="2">
                        <c:v>2</c:v>
                      </c:pt>
                    </c:numCache>
                  </c:numRef>
                </c:val>
                <c:smooth val="0"/>
                <c:extLst>
                  <c:ext xmlns:c16="http://schemas.microsoft.com/office/drawing/2014/chart" uri="{C3380CC4-5D6E-409C-BE32-E72D297353CC}">
                    <c16:uniqueId val="{00000001-03F2-4392-859C-49E6F1747726}"/>
                  </c:ext>
                </c:extLst>
              </c15:ser>
            </c15:filteredLineSeries>
          </c:ext>
        </c:extLst>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Adjusted</a:t>
            </a:r>
            <a:r>
              <a:rPr lang="en-GB" baseline="0"/>
              <a:t> Cash Days vs. Benchmark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Data'!$D$51</c:f>
              <c:strCache>
                <c:ptCount val="1"/>
                <c:pt idx="0">
                  <c:v>Adjusted cash days in hand</c:v>
                </c:pt>
              </c:strCache>
            </c:strRef>
          </c:tx>
          <c:spPr>
            <a:solidFill>
              <a:schemeClr val="accent1"/>
            </a:solidFill>
            <a:ln>
              <a:noFill/>
            </a:ln>
            <a:effectLst/>
          </c:spPr>
          <c:invertIfNegative val="0"/>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'Dash Data'!$AA$51:$BJ$51</c:f>
              <c:numCache>
                <c:formatCode>_-* #,##0_-;* \(#,##0\)_-;_-* "-"??_-;_-@_-</c:formatCode>
                <c:ptCount val="36"/>
                <c:pt idx="0">
                  <c:v>179.90348381142812</c:v>
                </c:pt>
                <c:pt idx="1">
                  <c:v>209.30727524417443</c:v>
                </c:pt>
                <c:pt idx="2">
                  <c:v>182.20526032454049</c:v>
                </c:pt>
                <c:pt idx="3">
                  <c:v>182.80877489810047</c:v>
                </c:pt>
                <c:pt idx="4">
                  <c:v>176.43678381911866</c:v>
                </c:pt>
                <c:pt idx="5">
                  <c:v>168.22617857417518</c:v>
                </c:pt>
                <c:pt idx="6">
                  <c:v>159.0331077443667</c:v>
                </c:pt>
                <c:pt idx="7">
                  <c:v>132.60478351149735</c:v>
                </c:pt>
                <c:pt idx="8">
                  <c:v>152.78743366915327</c:v>
                </c:pt>
                <c:pt idx="9">
                  <c:v>157.91028993309237</c:v>
                </c:pt>
                <c:pt idx="10">
                  <c:v>163.84718911020533</c:v>
                </c:pt>
                <c:pt idx="11">
                  <c:v>146.54175959393984</c:v>
                </c:pt>
                <c:pt idx="12">
                  <c:v>159.34901571911266</c:v>
                </c:pt>
                <c:pt idx="13">
                  <c:v>163.38401645365064</c:v>
                </c:pt>
                <c:pt idx="14">
                  <c:v>161.4268400176289</c:v>
                </c:pt>
                <c:pt idx="15">
                  <c:v>153.73218745409139</c:v>
                </c:pt>
                <c:pt idx="16">
                  <c:v>137.17661965623623</c:v>
                </c:pt>
                <c:pt idx="17">
                  <c:v>120.74169972087557</c:v>
                </c:pt>
                <c:pt idx="18">
                  <c:v>103.94483619803142</c:v>
                </c:pt>
                <c:pt idx="19">
                  <c:v>85.646577053033653</c:v>
                </c:pt>
                <c:pt idx="20">
                  <c:v>100.1109152343176</c:v>
                </c:pt>
                <c:pt idx="21">
                  <c:v>101.50506831203172</c:v>
                </c:pt>
                <c:pt idx="22">
                  <c:v>98.27438666079037</c:v>
                </c:pt>
                <c:pt idx="23">
                  <c:v>123.04741442632584</c:v>
                </c:pt>
                <c:pt idx="24">
                  <c:v>146.58212879518371</c:v>
                </c:pt>
                <c:pt idx="25">
                  <c:v>158.86079320147661</c:v>
                </c:pt>
                <c:pt idx="26">
                  <c:v>159.15349977557921</c:v>
                </c:pt>
                <c:pt idx="27">
                  <c:v>151.40103827895885</c:v>
                </c:pt>
                <c:pt idx="28">
                  <c:v>138.06582744228774</c:v>
                </c:pt>
                <c:pt idx="29">
                  <c:v>127.10342065774313</c:v>
                </c:pt>
                <c:pt idx="30">
                  <c:v>111.60481039058726</c:v>
                </c:pt>
                <c:pt idx="31">
                  <c:v>98.686261168737801</c:v>
                </c:pt>
                <c:pt idx="32">
                  <c:v>119.21730725250001</c:v>
                </c:pt>
                <c:pt idx="33">
                  <c:v>123.13599162606175</c:v>
                </c:pt>
                <c:pt idx="34">
                  <c:v>121.94104247258456</c:v>
                </c:pt>
                <c:pt idx="35">
                  <c:v>130.53428966542288</c:v>
                </c:pt>
              </c:numCache>
            </c:numRef>
          </c:val>
          <c:extLst>
            <c:ext xmlns:c16="http://schemas.microsoft.com/office/drawing/2014/chart" uri="{C3380CC4-5D6E-409C-BE32-E72D297353CC}">
              <c16:uniqueId val="{00000000-254D-447A-BB07-379D1FD758F7}"/>
            </c:ext>
          </c:extLst>
        </c:ser>
        <c:dLbls>
          <c:showLegendKey val="0"/>
          <c:showVal val="0"/>
          <c:showCatName val="0"/>
          <c:showSerName val="0"/>
          <c:showPercent val="0"/>
          <c:showBubbleSize val="0"/>
        </c:dLbls>
        <c:gapWidth val="219"/>
        <c:axId val="1880334783"/>
        <c:axId val="1220410031"/>
      </c:barChart>
      <c:lineChart>
        <c:grouping val="standard"/>
        <c:varyColors val="0"/>
        <c:ser>
          <c:idx val="1"/>
          <c:order val="1"/>
          <c:tx>
            <c:strRef>
              <c:f>'Dash Data'!$D$52</c:f>
              <c:strCache>
                <c:ptCount val="1"/>
                <c:pt idx="0">
                  <c:v>Adjusted cash days FEC Benchmark</c:v>
                </c:pt>
              </c:strCache>
            </c:strRef>
          </c:tx>
          <c:spPr>
            <a:ln w="28575" cap="rnd">
              <a:solidFill>
                <a:schemeClr val="accent2">
                  <a:lumMod val="75000"/>
                </a:schemeClr>
              </a:solidFill>
              <a:round/>
            </a:ln>
            <a:effectLst/>
          </c:spPr>
          <c:marker>
            <c:symbol val="none"/>
          </c:marker>
          <c:cat>
            <c:numRef>
              <c:f>'Dash Data'!$AA$5:$BJ$5</c:f>
              <c:numCache>
                <c:formatCode>d\-mmm\-yy</c:formatCode>
                <c:ptCount val="36"/>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numCache>
            </c:numRef>
          </c:cat>
          <c:val>
            <c:numRef>
              <c:f>'Dash Data'!$AA$52:$BJ$52</c:f>
              <c:numCache>
                <c:formatCode>_-* #,##0_-;* \(#,##0\)_-;_-* "-"??_-;_-@_-</c:formatCode>
                <c:ptCount val="36"/>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numCache>
            </c:numRef>
          </c:val>
          <c:smooth val="0"/>
          <c:extLst>
            <c:ext xmlns:c16="http://schemas.microsoft.com/office/drawing/2014/chart" uri="{C3380CC4-5D6E-409C-BE32-E72D297353CC}">
              <c16:uniqueId val="{00000001-254D-447A-BB07-379D1FD758F7}"/>
            </c:ext>
          </c:extLst>
        </c:ser>
        <c:ser>
          <c:idx val="2"/>
          <c:order val="2"/>
          <c:tx>
            <c:strRef>
              <c:f>'Dash Data'!$D$53</c:f>
              <c:strCache>
                <c:ptCount val="1"/>
                <c:pt idx="0">
                  <c:v>Adjusted cash days College Benchmark</c:v>
                </c:pt>
              </c:strCache>
            </c:strRef>
          </c:tx>
          <c:spPr>
            <a:ln w="28575" cap="rnd">
              <a:solidFill>
                <a:schemeClr val="bg1">
                  <a:lumMod val="75000"/>
                </a:schemeClr>
              </a:solidFill>
              <a:round/>
            </a:ln>
            <a:effectLst/>
          </c:spPr>
          <c:marker>
            <c:symbol val="none"/>
          </c:marker>
          <c:val>
            <c:numRef>
              <c:f>'Dash Data'!$AA$53:$BJ$53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D5C8-4E8B-8E7F-ECE0C5A9A4D0}"/>
            </c:ext>
          </c:extLst>
        </c:ser>
        <c:dLbls>
          <c:showLegendKey val="0"/>
          <c:showVal val="0"/>
          <c:showCatName val="0"/>
          <c:showSerName val="0"/>
          <c:showPercent val="0"/>
          <c:showBubbleSize val="0"/>
        </c:dLbls>
        <c:marker val="1"/>
        <c:smooth val="0"/>
        <c:axId val="1880334783"/>
        <c:axId val="1220410031"/>
      </c:lineChart>
      <c:dateAx>
        <c:axId val="1880334783"/>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10031"/>
        <c:crosses val="autoZero"/>
        <c:auto val="1"/>
        <c:lblOffset val="100"/>
        <c:baseTimeUnit val="months"/>
        <c:majorUnit val="2"/>
        <c:majorTimeUnit val="months"/>
      </c:dateAx>
      <c:valAx>
        <c:axId val="122041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3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466725</xdr:colOff>
      <xdr:row>189</xdr:row>
      <xdr:rowOff>175259</xdr:rowOff>
    </xdr:from>
    <xdr:to>
      <xdr:col>2</xdr:col>
      <xdr:colOff>1685925</xdr:colOff>
      <xdr:row>192</xdr:row>
      <xdr:rowOff>114300</xdr:rowOff>
    </xdr:to>
    <xdr:sp macro="" textlink="">
      <xdr:nvSpPr>
        <xdr:cNvPr id="3" name="TextBox 2">
          <a:extLst>
            <a:ext uri="{FF2B5EF4-FFF2-40B4-BE49-F238E27FC236}">
              <a16:creationId xmlns:a16="http://schemas.microsoft.com/office/drawing/2014/main" id="{7C86B7D8-D0FD-4A81-B4D9-9CF0768A710E}"/>
            </a:ext>
          </a:extLst>
        </xdr:cNvPr>
        <xdr:cNvSpPr txBox="1"/>
      </xdr:nvSpPr>
      <xdr:spPr>
        <a:xfrm>
          <a:off x="1276350" y="7471409"/>
          <a:ext cx="1219200" cy="4819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I&amp;E Inputs approach</a:t>
          </a:r>
        </a:p>
      </xdr:txBody>
    </xdr:sp>
    <xdr:clientData/>
  </xdr:twoCellAnchor>
  <xdr:twoCellAnchor>
    <xdr:from>
      <xdr:col>2</xdr:col>
      <xdr:colOff>2011678</xdr:colOff>
      <xdr:row>183</xdr:row>
      <xdr:rowOff>161588</xdr:rowOff>
    </xdr:from>
    <xdr:to>
      <xdr:col>3</xdr:col>
      <xdr:colOff>1154206</xdr:colOff>
      <xdr:row>188</xdr:row>
      <xdr:rowOff>28388</xdr:rowOff>
    </xdr:to>
    <xdr:sp macro="" textlink="">
      <xdr:nvSpPr>
        <xdr:cNvPr id="26" name="TextBox 3">
          <a:extLst>
            <a:ext uri="{FF2B5EF4-FFF2-40B4-BE49-F238E27FC236}">
              <a16:creationId xmlns:a16="http://schemas.microsoft.com/office/drawing/2014/main" id="{63A80EB8-BFBE-4492-8AE7-3EECD1E901ED}"/>
            </a:ext>
          </a:extLst>
        </xdr:cNvPr>
        <xdr:cNvSpPr txBox="1"/>
      </xdr:nvSpPr>
      <xdr:spPr>
        <a:xfrm>
          <a:off x="3009002" y="21968235"/>
          <a:ext cx="1271645" cy="8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 monthly</a:t>
          </a:r>
          <a:r>
            <a:rPr lang="en-GB" sz="1100" baseline="0"/>
            <a:t> I&amp;E inputs in 'I&amp;E Monthly' sheet</a:t>
          </a:r>
        </a:p>
      </xdr:txBody>
    </xdr:sp>
    <xdr:clientData/>
  </xdr:twoCellAnchor>
  <xdr:twoCellAnchor>
    <xdr:from>
      <xdr:col>2</xdr:col>
      <xdr:colOff>472441</xdr:colOff>
      <xdr:row>186</xdr:row>
      <xdr:rowOff>125730</xdr:rowOff>
    </xdr:from>
    <xdr:to>
      <xdr:col>2</xdr:col>
      <xdr:colOff>1786891</xdr:colOff>
      <xdr:row>187</xdr:row>
      <xdr:rowOff>135255</xdr:rowOff>
    </xdr:to>
    <xdr:sp macro="" textlink="">
      <xdr:nvSpPr>
        <xdr:cNvPr id="5" name="TextBox 4">
          <a:extLst>
            <a:ext uri="{FF2B5EF4-FFF2-40B4-BE49-F238E27FC236}">
              <a16:creationId xmlns:a16="http://schemas.microsoft.com/office/drawing/2014/main" id="{8FC3C323-CE0D-4B05-8466-9C7697ECB316}"/>
            </a:ext>
          </a:extLst>
        </xdr:cNvPr>
        <xdr:cNvSpPr txBox="1"/>
      </xdr:nvSpPr>
      <xdr:spPr>
        <a:xfrm>
          <a:off x="1539241" y="35196780"/>
          <a:ext cx="13144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monthly</a:t>
          </a:r>
          <a:endParaRPr lang="en-GB" sz="900" i="1"/>
        </a:p>
      </xdr:txBody>
    </xdr:sp>
    <xdr:clientData/>
  </xdr:twoCellAnchor>
  <xdr:twoCellAnchor>
    <xdr:from>
      <xdr:col>2</xdr:col>
      <xdr:colOff>1078229</xdr:colOff>
      <xdr:row>188</xdr:row>
      <xdr:rowOff>26484</xdr:rowOff>
    </xdr:from>
    <xdr:to>
      <xdr:col>3</xdr:col>
      <xdr:colOff>492329</xdr:colOff>
      <xdr:row>189</xdr:row>
      <xdr:rowOff>171450</xdr:rowOff>
    </xdr:to>
    <xdr:cxnSp macro="">
      <xdr:nvCxnSpPr>
        <xdr:cNvPr id="7" name="Connector: Elbow 6">
          <a:extLst>
            <a:ext uri="{FF2B5EF4-FFF2-40B4-BE49-F238E27FC236}">
              <a16:creationId xmlns:a16="http://schemas.microsoft.com/office/drawing/2014/main" id="{977E12AC-9887-49E0-8F27-726A811CAAED}"/>
            </a:ext>
          </a:extLst>
        </xdr:cNvPr>
        <xdr:cNvCxnSpPr>
          <a:stCxn id="3" idx="0"/>
          <a:endCxn id="26" idx="2"/>
        </xdr:cNvCxnSpPr>
      </xdr:nvCxnSpPr>
      <xdr:spPr>
        <a:xfrm rot="5400000" flipH="1" flipV="1">
          <a:off x="2784484" y="20418229"/>
          <a:ext cx="240216" cy="159532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1662394</xdr:colOff>
      <xdr:row>183</xdr:row>
      <xdr:rowOff>161588</xdr:rowOff>
    </xdr:from>
    <xdr:to>
      <xdr:col>3</xdr:col>
      <xdr:colOff>3855684</xdr:colOff>
      <xdr:row>188</xdr:row>
      <xdr:rowOff>22411</xdr:rowOff>
    </xdr:to>
    <xdr:sp macro="" textlink="">
      <xdr:nvSpPr>
        <xdr:cNvPr id="30" name="TextBox 7">
          <a:extLst>
            <a:ext uri="{FF2B5EF4-FFF2-40B4-BE49-F238E27FC236}">
              <a16:creationId xmlns:a16="http://schemas.microsoft.com/office/drawing/2014/main" id="{164114FB-7478-47EA-8D73-42A6A8172405}"/>
            </a:ext>
          </a:extLst>
        </xdr:cNvPr>
        <xdr:cNvSpPr txBox="1"/>
      </xdr:nvSpPr>
      <xdr:spPr>
        <a:xfrm>
          <a:off x="4788835" y="21968235"/>
          <a:ext cx="2193290" cy="813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I&amp;E data will be automatically reflected in the 'I&amp;E Annual' sheet,</a:t>
          </a:r>
          <a:r>
            <a:rPr lang="en-GB" sz="1100" baseline="0"/>
            <a:t> which links to output sheets.</a:t>
          </a:r>
          <a:endParaRPr lang="en-GB" sz="1100"/>
        </a:p>
      </xdr:txBody>
    </xdr:sp>
    <xdr:clientData/>
  </xdr:twoCellAnchor>
  <xdr:twoCellAnchor>
    <xdr:from>
      <xdr:col>3</xdr:col>
      <xdr:colOff>1156111</xdr:colOff>
      <xdr:row>186</xdr:row>
      <xdr:rowOff>560</xdr:rowOff>
    </xdr:from>
    <xdr:to>
      <xdr:col>3</xdr:col>
      <xdr:colOff>1658584</xdr:colOff>
      <xdr:row>186</xdr:row>
      <xdr:rowOff>4501</xdr:rowOff>
    </xdr:to>
    <xdr:cxnSp macro="">
      <xdr:nvCxnSpPr>
        <xdr:cNvPr id="10" name="Connector: Elbow 9">
          <a:extLst>
            <a:ext uri="{FF2B5EF4-FFF2-40B4-BE49-F238E27FC236}">
              <a16:creationId xmlns:a16="http://schemas.microsoft.com/office/drawing/2014/main" id="{70132FEE-297C-4CA7-8EAB-EE98C66119E8}"/>
            </a:ext>
          </a:extLst>
        </xdr:cNvPr>
        <xdr:cNvCxnSpPr>
          <a:stCxn id="26" idx="3"/>
          <a:endCxn id="30" idx="1"/>
        </xdr:cNvCxnSpPr>
      </xdr:nvCxnSpPr>
      <xdr:spPr>
        <a:xfrm flipV="1">
          <a:off x="4366036" y="20707910"/>
          <a:ext cx="502473" cy="39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247650</xdr:colOff>
      <xdr:row>195</xdr:row>
      <xdr:rowOff>55245</xdr:rowOff>
    </xdr:from>
    <xdr:to>
      <xdr:col>2</xdr:col>
      <xdr:colOff>1558290</xdr:colOff>
      <xdr:row>196</xdr:row>
      <xdr:rowOff>81915</xdr:rowOff>
    </xdr:to>
    <xdr:sp macro="" textlink="">
      <xdr:nvSpPr>
        <xdr:cNvPr id="11" name="TextBox 10">
          <a:extLst>
            <a:ext uri="{FF2B5EF4-FFF2-40B4-BE49-F238E27FC236}">
              <a16:creationId xmlns:a16="http://schemas.microsoft.com/office/drawing/2014/main" id="{4489640A-1AAB-417C-91B5-77BD5A6ED567}"/>
            </a:ext>
          </a:extLst>
        </xdr:cNvPr>
        <xdr:cNvSpPr txBox="1"/>
      </xdr:nvSpPr>
      <xdr:spPr>
        <a:xfrm>
          <a:off x="1314450" y="36669345"/>
          <a:ext cx="1310640" cy="20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annually</a:t>
          </a:r>
          <a:endParaRPr lang="en-GB" sz="900" i="1"/>
        </a:p>
      </xdr:txBody>
    </xdr:sp>
    <xdr:clientData/>
  </xdr:twoCellAnchor>
  <xdr:twoCellAnchor>
    <xdr:from>
      <xdr:col>3</xdr:col>
      <xdr:colOff>1086484</xdr:colOff>
      <xdr:row>192</xdr:row>
      <xdr:rowOff>95250</xdr:rowOff>
    </xdr:from>
    <xdr:to>
      <xdr:col>3</xdr:col>
      <xdr:colOff>2461259</xdr:colOff>
      <xdr:row>198</xdr:row>
      <xdr:rowOff>142875</xdr:rowOff>
    </xdr:to>
    <xdr:sp macro="" textlink="">
      <xdr:nvSpPr>
        <xdr:cNvPr id="27" name="TextBox 12">
          <a:extLst>
            <a:ext uri="{FF2B5EF4-FFF2-40B4-BE49-F238E27FC236}">
              <a16:creationId xmlns:a16="http://schemas.microsoft.com/office/drawing/2014/main" id="{61721198-2F23-4D3E-B054-AEEF49B622FC}"/>
            </a:ext>
          </a:extLst>
        </xdr:cNvPr>
        <xdr:cNvSpPr txBox="1"/>
      </xdr:nvSpPr>
      <xdr:spPr>
        <a:xfrm>
          <a:off x="4363084" y="44424600"/>
          <a:ext cx="13747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"Annual" or "Monthly" approach for each I&amp;E line item and enter forecasts where applicable</a:t>
          </a:r>
        </a:p>
      </xdr:txBody>
    </xdr:sp>
    <xdr:clientData/>
  </xdr:twoCellAnchor>
  <xdr:twoCellAnchor>
    <xdr:from>
      <xdr:col>3</xdr:col>
      <xdr:colOff>2838448</xdr:colOff>
      <xdr:row>192</xdr:row>
      <xdr:rowOff>113028</xdr:rowOff>
    </xdr:from>
    <xdr:to>
      <xdr:col>3</xdr:col>
      <xdr:colOff>4124325</xdr:colOff>
      <xdr:row>198</xdr:row>
      <xdr:rowOff>133350</xdr:rowOff>
    </xdr:to>
    <xdr:sp macro="" textlink="">
      <xdr:nvSpPr>
        <xdr:cNvPr id="29" name="TextBox 13">
          <a:extLst>
            <a:ext uri="{FF2B5EF4-FFF2-40B4-BE49-F238E27FC236}">
              <a16:creationId xmlns:a16="http://schemas.microsoft.com/office/drawing/2014/main" id="{AE23E341-9D96-4336-B12E-E350773A973F}"/>
            </a:ext>
          </a:extLst>
        </xdr:cNvPr>
        <xdr:cNvSpPr txBox="1"/>
      </xdr:nvSpPr>
      <xdr:spPr>
        <a:xfrm>
          <a:off x="6115048" y="44442378"/>
          <a:ext cx="1285877" cy="1106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If necessary enter additional user specific profiles to select from in the 'I&amp;E Profiles' sheet.</a:t>
          </a:r>
        </a:p>
      </xdr:txBody>
    </xdr:sp>
    <xdr:clientData/>
  </xdr:twoCellAnchor>
  <xdr:twoCellAnchor>
    <xdr:from>
      <xdr:col>3</xdr:col>
      <xdr:colOff>4370069</xdr:colOff>
      <xdr:row>192</xdr:row>
      <xdr:rowOff>60322</xdr:rowOff>
    </xdr:from>
    <xdr:to>
      <xdr:col>4</xdr:col>
      <xdr:colOff>1125854</xdr:colOff>
      <xdr:row>198</xdr:row>
      <xdr:rowOff>152399</xdr:rowOff>
    </xdr:to>
    <xdr:sp macro="" textlink="">
      <xdr:nvSpPr>
        <xdr:cNvPr id="19" name="TextBox 14">
          <a:extLst>
            <a:ext uri="{FF2B5EF4-FFF2-40B4-BE49-F238E27FC236}">
              <a16:creationId xmlns:a16="http://schemas.microsoft.com/office/drawing/2014/main" id="{FA51B703-0BAF-4E5E-89F0-BDE61096BDCC}"/>
            </a:ext>
          </a:extLst>
        </xdr:cNvPr>
        <xdr:cNvSpPr txBox="1"/>
      </xdr:nvSpPr>
      <xdr:spPr>
        <a:xfrm>
          <a:off x="7646669" y="44389672"/>
          <a:ext cx="1165860" cy="1177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Select an</a:t>
          </a:r>
          <a:r>
            <a:rPr lang="en-GB" sz="1100" baseline="0">
              <a:solidFill>
                <a:schemeClr val="dk1"/>
              </a:solidFill>
              <a:effectLst/>
              <a:latin typeface="+mn-lt"/>
              <a:ea typeface="+mn-ea"/>
              <a:cs typeface="+mn-cs"/>
            </a:rPr>
            <a:t> I&amp;E profile for each relevant line item on the 'I&amp;E Annual' sheet.</a:t>
          </a:r>
          <a:endParaRPr lang="en-GB">
            <a:effectLst/>
          </a:endParaRPr>
        </a:p>
      </xdr:txBody>
    </xdr:sp>
    <xdr:clientData/>
  </xdr:twoCellAnchor>
  <xdr:twoCellAnchor>
    <xdr:from>
      <xdr:col>2</xdr:col>
      <xdr:colOff>1733550</xdr:colOff>
      <xdr:row>192</xdr:row>
      <xdr:rowOff>97153</xdr:rowOff>
    </xdr:from>
    <xdr:to>
      <xdr:col>3</xdr:col>
      <xdr:colOff>668655</xdr:colOff>
      <xdr:row>198</xdr:row>
      <xdr:rowOff>104774</xdr:rowOff>
    </xdr:to>
    <xdr:sp macro="" textlink="">
      <xdr:nvSpPr>
        <xdr:cNvPr id="28" name="TextBox 15">
          <a:extLst>
            <a:ext uri="{FF2B5EF4-FFF2-40B4-BE49-F238E27FC236}">
              <a16:creationId xmlns:a16="http://schemas.microsoft.com/office/drawing/2014/main" id="{0B05F7EA-13B4-45E9-9A19-62EAE09B54BD}"/>
            </a:ext>
          </a:extLst>
        </xdr:cNvPr>
        <xdr:cNvSpPr txBox="1"/>
      </xdr:nvSpPr>
      <xdr:spPr>
        <a:xfrm>
          <a:off x="2838450" y="44426503"/>
          <a:ext cx="1106805" cy="1093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any actuals (+ optional) data in "I&amp;E Monthly" </a:t>
          </a:r>
          <a:endParaRPr lang="en-GB" sz="1100"/>
        </a:p>
      </xdr:txBody>
    </xdr:sp>
    <xdr:clientData/>
  </xdr:twoCellAnchor>
  <xdr:twoCellAnchor>
    <xdr:from>
      <xdr:col>2</xdr:col>
      <xdr:colOff>2396490</xdr:colOff>
      <xdr:row>198</xdr:row>
      <xdr:rowOff>139065</xdr:rowOff>
    </xdr:from>
    <xdr:to>
      <xdr:col>2</xdr:col>
      <xdr:colOff>2891790</xdr:colOff>
      <xdr:row>199</xdr:row>
      <xdr:rowOff>152400</xdr:rowOff>
    </xdr:to>
    <xdr:sp macro="" textlink="">
      <xdr:nvSpPr>
        <xdr:cNvPr id="17" name="TextBox 16">
          <a:extLst>
            <a:ext uri="{FF2B5EF4-FFF2-40B4-BE49-F238E27FC236}">
              <a16:creationId xmlns:a16="http://schemas.microsoft.com/office/drawing/2014/main" id="{3CD22FE6-5683-4684-BBF6-ABAF43AA692B}"/>
            </a:ext>
          </a:extLst>
        </xdr:cNvPr>
        <xdr:cNvSpPr txBox="1"/>
      </xdr:nvSpPr>
      <xdr:spPr>
        <a:xfrm>
          <a:off x="3206115" y="6254115"/>
          <a:ext cx="495300"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1078231</xdr:colOff>
      <xdr:row>192</xdr:row>
      <xdr:rowOff>114299</xdr:rowOff>
    </xdr:from>
    <xdr:to>
      <xdr:col>2</xdr:col>
      <xdr:colOff>1733551</xdr:colOff>
      <xdr:row>195</xdr:row>
      <xdr:rowOff>100963</xdr:rowOff>
    </xdr:to>
    <xdr:cxnSp macro="">
      <xdr:nvCxnSpPr>
        <xdr:cNvPr id="20" name="Connector: Elbow 19">
          <a:extLst>
            <a:ext uri="{FF2B5EF4-FFF2-40B4-BE49-F238E27FC236}">
              <a16:creationId xmlns:a16="http://schemas.microsoft.com/office/drawing/2014/main" id="{6A3D889B-E6CF-42B4-90FD-71AB4C589E2E}"/>
            </a:ext>
          </a:extLst>
        </xdr:cNvPr>
        <xdr:cNvCxnSpPr>
          <a:stCxn id="3" idx="2"/>
          <a:endCxn id="28" idx="1"/>
        </xdr:cNvCxnSpPr>
      </xdr:nvCxnSpPr>
      <xdr:spPr>
        <a:xfrm rot="16200000" flipH="1">
          <a:off x="2245996" y="44380784"/>
          <a:ext cx="529589" cy="655320"/>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2428875</xdr:colOff>
      <xdr:row>191</xdr:row>
      <xdr:rowOff>9525</xdr:rowOff>
    </xdr:from>
    <xdr:to>
      <xdr:col>2</xdr:col>
      <xdr:colOff>2924175</xdr:colOff>
      <xdr:row>192</xdr:row>
      <xdr:rowOff>26670</xdr:rowOff>
    </xdr:to>
    <xdr:sp macro="" textlink="">
      <xdr:nvSpPr>
        <xdr:cNvPr id="21" name="TextBox 20">
          <a:extLst>
            <a:ext uri="{FF2B5EF4-FFF2-40B4-BE49-F238E27FC236}">
              <a16:creationId xmlns:a16="http://schemas.microsoft.com/office/drawing/2014/main" id="{AABF5290-6FA5-4CBE-9341-997217A73D06}"/>
            </a:ext>
          </a:extLst>
        </xdr:cNvPr>
        <xdr:cNvSpPr txBox="1"/>
      </xdr:nvSpPr>
      <xdr:spPr>
        <a:xfrm>
          <a:off x="3238500" y="7667625"/>
          <a:ext cx="4953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3</xdr:col>
      <xdr:colOff>1295399</xdr:colOff>
      <xdr:row>190</xdr:row>
      <xdr:rowOff>140970</xdr:rowOff>
    </xdr:from>
    <xdr:to>
      <xdr:col>3</xdr:col>
      <xdr:colOff>1925954</xdr:colOff>
      <xdr:row>191</xdr:row>
      <xdr:rowOff>140970</xdr:rowOff>
    </xdr:to>
    <xdr:sp macro="" textlink="">
      <xdr:nvSpPr>
        <xdr:cNvPr id="22" name="TextBox 21">
          <a:extLst>
            <a:ext uri="{FF2B5EF4-FFF2-40B4-BE49-F238E27FC236}">
              <a16:creationId xmlns:a16="http://schemas.microsoft.com/office/drawing/2014/main" id="{9C96047F-90DA-49A7-A53F-1C1F29D40F8B}"/>
            </a:ext>
          </a:extLst>
        </xdr:cNvPr>
        <xdr:cNvSpPr txBox="1"/>
      </xdr:nvSpPr>
      <xdr:spPr>
        <a:xfrm>
          <a:off x="4543424" y="3585019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2</a:t>
          </a:r>
        </a:p>
      </xdr:txBody>
    </xdr:sp>
    <xdr:clientData/>
  </xdr:twoCellAnchor>
  <xdr:twoCellAnchor>
    <xdr:from>
      <xdr:col>3</xdr:col>
      <xdr:colOff>2798445</xdr:colOff>
      <xdr:row>190</xdr:row>
      <xdr:rowOff>120015</xdr:rowOff>
    </xdr:from>
    <xdr:to>
      <xdr:col>3</xdr:col>
      <xdr:colOff>3425190</xdr:colOff>
      <xdr:row>191</xdr:row>
      <xdr:rowOff>120015</xdr:rowOff>
    </xdr:to>
    <xdr:sp macro="" textlink="">
      <xdr:nvSpPr>
        <xdr:cNvPr id="23" name="TextBox 22">
          <a:extLst>
            <a:ext uri="{FF2B5EF4-FFF2-40B4-BE49-F238E27FC236}">
              <a16:creationId xmlns:a16="http://schemas.microsoft.com/office/drawing/2014/main" id="{39B4025A-1588-4C8B-B69D-390AEAD0802E}"/>
            </a:ext>
          </a:extLst>
        </xdr:cNvPr>
        <xdr:cNvSpPr txBox="1"/>
      </xdr:nvSpPr>
      <xdr:spPr>
        <a:xfrm>
          <a:off x="6046470" y="35829240"/>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3a</a:t>
          </a:r>
        </a:p>
      </xdr:txBody>
    </xdr:sp>
    <xdr:clientData/>
  </xdr:twoCellAnchor>
  <xdr:twoCellAnchor>
    <xdr:from>
      <xdr:col>4</xdr:col>
      <xdr:colOff>102870</xdr:colOff>
      <xdr:row>190</xdr:row>
      <xdr:rowOff>154305</xdr:rowOff>
    </xdr:from>
    <xdr:to>
      <xdr:col>4</xdr:col>
      <xdr:colOff>733425</xdr:colOff>
      <xdr:row>191</xdr:row>
      <xdr:rowOff>154305</xdr:rowOff>
    </xdr:to>
    <xdr:sp macro="" textlink="">
      <xdr:nvSpPr>
        <xdr:cNvPr id="24" name="TextBox 23">
          <a:extLst>
            <a:ext uri="{FF2B5EF4-FFF2-40B4-BE49-F238E27FC236}">
              <a16:creationId xmlns:a16="http://schemas.microsoft.com/office/drawing/2014/main" id="{9765CA7E-03E1-4C2C-9A76-A86E9CBE41D9}"/>
            </a:ext>
          </a:extLst>
        </xdr:cNvPr>
        <xdr:cNvSpPr txBox="1"/>
      </xdr:nvSpPr>
      <xdr:spPr>
        <a:xfrm>
          <a:off x="7751445" y="35863530"/>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3b</a:t>
          </a:r>
        </a:p>
      </xdr:txBody>
    </xdr:sp>
    <xdr:clientData/>
  </xdr:twoCellAnchor>
  <xdr:twoCellAnchor>
    <xdr:from>
      <xdr:col>3</xdr:col>
      <xdr:colOff>668655</xdr:colOff>
      <xdr:row>195</xdr:row>
      <xdr:rowOff>100964</xdr:rowOff>
    </xdr:from>
    <xdr:to>
      <xdr:col>3</xdr:col>
      <xdr:colOff>1082674</xdr:colOff>
      <xdr:row>195</xdr:row>
      <xdr:rowOff>116205</xdr:rowOff>
    </xdr:to>
    <xdr:cxnSp macro="">
      <xdr:nvCxnSpPr>
        <xdr:cNvPr id="25" name="Connector: Elbow 24">
          <a:extLst>
            <a:ext uri="{FF2B5EF4-FFF2-40B4-BE49-F238E27FC236}">
              <a16:creationId xmlns:a16="http://schemas.microsoft.com/office/drawing/2014/main" id="{69BC9346-71D7-465E-B69E-A8DCD22B96A1}"/>
            </a:ext>
          </a:extLst>
        </xdr:cNvPr>
        <xdr:cNvCxnSpPr>
          <a:stCxn id="28" idx="3"/>
          <a:endCxn id="27" idx="1"/>
        </xdr:cNvCxnSpPr>
      </xdr:nvCxnSpPr>
      <xdr:spPr>
        <a:xfrm>
          <a:off x="3945255" y="44973239"/>
          <a:ext cx="414019" cy="152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2457449</xdr:colOff>
      <xdr:row>195</xdr:row>
      <xdr:rowOff>116205</xdr:rowOff>
    </xdr:from>
    <xdr:to>
      <xdr:col>3</xdr:col>
      <xdr:colOff>2838448</xdr:colOff>
      <xdr:row>195</xdr:row>
      <xdr:rowOff>123189</xdr:rowOff>
    </xdr:to>
    <xdr:cxnSp macro="">
      <xdr:nvCxnSpPr>
        <xdr:cNvPr id="44" name="Connector: Elbow 43">
          <a:extLst>
            <a:ext uri="{FF2B5EF4-FFF2-40B4-BE49-F238E27FC236}">
              <a16:creationId xmlns:a16="http://schemas.microsoft.com/office/drawing/2014/main" id="{6E35D94B-088D-43A2-B0B8-EEB93FFC923E}"/>
            </a:ext>
          </a:extLst>
        </xdr:cNvPr>
        <xdr:cNvCxnSpPr>
          <a:stCxn id="27" idx="3"/>
          <a:endCxn id="29" idx="1"/>
        </xdr:cNvCxnSpPr>
      </xdr:nvCxnSpPr>
      <xdr:spPr>
        <a:xfrm>
          <a:off x="5734049" y="44988480"/>
          <a:ext cx="380999" cy="698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4126230</xdr:colOff>
      <xdr:row>195</xdr:row>
      <xdr:rowOff>106361</xdr:rowOff>
    </xdr:from>
    <xdr:to>
      <xdr:col>3</xdr:col>
      <xdr:colOff>4370069</xdr:colOff>
      <xdr:row>195</xdr:row>
      <xdr:rowOff>121284</xdr:rowOff>
    </xdr:to>
    <xdr:cxnSp macro="">
      <xdr:nvCxnSpPr>
        <xdr:cNvPr id="56" name="Connector: Elbow 55">
          <a:extLst>
            <a:ext uri="{FF2B5EF4-FFF2-40B4-BE49-F238E27FC236}">
              <a16:creationId xmlns:a16="http://schemas.microsoft.com/office/drawing/2014/main" id="{8F772A35-6ECB-4881-BB05-5D4D65B898A1}"/>
            </a:ext>
          </a:extLst>
        </xdr:cNvPr>
        <xdr:cNvCxnSpPr>
          <a:stCxn id="29" idx="3"/>
          <a:endCxn id="19" idx="1"/>
        </xdr:cNvCxnSpPr>
      </xdr:nvCxnSpPr>
      <xdr:spPr>
        <a:xfrm flipV="1">
          <a:off x="7402830" y="44978636"/>
          <a:ext cx="243839" cy="1492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1503045</xdr:colOff>
      <xdr:row>192</xdr:row>
      <xdr:rowOff>60959</xdr:rowOff>
    </xdr:from>
    <xdr:to>
      <xdr:col>8</xdr:col>
      <xdr:colOff>161925</xdr:colOff>
      <xdr:row>198</xdr:row>
      <xdr:rowOff>87629</xdr:rowOff>
    </xdr:to>
    <xdr:sp macro="" textlink="">
      <xdr:nvSpPr>
        <xdr:cNvPr id="68" name="TextBox 14">
          <a:extLst>
            <a:ext uri="{FF2B5EF4-FFF2-40B4-BE49-F238E27FC236}">
              <a16:creationId xmlns:a16="http://schemas.microsoft.com/office/drawing/2014/main" id="{28615400-6926-4363-8852-CEE2B2B41432}"/>
            </a:ext>
          </a:extLst>
        </xdr:cNvPr>
        <xdr:cNvSpPr txBox="1"/>
      </xdr:nvSpPr>
      <xdr:spPr>
        <a:xfrm>
          <a:off x="9151620" y="36132134"/>
          <a:ext cx="1773555" cy="1112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selected I&amp;E inputs for each line item will be reflected in the 'I&amp;E Annual' sheet. It links to outputs and calculations.</a:t>
          </a:r>
          <a:endParaRPr lang="en-GB" sz="1100" baseline="0"/>
        </a:p>
      </xdr:txBody>
    </xdr:sp>
    <xdr:clientData/>
  </xdr:twoCellAnchor>
  <xdr:twoCellAnchor>
    <xdr:from>
      <xdr:col>4</xdr:col>
      <xdr:colOff>1101090</xdr:colOff>
      <xdr:row>194</xdr:row>
      <xdr:rowOff>170181</xdr:rowOff>
    </xdr:from>
    <xdr:to>
      <xdr:col>4</xdr:col>
      <xdr:colOff>1503045</xdr:colOff>
      <xdr:row>195</xdr:row>
      <xdr:rowOff>74294</xdr:rowOff>
    </xdr:to>
    <xdr:cxnSp macro="">
      <xdr:nvCxnSpPr>
        <xdr:cNvPr id="69" name="Connector: Elbow 68">
          <a:extLst>
            <a:ext uri="{FF2B5EF4-FFF2-40B4-BE49-F238E27FC236}">
              <a16:creationId xmlns:a16="http://schemas.microsoft.com/office/drawing/2014/main" id="{3D3EF78D-A0ED-4BD6-996A-15673417F22B}"/>
            </a:ext>
          </a:extLst>
        </xdr:cNvPr>
        <xdr:cNvCxnSpPr>
          <a:endCxn id="68" idx="1"/>
        </xdr:cNvCxnSpPr>
      </xdr:nvCxnSpPr>
      <xdr:spPr>
        <a:xfrm>
          <a:off x="8749665" y="36603306"/>
          <a:ext cx="401955" cy="85088"/>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2047875</xdr:colOff>
      <xdr:row>191</xdr:row>
      <xdr:rowOff>9525</xdr:rowOff>
    </xdr:from>
    <xdr:to>
      <xdr:col>3</xdr:col>
      <xdr:colOff>493395</xdr:colOff>
      <xdr:row>192</xdr:row>
      <xdr:rowOff>9525</xdr:rowOff>
    </xdr:to>
    <xdr:sp macro="" textlink="">
      <xdr:nvSpPr>
        <xdr:cNvPr id="71" name="TextBox 70">
          <a:extLst>
            <a:ext uri="{FF2B5EF4-FFF2-40B4-BE49-F238E27FC236}">
              <a16:creationId xmlns:a16="http://schemas.microsoft.com/office/drawing/2014/main" id="{932C1C7D-0C1D-4EFC-842D-35DEB3972E97}"/>
            </a:ext>
          </a:extLst>
        </xdr:cNvPr>
        <xdr:cNvSpPr txBox="1"/>
      </xdr:nvSpPr>
      <xdr:spPr>
        <a:xfrm>
          <a:off x="3114675" y="3589972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2396490</xdr:colOff>
      <xdr:row>201</xdr:row>
      <xdr:rowOff>139065</xdr:rowOff>
    </xdr:from>
    <xdr:to>
      <xdr:col>2</xdr:col>
      <xdr:colOff>2891790</xdr:colOff>
      <xdr:row>202</xdr:row>
      <xdr:rowOff>152400</xdr:rowOff>
    </xdr:to>
    <xdr:sp macro="" textlink="">
      <xdr:nvSpPr>
        <xdr:cNvPr id="72" name="TextBox 71">
          <a:extLst>
            <a:ext uri="{FF2B5EF4-FFF2-40B4-BE49-F238E27FC236}">
              <a16:creationId xmlns:a16="http://schemas.microsoft.com/office/drawing/2014/main" id="{38DDCDD9-442B-4A34-B796-D60E49D4504D}"/>
            </a:ext>
          </a:extLst>
        </xdr:cNvPr>
        <xdr:cNvSpPr txBox="1"/>
      </xdr:nvSpPr>
      <xdr:spPr>
        <a:xfrm>
          <a:off x="3244215" y="37292280"/>
          <a:ext cx="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4</xdr:col>
      <xdr:colOff>2036445</xdr:colOff>
      <xdr:row>190</xdr:row>
      <xdr:rowOff>144780</xdr:rowOff>
    </xdr:from>
    <xdr:to>
      <xdr:col>5</xdr:col>
      <xdr:colOff>434340</xdr:colOff>
      <xdr:row>191</xdr:row>
      <xdr:rowOff>144780</xdr:rowOff>
    </xdr:to>
    <xdr:sp macro="" textlink="">
      <xdr:nvSpPr>
        <xdr:cNvPr id="77" name="TextBox 76">
          <a:extLst>
            <a:ext uri="{FF2B5EF4-FFF2-40B4-BE49-F238E27FC236}">
              <a16:creationId xmlns:a16="http://schemas.microsoft.com/office/drawing/2014/main" id="{FF234F53-2CD4-4504-94B4-CBD67DC4EF43}"/>
            </a:ext>
          </a:extLst>
        </xdr:cNvPr>
        <xdr:cNvSpPr txBox="1"/>
      </xdr:nvSpPr>
      <xdr:spPr>
        <a:xfrm>
          <a:off x="9685020" y="3585400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2486025</xdr:colOff>
      <xdr:row>182</xdr:row>
      <xdr:rowOff>47625</xdr:rowOff>
    </xdr:from>
    <xdr:to>
      <xdr:col>3</xdr:col>
      <xdr:colOff>3116580</xdr:colOff>
      <xdr:row>183</xdr:row>
      <xdr:rowOff>133350</xdr:rowOff>
    </xdr:to>
    <xdr:sp macro="" textlink="">
      <xdr:nvSpPr>
        <xdr:cNvPr id="47" name="TextBox 46">
          <a:extLst>
            <a:ext uri="{FF2B5EF4-FFF2-40B4-BE49-F238E27FC236}">
              <a16:creationId xmlns:a16="http://schemas.microsoft.com/office/drawing/2014/main" id="{9AE8E279-5926-451B-8C5B-6A55EDE6442D}"/>
            </a:ext>
          </a:extLst>
        </xdr:cNvPr>
        <xdr:cNvSpPr txBox="1"/>
      </xdr:nvSpPr>
      <xdr:spPr>
        <a:xfrm>
          <a:off x="5762625" y="4273867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161925</xdr:colOff>
      <xdr:row>182</xdr:row>
      <xdr:rowOff>38100</xdr:rowOff>
    </xdr:from>
    <xdr:to>
      <xdr:col>3</xdr:col>
      <xdr:colOff>786765</xdr:colOff>
      <xdr:row>183</xdr:row>
      <xdr:rowOff>123825</xdr:rowOff>
    </xdr:to>
    <xdr:sp macro="" textlink="">
      <xdr:nvSpPr>
        <xdr:cNvPr id="48" name="TextBox 47">
          <a:extLst>
            <a:ext uri="{FF2B5EF4-FFF2-40B4-BE49-F238E27FC236}">
              <a16:creationId xmlns:a16="http://schemas.microsoft.com/office/drawing/2014/main" id="{3F601ABC-3B22-4B00-8C3A-E39915DD1036}"/>
            </a:ext>
          </a:extLst>
        </xdr:cNvPr>
        <xdr:cNvSpPr txBox="1"/>
      </xdr:nvSpPr>
      <xdr:spPr>
        <a:xfrm>
          <a:off x="3438525" y="42729150"/>
          <a:ext cx="62484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121920</xdr:colOff>
      <xdr:row>2</xdr:row>
      <xdr:rowOff>134435</xdr:rowOff>
    </xdr:from>
    <xdr:ext cx="1083945" cy="539995"/>
    <xdr:pic>
      <xdr:nvPicPr>
        <xdr:cNvPr id="3" name="Picture 2">
          <a:extLst>
            <a:ext uri="{FF2B5EF4-FFF2-40B4-BE49-F238E27FC236}">
              <a16:creationId xmlns:a16="http://schemas.microsoft.com/office/drawing/2014/main" id="{674727A5-CC55-4A64-9787-3A70C6DBACE8}"/>
            </a:ext>
          </a:extLst>
        </xdr:cNvPr>
        <xdr:cNvPicPr>
          <a:picLocks noChangeAspect="1"/>
        </xdr:cNvPicPr>
      </xdr:nvPicPr>
      <xdr:blipFill>
        <a:blip xmlns:r="http://schemas.openxmlformats.org/officeDocument/2006/relationships" r:embed="rId1"/>
        <a:stretch>
          <a:fillRect/>
        </a:stretch>
      </xdr:blipFill>
      <xdr:spPr>
        <a:xfrm>
          <a:off x="579120" y="496385"/>
          <a:ext cx="1083945" cy="5399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86</xdr:col>
      <xdr:colOff>30179</xdr:colOff>
      <xdr:row>17</xdr:row>
      <xdr:rowOff>45439</xdr:rowOff>
    </xdr:from>
    <xdr:to>
      <xdr:col>86</xdr:col>
      <xdr:colOff>1507992</xdr:colOff>
      <xdr:row>18</xdr:row>
      <xdr:rowOff>154024</xdr:rowOff>
    </xdr:to>
    <xdr:sp macro="" textlink="">
      <xdr:nvSpPr>
        <xdr:cNvPr id="2" name="Rectangle: Rounded Corners 1">
          <a:extLst>
            <a:ext uri="{FF2B5EF4-FFF2-40B4-BE49-F238E27FC236}">
              <a16:creationId xmlns:a16="http://schemas.microsoft.com/office/drawing/2014/main" id="{B69251AB-6A08-4028-99FF-05D3D8DE0259}"/>
            </a:ext>
          </a:extLst>
        </xdr:cNvPr>
        <xdr:cNvSpPr/>
      </xdr:nvSpPr>
      <xdr:spPr>
        <a:xfrm>
          <a:off x="15070154" y="3541114"/>
          <a:ext cx="1477813" cy="29908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Requires improvement</a:t>
          </a:r>
        </a:p>
      </xdr:txBody>
    </xdr:sp>
    <xdr:clientData/>
  </xdr:twoCellAnchor>
  <xdr:twoCellAnchor>
    <xdr:from>
      <xdr:col>86</xdr:col>
      <xdr:colOff>30180</xdr:colOff>
      <xdr:row>15</xdr:row>
      <xdr:rowOff>40784</xdr:rowOff>
    </xdr:from>
    <xdr:to>
      <xdr:col>86</xdr:col>
      <xdr:colOff>1506814</xdr:colOff>
      <xdr:row>16</xdr:row>
      <xdr:rowOff>141749</xdr:rowOff>
    </xdr:to>
    <xdr:sp macro="" textlink="">
      <xdr:nvSpPr>
        <xdr:cNvPr id="3" name="Rectangle: Rounded Corners 2">
          <a:extLst>
            <a:ext uri="{FF2B5EF4-FFF2-40B4-BE49-F238E27FC236}">
              <a16:creationId xmlns:a16="http://schemas.microsoft.com/office/drawing/2014/main" id="{78C2CC46-3A20-43F1-B691-836D333BFF9F}"/>
            </a:ext>
          </a:extLst>
        </xdr:cNvPr>
        <xdr:cNvSpPr/>
      </xdr:nvSpPr>
      <xdr:spPr>
        <a:xfrm>
          <a:off x="15070155" y="3174509"/>
          <a:ext cx="1476634" cy="28194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Good</a:t>
          </a:r>
        </a:p>
      </xdr:txBody>
    </xdr:sp>
    <xdr:clientData/>
  </xdr:twoCellAnchor>
  <xdr:twoCellAnchor>
    <xdr:from>
      <xdr:col>86</xdr:col>
      <xdr:colOff>30179</xdr:colOff>
      <xdr:row>12</xdr:row>
      <xdr:rowOff>136072</xdr:rowOff>
    </xdr:from>
    <xdr:to>
      <xdr:col>86</xdr:col>
      <xdr:colOff>1504950</xdr:colOff>
      <xdr:row>14</xdr:row>
      <xdr:rowOff>56179</xdr:rowOff>
    </xdr:to>
    <xdr:sp macro="" textlink="">
      <xdr:nvSpPr>
        <xdr:cNvPr id="4" name="Rectangle: Rounded Corners 3">
          <a:extLst>
            <a:ext uri="{FF2B5EF4-FFF2-40B4-BE49-F238E27FC236}">
              <a16:creationId xmlns:a16="http://schemas.microsoft.com/office/drawing/2014/main" id="{DE292689-7802-4052-9FA5-E84067C1DBCE}"/>
            </a:ext>
          </a:extLst>
        </xdr:cNvPr>
        <xdr:cNvSpPr/>
      </xdr:nvSpPr>
      <xdr:spPr>
        <a:xfrm>
          <a:off x="15070154" y="2698297"/>
          <a:ext cx="1474771" cy="30110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Outstanding</a:t>
          </a:r>
        </a:p>
      </xdr:txBody>
    </xdr:sp>
    <xdr:clientData/>
  </xdr:twoCellAnchor>
  <xdr:twoCellAnchor>
    <xdr:from>
      <xdr:col>86</xdr:col>
      <xdr:colOff>30179</xdr:colOff>
      <xdr:row>19</xdr:row>
      <xdr:rowOff>126352</xdr:rowOff>
    </xdr:from>
    <xdr:to>
      <xdr:col>86</xdr:col>
      <xdr:colOff>1504950</xdr:colOff>
      <xdr:row>21</xdr:row>
      <xdr:rowOff>46459</xdr:rowOff>
    </xdr:to>
    <xdr:sp macro="" textlink="">
      <xdr:nvSpPr>
        <xdr:cNvPr id="5" name="Rectangle: Rounded Corners 4">
          <a:extLst>
            <a:ext uri="{FF2B5EF4-FFF2-40B4-BE49-F238E27FC236}">
              <a16:creationId xmlns:a16="http://schemas.microsoft.com/office/drawing/2014/main" id="{B1FD7713-22C1-41E4-9446-5BA115F2FEAD}"/>
            </a:ext>
          </a:extLst>
        </xdr:cNvPr>
        <xdr:cNvSpPr/>
      </xdr:nvSpPr>
      <xdr:spPr>
        <a:xfrm>
          <a:off x="15070154" y="4003027"/>
          <a:ext cx="1474771" cy="301107"/>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Inadequate</a:t>
          </a:r>
        </a:p>
      </xdr:txBody>
    </xdr:sp>
    <xdr:clientData/>
  </xdr:twoCellAnchor>
  <xdr:twoCellAnchor>
    <xdr:from>
      <xdr:col>82</xdr:col>
      <xdr:colOff>398496</xdr:colOff>
      <xdr:row>7</xdr:row>
      <xdr:rowOff>29158</xdr:rowOff>
    </xdr:from>
    <xdr:to>
      <xdr:col>85</xdr:col>
      <xdr:colOff>168992</xdr:colOff>
      <xdr:row>9</xdr:row>
      <xdr:rowOff>38840</xdr:rowOff>
    </xdr:to>
    <xdr:sp macro="" textlink="">
      <xdr:nvSpPr>
        <xdr:cNvPr id="6" name="Rectangle: Rounded Corners 5">
          <a:extLst>
            <a:ext uri="{FF2B5EF4-FFF2-40B4-BE49-F238E27FC236}">
              <a16:creationId xmlns:a16="http://schemas.microsoft.com/office/drawing/2014/main" id="{E86528AA-5367-4A76-B205-97AEE11256FD}"/>
            </a:ext>
          </a:extLst>
        </xdr:cNvPr>
        <xdr:cNvSpPr/>
      </xdr:nvSpPr>
      <xdr:spPr>
        <a:xfrm>
          <a:off x="13918164" y="1321837"/>
          <a:ext cx="1549144" cy="2818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FEC Benchmark</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15240</xdr:colOff>
      <xdr:row>9</xdr:row>
      <xdr:rowOff>55244</xdr:rowOff>
    </xdr:from>
    <xdr:to>
      <xdr:col>35</xdr:col>
      <xdr:colOff>712228</xdr:colOff>
      <xdr:row>30</xdr:row>
      <xdr:rowOff>19049</xdr:rowOff>
    </xdr:to>
    <xdr:graphicFrame macro="">
      <xdr:nvGraphicFramePr>
        <xdr:cNvPr id="2" name="Chart 1">
          <a:extLst>
            <a:ext uri="{FF2B5EF4-FFF2-40B4-BE49-F238E27FC236}">
              <a16:creationId xmlns:a16="http://schemas.microsoft.com/office/drawing/2014/main" id="{203E6260-6370-4DC2-B611-99A4D17955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17144</xdr:colOff>
      <xdr:row>30</xdr:row>
      <xdr:rowOff>64770</xdr:rowOff>
    </xdr:from>
    <xdr:to>
      <xdr:col>35</xdr:col>
      <xdr:colOff>744854</xdr:colOff>
      <xdr:row>48</xdr:row>
      <xdr:rowOff>62865</xdr:rowOff>
    </xdr:to>
    <xdr:graphicFrame macro="">
      <xdr:nvGraphicFramePr>
        <xdr:cNvPr id="3" name="Chart 2">
          <a:extLst>
            <a:ext uri="{FF2B5EF4-FFF2-40B4-BE49-F238E27FC236}">
              <a16:creationId xmlns:a16="http://schemas.microsoft.com/office/drawing/2014/main" id="{34EF1B33-4886-4DEE-8E2B-BACCCEF94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132397</xdr:colOff>
      <xdr:row>11</xdr:row>
      <xdr:rowOff>59054</xdr:rowOff>
    </xdr:from>
    <xdr:to>
      <xdr:col>35</xdr:col>
      <xdr:colOff>689722</xdr:colOff>
      <xdr:row>27</xdr:row>
      <xdr:rowOff>28259</xdr:rowOff>
    </xdr:to>
    <xdr:graphicFrame macro="">
      <xdr:nvGraphicFramePr>
        <xdr:cNvPr id="2" name="Chart 1">
          <a:extLst>
            <a:ext uri="{FF2B5EF4-FFF2-40B4-BE49-F238E27FC236}">
              <a16:creationId xmlns:a16="http://schemas.microsoft.com/office/drawing/2014/main" id="{A35517F1-71D5-4E5E-9298-F13932C33C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161925</xdr:colOff>
      <xdr:row>28</xdr:row>
      <xdr:rowOff>123825</xdr:rowOff>
    </xdr:from>
    <xdr:to>
      <xdr:col>36</xdr:col>
      <xdr:colOff>14400</xdr:colOff>
      <xdr:row>41</xdr:row>
      <xdr:rowOff>113985</xdr:rowOff>
    </xdr:to>
    <xdr:graphicFrame macro="">
      <xdr:nvGraphicFramePr>
        <xdr:cNvPr id="4" name="Chart 3">
          <a:extLst>
            <a:ext uri="{FF2B5EF4-FFF2-40B4-BE49-F238E27FC236}">
              <a16:creationId xmlns:a16="http://schemas.microsoft.com/office/drawing/2014/main" id="{2660459F-F0DE-4B70-8A7A-5EF4DD271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26</xdr:col>
      <xdr:colOff>20954</xdr:colOff>
      <xdr:row>16</xdr:row>
      <xdr:rowOff>131443</xdr:rowOff>
    </xdr:from>
    <xdr:to>
      <xdr:col>35</xdr:col>
      <xdr:colOff>574889</xdr:colOff>
      <xdr:row>27</xdr:row>
      <xdr:rowOff>96838</xdr:rowOff>
    </xdr:to>
    <xdr:graphicFrame macro="">
      <xdr:nvGraphicFramePr>
        <xdr:cNvPr id="3" name="Chart 2">
          <a:extLst>
            <a:ext uri="{FF2B5EF4-FFF2-40B4-BE49-F238E27FC236}">
              <a16:creationId xmlns:a16="http://schemas.microsoft.com/office/drawing/2014/main" id="{5EE1F43B-1D96-47F0-A08B-71CF12CD6F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20952</xdr:colOff>
      <xdr:row>30</xdr:row>
      <xdr:rowOff>0</xdr:rowOff>
    </xdr:from>
    <xdr:to>
      <xdr:col>35</xdr:col>
      <xdr:colOff>574887</xdr:colOff>
      <xdr:row>40</xdr:row>
      <xdr:rowOff>169230</xdr:rowOff>
    </xdr:to>
    <xdr:graphicFrame macro="">
      <xdr:nvGraphicFramePr>
        <xdr:cNvPr id="13" name="Chart 12">
          <a:extLst>
            <a:ext uri="{FF2B5EF4-FFF2-40B4-BE49-F238E27FC236}">
              <a16:creationId xmlns:a16="http://schemas.microsoft.com/office/drawing/2014/main" id="{75B5C84B-EF66-46A7-B47B-E713090AC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22858</xdr:colOff>
      <xdr:row>44</xdr:row>
      <xdr:rowOff>17144</xdr:rowOff>
    </xdr:from>
    <xdr:to>
      <xdr:col>35</xdr:col>
      <xdr:colOff>572983</xdr:colOff>
      <xdr:row>54</xdr:row>
      <xdr:rowOff>171134</xdr:rowOff>
    </xdr:to>
    <xdr:graphicFrame macro="">
      <xdr:nvGraphicFramePr>
        <xdr:cNvPr id="4" name="Chart 3">
          <a:extLst>
            <a:ext uri="{FF2B5EF4-FFF2-40B4-BE49-F238E27FC236}">
              <a16:creationId xmlns:a16="http://schemas.microsoft.com/office/drawing/2014/main" id="{9C21F55A-6A7B-4A46-990C-3109E21B25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30480</xdr:colOff>
      <xdr:row>55</xdr:row>
      <xdr:rowOff>137159</xdr:rowOff>
    </xdr:from>
    <xdr:to>
      <xdr:col>35</xdr:col>
      <xdr:colOff>582510</xdr:colOff>
      <xdr:row>66</xdr:row>
      <xdr:rowOff>98744</xdr:rowOff>
    </xdr:to>
    <xdr:graphicFrame macro="">
      <xdr:nvGraphicFramePr>
        <xdr:cNvPr id="14" name="Chart 13">
          <a:extLst>
            <a:ext uri="{FF2B5EF4-FFF2-40B4-BE49-F238E27FC236}">
              <a16:creationId xmlns:a16="http://schemas.microsoft.com/office/drawing/2014/main" id="{CFED0C16-4230-4B20-A0AB-1A45CD8AE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24765</xdr:colOff>
      <xdr:row>69</xdr:row>
      <xdr:rowOff>171450</xdr:rowOff>
    </xdr:from>
    <xdr:to>
      <xdr:col>35</xdr:col>
      <xdr:colOff>571500</xdr:colOff>
      <xdr:row>80</xdr:row>
      <xdr:rowOff>136845</xdr:rowOff>
    </xdr:to>
    <xdr:graphicFrame macro="">
      <xdr:nvGraphicFramePr>
        <xdr:cNvPr id="21" name="Chart 14">
          <a:extLst>
            <a:ext uri="{FF2B5EF4-FFF2-40B4-BE49-F238E27FC236}">
              <a16:creationId xmlns:a16="http://schemas.microsoft.com/office/drawing/2014/main" id="{520CA363-36F2-4240-8B49-B8754396B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24765</xdr:colOff>
      <xdr:row>81</xdr:row>
      <xdr:rowOff>169544</xdr:rowOff>
    </xdr:from>
    <xdr:to>
      <xdr:col>35</xdr:col>
      <xdr:colOff>572985</xdr:colOff>
      <xdr:row>92</xdr:row>
      <xdr:rowOff>136844</xdr:rowOff>
    </xdr:to>
    <xdr:graphicFrame macro="">
      <xdr:nvGraphicFramePr>
        <xdr:cNvPr id="20" name="Chart 15">
          <a:extLst>
            <a:ext uri="{FF2B5EF4-FFF2-40B4-BE49-F238E27FC236}">
              <a16:creationId xmlns:a16="http://schemas.microsoft.com/office/drawing/2014/main" id="{C00FB605-9DDF-4EB6-9340-7817CF137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53341</xdr:colOff>
      <xdr:row>96</xdr:row>
      <xdr:rowOff>1905</xdr:rowOff>
    </xdr:from>
    <xdr:to>
      <xdr:col>38</xdr:col>
      <xdr:colOff>478156</xdr:colOff>
      <xdr:row>125</xdr:row>
      <xdr:rowOff>9525</xdr:rowOff>
    </xdr:to>
    <xdr:graphicFrame macro="">
      <xdr:nvGraphicFramePr>
        <xdr:cNvPr id="19" name="Chart 16">
          <a:extLst>
            <a:ext uri="{FF2B5EF4-FFF2-40B4-BE49-F238E27FC236}">
              <a16:creationId xmlns:a16="http://schemas.microsoft.com/office/drawing/2014/main" id="{DDC19DF0-462F-4F0D-BF56-A3C7FD3A6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57247</xdr:colOff>
      <xdr:row>127</xdr:row>
      <xdr:rowOff>18223</xdr:rowOff>
    </xdr:from>
    <xdr:to>
      <xdr:col>38</xdr:col>
      <xdr:colOff>485141</xdr:colOff>
      <xdr:row>145</xdr:row>
      <xdr:rowOff>129917</xdr:rowOff>
    </xdr:to>
    <xdr:graphicFrame macro="">
      <xdr:nvGraphicFramePr>
        <xdr:cNvPr id="11" name="Chart 10">
          <a:extLst>
            <a:ext uri="{FF2B5EF4-FFF2-40B4-BE49-F238E27FC236}">
              <a16:creationId xmlns:a16="http://schemas.microsoft.com/office/drawing/2014/main" id="{F0BEFAA2-456D-4411-A830-9AD866E3E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0110-1956-408D-BB0B-92971942CD3C}">
  <sheetPr codeName="Sheet2">
    <outlinePr summaryBelow="0" summaryRight="0"/>
  </sheetPr>
  <dimension ref="A1:O37"/>
  <sheetViews>
    <sheetView showGridLines="0" zoomScaleNormal="100" workbookViewId="0"/>
  </sheetViews>
  <sheetFormatPr defaultColWidth="0" defaultRowHeight="15" outlineLevelRow="1" outlineLevelCol="1" x14ac:dyDescent="0.25"/>
  <cols>
    <col min="1" max="1" width="7.5703125" style="15" customWidth="1"/>
    <col min="2" max="2" width="9.5703125" style="15" bestFit="1" customWidth="1"/>
    <col min="3" max="3" width="2.5703125" style="67" customWidth="1"/>
    <col min="4" max="4" width="9.42578125" style="3" customWidth="1"/>
    <col min="5" max="5" width="19.5703125" style="1" customWidth="1"/>
    <col min="6" max="6" width="16.42578125" style="15" customWidth="1"/>
    <col min="7" max="7" width="16.42578125" style="15" hidden="1" customWidth="1"/>
    <col min="8" max="8" width="9.5703125" style="67" hidden="1" customWidth="1"/>
    <col min="9" max="9" width="0.42578125" style="1" customWidth="1"/>
    <col min="10" max="10" width="2.5703125" style="67" customWidth="1" collapsed="1"/>
    <col min="11" max="11" width="3.140625" style="67" hidden="1" customWidth="1" outlineLevel="1"/>
    <col min="12" max="12" width="10.5703125" style="335" hidden="1" customWidth="1" outlineLevel="1"/>
    <col min="13" max="13" width="15.140625" style="67" hidden="1" customWidth="1" outlineLevel="1"/>
    <col min="14" max="14" width="16" style="67" hidden="1" customWidth="1" outlineLevel="1"/>
    <col min="15" max="15" width="3.85546875" style="67" hidden="1" customWidth="1"/>
    <col min="16" max="16384" width="9.140625" style="67" hidden="1"/>
  </cols>
  <sheetData>
    <row r="1" spans="1:14" x14ac:dyDescent="0.25">
      <c r="A1" s="7">
        <f ca="1">SUM(A$7:A$37)</f>
        <v>0</v>
      </c>
      <c r="B1" s="395">
        <f ca="1">SUM(B$7:B$37)</f>
        <v>5</v>
      </c>
      <c r="C1" s="14" t="s">
        <v>280</v>
      </c>
      <c r="D1" s="14"/>
      <c r="E1" s="20" t="str">
        <f>CollegeNameInput</f>
        <v>HALESOWEN COLLEGE</v>
      </c>
      <c r="F1" s="14"/>
      <c r="G1" s="24"/>
    </row>
    <row r="2" spans="1:14" x14ac:dyDescent="0.25">
      <c r="A2" s="14"/>
      <c r="B2" s="14"/>
      <c r="C2" s="92"/>
      <c r="D2" s="14"/>
      <c r="E2" s="26"/>
      <c r="F2" s="14"/>
      <c r="G2" s="14"/>
      <c r="H2" s="31" t="s">
        <v>85</v>
      </c>
      <c r="I2" s="67"/>
    </row>
    <row r="3" spans="1:14" collapsed="1" x14ac:dyDescent="0.25">
      <c r="A3" s="14"/>
      <c r="B3" s="14"/>
      <c r="C3" s="127" t="s">
        <v>913</v>
      </c>
      <c r="D3" s="127"/>
      <c r="E3" s="127"/>
      <c r="F3" s="14"/>
      <c r="G3" s="14"/>
      <c r="H3" s="30" t="s">
        <v>99</v>
      </c>
      <c r="I3" s="67"/>
    </row>
    <row r="4" spans="1:14" hidden="1" outlineLevel="1" x14ac:dyDescent="0.25">
      <c r="A4" s="14"/>
      <c r="B4" s="14"/>
      <c r="C4" s="14"/>
      <c r="D4" s="14"/>
      <c r="E4" s="43"/>
      <c r="F4" s="14"/>
      <c r="G4" s="14"/>
      <c r="H4" s="30" t="s">
        <v>99</v>
      </c>
      <c r="I4" s="67"/>
    </row>
    <row r="5" spans="1:14" hidden="1" outlineLevel="1" x14ac:dyDescent="0.25">
      <c r="A5" s="14"/>
      <c r="B5" s="14"/>
      <c r="C5" s="14"/>
      <c r="D5" s="14"/>
      <c r="E5" s="43"/>
      <c r="F5" s="14"/>
      <c r="G5" s="14"/>
      <c r="H5" s="30" t="s">
        <v>99</v>
      </c>
      <c r="I5" s="67"/>
    </row>
    <row r="6" spans="1:14" x14ac:dyDescent="0.25">
      <c r="A6" s="14" t="s">
        <v>943</v>
      </c>
      <c r="B6" s="14" t="s">
        <v>1561</v>
      </c>
      <c r="C6" s="14"/>
      <c r="D6" s="14"/>
      <c r="E6" s="14"/>
      <c r="F6" s="14"/>
      <c r="G6" s="14"/>
      <c r="H6" s="30" t="s">
        <v>99</v>
      </c>
      <c r="I6" s="67"/>
    </row>
    <row r="7" spans="1:14" ht="8.1" customHeight="1" x14ac:dyDescent="0.25">
      <c r="H7" s="30" t="s">
        <v>99</v>
      </c>
      <c r="I7" s="67"/>
    </row>
    <row r="8" spans="1:14" x14ac:dyDescent="0.25">
      <c r="A8" s="40"/>
      <c r="B8" s="40"/>
      <c r="C8" s="40"/>
      <c r="D8" s="40"/>
      <c r="E8" s="40" t="s">
        <v>794</v>
      </c>
      <c r="F8" s="40"/>
      <c r="G8" s="40"/>
      <c r="H8" s="30" t="s">
        <v>99</v>
      </c>
      <c r="I8" s="67"/>
      <c r="L8" s="40" t="s">
        <v>1533</v>
      </c>
      <c r="M8" s="40" t="s">
        <v>933</v>
      </c>
      <c r="N8" s="40" t="s">
        <v>934</v>
      </c>
    </row>
    <row r="9" spans="1:14" ht="8.1" customHeight="1" x14ac:dyDescent="0.25">
      <c r="H9" s="30" t="s">
        <v>99</v>
      </c>
      <c r="I9" s="67"/>
    </row>
    <row r="10" spans="1:14" x14ac:dyDescent="0.25">
      <c r="C10" s="5" t="s">
        <v>287</v>
      </c>
      <c r="E10" s="83" t="str" cm="1">
        <f t="array" aca="1" ref="E10" ca="1">HYPERLINK(CONCATENATE("#",CELL("address",ToC!$A$1)),ToC!$C$1)</f>
        <v>ToC</v>
      </c>
      <c r="H10" s="30" t="s">
        <v>99</v>
      </c>
      <c r="I10" s="67"/>
    </row>
    <row r="11" spans="1:14" x14ac:dyDescent="0.25">
      <c r="E11" s="83" t="str" cm="1">
        <f t="array" aca="1" ref="E11" ca="1">HYPERLINK(CONCATENATE("#",CELL("address",Guide!$A$1)),Guide!$B$1)</f>
        <v>Guide</v>
      </c>
      <c r="H11" s="30" t="s">
        <v>99</v>
      </c>
      <c r="I11" s="67"/>
    </row>
    <row r="12" spans="1:14" ht="8.1" customHeight="1" x14ac:dyDescent="0.25">
      <c r="H12" s="30" t="s">
        <v>99</v>
      </c>
      <c r="I12" s="67"/>
    </row>
    <row r="13" spans="1:14" x14ac:dyDescent="0.25">
      <c r="A13" s="7">
        <f ca="1">'Cover Sheet'!$A$2</f>
        <v>0</v>
      </c>
      <c r="B13" s="465" cm="1">
        <f t="array" aca="1" ref="B13" ca="1">HYPERLINK(CONCATENATE("#",CELL("address",'Cover Sheet'!$BZ$2)),'Cover Sheet'!$BZ$2)</f>
        <v>0</v>
      </c>
      <c r="C13" s="5" t="s">
        <v>285</v>
      </c>
      <c r="E13" s="86" t="str" cm="1">
        <f t="array" aca="1" ref="E13" ca="1">HYPERLINK(CONCATENATE("#",CELL("address",'Cover Sheet'!$A$2)),'Cover Sheet'!$B$1)</f>
        <v>Cover Sheet</v>
      </c>
      <c r="F13" s="85"/>
      <c r="H13" s="30" t="s">
        <v>99</v>
      </c>
      <c r="I13" s="67"/>
      <c r="L13" s="387" t="s">
        <v>1534</v>
      </c>
      <c r="M13" s="339">
        <f>IF('Cover Sheet'!C6=Template!C6,COUNTA('Cover Sheet'!C:C)-2,0)</f>
        <v>33</v>
      </c>
      <c r="N13" s="358" t="str" cm="1">
        <f t="array" aca="1" ref="N13" ca="1">IF(AND(M13&gt;0,COUNTIF(MetaDataSheetList,E13)&lt;&gt;0),IFERROR(COUNTA(_xlfn.UNIQUE(_xlfn._xlws.FILTER(MetaDataRefList,MetaDataSheetList=E13))),"Re-run"),"")</f>
        <v/>
      </c>
    </row>
    <row r="14" spans="1:14" s="279" customFormat="1" x14ac:dyDescent="0.25">
      <c r="A14" s="7">
        <f ca="1">'Learners and Staff'!$A$2</f>
        <v>0</v>
      </c>
      <c r="B14" s="462"/>
      <c r="C14" s="5"/>
      <c r="D14" s="278"/>
      <c r="E14" s="86" t="str" cm="1">
        <f t="array" aca="1" ref="E14" ca="1">HYPERLINK(CONCATENATE("#",CELL("address",'Learners and Staff'!$A$2)),'Learners and Staff'!$B$1)</f>
        <v>Learners and Staff</v>
      </c>
      <c r="F14" s="85"/>
      <c r="G14" s="15"/>
      <c r="H14" s="30" t="s">
        <v>99</v>
      </c>
      <c r="L14" s="387" t="s">
        <v>1534</v>
      </c>
      <c r="M14" s="339">
        <f>IF('Learners and Staff'!C6=Template!C6,COUNTA(_xlfn.UNIQUE('Learners and Staff'!C:C))-3,0)</f>
        <v>9</v>
      </c>
      <c r="N14" s="358" t="str" cm="1">
        <f t="array" aca="1" ref="N14" ca="1">IF(AND(M14&gt;0,COUNTIF(MetaDataSheetList,E14)&lt;&gt;0),IFERROR(COUNTA(_xlfn.UNIQUE(_xlfn._xlws.FILTER(MetaDataRefList,MetaDataSheetList=E14))),"Re-run"),"")</f>
        <v/>
      </c>
    </row>
    <row r="15" spans="1:14" x14ac:dyDescent="0.25">
      <c r="A15" s="7">
        <f ca="1">'I&amp;E Monthly'!$A$2</f>
        <v>0</v>
      </c>
      <c r="B15" s="465" cm="1">
        <f t="array" aca="1" ref="B15" ca="1">HYPERLINK(CONCATENATE("#",CELL("address",'I&amp;E Monthly'!$BZ$2)),'I&amp;E Monthly'!$BZ$2)</f>
        <v>5</v>
      </c>
      <c r="C15" s="5"/>
      <c r="E15" s="86" t="str" cm="1">
        <f t="array" aca="1" ref="E15" ca="1">HYPERLINK(CONCATENATE("#",CELL("address",'I&amp;E Monthly'!$A$2)),'I&amp;E Monthly'!$B$1)</f>
        <v>I&amp;E Monthly</v>
      </c>
      <c r="F15" s="85"/>
      <c r="H15" s="30" t="s">
        <v>99</v>
      </c>
      <c r="I15" s="67"/>
      <c r="L15" s="387" t="s">
        <v>99</v>
      </c>
      <c r="M15" s="339"/>
      <c r="N15" s="359"/>
    </row>
    <row r="16" spans="1:14" x14ac:dyDescent="0.25">
      <c r="A16" s="7">
        <f ca="1">'I&amp;E Annual'!$A$2</f>
        <v>0</v>
      </c>
      <c r="B16" s="465" cm="1">
        <f t="array" aca="1" ref="B16" ca="1">HYPERLINK(CONCATENATE("#",CELL("address",'I&amp;E Annual'!$BZ$2)),'I&amp;E Annual'!$BZ$2)</f>
        <v>0</v>
      </c>
      <c r="C16" s="5"/>
      <c r="E16" s="86" t="str" cm="1">
        <f t="array" aca="1" ref="E16" ca="1">HYPERLINK(CONCATENATE("#",CELL("address",'I&amp;E Annual'!$A$2)),'I&amp;E Annual'!$B$1)</f>
        <v>I&amp;E Annual</v>
      </c>
      <c r="F16" s="85"/>
      <c r="H16" s="30" t="s">
        <v>99</v>
      </c>
      <c r="I16" s="67"/>
      <c r="L16" s="387" t="s">
        <v>1534</v>
      </c>
      <c r="M16" s="339">
        <f>IF('I&amp;E Annual'!C6=Template!C6,COUNTA(_xlfn.UNIQUE('I&amp;E Annual'!C:C))-3,0)</f>
        <v>115</v>
      </c>
      <c r="N16" s="358" t="str" cm="1">
        <f t="array" aca="1" ref="N16" ca="1">IF(AND(M16&gt;0,COUNTIF(MetaDataSheetList,E16)&lt;&gt;0),IFERROR(COUNTA(_xlfn.UNIQUE(_xlfn._xlws.FILTER(MetaDataRefList,MetaDataSheetList=E16))),"Re-run"),"")</f>
        <v/>
      </c>
    </row>
    <row r="17" spans="1:14" x14ac:dyDescent="0.25">
      <c r="A17" s="7">
        <f ca="1">'I&amp;E Profiles'!$A$2</f>
        <v>0</v>
      </c>
      <c r="B17" s="465" cm="1">
        <f t="array" aca="1" ref="B17" ca="1">HYPERLINK(CONCATENATE("#",CELL("address",'I&amp;E Profiles'!$BZ$2)),'I&amp;E Profiles'!$BZ$2)</f>
        <v>0</v>
      </c>
      <c r="C17" s="5"/>
      <c r="E17" s="86" t="str" cm="1">
        <f t="array" aca="1" ref="E17" ca="1">HYPERLINK(CONCATENATE("#",CELL("address",'I&amp;E Profiles'!$A$2)),'I&amp;E Profiles'!$B$1)</f>
        <v>I&amp;E Profiles</v>
      </c>
      <c r="F17" s="85"/>
      <c r="H17" s="30" t="s">
        <v>99</v>
      </c>
      <c r="I17" s="67"/>
      <c r="L17" s="387" t="s">
        <v>99</v>
      </c>
      <c r="M17" s="339"/>
      <c r="N17" s="358" t="str" cm="1">
        <f t="array" aca="1" ref="N17" ca="1">IF(AND(M17&gt;0,COUNTIF(MetaDataSheetList,E17)&lt;&gt;0),IFERROR(COUNTA(_xlfn.UNIQUE(_xlfn._xlws.FILTER(MetaDataRefList,MetaDataSheetList=E17))),"Re-run"),"")</f>
        <v/>
      </c>
    </row>
    <row r="18" spans="1:14" x14ac:dyDescent="0.25">
      <c r="A18" s="7">
        <f ca="1">'Opening Balances'!$A$2</f>
        <v>0</v>
      </c>
      <c r="B18" s="465" cm="1">
        <f t="array" aca="1" ref="B18" ca="1">HYPERLINK(CONCATENATE("#",CELL("address",'Opening Balances'!$BZ$2)),'Opening Balances'!$BZ$2)</f>
        <v>0</v>
      </c>
      <c r="E18" s="86" t="str" cm="1">
        <f t="array" aca="1" ref="E18" ca="1">HYPERLINK(CONCATENATE("#",CELL("address",'Opening Balances'!$A$2)),'Opening Balances'!$B$1)</f>
        <v>Opening Balances</v>
      </c>
      <c r="F18" s="85"/>
      <c r="H18" s="30" t="s">
        <v>99</v>
      </c>
      <c r="I18" s="67"/>
      <c r="L18" s="387" t="s">
        <v>1534</v>
      </c>
      <c r="M18" s="339">
        <f>IF('Opening Balances'!C6=Template!C6,COUNTA(_xlfn.UNIQUE('Opening Balances'!C:C))-3,0)</f>
        <v>54</v>
      </c>
      <c r="N18" s="358" t="str" cm="1">
        <f t="array" aca="1" ref="N18" ca="1">IF(AND(M18&gt;0,COUNTIF(MetaDataSheetList,E18)&lt;&gt;0),IFERROR(COUNTA(_xlfn.UNIQUE(_xlfn._xlws.FILTER(MetaDataRefList,MetaDataSheetList=E18))),"Re-run"),"")</f>
        <v/>
      </c>
    </row>
    <row r="19" spans="1:14" x14ac:dyDescent="0.25">
      <c r="A19" s="7">
        <f ca="1">'Investing Inputs'!$A$2</f>
        <v>0</v>
      </c>
      <c r="B19" s="465" cm="1">
        <f t="array" aca="1" ref="B19" ca="1">HYPERLINK(CONCATENATE("#",CELL("address",'Investing Inputs'!$BZ$2)),'Investing Inputs'!$BZ$2)</f>
        <v>0</v>
      </c>
      <c r="E19" s="86" t="str" cm="1">
        <f t="array" aca="1" ref="E19" ca="1">HYPERLINK(CONCATENATE("#",CELL("address",'Investing Inputs'!$A$2)),'Investing Inputs'!$B$1)</f>
        <v>Investing Inputs</v>
      </c>
      <c r="F19" s="85"/>
      <c r="H19" s="30" t="s">
        <v>99</v>
      </c>
      <c r="I19" s="67"/>
      <c r="L19" s="387" t="s">
        <v>1534</v>
      </c>
      <c r="M19" s="339">
        <f ca="1">IF('Investing Inputs'!C6=Template!C6,COUNTA(_xlfn.UNIQUE('Investing Inputs'!C:C))-3,0)</f>
        <v>154</v>
      </c>
      <c r="N19" s="358" t="str" cm="1">
        <f t="array" aca="1" ref="N19" ca="1">IF(AND(M19&gt;0,COUNTIF(MetaDataSheetList,E19)&lt;&gt;0),IFERROR(COUNTA(_xlfn.UNIQUE(_xlfn._xlws.FILTER(MetaDataRefList,MetaDataSheetList=E19))),"Re-run"),"")</f>
        <v/>
      </c>
    </row>
    <row r="20" spans="1:14" x14ac:dyDescent="0.25">
      <c r="A20" s="7">
        <f ca="1">Loans!$A$2</f>
        <v>0</v>
      </c>
      <c r="B20" s="465" cm="1">
        <f t="array" aca="1" ref="B20" ca="1">HYPERLINK(CONCATENATE("#",CELL("address",Loans!$BZ$2)),Loans!$BZ$2)</f>
        <v>0</v>
      </c>
      <c r="E20" s="86" t="str" cm="1">
        <f t="array" aca="1" ref="E20" ca="1">HYPERLINK(CONCATENATE("#",CELL("address",Loans!$A$2)),Loans!$B$1)</f>
        <v>Loans</v>
      </c>
      <c r="F20" s="85"/>
      <c r="H20" s="30" t="s">
        <v>99</v>
      </c>
      <c r="I20" s="67"/>
      <c r="L20" s="387" t="s">
        <v>1534</v>
      </c>
      <c r="M20" s="339">
        <f ca="1">IF(Loans!C6=Template!C6,COUNTA(_xlfn.UNIQUE(Loans!C:C))-3,0)</f>
        <v>243</v>
      </c>
      <c r="N20" s="358" t="str" cm="1">
        <f t="array" aca="1" ref="N20" ca="1">IF(AND(M20&gt;0,COUNTIF(MetaDataSheetList,E20)&lt;&gt;0),IFERROR(COUNTA(_xlfn.UNIQUE(_xlfn._xlws.FILTER(MetaDataRefList,MetaDataSheetList=E20))),"Re-run"),"")</f>
        <v/>
      </c>
    </row>
    <row r="21" spans="1:14" x14ac:dyDescent="0.25">
      <c r="A21" s="7">
        <f ca="1">'BS Forecasts'!$A$2</f>
        <v>0</v>
      </c>
      <c r="B21" s="465" cm="1">
        <f t="array" aca="1" ref="B21" ca="1">HYPERLINK(CONCATENATE("#",CELL("address",'BS Forecasts'!$BZ$2)),'BS Forecasts'!$BZ$2)</f>
        <v>0</v>
      </c>
      <c r="E21" s="86" t="str" cm="1">
        <f t="array" aca="1" ref="E21" ca="1">HYPERLINK(CONCATENATE("#",CELL("address",'BS Forecasts'!$A$2)),'BS Forecasts'!$B$1)</f>
        <v>BS Forecasts</v>
      </c>
      <c r="F21" s="85"/>
      <c r="H21" s="30" t="s">
        <v>99</v>
      </c>
      <c r="I21" s="67"/>
      <c r="L21" s="387" t="s">
        <v>1534</v>
      </c>
      <c r="M21" s="339">
        <f ca="1">IF('BS Forecasts'!C6=Template!C6,COUNTA(_xlfn.UNIQUE('BS Forecasts'!C:C))-3,0)</f>
        <v>128</v>
      </c>
      <c r="N21" s="358" t="str" cm="1">
        <f t="array" aca="1" ref="N21" ca="1">IF(AND(M21&gt;0,COUNTIF(MetaDataSheetList,E21)&lt;&gt;0),IFERROR(COUNTA(_xlfn.UNIQUE(_xlfn._xlws.FILTER(MetaDataRefList,MetaDataSheetList=E21))),"Re-run"),"")</f>
        <v/>
      </c>
    </row>
    <row r="22" spans="1:14" s="279" customFormat="1" x14ac:dyDescent="0.25">
      <c r="A22" s="7">
        <f>'User Template'!$A$2</f>
        <v>0</v>
      </c>
      <c r="B22" s="462"/>
      <c r="D22" s="278"/>
      <c r="E22" s="86" t="str" cm="1">
        <f t="array" aca="1" ref="E22" ca="1">HYPERLINK(CONCATENATE("#",CELL("address",'User Template'!$A$2)),'User Template'!$B$1)</f>
        <v>User Template</v>
      </c>
      <c r="F22" s="85"/>
      <c r="G22" s="15"/>
      <c r="H22" s="30" t="s">
        <v>99</v>
      </c>
      <c r="L22" s="387" t="s">
        <v>99</v>
      </c>
      <c r="M22" s="339"/>
      <c r="N22" s="359"/>
    </row>
    <row r="23" spans="1:14" ht="8.1" customHeight="1" x14ac:dyDescent="0.25">
      <c r="B23" s="462"/>
      <c r="H23" s="30" t="s">
        <v>99</v>
      </c>
      <c r="I23" s="67"/>
      <c r="M23" s="335"/>
      <c r="N23" s="359"/>
    </row>
    <row r="24" spans="1:14" x14ac:dyDescent="0.25">
      <c r="A24" s="7">
        <f ca="1">'Fin Stat'!$A$2</f>
        <v>0</v>
      </c>
      <c r="B24" s="462"/>
      <c r="C24" s="5" t="s">
        <v>284</v>
      </c>
      <c r="E24" s="83" t="str" cm="1">
        <f t="array" aca="1" ref="E24" ca="1">HYPERLINK(CONCATENATE("#",CELL("address",'Fin Stat'!$A$2)),'Fin Stat'!$B$1)</f>
        <v>Fin Stat</v>
      </c>
      <c r="F24" s="85"/>
      <c r="H24" s="30" t="s">
        <v>99</v>
      </c>
      <c r="I24" s="67"/>
      <c r="L24" s="387" t="s">
        <v>1534</v>
      </c>
      <c r="M24" s="339">
        <f>IF('Fin Stat'!C6=Template!C6,COUNTA(_xlfn.UNIQUE('Fin Stat'!C:C))-3,0)</f>
        <v>141</v>
      </c>
      <c r="N24" s="358" t="str" cm="1">
        <f t="array" aca="1" ref="N24" ca="1">IF(AND(M24&gt;0,COUNTIF(MetaDataSheetList,E24)&lt;&gt;0),IFERROR(COUNTA(_xlfn.UNIQUE(_xlfn._xlws.FILTER(MetaDataRefList,MetaDataSheetList=E24))),"Re-run"),"")</f>
        <v/>
      </c>
    </row>
    <row r="25" spans="1:14" x14ac:dyDescent="0.25">
      <c r="A25" s="7">
        <f ca="1">Ratios!$A$2</f>
        <v>0</v>
      </c>
      <c r="B25" s="465" cm="1">
        <f t="array" aca="1" ref="B25" ca="1">HYPERLINK(CONCATENATE("#",CELL("address",Ratios!$BZ$2)),Ratios!$BZ$2)</f>
        <v>0</v>
      </c>
      <c r="E25" s="83" t="str" cm="1">
        <f t="array" aca="1" ref="E25" ca="1">HYPERLINK(CONCATENATE("#",CELL("address",Ratios!$A$2)),Ratios!$B$1)</f>
        <v>Ratios</v>
      </c>
      <c r="F25" s="85"/>
      <c r="H25" s="30" t="s">
        <v>99</v>
      </c>
      <c r="I25" s="67"/>
      <c r="L25" s="387" t="s">
        <v>1534</v>
      </c>
      <c r="M25" s="339">
        <f>IF(Ratios!C6=Template!C6,COUNTA(_xlfn.UNIQUE(Ratios!C:C))-3,0)</f>
        <v>38</v>
      </c>
      <c r="N25" s="358" t="str" cm="1">
        <f t="array" aca="1" ref="N25" ca="1">IF(AND(M25&gt;0,COUNTIF(MetaDataSheetList,E25)&lt;&gt;0),IFERROR(COUNTA(_xlfn.UNIQUE(_xlfn._xlws.FILTER(MetaDataRefList,MetaDataSheetList=E25))),"Re-run"),"")</f>
        <v/>
      </c>
    </row>
    <row r="26" spans="1:14" x14ac:dyDescent="0.25">
      <c r="A26" s="7">
        <f ca="1">'Financial Health'!$A$2</f>
        <v>0</v>
      </c>
      <c r="B26" s="462"/>
      <c r="E26" s="86" t="str" cm="1">
        <f t="array" aca="1" ref="E26" ca="1">HYPERLINK(CONCATENATE("#",CELL("address",'Financial Health'!$A$2)),'Financial Health'!$B$1)</f>
        <v>Financial Health</v>
      </c>
      <c r="F26" s="85"/>
      <c r="H26" s="30" t="s">
        <v>99</v>
      </c>
      <c r="I26" s="67"/>
      <c r="L26" s="387" t="s">
        <v>1534</v>
      </c>
      <c r="M26" s="339">
        <f>IF('Financial Health'!C6=Template!C6,COUNTA(_xlfn.UNIQUE('Financial Health'!C:C))-3,0)</f>
        <v>23</v>
      </c>
      <c r="N26" s="358" t="str" cm="1">
        <f t="array" aca="1" ref="N26" ca="1">IF(AND(M26&gt;0,COUNTIF(MetaDataSheetList,E26)&lt;&gt;0),IFERROR(COUNTA(_xlfn.UNIQUE(_xlfn._xlws.FILTER(MetaDataRefList,MetaDataSheetList=E26))),"Re-run"),"")</f>
        <v/>
      </c>
    </row>
    <row r="27" spans="1:14" x14ac:dyDescent="0.25">
      <c r="A27" s="7">
        <f ca="1">'Cash Flow Summary'!$A$2</f>
        <v>0</v>
      </c>
      <c r="B27" s="462"/>
      <c r="D27" s="225"/>
      <c r="E27" s="83" t="str" cm="1">
        <f t="array" aca="1" ref="E27" ca="1">HYPERLINK(CONCATENATE("#",CELL("address",'Cash Flow Summary'!$A$2)),'Cash Flow Summary'!$B$1)</f>
        <v>Cash Flow Summary</v>
      </c>
      <c r="H27" s="30" t="s">
        <v>99</v>
      </c>
      <c r="I27" s="67"/>
      <c r="L27" s="387" t="s">
        <v>99</v>
      </c>
      <c r="M27" s="339">
        <f>IF('Cash Flow Summary'!C6=Template!C6,COUNTA(_xlfn.UNIQUE('Cash Flow Summary'!C:C))-3,0)</f>
        <v>30</v>
      </c>
      <c r="N27" s="358" t="str" cm="1">
        <f t="array" aca="1" ref="N27" ca="1">IF(AND(M27&gt;0,COUNTIF(MetaDataSheetList,E27)&lt;&gt;0),IFERROR(COUNTA(_xlfn.UNIQUE(_xlfn._xlws.FILTER(MetaDataRefList,MetaDataSheetList=E27))),"Re-run"),"")</f>
        <v/>
      </c>
    </row>
    <row r="28" spans="1:14" x14ac:dyDescent="0.25">
      <c r="A28" s="489"/>
      <c r="B28" s="462"/>
      <c r="E28" s="86" t="str" cm="1">
        <f t="array" aca="1" ref="E28" ca="1">HYPERLINK(CONCATENATE("#",CELL("address",'WC Dashboard'!$A$2)),'WC Dashboard'!$B$1)</f>
        <v>WC Dashboard</v>
      </c>
      <c r="F28" s="85"/>
      <c r="H28" s="30" t="s">
        <v>99</v>
      </c>
      <c r="I28" s="67"/>
      <c r="L28" s="387" t="s">
        <v>99</v>
      </c>
      <c r="M28" s="339">
        <f>IF('WC Dashboard'!C6=Template!C6,COUNTA(_xlfn.UNIQUE('WC Dashboard'!C:C))-3,0)</f>
        <v>6</v>
      </c>
      <c r="N28" s="358" t="str" cm="1">
        <f t="array" aca="1" ref="N28" ca="1">IF(AND(M28&gt;0,COUNTIF(MetaDataSheetList,E28)&lt;&gt;0),IFERROR(COUNTA(_xlfn.UNIQUE(_xlfn._xlws.FILTER(MetaDataRefList,MetaDataSheetList=E28))),"Re-run"),"")</f>
        <v/>
      </c>
    </row>
    <row r="29" spans="1:14" x14ac:dyDescent="0.25">
      <c r="A29" s="489"/>
      <c r="B29" s="462"/>
      <c r="E29" s="86" t="str" cm="1">
        <f t="array" aca="1" ref="E29" ca="1">HYPERLINK(CONCATENATE("#",CELL("address",Dashboard!$A$2)),Dashboard!$B$1)</f>
        <v>Dashboard</v>
      </c>
      <c r="F29" s="85"/>
      <c r="H29" s="30" t="s">
        <v>99</v>
      </c>
      <c r="I29" s="67"/>
      <c r="L29" s="387" t="s">
        <v>99</v>
      </c>
      <c r="M29" s="339"/>
      <c r="N29" s="359"/>
    </row>
    <row r="30" spans="1:14" ht="8.1" customHeight="1" x14ac:dyDescent="0.25">
      <c r="B30" s="462"/>
      <c r="H30" s="30" t="s">
        <v>99</v>
      </c>
      <c r="I30" s="67"/>
      <c r="M30" s="335"/>
      <c r="N30" s="359"/>
    </row>
    <row r="31" spans="1:14" s="279" customFormat="1" x14ac:dyDescent="0.25">
      <c r="A31" s="15"/>
      <c r="B31" s="462"/>
      <c r="C31" s="5" t="s">
        <v>286</v>
      </c>
      <c r="D31" s="278"/>
      <c r="E31" s="86" t="str" cm="1">
        <f t="array" aca="1" ref="E31" ca="1">HYPERLINK(CONCATENATE("#",CELL("address",'Dash Data'!$B$1)),'Dash Data'!$B$1)</f>
        <v>Dash Data</v>
      </c>
      <c r="F31" s="85"/>
      <c r="G31" s="15"/>
      <c r="H31" s="30" t="s">
        <v>99</v>
      </c>
      <c r="L31" s="387" t="s">
        <v>99</v>
      </c>
      <c r="M31" s="339">
        <f>IF('Dash Data'!C6=Template!C6,COUNTA(_xlfn.UNIQUE('Dash Data'!C:C))-3,0)</f>
        <v>0</v>
      </c>
      <c r="N31" s="358" t="str" cm="1">
        <f t="array" aca="1" ref="N31" ca="1">IF(AND(M31&gt;0,COUNTIF(MetaDataSheetList,E31)&lt;&gt;0),IFERROR(COUNTA(_xlfn.UNIQUE(_xlfn._xlws.FILTER(MetaDataRefList,MetaDataSheetList=E31))),"Re-run"),"")</f>
        <v/>
      </c>
    </row>
    <row r="32" spans="1:14" x14ac:dyDescent="0.25">
      <c r="B32" s="462"/>
      <c r="E32" s="86" t="str" cm="1">
        <f t="array" aca="1" ref="E32" ca="1">HYPERLINK(CONCATENATE("#",CELL("address",Timeline!$A$2)),Timeline!$B$1)</f>
        <v>Timeline</v>
      </c>
      <c r="F32" s="85"/>
      <c r="H32" s="30" t="s">
        <v>99</v>
      </c>
      <c r="I32" s="67"/>
      <c r="L32" s="387" t="s">
        <v>99</v>
      </c>
      <c r="M32" s="339"/>
    </row>
    <row r="33" spans="1:13" x14ac:dyDescent="0.25">
      <c r="B33" s="462"/>
      <c r="E33" s="86" t="str" cm="1">
        <f t="array" aca="1" ref="E33" ca="1">HYPERLINK(CONCATENATE("#",CELL("address",Parameters!$A$2)),Parameters!$B$1)</f>
        <v>Parameters</v>
      </c>
      <c r="F33" s="85"/>
      <c r="H33" s="30" t="s">
        <v>99</v>
      </c>
      <c r="I33" s="67"/>
      <c r="L33" s="387" t="s">
        <v>99</v>
      </c>
      <c r="M33" s="339"/>
    </row>
    <row r="34" spans="1:13" s="335" customFormat="1" x14ac:dyDescent="0.25">
      <c r="A34" s="15"/>
      <c r="B34" s="471"/>
      <c r="D34" s="471"/>
      <c r="E34" s="86" t="str" cm="1">
        <f t="array" aca="1" ref="E34" ca="1">HYPERLINK(CONCATENATE("#",CELL("address",'List of Colleges'!$A$1)),'List of Colleges'!$A$1)</f>
        <v>List of Colleges</v>
      </c>
      <c r="F34" s="85"/>
      <c r="G34" s="15"/>
      <c r="H34" s="30" t="s">
        <v>99</v>
      </c>
      <c r="L34" s="387" t="s">
        <v>99</v>
      </c>
      <c r="M34" s="339"/>
    </row>
    <row r="35" spans="1:13" x14ac:dyDescent="0.25">
      <c r="B35" s="462"/>
      <c r="E35" s="86" t="str" cm="1">
        <f t="array" aca="1" ref="E35" ca="1">HYPERLINK(CONCATENATE("#",CELL("address",Template!$A$2)),Template!$B$1)</f>
        <v>Template</v>
      </c>
      <c r="F35" s="85"/>
      <c r="H35" s="30" t="s">
        <v>99</v>
      </c>
      <c r="I35" s="67"/>
      <c r="L35" s="387" t="s">
        <v>99</v>
      </c>
      <c r="M35" s="339"/>
    </row>
    <row r="37" spans="1:13" x14ac:dyDescent="0.25">
      <c r="A37" s="12" t="s">
        <v>88</v>
      </c>
      <c r="B37" s="12"/>
      <c r="C37" s="12" t="s">
        <v>88</v>
      </c>
      <c r="D37" s="12" t="s">
        <v>88</v>
      </c>
      <c r="E37" s="12" t="s">
        <v>88</v>
      </c>
      <c r="F37" s="12" t="s">
        <v>88</v>
      </c>
      <c r="G37" s="12" t="s">
        <v>88</v>
      </c>
      <c r="H37" s="12" t="s">
        <v>88</v>
      </c>
      <c r="I37" s="12"/>
      <c r="J37"/>
    </row>
  </sheetData>
  <sheetProtection algorithmName="SHA-512" hashValue="lOmWfR5o7zvjf//9EDpeaydypKWUHGZq8qEpW6cWT38NDlP3xFJZoLZDiV7Q+FJObUMdQPx5UbtNQnJgDCn25w==" saltValue="+80tZtbn4QoSpFtGMpI84w==" spinCount="100000" sheet="1" objects="1" scenarios="1"/>
  <conditionalFormatting sqref="A21 A18">
    <cfRule type="cellIs" dxfId="2783" priority="109" operator="equal">
      <formula>0</formula>
    </cfRule>
    <cfRule type="cellIs" dxfId="2782" priority="110" operator="equal">
      <formula>1</formula>
    </cfRule>
  </conditionalFormatting>
  <conditionalFormatting sqref="A13">
    <cfRule type="cellIs" dxfId="2781" priority="107" operator="equal">
      <formula>0</formula>
    </cfRule>
    <cfRule type="cellIs" dxfId="2780" priority="108" operator="equal">
      <formula>1</formula>
    </cfRule>
  </conditionalFormatting>
  <conditionalFormatting sqref="A15">
    <cfRule type="cellIs" dxfId="2779" priority="93" operator="equal">
      <formula>0</formula>
    </cfRule>
    <cfRule type="cellIs" dxfId="2778" priority="94" operator="equal">
      <formula>1</formula>
    </cfRule>
  </conditionalFormatting>
  <conditionalFormatting sqref="A16">
    <cfRule type="cellIs" dxfId="2777" priority="91" operator="equal">
      <formula>0</formula>
    </cfRule>
    <cfRule type="cellIs" dxfId="2776" priority="92" operator="equal">
      <formula>1</formula>
    </cfRule>
  </conditionalFormatting>
  <conditionalFormatting sqref="A17">
    <cfRule type="cellIs" dxfId="2775" priority="89" operator="equal">
      <formula>0</formula>
    </cfRule>
    <cfRule type="cellIs" dxfId="2774" priority="90" operator="equal">
      <formula>1</formula>
    </cfRule>
  </conditionalFormatting>
  <conditionalFormatting sqref="A24:A27 A15:A21">
    <cfRule type="cellIs" dxfId="2773" priority="79" operator="equal">
      <formula>0</formula>
    </cfRule>
    <cfRule type="cellIs" dxfId="2772" priority="80" operator="greaterThan">
      <formula>0</formula>
    </cfRule>
  </conditionalFormatting>
  <conditionalFormatting sqref="A13">
    <cfRule type="cellIs" dxfId="2771" priority="77" operator="equal">
      <formula>0</formula>
    </cfRule>
    <cfRule type="cellIs" dxfId="2770" priority="78" operator="greaterThan">
      <formula>0</formula>
    </cfRule>
  </conditionalFormatting>
  <conditionalFormatting sqref="A20:A21">
    <cfRule type="cellIs" dxfId="2769" priority="71" operator="equal">
      <formula>0</formula>
    </cfRule>
    <cfRule type="cellIs" dxfId="2768" priority="72" operator="greaterThan">
      <formula>0</formula>
    </cfRule>
  </conditionalFormatting>
  <conditionalFormatting sqref="A1">
    <cfRule type="cellIs" dxfId="2767" priority="67" operator="equal">
      <formula>0</formula>
    </cfRule>
    <cfRule type="cellIs" dxfId="2766" priority="68" operator="greaterThan">
      <formula>0</formula>
    </cfRule>
  </conditionalFormatting>
  <conditionalFormatting sqref="A14">
    <cfRule type="cellIs" dxfId="2765" priority="65" operator="equal">
      <formula>0</formula>
    </cfRule>
    <cfRule type="cellIs" dxfId="2764" priority="66" operator="equal">
      <formula>1</formula>
    </cfRule>
  </conditionalFormatting>
  <conditionalFormatting sqref="A14">
    <cfRule type="cellIs" dxfId="2763" priority="63" operator="equal">
      <formula>0</formula>
    </cfRule>
    <cfRule type="cellIs" dxfId="2762" priority="64" operator="greaterThan">
      <formula>0</formula>
    </cfRule>
  </conditionalFormatting>
  <conditionalFormatting sqref="A22">
    <cfRule type="cellIs" dxfId="2761" priority="61" operator="equal">
      <formula>0</formula>
    </cfRule>
    <cfRule type="cellIs" dxfId="2760" priority="62" operator="greaterThan">
      <formula>0</formula>
    </cfRule>
  </conditionalFormatting>
  <conditionalFormatting sqref="A22">
    <cfRule type="cellIs" dxfId="2759" priority="59" operator="equal">
      <formula>0</formula>
    </cfRule>
    <cfRule type="cellIs" dxfId="2758" priority="60" operator="greaterThan">
      <formula>0</formula>
    </cfRule>
  </conditionalFormatting>
  <conditionalFormatting sqref="B1">
    <cfRule type="cellIs" dxfId="2757" priority="21" operator="greaterThan">
      <formula>0</formula>
    </cfRule>
    <cfRule type="cellIs" dxfId="2756" priority="22" operator="equal">
      <formula>0</formula>
    </cfRule>
  </conditionalFormatting>
  <conditionalFormatting sqref="B16">
    <cfRule type="cellIs" dxfId="2755" priority="19" operator="greaterThan">
      <formula>0</formula>
    </cfRule>
    <cfRule type="cellIs" dxfId="2754" priority="20" operator="equal">
      <formula>0</formula>
    </cfRule>
  </conditionalFormatting>
  <conditionalFormatting sqref="B15">
    <cfRule type="cellIs" dxfId="2753" priority="17" operator="greaterThan">
      <formula>0</formula>
    </cfRule>
    <cfRule type="cellIs" dxfId="2752" priority="18" operator="equal">
      <formula>0</formula>
    </cfRule>
  </conditionalFormatting>
  <conditionalFormatting sqref="B13">
    <cfRule type="cellIs" dxfId="2751" priority="15" operator="greaterThan">
      <formula>0</formula>
    </cfRule>
    <cfRule type="cellIs" dxfId="2750" priority="16" operator="equal">
      <formula>0</formula>
    </cfRule>
  </conditionalFormatting>
  <conditionalFormatting sqref="B17">
    <cfRule type="cellIs" dxfId="2749" priority="11" operator="greaterThan">
      <formula>0</formula>
    </cfRule>
    <cfRule type="cellIs" dxfId="2748" priority="12" operator="equal">
      <formula>0</formula>
    </cfRule>
  </conditionalFormatting>
  <conditionalFormatting sqref="B18">
    <cfRule type="cellIs" dxfId="2747" priority="9" operator="greaterThan">
      <formula>0</formula>
    </cfRule>
    <cfRule type="cellIs" dxfId="2746" priority="10" operator="equal">
      <formula>0</formula>
    </cfRule>
  </conditionalFormatting>
  <conditionalFormatting sqref="B25">
    <cfRule type="cellIs" dxfId="2745" priority="7" operator="greaterThan">
      <formula>0</formula>
    </cfRule>
    <cfRule type="cellIs" dxfId="2744" priority="8" operator="equal">
      <formula>0</formula>
    </cfRule>
  </conditionalFormatting>
  <conditionalFormatting sqref="B19">
    <cfRule type="cellIs" dxfId="2743" priority="5" operator="greaterThan">
      <formula>0</formula>
    </cfRule>
    <cfRule type="cellIs" dxfId="2742" priority="6" operator="equal">
      <formula>0</formula>
    </cfRule>
  </conditionalFormatting>
  <conditionalFormatting sqref="B21">
    <cfRule type="cellIs" dxfId="2741" priority="3" operator="greaterThan">
      <formula>0</formula>
    </cfRule>
    <cfRule type="cellIs" dxfId="2740" priority="4" operator="equal">
      <formula>0</formula>
    </cfRule>
  </conditionalFormatting>
  <conditionalFormatting sqref="B20">
    <cfRule type="cellIs" dxfId="2739" priority="1" operator="greaterThan">
      <formula>0</formula>
    </cfRule>
    <cfRule type="cellIs" dxfId="2738" priority="2" operator="equal">
      <formula>0</formula>
    </cfRule>
  </conditionalFormatting>
  <dataValidations disablePrompts="1" count="1">
    <dataValidation type="list" allowBlank="1" showInputMessage="1" showErrorMessage="1" sqref="H3:H35" xr:uid="{078CB878-0997-4794-A23A-5DF663207C94}">
      <formula1>"Yes,No"</formula1>
    </dataValidation>
  </dataValidation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DBAD6-B470-42A2-B927-6581F33F8E18}">
  <sheetPr codeName="Sheet9">
    <tabColor theme="7" tint="0.59999389629810485"/>
    <outlinePr summaryBelow="0" summaryRight="0"/>
    <pageSetUpPr autoPageBreaks="0"/>
  </sheetPr>
  <dimension ref="A1:EX1152"/>
  <sheetViews>
    <sheetView showGridLines="0" zoomScaleNormal="100" workbookViewId="0">
      <pane xSplit="8" ySplit="7" topLeftCell="AW114" activePane="bottomRight" state="frozen"/>
      <selection pane="topRight"/>
      <selection pane="bottomLeft"/>
      <selection pane="bottomRight" activeCell="BJ134" sqref="BJ134"/>
    </sheetView>
  </sheetViews>
  <sheetFormatPr defaultColWidth="8.5703125" defaultRowHeight="15" outlineLevelCol="2" x14ac:dyDescent="0.25"/>
  <cols>
    <col min="1" max="1" width="6.5703125" style="11" bestFit="1" customWidth="1"/>
    <col min="2" max="2" width="9.85546875" style="11" customWidth="1"/>
    <col min="3" max="3" width="11.5703125" style="11" customWidth="1"/>
    <col min="4" max="4" width="49.140625" style="11" bestFit="1" customWidth="1"/>
    <col min="5" max="5" width="13.42578125" style="1" bestFit="1" customWidth="1"/>
    <col min="6" max="6" width="10.42578125" style="11" customWidth="1"/>
    <col min="7" max="7" width="10.5703125" style="11" customWidth="1"/>
    <col min="8" max="8" width="15" style="11" customWidth="1"/>
    <col min="9" max="9" width="13" style="11" customWidth="1"/>
    <col min="10" max="10" width="11.5703125" style="11" customWidth="1"/>
    <col min="11" max="11" width="9.5703125" style="11" customWidth="1" outlineLevel="1"/>
    <col min="12" max="13" width="12.5703125" style="11" customWidth="1" outlineLevel="1"/>
    <col min="14" max="15" width="10.42578125" style="11" customWidth="1" outlineLevel="1"/>
    <col min="16" max="16" width="9.5703125" style="11" customWidth="1" outlineLevel="1"/>
    <col min="17" max="17" width="11" style="11" customWidth="1" outlineLevel="1"/>
    <col min="18" max="18" width="9.5703125" style="11" customWidth="1" outlineLevel="1"/>
    <col min="19" max="19" width="11.140625" style="11" customWidth="1" outlineLevel="1"/>
    <col min="20" max="20" width="12.42578125" style="11" customWidth="1" outlineLevel="1"/>
    <col min="21" max="21" width="2" style="11" customWidth="1" outlineLevel="1"/>
    <col min="22" max="25" width="9.42578125" style="11" bestFit="1" customWidth="1"/>
    <col min="26" max="26" width="1.42578125" style="11" customWidth="1"/>
    <col min="27" max="62" width="9.5703125" style="11" bestFit="1" customWidth="1"/>
    <col min="63" max="63" width="1.42578125" style="11" customWidth="1"/>
    <col min="64" max="75" width="9.42578125" style="11" bestFit="1" customWidth="1"/>
    <col min="76" max="76" width="1.42578125" style="11" customWidth="1"/>
    <col min="77" max="77" width="3.42578125" style="335" customWidth="1"/>
    <col min="78" max="78" width="13.42578125" style="335" customWidth="1"/>
    <col min="79" max="79" width="3.42578125" style="11" customWidth="1"/>
    <col min="80" max="80" width="15.85546875" style="335" customWidth="1"/>
    <col min="81" max="81" width="14.42578125" style="335" customWidth="1"/>
    <col min="82" max="83" width="13.42578125" style="335" customWidth="1"/>
    <col min="84" max="84" width="13.42578125" style="67" customWidth="1"/>
    <col min="85" max="87" width="13.42578125" style="11" customWidth="1"/>
    <col min="88" max="88" width="13.42578125" style="67" customWidth="1"/>
    <col min="89" max="90" width="13.42578125" style="11" customWidth="1"/>
    <col min="91" max="94" width="13.42578125" style="335" customWidth="1"/>
    <col min="95" max="95" width="13.42578125" style="67" customWidth="1"/>
    <col min="96" max="96" width="3.42578125" style="335" customWidth="1"/>
    <col min="97" max="97" width="8.5703125" style="11" customWidth="1"/>
    <col min="98" max="98" width="8.5703125" style="335" customWidth="1"/>
    <col min="99" max="99" width="9.85546875" style="335" customWidth="1"/>
    <col min="100" max="104" width="8.5703125" style="11" customWidth="1"/>
    <col min="105" max="152" width="8.5703125" style="11"/>
    <col min="153" max="153" width="8.5703125" style="335" collapsed="1"/>
    <col min="154" max="154" width="24.5703125" style="11" hidden="1" customWidth="1" outlineLevel="2"/>
    <col min="155" max="16384" width="8.5703125" style="11"/>
  </cols>
  <sheetData>
    <row r="1" spans="1:154" x14ac:dyDescent="0.25">
      <c r="A1" s="7">
        <f ca="1">ToC!A1</f>
        <v>0</v>
      </c>
      <c r="B1" s="14" t="s">
        <v>178</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138" t="s">
        <v>1561</v>
      </c>
      <c r="CA1" s="575"/>
      <c r="CB1" s="5" t="s">
        <v>1771</v>
      </c>
      <c r="CM1" s="5" t="s">
        <v>2326</v>
      </c>
      <c r="CR1" s="575"/>
      <c r="CS1" s="5" t="s">
        <v>2311</v>
      </c>
      <c r="EX1" s="5" t="s">
        <v>1563</v>
      </c>
    </row>
    <row r="2" spans="1:154" ht="14.45" customHeight="1" x14ac:dyDescent="0.25">
      <c r="A2" s="362" cm="1">
        <f t="array" aca="1" ref="A2" ca="1">HYPERLINK(CONCATENATE("#",CELL("address",IF(SUM(A$7:A$1152)=0,$A$2,INDEX(A$7:A$1152,MATCH(1,A$7:A$1152,0))))),SUM(A$7:A$1152))</f>
        <v>0</v>
      </c>
      <c r="B2" s="92" t="str" cm="1">
        <f t="array" aca="1" ref="B2" ca="1">HYPERLINK(CONCATENATE("#",CELL("address",Guide!$C$207)),Guide!$B$1)</f>
        <v>Guide</v>
      </c>
      <c r="C2" s="26"/>
      <c r="D2" s="141" t="s">
        <v>2403</v>
      </c>
      <c r="E2" s="14"/>
      <c r="F2" s="14"/>
      <c r="G2" s="14"/>
      <c r="H2" s="14"/>
      <c r="I2" s="14"/>
      <c r="J2" s="14"/>
      <c r="K2" s="14"/>
      <c r="L2" s="14"/>
      <c r="M2" s="14"/>
      <c r="N2" s="14"/>
      <c r="O2" s="14"/>
      <c r="P2" s="14"/>
      <c r="Q2" s="14"/>
      <c r="R2" s="14"/>
      <c r="S2" s="14"/>
      <c r="T2" s="14"/>
      <c r="U2" s="14"/>
      <c r="V2" s="393">
        <f>_xlfn.IFNA(INDEX('Dash Data'!V$93:V$100, MATCH($D2, 'Dash Data'!$D$93:$D$100, 0)), "")</f>
        <v>0</v>
      </c>
      <c r="W2" s="393">
        <f>_xlfn.IFNA(INDEX('Dash Data'!W$93:W$100, MATCH($D2, 'Dash Data'!$D$93:$D$100, 0)), "")</f>
        <v>8.7677419354838708</v>
      </c>
      <c r="X2" s="393">
        <f>_xlfn.IFNA(INDEX('Dash Data'!X$93:X$100, MATCH($D2, 'Dash Data'!$D$93:$D$100, 0)), "")</f>
        <v>4.3143872113676736</v>
      </c>
      <c r="Y2" s="393">
        <f>_xlfn.IFNA(INDEX('Dash Data'!Y$93:Y$100, MATCH($D2, 'Dash Data'!$D$93:$D$100, 0)), "")</f>
        <v>3.7545470692717609</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BZ2" s="395" cm="1">
        <f t="array" aca="1" ref="BZ2" ca="1">HYPERLINK(CONCATENATE("#",CELL("address",IF(SUM(BZ$7:BZ$204)=0,$BZ$2,INDEX(BZ$7:BZ$204,MATCH(1,BZ$7:BZ$204,0))))),SUM(BZ$7:BZ$204))</f>
        <v>0</v>
      </c>
      <c r="CA2" s="575"/>
      <c r="CB2" s="594" t="s">
        <v>2369</v>
      </c>
      <c r="CC2" s="594" t="s">
        <v>967</v>
      </c>
      <c r="CR2" s="575"/>
      <c r="CT2" s="475"/>
      <c r="CU2" s="475"/>
      <c r="EX2" s="335"/>
    </row>
    <row r="3" spans="1:154" ht="14.85" customHeight="1" x14ac:dyDescent="0.25">
      <c r="A3" s="92" t="str" cm="1">
        <f t="array" aca="1" ref="A3" ca="1">HYPERLINK(CONCATENATE("#",CELL("address",ToC!$A$1)),ToC!$C$1)</f>
        <v>ToC</v>
      </c>
      <c r="B3" s="80" t="str" cm="1">
        <f t="array" aca="1" ref="B3" ca="1">HYPERLINK(CONCATENATE("#",CELL("address",$B$8)),"Loans")</f>
        <v>Loans</v>
      </c>
      <c r="C3" s="80" t="str" cm="1">
        <f t="array" aca="1" ref="C3" ca="1">HYPERLINK(CONCATENATE("#",CELL("address",$B$45)),"Manual")</f>
        <v>Manual</v>
      </c>
      <c r="D3" s="43" t="str">
        <f>Timeline!D3</f>
        <v>Financial Year</v>
      </c>
      <c r="E3" s="14"/>
      <c r="F3" s="14"/>
      <c r="G3" s="14"/>
      <c r="H3" s="14"/>
      <c r="I3" s="14"/>
      <c r="J3" s="14"/>
      <c r="K3" s="14"/>
      <c r="L3" s="14"/>
      <c r="M3" s="14"/>
      <c r="N3" s="14"/>
      <c r="O3" s="14"/>
      <c r="P3" s="14"/>
      <c r="Q3" s="14"/>
      <c r="R3" s="14"/>
      <c r="S3" s="14"/>
      <c r="T3" s="14"/>
      <c r="U3" s="14"/>
      <c r="V3" s="17" t="str">
        <f>Timeline!V3</f>
        <v>FY2020</v>
      </c>
      <c r="W3" s="205" t="str">
        <f>Timeline!W3</f>
        <v>FY2021</v>
      </c>
      <c r="X3" s="18" t="str">
        <f>Timeline!X3</f>
        <v>FY2022</v>
      </c>
      <c r="Y3" s="19" t="str">
        <f>Timeline!Y3</f>
        <v>FY2023</v>
      </c>
      <c r="Z3" s="14"/>
      <c r="AA3" s="204" t="str">
        <f>Timeline!AA3</f>
        <v>FY2021</v>
      </c>
      <c r="AB3" s="205" t="str">
        <f>Timeline!AB3</f>
        <v>FY2021</v>
      </c>
      <c r="AC3" s="205" t="str">
        <f>Timeline!AC3</f>
        <v>FY2021</v>
      </c>
      <c r="AD3" s="205" t="str">
        <f>Timeline!AD3</f>
        <v>FY2021</v>
      </c>
      <c r="AE3" s="205" t="str">
        <f>Timeline!AE3</f>
        <v>FY2021</v>
      </c>
      <c r="AF3" s="205" t="str">
        <f>Timeline!AF3</f>
        <v>FY2021</v>
      </c>
      <c r="AG3" s="205" t="str">
        <f>Timeline!AG3</f>
        <v>FY2021</v>
      </c>
      <c r="AH3" s="205" t="str">
        <f>Timeline!AH3</f>
        <v>FY2021</v>
      </c>
      <c r="AI3" s="205" t="str">
        <f>Timeline!AI3</f>
        <v>FY2021</v>
      </c>
      <c r="AJ3" s="205" t="str">
        <f>Timeline!AJ3</f>
        <v>FY2021</v>
      </c>
      <c r="AK3" s="205" t="str">
        <f>Timeline!AK3</f>
        <v>FY2021</v>
      </c>
      <c r="AL3" s="206" t="str">
        <f>Timeline!AL3</f>
        <v>FY2021</v>
      </c>
      <c r="AM3" s="205" t="str">
        <f>Timeline!AM3</f>
        <v>FY2022</v>
      </c>
      <c r="AN3" s="205" t="str">
        <f>Timeline!AN3</f>
        <v>FY2022</v>
      </c>
      <c r="AO3" s="205" t="str">
        <f>Timeline!AO3</f>
        <v>FY2022</v>
      </c>
      <c r="AP3" s="205" t="str">
        <f>Timeline!AP3</f>
        <v>FY2022</v>
      </c>
      <c r="AQ3" s="205" t="str">
        <f>Timeline!AQ3</f>
        <v>FY2022</v>
      </c>
      <c r="AR3" s="205" t="str">
        <f>Timeline!AR3</f>
        <v>FY2022</v>
      </c>
      <c r="AS3" s="205" t="str">
        <f>Timeline!AS3</f>
        <v>FY2022</v>
      </c>
      <c r="AT3" s="205" t="str">
        <f>Timeline!AT3</f>
        <v>FY2022</v>
      </c>
      <c r="AU3" s="205" t="str">
        <f>Timeline!AU3</f>
        <v>FY2022</v>
      </c>
      <c r="AV3" s="205" t="str">
        <f>Timeline!AV3</f>
        <v>FY2022</v>
      </c>
      <c r="AW3" s="205" t="str">
        <f>Timeline!AW3</f>
        <v>FY2022</v>
      </c>
      <c r="AX3" s="205" t="str">
        <f>Timeline!AX3</f>
        <v>FY2022</v>
      </c>
      <c r="AY3" s="204" t="str">
        <f>Timeline!AY3</f>
        <v>FY2023</v>
      </c>
      <c r="AZ3" s="205" t="str">
        <f>Timeline!AZ3</f>
        <v>FY2023</v>
      </c>
      <c r="BA3" s="205" t="str">
        <f>Timeline!BA3</f>
        <v>FY2023</v>
      </c>
      <c r="BB3" s="205" t="str">
        <f>Timeline!BB3</f>
        <v>FY2023</v>
      </c>
      <c r="BC3" s="205" t="str">
        <f>Timeline!BC3</f>
        <v>FY2023</v>
      </c>
      <c r="BD3" s="205" t="str">
        <f>Timeline!BD3</f>
        <v>FY2023</v>
      </c>
      <c r="BE3" s="205" t="str">
        <f>Timeline!BE3</f>
        <v>FY2023</v>
      </c>
      <c r="BF3" s="205" t="str">
        <f>Timeline!BF3</f>
        <v>FY2023</v>
      </c>
      <c r="BG3" s="205" t="str">
        <f>Timeline!BG3</f>
        <v>FY2023</v>
      </c>
      <c r="BH3" s="205" t="str">
        <f>Timeline!BH3</f>
        <v>FY2023</v>
      </c>
      <c r="BI3" s="205" t="str">
        <f>Timeline!BI3</f>
        <v>FY2023</v>
      </c>
      <c r="BJ3" s="206"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69"/>
      <c r="CA3" s="575"/>
      <c r="CB3" s="594"/>
      <c r="CC3" s="594"/>
      <c r="CD3" s="576" t="s">
        <v>1608</v>
      </c>
      <c r="CE3" s="595" t="s">
        <v>1593</v>
      </c>
      <c r="CF3" s="595" t="s">
        <v>216</v>
      </c>
      <c r="CG3" s="576" t="s">
        <v>217</v>
      </c>
      <c r="CH3" s="576" t="s">
        <v>521</v>
      </c>
      <c r="CI3" s="576" t="s">
        <v>522</v>
      </c>
      <c r="CJ3" s="576" t="s">
        <v>762</v>
      </c>
      <c r="CK3" s="576" t="s">
        <v>218</v>
      </c>
      <c r="CL3" s="594" t="s">
        <v>274</v>
      </c>
      <c r="CM3" s="592" t="s">
        <v>2365</v>
      </c>
      <c r="CN3" s="592" t="s">
        <v>2366</v>
      </c>
      <c r="CO3" s="592" t="s">
        <v>2367</v>
      </c>
      <c r="CP3" s="592" t="s">
        <v>2368</v>
      </c>
      <c r="CQ3" s="594" t="s">
        <v>554</v>
      </c>
      <c r="CR3" s="575"/>
      <c r="CS3" s="594" t="s">
        <v>553</v>
      </c>
      <c r="CT3" s="594" t="s">
        <v>2308</v>
      </c>
      <c r="CU3" s="594" t="s">
        <v>2309</v>
      </c>
      <c r="EX3" s="335"/>
    </row>
    <row r="4" spans="1:154" ht="14.85" customHeight="1" x14ac:dyDescent="0.25">
      <c r="A4" s="14"/>
      <c r="B4" s="80" t="str" cm="1">
        <f t="array" aca="1" ref="B4" ca="1">HYPERLINK(CONCATENATE("#",CELL("address",$D$684)),"Interest Calc")</f>
        <v>Interest Calc</v>
      </c>
      <c r="C4" s="80" t="str" cm="1">
        <f t="array" aca="1" ref="C4" ca="1">HYPERLINK(CONCATENATE("#",CELL("address",$D$895)),$D$895)</f>
        <v>Short Term vs. Long Term Debt</v>
      </c>
      <c r="D4" s="43" t="str">
        <f>Timeline!D4</f>
        <v>Forecast vs Actual</v>
      </c>
      <c r="E4" s="14"/>
      <c r="F4" s="14"/>
      <c r="G4" s="14"/>
      <c r="H4" s="14"/>
      <c r="I4" s="14"/>
      <c r="J4" s="14"/>
      <c r="K4" s="14"/>
      <c r="L4" s="14"/>
      <c r="M4" s="14"/>
      <c r="N4" s="14"/>
      <c r="O4" s="14"/>
      <c r="P4" s="14"/>
      <c r="Q4" s="14"/>
      <c r="R4" s="14"/>
      <c r="S4" s="14"/>
      <c r="T4" s="14"/>
      <c r="U4" s="14"/>
      <c r="V4" s="32">
        <f>Timeline!V4</f>
        <v>0</v>
      </c>
      <c r="W4" s="207">
        <f>Timeline!W4</f>
        <v>-1</v>
      </c>
      <c r="X4" s="207">
        <f>Timeline!X4</f>
        <v>1</v>
      </c>
      <c r="Y4" s="208">
        <f>Timeline!Y4</f>
        <v>1</v>
      </c>
      <c r="Z4" s="14"/>
      <c r="AA4" s="226">
        <f>Timeline!AA4</f>
        <v>0</v>
      </c>
      <c r="AB4" s="207">
        <f>Timeline!AB4</f>
        <v>0</v>
      </c>
      <c r="AC4" s="207">
        <f>Timeline!AC4</f>
        <v>0</v>
      </c>
      <c r="AD4" s="207">
        <f>Timeline!AD4</f>
        <v>0</v>
      </c>
      <c r="AE4" s="207">
        <f>Timeline!AE4</f>
        <v>0</v>
      </c>
      <c r="AF4" s="207">
        <f>Timeline!AF4</f>
        <v>0</v>
      </c>
      <c r="AG4" s="207">
        <f>Timeline!AG4</f>
        <v>0</v>
      </c>
      <c r="AH4" s="207">
        <f>Timeline!AH4</f>
        <v>0</v>
      </c>
      <c r="AI4" s="207">
        <f>Timeline!AI4</f>
        <v>0</v>
      </c>
      <c r="AJ4" s="207">
        <f>Timeline!AJ4</f>
        <v>0</v>
      </c>
      <c r="AK4" s="207">
        <f>Timeline!AK4</f>
        <v>0</v>
      </c>
      <c r="AL4" s="208">
        <f>Timeline!AL4</f>
        <v>1</v>
      </c>
      <c r="AM4" s="209">
        <f>Timeline!AM4</f>
        <v>1</v>
      </c>
      <c r="AN4" s="209">
        <f>Timeline!AN4</f>
        <v>1</v>
      </c>
      <c r="AO4" s="209">
        <f>Timeline!AO4</f>
        <v>1</v>
      </c>
      <c r="AP4" s="209">
        <f>Timeline!AP4</f>
        <v>1</v>
      </c>
      <c r="AQ4" s="209">
        <f>Timeline!AQ4</f>
        <v>1</v>
      </c>
      <c r="AR4" s="209">
        <f>Timeline!AR4</f>
        <v>1</v>
      </c>
      <c r="AS4" s="209">
        <f>Timeline!AS4</f>
        <v>1</v>
      </c>
      <c r="AT4" s="209">
        <f>Timeline!AT4</f>
        <v>1</v>
      </c>
      <c r="AU4" s="209">
        <f>Timeline!AU4</f>
        <v>1</v>
      </c>
      <c r="AV4" s="209">
        <f>Timeline!AV4</f>
        <v>1</v>
      </c>
      <c r="AW4" s="209">
        <f>Timeline!AW4</f>
        <v>1</v>
      </c>
      <c r="AX4" s="209">
        <f>Timeline!AX4</f>
        <v>1</v>
      </c>
      <c r="AY4" s="202">
        <f>Timeline!AY4</f>
        <v>1</v>
      </c>
      <c r="AZ4" s="207">
        <f>Timeline!AZ4</f>
        <v>1</v>
      </c>
      <c r="BA4" s="207">
        <f>Timeline!BA4</f>
        <v>1</v>
      </c>
      <c r="BB4" s="207">
        <f>Timeline!BB4</f>
        <v>1</v>
      </c>
      <c r="BC4" s="207">
        <f>Timeline!BC4</f>
        <v>1</v>
      </c>
      <c r="BD4" s="207">
        <f>Timeline!BD4</f>
        <v>1</v>
      </c>
      <c r="BE4" s="207">
        <f>Timeline!BE4</f>
        <v>1</v>
      </c>
      <c r="BF4" s="207">
        <f>Timeline!BF4</f>
        <v>1</v>
      </c>
      <c r="BG4" s="207">
        <f>Timeline!BG4</f>
        <v>1</v>
      </c>
      <c r="BH4" s="207">
        <f>Timeline!BH4</f>
        <v>1</v>
      </c>
      <c r="BI4" s="207">
        <f>Timeline!BI4</f>
        <v>1</v>
      </c>
      <c r="BJ4" s="208">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488" t="s">
        <v>965</v>
      </c>
      <c r="CA4" s="575"/>
      <c r="CB4" s="594"/>
      <c r="CC4" s="594"/>
      <c r="CD4" s="576"/>
      <c r="CE4" s="595"/>
      <c r="CF4" s="595"/>
      <c r="CG4" s="576"/>
      <c r="CH4" s="576"/>
      <c r="CI4" s="576"/>
      <c r="CJ4" s="576"/>
      <c r="CK4" s="576"/>
      <c r="CL4" s="594"/>
      <c r="CM4" s="592"/>
      <c r="CN4" s="592"/>
      <c r="CO4" s="592"/>
      <c r="CP4" s="592"/>
      <c r="CQ4" s="594"/>
      <c r="CR4" s="575"/>
      <c r="CS4" s="594"/>
      <c r="CT4" s="594"/>
      <c r="CU4" s="594"/>
      <c r="EX4" s="335"/>
    </row>
    <row r="5" spans="1:154" x14ac:dyDescent="0.25">
      <c r="A5" s="14"/>
      <c r="B5" s="80" t="str" cm="1">
        <f t="array" aca="1" ref="B5" ca="1">HYPERLINK(CONCATENATE("#",CELL("address",$B$824)),"Selected")</f>
        <v>Selected</v>
      </c>
      <c r="C5" s="80" t="str" cm="1">
        <f t="array" aca="1" ref="C5" ca="1">HYPERLINK(CONCATENATE("#",CELL("address",$B$1081)),"Summary")</f>
        <v>Summary</v>
      </c>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14">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14">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69"/>
      <c r="CA5" s="575"/>
      <c r="CB5" s="594"/>
      <c r="CC5" s="594"/>
      <c r="CD5" s="576"/>
      <c r="CE5" s="595"/>
      <c r="CF5" s="595"/>
      <c r="CG5" s="576"/>
      <c r="CH5" s="576"/>
      <c r="CI5" s="576"/>
      <c r="CJ5" s="576"/>
      <c r="CK5" s="576"/>
      <c r="CL5" s="594"/>
      <c r="CM5" s="592"/>
      <c r="CN5" s="592"/>
      <c r="CO5" s="592"/>
      <c r="CP5" s="592"/>
      <c r="CQ5" s="594"/>
      <c r="CR5" s="575"/>
      <c r="CS5" s="594"/>
      <c r="CT5" s="594"/>
      <c r="CU5" s="594"/>
      <c r="EX5" s="335"/>
    </row>
    <row r="6" spans="1:154" x14ac:dyDescent="0.25">
      <c r="A6" s="80" t="str" cm="1">
        <f t="array" aca="1" ref="A6" ca="1">HYPERLINK(CONCATENATE("#",CELL("address",CA7)),"Check")</f>
        <v>Check</v>
      </c>
      <c r="B6" s="14"/>
      <c r="C6" s="14" t="str">
        <f>Template!$C$6</f>
        <v>Ref. No.</v>
      </c>
      <c r="D6" s="26"/>
      <c r="E6" s="14"/>
      <c r="F6" s="14"/>
      <c r="G6" s="14"/>
      <c r="H6" s="14" t="s">
        <v>117</v>
      </c>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69"/>
      <c r="CA6" s="575"/>
      <c r="CB6" s="594"/>
      <c r="CC6" s="594"/>
      <c r="CD6" s="576"/>
      <c r="CE6" s="595"/>
      <c r="CF6" s="595"/>
      <c r="CG6" s="576"/>
      <c r="CH6" s="576"/>
      <c r="CI6" s="576"/>
      <c r="CJ6" s="576"/>
      <c r="CK6" s="576"/>
      <c r="CL6" s="594"/>
      <c r="CM6" s="592"/>
      <c r="CN6" s="592"/>
      <c r="CO6" s="592"/>
      <c r="CP6" s="592"/>
      <c r="CQ6" s="594"/>
      <c r="CR6" s="575"/>
      <c r="CS6" s="594"/>
      <c r="CT6" s="594"/>
      <c r="CU6" s="594"/>
      <c r="EX6" s="335"/>
    </row>
    <row r="7" spans="1:154" ht="15.75" x14ac:dyDescent="0.3">
      <c r="B7" s="139" t="s">
        <v>2494</v>
      </c>
      <c r="D7" s="1"/>
      <c r="E7" s="67"/>
      <c r="H7" s="335"/>
      <c r="S7" s="335"/>
      <c r="BM7" s="6"/>
      <c r="BY7" s="42"/>
      <c r="BZ7" s="105" t="s">
        <v>335</v>
      </c>
      <c r="CA7" s="42"/>
      <c r="CB7" s="105" t="s">
        <v>335</v>
      </c>
      <c r="CC7" s="105" t="s">
        <v>335</v>
      </c>
      <c r="CD7" s="105" t="s">
        <v>335</v>
      </c>
      <c r="CE7" s="105" t="s">
        <v>335</v>
      </c>
      <c r="CF7" s="105" t="s">
        <v>335</v>
      </c>
      <c r="CG7" s="105" t="s">
        <v>335</v>
      </c>
      <c r="CH7" s="105" t="s">
        <v>335</v>
      </c>
      <c r="CI7" s="105" t="s">
        <v>335</v>
      </c>
      <c r="CJ7" s="105" t="s">
        <v>335</v>
      </c>
      <c r="CK7" s="105" t="s">
        <v>335</v>
      </c>
      <c r="CL7" s="105" t="s">
        <v>335</v>
      </c>
      <c r="CM7" s="105" t="s">
        <v>335</v>
      </c>
      <c r="CN7" s="105" t="s">
        <v>335</v>
      </c>
      <c r="CO7" s="105" t="s">
        <v>335</v>
      </c>
      <c r="CP7" s="105" t="s">
        <v>335</v>
      </c>
      <c r="CQ7" s="105" t="s">
        <v>335</v>
      </c>
      <c r="CR7" s="42"/>
      <c r="EX7" s="335"/>
    </row>
    <row r="8" spans="1:154" x14ac:dyDescent="0.25">
      <c r="A8" s="40"/>
      <c r="B8" s="40"/>
      <c r="C8" s="390"/>
      <c r="D8" s="40" t="s">
        <v>782</v>
      </c>
      <c r="E8" s="40"/>
      <c r="F8" s="40"/>
      <c r="G8" s="40"/>
      <c r="H8" s="40"/>
      <c r="I8" s="40"/>
      <c r="J8" s="40"/>
      <c r="K8" s="40"/>
      <c r="L8" s="108"/>
      <c r="M8" s="40"/>
      <c r="N8" s="40"/>
      <c r="O8" s="40"/>
      <c r="P8" s="40"/>
      <c r="Q8" s="40"/>
      <c r="R8" s="108"/>
      <c r="S8" s="148"/>
      <c r="T8" s="148"/>
      <c r="U8" s="148"/>
      <c r="V8" s="148"/>
      <c r="W8" s="148"/>
      <c r="X8" s="148"/>
      <c r="Y8" s="148"/>
      <c r="Z8" s="40"/>
      <c r="AA8" s="148" t="s">
        <v>759</v>
      </c>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40"/>
      <c r="BL8" s="148"/>
      <c r="BM8" s="148"/>
      <c r="BN8" s="148"/>
      <c r="BO8" s="148"/>
      <c r="BP8" s="148"/>
      <c r="BQ8" s="148"/>
      <c r="BR8" s="148"/>
      <c r="BS8" s="148"/>
      <c r="BT8" s="148"/>
      <c r="BU8" s="148"/>
      <c r="BV8" s="148"/>
      <c r="BW8" s="148"/>
      <c r="BX8" s="40"/>
      <c r="BY8" s="42"/>
      <c r="CA8" s="42"/>
      <c r="CG8" s="67"/>
      <c r="CH8" s="67"/>
      <c r="CI8" s="67"/>
      <c r="CK8" s="67"/>
      <c r="CL8" s="67"/>
      <c r="CR8" s="42"/>
      <c r="EX8" s="10" t="str">
        <f>IF($C8="","",$D8)</f>
        <v/>
      </c>
    </row>
    <row r="9" spans="1:154" s="67" customFormat="1" ht="15.75" x14ac:dyDescent="0.3">
      <c r="B9" s="335"/>
      <c r="C9" s="343"/>
      <c r="D9" s="93"/>
      <c r="E9" s="105" t="s">
        <v>335</v>
      </c>
      <c r="F9" s="105" t="s">
        <v>335</v>
      </c>
      <c r="G9" s="105" t="s">
        <v>335</v>
      </c>
      <c r="H9" s="105" t="s">
        <v>335</v>
      </c>
      <c r="I9" s="93"/>
      <c r="J9" s="93"/>
      <c r="K9" s="105" t="s">
        <v>335</v>
      </c>
      <c r="L9" s="105" t="s">
        <v>335</v>
      </c>
      <c r="M9" s="105" t="s">
        <v>335</v>
      </c>
      <c r="N9" s="105" t="s">
        <v>335</v>
      </c>
      <c r="O9" s="105" t="s">
        <v>335</v>
      </c>
      <c r="P9" s="105" t="s">
        <v>335</v>
      </c>
      <c r="Q9" s="105" t="s">
        <v>335</v>
      </c>
      <c r="S9" s="93"/>
      <c r="T9" s="105" t="s">
        <v>335</v>
      </c>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L9" s="25"/>
      <c r="BM9" s="25"/>
      <c r="BN9" s="25"/>
      <c r="BO9" s="25"/>
      <c r="BP9" s="25"/>
      <c r="BQ9" s="25"/>
      <c r="BR9" s="25"/>
      <c r="BS9" s="25"/>
      <c r="BT9" s="25"/>
      <c r="BU9" s="25"/>
      <c r="BV9" s="25"/>
      <c r="BW9" s="25"/>
      <c r="BY9" s="12"/>
      <c r="BZ9" s="335"/>
      <c r="CA9" s="12"/>
      <c r="CB9" s="335"/>
      <c r="CC9" s="335"/>
      <c r="CD9" s="335"/>
      <c r="CE9" s="335"/>
      <c r="CM9" s="335"/>
      <c r="CN9" s="335"/>
      <c r="CO9" s="335"/>
      <c r="CP9" s="335"/>
      <c r="CR9" s="12"/>
      <c r="CT9" s="335"/>
      <c r="CU9" s="335"/>
      <c r="EW9" s="335"/>
      <c r="EX9" s="10" t="str">
        <f t="shared" ref="EX9:EX12" si="0">IF($C9="","",$D9)</f>
        <v/>
      </c>
    </row>
    <row r="10" spans="1:154" s="335" customFormat="1" x14ac:dyDescent="0.25">
      <c r="C10" s="340"/>
      <c r="D10" s="402" t="s">
        <v>1629</v>
      </c>
      <c r="E10" s="400"/>
      <c r="F10" s="401"/>
      <c r="G10" s="401"/>
      <c r="H10" s="401"/>
      <c r="I10" s="400"/>
      <c r="J10" s="400"/>
      <c r="K10" s="400"/>
      <c r="L10" s="403"/>
      <c r="M10" s="402" t="s">
        <v>1598</v>
      </c>
      <c r="N10" s="400"/>
      <c r="O10" s="403"/>
      <c r="P10" s="402" t="s">
        <v>1604</v>
      </c>
      <c r="Q10" s="400"/>
      <c r="R10" s="400"/>
      <c r="S10" s="400"/>
      <c r="T10" s="403"/>
      <c r="BY10" s="12"/>
      <c r="CA10" s="12"/>
      <c r="CR10" s="12"/>
      <c r="EX10" s="10" t="str">
        <f t="shared" si="0"/>
        <v/>
      </c>
    </row>
    <row r="11" spans="1:154" s="1" customFormat="1" ht="63.75" x14ac:dyDescent="0.25">
      <c r="A11" s="335"/>
      <c r="B11" s="335"/>
      <c r="C11" s="340"/>
      <c r="D11" s="417" t="s">
        <v>180</v>
      </c>
      <c r="E11" s="165" t="s">
        <v>181</v>
      </c>
      <c r="F11" s="165" t="s">
        <v>182</v>
      </c>
      <c r="G11" s="165" t="s">
        <v>520</v>
      </c>
      <c r="H11" s="165" t="s">
        <v>185</v>
      </c>
      <c r="I11" s="165" t="s">
        <v>226</v>
      </c>
      <c r="J11" s="165" t="s">
        <v>225</v>
      </c>
      <c r="K11" s="165" t="s">
        <v>2306</v>
      </c>
      <c r="L11" s="165" t="s">
        <v>1605</v>
      </c>
      <c r="M11" s="165" t="s">
        <v>1599</v>
      </c>
      <c r="N11" s="165" t="s">
        <v>765</v>
      </c>
      <c r="O11" s="165" t="s">
        <v>767</v>
      </c>
      <c r="P11" s="165" t="s">
        <v>2307</v>
      </c>
      <c r="Q11" s="165" t="s">
        <v>761</v>
      </c>
      <c r="R11" s="165" t="s">
        <v>183</v>
      </c>
      <c r="S11" s="165" t="s">
        <v>184</v>
      </c>
      <c r="T11" s="418" t="s">
        <v>531</v>
      </c>
      <c r="AA11" s="335"/>
      <c r="BY11" s="28"/>
      <c r="CA11" s="28"/>
      <c r="CB11" s="335"/>
      <c r="CC11" s="335"/>
      <c r="CM11" s="335"/>
      <c r="CN11" s="335"/>
      <c r="CO11" s="335"/>
      <c r="CP11" s="335"/>
      <c r="CQ11" s="67"/>
      <c r="CR11" s="28"/>
      <c r="EX11" s="10" t="str">
        <f t="shared" si="0"/>
        <v/>
      </c>
    </row>
    <row r="12" spans="1:154" x14ac:dyDescent="0.25">
      <c r="A12" s="335"/>
      <c r="B12" s="335"/>
      <c r="C12" s="340"/>
      <c r="D12" s="419" t="s">
        <v>188</v>
      </c>
      <c r="E12" s="58" t="s">
        <v>189</v>
      </c>
      <c r="F12" s="58" t="s">
        <v>7</v>
      </c>
      <c r="G12" s="58" t="s">
        <v>7</v>
      </c>
      <c r="H12" s="58" t="s">
        <v>7</v>
      </c>
      <c r="I12" s="58" t="s">
        <v>186</v>
      </c>
      <c r="J12" s="58" t="s">
        <v>186</v>
      </c>
      <c r="K12" s="58" t="s">
        <v>189</v>
      </c>
      <c r="L12" s="58" t="s">
        <v>1568</v>
      </c>
      <c r="M12" s="58" t="s">
        <v>186</v>
      </c>
      <c r="N12" s="58" t="s">
        <v>7</v>
      </c>
      <c r="O12" s="58" t="s">
        <v>276</v>
      </c>
      <c r="P12" s="58" t="s">
        <v>189</v>
      </c>
      <c r="Q12" s="59" t="s">
        <v>186</v>
      </c>
      <c r="R12" s="58"/>
      <c r="S12" s="58"/>
      <c r="T12" s="59" t="s">
        <v>189</v>
      </c>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P12" s="67"/>
      <c r="BQ12" s="67"/>
      <c r="BR12" s="67"/>
      <c r="BS12" s="67"/>
      <c r="BT12" s="67"/>
      <c r="BU12" s="67"/>
      <c r="BV12" s="67"/>
      <c r="BW12" s="67"/>
      <c r="BY12" s="12"/>
      <c r="CA12" s="12"/>
      <c r="CG12" s="67"/>
      <c r="CH12" s="67"/>
      <c r="CI12" s="67"/>
      <c r="CK12" s="67"/>
      <c r="CR12" s="12"/>
      <c r="EX12" s="10" t="str">
        <f t="shared" si="0"/>
        <v/>
      </c>
    </row>
    <row r="13" spans="1:154" x14ac:dyDescent="0.25">
      <c r="A13" s="362" cm="1">
        <f t="array" aca="1" ref="A13" ca="1">HYPERLINK(CONCATENATE("#",CELL("address",IF(SUM($CA13:$CR13)=0,A13,INDEX($CA13:$CR13,MATCH(1,$CA13:$CR13,0))))),SUM($CA13:$CR13))</f>
        <v>0</v>
      </c>
      <c r="B13" s="217" t="str" cm="1">
        <f t="array" aca="1" ref="B13" ca="1">HYPERLINK(CONCATENATE("#",CELL("address",$D$47)),$D$47)</f>
        <v>Loan 1</v>
      </c>
      <c r="C13" s="340" t="s">
        <v>1183</v>
      </c>
      <c r="D13" s="570" t="s">
        <v>2564</v>
      </c>
      <c r="E13" s="397" t="s">
        <v>215</v>
      </c>
      <c r="F13" s="212">
        <v>1525</v>
      </c>
      <c r="G13" s="212">
        <v>57</v>
      </c>
      <c r="H13" s="212"/>
      <c r="I13" s="167"/>
      <c r="J13" s="219"/>
      <c r="K13" s="166">
        <v>0</v>
      </c>
      <c r="L13" s="235"/>
      <c r="M13" s="219"/>
      <c r="N13" s="146"/>
      <c r="O13" s="146"/>
      <c r="P13" s="223">
        <v>0</v>
      </c>
      <c r="Q13" s="167"/>
      <c r="R13" s="397"/>
      <c r="S13" s="397"/>
      <c r="T13" s="166"/>
      <c r="Z13" s="3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63"/>
      <c r="BL13" s="67"/>
      <c r="BM13" s="67"/>
      <c r="BN13" s="67"/>
      <c r="BO13" s="67"/>
      <c r="BP13" s="335"/>
      <c r="BQ13" s="335"/>
      <c r="BR13" s="335"/>
      <c r="BS13" s="335"/>
      <c r="BT13" s="335"/>
      <c r="BU13" s="335"/>
      <c r="BV13" s="335"/>
      <c r="BW13" s="335"/>
      <c r="BY13" s="195"/>
      <c r="BZ13" s="177"/>
      <c r="CA13" s="195"/>
      <c r="CB13" s="93"/>
      <c r="CC13" s="93"/>
      <c r="CD13" s="188">
        <f t="shared" ref="CD13:CD32" si="1">IF($M13="", 0, IF(AND($M13&lt;=$J13, $M13&gt;=$I13, $M13&lt;=$BJ$5,$M13&gt;$V$5), 0, 1))</f>
        <v>0</v>
      </c>
      <c r="CE13" s="188">
        <f>IF(AND($P13&lt;&gt;1,COUNTA($Q13:$T13)&gt;0),1,)</f>
        <v>0</v>
      </c>
      <c r="CF13" s="188">
        <f>IF($G13&gt;$F13, 1,0)</f>
        <v>0</v>
      </c>
      <c r="CG13" s="188">
        <f t="shared" ref="CG13:CG32" si="2">IF($J13&lt;$I13, 1,0)</f>
        <v>0</v>
      </c>
      <c r="CH13" s="188">
        <f>IF(AND($F13&lt;&gt;0, $P13=""), 1, 0)</f>
        <v>0</v>
      </c>
      <c r="CI13" s="188">
        <f>IF(AND($K13=1, COUNTA($AA13:$BJ13)&lt;&gt;COUNTA($AA$3:$BJ$3)), 1,0)</f>
        <v>0</v>
      </c>
      <c r="CJ13" s="188">
        <f>IF(AND($P13=1, $Q13&lt;'Cover Sheet'!$E$21), 1, 0)</f>
        <v>0</v>
      </c>
      <c r="CK13" s="188">
        <f>IF(OR(_xlfn.IFNA(MATCH(R13, Parameters!$D$73:$D$77,0),0)=0,_xlfn.IFNA(MATCH(S13, Parameters!$D$73:$D$77,0),0)=0), 1, 0)*$P13</f>
        <v>0</v>
      </c>
      <c r="CL13" s="177"/>
      <c r="CM13" s="93"/>
      <c r="CN13" s="93"/>
      <c r="CO13" s="93"/>
      <c r="CP13" s="93"/>
      <c r="CQ13" s="93"/>
      <c r="CR13" s="195"/>
      <c r="EX13" s="13" t="str">
        <f ca="1">IF($C13="","",$B13)</f>
        <v>Loan 1</v>
      </c>
    </row>
    <row r="14" spans="1:154" x14ac:dyDescent="0.25">
      <c r="A14" s="362" cm="1">
        <f t="array" aca="1" ref="A14" ca="1">HYPERLINK(CONCATENATE("#",CELL("address",IF(SUM($CA14:$CR14)=0,A14,INDEX($CA14:$CR14,MATCH(1,$CA14:$CR14,0))))),SUM($CA14:$CR14))</f>
        <v>0</v>
      </c>
      <c r="B14" s="217" t="str" cm="1">
        <f t="array" aca="1" ref="B14" ca="1">HYPERLINK(CONCATENATE("#",CELL("address",$D$66)),$D$66)</f>
        <v>Loan 2</v>
      </c>
      <c r="C14" s="340" t="s">
        <v>1184</v>
      </c>
      <c r="D14" s="429" t="s">
        <v>2564</v>
      </c>
      <c r="E14" s="397" t="s">
        <v>215</v>
      </c>
      <c r="F14" s="147">
        <v>1525</v>
      </c>
      <c r="G14" s="212">
        <v>729</v>
      </c>
      <c r="H14" s="147"/>
      <c r="I14" s="167"/>
      <c r="J14" s="219"/>
      <c r="K14" s="166">
        <v>0</v>
      </c>
      <c r="L14" s="235"/>
      <c r="M14" s="219"/>
      <c r="N14" s="147"/>
      <c r="O14" s="147"/>
      <c r="P14" s="223">
        <v>0</v>
      </c>
      <c r="Q14" s="167"/>
      <c r="R14" s="397"/>
      <c r="S14" s="397"/>
      <c r="T14" s="166"/>
      <c r="Z14" s="3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63"/>
      <c r="BL14" s="67"/>
      <c r="BM14" s="67"/>
      <c r="BN14" s="67"/>
      <c r="BO14" s="67"/>
      <c r="BP14" s="335"/>
      <c r="BQ14" s="335"/>
      <c r="BR14" s="335"/>
      <c r="BS14" s="335"/>
      <c r="BT14" s="335"/>
      <c r="BU14" s="335"/>
      <c r="BV14" s="335"/>
      <c r="BW14" s="335"/>
      <c r="BY14" s="12"/>
      <c r="CA14" s="12"/>
      <c r="CD14" s="188">
        <f t="shared" si="1"/>
        <v>0</v>
      </c>
      <c r="CE14" s="188">
        <f>IF(AND($P14&lt;&gt;1,COUNTA($Q14:$T14)&gt;0),1,)</f>
        <v>0</v>
      </c>
      <c r="CF14" s="7">
        <f t="shared" ref="CF14:CF32" si="3">IF($G14&gt;$F14, 1,0)</f>
        <v>0</v>
      </c>
      <c r="CG14" s="7">
        <f t="shared" si="2"/>
        <v>0</v>
      </c>
      <c r="CH14" s="188">
        <f t="shared" ref="CH14:CH32" si="4">IF(AND($F14&lt;&gt;0, $P14=""), 1, 0)</f>
        <v>0</v>
      </c>
      <c r="CI14" s="188">
        <f t="shared" ref="CI14:CI32" si="5">IF(AND($K14=1, COUNTA($AA14:$BJ14)&lt;&gt;COUNTA($AA$3:$BJ$3)), 1,0)</f>
        <v>0</v>
      </c>
      <c r="CJ14" s="188">
        <f>IF(AND($P14=1, $Q14&lt;'Cover Sheet'!$E$21), 1, 0)</f>
        <v>0</v>
      </c>
      <c r="CK14" s="188">
        <f>IF(OR(_xlfn.IFNA(MATCH(R14, Parameters!$D$73:$D$77,0),0)=0,_xlfn.IFNA(MATCH(S14, Parameters!$D$73:$D$77,0),0)=0), 1, 0)*$P14</f>
        <v>0</v>
      </c>
      <c r="CR14" s="12"/>
      <c r="EX14" s="13" t="str">
        <f t="shared" ref="EX14:EX32" ca="1" si="6">IF($C14="","",$B14)</f>
        <v>Loan 2</v>
      </c>
    </row>
    <row r="15" spans="1:154" x14ac:dyDescent="0.25">
      <c r="A15" s="362" cm="1">
        <f t="array" aca="1" ref="A15" ca="1">HYPERLINK(CONCATENATE("#",CELL("address",IF(SUM($CA15:$CR15)=0,A15,INDEX($CA15:$CR15,MATCH(1,$CA15:$CR15,0))))),SUM($CA15:$CR15))</f>
        <v>0</v>
      </c>
      <c r="B15" s="217" t="str" cm="1">
        <f t="array" aca="1" ref="B15" ca="1">HYPERLINK(CONCATENATE("#",CELL("address",$D$85)),$D$85)</f>
        <v>Loan 3</v>
      </c>
      <c r="C15" s="340" t="s">
        <v>1185</v>
      </c>
      <c r="D15" s="429" t="s">
        <v>2564</v>
      </c>
      <c r="E15" s="397" t="s">
        <v>215</v>
      </c>
      <c r="F15" s="147">
        <v>1250</v>
      </c>
      <c r="G15" s="147">
        <v>712</v>
      </c>
      <c r="H15" s="147"/>
      <c r="I15" s="167"/>
      <c r="J15" s="219"/>
      <c r="K15" s="166">
        <v>0</v>
      </c>
      <c r="L15" s="235"/>
      <c r="M15" s="167"/>
      <c r="N15" s="147"/>
      <c r="O15" s="147"/>
      <c r="P15" s="223">
        <v>0</v>
      </c>
      <c r="Q15" s="167"/>
      <c r="R15" s="397"/>
      <c r="S15" s="397"/>
      <c r="T15" s="166"/>
      <c r="Z15" s="3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63"/>
      <c r="BL15" s="67"/>
      <c r="BM15" s="67"/>
      <c r="BN15" s="67"/>
      <c r="BO15" s="67"/>
      <c r="BP15" s="335"/>
      <c r="BQ15" s="335"/>
      <c r="BR15" s="335"/>
      <c r="BS15" s="335"/>
      <c r="BT15" s="335"/>
      <c r="BU15" s="335"/>
      <c r="BV15" s="335"/>
      <c r="BW15" s="335"/>
      <c r="BY15" s="12"/>
      <c r="BZ15" s="1"/>
      <c r="CA15" s="12"/>
      <c r="CD15" s="188">
        <f t="shared" si="1"/>
        <v>0</v>
      </c>
      <c r="CE15" s="188">
        <f t="shared" ref="CE15:CE32" si="7">IF(AND($P15&lt;&gt;1,COUNTA($Q15:$T15)&gt;0),1,)</f>
        <v>0</v>
      </c>
      <c r="CF15" s="7">
        <f t="shared" si="3"/>
        <v>0</v>
      </c>
      <c r="CG15" s="7">
        <f t="shared" si="2"/>
        <v>0</v>
      </c>
      <c r="CH15" s="188">
        <f t="shared" si="4"/>
        <v>0</v>
      </c>
      <c r="CI15" s="188">
        <f t="shared" si="5"/>
        <v>0</v>
      </c>
      <c r="CJ15" s="188">
        <f>IF(AND($P15=1, $Q15&lt;'Cover Sheet'!$E$21), 1, 0)</f>
        <v>0</v>
      </c>
      <c r="CK15" s="188">
        <f>IF(OR(_xlfn.IFNA(MATCH(R15, Parameters!$D$73:$D$77,0),0)=0,_xlfn.IFNA(MATCH(S15, Parameters!$D$73:$D$77,0),0)=0), 1, 0)*$P15</f>
        <v>0</v>
      </c>
      <c r="CL15" s="1"/>
      <c r="CR15" s="12"/>
      <c r="EX15" s="13" t="str">
        <f t="shared" ca="1" si="6"/>
        <v>Loan 3</v>
      </c>
    </row>
    <row r="16" spans="1:154" x14ac:dyDescent="0.25">
      <c r="A16" s="362" cm="1">
        <f t="array" aca="1" ref="A16" ca="1">HYPERLINK(CONCATENATE("#",CELL("address",IF(SUM($CA16:$CR16)=0,A16,INDEX($CA16:$CR16,MATCH(1,$CA16:$CR16,0))))),SUM($CA16:$CR16))</f>
        <v>0</v>
      </c>
      <c r="B16" s="217" t="str" cm="1">
        <f t="array" aca="1" ref="B16" ca="1">HYPERLINK(CONCATENATE("#",CELL("address",$D$104)),$D$104)</f>
        <v>Loan 4</v>
      </c>
      <c r="C16" s="340" t="s">
        <v>1186</v>
      </c>
      <c r="D16" s="429" t="s">
        <v>2564</v>
      </c>
      <c r="E16" s="397" t="s">
        <v>215</v>
      </c>
      <c r="F16" s="147">
        <v>1250</v>
      </c>
      <c r="G16" s="147">
        <v>727</v>
      </c>
      <c r="H16" s="147"/>
      <c r="I16" s="167"/>
      <c r="J16" s="219"/>
      <c r="K16" s="166">
        <v>0</v>
      </c>
      <c r="L16" s="235"/>
      <c r="M16" s="150"/>
      <c r="N16" s="147"/>
      <c r="O16" s="147"/>
      <c r="P16" s="223">
        <v>0</v>
      </c>
      <c r="Q16" s="167"/>
      <c r="R16" s="397"/>
      <c r="S16" s="397"/>
      <c r="T16" s="166"/>
      <c r="Z16" s="3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63"/>
      <c r="BL16" s="67"/>
      <c r="BM16" s="67"/>
      <c r="BN16" s="67"/>
      <c r="BO16" s="67"/>
      <c r="BP16" s="335"/>
      <c r="BQ16" s="335"/>
      <c r="BR16" s="335"/>
      <c r="BS16" s="335"/>
      <c r="BT16" s="335"/>
      <c r="BU16" s="335"/>
      <c r="BV16" s="335"/>
      <c r="BW16" s="335"/>
      <c r="BY16" s="12"/>
      <c r="CA16" s="12"/>
      <c r="CD16" s="188">
        <f t="shared" si="1"/>
        <v>0</v>
      </c>
      <c r="CE16" s="188">
        <f t="shared" si="7"/>
        <v>0</v>
      </c>
      <c r="CF16" s="7">
        <f t="shared" si="3"/>
        <v>0</v>
      </c>
      <c r="CG16" s="7">
        <f t="shared" si="2"/>
        <v>0</v>
      </c>
      <c r="CH16" s="188">
        <f t="shared" si="4"/>
        <v>0</v>
      </c>
      <c r="CI16" s="188">
        <f t="shared" si="5"/>
        <v>0</v>
      </c>
      <c r="CJ16" s="188">
        <f>IF(AND($P16=1, $Q16&lt;'Cover Sheet'!$E$21), 1, 0)</f>
        <v>0</v>
      </c>
      <c r="CK16" s="188">
        <f>IF(OR(_xlfn.IFNA(MATCH(R16, Parameters!$D$73:$D$77,0),0)=0,_xlfn.IFNA(MATCH(S16, Parameters!$D$73:$D$77,0),0)=0), 1, 0)*$P16</f>
        <v>0</v>
      </c>
      <c r="CR16" s="12"/>
      <c r="EX16" s="13" t="str">
        <f t="shared" ca="1" si="6"/>
        <v>Loan 4</v>
      </c>
    </row>
    <row r="17" spans="1:154" x14ac:dyDescent="0.25">
      <c r="A17" s="362" cm="1">
        <f t="array" aca="1" ref="A17" ca="1">HYPERLINK(CONCATENATE("#",CELL("address",IF(SUM($CA17:$CR17)=0,A17,INDEX($CA17:$CR17,MATCH(1,$CA17:$CR17,0))))),SUM($CA17:$CR17))</f>
        <v>0</v>
      </c>
      <c r="B17" s="217" t="str" cm="1">
        <f t="array" aca="1" ref="B17" ca="1">HYPERLINK(CONCATENATE("#",CELL("address",$D$123)),$D$123)</f>
        <v>Loan 5</v>
      </c>
      <c r="C17" s="340" t="s">
        <v>1187</v>
      </c>
      <c r="D17" s="429" t="s">
        <v>2564</v>
      </c>
      <c r="E17" s="397" t="s">
        <v>215</v>
      </c>
      <c r="F17" s="147">
        <v>1320</v>
      </c>
      <c r="G17" s="147">
        <v>817</v>
      </c>
      <c r="H17" s="147"/>
      <c r="I17" s="167"/>
      <c r="J17" s="219"/>
      <c r="K17" s="166">
        <v>0</v>
      </c>
      <c r="L17" s="235"/>
      <c r="M17" s="150"/>
      <c r="N17" s="147"/>
      <c r="O17" s="147"/>
      <c r="P17" s="223">
        <v>0</v>
      </c>
      <c r="Q17" s="167"/>
      <c r="R17" s="397"/>
      <c r="S17" s="397"/>
      <c r="T17" s="166"/>
      <c r="Z17" s="3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63"/>
      <c r="BL17" s="67"/>
      <c r="BM17" s="67"/>
      <c r="BN17" s="67"/>
      <c r="BO17" s="67"/>
      <c r="BP17" s="335"/>
      <c r="BQ17" s="335"/>
      <c r="BR17" s="335"/>
      <c r="BS17" s="335"/>
      <c r="BT17" s="335"/>
      <c r="BU17" s="335"/>
      <c r="BV17" s="335"/>
      <c r="BW17" s="335"/>
      <c r="BY17" s="12"/>
      <c r="BZ17" s="1"/>
      <c r="CA17" s="12"/>
      <c r="CD17" s="188">
        <f t="shared" si="1"/>
        <v>0</v>
      </c>
      <c r="CE17" s="188">
        <f t="shared" si="7"/>
        <v>0</v>
      </c>
      <c r="CF17" s="7">
        <f t="shared" si="3"/>
        <v>0</v>
      </c>
      <c r="CG17" s="7">
        <f t="shared" si="2"/>
        <v>0</v>
      </c>
      <c r="CH17" s="188">
        <f t="shared" si="4"/>
        <v>0</v>
      </c>
      <c r="CI17" s="188">
        <f t="shared" si="5"/>
        <v>0</v>
      </c>
      <c r="CJ17" s="188">
        <f>IF(AND($P17=1, $Q17&lt;'Cover Sheet'!$E$21), 1, 0)</f>
        <v>0</v>
      </c>
      <c r="CK17" s="188">
        <f>IF(OR(_xlfn.IFNA(MATCH(R17, Parameters!$D$73:$D$77,0),0)=0,_xlfn.IFNA(MATCH(S17, Parameters!$D$73:$D$77,0),0)=0), 1, 0)*$P17</f>
        <v>0</v>
      </c>
      <c r="CL17" s="1"/>
      <c r="CR17" s="12"/>
      <c r="EX17" s="13" t="str">
        <f t="shared" ca="1" si="6"/>
        <v>Loan 5</v>
      </c>
    </row>
    <row r="18" spans="1:154" x14ac:dyDescent="0.25">
      <c r="A18" s="362" cm="1">
        <f t="array" aca="1" ref="A18" ca="1">HYPERLINK(CONCATENATE("#",CELL("address",IF(SUM($CA18:$CR18)=0,A18,INDEX($CA18:$CR18,MATCH(1,$CA18:$CR18,0))))),SUM($CA18:$CR18))</f>
        <v>0</v>
      </c>
      <c r="B18" s="217" t="str" cm="1">
        <f t="array" aca="1" ref="B18" ca="1">HYPERLINK(CONCATENATE("#",CELL("address",$D$142)),$D$142)</f>
        <v>Loan 6</v>
      </c>
      <c r="C18" s="340" t="s">
        <v>1188</v>
      </c>
      <c r="D18" s="397"/>
      <c r="E18" s="397"/>
      <c r="F18" s="147"/>
      <c r="G18" s="147"/>
      <c r="H18" s="147"/>
      <c r="I18" s="167"/>
      <c r="J18" s="219"/>
      <c r="K18" s="166">
        <v>0</v>
      </c>
      <c r="L18" s="235"/>
      <c r="M18" s="143"/>
      <c r="N18" s="372"/>
      <c r="O18" s="372"/>
      <c r="P18" s="223">
        <v>0</v>
      </c>
      <c r="Q18" s="167"/>
      <c r="R18" s="397"/>
      <c r="S18" s="397"/>
      <c r="T18" s="166"/>
      <c r="Z18" s="3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63"/>
      <c r="BL18" s="67"/>
      <c r="BM18" s="67"/>
      <c r="BN18" s="67"/>
      <c r="BO18" s="67"/>
      <c r="BP18" s="335"/>
      <c r="BQ18" s="335"/>
      <c r="BR18" s="335"/>
      <c r="BS18" s="335"/>
      <c r="BT18" s="335"/>
      <c r="BU18" s="335"/>
      <c r="BV18" s="335"/>
      <c r="BW18" s="335"/>
      <c r="BY18" s="12"/>
      <c r="CA18" s="12"/>
      <c r="CD18" s="188">
        <f t="shared" si="1"/>
        <v>0</v>
      </c>
      <c r="CE18" s="188">
        <f t="shared" si="7"/>
        <v>0</v>
      </c>
      <c r="CF18" s="7">
        <f t="shared" si="3"/>
        <v>0</v>
      </c>
      <c r="CG18" s="7">
        <f t="shared" si="2"/>
        <v>0</v>
      </c>
      <c r="CH18" s="188">
        <f t="shared" si="4"/>
        <v>0</v>
      </c>
      <c r="CI18" s="188">
        <f t="shared" si="5"/>
        <v>0</v>
      </c>
      <c r="CJ18" s="188">
        <f>IF(AND($P18=1, $Q18&lt;'Cover Sheet'!$E$21), 1, 0)</f>
        <v>0</v>
      </c>
      <c r="CK18" s="188">
        <f>IF(OR(_xlfn.IFNA(MATCH(R18, Parameters!$D$73:$D$77,0),0)=0,_xlfn.IFNA(MATCH(S18, Parameters!$D$73:$D$77,0),0)=0), 1, 0)*$P18</f>
        <v>0</v>
      </c>
      <c r="CR18" s="12"/>
      <c r="EX18" s="13" t="str">
        <f t="shared" ca="1" si="6"/>
        <v>Loan 6</v>
      </c>
    </row>
    <row r="19" spans="1:154" x14ac:dyDescent="0.25">
      <c r="A19" s="362" cm="1">
        <f t="array" aca="1" ref="A19" ca="1">HYPERLINK(CONCATENATE("#",CELL("address",IF(SUM($CA19:$CR19)=0,A19,INDEX($CA19:$CR19,MATCH(1,$CA19:$CR19,0))))),SUM($CA19:$CR19))</f>
        <v>0</v>
      </c>
      <c r="B19" s="217" t="str" cm="1">
        <f t="array" aca="1" ref="B19" ca="1">HYPERLINK(CONCATENATE("#",CELL("address",$D$161)),$D$161)</f>
        <v>Loan 7</v>
      </c>
      <c r="C19" s="340" t="s">
        <v>1189</v>
      </c>
      <c r="D19" s="397"/>
      <c r="E19" s="397"/>
      <c r="F19" s="147"/>
      <c r="G19" s="147"/>
      <c r="H19" s="147"/>
      <c r="I19" s="167"/>
      <c r="J19" s="219"/>
      <c r="K19" s="166">
        <v>0</v>
      </c>
      <c r="L19" s="235"/>
      <c r="M19" s="143"/>
      <c r="N19" s="372"/>
      <c r="O19" s="372"/>
      <c r="P19" s="223">
        <v>0</v>
      </c>
      <c r="Q19" s="167"/>
      <c r="R19" s="397"/>
      <c r="S19" s="397"/>
      <c r="T19" s="166"/>
      <c r="Z19" s="3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63"/>
      <c r="BL19" s="67"/>
      <c r="BM19" s="67"/>
      <c r="BN19" s="67"/>
      <c r="BO19" s="67"/>
      <c r="BP19" s="335"/>
      <c r="BQ19" s="335"/>
      <c r="BR19" s="335"/>
      <c r="BS19" s="335"/>
      <c r="BT19" s="335"/>
      <c r="BU19" s="335"/>
      <c r="BV19" s="335"/>
      <c r="BW19" s="335"/>
      <c r="BY19" s="12"/>
      <c r="BZ19" s="1"/>
      <c r="CA19" s="12"/>
      <c r="CD19" s="188">
        <f t="shared" si="1"/>
        <v>0</v>
      </c>
      <c r="CE19" s="188">
        <f t="shared" si="7"/>
        <v>0</v>
      </c>
      <c r="CF19" s="7">
        <f t="shared" si="3"/>
        <v>0</v>
      </c>
      <c r="CG19" s="7">
        <f t="shared" si="2"/>
        <v>0</v>
      </c>
      <c r="CH19" s="188">
        <f t="shared" si="4"/>
        <v>0</v>
      </c>
      <c r="CI19" s="188">
        <f t="shared" si="5"/>
        <v>0</v>
      </c>
      <c r="CJ19" s="188">
        <f>IF(AND($P19=1, $Q19&lt;'Cover Sheet'!$E$21), 1, 0)</f>
        <v>0</v>
      </c>
      <c r="CK19" s="188">
        <f>IF(OR(_xlfn.IFNA(MATCH(R19, Parameters!$D$73:$D$77,0),0)=0,_xlfn.IFNA(MATCH(S19, Parameters!$D$73:$D$77,0),0)=0), 1, 0)*$P19</f>
        <v>0</v>
      </c>
      <c r="CL19" s="1"/>
      <c r="CR19" s="12"/>
      <c r="EX19" s="13" t="str">
        <f t="shared" ca="1" si="6"/>
        <v>Loan 7</v>
      </c>
    </row>
    <row r="20" spans="1:154" x14ac:dyDescent="0.25">
      <c r="A20" s="362" cm="1">
        <f t="array" aca="1" ref="A20" ca="1">HYPERLINK(CONCATENATE("#",CELL("address",IF(SUM($CA20:$CR20)=0,A20,INDEX($CA20:$CR20,MATCH(1,$CA20:$CR20,0))))),SUM($CA20:$CR20))</f>
        <v>0</v>
      </c>
      <c r="B20" s="217" t="str" cm="1">
        <f t="array" aca="1" ref="B20" ca="1">HYPERLINK(CONCATENATE("#",CELL("address",$D$180)),$D$180)</f>
        <v>Loan 8</v>
      </c>
      <c r="C20" s="340" t="s">
        <v>1190</v>
      </c>
      <c r="D20" s="397"/>
      <c r="E20" s="397"/>
      <c r="F20" s="147"/>
      <c r="G20" s="147"/>
      <c r="H20" s="147"/>
      <c r="I20" s="167"/>
      <c r="J20" s="219"/>
      <c r="K20" s="166">
        <v>0</v>
      </c>
      <c r="L20" s="235"/>
      <c r="M20" s="143"/>
      <c r="N20" s="372"/>
      <c r="O20" s="372"/>
      <c r="P20" s="223">
        <v>0</v>
      </c>
      <c r="Q20" s="167"/>
      <c r="R20" s="397"/>
      <c r="S20" s="397"/>
      <c r="T20" s="166"/>
      <c r="Z20" s="3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63"/>
      <c r="BL20" s="67"/>
      <c r="BM20" s="67"/>
      <c r="BN20" s="67"/>
      <c r="BO20" s="67"/>
      <c r="BP20" s="335"/>
      <c r="BQ20" s="335"/>
      <c r="BR20" s="335"/>
      <c r="BS20" s="335"/>
      <c r="BT20" s="335"/>
      <c r="BU20" s="335"/>
      <c r="BV20" s="335"/>
      <c r="BW20" s="335"/>
      <c r="BY20" s="12"/>
      <c r="CA20" s="12"/>
      <c r="CD20" s="188">
        <f t="shared" si="1"/>
        <v>0</v>
      </c>
      <c r="CE20" s="188">
        <f t="shared" si="7"/>
        <v>0</v>
      </c>
      <c r="CF20" s="7">
        <f t="shared" si="3"/>
        <v>0</v>
      </c>
      <c r="CG20" s="7">
        <f t="shared" si="2"/>
        <v>0</v>
      </c>
      <c r="CH20" s="188">
        <f t="shared" si="4"/>
        <v>0</v>
      </c>
      <c r="CI20" s="188">
        <f t="shared" si="5"/>
        <v>0</v>
      </c>
      <c r="CJ20" s="188">
        <f>IF(AND($P20=1, $Q20&lt;'Cover Sheet'!$E$21), 1, 0)</f>
        <v>0</v>
      </c>
      <c r="CK20" s="188">
        <f>IF(OR(_xlfn.IFNA(MATCH(R20, Parameters!$D$73:$D$77,0),0)=0,_xlfn.IFNA(MATCH(S20, Parameters!$D$73:$D$77,0),0)=0), 1, 0)*$P20</f>
        <v>0</v>
      </c>
      <c r="CR20" s="12"/>
      <c r="EX20" s="13" t="str">
        <f t="shared" ca="1" si="6"/>
        <v>Loan 8</v>
      </c>
    </row>
    <row r="21" spans="1:154" x14ac:dyDescent="0.25">
      <c r="A21" s="362" cm="1">
        <f t="array" aca="1" ref="A21" ca="1">HYPERLINK(CONCATENATE("#",CELL("address",IF(SUM($CA21:$CR21)=0,A21,INDEX($CA21:$CR21,MATCH(1,$CA21:$CR21,0))))),SUM($CA21:$CR21))</f>
        <v>0</v>
      </c>
      <c r="B21" s="217" t="str" cm="1">
        <f t="array" aca="1" ref="B21" ca="1">HYPERLINK(CONCATENATE("#",CELL("address",$D$199)),$D$199)</f>
        <v>Loan 9</v>
      </c>
      <c r="C21" s="340" t="s">
        <v>1191</v>
      </c>
      <c r="D21" s="397"/>
      <c r="E21" s="397"/>
      <c r="F21" s="147"/>
      <c r="G21" s="147"/>
      <c r="H21" s="147"/>
      <c r="I21" s="167"/>
      <c r="J21" s="219"/>
      <c r="K21" s="166">
        <v>0</v>
      </c>
      <c r="L21" s="235"/>
      <c r="M21" s="143"/>
      <c r="N21" s="372"/>
      <c r="O21" s="372"/>
      <c r="P21" s="223">
        <v>0</v>
      </c>
      <c r="Q21" s="167"/>
      <c r="R21" s="397"/>
      <c r="S21" s="397"/>
      <c r="T21" s="166"/>
      <c r="Z21" s="3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63"/>
      <c r="BL21" s="67"/>
      <c r="BM21" s="67"/>
      <c r="BN21" s="67"/>
      <c r="BO21" s="67"/>
      <c r="BP21" s="335"/>
      <c r="BQ21" s="335"/>
      <c r="BR21" s="335"/>
      <c r="BS21" s="335"/>
      <c r="BT21" s="335"/>
      <c r="BU21" s="335"/>
      <c r="BV21" s="335"/>
      <c r="BW21" s="335"/>
      <c r="BY21" s="12"/>
      <c r="BZ21" s="1"/>
      <c r="CA21" s="12"/>
      <c r="CD21" s="188">
        <f t="shared" si="1"/>
        <v>0</v>
      </c>
      <c r="CE21" s="188">
        <f t="shared" si="7"/>
        <v>0</v>
      </c>
      <c r="CF21" s="7">
        <f t="shared" si="3"/>
        <v>0</v>
      </c>
      <c r="CG21" s="7">
        <f t="shared" si="2"/>
        <v>0</v>
      </c>
      <c r="CH21" s="188">
        <f t="shared" si="4"/>
        <v>0</v>
      </c>
      <c r="CI21" s="188">
        <f t="shared" si="5"/>
        <v>0</v>
      </c>
      <c r="CJ21" s="188">
        <f>IF(AND($P21=1, $Q21&lt;'Cover Sheet'!$E$21), 1, 0)</f>
        <v>0</v>
      </c>
      <c r="CK21" s="188">
        <f>IF(OR(_xlfn.IFNA(MATCH(R21, Parameters!$D$73:$D$77,0),0)=0,_xlfn.IFNA(MATCH(S21, Parameters!$D$73:$D$77,0),0)=0), 1, 0)*$P21</f>
        <v>0</v>
      </c>
      <c r="CL21" s="1"/>
      <c r="CR21" s="12"/>
      <c r="EX21" s="13" t="str">
        <f t="shared" ca="1" si="6"/>
        <v>Loan 9</v>
      </c>
    </row>
    <row r="22" spans="1:154" x14ac:dyDescent="0.25">
      <c r="A22" s="362" cm="1">
        <f t="array" aca="1" ref="A22" ca="1">HYPERLINK(CONCATENATE("#",CELL("address",IF(SUM($CA22:$CR22)=0,A22,INDEX($CA22:$CR22,MATCH(1,$CA22:$CR22,0))))),SUM($CA22:$CR22))</f>
        <v>0</v>
      </c>
      <c r="B22" s="217" t="str" cm="1">
        <f t="array" aca="1" ref="B22" ca="1">HYPERLINK(CONCATENATE("#",CELL("address",$D$218)),$D$218)</f>
        <v>Loan 10</v>
      </c>
      <c r="C22" s="340" t="s">
        <v>1192</v>
      </c>
      <c r="D22" s="397"/>
      <c r="E22" s="397"/>
      <c r="F22" s="147"/>
      <c r="G22" s="147"/>
      <c r="H22" s="147"/>
      <c r="I22" s="167"/>
      <c r="J22" s="219"/>
      <c r="K22" s="166">
        <v>0</v>
      </c>
      <c r="L22" s="235"/>
      <c r="M22" s="143"/>
      <c r="N22" s="372"/>
      <c r="O22" s="372"/>
      <c r="P22" s="223">
        <v>0</v>
      </c>
      <c r="Q22" s="167"/>
      <c r="R22" s="397"/>
      <c r="S22" s="397"/>
      <c r="T22" s="166"/>
      <c r="Z22" s="3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63"/>
      <c r="BL22" s="67"/>
      <c r="BM22" s="67"/>
      <c r="BN22" s="67"/>
      <c r="BO22" s="67"/>
      <c r="BP22" s="335"/>
      <c r="BQ22" s="335"/>
      <c r="BR22" s="335"/>
      <c r="BS22" s="335"/>
      <c r="BT22" s="335"/>
      <c r="BU22" s="335"/>
      <c r="BV22" s="335"/>
      <c r="BW22" s="335"/>
      <c r="BY22" s="12"/>
      <c r="CA22" s="12"/>
      <c r="CD22" s="188">
        <f t="shared" si="1"/>
        <v>0</v>
      </c>
      <c r="CE22" s="188">
        <f t="shared" si="7"/>
        <v>0</v>
      </c>
      <c r="CF22" s="7">
        <f t="shared" si="3"/>
        <v>0</v>
      </c>
      <c r="CG22" s="7">
        <f t="shared" si="2"/>
        <v>0</v>
      </c>
      <c r="CH22" s="188">
        <f t="shared" si="4"/>
        <v>0</v>
      </c>
      <c r="CI22" s="188">
        <f t="shared" si="5"/>
        <v>0</v>
      </c>
      <c r="CJ22" s="188">
        <f>IF(AND($P22=1, $Q22&lt;'Cover Sheet'!$E$21), 1, 0)</f>
        <v>0</v>
      </c>
      <c r="CK22" s="188">
        <f>IF(OR(_xlfn.IFNA(MATCH(R22, Parameters!$D$73:$D$77,0),0)=0,_xlfn.IFNA(MATCH(S22, Parameters!$D$73:$D$77,0),0)=0), 1, 0)*$P22</f>
        <v>0</v>
      </c>
      <c r="CR22" s="12"/>
      <c r="EX22" s="13" t="str">
        <f t="shared" ca="1" si="6"/>
        <v>Loan 10</v>
      </c>
    </row>
    <row r="23" spans="1:154" x14ac:dyDescent="0.25">
      <c r="A23" s="362" cm="1">
        <f t="array" aca="1" ref="A23" ca="1">HYPERLINK(CONCATENATE("#",CELL("address",IF(SUM($CA23:$CR23)=0,A23,INDEX($CA23:$CR23,MATCH(1,$CA23:$CR23,0))))),SUM($CA23:$CR23))</f>
        <v>0</v>
      </c>
      <c r="B23" s="217" t="str" cm="1">
        <f t="array" aca="1" ref="B23" ca="1">HYPERLINK(CONCATENATE("#",CELL("address",$D$237)),$D$237)</f>
        <v>Loan 11</v>
      </c>
      <c r="C23" s="340" t="s">
        <v>1193</v>
      </c>
      <c r="D23" s="397"/>
      <c r="E23" s="397"/>
      <c r="F23" s="147"/>
      <c r="G23" s="147"/>
      <c r="H23" s="147"/>
      <c r="I23" s="167"/>
      <c r="J23" s="219"/>
      <c r="K23" s="166">
        <v>0</v>
      </c>
      <c r="L23" s="235"/>
      <c r="M23" s="143"/>
      <c r="N23" s="372"/>
      <c r="O23" s="372"/>
      <c r="P23" s="223">
        <v>0</v>
      </c>
      <c r="Q23" s="167"/>
      <c r="R23" s="397"/>
      <c r="S23" s="397"/>
      <c r="T23" s="166"/>
      <c r="Z23" s="3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63"/>
      <c r="BL23" s="67"/>
      <c r="BM23" s="67"/>
      <c r="BN23" s="67"/>
      <c r="BO23" s="67"/>
      <c r="BP23" s="335"/>
      <c r="BQ23" s="335"/>
      <c r="BR23" s="335"/>
      <c r="BS23" s="335"/>
      <c r="BT23" s="335"/>
      <c r="BU23" s="335"/>
      <c r="BV23" s="335"/>
      <c r="BW23" s="335"/>
      <c r="BY23" s="12"/>
      <c r="BZ23" s="1"/>
      <c r="CA23" s="12"/>
      <c r="CD23" s="188">
        <f t="shared" si="1"/>
        <v>0</v>
      </c>
      <c r="CE23" s="188">
        <f t="shared" si="7"/>
        <v>0</v>
      </c>
      <c r="CF23" s="7">
        <f t="shared" si="3"/>
        <v>0</v>
      </c>
      <c r="CG23" s="7">
        <f t="shared" si="2"/>
        <v>0</v>
      </c>
      <c r="CH23" s="188">
        <f t="shared" si="4"/>
        <v>0</v>
      </c>
      <c r="CI23" s="188">
        <f t="shared" si="5"/>
        <v>0</v>
      </c>
      <c r="CJ23" s="188">
        <f>IF(AND($P23=1, $Q23&lt;'Cover Sheet'!$E$21), 1, 0)</f>
        <v>0</v>
      </c>
      <c r="CK23" s="188">
        <f>IF(OR(_xlfn.IFNA(MATCH(R23, Parameters!$D$73:$D$77,0),0)=0,_xlfn.IFNA(MATCH(S23, Parameters!$D$73:$D$77,0),0)=0), 1, 0)*$P23</f>
        <v>0</v>
      </c>
      <c r="CL23" s="1"/>
      <c r="CR23" s="12"/>
      <c r="EX23" s="13" t="str">
        <f t="shared" ca="1" si="6"/>
        <v>Loan 11</v>
      </c>
    </row>
    <row r="24" spans="1:154" x14ac:dyDescent="0.25">
      <c r="A24" s="362" cm="1">
        <f t="array" aca="1" ref="A24" ca="1">HYPERLINK(CONCATENATE("#",CELL("address",IF(SUM($CA24:$CR24)=0,A24,INDEX($CA24:$CR24,MATCH(1,$CA24:$CR24,0))))),SUM($CA24:$CR24))</f>
        <v>0</v>
      </c>
      <c r="B24" s="217" t="str" cm="1">
        <f t="array" aca="1" ref="B24" ca="1">HYPERLINK(CONCATENATE("#",CELL("address",$D$256)),$D$256)</f>
        <v>Loan 12</v>
      </c>
      <c r="C24" s="340" t="s">
        <v>1194</v>
      </c>
      <c r="D24" s="397"/>
      <c r="E24" s="397"/>
      <c r="F24" s="147"/>
      <c r="G24" s="147"/>
      <c r="H24" s="147"/>
      <c r="I24" s="167"/>
      <c r="J24" s="219"/>
      <c r="K24" s="166">
        <v>0</v>
      </c>
      <c r="L24" s="235"/>
      <c r="M24" s="143"/>
      <c r="N24" s="372"/>
      <c r="O24" s="372"/>
      <c r="P24" s="223">
        <v>0</v>
      </c>
      <c r="Q24" s="167"/>
      <c r="R24" s="397"/>
      <c r="S24" s="397"/>
      <c r="T24" s="166"/>
      <c r="Z24" s="3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63"/>
      <c r="BL24" s="67"/>
      <c r="BM24" s="67"/>
      <c r="BN24" s="67"/>
      <c r="BO24" s="67"/>
      <c r="BP24" s="335"/>
      <c r="BQ24" s="335"/>
      <c r="BR24" s="335"/>
      <c r="BS24" s="335"/>
      <c r="BT24" s="335"/>
      <c r="BU24" s="335"/>
      <c r="BV24" s="335"/>
      <c r="BW24" s="335"/>
      <c r="BY24" s="12"/>
      <c r="CA24" s="12"/>
      <c r="CD24" s="188">
        <f t="shared" si="1"/>
        <v>0</v>
      </c>
      <c r="CE24" s="188">
        <f t="shared" si="7"/>
        <v>0</v>
      </c>
      <c r="CF24" s="7">
        <f t="shared" si="3"/>
        <v>0</v>
      </c>
      <c r="CG24" s="7">
        <f t="shared" si="2"/>
        <v>0</v>
      </c>
      <c r="CH24" s="188">
        <f t="shared" si="4"/>
        <v>0</v>
      </c>
      <c r="CI24" s="188">
        <f t="shared" si="5"/>
        <v>0</v>
      </c>
      <c r="CJ24" s="188">
        <f>IF(AND($P24=1, $Q24&lt;'Cover Sheet'!$E$21), 1, 0)</f>
        <v>0</v>
      </c>
      <c r="CK24" s="188">
        <f>IF(OR(_xlfn.IFNA(MATCH(R24, Parameters!$D$73:$D$77,0),0)=0,_xlfn.IFNA(MATCH(S24, Parameters!$D$73:$D$77,0),0)=0), 1, 0)*$P24</f>
        <v>0</v>
      </c>
      <c r="CR24" s="12"/>
      <c r="EX24" s="13" t="str">
        <f t="shared" ca="1" si="6"/>
        <v>Loan 12</v>
      </c>
    </row>
    <row r="25" spans="1:154" x14ac:dyDescent="0.25">
      <c r="A25" s="362" cm="1">
        <f t="array" aca="1" ref="A25" ca="1">HYPERLINK(CONCATENATE("#",CELL("address",IF(SUM($CA25:$CR25)=0,A25,INDEX($CA25:$CR25,MATCH(1,$CA25:$CR25,0))))),SUM($CA25:$CR25))</f>
        <v>0</v>
      </c>
      <c r="B25" s="217" t="str" cm="1">
        <f t="array" aca="1" ref="B25" ca="1">HYPERLINK(CONCATENATE("#",CELL("address",$D$275)),$D$275)</f>
        <v>Loan 13</v>
      </c>
      <c r="C25" s="340" t="s">
        <v>1195</v>
      </c>
      <c r="D25" s="397"/>
      <c r="E25" s="397"/>
      <c r="F25" s="147"/>
      <c r="G25" s="147"/>
      <c r="H25" s="147"/>
      <c r="I25" s="167"/>
      <c r="J25" s="219"/>
      <c r="K25" s="166">
        <v>0</v>
      </c>
      <c r="L25" s="235"/>
      <c r="M25" s="143"/>
      <c r="N25" s="372"/>
      <c r="O25" s="372"/>
      <c r="P25" s="223">
        <v>0</v>
      </c>
      <c r="Q25" s="167"/>
      <c r="R25" s="397"/>
      <c r="S25" s="397"/>
      <c r="T25" s="166"/>
      <c r="Z25" s="3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63"/>
      <c r="BL25" s="67"/>
      <c r="BM25" s="67"/>
      <c r="BN25" s="67"/>
      <c r="BO25" s="67"/>
      <c r="BP25" s="335"/>
      <c r="BQ25" s="335"/>
      <c r="BR25" s="335"/>
      <c r="BS25" s="335"/>
      <c r="BT25" s="335"/>
      <c r="BU25" s="335"/>
      <c r="BV25" s="335"/>
      <c r="BW25" s="335"/>
      <c r="BY25" s="12"/>
      <c r="BZ25" s="1"/>
      <c r="CA25" s="12"/>
      <c r="CD25" s="188">
        <f t="shared" si="1"/>
        <v>0</v>
      </c>
      <c r="CE25" s="188">
        <f t="shared" si="7"/>
        <v>0</v>
      </c>
      <c r="CF25" s="7">
        <f t="shared" si="3"/>
        <v>0</v>
      </c>
      <c r="CG25" s="7">
        <f t="shared" si="2"/>
        <v>0</v>
      </c>
      <c r="CH25" s="188">
        <f t="shared" si="4"/>
        <v>0</v>
      </c>
      <c r="CI25" s="188">
        <f t="shared" si="5"/>
        <v>0</v>
      </c>
      <c r="CJ25" s="188">
        <f>IF(AND($P25=1, $Q25&lt;'Cover Sheet'!$E$21), 1, 0)</f>
        <v>0</v>
      </c>
      <c r="CK25" s="188">
        <f>IF(OR(_xlfn.IFNA(MATCH(R25, Parameters!$D$73:$D$77,0),0)=0,_xlfn.IFNA(MATCH(S25, Parameters!$D$73:$D$77,0),0)=0), 1, 0)*$P25</f>
        <v>0</v>
      </c>
      <c r="CL25" s="1"/>
      <c r="CR25" s="12"/>
      <c r="EX25" s="13" t="str">
        <f t="shared" ca="1" si="6"/>
        <v>Loan 13</v>
      </c>
    </row>
    <row r="26" spans="1:154" x14ac:dyDescent="0.25">
      <c r="A26" s="362" cm="1">
        <f t="array" aca="1" ref="A26" ca="1">HYPERLINK(CONCATENATE("#",CELL("address",IF(SUM($CA26:$CR26)=0,A26,INDEX($CA26:$CR26,MATCH(1,$CA26:$CR26,0))))),SUM($CA26:$CR26))</f>
        <v>0</v>
      </c>
      <c r="B26" s="217" t="str" cm="1">
        <f t="array" aca="1" ref="B26" ca="1">HYPERLINK(CONCATENATE("#",CELL("address",$D$294)),$D$294)</f>
        <v>Loan 14</v>
      </c>
      <c r="C26" s="340" t="s">
        <v>1196</v>
      </c>
      <c r="D26" s="397"/>
      <c r="E26" s="397"/>
      <c r="F26" s="147"/>
      <c r="G26" s="147"/>
      <c r="H26" s="147"/>
      <c r="I26" s="167"/>
      <c r="J26" s="219"/>
      <c r="K26" s="166">
        <v>0</v>
      </c>
      <c r="L26" s="235"/>
      <c r="M26" s="143"/>
      <c r="N26" s="372"/>
      <c r="O26" s="372"/>
      <c r="P26" s="223">
        <v>0</v>
      </c>
      <c r="Q26" s="167"/>
      <c r="R26" s="397"/>
      <c r="S26" s="397"/>
      <c r="T26" s="166"/>
      <c r="Z26" s="3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63"/>
      <c r="BL26" s="67"/>
      <c r="BM26" s="67"/>
      <c r="BN26" s="67"/>
      <c r="BO26" s="67"/>
      <c r="BP26" s="335"/>
      <c r="BQ26" s="335"/>
      <c r="BR26" s="335"/>
      <c r="BS26" s="335"/>
      <c r="BT26" s="335"/>
      <c r="BU26" s="335"/>
      <c r="BV26" s="335"/>
      <c r="BW26" s="335"/>
      <c r="BY26" s="12"/>
      <c r="CA26" s="12"/>
      <c r="CD26" s="188">
        <f t="shared" si="1"/>
        <v>0</v>
      </c>
      <c r="CE26" s="188">
        <f t="shared" si="7"/>
        <v>0</v>
      </c>
      <c r="CF26" s="7">
        <f t="shared" si="3"/>
        <v>0</v>
      </c>
      <c r="CG26" s="7">
        <f t="shared" si="2"/>
        <v>0</v>
      </c>
      <c r="CH26" s="188">
        <f t="shared" si="4"/>
        <v>0</v>
      </c>
      <c r="CI26" s="188">
        <f t="shared" si="5"/>
        <v>0</v>
      </c>
      <c r="CJ26" s="188">
        <f>IF(AND($P26=1, $Q26&lt;'Cover Sheet'!$E$21), 1, 0)</f>
        <v>0</v>
      </c>
      <c r="CK26" s="188">
        <f>IF(OR(_xlfn.IFNA(MATCH(R26, Parameters!$D$73:$D$77,0),0)=0,_xlfn.IFNA(MATCH(S26, Parameters!$D$73:$D$77,0),0)=0), 1, 0)*$P26</f>
        <v>0</v>
      </c>
      <c r="CR26" s="12"/>
      <c r="EX26" s="13" t="str">
        <f t="shared" ca="1" si="6"/>
        <v>Loan 14</v>
      </c>
    </row>
    <row r="27" spans="1:154" x14ac:dyDescent="0.25">
      <c r="A27" s="362" cm="1">
        <f t="array" aca="1" ref="A27" ca="1">HYPERLINK(CONCATENATE("#",CELL("address",IF(SUM($CA27:$CR27)=0,A27,INDEX($CA27:$CR27,MATCH(1,$CA27:$CR27,0))))),SUM($CA27:$CR27))</f>
        <v>0</v>
      </c>
      <c r="B27" s="217" t="str" cm="1">
        <f t="array" aca="1" ref="B27" ca="1">HYPERLINK(CONCATENATE("#",CELL("address",$D$313)),$D$313)</f>
        <v>Loan 15</v>
      </c>
      <c r="C27" s="340" t="s">
        <v>1197</v>
      </c>
      <c r="D27" s="397"/>
      <c r="E27" s="397"/>
      <c r="F27" s="147"/>
      <c r="G27" s="147"/>
      <c r="H27" s="147"/>
      <c r="I27" s="167"/>
      <c r="J27" s="219"/>
      <c r="K27" s="166">
        <v>0</v>
      </c>
      <c r="L27" s="235"/>
      <c r="M27" s="143"/>
      <c r="N27" s="372"/>
      <c r="O27" s="372"/>
      <c r="P27" s="223">
        <v>0</v>
      </c>
      <c r="Q27" s="167"/>
      <c r="R27" s="397"/>
      <c r="S27" s="397"/>
      <c r="T27" s="166"/>
      <c r="Z27" s="3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63"/>
      <c r="BL27" s="67"/>
      <c r="BM27" s="67"/>
      <c r="BN27" s="67"/>
      <c r="BO27" s="67"/>
      <c r="BP27" s="335"/>
      <c r="BQ27" s="335"/>
      <c r="BR27" s="335"/>
      <c r="BS27" s="335"/>
      <c r="BT27" s="335"/>
      <c r="BU27" s="335"/>
      <c r="BV27" s="335"/>
      <c r="BW27" s="335"/>
      <c r="BY27" s="12"/>
      <c r="BZ27" s="1"/>
      <c r="CA27" s="12"/>
      <c r="CD27" s="188">
        <f t="shared" si="1"/>
        <v>0</v>
      </c>
      <c r="CE27" s="188">
        <f t="shared" si="7"/>
        <v>0</v>
      </c>
      <c r="CF27" s="7">
        <f t="shared" si="3"/>
        <v>0</v>
      </c>
      <c r="CG27" s="7">
        <f t="shared" si="2"/>
        <v>0</v>
      </c>
      <c r="CH27" s="188">
        <f t="shared" si="4"/>
        <v>0</v>
      </c>
      <c r="CI27" s="188">
        <f t="shared" si="5"/>
        <v>0</v>
      </c>
      <c r="CJ27" s="188">
        <f>IF(AND($P27=1, $Q27&lt;'Cover Sheet'!$E$21), 1, 0)</f>
        <v>0</v>
      </c>
      <c r="CK27" s="188">
        <f>IF(OR(_xlfn.IFNA(MATCH(R27, Parameters!$D$73:$D$77,0),0)=0,_xlfn.IFNA(MATCH(S27, Parameters!$D$73:$D$77,0),0)=0), 1, 0)*$P27</f>
        <v>0</v>
      </c>
      <c r="CL27" s="1"/>
      <c r="CR27" s="12"/>
      <c r="EX27" s="13" t="str">
        <f t="shared" ca="1" si="6"/>
        <v>Loan 15</v>
      </c>
    </row>
    <row r="28" spans="1:154" x14ac:dyDescent="0.25">
      <c r="A28" s="362" cm="1">
        <f t="array" aca="1" ref="A28" ca="1">HYPERLINK(CONCATENATE("#",CELL("address",IF(SUM($CA28:$CR28)=0,A28,INDEX($CA28:$CR28,MATCH(1,$CA28:$CR28,0))))),SUM($CA28:$CR28))</f>
        <v>0</v>
      </c>
      <c r="B28" s="217" t="str" cm="1">
        <f t="array" aca="1" ref="B28" ca="1">HYPERLINK(CONCATENATE("#",CELL("address",$D$332)),$D$332)</f>
        <v>Loan 16</v>
      </c>
      <c r="C28" s="340" t="s">
        <v>1198</v>
      </c>
      <c r="D28" s="397"/>
      <c r="E28" s="397"/>
      <c r="F28" s="147"/>
      <c r="G28" s="147"/>
      <c r="H28" s="147"/>
      <c r="I28" s="167"/>
      <c r="J28" s="219"/>
      <c r="K28" s="166">
        <v>0</v>
      </c>
      <c r="L28" s="235"/>
      <c r="M28" s="143"/>
      <c r="N28" s="372"/>
      <c r="O28" s="372"/>
      <c r="P28" s="223">
        <v>0</v>
      </c>
      <c r="Q28" s="167"/>
      <c r="R28" s="397"/>
      <c r="S28" s="397"/>
      <c r="T28" s="166"/>
      <c r="Z28" s="3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63"/>
      <c r="BL28" s="67"/>
      <c r="BM28" s="67"/>
      <c r="BN28" s="67"/>
      <c r="BO28" s="67"/>
      <c r="BP28" s="335"/>
      <c r="BQ28" s="335"/>
      <c r="BR28" s="335"/>
      <c r="BS28" s="335"/>
      <c r="BT28" s="335"/>
      <c r="BU28" s="335"/>
      <c r="BV28" s="335"/>
      <c r="BW28" s="335"/>
      <c r="BY28" s="12"/>
      <c r="CA28" s="12"/>
      <c r="CD28" s="188">
        <f t="shared" si="1"/>
        <v>0</v>
      </c>
      <c r="CE28" s="188">
        <f t="shared" si="7"/>
        <v>0</v>
      </c>
      <c r="CF28" s="7">
        <f t="shared" si="3"/>
        <v>0</v>
      </c>
      <c r="CG28" s="7">
        <f t="shared" si="2"/>
        <v>0</v>
      </c>
      <c r="CH28" s="188">
        <f t="shared" si="4"/>
        <v>0</v>
      </c>
      <c r="CI28" s="188">
        <f t="shared" si="5"/>
        <v>0</v>
      </c>
      <c r="CJ28" s="188">
        <f>IF(AND($P28=1, $Q28&lt;'Cover Sheet'!$E$21), 1, 0)</f>
        <v>0</v>
      </c>
      <c r="CK28" s="188">
        <f>IF(OR(_xlfn.IFNA(MATCH(R28, Parameters!$D$73:$D$77,0),0)=0,_xlfn.IFNA(MATCH(S28, Parameters!$D$73:$D$77,0),0)=0), 1, 0)*$P28</f>
        <v>0</v>
      </c>
      <c r="CR28" s="12"/>
      <c r="EX28" s="13" t="str">
        <f t="shared" ca="1" si="6"/>
        <v>Loan 16</v>
      </c>
    </row>
    <row r="29" spans="1:154" x14ac:dyDescent="0.25">
      <c r="A29" s="362" cm="1">
        <f t="array" aca="1" ref="A29" ca="1">HYPERLINK(CONCATENATE("#",CELL("address",IF(SUM($CA29:$CR29)=0,A29,INDEX($CA29:$CR29,MATCH(1,$CA29:$CR29,0))))),SUM($CA29:$CR29))</f>
        <v>0</v>
      </c>
      <c r="B29" s="217" t="str" cm="1">
        <f t="array" aca="1" ref="B29" ca="1">HYPERLINK(CONCATENATE("#",CELL("address",$D$351)),$D$351)</f>
        <v>Loan 17</v>
      </c>
      <c r="C29" s="340" t="s">
        <v>1199</v>
      </c>
      <c r="D29" s="397"/>
      <c r="E29" s="397"/>
      <c r="F29" s="147"/>
      <c r="G29" s="147"/>
      <c r="H29" s="147"/>
      <c r="I29" s="167"/>
      <c r="J29" s="219"/>
      <c r="K29" s="166">
        <v>0</v>
      </c>
      <c r="L29" s="235"/>
      <c r="M29" s="143"/>
      <c r="N29" s="372"/>
      <c r="O29" s="372"/>
      <c r="P29" s="223">
        <v>0</v>
      </c>
      <c r="Q29" s="167"/>
      <c r="R29" s="397"/>
      <c r="S29" s="397"/>
      <c r="T29" s="166"/>
      <c r="Z29" s="3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63"/>
      <c r="BL29" s="67"/>
      <c r="BM29" s="67"/>
      <c r="BN29" s="67"/>
      <c r="BO29" s="67"/>
      <c r="BP29" s="335"/>
      <c r="BQ29" s="335"/>
      <c r="BR29" s="335"/>
      <c r="BS29" s="335"/>
      <c r="BT29" s="335"/>
      <c r="BU29" s="335"/>
      <c r="BV29" s="335"/>
      <c r="BW29" s="335"/>
      <c r="BY29" s="12"/>
      <c r="BZ29" s="1"/>
      <c r="CA29" s="12"/>
      <c r="CD29" s="188">
        <f t="shared" si="1"/>
        <v>0</v>
      </c>
      <c r="CE29" s="188">
        <f t="shared" si="7"/>
        <v>0</v>
      </c>
      <c r="CF29" s="7">
        <f t="shared" si="3"/>
        <v>0</v>
      </c>
      <c r="CG29" s="7">
        <f t="shared" si="2"/>
        <v>0</v>
      </c>
      <c r="CH29" s="188">
        <f t="shared" si="4"/>
        <v>0</v>
      </c>
      <c r="CI29" s="188">
        <f t="shared" si="5"/>
        <v>0</v>
      </c>
      <c r="CJ29" s="188">
        <f>IF(AND($P29=1, $Q29&lt;'Cover Sheet'!$E$21), 1, 0)</f>
        <v>0</v>
      </c>
      <c r="CK29" s="188">
        <f>IF(OR(_xlfn.IFNA(MATCH(R29, Parameters!$D$73:$D$77,0),0)=0,_xlfn.IFNA(MATCH(S29, Parameters!$D$73:$D$77,0),0)=0), 1, 0)*$P29</f>
        <v>0</v>
      </c>
      <c r="CL29" s="1"/>
      <c r="CR29" s="12"/>
      <c r="EX29" s="13" t="str">
        <f t="shared" ca="1" si="6"/>
        <v>Loan 17</v>
      </c>
    </row>
    <row r="30" spans="1:154" x14ac:dyDescent="0.25">
      <c r="A30" s="362" cm="1">
        <f t="array" aca="1" ref="A30" ca="1">HYPERLINK(CONCATENATE("#",CELL("address",IF(SUM($CA30:$CR30)=0,A30,INDEX($CA30:$CR30,MATCH(1,$CA30:$CR30,0))))),SUM($CA30:$CR30))</f>
        <v>0</v>
      </c>
      <c r="B30" s="217" t="str" cm="1">
        <f t="array" aca="1" ref="B30" ca="1">HYPERLINK(CONCATENATE("#",CELL("address",$D$370)),$D$370)</f>
        <v>Loan 18</v>
      </c>
      <c r="C30" s="340" t="s">
        <v>1200</v>
      </c>
      <c r="D30" s="397"/>
      <c r="E30" s="397"/>
      <c r="F30" s="147"/>
      <c r="G30" s="147"/>
      <c r="H30" s="147"/>
      <c r="I30" s="167"/>
      <c r="J30" s="219"/>
      <c r="K30" s="166">
        <v>0</v>
      </c>
      <c r="L30" s="235"/>
      <c r="M30" s="143"/>
      <c r="N30" s="372"/>
      <c r="O30" s="372"/>
      <c r="P30" s="223">
        <v>0</v>
      </c>
      <c r="Q30" s="167"/>
      <c r="R30" s="397"/>
      <c r="S30" s="397"/>
      <c r="T30" s="166"/>
      <c r="Z30" s="3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63"/>
      <c r="BL30" s="67"/>
      <c r="BM30" s="67"/>
      <c r="BN30" s="67"/>
      <c r="BO30" s="67"/>
      <c r="BP30" s="335"/>
      <c r="BQ30" s="335"/>
      <c r="BR30" s="335"/>
      <c r="BS30" s="335"/>
      <c r="BT30" s="335"/>
      <c r="BU30" s="335"/>
      <c r="BV30" s="335"/>
      <c r="BW30" s="335"/>
      <c r="BY30" s="12"/>
      <c r="CA30" s="12"/>
      <c r="CD30" s="188">
        <f t="shared" si="1"/>
        <v>0</v>
      </c>
      <c r="CE30" s="188">
        <f t="shared" si="7"/>
        <v>0</v>
      </c>
      <c r="CF30" s="7">
        <f t="shared" si="3"/>
        <v>0</v>
      </c>
      <c r="CG30" s="7">
        <f t="shared" si="2"/>
        <v>0</v>
      </c>
      <c r="CH30" s="188">
        <f t="shared" si="4"/>
        <v>0</v>
      </c>
      <c r="CI30" s="188">
        <f t="shared" si="5"/>
        <v>0</v>
      </c>
      <c r="CJ30" s="188">
        <f>IF(AND($P30=1, $Q30&lt;'Cover Sheet'!$E$21), 1, 0)</f>
        <v>0</v>
      </c>
      <c r="CK30" s="188">
        <f>IF(OR(_xlfn.IFNA(MATCH(R30, Parameters!$D$73:$D$77,0),0)=0,_xlfn.IFNA(MATCH(S30, Parameters!$D$73:$D$77,0),0)=0), 1, 0)*$P30</f>
        <v>0</v>
      </c>
      <c r="CR30" s="12"/>
      <c r="EX30" s="13" t="str">
        <f t="shared" ca="1" si="6"/>
        <v>Loan 18</v>
      </c>
    </row>
    <row r="31" spans="1:154" x14ac:dyDescent="0.25">
      <c r="A31" s="362" cm="1">
        <f t="array" aca="1" ref="A31" ca="1">HYPERLINK(CONCATENATE("#",CELL("address",IF(SUM($CA31:$CR31)=0,A31,INDEX($CA31:$CR31,MATCH(1,$CA31:$CR31,0))))),SUM($CA31:$CR31))</f>
        <v>0</v>
      </c>
      <c r="B31" s="217" t="str" cm="1">
        <f t="array" aca="1" ref="B31" ca="1">HYPERLINK(CONCATENATE("#",CELL("address",$D$389)),$D$389)</f>
        <v>Loan 19</v>
      </c>
      <c r="C31" s="340" t="s">
        <v>1201</v>
      </c>
      <c r="D31" s="397"/>
      <c r="E31" s="397"/>
      <c r="F31" s="147"/>
      <c r="G31" s="147"/>
      <c r="H31" s="147"/>
      <c r="I31" s="167"/>
      <c r="J31" s="219"/>
      <c r="K31" s="166">
        <v>0</v>
      </c>
      <c r="L31" s="235"/>
      <c r="M31" s="143"/>
      <c r="N31" s="372"/>
      <c r="O31" s="372"/>
      <c r="P31" s="223">
        <v>0</v>
      </c>
      <c r="Q31" s="167"/>
      <c r="R31" s="397"/>
      <c r="S31" s="397"/>
      <c r="T31" s="166"/>
      <c r="Z31" s="3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63"/>
      <c r="BL31" s="67"/>
      <c r="BM31" s="67"/>
      <c r="BN31" s="67"/>
      <c r="BO31" s="67"/>
      <c r="BP31" s="335"/>
      <c r="BQ31" s="335"/>
      <c r="BR31" s="335"/>
      <c r="BS31" s="335"/>
      <c r="BT31" s="335"/>
      <c r="BU31" s="335"/>
      <c r="BV31" s="335"/>
      <c r="BW31" s="335"/>
      <c r="BY31" s="12"/>
      <c r="BZ31" s="1"/>
      <c r="CA31" s="12"/>
      <c r="CD31" s="188">
        <f t="shared" si="1"/>
        <v>0</v>
      </c>
      <c r="CE31" s="188">
        <f t="shared" si="7"/>
        <v>0</v>
      </c>
      <c r="CF31" s="7">
        <f t="shared" si="3"/>
        <v>0</v>
      </c>
      <c r="CG31" s="7">
        <f t="shared" si="2"/>
        <v>0</v>
      </c>
      <c r="CH31" s="188">
        <f t="shared" si="4"/>
        <v>0</v>
      </c>
      <c r="CI31" s="188">
        <f t="shared" si="5"/>
        <v>0</v>
      </c>
      <c r="CJ31" s="188">
        <f>IF(AND($P31=1, $Q31&lt;'Cover Sheet'!$E$21), 1, 0)</f>
        <v>0</v>
      </c>
      <c r="CK31" s="188">
        <f>IF(OR(_xlfn.IFNA(MATCH(R31, Parameters!$D$73:$D$77,0),0)=0,_xlfn.IFNA(MATCH(S31, Parameters!$D$73:$D$77,0),0)=0), 1, 0)*$P31</f>
        <v>0</v>
      </c>
      <c r="CL31" s="1"/>
      <c r="CR31" s="12"/>
      <c r="EX31" s="13" t="str">
        <f t="shared" ca="1" si="6"/>
        <v>Loan 19</v>
      </c>
    </row>
    <row r="32" spans="1:154" s="5" customFormat="1" x14ac:dyDescent="0.25">
      <c r="A32" s="362" cm="1">
        <f t="array" aca="1" ref="A32" ca="1">HYPERLINK(CONCATENATE("#",CELL("address",IF(SUM($CA32:$CR32)=0,A32,INDEX($CA32:$CR32,MATCH(1,$CA32:$CR32,0))))),SUM($CA32:$CR32))</f>
        <v>0</v>
      </c>
      <c r="B32" s="217" t="str" cm="1">
        <f t="array" aca="1" ref="B32" ca="1">HYPERLINK(CONCATENATE("#",CELL("address",$D$408)),$D$408)</f>
        <v>Loan 20</v>
      </c>
      <c r="C32" s="340" t="s">
        <v>1202</v>
      </c>
      <c r="D32" s="397"/>
      <c r="E32" s="397"/>
      <c r="F32" s="147"/>
      <c r="G32" s="147"/>
      <c r="H32" s="147"/>
      <c r="I32" s="167"/>
      <c r="J32" s="219"/>
      <c r="K32" s="166">
        <v>0</v>
      </c>
      <c r="L32" s="235"/>
      <c r="M32" s="143"/>
      <c r="N32" s="372"/>
      <c r="O32" s="372"/>
      <c r="P32" s="223">
        <v>0</v>
      </c>
      <c r="Q32" s="167"/>
      <c r="R32" s="397"/>
      <c r="S32" s="397"/>
      <c r="T32" s="166"/>
      <c r="Z32" s="3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63"/>
      <c r="BL32" s="67"/>
      <c r="BM32" s="67"/>
      <c r="BN32" s="67"/>
      <c r="BO32" s="67"/>
      <c r="BP32" s="335"/>
      <c r="BQ32" s="335"/>
      <c r="BR32" s="335"/>
      <c r="BS32" s="335"/>
      <c r="BT32" s="335"/>
      <c r="BU32" s="335"/>
      <c r="BV32" s="335"/>
      <c r="BW32" s="335"/>
      <c r="BX32" s="11"/>
      <c r="BY32" s="12"/>
      <c r="BZ32" s="335"/>
      <c r="CA32" s="12"/>
      <c r="CB32" s="335"/>
      <c r="CC32" s="335"/>
      <c r="CD32" s="188">
        <f t="shared" si="1"/>
        <v>0</v>
      </c>
      <c r="CE32" s="188">
        <f t="shared" si="7"/>
        <v>0</v>
      </c>
      <c r="CF32" s="7">
        <f t="shared" si="3"/>
        <v>0</v>
      </c>
      <c r="CG32" s="7">
        <f t="shared" si="2"/>
        <v>0</v>
      </c>
      <c r="CH32" s="188">
        <f t="shared" si="4"/>
        <v>0</v>
      </c>
      <c r="CI32" s="188">
        <f t="shared" si="5"/>
        <v>0</v>
      </c>
      <c r="CJ32" s="188">
        <f>IF(AND($P32=1, $Q32&lt;'Cover Sheet'!$E$21), 1, 0)</f>
        <v>0</v>
      </c>
      <c r="CK32" s="188">
        <f>IF(OR(_xlfn.IFNA(MATCH(R32, Parameters!$D$73:$D$77,0),0)=0,_xlfn.IFNA(MATCH(S32, Parameters!$D$73:$D$77,0),0)=0), 1, 0)*$P32</f>
        <v>0</v>
      </c>
      <c r="CL32" s="11"/>
      <c r="CM32" s="335"/>
      <c r="CN32" s="335"/>
      <c r="CO32" s="335"/>
      <c r="CP32" s="335"/>
      <c r="CQ32" s="67"/>
      <c r="CR32" s="12"/>
      <c r="CU32" s="335"/>
      <c r="EX32" s="13" t="str">
        <f t="shared" ca="1" si="6"/>
        <v>Loan 20</v>
      </c>
    </row>
    <row r="33" spans="1:154" s="5" customFormat="1" x14ac:dyDescent="0.25">
      <c r="A33" s="362" cm="1">
        <f t="array" aca="1" ref="A33" ca="1">HYPERLINK(CONCATENATE("#",CELL("address",IF(SUM($CA33:$CR33)=0,A33,INDEX($CA33:$CR33,MATCH(1,$CA33:$CR33,0))))),SUM($CA33:$CR33))</f>
        <v>0</v>
      </c>
      <c r="C33" s="380"/>
      <c r="D33" s="368" t="s">
        <v>966</v>
      </c>
      <c r="E33" s="136" t="str">
        <f>Parameters!$D$68</f>
        <v>Overdrafts</v>
      </c>
      <c r="F33" s="216">
        <f t="shared" ref="F33:H35" si="8">SUMIFS(F$13:F$32, $E$13:$E$32, $E33)</f>
        <v>0</v>
      </c>
      <c r="G33" s="216">
        <f t="shared" si="8"/>
        <v>0</v>
      </c>
      <c r="H33" s="370">
        <f t="shared" si="8"/>
        <v>0</v>
      </c>
      <c r="I33" s="335"/>
      <c r="J33" s="335"/>
      <c r="K33" s="335"/>
      <c r="L33" s="335"/>
      <c r="M33" s="335"/>
      <c r="N33" s="335"/>
      <c r="O33" s="335"/>
      <c r="P33" s="335"/>
      <c r="Q33" s="335"/>
      <c r="R33" s="335"/>
      <c r="S33" s="335"/>
      <c r="T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12"/>
      <c r="BZ33" s="335"/>
      <c r="CA33" s="12"/>
      <c r="CB33" s="335"/>
      <c r="CC33" s="335"/>
      <c r="CD33" s="335"/>
      <c r="CE33" s="335"/>
      <c r="CF33" s="335"/>
      <c r="CG33" s="335"/>
      <c r="CH33" s="335"/>
      <c r="CI33" s="335"/>
      <c r="CJ33" s="335"/>
      <c r="CK33" s="335"/>
      <c r="CL33" s="335"/>
      <c r="CM33" s="335"/>
      <c r="CN33" s="335"/>
      <c r="CO33" s="335"/>
      <c r="CP33" s="335"/>
      <c r="CQ33" s="335"/>
      <c r="CR33" s="12"/>
      <c r="CU33" s="335"/>
      <c r="EX33" s="10" t="str">
        <f t="shared" ref="EX33:EX104" si="9">IF($C33="","",$D33)</f>
        <v/>
      </c>
    </row>
    <row r="34" spans="1:154" s="5" customFormat="1" x14ac:dyDescent="0.25">
      <c r="A34" s="362" cm="1">
        <f t="array" aca="1" ref="A34" ca="1">HYPERLINK(CONCATENATE("#",CELL("address",IF(SUM($CA34:$CR34)=0,A34,INDEX($CA34:$CR34,MATCH(1,$CA34:$CR34,0))))),SUM($CA34:$CR34))</f>
        <v>0</v>
      </c>
      <c r="C34" s="380"/>
      <c r="D34" s="368" t="s">
        <v>966</v>
      </c>
      <c r="E34" s="136" t="str">
        <f>Parameters!$D$69</f>
        <v>EFS/RF</v>
      </c>
      <c r="F34" s="216">
        <f t="shared" si="8"/>
        <v>0</v>
      </c>
      <c r="G34" s="216">
        <f t="shared" si="8"/>
        <v>0</v>
      </c>
      <c r="H34" s="370">
        <f t="shared" si="8"/>
        <v>0</v>
      </c>
      <c r="I34" s="335"/>
      <c r="J34" s="335"/>
      <c r="K34" s="335"/>
      <c r="L34" s="335"/>
      <c r="M34" s="335"/>
      <c r="N34" s="335"/>
      <c r="O34" s="335"/>
      <c r="P34" s="335"/>
      <c r="Q34" s="335"/>
      <c r="R34" s="335"/>
      <c r="S34" s="335"/>
      <c r="T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12"/>
      <c r="BZ34" s="335"/>
      <c r="CA34" s="12"/>
      <c r="CB34" s="335"/>
      <c r="CC34" s="335"/>
      <c r="CD34" s="335"/>
      <c r="CE34" s="335"/>
      <c r="CF34" s="335"/>
      <c r="CG34" s="335"/>
      <c r="CH34" s="335"/>
      <c r="CI34" s="335"/>
      <c r="CJ34" s="335"/>
      <c r="CK34" s="335"/>
      <c r="CL34" s="335"/>
      <c r="CM34" s="335"/>
      <c r="CN34" s="335"/>
      <c r="CO34" s="335"/>
      <c r="CP34" s="335"/>
      <c r="CQ34" s="335"/>
      <c r="CR34" s="12"/>
      <c r="CU34" s="335"/>
      <c r="EX34" s="10" t="str">
        <f t="shared" si="9"/>
        <v/>
      </c>
    </row>
    <row r="35" spans="1:154" s="5" customFormat="1" x14ac:dyDescent="0.25">
      <c r="A35" s="362" cm="1">
        <f t="array" aca="1" ref="A35" ca="1">HYPERLINK(CONCATENATE("#",CELL("address",IF(SUM($CA35:$CR35)=0,A35,INDEX($CA35:$CR35,MATCH(1,$CA35:$CR35,0))))),SUM($CA35:$CR35))</f>
        <v>0</v>
      </c>
      <c r="C35" s="380"/>
      <c r="D35" s="368" t="s">
        <v>966</v>
      </c>
      <c r="E35" s="136" t="str">
        <f>Parameters!$D$70</f>
        <v xml:space="preserve">Commercial </v>
      </c>
      <c r="F35" s="216">
        <f t="shared" si="8"/>
        <v>6870</v>
      </c>
      <c r="G35" s="216">
        <f t="shared" si="8"/>
        <v>3042</v>
      </c>
      <c r="H35" s="370">
        <f t="shared" si="8"/>
        <v>0</v>
      </c>
      <c r="I35" s="335"/>
      <c r="J35" s="335"/>
      <c r="K35" s="335"/>
      <c r="L35" s="335"/>
      <c r="M35" s="335"/>
      <c r="N35" s="335"/>
      <c r="O35" s="335"/>
      <c r="P35" s="335"/>
      <c r="Q35" s="335"/>
      <c r="R35" s="335"/>
      <c r="S35" s="335"/>
      <c r="T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12"/>
      <c r="BZ35" s="335"/>
      <c r="CA35" s="12"/>
      <c r="CB35" s="335"/>
      <c r="CC35" s="335"/>
      <c r="CD35" s="335"/>
      <c r="CE35" s="335"/>
      <c r="CF35" s="335"/>
      <c r="CG35" s="335"/>
      <c r="CH35" s="335"/>
      <c r="CI35" s="335"/>
      <c r="CJ35" s="335"/>
      <c r="CK35" s="335"/>
      <c r="CL35" s="335"/>
      <c r="CM35" s="335"/>
      <c r="CN35" s="335"/>
      <c r="CO35" s="335"/>
      <c r="CP35" s="335"/>
      <c r="CQ35" s="335"/>
      <c r="CR35" s="12"/>
      <c r="CU35" s="335"/>
      <c r="EX35" s="10" t="str">
        <f t="shared" si="9"/>
        <v/>
      </c>
    </row>
    <row r="36" spans="1:154" s="5" customFormat="1" x14ac:dyDescent="0.25">
      <c r="A36" s="362" cm="1">
        <f t="array" aca="1" ref="A36" ca="1">HYPERLINK(CONCATENATE("#",CELL("address",IF(SUM($CA36:$CR36)=0,A36,INDEX($CA36:$CR36,MATCH(1,$CA36:$CR36,0))))),SUM($CA36:$CR36))</f>
        <v>0</v>
      </c>
      <c r="C36" s="380"/>
      <c r="D36" s="367" t="s">
        <v>391</v>
      </c>
      <c r="E36" s="367" t="s">
        <v>178</v>
      </c>
      <c r="F36" s="13">
        <f>SUM(F33:F35)</f>
        <v>6870</v>
      </c>
      <c r="G36" s="13">
        <f t="shared" ref="G36" si="10">SUM(G33:G35)</f>
        <v>3042</v>
      </c>
      <c r="H36" s="371">
        <f t="shared" ref="H36" si="11">SUM(H33:H35)</f>
        <v>0</v>
      </c>
      <c r="I36" s="335"/>
      <c r="J36" s="335"/>
      <c r="K36" s="335"/>
      <c r="L36" s="335"/>
      <c r="M36" s="335"/>
      <c r="N36" s="335"/>
      <c r="O36" s="335"/>
      <c r="P36" s="335"/>
      <c r="Q36" s="335"/>
      <c r="R36" s="335"/>
      <c r="S36" s="335"/>
      <c r="T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12"/>
      <c r="BZ36" s="335"/>
      <c r="CA36" s="12"/>
      <c r="CB36" s="335"/>
      <c r="CC36" s="335"/>
      <c r="CD36" s="335"/>
      <c r="CE36" s="335"/>
      <c r="CF36" s="335"/>
      <c r="CG36" s="335"/>
      <c r="CH36" s="335"/>
      <c r="CI36" s="335"/>
      <c r="CJ36" s="335"/>
      <c r="CK36" s="335"/>
      <c r="CL36" s="335"/>
      <c r="CM36" s="335"/>
      <c r="CN36" s="335"/>
      <c r="CO36" s="335"/>
      <c r="CP36" s="335"/>
      <c r="CQ36" s="335"/>
      <c r="CR36" s="12"/>
      <c r="CU36" s="335"/>
      <c r="EX36" s="10" t="str">
        <f t="shared" si="9"/>
        <v/>
      </c>
    </row>
    <row r="37" spans="1:154" s="335" customFormat="1" ht="6.6" customHeight="1" x14ac:dyDescent="0.25">
      <c r="C37" s="380"/>
      <c r="E37" s="1"/>
      <c r="G37" s="25"/>
      <c r="BM37" s="6"/>
      <c r="BY37" s="12"/>
      <c r="CA37" s="12"/>
      <c r="CR37" s="12"/>
      <c r="EX37" s="10" t="str">
        <f t="shared" si="9"/>
        <v/>
      </c>
    </row>
    <row r="38" spans="1:154" ht="25.5" x14ac:dyDescent="0.25">
      <c r="A38" s="335"/>
      <c r="B38" s="335"/>
      <c r="C38" s="380"/>
      <c r="D38" s="165" t="s">
        <v>968</v>
      </c>
      <c r="E38" s="165" t="s">
        <v>181</v>
      </c>
      <c r="F38" s="165"/>
      <c r="G38" s="165" t="s">
        <v>1603</v>
      </c>
      <c r="H38" s="369" t="s">
        <v>1600</v>
      </c>
      <c r="I38" s="165" t="s">
        <v>1601</v>
      </c>
      <c r="J38" s="165" t="s">
        <v>1602</v>
      </c>
      <c r="M38" s="335"/>
      <c r="S38" s="335"/>
      <c r="BY38" s="12"/>
      <c r="CA38" s="12"/>
      <c r="CR38" s="12"/>
      <c r="EX38" s="10" t="str">
        <f t="shared" si="9"/>
        <v/>
      </c>
    </row>
    <row r="39" spans="1:154" s="335" customFormat="1" ht="6.6" customHeight="1" x14ac:dyDescent="0.25">
      <c r="C39" s="380"/>
      <c r="D39" s="58"/>
      <c r="E39" s="58"/>
      <c r="F39" s="58"/>
      <c r="G39" s="58"/>
      <c r="H39" s="58"/>
      <c r="I39" s="58"/>
      <c r="J39" s="58"/>
      <c r="BM39" s="6"/>
      <c r="BY39" s="12"/>
      <c r="CA39" s="12"/>
      <c r="CR39" s="12"/>
      <c r="EX39" s="10" t="str">
        <f t="shared" si="9"/>
        <v/>
      </c>
    </row>
    <row r="40" spans="1:154" s="5" customFormat="1" x14ac:dyDescent="0.25">
      <c r="A40" s="362" cm="1">
        <f t="array" aca="1" ref="A40" ca="1">HYPERLINK(CONCATENATE("#",CELL("address",IF(SUM($CA40:$CR40)=0,A40,INDEX($CA40:$CR40,MATCH(1,$CA40:$CR40,0))))),SUM($CA40:$CR40))</f>
        <v>0</v>
      </c>
      <c r="B40" s="335"/>
      <c r="C40" s="380"/>
      <c r="D40" s="368" t="s">
        <v>966</v>
      </c>
      <c r="E40" s="136" t="str">
        <f>Parameters!$D$68</f>
        <v>Overdrafts</v>
      </c>
      <c r="F40" s="136"/>
      <c r="G40" s="216">
        <f>'Opening Balances'!$W$36</f>
        <v>0</v>
      </c>
      <c r="H40" s="136"/>
      <c r="I40" s="352">
        <f>ROUND(G33-G40, rounding)</f>
        <v>0</v>
      </c>
      <c r="J40" s="136"/>
      <c r="M40" s="335"/>
      <c r="N40" s="335"/>
      <c r="O40" s="335"/>
      <c r="P40" s="335"/>
      <c r="Q40" s="335"/>
      <c r="R40" s="335"/>
      <c r="S40" s="335"/>
      <c r="T40" s="335"/>
      <c r="U40" s="335"/>
      <c r="V40" s="335"/>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12"/>
      <c r="BZ40" s="335"/>
      <c r="CA40" s="12"/>
      <c r="CB40" s="7">
        <f>IF(I40=0, 0, 1)</f>
        <v>0</v>
      </c>
      <c r="CC40" s="335"/>
      <c r="CD40" s="335"/>
      <c r="CE40" s="335"/>
      <c r="CF40" s="335"/>
      <c r="CG40" s="335"/>
      <c r="CH40" s="335"/>
      <c r="CI40" s="335"/>
      <c r="CJ40" s="335"/>
      <c r="CK40" s="335"/>
      <c r="CL40" s="335"/>
      <c r="CM40" s="335"/>
      <c r="CN40" s="335"/>
      <c r="CO40" s="335"/>
      <c r="CP40" s="335"/>
      <c r="CQ40" s="335"/>
      <c r="CR40" s="12"/>
      <c r="CU40" s="335"/>
      <c r="EX40" s="10" t="str">
        <f t="shared" si="9"/>
        <v/>
      </c>
    </row>
    <row r="41" spans="1:154" s="5" customFormat="1" x14ac:dyDescent="0.25">
      <c r="A41" s="362" cm="1">
        <f t="array" aca="1" ref="A41" ca="1">HYPERLINK(CONCATENATE("#",CELL("address",IF(SUM($CA41:$CR41)=0,A41,INDEX($CA41:$CR41,MATCH(1,$CA41:$CR41,0))))),SUM($CA41:$CR41))</f>
        <v>0</v>
      </c>
      <c r="B41" s="335"/>
      <c r="C41" s="380"/>
      <c r="D41" s="368" t="s">
        <v>966</v>
      </c>
      <c r="E41" s="136" t="str">
        <f>Parameters!$D$69</f>
        <v>EFS/RF</v>
      </c>
      <c r="F41" s="136"/>
      <c r="G41" s="370">
        <f>'Opening Balances'!$W$37+'Opening Balances'!$W$57</f>
        <v>0</v>
      </c>
      <c r="H41" s="136"/>
      <c r="I41" s="352">
        <f>ROUND(G34-G41, rounding)</f>
        <v>0</v>
      </c>
      <c r="J41" s="136"/>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12"/>
      <c r="BZ41" s="335"/>
      <c r="CA41" s="12"/>
      <c r="CB41" s="7">
        <f>IF(I41=0, 0, 1)</f>
        <v>0</v>
      </c>
      <c r="CC41" s="335"/>
      <c r="CD41" s="335"/>
      <c r="CE41" s="335"/>
      <c r="CF41" s="335"/>
      <c r="CG41" s="335"/>
      <c r="CH41" s="335"/>
      <c r="CI41" s="335"/>
      <c r="CJ41" s="335"/>
      <c r="CK41" s="335"/>
      <c r="CL41" s="335"/>
      <c r="CM41" s="335"/>
      <c r="CN41" s="335"/>
      <c r="CO41" s="335"/>
      <c r="CP41" s="335"/>
      <c r="CQ41" s="335"/>
      <c r="CR41" s="12"/>
      <c r="CU41" s="335"/>
      <c r="EX41" s="10" t="str">
        <f t="shared" si="9"/>
        <v/>
      </c>
    </row>
    <row r="42" spans="1:154" s="5" customFormat="1" x14ac:dyDescent="0.25">
      <c r="A42" s="362" cm="1">
        <f t="array" aca="1" ref="A42" ca="1">HYPERLINK(CONCATENATE("#",CELL("address",IF(SUM($CA42:$CR42)=0,A42,INDEX($CA42:$CR42,MATCH(1,$CA42:$CR42,0))))),SUM($CA42:$CR42))</f>
        <v>0</v>
      </c>
      <c r="B42" s="335"/>
      <c r="C42" s="380"/>
      <c r="D42" s="368" t="s">
        <v>966</v>
      </c>
      <c r="E42" s="136" t="str">
        <f>Parameters!$D$70</f>
        <v xml:space="preserve">Commercial </v>
      </c>
      <c r="F42" s="136"/>
      <c r="G42" s="370">
        <f>'Opening Balances'!$W$38+'Opening Balances'!$W$58</f>
        <v>3042</v>
      </c>
      <c r="H42" s="136"/>
      <c r="I42" s="352">
        <f>ROUND(G35-G42, rounding)</f>
        <v>0</v>
      </c>
      <c r="J42" s="136"/>
      <c r="M42" s="335"/>
      <c r="N42" s="335"/>
      <c r="O42" s="335"/>
      <c r="P42" s="335"/>
      <c r="Q42" s="335"/>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12"/>
      <c r="BZ42" s="335"/>
      <c r="CA42" s="12"/>
      <c r="CB42" s="7">
        <f>IF(I42=0, 0, 1)</f>
        <v>0</v>
      </c>
      <c r="CC42" s="335"/>
      <c r="CD42" s="335"/>
      <c r="CE42" s="335"/>
      <c r="CF42" s="335"/>
      <c r="CG42" s="335"/>
      <c r="CH42" s="335"/>
      <c r="CI42" s="335"/>
      <c r="CJ42" s="335"/>
      <c r="CK42" s="335"/>
      <c r="CL42" s="335"/>
      <c r="CM42" s="335"/>
      <c r="CN42" s="335"/>
      <c r="CO42" s="335"/>
      <c r="CP42" s="335"/>
      <c r="CQ42" s="335"/>
      <c r="CR42" s="12"/>
      <c r="CU42" s="335"/>
      <c r="EX42" s="10" t="str">
        <f t="shared" si="9"/>
        <v/>
      </c>
    </row>
    <row r="43" spans="1:154" s="5" customFormat="1" x14ac:dyDescent="0.25">
      <c r="A43" s="362" cm="1">
        <f t="array" aca="1" ref="A43" ca="1">HYPERLINK(CONCATENATE("#",CELL("address",IF(SUM($CA43:$CR43)=0,A43,INDEX($CA43:$CR43,MATCH(1,$CA43:$CR43,0))))),SUM($CA43:$CR43))</f>
        <v>0</v>
      </c>
      <c r="B43" s="335"/>
      <c r="C43" s="380"/>
      <c r="D43" s="367" t="s">
        <v>391</v>
      </c>
      <c r="E43" s="367" t="s">
        <v>178</v>
      </c>
      <c r="F43" s="136"/>
      <c r="G43" s="371">
        <f>SUM(G40:G42)</f>
        <v>3042</v>
      </c>
      <c r="H43" s="370">
        <f>'Opening Balances'!$W$40+'Opening Balances'!$W$60</f>
        <v>0</v>
      </c>
      <c r="I43" s="352">
        <f>ROUND(G36-G43, rounding)</f>
        <v>0</v>
      </c>
      <c r="J43" s="352">
        <f>ROUND(H36-H43, rounding)</f>
        <v>0</v>
      </c>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12"/>
      <c r="BZ43" s="335"/>
      <c r="CA43" s="12"/>
      <c r="CB43" s="7">
        <f>IF(I43=0, 0, 1)</f>
        <v>0</v>
      </c>
      <c r="CC43" s="7">
        <f>IF(J43=0, 0, 1)</f>
        <v>0</v>
      </c>
      <c r="CD43" s="335"/>
      <c r="CE43" s="335"/>
      <c r="CF43" s="335"/>
      <c r="CG43" s="335"/>
      <c r="CH43" s="335"/>
      <c r="CI43" s="335"/>
      <c r="CJ43" s="335"/>
      <c r="CK43" s="335"/>
      <c r="CL43" s="335"/>
      <c r="CM43" s="335"/>
      <c r="CN43" s="335"/>
      <c r="CO43" s="335"/>
      <c r="CP43" s="335"/>
      <c r="CQ43" s="335"/>
      <c r="CR43" s="12"/>
      <c r="CU43" s="335"/>
      <c r="EX43" s="10" t="str">
        <f t="shared" si="9"/>
        <v/>
      </c>
    </row>
    <row r="44" spans="1:154" ht="6.6" customHeight="1" x14ac:dyDescent="0.25">
      <c r="C44" s="380"/>
      <c r="D44" s="1"/>
      <c r="E44" s="67"/>
      <c r="F44" s="25"/>
      <c r="G44" s="67"/>
      <c r="H44" s="67"/>
      <c r="S44" s="335"/>
      <c r="T44" s="67"/>
      <c r="U44" s="67"/>
      <c r="V44" s="67"/>
      <c r="W44" s="67"/>
      <c r="X44" s="67"/>
      <c r="Y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L44" s="67"/>
      <c r="BM44" s="6"/>
      <c r="BN44" s="67"/>
      <c r="BO44" s="67"/>
      <c r="BP44" s="67"/>
      <c r="BQ44" s="67"/>
      <c r="BR44" s="67"/>
      <c r="BS44" s="67"/>
      <c r="BT44" s="67"/>
      <c r="BU44" s="67"/>
      <c r="BV44" s="67"/>
      <c r="BW44" s="67"/>
      <c r="BY44" s="42"/>
      <c r="CA44" s="42"/>
      <c r="CR44" s="42"/>
      <c r="EX44" s="10" t="str">
        <f t="shared" si="9"/>
        <v/>
      </c>
    </row>
    <row r="45" spans="1:154" x14ac:dyDescent="0.25">
      <c r="A45" s="40"/>
      <c r="B45" s="40"/>
      <c r="C45" s="414"/>
      <c r="D45" s="40" t="s">
        <v>525</v>
      </c>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12"/>
      <c r="CA45" s="12"/>
      <c r="CR45" s="12"/>
      <c r="EX45" s="10" t="str">
        <f t="shared" si="9"/>
        <v/>
      </c>
    </row>
    <row r="46" spans="1:154" ht="6.6" customHeight="1" x14ac:dyDescent="0.25">
      <c r="C46" s="380"/>
      <c r="D46" s="1"/>
      <c r="E46" s="67"/>
      <c r="G46" s="67"/>
      <c r="H46" s="67"/>
      <c r="S46" s="335"/>
      <c r="T46" s="25"/>
      <c r="U46" s="25"/>
      <c r="V46" s="25"/>
      <c r="W46" s="25"/>
      <c r="X46" s="25"/>
      <c r="Y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L46" s="25"/>
      <c r="BM46" s="155"/>
      <c r="BN46" s="25"/>
      <c r="BO46" s="25"/>
      <c r="BP46" s="25"/>
      <c r="BQ46" s="25"/>
      <c r="BR46" s="25"/>
      <c r="BS46" s="25"/>
      <c r="BT46" s="25"/>
      <c r="BU46" s="25"/>
      <c r="BV46" s="25"/>
      <c r="BW46" s="25"/>
      <c r="BY46" s="42"/>
      <c r="CA46" s="42"/>
      <c r="CR46" s="42"/>
      <c r="EX46" s="10" t="str">
        <f t="shared" si="9"/>
        <v/>
      </c>
    </row>
    <row r="47" spans="1:154" x14ac:dyDescent="0.25">
      <c r="A47" s="64"/>
      <c r="C47" s="380"/>
      <c r="D47" s="218" t="s">
        <v>190</v>
      </c>
      <c r="E47" s="64"/>
      <c r="F47" s="64"/>
      <c r="G47" s="64"/>
      <c r="H47" s="64"/>
      <c r="I47" s="64"/>
      <c r="L47" s="64"/>
      <c r="M47" s="64"/>
      <c r="N47" s="64"/>
      <c r="O47" s="64"/>
      <c r="P47" s="64"/>
      <c r="Q47" s="64"/>
      <c r="S47" s="335"/>
      <c r="T47" s="25"/>
      <c r="U47" s="25"/>
      <c r="V47" s="335"/>
      <c r="W47" s="25"/>
      <c r="X47" s="25"/>
      <c r="Y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L47" s="25"/>
      <c r="BM47" s="25"/>
      <c r="BN47" s="25"/>
      <c r="BO47" s="25"/>
      <c r="BP47" s="25"/>
      <c r="BQ47" s="25"/>
      <c r="BR47" s="25"/>
      <c r="BS47" s="25"/>
      <c r="BT47" s="25"/>
      <c r="BU47" s="25"/>
      <c r="BV47" s="25"/>
      <c r="BW47" s="25"/>
      <c r="BY47" s="12"/>
      <c r="CA47" s="12"/>
      <c r="CR47" s="12"/>
      <c r="EX47" s="10" t="str">
        <f t="shared" si="9"/>
        <v/>
      </c>
    </row>
    <row r="48" spans="1:154" x14ac:dyDescent="0.25">
      <c r="C48" s="340" t="s">
        <v>1373</v>
      </c>
      <c r="D48" s="51" t="s">
        <v>230</v>
      </c>
      <c r="G48" s="9" t="s">
        <v>413</v>
      </c>
      <c r="H48" s="50" t="s">
        <v>8</v>
      </c>
      <c r="S48" s="335"/>
      <c r="T48" s="25"/>
      <c r="U48" s="25"/>
      <c r="V48" s="210"/>
      <c r="W48" s="201">
        <f>V52</f>
        <v>57</v>
      </c>
      <c r="X48" s="201">
        <f>W52</f>
        <v>0</v>
      </c>
      <c r="Y48" s="10">
        <f>X52</f>
        <v>0</v>
      </c>
      <c r="AA48" s="13">
        <f>W48</f>
        <v>57</v>
      </c>
      <c r="AB48" s="153">
        <f>AA52</f>
        <v>46</v>
      </c>
      <c r="AC48" s="10">
        <f>AB52</f>
        <v>35</v>
      </c>
      <c r="AD48" s="10">
        <f t="shared" ref="AD48:BJ48" si="12">AC52</f>
        <v>24</v>
      </c>
      <c r="AE48" s="10">
        <f t="shared" si="12"/>
        <v>13</v>
      </c>
      <c r="AF48" s="10">
        <f t="shared" si="12"/>
        <v>2</v>
      </c>
      <c r="AG48" s="10">
        <f t="shared" si="12"/>
        <v>0</v>
      </c>
      <c r="AH48" s="10">
        <f t="shared" si="12"/>
        <v>0</v>
      </c>
      <c r="AI48" s="10">
        <f t="shared" si="12"/>
        <v>0</v>
      </c>
      <c r="AJ48" s="10">
        <f t="shared" si="12"/>
        <v>0</v>
      </c>
      <c r="AK48" s="10">
        <f t="shared" si="12"/>
        <v>0</v>
      </c>
      <c r="AL48" s="10">
        <f t="shared" si="12"/>
        <v>0</v>
      </c>
      <c r="AM48" s="10">
        <f t="shared" si="12"/>
        <v>0</v>
      </c>
      <c r="AN48" s="10">
        <f t="shared" si="12"/>
        <v>0</v>
      </c>
      <c r="AO48" s="10">
        <f t="shared" si="12"/>
        <v>0</v>
      </c>
      <c r="AP48" s="10">
        <f t="shared" si="12"/>
        <v>0</v>
      </c>
      <c r="AQ48" s="10">
        <f t="shared" si="12"/>
        <v>0</v>
      </c>
      <c r="AR48" s="10">
        <f t="shared" si="12"/>
        <v>0</v>
      </c>
      <c r="AS48" s="10">
        <f t="shared" si="12"/>
        <v>0</v>
      </c>
      <c r="AT48" s="10">
        <f t="shared" si="12"/>
        <v>0</v>
      </c>
      <c r="AU48" s="10">
        <f t="shared" si="12"/>
        <v>0</v>
      </c>
      <c r="AV48" s="10">
        <f t="shared" si="12"/>
        <v>0</v>
      </c>
      <c r="AW48" s="10">
        <f t="shared" si="12"/>
        <v>0</v>
      </c>
      <c r="AX48" s="10">
        <f t="shared" si="12"/>
        <v>0</v>
      </c>
      <c r="AY48" s="10">
        <f t="shared" si="12"/>
        <v>0</v>
      </c>
      <c r="AZ48" s="10">
        <f t="shared" si="12"/>
        <v>0</v>
      </c>
      <c r="BA48" s="10">
        <f t="shared" si="12"/>
        <v>0</v>
      </c>
      <c r="BB48" s="10">
        <f t="shared" si="12"/>
        <v>0</v>
      </c>
      <c r="BC48" s="10">
        <f t="shared" si="12"/>
        <v>0</v>
      </c>
      <c r="BD48" s="10">
        <f t="shared" si="12"/>
        <v>0</v>
      </c>
      <c r="BE48" s="10">
        <f t="shared" si="12"/>
        <v>0</v>
      </c>
      <c r="BF48" s="10">
        <f t="shared" si="12"/>
        <v>0</v>
      </c>
      <c r="BG48" s="10">
        <f t="shared" si="12"/>
        <v>0</v>
      </c>
      <c r="BH48" s="10">
        <f t="shared" si="12"/>
        <v>0</v>
      </c>
      <c r="BI48" s="10">
        <f t="shared" si="12"/>
        <v>0</v>
      </c>
      <c r="BJ48" s="10">
        <f t="shared" si="12"/>
        <v>0</v>
      </c>
      <c r="BL48" s="13">
        <f t="shared" ref="BL48:BO52" si="13">V48</f>
        <v>0</v>
      </c>
      <c r="BM48" s="13">
        <f t="shared" si="13"/>
        <v>57</v>
      </c>
      <c r="BN48" s="13">
        <f t="shared" si="13"/>
        <v>0</v>
      </c>
      <c r="BO48" s="13">
        <f t="shared" si="13"/>
        <v>0</v>
      </c>
      <c r="BP48" s="10">
        <f>BO52</f>
        <v>0</v>
      </c>
      <c r="BQ48" s="10">
        <f t="shared" ref="BQ48:BW48" si="14">BP52</f>
        <v>0</v>
      </c>
      <c r="BR48" s="10">
        <f t="shared" si="14"/>
        <v>0</v>
      </c>
      <c r="BS48" s="10">
        <f t="shared" si="14"/>
        <v>0</v>
      </c>
      <c r="BT48" s="10">
        <f t="shared" si="14"/>
        <v>0</v>
      </c>
      <c r="BU48" s="10">
        <f t="shared" si="14"/>
        <v>0</v>
      </c>
      <c r="BV48" s="10">
        <f t="shared" si="14"/>
        <v>0</v>
      </c>
      <c r="BW48" s="10">
        <f t="shared" si="14"/>
        <v>0</v>
      </c>
      <c r="BY48" s="12"/>
      <c r="CA48" s="12"/>
      <c r="CR48" s="12"/>
      <c r="CS48" s="93">
        <f t="shared" ref="CS48:CS111" si="15">IF(IFERROR(FIND("check", D48), 0)=0, 0, 1)</f>
        <v>0</v>
      </c>
      <c r="CT48" s="93">
        <v>1</v>
      </c>
      <c r="CU48" s="93">
        <v>0</v>
      </c>
      <c r="EX48" s="13" t="str">
        <f>IF(C48="", "", CONCATENATE(D47, " ",D48))</f>
        <v>Loan 1 Opening Loan Balance</v>
      </c>
    </row>
    <row r="49" spans="1:154" s="5" customFormat="1" x14ac:dyDescent="0.25">
      <c r="A49" s="362" cm="1">
        <f t="array" aca="1" ref="A49" ca="1">HYPERLINK(CONCATENATE("#",CELL("address",IF(SUM($CA49:$CR49)=0,A49,INDEX($CA49:$CR49,MATCH(1,$CA49:$CR49,0))))),SUM($CA49:$CR49))</f>
        <v>0</v>
      </c>
      <c r="B49" s="11"/>
      <c r="C49" s="340" t="s">
        <v>1181</v>
      </c>
      <c r="D49" s="51" t="s">
        <v>219</v>
      </c>
      <c r="E49" s="35"/>
      <c r="F49" s="25"/>
      <c r="G49" s="174" t="s">
        <v>413</v>
      </c>
      <c r="H49" s="171" t="s">
        <v>125</v>
      </c>
      <c r="I49" s="25"/>
      <c r="J49" s="25"/>
      <c r="K49" s="25"/>
      <c r="L49" s="25"/>
      <c r="M49" s="25"/>
      <c r="N49" s="25"/>
      <c r="O49" s="25"/>
      <c r="P49" s="25"/>
      <c r="Q49" s="25"/>
      <c r="R49" s="25"/>
      <c r="S49" s="335"/>
      <c r="T49" s="25"/>
      <c r="U49" s="25"/>
      <c r="V49" s="222"/>
      <c r="W49" s="215">
        <f t="shared" ref="W49:Y51" si="16" xml:space="preserve"> SUMIFS($AA49:$BJ49, $AA$3:$BJ$3, W$3)</f>
        <v>0</v>
      </c>
      <c r="X49" s="215">
        <f t="shared" si="16"/>
        <v>0</v>
      </c>
      <c r="Y49" s="215">
        <f t="shared" si="16"/>
        <v>0</v>
      </c>
      <c r="Z49" s="11"/>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67"/>
      <c r="BL49" s="152">
        <f t="shared" si="13"/>
        <v>0</v>
      </c>
      <c r="BM49" s="152">
        <f t="shared" si="13"/>
        <v>0</v>
      </c>
      <c r="BN49" s="152">
        <f t="shared" si="13"/>
        <v>0</v>
      </c>
      <c r="BO49" s="152">
        <f t="shared" si="13"/>
        <v>0</v>
      </c>
      <c r="BP49" s="141"/>
      <c r="BQ49" s="141"/>
      <c r="BR49" s="141"/>
      <c r="BS49" s="141"/>
      <c r="BT49" s="141"/>
      <c r="BU49" s="141"/>
      <c r="BV49" s="141"/>
      <c r="BW49" s="141"/>
      <c r="BX49" s="11"/>
      <c r="BY49" s="12"/>
      <c r="BZ49" s="395">
        <f>IF(MIN($V49:$BW49)&lt;0, 1, 0)</f>
        <v>0</v>
      </c>
      <c r="CA49" s="12"/>
      <c r="CB49" s="335"/>
      <c r="CC49" s="335"/>
      <c r="CD49" s="335"/>
      <c r="CE49" s="335"/>
      <c r="CF49" s="67"/>
      <c r="CG49" s="11"/>
      <c r="CH49" s="11"/>
      <c r="CI49" s="11"/>
      <c r="CJ49" s="67"/>
      <c r="CK49" s="11"/>
      <c r="CL49" s="11"/>
      <c r="CM49" s="7">
        <f t="shared" ref="CM49:CO51" si="17">IF(ROUND(W49-SUMIFS($AA49:$BJ49, $AA$3:$BJ$3, W$3), rounding)=0, 0, 1)</f>
        <v>0</v>
      </c>
      <c r="CN49" s="7">
        <f t="shared" si="17"/>
        <v>0</v>
      </c>
      <c r="CO49" s="7">
        <f t="shared" si="17"/>
        <v>0</v>
      </c>
      <c r="CP49" s="7">
        <f>IF(ROUND(V49-BL49, rounding)=0, 0, 1)*'BS Forecasts'!$V$10</f>
        <v>0</v>
      </c>
      <c r="CQ49" s="67"/>
      <c r="CR49" s="12"/>
      <c r="CS49" s="93">
        <f t="shared" si="15"/>
        <v>0</v>
      </c>
      <c r="CT49" s="93">
        <v>1</v>
      </c>
      <c r="CU49" s="93">
        <v>1</v>
      </c>
      <c r="EX49" s="13" t="str">
        <f>IF(C49="", "", CONCATENATE(D47, " ",D49))</f>
        <v>Loan 1 Drawdowns</v>
      </c>
    </row>
    <row r="50" spans="1:154" x14ac:dyDescent="0.25">
      <c r="A50" s="362" cm="1">
        <f t="array" aca="1" ref="A50" ca="1">HYPERLINK(CONCATENATE("#",CELL("address",IF(SUM($CA50:$CR50)=0,A50,INDEX($CA50:$CR50,MATCH(1,$CA50:$CR50,0))))),SUM($CA50:$CR50))</f>
        <v>0</v>
      </c>
      <c r="C50" s="340" t="s">
        <v>1182</v>
      </c>
      <c r="D50" s="41" t="s">
        <v>1570</v>
      </c>
      <c r="E50" s="35"/>
      <c r="F50" s="25"/>
      <c r="G50" s="174" t="s">
        <v>413</v>
      </c>
      <c r="H50" s="171" t="s">
        <v>157</v>
      </c>
      <c r="I50" s="25"/>
      <c r="J50" s="25"/>
      <c r="K50" s="25"/>
      <c r="L50" s="25"/>
      <c r="M50" s="25"/>
      <c r="N50" s="25"/>
      <c r="O50" s="25"/>
      <c r="P50" s="25"/>
      <c r="Q50" s="25"/>
      <c r="R50" s="25"/>
      <c r="S50" s="335"/>
      <c r="T50" s="25"/>
      <c r="U50" s="25"/>
      <c r="V50" s="222"/>
      <c r="W50" s="215">
        <f t="shared" si="16"/>
        <v>-57</v>
      </c>
      <c r="X50" s="215">
        <f t="shared" si="16"/>
        <v>0</v>
      </c>
      <c r="Y50" s="215">
        <f t="shared" si="16"/>
        <v>0</v>
      </c>
      <c r="AA50" s="147">
        <v>-11</v>
      </c>
      <c r="AB50" s="147">
        <v>-11</v>
      </c>
      <c r="AC50" s="147">
        <v>-11</v>
      </c>
      <c r="AD50" s="147">
        <v>-11</v>
      </c>
      <c r="AE50" s="147">
        <v>-11</v>
      </c>
      <c r="AF50" s="147">
        <v>-2</v>
      </c>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L50" s="152">
        <f t="shared" si="13"/>
        <v>0</v>
      </c>
      <c r="BM50" s="152">
        <f t="shared" si="13"/>
        <v>-57</v>
      </c>
      <c r="BN50" s="152">
        <f t="shared" si="13"/>
        <v>0</v>
      </c>
      <c r="BO50" s="152">
        <f t="shared" si="13"/>
        <v>0</v>
      </c>
      <c r="BP50" s="141"/>
      <c r="BQ50" s="141"/>
      <c r="BR50" s="141"/>
      <c r="BS50" s="141"/>
      <c r="BT50" s="141"/>
      <c r="BU50" s="141"/>
      <c r="BV50" s="141"/>
      <c r="BW50" s="141"/>
      <c r="BY50" s="12"/>
      <c r="BZ50" s="395">
        <f>IF(MAX($V50:$BW50)&gt;0, 1, 0)</f>
        <v>0</v>
      </c>
      <c r="CA50" s="12"/>
      <c r="CM50" s="7">
        <f t="shared" si="17"/>
        <v>0</v>
      </c>
      <c r="CN50" s="7">
        <f t="shared" si="17"/>
        <v>0</v>
      </c>
      <c r="CO50" s="7">
        <f t="shared" si="17"/>
        <v>0</v>
      </c>
      <c r="CP50" s="7">
        <f>IF(ROUND(V50-BL50, rounding)=0, 0, 1)*'BS Forecasts'!$V$10</f>
        <v>0</v>
      </c>
      <c r="CR50" s="12"/>
      <c r="CS50" s="93">
        <f t="shared" si="15"/>
        <v>0</v>
      </c>
      <c r="CT50" s="93">
        <v>1</v>
      </c>
      <c r="CU50" s="93">
        <v>1</v>
      </c>
      <c r="EX50" s="13" t="str">
        <f>IF(C50="", "", CONCATENATE(D47, " ",D50))</f>
        <v>Loan 1 Loan Capital Repayment (as per loan agreement)</v>
      </c>
    </row>
    <row r="51" spans="1:154" s="335" customFormat="1" x14ac:dyDescent="0.25">
      <c r="A51" s="362" cm="1">
        <f t="array" aca="1" ref="A51" ca="1">HYPERLINK(CONCATENATE("#",CELL("address",IF(SUM($CA51:$CR51)=0,A51,INDEX($CA51:$CR51,MATCH(1,$CA51:$CR51,0))))),SUM($CA51:$CR51))</f>
        <v>0</v>
      </c>
      <c r="C51" s="340" t="s">
        <v>1572</v>
      </c>
      <c r="D51" s="41" t="s">
        <v>1571</v>
      </c>
      <c r="E51" s="1"/>
      <c r="G51" s="9" t="s">
        <v>413</v>
      </c>
      <c r="H51" s="50" t="s">
        <v>157</v>
      </c>
      <c r="T51" s="25"/>
      <c r="U51" s="25"/>
      <c r="V51" s="210"/>
      <c r="W51" s="215">
        <f t="shared" si="16"/>
        <v>0</v>
      </c>
      <c r="X51" s="215">
        <f t="shared" si="16"/>
        <v>0</v>
      </c>
      <c r="Y51" s="215">
        <f t="shared" si="16"/>
        <v>0</v>
      </c>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L51" s="13">
        <f t="shared" si="13"/>
        <v>0</v>
      </c>
      <c r="BM51" s="13">
        <f t="shared" si="13"/>
        <v>0</v>
      </c>
      <c r="BN51" s="13">
        <f t="shared" si="13"/>
        <v>0</v>
      </c>
      <c r="BO51" s="13">
        <f t="shared" si="13"/>
        <v>0</v>
      </c>
      <c r="BP51" s="141"/>
      <c r="BQ51" s="141"/>
      <c r="BR51" s="141"/>
      <c r="BS51" s="141"/>
      <c r="BT51" s="141"/>
      <c r="BU51" s="141"/>
      <c r="BV51" s="141"/>
      <c r="BW51" s="141"/>
      <c r="BY51" s="12"/>
      <c r="BZ51" s="395">
        <f>IF(MAX($V51:$BW51)&gt;0, 1, 0)</f>
        <v>0</v>
      </c>
      <c r="CA51" s="12"/>
      <c r="CM51" s="7">
        <f t="shared" si="17"/>
        <v>0</v>
      </c>
      <c r="CN51" s="7">
        <f t="shared" si="17"/>
        <v>0</v>
      </c>
      <c r="CO51" s="7">
        <f t="shared" si="17"/>
        <v>0</v>
      </c>
      <c r="CP51" s="7">
        <f>IF(ROUND(V51-BL51, rounding)=0, 0, 1)*'BS Forecasts'!$V$10</f>
        <v>0</v>
      </c>
      <c r="CR51" s="12"/>
      <c r="CS51" s="93">
        <f t="shared" si="15"/>
        <v>0</v>
      </c>
      <c r="CT51" s="93">
        <v>1</v>
      </c>
      <c r="CU51" s="93">
        <v>1</v>
      </c>
      <c r="EX51" s="13" t="str">
        <f>IF(C51="", "", CONCATENATE(D47, " ",D51))</f>
        <v xml:space="preserve">Loan 1 Early Repayment </v>
      </c>
    </row>
    <row r="52" spans="1:154" x14ac:dyDescent="0.25">
      <c r="C52" s="340" t="s">
        <v>1353</v>
      </c>
      <c r="D52" s="51" t="s">
        <v>231</v>
      </c>
      <c r="G52" s="9" t="s">
        <v>413</v>
      </c>
      <c r="H52" s="50" t="s">
        <v>8</v>
      </c>
      <c r="S52" s="335"/>
      <c r="T52" s="25"/>
      <c r="U52" s="25"/>
      <c r="V52" s="13">
        <f>$G$13</f>
        <v>57</v>
      </c>
      <c r="W52" s="201">
        <f>SUM(W48:W51)</f>
        <v>0</v>
      </c>
      <c r="X52" s="201">
        <f t="shared" ref="X52:BJ52" si="18">SUM(X48:X51)</f>
        <v>0</v>
      </c>
      <c r="Y52" s="201">
        <f t="shared" si="18"/>
        <v>0</v>
      </c>
      <c r="Z52" s="335"/>
      <c r="AA52" s="201">
        <f t="shared" si="18"/>
        <v>46</v>
      </c>
      <c r="AB52" s="201">
        <f t="shared" si="18"/>
        <v>35</v>
      </c>
      <c r="AC52" s="201">
        <f t="shared" si="18"/>
        <v>24</v>
      </c>
      <c r="AD52" s="201">
        <f t="shared" si="18"/>
        <v>13</v>
      </c>
      <c r="AE52" s="201">
        <f t="shared" si="18"/>
        <v>2</v>
      </c>
      <c r="AF52" s="201">
        <f t="shared" si="18"/>
        <v>0</v>
      </c>
      <c r="AG52" s="201">
        <f t="shared" si="18"/>
        <v>0</v>
      </c>
      <c r="AH52" s="201">
        <f t="shared" si="18"/>
        <v>0</v>
      </c>
      <c r="AI52" s="201">
        <f t="shared" si="18"/>
        <v>0</v>
      </c>
      <c r="AJ52" s="201">
        <f t="shared" si="18"/>
        <v>0</v>
      </c>
      <c r="AK52" s="201">
        <f t="shared" si="18"/>
        <v>0</v>
      </c>
      <c r="AL52" s="201">
        <f t="shared" si="18"/>
        <v>0</v>
      </c>
      <c r="AM52" s="201">
        <f t="shared" si="18"/>
        <v>0</v>
      </c>
      <c r="AN52" s="201">
        <f t="shared" si="18"/>
        <v>0</v>
      </c>
      <c r="AO52" s="201">
        <f t="shared" si="18"/>
        <v>0</v>
      </c>
      <c r="AP52" s="201">
        <f t="shared" si="18"/>
        <v>0</v>
      </c>
      <c r="AQ52" s="201">
        <f t="shared" si="18"/>
        <v>0</v>
      </c>
      <c r="AR52" s="201">
        <f t="shared" si="18"/>
        <v>0</v>
      </c>
      <c r="AS52" s="201">
        <f t="shared" si="18"/>
        <v>0</v>
      </c>
      <c r="AT52" s="201">
        <f t="shared" si="18"/>
        <v>0</v>
      </c>
      <c r="AU52" s="201">
        <f t="shared" si="18"/>
        <v>0</v>
      </c>
      <c r="AV52" s="201">
        <f t="shared" si="18"/>
        <v>0</v>
      </c>
      <c r="AW52" s="201">
        <f t="shared" si="18"/>
        <v>0</v>
      </c>
      <c r="AX52" s="201">
        <f t="shared" si="18"/>
        <v>0</v>
      </c>
      <c r="AY52" s="201">
        <f t="shared" si="18"/>
        <v>0</v>
      </c>
      <c r="AZ52" s="201">
        <f t="shared" si="18"/>
        <v>0</v>
      </c>
      <c r="BA52" s="201">
        <f t="shared" si="18"/>
        <v>0</v>
      </c>
      <c r="BB52" s="201">
        <f t="shared" si="18"/>
        <v>0</v>
      </c>
      <c r="BC52" s="201">
        <f t="shared" si="18"/>
        <v>0</v>
      </c>
      <c r="BD52" s="201">
        <f t="shared" si="18"/>
        <v>0</v>
      </c>
      <c r="BE52" s="201">
        <f t="shared" si="18"/>
        <v>0</v>
      </c>
      <c r="BF52" s="201">
        <f t="shared" si="18"/>
        <v>0</v>
      </c>
      <c r="BG52" s="201">
        <f t="shared" si="18"/>
        <v>0</v>
      </c>
      <c r="BH52" s="201">
        <f t="shared" si="18"/>
        <v>0</v>
      </c>
      <c r="BI52" s="201">
        <f t="shared" si="18"/>
        <v>0</v>
      </c>
      <c r="BJ52" s="201">
        <f t="shared" si="18"/>
        <v>0</v>
      </c>
      <c r="BL52" s="152">
        <f t="shared" si="13"/>
        <v>57</v>
      </c>
      <c r="BM52" s="152">
        <f t="shared" si="13"/>
        <v>0</v>
      </c>
      <c r="BN52" s="152">
        <f t="shared" si="13"/>
        <v>0</v>
      </c>
      <c r="BO52" s="152">
        <f t="shared" si="13"/>
        <v>0</v>
      </c>
      <c r="BP52" s="201">
        <f t="shared" ref="BP52" si="19">SUM(BP48:BP51)</f>
        <v>0</v>
      </c>
      <c r="BQ52" s="201">
        <f t="shared" ref="BQ52" si="20">SUM(BQ48:BQ51)</f>
        <v>0</v>
      </c>
      <c r="BR52" s="201">
        <f t="shared" ref="BR52" si="21">SUM(BR48:BR51)</f>
        <v>0</v>
      </c>
      <c r="BS52" s="201">
        <f t="shared" ref="BS52" si="22">SUM(BS48:BS51)</f>
        <v>0</v>
      </c>
      <c r="BT52" s="201">
        <f t="shared" ref="BT52" si="23">SUM(BT48:BT51)</f>
        <v>0</v>
      </c>
      <c r="BU52" s="201">
        <f t="shared" ref="BU52" si="24">SUM(BU48:BU51)</f>
        <v>0</v>
      </c>
      <c r="BV52" s="201">
        <f t="shared" ref="BV52" si="25">SUM(BV48:BV51)</f>
        <v>0</v>
      </c>
      <c r="BW52" s="201">
        <f t="shared" ref="BW52" si="26">SUM(BW48:BW51)</f>
        <v>0</v>
      </c>
      <c r="BY52" s="12"/>
      <c r="CA52" s="12"/>
      <c r="CR52" s="12"/>
      <c r="CS52" s="93">
        <f t="shared" si="15"/>
        <v>0</v>
      </c>
      <c r="CT52" s="93">
        <v>0</v>
      </c>
      <c r="CU52" s="93">
        <v>0</v>
      </c>
      <c r="EX52" s="13" t="str">
        <f>IF(C52="", "", CONCATENATE(D47, " ",D52))</f>
        <v>Loan 1 Closing Loan Balance</v>
      </c>
    </row>
    <row r="53" spans="1:154" ht="6.6" customHeight="1" x14ac:dyDescent="0.25">
      <c r="C53" s="380"/>
      <c r="D53" s="1"/>
      <c r="E53" s="67"/>
      <c r="G53" s="67"/>
      <c r="H53" s="67"/>
      <c r="S53" s="335"/>
      <c r="T53" s="25"/>
      <c r="U53" s="25"/>
      <c r="V53" s="335"/>
      <c r="W53" s="67"/>
      <c r="X53" s="67"/>
      <c r="Y53" s="67"/>
      <c r="Z53" s="335"/>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
      <c r="BN53" s="67"/>
      <c r="BO53" s="67"/>
      <c r="BP53" s="67"/>
      <c r="BQ53" s="67"/>
      <c r="BR53" s="67"/>
      <c r="BS53" s="67"/>
      <c r="BT53" s="67"/>
      <c r="BU53" s="67"/>
      <c r="BV53" s="67"/>
      <c r="BW53" s="67"/>
      <c r="BY53" s="42"/>
      <c r="CA53" s="42"/>
      <c r="CR53" s="42"/>
      <c r="CS53" s="93">
        <f t="shared" si="15"/>
        <v>0</v>
      </c>
      <c r="CT53" s="93">
        <v>0</v>
      </c>
      <c r="CU53" s="93">
        <v>0</v>
      </c>
      <c r="EX53" s="13" t="str">
        <f>IF(C53="", "", CONCATENATE(D47, " ",D53))</f>
        <v/>
      </c>
    </row>
    <row r="54" spans="1:154" x14ac:dyDescent="0.25">
      <c r="A54" s="362" cm="1">
        <f t="array" aca="1" ref="A54" ca="1">HYPERLINK(CONCATENATE("#",CELL("address",IF(SUM($CA54:$CR54)=0,A54,INDEX($CA54:$CR54,MATCH(1,$CA54:$CR54,0))))),SUM($CA54:$CR54))</f>
        <v>0</v>
      </c>
      <c r="C54" s="380"/>
      <c r="D54" s="51" t="s">
        <v>526</v>
      </c>
      <c r="E54" s="160" t="s">
        <v>523</v>
      </c>
      <c r="F54" s="215">
        <f>$F$13</f>
        <v>1525</v>
      </c>
      <c r="G54" s="67"/>
      <c r="H54" s="67"/>
      <c r="S54" s="335"/>
      <c r="T54" s="25"/>
      <c r="U54" s="25"/>
      <c r="V54" s="188">
        <f>IF(OR(V52&gt;$F54, V52&lt;0), 1, 0)</f>
        <v>0</v>
      </c>
      <c r="W54" s="7">
        <f>IF(OR(W52&gt;$F54, W52&lt;0), 1, 0)</f>
        <v>0</v>
      </c>
      <c r="X54" s="7">
        <f>IF(OR(X52&gt;$F54, X52&lt;0), 1, 0)</f>
        <v>0</v>
      </c>
      <c r="Y54" s="7">
        <f>IF(OR(Y52&gt;$F54, Y52&lt;0), 1, 0)</f>
        <v>0</v>
      </c>
      <c r="Z54" s="335"/>
      <c r="AA54" s="7">
        <f t="shared" ref="AA54:BJ54" si="27">IF(OR(AA52&gt;$F54, AA52&lt;0), 1, 0)</f>
        <v>0</v>
      </c>
      <c r="AB54" s="7">
        <f>IF(OR(AB52&gt;$F54, AB52&lt;0), 1, 0)</f>
        <v>0</v>
      </c>
      <c r="AC54" s="7">
        <f t="shared" si="27"/>
        <v>0</v>
      </c>
      <c r="AD54" s="7">
        <f t="shared" si="27"/>
        <v>0</v>
      </c>
      <c r="AE54" s="7">
        <f t="shared" si="27"/>
        <v>0</v>
      </c>
      <c r="AF54" s="7">
        <f t="shared" si="27"/>
        <v>0</v>
      </c>
      <c r="AG54" s="7">
        <f t="shared" si="27"/>
        <v>0</v>
      </c>
      <c r="AH54" s="7">
        <f t="shared" si="27"/>
        <v>0</v>
      </c>
      <c r="AI54" s="7">
        <f t="shared" si="27"/>
        <v>0</v>
      </c>
      <c r="AJ54" s="7">
        <f t="shared" si="27"/>
        <v>0</v>
      </c>
      <c r="AK54" s="7">
        <f t="shared" si="27"/>
        <v>0</v>
      </c>
      <c r="AL54" s="7">
        <f t="shared" si="27"/>
        <v>0</v>
      </c>
      <c r="AM54" s="7">
        <f t="shared" si="27"/>
        <v>0</v>
      </c>
      <c r="AN54" s="7">
        <f t="shared" si="27"/>
        <v>0</v>
      </c>
      <c r="AO54" s="7">
        <f t="shared" si="27"/>
        <v>0</v>
      </c>
      <c r="AP54" s="7">
        <f t="shared" si="27"/>
        <v>0</v>
      </c>
      <c r="AQ54" s="7">
        <f t="shared" si="27"/>
        <v>0</v>
      </c>
      <c r="AR54" s="7">
        <f t="shared" si="27"/>
        <v>0</v>
      </c>
      <c r="AS54" s="7">
        <f t="shared" si="27"/>
        <v>0</v>
      </c>
      <c r="AT54" s="7">
        <f t="shared" si="27"/>
        <v>0</v>
      </c>
      <c r="AU54" s="7">
        <f t="shared" si="27"/>
        <v>0</v>
      </c>
      <c r="AV54" s="7">
        <f t="shared" si="27"/>
        <v>0</v>
      </c>
      <c r="AW54" s="7">
        <f t="shared" si="27"/>
        <v>0</v>
      </c>
      <c r="AX54" s="7">
        <f t="shared" si="27"/>
        <v>0</v>
      </c>
      <c r="AY54" s="7">
        <f t="shared" si="27"/>
        <v>0</v>
      </c>
      <c r="AZ54" s="7">
        <f t="shared" si="27"/>
        <v>0</v>
      </c>
      <c r="BA54" s="7">
        <f t="shared" si="27"/>
        <v>0</v>
      </c>
      <c r="BB54" s="7">
        <f t="shared" si="27"/>
        <v>0</v>
      </c>
      <c r="BC54" s="7">
        <f t="shared" si="27"/>
        <v>0</v>
      </c>
      <c r="BD54" s="7">
        <f t="shared" si="27"/>
        <v>0</v>
      </c>
      <c r="BE54" s="7">
        <f t="shared" si="27"/>
        <v>0</v>
      </c>
      <c r="BF54" s="7">
        <f t="shared" si="27"/>
        <v>0</v>
      </c>
      <c r="BG54" s="7">
        <f t="shared" si="27"/>
        <v>0</v>
      </c>
      <c r="BH54" s="7">
        <f t="shared" si="27"/>
        <v>0</v>
      </c>
      <c r="BI54" s="7">
        <f t="shared" si="27"/>
        <v>0</v>
      </c>
      <c r="BJ54" s="7">
        <f t="shared" si="27"/>
        <v>0</v>
      </c>
      <c r="BK54" s="67"/>
      <c r="BL54" s="7">
        <f>IF(OR(BL52&gt;$F54, BL52&lt;0), 1, 0)</f>
        <v>0</v>
      </c>
      <c r="BM54" s="7">
        <f t="shared" ref="BM54:BW54" si="28">IF(OR(BM52&gt;$F54, BM52&lt;0), 1, 0)</f>
        <v>0</v>
      </c>
      <c r="BN54" s="7">
        <f t="shared" si="28"/>
        <v>0</v>
      </c>
      <c r="BO54" s="7">
        <f t="shared" si="28"/>
        <v>0</v>
      </c>
      <c r="BP54" s="7">
        <f t="shared" si="28"/>
        <v>0</v>
      </c>
      <c r="BQ54" s="7">
        <f t="shared" si="28"/>
        <v>0</v>
      </c>
      <c r="BR54" s="7">
        <f t="shared" si="28"/>
        <v>0</v>
      </c>
      <c r="BS54" s="7">
        <f t="shared" si="28"/>
        <v>0</v>
      </c>
      <c r="BT54" s="7">
        <f t="shared" si="28"/>
        <v>0</v>
      </c>
      <c r="BU54" s="7">
        <f t="shared" si="28"/>
        <v>0</v>
      </c>
      <c r="BV54" s="7">
        <f t="shared" si="28"/>
        <v>0</v>
      </c>
      <c r="BW54" s="7">
        <f t="shared" si="28"/>
        <v>0</v>
      </c>
      <c r="BY54" s="12"/>
      <c r="CA54" s="12"/>
      <c r="CL54" s="7">
        <f>IF(MAX(V54:BW54)&gt;0, 1, 0)</f>
        <v>0</v>
      </c>
      <c r="CR54" s="12"/>
      <c r="CS54" s="93">
        <f t="shared" si="15"/>
        <v>1</v>
      </c>
      <c r="CT54" s="93">
        <v>0</v>
      </c>
      <c r="CU54" s="93">
        <v>0</v>
      </c>
      <c r="EX54" s="13" t="str">
        <f>IF(C54="", "", CONCATENATE(D47, " ",D54))</f>
        <v/>
      </c>
    </row>
    <row r="55" spans="1:154" x14ac:dyDescent="0.25">
      <c r="A55" s="362" cm="1">
        <f t="array" aca="1" ref="A55" ca="1">HYPERLINK(CONCATENATE("#",CELL("address",IF(SUM($CA55:$CR55)=0,A55,INDEX($CA55:$CR55,MATCH(1,$CA55:$CR55,0))))),SUM($CA55:$CR55))</f>
        <v>0</v>
      </c>
      <c r="C55" s="380"/>
      <c r="D55" s="51" t="s">
        <v>220</v>
      </c>
      <c r="E55" s="160" t="s">
        <v>524</v>
      </c>
      <c r="F55" s="220" t="str">
        <f>IF($J$13="", "", $J$13)</f>
        <v/>
      </c>
      <c r="G55" s="67"/>
      <c r="H55" s="67"/>
      <c r="S55" s="335"/>
      <c r="T55" s="25"/>
      <c r="U55" s="25"/>
      <c r="V55" s="230">
        <f>IF(AND(V$5&gt;=$F55,SUM(V52:$Y52)&lt;&gt;0),1,0)</f>
        <v>0</v>
      </c>
      <c r="W55" s="230">
        <f>IF(AND(W$5&gt;=$F55,SUM(W52:$Y52)&lt;&gt;0),1,0)</f>
        <v>0</v>
      </c>
      <c r="X55" s="230">
        <f>IF(AND(X$5&gt;=$F55,SUM(X52:$Y52)&lt;&gt;0),1,0)</f>
        <v>0</v>
      </c>
      <c r="Y55" s="230">
        <f>IF(AND(Y$5&gt;=$F55,SUM(Y52:$Y52)&lt;&gt;0),1,0)</f>
        <v>0</v>
      </c>
      <c r="Z55" s="335"/>
      <c r="AA55" s="154">
        <f>IF(AND(AA$5&gt;=$F55,SUM(AA52:$BJ52)&lt;&gt;0),1,0)</f>
        <v>0</v>
      </c>
      <c r="AB55" s="154">
        <f>IF(AND(AB$5&gt;=$F55,SUM(AB52:$BJ52)&lt;&gt;0),1,0)</f>
        <v>0</v>
      </c>
      <c r="AC55" s="154">
        <f>IF(AND(AC$5&gt;=$F55,SUM(AC52:$BJ52)&lt;&gt;0),1,0)</f>
        <v>0</v>
      </c>
      <c r="AD55" s="154">
        <f>IF(AND(AD$5&gt;=$F55,SUM(AD52:$BJ52)&lt;&gt;0),1,0)</f>
        <v>0</v>
      </c>
      <c r="AE55" s="154">
        <f>IF(AND(AE$5&gt;=$F55,SUM(AE52:$BJ52)&lt;&gt;0),1,0)</f>
        <v>0</v>
      </c>
      <c r="AF55" s="154">
        <f>IF(AND(AF$5&gt;=$F55,SUM(AF52:$BJ52)&lt;&gt;0),1,0)</f>
        <v>0</v>
      </c>
      <c r="AG55" s="154">
        <f>IF(AND(AG$5&gt;=$F55,SUM(AG52:$BJ52)&lt;&gt;0),1,0)</f>
        <v>0</v>
      </c>
      <c r="AH55" s="154">
        <f>IF(AND(AH$5&gt;=$F55,SUM(AH52:$BJ52)&lt;&gt;0),1,0)</f>
        <v>0</v>
      </c>
      <c r="AI55" s="154">
        <f>IF(AND(AI$5&gt;=$F55,SUM(AI52:$BJ52)&lt;&gt;0),1,0)</f>
        <v>0</v>
      </c>
      <c r="AJ55" s="154">
        <f>IF(AND(AJ$5&gt;=$F55,SUM(AJ52:$BJ52)&lt;&gt;0),1,0)</f>
        <v>0</v>
      </c>
      <c r="AK55" s="154">
        <f>IF(AND(AK$5&gt;=$F55,SUM(AK52:$BJ52)&lt;&gt;0),1,0)</f>
        <v>0</v>
      </c>
      <c r="AL55" s="154">
        <f>IF(AND(AL$5&gt;=$F55,SUM(AL52:$BJ52)&lt;&gt;0),1,0)</f>
        <v>0</v>
      </c>
      <c r="AM55" s="154">
        <f>IF(AND(AM$5&gt;=$F55,SUM(AM52:$BJ52)&lt;&gt;0),1,0)</f>
        <v>0</v>
      </c>
      <c r="AN55" s="154">
        <f>IF(AND(AN$5&gt;=$F55,SUM(AN52:$BJ52)&lt;&gt;0),1,0)</f>
        <v>0</v>
      </c>
      <c r="AO55" s="154">
        <f>IF(AND(AO$5&gt;=$F55,SUM(AO52:$BJ52)&lt;&gt;0),1,0)</f>
        <v>0</v>
      </c>
      <c r="AP55" s="154">
        <f>IF(AND(AP$5&gt;=$F55,SUM(AP52:$BJ52)&lt;&gt;0),1,0)</f>
        <v>0</v>
      </c>
      <c r="AQ55" s="154">
        <f>IF(AND(AQ$5&gt;=$F55,SUM(AQ52:$BJ52)&lt;&gt;0),1,0)</f>
        <v>0</v>
      </c>
      <c r="AR55" s="154">
        <f>IF(AND(AR$5&gt;=$F55,SUM(AR52:$BJ52)&lt;&gt;0),1,0)</f>
        <v>0</v>
      </c>
      <c r="AS55" s="154">
        <f>IF(AND(AS$5&gt;=$F55,SUM(AS52:$BJ52)&lt;&gt;0),1,0)</f>
        <v>0</v>
      </c>
      <c r="AT55" s="154">
        <f>IF(AND(AT$5&gt;=$F55,SUM(AT52:$BJ52)&lt;&gt;0),1,0)</f>
        <v>0</v>
      </c>
      <c r="AU55" s="154">
        <f>IF(AND(AU$5&gt;=$F55,SUM(AU52:$BJ52)&lt;&gt;0),1,0)</f>
        <v>0</v>
      </c>
      <c r="AV55" s="154">
        <f>IF(AND(AV$5&gt;=$F55,SUM(AV52:$BJ52)&lt;&gt;0),1,0)</f>
        <v>0</v>
      </c>
      <c r="AW55" s="154">
        <f>IF(AND(AW$5&gt;=$F55,SUM(AW52:$BJ52)&lt;&gt;0),1,0)</f>
        <v>0</v>
      </c>
      <c r="AX55" s="154">
        <f>IF(AND(AX$5&gt;=$F55,SUM(AX52:$BJ52)&lt;&gt;0),1,0)</f>
        <v>0</v>
      </c>
      <c r="AY55" s="154">
        <f>IF(AND(AY$5&gt;=$F55,SUM(AY52:$BJ52)&lt;&gt;0),1,0)</f>
        <v>0</v>
      </c>
      <c r="AZ55" s="154">
        <f>IF(AND(AZ$5&gt;=$F55,SUM(AZ52:$BJ52)&lt;&gt;0),1,0)</f>
        <v>0</v>
      </c>
      <c r="BA55" s="154">
        <f>IF(AND(BA$5&gt;=$F55,SUM(BA52:$BJ52)&lt;&gt;0),1,0)</f>
        <v>0</v>
      </c>
      <c r="BB55" s="154">
        <f>IF(AND(BB$5&gt;=$F55,SUM(BB52:$BJ52)&lt;&gt;0),1,0)</f>
        <v>0</v>
      </c>
      <c r="BC55" s="154">
        <f>IF(AND(BC$5&gt;=$F55,SUM(BC52:$BJ52)&lt;&gt;0),1,0)</f>
        <v>0</v>
      </c>
      <c r="BD55" s="154">
        <f>IF(AND(BD$5&gt;=$F55,SUM(BD52:$BJ52)&lt;&gt;0),1,0)</f>
        <v>0</v>
      </c>
      <c r="BE55" s="154">
        <f>IF(AND(BE$5&gt;=$F55,SUM(BE52:$BJ52)&lt;&gt;0),1,0)</f>
        <v>0</v>
      </c>
      <c r="BF55" s="154">
        <f>IF(AND(BF$5&gt;=$F55,SUM(BF52:$BJ52)&lt;&gt;0),1,0)</f>
        <v>0</v>
      </c>
      <c r="BG55" s="154">
        <f>IF(AND(BG$5&gt;=$F55,SUM(BG52:$BJ52)&lt;&gt;0),1,0)</f>
        <v>0</v>
      </c>
      <c r="BH55" s="154">
        <f>IF(AND(BH$5&gt;=$F55,SUM(BH52:$BJ52)&lt;&gt;0),1,0)</f>
        <v>0</v>
      </c>
      <c r="BI55" s="154">
        <f>IF(AND(BI$5&gt;=$F55,SUM(BI52:$BJ52)&lt;&gt;0),1,0)</f>
        <v>0</v>
      </c>
      <c r="BJ55" s="154">
        <f>IF(AND(BJ$5&gt;=$F55,SUM(BJ52:$BJ52)&lt;&gt;0),1,0)</f>
        <v>0</v>
      </c>
      <c r="BK55" s="67"/>
      <c r="BL55" s="7">
        <f>IF(AND(BL$5&gt;=$F55,SUM(BL52:$BW52)&lt;&gt;0),1,0)*BL$1150</f>
        <v>0</v>
      </c>
      <c r="BM55" s="7">
        <f>IF(AND(BM$5&gt;=$F55,SUM(BM52:$BW52)&lt;&gt;0),1,0)*BM$1150</f>
        <v>0</v>
      </c>
      <c r="BN55" s="7">
        <f>IF(AND(BN$5&gt;=$F55,SUM(BN52:$BW52)&lt;&gt;0),1,0)*BN$1150</f>
        <v>0</v>
      </c>
      <c r="BO55" s="7">
        <f>IF(AND(BO$5&gt;=$F55,SUM(BO52:$BW52)&lt;&gt;0),1,0)*BO$1150</f>
        <v>0</v>
      </c>
      <c r="BP55" s="7">
        <f>IF(AND(BP$5&gt;=$F55,SUM(BP52:$BW52)&lt;&gt;0),1,0)*BP$1150</f>
        <v>0</v>
      </c>
      <c r="BQ55" s="7">
        <f>IF(AND(BQ$5&gt;=$F55,SUM(BQ52:$BW52)&lt;&gt;0),1,0)*BQ$1150</f>
        <v>0</v>
      </c>
      <c r="BR55" s="7">
        <f>IF(AND(BR$5&gt;=$F55,SUM(BR52:$BW52)&lt;&gt;0),1,0)*BR$1150</f>
        <v>0</v>
      </c>
      <c r="BS55" s="7">
        <f>IF(AND(BS$5&gt;=$F55,SUM(BS52:$BW52)&lt;&gt;0),1,0)*BS$1150</f>
        <v>0</v>
      </c>
      <c r="BT55" s="7">
        <f>IF(AND(BT$5&gt;=$F55,SUM(BT52:$BW52)&lt;&gt;0),1,0)*BT$1150</f>
        <v>0</v>
      </c>
      <c r="BU55" s="7">
        <f>IF(AND(BU$5&gt;=$F55,SUM(BU52:$BW52)&lt;&gt;0),1,0)*BU$1150</f>
        <v>0</v>
      </c>
      <c r="BV55" s="7">
        <f>IF(AND(BV$5&gt;=$F55,SUM(BV52:$BW52)&lt;&gt;0),1,0)*BV$1150</f>
        <v>0</v>
      </c>
      <c r="BW55" s="7">
        <f>IF(AND(BW$5&gt;=$F55,SUM(BW52:$BW52)&lt;&gt;0),1,0)*BW$1150</f>
        <v>0</v>
      </c>
      <c r="BY55" s="12"/>
      <c r="CA55" s="12"/>
      <c r="CL55" s="7">
        <f>IF(MAX($V55:$BW55)&gt;0, 1, 0)</f>
        <v>0</v>
      </c>
      <c r="CR55" s="12"/>
      <c r="CS55" s="93">
        <f t="shared" si="15"/>
        <v>1</v>
      </c>
      <c r="CT55" s="93">
        <v>0</v>
      </c>
      <c r="CU55" s="93">
        <v>0</v>
      </c>
      <c r="EX55" s="13" t="str">
        <f>IF(C55="", "", CONCATENATE(D47, " ",D55))</f>
        <v/>
      </c>
    </row>
    <row r="56" spans="1:154" ht="6.6" customHeight="1" x14ac:dyDescent="0.25">
      <c r="C56" s="380"/>
      <c r="D56" s="1"/>
      <c r="E56" s="67"/>
      <c r="G56" s="67"/>
      <c r="H56" s="67"/>
      <c r="S56" s="335"/>
      <c r="T56" s="25"/>
      <c r="U56" s="25"/>
      <c r="V56" s="229"/>
      <c r="W56" s="25"/>
      <c r="X56" s="25"/>
      <c r="Y56" s="25"/>
      <c r="Z56" s="33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L56" s="25"/>
      <c r="BM56" s="155"/>
      <c r="BN56" s="25"/>
      <c r="BO56" s="25"/>
      <c r="BP56" s="25"/>
      <c r="BQ56" s="25"/>
      <c r="BR56" s="25"/>
      <c r="BS56" s="25"/>
      <c r="BT56" s="25"/>
      <c r="BU56" s="25"/>
      <c r="BV56" s="25"/>
      <c r="BW56" s="25"/>
      <c r="BY56" s="42"/>
      <c r="CA56" s="42"/>
      <c r="CR56" s="42"/>
      <c r="CS56" s="93">
        <f t="shared" si="15"/>
        <v>0</v>
      </c>
      <c r="CT56" s="93">
        <v>0</v>
      </c>
      <c r="CU56" s="93">
        <v>0</v>
      </c>
      <c r="EX56" s="13" t="str">
        <f>IF(C56="", "", CONCATENATE(D47, " ",D56))</f>
        <v/>
      </c>
    </row>
    <row r="57" spans="1:154" x14ac:dyDescent="0.25">
      <c r="C57" s="380"/>
      <c r="D57" s="51" t="s">
        <v>223</v>
      </c>
      <c r="G57" s="9" t="s">
        <v>413</v>
      </c>
      <c r="H57" s="50" t="s">
        <v>8</v>
      </c>
      <c r="S57" s="335"/>
      <c r="T57" s="25"/>
      <c r="U57" s="25"/>
      <c r="V57" s="210"/>
      <c r="W57" s="201">
        <f>V60</f>
        <v>0</v>
      </c>
      <c r="X57" s="201">
        <f>W60</f>
        <v>0</v>
      </c>
      <c r="Y57" s="10">
        <f>X60</f>
        <v>0</v>
      </c>
      <c r="Z57" s="335"/>
      <c r="AA57" s="13">
        <f>W57</f>
        <v>0</v>
      </c>
      <c r="AB57" s="10">
        <f>AA60</f>
        <v>0</v>
      </c>
      <c r="AC57" s="10">
        <f t="shared" ref="AC57:BJ57" si="29">AB60</f>
        <v>0</v>
      </c>
      <c r="AD57" s="10">
        <f t="shared" si="29"/>
        <v>0</v>
      </c>
      <c r="AE57" s="10">
        <f t="shared" si="29"/>
        <v>0</v>
      </c>
      <c r="AF57" s="10">
        <f t="shared" si="29"/>
        <v>0</v>
      </c>
      <c r="AG57" s="10">
        <f t="shared" si="29"/>
        <v>0</v>
      </c>
      <c r="AH57" s="10">
        <f t="shared" si="29"/>
        <v>0</v>
      </c>
      <c r="AI57" s="10">
        <f t="shared" si="29"/>
        <v>0</v>
      </c>
      <c r="AJ57" s="10">
        <f t="shared" si="29"/>
        <v>0</v>
      </c>
      <c r="AK57" s="10">
        <f t="shared" si="29"/>
        <v>0</v>
      </c>
      <c r="AL57" s="10">
        <f t="shared" si="29"/>
        <v>0</v>
      </c>
      <c r="AM57" s="10">
        <f t="shared" si="29"/>
        <v>0</v>
      </c>
      <c r="AN57" s="10">
        <f t="shared" si="29"/>
        <v>0</v>
      </c>
      <c r="AO57" s="10">
        <f t="shared" si="29"/>
        <v>0</v>
      </c>
      <c r="AP57" s="10">
        <f t="shared" si="29"/>
        <v>0</v>
      </c>
      <c r="AQ57" s="10">
        <f t="shared" si="29"/>
        <v>0</v>
      </c>
      <c r="AR57" s="10">
        <f t="shared" si="29"/>
        <v>0</v>
      </c>
      <c r="AS57" s="10">
        <f t="shared" si="29"/>
        <v>0</v>
      </c>
      <c r="AT57" s="10">
        <f t="shared" si="29"/>
        <v>0</v>
      </c>
      <c r="AU57" s="10">
        <f t="shared" si="29"/>
        <v>0</v>
      </c>
      <c r="AV57" s="10">
        <f t="shared" si="29"/>
        <v>0</v>
      </c>
      <c r="AW57" s="10">
        <f t="shared" si="29"/>
        <v>0</v>
      </c>
      <c r="AX57" s="10">
        <f t="shared" si="29"/>
        <v>0</v>
      </c>
      <c r="AY57" s="10">
        <f t="shared" si="29"/>
        <v>0</v>
      </c>
      <c r="AZ57" s="10">
        <f t="shared" si="29"/>
        <v>0</v>
      </c>
      <c r="BA57" s="10">
        <f t="shared" si="29"/>
        <v>0</v>
      </c>
      <c r="BB57" s="10">
        <f t="shared" si="29"/>
        <v>0</v>
      </c>
      <c r="BC57" s="10">
        <f t="shared" si="29"/>
        <v>0</v>
      </c>
      <c r="BD57" s="10">
        <f t="shared" si="29"/>
        <v>0</v>
      </c>
      <c r="BE57" s="10">
        <f t="shared" si="29"/>
        <v>0</v>
      </c>
      <c r="BF57" s="10">
        <f t="shared" si="29"/>
        <v>0</v>
      </c>
      <c r="BG57" s="10">
        <f t="shared" si="29"/>
        <v>0</v>
      </c>
      <c r="BH57" s="10">
        <f t="shared" si="29"/>
        <v>0</v>
      </c>
      <c r="BI57" s="10">
        <f t="shared" si="29"/>
        <v>0</v>
      </c>
      <c r="BJ57" s="10">
        <f t="shared" si="29"/>
        <v>0</v>
      </c>
      <c r="BL57" s="13">
        <f t="shared" ref="BL57:BO60" si="30">V57</f>
        <v>0</v>
      </c>
      <c r="BM57" s="13">
        <f t="shared" si="30"/>
        <v>0</v>
      </c>
      <c r="BN57" s="13">
        <f t="shared" si="30"/>
        <v>0</v>
      </c>
      <c r="BO57" s="13">
        <f t="shared" si="30"/>
        <v>0</v>
      </c>
      <c r="BP57" s="10">
        <f t="shared" ref="BP57:BW57" si="31">BO60</f>
        <v>0</v>
      </c>
      <c r="BQ57" s="10">
        <f t="shared" si="31"/>
        <v>0</v>
      </c>
      <c r="BR57" s="10">
        <f t="shared" si="31"/>
        <v>0</v>
      </c>
      <c r="BS57" s="10">
        <f t="shared" si="31"/>
        <v>0</v>
      </c>
      <c r="BT57" s="10">
        <f t="shared" si="31"/>
        <v>0</v>
      </c>
      <c r="BU57" s="10">
        <f t="shared" si="31"/>
        <v>0</v>
      </c>
      <c r="BV57" s="10">
        <f t="shared" si="31"/>
        <v>0</v>
      </c>
      <c r="BW57" s="10">
        <f t="shared" si="31"/>
        <v>0</v>
      </c>
      <c r="BY57" s="12"/>
      <c r="CA57" s="12"/>
      <c r="CR57" s="12"/>
      <c r="CS57" s="93">
        <f t="shared" si="15"/>
        <v>0</v>
      </c>
      <c r="CT57" s="93">
        <v>1</v>
      </c>
      <c r="CU57" s="93">
        <v>0</v>
      </c>
      <c r="EX57" s="13" t="str">
        <f>IF(C57="", "", CONCATENATE(D47, " ",D57))</f>
        <v/>
      </c>
    </row>
    <row r="58" spans="1:154" s="5" customFormat="1" ht="15.75" x14ac:dyDescent="0.3">
      <c r="A58" s="362" cm="1">
        <f t="array" aca="1" ref="A58" ca="1">HYPERLINK(CONCATENATE("#",CELL("address",IF(SUM($CA58:$CR58)=0,A58,INDEX($CA58:$CR58,MATCH(1,$CA58:$CR58,0))))),SUM($CA58:$CR58))</f>
        <v>0</v>
      </c>
      <c r="B58" s="105" t="s">
        <v>335</v>
      </c>
      <c r="C58" s="380"/>
      <c r="D58" s="41" t="s">
        <v>234</v>
      </c>
      <c r="E58" s="35"/>
      <c r="F58" s="25"/>
      <c r="G58" s="174" t="s">
        <v>413</v>
      </c>
      <c r="H58" s="171" t="s">
        <v>125</v>
      </c>
      <c r="I58" s="25"/>
      <c r="J58" s="25"/>
      <c r="K58" s="25"/>
      <c r="L58" s="25"/>
      <c r="M58" s="25"/>
      <c r="N58" s="25"/>
      <c r="O58" s="25"/>
      <c r="P58" s="25"/>
      <c r="Q58" s="25"/>
      <c r="R58" s="25"/>
      <c r="S58" s="335"/>
      <c r="T58" s="25"/>
      <c r="U58" s="25"/>
      <c r="V58" s="222"/>
      <c r="W58" s="215">
        <f t="shared" ref="W58:Y59" si="32" xml:space="preserve"> SUMIFS($AA58:$BJ58, $AA$3:$BJ$3, W$3)</f>
        <v>0</v>
      </c>
      <c r="X58" s="215">
        <f t="shared" si="32"/>
        <v>0</v>
      </c>
      <c r="Y58" s="215">
        <f t="shared" si="32"/>
        <v>0</v>
      </c>
      <c r="Z58" s="335"/>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1"/>
      <c r="BL58" s="152">
        <f t="shared" si="30"/>
        <v>0</v>
      </c>
      <c r="BM58" s="152">
        <f t="shared" si="30"/>
        <v>0</v>
      </c>
      <c r="BN58" s="152">
        <f t="shared" si="30"/>
        <v>0</v>
      </c>
      <c r="BO58" s="152">
        <f t="shared" si="30"/>
        <v>0</v>
      </c>
      <c r="BP58" s="141"/>
      <c r="BQ58" s="141"/>
      <c r="BR58" s="141"/>
      <c r="BS58" s="141"/>
      <c r="BT58" s="141"/>
      <c r="BU58" s="141"/>
      <c r="BV58" s="141"/>
      <c r="BW58" s="141"/>
      <c r="BX58" s="11"/>
      <c r="BY58" s="12"/>
      <c r="BZ58" s="395">
        <f>IF(MIN($V58:$BW58)&lt;0, 1, 0)</f>
        <v>0</v>
      </c>
      <c r="CA58" s="12"/>
      <c r="CB58" s="335"/>
      <c r="CC58" s="335"/>
      <c r="CD58" s="335"/>
      <c r="CE58" s="335"/>
      <c r="CF58" s="67"/>
      <c r="CG58" s="11"/>
      <c r="CH58" s="11"/>
      <c r="CI58" s="11"/>
      <c r="CJ58" s="67"/>
      <c r="CK58" s="11"/>
      <c r="CL58" s="11"/>
      <c r="CM58" s="7">
        <f t="shared" ref="CM58:CO59" si="33">IF(ROUND(W58-SUMIFS($AA58:$BJ58, $AA$3:$BJ$3, W$3), rounding)=0, 0, 1)</f>
        <v>0</v>
      </c>
      <c r="CN58" s="7">
        <f t="shared" si="33"/>
        <v>0</v>
      </c>
      <c r="CO58" s="7">
        <f t="shared" si="33"/>
        <v>0</v>
      </c>
      <c r="CP58" s="7">
        <f>IF(ROUND(V58-BL58, rounding)=0, 0, 1)*'BS Forecasts'!$V$10</f>
        <v>0</v>
      </c>
      <c r="CQ58" s="67"/>
      <c r="CR58" s="12"/>
      <c r="CS58" s="93">
        <f t="shared" si="15"/>
        <v>0</v>
      </c>
      <c r="CT58" s="93">
        <v>1</v>
      </c>
      <c r="CU58" s="93">
        <v>1</v>
      </c>
      <c r="EX58" s="13" t="str">
        <f>IF(C58="", "", CONCATENATE(D47, " ",D58))</f>
        <v/>
      </c>
    </row>
    <row r="59" spans="1:154" ht="15.75" x14ac:dyDescent="0.3">
      <c r="A59" s="362" cm="1">
        <f t="array" aca="1" ref="A59" ca="1">HYPERLINK(CONCATENATE("#",CELL("address",IF(SUM($CA59:$CR59)=0,A59,INDEX($CA59:$CR59,MATCH(1,$CA59:$CR59,0))))),SUM($CA59:$CR59))</f>
        <v>0</v>
      </c>
      <c r="B59" s="105" t="s">
        <v>335</v>
      </c>
      <c r="C59" s="380"/>
      <c r="D59" s="41" t="s">
        <v>222</v>
      </c>
      <c r="E59" s="35"/>
      <c r="F59" s="25"/>
      <c r="G59" s="174" t="s">
        <v>413</v>
      </c>
      <c r="H59" s="171" t="s">
        <v>157</v>
      </c>
      <c r="I59" s="25"/>
      <c r="J59" s="25"/>
      <c r="K59" s="25"/>
      <c r="L59" s="25"/>
      <c r="M59" s="25"/>
      <c r="N59" s="25"/>
      <c r="O59" s="25"/>
      <c r="P59" s="25"/>
      <c r="Q59" s="25"/>
      <c r="R59" s="25"/>
      <c r="S59" s="335"/>
      <c r="T59" s="25"/>
      <c r="U59" s="25"/>
      <c r="V59" s="222"/>
      <c r="W59" s="215">
        <f t="shared" si="32"/>
        <v>0</v>
      </c>
      <c r="X59" s="215">
        <f t="shared" si="32"/>
        <v>0</v>
      </c>
      <c r="Y59" s="215">
        <f t="shared" si="32"/>
        <v>0</v>
      </c>
      <c r="Z59" s="335"/>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L59" s="152">
        <f t="shared" si="30"/>
        <v>0</v>
      </c>
      <c r="BM59" s="152">
        <f t="shared" si="30"/>
        <v>0</v>
      </c>
      <c r="BN59" s="152">
        <f t="shared" si="30"/>
        <v>0</v>
      </c>
      <c r="BO59" s="152">
        <f t="shared" si="30"/>
        <v>0</v>
      </c>
      <c r="BP59" s="141"/>
      <c r="BQ59" s="141"/>
      <c r="BR59" s="141"/>
      <c r="BS59" s="141"/>
      <c r="BT59" s="141"/>
      <c r="BU59" s="141"/>
      <c r="BV59" s="141"/>
      <c r="BW59" s="141"/>
      <c r="BY59" s="12"/>
      <c r="BZ59" s="395">
        <f>IF(MAX($V59:$BW59)&gt;0, 1, 0)</f>
        <v>0</v>
      </c>
      <c r="CA59" s="12"/>
      <c r="CM59" s="7">
        <f t="shared" si="33"/>
        <v>0</v>
      </c>
      <c r="CN59" s="7">
        <f t="shared" si="33"/>
        <v>0</v>
      </c>
      <c r="CO59" s="7">
        <f t="shared" si="33"/>
        <v>0</v>
      </c>
      <c r="CP59" s="7">
        <f>IF(ROUND(V59-BL59, rounding)=0, 0, 1)*'BS Forecasts'!$V$10</f>
        <v>0</v>
      </c>
      <c r="CR59" s="12"/>
      <c r="CS59" s="93">
        <f t="shared" si="15"/>
        <v>0</v>
      </c>
      <c r="CT59" s="93">
        <v>1</v>
      </c>
      <c r="CU59" s="93">
        <v>1</v>
      </c>
      <c r="EX59" s="13" t="str">
        <f>IF(C59="", "", CONCATENATE(D47, " ",D59))</f>
        <v/>
      </c>
    </row>
    <row r="60" spans="1:154" x14ac:dyDescent="0.25">
      <c r="C60" s="380"/>
      <c r="D60" s="51" t="s">
        <v>224</v>
      </c>
      <c r="G60" s="9" t="s">
        <v>413</v>
      </c>
      <c r="H60" s="50" t="s">
        <v>8</v>
      </c>
      <c r="S60" s="335"/>
      <c r="T60" s="25"/>
      <c r="U60" s="25"/>
      <c r="V60" s="13">
        <f>$H$13</f>
        <v>0</v>
      </c>
      <c r="W60" s="201">
        <f>SUM(W57:W59)</f>
        <v>0</v>
      </c>
      <c r="X60" s="10">
        <f>SUM(X57:X59)</f>
        <v>0</v>
      </c>
      <c r="Y60" s="10">
        <f>SUM(Y57:Y59)</f>
        <v>0</v>
      </c>
      <c r="Z60" s="335"/>
      <c r="AA60" s="10">
        <f>SUM(AA57:AA59)</f>
        <v>0</v>
      </c>
      <c r="AB60" s="10">
        <f t="shared" ref="AB60:BJ60" si="34">SUM(AB57:AB59)</f>
        <v>0</v>
      </c>
      <c r="AC60" s="10">
        <f t="shared" si="34"/>
        <v>0</v>
      </c>
      <c r="AD60" s="10">
        <f t="shared" si="34"/>
        <v>0</v>
      </c>
      <c r="AE60" s="10">
        <f t="shared" si="34"/>
        <v>0</v>
      </c>
      <c r="AF60" s="10">
        <f t="shared" si="34"/>
        <v>0</v>
      </c>
      <c r="AG60" s="10">
        <f t="shared" si="34"/>
        <v>0</v>
      </c>
      <c r="AH60" s="10">
        <f t="shared" si="34"/>
        <v>0</v>
      </c>
      <c r="AI60" s="10">
        <f t="shared" si="34"/>
        <v>0</v>
      </c>
      <c r="AJ60" s="10">
        <f t="shared" si="34"/>
        <v>0</v>
      </c>
      <c r="AK60" s="10">
        <f t="shared" si="34"/>
        <v>0</v>
      </c>
      <c r="AL60" s="10">
        <f t="shared" si="34"/>
        <v>0</v>
      </c>
      <c r="AM60" s="10">
        <f t="shared" si="34"/>
        <v>0</v>
      </c>
      <c r="AN60" s="10">
        <f t="shared" si="34"/>
        <v>0</v>
      </c>
      <c r="AO60" s="10">
        <f t="shared" si="34"/>
        <v>0</v>
      </c>
      <c r="AP60" s="10">
        <f t="shared" si="34"/>
        <v>0</v>
      </c>
      <c r="AQ60" s="10">
        <f t="shared" si="34"/>
        <v>0</v>
      </c>
      <c r="AR60" s="10">
        <f t="shared" si="34"/>
        <v>0</v>
      </c>
      <c r="AS60" s="10">
        <f t="shared" si="34"/>
        <v>0</v>
      </c>
      <c r="AT60" s="10">
        <f t="shared" si="34"/>
        <v>0</v>
      </c>
      <c r="AU60" s="10">
        <f t="shared" si="34"/>
        <v>0</v>
      </c>
      <c r="AV60" s="10">
        <f t="shared" si="34"/>
        <v>0</v>
      </c>
      <c r="AW60" s="10">
        <f t="shared" si="34"/>
        <v>0</v>
      </c>
      <c r="AX60" s="10">
        <f t="shared" si="34"/>
        <v>0</v>
      </c>
      <c r="AY60" s="10">
        <f t="shared" si="34"/>
        <v>0</v>
      </c>
      <c r="AZ60" s="10">
        <f t="shared" si="34"/>
        <v>0</v>
      </c>
      <c r="BA60" s="10">
        <f t="shared" si="34"/>
        <v>0</v>
      </c>
      <c r="BB60" s="10">
        <f t="shared" si="34"/>
        <v>0</v>
      </c>
      <c r="BC60" s="10">
        <f t="shared" si="34"/>
        <v>0</v>
      </c>
      <c r="BD60" s="10">
        <f t="shared" si="34"/>
        <v>0</v>
      </c>
      <c r="BE60" s="10">
        <f t="shared" si="34"/>
        <v>0</v>
      </c>
      <c r="BF60" s="10">
        <f t="shared" si="34"/>
        <v>0</v>
      </c>
      <c r="BG60" s="10">
        <f t="shared" si="34"/>
        <v>0</v>
      </c>
      <c r="BH60" s="10">
        <f t="shared" si="34"/>
        <v>0</v>
      </c>
      <c r="BI60" s="10">
        <f t="shared" si="34"/>
        <v>0</v>
      </c>
      <c r="BJ60" s="10">
        <f t="shared" si="34"/>
        <v>0</v>
      </c>
      <c r="BL60" s="152">
        <f t="shared" si="30"/>
        <v>0</v>
      </c>
      <c r="BM60" s="152">
        <f t="shared" si="30"/>
        <v>0</v>
      </c>
      <c r="BN60" s="152">
        <f t="shared" si="30"/>
        <v>0</v>
      </c>
      <c r="BO60" s="152">
        <f t="shared" si="30"/>
        <v>0</v>
      </c>
      <c r="BP60" s="10">
        <f t="shared" ref="BP60:BW60" si="35">SUM(BP57:BP59)</f>
        <v>0</v>
      </c>
      <c r="BQ60" s="10">
        <f t="shared" si="35"/>
        <v>0</v>
      </c>
      <c r="BR60" s="10">
        <f t="shared" si="35"/>
        <v>0</v>
      </c>
      <c r="BS60" s="10">
        <f t="shared" si="35"/>
        <v>0</v>
      </c>
      <c r="BT60" s="10">
        <f t="shared" si="35"/>
        <v>0</v>
      </c>
      <c r="BU60" s="10">
        <f t="shared" si="35"/>
        <v>0</v>
      </c>
      <c r="BV60" s="10">
        <f t="shared" si="35"/>
        <v>0</v>
      </c>
      <c r="BW60" s="10">
        <f t="shared" si="35"/>
        <v>0</v>
      </c>
      <c r="BY60" s="12"/>
      <c r="CA60" s="12"/>
      <c r="CR60" s="12"/>
      <c r="CS60" s="93">
        <f t="shared" si="15"/>
        <v>0</v>
      </c>
      <c r="CT60" s="93">
        <v>0</v>
      </c>
      <c r="CU60" s="93">
        <v>0</v>
      </c>
      <c r="EX60" s="13" t="str">
        <f>IF(C60="", "", CONCATENATE(D47, " ",D60))</f>
        <v/>
      </c>
    </row>
    <row r="61" spans="1:154" ht="6.6" customHeight="1" x14ac:dyDescent="0.25">
      <c r="C61" s="380"/>
      <c r="D61" s="1"/>
      <c r="E61" s="67"/>
      <c r="G61" s="67"/>
      <c r="H61" s="67"/>
      <c r="S61" s="335"/>
      <c r="T61" s="25"/>
      <c r="U61" s="25"/>
      <c r="V61" s="93"/>
      <c r="W61" s="67"/>
      <c r="X61" s="67"/>
      <c r="Y61" s="67"/>
      <c r="Z61" s="335"/>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L61" s="67"/>
      <c r="BM61" s="6"/>
      <c r="BN61" s="67"/>
      <c r="BO61" s="67"/>
      <c r="BP61" s="67"/>
      <c r="BQ61" s="67"/>
      <c r="BR61" s="67"/>
      <c r="BS61" s="67"/>
      <c r="BT61" s="67"/>
      <c r="BU61" s="67"/>
      <c r="BV61" s="67"/>
      <c r="BW61" s="67"/>
      <c r="BY61" s="42"/>
      <c r="CA61" s="42"/>
      <c r="CR61" s="42"/>
      <c r="CS61" s="93">
        <f t="shared" si="15"/>
        <v>0</v>
      </c>
      <c r="CT61" s="93">
        <v>0</v>
      </c>
      <c r="CU61" s="93">
        <v>0</v>
      </c>
      <c r="EX61" s="13" t="str">
        <f>IF(C61="", "", CONCATENATE(D47, " ",D61))</f>
        <v/>
      </c>
    </row>
    <row r="62" spans="1:154" s="5" customFormat="1" x14ac:dyDescent="0.25">
      <c r="A62" s="362" cm="1">
        <f t="array" aca="1" ref="A62" ca="1">HYPERLINK(CONCATENATE("#",CELL("address",IF(SUM($CA62:$CR62)=0,A62,INDEX($CA62:$CR62,MATCH(1,$CA62:$CR62,0))))),SUM($CA62:$CR62))</f>
        <v>0</v>
      </c>
      <c r="B62" s="335"/>
      <c r="C62" s="340" t="s">
        <v>1273</v>
      </c>
      <c r="D62" s="41" t="s">
        <v>1569</v>
      </c>
      <c r="E62" s="35"/>
      <c r="F62" s="25"/>
      <c r="G62" s="174" t="s">
        <v>413</v>
      </c>
      <c r="H62" s="171" t="s">
        <v>125</v>
      </c>
      <c r="I62" s="25"/>
      <c r="J62" s="25"/>
      <c r="K62" s="25"/>
      <c r="L62" s="25"/>
      <c r="M62" s="25"/>
      <c r="N62" s="25"/>
      <c r="O62" s="25"/>
      <c r="P62" s="25"/>
      <c r="Q62" s="25"/>
      <c r="R62" s="25"/>
      <c r="S62" s="335"/>
      <c r="T62" s="25"/>
      <c r="U62" s="25"/>
      <c r="V62" s="222"/>
      <c r="W62" s="215">
        <f xml:space="preserve"> SUMIFS($AA62:$BJ62, $AA$3:$BJ$3, W$3)</f>
        <v>0</v>
      </c>
      <c r="X62" s="215">
        <f xml:space="preserve"> SUMIFS($AA62:$BJ62, $AA$3:$BJ$3, X$3)</f>
        <v>0</v>
      </c>
      <c r="Y62" s="215">
        <f xml:space="preserve"> SUMIFS($AA62:$BJ62, $AA$3:$BJ$3, Y$3)</f>
        <v>0</v>
      </c>
      <c r="Z62" s="335"/>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335"/>
      <c r="BL62" s="152">
        <f>V62</f>
        <v>0</v>
      </c>
      <c r="BM62" s="152">
        <f>W62</f>
        <v>0</v>
      </c>
      <c r="BN62" s="152">
        <f>X62</f>
        <v>0</v>
      </c>
      <c r="BO62" s="152">
        <f>Y62</f>
        <v>0</v>
      </c>
      <c r="BP62" s="141"/>
      <c r="BQ62" s="141"/>
      <c r="BR62" s="141"/>
      <c r="BS62" s="141"/>
      <c r="BT62" s="141"/>
      <c r="BU62" s="141"/>
      <c r="BV62" s="141"/>
      <c r="BW62" s="141"/>
      <c r="BX62" s="335"/>
      <c r="BY62" s="12"/>
      <c r="BZ62" s="395">
        <f>IF(MIN($V62:$BW62)&lt;0, 1, 0)</f>
        <v>0</v>
      </c>
      <c r="CA62" s="12"/>
      <c r="CB62" s="335"/>
      <c r="CC62" s="335"/>
      <c r="CD62" s="335"/>
      <c r="CE62" s="335"/>
      <c r="CF62" s="335"/>
      <c r="CG62" s="335"/>
      <c r="CH62" s="335"/>
      <c r="CI62" s="335"/>
      <c r="CJ62" s="335"/>
      <c r="CK62" s="335"/>
      <c r="CL62" s="335"/>
      <c r="CM62" s="7">
        <f>IF(ROUND(W62-SUMIFS($AA62:$BJ62, $AA$3:$BJ$3, W$3), rounding)=0, 0, 1)</f>
        <v>0</v>
      </c>
      <c r="CN62" s="7">
        <f>IF(ROUND(X62-SUMIFS($AA62:$BJ62, $AA$3:$BJ$3, X$3), rounding)=0, 0, 1)</f>
        <v>0</v>
      </c>
      <c r="CO62" s="7">
        <f>IF(ROUND(Y62-SUMIFS($AA62:$BJ62, $AA$3:$BJ$3, Y$3), rounding)=0, 0, 1)</f>
        <v>0</v>
      </c>
      <c r="CP62" s="7">
        <f>IF(ROUND(V62-BL62, rounding)=0, 0, 1)*'BS Forecasts'!$V$10</f>
        <v>0</v>
      </c>
      <c r="CQ62" s="335"/>
      <c r="CR62" s="12"/>
      <c r="CS62" s="93">
        <f t="shared" si="15"/>
        <v>0</v>
      </c>
      <c r="CT62" s="93">
        <v>1</v>
      </c>
      <c r="CU62" s="93">
        <v>1</v>
      </c>
      <c r="EX62" s="13" t="str">
        <f>IF(C62="", "", CONCATENATE(D47, " ",D62))</f>
        <v>Loan 1 Early Repayment Fee</v>
      </c>
    </row>
    <row r="63" spans="1:154" s="335" customFormat="1" ht="6.6" customHeight="1" x14ac:dyDescent="0.25">
      <c r="C63" s="380"/>
      <c r="D63" s="1"/>
      <c r="T63" s="25"/>
      <c r="U63" s="25"/>
      <c r="V63" s="93"/>
      <c r="BM63" s="6"/>
      <c r="BY63" s="42"/>
      <c r="CA63" s="42"/>
      <c r="CR63" s="42"/>
      <c r="CS63" s="93">
        <f t="shared" si="15"/>
        <v>0</v>
      </c>
      <c r="CT63" s="93">
        <v>0</v>
      </c>
      <c r="CU63" s="93">
        <v>0</v>
      </c>
      <c r="EX63" s="13" t="str">
        <f>IF(C63="", "", CONCATENATE(D47, " ",D63))</f>
        <v/>
      </c>
    </row>
    <row r="64" spans="1:154" s="335" customFormat="1" ht="15.75" x14ac:dyDescent="0.3">
      <c r="A64" s="362" cm="1">
        <f t="array" aca="1" ref="A64" ca="1">HYPERLINK(CONCATENATE("#",CELL("address",IF(SUM($CA64:$CR64)=0,A64,INDEX($CA64:$CR64,MATCH(1,$CA64:$CR64,0))))),SUM($CA64:$CR64))</f>
        <v>0</v>
      </c>
      <c r="B64" s="105" t="s">
        <v>335</v>
      </c>
      <c r="D64" s="51" t="s">
        <v>1630</v>
      </c>
      <c r="E64" s="220" t="str">
        <f>IF(I$13="", "", I$13)</f>
        <v/>
      </c>
      <c r="F64" s="220" t="str">
        <f>IF(J$13="", "", J$13)</f>
        <v/>
      </c>
      <c r="T64" s="25"/>
      <c r="U64" s="25"/>
      <c r="V64" s="230">
        <f>IF(AND(OR( V$5&gt;$F64, Timeline!V$8&lt;Loans!$E64), Loans!V62&lt;&gt;0), 1, 0)</f>
        <v>0</v>
      </c>
      <c r="W64" s="230">
        <f>IF(AND(OR( W$5&gt;$F64, Timeline!W$8&lt;Loans!$E64), Loans!W62&lt;&gt;0), 1, 0)</f>
        <v>0</v>
      </c>
      <c r="X64" s="230">
        <f>IF(AND(OR( X$5&gt;$F64, Timeline!X$8&lt;Loans!$E64), Loans!X62&lt;&gt;0), 1, 0)</f>
        <v>0</v>
      </c>
      <c r="Y64" s="230">
        <f>IF(AND(OR( Y$5&gt;$F64, Timeline!Y$8&lt;Loans!$E64), Loans!Y62&lt;&gt;0), 1, 0)</f>
        <v>0</v>
      </c>
      <c r="AA64" s="230">
        <f>IF(AND(OR( AA$5&gt;$F64, Timeline!AA$8&lt;Loans!$E64), Loans!AA62&lt;&gt;0), 1, 0)</f>
        <v>0</v>
      </c>
      <c r="AB64" s="230">
        <f>IF(AND(OR( AB$5&gt;$F64, Timeline!AB$8&lt;Loans!$E64), Loans!AB62&lt;&gt;0), 1, 0)</f>
        <v>0</v>
      </c>
      <c r="AC64" s="230">
        <f>IF(AND(OR( AC$5&gt;$F64, Timeline!AC$8&lt;Loans!$E64), Loans!AC62&lt;&gt;0), 1, 0)</f>
        <v>0</v>
      </c>
      <c r="AD64" s="230">
        <f>IF(AND(OR( AD$5&gt;$F64, Timeline!AD$8&lt;Loans!$E64), Loans!AD62&lt;&gt;0), 1, 0)</f>
        <v>0</v>
      </c>
      <c r="AE64" s="230">
        <f>IF(AND(OR( AE$5&gt;$F64, Timeline!AE$8&lt;Loans!$E64), Loans!AE62&lt;&gt;0), 1, 0)</f>
        <v>0</v>
      </c>
      <c r="AF64" s="230">
        <f>IF(AND(OR( AF$5&gt;$F64, Timeline!AF$8&lt;Loans!$E64), Loans!AF62&lt;&gt;0), 1, 0)</f>
        <v>0</v>
      </c>
      <c r="AG64" s="230">
        <f>IF(AND(OR( AG$5&gt;$F64, Timeline!AG$8&lt;Loans!$E64), Loans!AG62&lt;&gt;0), 1, 0)</f>
        <v>0</v>
      </c>
      <c r="AH64" s="230">
        <f>IF(AND(OR( AH$5&gt;$F64, Timeline!AH$8&lt;Loans!$E64), Loans!AH62&lt;&gt;0), 1, 0)</f>
        <v>0</v>
      </c>
      <c r="AI64" s="230">
        <f>IF(AND(OR( AI$5&gt;$F64, Timeline!AI$8&lt;Loans!$E64), Loans!AI62&lt;&gt;0), 1, 0)</f>
        <v>0</v>
      </c>
      <c r="AJ64" s="230">
        <f>IF(AND(OR( AJ$5&gt;$F64, Timeline!AJ$8&lt;Loans!$E64), Loans!AJ62&lt;&gt;0), 1, 0)</f>
        <v>0</v>
      </c>
      <c r="AK64" s="230">
        <f>IF(AND(OR( AK$5&gt;$F64, Timeline!AK$8&lt;Loans!$E64), Loans!AK62&lt;&gt;0), 1, 0)</f>
        <v>0</v>
      </c>
      <c r="AL64" s="230">
        <f>IF(AND(OR( AL$5&gt;$F64, Timeline!AL$8&lt;Loans!$E64), Loans!AL62&lt;&gt;0), 1, 0)</f>
        <v>0</v>
      </c>
      <c r="AM64" s="230">
        <f>IF(AND(OR( AM$5&gt;$F64, Timeline!AM$8&lt;Loans!$E64), Loans!AM62&lt;&gt;0), 1, 0)</f>
        <v>0</v>
      </c>
      <c r="AN64" s="230">
        <f>IF(AND(OR( AN$5&gt;$F64, Timeline!AN$8&lt;Loans!$E64), Loans!AN62&lt;&gt;0), 1, 0)</f>
        <v>0</v>
      </c>
      <c r="AO64" s="230">
        <f>IF(AND(OR( AO$5&gt;$F64, Timeline!AO$8&lt;Loans!$E64), Loans!AO62&lt;&gt;0), 1, 0)</f>
        <v>0</v>
      </c>
      <c r="AP64" s="230">
        <f>IF(AND(OR( AP$5&gt;$F64, Timeline!AP$8&lt;Loans!$E64), Loans!AP62&lt;&gt;0), 1, 0)</f>
        <v>0</v>
      </c>
      <c r="AQ64" s="230">
        <f>IF(AND(OR( AQ$5&gt;$F64, Timeline!AQ$8&lt;Loans!$E64), Loans!AQ62&lt;&gt;0), 1, 0)</f>
        <v>0</v>
      </c>
      <c r="AR64" s="230">
        <f>IF(AND(OR( AR$5&gt;$F64, Timeline!AR$8&lt;Loans!$E64), Loans!AR62&lt;&gt;0), 1, 0)</f>
        <v>0</v>
      </c>
      <c r="AS64" s="230">
        <f>IF(AND(OR( AS$5&gt;$F64, Timeline!AS$8&lt;Loans!$E64), Loans!AS62&lt;&gt;0), 1, 0)</f>
        <v>0</v>
      </c>
      <c r="AT64" s="230">
        <f>IF(AND(OR( AT$5&gt;$F64, Timeline!AT$8&lt;Loans!$E64), Loans!AT62&lt;&gt;0), 1, 0)</f>
        <v>0</v>
      </c>
      <c r="AU64" s="230">
        <f>IF(AND(OR( AU$5&gt;$F64, Timeline!AU$8&lt;Loans!$E64), Loans!AU62&lt;&gt;0), 1, 0)</f>
        <v>0</v>
      </c>
      <c r="AV64" s="230">
        <f>IF(AND(OR( AV$5&gt;$F64, Timeline!AV$8&lt;Loans!$E64), Loans!AV62&lt;&gt;0), 1, 0)</f>
        <v>0</v>
      </c>
      <c r="AW64" s="230">
        <f>IF(AND(OR( AW$5&gt;$F64, Timeline!AW$8&lt;Loans!$E64), Loans!AW62&lt;&gt;0), 1, 0)</f>
        <v>0</v>
      </c>
      <c r="AX64" s="230">
        <f>IF(AND(OR( AX$5&gt;$F64, Timeline!AX$8&lt;Loans!$E64), Loans!AX62&lt;&gt;0), 1, 0)</f>
        <v>0</v>
      </c>
      <c r="AY64" s="230">
        <f>IF(AND(OR( AY$5&gt;$F64, Timeline!AY$8&lt;Loans!$E64), Loans!AY62&lt;&gt;0), 1, 0)</f>
        <v>0</v>
      </c>
      <c r="AZ64" s="230">
        <f>IF(AND(OR( AZ$5&gt;$F64, Timeline!AZ$8&lt;Loans!$E64), Loans!AZ62&lt;&gt;0), 1, 0)</f>
        <v>0</v>
      </c>
      <c r="BA64" s="230">
        <f>IF(AND(OR( BA$5&gt;$F64, Timeline!BA$8&lt;Loans!$E64), Loans!BA62&lt;&gt;0), 1, 0)</f>
        <v>0</v>
      </c>
      <c r="BB64" s="230">
        <f>IF(AND(OR( BB$5&gt;$F64, Timeline!BB$8&lt;Loans!$E64), Loans!BB62&lt;&gt;0), 1, 0)</f>
        <v>0</v>
      </c>
      <c r="BC64" s="230">
        <f>IF(AND(OR( BC$5&gt;$F64, Timeline!BC$8&lt;Loans!$E64), Loans!BC62&lt;&gt;0), 1, 0)</f>
        <v>0</v>
      </c>
      <c r="BD64" s="230">
        <f>IF(AND(OR( BD$5&gt;$F64, Timeline!BD$8&lt;Loans!$E64), Loans!BD62&lt;&gt;0), 1, 0)</f>
        <v>0</v>
      </c>
      <c r="BE64" s="230">
        <f>IF(AND(OR( BE$5&gt;$F64, Timeline!BE$8&lt;Loans!$E64), Loans!BE62&lt;&gt;0), 1, 0)</f>
        <v>0</v>
      </c>
      <c r="BF64" s="230">
        <f>IF(AND(OR( BF$5&gt;$F64, Timeline!BF$8&lt;Loans!$E64), Loans!BF62&lt;&gt;0), 1, 0)</f>
        <v>0</v>
      </c>
      <c r="BG64" s="230">
        <f>IF(AND(OR( BG$5&gt;$F64, Timeline!BG$8&lt;Loans!$E64), Loans!BG62&lt;&gt;0), 1, 0)</f>
        <v>0</v>
      </c>
      <c r="BH64" s="230">
        <f>IF(AND(OR( BH$5&gt;$F64, Timeline!BH$8&lt;Loans!$E64), Loans!BH62&lt;&gt;0), 1, 0)</f>
        <v>0</v>
      </c>
      <c r="BI64" s="230">
        <f>IF(AND(OR( BI$5&gt;$F64, Timeline!BI$8&lt;Loans!$E64), Loans!BI62&lt;&gt;0), 1, 0)</f>
        <v>0</v>
      </c>
      <c r="BJ64" s="230">
        <f>IF(AND(OR( BJ$5&gt;$F64, Timeline!BJ$8&lt;Loans!$E64), Loans!BJ62&lt;&gt;0), 1, 0)</f>
        <v>0</v>
      </c>
      <c r="BL64" s="230">
        <f>IF(AND(OR( BL$5&gt;$F64, Timeline!BL$8&lt;Loans!$E64), Loans!BL62&lt;&gt;0), 1, 0)</f>
        <v>0</v>
      </c>
      <c r="BM64" s="230">
        <f>IF(AND(OR( BM$5&gt;$F64, Timeline!BM$8&lt;Loans!$E64), Loans!BM62&lt;&gt;0), 1, 0)</f>
        <v>0</v>
      </c>
      <c r="BN64" s="230">
        <f>IF(AND(OR( BN$5&gt;$F64, Timeline!BN$8&lt;Loans!$E64), Loans!BN62&lt;&gt;0), 1, 0)</f>
        <v>0</v>
      </c>
      <c r="BO64" s="230">
        <f>IF(AND(OR( BO$5&gt;$F64, Timeline!BO$8&lt;Loans!$E64), Loans!BO62&lt;&gt;0), 1, 0)</f>
        <v>0</v>
      </c>
      <c r="BP64" s="230">
        <f>IF(AND(OR( BP$5&gt;$F64, Timeline!BP$8&lt;Loans!$E64), Loans!BP62&lt;&gt;0), 1, 0)</f>
        <v>0</v>
      </c>
      <c r="BQ64" s="230">
        <f>IF(AND(OR( BQ$5&gt;$F64, Timeline!BQ$8&lt;Loans!$E64), Loans!BQ62&lt;&gt;0), 1, 0)</f>
        <v>0</v>
      </c>
      <c r="BR64" s="230">
        <f>IF(AND(OR( BR$5&gt;$F64, Timeline!BR$8&lt;Loans!$E64), Loans!BR62&lt;&gt;0), 1, 0)</f>
        <v>0</v>
      </c>
      <c r="BS64" s="230">
        <f>IF(AND(OR( BS$5&gt;$F64, Timeline!BS$8&lt;Loans!$E64), Loans!BS62&lt;&gt;0), 1, 0)</f>
        <v>0</v>
      </c>
      <c r="BT64" s="230">
        <f>IF(AND(OR( BT$5&gt;$F64, Timeline!BT$8&lt;Loans!$E64), Loans!BT62&lt;&gt;0), 1, 0)</f>
        <v>0</v>
      </c>
      <c r="BU64" s="230">
        <f>IF(AND(OR( BU$5&gt;$F64, Timeline!BU$8&lt;Loans!$E64), Loans!BU62&lt;&gt;0), 1, 0)</f>
        <v>0</v>
      </c>
      <c r="BV64" s="230">
        <f>IF(AND(OR( BV$5&gt;$F64, Timeline!BV$8&lt;Loans!$E64), Loans!BV62&lt;&gt;0), 1, 0)</f>
        <v>0</v>
      </c>
      <c r="BW64" s="230">
        <f>IF(AND(OR( BW$5&gt;$F64, Timeline!BW$8&lt;Loans!$E64), Loans!BW62&lt;&gt;0), 1, 0)</f>
        <v>0</v>
      </c>
      <c r="BY64" s="12"/>
      <c r="CA64" s="12"/>
      <c r="CL64" s="7">
        <f>IF(MAX($V64:$BW64)&gt;0, 1, 0)</f>
        <v>0</v>
      </c>
      <c r="CR64" s="12"/>
      <c r="CS64" s="93">
        <f t="shared" si="15"/>
        <v>1</v>
      </c>
      <c r="CT64" s="93">
        <v>0</v>
      </c>
      <c r="CU64" s="93">
        <v>0</v>
      </c>
      <c r="EX64" s="13" t="str">
        <f>IF(C64="", "", CONCATENATE(D47, " ",D64))</f>
        <v/>
      </c>
    </row>
    <row r="65" spans="1:154" s="335" customFormat="1" ht="6.6" customHeight="1" x14ac:dyDescent="0.25">
      <c r="C65" s="380"/>
      <c r="D65" s="1"/>
      <c r="T65" s="25"/>
      <c r="U65" s="25"/>
      <c r="V65" s="93"/>
      <c r="BM65" s="6"/>
      <c r="BY65" s="42"/>
      <c r="CA65" s="42"/>
      <c r="CR65" s="42"/>
      <c r="CS65" s="93">
        <f t="shared" si="15"/>
        <v>0</v>
      </c>
      <c r="CT65" s="93">
        <v>0</v>
      </c>
      <c r="CU65" s="93">
        <v>0</v>
      </c>
      <c r="EX65" s="10" t="str">
        <f t="shared" si="9"/>
        <v/>
      </c>
    </row>
    <row r="66" spans="1:154" x14ac:dyDescent="0.25">
      <c r="A66" s="64"/>
      <c r="C66" s="380"/>
      <c r="D66" s="64" t="s">
        <v>191</v>
      </c>
      <c r="E66" s="64"/>
      <c r="F66" s="172"/>
      <c r="G66" s="64"/>
      <c r="H66" s="64"/>
      <c r="I66" s="64"/>
      <c r="L66" s="64"/>
      <c r="M66" s="64"/>
      <c r="N66" s="64"/>
      <c r="O66" s="64"/>
      <c r="P66" s="64"/>
      <c r="Q66" s="64"/>
      <c r="S66" s="335"/>
      <c r="T66" s="25"/>
      <c r="U66" s="25"/>
      <c r="V66" s="93"/>
      <c r="W66" s="67"/>
      <c r="X66" s="67"/>
      <c r="Y66" s="67"/>
      <c r="Z66" s="335"/>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L66" s="67"/>
      <c r="BM66" s="67"/>
      <c r="BN66" s="67"/>
      <c r="BO66" s="67"/>
      <c r="BP66" s="67"/>
      <c r="BQ66" s="67"/>
      <c r="BR66" s="67"/>
      <c r="BS66" s="67"/>
      <c r="BT66" s="67"/>
      <c r="BU66" s="67"/>
      <c r="BV66" s="67"/>
      <c r="BW66" s="67"/>
      <c r="BY66" s="12"/>
      <c r="CA66" s="12"/>
      <c r="CR66" s="12"/>
      <c r="CS66" s="93">
        <f t="shared" si="15"/>
        <v>0</v>
      </c>
      <c r="CT66" s="93">
        <v>0</v>
      </c>
      <c r="CU66" s="93">
        <v>0</v>
      </c>
      <c r="EX66" s="10" t="str">
        <f t="shared" si="9"/>
        <v/>
      </c>
    </row>
    <row r="67" spans="1:154" x14ac:dyDescent="0.25">
      <c r="A67" s="67"/>
      <c r="B67" s="67"/>
      <c r="C67" s="340" t="s">
        <v>1374</v>
      </c>
      <c r="D67" s="51" t="s">
        <v>230</v>
      </c>
      <c r="F67" s="25"/>
      <c r="G67" s="9" t="s">
        <v>413</v>
      </c>
      <c r="H67" s="50" t="s">
        <v>8</v>
      </c>
      <c r="I67" s="67"/>
      <c r="J67" s="67"/>
      <c r="K67" s="67"/>
      <c r="L67" s="67"/>
      <c r="M67" s="67"/>
      <c r="N67" s="67"/>
      <c r="O67" s="67"/>
      <c r="P67" s="67"/>
      <c r="Q67" s="67"/>
      <c r="R67" s="67"/>
      <c r="S67" s="335"/>
      <c r="T67" s="25"/>
      <c r="U67" s="25"/>
      <c r="V67" s="222"/>
      <c r="W67" s="201">
        <f>V71</f>
        <v>729</v>
      </c>
      <c r="X67" s="201">
        <f>W71</f>
        <v>640</v>
      </c>
      <c r="Y67" s="10">
        <f>X71</f>
        <v>551</v>
      </c>
      <c r="Z67" s="335"/>
      <c r="AA67" s="13">
        <f>W67</f>
        <v>729</v>
      </c>
      <c r="AB67" s="153">
        <f t="shared" ref="AB67:BJ67" si="36">AA71</f>
        <v>721</v>
      </c>
      <c r="AC67" s="153">
        <f t="shared" si="36"/>
        <v>713</v>
      </c>
      <c r="AD67" s="153">
        <f t="shared" si="36"/>
        <v>705</v>
      </c>
      <c r="AE67" s="153">
        <f t="shared" si="36"/>
        <v>697</v>
      </c>
      <c r="AF67" s="153">
        <f t="shared" si="36"/>
        <v>689</v>
      </c>
      <c r="AG67" s="153">
        <f t="shared" si="36"/>
        <v>682</v>
      </c>
      <c r="AH67" s="153">
        <f t="shared" si="36"/>
        <v>675</v>
      </c>
      <c r="AI67" s="153">
        <f t="shared" si="36"/>
        <v>668</v>
      </c>
      <c r="AJ67" s="153">
        <f t="shared" si="36"/>
        <v>661</v>
      </c>
      <c r="AK67" s="153">
        <f t="shared" si="36"/>
        <v>654</v>
      </c>
      <c r="AL67" s="153">
        <f t="shared" si="36"/>
        <v>647</v>
      </c>
      <c r="AM67" s="153">
        <f t="shared" si="36"/>
        <v>640</v>
      </c>
      <c r="AN67" s="153">
        <f t="shared" si="36"/>
        <v>632</v>
      </c>
      <c r="AO67" s="153">
        <f t="shared" si="36"/>
        <v>624</v>
      </c>
      <c r="AP67" s="153">
        <f t="shared" si="36"/>
        <v>616</v>
      </c>
      <c r="AQ67" s="153">
        <f t="shared" si="36"/>
        <v>608</v>
      </c>
      <c r="AR67" s="153">
        <f t="shared" si="36"/>
        <v>600</v>
      </c>
      <c r="AS67" s="153">
        <f t="shared" si="36"/>
        <v>593</v>
      </c>
      <c r="AT67" s="153">
        <f t="shared" si="36"/>
        <v>586</v>
      </c>
      <c r="AU67" s="153">
        <f t="shared" si="36"/>
        <v>579</v>
      </c>
      <c r="AV67" s="153">
        <f t="shared" si="36"/>
        <v>572</v>
      </c>
      <c r="AW67" s="153">
        <f t="shared" si="36"/>
        <v>565</v>
      </c>
      <c r="AX67" s="153">
        <f t="shared" si="36"/>
        <v>558</v>
      </c>
      <c r="AY67" s="153">
        <f t="shared" si="36"/>
        <v>551</v>
      </c>
      <c r="AZ67" s="153">
        <f t="shared" si="36"/>
        <v>543</v>
      </c>
      <c r="BA67" s="153">
        <f t="shared" si="36"/>
        <v>535</v>
      </c>
      <c r="BB67" s="153">
        <f t="shared" si="36"/>
        <v>527</v>
      </c>
      <c r="BC67" s="153">
        <f t="shared" si="36"/>
        <v>519</v>
      </c>
      <c r="BD67" s="153">
        <f t="shared" si="36"/>
        <v>511</v>
      </c>
      <c r="BE67" s="153">
        <f t="shared" si="36"/>
        <v>504</v>
      </c>
      <c r="BF67" s="153">
        <f t="shared" si="36"/>
        <v>497</v>
      </c>
      <c r="BG67" s="153">
        <f t="shared" si="36"/>
        <v>490</v>
      </c>
      <c r="BH67" s="153">
        <f t="shared" si="36"/>
        <v>483</v>
      </c>
      <c r="BI67" s="153">
        <f t="shared" si="36"/>
        <v>476</v>
      </c>
      <c r="BJ67" s="153">
        <f t="shared" si="36"/>
        <v>469</v>
      </c>
      <c r="BK67" s="67"/>
      <c r="BL67" s="152">
        <f t="shared" ref="BL67:BO71" si="37">V67</f>
        <v>0</v>
      </c>
      <c r="BM67" s="152">
        <f t="shared" si="37"/>
        <v>729</v>
      </c>
      <c r="BN67" s="152">
        <f t="shared" si="37"/>
        <v>640</v>
      </c>
      <c r="BO67" s="152">
        <f t="shared" si="37"/>
        <v>551</v>
      </c>
      <c r="BP67" s="153">
        <f t="shared" ref="BP67:BW67" si="38">BO71</f>
        <v>462</v>
      </c>
      <c r="BQ67" s="153">
        <f t="shared" si="38"/>
        <v>462</v>
      </c>
      <c r="BR67" s="153">
        <f t="shared" si="38"/>
        <v>462</v>
      </c>
      <c r="BS67" s="153">
        <f t="shared" si="38"/>
        <v>462</v>
      </c>
      <c r="BT67" s="153">
        <f t="shared" si="38"/>
        <v>462</v>
      </c>
      <c r="BU67" s="153">
        <f t="shared" si="38"/>
        <v>462</v>
      </c>
      <c r="BV67" s="153">
        <f t="shared" si="38"/>
        <v>462</v>
      </c>
      <c r="BW67" s="153">
        <f t="shared" si="38"/>
        <v>462</v>
      </c>
      <c r="BX67" s="67"/>
      <c r="BY67" s="12"/>
      <c r="CA67" s="12"/>
      <c r="CG67" s="67"/>
      <c r="CH67" s="67"/>
      <c r="CI67" s="67"/>
      <c r="CK67" s="67"/>
      <c r="CL67" s="67"/>
      <c r="CR67" s="12"/>
      <c r="CS67" s="93">
        <f t="shared" si="15"/>
        <v>0</v>
      </c>
      <c r="CT67" s="93">
        <v>1</v>
      </c>
      <c r="CU67" s="93">
        <v>0</v>
      </c>
      <c r="EX67" s="13" t="str">
        <f>IF(C67="", "", CONCATENATE(D66, " ",D67))</f>
        <v>Loan 2 Opening Loan Balance</v>
      </c>
    </row>
    <row r="68" spans="1:154" s="5" customFormat="1" x14ac:dyDescent="0.25">
      <c r="A68" s="362" cm="1">
        <f t="array" aca="1" ref="A68" ca="1">HYPERLINK(CONCATENATE("#",CELL("address",IF(SUM($CA68:$CR68)=0,A68,INDEX($CA68:$CR68,MATCH(1,$CA68:$CR68,0))))),SUM($CA68:$CR68))</f>
        <v>0</v>
      </c>
      <c r="B68" s="67"/>
      <c r="C68" s="340" t="s">
        <v>1235</v>
      </c>
      <c r="D68" s="51" t="s">
        <v>219</v>
      </c>
      <c r="E68" s="1"/>
      <c r="F68" s="67"/>
      <c r="G68" s="9" t="s">
        <v>413</v>
      </c>
      <c r="H68" s="50" t="s">
        <v>125</v>
      </c>
      <c r="I68" s="67"/>
      <c r="J68" s="67"/>
      <c r="K68" s="67"/>
      <c r="L68" s="67"/>
      <c r="M68" s="67"/>
      <c r="N68" s="67"/>
      <c r="O68" s="67"/>
      <c r="P68" s="67"/>
      <c r="Q68" s="67"/>
      <c r="R68" s="67"/>
      <c r="S68" s="335"/>
      <c r="T68" s="25"/>
      <c r="U68" s="25"/>
      <c r="V68" s="222"/>
      <c r="W68" s="215">
        <f t="shared" ref="W68:Y70" si="39" xml:space="preserve"> SUMIFS($AA68:$BJ68, $AA$3:$BJ$3, W$3)</f>
        <v>0</v>
      </c>
      <c r="X68" s="215">
        <f t="shared" si="39"/>
        <v>0</v>
      </c>
      <c r="Y68" s="215">
        <f t="shared" si="39"/>
        <v>0</v>
      </c>
      <c r="Z68" s="335"/>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67"/>
      <c r="BL68" s="152">
        <f t="shared" si="37"/>
        <v>0</v>
      </c>
      <c r="BM68" s="152">
        <f t="shared" si="37"/>
        <v>0</v>
      </c>
      <c r="BN68" s="152">
        <f t="shared" si="37"/>
        <v>0</v>
      </c>
      <c r="BO68" s="152">
        <f t="shared" si="37"/>
        <v>0</v>
      </c>
      <c r="BP68" s="156"/>
      <c r="BQ68" s="156"/>
      <c r="BR68" s="156"/>
      <c r="BS68" s="156"/>
      <c r="BT68" s="156"/>
      <c r="BU68" s="156"/>
      <c r="BV68" s="156"/>
      <c r="BW68" s="156"/>
      <c r="BX68" s="67"/>
      <c r="BY68" s="12"/>
      <c r="BZ68" s="395">
        <f>IF(MIN($V68:$BW68)&lt;0, 1, 0)</f>
        <v>0</v>
      </c>
      <c r="CA68" s="12"/>
      <c r="CB68" s="335"/>
      <c r="CC68" s="335"/>
      <c r="CD68" s="335"/>
      <c r="CE68" s="335"/>
      <c r="CF68" s="67"/>
      <c r="CG68" s="67"/>
      <c r="CH68" s="67"/>
      <c r="CI68" s="67"/>
      <c r="CJ68" s="67"/>
      <c r="CK68" s="67"/>
      <c r="CL68" s="67"/>
      <c r="CM68" s="7">
        <f t="shared" ref="CM68:CO70" si="40">IF(ROUND(W68-SUMIFS($AA68:$BJ68, $AA$3:$BJ$3, W$3), rounding)=0, 0, 1)</f>
        <v>0</v>
      </c>
      <c r="CN68" s="7">
        <f t="shared" si="40"/>
        <v>0</v>
      </c>
      <c r="CO68" s="7">
        <f t="shared" si="40"/>
        <v>0</v>
      </c>
      <c r="CP68" s="7">
        <f>IF(ROUND(V68-BL68, rounding)=0, 0, 1)*'BS Forecasts'!$V$10</f>
        <v>0</v>
      </c>
      <c r="CQ68" s="67"/>
      <c r="CR68" s="12"/>
      <c r="CS68" s="93">
        <f t="shared" si="15"/>
        <v>0</v>
      </c>
      <c r="CT68" s="93">
        <v>1</v>
      </c>
      <c r="CU68" s="93">
        <v>1</v>
      </c>
      <c r="EX68" s="13" t="str">
        <f>IF(C68="", "", CONCATENATE(D66, " ",D68))</f>
        <v>Loan 2 Drawdowns</v>
      </c>
    </row>
    <row r="69" spans="1:154" x14ac:dyDescent="0.25">
      <c r="A69" s="362" cm="1">
        <f t="array" aca="1" ref="A69" ca="1">HYPERLINK(CONCATENATE("#",CELL("address",IF(SUM($CA69:$CR69)=0,A69,INDEX($CA69:$CR69,MATCH(1,$CA69:$CR69,0))))),SUM($CA69:$CR69))</f>
        <v>0</v>
      </c>
      <c r="B69" s="67"/>
      <c r="C69" s="340" t="s">
        <v>1236</v>
      </c>
      <c r="D69" s="41" t="s">
        <v>1570</v>
      </c>
      <c r="E69" s="41"/>
      <c r="F69" s="67"/>
      <c r="G69" s="9" t="s">
        <v>413</v>
      </c>
      <c r="H69" s="50" t="s">
        <v>157</v>
      </c>
      <c r="I69" s="67"/>
      <c r="J69" s="67"/>
      <c r="K69" s="67"/>
      <c r="L69" s="67"/>
      <c r="M69" s="67"/>
      <c r="N69" s="67"/>
      <c r="O69" s="67"/>
      <c r="P69" s="67"/>
      <c r="Q69" s="67"/>
      <c r="R69" s="67"/>
      <c r="S69" s="335"/>
      <c r="T69" s="25"/>
      <c r="U69" s="25"/>
      <c r="V69" s="222"/>
      <c r="W69" s="215">
        <f t="shared" si="39"/>
        <v>-89</v>
      </c>
      <c r="X69" s="215">
        <f t="shared" si="39"/>
        <v>-89</v>
      </c>
      <c r="Y69" s="215">
        <f t="shared" si="39"/>
        <v>-89</v>
      </c>
      <c r="Z69" s="335"/>
      <c r="AA69" s="147">
        <v>-8</v>
      </c>
      <c r="AB69" s="147">
        <v>-8</v>
      </c>
      <c r="AC69" s="147">
        <v>-8</v>
      </c>
      <c r="AD69" s="147">
        <v>-8</v>
      </c>
      <c r="AE69" s="147">
        <v>-8</v>
      </c>
      <c r="AF69" s="147">
        <v>-7</v>
      </c>
      <c r="AG69" s="147">
        <v>-7</v>
      </c>
      <c r="AH69" s="147">
        <v>-7</v>
      </c>
      <c r="AI69" s="147">
        <v>-7</v>
      </c>
      <c r="AJ69" s="147">
        <v>-7</v>
      </c>
      <c r="AK69" s="147">
        <v>-7</v>
      </c>
      <c r="AL69" s="147">
        <v>-7</v>
      </c>
      <c r="AM69" s="147">
        <v>-8</v>
      </c>
      <c r="AN69" s="147">
        <v>-8</v>
      </c>
      <c r="AO69" s="147">
        <v>-8</v>
      </c>
      <c r="AP69" s="147">
        <v>-8</v>
      </c>
      <c r="AQ69" s="147">
        <v>-8</v>
      </c>
      <c r="AR69" s="147">
        <v>-7</v>
      </c>
      <c r="AS69" s="147">
        <v>-7</v>
      </c>
      <c r="AT69" s="147">
        <v>-7</v>
      </c>
      <c r="AU69" s="147">
        <v>-7</v>
      </c>
      <c r="AV69" s="147">
        <v>-7</v>
      </c>
      <c r="AW69" s="147">
        <v>-7</v>
      </c>
      <c r="AX69" s="147">
        <v>-7</v>
      </c>
      <c r="AY69" s="147">
        <v>-8</v>
      </c>
      <c r="AZ69" s="147">
        <v>-8</v>
      </c>
      <c r="BA69" s="147">
        <v>-8</v>
      </c>
      <c r="BB69" s="147">
        <v>-8</v>
      </c>
      <c r="BC69" s="147">
        <v>-8</v>
      </c>
      <c r="BD69" s="147">
        <v>-7</v>
      </c>
      <c r="BE69" s="147">
        <v>-7</v>
      </c>
      <c r="BF69" s="147">
        <v>-7</v>
      </c>
      <c r="BG69" s="147">
        <v>-7</v>
      </c>
      <c r="BH69" s="147">
        <v>-7</v>
      </c>
      <c r="BI69" s="147">
        <v>-7</v>
      </c>
      <c r="BJ69" s="147">
        <v>-7</v>
      </c>
      <c r="BK69" s="67"/>
      <c r="BL69" s="152">
        <f t="shared" si="37"/>
        <v>0</v>
      </c>
      <c r="BM69" s="152">
        <f t="shared" si="37"/>
        <v>-89</v>
      </c>
      <c r="BN69" s="152">
        <f t="shared" si="37"/>
        <v>-89</v>
      </c>
      <c r="BO69" s="152">
        <f t="shared" si="37"/>
        <v>-89</v>
      </c>
      <c r="BP69" s="156"/>
      <c r="BQ69" s="156"/>
      <c r="BR69" s="156"/>
      <c r="BS69" s="156"/>
      <c r="BT69" s="156"/>
      <c r="BU69" s="156"/>
      <c r="BV69" s="156"/>
      <c r="BW69" s="156"/>
      <c r="BX69" s="67"/>
      <c r="BY69" s="12"/>
      <c r="BZ69" s="395">
        <f>IF(MAX($V69:$BW69)&gt;0, 1, 0)</f>
        <v>0</v>
      </c>
      <c r="CA69" s="12"/>
      <c r="CG69" s="67"/>
      <c r="CH69" s="67"/>
      <c r="CI69" s="67"/>
      <c r="CK69" s="67"/>
      <c r="CL69" s="67"/>
      <c r="CM69" s="7">
        <f t="shared" si="40"/>
        <v>0</v>
      </c>
      <c r="CN69" s="7">
        <f t="shared" si="40"/>
        <v>0</v>
      </c>
      <c r="CO69" s="7">
        <f t="shared" si="40"/>
        <v>0</v>
      </c>
      <c r="CP69" s="7">
        <f>IF(ROUND(V69-BL69, rounding)=0, 0, 1)*'BS Forecasts'!$V$10</f>
        <v>0</v>
      </c>
      <c r="CR69" s="12"/>
      <c r="CS69" s="93">
        <f t="shared" si="15"/>
        <v>0</v>
      </c>
      <c r="CT69" s="93">
        <v>1</v>
      </c>
      <c r="CU69" s="93">
        <v>1</v>
      </c>
      <c r="EX69" s="13" t="str">
        <f>IF(C69="", "", CONCATENATE(D66, " ",D69))</f>
        <v>Loan 2 Loan Capital Repayment (as per loan agreement)</v>
      </c>
    </row>
    <row r="70" spans="1:154" s="335" customFormat="1" x14ac:dyDescent="0.25">
      <c r="A70" s="362" cm="1">
        <f t="array" aca="1" ref="A70" ca="1">HYPERLINK(CONCATENATE("#",CELL("address",IF(SUM($CA70:$CR70)=0,A70,INDEX($CA70:$CR70,MATCH(1,$CA70:$CR70,0))))),SUM($CA70:$CR70))</f>
        <v>0</v>
      </c>
      <c r="C70" s="340" t="s">
        <v>1591</v>
      </c>
      <c r="D70" s="41" t="s">
        <v>1571</v>
      </c>
      <c r="E70" s="1"/>
      <c r="G70" s="9" t="s">
        <v>413</v>
      </c>
      <c r="H70" s="50" t="s">
        <v>157</v>
      </c>
      <c r="T70" s="25"/>
      <c r="U70" s="25"/>
      <c r="V70" s="210"/>
      <c r="W70" s="215">
        <f t="shared" si="39"/>
        <v>0</v>
      </c>
      <c r="X70" s="215">
        <f t="shared" si="39"/>
        <v>0</v>
      </c>
      <c r="Y70" s="215">
        <f t="shared" si="39"/>
        <v>0</v>
      </c>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L70" s="13">
        <f t="shared" si="37"/>
        <v>0</v>
      </c>
      <c r="BM70" s="13">
        <f t="shared" si="37"/>
        <v>0</v>
      </c>
      <c r="BN70" s="13">
        <f t="shared" si="37"/>
        <v>0</v>
      </c>
      <c r="BO70" s="13">
        <f t="shared" si="37"/>
        <v>0</v>
      </c>
      <c r="BP70" s="141"/>
      <c r="BQ70" s="141"/>
      <c r="BR70" s="141"/>
      <c r="BS70" s="141"/>
      <c r="BT70" s="141"/>
      <c r="BU70" s="141"/>
      <c r="BV70" s="141"/>
      <c r="BW70" s="141"/>
      <c r="BY70" s="12"/>
      <c r="BZ70" s="395">
        <f>IF(MAX($V70:$BW70)&gt;0, 1, 0)</f>
        <v>0</v>
      </c>
      <c r="CA70" s="12"/>
      <c r="CM70" s="7">
        <f t="shared" si="40"/>
        <v>0</v>
      </c>
      <c r="CN70" s="7">
        <f t="shared" si="40"/>
        <v>0</v>
      </c>
      <c r="CO70" s="7">
        <f t="shared" si="40"/>
        <v>0</v>
      </c>
      <c r="CP70" s="7">
        <f>IF(ROUND(V70-BL70, rounding)=0, 0, 1)*'BS Forecasts'!$V$10</f>
        <v>0</v>
      </c>
      <c r="CR70" s="12"/>
      <c r="CS70" s="93">
        <f t="shared" si="15"/>
        <v>0</v>
      </c>
      <c r="CT70" s="93">
        <v>1</v>
      </c>
      <c r="CU70" s="93">
        <v>1</v>
      </c>
      <c r="EX70" s="13" t="str">
        <f>IF(C70="", "", CONCATENATE(D66, " ",D70))</f>
        <v xml:space="preserve">Loan 2 Early Repayment </v>
      </c>
    </row>
    <row r="71" spans="1:154" x14ac:dyDescent="0.25">
      <c r="A71" s="67"/>
      <c r="B71" s="67"/>
      <c r="C71" s="340" t="s">
        <v>1354</v>
      </c>
      <c r="D71" s="51" t="s">
        <v>231</v>
      </c>
      <c r="F71" s="67"/>
      <c r="G71" s="9" t="s">
        <v>413</v>
      </c>
      <c r="H71" s="50" t="s">
        <v>8</v>
      </c>
      <c r="I71" s="67"/>
      <c r="J71" s="67"/>
      <c r="K71" s="67"/>
      <c r="L71" s="67"/>
      <c r="M71" s="67"/>
      <c r="N71" s="67"/>
      <c r="O71" s="67"/>
      <c r="P71" s="67"/>
      <c r="Q71" s="67"/>
      <c r="R71" s="67"/>
      <c r="S71" s="335"/>
      <c r="T71" s="25"/>
      <c r="U71" s="25"/>
      <c r="V71" s="13">
        <f>$G$14</f>
        <v>729</v>
      </c>
      <c r="W71" s="153">
        <f>SUM(W67:W70)</f>
        <v>640</v>
      </c>
      <c r="X71" s="153">
        <f t="shared" ref="X71:BJ71" si="41">SUM(X67:X70)</f>
        <v>551</v>
      </c>
      <c r="Y71" s="153">
        <f t="shared" si="41"/>
        <v>462</v>
      </c>
      <c r="Z71" s="335"/>
      <c r="AA71" s="153">
        <f t="shared" si="41"/>
        <v>721</v>
      </c>
      <c r="AB71" s="153">
        <f t="shared" si="41"/>
        <v>713</v>
      </c>
      <c r="AC71" s="153">
        <f t="shared" si="41"/>
        <v>705</v>
      </c>
      <c r="AD71" s="153">
        <f t="shared" si="41"/>
        <v>697</v>
      </c>
      <c r="AE71" s="153">
        <f t="shared" si="41"/>
        <v>689</v>
      </c>
      <c r="AF71" s="153">
        <f t="shared" si="41"/>
        <v>682</v>
      </c>
      <c r="AG71" s="153">
        <f t="shared" si="41"/>
        <v>675</v>
      </c>
      <c r="AH71" s="153">
        <f t="shared" si="41"/>
        <v>668</v>
      </c>
      <c r="AI71" s="153">
        <f t="shared" si="41"/>
        <v>661</v>
      </c>
      <c r="AJ71" s="153">
        <f t="shared" si="41"/>
        <v>654</v>
      </c>
      <c r="AK71" s="153">
        <f t="shared" si="41"/>
        <v>647</v>
      </c>
      <c r="AL71" s="153">
        <f t="shared" si="41"/>
        <v>640</v>
      </c>
      <c r="AM71" s="153">
        <f t="shared" si="41"/>
        <v>632</v>
      </c>
      <c r="AN71" s="153">
        <f t="shared" si="41"/>
        <v>624</v>
      </c>
      <c r="AO71" s="153">
        <f t="shared" si="41"/>
        <v>616</v>
      </c>
      <c r="AP71" s="153">
        <f t="shared" si="41"/>
        <v>608</v>
      </c>
      <c r="AQ71" s="153">
        <f t="shared" si="41"/>
        <v>600</v>
      </c>
      <c r="AR71" s="153">
        <f t="shared" si="41"/>
        <v>593</v>
      </c>
      <c r="AS71" s="153">
        <f t="shared" si="41"/>
        <v>586</v>
      </c>
      <c r="AT71" s="153">
        <f t="shared" si="41"/>
        <v>579</v>
      </c>
      <c r="AU71" s="153">
        <f t="shared" si="41"/>
        <v>572</v>
      </c>
      <c r="AV71" s="153">
        <f t="shared" si="41"/>
        <v>565</v>
      </c>
      <c r="AW71" s="153">
        <f t="shared" si="41"/>
        <v>558</v>
      </c>
      <c r="AX71" s="153">
        <f t="shared" si="41"/>
        <v>551</v>
      </c>
      <c r="AY71" s="153">
        <f t="shared" si="41"/>
        <v>543</v>
      </c>
      <c r="AZ71" s="153">
        <f t="shared" si="41"/>
        <v>535</v>
      </c>
      <c r="BA71" s="153">
        <f t="shared" si="41"/>
        <v>527</v>
      </c>
      <c r="BB71" s="153">
        <f t="shared" si="41"/>
        <v>519</v>
      </c>
      <c r="BC71" s="153">
        <f t="shared" si="41"/>
        <v>511</v>
      </c>
      <c r="BD71" s="153">
        <f t="shared" si="41"/>
        <v>504</v>
      </c>
      <c r="BE71" s="153">
        <f t="shared" si="41"/>
        <v>497</v>
      </c>
      <c r="BF71" s="153">
        <f t="shared" si="41"/>
        <v>490</v>
      </c>
      <c r="BG71" s="153">
        <f t="shared" si="41"/>
        <v>483</v>
      </c>
      <c r="BH71" s="153">
        <f t="shared" si="41"/>
        <v>476</v>
      </c>
      <c r="BI71" s="153">
        <f t="shared" si="41"/>
        <v>469</v>
      </c>
      <c r="BJ71" s="153">
        <f t="shared" si="41"/>
        <v>462</v>
      </c>
      <c r="BK71" s="67"/>
      <c r="BL71" s="152">
        <f t="shared" si="37"/>
        <v>729</v>
      </c>
      <c r="BM71" s="152">
        <f t="shared" si="37"/>
        <v>640</v>
      </c>
      <c r="BN71" s="152">
        <f t="shared" si="37"/>
        <v>551</v>
      </c>
      <c r="BO71" s="152">
        <f t="shared" si="37"/>
        <v>462</v>
      </c>
      <c r="BP71" s="153">
        <f t="shared" ref="BP71" si="42">SUM(BP67:BP70)</f>
        <v>462</v>
      </c>
      <c r="BQ71" s="153">
        <f t="shared" ref="BQ71" si="43">SUM(BQ67:BQ70)</f>
        <v>462</v>
      </c>
      <c r="BR71" s="153">
        <f t="shared" ref="BR71" si="44">SUM(BR67:BR70)</f>
        <v>462</v>
      </c>
      <c r="BS71" s="153">
        <f t="shared" ref="BS71" si="45">SUM(BS67:BS70)</f>
        <v>462</v>
      </c>
      <c r="BT71" s="153">
        <f t="shared" ref="BT71" si="46">SUM(BT67:BT70)</f>
        <v>462</v>
      </c>
      <c r="BU71" s="153">
        <f t="shared" ref="BU71" si="47">SUM(BU67:BU70)</f>
        <v>462</v>
      </c>
      <c r="BV71" s="153">
        <f t="shared" ref="BV71" si="48">SUM(BV67:BV70)</f>
        <v>462</v>
      </c>
      <c r="BW71" s="153">
        <f t="shared" ref="BW71" si="49">SUM(BW67:BW70)</f>
        <v>462</v>
      </c>
      <c r="BX71" s="67"/>
      <c r="BY71" s="12"/>
      <c r="CA71" s="12"/>
      <c r="CG71" s="67"/>
      <c r="CH71" s="67"/>
      <c r="CI71" s="67"/>
      <c r="CK71" s="67"/>
      <c r="CL71" s="67"/>
      <c r="CR71" s="12"/>
      <c r="CS71" s="93">
        <f t="shared" si="15"/>
        <v>0</v>
      </c>
      <c r="CT71" s="93">
        <v>0</v>
      </c>
      <c r="CU71" s="93">
        <v>0</v>
      </c>
      <c r="EX71" s="13" t="str">
        <f>IF(C71="", "", CONCATENATE(D66, " ",D71))</f>
        <v>Loan 2 Closing Loan Balance</v>
      </c>
    </row>
    <row r="72" spans="1:154" ht="6.6" customHeight="1" x14ac:dyDescent="0.25">
      <c r="A72" s="67"/>
      <c r="B72" s="67"/>
      <c r="C72" s="380"/>
      <c r="D72" s="1"/>
      <c r="E72" s="67"/>
      <c r="F72" s="67"/>
      <c r="G72" s="67"/>
      <c r="H72" s="67"/>
      <c r="I72" s="67"/>
      <c r="J72" s="67"/>
      <c r="K72" s="67"/>
      <c r="L72" s="67"/>
      <c r="M72" s="67"/>
      <c r="N72" s="67"/>
      <c r="O72" s="67"/>
      <c r="P72" s="67"/>
      <c r="Q72" s="67"/>
      <c r="R72" s="67"/>
      <c r="S72" s="335"/>
      <c r="T72" s="25"/>
      <c r="U72" s="25"/>
      <c r="V72" s="229"/>
      <c r="W72" s="25"/>
      <c r="X72" s="25"/>
      <c r="Y72" s="25"/>
      <c r="Z72" s="33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67"/>
      <c r="BL72" s="25"/>
      <c r="BM72" s="155"/>
      <c r="BN72" s="25"/>
      <c r="BO72" s="25"/>
      <c r="BP72" s="25"/>
      <c r="BQ72" s="25"/>
      <c r="BR72" s="25"/>
      <c r="BS72" s="25"/>
      <c r="BT72" s="25"/>
      <c r="BU72" s="25"/>
      <c r="BV72" s="25"/>
      <c r="BW72" s="25"/>
      <c r="BX72" s="67"/>
      <c r="BY72" s="42"/>
      <c r="CA72" s="42"/>
      <c r="CG72" s="67"/>
      <c r="CH72" s="67"/>
      <c r="CI72" s="67"/>
      <c r="CK72" s="67"/>
      <c r="CL72" s="67"/>
      <c r="CR72" s="42"/>
      <c r="CS72" s="93">
        <f t="shared" si="15"/>
        <v>0</v>
      </c>
      <c r="CT72" s="93">
        <v>0</v>
      </c>
      <c r="CU72" s="93">
        <v>0</v>
      </c>
      <c r="EX72" s="13" t="str">
        <f>IF(C72="", "", CONCATENATE(D66, " ",D72))</f>
        <v/>
      </c>
    </row>
    <row r="73" spans="1:154" x14ac:dyDescent="0.25">
      <c r="A73" s="362" cm="1">
        <f t="array" aca="1" ref="A73" ca="1">HYPERLINK(CONCATENATE("#",CELL("address",IF(SUM($CA73:$CR73)=0,A73,INDEX($CA73:$CR73,MATCH(1,$CA73:$CR73,0))))),SUM($CA73:$CR73))</f>
        <v>0</v>
      </c>
      <c r="B73" s="67"/>
      <c r="C73" s="380"/>
      <c r="D73" s="51" t="s">
        <v>526</v>
      </c>
      <c r="E73" s="160" t="s">
        <v>523</v>
      </c>
      <c r="F73" s="153">
        <f>$F$14</f>
        <v>1525</v>
      </c>
      <c r="G73" s="67"/>
      <c r="H73" s="67"/>
      <c r="I73" s="67"/>
      <c r="J73" s="67"/>
      <c r="K73" s="67"/>
      <c r="L73" s="67"/>
      <c r="M73" s="67"/>
      <c r="N73" s="67"/>
      <c r="O73" s="67"/>
      <c r="P73" s="67"/>
      <c r="Q73" s="67"/>
      <c r="R73" s="67"/>
      <c r="S73" s="335"/>
      <c r="T73" s="25"/>
      <c r="U73" s="25"/>
      <c r="V73" s="230">
        <f>IF(OR(V71&gt;$F73, V71&lt;0), 1, 0)</f>
        <v>0</v>
      </c>
      <c r="W73" s="154">
        <f>IF(OR(W71&gt;$F73, W71&lt;0), 1, 0)</f>
        <v>0</v>
      </c>
      <c r="X73" s="154">
        <f>IF(OR(X71&gt;$F73, X71&lt;0), 1, 0)</f>
        <v>0</v>
      </c>
      <c r="Y73" s="154">
        <f>IF(OR(Y71&gt;$F73, Y71&lt;0), 1, 0)</f>
        <v>0</v>
      </c>
      <c r="Z73" s="335"/>
      <c r="AA73" s="154">
        <f t="shared" ref="AA73:BJ73" si="50">IF(OR(AA71&gt;$F73, AA71&lt;0), 1, 0)</f>
        <v>0</v>
      </c>
      <c r="AB73" s="154">
        <f>IF(OR(AB71&gt;$F73, AB71&lt;0), 1, 0)</f>
        <v>0</v>
      </c>
      <c r="AC73" s="154">
        <f t="shared" si="50"/>
        <v>0</v>
      </c>
      <c r="AD73" s="154">
        <f t="shared" si="50"/>
        <v>0</v>
      </c>
      <c r="AE73" s="154">
        <f t="shared" si="50"/>
        <v>0</v>
      </c>
      <c r="AF73" s="154">
        <f t="shared" si="50"/>
        <v>0</v>
      </c>
      <c r="AG73" s="154">
        <f t="shared" si="50"/>
        <v>0</v>
      </c>
      <c r="AH73" s="154">
        <f t="shared" si="50"/>
        <v>0</v>
      </c>
      <c r="AI73" s="154">
        <f t="shared" si="50"/>
        <v>0</v>
      </c>
      <c r="AJ73" s="154">
        <f t="shared" si="50"/>
        <v>0</v>
      </c>
      <c r="AK73" s="154">
        <f t="shared" si="50"/>
        <v>0</v>
      </c>
      <c r="AL73" s="154">
        <f t="shared" si="50"/>
        <v>0</v>
      </c>
      <c r="AM73" s="154">
        <f t="shared" si="50"/>
        <v>0</v>
      </c>
      <c r="AN73" s="154">
        <f t="shared" si="50"/>
        <v>0</v>
      </c>
      <c r="AO73" s="154">
        <f t="shared" si="50"/>
        <v>0</v>
      </c>
      <c r="AP73" s="154">
        <f t="shared" si="50"/>
        <v>0</v>
      </c>
      <c r="AQ73" s="154">
        <f t="shared" si="50"/>
        <v>0</v>
      </c>
      <c r="AR73" s="154">
        <f t="shared" si="50"/>
        <v>0</v>
      </c>
      <c r="AS73" s="154">
        <f t="shared" si="50"/>
        <v>0</v>
      </c>
      <c r="AT73" s="154">
        <f t="shared" si="50"/>
        <v>0</v>
      </c>
      <c r="AU73" s="154">
        <f t="shared" si="50"/>
        <v>0</v>
      </c>
      <c r="AV73" s="154">
        <f t="shared" si="50"/>
        <v>0</v>
      </c>
      <c r="AW73" s="154">
        <f t="shared" si="50"/>
        <v>0</v>
      </c>
      <c r="AX73" s="154">
        <f t="shared" si="50"/>
        <v>0</v>
      </c>
      <c r="AY73" s="154">
        <f>IF(OR(AY71&gt;$F73, AY71&lt;0), 1, 0)</f>
        <v>0</v>
      </c>
      <c r="AZ73" s="154">
        <f t="shared" si="50"/>
        <v>0</v>
      </c>
      <c r="BA73" s="154">
        <f t="shared" si="50"/>
        <v>0</v>
      </c>
      <c r="BB73" s="154">
        <f t="shared" si="50"/>
        <v>0</v>
      </c>
      <c r="BC73" s="154">
        <f t="shared" si="50"/>
        <v>0</v>
      </c>
      <c r="BD73" s="154">
        <f t="shared" si="50"/>
        <v>0</v>
      </c>
      <c r="BE73" s="154">
        <f t="shared" si="50"/>
        <v>0</v>
      </c>
      <c r="BF73" s="154">
        <f t="shared" si="50"/>
        <v>0</v>
      </c>
      <c r="BG73" s="154">
        <f t="shared" si="50"/>
        <v>0</v>
      </c>
      <c r="BH73" s="154">
        <f t="shared" si="50"/>
        <v>0</v>
      </c>
      <c r="BI73" s="154">
        <f t="shared" si="50"/>
        <v>0</v>
      </c>
      <c r="BJ73" s="154">
        <f t="shared" si="50"/>
        <v>0</v>
      </c>
      <c r="BK73" s="67"/>
      <c r="BL73" s="154">
        <f t="shared" ref="BL73" si="51">IF(OR(BL71&gt;$F73, BL71&lt;0), 1, 0)</f>
        <v>0</v>
      </c>
      <c r="BM73" s="154">
        <f t="shared" ref="BM73:BW73" si="52">IF(OR(BM71&gt;$F73, BM71&lt;0), 1, 0)</f>
        <v>0</v>
      </c>
      <c r="BN73" s="154">
        <f t="shared" si="52"/>
        <v>0</v>
      </c>
      <c r="BO73" s="154">
        <f t="shared" si="52"/>
        <v>0</v>
      </c>
      <c r="BP73" s="154">
        <f t="shared" si="52"/>
        <v>0</v>
      </c>
      <c r="BQ73" s="154">
        <f t="shared" si="52"/>
        <v>0</v>
      </c>
      <c r="BR73" s="154">
        <f t="shared" si="52"/>
        <v>0</v>
      </c>
      <c r="BS73" s="154">
        <f t="shared" si="52"/>
        <v>0</v>
      </c>
      <c r="BT73" s="154">
        <f t="shared" si="52"/>
        <v>0</v>
      </c>
      <c r="BU73" s="154">
        <f t="shared" si="52"/>
        <v>0</v>
      </c>
      <c r="BV73" s="154">
        <f t="shared" si="52"/>
        <v>0</v>
      </c>
      <c r="BW73" s="154">
        <f t="shared" si="52"/>
        <v>0</v>
      </c>
      <c r="BX73" s="67"/>
      <c r="BY73" s="12"/>
      <c r="CA73" s="12"/>
      <c r="CG73" s="67"/>
      <c r="CH73" s="67"/>
      <c r="CI73" s="67"/>
      <c r="CK73" s="67"/>
      <c r="CL73" s="7">
        <f>IF(MAX(V73:BW73)&gt;0, 1, 0)</f>
        <v>0</v>
      </c>
      <c r="CR73" s="12"/>
      <c r="CS73" s="93">
        <f t="shared" si="15"/>
        <v>1</v>
      </c>
      <c r="CT73" s="93">
        <v>0</v>
      </c>
      <c r="CU73" s="93">
        <v>0</v>
      </c>
      <c r="EX73" s="13" t="str">
        <f>IF(C73="", "", CONCATENATE(D66, " ",D73))</f>
        <v/>
      </c>
    </row>
    <row r="74" spans="1:154" x14ac:dyDescent="0.25">
      <c r="A74" s="362" cm="1">
        <f t="array" aca="1" ref="A74" ca="1">HYPERLINK(CONCATENATE("#",CELL("address",IF(SUM($CA74:$CR74)=0,A74,INDEX($CA74:$CR74,MATCH(1,$CA74:$CR74,0))))),SUM($CA74:$CR74))</f>
        <v>0</v>
      </c>
      <c r="B74" s="67"/>
      <c r="C74" s="380"/>
      <c r="D74" s="51" t="s">
        <v>220</v>
      </c>
      <c r="E74" s="160" t="s">
        <v>524</v>
      </c>
      <c r="F74" s="173" t="str">
        <f>IF($J$14="", "", $J$14)</f>
        <v/>
      </c>
      <c r="G74" s="67"/>
      <c r="H74" s="67"/>
      <c r="I74" s="67"/>
      <c r="J74" s="67"/>
      <c r="K74" s="67"/>
      <c r="L74" s="67"/>
      <c r="M74" s="67"/>
      <c r="N74" s="67"/>
      <c r="O74" s="67"/>
      <c r="P74" s="67"/>
      <c r="Q74" s="67"/>
      <c r="R74" s="67"/>
      <c r="S74" s="335"/>
      <c r="T74" s="25"/>
      <c r="U74" s="25"/>
      <c r="V74" s="230">
        <f>IF(AND(V$5&gt;=$F74,SUM(V71:$Y71)&lt;&gt;0),1,0)</f>
        <v>0</v>
      </c>
      <c r="W74" s="230">
        <f>IF(AND(W$5&gt;=$F74,SUM(W71:$Y71)&lt;&gt;0),1,0)</f>
        <v>0</v>
      </c>
      <c r="X74" s="230">
        <f>IF(AND(X$5&gt;=$F74,SUM(X71:$Y71)&lt;&gt;0),1,0)</f>
        <v>0</v>
      </c>
      <c r="Y74" s="230">
        <f>IF(AND(Y$5&gt;=$F74,SUM(Y71:$Y71)&lt;&gt;0),1,0)</f>
        <v>0</v>
      </c>
      <c r="Z74" s="335"/>
      <c r="AA74" s="154">
        <f>IF(AND(AA$5&gt;=$F74,SUM(AA71:$BJ71)&lt;&gt;0),1,0)</f>
        <v>0</v>
      </c>
      <c r="AB74" s="154">
        <f>IF(AND(AB$5&gt;=$F74,SUM(AB71:$BJ71)&lt;&gt;0),1,0)</f>
        <v>0</v>
      </c>
      <c r="AC74" s="154">
        <f>IF(AND(AC$5&gt;=$F74,SUM(AC71:$BJ71)&lt;&gt;0),1,0)</f>
        <v>0</v>
      </c>
      <c r="AD74" s="154">
        <f>IF(AND(AD$5&gt;=$F74,SUM(AD71:$BJ71)&lt;&gt;0),1,0)</f>
        <v>0</v>
      </c>
      <c r="AE74" s="154">
        <f>IF(AND(AE$5&gt;=$F74,SUM(AE71:$BJ71)&lt;&gt;0),1,0)</f>
        <v>0</v>
      </c>
      <c r="AF74" s="154">
        <f>IF(AND(AF$5&gt;=$F74,SUM(AF71:$BJ71)&lt;&gt;0),1,0)</f>
        <v>0</v>
      </c>
      <c r="AG74" s="154">
        <f>IF(AND(AG$5&gt;=$F74,SUM(AG71:$BJ71)&lt;&gt;0),1,0)</f>
        <v>0</v>
      </c>
      <c r="AH74" s="154">
        <f>IF(AND(AH$5&gt;=$F74,SUM(AH71:$BJ71)&lt;&gt;0),1,0)</f>
        <v>0</v>
      </c>
      <c r="AI74" s="154">
        <f>IF(AND(AI$5&gt;=$F74,SUM(AI71:$BJ71)&lt;&gt;0),1,0)</f>
        <v>0</v>
      </c>
      <c r="AJ74" s="154">
        <f>IF(AND(AJ$5&gt;=$F74,SUM(AJ71:$BJ71)&lt;&gt;0),1,0)</f>
        <v>0</v>
      </c>
      <c r="AK74" s="154">
        <f>IF(AND(AK$5&gt;=$F74,SUM(AK71:$BJ71)&lt;&gt;0),1,0)</f>
        <v>0</v>
      </c>
      <c r="AL74" s="154">
        <f>IF(AND(AL$5&gt;=$F74,SUM(AL71:$BJ71)&lt;&gt;0),1,0)</f>
        <v>0</v>
      </c>
      <c r="AM74" s="154">
        <f>IF(AND(AM$5&gt;=$F74,SUM(AM71:$BJ71)&lt;&gt;0),1,0)</f>
        <v>0</v>
      </c>
      <c r="AN74" s="154">
        <f>IF(AND(AN$5&gt;=$F74,SUM(AN71:$BJ71)&lt;&gt;0),1,0)</f>
        <v>0</v>
      </c>
      <c r="AO74" s="154">
        <f>IF(AND(AO$5&gt;=$F74,SUM(AO71:$BJ71)&lt;&gt;0),1,0)</f>
        <v>0</v>
      </c>
      <c r="AP74" s="154">
        <f>IF(AND(AP$5&gt;=$F74,SUM(AP71:$BJ71)&lt;&gt;0),1,0)</f>
        <v>0</v>
      </c>
      <c r="AQ74" s="154">
        <f>IF(AND(AQ$5&gt;=$F74,SUM(AQ71:$BJ71)&lt;&gt;0),1,0)</f>
        <v>0</v>
      </c>
      <c r="AR74" s="154">
        <f>IF(AND(AR$5&gt;=$F74,SUM(AR71:$BJ71)&lt;&gt;0),1,0)</f>
        <v>0</v>
      </c>
      <c r="AS74" s="154">
        <f>IF(AND(AS$5&gt;=$F74,SUM(AS71:$BJ71)&lt;&gt;0),1,0)</f>
        <v>0</v>
      </c>
      <c r="AT74" s="154">
        <f>IF(AND(AT$5&gt;=$F74,SUM(AT71:$BJ71)&lt;&gt;0),1,0)</f>
        <v>0</v>
      </c>
      <c r="AU74" s="154">
        <f>IF(AND(AU$5&gt;=$F74,SUM(AU71:$BJ71)&lt;&gt;0),1,0)</f>
        <v>0</v>
      </c>
      <c r="AV74" s="154">
        <f>IF(AND(AV$5&gt;=$F74,SUM(AV71:$BJ71)&lt;&gt;0),1,0)</f>
        <v>0</v>
      </c>
      <c r="AW74" s="154">
        <f>IF(AND(AW$5&gt;=$F74,SUM(AW71:$BJ71)&lt;&gt;0),1,0)</f>
        <v>0</v>
      </c>
      <c r="AX74" s="154">
        <f>IF(AND(AX$5&gt;=$F74,SUM(AX71:$BJ71)&lt;&gt;0),1,0)</f>
        <v>0</v>
      </c>
      <c r="AY74" s="154">
        <f>IF(AND(AY$5&gt;=$F74,SUM(AY71:$BJ71)&lt;&gt;0),1,0)</f>
        <v>0</v>
      </c>
      <c r="AZ74" s="154">
        <f>IF(AND(AZ$5&gt;=$F74,SUM(AZ71:$BJ71)&lt;&gt;0),1,0)</f>
        <v>0</v>
      </c>
      <c r="BA74" s="154">
        <f>IF(AND(BA$5&gt;=$F74,SUM(BA71:$BJ71)&lt;&gt;0),1,0)</f>
        <v>0</v>
      </c>
      <c r="BB74" s="154">
        <f>IF(AND(BB$5&gt;=$F74,SUM(BB71:$BJ71)&lt;&gt;0),1,0)</f>
        <v>0</v>
      </c>
      <c r="BC74" s="154">
        <f>IF(AND(BC$5&gt;=$F74,SUM(BC71:$BJ71)&lt;&gt;0),1,0)</f>
        <v>0</v>
      </c>
      <c r="BD74" s="154">
        <f>IF(AND(BD$5&gt;=$F74,SUM(BD71:$BJ71)&lt;&gt;0),1,0)</f>
        <v>0</v>
      </c>
      <c r="BE74" s="154">
        <f>IF(AND(BE$5&gt;=$F74,SUM(BE71:$BJ71)&lt;&gt;0),1,0)</f>
        <v>0</v>
      </c>
      <c r="BF74" s="154">
        <f>IF(AND(BF$5&gt;=$F74,SUM(BF71:$BJ71)&lt;&gt;0),1,0)</f>
        <v>0</v>
      </c>
      <c r="BG74" s="154">
        <f>IF(AND(BG$5&gt;=$F74,SUM(BG71:$BJ71)&lt;&gt;0),1,0)</f>
        <v>0</v>
      </c>
      <c r="BH74" s="154">
        <f>IF(AND(BH$5&gt;=$F74,SUM(BH71:$BJ71)&lt;&gt;0),1,0)</f>
        <v>0</v>
      </c>
      <c r="BI74" s="154">
        <f>IF(AND(BI$5&gt;=$F74,SUM(BI71:$BJ71)&lt;&gt;0),1,0)</f>
        <v>0</v>
      </c>
      <c r="BJ74" s="154">
        <f>IF(AND(BJ$5&gt;=$F74,SUM(BJ71:$BJ71)&lt;&gt;0),1,0)</f>
        <v>0</v>
      </c>
      <c r="BK74" s="67"/>
      <c r="BL74" s="154">
        <f>IF(AND(BL$5&gt;=$F74,SUM(BL71:$BW71)&lt;&gt;0),1,0)*BL$1150</f>
        <v>0</v>
      </c>
      <c r="BM74" s="154">
        <f>IF(AND(BM$5&gt;=$F74,SUM(BM71:$BW71)&lt;&gt;0),1,0)*BM$1150</f>
        <v>0</v>
      </c>
      <c r="BN74" s="154">
        <f>IF(AND(BN$5&gt;=$F74,SUM(BN71:$BW71)&lt;&gt;0),1,0)*BN$1150</f>
        <v>0</v>
      </c>
      <c r="BO74" s="154">
        <f>IF(AND(BO$5&gt;=$F74,SUM(BO71:$BW71)&lt;&gt;0),1,0)*BO$1150</f>
        <v>0</v>
      </c>
      <c r="BP74" s="154">
        <f>IF(AND(BP$5&gt;=$F74,SUM(BP71:$BW71)&lt;&gt;0),1,0)*BP$1150</f>
        <v>0</v>
      </c>
      <c r="BQ74" s="154">
        <f>IF(AND(BQ$5&gt;=$F74,SUM(BQ71:$BW71)&lt;&gt;0),1,0)*BQ$1150</f>
        <v>0</v>
      </c>
      <c r="BR74" s="154">
        <f>IF(AND(BR$5&gt;=$F74,SUM(BR71:$BW71)&lt;&gt;0),1,0)*BR$1150</f>
        <v>0</v>
      </c>
      <c r="BS74" s="154">
        <f>IF(AND(BS$5&gt;=$F74,SUM(BS71:$BW71)&lt;&gt;0),1,0)*BS$1150</f>
        <v>0</v>
      </c>
      <c r="BT74" s="154">
        <f>IF(AND(BT$5&gt;=$F74,SUM(BT71:$BW71)&lt;&gt;0),1,0)*BT$1150</f>
        <v>0</v>
      </c>
      <c r="BU74" s="154">
        <f>IF(AND(BU$5&gt;=$F74,SUM(BU71:$BW71)&lt;&gt;0),1,0)*BU$1150</f>
        <v>0</v>
      </c>
      <c r="BV74" s="154">
        <f>IF(AND(BV$5&gt;=$F74,SUM(BV71:$BW71)&lt;&gt;0),1,0)*BV$1150</f>
        <v>0</v>
      </c>
      <c r="BW74" s="154">
        <f>IF(AND(BW$5&gt;=$F74,SUM(BW71:$BW71)&lt;&gt;0),1,0)*BW$1150</f>
        <v>0</v>
      </c>
      <c r="BX74" s="67"/>
      <c r="BY74" s="12"/>
      <c r="CA74" s="12"/>
      <c r="CG74" s="67"/>
      <c r="CH74" s="67"/>
      <c r="CI74" s="67"/>
      <c r="CK74" s="67"/>
      <c r="CL74" s="7">
        <f>IF(MAX($V74:$BW74)&gt;0, 1, 0)</f>
        <v>0</v>
      </c>
      <c r="CR74" s="12"/>
      <c r="CS74" s="93">
        <f t="shared" si="15"/>
        <v>1</v>
      </c>
      <c r="CT74" s="93">
        <v>0</v>
      </c>
      <c r="CU74" s="93">
        <v>0</v>
      </c>
      <c r="EX74" s="13" t="str">
        <f>IF(C74="", "", CONCATENATE(D66, " ",D74))</f>
        <v/>
      </c>
    </row>
    <row r="75" spans="1:154" ht="6.6" customHeight="1" x14ac:dyDescent="0.25">
      <c r="A75" s="67"/>
      <c r="B75" s="67"/>
      <c r="C75" s="380"/>
      <c r="D75" s="1"/>
      <c r="E75" s="67"/>
      <c r="F75" s="67"/>
      <c r="G75" s="67"/>
      <c r="H75" s="67"/>
      <c r="I75" s="67"/>
      <c r="J75" s="67"/>
      <c r="K75" s="67"/>
      <c r="L75" s="67"/>
      <c r="M75" s="67"/>
      <c r="N75" s="67"/>
      <c r="O75" s="67"/>
      <c r="P75" s="67"/>
      <c r="Q75" s="67"/>
      <c r="R75" s="67"/>
      <c r="S75" s="335"/>
      <c r="T75" s="25"/>
      <c r="U75" s="25"/>
      <c r="V75" s="229"/>
      <c r="W75" s="25"/>
      <c r="X75" s="25"/>
      <c r="Y75" s="25"/>
      <c r="Z75" s="33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67"/>
      <c r="BL75" s="25"/>
      <c r="BM75" s="155"/>
      <c r="BN75" s="25"/>
      <c r="BO75" s="25"/>
      <c r="BP75" s="25"/>
      <c r="BQ75" s="25"/>
      <c r="BR75" s="25"/>
      <c r="BS75" s="25"/>
      <c r="BT75" s="25"/>
      <c r="BU75" s="25"/>
      <c r="BV75" s="25"/>
      <c r="BW75" s="25"/>
      <c r="BX75" s="67"/>
      <c r="BY75" s="42"/>
      <c r="CA75" s="42"/>
      <c r="CG75" s="67"/>
      <c r="CH75" s="67"/>
      <c r="CI75" s="67"/>
      <c r="CK75" s="67"/>
      <c r="CL75" s="67"/>
      <c r="CR75" s="42"/>
      <c r="CS75" s="93">
        <f t="shared" si="15"/>
        <v>0</v>
      </c>
      <c r="CT75" s="93">
        <v>0</v>
      </c>
      <c r="CU75" s="93">
        <v>0</v>
      </c>
      <c r="EX75" s="13" t="str">
        <f>IF(C75="", "", CONCATENATE(D66, " ",D75))</f>
        <v/>
      </c>
    </row>
    <row r="76" spans="1:154" x14ac:dyDescent="0.25">
      <c r="A76" s="67"/>
      <c r="B76" s="67"/>
      <c r="C76" s="380"/>
      <c r="D76" s="51" t="s">
        <v>223</v>
      </c>
      <c r="F76" s="67"/>
      <c r="G76" s="9" t="s">
        <v>413</v>
      </c>
      <c r="H76" s="50" t="s">
        <v>8</v>
      </c>
      <c r="I76" s="67"/>
      <c r="J76" s="67"/>
      <c r="K76" s="67"/>
      <c r="L76" s="67"/>
      <c r="M76" s="67"/>
      <c r="N76" s="67"/>
      <c r="O76" s="67"/>
      <c r="P76" s="67"/>
      <c r="Q76" s="67"/>
      <c r="R76" s="67"/>
      <c r="S76" s="335"/>
      <c r="T76" s="25"/>
      <c r="U76" s="25"/>
      <c r="V76" s="222"/>
      <c r="W76" s="201">
        <f>V79</f>
        <v>0</v>
      </c>
      <c r="X76" s="201">
        <f>W79</f>
        <v>0</v>
      </c>
      <c r="Y76" s="10">
        <f>X79</f>
        <v>0</v>
      </c>
      <c r="Z76" s="67"/>
      <c r="AA76" s="13">
        <f>W76</f>
        <v>0</v>
      </c>
      <c r="AB76" s="153">
        <f>AA79</f>
        <v>0</v>
      </c>
      <c r="AC76" s="153">
        <f t="shared" ref="AC76:BJ76" si="53">AB79</f>
        <v>0</v>
      </c>
      <c r="AD76" s="153">
        <f t="shared" si="53"/>
        <v>0</v>
      </c>
      <c r="AE76" s="153">
        <f t="shared" si="53"/>
        <v>0</v>
      </c>
      <c r="AF76" s="153">
        <f t="shared" si="53"/>
        <v>0</v>
      </c>
      <c r="AG76" s="153">
        <f t="shared" si="53"/>
        <v>0</v>
      </c>
      <c r="AH76" s="153">
        <f t="shared" si="53"/>
        <v>0</v>
      </c>
      <c r="AI76" s="153">
        <f t="shared" si="53"/>
        <v>0</v>
      </c>
      <c r="AJ76" s="153">
        <f t="shared" si="53"/>
        <v>0</v>
      </c>
      <c r="AK76" s="153">
        <f t="shared" si="53"/>
        <v>0</v>
      </c>
      <c r="AL76" s="153">
        <f t="shared" si="53"/>
        <v>0</v>
      </c>
      <c r="AM76" s="153">
        <f t="shared" si="53"/>
        <v>0</v>
      </c>
      <c r="AN76" s="153">
        <f t="shared" si="53"/>
        <v>0</v>
      </c>
      <c r="AO76" s="153">
        <f t="shared" si="53"/>
        <v>0</v>
      </c>
      <c r="AP76" s="153">
        <f t="shared" si="53"/>
        <v>0</v>
      </c>
      <c r="AQ76" s="153">
        <f t="shared" si="53"/>
        <v>0</v>
      </c>
      <c r="AR76" s="153">
        <f t="shared" si="53"/>
        <v>0</v>
      </c>
      <c r="AS76" s="153">
        <f t="shared" si="53"/>
        <v>0</v>
      </c>
      <c r="AT76" s="153">
        <f t="shared" si="53"/>
        <v>0</v>
      </c>
      <c r="AU76" s="153">
        <f t="shared" si="53"/>
        <v>0</v>
      </c>
      <c r="AV76" s="153">
        <f t="shared" si="53"/>
        <v>0</v>
      </c>
      <c r="AW76" s="153">
        <f t="shared" si="53"/>
        <v>0</v>
      </c>
      <c r="AX76" s="153">
        <f t="shared" si="53"/>
        <v>0</v>
      </c>
      <c r="AY76" s="153">
        <f t="shared" si="53"/>
        <v>0</v>
      </c>
      <c r="AZ76" s="153">
        <f t="shared" si="53"/>
        <v>0</v>
      </c>
      <c r="BA76" s="153">
        <f t="shared" si="53"/>
        <v>0</v>
      </c>
      <c r="BB76" s="153">
        <f t="shared" si="53"/>
        <v>0</v>
      </c>
      <c r="BC76" s="153">
        <f t="shared" si="53"/>
        <v>0</v>
      </c>
      <c r="BD76" s="153">
        <f t="shared" si="53"/>
        <v>0</v>
      </c>
      <c r="BE76" s="153">
        <f t="shared" si="53"/>
        <v>0</v>
      </c>
      <c r="BF76" s="153">
        <f t="shared" si="53"/>
        <v>0</v>
      </c>
      <c r="BG76" s="153">
        <f t="shared" si="53"/>
        <v>0</v>
      </c>
      <c r="BH76" s="153">
        <f t="shared" si="53"/>
        <v>0</v>
      </c>
      <c r="BI76" s="153">
        <f t="shared" si="53"/>
        <v>0</v>
      </c>
      <c r="BJ76" s="153">
        <f t="shared" si="53"/>
        <v>0</v>
      </c>
      <c r="BK76" s="67"/>
      <c r="BL76" s="152">
        <f t="shared" ref="BL76:BO79" si="54">V76</f>
        <v>0</v>
      </c>
      <c r="BM76" s="152">
        <f t="shared" si="54"/>
        <v>0</v>
      </c>
      <c r="BN76" s="152">
        <f t="shared" si="54"/>
        <v>0</v>
      </c>
      <c r="BO76" s="152">
        <f t="shared" si="54"/>
        <v>0</v>
      </c>
      <c r="BP76" s="153">
        <f t="shared" ref="BP76:BW76" si="55">BO79</f>
        <v>0</v>
      </c>
      <c r="BQ76" s="153">
        <f t="shared" si="55"/>
        <v>0</v>
      </c>
      <c r="BR76" s="153">
        <f t="shared" si="55"/>
        <v>0</v>
      </c>
      <c r="BS76" s="153">
        <f t="shared" si="55"/>
        <v>0</v>
      </c>
      <c r="BT76" s="153">
        <f t="shared" si="55"/>
        <v>0</v>
      </c>
      <c r="BU76" s="153">
        <f t="shared" si="55"/>
        <v>0</v>
      </c>
      <c r="BV76" s="153">
        <f t="shared" si="55"/>
        <v>0</v>
      </c>
      <c r="BW76" s="153">
        <f t="shared" si="55"/>
        <v>0</v>
      </c>
      <c r="BX76" s="67"/>
      <c r="BY76" s="12"/>
      <c r="CA76" s="12"/>
      <c r="CG76" s="67"/>
      <c r="CH76" s="67"/>
      <c r="CI76" s="67"/>
      <c r="CK76" s="67"/>
      <c r="CL76" s="67"/>
      <c r="CR76" s="12"/>
      <c r="CS76" s="93">
        <f t="shared" si="15"/>
        <v>0</v>
      </c>
      <c r="CT76" s="93">
        <v>1</v>
      </c>
      <c r="CU76" s="93">
        <v>0</v>
      </c>
      <c r="EX76" s="13" t="str">
        <f>IF(C76="", "", CONCATENATE(D66, " ",D76))</f>
        <v/>
      </c>
    </row>
    <row r="77" spans="1:154" s="5" customFormat="1" ht="15.75" x14ac:dyDescent="0.3">
      <c r="A77" s="362" cm="1">
        <f t="array" aca="1" ref="A77" ca="1">HYPERLINK(CONCATENATE("#",CELL("address",IF(SUM($CA77:$CR77)=0,A77,INDEX($CA77:$CR77,MATCH(1,$CA77:$CR77,0))))),SUM($CA77:$CR77))</f>
        <v>0</v>
      </c>
      <c r="B77" s="105" t="s">
        <v>335</v>
      </c>
      <c r="C77" s="380"/>
      <c r="D77" s="51" t="s">
        <v>234</v>
      </c>
      <c r="E77" s="1"/>
      <c r="F77" s="67"/>
      <c r="G77" s="9" t="s">
        <v>413</v>
      </c>
      <c r="H77" s="50" t="s">
        <v>125</v>
      </c>
      <c r="I77" s="67"/>
      <c r="J77" s="67"/>
      <c r="K77" s="67"/>
      <c r="L77" s="67"/>
      <c r="M77" s="67"/>
      <c r="N77" s="67"/>
      <c r="O77" s="67"/>
      <c r="P77" s="67"/>
      <c r="Q77" s="67"/>
      <c r="R77" s="67"/>
      <c r="S77" s="335"/>
      <c r="T77" s="25"/>
      <c r="U77" s="25"/>
      <c r="V77" s="222"/>
      <c r="W77" s="215">
        <f t="shared" ref="W77:Y78" si="56" xml:space="preserve"> SUMIFS($AA77:$BJ77, $AA$3:$BJ$3, W$3)</f>
        <v>37</v>
      </c>
      <c r="X77" s="215">
        <f t="shared" si="56"/>
        <v>37</v>
      </c>
      <c r="Y77" s="215">
        <f t="shared" si="56"/>
        <v>37</v>
      </c>
      <c r="Z77" s="67"/>
      <c r="AA77" s="147">
        <v>4</v>
      </c>
      <c r="AB77" s="147">
        <v>3</v>
      </c>
      <c r="AC77" s="147">
        <v>3</v>
      </c>
      <c r="AD77" s="147">
        <v>3</v>
      </c>
      <c r="AE77" s="147">
        <v>3</v>
      </c>
      <c r="AF77" s="147">
        <v>3</v>
      </c>
      <c r="AG77" s="147">
        <v>3</v>
      </c>
      <c r="AH77" s="147">
        <v>3</v>
      </c>
      <c r="AI77" s="147">
        <v>3</v>
      </c>
      <c r="AJ77" s="147">
        <v>3</v>
      </c>
      <c r="AK77" s="147">
        <v>3</v>
      </c>
      <c r="AL77" s="147">
        <v>3</v>
      </c>
      <c r="AM77" s="147">
        <v>4</v>
      </c>
      <c r="AN77" s="147">
        <v>3</v>
      </c>
      <c r="AO77" s="147">
        <v>3</v>
      </c>
      <c r="AP77" s="147">
        <v>3</v>
      </c>
      <c r="AQ77" s="147">
        <v>3</v>
      </c>
      <c r="AR77" s="147">
        <v>3</v>
      </c>
      <c r="AS77" s="147">
        <v>3</v>
      </c>
      <c r="AT77" s="147">
        <v>3</v>
      </c>
      <c r="AU77" s="147">
        <v>3</v>
      </c>
      <c r="AV77" s="147">
        <v>3</v>
      </c>
      <c r="AW77" s="147">
        <v>3</v>
      </c>
      <c r="AX77" s="147">
        <v>3</v>
      </c>
      <c r="AY77" s="147">
        <v>4</v>
      </c>
      <c r="AZ77" s="147">
        <v>3</v>
      </c>
      <c r="BA77" s="147">
        <v>3</v>
      </c>
      <c r="BB77" s="147">
        <v>3</v>
      </c>
      <c r="BC77" s="147">
        <v>3</v>
      </c>
      <c r="BD77" s="147">
        <v>3</v>
      </c>
      <c r="BE77" s="147">
        <v>3</v>
      </c>
      <c r="BF77" s="147">
        <v>3</v>
      </c>
      <c r="BG77" s="147">
        <v>3</v>
      </c>
      <c r="BH77" s="147">
        <v>3</v>
      </c>
      <c r="BI77" s="147">
        <v>3</v>
      </c>
      <c r="BJ77" s="147">
        <v>3</v>
      </c>
      <c r="BK77" s="67"/>
      <c r="BL77" s="152">
        <f t="shared" si="54"/>
        <v>0</v>
      </c>
      <c r="BM77" s="152">
        <f t="shared" si="54"/>
        <v>37</v>
      </c>
      <c r="BN77" s="152">
        <f t="shared" si="54"/>
        <v>37</v>
      </c>
      <c r="BO77" s="152">
        <f t="shared" si="54"/>
        <v>37</v>
      </c>
      <c r="BP77" s="156"/>
      <c r="BQ77" s="156"/>
      <c r="BR77" s="156"/>
      <c r="BS77" s="156"/>
      <c r="BT77" s="156"/>
      <c r="BU77" s="156"/>
      <c r="BV77" s="156"/>
      <c r="BW77" s="156"/>
      <c r="BX77" s="67"/>
      <c r="BY77" s="12"/>
      <c r="BZ77" s="395">
        <f>IF(MIN($V77:$BW77)&lt;0, 1, 0)</f>
        <v>0</v>
      </c>
      <c r="CA77" s="12"/>
      <c r="CB77" s="335"/>
      <c r="CC77" s="335"/>
      <c r="CD77" s="335"/>
      <c r="CE77" s="335"/>
      <c r="CF77" s="67"/>
      <c r="CG77" s="67"/>
      <c r="CH77" s="67"/>
      <c r="CI77" s="67"/>
      <c r="CJ77" s="67"/>
      <c r="CK77" s="67"/>
      <c r="CL77" s="67"/>
      <c r="CM77" s="7">
        <f t="shared" ref="CM77:CO78" si="57">IF(ROUND(W77-SUMIFS($AA77:$BJ77, $AA$3:$BJ$3, W$3), rounding)=0, 0, 1)</f>
        <v>0</v>
      </c>
      <c r="CN77" s="7">
        <f t="shared" si="57"/>
        <v>0</v>
      </c>
      <c r="CO77" s="7">
        <f t="shared" si="57"/>
        <v>0</v>
      </c>
      <c r="CP77" s="7">
        <f>IF(ROUND(V77-BL77, rounding)=0, 0, 1)*'BS Forecasts'!$V$10</f>
        <v>0</v>
      </c>
      <c r="CQ77" s="67"/>
      <c r="CR77" s="12"/>
      <c r="CS77" s="93">
        <f t="shared" si="15"/>
        <v>0</v>
      </c>
      <c r="CT77" s="93">
        <v>1</v>
      </c>
      <c r="CU77" s="93">
        <v>1</v>
      </c>
      <c r="EX77" s="13" t="str">
        <f>IF(C77="", "", CONCATENATE(D66, " ",D77))</f>
        <v/>
      </c>
    </row>
    <row r="78" spans="1:154" ht="15.75" x14ac:dyDescent="0.3">
      <c r="A78" s="362" cm="1">
        <f t="array" aca="1" ref="A78" ca="1">HYPERLINK(CONCATENATE("#",CELL("address",IF(SUM($CA78:$CR78)=0,A78,INDEX($CA78:$CR78,MATCH(1,$CA78:$CR78,0))))),SUM($CA78:$CR78))</f>
        <v>0</v>
      </c>
      <c r="B78" s="105" t="s">
        <v>335</v>
      </c>
      <c r="C78" s="380"/>
      <c r="D78" s="51" t="s">
        <v>222</v>
      </c>
      <c r="F78" s="67"/>
      <c r="G78" s="9" t="s">
        <v>413</v>
      </c>
      <c r="H78" s="50" t="s">
        <v>157</v>
      </c>
      <c r="I78" s="67"/>
      <c r="J78" s="67"/>
      <c r="K78" s="67"/>
      <c r="L78" s="67"/>
      <c r="M78" s="67"/>
      <c r="N78" s="67"/>
      <c r="O78" s="67"/>
      <c r="P78" s="67"/>
      <c r="Q78" s="67"/>
      <c r="R78" s="67"/>
      <c r="S78" s="335"/>
      <c r="T78" s="25"/>
      <c r="U78" s="25"/>
      <c r="V78" s="222"/>
      <c r="W78" s="215">
        <f t="shared" si="56"/>
        <v>-37</v>
      </c>
      <c r="X78" s="215">
        <f t="shared" si="56"/>
        <v>-37</v>
      </c>
      <c r="Y78" s="215">
        <f t="shared" si="56"/>
        <v>-37</v>
      </c>
      <c r="Z78" s="67"/>
      <c r="AA78" s="147">
        <v>-4</v>
      </c>
      <c r="AB78" s="147">
        <v>-3</v>
      </c>
      <c r="AC78" s="147">
        <v>-3</v>
      </c>
      <c r="AD78" s="147">
        <v>-3</v>
      </c>
      <c r="AE78" s="147">
        <v>-3</v>
      </c>
      <c r="AF78" s="147">
        <v>-3</v>
      </c>
      <c r="AG78" s="147">
        <v>-3</v>
      </c>
      <c r="AH78" s="147">
        <v>-3</v>
      </c>
      <c r="AI78" s="147">
        <v>-3</v>
      </c>
      <c r="AJ78" s="147">
        <v>-3</v>
      </c>
      <c r="AK78" s="147">
        <v>-3</v>
      </c>
      <c r="AL78" s="147">
        <v>-3</v>
      </c>
      <c r="AM78" s="147">
        <v>-4</v>
      </c>
      <c r="AN78" s="147">
        <v>-3</v>
      </c>
      <c r="AO78" s="147">
        <v>-3</v>
      </c>
      <c r="AP78" s="147">
        <v>-3</v>
      </c>
      <c r="AQ78" s="147">
        <v>-3</v>
      </c>
      <c r="AR78" s="147">
        <v>-3</v>
      </c>
      <c r="AS78" s="147">
        <v>-3</v>
      </c>
      <c r="AT78" s="147">
        <v>-3</v>
      </c>
      <c r="AU78" s="147">
        <v>-3</v>
      </c>
      <c r="AV78" s="147">
        <v>-3</v>
      </c>
      <c r="AW78" s="147">
        <v>-3</v>
      </c>
      <c r="AX78" s="147">
        <v>-3</v>
      </c>
      <c r="AY78" s="147">
        <v>-4</v>
      </c>
      <c r="AZ78" s="147">
        <v>-3</v>
      </c>
      <c r="BA78" s="147">
        <v>-3</v>
      </c>
      <c r="BB78" s="147">
        <v>-3</v>
      </c>
      <c r="BC78" s="147">
        <v>-3</v>
      </c>
      <c r="BD78" s="147">
        <v>-3</v>
      </c>
      <c r="BE78" s="147">
        <v>-3</v>
      </c>
      <c r="BF78" s="147">
        <v>-3</v>
      </c>
      <c r="BG78" s="147">
        <v>-3</v>
      </c>
      <c r="BH78" s="147">
        <v>-3</v>
      </c>
      <c r="BI78" s="147">
        <v>-3</v>
      </c>
      <c r="BJ78" s="147">
        <v>-3</v>
      </c>
      <c r="BK78" s="67"/>
      <c r="BL78" s="152">
        <f t="shared" si="54"/>
        <v>0</v>
      </c>
      <c r="BM78" s="152">
        <f t="shared" si="54"/>
        <v>-37</v>
      </c>
      <c r="BN78" s="152">
        <f t="shared" si="54"/>
        <v>-37</v>
      </c>
      <c r="BO78" s="152">
        <f t="shared" si="54"/>
        <v>-37</v>
      </c>
      <c r="BP78" s="156"/>
      <c r="BQ78" s="156"/>
      <c r="BR78" s="156"/>
      <c r="BS78" s="156"/>
      <c r="BT78" s="156"/>
      <c r="BU78" s="156"/>
      <c r="BV78" s="156"/>
      <c r="BW78" s="156"/>
      <c r="BX78" s="67"/>
      <c r="BY78" s="12"/>
      <c r="BZ78" s="395">
        <f>IF(MAX($V78:$BW78)&gt;0, 1, 0)</f>
        <v>0</v>
      </c>
      <c r="CA78" s="12"/>
      <c r="CG78" s="67"/>
      <c r="CH78" s="67"/>
      <c r="CI78" s="67"/>
      <c r="CK78" s="67"/>
      <c r="CL78" s="67"/>
      <c r="CM78" s="7">
        <f t="shared" si="57"/>
        <v>0</v>
      </c>
      <c r="CN78" s="7">
        <f t="shared" si="57"/>
        <v>0</v>
      </c>
      <c r="CO78" s="7">
        <f t="shared" si="57"/>
        <v>0</v>
      </c>
      <c r="CP78" s="7">
        <f>IF(ROUND(V78-BL78, rounding)=0, 0, 1)*'BS Forecasts'!$V$10</f>
        <v>0</v>
      </c>
      <c r="CR78" s="12"/>
      <c r="CS78" s="93">
        <f t="shared" si="15"/>
        <v>0</v>
      </c>
      <c r="CT78" s="93">
        <v>1</v>
      </c>
      <c r="CU78" s="93">
        <v>1</v>
      </c>
      <c r="EX78" s="13" t="str">
        <f>IF(C78="", "", CONCATENATE(D66, " ",D78))</f>
        <v/>
      </c>
    </row>
    <row r="79" spans="1:154" x14ac:dyDescent="0.25">
      <c r="A79" s="67"/>
      <c r="B79" s="67"/>
      <c r="C79" s="380"/>
      <c r="D79" s="51" t="s">
        <v>224</v>
      </c>
      <c r="F79" s="67"/>
      <c r="G79" s="9" t="s">
        <v>413</v>
      </c>
      <c r="H79" s="50" t="s">
        <v>8</v>
      </c>
      <c r="I79" s="67"/>
      <c r="J79" s="67"/>
      <c r="K79" s="67"/>
      <c r="L79" s="67"/>
      <c r="M79" s="67"/>
      <c r="N79" s="67"/>
      <c r="O79" s="67"/>
      <c r="P79" s="67"/>
      <c r="Q79" s="67"/>
      <c r="R79" s="67"/>
      <c r="S79" s="335"/>
      <c r="T79" s="25"/>
      <c r="U79" s="25"/>
      <c r="V79" s="13">
        <f>$H$14</f>
        <v>0</v>
      </c>
      <c r="W79" s="153">
        <f>SUM(W76:W78)</f>
        <v>0</v>
      </c>
      <c r="X79" s="153">
        <f>SUM(X76:X78)</f>
        <v>0</v>
      </c>
      <c r="Y79" s="153">
        <f>SUM(Y76:Y78)</f>
        <v>0</v>
      </c>
      <c r="Z79" s="67"/>
      <c r="AA79" s="153">
        <f t="shared" ref="AA79:BJ79" si="58">SUM(AA76:AA78)</f>
        <v>0</v>
      </c>
      <c r="AB79" s="153">
        <f t="shared" si="58"/>
        <v>0</v>
      </c>
      <c r="AC79" s="153">
        <f t="shared" si="58"/>
        <v>0</v>
      </c>
      <c r="AD79" s="153">
        <f t="shared" si="58"/>
        <v>0</v>
      </c>
      <c r="AE79" s="153">
        <f t="shared" si="58"/>
        <v>0</v>
      </c>
      <c r="AF79" s="153">
        <f t="shared" si="58"/>
        <v>0</v>
      </c>
      <c r="AG79" s="153">
        <f t="shared" si="58"/>
        <v>0</v>
      </c>
      <c r="AH79" s="153">
        <f t="shared" si="58"/>
        <v>0</v>
      </c>
      <c r="AI79" s="153">
        <f t="shared" si="58"/>
        <v>0</v>
      </c>
      <c r="AJ79" s="153">
        <f t="shared" si="58"/>
        <v>0</v>
      </c>
      <c r="AK79" s="153">
        <f t="shared" si="58"/>
        <v>0</v>
      </c>
      <c r="AL79" s="153">
        <f t="shared" si="58"/>
        <v>0</v>
      </c>
      <c r="AM79" s="153">
        <f t="shared" si="58"/>
        <v>0</v>
      </c>
      <c r="AN79" s="153">
        <f t="shared" si="58"/>
        <v>0</v>
      </c>
      <c r="AO79" s="153">
        <f t="shared" si="58"/>
        <v>0</v>
      </c>
      <c r="AP79" s="153">
        <f t="shared" si="58"/>
        <v>0</v>
      </c>
      <c r="AQ79" s="153">
        <f t="shared" si="58"/>
        <v>0</v>
      </c>
      <c r="AR79" s="153">
        <f t="shared" si="58"/>
        <v>0</v>
      </c>
      <c r="AS79" s="153">
        <f t="shared" si="58"/>
        <v>0</v>
      </c>
      <c r="AT79" s="153">
        <f t="shared" si="58"/>
        <v>0</v>
      </c>
      <c r="AU79" s="153">
        <f t="shared" si="58"/>
        <v>0</v>
      </c>
      <c r="AV79" s="153">
        <f t="shared" si="58"/>
        <v>0</v>
      </c>
      <c r="AW79" s="153">
        <f t="shared" si="58"/>
        <v>0</v>
      </c>
      <c r="AX79" s="153">
        <f t="shared" si="58"/>
        <v>0</v>
      </c>
      <c r="AY79" s="153">
        <f t="shared" si="58"/>
        <v>0</v>
      </c>
      <c r="AZ79" s="153">
        <f t="shared" si="58"/>
        <v>0</v>
      </c>
      <c r="BA79" s="153">
        <f t="shared" si="58"/>
        <v>0</v>
      </c>
      <c r="BB79" s="153">
        <f t="shared" si="58"/>
        <v>0</v>
      </c>
      <c r="BC79" s="153">
        <f t="shared" si="58"/>
        <v>0</v>
      </c>
      <c r="BD79" s="153">
        <f t="shared" si="58"/>
        <v>0</v>
      </c>
      <c r="BE79" s="153">
        <f t="shared" si="58"/>
        <v>0</v>
      </c>
      <c r="BF79" s="153">
        <f t="shared" si="58"/>
        <v>0</v>
      </c>
      <c r="BG79" s="153">
        <f t="shared" si="58"/>
        <v>0</v>
      </c>
      <c r="BH79" s="153">
        <f t="shared" si="58"/>
        <v>0</v>
      </c>
      <c r="BI79" s="153">
        <f t="shared" si="58"/>
        <v>0</v>
      </c>
      <c r="BJ79" s="153">
        <f t="shared" si="58"/>
        <v>0</v>
      </c>
      <c r="BK79" s="67"/>
      <c r="BL79" s="152">
        <f t="shared" si="54"/>
        <v>0</v>
      </c>
      <c r="BM79" s="152">
        <f t="shared" si="54"/>
        <v>0</v>
      </c>
      <c r="BN79" s="152">
        <f t="shared" si="54"/>
        <v>0</v>
      </c>
      <c r="BO79" s="152">
        <f t="shared" si="54"/>
        <v>0</v>
      </c>
      <c r="BP79" s="153">
        <f t="shared" ref="BP79:BW79" si="59">SUM(BP76:BP78)</f>
        <v>0</v>
      </c>
      <c r="BQ79" s="153">
        <f t="shared" si="59"/>
        <v>0</v>
      </c>
      <c r="BR79" s="153">
        <f t="shared" si="59"/>
        <v>0</v>
      </c>
      <c r="BS79" s="153">
        <f t="shared" si="59"/>
        <v>0</v>
      </c>
      <c r="BT79" s="153">
        <f t="shared" si="59"/>
        <v>0</v>
      </c>
      <c r="BU79" s="153">
        <f t="shared" si="59"/>
        <v>0</v>
      </c>
      <c r="BV79" s="153">
        <f t="shared" si="59"/>
        <v>0</v>
      </c>
      <c r="BW79" s="153">
        <f t="shared" si="59"/>
        <v>0</v>
      </c>
      <c r="BX79" s="67"/>
      <c r="BY79" s="12"/>
      <c r="CA79" s="12"/>
      <c r="CG79" s="67"/>
      <c r="CH79" s="67"/>
      <c r="CI79" s="67"/>
      <c r="CK79" s="67"/>
      <c r="CL79" s="67"/>
      <c r="CR79" s="12"/>
      <c r="CS79" s="93">
        <f t="shared" si="15"/>
        <v>0</v>
      </c>
      <c r="CT79" s="93">
        <v>0</v>
      </c>
      <c r="CU79" s="93">
        <v>0</v>
      </c>
      <c r="EX79" s="13" t="str">
        <f>IF(C79="", "", CONCATENATE(D66, " ",D79))</f>
        <v/>
      </c>
    </row>
    <row r="80" spans="1:154" ht="6.6" customHeight="1" x14ac:dyDescent="0.25">
      <c r="C80" s="380"/>
      <c r="D80" s="1"/>
      <c r="E80" s="67"/>
      <c r="G80" s="67"/>
      <c r="H80" s="67"/>
      <c r="S80" s="335"/>
      <c r="T80" s="25"/>
      <c r="U80" s="25"/>
      <c r="V80" s="229"/>
      <c r="W80" s="25"/>
      <c r="X80" s="25"/>
      <c r="Y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L80" s="25"/>
      <c r="BM80" s="155"/>
      <c r="BN80" s="25"/>
      <c r="BO80" s="25"/>
      <c r="BP80" s="25"/>
      <c r="BQ80" s="25"/>
      <c r="BR80" s="25"/>
      <c r="BS80" s="25"/>
      <c r="BT80" s="25"/>
      <c r="BU80" s="25"/>
      <c r="BV80" s="25"/>
      <c r="BW80" s="25"/>
      <c r="BY80" s="42"/>
      <c r="CA80" s="42"/>
      <c r="CR80" s="42"/>
      <c r="CS80" s="93">
        <f t="shared" si="15"/>
        <v>0</v>
      </c>
      <c r="CT80" s="93">
        <v>0</v>
      </c>
      <c r="CU80" s="93">
        <v>0</v>
      </c>
      <c r="EX80" s="13" t="str">
        <f>IF(C80="", "", CONCATENATE(D66, " ",D80))</f>
        <v/>
      </c>
    </row>
    <row r="81" spans="1:154" s="5" customFormat="1" x14ac:dyDescent="0.25">
      <c r="A81" s="362" cm="1">
        <f t="array" aca="1" ref="A81" ca="1">HYPERLINK(CONCATENATE("#",CELL("address",IF(SUM($CA81:$CR81)=0,A81,INDEX($CA81:$CR81,MATCH(1,$CA81:$CR81,0))))),SUM($CA81:$CR81))</f>
        <v>0</v>
      </c>
      <c r="B81" s="335"/>
      <c r="C81" s="340" t="s">
        <v>1274</v>
      </c>
      <c r="D81" s="41" t="s">
        <v>1569</v>
      </c>
      <c r="E81" s="35"/>
      <c r="F81" s="25"/>
      <c r="G81" s="174" t="s">
        <v>413</v>
      </c>
      <c r="H81" s="171" t="s">
        <v>125</v>
      </c>
      <c r="I81" s="25"/>
      <c r="J81" s="25"/>
      <c r="K81" s="25"/>
      <c r="L81" s="25"/>
      <c r="M81" s="25"/>
      <c r="N81" s="25"/>
      <c r="O81" s="25"/>
      <c r="P81" s="25"/>
      <c r="Q81" s="25"/>
      <c r="R81" s="25"/>
      <c r="S81" s="335"/>
      <c r="T81" s="25"/>
      <c r="U81" s="25"/>
      <c r="V81" s="222"/>
      <c r="W81" s="215">
        <f xml:space="preserve"> SUMIFS($AA81:$BJ81, $AA$3:$BJ$3, W$3)</f>
        <v>0</v>
      </c>
      <c r="X81" s="215">
        <f xml:space="preserve"> SUMIFS($AA81:$BJ81, $AA$3:$BJ$3, X$3)</f>
        <v>0</v>
      </c>
      <c r="Y81" s="215">
        <f xml:space="preserve"> SUMIFS($AA81:$BJ81, $AA$3:$BJ$3, Y$3)</f>
        <v>0</v>
      </c>
      <c r="Z81" s="335"/>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335"/>
      <c r="BL81" s="152">
        <f>V81</f>
        <v>0</v>
      </c>
      <c r="BM81" s="152">
        <f>W81</f>
        <v>0</v>
      </c>
      <c r="BN81" s="152">
        <f>X81</f>
        <v>0</v>
      </c>
      <c r="BO81" s="152">
        <f>Y81</f>
        <v>0</v>
      </c>
      <c r="BP81" s="141"/>
      <c r="BQ81" s="141"/>
      <c r="BR81" s="141"/>
      <c r="BS81" s="141"/>
      <c r="BT81" s="141"/>
      <c r="BU81" s="141"/>
      <c r="BV81" s="141"/>
      <c r="BW81" s="141"/>
      <c r="BX81" s="335"/>
      <c r="BY81" s="12"/>
      <c r="BZ81" s="395">
        <f>IF(MIN($V81:$BW81)&lt;0, 1, 0)</f>
        <v>0</v>
      </c>
      <c r="CA81" s="12"/>
      <c r="CB81" s="335"/>
      <c r="CC81" s="335"/>
      <c r="CD81" s="335"/>
      <c r="CE81" s="335"/>
      <c r="CF81" s="335"/>
      <c r="CG81" s="335"/>
      <c r="CH81" s="335"/>
      <c r="CI81" s="335"/>
      <c r="CJ81" s="335"/>
      <c r="CK81" s="335"/>
      <c r="CL81" s="335"/>
      <c r="CM81" s="7">
        <f>IF(ROUND(W81-SUMIFS($AA81:$BJ81, $AA$3:$BJ$3, W$3), rounding)=0, 0, 1)</f>
        <v>0</v>
      </c>
      <c r="CN81" s="7">
        <f>IF(ROUND(X81-SUMIFS($AA81:$BJ81, $AA$3:$BJ$3, X$3), rounding)=0, 0, 1)</f>
        <v>0</v>
      </c>
      <c r="CO81" s="7">
        <f>IF(ROUND(Y81-SUMIFS($AA81:$BJ81, $AA$3:$BJ$3, Y$3), rounding)=0, 0, 1)</f>
        <v>0</v>
      </c>
      <c r="CP81" s="7">
        <f>IF(ROUND(V81-BL81, rounding)=0, 0, 1)*'BS Forecasts'!$V$10</f>
        <v>0</v>
      </c>
      <c r="CQ81" s="335"/>
      <c r="CR81" s="12"/>
      <c r="CS81" s="93">
        <f t="shared" si="15"/>
        <v>0</v>
      </c>
      <c r="CT81" s="93">
        <v>1</v>
      </c>
      <c r="CU81" s="93">
        <v>1</v>
      </c>
      <c r="EX81" s="13" t="str">
        <f>IF(C81="", "", CONCATENATE(D66, " ",D81))</f>
        <v>Loan 2 Early Repayment Fee</v>
      </c>
    </row>
    <row r="82" spans="1:154" s="335" customFormat="1" ht="6.6" customHeight="1" x14ac:dyDescent="0.25">
      <c r="C82" s="380"/>
      <c r="D82" s="1"/>
      <c r="T82" s="25"/>
      <c r="U82" s="25"/>
      <c r="V82" s="93"/>
      <c r="BM82" s="6"/>
      <c r="BY82" s="42"/>
      <c r="CA82" s="42"/>
      <c r="CR82" s="42"/>
      <c r="CS82" s="93">
        <f t="shared" si="15"/>
        <v>0</v>
      </c>
      <c r="CT82" s="93">
        <v>0</v>
      </c>
      <c r="CU82" s="93">
        <v>0</v>
      </c>
      <c r="EX82" s="13" t="str">
        <f>IF(C82="", "", CONCATENATE(D66, " ",D82))</f>
        <v/>
      </c>
    </row>
    <row r="83" spans="1:154" s="335" customFormat="1" ht="15.75" x14ac:dyDescent="0.3">
      <c r="A83" s="362" cm="1">
        <f t="array" aca="1" ref="A83" ca="1">HYPERLINK(CONCATENATE("#",CELL("address",IF(SUM($CA83:$CR83)=0,A83,INDEX($CA83:$CR83,MATCH(1,$CA83:$CR83,0))))),SUM($CA83:$CR83))</f>
        <v>0</v>
      </c>
      <c r="B83" s="105" t="s">
        <v>335</v>
      </c>
      <c r="D83" s="51" t="s">
        <v>1630</v>
      </c>
      <c r="E83" s="220" t="str">
        <f>IF(I$14="", "", I$14)</f>
        <v/>
      </c>
      <c r="F83" s="220" t="str">
        <f>IF(J$14="", "", J$14)</f>
        <v/>
      </c>
      <c r="T83" s="25"/>
      <c r="U83" s="25"/>
      <c r="V83" s="230">
        <f>IF(AND(OR( V$5&gt;$F83, Timeline!V$8&lt;Loans!$E83), Loans!V81&lt;&gt;0), 1, 0)</f>
        <v>0</v>
      </c>
      <c r="W83" s="230">
        <f>IF(AND(OR( W$5&gt;$F83, Timeline!W$8&lt;Loans!$E83), Loans!W81&lt;&gt;0), 1, 0)</f>
        <v>0</v>
      </c>
      <c r="X83" s="230">
        <f>IF(AND(OR( X$5&gt;$F83, Timeline!X$8&lt;Loans!$E83), Loans!X81&lt;&gt;0), 1, 0)</f>
        <v>0</v>
      </c>
      <c r="Y83" s="230">
        <f>IF(AND(OR( Y$5&gt;$F83, Timeline!Y$8&lt;Loans!$E83), Loans!Y81&lt;&gt;0), 1, 0)</f>
        <v>0</v>
      </c>
      <c r="AA83" s="230">
        <f>IF(AND(OR( AA$5&gt;$F83, Timeline!AA$8&lt;Loans!$E83), Loans!AA81&lt;&gt;0), 1, 0)</f>
        <v>0</v>
      </c>
      <c r="AB83" s="230">
        <f>IF(AND(OR( AB$5&gt;$F83, Timeline!AB$8&lt;Loans!$E83), Loans!AB81&lt;&gt;0), 1, 0)</f>
        <v>0</v>
      </c>
      <c r="AC83" s="230">
        <f>IF(AND(OR( AC$5&gt;$F83, Timeline!AC$8&lt;Loans!$E83), Loans!AC81&lt;&gt;0), 1, 0)</f>
        <v>0</v>
      </c>
      <c r="AD83" s="230">
        <f>IF(AND(OR( AD$5&gt;$F83, Timeline!AD$8&lt;Loans!$E83), Loans!AD81&lt;&gt;0), 1, 0)</f>
        <v>0</v>
      </c>
      <c r="AE83" s="230">
        <f>IF(AND(OR( AE$5&gt;$F83, Timeline!AE$8&lt;Loans!$E83), Loans!AE81&lt;&gt;0), 1, 0)</f>
        <v>0</v>
      </c>
      <c r="AF83" s="230">
        <f>IF(AND(OR( AF$5&gt;$F83, Timeline!AF$8&lt;Loans!$E83), Loans!AF81&lt;&gt;0), 1, 0)</f>
        <v>0</v>
      </c>
      <c r="AG83" s="230">
        <f>IF(AND(OR( AG$5&gt;$F83, Timeline!AG$8&lt;Loans!$E83), Loans!AG81&lt;&gt;0), 1, 0)</f>
        <v>0</v>
      </c>
      <c r="AH83" s="230">
        <f>IF(AND(OR( AH$5&gt;$F83, Timeline!AH$8&lt;Loans!$E83), Loans!AH81&lt;&gt;0), 1, 0)</f>
        <v>0</v>
      </c>
      <c r="AI83" s="230">
        <f>IF(AND(OR( AI$5&gt;$F83, Timeline!AI$8&lt;Loans!$E83), Loans!AI81&lt;&gt;0), 1, 0)</f>
        <v>0</v>
      </c>
      <c r="AJ83" s="230">
        <f>IF(AND(OR( AJ$5&gt;$F83, Timeline!AJ$8&lt;Loans!$E83), Loans!AJ81&lt;&gt;0), 1, 0)</f>
        <v>0</v>
      </c>
      <c r="AK83" s="230">
        <f>IF(AND(OR( AK$5&gt;$F83, Timeline!AK$8&lt;Loans!$E83), Loans!AK81&lt;&gt;0), 1, 0)</f>
        <v>0</v>
      </c>
      <c r="AL83" s="230">
        <f>IF(AND(OR( AL$5&gt;$F83, Timeline!AL$8&lt;Loans!$E83), Loans!AL81&lt;&gt;0), 1, 0)</f>
        <v>0</v>
      </c>
      <c r="AM83" s="230">
        <f>IF(AND(OR( AM$5&gt;$F83, Timeline!AM$8&lt;Loans!$E83), Loans!AM81&lt;&gt;0), 1, 0)</f>
        <v>0</v>
      </c>
      <c r="AN83" s="230">
        <f>IF(AND(OR( AN$5&gt;$F83, Timeline!AN$8&lt;Loans!$E83), Loans!AN81&lt;&gt;0), 1, 0)</f>
        <v>0</v>
      </c>
      <c r="AO83" s="230">
        <f>IF(AND(OR( AO$5&gt;$F83, Timeline!AO$8&lt;Loans!$E83), Loans!AO81&lt;&gt;0), 1, 0)</f>
        <v>0</v>
      </c>
      <c r="AP83" s="230">
        <f>IF(AND(OR( AP$5&gt;$F83, Timeline!AP$8&lt;Loans!$E83), Loans!AP81&lt;&gt;0), 1, 0)</f>
        <v>0</v>
      </c>
      <c r="AQ83" s="230">
        <f>IF(AND(OR( AQ$5&gt;$F83, Timeline!AQ$8&lt;Loans!$E83), Loans!AQ81&lt;&gt;0), 1, 0)</f>
        <v>0</v>
      </c>
      <c r="AR83" s="230">
        <f>IF(AND(OR( AR$5&gt;$F83, Timeline!AR$8&lt;Loans!$E83), Loans!AR81&lt;&gt;0), 1, 0)</f>
        <v>0</v>
      </c>
      <c r="AS83" s="230">
        <f>IF(AND(OR( AS$5&gt;$F83, Timeline!AS$8&lt;Loans!$E83), Loans!AS81&lt;&gt;0), 1, 0)</f>
        <v>0</v>
      </c>
      <c r="AT83" s="230">
        <f>IF(AND(OR( AT$5&gt;$F83, Timeline!AT$8&lt;Loans!$E83), Loans!AT81&lt;&gt;0), 1, 0)</f>
        <v>0</v>
      </c>
      <c r="AU83" s="230">
        <f>IF(AND(OR( AU$5&gt;$F83, Timeline!AU$8&lt;Loans!$E83), Loans!AU81&lt;&gt;0), 1, 0)</f>
        <v>0</v>
      </c>
      <c r="AV83" s="230">
        <f>IF(AND(OR( AV$5&gt;$F83, Timeline!AV$8&lt;Loans!$E83), Loans!AV81&lt;&gt;0), 1, 0)</f>
        <v>0</v>
      </c>
      <c r="AW83" s="230">
        <f>IF(AND(OR( AW$5&gt;$F83, Timeline!AW$8&lt;Loans!$E83), Loans!AW81&lt;&gt;0), 1, 0)</f>
        <v>0</v>
      </c>
      <c r="AX83" s="230">
        <f>IF(AND(OR( AX$5&gt;$F83, Timeline!AX$8&lt;Loans!$E83), Loans!AX81&lt;&gt;0), 1, 0)</f>
        <v>0</v>
      </c>
      <c r="AY83" s="230">
        <f>IF(AND(OR( AY$5&gt;$F83, Timeline!AY$8&lt;Loans!$E83), Loans!AY81&lt;&gt;0), 1, 0)</f>
        <v>0</v>
      </c>
      <c r="AZ83" s="230">
        <f>IF(AND(OR( AZ$5&gt;$F83, Timeline!AZ$8&lt;Loans!$E83), Loans!AZ81&lt;&gt;0), 1, 0)</f>
        <v>0</v>
      </c>
      <c r="BA83" s="230">
        <f>IF(AND(OR( BA$5&gt;$F83, Timeline!BA$8&lt;Loans!$E83), Loans!BA81&lt;&gt;0), 1, 0)</f>
        <v>0</v>
      </c>
      <c r="BB83" s="230">
        <f>IF(AND(OR( BB$5&gt;$F83, Timeline!BB$8&lt;Loans!$E83), Loans!BB81&lt;&gt;0), 1, 0)</f>
        <v>0</v>
      </c>
      <c r="BC83" s="230">
        <f>IF(AND(OR( BC$5&gt;$F83, Timeline!BC$8&lt;Loans!$E83), Loans!BC81&lt;&gt;0), 1, 0)</f>
        <v>0</v>
      </c>
      <c r="BD83" s="230">
        <f>IF(AND(OR( BD$5&gt;$F83, Timeline!BD$8&lt;Loans!$E83), Loans!BD81&lt;&gt;0), 1, 0)</f>
        <v>0</v>
      </c>
      <c r="BE83" s="230">
        <f>IF(AND(OR( BE$5&gt;$F83, Timeline!BE$8&lt;Loans!$E83), Loans!BE81&lt;&gt;0), 1, 0)</f>
        <v>0</v>
      </c>
      <c r="BF83" s="230">
        <f>IF(AND(OR( BF$5&gt;$F83, Timeline!BF$8&lt;Loans!$E83), Loans!BF81&lt;&gt;0), 1, 0)</f>
        <v>0</v>
      </c>
      <c r="BG83" s="230">
        <f>IF(AND(OR( BG$5&gt;$F83, Timeline!BG$8&lt;Loans!$E83), Loans!BG81&lt;&gt;0), 1, 0)</f>
        <v>0</v>
      </c>
      <c r="BH83" s="230">
        <f>IF(AND(OR( BH$5&gt;$F83, Timeline!BH$8&lt;Loans!$E83), Loans!BH81&lt;&gt;0), 1, 0)</f>
        <v>0</v>
      </c>
      <c r="BI83" s="230">
        <f>IF(AND(OR( BI$5&gt;$F83, Timeline!BI$8&lt;Loans!$E83), Loans!BI81&lt;&gt;0), 1, 0)</f>
        <v>0</v>
      </c>
      <c r="BJ83" s="230">
        <f>IF(AND(OR( BJ$5&gt;$F83, Timeline!BJ$8&lt;Loans!$E83), Loans!BJ81&lt;&gt;0), 1, 0)</f>
        <v>0</v>
      </c>
      <c r="BL83" s="230">
        <f>IF(AND(OR( BL$5&gt;$F83, Timeline!BL$8&lt;Loans!$E83), Loans!BL81&lt;&gt;0), 1, 0)</f>
        <v>0</v>
      </c>
      <c r="BM83" s="230">
        <f>IF(AND(OR( BM$5&gt;$F83, Timeline!BM$8&lt;Loans!$E83), Loans!BM81&lt;&gt;0), 1, 0)</f>
        <v>0</v>
      </c>
      <c r="BN83" s="230">
        <f>IF(AND(OR( BN$5&gt;$F83, Timeline!BN$8&lt;Loans!$E83), Loans!BN81&lt;&gt;0), 1, 0)</f>
        <v>0</v>
      </c>
      <c r="BO83" s="230">
        <f>IF(AND(OR( BO$5&gt;$F83, Timeline!BO$8&lt;Loans!$E83), Loans!BO81&lt;&gt;0), 1, 0)</f>
        <v>0</v>
      </c>
      <c r="BP83" s="230">
        <f>IF(AND(OR( BP$5&gt;$F83, Timeline!BP$8&lt;Loans!$E83), Loans!BP81&lt;&gt;0), 1, 0)</f>
        <v>0</v>
      </c>
      <c r="BQ83" s="230">
        <f>IF(AND(OR( BQ$5&gt;$F83, Timeline!BQ$8&lt;Loans!$E83), Loans!BQ81&lt;&gt;0), 1, 0)</f>
        <v>0</v>
      </c>
      <c r="BR83" s="230">
        <f>IF(AND(OR( BR$5&gt;$F83, Timeline!BR$8&lt;Loans!$E83), Loans!BR81&lt;&gt;0), 1, 0)</f>
        <v>0</v>
      </c>
      <c r="BS83" s="230">
        <f>IF(AND(OR( BS$5&gt;$F83, Timeline!BS$8&lt;Loans!$E83), Loans!BS81&lt;&gt;0), 1, 0)</f>
        <v>0</v>
      </c>
      <c r="BT83" s="230">
        <f>IF(AND(OR( BT$5&gt;$F83, Timeline!BT$8&lt;Loans!$E83), Loans!BT81&lt;&gt;0), 1, 0)</f>
        <v>0</v>
      </c>
      <c r="BU83" s="230">
        <f>IF(AND(OR( BU$5&gt;$F83, Timeline!BU$8&lt;Loans!$E83), Loans!BU81&lt;&gt;0), 1, 0)</f>
        <v>0</v>
      </c>
      <c r="BV83" s="230">
        <f>IF(AND(OR( BV$5&gt;$F83, Timeline!BV$8&lt;Loans!$E83), Loans!BV81&lt;&gt;0), 1, 0)</f>
        <v>0</v>
      </c>
      <c r="BW83" s="230">
        <f>IF(AND(OR( BW$5&gt;$F83, Timeline!BW$8&lt;Loans!$E83), Loans!BW81&lt;&gt;0), 1, 0)</f>
        <v>0</v>
      </c>
      <c r="BY83" s="12"/>
      <c r="CA83" s="12"/>
      <c r="CL83" s="7">
        <f>IF(MAX($V83:$BW83)&gt;0, 1, 0)</f>
        <v>0</v>
      </c>
      <c r="CR83" s="12"/>
      <c r="CS83" s="93">
        <f t="shared" si="15"/>
        <v>1</v>
      </c>
      <c r="CT83" s="93">
        <v>0</v>
      </c>
      <c r="CU83" s="93">
        <v>0</v>
      </c>
      <c r="EX83" s="13" t="str">
        <f>IF(C83="", "", CONCATENATE(D66, " ",D83))</f>
        <v/>
      </c>
    </row>
    <row r="84" spans="1:154" s="335" customFormat="1" ht="6.6" customHeight="1" x14ac:dyDescent="0.25">
      <c r="C84" s="380"/>
      <c r="D84" s="1"/>
      <c r="T84" s="25"/>
      <c r="U84" s="25"/>
      <c r="V84" s="93"/>
      <c r="BM84" s="6"/>
      <c r="BY84" s="42"/>
      <c r="CA84" s="42"/>
      <c r="CR84" s="42"/>
      <c r="CS84" s="93">
        <f t="shared" si="15"/>
        <v>0</v>
      </c>
      <c r="CT84" s="93">
        <v>0</v>
      </c>
      <c r="CU84" s="93">
        <v>0</v>
      </c>
      <c r="EX84" s="10" t="str">
        <f t="shared" si="9"/>
        <v/>
      </c>
    </row>
    <row r="85" spans="1:154" x14ac:dyDescent="0.25">
      <c r="A85" s="64"/>
      <c r="C85" s="380"/>
      <c r="D85" s="64" t="s">
        <v>192</v>
      </c>
      <c r="E85" s="64"/>
      <c r="F85" s="64"/>
      <c r="G85" s="64"/>
      <c r="H85" s="64"/>
      <c r="I85" s="64"/>
      <c r="L85" s="64"/>
      <c r="M85" s="64"/>
      <c r="N85" s="64"/>
      <c r="O85" s="64"/>
      <c r="P85" s="64"/>
      <c r="Q85" s="64"/>
      <c r="S85" s="335"/>
      <c r="T85" s="25"/>
      <c r="U85" s="25"/>
      <c r="V85" s="229"/>
      <c r="W85" s="25"/>
      <c r="X85" s="25"/>
      <c r="Y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L85" s="25"/>
      <c r="BM85" s="25"/>
      <c r="BN85" s="25"/>
      <c r="BO85" s="25"/>
      <c r="BP85" s="25"/>
      <c r="BQ85" s="25"/>
      <c r="BR85" s="25"/>
      <c r="BS85" s="25"/>
      <c r="BT85" s="25"/>
      <c r="BU85" s="25"/>
      <c r="BV85" s="25"/>
      <c r="BW85" s="25"/>
      <c r="BY85" s="12"/>
      <c r="CA85" s="12"/>
      <c r="CR85" s="12"/>
      <c r="CS85" s="93">
        <f t="shared" si="15"/>
        <v>0</v>
      </c>
      <c r="CT85" s="93">
        <v>0</v>
      </c>
      <c r="CU85" s="93">
        <v>0</v>
      </c>
      <c r="EX85" s="10" t="str">
        <f t="shared" si="9"/>
        <v/>
      </c>
    </row>
    <row r="86" spans="1:154" x14ac:dyDescent="0.25">
      <c r="A86" s="67"/>
      <c r="B86" s="67"/>
      <c r="C86" s="340" t="s">
        <v>1375</v>
      </c>
      <c r="D86" s="51" t="s">
        <v>230</v>
      </c>
      <c r="F86" s="67"/>
      <c r="G86" s="9" t="s">
        <v>413</v>
      </c>
      <c r="H86" s="50" t="s">
        <v>8</v>
      </c>
      <c r="I86" s="67"/>
      <c r="J86" s="67"/>
      <c r="K86" s="67"/>
      <c r="L86" s="67"/>
      <c r="M86" s="67"/>
      <c r="N86" s="67"/>
      <c r="O86" s="67"/>
      <c r="P86" s="67"/>
      <c r="Q86" s="67"/>
      <c r="R86" s="67"/>
      <c r="S86" s="335"/>
      <c r="T86" s="25"/>
      <c r="U86" s="25"/>
      <c r="V86" s="210"/>
      <c r="W86" s="201">
        <f>V90</f>
        <v>712</v>
      </c>
      <c r="X86" s="201">
        <f>W90</f>
        <v>643</v>
      </c>
      <c r="Y86" s="10">
        <f>X90</f>
        <v>574</v>
      </c>
      <c r="Z86" s="67"/>
      <c r="AA86" s="13">
        <f>W86</f>
        <v>712</v>
      </c>
      <c r="AB86" s="10">
        <f t="shared" ref="AB86:BJ86" si="60">AA90</f>
        <v>707</v>
      </c>
      <c r="AC86" s="10">
        <f t="shared" si="60"/>
        <v>702</v>
      </c>
      <c r="AD86" s="10">
        <f t="shared" si="60"/>
        <v>697</v>
      </c>
      <c r="AE86" s="10">
        <f t="shared" si="60"/>
        <v>691</v>
      </c>
      <c r="AF86" s="10">
        <f t="shared" si="60"/>
        <v>685</v>
      </c>
      <c r="AG86" s="10">
        <f t="shared" si="60"/>
        <v>679</v>
      </c>
      <c r="AH86" s="10">
        <f t="shared" si="60"/>
        <v>673</v>
      </c>
      <c r="AI86" s="10">
        <f t="shared" si="60"/>
        <v>667</v>
      </c>
      <c r="AJ86" s="10">
        <f t="shared" si="60"/>
        <v>661</v>
      </c>
      <c r="AK86" s="10">
        <f t="shared" si="60"/>
        <v>655</v>
      </c>
      <c r="AL86" s="10">
        <f t="shared" si="60"/>
        <v>649</v>
      </c>
      <c r="AM86" s="10">
        <f t="shared" si="60"/>
        <v>643</v>
      </c>
      <c r="AN86" s="10">
        <f t="shared" si="60"/>
        <v>638</v>
      </c>
      <c r="AO86" s="10">
        <f t="shared" si="60"/>
        <v>633</v>
      </c>
      <c r="AP86" s="10">
        <f t="shared" si="60"/>
        <v>628</v>
      </c>
      <c r="AQ86" s="10">
        <f t="shared" si="60"/>
        <v>622</v>
      </c>
      <c r="AR86" s="10">
        <f t="shared" si="60"/>
        <v>616</v>
      </c>
      <c r="AS86" s="10">
        <f t="shared" si="60"/>
        <v>610</v>
      </c>
      <c r="AT86" s="10">
        <f t="shared" si="60"/>
        <v>604</v>
      </c>
      <c r="AU86" s="10">
        <f t="shared" si="60"/>
        <v>598</v>
      </c>
      <c r="AV86" s="10">
        <f t="shared" si="60"/>
        <v>592</v>
      </c>
      <c r="AW86" s="10">
        <f t="shared" si="60"/>
        <v>586</v>
      </c>
      <c r="AX86" s="10">
        <f t="shared" si="60"/>
        <v>580</v>
      </c>
      <c r="AY86" s="10">
        <f t="shared" si="60"/>
        <v>574</v>
      </c>
      <c r="AZ86" s="10">
        <f t="shared" si="60"/>
        <v>569</v>
      </c>
      <c r="BA86" s="10">
        <f t="shared" si="60"/>
        <v>564</v>
      </c>
      <c r="BB86" s="10">
        <f t="shared" si="60"/>
        <v>559</v>
      </c>
      <c r="BC86" s="10">
        <f t="shared" si="60"/>
        <v>553</v>
      </c>
      <c r="BD86" s="10">
        <f t="shared" si="60"/>
        <v>547</v>
      </c>
      <c r="BE86" s="10">
        <f t="shared" si="60"/>
        <v>541</v>
      </c>
      <c r="BF86" s="10">
        <f t="shared" si="60"/>
        <v>535</v>
      </c>
      <c r="BG86" s="10">
        <f t="shared" si="60"/>
        <v>529</v>
      </c>
      <c r="BH86" s="10">
        <f t="shared" si="60"/>
        <v>523</v>
      </c>
      <c r="BI86" s="10">
        <f t="shared" si="60"/>
        <v>517</v>
      </c>
      <c r="BJ86" s="10">
        <f t="shared" si="60"/>
        <v>511</v>
      </c>
      <c r="BK86" s="67"/>
      <c r="BL86" s="13">
        <f t="shared" ref="BL86:BO90" si="61">V86</f>
        <v>0</v>
      </c>
      <c r="BM86" s="13">
        <f t="shared" si="61"/>
        <v>712</v>
      </c>
      <c r="BN86" s="13">
        <f t="shared" si="61"/>
        <v>643</v>
      </c>
      <c r="BO86" s="13">
        <f t="shared" si="61"/>
        <v>574</v>
      </c>
      <c r="BP86" s="10">
        <f t="shared" ref="BP86:BW86" si="62">BO90</f>
        <v>505</v>
      </c>
      <c r="BQ86" s="10">
        <f t="shared" si="62"/>
        <v>505</v>
      </c>
      <c r="BR86" s="10">
        <f t="shared" si="62"/>
        <v>505</v>
      </c>
      <c r="BS86" s="10">
        <f t="shared" si="62"/>
        <v>505</v>
      </c>
      <c r="BT86" s="10">
        <f t="shared" si="62"/>
        <v>505</v>
      </c>
      <c r="BU86" s="10">
        <f t="shared" si="62"/>
        <v>505</v>
      </c>
      <c r="BV86" s="10">
        <f t="shared" si="62"/>
        <v>505</v>
      </c>
      <c r="BW86" s="10">
        <f t="shared" si="62"/>
        <v>505</v>
      </c>
      <c r="BX86" s="67"/>
      <c r="BY86" s="12"/>
      <c r="CA86" s="12"/>
      <c r="CG86" s="67"/>
      <c r="CH86" s="67"/>
      <c r="CI86" s="67"/>
      <c r="CK86" s="67"/>
      <c r="CL86" s="67"/>
      <c r="CR86" s="12"/>
      <c r="CS86" s="93">
        <f t="shared" si="15"/>
        <v>0</v>
      </c>
      <c r="CT86" s="93">
        <v>1</v>
      </c>
      <c r="CU86" s="93">
        <v>0</v>
      </c>
      <c r="EX86" s="13" t="str">
        <f>IF(C86="", "", CONCATENATE(D85, " ",D86))</f>
        <v>Loan 3 Opening Loan Balance</v>
      </c>
    </row>
    <row r="87" spans="1:154" s="5" customFormat="1" x14ac:dyDescent="0.25">
      <c r="A87" s="362" cm="1">
        <f t="array" aca="1" ref="A87" ca="1">HYPERLINK(CONCATENATE("#",CELL("address",IF(SUM($CA87:$CR87)=0,A87,INDEX($CA87:$CR87,MATCH(1,$CA87:$CR87,0))))),SUM($CA87:$CR87))</f>
        <v>0</v>
      </c>
      <c r="B87" s="67"/>
      <c r="C87" s="340" t="s">
        <v>1271</v>
      </c>
      <c r="D87" s="51" t="s">
        <v>219</v>
      </c>
      <c r="E87" s="1"/>
      <c r="F87" s="67"/>
      <c r="G87" s="9" t="s">
        <v>413</v>
      </c>
      <c r="H87" s="50" t="s">
        <v>125</v>
      </c>
      <c r="I87" s="67"/>
      <c r="J87" s="67"/>
      <c r="K87" s="67"/>
      <c r="L87" s="67"/>
      <c r="M87" s="67"/>
      <c r="N87" s="67"/>
      <c r="O87" s="67"/>
      <c r="P87" s="67"/>
      <c r="Q87" s="67"/>
      <c r="R87" s="67"/>
      <c r="S87" s="335"/>
      <c r="T87" s="25"/>
      <c r="U87" s="25"/>
      <c r="V87" s="210"/>
      <c r="W87" s="215">
        <f t="shared" ref="W87:Y89" si="63" xml:space="preserve"> SUMIFS($AA87:$BJ87, $AA$3:$BJ$3, W$3)</f>
        <v>0</v>
      </c>
      <c r="X87" s="215">
        <f t="shared" si="63"/>
        <v>0</v>
      </c>
      <c r="Y87" s="215">
        <f t="shared" si="63"/>
        <v>0</v>
      </c>
      <c r="Z87" s="6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67"/>
      <c r="BL87" s="13">
        <f t="shared" si="61"/>
        <v>0</v>
      </c>
      <c r="BM87" s="13">
        <f t="shared" si="61"/>
        <v>0</v>
      </c>
      <c r="BN87" s="13">
        <f t="shared" si="61"/>
        <v>0</v>
      </c>
      <c r="BO87" s="13">
        <f t="shared" si="61"/>
        <v>0</v>
      </c>
      <c r="BP87" s="141"/>
      <c r="BQ87" s="141"/>
      <c r="BR87" s="141"/>
      <c r="BS87" s="141"/>
      <c r="BT87" s="141"/>
      <c r="BU87" s="141"/>
      <c r="BV87" s="141"/>
      <c r="BW87" s="141"/>
      <c r="BX87" s="67"/>
      <c r="BY87" s="12"/>
      <c r="BZ87" s="395">
        <f>IF(MIN($V87:$BW87)&lt;0, 1, 0)</f>
        <v>0</v>
      </c>
      <c r="CA87" s="12"/>
      <c r="CB87" s="335"/>
      <c r="CC87" s="335"/>
      <c r="CD87" s="335"/>
      <c r="CE87" s="335"/>
      <c r="CF87" s="67"/>
      <c r="CG87" s="67"/>
      <c r="CH87" s="67"/>
      <c r="CI87" s="67"/>
      <c r="CJ87" s="67"/>
      <c r="CK87" s="67"/>
      <c r="CL87" s="67"/>
      <c r="CM87" s="7">
        <f t="shared" ref="CM87:CO89" si="64">IF(ROUND(W87-SUMIFS($AA87:$BJ87, $AA$3:$BJ$3, W$3), rounding)=0, 0, 1)</f>
        <v>0</v>
      </c>
      <c r="CN87" s="7">
        <f t="shared" si="64"/>
        <v>0</v>
      </c>
      <c r="CO87" s="7">
        <f t="shared" si="64"/>
        <v>0</v>
      </c>
      <c r="CP87" s="7">
        <f>IF(ROUND(V87-BL87, rounding)=0, 0, 1)*'BS Forecasts'!$V$10</f>
        <v>0</v>
      </c>
      <c r="CQ87" s="67"/>
      <c r="CR87" s="12"/>
      <c r="CS87" s="93">
        <f t="shared" si="15"/>
        <v>0</v>
      </c>
      <c r="CT87" s="93">
        <v>1</v>
      </c>
      <c r="CU87" s="93">
        <v>1</v>
      </c>
      <c r="EX87" s="13" t="str">
        <f>IF(C87="", "", CONCATENATE(D85, " ",D87))</f>
        <v>Loan 3 Drawdowns</v>
      </c>
    </row>
    <row r="88" spans="1:154" x14ac:dyDescent="0.25">
      <c r="A88" s="362" cm="1">
        <f t="array" aca="1" ref="A88" ca="1">HYPERLINK(CONCATENATE("#",CELL("address",IF(SUM($CA88:$CR88)=0,A88,INDEX($CA88:$CR88,MATCH(1,$CA88:$CR88,0))))),SUM($CA88:$CR88))</f>
        <v>0</v>
      </c>
      <c r="B88" s="67"/>
      <c r="C88" s="340" t="s">
        <v>1272</v>
      </c>
      <c r="D88" s="41" t="s">
        <v>1570</v>
      </c>
      <c r="F88" s="67"/>
      <c r="G88" s="9" t="s">
        <v>413</v>
      </c>
      <c r="H88" s="50" t="s">
        <v>157</v>
      </c>
      <c r="I88" s="67"/>
      <c r="J88" s="67"/>
      <c r="K88" s="67"/>
      <c r="L88" s="67"/>
      <c r="M88" s="67"/>
      <c r="N88" s="67"/>
      <c r="O88" s="67"/>
      <c r="P88" s="67"/>
      <c r="Q88" s="67"/>
      <c r="R88" s="67"/>
      <c r="S88" s="335"/>
      <c r="T88" s="25"/>
      <c r="U88" s="25"/>
      <c r="V88" s="210"/>
      <c r="W88" s="215">
        <f t="shared" si="63"/>
        <v>-69</v>
      </c>
      <c r="X88" s="215">
        <f t="shared" si="63"/>
        <v>-69</v>
      </c>
      <c r="Y88" s="215">
        <f t="shared" si="63"/>
        <v>-69</v>
      </c>
      <c r="Z88" s="67"/>
      <c r="AA88" s="147">
        <v>-5</v>
      </c>
      <c r="AB88" s="147">
        <v>-5</v>
      </c>
      <c r="AC88" s="147">
        <v>-5</v>
      </c>
      <c r="AD88" s="147">
        <v>-6</v>
      </c>
      <c r="AE88" s="147">
        <v>-6</v>
      </c>
      <c r="AF88" s="147">
        <v>-6</v>
      </c>
      <c r="AG88" s="147">
        <v>-6</v>
      </c>
      <c r="AH88" s="147">
        <v>-6</v>
      </c>
      <c r="AI88" s="147">
        <v>-6</v>
      </c>
      <c r="AJ88" s="147">
        <v>-6</v>
      </c>
      <c r="AK88" s="147">
        <v>-6</v>
      </c>
      <c r="AL88" s="147">
        <v>-6</v>
      </c>
      <c r="AM88" s="147">
        <v>-5</v>
      </c>
      <c r="AN88" s="147">
        <v>-5</v>
      </c>
      <c r="AO88" s="147">
        <v>-5</v>
      </c>
      <c r="AP88" s="147">
        <v>-6</v>
      </c>
      <c r="AQ88" s="147">
        <v>-6</v>
      </c>
      <c r="AR88" s="147">
        <v>-6</v>
      </c>
      <c r="AS88" s="147">
        <v>-6</v>
      </c>
      <c r="AT88" s="147">
        <v>-6</v>
      </c>
      <c r="AU88" s="147">
        <v>-6</v>
      </c>
      <c r="AV88" s="147">
        <v>-6</v>
      </c>
      <c r="AW88" s="147">
        <v>-6</v>
      </c>
      <c r="AX88" s="147">
        <v>-6</v>
      </c>
      <c r="AY88" s="147">
        <v>-5</v>
      </c>
      <c r="AZ88" s="147">
        <v>-5</v>
      </c>
      <c r="BA88" s="147">
        <v>-5</v>
      </c>
      <c r="BB88" s="147">
        <v>-6</v>
      </c>
      <c r="BC88" s="147">
        <v>-6</v>
      </c>
      <c r="BD88" s="147">
        <v>-6</v>
      </c>
      <c r="BE88" s="147">
        <v>-6</v>
      </c>
      <c r="BF88" s="147">
        <v>-6</v>
      </c>
      <c r="BG88" s="147">
        <v>-6</v>
      </c>
      <c r="BH88" s="147">
        <v>-6</v>
      </c>
      <c r="BI88" s="147">
        <v>-6</v>
      </c>
      <c r="BJ88" s="147">
        <v>-6</v>
      </c>
      <c r="BK88" s="67"/>
      <c r="BL88" s="13">
        <f t="shared" si="61"/>
        <v>0</v>
      </c>
      <c r="BM88" s="13">
        <f t="shared" si="61"/>
        <v>-69</v>
      </c>
      <c r="BN88" s="13">
        <f t="shared" si="61"/>
        <v>-69</v>
      </c>
      <c r="BO88" s="13">
        <f t="shared" si="61"/>
        <v>-69</v>
      </c>
      <c r="BP88" s="141"/>
      <c r="BQ88" s="141"/>
      <c r="BR88" s="141"/>
      <c r="BS88" s="141"/>
      <c r="BT88" s="141"/>
      <c r="BU88" s="141"/>
      <c r="BV88" s="141"/>
      <c r="BW88" s="141"/>
      <c r="BX88" s="67"/>
      <c r="BY88" s="12"/>
      <c r="BZ88" s="395">
        <f>IF(MAX($V88:$BW88)&gt;0, 1, 0)</f>
        <v>0</v>
      </c>
      <c r="CA88" s="12"/>
      <c r="CG88" s="67"/>
      <c r="CH88" s="67"/>
      <c r="CI88" s="67"/>
      <c r="CK88" s="67"/>
      <c r="CL88" s="67"/>
      <c r="CM88" s="7">
        <f t="shared" si="64"/>
        <v>0</v>
      </c>
      <c r="CN88" s="7">
        <f t="shared" si="64"/>
        <v>0</v>
      </c>
      <c r="CO88" s="7">
        <f t="shared" si="64"/>
        <v>0</v>
      </c>
      <c r="CP88" s="7">
        <f>IF(ROUND(V88-BL88, rounding)=0, 0, 1)*'BS Forecasts'!$V$10</f>
        <v>0</v>
      </c>
      <c r="CR88" s="12"/>
      <c r="CS88" s="93">
        <f t="shared" si="15"/>
        <v>0</v>
      </c>
      <c r="CT88" s="93">
        <v>1</v>
      </c>
      <c r="CU88" s="93">
        <v>1</v>
      </c>
      <c r="EX88" s="13" t="str">
        <f>IF(C88="", "", CONCATENATE(D85, " ",D88))</f>
        <v>Loan 3 Loan Capital Repayment (as per loan agreement)</v>
      </c>
    </row>
    <row r="89" spans="1:154" s="335" customFormat="1" x14ac:dyDescent="0.25">
      <c r="A89" s="362" cm="1">
        <f t="array" aca="1" ref="A89" ca="1">HYPERLINK(CONCATENATE("#",CELL("address",IF(SUM($CA89:$CR89)=0,A89,INDEX($CA89:$CR89,MATCH(1,$CA89:$CR89,0))))),SUM($CA89:$CR89))</f>
        <v>0</v>
      </c>
      <c r="C89" s="340" t="s">
        <v>1590</v>
      </c>
      <c r="D89" s="41" t="s">
        <v>1571</v>
      </c>
      <c r="E89" s="1"/>
      <c r="G89" s="9" t="s">
        <v>413</v>
      </c>
      <c r="H89" s="50" t="s">
        <v>157</v>
      </c>
      <c r="T89" s="25"/>
      <c r="U89" s="25"/>
      <c r="V89" s="210"/>
      <c r="W89" s="215">
        <f t="shared" si="63"/>
        <v>0</v>
      </c>
      <c r="X89" s="215">
        <f t="shared" si="63"/>
        <v>0</v>
      </c>
      <c r="Y89" s="215">
        <f t="shared" si="63"/>
        <v>0</v>
      </c>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c r="BI89" s="147"/>
      <c r="BJ89" s="147"/>
      <c r="BL89" s="13">
        <f t="shared" si="61"/>
        <v>0</v>
      </c>
      <c r="BM89" s="13">
        <f t="shared" si="61"/>
        <v>0</v>
      </c>
      <c r="BN89" s="13">
        <f t="shared" si="61"/>
        <v>0</v>
      </c>
      <c r="BO89" s="13">
        <f t="shared" si="61"/>
        <v>0</v>
      </c>
      <c r="BP89" s="141"/>
      <c r="BQ89" s="141"/>
      <c r="BR89" s="141"/>
      <c r="BS89" s="141"/>
      <c r="BT89" s="141"/>
      <c r="BU89" s="141"/>
      <c r="BV89" s="141"/>
      <c r="BW89" s="141"/>
      <c r="BY89" s="12"/>
      <c r="BZ89" s="395">
        <f>IF(MAX($V89:$BW89)&gt;0, 1, 0)</f>
        <v>0</v>
      </c>
      <c r="CA89" s="12"/>
      <c r="CM89" s="7">
        <f t="shared" si="64"/>
        <v>0</v>
      </c>
      <c r="CN89" s="7">
        <f t="shared" si="64"/>
        <v>0</v>
      </c>
      <c r="CO89" s="7">
        <f t="shared" si="64"/>
        <v>0</v>
      </c>
      <c r="CP89" s="7">
        <f>IF(ROUND(V89-BL89, rounding)=0, 0, 1)*'BS Forecasts'!$V$10</f>
        <v>0</v>
      </c>
      <c r="CR89" s="12"/>
      <c r="CS89" s="93">
        <f t="shared" si="15"/>
        <v>0</v>
      </c>
      <c r="CT89" s="93">
        <v>1</v>
      </c>
      <c r="CU89" s="93">
        <v>1</v>
      </c>
      <c r="EX89" s="13" t="str">
        <f>IF(C89="", "", CONCATENATE(D85, " ",D89))</f>
        <v xml:space="preserve">Loan 3 Early Repayment </v>
      </c>
    </row>
    <row r="90" spans="1:154" x14ac:dyDescent="0.25">
      <c r="A90" s="67"/>
      <c r="B90" s="67"/>
      <c r="C90" s="340" t="s">
        <v>1355</v>
      </c>
      <c r="D90" s="51" t="s">
        <v>231</v>
      </c>
      <c r="F90" s="67"/>
      <c r="G90" s="9" t="s">
        <v>413</v>
      </c>
      <c r="H90" s="50" t="s">
        <v>8</v>
      </c>
      <c r="I90" s="67"/>
      <c r="J90" s="67"/>
      <c r="K90" s="67"/>
      <c r="L90" s="67"/>
      <c r="M90" s="67"/>
      <c r="N90" s="67"/>
      <c r="O90" s="67"/>
      <c r="P90" s="67"/>
      <c r="Q90" s="67"/>
      <c r="R90" s="67"/>
      <c r="S90" s="335"/>
      <c r="T90" s="25"/>
      <c r="U90" s="25"/>
      <c r="V90" s="13">
        <f>$G$15</f>
        <v>712</v>
      </c>
      <c r="W90" s="10">
        <f>SUM(W86:W89)</f>
        <v>643</v>
      </c>
      <c r="X90" s="10">
        <f t="shared" ref="X90:BJ90" si="65">SUM(X86:X89)</f>
        <v>574</v>
      </c>
      <c r="Y90" s="10">
        <f t="shared" si="65"/>
        <v>505</v>
      </c>
      <c r="Z90" s="335"/>
      <c r="AA90" s="10">
        <f t="shared" si="65"/>
        <v>707</v>
      </c>
      <c r="AB90" s="10">
        <f t="shared" si="65"/>
        <v>702</v>
      </c>
      <c r="AC90" s="10">
        <f t="shared" si="65"/>
        <v>697</v>
      </c>
      <c r="AD90" s="10">
        <f t="shared" si="65"/>
        <v>691</v>
      </c>
      <c r="AE90" s="10">
        <f t="shared" si="65"/>
        <v>685</v>
      </c>
      <c r="AF90" s="10">
        <f t="shared" si="65"/>
        <v>679</v>
      </c>
      <c r="AG90" s="10">
        <f t="shared" si="65"/>
        <v>673</v>
      </c>
      <c r="AH90" s="10">
        <f t="shared" si="65"/>
        <v>667</v>
      </c>
      <c r="AI90" s="10">
        <f t="shared" si="65"/>
        <v>661</v>
      </c>
      <c r="AJ90" s="10">
        <f t="shared" si="65"/>
        <v>655</v>
      </c>
      <c r="AK90" s="10">
        <f t="shared" si="65"/>
        <v>649</v>
      </c>
      <c r="AL90" s="10">
        <f t="shared" si="65"/>
        <v>643</v>
      </c>
      <c r="AM90" s="10">
        <f t="shared" si="65"/>
        <v>638</v>
      </c>
      <c r="AN90" s="10">
        <f t="shared" si="65"/>
        <v>633</v>
      </c>
      <c r="AO90" s="10">
        <f t="shared" si="65"/>
        <v>628</v>
      </c>
      <c r="AP90" s="10">
        <f t="shared" si="65"/>
        <v>622</v>
      </c>
      <c r="AQ90" s="10">
        <f t="shared" si="65"/>
        <v>616</v>
      </c>
      <c r="AR90" s="10">
        <f t="shared" si="65"/>
        <v>610</v>
      </c>
      <c r="AS90" s="10">
        <f t="shared" si="65"/>
        <v>604</v>
      </c>
      <c r="AT90" s="10">
        <f t="shared" si="65"/>
        <v>598</v>
      </c>
      <c r="AU90" s="10">
        <f t="shared" si="65"/>
        <v>592</v>
      </c>
      <c r="AV90" s="10">
        <f t="shared" si="65"/>
        <v>586</v>
      </c>
      <c r="AW90" s="10">
        <f t="shared" si="65"/>
        <v>580</v>
      </c>
      <c r="AX90" s="10">
        <f t="shared" si="65"/>
        <v>574</v>
      </c>
      <c r="AY90" s="10">
        <f t="shared" si="65"/>
        <v>569</v>
      </c>
      <c r="AZ90" s="10">
        <f t="shared" si="65"/>
        <v>564</v>
      </c>
      <c r="BA90" s="10">
        <f t="shared" si="65"/>
        <v>559</v>
      </c>
      <c r="BB90" s="10">
        <f t="shared" si="65"/>
        <v>553</v>
      </c>
      <c r="BC90" s="10">
        <f t="shared" si="65"/>
        <v>547</v>
      </c>
      <c r="BD90" s="10">
        <f t="shared" si="65"/>
        <v>541</v>
      </c>
      <c r="BE90" s="10">
        <f t="shared" si="65"/>
        <v>535</v>
      </c>
      <c r="BF90" s="10">
        <f t="shared" si="65"/>
        <v>529</v>
      </c>
      <c r="BG90" s="10">
        <f t="shared" si="65"/>
        <v>523</v>
      </c>
      <c r="BH90" s="10">
        <f t="shared" si="65"/>
        <v>517</v>
      </c>
      <c r="BI90" s="10">
        <f t="shared" si="65"/>
        <v>511</v>
      </c>
      <c r="BJ90" s="10">
        <f t="shared" si="65"/>
        <v>505</v>
      </c>
      <c r="BK90" s="67"/>
      <c r="BL90" s="152">
        <f t="shared" si="61"/>
        <v>712</v>
      </c>
      <c r="BM90" s="152">
        <f t="shared" si="61"/>
        <v>643</v>
      </c>
      <c r="BN90" s="152">
        <f t="shared" si="61"/>
        <v>574</v>
      </c>
      <c r="BO90" s="152">
        <f t="shared" si="61"/>
        <v>505</v>
      </c>
      <c r="BP90" s="10">
        <f t="shared" ref="BP90" si="66">SUM(BP86:BP89)</f>
        <v>505</v>
      </c>
      <c r="BQ90" s="10">
        <f t="shared" ref="BQ90" si="67">SUM(BQ86:BQ89)</f>
        <v>505</v>
      </c>
      <c r="BR90" s="10">
        <f t="shared" ref="BR90" si="68">SUM(BR86:BR89)</f>
        <v>505</v>
      </c>
      <c r="BS90" s="10">
        <f t="shared" ref="BS90" si="69">SUM(BS86:BS89)</f>
        <v>505</v>
      </c>
      <c r="BT90" s="10">
        <f t="shared" ref="BT90" si="70">SUM(BT86:BT89)</f>
        <v>505</v>
      </c>
      <c r="BU90" s="10">
        <f t="shared" ref="BU90" si="71">SUM(BU86:BU89)</f>
        <v>505</v>
      </c>
      <c r="BV90" s="10">
        <f t="shared" ref="BV90" si="72">SUM(BV86:BV89)</f>
        <v>505</v>
      </c>
      <c r="BW90" s="10">
        <f t="shared" ref="BW90" si="73">SUM(BW86:BW89)</f>
        <v>505</v>
      </c>
      <c r="BX90" s="67"/>
      <c r="BY90" s="12"/>
      <c r="CA90" s="12"/>
      <c r="CG90" s="67"/>
      <c r="CH90" s="67"/>
      <c r="CI90" s="67"/>
      <c r="CK90" s="67"/>
      <c r="CL90" s="67"/>
      <c r="CR90" s="12"/>
      <c r="CS90" s="93">
        <f t="shared" si="15"/>
        <v>0</v>
      </c>
      <c r="CT90" s="93">
        <v>0</v>
      </c>
      <c r="CU90" s="93">
        <v>0</v>
      </c>
      <c r="EX90" s="13" t="str">
        <f>IF(C90="", "", CONCATENATE(D85, " ",D90))</f>
        <v>Loan 3 Closing Loan Balance</v>
      </c>
    </row>
    <row r="91" spans="1:154" ht="6.6" customHeight="1" x14ac:dyDescent="0.25">
      <c r="A91" s="67"/>
      <c r="B91" s="67"/>
      <c r="C91" s="380"/>
      <c r="D91" s="1"/>
      <c r="E91" s="67"/>
      <c r="F91" s="67"/>
      <c r="G91" s="67"/>
      <c r="H91" s="67"/>
      <c r="I91" s="67"/>
      <c r="J91" s="67"/>
      <c r="K91" s="67"/>
      <c r="L91" s="67"/>
      <c r="M91" s="67"/>
      <c r="N91" s="67"/>
      <c r="O91" s="67"/>
      <c r="P91" s="67"/>
      <c r="Q91" s="67"/>
      <c r="R91" s="67"/>
      <c r="S91" s="335"/>
      <c r="T91" s="25"/>
      <c r="U91" s="25"/>
      <c r="V91" s="93"/>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
      <c r="BN91" s="67"/>
      <c r="BO91" s="67"/>
      <c r="BP91" s="67"/>
      <c r="BQ91" s="67"/>
      <c r="BR91" s="67"/>
      <c r="BS91" s="67"/>
      <c r="BT91" s="67"/>
      <c r="BU91" s="67"/>
      <c r="BV91" s="67"/>
      <c r="BW91" s="67"/>
      <c r="BX91" s="67"/>
      <c r="BY91" s="42"/>
      <c r="CA91" s="42"/>
      <c r="CG91" s="67"/>
      <c r="CH91" s="67"/>
      <c r="CI91" s="67"/>
      <c r="CK91" s="67"/>
      <c r="CL91" s="67"/>
      <c r="CR91" s="42"/>
      <c r="CS91" s="93">
        <f t="shared" si="15"/>
        <v>0</v>
      </c>
      <c r="CT91" s="93">
        <v>0</v>
      </c>
      <c r="CU91" s="93">
        <v>0</v>
      </c>
      <c r="EX91" s="13" t="str">
        <f>IF(C91="", "", CONCATENATE(D85, " ",D91))</f>
        <v/>
      </c>
    </row>
    <row r="92" spans="1:154" x14ac:dyDescent="0.25">
      <c r="A92" s="362" cm="1">
        <f t="array" aca="1" ref="A92" ca="1">HYPERLINK(CONCATENATE("#",CELL("address",IF(SUM($CA92:$CR92)=0,A92,INDEX($CA92:$CR92,MATCH(1,$CA92:$CR92,0))))),SUM($CA92:$CR92))</f>
        <v>0</v>
      </c>
      <c r="B92" s="67"/>
      <c r="C92" s="380"/>
      <c r="D92" s="51" t="s">
        <v>526</v>
      </c>
      <c r="E92" s="160" t="s">
        <v>523</v>
      </c>
      <c r="F92" s="10">
        <f>$F$15</f>
        <v>1250</v>
      </c>
      <c r="G92" s="67"/>
      <c r="H92" s="67"/>
      <c r="I92" s="67"/>
      <c r="J92" s="67"/>
      <c r="K92" s="67"/>
      <c r="L92" s="67"/>
      <c r="M92" s="67"/>
      <c r="N92" s="67"/>
      <c r="O92" s="67"/>
      <c r="P92" s="67"/>
      <c r="Q92" s="67"/>
      <c r="R92" s="67"/>
      <c r="S92" s="335"/>
      <c r="T92" s="25"/>
      <c r="U92" s="25"/>
      <c r="V92" s="188">
        <f>IF(OR(V90&gt;$F92, V90&lt;0), 1, 0)</f>
        <v>0</v>
      </c>
      <c r="W92" s="7">
        <f>IF(OR(W90&gt;$F92, W90&lt;0), 1, 0)</f>
        <v>0</v>
      </c>
      <c r="X92" s="7">
        <f>IF(OR(X90&gt;$F92, X90&lt;0), 1, 0)</f>
        <v>0</v>
      </c>
      <c r="Y92" s="7">
        <f>IF(OR(Y90&gt;$F92, Y90&lt;0), 1, 0)</f>
        <v>0</v>
      </c>
      <c r="Z92" s="67"/>
      <c r="AA92" s="7">
        <f t="shared" ref="AA92:BJ92" si="74">IF(OR(AA90&gt;$F92, AA90&lt;0), 1, 0)</f>
        <v>0</v>
      </c>
      <c r="AB92" s="7">
        <f t="shared" si="74"/>
        <v>0</v>
      </c>
      <c r="AC92" s="7">
        <f t="shared" si="74"/>
        <v>0</v>
      </c>
      <c r="AD92" s="7">
        <f t="shared" si="74"/>
        <v>0</v>
      </c>
      <c r="AE92" s="7">
        <f t="shared" si="74"/>
        <v>0</v>
      </c>
      <c r="AF92" s="7">
        <f t="shared" si="74"/>
        <v>0</v>
      </c>
      <c r="AG92" s="7">
        <f t="shared" si="74"/>
        <v>0</v>
      </c>
      <c r="AH92" s="7">
        <f t="shared" si="74"/>
        <v>0</v>
      </c>
      <c r="AI92" s="7">
        <f t="shared" si="74"/>
        <v>0</v>
      </c>
      <c r="AJ92" s="7">
        <f t="shared" si="74"/>
        <v>0</v>
      </c>
      <c r="AK92" s="7">
        <f t="shared" si="74"/>
        <v>0</v>
      </c>
      <c r="AL92" s="7">
        <f t="shared" si="74"/>
        <v>0</v>
      </c>
      <c r="AM92" s="7">
        <f t="shared" si="74"/>
        <v>0</v>
      </c>
      <c r="AN92" s="7">
        <f t="shared" si="74"/>
        <v>0</v>
      </c>
      <c r="AO92" s="7">
        <f t="shared" si="74"/>
        <v>0</v>
      </c>
      <c r="AP92" s="7">
        <f t="shared" si="74"/>
        <v>0</v>
      </c>
      <c r="AQ92" s="7">
        <f t="shared" si="74"/>
        <v>0</v>
      </c>
      <c r="AR92" s="7">
        <f t="shared" si="74"/>
        <v>0</v>
      </c>
      <c r="AS92" s="7">
        <f t="shared" si="74"/>
        <v>0</v>
      </c>
      <c r="AT92" s="7">
        <f t="shared" si="74"/>
        <v>0</v>
      </c>
      <c r="AU92" s="7">
        <f t="shared" si="74"/>
        <v>0</v>
      </c>
      <c r="AV92" s="7">
        <f t="shared" si="74"/>
        <v>0</v>
      </c>
      <c r="AW92" s="7">
        <f t="shared" si="74"/>
        <v>0</v>
      </c>
      <c r="AX92" s="7">
        <f t="shared" si="74"/>
        <v>0</v>
      </c>
      <c r="AY92" s="7">
        <f t="shared" si="74"/>
        <v>0</v>
      </c>
      <c r="AZ92" s="7">
        <f t="shared" si="74"/>
        <v>0</v>
      </c>
      <c r="BA92" s="7">
        <f t="shared" si="74"/>
        <v>0</v>
      </c>
      <c r="BB92" s="7">
        <f t="shared" si="74"/>
        <v>0</v>
      </c>
      <c r="BC92" s="7">
        <f t="shared" si="74"/>
        <v>0</v>
      </c>
      <c r="BD92" s="7">
        <f t="shared" si="74"/>
        <v>0</v>
      </c>
      <c r="BE92" s="7">
        <f t="shared" si="74"/>
        <v>0</v>
      </c>
      <c r="BF92" s="7">
        <f t="shared" si="74"/>
        <v>0</v>
      </c>
      <c r="BG92" s="7">
        <f t="shared" si="74"/>
        <v>0</v>
      </c>
      <c r="BH92" s="7">
        <f t="shared" si="74"/>
        <v>0</v>
      </c>
      <c r="BI92" s="7">
        <f t="shared" si="74"/>
        <v>0</v>
      </c>
      <c r="BJ92" s="7">
        <f t="shared" si="74"/>
        <v>0</v>
      </c>
      <c r="BK92" s="67"/>
      <c r="BL92" s="7">
        <f t="shared" ref="BL92" si="75">IF(OR(BL90&gt;$F92, BL90&lt;0), 1, 0)</f>
        <v>0</v>
      </c>
      <c r="BM92" s="7">
        <f t="shared" ref="BM92:BW92" si="76">IF(OR(BM90&gt;$F92, BM90&lt;0), 1, 0)</f>
        <v>0</v>
      </c>
      <c r="BN92" s="7">
        <f t="shared" si="76"/>
        <v>0</v>
      </c>
      <c r="BO92" s="7">
        <f t="shared" si="76"/>
        <v>0</v>
      </c>
      <c r="BP92" s="7">
        <f t="shared" si="76"/>
        <v>0</v>
      </c>
      <c r="BQ92" s="7">
        <f t="shared" si="76"/>
        <v>0</v>
      </c>
      <c r="BR92" s="7">
        <f t="shared" si="76"/>
        <v>0</v>
      </c>
      <c r="BS92" s="7">
        <f t="shared" si="76"/>
        <v>0</v>
      </c>
      <c r="BT92" s="7">
        <f t="shared" si="76"/>
        <v>0</v>
      </c>
      <c r="BU92" s="7">
        <f t="shared" si="76"/>
        <v>0</v>
      </c>
      <c r="BV92" s="7">
        <f t="shared" si="76"/>
        <v>0</v>
      </c>
      <c r="BW92" s="7">
        <f t="shared" si="76"/>
        <v>0</v>
      </c>
      <c r="BX92" s="67"/>
      <c r="BY92" s="12"/>
      <c r="CA92" s="12"/>
      <c r="CG92" s="67"/>
      <c r="CH92" s="67"/>
      <c r="CI92" s="67"/>
      <c r="CK92" s="67"/>
      <c r="CL92" s="7">
        <f>IF(MAX(V92:BW92)&gt;0, 1, 0)</f>
        <v>0</v>
      </c>
      <c r="CR92" s="12"/>
      <c r="CS92" s="93">
        <f t="shared" si="15"/>
        <v>1</v>
      </c>
      <c r="CT92" s="93">
        <v>0</v>
      </c>
      <c r="CU92" s="93">
        <v>0</v>
      </c>
      <c r="EX92" s="13" t="str">
        <f>IF(C92="", "", CONCATENATE(D85, " ",D92))</f>
        <v/>
      </c>
    </row>
    <row r="93" spans="1:154" x14ac:dyDescent="0.25">
      <c r="A93" s="362" cm="1">
        <f t="array" aca="1" ref="A93" ca="1">HYPERLINK(CONCATENATE("#",CELL("address",IF(SUM($CA93:$CR93)=0,A93,INDEX($CA93:$CR93,MATCH(1,$CA93:$CR93,0))))),SUM($CA93:$CR93))</f>
        <v>0</v>
      </c>
      <c r="B93" s="67"/>
      <c r="C93" s="380"/>
      <c r="D93" s="51" t="s">
        <v>220</v>
      </c>
      <c r="E93" s="160" t="s">
        <v>524</v>
      </c>
      <c r="F93" s="159" t="str">
        <f>IF($J$15="", "", $J$15)</f>
        <v/>
      </c>
      <c r="G93" s="67"/>
      <c r="H93" s="67"/>
      <c r="I93" s="67"/>
      <c r="J93" s="67"/>
      <c r="K93" s="67"/>
      <c r="L93" s="67"/>
      <c r="M93" s="67"/>
      <c r="N93" s="67"/>
      <c r="O93" s="67"/>
      <c r="P93" s="67"/>
      <c r="Q93" s="67"/>
      <c r="R93" s="67"/>
      <c r="S93" s="335"/>
      <c r="T93" s="25"/>
      <c r="U93" s="25"/>
      <c r="V93" s="230">
        <f>IF(AND(V$5&gt;=$F93,SUM(V90:$Y90)&lt;&gt;0),1,0)</f>
        <v>0</v>
      </c>
      <c r="W93" s="230">
        <f>IF(AND(W$5&gt;=$F93,SUM(W90:$Y90)&lt;&gt;0),1,0)</f>
        <v>0</v>
      </c>
      <c r="X93" s="230">
        <f>IF(AND(X$5&gt;=$F93,SUM(X90:$Y90)&lt;&gt;0),1,0)</f>
        <v>0</v>
      </c>
      <c r="Y93" s="230">
        <f>IF(AND(Y$5&gt;=$F93,SUM(Y90:$Y90)&lt;&gt;0),1,0)</f>
        <v>0</v>
      </c>
      <c r="Z93" s="67"/>
      <c r="AA93" s="154">
        <f>IF(AND(AA$5&gt;=$F93,SUM(AA90:$BJ90)&lt;&gt;0),1,0)</f>
        <v>0</v>
      </c>
      <c r="AB93" s="154">
        <f>IF(AND(AB$5&gt;=$F93,SUM(AB90:$BJ90)&lt;&gt;0),1,0)</f>
        <v>0</v>
      </c>
      <c r="AC93" s="154">
        <f>IF(AND(AC$5&gt;=$F93,SUM(AC90:$BJ90)&lt;&gt;0),1,0)</f>
        <v>0</v>
      </c>
      <c r="AD93" s="154">
        <f>IF(AND(AD$5&gt;=$F93,SUM(AD90:$BJ90)&lt;&gt;0),1,0)</f>
        <v>0</v>
      </c>
      <c r="AE93" s="154">
        <f>IF(AND(AE$5&gt;=$F93,SUM(AE90:$BJ90)&lt;&gt;0),1,0)</f>
        <v>0</v>
      </c>
      <c r="AF93" s="154">
        <f>IF(AND(AF$5&gt;=$F93,SUM(AF90:$BJ90)&lt;&gt;0),1,0)</f>
        <v>0</v>
      </c>
      <c r="AG93" s="154">
        <f>IF(AND(AG$5&gt;=$F93,SUM(AG90:$BJ90)&lt;&gt;0),1,0)</f>
        <v>0</v>
      </c>
      <c r="AH93" s="154">
        <f>IF(AND(AH$5&gt;=$F93,SUM(AH90:$BJ90)&lt;&gt;0),1,0)</f>
        <v>0</v>
      </c>
      <c r="AI93" s="154">
        <f>IF(AND(AI$5&gt;=$F93,SUM(AI90:$BJ90)&lt;&gt;0),1,0)</f>
        <v>0</v>
      </c>
      <c r="AJ93" s="154">
        <f>IF(AND(AJ$5&gt;=$F93,SUM(AJ90:$BJ90)&lt;&gt;0),1,0)</f>
        <v>0</v>
      </c>
      <c r="AK93" s="154">
        <f>IF(AND(AK$5&gt;=$F93,SUM(AK90:$BJ90)&lt;&gt;0),1,0)</f>
        <v>0</v>
      </c>
      <c r="AL93" s="154">
        <f>IF(AND(AL$5&gt;=$F93,SUM(AL90:$BJ90)&lt;&gt;0),1,0)</f>
        <v>0</v>
      </c>
      <c r="AM93" s="154">
        <f>IF(AND(AM$5&gt;=$F93,SUM(AM90:$BJ90)&lt;&gt;0),1,0)</f>
        <v>0</v>
      </c>
      <c r="AN93" s="154">
        <f>IF(AND(AN$5&gt;=$F93,SUM(AN90:$BJ90)&lt;&gt;0),1,0)</f>
        <v>0</v>
      </c>
      <c r="AO93" s="154">
        <f>IF(AND(AO$5&gt;=$F93,SUM(AO90:$BJ90)&lt;&gt;0),1,0)</f>
        <v>0</v>
      </c>
      <c r="AP93" s="154">
        <f>IF(AND(AP$5&gt;=$F93,SUM(AP90:$BJ90)&lt;&gt;0),1,0)</f>
        <v>0</v>
      </c>
      <c r="AQ93" s="154">
        <f>IF(AND(AQ$5&gt;=$F93,SUM(AQ90:$BJ90)&lt;&gt;0),1,0)</f>
        <v>0</v>
      </c>
      <c r="AR93" s="154">
        <f>IF(AND(AR$5&gt;=$F93,SUM(AR90:$BJ90)&lt;&gt;0),1,0)</f>
        <v>0</v>
      </c>
      <c r="AS93" s="154">
        <f>IF(AND(AS$5&gt;=$F93,SUM(AS90:$BJ90)&lt;&gt;0),1,0)</f>
        <v>0</v>
      </c>
      <c r="AT93" s="154">
        <f>IF(AND(AT$5&gt;=$F93,SUM(AT90:$BJ90)&lt;&gt;0),1,0)</f>
        <v>0</v>
      </c>
      <c r="AU93" s="154">
        <f>IF(AND(AU$5&gt;=$F93,SUM(AU90:$BJ90)&lt;&gt;0),1,0)</f>
        <v>0</v>
      </c>
      <c r="AV93" s="154">
        <f>IF(AND(AV$5&gt;=$F93,SUM(AV90:$BJ90)&lt;&gt;0),1,0)</f>
        <v>0</v>
      </c>
      <c r="AW93" s="154">
        <f>IF(AND(AW$5&gt;=$F93,SUM(AW90:$BJ90)&lt;&gt;0),1,0)</f>
        <v>0</v>
      </c>
      <c r="AX93" s="154">
        <f>IF(AND(AX$5&gt;=$F93,SUM(AX90:$BJ90)&lt;&gt;0),1,0)</f>
        <v>0</v>
      </c>
      <c r="AY93" s="154">
        <f>IF(AND(AY$5&gt;=$F93,SUM(AY90:$BJ90)&lt;&gt;0),1,0)</f>
        <v>0</v>
      </c>
      <c r="AZ93" s="154">
        <f>IF(AND(AZ$5&gt;=$F93,SUM(AZ90:$BJ90)&lt;&gt;0),1,0)</f>
        <v>0</v>
      </c>
      <c r="BA93" s="154">
        <f>IF(AND(BA$5&gt;=$F93,SUM(BA90:$BJ90)&lt;&gt;0),1,0)</f>
        <v>0</v>
      </c>
      <c r="BB93" s="154">
        <f>IF(AND(BB$5&gt;=$F93,SUM(BB90:$BJ90)&lt;&gt;0),1,0)</f>
        <v>0</v>
      </c>
      <c r="BC93" s="154">
        <f>IF(AND(BC$5&gt;=$F93,SUM(BC90:$BJ90)&lt;&gt;0),1,0)</f>
        <v>0</v>
      </c>
      <c r="BD93" s="154">
        <f>IF(AND(BD$5&gt;=$F93,SUM(BD90:$BJ90)&lt;&gt;0),1,0)</f>
        <v>0</v>
      </c>
      <c r="BE93" s="154">
        <f>IF(AND(BE$5&gt;=$F93,SUM(BE90:$BJ90)&lt;&gt;0),1,0)</f>
        <v>0</v>
      </c>
      <c r="BF93" s="154">
        <f>IF(AND(BF$5&gt;=$F93,SUM(BF90:$BJ90)&lt;&gt;0),1,0)</f>
        <v>0</v>
      </c>
      <c r="BG93" s="154">
        <f>IF(AND(BG$5&gt;=$F93,SUM(BG90:$BJ90)&lt;&gt;0),1,0)</f>
        <v>0</v>
      </c>
      <c r="BH93" s="154">
        <f>IF(AND(BH$5&gt;=$F93,SUM(BH90:$BJ90)&lt;&gt;0),1,0)</f>
        <v>0</v>
      </c>
      <c r="BI93" s="154">
        <f>IF(AND(BI$5&gt;=$F93,SUM(BI90:$BJ90)&lt;&gt;0),1,0)</f>
        <v>0</v>
      </c>
      <c r="BJ93" s="154">
        <f>IF(AND(BJ$5&gt;=$F93,SUM(BJ90:$BJ90)&lt;&gt;0),1,0)</f>
        <v>0</v>
      </c>
      <c r="BK93" s="67"/>
      <c r="BL93" s="154">
        <f>IF(AND(BL$5&gt;=$F93,SUM(BL90:$BW90)&lt;&gt;0),1,0)*BL$1150</f>
        <v>0</v>
      </c>
      <c r="BM93" s="154">
        <f>IF(AND(BM$5&gt;=$F93,SUM(BM90:$BW90)&lt;&gt;0),1,0)*BM$1150</f>
        <v>0</v>
      </c>
      <c r="BN93" s="154">
        <f>IF(AND(BN$5&gt;=$F93,SUM(BN90:$BW90)&lt;&gt;0),1,0)*BN$1150</f>
        <v>0</v>
      </c>
      <c r="BO93" s="154">
        <f>IF(AND(BO$5&gt;=$F93,SUM(BO90:$BW90)&lt;&gt;0),1,0)*BO$1150</f>
        <v>0</v>
      </c>
      <c r="BP93" s="154">
        <f>IF(AND(BP$5&gt;=$F93,SUM(BP90:$BW90)&lt;&gt;0),1,0)*BP$1150</f>
        <v>0</v>
      </c>
      <c r="BQ93" s="154">
        <f>IF(AND(BQ$5&gt;=$F93,SUM(BQ90:$BW90)&lt;&gt;0),1,0)*BQ$1150</f>
        <v>0</v>
      </c>
      <c r="BR93" s="154">
        <f>IF(AND(BR$5&gt;=$F93,SUM(BR90:$BW90)&lt;&gt;0),1,0)*BR$1150</f>
        <v>0</v>
      </c>
      <c r="BS93" s="154">
        <f>IF(AND(BS$5&gt;=$F93,SUM(BS90:$BW90)&lt;&gt;0),1,0)*BS$1150</f>
        <v>0</v>
      </c>
      <c r="BT93" s="154">
        <f>IF(AND(BT$5&gt;=$F93,SUM(BT90:$BW90)&lt;&gt;0),1,0)*BT$1150</f>
        <v>0</v>
      </c>
      <c r="BU93" s="154">
        <f>IF(AND(BU$5&gt;=$F93,SUM(BU90:$BW90)&lt;&gt;0),1,0)*BU$1150</f>
        <v>0</v>
      </c>
      <c r="BV93" s="154">
        <f>IF(AND(BV$5&gt;=$F93,SUM(BV90:$BW90)&lt;&gt;0),1,0)*BV$1150</f>
        <v>0</v>
      </c>
      <c r="BW93" s="154">
        <f>IF(AND(BW$5&gt;=$F93,SUM(BW90:$BW90)&lt;&gt;0),1,0)*BW$1150</f>
        <v>0</v>
      </c>
      <c r="BX93" s="67"/>
      <c r="BY93" s="12"/>
      <c r="CA93" s="12"/>
      <c r="CG93" s="67"/>
      <c r="CH93" s="67"/>
      <c r="CI93" s="67"/>
      <c r="CK93" s="67"/>
      <c r="CL93" s="7">
        <f>IF(MAX($V93:$BW93)&gt;0, 1, 0)</f>
        <v>0</v>
      </c>
      <c r="CR93" s="12"/>
      <c r="CS93" s="93">
        <f t="shared" si="15"/>
        <v>1</v>
      </c>
      <c r="CT93" s="93">
        <v>0</v>
      </c>
      <c r="CU93" s="93">
        <v>0</v>
      </c>
      <c r="EX93" s="13" t="str">
        <f>IF(C93="", "", CONCATENATE(D85, " ",D93))</f>
        <v/>
      </c>
    </row>
    <row r="94" spans="1:154" ht="6.6" customHeight="1" x14ac:dyDescent="0.25">
      <c r="A94" s="67"/>
      <c r="B94" s="67"/>
      <c r="C94" s="380"/>
      <c r="D94" s="1"/>
      <c r="E94" s="67"/>
      <c r="F94" s="67"/>
      <c r="G94" s="67"/>
      <c r="H94" s="67"/>
      <c r="I94" s="67"/>
      <c r="J94" s="67"/>
      <c r="K94" s="67"/>
      <c r="L94" s="67"/>
      <c r="M94" s="67"/>
      <c r="N94" s="67"/>
      <c r="O94" s="67"/>
      <c r="P94" s="67"/>
      <c r="Q94" s="67"/>
      <c r="R94" s="67"/>
      <c r="S94" s="335"/>
      <c r="T94" s="25"/>
      <c r="U94" s="25"/>
      <c r="V94" s="93"/>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
      <c r="BN94" s="67"/>
      <c r="BO94" s="67"/>
      <c r="BP94" s="67"/>
      <c r="BQ94" s="67"/>
      <c r="BR94" s="67"/>
      <c r="BS94" s="67"/>
      <c r="BT94" s="67"/>
      <c r="BU94" s="67"/>
      <c r="BV94" s="67"/>
      <c r="BW94" s="67"/>
      <c r="BX94" s="67"/>
      <c r="BY94" s="42"/>
      <c r="CA94" s="42"/>
      <c r="CG94" s="67"/>
      <c r="CH94" s="67"/>
      <c r="CI94" s="67"/>
      <c r="CK94" s="67"/>
      <c r="CL94" s="67"/>
      <c r="CR94" s="42"/>
      <c r="CS94" s="93">
        <f t="shared" si="15"/>
        <v>0</v>
      </c>
      <c r="CT94" s="93">
        <v>0</v>
      </c>
      <c r="CU94" s="93">
        <v>0</v>
      </c>
      <c r="EX94" s="13" t="str">
        <f>IF(C94="", "", CONCATENATE(D85, " ",D94))</f>
        <v/>
      </c>
    </row>
    <row r="95" spans="1:154" x14ac:dyDescent="0.25">
      <c r="A95" s="67"/>
      <c r="B95" s="67"/>
      <c r="C95" s="380"/>
      <c r="D95" s="51" t="s">
        <v>223</v>
      </c>
      <c r="F95" s="67"/>
      <c r="G95" s="9" t="s">
        <v>413</v>
      </c>
      <c r="H95" s="50" t="s">
        <v>8</v>
      </c>
      <c r="I95" s="67"/>
      <c r="J95" s="67"/>
      <c r="K95" s="67"/>
      <c r="L95" s="67"/>
      <c r="M95" s="67"/>
      <c r="N95" s="67"/>
      <c r="O95" s="67"/>
      <c r="P95" s="67"/>
      <c r="Q95" s="67"/>
      <c r="R95" s="67"/>
      <c r="S95" s="335"/>
      <c r="T95" s="25"/>
      <c r="U95" s="25"/>
      <c r="V95" s="210"/>
      <c r="W95" s="201">
        <f>V98</f>
        <v>0</v>
      </c>
      <c r="X95" s="201">
        <f>W98</f>
        <v>0</v>
      </c>
      <c r="Y95" s="10">
        <f>X98</f>
        <v>0</v>
      </c>
      <c r="Z95" s="67"/>
      <c r="AA95" s="13">
        <f>W95</f>
        <v>0</v>
      </c>
      <c r="AB95" s="10">
        <f t="shared" ref="AB95:BJ95" si="77">AA98</f>
        <v>0</v>
      </c>
      <c r="AC95" s="10">
        <f t="shared" si="77"/>
        <v>0</v>
      </c>
      <c r="AD95" s="10">
        <f t="shared" si="77"/>
        <v>0</v>
      </c>
      <c r="AE95" s="10">
        <f t="shared" si="77"/>
        <v>0</v>
      </c>
      <c r="AF95" s="10">
        <f t="shared" si="77"/>
        <v>0</v>
      </c>
      <c r="AG95" s="10">
        <f t="shared" si="77"/>
        <v>0</v>
      </c>
      <c r="AH95" s="10">
        <f t="shared" si="77"/>
        <v>0</v>
      </c>
      <c r="AI95" s="10">
        <f t="shared" si="77"/>
        <v>0</v>
      </c>
      <c r="AJ95" s="10">
        <f t="shared" si="77"/>
        <v>0</v>
      </c>
      <c r="AK95" s="10">
        <f t="shared" si="77"/>
        <v>0</v>
      </c>
      <c r="AL95" s="10">
        <f t="shared" si="77"/>
        <v>0</v>
      </c>
      <c r="AM95" s="10">
        <f t="shared" si="77"/>
        <v>0</v>
      </c>
      <c r="AN95" s="10">
        <f t="shared" si="77"/>
        <v>0</v>
      </c>
      <c r="AO95" s="10">
        <f t="shared" si="77"/>
        <v>0</v>
      </c>
      <c r="AP95" s="10">
        <f t="shared" si="77"/>
        <v>0</v>
      </c>
      <c r="AQ95" s="10">
        <f t="shared" si="77"/>
        <v>0</v>
      </c>
      <c r="AR95" s="10">
        <f t="shared" si="77"/>
        <v>0</v>
      </c>
      <c r="AS95" s="10">
        <f t="shared" si="77"/>
        <v>0</v>
      </c>
      <c r="AT95" s="10">
        <f t="shared" si="77"/>
        <v>0</v>
      </c>
      <c r="AU95" s="10">
        <f t="shared" si="77"/>
        <v>0</v>
      </c>
      <c r="AV95" s="10">
        <f t="shared" si="77"/>
        <v>0</v>
      </c>
      <c r="AW95" s="10">
        <f t="shared" si="77"/>
        <v>0</v>
      </c>
      <c r="AX95" s="10">
        <f t="shared" si="77"/>
        <v>0</v>
      </c>
      <c r="AY95" s="10">
        <f t="shared" si="77"/>
        <v>0</v>
      </c>
      <c r="AZ95" s="10">
        <f t="shared" si="77"/>
        <v>0</v>
      </c>
      <c r="BA95" s="10">
        <f t="shared" si="77"/>
        <v>0</v>
      </c>
      <c r="BB95" s="10">
        <f t="shared" si="77"/>
        <v>0</v>
      </c>
      <c r="BC95" s="10">
        <f t="shared" si="77"/>
        <v>0</v>
      </c>
      <c r="BD95" s="10">
        <f t="shared" si="77"/>
        <v>0</v>
      </c>
      <c r="BE95" s="10">
        <f t="shared" si="77"/>
        <v>0</v>
      </c>
      <c r="BF95" s="10">
        <f t="shared" si="77"/>
        <v>0</v>
      </c>
      <c r="BG95" s="10">
        <f t="shared" si="77"/>
        <v>0</v>
      </c>
      <c r="BH95" s="10">
        <f t="shared" si="77"/>
        <v>0</v>
      </c>
      <c r="BI95" s="10">
        <f t="shared" si="77"/>
        <v>0</v>
      </c>
      <c r="BJ95" s="10">
        <f t="shared" si="77"/>
        <v>0</v>
      </c>
      <c r="BK95" s="67"/>
      <c r="BL95" s="13">
        <f t="shared" ref="BL95:BO98" si="78">V95</f>
        <v>0</v>
      </c>
      <c r="BM95" s="13">
        <f t="shared" si="78"/>
        <v>0</v>
      </c>
      <c r="BN95" s="13">
        <f t="shared" si="78"/>
        <v>0</v>
      </c>
      <c r="BO95" s="13">
        <f t="shared" si="78"/>
        <v>0</v>
      </c>
      <c r="BP95" s="10">
        <f t="shared" ref="BP95:BW95" si="79">BO98</f>
        <v>0</v>
      </c>
      <c r="BQ95" s="10">
        <f t="shared" si="79"/>
        <v>0</v>
      </c>
      <c r="BR95" s="10">
        <f t="shared" si="79"/>
        <v>0</v>
      </c>
      <c r="BS95" s="10">
        <f t="shared" si="79"/>
        <v>0</v>
      </c>
      <c r="BT95" s="10">
        <f t="shared" si="79"/>
        <v>0</v>
      </c>
      <c r="BU95" s="10">
        <f t="shared" si="79"/>
        <v>0</v>
      </c>
      <c r="BV95" s="10">
        <f t="shared" si="79"/>
        <v>0</v>
      </c>
      <c r="BW95" s="10">
        <f t="shared" si="79"/>
        <v>0</v>
      </c>
      <c r="BX95" s="67"/>
      <c r="BY95" s="12"/>
      <c r="CA95" s="12"/>
      <c r="CG95" s="67"/>
      <c r="CH95" s="67"/>
      <c r="CI95" s="67"/>
      <c r="CK95" s="67"/>
      <c r="CL95" s="67"/>
      <c r="CR95" s="12"/>
      <c r="CS95" s="93">
        <f t="shared" si="15"/>
        <v>0</v>
      </c>
      <c r="CT95" s="93">
        <v>1</v>
      </c>
      <c r="CU95" s="93">
        <v>0</v>
      </c>
      <c r="EX95" s="13" t="str">
        <f>IF(C95="", "", CONCATENATE(D85, " ",D95))</f>
        <v/>
      </c>
    </row>
    <row r="96" spans="1:154" s="5" customFormat="1" ht="15.75" x14ac:dyDescent="0.3">
      <c r="A96" s="362" cm="1">
        <f t="array" aca="1" ref="A96" ca="1">HYPERLINK(CONCATENATE("#",CELL("address",IF(SUM($CA96:$CR96)=0,A96,INDEX($CA96:$CR96,MATCH(1,$CA96:$CR96,0))))),SUM($CA96:$CR96))</f>
        <v>0</v>
      </c>
      <c r="B96" s="105" t="s">
        <v>335</v>
      </c>
      <c r="C96" s="380"/>
      <c r="D96" s="51" t="s">
        <v>234</v>
      </c>
      <c r="E96" s="1"/>
      <c r="F96" s="67"/>
      <c r="G96" s="9" t="s">
        <v>413</v>
      </c>
      <c r="H96" s="50" t="s">
        <v>125</v>
      </c>
      <c r="I96" s="67"/>
      <c r="J96" s="67"/>
      <c r="K96" s="67"/>
      <c r="L96" s="67"/>
      <c r="M96" s="67"/>
      <c r="N96" s="67"/>
      <c r="O96" s="67"/>
      <c r="P96" s="67"/>
      <c r="Q96" s="67"/>
      <c r="R96" s="67"/>
      <c r="S96" s="335"/>
      <c r="T96" s="25"/>
      <c r="U96" s="25"/>
      <c r="V96" s="210"/>
      <c r="W96" s="215">
        <f t="shared" ref="W96:Y97" si="80" xml:space="preserve"> SUMIFS($AA96:$BJ96, $AA$3:$BJ$3, W$3)</f>
        <v>36</v>
      </c>
      <c r="X96" s="215">
        <f t="shared" si="80"/>
        <v>36</v>
      </c>
      <c r="Y96" s="215">
        <f t="shared" si="80"/>
        <v>36</v>
      </c>
      <c r="Z96" s="67"/>
      <c r="AA96" s="147">
        <v>3</v>
      </c>
      <c r="AB96" s="147">
        <v>3</v>
      </c>
      <c r="AC96" s="147">
        <v>3</v>
      </c>
      <c r="AD96" s="147">
        <v>3</v>
      </c>
      <c r="AE96" s="147">
        <v>3</v>
      </c>
      <c r="AF96" s="147">
        <v>3</v>
      </c>
      <c r="AG96" s="147">
        <v>3</v>
      </c>
      <c r="AH96" s="147">
        <v>3</v>
      </c>
      <c r="AI96" s="147">
        <v>3</v>
      </c>
      <c r="AJ96" s="147">
        <v>3</v>
      </c>
      <c r="AK96" s="147">
        <v>3</v>
      </c>
      <c r="AL96" s="147">
        <v>3</v>
      </c>
      <c r="AM96" s="147">
        <v>3</v>
      </c>
      <c r="AN96" s="147">
        <v>3</v>
      </c>
      <c r="AO96" s="147">
        <v>3</v>
      </c>
      <c r="AP96" s="147">
        <v>3</v>
      </c>
      <c r="AQ96" s="147">
        <v>3</v>
      </c>
      <c r="AR96" s="147">
        <v>3</v>
      </c>
      <c r="AS96" s="147">
        <v>3</v>
      </c>
      <c r="AT96" s="147">
        <v>3</v>
      </c>
      <c r="AU96" s="147">
        <v>3</v>
      </c>
      <c r="AV96" s="147">
        <v>3</v>
      </c>
      <c r="AW96" s="147">
        <v>3</v>
      </c>
      <c r="AX96" s="147">
        <v>3</v>
      </c>
      <c r="AY96" s="147">
        <v>3</v>
      </c>
      <c r="AZ96" s="147">
        <v>3</v>
      </c>
      <c r="BA96" s="147">
        <v>3</v>
      </c>
      <c r="BB96" s="147">
        <v>3</v>
      </c>
      <c r="BC96" s="147">
        <v>3</v>
      </c>
      <c r="BD96" s="147">
        <v>3</v>
      </c>
      <c r="BE96" s="147">
        <v>3</v>
      </c>
      <c r="BF96" s="147">
        <v>3</v>
      </c>
      <c r="BG96" s="147">
        <v>3</v>
      </c>
      <c r="BH96" s="147">
        <v>3</v>
      </c>
      <c r="BI96" s="147">
        <v>3</v>
      </c>
      <c r="BJ96" s="147">
        <v>3</v>
      </c>
      <c r="BK96" s="67"/>
      <c r="BL96" s="13">
        <f t="shared" si="78"/>
        <v>0</v>
      </c>
      <c r="BM96" s="13">
        <f t="shared" si="78"/>
        <v>36</v>
      </c>
      <c r="BN96" s="13">
        <f t="shared" si="78"/>
        <v>36</v>
      </c>
      <c r="BO96" s="13">
        <f t="shared" si="78"/>
        <v>36</v>
      </c>
      <c r="BP96" s="141"/>
      <c r="BQ96" s="141"/>
      <c r="BR96" s="141"/>
      <c r="BS96" s="141"/>
      <c r="BT96" s="141"/>
      <c r="BU96" s="141"/>
      <c r="BV96" s="141"/>
      <c r="BW96" s="141"/>
      <c r="BX96" s="67"/>
      <c r="BY96" s="12"/>
      <c r="BZ96" s="395">
        <f>IF(MIN($V96:$BW96)&lt;0, 1, 0)</f>
        <v>0</v>
      </c>
      <c r="CA96" s="12"/>
      <c r="CB96" s="335"/>
      <c r="CC96" s="335"/>
      <c r="CD96" s="335"/>
      <c r="CE96" s="335"/>
      <c r="CF96" s="67"/>
      <c r="CG96" s="67"/>
      <c r="CH96" s="67"/>
      <c r="CI96" s="67"/>
      <c r="CJ96" s="67"/>
      <c r="CK96" s="67"/>
      <c r="CL96" s="67"/>
      <c r="CM96" s="7">
        <f t="shared" ref="CM96:CO97" si="81">IF(ROUND(W96-SUMIFS($AA96:$BJ96, $AA$3:$BJ$3, W$3), rounding)=0, 0, 1)</f>
        <v>0</v>
      </c>
      <c r="CN96" s="7">
        <f t="shared" si="81"/>
        <v>0</v>
      </c>
      <c r="CO96" s="7">
        <f t="shared" si="81"/>
        <v>0</v>
      </c>
      <c r="CP96" s="7">
        <f>IF(ROUND(V96-BL96, rounding)=0, 0, 1)*'BS Forecasts'!$V$10</f>
        <v>0</v>
      </c>
      <c r="CQ96" s="67"/>
      <c r="CR96" s="12"/>
      <c r="CS96" s="93">
        <f t="shared" si="15"/>
        <v>0</v>
      </c>
      <c r="CT96" s="93">
        <v>1</v>
      </c>
      <c r="CU96" s="93">
        <v>1</v>
      </c>
      <c r="EX96" s="13" t="str">
        <f>IF(C96="", "", CONCATENATE(D85, " ",D96))</f>
        <v/>
      </c>
    </row>
    <row r="97" spans="1:154" ht="15.75" x14ac:dyDescent="0.3">
      <c r="A97" s="362" cm="1">
        <f t="array" aca="1" ref="A97" ca="1">HYPERLINK(CONCATENATE("#",CELL("address",IF(SUM($CA97:$CR97)=0,A97,INDEX($CA97:$CR97,MATCH(1,$CA97:$CR97,0))))),SUM($CA97:$CR97))</f>
        <v>0</v>
      </c>
      <c r="B97" s="105" t="s">
        <v>335</v>
      </c>
      <c r="C97" s="380"/>
      <c r="D97" s="51" t="s">
        <v>222</v>
      </c>
      <c r="F97" s="67"/>
      <c r="G97" s="9" t="s">
        <v>413</v>
      </c>
      <c r="H97" s="50" t="s">
        <v>157</v>
      </c>
      <c r="I97" s="67"/>
      <c r="J97" s="67"/>
      <c r="K97" s="67"/>
      <c r="L97" s="67"/>
      <c r="M97" s="67"/>
      <c r="N97" s="67"/>
      <c r="O97" s="67"/>
      <c r="P97" s="67"/>
      <c r="Q97" s="67"/>
      <c r="R97" s="67"/>
      <c r="S97" s="335"/>
      <c r="T97" s="25"/>
      <c r="U97" s="25"/>
      <c r="V97" s="210"/>
      <c r="W97" s="215">
        <f t="shared" si="80"/>
        <v>-36</v>
      </c>
      <c r="X97" s="215">
        <f t="shared" si="80"/>
        <v>-36</v>
      </c>
      <c r="Y97" s="215">
        <f t="shared" si="80"/>
        <v>-36</v>
      </c>
      <c r="Z97" s="67"/>
      <c r="AA97" s="147">
        <v>-3</v>
      </c>
      <c r="AB97" s="147">
        <v>-3</v>
      </c>
      <c r="AC97" s="147">
        <v>-3</v>
      </c>
      <c r="AD97" s="147">
        <v>-3</v>
      </c>
      <c r="AE97" s="147">
        <v>-3</v>
      </c>
      <c r="AF97" s="147">
        <v>-3</v>
      </c>
      <c r="AG97" s="147">
        <v>-3</v>
      </c>
      <c r="AH97" s="147">
        <v>-3</v>
      </c>
      <c r="AI97" s="147">
        <v>-3</v>
      </c>
      <c r="AJ97" s="147">
        <v>-3</v>
      </c>
      <c r="AK97" s="147">
        <v>-3</v>
      </c>
      <c r="AL97" s="147">
        <v>-3</v>
      </c>
      <c r="AM97" s="147">
        <v>-3</v>
      </c>
      <c r="AN97" s="147">
        <v>-3</v>
      </c>
      <c r="AO97" s="147">
        <v>-3</v>
      </c>
      <c r="AP97" s="147">
        <v>-3</v>
      </c>
      <c r="AQ97" s="147">
        <v>-3</v>
      </c>
      <c r="AR97" s="147">
        <v>-3</v>
      </c>
      <c r="AS97" s="147">
        <v>-3</v>
      </c>
      <c r="AT97" s="147">
        <v>-3</v>
      </c>
      <c r="AU97" s="147">
        <v>-3</v>
      </c>
      <c r="AV97" s="147">
        <v>-3</v>
      </c>
      <c r="AW97" s="147">
        <v>-3</v>
      </c>
      <c r="AX97" s="147">
        <v>-3</v>
      </c>
      <c r="AY97" s="147">
        <v>-3</v>
      </c>
      <c r="AZ97" s="147">
        <v>-3</v>
      </c>
      <c r="BA97" s="147">
        <v>-3</v>
      </c>
      <c r="BB97" s="147">
        <v>-3</v>
      </c>
      <c r="BC97" s="147">
        <v>-3</v>
      </c>
      <c r="BD97" s="147">
        <v>-3</v>
      </c>
      <c r="BE97" s="147">
        <v>-3</v>
      </c>
      <c r="BF97" s="147">
        <v>-3</v>
      </c>
      <c r="BG97" s="147">
        <v>-3</v>
      </c>
      <c r="BH97" s="147">
        <v>-3</v>
      </c>
      <c r="BI97" s="147">
        <v>-3</v>
      </c>
      <c r="BJ97" s="147">
        <v>-3</v>
      </c>
      <c r="BK97" s="67"/>
      <c r="BL97" s="13">
        <f t="shared" si="78"/>
        <v>0</v>
      </c>
      <c r="BM97" s="13">
        <f t="shared" si="78"/>
        <v>-36</v>
      </c>
      <c r="BN97" s="13">
        <f t="shared" si="78"/>
        <v>-36</v>
      </c>
      <c r="BO97" s="13">
        <f t="shared" si="78"/>
        <v>-36</v>
      </c>
      <c r="BP97" s="141"/>
      <c r="BQ97" s="141"/>
      <c r="BR97" s="141"/>
      <c r="BS97" s="141"/>
      <c r="BT97" s="141"/>
      <c r="BU97" s="141"/>
      <c r="BV97" s="141"/>
      <c r="BW97" s="141"/>
      <c r="BX97" s="67"/>
      <c r="BY97" s="12"/>
      <c r="BZ97" s="395">
        <f>IF(MAX($V97:$BW97)&gt;0, 1, 0)</f>
        <v>0</v>
      </c>
      <c r="CA97" s="12"/>
      <c r="CG97" s="67"/>
      <c r="CH97" s="67"/>
      <c r="CI97" s="67"/>
      <c r="CK97" s="67"/>
      <c r="CL97" s="67"/>
      <c r="CM97" s="7">
        <f t="shared" si="81"/>
        <v>0</v>
      </c>
      <c r="CN97" s="7">
        <f t="shared" si="81"/>
        <v>0</v>
      </c>
      <c r="CO97" s="7">
        <f t="shared" si="81"/>
        <v>0</v>
      </c>
      <c r="CP97" s="7">
        <f>IF(ROUND(V97-BL97, rounding)=0, 0, 1)*'BS Forecasts'!$V$10</f>
        <v>0</v>
      </c>
      <c r="CR97" s="12"/>
      <c r="CS97" s="93">
        <f t="shared" si="15"/>
        <v>0</v>
      </c>
      <c r="CT97" s="93">
        <v>1</v>
      </c>
      <c r="CU97" s="93">
        <v>1</v>
      </c>
      <c r="EX97" s="13" t="str">
        <f>IF(C97="", "", CONCATENATE(D85, " ",D97))</f>
        <v/>
      </c>
    </row>
    <row r="98" spans="1:154" x14ac:dyDescent="0.25">
      <c r="A98" s="67"/>
      <c r="B98" s="67"/>
      <c r="C98" s="380"/>
      <c r="D98" s="51" t="s">
        <v>224</v>
      </c>
      <c r="F98" s="67"/>
      <c r="G98" s="9" t="s">
        <v>413</v>
      </c>
      <c r="H98" s="50" t="s">
        <v>8</v>
      </c>
      <c r="I98" s="67"/>
      <c r="J98" s="67"/>
      <c r="K98" s="67"/>
      <c r="L98" s="67"/>
      <c r="M98" s="67"/>
      <c r="N98" s="67"/>
      <c r="O98" s="67"/>
      <c r="P98" s="67"/>
      <c r="Q98" s="67"/>
      <c r="R98" s="67"/>
      <c r="S98" s="335"/>
      <c r="T98" s="25"/>
      <c r="U98" s="25"/>
      <c r="V98" s="13">
        <f>$H$15</f>
        <v>0</v>
      </c>
      <c r="W98" s="10">
        <f>SUM(W95:W97)</f>
        <v>0</v>
      </c>
      <c r="X98" s="10">
        <f>SUM(X95:X97)</f>
        <v>0</v>
      </c>
      <c r="Y98" s="10">
        <f>SUM(Y95:Y97)</f>
        <v>0</v>
      </c>
      <c r="Z98" s="67"/>
      <c r="AA98" s="10">
        <f t="shared" ref="AA98:BJ98" si="82">SUM(AA95:AA97)</f>
        <v>0</v>
      </c>
      <c r="AB98" s="10">
        <f t="shared" si="82"/>
        <v>0</v>
      </c>
      <c r="AC98" s="10">
        <f t="shared" si="82"/>
        <v>0</v>
      </c>
      <c r="AD98" s="10">
        <f t="shared" si="82"/>
        <v>0</v>
      </c>
      <c r="AE98" s="10">
        <f t="shared" si="82"/>
        <v>0</v>
      </c>
      <c r="AF98" s="10">
        <f t="shared" si="82"/>
        <v>0</v>
      </c>
      <c r="AG98" s="10">
        <f t="shared" si="82"/>
        <v>0</v>
      </c>
      <c r="AH98" s="10">
        <f t="shared" si="82"/>
        <v>0</v>
      </c>
      <c r="AI98" s="10">
        <f t="shared" si="82"/>
        <v>0</v>
      </c>
      <c r="AJ98" s="10">
        <f t="shared" si="82"/>
        <v>0</v>
      </c>
      <c r="AK98" s="10">
        <f t="shared" si="82"/>
        <v>0</v>
      </c>
      <c r="AL98" s="10">
        <f t="shared" si="82"/>
        <v>0</v>
      </c>
      <c r="AM98" s="10">
        <f t="shared" si="82"/>
        <v>0</v>
      </c>
      <c r="AN98" s="10">
        <f t="shared" si="82"/>
        <v>0</v>
      </c>
      <c r="AO98" s="10">
        <f t="shared" si="82"/>
        <v>0</v>
      </c>
      <c r="AP98" s="10">
        <f t="shared" si="82"/>
        <v>0</v>
      </c>
      <c r="AQ98" s="10">
        <f t="shared" si="82"/>
        <v>0</v>
      </c>
      <c r="AR98" s="10">
        <f t="shared" si="82"/>
        <v>0</v>
      </c>
      <c r="AS98" s="10">
        <f t="shared" si="82"/>
        <v>0</v>
      </c>
      <c r="AT98" s="10">
        <f t="shared" si="82"/>
        <v>0</v>
      </c>
      <c r="AU98" s="10">
        <f t="shared" si="82"/>
        <v>0</v>
      </c>
      <c r="AV98" s="10">
        <f t="shared" si="82"/>
        <v>0</v>
      </c>
      <c r="AW98" s="10">
        <f t="shared" si="82"/>
        <v>0</v>
      </c>
      <c r="AX98" s="10">
        <f t="shared" si="82"/>
        <v>0</v>
      </c>
      <c r="AY98" s="10">
        <f t="shared" si="82"/>
        <v>0</v>
      </c>
      <c r="AZ98" s="10">
        <f t="shared" si="82"/>
        <v>0</v>
      </c>
      <c r="BA98" s="10">
        <f t="shared" si="82"/>
        <v>0</v>
      </c>
      <c r="BB98" s="10">
        <f t="shared" si="82"/>
        <v>0</v>
      </c>
      <c r="BC98" s="10">
        <f t="shared" si="82"/>
        <v>0</v>
      </c>
      <c r="BD98" s="10">
        <f t="shared" si="82"/>
        <v>0</v>
      </c>
      <c r="BE98" s="10">
        <f t="shared" si="82"/>
        <v>0</v>
      </c>
      <c r="BF98" s="10">
        <f t="shared" si="82"/>
        <v>0</v>
      </c>
      <c r="BG98" s="10">
        <f t="shared" si="82"/>
        <v>0</v>
      </c>
      <c r="BH98" s="10">
        <f t="shared" si="82"/>
        <v>0</v>
      </c>
      <c r="BI98" s="10">
        <f t="shared" si="82"/>
        <v>0</v>
      </c>
      <c r="BJ98" s="10">
        <f t="shared" si="82"/>
        <v>0</v>
      </c>
      <c r="BK98" s="67"/>
      <c r="BL98" s="152">
        <f t="shared" si="78"/>
        <v>0</v>
      </c>
      <c r="BM98" s="152">
        <f t="shared" si="78"/>
        <v>0</v>
      </c>
      <c r="BN98" s="152">
        <f t="shared" si="78"/>
        <v>0</v>
      </c>
      <c r="BO98" s="152">
        <f t="shared" si="78"/>
        <v>0</v>
      </c>
      <c r="BP98" s="10">
        <f t="shared" ref="BP98:BW98" si="83">SUM(BP95:BP97)</f>
        <v>0</v>
      </c>
      <c r="BQ98" s="10">
        <f t="shared" si="83"/>
        <v>0</v>
      </c>
      <c r="BR98" s="10">
        <f t="shared" si="83"/>
        <v>0</v>
      </c>
      <c r="BS98" s="10">
        <f t="shared" si="83"/>
        <v>0</v>
      </c>
      <c r="BT98" s="10">
        <f t="shared" si="83"/>
        <v>0</v>
      </c>
      <c r="BU98" s="10">
        <f t="shared" si="83"/>
        <v>0</v>
      </c>
      <c r="BV98" s="10">
        <f t="shared" si="83"/>
        <v>0</v>
      </c>
      <c r="BW98" s="10">
        <f t="shared" si="83"/>
        <v>0</v>
      </c>
      <c r="BX98" s="67"/>
      <c r="BY98" s="12"/>
      <c r="CA98" s="12"/>
      <c r="CG98" s="67"/>
      <c r="CH98" s="67"/>
      <c r="CI98" s="67"/>
      <c r="CK98" s="67"/>
      <c r="CL98" s="67"/>
      <c r="CR98" s="12"/>
      <c r="CS98" s="93">
        <f t="shared" si="15"/>
        <v>0</v>
      </c>
      <c r="CT98" s="93">
        <v>0</v>
      </c>
      <c r="CU98" s="93">
        <v>0</v>
      </c>
      <c r="EX98" s="13" t="str">
        <f>IF(C98="", "", CONCATENATE(D85, " ",D98))</f>
        <v/>
      </c>
    </row>
    <row r="99" spans="1:154" ht="6.6" customHeight="1" x14ac:dyDescent="0.25">
      <c r="C99" s="380"/>
      <c r="D99" s="1"/>
      <c r="E99" s="67"/>
      <c r="G99" s="67"/>
      <c r="H99" s="67"/>
      <c r="S99" s="335"/>
      <c r="T99" s="25"/>
      <c r="U99" s="25"/>
      <c r="V99" s="229"/>
      <c r="W99" s="25"/>
      <c r="X99" s="25"/>
      <c r="Y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L99" s="25"/>
      <c r="BM99" s="155"/>
      <c r="BN99" s="25"/>
      <c r="BO99" s="25"/>
      <c r="BP99" s="25"/>
      <c r="BQ99" s="25"/>
      <c r="BR99" s="25"/>
      <c r="BS99" s="25"/>
      <c r="BT99" s="25"/>
      <c r="BU99" s="25"/>
      <c r="BV99" s="25"/>
      <c r="BW99" s="25"/>
      <c r="BY99" s="42"/>
      <c r="CA99" s="42"/>
      <c r="CR99" s="42"/>
      <c r="CS99" s="93">
        <f t="shared" si="15"/>
        <v>0</v>
      </c>
      <c r="CT99" s="93">
        <v>0</v>
      </c>
      <c r="CU99" s="93">
        <v>0</v>
      </c>
      <c r="EX99" s="13" t="str">
        <f>IF(C99="", "", CONCATENATE(D85, " ",D99))</f>
        <v/>
      </c>
    </row>
    <row r="100" spans="1:154" s="5" customFormat="1" x14ac:dyDescent="0.25">
      <c r="A100" s="362" cm="1">
        <f t="array" aca="1" ref="A100" ca="1">HYPERLINK(CONCATENATE("#",CELL("address",IF(SUM($CA100:$CR100)=0,A100,INDEX($CA100:$CR100,MATCH(1,$CA100:$CR100,0))))),SUM($CA100:$CR100))</f>
        <v>0</v>
      </c>
      <c r="B100" s="335"/>
      <c r="C100" s="340" t="s">
        <v>1275</v>
      </c>
      <c r="D100" s="41" t="s">
        <v>1569</v>
      </c>
      <c r="E100" s="35"/>
      <c r="F100" s="25"/>
      <c r="G100" s="174" t="s">
        <v>413</v>
      </c>
      <c r="H100" s="171" t="s">
        <v>125</v>
      </c>
      <c r="I100" s="25"/>
      <c r="J100" s="25"/>
      <c r="K100" s="25"/>
      <c r="L100" s="25"/>
      <c r="M100" s="25"/>
      <c r="N100" s="25"/>
      <c r="O100" s="25"/>
      <c r="P100" s="25"/>
      <c r="Q100" s="25"/>
      <c r="R100" s="25"/>
      <c r="S100" s="335"/>
      <c r="T100" s="25"/>
      <c r="U100" s="25"/>
      <c r="V100" s="222"/>
      <c r="W100" s="215">
        <f xml:space="preserve"> SUMIFS($AA100:$BJ100, $AA$3:$BJ$3, W$3)</f>
        <v>0</v>
      </c>
      <c r="X100" s="215">
        <f xml:space="preserve"> SUMIFS($AA100:$BJ100, $AA$3:$BJ$3, X$3)</f>
        <v>0</v>
      </c>
      <c r="Y100" s="215">
        <f xml:space="preserve"> SUMIFS($AA100:$BJ100, $AA$3:$BJ$3, Y$3)</f>
        <v>0</v>
      </c>
      <c r="Z100" s="335"/>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335"/>
      <c r="BL100" s="152">
        <f>V100</f>
        <v>0</v>
      </c>
      <c r="BM100" s="152">
        <f>W100</f>
        <v>0</v>
      </c>
      <c r="BN100" s="152">
        <f>X100</f>
        <v>0</v>
      </c>
      <c r="BO100" s="152">
        <f>Y100</f>
        <v>0</v>
      </c>
      <c r="BP100" s="141"/>
      <c r="BQ100" s="141"/>
      <c r="BR100" s="141"/>
      <c r="BS100" s="141"/>
      <c r="BT100" s="141"/>
      <c r="BU100" s="141"/>
      <c r="BV100" s="141"/>
      <c r="BW100" s="141"/>
      <c r="BX100" s="335"/>
      <c r="BY100" s="12"/>
      <c r="BZ100" s="395">
        <f>IF(MIN($V100:$BW100)&lt;0, 1, 0)</f>
        <v>0</v>
      </c>
      <c r="CA100" s="12"/>
      <c r="CB100" s="335"/>
      <c r="CC100" s="335"/>
      <c r="CD100" s="335"/>
      <c r="CE100" s="335"/>
      <c r="CF100" s="335"/>
      <c r="CG100" s="335"/>
      <c r="CH100" s="335"/>
      <c r="CI100" s="335"/>
      <c r="CJ100" s="335"/>
      <c r="CK100" s="335"/>
      <c r="CL100" s="335"/>
      <c r="CM100" s="7">
        <f>IF(ROUND(W100-SUMIFS($AA100:$BJ100, $AA$3:$BJ$3, W$3), rounding)=0, 0, 1)</f>
        <v>0</v>
      </c>
      <c r="CN100" s="7">
        <f>IF(ROUND(X100-SUMIFS($AA100:$BJ100, $AA$3:$BJ$3, X$3), rounding)=0, 0, 1)</f>
        <v>0</v>
      </c>
      <c r="CO100" s="7">
        <f>IF(ROUND(Y100-SUMIFS($AA100:$BJ100, $AA$3:$BJ$3, Y$3), rounding)=0, 0, 1)</f>
        <v>0</v>
      </c>
      <c r="CP100" s="7">
        <f>IF(ROUND(V100-BL100, rounding)=0, 0, 1)*'BS Forecasts'!$V$10</f>
        <v>0</v>
      </c>
      <c r="CQ100" s="335"/>
      <c r="CR100" s="12"/>
      <c r="CS100" s="93">
        <f t="shared" si="15"/>
        <v>0</v>
      </c>
      <c r="CT100" s="93">
        <v>1</v>
      </c>
      <c r="CU100" s="93">
        <v>1</v>
      </c>
      <c r="EX100" s="13" t="str">
        <f>IF(C100="", "", CONCATENATE(D85, " ",D100))</f>
        <v>Loan 3 Early Repayment Fee</v>
      </c>
    </row>
    <row r="101" spans="1:154" s="335" customFormat="1" ht="6.6" customHeight="1" x14ac:dyDescent="0.25">
      <c r="C101" s="380"/>
      <c r="D101" s="1"/>
      <c r="T101" s="25"/>
      <c r="U101" s="25"/>
      <c r="V101" s="93"/>
      <c r="BM101" s="6"/>
      <c r="BY101" s="42"/>
      <c r="CA101" s="42"/>
      <c r="CR101" s="42"/>
      <c r="CS101" s="93">
        <f t="shared" si="15"/>
        <v>0</v>
      </c>
      <c r="CT101" s="93">
        <v>0</v>
      </c>
      <c r="CU101" s="93">
        <v>0</v>
      </c>
      <c r="EX101" s="13" t="str">
        <f>IF(C101="", "", CONCATENATE(D85, " ",D101))</f>
        <v/>
      </c>
    </row>
    <row r="102" spans="1:154" s="335" customFormat="1" ht="15.75" x14ac:dyDescent="0.3">
      <c r="A102" s="362" cm="1">
        <f t="array" aca="1" ref="A102" ca="1">HYPERLINK(CONCATENATE("#",CELL("address",IF(SUM($CA102:$CR102)=0,A102,INDEX($CA102:$CR102,MATCH(1,$CA102:$CR102,0))))),SUM($CA102:$CR102))</f>
        <v>0</v>
      </c>
      <c r="B102" s="105" t="s">
        <v>335</v>
      </c>
      <c r="D102" s="51" t="s">
        <v>1630</v>
      </c>
      <c r="E102" s="220" t="str">
        <f>IF(I$15="", "", I$15)</f>
        <v/>
      </c>
      <c r="F102" s="220" t="str">
        <f>IF(J$15="", "", J$15)</f>
        <v/>
      </c>
      <c r="T102" s="25"/>
      <c r="U102" s="25"/>
      <c r="V102" s="230">
        <f>IF(AND(OR( V$5&gt;$F102, Timeline!V$8&lt;Loans!$E102), Loans!V100&lt;&gt;0), 1, 0)</f>
        <v>0</v>
      </c>
      <c r="W102" s="230">
        <f>IF(AND(OR( W$5&gt;$F102, Timeline!W$8&lt;Loans!$E102), Loans!W100&lt;&gt;0), 1, 0)</f>
        <v>0</v>
      </c>
      <c r="X102" s="230">
        <f>IF(AND(OR( X$5&gt;$F102, Timeline!X$8&lt;Loans!$E102), Loans!X100&lt;&gt;0), 1, 0)</f>
        <v>0</v>
      </c>
      <c r="Y102" s="230">
        <f>IF(AND(OR( Y$5&gt;$F102, Timeline!Y$8&lt;Loans!$E102), Loans!Y100&lt;&gt;0), 1, 0)</f>
        <v>0</v>
      </c>
      <c r="AA102" s="230">
        <f>IF(AND(OR( AA$5&gt;$F102, Timeline!AA$8&lt;Loans!$E102), Loans!AA100&lt;&gt;0), 1, 0)</f>
        <v>0</v>
      </c>
      <c r="AB102" s="230">
        <f>IF(AND(OR( AB$5&gt;$F102, Timeline!AB$8&lt;Loans!$E102), Loans!AB100&lt;&gt;0), 1, 0)</f>
        <v>0</v>
      </c>
      <c r="AC102" s="230">
        <f>IF(AND(OR( AC$5&gt;$F102, Timeline!AC$8&lt;Loans!$E102), Loans!AC100&lt;&gt;0), 1, 0)</f>
        <v>0</v>
      </c>
      <c r="AD102" s="230">
        <f>IF(AND(OR( AD$5&gt;$F102, Timeline!AD$8&lt;Loans!$E102), Loans!AD100&lt;&gt;0), 1, 0)</f>
        <v>0</v>
      </c>
      <c r="AE102" s="230">
        <f>IF(AND(OR( AE$5&gt;$F102, Timeline!AE$8&lt;Loans!$E102), Loans!AE100&lt;&gt;0), 1, 0)</f>
        <v>0</v>
      </c>
      <c r="AF102" s="230">
        <f>IF(AND(OR( AF$5&gt;$F102, Timeline!AF$8&lt;Loans!$E102), Loans!AF100&lt;&gt;0), 1, 0)</f>
        <v>0</v>
      </c>
      <c r="AG102" s="230">
        <f>IF(AND(OR( AG$5&gt;$F102, Timeline!AG$8&lt;Loans!$E102), Loans!AG100&lt;&gt;0), 1, 0)</f>
        <v>0</v>
      </c>
      <c r="AH102" s="230">
        <f>IF(AND(OR( AH$5&gt;$F102, Timeline!AH$8&lt;Loans!$E102), Loans!AH100&lt;&gt;0), 1, 0)</f>
        <v>0</v>
      </c>
      <c r="AI102" s="230">
        <f>IF(AND(OR( AI$5&gt;$F102, Timeline!AI$8&lt;Loans!$E102), Loans!AI100&lt;&gt;0), 1, 0)</f>
        <v>0</v>
      </c>
      <c r="AJ102" s="230">
        <f>IF(AND(OR( AJ$5&gt;$F102, Timeline!AJ$8&lt;Loans!$E102), Loans!AJ100&lt;&gt;0), 1, 0)</f>
        <v>0</v>
      </c>
      <c r="AK102" s="230">
        <f>IF(AND(OR( AK$5&gt;$F102, Timeline!AK$8&lt;Loans!$E102), Loans!AK100&lt;&gt;0), 1, 0)</f>
        <v>0</v>
      </c>
      <c r="AL102" s="230">
        <f>IF(AND(OR( AL$5&gt;$F102, Timeline!AL$8&lt;Loans!$E102), Loans!AL100&lt;&gt;0), 1, 0)</f>
        <v>0</v>
      </c>
      <c r="AM102" s="230">
        <f>IF(AND(OR( AM$5&gt;$F102, Timeline!AM$8&lt;Loans!$E102), Loans!AM100&lt;&gt;0), 1, 0)</f>
        <v>0</v>
      </c>
      <c r="AN102" s="230">
        <f>IF(AND(OR( AN$5&gt;$F102, Timeline!AN$8&lt;Loans!$E102), Loans!AN100&lt;&gt;0), 1, 0)</f>
        <v>0</v>
      </c>
      <c r="AO102" s="230">
        <f>IF(AND(OR( AO$5&gt;$F102, Timeline!AO$8&lt;Loans!$E102), Loans!AO100&lt;&gt;0), 1, 0)</f>
        <v>0</v>
      </c>
      <c r="AP102" s="230">
        <f>IF(AND(OR( AP$5&gt;$F102, Timeline!AP$8&lt;Loans!$E102), Loans!AP100&lt;&gt;0), 1, 0)</f>
        <v>0</v>
      </c>
      <c r="AQ102" s="230">
        <f>IF(AND(OR( AQ$5&gt;$F102, Timeline!AQ$8&lt;Loans!$E102), Loans!AQ100&lt;&gt;0), 1, 0)</f>
        <v>0</v>
      </c>
      <c r="AR102" s="230">
        <f>IF(AND(OR( AR$5&gt;$F102, Timeline!AR$8&lt;Loans!$E102), Loans!AR100&lt;&gt;0), 1, 0)</f>
        <v>0</v>
      </c>
      <c r="AS102" s="230">
        <f>IF(AND(OR( AS$5&gt;$F102, Timeline!AS$8&lt;Loans!$E102), Loans!AS100&lt;&gt;0), 1, 0)</f>
        <v>0</v>
      </c>
      <c r="AT102" s="230">
        <f>IF(AND(OR( AT$5&gt;$F102, Timeline!AT$8&lt;Loans!$E102), Loans!AT100&lt;&gt;0), 1, 0)</f>
        <v>0</v>
      </c>
      <c r="AU102" s="230">
        <f>IF(AND(OR( AU$5&gt;$F102, Timeline!AU$8&lt;Loans!$E102), Loans!AU100&lt;&gt;0), 1, 0)</f>
        <v>0</v>
      </c>
      <c r="AV102" s="230">
        <f>IF(AND(OR( AV$5&gt;$F102, Timeline!AV$8&lt;Loans!$E102), Loans!AV100&lt;&gt;0), 1, 0)</f>
        <v>0</v>
      </c>
      <c r="AW102" s="230">
        <f>IF(AND(OR( AW$5&gt;$F102, Timeline!AW$8&lt;Loans!$E102), Loans!AW100&lt;&gt;0), 1, 0)</f>
        <v>0</v>
      </c>
      <c r="AX102" s="230">
        <f>IF(AND(OR( AX$5&gt;$F102, Timeline!AX$8&lt;Loans!$E102), Loans!AX100&lt;&gt;0), 1, 0)</f>
        <v>0</v>
      </c>
      <c r="AY102" s="230">
        <f>IF(AND(OR( AY$5&gt;$F102, Timeline!AY$8&lt;Loans!$E102), Loans!AY100&lt;&gt;0), 1, 0)</f>
        <v>0</v>
      </c>
      <c r="AZ102" s="230">
        <f>IF(AND(OR( AZ$5&gt;$F102, Timeline!AZ$8&lt;Loans!$E102), Loans!AZ100&lt;&gt;0), 1, 0)</f>
        <v>0</v>
      </c>
      <c r="BA102" s="230">
        <f>IF(AND(OR( BA$5&gt;$F102, Timeline!BA$8&lt;Loans!$E102), Loans!BA100&lt;&gt;0), 1, 0)</f>
        <v>0</v>
      </c>
      <c r="BB102" s="230">
        <f>IF(AND(OR( BB$5&gt;$F102, Timeline!BB$8&lt;Loans!$E102), Loans!BB100&lt;&gt;0), 1, 0)</f>
        <v>0</v>
      </c>
      <c r="BC102" s="230">
        <f>IF(AND(OR( BC$5&gt;$F102, Timeline!BC$8&lt;Loans!$E102), Loans!BC100&lt;&gt;0), 1, 0)</f>
        <v>0</v>
      </c>
      <c r="BD102" s="230">
        <f>IF(AND(OR( BD$5&gt;$F102, Timeline!BD$8&lt;Loans!$E102), Loans!BD100&lt;&gt;0), 1, 0)</f>
        <v>0</v>
      </c>
      <c r="BE102" s="230">
        <f>IF(AND(OR( BE$5&gt;$F102, Timeline!BE$8&lt;Loans!$E102), Loans!BE100&lt;&gt;0), 1, 0)</f>
        <v>0</v>
      </c>
      <c r="BF102" s="230">
        <f>IF(AND(OR( BF$5&gt;$F102, Timeline!BF$8&lt;Loans!$E102), Loans!BF100&lt;&gt;0), 1, 0)</f>
        <v>0</v>
      </c>
      <c r="BG102" s="230">
        <f>IF(AND(OR( BG$5&gt;$F102, Timeline!BG$8&lt;Loans!$E102), Loans!BG100&lt;&gt;0), 1, 0)</f>
        <v>0</v>
      </c>
      <c r="BH102" s="230">
        <f>IF(AND(OR( BH$5&gt;$F102, Timeline!BH$8&lt;Loans!$E102), Loans!BH100&lt;&gt;0), 1, 0)</f>
        <v>0</v>
      </c>
      <c r="BI102" s="230">
        <f>IF(AND(OR( BI$5&gt;$F102, Timeline!BI$8&lt;Loans!$E102), Loans!BI100&lt;&gt;0), 1, 0)</f>
        <v>0</v>
      </c>
      <c r="BJ102" s="230">
        <f>IF(AND(OR( BJ$5&gt;$F102, Timeline!BJ$8&lt;Loans!$E102), Loans!BJ100&lt;&gt;0), 1, 0)</f>
        <v>0</v>
      </c>
      <c r="BL102" s="230">
        <f>IF(AND(OR( BL$5&gt;$F102, Timeline!BL$8&lt;Loans!$E102), Loans!BL100&lt;&gt;0), 1, 0)</f>
        <v>0</v>
      </c>
      <c r="BM102" s="230">
        <f>IF(AND(OR( BM$5&gt;$F102, Timeline!BM$8&lt;Loans!$E102), Loans!BM100&lt;&gt;0), 1, 0)</f>
        <v>0</v>
      </c>
      <c r="BN102" s="230">
        <f>IF(AND(OR( BN$5&gt;$F102, Timeline!BN$8&lt;Loans!$E102), Loans!BN100&lt;&gt;0), 1, 0)</f>
        <v>0</v>
      </c>
      <c r="BO102" s="230">
        <f>IF(AND(OR( BO$5&gt;$F102, Timeline!BO$8&lt;Loans!$E102), Loans!BO100&lt;&gt;0), 1, 0)</f>
        <v>0</v>
      </c>
      <c r="BP102" s="230">
        <f>IF(AND(OR( BP$5&gt;$F102, Timeline!BP$8&lt;Loans!$E102), Loans!BP100&lt;&gt;0), 1, 0)</f>
        <v>0</v>
      </c>
      <c r="BQ102" s="230">
        <f>IF(AND(OR( BQ$5&gt;$F102, Timeline!BQ$8&lt;Loans!$E102), Loans!BQ100&lt;&gt;0), 1, 0)</f>
        <v>0</v>
      </c>
      <c r="BR102" s="230">
        <f>IF(AND(OR( BR$5&gt;$F102, Timeline!BR$8&lt;Loans!$E102), Loans!BR100&lt;&gt;0), 1, 0)</f>
        <v>0</v>
      </c>
      <c r="BS102" s="230">
        <f>IF(AND(OR( BS$5&gt;$F102, Timeline!BS$8&lt;Loans!$E102), Loans!BS100&lt;&gt;0), 1, 0)</f>
        <v>0</v>
      </c>
      <c r="BT102" s="230">
        <f>IF(AND(OR( BT$5&gt;$F102, Timeline!BT$8&lt;Loans!$E102), Loans!BT100&lt;&gt;0), 1, 0)</f>
        <v>0</v>
      </c>
      <c r="BU102" s="230">
        <f>IF(AND(OR( BU$5&gt;$F102, Timeline!BU$8&lt;Loans!$E102), Loans!BU100&lt;&gt;0), 1, 0)</f>
        <v>0</v>
      </c>
      <c r="BV102" s="230">
        <f>IF(AND(OR( BV$5&gt;$F102, Timeline!BV$8&lt;Loans!$E102), Loans!BV100&lt;&gt;0), 1, 0)</f>
        <v>0</v>
      </c>
      <c r="BW102" s="230">
        <f>IF(AND(OR( BW$5&gt;$F102, Timeline!BW$8&lt;Loans!$E102), Loans!BW100&lt;&gt;0), 1, 0)</f>
        <v>0</v>
      </c>
      <c r="BY102" s="12"/>
      <c r="CA102" s="12"/>
      <c r="CL102" s="7">
        <f>IF(MAX($V102:$BW102)&gt;0, 1, 0)</f>
        <v>0</v>
      </c>
      <c r="CR102" s="12"/>
      <c r="CS102" s="93">
        <f t="shared" si="15"/>
        <v>1</v>
      </c>
      <c r="CT102" s="93">
        <v>0</v>
      </c>
      <c r="CU102" s="93">
        <v>0</v>
      </c>
      <c r="EX102" s="13" t="str">
        <f>IF(C102="", "", CONCATENATE(D85, " ",D102))</f>
        <v/>
      </c>
    </row>
    <row r="103" spans="1:154" s="335" customFormat="1" ht="6.6" customHeight="1" x14ac:dyDescent="0.25">
      <c r="C103" s="380"/>
      <c r="D103" s="1"/>
      <c r="T103" s="25"/>
      <c r="U103" s="25"/>
      <c r="V103" s="93"/>
      <c r="BM103" s="6"/>
      <c r="BY103" s="42"/>
      <c r="CA103" s="42"/>
      <c r="CR103" s="42"/>
      <c r="CS103" s="93">
        <f t="shared" si="15"/>
        <v>0</v>
      </c>
      <c r="CT103" s="93">
        <v>0</v>
      </c>
      <c r="CU103" s="93">
        <v>0</v>
      </c>
      <c r="EX103" s="10" t="str">
        <f t="shared" si="9"/>
        <v/>
      </c>
    </row>
    <row r="104" spans="1:154" x14ac:dyDescent="0.25">
      <c r="A104" s="64"/>
      <c r="C104" s="380"/>
      <c r="D104" s="64" t="s">
        <v>193</v>
      </c>
      <c r="E104" s="64"/>
      <c r="F104" s="64"/>
      <c r="G104" s="64"/>
      <c r="H104" s="64"/>
      <c r="I104" s="64"/>
      <c r="L104" s="64"/>
      <c r="M104" s="64"/>
      <c r="N104" s="64"/>
      <c r="O104" s="64"/>
      <c r="P104" s="64"/>
      <c r="Q104" s="64"/>
      <c r="S104" s="335"/>
      <c r="T104" s="25"/>
      <c r="U104" s="25"/>
      <c r="V104" s="229"/>
      <c r="W104" s="25"/>
      <c r="X104" s="25"/>
      <c r="Y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L104" s="25"/>
      <c r="BM104" s="25"/>
      <c r="BN104" s="25"/>
      <c r="BO104" s="25"/>
      <c r="BP104" s="25"/>
      <c r="BQ104" s="25"/>
      <c r="BR104" s="25"/>
      <c r="BS104" s="25"/>
      <c r="BT104" s="25"/>
      <c r="BU104" s="25"/>
      <c r="BV104" s="25"/>
      <c r="BW104" s="25"/>
      <c r="BY104" s="12"/>
      <c r="CA104" s="12"/>
      <c r="CR104" s="12"/>
      <c r="CS104" s="93">
        <f t="shared" si="15"/>
        <v>0</v>
      </c>
      <c r="CT104" s="93">
        <v>0</v>
      </c>
      <c r="CU104" s="93">
        <v>0</v>
      </c>
      <c r="EX104" s="10" t="str">
        <f t="shared" si="9"/>
        <v/>
      </c>
    </row>
    <row r="105" spans="1:154" x14ac:dyDescent="0.25">
      <c r="A105" s="67"/>
      <c r="B105" s="67"/>
      <c r="C105" s="340" t="s">
        <v>1376</v>
      </c>
      <c r="D105" s="51" t="s">
        <v>230</v>
      </c>
      <c r="F105" s="67"/>
      <c r="G105" s="9" t="s">
        <v>413</v>
      </c>
      <c r="H105" s="50" t="s">
        <v>8</v>
      </c>
      <c r="I105" s="67"/>
      <c r="J105" s="67"/>
      <c r="K105" s="67"/>
      <c r="L105" s="67"/>
      <c r="M105" s="67"/>
      <c r="N105" s="67"/>
      <c r="O105" s="67"/>
      <c r="P105" s="67"/>
      <c r="Q105" s="67"/>
      <c r="R105" s="67"/>
      <c r="S105" s="335"/>
      <c r="T105" s="25"/>
      <c r="U105" s="25"/>
      <c r="V105" s="222"/>
      <c r="W105" s="201">
        <f>V109</f>
        <v>727</v>
      </c>
      <c r="X105" s="201">
        <f>W109</f>
        <v>665</v>
      </c>
      <c r="Y105" s="10">
        <f>X109</f>
        <v>603</v>
      </c>
      <c r="Z105" s="67"/>
      <c r="AA105" s="13">
        <f>W105</f>
        <v>727</v>
      </c>
      <c r="AB105" s="153">
        <f t="shared" ref="AB105:BJ105" si="84">AA109</f>
        <v>712</v>
      </c>
      <c r="AC105" s="153">
        <f t="shared" si="84"/>
        <v>712</v>
      </c>
      <c r="AD105" s="153">
        <f t="shared" si="84"/>
        <v>712</v>
      </c>
      <c r="AE105" s="153">
        <f t="shared" si="84"/>
        <v>697</v>
      </c>
      <c r="AF105" s="153">
        <f t="shared" si="84"/>
        <v>697</v>
      </c>
      <c r="AG105" s="153">
        <f t="shared" si="84"/>
        <v>697</v>
      </c>
      <c r="AH105" s="153">
        <f t="shared" si="84"/>
        <v>681</v>
      </c>
      <c r="AI105" s="153">
        <f t="shared" si="84"/>
        <v>681</v>
      </c>
      <c r="AJ105" s="153">
        <f t="shared" si="84"/>
        <v>681</v>
      </c>
      <c r="AK105" s="153">
        <f t="shared" si="84"/>
        <v>665</v>
      </c>
      <c r="AL105" s="153">
        <f t="shared" si="84"/>
        <v>665</v>
      </c>
      <c r="AM105" s="153">
        <f t="shared" si="84"/>
        <v>665</v>
      </c>
      <c r="AN105" s="153">
        <f t="shared" si="84"/>
        <v>650</v>
      </c>
      <c r="AO105" s="153">
        <f t="shared" si="84"/>
        <v>650</v>
      </c>
      <c r="AP105" s="153">
        <f t="shared" si="84"/>
        <v>650</v>
      </c>
      <c r="AQ105" s="153">
        <f t="shared" si="84"/>
        <v>635</v>
      </c>
      <c r="AR105" s="153">
        <f t="shared" si="84"/>
        <v>635</v>
      </c>
      <c r="AS105" s="153">
        <f t="shared" si="84"/>
        <v>635</v>
      </c>
      <c r="AT105" s="153">
        <f t="shared" si="84"/>
        <v>619</v>
      </c>
      <c r="AU105" s="153">
        <f t="shared" si="84"/>
        <v>619</v>
      </c>
      <c r="AV105" s="153">
        <f t="shared" si="84"/>
        <v>619</v>
      </c>
      <c r="AW105" s="153">
        <f t="shared" si="84"/>
        <v>603</v>
      </c>
      <c r="AX105" s="153">
        <f t="shared" si="84"/>
        <v>603</v>
      </c>
      <c r="AY105" s="153">
        <f t="shared" si="84"/>
        <v>603</v>
      </c>
      <c r="AZ105" s="153">
        <f t="shared" si="84"/>
        <v>588</v>
      </c>
      <c r="BA105" s="153">
        <f t="shared" si="84"/>
        <v>588</v>
      </c>
      <c r="BB105" s="153">
        <f t="shared" si="84"/>
        <v>588</v>
      </c>
      <c r="BC105" s="153">
        <f t="shared" si="84"/>
        <v>573</v>
      </c>
      <c r="BD105" s="153">
        <f t="shared" si="84"/>
        <v>573</v>
      </c>
      <c r="BE105" s="153">
        <f t="shared" si="84"/>
        <v>573</v>
      </c>
      <c r="BF105" s="153">
        <f t="shared" si="84"/>
        <v>557</v>
      </c>
      <c r="BG105" s="153">
        <f t="shared" si="84"/>
        <v>557</v>
      </c>
      <c r="BH105" s="153">
        <f t="shared" si="84"/>
        <v>557</v>
      </c>
      <c r="BI105" s="153">
        <f t="shared" si="84"/>
        <v>541</v>
      </c>
      <c r="BJ105" s="153">
        <f t="shared" si="84"/>
        <v>541</v>
      </c>
      <c r="BK105" s="67"/>
      <c r="BL105" s="152">
        <f t="shared" ref="BL105:BO109" si="85">V105</f>
        <v>0</v>
      </c>
      <c r="BM105" s="152">
        <f t="shared" si="85"/>
        <v>727</v>
      </c>
      <c r="BN105" s="152">
        <f t="shared" si="85"/>
        <v>665</v>
      </c>
      <c r="BO105" s="152">
        <f t="shared" si="85"/>
        <v>603</v>
      </c>
      <c r="BP105" s="153">
        <f t="shared" ref="BP105:BW105" si="86">BO109</f>
        <v>541</v>
      </c>
      <c r="BQ105" s="153">
        <f t="shared" si="86"/>
        <v>541</v>
      </c>
      <c r="BR105" s="153">
        <f t="shared" si="86"/>
        <v>541</v>
      </c>
      <c r="BS105" s="153">
        <f t="shared" si="86"/>
        <v>541</v>
      </c>
      <c r="BT105" s="153">
        <f t="shared" si="86"/>
        <v>541</v>
      </c>
      <c r="BU105" s="153">
        <f t="shared" si="86"/>
        <v>541</v>
      </c>
      <c r="BV105" s="153">
        <f t="shared" si="86"/>
        <v>541</v>
      </c>
      <c r="BW105" s="153">
        <f t="shared" si="86"/>
        <v>541</v>
      </c>
      <c r="BX105" s="67"/>
      <c r="BY105" s="12"/>
      <c r="CA105" s="12"/>
      <c r="CG105" s="67"/>
      <c r="CH105" s="67"/>
      <c r="CI105" s="67"/>
      <c r="CK105" s="67"/>
      <c r="CL105" s="67"/>
      <c r="CR105" s="12"/>
      <c r="CS105" s="93">
        <f t="shared" si="15"/>
        <v>0</v>
      </c>
      <c r="CT105" s="93">
        <v>1</v>
      </c>
      <c r="CU105" s="93">
        <v>0</v>
      </c>
      <c r="EX105" s="13" t="str">
        <f>IF(C105="", "", CONCATENATE(D104, " ",D105))</f>
        <v>Loan 4 Opening Loan Balance</v>
      </c>
    </row>
    <row r="106" spans="1:154" s="5" customFormat="1" x14ac:dyDescent="0.25">
      <c r="A106" s="362" cm="1">
        <f t="array" aca="1" ref="A106" ca="1">HYPERLINK(CONCATENATE("#",CELL("address",IF(SUM($CA106:$CR106)=0,A106,INDEX($CA106:$CR106,MATCH(1,$CA106:$CR106,0))))),SUM($CA106:$CR106))</f>
        <v>0</v>
      </c>
      <c r="B106" s="67"/>
      <c r="C106" s="340" t="s">
        <v>1269</v>
      </c>
      <c r="D106" s="51" t="s">
        <v>219</v>
      </c>
      <c r="E106" s="1"/>
      <c r="F106" s="67"/>
      <c r="G106" s="9" t="s">
        <v>413</v>
      </c>
      <c r="H106" s="50" t="s">
        <v>125</v>
      </c>
      <c r="I106" s="67"/>
      <c r="J106" s="67"/>
      <c r="K106" s="67"/>
      <c r="L106" s="67"/>
      <c r="M106" s="67"/>
      <c r="N106" s="67"/>
      <c r="O106" s="67"/>
      <c r="P106" s="67"/>
      <c r="Q106" s="67"/>
      <c r="R106" s="67"/>
      <c r="S106" s="335"/>
      <c r="T106" s="25"/>
      <c r="U106" s="25"/>
      <c r="V106" s="222"/>
      <c r="W106" s="215">
        <f t="shared" ref="W106:Y108" si="87" xml:space="preserve"> SUMIFS($AA106:$BJ106, $AA$3:$BJ$3, W$3)</f>
        <v>0</v>
      </c>
      <c r="X106" s="215">
        <f t="shared" si="87"/>
        <v>0</v>
      </c>
      <c r="Y106" s="215">
        <f t="shared" si="87"/>
        <v>0</v>
      </c>
      <c r="Z106" s="6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67"/>
      <c r="BL106" s="152">
        <f t="shared" si="85"/>
        <v>0</v>
      </c>
      <c r="BM106" s="152">
        <f t="shared" si="85"/>
        <v>0</v>
      </c>
      <c r="BN106" s="152">
        <f t="shared" si="85"/>
        <v>0</v>
      </c>
      <c r="BO106" s="152">
        <f t="shared" si="85"/>
        <v>0</v>
      </c>
      <c r="BP106" s="156"/>
      <c r="BQ106" s="156"/>
      <c r="BR106" s="156"/>
      <c r="BS106" s="156"/>
      <c r="BT106" s="156"/>
      <c r="BU106" s="156"/>
      <c r="BV106" s="156"/>
      <c r="BW106" s="156"/>
      <c r="BX106" s="67"/>
      <c r="BY106" s="12"/>
      <c r="BZ106" s="395">
        <f>IF(MIN($V106:$BW106)&lt;0, 1, 0)</f>
        <v>0</v>
      </c>
      <c r="CA106" s="12"/>
      <c r="CB106" s="335"/>
      <c r="CC106" s="335"/>
      <c r="CD106" s="335"/>
      <c r="CE106" s="335"/>
      <c r="CF106" s="67"/>
      <c r="CG106" s="67"/>
      <c r="CH106" s="67"/>
      <c r="CI106" s="67"/>
      <c r="CJ106" s="67"/>
      <c r="CK106" s="67"/>
      <c r="CL106" s="67"/>
      <c r="CM106" s="7">
        <f t="shared" ref="CM106:CO108" si="88">IF(ROUND(W106-SUMIFS($AA106:$BJ106, $AA$3:$BJ$3, W$3), rounding)=0, 0, 1)</f>
        <v>0</v>
      </c>
      <c r="CN106" s="7">
        <f t="shared" si="88"/>
        <v>0</v>
      </c>
      <c r="CO106" s="7">
        <f t="shared" si="88"/>
        <v>0</v>
      </c>
      <c r="CP106" s="7">
        <f>IF(ROUND(V106-BL106, rounding)=0, 0, 1)*'BS Forecasts'!$V$10</f>
        <v>0</v>
      </c>
      <c r="CQ106" s="67"/>
      <c r="CR106" s="12"/>
      <c r="CS106" s="93">
        <f t="shared" si="15"/>
        <v>0</v>
      </c>
      <c r="CT106" s="93">
        <v>1</v>
      </c>
      <c r="CU106" s="93">
        <v>1</v>
      </c>
      <c r="EX106" s="13" t="str">
        <f>IF(C106="", "", CONCATENATE(D104, " ",D106))</f>
        <v>Loan 4 Drawdowns</v>
      </c>
    </row>
    <row r="107" spans="1:154" x14ac:dyDescent="0.25">
      <c r="A107" s="362" cm="1">
        <f t="array" aca="1" ref="A107" ca="1">HYPERLINK(CONCATENATE("#",CELL("address",IF(SUM($CA107:$CR107)=0,A107,INDEX($CA107:$CR107,MATCH(1,$CA107:$CR107,0))))),SUM($CA107:$CR107))</f>
        <v>0</v>
      </c>
      <c r="B107" s="67"/>
      <c r="C107" s="340" t="s">
        <v>1270</v>
      </c>
      <c r="D107" s="41" t="s">
        <v>1570</v>
      </c>
      <c r="F107" s="25"/>
      <c r="G107" s="9" t="s">
        <v>413</v>
      </c>
      <c r="H107" s="50" t="s">
        <v>157</v>
      </c>
      <c r="I107" s="67"/>
      <c r="J107" s="67"/>
      <c r="K107" s="67"/>
      <c r="L107" s="67"/>
      <c r="M107" s="67"/>
      <c r="N107" s="67"/>
      <c r="O107" s="67"/>
      <c r="P107" s="67"/>
      <c r="Q107" s="67"/>
      <c r="R107" s="67"/>
      <c r="S107" s="335"/>
      <c r="T107" s="25"/>
      <c r="U107" s="25"/>
      <c r="V107" s="222"/>
      <c r="W107" s="215">
        <f t="shared" si="87"/>
        <v>-62</v>
      </c>
      <c r="X107" s="215">
        <f t="shared" si="87"/>
        <v>-62</v>
      </c>
      <c r="Y107" s="215">
        <f t="shared" si="87"/>
        <v>-62</v>
      </c>
      <c r="Z107" s="67"/>
      <c r="AA107" s="147">
        <v>-15</v>
      </c>
      <c r="AB107" s="147"/>
      <c r="AC107" s="147"/>
      <c r="AD107" s="147">
        <v>-15</v>
      </c>
      <c r="AE107" s="147"/>
      <c r="AF107" s="147"/>
      <c r="AG107" s="147">
        <v>-16</v>
      </c>
      <c r="AH107" s="147"/>
      <c r="AI107" s="147"/>
      <c r="AJ107" s="147">
        <v>-16</v>
      </c>
      <c r="AK107" s="147"/>
      <c r="AL107" s="147"/>
      <c r="AM107" s="147">
        <v>-15</v>
      </c>
      <c r="AN107" s="147"/>
      <c r="AO107" s="147"/>
      <c r="AP107" s="147">
        <v>-15</v>
      </c>
      <c r="AQ107" s="147"/>
      <c r="AR107" s="147"/>
      <c r="AS107" s="147">
        <v>-16</v>
      </c>
      <c r="AT107" s="147"/>
      <c r="AU107" s="147"/>
      <c r="AV107" s="147">
        <v>-16</v>
      </c>
      <c r="AW107" s="147"/>
      <c r="AX107" s="147"/>
      <c r="AY107" s="147">
        <v>-15</v>
      </c>
      <c r="AZ107" s="147"/>
      <c r="BA107" s="147"/>
      <c r="BB107" s="147">
        <v>-15</v>
      </c>
      <c r="BC107" s="147"/>
      <c r="BD107" s="147"/>
      <c r="BE107" s="147">
        <v>-16</v>
      </c>
      <c r="BF107" s="147"/>
      <c r="BG107" s="147"/>
      <c r="BH107" s="147">
        <v>-16</v>
      </c>
      <c r="BI107" s="147"/>
      <c r="BJ107" s="147"/>
      <c r="BK107" s="67"/>
      <c r="BL107" s="152">
        <f t="shared" si="85"/>
        <v>0</v>
      </c>
      <c r="BM107" s="152">
        <f t="shared" si="85"/>
        <v>-62</v>
      </c>
      <c r="BN107" s="152">
        <f t="shared" si="85"/>
        <v>-62</v>
      </c>
      <c r="BO107" s="152">
        <f t="shared" si="85"/>
        <v>-62</v>
      </c>
      <c r="BP107" s="156"/>
      <c r="BQ107" s="156"/>
      <c r="BR107" s="156"/>
      <c r="BS107" s="156"/>
      <c r="BT107" s="156"/>
      <c r="BU107" s="156"/>
      <c r="BV107" s="156"/>
      <c r="BW107" s="156"/>
      <c r="BX107" s="67"/>
      <c r="BY107" s="12"/>
      <c r="BZ107" s="395">
        <f>IF(MAX($V107:$BW107)&gt;0, 1, 0)</f>
        <v>0</v>
      </c>
      <c r="CA107" s="12"/>
      <c r="CG107" s="67"/>
      <c r="CH107" s="67"/>
      <c r="CI107" s="67"/>
      <c r="CK107" s="67"/>
      <c r="CL107" s="67"/>
      <c r="CM107" s="7">
        <f t="shared" si="88"/>
        <v>0</v>
      </c>
      <c r="CN107" s="7">
        <f t="shared" si="88"/>
        <v>0</v>
      </c>
      <c r="CO107" s="7">
        <f t="shared" si="88"/>
        <v>0</v>
      </c>
      <c r="CP107" s="7">
        <f>IF(ROUND(V107-BL107, rounding)=0, 0, 1)*'BS Forecasts'!$V$10</f>
        <v>0</v>
      </c>
      <c r="CR107" s="12"/>
      <c r="CS107" s="93">
        <f t="shared" si="15"/>
        <v>0</v>
      </c>
      <c r="CT107" s="93">
        <v>1</v>
      </c>
      <c r="CU107" s="93">
        <v>1</v>
      </c>
      <c r="EX107" s="13" t="str">
        <f>IF(C107="", "", CONCATENATE(D104, " ",D107))</f>
        <v>Loan 4 Loan Capital Repayment (as per loan agreement)</v>
      </c>
    </row>
    <row r="108" spans="1:154" s="335" customFormat="1" x14ac:dyDescent="0.25">
      <c r="A108" s="362" cm="1">
        <f t="array" aca="1" ref="A108" ca="1">HYPERLINK(CONCATENATE("#",CELL("address",IF(SUM($CA108:$CR108)=0,A108,INDEX($CA108:$CR108,MATCH(1,$CA108:$CR108,0))))),SUM($CA108:$CR108))</f>
        <v>0</v>
      </c>
      <c r="C108" s="340" t="s">
        <v>1589</v>
      </c>
      <c r="D108" s="41" t="s">
        <v>1571</v>
      </c>
      <c r="E108" s="1"/>
      <c r="G108" s="9" t="s">
        <v>413</v>
      </c>
      <c r="H108" s="50" t="s">
        <v>157</v>
      </c>
      <c r="T108" s="25"/>
      <c r="U108" s="25"/>
      <c r="V108" s="210"/>
      <c r="W108" s="215">
        <f t="shared" si="87"/>
        <v>0</v>
      </c>
      <c r="X108" s="215">
        <f t="shared" si="87"/>
        <v>0</v>
      </c>
      <c r="Y108" s="215">
        <f t="shared" si="87"/>
        <v>0</v>
      </c>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L108" s="13">
        <f t="shared" si="85"/>
        <v>0</v>
      </c>
      <c r="BM108" s="13">
        <f t="shared" si="85"/>
        <v>0</v>
      </c>
      <c r="BN108" s="13">
        <f t="shared" si="85"/>
        <v>0</v>
      </c>
      <c r="BO108" s="13">
        <f t="shared" si="85"/>
        <v>0</v>
      </c>
      <c r="BP108" s="141"/>
      <c r="BQ108" s="141"/>
      <c r="BR108" s="141"/>
      <c r="BS108" s="141"/>
      <c r="BT108" s="141"/>
      <c r="BU108" s="141"/>
      <c r="BV108" s="141"/>
      <c r="BW108" s="141"/>
      <c r="BY108" s="12"/>
      <c r="BZ108" s="395">
        <f>IF(MAX($V108:$BW108)&gt;0, 1, 0)</f>
        <v>0</v>
      </c>
      <c r="CA108" s="12"/>
      <c r="CM108" s="7">
        <f t="shared" si="88"/>
        <v>0</v>
      </c>
      <c r="CN108" s="7">
        <f t="shared" si="88"/>
        <v>0</v>
      </c>
      <c r="CO108" s="7">
        <f t="shared" si="88"/>
        <v>0</v>
      </c>
      <c r="CP108" s="7">
        <f>IF(ROUND(V108-BL108, rounding)=0, 0, 1)*'BS Forecasts'!$V$10</f>
        <v>0</v>
      </c>
      <c r="CR108" s="12"/>
      <c r="CS108" s="93">
        <f t="shared" si="15"/>
        <v>0</v>
      </c>
      <c r="CT108" s="93">
        <v>1</v>
      </c>
      <c r="CU108" s="93">
        <v>1</v>
      </c>
      <c r="EX108" s="13" t="str">
        <f>IF(C108="", "", CONCATENATE(D104, " ",D108))</f>
        <v xml:space="preserve">Loan 4 Early Repayment </v>
      </c>
    </row>
    <row r="109" spans="1:154" x14ac:dyDescent="0.25">
      <c r="A109" s="67"/>
      <c r="B109" s="67"/>
      <c r="C109" s="340" t="s">
        <v>1356</v>
      </c>
      <c r="D109" s="51" t="s">
        <v>231</v>
      </c>
      <c r="F109" s="67"/>
      <c r="G109" s="9" t="s">
        <v>413</v>
      </c>
      <c r="H109" s="50" t="s">
        <v>8</v>
      </c>
      <c r="I109" s="67"/>
      <c r="J109" s="67"/>
      <c r="K109" s="67"/>
      <c r="L109" s="67"/>
      <c r="M109" s="67"/>
      <c r="N109" s="67"/>
      <c r="O109" s="67"/>
      <c r="P109" s="67"/>
      <c r="Q109" s="67"/>
      <c r="R109" s="67"/>
      <c r="S109" s="335"/>
      <c r="T109" s="25"/>
      <c r="U109" s="25"/>
      <c r="V109" s="13">
        <f>$G$16</f>
        <v>727</v>
      </c>
      <c r="W109" s="153">
        <f>SUM(W105:W108)</f>
        <v>665</v>
      </c>
      <c r="X109" s="153">
        <f t="shared" ref="X109:BJ109" si="89">SUM(X105:X108)</f>
        <v>603</v>
      </c>
      <c r="Y109" s="153">
        <f t="shared" si="89"/>
        <v>541</v>
      </c>
      <c r="Z109" s="335"/>
      <c r="AA109" s="153">
        <f t="shared" si="89"/>
        <v>712</v>
      </c>
      <c r="AB109" s="153">
        <f t="shared" si="89"/>
        <v>712</v>
      </c>
      <c r="AC109" s="153">
        <f t="shared" si="89"/>
        <v>712</v>
      </c>
      <c r="AD109" s="153">
        <f t="shared" si="89"/>
        <v>697</v>
      </c>
      <c r="AE109" s="153">
        <f t="shared" si="89"/>
        <v>697</v>
      </c>
      <c r="AF109" s="153">
        <f t="shared" si="89"/>
        <v>697</v>
      </c>
      <c r="AG109" s="153">
        <f t="shared" si="89"/>
        <v>681</v>
      </c>
      <c r="AH109" s="153">
        <f t="shared" si="89"/>
        <v>681</v>
      </c>
      <c r="AI109" s="153">
        <f t="shared" si="89"/>
        <v>681</v>
      </c>
      <c r="AJ109" s="153">
        <f t="shared" si="89"/>
        <v>665</v>
      </c>
      <c r="AK109" s="153">
        <f t="shared" si="89"/>
        <v>665</v>
      </c>
      <c r="AL109" s="153">
        <f t="shared" si="89"/>
        <v>665</v>
      </c>
      <c r="AM109" s="153">
        <f t="shared" si="89"/>
        <v>650</v>
      </c>
      <c r="AN109" s="153">
        <f t="shared" si="89"/>
        <v>650</v>
      </c>
      <c r="AO109" s="153">
        <f t="shared" si="89"/>
        <v>650</v>
      </c>
      <c r="AP109" s="153">
        <f t="shared" si="89"/>
        <v>635</v>
      </c>
      <c r="AQ109" s="153">
        <f t="shared" si="89"/>
        <v>635</v>
      </c>
      <c r="AR109" s="153">
        <f t="shared" si="89"/>
        <v>635</v>
      </c>
      <c r="AS109" s="153">
        <f t="shared" si="89"/>
        <v>619</v>
      </c>
      <c r="AT109" s="153">
        <f t="shared" si="89"/>
        <v>619</v>
      </c>
      <c r="AU109" s="153">
        <f t="shared" si="89"/>
        <v>619</v>
      </c>
      <c r="AV109" s="153">
        <f t="shared" si="89"/>
        <v>603</v>
      </c>
      <c r="AW109" s="153">
        <f t="shared" si="89"/>
        <v>603</v>
      </c>
      <c r="AX109" s="153">
        <f t="shared" si="89"/>
        <v>603</v>
      </c>
      <c r="AY109" s="153">
        <f t="shared" si="89"/>
        <v>588</v>
      </c>
      <c r="AZ109" s="153">
        <f t="shared" si="89"/>
        <v>588</v>
      </c>
      <c r="BA109" s="153">
        <f t="shared" si="89"/>
        <v>588</v>
      </c>
      <c r="BB109" s="153">
        <f t="shared" si="89"/>
        <v>573</v>
      </c>
      <c r="BC109" s="153">
        <f t="shared" si="89"/>
        <v>573</v>
      </c>
      <c r="BD109" s="153">
        <f t="shared" si="89"/>
        <v>573</v>
      </c>
      <c r="BE109" s="153">
        <f t="shared" si="89"/>
        <v>557</v>
      </c>
      <c r="BF109" s="153">
        <f t="shared" si="89"/>
        <v>557</v>
      </c>
      <c r="BG109" s="153">
        <f t="shared" si="89"/>
        <v>557</v>
      </c>
      <c r="BH109" s="153">
        <f t="shared" si="89"/>
        <v>541</v>
      </c>
      <c r="BI109" s="153">
        <f t="shared" si="89"/>
        <v>541</v>
      </c>
      <c r="BJ109" s="153">
        <f t="shared" si="89"/>
        <v>541</v>
      </c>
      <c r="BK109" s="67"/>
      <c r="BL109" s="152">
        <f t="shared" si="85"/>
        <v>727</v>
      </c>
      <c r="BM109" s="152">
        <f t="shared" si="85"/>
        <v>665</v>
      </c>
      <c r="BN109" s="152">
        <f t="shared" si="85"/>
        <v>603</v>
      </c>
      <c r="BO109" s="152">
        <f t="shared" si="85"/>
        <v>541</v>
      </c>
      <c r="BP109" s="153">
        <f t="shared" ref="BP109" si="90">SUM(BP105:BP108)</f>
        <v>541</v>
      </c>
      <c r="BQ109" s="153">
        <f t="shared" ref="BQ109" si="91">SUM(BQ105:BQ108)</f>
        <v>541</v>
      </c>
      <c r="BR109" s="153">
        <f t="shared" ref="BR109" si="92">SUM(BR105:BR108)</f>
        <v>541</v>
      </c>
      <c r="BS109" s="153">
        <f t="shared" ref="BS109" si="93">SUM(BS105:BS108)</f>
        <v>541</v>
      </c>
      <c r="BT109" s="153">
        <f t="shared" ref="BT109" si="94">SUM(BT105:BT108)</f>
        <v>541</v>
      </c>
      <c r="BU109" s="153">
        <f t="shared" ref="BU109" si="95">SUM(BU105:BU108)</f>
        <v>541</v>
      </c>
      <c r="BV109" s="153">
        <f t="shared" ref="BV109" si="96">SUM(BV105:BV108)</f>
        <v>541</v>
      </c>
      <c r="BW109" s="153">
        <f t="shared" ref="BW109" si="97">SUM(BW105:BW108)</f>
        <v>541</v>
      </c>
      <c r="BX109" s="67"/>
      <c r="BY109" s="12"/>
      <c r="CA109" s="12"/>
      <c r="CG109" s="67"/>
      <c r="CH109" s="67"/>
      <c r="CI109" s="67"/>
      <c r="CK109" s="67"/>
      <c r="CL109" s="67"/>
      <c r="CR109" s="12"/>
      <c r="CS109" s="93">
        <f t="shared" si="15"/>
        <v>0</v>
      </c>
      <c r="CT109" s="93">
        <v>0</v>
      </c>
      <c r="CU109" s="93">
        <v>0</v>
      </c>
      <c r="EX109" s="13" t="str">
        <f>IF(C109="", "", CONCATENATE(D104, " ",D109))</f>
        <v>Loan 4 Closing Loan Balance</v>
      </c>
    </row>
    <row r="110" spans="1:154" ht="6.6" customHeight="1" x14ac:dyDescent="0.25">
      <c r="A110" s="67"/>
      <c r="B110" s="67"/>
      <c r="C110" s="380"/>
      <c r="D110" s="1"/>
      <c r="E110" s="67"/>
      <c r="F110" s="67"/>
      <c r="G110" s="67"/>
      <c r="H110" s="67"/>
      <c r="I110" s="67"/>
      <c r="J110" s="67"/>
      <c r="K110" s="67"/>
      <c r="L110" s="67"/>
      <c r="M110" s="67"/>
      <c r="N110" s="67"/>
      <c r="O110" s="67"/>
      <c r="P110" s="67"/>
      <c r="Q110" s="67"/>
      <c r="R110" s="67"/>
      <c r="S110" s="335"/>
      <c r="T110" s="25"/>
      <c r="U110" s="25"/>
      <c r="V110" s="229"/>
      <c r="W110" s="25"/>
      <c r="X110" s="25"/>
      <c r="Y110" s="25"/>
      <c r="Z110" s="67"/>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67"/>
      <c r="BL110" s="25"/>
      <c r="BM110" s="155"/>
      <c r="BN110" s="25"/>
      <c r="BO110" s="25"/>
      <c r="BP110" s="25"/>
      <c r="BQ110" s="25"/>
      <c r="BR110" s="25"/>
      <c r="BS110" s="25"/>
      <c r="BT110" s="25"/>
      <c r="BU110" s="25"/>
      <c r="BV110" s="25"/>
      <c r="BW110" s="25"/>
      <c r="BX110" s="67"/>
      <c r="BY110" s="42"/>
      <c r="CA110" s="42"/>
      <c r="CG110" s="67"/>
      <c r="CH110" s="67"/>
      <c r="CI110" s="67"/>
      <c r="CK110" s="67"/>
      <c r="CL110" s="67"/>
      <c r="CR110" s="42"/>
      <c r="CS110" s="93">
        <f t="shared" si="15"/>
        <v>0</v>
      </c>
      <c r="CT110" s="93">
        <v>0</v>
      </c>
      <c r="CU110" s="93">
        <v>0</v>
      </c>
      <c r="EX110" s="13" t="str">
        <f>IF(C110="", "", CONCATENATE(D104, " ",D110))</f>
        <v/>
      </c>
    </row>
    <row r="111" spans="1:154" x14ac:dyDescent="0.25">
      <c r="A111" s="362" cm="1">
        <f t="array" aca="1" ref="A111" ca="1">HYPERLINK(CONCATENATE("#",CELL("address",IF(SUM($CA111:$CR111)=0,A111,INDEX($CA111:$CR111,MATCH(1,$CA111:$CR111,0))))),SUM($CA111:$CR111))</f>
        <v>0</v>
      </c>
      <c r="B111" s="67"/>
      <c r="C111" s="380"/>
      <c r="D111" s="51" t="s">
        <v>526</v>
      </c>
      <c r="E111" s="160" t="s">
        <v>523</v>
      </c>
      <c r="F111" s="153">
        <f>$F$16</f>
        <v>1250</v>
      </c>
      <c r="G111" s="67"/>
      <c r="H111" s="67"/>
      <c r="I111" s="67"/>
      <c r="J111" s="67"/>
      <c r="K111" s="67"/>
      <c r="L111" s="67"/>
      <c r="M111" s="67"/>
      <c r="N111" s="67"/>
      <c r="O111" s="67"/>
      <c r="P111" s="67"/>
      <c r="Q111" s="67"/>
      <c r="R111" s="67"/>
      <c r="S111" s="335"/>
      <c r="T111" s="25"/>
      <c r="U111" s="25"/>
      <c r="V111" s="230">
        <f>IF(OR(V109&gt;$F111, V109&lt;0), 1, 0)</f>
        <v>0</v>
      </c>
      <c r="W111" s="154">
        <f>IF(OR(W109&gt;$F111, W109&lt;0), 1, 0)</f>
        <v>0</v>
      </c>
      <c r="X111" s="154">
        <f>IF(OR(X109&gt;$F111, X109&lt;0), 1, 0)</f>
        <v>0</v>
      </c>
      <c r="Y111" s="154">
        <f>IF(OR(Y109&gt;$F111, Y109&lt;0), 1, 0)</f>
        <v>0</v>
      </c>
      <c r="Z111" s="67"/>
      <c r="AA111" s="154">
        <f t="shared" ref="AA111:BJ111" si="98">IF(OR(AA109&gt;$F111, AA109&lt;0), 1, 0)</f>
        <v>0</v>
      </c>
      <c r="AB111" s="154">
        <f t="shared" si="98"/>
        <v>0</v>
      </c>
      <c r="AC111" s="154">
        <f t="shared" si="98"/>
        <v>0</v>
      </c>
      <c r="AD111" s="154">
        <f t="shared" si="98"/>
        <v>0</v>
      </c>
      <c r="AE111" s="154">
        <f t="shared" si="98"/>
        <v>0</v>
      </c>
      <c r="AF111" s="154">
        <f t="shared" si="98"/>
        <v>0</v>
      </c>
      <c r="AG111" s="154">
        <f t="shared" si="98"/>
        <v>0</v>
      </c>
      <c r="AH111" s="154">
        <f t="shared" si="98"/>
        <v>0</v>
      </c>
      <c r="AI111" s="154">
        <f t="shared" si="98"/>
        <v>0</v>
      </c>
      <c r="AJ111" s="154">
        <f t="shared" si="98"/>
        <v>0</v>
      </c>
      <c r="AK111" s="154">
        <f t="shared" si="98"/>
        <v>0</v>
      </c>
      <c r="AL111" s="154">
        <f t="shared" si="98"/>
        <v>0</v>
      </c>
      <c r="AM111" s="154">
        <f t="shared" si="98"/>
        <v>0</v>
      </c>
      <c r="AN111" s="154">
        <f t="shared" si="98"/>
        <v>0</v>
      </c>
      <c r="AO111" s="154">
        <f t="shared" si="98"/>
        <v>0</v>
      </c>
      <c r="AP111" s="154">
        <f t="shared" si="98"/>
        <v>0</v>
      </c>
      <c r="AQ111" s="154">
        <f t="shared" si="98"/>
        <v>0</v>
      </c>
      <c r="AR111" s="154">
        <f t="shared" si="98"/>
        <v>0</v>
      </c>
      <c r="AS111" s="154">
        <f t="shared" si="98"/>
        <v>0</v>
      </c>
      <c r="AT111" s="154">
        <f t="shared" si="98"/>
        <v>0</v>
      </c>
      <c r="AU111" s="154">
        <f t="shared" si="98"/>
        <v>0</v>
      </c>
      <c r="AV111" s="154">
        <f t="shared" si="98"/>
        <v>0</v>
      </c>
      <c r="AW111" s="154">
        <f t="shared" si="98"/>
        <v>0</v>
      </c>
      <c r="AX111" s="154">
        <f t="shared" si="98"/>
        <v>0</v>
      </c>
      <c r="AY111" s="154">
        <f t="shared" si="98"/>
        <v>0</v>
      </c>
      <c r="AZ111" s="154">
        <f t="shared" si="98"/>
        <v>0</v>
      </c>
      <c r="BA111" s="154">
        <f t="shared" si="98"/>
        <v>0</v>
      </c>
      <c r="BB111" s="154">
        <f t="shared" si="98"/>
        <v>0</v>
      </c>
      <c r="BC111" s="154">
        <f t="shared" si="98"/>
        <v>0</v>
      </c>
      <c r="BD111" s="154">
        <f t="shared" si="98"/>
        <v>0</v>
      </c>
      <c r="BE111" s="154">
        <f t="shared" si="98"/>
        <v>0</v>
      </c>
      <c r="BF111" s="154">
        <f t="shared" si="98"/>
        <v>0</v>
      </c>
      <c r="BG111" s="154">
        <f t="shared" si="98"/>
        <v>0</v>
      </c>
      <c r="BH111" s="154">
        <f t="shared" si="98"/>
        <v>0</v>
      </c>
      <c r="BI111" s="154">
        <f t="shared" si="98"/>
        <v>0</v>
      </c>
      <c r="BJ111" s="154">
        <f t="shared" si="98"/>
        <v>0</v>
      </c>
      <c r="BK111" s="67"/>
      <c r="BL111" s="154">
        <f t="shared" ref="BL111" si="99">IF(OR(BL109&gt;$F111, BL109&lt;0), 1, 0)</f>
        <v>0</v>
      </c>
      <c r="BM111" s="154">
        <f t="shared" ref="BM111:BW111" si="100">IF(OR(BM109&gt;$F111, BM109&lt;0), 1, 0)</f>
        <v>0</v>
      </c>
      <c r="BN111" s="154">
        <f t="shared" si="100"/>
        <v>0</v>
      </c>
      <c r="BO111" s="154">
        <f t="shared" si="100"/>
        <v>0</v>
      </c>
      <c r="BP111" s="154">
        <f t="shared" si="100"/>
        <v>0</v>
      </c>
      <c r="BQ111" s="154">
        <f t="shared" si="100"/>
        <v>0</v>
      </c>
      <c r="BR111" s="154">
        <f t="shared" si="100"/>
        <v>0</v>
      </c>
      <c r="BS111" s="154">
        <f t="shared" si="100"/>
        <v>0</v>
      </c>
      <c r="BT111" s="154">
        <f t="shared" si="100"/>
        <v>0</v>
      </c>
      <c r="BU111" s="154">
        <f t="shared" si="100"/>
        <v>0</v>
      </c>
      <c r="BV111" s="154">
        <f t="shared" si="100"/>
        <v>0</v>
      </c>
      <c r="BW111" s="154">
        <f t="shared" si="100"/>
        <v>0</v>
      </c>
      <c r="BX111" s="67"/>
      <c r="BY111" s="12"/>
      <c r="CA111" s="12"/>
      <c r="CG111" s="67"/>
      <c r="CH111" s="67"/>
      <c r="CI111" s="67"/>
      <c r="CK111" s="67"/>
      <c r="CL111" s="7">
        <f>IF(MAX(V111:BW111)&gt;0, 1, 0)</f>
        <v>0</v>
      </c>
      <c r="CR111" s="12"/>
      <c r="CS111" s="93">
        <f t="shared" si="15"/>
        <v>1</v>
      </c>
      <c r="CT111" s="93">
        <v>0</v>
      </c>
      <c r="CU111" s="93">
        <v>0</v>
      </c>
      <c r="EX111" s="13" t="str">
        <f>IF(C111="", "", CONCATENATE(D104, " ",D111))</f>
        <v/>
      </c>
    </row>
    <row r="112" spans="1:154" x14ac:dyDescent="0.25">
      <c r="A112" s="362" cm="1">
        <f t="array" aca="1" ref="A112" ca="1">HYPERLINK(CONCATENATE("#",CELL("address",IF(SUM($CA112:$CR112)=0,A112,INDEX($CA112:$CR112,MATCH(1,$CA112:$CR112,0))))),SUM($CA112:$CR112))</f>
        <v>0</v>
      </c>
      <c r="B112" s="67"/>
      <c r="C112" s="380"/>
      <c r="D112" s="51" t="s">
        <v>220</v>
      </c>
      <c r="E112" s="160" t="s">
        <v>524</v>
      </c>
      <c r="F112" s="173" t="str">
        <f>IF($J$16="", "", $J$16)</f>
        <v/>
      </c>
      <c r="G112" s="67"/>
      <c r="H112" s="67"/>
      <c r="I112" s="67"/>
      <c r="J112" s="67"/>
      <c r="K112" s="67"/>
      <c r="L112" s="67"/>
      <c r="M112" s="67"/>
      <c r="N112" s="67"/>
      <c r="O112" s="67"/>
      <c r="P112" s="67"/>
      <c r="Q112" s="67"/>
      <c r="R112" s="67"/>
      <c r="S112" s="335"/>
      <c r="T112" s="25"/>
      <c r="U112" s="25"/>
      <c r="V112" s="230">
        <f>IF(AND(V$5&gt;=$F112,SUM(V109:$Y109)&lt;&gt;0),1,0)</f>
        <v>0</v>
      </c>
      <c r="W112" s="230">
        <f>IF(AND(W$5&gt;=$F112,SUM(W109:$Y109)&lt;&gt;0),1,0)</f>
        <v>0</v>
      </c>
      <c r="X112" s="230">
        <f>IF(AND(X$5&gt;=$F112,SUM(X109:$Y109)&lt;&gt;0),1,0)</f>
        <v>0</v>
      </c>
      <c r="Y112" s="230">
        <f>IF(AND(Y$5&gt;=$F112,SUM(Y109:$Y109)&lt;&gt;0),1,0)</f>
        <v>0</v>
      </c>
      <c r="Z112" s="67"/>
      <c r="AA112" s="154">
        <f>IF(AND(AA$5&gt;=$F112,SUM(AA109:$BJ109)&lt;&gt;0),1,0)</f>
        <v>0</v>
      </c>
      <c r="AB112" s="154">
        <f>IF(AND(AB$5&gt;=$F112,SUM(AB109:$BJ109)&lt;&gt;0),1,0)</f>
        <v>0</v>
      </c>
      <c r="AC112" s="154">
        <f>IF(AND(AC$5&gt;=$F112,SUM(AC109:$BJ109)&lt;&gt;0),1,0)</f>
        <v>0</v>
      </c>
      <c r="AD112" s="154">
        <f>IF(AND(AD$5&gt;=$F112,SUM(AD109:$BJ109)&lt;&gt;0),1,0)</f>
        <v>0</v>
      </c>
      <c r="AE112" s="154">
        <f>IF(AND(AE$5&gt;=$F112,SUM(AE109:$BJ109)&lt;&gt;0),1,0)</f>
        <v>0</v>
      </c>
      <c r="AF112" s="154">
        <f>IF(AND(AF$5&gt;=$F112,SUM(AF109:$BJ109)&lt;&gt;0),1,0)</f>
        <v>0</v>
      </c>
      <c r="AG112" s="154">
        <f>IF(AND(AG$5&gt;=$F112,SUM(AG109:$BJ109)&lt;&gt;0),1,0)</f>
        <v>0</v>
      </c>
      <c r="AH112" s="154">
        <f>IF(AND(AH$5&gt;=$F112,SUM(AH109:$BJ109)&lt;&gt;0),1,0)</f>
        <v>0</v>
      </c>
      <c r="AI112" s="154">
        <f>IF(AND(AI$5&gt;=$F112,SUM(AI109:$BJ109)&lt;&gt;0),1,0)</f>
        <v>0</v>
      </c>
      <c r="AJ112" s="154">
        <f>IF(AND(AJ$5&gt;=$F112,SUM(AJ109:$BJ109)&lt;&gt;0),1,0)</f>
        <v>0</v>
      </c>
      <c r="AK112" s="154">
        <f>IF(AND(AK$5&gt;=$F112,SUM(AK109:$BJ109)&lt;&gt;0),1,0)</f>
        <v>0</v>
      </c>
      <c r="AL112" s="154">
        <f>IF(AND(AL$5&gt;=$F112,SUM(AL109:$BJ109)&lt;&gt;0),1,0)</f>
        <v>0</v>
      </c>
      <c r="AM112" s="154">
        <f>IF(AND(AM$5&gt;=$F112,SUM(AM109:$BJ109)&lt;&gt;0),1,0)</f>
        <v>0</v>
      </c>
      <c r="AN112" s="154">
        <f>IF(AND(AN$5&gt;=$F112,SUM(AN109:$BJ109)&lt;&gt;0),1,0)</f>
        <v>0</v>
      </c>
      <c r="AO112" s="154">
        <f>IF(AND(AO$5&gt;=$F112,SUM(AO109:$BJ109)&lt;&gt;0),1,0)</f>
        <v>0</v>
      </c>
      <c r="AP112" s="154">
        <f>IF(AND(AP$5&gt;=$F112,SUM(AP109:$BJ109)&lt;&gt;0),1,0)</f>
        <v>0</v>
      </c>
      <c r="AQ112" s="154">
        <f>IF(AND(AQ$5&gt;=$F112,SUM(AQ109:$BJ109)&lt;&gt;0),1,0)</f>
        <v>0</v>
      </c>
      <c r="AR112" s="154">
        <f>IF(AND(AR$5&gt;=$F112,SUM(AR109:$BJ109)&lt;&gt;0),1,0)</f>
        <v>0</v>
      </c>
      <c r="AS112" s="154">
        <f>IF(AND(AS$5&gt;=$F112,SUM(AS109:$BJ109)&lt;&gt;0),1,0)</f>
        <v>0</v>
      </c>
      <c r="AT112" s="154">
        <f>IF(AND(AT$5&gt;=$F112,SUM(AT109:$BJ109)&lt;&gt;0),1,0)</f>
        <v>0</v>
      </c>
      <c r="AU112" s="154">
        <f>IF(AND(AU$5&gt;=$F112,SUM(AU109:$BJ109)&lt;&gt;0),1,0)</f>
        <v>0</v>
      </c>
      <c r="AV112" s="154">
        <f>IF(AND(AV$5&gt;=$F112,SUM(AV109:$BJ109)&lt;&gt;0),1,0)</f>
        <v>0</v>
      </c>
      <c r="AW112" s="154">
        <f>IF(AND(AW$5&gt;=$F112,SUM(AW109:$BJ109)&lt;&gt;0),1,0)</f>
        <v>0</v>
      </c>
      <c r="AX112" s="154">
        <f>IF(AND(AX$5&gt;=$F112,SUM(AX109:$BJ109)&lt;&gt;0),1,0)</f>
        <v>0</v>
      </c>
      <c r="AY112" s="154">
        <f>IF(AND(AY$5&gt;=$F112,SUM(AY109:$BJ109)&lt;&gt;0),1,0)</f>
        <v>0</v>
      </c>
      <c r="AZ112" s="154">
        <f>IF(AND(AZ$5&gt;=$F112,SUM(AZ109:$BJ109)&lt;&gt;0),1,0)</f>
        <v>0</v>
      </c>
      <c r="BA112" s="154">
        <f>IF(AND(BA$5&gt;=$F112,SUM(BA109:$BJ109)&lt;&gt;0),1,0)</f>
        <v>0</v>
      </c>
      <c r="BB112" s="154">
        <f>IF(AND(BB$5&gt;=$F112,SUM(BB109:$BJ109)&lt;&gt;0),1,0)</f>
        <v>0</v>
      </c>
      <c r="BC112" s="154">
        <f>IF(AND(BC$5&gt;=$F112,SUM(BC109:$BJ109)&lt;&gt;0),1,0)</f>
        <v>0</v>
      </c>
      <c r="BD112" s="154">
        <f>IF(AND(BD$5&gt;=$F112,SUM(BD109:$BJ109)&lt;&gt;0),1,0)</f>
        <v>0</v>
      </c>
      <c r="BE112" s="154">
        <f>IF(AND(BE$5&gt;=$F112,SUM(BE109:$BJ109)&lt;&gt;0),1,0)</f>
        <v>0</v>
      </c>
      <c r="BF112" s="154">
        <f>IF(AND(BF$5&gt;=$F112,SUM(BF109:$BJ109)&lt;&gt;0),1,0)</f>
        <v>0</v>
      </c>
      <c r="BG112" s="154">
        <f>IF(AND(BG$5&gt;=$F112,SUM(BG109:$BJ109)&lt;&gt;0),1,0)</f>
        <v>0</v>
      </c>
      <c r="BH112" s="154">
        <f>IF(AND(BH$5&gt;=$F112,SUM(BH109:$BJ109)&lt;&gt;0),1,0)</f>
        <v>0</v>
      </c>
      <c r="BI112" s="154">
        <f>IF(AND(BI$5&gt;=$F112,SUM(BI109:$BJ109)&lt;&gt;0),1,0)</f>
        <v>0</v>
      </c>
      <c r="BJ112" s="154">
        <f>IF(AND(BJ$5&gt;=$F112,SUM(BJ109:$BJ109)&lt;&gt;0),1,0)</f>
        <v>0</v>
      </c>
      <c r="BK112" s="67"/>
      <c r="BL112" s="154">
        <f>IF(AND(BL$5&gt;=$F112,SUM(BL109:$BW109)&lt;&gt;0),1,0)*BL$1150</f>
        <v>0</v>
      </c>
      <c r="BM112" s="154">
        <f>IF(AND(BM$5&gt;=$F112,SUM(BM109:$BW109)&lt;&gt;0),1,0)*BM$1150</f>
        <v>0</v>
      </c>
      <c r="BN112" s="154">
        <f>IF(AND(BN$5&gt;=$F112,SUM(BN109:$BW109)&lt;&gt;0),1,0)*BN$1150</f>
        <v>0</v>
      </c>
      <c r="BO112" s="154">
        <f>IF(AND(BO$5&gt;=$F112,SUM(BO109:$BW109)&lt;&gt;0),1,0)*BO$1150</f>
        <v>0</v>
      </c>
      <c r="BP112" s="154">
        <f>IF(AND(BP$5&gt;=$F112,SUM(BP109:$BW109)&lt;&gt;0),1,0)*BP$1150</f>
        <v>0</v>
      </c>
      <c r="BQ112" s="154">
        <f>IF(AND(BQ$5&gt;=$F112,SUM(BQ109:$BW109)&lt;&gt;0),1,0)*BQ$1150</f>
        <v>0</v>
      </c>
      <c r="BR112" s="154">
        <f>IF(AND(BR$5&gt;=$F112,SUM(BR109:$BW109)&lt;&gt;0),1,0)*BR$1150</f>
        <v>0</v>
      </c>
      <c r="BS112" s="154">
        <f>IF(AND(BS$5&gt;=$F112,SUM(BS109:$BW109)&lt;&gt;0),1,0)*BS$1150</f>
        <v>0</v>
      </c>
      <c r="BT112" s="154">
        <f>IF(AND(BT$5&gt;=$F112,SUM(BT109:$BW109)&lt;&gt;0),1,0)*BT$1150</f>
        <v>0</v>
      </c>
      <c r="BU112" s="154">
        <f>IF(AND(BU$5&gt;=$F112,SUM(BU109:$BW109)&lt;&gt;0),1,0)*BU$1150</f>
        <v>0</v>
      </c>
      <c r="BV112" s="154">
        <f>IF(AND(BV$5&gt;=$F112,SUM(BV109:$BW109)&lt;&gt;0),1,0)*BV$1150</f>
        <v>0</v>
      </c>
      <c r="BW112" s="154">
        <f>IF(AND(BW$5&gt;=$F112,SUM(BW109:$BW109)&lt;&gt;0),1,0)*BW$1150</f>
        <v>0</v>
      </c>
      <c r="BX112" s="67"/>
      <c r="BY112" s="12"/>
      <c r="CA112" s="12"/>
      <c r="CG112" s="67"/>
      <c r="CH112" s="67"/>
      <c r="CI112" s="67"/>
      <c r="CK112" s="67"/>
      <c r="CL112" s="7">
        <f>IF(MAX($V112:$BW112)&gt;0, 1, 0)</f>
        <v>0</v>
      </c>
      <c r="CR112" s="12"/>
      <c r="CS112" s="93">
        <f t="shared" ref="CS112:CS175" si="101">IF(IFERROR(FIND("check", D112), 0)=0, 0, 1)</f>
        <v>1</v>
      </c>
      <c r="CT112" s="93">
        <v>0</v>
      </c>
      <c r="CU112" s="93">
        <v>0</v>
      </c>
      <c r="EX112" s="13" t="str">
        <f>IF(C112="", "", CONCATENATE(D104, " ",D112))</f>
        <v/>
      </c>
    </row>
    <row r="113" spans="1:154" ht="6.6" customHeight="1" x14ac:dyDescent="0.25">
      <c r="A113" s="67"/>
      <c r="B113" s="67"/>
      <c r="C113" s="380"/>
      <c r="D113" s="1"/>
      <c r="E113" s="67"/>
      <c r="F113" s="67"/>
      <c r="G113" s="67"/>
      <c r="H113" s="67"/>
      <c r="I113" s="67"/>
      <c r="J113" s="67"/>
      <c r="K113" s="67"/>
      <c r="L113" s="67"/>
      <c r="M113" s="67"/>
      <c r="N113" s="67"/>
      <c r="O113" s="67"/>
      <c r="P113" s="67"/>
      <c r="Q113" s="67"/>
      <c r="R113" s="67"/>
      <c r="S113" s="335"/>
      <c r="T113" s="25"/>
      <c r="U113" s="25"/>
      <c r="V113" s="229"/>
      <c r="W113" s="25"/>
      <c r="X113" s="25"/>
      <c r="Y113" s="25"/>
      <c r="Z113" s="67"/>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67"/>
      <c r="BL113" s="25"/>
      <c r="BM113" s="155"/>
      <c r="BN113" s="25"/>
      <c r="BO113" s="25"/>
      <c r="BP113" s="25"/>
      <c r="BQ113" s="25"/>
      <c r="BR113" s="25"/>
      <c r="BS113" s="25"/>
      <c r="BT113" s="25"/>
      <c r="BU113" s="25"/>
      <c r="BV113" s="25"/>
      <c r="BW113" s="25"/>
      <c r="BX113" s="67"/>
      <c r="BY113" s="42"/>
      <c r="CA113" s="42"/>
      <c r="CG113" s="67"/>
      <c r="CH113" s="67"/>
      <c r="CI113" s="67"/>
      <c r="CK113" s="67"/>
      <c r="CL113" s="67"/>
      <c r="CR113" s="42"/>
      <c r="CS113" s="93">
        <f t="shared" si="101"/>
        <v>0</v>
      </c>
      <c r="CT113" s="93">
        <v>0</v>
      </c>
      <c r="CU113" s="93">
        <v>0</v>
      </c>
      <c r="EX113" s="13" t="str">
        <f>IF(C113="", "", CONCATENATE(D104, " ",D113))</f>
        <v/>
      </c>
    </row>
    <row r="114" spans="1:154" x14ac:dyDescent="0.25">
      <c r="A114" s="67"/>
      <c r="B114" s="67"/>
      <c r="C114" s="380"/>
      <c r="D114" s="51" t="s">
        <v>223</v>
      </c>
      <c r="F114" s="67"/>
      <c r="G114" s="9" t="s">
        <v>413</v>
      </c>
      <c r="H114" s="50" t="s">
        <v>8</v>
      </c>
      <c r="I114" s="67"/>
      <c r="J114" s="67"/>
      <c r="K114" s="67"/>
      <c r="L114" s="67"/>
      <c r="M114" s="67"/>
      <c r="N114" s="67"/>
      <c r="O114" s="67"/>
      <c r="P114" s="67"/>
      <c r="Q114" s="67"/>
      <c r="R114" s="67"/>
      <c r="S114" s="335"/>
      <c r="T114" s="25"/>
      <c r="U114" s="25"/>
      <c r="V114" s="222"/>
      <c r="W114" s="201">
        <f>V117</f>
        <v>0</v>
      </c>
      <c r="X114" s="201">
        <f>W117</f>
        <v>0</v>
      </c>
      <c r="Y114" s="10">
        <f>X117</f>
        <v>0</v>
      </c>
      <c r="Z114" s="67"/>
      <c r="AA114" s="13">
        <f>W114</f>
        <v>0</v>
      </c>
      <c r="AB114" s="153">
        <f t="shared" ref="AB114:BJ114" si="102">AA117</f>
        <v>0</v>
      </c>
      <c r="AC114" s="153">
        <f t="shared" si="102"/>
        <v>0</v>
      </c>
      <c r="AD114" s="153">
        <f t="shared" si="102"/>
        <v>0</v>
      </c>
      <c r="AE114" s="153">
        <f t="shared" si="102"/>
        <v>0</v>
      </c>
      <c r="AF114" s="153">
        <f t="shared" si="102"/>
        <v>0</v>
      </c>
      <c r="AG114" s="153">
        <f t="shared" si="102"/>
        <v>0</v>
      </c>
      <c r="AH114" s="153">
        <f t="shared" si="102"/>
        <v>0</v>
      </c>
      <c r="AI114" s="153">
        <f t="shared" si="102"/>
        <v>0</v>
      </c>
      <c r="AJ114" s="153">
        <f t="shared" si="102"/>
        <v>0</v>
      </c>
      <c r="AK114" s="153">
        <f t="shared" si="102"/>
        <v>0</v>
      </c>
      <c r="AL114" s="153">
        <f t="shared" si="102"/>
        <v>0</v>
      </c>
      <c r="AM114" s="153">
        <f t="shared" si="102"/>
        <v>0</v>
      </c>
      <c r="AN114" s="153">
        <f t="shared" si="102"/>
        <v>0</v>
      </c>
      <c r="AO114" s="153">
        <f t="shared" si="102"/>
        <v>0</v>
      </c>
      <c r="AP114" s="153">
        <f t="shared" si="102"/>
        <v>0</v>
      </c>
      <c r="AQ114" s="153">
        <f t="shared" si="102"/>
        <v>0</v>
      </c>
      <c r="AR114" s="153">
        <f t="shared" si="102"/>
        <v>0</v>
      </c>
      <c r="AS114" s="153">
        <f t="shared" si="102"/>
        <v>0</v>
      </c>
      <c r="AT114" s="153">
        <f t="shared" si="102"/>
        <v>0</v>
      </c>
      <c r="AU114" s="153">
        <f t="shared" si="102"/>
        <v>0</v>
      </c>
      <c r="AV114" s="153">
        <f t="shared" si="102"/>
        <v>0</v>
      </c>
      <c r="AW114" s="153">
        <f t="shared" si="102"/>
        <v>0</v>
      </c>
      <c r="AX114" s="153">
        <f t="shared" si="102"/>
        <v>0</v>
      </c>
      <c r="AY114" s="153">
        <f t="shared" si="102"/>
        <v>0</v>
      </c>
      <c r="AZ114" s="153">
        <f t="shared" si="102"/>
        <v>0</v>
      </c>
      <c r="BA114" s="153">
        <f t="shared" si="102"/>
        <v>0</v>
      </c>
      <c r="BB114" s="153">
        <f t="shared" si="102"/>
        <v>0</v>
      </c>
      <c r="BC114" s="153">
        <f t="shared" si="102"/>
        <v>0</v>
      </c>
      <c r="BD114" s="153">
        <f t="shared" si="102"/>
        <v>0</v>
      </c>
      <c r="BE114" s="153">
        <f t="shared" si="102"/>
        <v>0</v>
      </c>
      <c r="BF114" s="153">
        <f t="shared" si="102"/>
        <v>0</v>
      </c>
      <c r="BG114" s="153">
        <f t="shared" si="102"/>
        <v>0</v>
      </c>
      <c r="BH114" s="153">
        <f t="shared" si="102"/>
        <v>0</v>
      </c>
      <c r="BI114" s="153">
        <f t="shared" si="102"/>
        <v>0</v>
      </c>
      <c r="BJ114" s="153">
        <f t="shared" si="102"/>
        <v>0</v>
      </c>
      <c r="BK114" s="67"/>
      <c r="BL114" s="152">
        <f t="shared" ref="BL114:BO117" si="103">V114</f>
        <v>0</v>
      </c>
      <c r="BM114" s="152">
        <f t="shared" si="103"/>
        <v>0</v>
      </c>
      <c r="BN114" s="152">
        <f t="shared" si="103"/>
        <v>0</v>
      </c>
      <c r="BO114" s="152">
        <f t="shared" si="103"/>
        <v>0</v>
      </c>
      <c r="BP114" s="153">
        <f t="shared" ref="BP114:BW114" si="104">BO117</f>
        <v>0</v>
      </c>
      <c r="BQ114" s="153">
        <f t="shared" si="104"/>
        <v>0</v>
      </c>
      <c r="BR114" s="153">
        <f t="shared" si="104"/>
        <v>0</v>
      </c>
      <c r="BS114" s="153">
        <f t="shared" si="104"/>
        <v>0</v>
      </c>
      <c r="BT114" s="153">
        <f t="shared" si="104"/>
        <v>0</v>
      </c>
      <c r="BU114" s="153">
        <f t="shared" si="104"/>
        <v>0</v>
      </c>
      <c r="BV114" s="153">
        <f t="shared" si="104"/>
        <v>0</v>
      </c>
      <c r="BW114" s="153">
        <f t="shared" si="104"/>
        <v>0</v>
      </c>
      <c r="BX114" s="67"/>
      <c r="BY114" s="12"/>
      <c r="CA114" s="12"/>
      <c r="CG114" s="67"/>
      <c r="CH114" s="67"/>
      <c r="CI114" s="67"/>
      <c r="CK114" s="67"/>
      <c r="CL114" s="67"/>
      <c r="CR114" s="12"/>
      <c r="CS114" s="93">
        <f t="shared" si="101"/>
        <v>0</v>
      </c>
      <c r="CT114" s="93">
        <v>1</v>
      </c>
      <c r="CU114" s="93">
        <v>0</v>
      </c>
      <c r="EX114" s="13" t="str">
        <f>IF(C114="", "", CONCATENATE(D104, " ",D114))</f>
        <v/>
      </c>
    </row>
    <row r="115" spans="1:154" s="5" customFormat="1" ht="15.75" x14ac:dyDescent="0.3">
      <c r="A115" s="362" cm="1">
        <f t="array" aca="1" ref="A115" ca="1">HYPERLINK(CONCATENATE("#",CELL("address",IF(SUM($CA115:$CR115)=0,A115,INDEX($CA115:$CR115,MATCH(1,$CA115:$CR115,0))))),SUM($CA115:$CR115))</f>
        <v>0</v>
      </c>
      <c r="B115" s="105" t="s">
        <v>335</v>
      </c>
      <c r="C115" s="380"/>
      <c r="D115" s="51" t="s">
        <v>234</v>
      </c>
      <c r="E115" s="1"/>
      <c r="F115" s="25"/>
      <c r="G115" s="9" t="s">
        <v>413</v>
      </c>
      <c r="H115" s="50" t="s">
        <v>125</v>
      </c>
      <c r="I115" s="67"/>
      <c r="J115" s="67"/>
      <c r="K115" s="67"/>
      <c r="L115" s="67"/>
      <c r="M115" s="67"/>
      <c r="N115" s="67"/>
      <c r="O115" s="67"/>
      <c r="P115" s="67"/>
      <c r="Q115" s="67"/>
      <c r="R115" s="67"/>
      <c r="S115" s="335"/>
      <c r="T115" s="25"/>
      <c r="U115" s="25"/>
      <c r="V115" s="222"/>
      <c r="W115" s="215">
        <f t="shared" ref="W115:Y116" si="105" xml:space="preserve"> SUMIFS($AA115:$BJ115, $AA$3:$BJ$3, W$3)</f>
        <v>36</v>
      </c>
      <c r="X115" s="215">
        <f t="shared" si="105"/>
        <v>36</v>
      </c>
      <c r="Y115" s="215">
        <f t="shared" si="105"/>
        <v>36</v>
      </c>
      <c r="Z115" s="67"/>
      <c r="AA115" s="147">
        <v>9</v>
      </c>
      <c r="AB115" s="147"/>
      <c r="AC115" s="147"/>
      <c r="AD115" s="147">
        <v>9</v>
      </c>
      <c r="AE115" s="147"/>
      <c r="AF115" s="147"/>
      <c r="AG115" s="147">
        <v>9</v>
      </c>
      <c r="AH115" s="147"/>
      <c r="AI115" s="147"/>
      <c r="AJ115" s="147">
        <v>9</v>
      </c>
      <c r="AK115" s="147"/>
      <c r="AL115" s="147"/>
      <c r="AM115" s="147">
        <v>9</v>
      </c>
      <c r="AN115" s="147"/>
      <c r="AO115" s="147"/>
      <c r="AP115" s="147">
        <v>9</v>
      </c>
      <c r="AQ115" s="147"/>
      <c r="AR115" s="147"/>
      <c r="AS115" s="147">
        <v>9</v>
      </c>
      <c r="AT115" s="147"/>
      <c r="AU115" s="147"/>
      <c r="AV115" s="147">
        <v>9</v>
      </c>
      <c r="AW115" s="147"/>
      <c r="AX115" s="147"/>
      <c r="AY115" s="147">
        <v>9</v>
      </c>
      <c r="AZ115" s="147"/>
      <c r="BA115" s="147"/>
      <c r="BB115" s="147">
        <v>9</v>
      </c>
      <c r="BC115" s="147"/>
      <c r="BD115" s="147"/>
      <c r="BE115" s="147">
        <v>9</v>
      </c>
      <c r="BF115" s="147"/>
      <c r="BG115" s="147"/>
      <c r="BH115" s="147">
        <v>9</v>
      </c>
      <c r="BI115" s="147"/>
      <c r="BJ115" s="147"/>
      <c r="BK115" s="67"/>
      <c r="BL115" s="152">
        <f t="shared" si="103"/>
        <v>0</v>
      </c>
      <c r="BM115" s="152">
        <f t="shared" si="103"/>
        <v>36</v>
      </c>
      <c r="BN115" s="152">
        <f t="shared" si="103"/>
        <v>36</v>
      </c>
      <c r="BO115" s="152">
        <f t="shared" si="103"/>
        <v>36</v>
      </c>
      <c r="BP115" s="156"/>
      <c r="BQ115" s="156"/>
      <c r="BR115" s="156"/>
      <c r="BS115" s="156"/>
      <c r="BT115" s="156"/>
      <c r="BU115" s="156"/>
      <c r="BV115" s="156"/>
      <c r="BW115" s="156"/>
      <c r="BX115" s="67"/>
      <c r="BY115" s="12"/>
      <c r="BZ115" s="395">
        <f>IF(MIN($V115:$BW115)&lt;0, 1, 0)</f>
        <v>0</v>
      </c>
      <c r="CA115" s="12"/>
      <c r="CB115" s="335"/>
      <c r="CC115" s="335"/>
      <c r="CD115" s="335"/>
      <c r="CE115" s="335"/>
      <c r="CF115" s="67"/>
      <c r="CG115" s="67"/>
      <c r="CH115" s="67"/>
      <c r="CI115" s="67"/>
      <c r="CJ115" s="67"/>
      <c r="CK115" s="67"/>
      <c r="CL115" s="67"/>
      <c r="CM115" s="7">
        <f t="shared" ref="CM115:CO116" si="106">IF(ROUND(W115-SUMIFS($AA115:$BJ115, $AA$3:$BJ$3, W$3), rounding)=0, 0, 1)</f>
        <v>0</v>
      </c>
      <c r="CN115" s="7">
        <f t="shared" si="106"/>
        <v>0</v>
      </c>
      <c r="CO115" s="7">
        <f t="shared" si="106"/>
        <v>0</v>
      </c>
      <c r="CP115" s="7">
        <f>IF(ROUND(V115-BL115, rounding)=0, 0, 1)*'BS Forecasts'!$V$10</f>
        <v>0</v>
      </c>
      <c r="CQ115" s="67"/>
      <c r="CR115" s="12"/>
      <c r="CS115" s="93">
        <f t="shared" si="101"/>
        <v>0</v>
      </c>
      <c r="CT115" s="93">
        <v>1</v>
      </c>
      <c r="CU115" s="93">
        <v>1</v>
      </c>
      <c r="EX115" s="13" t="str">
        <f>IF(C115="", "", CONCATENATE(D104, " ",D115))</f>
        <v/>
      </c>
    </row>
    <row r="116" spans="1:154" ht="15.75" x14ac:dyDescent="0.3">
      <c r="A116" s="362" cm="1">
        <f t="array" aca="1" ref="A116" ca="1">HYPERLINK(CONCATENATE("#",CELL("address",IF(SUM($CA116:$CR116)=0,A116,INDEX($CA116:$CR116,MATCH(1,$CA116:$CR116,0))))),SUM($CA116:$CR116))</f>
        <v>0</v>
      </c>
      <c r="B116" s="105" t="s">
        <v>335</v>
      </c>
      <c r="C116" s="380"/>
      <c r="D116" s="51" t="s">
        <v>222</v>
      </c>
      <c r="F116" s="67"/>
      <c r="G116" s="9" t="s">
        <v>413</v>
      </c>
      <c r="H116" s="50" t="s">
        <v>157</v>
      </c>
      <c r="I116" s="67"/>
      <c r="J116" s="67"/>
      <c r="K116" s="67"/>
      <c r="L116" s="67"/>
      <c r="M116" s="67"/>
      <c r="N116" s="67"/>
      <c r="O116" s="67"/>
      <c r="P116" s="67"/>
      <c r="Q116" s="67"/>
      <c r="R116" s="67"/>
      <c r="S116" s="335"/>
      <c r="T116" s="25"/>
      <c r="U116" s="25"/>
      <c r="V116" s="222"/>
      <c r="W116" s="215">
        <f t="shared" si="105"/>
        <v>-36</v>
      </c>
      <c r="X116" s="215">
        <f t="shared" si="105"/>
        <v>-36</v>
      </c>
      <c r="Y116" s="215">
        <f t="shared" si="105"/>
        <v>-36</v>
      </c>
      <c r="Z116" s="67"/>
      <c r="AA116" s="147">
        <v>-9</v>
      </c>
      <c r="AB116" s="147"/>
      <c r="AC116" s="147"/>
      <c r="AD116" s="147">
        <v>-9</v>
      </c>
      <c r="AE116" s="147"/>
      <c r="AF116" s="147"/>
      <c r="AG116" s="147">
        <v>-9</v>
      </c>
      <c r="AH116" s="147"/>
      <c r="AI116" s="147"/>
      <c r="AJ116" s="147">
        <v>-9</v>
      </c>
      <c r="AK116" s="147"/>
      <c r="AL116" s="147"/>
      <c r="AM116" s="147">
        <v>-9</v>
      </c>
      <c r="AN116" s="147"/>
      <c r="AO116" s="147"/>
      <c r="AP116" s="147">
        <v>-9</v>
      </c>
      <c r="AQ116" s="147"/>
      <c r="AR116" s="147"/>
      <c r="AS116" s="147">
        <v>-9</v>
      </c>
      <c r="AT116" s="147"/>
      <c r="AU116" s="147"/>
      <c r="AV116" s="147">
        <v>-9</v>
      </c>
      <c r="AW116" s="147"/>
      <c r="AX116" s="147"/>
      <c r="AY116" s="147">
        <v>-9</v>
      </c>
      <c r="AZ116" s="147"/>
      <c r="BA116" s="147"/>
      <c r="BB116" s="147">
        <v>-9</v>
      </c>
      <c r="BC116" s="147"/>
      <c r="BD116" s="147"/>
      <c r="BE116" s="147">
        <v>-9</v>
      </c>
      <c r="BF116" s="147"/>
      <c r="BG116" s="147"/>
      <c r="BH116" s="147">
        <v>-9</v>
      </c>
      <c r="BI116" s="147"/>
      <c r="BJ116" s="147"/>
      <c r="BK116" s="67"/>
      <c r="BL116" s="152">
        <f t="shared" si="103"/>
        <v>0</v>
      </c>
      <c r="BM116" s="152">
        <f t="shared" si="103"/>
        <v>-36</v>
      </c>
      <c r="BN116" s="152">
        <f t="shared" si="103"/>
        <v>-36</v>
      </c>
      <c r="BO116" s="152">
        <f t="shared" si="103"/>
        <v>-36</v>
      </c>
      <c r="BP116" s="156"/>
      <c r="BQ116" s="156"/>
      <c r="BR116" s="156"/>
      <c r="BS116" s="156"/>
      <c r="BT116" s="156"/>
      <c r="BU116" s="156"/>
      <c r="BV116" s="156"/>
      <c r="BW116" s="156"/>
      <c r="BX116" s="67"/>
      <c r="BY116" s="12"/>
      <c r="BZ116" s="395">
        <f>IF(MAX($V116:$BW116)&gt;0, 1, 0)</f>
        <v>0</v>
      </c>
      <c r="CA116" s="12"/>
      <c r="CG116" s="67"/>
      <c r="CH116" s="67"/>
      <c r="CI116" s="67"/>
      <c r="CK116" s="67"/>
      <c r="CL116" s="67"/>
      <c r="CM116" s="7">
        <f t="shared" si="106"/>
        <v>0</v>
      </c>
      <c r="CN116" s="7">
        <f t="shared" si="106"/>
        <v>0</v>
      </c>
      <c r="CO116" s="7">
        <f t="shared" si="106"/>
        <v>0</v>
      </c>
      <c r="CP116" s="7">
        <f>IF(ROUND(V116-BL116, rounding)=0, 0, 1)*'BS Forecasts'!$V$10</f>
        <v>0</v>
      </c>
      <c r="CR116" s="12"/>
      <c r="CS116" s="93">
        <f t="shared" si="101"/>
        <v>0</v>
      </c>
      <c r="CT116" s="93">
        <v>1</v>
      </c>
      <c r="CU116" s="93">
        <v>1</v>
      </c>
      <c r="EX116" s="13" t="str">
        <f>IF(C116="", "", CONCATENATE(D104, " ",D116))</f>
        <v/>
      </c>
    </row>
    <row r="117" spans="1:154" x14ac:dyDescent="0.25">
      <c r="A117" s="67"/>
      <c r="B117" s="67"/>
      <c r="C117" s="380"/>
      <c r="D117" s="51" t="s">
        <v>224</v>
      </c>
      <c r="F117" s="25"/>
      <c r="G117" s="9" t="s">
        <v>413</v>
      </c>
      <c r="H117" s="50" t="s">
        <v>8</v>
      </c>
      <c r="I117" s="67"/>
      <c r="J117" s="67"/>
      <c r="K117" s="67"/>
      <c r="L117" s="67"/>
      <c r="M117" s="67"/>
      <c r="N117" s="67"/>
      <c r="O117" s="67"/>
      <c r="P117" s="67"/>
      <c r="Q117" s="67"/>
      <c r="R117" s="67"/>
      <c r="S117" s="335"/>
      <c r="T117" s="25"/>
      <c r="U117" s="25"/>
      <c r="V117" s="13">
        <f>$H$16</f>
        <v>0</v>
      </c>
      <c r="W117" s="153">
        <f>SUM(W114:W116)</f>
        <v>0</v>
      </c>
      <c r="X117" s="153">
        <f>SUM(X114:X116)</f>
        <v>0</v>
      </c>
      <c r="Y117" s="153">
        <f>SUM(Y114:Y116)</f>
        <v>0</v>
      </c>
      <c r="Z117" s="67"/>
      <c r="AA117" s="153">
        <f t="shared" ref="AA117:BJ117" si="107">SUM(AA114:AA116)</f>
        <v>0</v>
      </c>
      <c r="AB117" s="153">
        <f t="shared" si="107"/>
        <v>0</v>
      </c>
      <c r="AC117" s="153">
        <f t="shared" si="107"/>
        <v>0</v>
      </c>
      <c r="AD117" s="153">
        <f t="shared" si="107"/>
        <v>0</v>
      </c>
      <c r="AE117" s="153">
        <f t="shared" si="107"/>
        <v>0</v>
      </c>
      <c r="AF117" s="153">
        <f t="shared" si="107"/>
        <v>0</v>
      </c>
      <c r="AG117" s="153">
        <f t="shared" si="107"/>
        <v>0</v>
      </c>
      <c r="AH117" s="153">
        <f t="shared" si="107"/>
        <v>0</v>
      </c>
      <c r="AI117" s="153">
        <f t="shared" si="107"/>
        <v>0</v>
      </c>
      <c r="AJ117" s="153">
        <f t="shared" si="107"/>
        <v>0</v>
      </c>
      <c r="AK117" s="153">
        <f t="shared" si="107"/>
        <v>0</v>
      </c>
      <c r="AL117" s="153">
        <f t="shared" si="107"/>
        <v>0</v>
      </c>
      <c r="AM117" s="153">
        <f t="shared" si="107"/>
        <v>0</v>
      </c>
      <c r="AN117" s="153">
        <f t="shared" si="107"/>
        <v>0</v>
      </c>
      <c r="AO117" s="153">
        <f t="shared" si="107"/>
        <v>0</v>
      </c>
      <c r="AP117" s="153">
        <f t="shared" si="107"/>
        <v>0</v>
      </c>
      <c r="AQ117" s="153">
        <f t="shared" si="107"/>
        <v>0</v>
      </c>
      <c r="AR117" s="153">
        <f t="shared" si="107"/>
        <v>0</v>
      </c>
      <c r="AS117" s="153">
        <f t="shared" si="107"/>
        <v>0</v>
      </c>
      <c r="AT117" s="153">
        <f t="shared" si="107"/>
        <v>0</v>
      </c>
      <c r="AU117" s="153">
        <f t="shared" si="107"/>
        <v>0</v>
      </c>
      <c r="AV117" s="153">
        <f t="shared" si="107"/>
        <v>0</v>
      </c>
      <c r="AW117" s="153">
        <f t="shared" si="107"/>
        <v>0</v>
      </c>
      <c r="AX117" s="153">
        <f t="shared" si="107"/>
        <v>0</v>
      </c>
      <c r="AY117" s="153">
        <f t="shared" si="107"/>
        <v>0</v>
      </c>
      <c r="AZ117" s="153">
        <f t="shared" si="107"/>
        <v>0</v>
      </c>
      <c r="BA117" s="153">
        <f t="shared" si="107"/>
        <v>0</v>
      </c>
      <c r="BB117" s="153">
        <f t="shared" si="107"/>
        <v>0</v>
      </c>
      <c r="BC117" s="153">
        <f t="shared" si="107"/>
        <v>0</v>
      </c>
      <c r="BD117" s="153">
        <f t="shared" si="107"/>
        <v>0</v>
      </c>
      <c r="BE117" s="153">
        <f t="shared" si="107"/>
        <v>0</v>
      </c>
      <c r="BF117" s="153">
        <f t="shared" si="107"/>
        <v>0</v>
      </c>
      <c r="BG117" s="153">
        <f t="shared" si="107"/>
        <v>0</v>
      </c>
      <c r="BH117" s="153">
        <f t="shared" si="107"/>
        <v>0</v>
      </c>
      <c r="BI117" s="153">
        <f t="shared" si="107"/>
        <v>0</v>
      </c>
      <c r="BJ117" s="153">
        <f t="shared" si="107"/>
        <v>0</v>
      </c>
      <c r="BK117" s="67"/>
      <c r="BL117" s="152">
        <f t="shared" si="103"/>
        <v>0</v>
      </c>
      <c r="BM117" s="152">
        <f t="shared" si="103"/>
        <v>0</v>
      </c>
      <c r="BN117" s="152">
        <f t="shared" si="103"/>
        <v>0</v>
      </c>
      <c r="BO117" s="152">
        <f t="shared" si="103"/>
        <v>0</v>
      </c>
      <c r="BP117" s="153">
        <f t="shared" ref="BP117:BW117" si="108">SUM(BP114:BP116)</f>
        <v>0</v>
      </c>
      <c r="BQ117" s="153">
        <f t="shared" si="108"/>
        <v>0</v>
      </c>
      <c r="BR117" s="153">
        <f t="shared" si="108"/>
        <v>0</v>
      </c>
      <c r="BS117" s="153">
        <f t="shared" si="108"/>
        <v>0</v>
      </c>
      <c r="BT117" s="153">
        <f t="shared" si="108"/>
        <v>0</v>
      </c>
      <c r="BU117" s="153">
        <f t="shared" si="108"/>
        <v>0</v>
      </c>
      <c r="BV117" s="153">
        <f t="shared" si="108"/>
        <v>0</v>
      </c>
      <c r="BW117" s="153">
        <f t="shared" si="108"/>
        <v>0</v>
      </c>
      <c r="BX117" s="67"/>
      <c r="BY117" s="12"/>
      <c r="CA117" s="12"/>
      <c r="CG117" s="67"/>
      <c r="CH117" s="67"/>
      <c r="CI117" s="67"/>
      <c r="CK117" s="67"/>
      <c r="CL117" s="67"/>
      <c r="CR117" s="12"/>
      <c r="CS117" s="93">
        <f t="shared" si="101"/>
        <v>0</v>
      </c>
      <c r="CT117" s="93">
        <v>0</v>
      </c>
      <c r="CU117" s="93">
        <v>0</v>
      </c>
      <c r="EX117" s="13" t="str">
        <f>IF(C117="", "", CONCATENATE(D104, " ",D117))</f>
        <v/>
      </c>
    </row>
    <row r="118" spans="1:154" ht="6.6" customHeight="1" x14ac:dyDescent="0.25">
      <c r="C118" s="380"/>
      <c r="D118" s="1"/>
      <c r="E118" s="67"/>
      <c r="F118" s="25"/>
      <c r="G118" s="67"/>
      <c r="H118" s="67"/>
      <c r="S118" s="335"/>
      <c r="T118" s="25"/>
      <c r="U118" s="25"/>
      <c r="V118" s="93"/>
      <c r="W118" s="67"/>
      <c r="X118" s="67"/>
      <c r="Y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L118" s="67"/>
      <c r="BM118" s="6"/>
      <c r="BN118" s="67"/>
      <c r="BO118" s="67"/>
      <c r="BP118" s="67"/>
      <c r="BQ118" s="67"/>
      <c r="BR118" s="67"/>
      <c r="BS118" s="67"/>
      <c r="BT118" s="67"/>
      <c r="BU118" s="67"/>
      <c r="BV118" s="67"/>
      <c r="BW118" s="67"/>
      <c r="BY118" s="42"/>
      <c r="CA118" s="42"/>
      <c r="CR118" s="42"/>
      <c r="CS118" s="93">
        <f t="shared" si="101"/>
        <v>0</v>
      </c>
      <c r="CT118" s="93">
        <v>0</v>
      </c>
      <c r="CU118" s="93">
        <v>0</v>
      </c>
      <c r="EX118" s="13" t="str">
        <f>IF(C118="", "", CONCATENATE(D104, " ",D118))</f>
        <v/>
      </c>
    </row>
    <row r="119" spans="1:154" s="5" customFormat="1" x14ac:dyDescent="0.25">
      <c r="A119" s="362" cm="1">
        <f t="array" aca="1" ref="A119" ca="1">HYPERLINK(CONCATENATE("#",CELL("address",IF(SUM($CA119:$CR119)=0,A119,INDEX($CA119:$CR119,MATCH(1,$CA119:$CR119,0))))),SUM($CA119:$CR119))</f>
        <v>0</v>
      </c>
      <c r="B119" s="335"/>
      <c r="C119" s="340" t="s">
        <v>1276</v>
      </c>
      <c r="D119" s="41" t="s">
        <v>1569</v>
      </c>
      <c r="E119" s="35"/>
      <c r="F119" s="25"/>
      <c r="G119" s="174" t="s">
        <v>413</v>
      </c>
      <c r="H119" s="171" t="s">
        <v>125</v>
      </c>
      <c r="I119" s="25"/>
      <c r="J119" s="25"/>
      <c r="K119" s="25"/>
      <c r="L119" s="25"/>
      <c r="M119" s="25"/>
      <c r="N119" s="25"/>
      <c r="O119" s="25"/>
      <c r="P119" s="25"/>
      <c r="Q119" s="25"/>
      <c r="R119" s="25"/>
      <c r="S119" s="335"/>
      <c r="T119" s="25"/>
      <c r="U119" s="25"/>
      <c r="V119" s="222"/>
      <c r="W119" s="215">
        <f xml:space="preserve"> SUMIFS($AA119:$BJ119, $AA$3:$BJ$3, W$3)</f>
        <v>0</v>
      </c>
      <c r="X119" s="215">
        <f xml:space="preserve"> SUMIFS($AA119:$BJ119, $AA$3:$BJ$3, X$3)</f>
        <v>0</v>
      </c>
      <c r="Y119" s="215">
        <f xml:space="preserve"> SUMIFS($AA119:$BJ119, $AA$3:$BJ$3, Y$3)</f>
        <v>0</v>
      </c>
      <c r="Z119" s="335"/>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335"/>
      <c r="BL119" s="152">
        <f>V119</f>
        <v>0</v>
      </c>
      <c r="BM119" s="152">
        <f>W119</f>
        <v>0</v>
      </c>
      <c r="BN119" s="152">
        <f>X119</f>
        <v>0</v>
      </c>
      <c r="BO119" s="152">
        <f>Y119</f>
        <v>0</v>
      </c>
      <c r="BP119" s="141"/>
      <c r="BQ119" s="141"/>
      <c r="BR119" s="141"/>
      <c r="BS119" s="141"/>
      <c r="BT119" s="141"/>
      <c r="BU119" s="141"/>
      <c r="BV119" s="141"/>
      <c r="BW119" s="141"/>
      <c r="BX119" s="335"/>
      <c r="BY119" s="12"/>
      <c r="BZ119" s="395">
        <f>IF(MIN($V119:$BW119)&lt;0, 1, 0)</f>
        <v>0</v>
      </c>
      <c r="CA119" s="12"/>
      <c r="CB119" s="335"/>
      <c r="CC119" s="335"/>
      <c r="CD119" s="335"/>
      <c r="CE119" s="335"/>
      <c r="CF119" s="335"/>
      <c r="CG119" s="335"/>
      <c r="CH119" s="335"/>
      <c r="CI119" s="335"/>
      <c r="CJ119" s="335"/>
      <c r="CK119" s="335"/>
      <c r="CL119" s="335"/>
      <c r="CM119" s="7">
        <f>IF(ROUND(W119-SUMIFS($AA119:$BJ119, $AA$3:$BJ$3, W$3), rounding)=0, 0, 1)</f>
        <v>0</v>
      </c>
      <c r="CN119" s="7">
        <f>IF(ROUND(X119-SUMIFS($AA119:$BJ119, $AA$3:$BJ$3, X$3), rounding)=0, 0, 1)</f>
        <v>0</v>
      </c>
      <c r="CO119" s="7">
        <f>IF(ROUND(Y119-SUMIFS($AA119:$BJ119, $AA$3:$BJ$3, Y$3), rounding)=0, 0, 1)</f>
        <v>0</v>
      </c>
      <c r="CP119" s="7">
        <f>IF(ROUND(V119-BL119, rounding)=0, 0, 1)*'BS Forecasts'!$V$10</f>
        <v>0</v>
      </c>
      <c r="CQ119" s="335"/>
      <c r="CR119" s="12"/>
      <c r="CS119" s="93">
        <f t="shared" si="101"/>
        <v>0</v>
      </c>
      <c r="CT119" s="93">
        <v>1</v>
      </c>
      <c r="CU119" s="93">
        <v>1</v>
      </c>
      <c r="EX119" s="13" t="str">
        <f>IF(C119="", "", CONCATENATE(D104, " ",D119))</f>
        <v>Loan 4 Early Repayment Fee</v>
      </c>
    </row>
    <row r="120" spans="1:154" s="335" customFormat="1" ht="6.6" customHeight="1" x14ac:dyDescent="0.25">
      <c r="C120" s="380"/>
      <c r="D120" s="1"/>
      <c r="T120" s="25"/>
      <c r="U120" s="25"/>
      <c r="V120" s="93"/>
      <c r="BM120" s="6"/>
      <c r="BY120" s="42"/>
      <c r="CA120" s="42"/>
      <c r="CR120" s="42"/>
      <c r="CS120" s="93">
        <f t="shared" si="101"/>
        <v>0</v>
      </c>
      <c r="CT120" s="93">
        <v>0</v>
      </c>
      <c r="CU120" s="93">
        <v>0</v>
      </c>
      <c r="EX120" s="13" t="str">
        <f>IF(C120="", "", CONCATENATE(D104, " ",D120))</f>
        <v/>
      </c>
    </row>
    <row r="121" spans="1:154" s="335" customFormat="1" ht="15.75" x14ac:dyDescent="0.3">
      <c r="A121" s="362" cm="1">
        <f t="array" aca="1" ref="A121" ca="1">HYPERLINK(CONCATENATE("#",CELL("address",IF(SUM($CA121:$CR121)=0,A121,INDEX($CA121:$CR121,MATCH(1,$CA121:$CR121,0))))),SUM($CA121:$CR121))</f>
        <v>0</v>
      </c>
      <c r="B121" s="105" t="s">
        <v>335</v>
      </c>
      <c r="D121" s="51" t="s">
        <v>1630</v>
      </c>
      <c r="E121" s="220" t="str">
        <f>IF(I$16="", "", I$16)</f>
        <v/>
      </c>
      <c r="F121" s="220" t="str">
        <f>IF(J$16="", "", J$16)</f>
        <v/>
      </c>
      <c r="T121" s="25"/>
      <c r="U121" s="25"/>
      <c r="V121" s="230">
        <f>IF(AND(OR( V$5&gt;$F121, Timeline!V$8&lt;Loans!$E121), Loans!V119&lt;&gt;0), 1, 0)</f>
        <v>0</v>
      </c>
      <c r="W121" s="230">
        <f>IF(AND(OR( W$5&gt;$F121, Timeline!W$8&lt;Loans!$E121), Loans!W119&lt;&gt;0), 1, 0)</f>
        <v>0</v>
      </c>
      <c r="X121" s="230">
        <f>IF(AND(OR( X$5&gt;$F121, Timeline!X$8&lt;Loans!$E121), Loans!X119&lt;&gt;0), 1, 0)</f>
        <v>0</v>
      </c>
      <c r="Y121" s="230">
        <f>IF(AND(OR( Y$5&gt;$F121, Timeline!Y$8&lt;Loans!$E121), Loans!Y119&lt;&gt;0), 1, 0)</f>
        <v>0</v>
      </c>
      <c r="AA121" s="230">
        <f>IF(AND(OR( AA$5&gt;$F121, Timeline!AA$8&lt;Loans!$E121), Loans!AA119&lt;&gt;0), 1, 0)</f>
        <v>0</v>
      </c>
      <c r="AB121" s="230">
        <f>IF(AND(OR( AB$5&gt;$F121, Timeline!AB$8&lt;Loans!$E121), Loans!AB119&lt;&gt;0), 1, 0)</f>
        <v>0</v>
      </c>
      <c r="AC121" s="230">
        <f>IF(AND(OR( AC$5&gt;$F121, Timeline!AC$8&lt;Loans!$E121), Loans!AC119&lt;&gt;0), 1, 0)</f>
        <v>0</v>
      </c>
      <c r="AD121" s="230">
        <f>IF(AND(OR( AD$5&gt;$F121, Timeline!AD$8&lt;Loans!$E121), Loans!AD119&lt;&gt;0), 1, 0)</f>
        <v>0</v>
      </c>
      <c r="AE121" s="230">
        <f>IF(AND(OR( AE$5&gt;$F121, Timeline!AE$8&lt;Loans!$E121), Loans!AE119&lt;&gt;0), 1, 0)</f>
        <v>0</v>
      </c>
      <c r="AF121" s="230">
        <f>IF(AND(OR( AF$5&gt;$F121, Timeline!AF$8&lt;Loans!$E121), Loans!AF119&lt;&gt;0), 1, 0)</f>
        <v>0</v>
      </c>
      <c r="AG121" s="230">
        <f>IF(AND(OR( AG$5&gt;$F121, Timeline!AG$8&lt;Loans!$E121), Loans!AG119&lt;&gt;0), 1, 0)</f>
        <v>0</v>
      </c>
      <c r="AH121" s="230">
        <f>IF(AND(OR( AH$5&gt;$F121, Timeline!AH$8&lt;Loans!$E121), Loans!AH119&lt;&gt;0), 1, 0)</f>
        <v>0</v>
      </c>
      <c r="AI121" s="230">
        <f>IF(AND(OR( AI$5&gt;$F121, Timeline!AI$8&lt;Loans!$E121), Loans!AI119&lt;&gt;0), 1, 0)</f>
        <v>0</v>
      </c>
      <c r="AJ121" s="230">
        <f>IF(AND(OR( AJ$5&gt;$F121, Timeline!AJ$8&lt;Loans!$E121), Loans!AJ119&lt;&gt;0), 1, 0)</f>
        <v>0</v>
      </c>
      <c r="AK121" s="230">
        <f>IF(AND(OR( AK$5&gt;$F121, Timeline!AK$8&lt;Loans!$E121), Loans!AK119&lt;&gt;0), 1, 0)</f>
        <v>0</v>
      </c>
      <c r="AL121" s="230">
        <f>IF(AND(OR( AL$5&gt;$F121, Timeline!AL$8&lt;Loans!$E121), Loans!AL119&lt;&gt;0), 1, 0)</f>
        <v>0</v>
      </c>
      <c r="AM121" s="230">
        <f>IF(AND(OR( AM$5&gt;$F121, Timeline!AM$8&lt;Loans!$E121), Loans!AM119&lt;&gt;0), 1, 0)</f>
        <v>0</v>
      </c>
      <c r="AN121" s="230">
        <f>IF(AND(OR( AN$5&gt;$F121, Timeline!AN$8&lt;Loans!$E121), Loans!AN119&lt;&gt;0), 1, 0)</f>
        <v>0</v>
      </c>
      <c r="AO121" s="230">
        <f>IF(AND(OR( AO$5&gt;$F121, Timeline!AO$8&lt;Loans!$E121), Loans!AO119&lt;&gt;0), 1, 0)</f>
        <v>0</v>
      </c>
      <c r="AP121" s="230">
        <f>IF(AND(OR( AP$5&gt;$F121, Timeline!AP$8&lt;Loans!$E121), Loans!AP119&lt;&gt;0), 1, 0)</f>
        <v>0</v>
      </c>
      <c r="AQ121" s="230">
        <f>IF(AND(OR( AQ$5&gt;$F121, Timeline!AQ$8&lt;Loans!$E121), Loans!AQ119&lt;&gt;0), 1, 0)</f>
        <v>0</v>
      </c>
      <c r="AR121" s="230">
        <f>IF(AND(OR( AR$5&gt;$F121, Timeline!AR$8&lt;Loans!$E121), Loans!AR119&lt;&gt;0), 1, 0)</f>
        <v>0</v>
      </c>
      <c r="AS121" s="230">
        <f>IF(AND(OR( AS$5&gt;$F121, Timeline!AS$8&lt;Loans!$E121), Loans!AS119&lt;&gt;0), 1, 0)</f>
        <v>0</v>
      </c>
      <c r="AT121" s="230">
        <f>IF(AND(OR( AT$5&gt;$F121, Timeline!AT$8&lt;Loans!$E121), Loans!AT119&lt;&gt;0), 1, 0)</f>
        <v>0</v>
      </c>
      <c r="AU121" s="230">
        <f>IF(AND(OR( AU$5&gt;$F121, Timeline!AU$8&lt;Loans!$E121), Loans!AU119&lt;&gt;0), 1, 0)</f>
        <v>0</v>
      </c>
      <c r="AV121" s="230">
        <f>IF(AND(OR( AV$5&gt;$F121, Timeline!AV$8&lt;Loans!$E121), Loans!AV119&lt;&gt;0), 1, 0)</f>
        <v>0</v>
      </c>
      <c r="AW121" s="230">
        <f>IF(AND(OR( AW$5&gt;$F121, Timeline!AW$8&lt;Loans!$E121), Loans!AW119&lt;&gt;0), 1, 0)</f>
        <v>0</v>
      </c>
      <c r="AX121" s="230">
        <f>IF(AND(OR( AX$5&gt;$F121, Timeline!AX$8&lt;Loans!$E121), Loans!AX119&lt;&gt;0), 1, 0)</f>
        <v>0</v>
      </c>
      <c r="AY121" s="230">
        <f>IF(AND(OR( AY$5&gt;$F121, Timeline!AY$8&lt;Loans!$E121), Loans!AY119&lt;&gt;0), 1, 0)</f>
        <v>0</v>
      </c>
      <c r="AZ121" s="230">
        <f>IF(AND(OR( AZ$5&gt;$F121, Timeline!AZ$8&lt;Loans!$E121), Loans!AZ119&lt;&gt;0), 1, 0)</f>
        <v>0</v>
      </c>
      <c r="BA121" s="230">
        <f>IF(AND(OR( BA$5&gt;$F121, Timeline!BA$8&lt;Loans!$E121), Loans!BA119&lt;&gt;0), 1, 0)</f>
        <v>0</v>
      </c>
      <c r="BB121" s="230">
        <f>IF(AND(OR( BB$5&gt;$F121, Timeline!BB$8&lt;Loans!$E121), Loans!BB119&lt;&gt;0), 1, 0)</f>
        <v>0</v>
      </c>
      <c r="BC121" s="230">
        <f>IF(AND(OR( BC$5&gt;$F121, Timeline!BC$8&lt;Loans!$E121), Loans!BC119&lt;&gt;0), 1, 0)</f>
        <v>0</v>
      </c>
      <c r="BD121" s="230">
        <f>IF(AND(OR( BD$5&gt;$F121, Timeline!BD$8&lt;Loans!$E121), Loans!BD119&lt;&gt;0), 1, 0)</f>
        <v>0</v>
      </c>
      <c r="BE121" s="230">
        <f>IF(AND(OR( BE$5&gt;$F121, Timeline!BE$8&lt;Loans!$E121), Loans!BE119&lt;&gt;0), 1, 0)</f>
        <v>0</v>
      </c>
      <c r="BF121" s="230">
        <f>IF(AND(OR( BF$5&gt;$F121, Timeline!BF$8&lt;Loans!$E121), Loans!BF119&lt;&gt;0), 1, 0)</f>
        <v>0</v>
      </c>
      <c r="BG121" s="230">
        <f>IF(AND(OR( BG$5&gt;$F121, Timeline!BG$8&lt;Loans!$E121), Loans!BG119&lt;&gt;0), 1, 0)</f>
        <v>0</v>
      </c>
      <c r="BH121" s="230">
        <f>IF(AND(OR( BH$5&gt;$F121, Timeline!BH$8&lt;Loans!$E121), Loans!BH119&lt;&gt;0), 1, 0)</f>
        <v>0</v>
      </c>
      <c r="BI121" s="230">
        <f>IF(AND(OR( BI$5&gt;$F121, Timeline!BI$8&lt;Loans!$E121), Loans!BI119&lt;&gt;0), 1, 0)</f>
        <v>0</v>
      </c>
      <c r="BJ121" s="230">
        <f>IF(AND(OR( BJ$5&gt;$F121, Timeline!BJ$8&lt;Loans!$E121), Loans!BJ119&lt;&gt;0), 1, 0)</f>
        <v>0</v>
      </c>
      <c r="BL121" s="230">
        <f>IF(AND(OR( BL$5&gt;$F121, Timeline!BL$8&lt;Loans!$E121), Loans!BL119&lt;&gt;0), 1, 0)</f>
        <v>0</v>
      </c>
      <c r="BM121" s="230">
        <f>IF(AND(OR( BM$5&gt;$F121, Timeline!BM$8&lt;Loans!$E121), Loans!BM119&lt;&gt;0), 1, 0)</f>
        <v>0</v>
      </c>
      <c r="BN121" s="230">
        <f>IF(AND(OR( BN$5&gt;$F121, Timeline!BN$8&lt;Loans!$E121), Loans!BN119&lt;&gt;0), 1, 0)</f>
        <v>0</v>
      </c>
      <c r="BO121" s="230">
        <f>IF(AND(OR( BO$5&gt;$F121, Timeline!BO$8&lt;Loans!$E121), Loans!BO119&lt;&gt;0), 1, 0)</f>
        <v>0</v>
      </c>
      <c r="BP121" s="230">
        <f>IF(AND(OR( BP$5&gt;$F121, Timeline!BP$8&lt;Loans!$E121), Loans!BP119&lt;&gt;0), 1, 0)</f>
        <v>0</v>
      </c>
      <c r="BQ121" s="230">
        <f>IF(AND(OR( BQ$5&gt;$F121, Timeline!BQ$8&lt;Loans!$E121), Loans!BQ119&lt;&gt;0), 1, 0)</f>
        <v>0</v>
      </c>
      <c r="BR121" s="230">
        <f>IF(AND(OR( BR$5&gt;$F121, Timeline!BR$8&lt;Loans!$E121), Loans!BR119&lt;&gt;0), 1, 0)</f>
        <v>0</v>
      </c>
      <c r="BS121" s="230">
        <f>IF(AND(OR( BS$5&gt;$F121, Timeline!BS$8&lt;Loans!$E121), Loans!BS119&lt;&gt;0), 1, 0)</f>
        <v>0</v>
      </c>
      <c r="BT121" s="230">
        <f>IF(AND(OR( BT$5&gt;$F121, Timeline!BT$8&lt;Loans!$E121), Loans!BT119&lt;&gt;0), 1, 0)</f>
        <v>0</v>
      </c>
      <c r="BU121" s="230">
        <f>IF(AND(OR( BU$5&gt;$F121, Timeline!BU$8&lt;Loans!$E121), Loans!BU119&lt;&gt;0), 1, 0)</f>
        <v>0</v>
      </c>
      <c r="BV121" s="230">
        <f>IF(AND(OR( BV$5&gt;$F121, Timeline!BV$8&lt;Loans!$E121), Loans!BV119&lt;&gt;0), 1, 0)</f>
        <v>0</v>
      </c>
      <c r="BW121" s="230">
        <f>IF(AND(OR( BW$5&gt;$F121, Timeline!BW$8&lt;Loans!$E121), Loans!BW119&lt;&gt;0), 1, 0)</f>
        <v>0</v>
      </c>
      <c r="BY121" s="12"/>
      <c r="CA121" s="12"/>
      <c r="CL121" s="7">
        <f>IF(MAX($V121:$BW121)&gt;0, 1, 0)</f>
        <v>0</v>
      </c>
      <c r="CR121" s="12"/>
      <c r="CS121" s="93">
        <f t="shared" si="101"/>
        <v>1</v>
      </c>
      <c r="CT121" s="93">
        <v>0</v>
      </c>
      <c r="CU121" s="93">
        <v>0</v>
      </c>
      <c r="EX121" s="13" t="str">
        <f>IF(C121="", "", CONCATENATE(D104, " ",D121))</f>
        <v/>
      </c>
    </row>
    <row r="122" spans="1:154" s="335" customFormat="1" ht="6.6" customHeight="1" x14ac:dyDescent="0.25">
      <c r="C122" s="380"/>
      <c r="D122" s="1"/>
      <c r="T122" s="25"/>
      <c r="U122" s="25"/>
      <c r="V122" s="93"/>
      <c r="BM122" s="6"/>
      <c r="BY122" s="42"/>
      <c r="CA122" s="42"/>
      <c r="CR122" s="42"/>
      <c r="CS122" s="93">
        <f t="shared" si="101"/>
        <v>0</v>
      </c>
      <c r="CT122" s="93">
        <v>0</v>
      </c>
      <c r="CU122" s="93">
        <v>0</v>
      </c>
      <c r="EX122" s="10" t="str">
        <f t="shared" ref="EX122" si="109">IF($C122="","",$D122)</f>
        <v/>
      </c>
    </row>
    <row r="123" spans="1:154" x14ac:dyDescent="0.25">
      <c r="A123" s="64"/>
      <c r="C123" s="380"/>
      <c r="D123" s="64" t="s">
        <v>194</v>
      </c>
      <c r="E123" s="64"/>
      <c r="F123" s="64"/>
      <c r="G123" s="64"/>
      <c r="H123" s="64"/>
      <c r="I123" s="64"/>
      <c r="L123" s="64"/>
      <c r="M123" s="64"/>
      <c r="N123" s="64"/>
      <c r="O123" s="64"/>
      <c r="P123" s="64"/>
      <c r="Q123" s="64"/>
      <c r="S123" s="335"/>
      <c r="T123" s="25"/>
      <c r="U123" s="25"/>
      <c r="V123" s="93"/>
      <c r="W123" s="67"/>
      <c r="X123" s="67"/>
      <c r="Y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L123" s="67"/>
      <c r="BM123" s="67"/>
      <c r="BN123" s="67"/>
      <c r="BO123" s="67"/>
      <c r="BP123" s="67"/>
      <c r="BQ123" s="67"/>
      <c r="BR123" s="67"/>
      <c r="BS123" s="67"/>
      <c r="BT123" s="67"/>
      <c r="BU123" s="67"/>
      <c r="BV123" s="67"/>
      <c r="BW123" s="67"/>
      <c r="BY123" s="12"/>
      <c r="CA123" s="12"/>
      <c r="CR123" s="12"/>
      <c r="CS123" s="93">
        <f t="shared" si="101"/>
        <v>0</v>
      </c>
      <c r="CT123" s="93">
        <v>0</v>
      </c>
      <c r="CU123" s="93">
        <v>0</v>
      </c>
      <c r="EX123" s="10" t="str">
        <f t="shared" ref="EX123:EX199" si="110">IF($C123="","",$D123)</f>
        <v/>
      </c>
    </row>
    <row r="124" spans="1:154" x14ac:dyDescent="0.25">
      <c r="A124" s="67"/>
      <c r="B124" s="67"/>
      <c r="C124" s="340" t="s">
        <v>1377</v>
      </c>
      <c r="D124" s="51" t="s">
        <v>230</v>
      </c>
      <c r="F124" s="67"/>
      <c r="G124" s="9" t="s">
        <v>413</v>
      </c>
      <c r="H124" s="50" t="s">
        <v>8</v>
      </c>
      <c r="I124" s="67"/>
      <c r="J124" s="67"/>
      <c r="K124" s="67"/>
      <c r="L124" s="67"/>
      <c r="M124" s="67"/>
      <c r="N124" s="67"/>
      <c r="O124" s="67"/>
      <c r="P124" s="67"/>
      <c r="Q124" s="67"/>
      <c r="R124" s="67"/>
      <c r="S124" s="335"/>
      <c r="T124" s="25"/>
      <c r="U124" s="25"/>
      <c r="V124" s="210"/>
      <c r="W124" s="201">
        <f>V128</f>
        <v>817</v>
      </c>
      <c r="X124" s="201">
        <f>W128</f>
        <v>753</v>
      </c>
      <c r="Y124" s="10">
        <f>X128</f>
        <v>689</v>
      </c>
      <c r="Z124" s="67"/>
      <c r="AA124" s="13">
        <f>W124</f>
        <v>817</v>
      </c>
      <c r="AB124" s="10">
        <f t="shared" ref="AB124:BJ124" si="111">AA128</f>
        <v>801</v>
      </c>
      <c r="AC124" s="10">
        <f t="shared" si="111"/>
        <v>801</v>
      </c>
      <c r="AD124" s="10">
        <f t="shared" si="111"/>
        <v>801</v>
      </c>
      <c r="AE124" s="10">
        <f t="shared" si="111"/>
        <v>785</v>
      </c>
      <c r="AF124" s="10">
        <f t="shared" si="111"/>
        <v>785</v>
      </c>
      <c r="AG124" s="10">
        <f t="shared" si="111"/>
        <v>785</v>
      </c>
      <c r="AH124" s="10">
        <f t="shared" si="111"/>
        <v>769</v>
      </c>
      <c r="AI124" s="10">
        <f t="shared" si="111"/>
        <v>769</v>
      </c>
      <c r="AJ124" s="10">
        <f t="shared" si="111"/>
        <v>769</v>
      </c>
      <c r="AK124" s="10">
        <f t="shared" si="111"/>
        <v>753</v>
      </c>
      <c r="AL124" s="10">
        <f t="shared" si="111"/>
        <v>753</v>
      </c>
      <c r="AM124" s="10">
        <f t="shared" si="111"/>
        <v>753</v>
      </c>
      <c r="AN124" s="10">
        <f t="shared" si="111"/>
        <v>737</v>
      </c>
      <c r="AO124" s="10">
        <f t="shared" si="111"/>
        <v>737</v>
      </c>
      <c r="AP124" s="10">
        <f t="shared" si="111"/>
        <v>737</v>
      </c>
      <c r="AQ124" s="10">
        <f t="shared" si="111"/>
        <v>721</v>
      </c>
      <c r="AR124" s="10">
        <f t="shared" si="111"/>
        <v>721</v>
      </c>
      <c r="AS124" s="10">
        <f t="shared" si="111"/>
        <v>721</v>
      </c>
      <c r="AT124" s="10">
        <f t="shared" si="111"/>
        <v>705</v>
      </c>
      <c r="AU124" s="10">
        <f t="shared" si="111"/>
        <v>705</v>
      </c>
      <c r="AV124" s="10">
        <f t="shared" si="111"/>
        <v>705</v>
      </c>
      <c r="AW124" s="10">
        <f t="shared" si="111"/>
        <v>689</v>
      </c>
      <c r="AX124" s="10">
        <f t="shared" si="111"/>
        <v>689</v>
      </c>
      <c r="AY124" s="10">
        <f t="shared" si="111"/>
        <v>689</v>
      </c>
      <c r="AZ124" s="10">
        <f t="shared" si="111"/>
        <v>673</v>
      </c>
      <c r="BA124" s="10">
        <f t="shared" si="111"/>
        <v>673</v>
      </c>
      <c r="BB124" s="10">
        <f t="shared" si="111"/>
        <v>673</v>
      </c>
      <c r="BC124" s="10">
        <f t="shared" si="111"/>
        <v>657</v>
      </c>
      <c r="BD124" s="10">
        <f t="shared" si="111"/>
        <v>657</v>
      </c>
      <c r="BE124" s="10">
        <f t="shared" si="111"/>
        <v>657</v>
      </c>
      <c r="BF124" s="10">
        <f t="shared" si="111"/>
        <v>641</v>
      </c>
      <c r="BG124" s="10">
        <f t="shared" si="111"/>
        <v>641</v>
      </c>
      <c r="BH124" s="10">
        <f t="shared" si="111"/>
        <v>641</v>
      </c>
      <c r="BI124" s="10">
        <f t="shared" si="111"/>
        <v>625</v>
      </c>
      <c r="BJ124" s="10">
        <f t="shared" si="111"/>
        <v>625</v>
      </c>
      <c r="BK124" s="67"/>
      <c r="BL124" s="13">
        <f t="shared" ref="BL124:BO128" si="112">V124</f>
        <v>0</v>
      </c>
      <c r="BM124" s="13">
        <f t="shared" si="112"/>
        <v>817</v>
      </c>
      <c r="BN124" s="13">
        <f t="shared" si="112"/>
        <v>753</v>
      </c>
      <c r="BO124" s="13">
        <f t="shared" si="112"/>
        <v>689</v>
      </c>
      <c r="BP124" s="10">
        <f t="shared" ref="BP124:BW124" si="113">BO128</f>
        <v>625</v>
      </c>
      <c r="BQ124" s="10">
        <f t="shared" si="113"/>
        <v>625</v>
      </c>
      <c r="BR124" s="10">
        <f t="shared" si="113"/>
        <v>625</v>
      </c>
      <c r="BS124" s="10">
        <f t="shared" si="113"/>
        <v>625</v>
      </c>
      <c r="BT124" s="10">
        <f t="shared" si="113"/>
        <v>625</v>
      </c>
      <c r="BU124" s="10">
        <f t="shared" si="113"/>
        <v>625</v>
      </c>
      <c r="BV124" s="10">
        <f t="shared" si="113"/>
        <v>625</v>
      </c>
      <c r="BW124" s="10">
        <f t="shared" si="113"/>
        <v>625</v>
      </c>
      <c r="BX124" s="67"/>
      <c r="BY124" s="12"/>
      <c r="CA124" s="12"/>
      <c r="CG124" s="67"/>
      <c r="CH124" s="67"/>
      <c r="CI124" s="67"/>
      <c r="CK124" s="67"/>
      <c r="CL124" s="67"/>
      <c r="CR124" s="12"/>
      <c r="CS124" s="93">
        <f t="shared" si="101"/>
        <v>0</v>
      </c>
      <c r="CT124" s="93">
        <v>1</v>
      </c>
      <c r="CU124" s="93">
        <v>0</v>
      </c>
      <c r="EX124" s="13" t="str">
        <f>IF(C124="", "", CONCATENATE(D123, " ",D124))</f>
        <v>Loan 5 Opening Loan Balance</v>
      </c>
    </row>
    <row r="125" spans="1:154" s="5" customFormat="1" x14ac:dyDescent="0.25">
      <c r="A125" s="362" cm="1">
        <f t="array" aca="1" ref="A125" ca="1">HYPERLINK(CONCATENATE("#",CELL("address",IF(SUM($CA125:$CR125)=0,A125,INDEX($CA125:$CR125,MATCH(1,$CA125:$CR125,0))))),SUM($CA125:$CR125))</f>
        <v>0</v>
      </c>
      <c r="B125" s="67"/>
      <c r="C125" s="340" t="s">
        <v>1267</v>
      </c>
      <c r="D125" s="51" t="s">
        <v>219</v>
      </c>
      <c r="E125" s="1"/>
      <c r="F125" s="67"/>
      <c r="G125" s="9" t="s">
        <v>413</v>
      </c>
      <c r="H125" s="50" t="s">
        <v>125</v>
      </c>
      <c r="I125" s="67"/>
      <c r="J125" s="67"/>
      <c r="K125" s="67"/>
      <c r="L125" s="67"/>
      <c r="M125" s="67"/>
      <c r="N125" s="67"/>
      <c r="O125" s="67"/>
      <c r="P125" s="67"/>
      <c r="Q125" s="67"/>
      <c r="R125" s="67"/>
      <c r="S125" s="335"/>
      <c r="T125" s="25"/>
      <c r="U125" s="25"/>
      <c r="V125" s="210"/>
      <c r="W125" s="215">
        <f t="shared" ref="W125:Y127" si="114" xml:space="preserve"> SUMIFS($AA125:$BJ125, $AA$3:$BJ$3, W$3)</f>
        <v>0</v>
      </c>
      <c r="X125" s="215">
        <f t="shared" si="114"/>
        <v>0</v>
      </c>
      <c r="Y125" s="215">
        <f t="shared" si="114"/>
        <v>0</v>
      </c>
      <c r="Z125" s="6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67"/>
      <c r="BL125" s="13">
        <f t="shared" si="112"/>
        <v>0</v>
      </c>
      <c r="BM125" s="13">
        <f t="shared" si="112"/>
        <v>0</v>
      </c>
      <c r="BN125" s="13">
        <f t="shared" si="112"/>
        <v>0</v>
      </c>
      <c r="BO125" s="13">
        <f t="shared" si="112"/>
        <v>0</v>
      </c>
      <c r="BP125" s="141"/>
      <c r="BQ125" s="141"/>
      <c r="BR125" s="141"/>
      <c r="BS125" s="141"/>
      <c r="BT125" s="141"/>
      <c r="BU125" s="141"/>
      <c r="BV125" s="141"/>
      <c r="BW125" s="141"/>
      <c r="BX125" s="67"/>
      <c r="BY125" s="12"/>
      <c r="BZ125" s="395">
        <f>IF(MIN($V125:$BW125)&lt;0, 1, 0)</f>
        <v>0</v>
      </c>
      <c r="CA125" s="12"/>
      <c r="CB125" s="335"/>
      <c r="CC125" s="335"/>
      <c r="CD125" s="335"/>
      <c r="CE125" s="335"/>
      <c r="CF125" s="67"/>
      <c r="CG125" s="67"/>
      <c r="CH125" s="67"/>
      <c r="CI125" s="67"/>
      <c r="CJ125" s="67"/>
      <c r="CK125" s="67"/>
      <c r="CL125" s="67"/>
      <c r="CM125" s="7">
        <f t="shared" ref="CM125:CO127" si="115">IF(ROUND(W125-SUMIFS($AA125:$BJ125, $AA$3:$BJ$3, W$3), rounding)=0, 0, 1)</f>
        <v>0</v>
      </c>
      <c r="CN125" s="7">
        <f t="shared" si="115"/>
        <v>0</v>
      </c>
      <c r="CO125" s="7">
        <f t="shared" si="115"/>
        <v>0</v>
      </c>
      <c r="CP125" s="7">
        <f>IF(ROUND(V125-BL125, rounding)=0, 0, 1)*'BS Forecasts'!$V$10</f>
        <v>0</v>
      </c>
      <c r="CQ125" s="67"/>
      <c r="CR125" s="12"/>
      <c r="CS125" s="93">
        <f t="shared" si="101"/>
        <v>0</v>
      </c>
      <c r="CT125" s="93">
        <v>1</v>
      </c>
      <c r="CU125" s="93">
        <v>1</v>
      </c>
      <c r="EX125" s="13" t="str">
        <f>IF(C125="", "", CONCATENATE(D123, " ",D125))</f>
        <v>Loan 5 Drawdowns</v>
      </c>
    </row>
    <row r="126" spans="1:154" x14ac:dyDescent="0.25">
      <c r="A126" s="362" cm="1">
        <f t="array" aca="1" ref="A126" ca="1">HYPERLINK(CONCATENATE("#",CELL("address",IF(SUM($CA126:$CR126)=0,A126,INDEX($CA126:$CR126,MATCH(1,$CA126:$CR126,0))))),SUM($CA126:$CR126))</f>
        <v>0</v>
      </c>
      <c r="B126" s="67"/>
      <c r="C126" s="340" t="s">
        <v>1268</v>
      </c>
      <c r="D126" s="41" t="s">
        <v>1570</v>
      </c>
      <c r="F126" s="67"/>
      <c r="G126" s="9" t="s">
        <v>413</v>
      </c>
      <c r="H126" s="50" t="s">
        <v>157</v>
      </c>
      <c r="I126" s="67"/>
      <c r="J126" s="67"/>
      <c r="K126" s="67"/>
      <c r="L126" s="67"/>
      <c r="M126" s="67"/>
      <c r="N126" s="67"/>
      <c r="O126" s="67"/>
      <c r="P126" s="67"/>
      <c r="Q126" s="67"/>
      <c r="R126" s="67"/>
      <c r="S126" s="335"/>
      <c r="T126" s="25"/>
      <c r="U126" s="25"/>
      <c r="V126" s="210"/>
      <c r="W126" s="215">
        <f t="shared" si="114"/>
        <v>-64</v>
      </c>
      <c r="X126" s="215">
        <f t="shared" si="114"/>
        <v>-64</v>
      </c>
      <c r="Y126" s="215">
        <f t="shared" si="114"/>
        <v>-64</v>
      </c>
      <c r="Z126" s="67"/>
      <c r="AA126" s="147">
        <v>-16</v>
      </c>
      <c r="AB126" s="147"/>
      <c r="AC126" s="147"/>
      <c r="AD126" s="147">
        <v>-16</v>
      </c>
      <c r="AE126" s="147"/>
      <c r="AF126" s="147"/>
      <c r="AG126" s="147">
        <v>-16</v>
      </c>
      <c r="AH126" s="147"/>
      <c r="AI126" s="147"/>
      <c r="AJ126" s="147">
        <v>-16</v>
      </c>
      <c r="AK126" s="147"/>
      <c r="AL126" s="147"/>
      <c r="AM126" s="147">
        <v>-16</v>
      </c>
      <c r="AN126" s="147"/>
      <c r="AO126" s="147"/>
      <c r="AP126" s="147">
        <v>-16</v>
      </c>
      <c r="AQ126" s="147"/>
      <c r="AR126" s="147"/>
      <c r="AS126" s="147">
        <v>-16</v>
      </c>
      <c r="AT126" s="147"/>
      <c r="AU126" s="147"/>
      <c r="AV126" s="147">
        <v>-16</v>
      </c>
      <c r="AW126" s="147"/>
      <c r="AX126" s="147"/>
      <c r="AY126" s="147">
        <v>-16</v>
      </c>
      <c r="AZ126" s="147"/>
      <c r="BA126" s="147"/>
      <c r="BB126" s="147">
        <v>-16</v>
      </c>
      <c r="BC126" s="147"/>
      <c r="BD126" s="147"/>
      <c r="BE126" s="147">
        <v>-16</v>
      </c>
      <c r="BF126" s="147"/>
      <c r="BG126" s="147"/>
      <c r="BH126" s="147">
        <v>-16</v>
      </c>
      <c r="BI126" s="147"/>
      <c r="BJ126" s="147"/>
      <c r="BK126" s="67"/>
      <c r="BL126" s="13">
        <f t="shared" si="112"/>
        <v>0</v>
      </c>
      <c r="BM126" s="13">
        <f t="shared" si="112"/>
        <v>-64</v>
      </c>
      <c r="BN126" s="13">
        <f t="shared" si="112"/>
        <v>-64</v>
      </c>
      <c r="BO126" s="13">
        <f t="shared" si="112"/>
        <v>-64</v>
      </c>
      <c r="BP126" s="141"/>
      <c r="BQ126" s="141"/>
      <c r="BR126" s="141"/>
      <c r="BS126" s="141"/>
      <c r="BT126" s="141"/>
      <c r="BU126" s="141"/>
      <c r="BV126" s="141"/>
      <c r="BW126" s="141"/>
      <c r="BX126" s="67"/>
      <c r="BY126" s="12"/>
      <c r="BZ126" s="395">
        <f>IF(MAX($V126:$BW126)&gt;0, 1, 0)</f>
        <v>0</v>
      </c>
      <c r="CA126" s="12"/>
      <c r="CG126" s="67"/>
      <c r="CH126" s="67"/>
      <c r="CI126" s="67"/>
      <c r="CK126" s="67"/>
      <c r="CL126" s="67"/>
      <c r="CM126" s="7">
        <f t="shared" si="115"/>
        <v>0</v>
      </c>
      <c r="CN126" s="7">
        <f t="shared" si="115"/>
        <v>0</v>
      </c>
      <c r="CO126" s="7">
        <f t="shared" si="115"/>
        <v>0</v>
      </c>
      <c r="CP126" s="7">
        <f>IF(ROUND(V126-BL126, rounding)=0, 0, 1)*'BS Forecasts'!$V$10</f>
        <v>0</v>
      </c>
      <c r="CR126" s="12"/>
      <c r="CS126" s="93">
        <f t="shared" si="101"/>
        <v>0</v>
      </c>
      <c r="CT126" s="93">
        <v>1</v>
      </c>
      <c r="CU126" s="93">
        <v>1</v>
      </c>
      <c r="EX126" s="13" t="str">
        <f>IF(C126="", "", CONCATENATE(D123, " ",D126))</f>
        <v>Loan 5 Loan Capital Repayment (as per loan agreement)</v>
      </c>
    </row>
    <row r="127" spans="1:154" s="335" customFormat="1" x14ac:dyDescent="0.25">
      <c r="A127" s="362" cm="1">
        <f t="array" aca="1" ref="A127" ca="1">HYPERLINK(CONCATENATE("#",CELL("address",IF(SUM($CA127:$CR127)=0,A127,INDEX($CA127:$CR127,MATCH(1,$CA127:$CR127,0))))),SUM($CA127:$CR127))</f>
        <v>0</v>
      </c>
      <c r="C127" s="340" t="s">
        <v>1588</v>
      </c>
      <c r="D127" s="41" t="s">
        <v>1571</v>
      </c>
      <c r="E127" s="1"/>
      <c r="G127" s="9" t="s">
        <v>413</v>
      </c>
      <c r="H127" s="50" t="s">
        <v>157</v>
      </c>
      <c r="T127" s="25"/>
      <c r="U127" s="25"/>
      <c r="V127" s="210"/>
      <c r="W127" s="215">
        <f t="shared" si="114"/>
        <v>0</v>
      </c>
      <c r="X127" s="215">
        <f t="shared" si="114"/>
        <v>0</v>
      </c>
      <c r="Y127" s="215">
        <f t="shared" si="114"/>
        <v>0</v>
      </c>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L127" s="13">
        <f t="shared" si="112"/>
        <v>0</v>
      </c>
      <c r="BM127" s="13">
        <f t="shared" si="112"/>
        <v>0</v>
      </c>
      <c r="BN127" s="13">
        <f t="shared" si="112"/>
        <v>0</v>
      </c>
      <c r="BO127" s="13">
        <f t="shared" si="112"/>
        <v>0</v>
      </c>
      <c r="BP127" s="141"/>
      <c r="BQ127" s="141"/>
      <c r="BR127" s="141"/>
      <c r="BS127" s="141"/>
      <c r="BT127" s="141"/>
      <c r="BU127" s="141"/>
      <c r="BV127" s="141"/>
      <c r="BW127" s="141"/>
      <c r="BY127" s="12"/>
      <c r="BZ127" s="395">
        <f>IF(MAX($V127:$BW127)&gt;0, 1, 0)</f>
        <v>0</v>
      </c>
      <c r="CA127" s="12"/>
      <c r="CM127" s="7">
        <f t="shared" si="115"/>
        <v>0</v>
      </c>
      <c r="CN127" s="7">
        <f t="shared" si="115"/>
        <v>0</v>
      </c>
      <c r="CO127" s="7">
        <f t="shared" si="115"/>
        <v>0</v>
      </c>
      <c r="CP127" s="7">
        <f>IF(ROUND(V127-BL127, rounding)=0, 0, 1)*'BS Forecasts'!$V$10</f>
        <v>0</v>
      </c>
      <c r="CR127" s="12"/>
      <c r="CS127" s="93">
        <f t="shared" si="101"/>
        <v>0</v>
      </c>
      <c r="CT127" s="93">
        <v>1</v>
      </c>
      <c r="CU127" s="93">
        <v>1</v>
      </c>
      <c r="EX127" s="13" t="str">
        <f>IF(C127="", "", CONCATENATE(D123, " ",D127))</f>
        <v xml:space="preserve">Loan 5 Early Repayment </v>
      </c>
    </row>
    <row r="128" spans="1:154" x14ac:dyDescent="0.25">
      <c r="A128" s="67"/>
      <c r="B128" s="67"/>
      <c r="C128" s="340" t="s">
        <v>1357</v>
      </c>
      <c r="D128" s="51" t="s">
        <v>231</v>
      </c>
      <c r="F128" s="67"/>
      <c r="G128" s="9" t="s">
        <v>413</v>
      </c>
      <c r="H128" s="50" t="s">
        <v>8</v>
      </c>
      <c r="I128" s="67"/>
      <c r="J128" s="67"/>
      <c r="K128" s="67"/>
      <c r="L128" s="67"/>
      <c r="M128" s="67"/>
      <c r="N128" s="67"/>
      <c r="O128" s="67"/>
      <c r="P128" s="67"/>
      <c r="Q128" s="67"/>
      <c r="R128" s="67"/>
      <c r="S128" s="335"/>
      <c r="T128" s="25"/>
      <c r="U128" s="25"/>
      <c r="V128" s="13">
        <f>$G$17</f>
        <v>817</v>
      </c>
      <c r="W128" s="10">
        <f>SUM(W124:W127)</f>
        <v>753</v>
      </c>
      <c r="X128" s="10">
        <f t="shared" ref="X128:BJ128" si="116">SUM(X124:X127)</f>
        <v>689</v>
      </c>
      <c r="Y128" s="10">
        <f t="shared" si="116"/>
        <v>625</v>
      </c>
      <c r="Z128" s="335"/>
      <c r="AA128" s="10">
        <f t="shared" si="116"/>
        <v>801</v>
      </c>
      <c r="AB128" s="10">
        <f t="shared" si="116"/>
        <v>801</v>
      </c>
      <c r="AC128" s="10">
        <f t="shared" si="116"/>
        <v>801</v>
      </c>
      <c r="AD128" s="10">
        <f t="shared" si="116"/>
        <v>785</v>
      </c>
      <c r="AE128" s="10">
        <f t="shared" si="116"/>
        <v>785</v>
      </c>
      <c r="AF128" s="10">
        <f t="shared" si="116"/>
        <v>785</v>
      </c>
      <c r="AG128" s="10">
        <f t="shared" si="116"/>
        <v>769</v>
      </c>
      <c r="AH128" s="10">
        <f t="shared" si="116"/>
        <v>769</v>
      </c>
      <c r="AI128" s="10">
        <f t="shared" si="116"/>
        <v>769</v>
      </c>
      <c r="AJ128" s="10">
        <f t="shared" si="116"/>
        <v>753</v>
      </c>
      <c r="AK128" s="10">
        <f t="shared" si="116"/>
        <v>753</v>
      </c>
      <c r="AL128" s="10">
        <f t="shared" si="116"/>
        <v>753</v>
      </c>
      <c r="AM128" s="10">
        <f t="shared" si="116"/>
        <v>737</v>
      </c>
      <c r="AN128" s="10">
        <f t="shared" si="116"/>
        <v>737</v>
      </c>
      <c r="AO128" s="10">
        <f t="shared" si="116"/>
        <v>737</v>
      </c>
      <c r="AP128" s="10">
        <f t="shared" si="116"/>
        <v>721</v>
      </c>
      <c r="AQ128" s="10">
        <f t="shared" si="116"/>
        <v>721</v>
      </c>
      <c r="AR128" s="10">
        <f t="shared" si="116"/>
        <v>721</v>
      </c>
      <c r="AS128" s="10">
        <f t="shared" si="116"/>
        <v>705</v>
      </c>
      <c r="AT128" s="10">
        <f t="shared" si="116"/>
        <v>705</v>
      </c>
      <c r="AU128" s="10">
        <f t="shared" si="116"/>
        <v>705</v>
      </c>
      <c r="AV128" s="10">
        <f t="shared" si="116"/>
        <v>689</v>
      </c>
      <c r="AW128" s="10">
        <f t="shared" si="116"/>
        <v>689</v>
      </c>
      <c r="AX128" s="10">
        <f t="shared" si="116"/>
        <v>689</v>
      </c>
      <c r="AY128" s="10">
        <f t="shared" si="116"/>
        <v>673</v>
      </c>
      <c r="AZ128" s="10">
        <f t="shared" si="116"/>
        <v>673</v>
      </c>
      <c r="BA128" s="10">
        <f t="shared" si="116"/>
        <v>673</v>
      </c>
      <c r="BB128" s="10">
        <f t="shared" si="116"/>
        <v>657</v>
      </c>
      <c r="BC128" s="10">
        <f t="shared" si="116"/>
        <v>657</v>
      </c>
      <c r="BD128" s="10">
        <f t="shared" si="116"/>
        <v>657</v>
      </c>
      <c r="BE128" s="10">
        <f t="shared" si="116"/>
        <v>641</v>
      </c>
      <c r="BF128" s="10">
        <f t="shared" si="116"/>
        <v>641</v>
      </c>
      <c r="BG128" s="10">
        <f t="shared" si="116"/>
        <v>641</v>
      </c>
      <c r="BH128" s="10">
        <f t="shared" si="116"/>
        <v>625</v>
      </c>
      <c r="BI128" s="10">
        <f t="shared" si="116"/>
        <v>625</v>
      </c>
      <c r="BJ128" s="10">
        <f t="shared" si="116"/>
        <v>625</v>
      </c>
      <c r="BK128" s="67"/>
      <c r="BL128" s="152">
        <f t="shared" si="112"/>
        <v>817</v>
      </c>
      <c r="BM128" s="152">
        <f t="shared" si="112"/>
        <v>753</v>
      </c>
      <c r="BN128" s="152">
        <f t="shared" si="112"/>
        <v>689</v>
      </c>
      <c r="BO128" s="152">
        <f t="shared" si="112"/>
        <v>625</v>
      </c>
      <c r="BP128" s="10">
        <f>SUM(BP124:BP127)</f>
        <v>625</v>
      </c>
      <c r="BQ128" s="10">
        <f t="shared" ref="BQ128" si="117">SUM(BQ124:BQ127)</f>
        <v>625</v>
      </c>
      <c r="BR128" s="10">
        <f t="shared" ref="BR128" si="118">SUM(BR124:BR127)</f>
        <v>625</v>
      </c>
      <c r="BS128" s="10">
        <f t="shared" ref="BS128" si="119">SUM(BS124:BS127)</f>
        <v>625</v>
      </c>
      <c r="BT128" s="10">
        <f t="shared" ref="BT128" si="120">SUM(BT124:BT127)</f>
        <v>625</v>
      </c>
      <c r="BU128" s="10">
        <f t="shared" ref="BU128" si="121">SUM(BU124:BU127)</f>
        <v>625</v>
      </c>
      <c r="BV128" s="10">
        <f t="shared" ref="BV128" si="122">SUM(BV124:BV127)</f>
        <v>625</v>
      </c>
      <c r="BW128" s="10">
        <f t="shared" ref="BW128" si="123">SUM(BW124:BW127)</f>
        <v>625</v>
      </c>
      <c r="BX128" s="67"/>
      <c r="BY128" s="12"/>
      <c r="CA128" s="12"/>
      <c r="CG128" s="67"/>
      <c r="CH128" s="67"/>
      <c r="CI128" s="67"/>
      <c r="CK128" s="67"/>
      <c r="CL128" s="67"/>
      <c r="CR128" s="12"/>
      <c r="CS128" s="93">
        <f t="shared" si="101"/>
        <v>0</v>
      </c>
      <c r="CT128" s="93">
        <v>0</v>
      </c>
      <c r="CU128" s="93">
        <v>0</v>
      </c>
      <c r="EX128" s="13" t="str">
        <f>IF(C128="", "", CONCATENATE(D123, " ",D128))</f>
        <v>Loan 5 Closing Loan Balance</v>
      </c>
    </row>
    <row r="129" spans="1:154" ht="6.6" customHeight="1" x14ac:dyDescent="0.25">
      <c r="A129" s="67"/>
      <c r="B129" s="67"/>
      <c r="C129" s="380"/>
      <c r="D129" s="1"/>
      <c r="E129" s="67"/>
      <c r="F129" s="67"/>
      <c r="G129" s="67"/>
      <c r="H129" s="67"/>
      <c r="I129" s="67"/>
      <c r="J129" s="67"/>
      <c r="K129" s="67"/>
      <c r="L129" s="67"/>
      <c r="M129" s="67"/>
      <c r="N129" s="67"/>
      <c r="O129" s="67"/>
      <c r="P129" s="67"/>
      <c r="Q129" s="67"/>
      <c r="R129" s="67"/>
      <c r="S129" s="335"/>
      <c r="T129" s="25"/>
      <c r="U129" s="25"/>
      <c r="V129" s="229"/>
      <c r="W129" s="25"/>
      <c r="X129" s="25"/>
      <c r="Y129" s="25"/>
      <c r="Z129" s="67"/>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67"/>
      <c r="BL129" s="25"/>
      <c r="BM129" s="155"/>
      <c r="BN129" s="25"/>
      <c r="BO129" s="25"/>
      <c r="BP129" s="25"/>
      <c r="BQ129" s="25"/>
      <c r="BR129" s="25"/>
      <c r="BS129" s="25"/>
      <c r="BT129" s="25"/>
      <c r="BU129" s="25"/>
      <c r="BV129" s="25"/>
      <c r="BW129" s="25"/>
      <c r="BX129" s="67"/>
      <c r="BY129" s="42"/>
      <c r="CA129" s="42"/>
      <c r="CG129" s="67"/>
      <c r="CH129" s="67"/>
      <c r="CI129" s="67"/>
      <c r="CK129" s="67"/>
      <c r="CL129" s="67"/>
      <c r="CR129" s="42"/>
      <c r="CS129" s="93">
        <f t="shared" si="101"/>
        <v>0</v>
      </c>
      <c r="CT129" s="93">
        <v>0</v>
      </c>
      <c r="CU129" s="93">
        <v>0</v>
      </c>
      <c r="EX129" s="13" t="str">
        <f>IF(C129="", "", CONCATENATE(D123, " ",D129))</f>
        <v/>
      </c>
    </row>
    <row r="130" spans="1:154" x14ac:dyDescent="0.25">
      <c r="A130" s="362" cm="1">
        <f t="array" aca="1" ref="A130" ca="1">HYPERLINK(CONCATENATE("#",CELL("address",IF(SUM($CA130:$CR130)=0,A130,INDEX($CA130:$CR130,MATCH(1,$CA130:$CR130,0))))),SUM($CA130:$CR130))</f>
        <v>0</v>
      </c>
      <c r="B130" s="67"/>
      <c r="C130" s="380"/>
      <c r="D130" s="51" t="s">
        <v>526</v>
      </c>
      <c r="E130" s="160" t="s">
        <v>523</v>
      </c>
      <c r="F130" s="153">
        <f>$F$17</f>
        <v>1320</v>
      </c>
      <c r="G130" s="67"/>
      <c r="H130" s="67"/>
      <c r="I130" s="67"/>
      <c r="J130" s="67"/>
      <c r="K130" s="67"/>
      <c r="L130" s="67"/>
      <c r="M130" s="67"/>
      <c r="N130" s="67"/>
      <c r="O130" s="67"/>
      <c r="P130" s="67"/>
      <c r="Q130" s="67"/>
      <c r="R130" s="67"/>
      <c r="S130" s="335"/>
      <c r="T130" s="25"/>
      <c r="U130" s="25"/>
      <c r="V130" s="230">
        <f>IF(OR(V128&gt;$F130, V128&lt;0), 1, 0)</f>
        <v>0</v>
      </c>
      <c r="W130" s="154">
        <f>IF(OR(W128&gt;$F130, W128&lt;0), 1, 0)</f>
        <v>0</v>
      </c>
      <c r="X130" s="154">
        <f>IF(OR(X128&gt;$F130, X128&lt;0), 1, 0)</f>
        <v>0</v>
      </c>
      <c r="Y130" s="154">
        <f>IF(OR(Y128&gt;$F130, Y128&lt;0), 1, 0)</f>
        <v>0</v>
      </c>
      <c r="Z130" s="67"/>
      <c r="AA130" s="154">
        <f t="shared" ref="AA130:BJ130" si="124">IF(OR(AA128&gt;$F130, AA128&lt;0), 1, 0)</f>
        <v>0</v>
      </c>
      <c r="AB130" s="154">
        <f t="shared" si="124"/>
        <v>0</v>
      </c>
      <c r="AC130" s="154">
        <f t="shared" si="124"/>
        <v>0</v>
      </c>
      <c r="AD130" s="154">
        <f t="shared" si="124"/>
        <v>0</v>
      </c>
      <c r="AE130" s="154">
        <f t="shared" si="124"/>
        <v>0</v>
      </c>
      <c r="AF130" s="154">
        <f t="shared" si="124"/>
        <v>0</v>
      </c>
      <c r="AG130" s="154">
        <f t="shared" si="124"/>
        <v>0</v>
      </c>
      <c r="AH130" s="154">
        <f t="shared" si="124"/>
        <v>0</v>
      </c>
      <c r="AI130" s="154">
        <f t="shared" si="124"/>
        <v>0</v>
      </c>
      <c r="AJ130" s="154">
        <f t="shared" si="124"/>
        <v>0</v>
      </c>
      <c r="AK130" s="154">
        <f t="shared" si="124"/>
        <v>0</v>
      </c>
      <c r="AL130" s="154">
        <f t="shared" si="124"/>
        <v>0</v>
      </c>
      <c r="AM130" s="154">
        <f t="shared" si="124"/>
        <v>0</v>
      </c>
      <c r="AN130" s="154">
        <f t="shared" si="124"/>
        <v>0</v>
      </c>
      <c r="AO130" s="154">
        <f t="shared" si="124"/>
        <v>0</v>
      </c>
      <c r="AP130" s="154">
        <f t="shared" si="124"/>
        <v>0</v>
      </c>
      <c r="AQ130" s="154">
        <f t="shared" si="124"/>
        <v>0</v>
      </c>
      <c r="AR130" s="154">
        <f t="shared" si="124"/>
        <v>0</v>
      </c>
      <c r="AS130" s="154">
        <f t="shared" si="124"/>
        <v>0</v>
      </c>
      <c r="AT130" s="154">
        <f t="shared" si="124"/>
        <v>0</v>
      </c>
      <c r="AU130" s="154">
        <f t="shared" si="124"/>
        <v>0</v>
      </c>
      <c r="AV130" s="154">
        <f t="shared" si="124"/>
        <v>0</v>
      </c>
      <c r="AW130" s="154">
        <f t="shared" si="124"/>
        <v>0</v>
      </c>
      <c r="AX130" s="154">
        <f t="shared" si="124"/>
        <v>0</v>
      </c>
      <c r="AY130" s="154">
        <f t="shared" si="124"/>
        <v>0</v>
      </c>
      <c r="AZ130" s="154">
        <f t="shared" si="124"/>
        <v>0</v>
      </c>
      <c r="BA130" s="154">
        <f t="shared" si="124"/>
        <v>0</v>
      </c>
      <c r="BB130" s="154">
        <f t="shared" si="124"/>
        <v>0</v>
      </c>
      <c r="BC130" s="154">
        <f t="shared" si="124"/>
        <v>0</v>
      </c>
      <c r="BD130" s="154">
        <f t="shared" si="124"/>
        <v>0</v>
      </c>
      <c r="BE130" s="154">
        <f t="shared" si="124"/>
        <v>0</v>
      </c>
      <c r="BF130" s="154">
        <f t="shared" si="124"/>
        <v>0</v>
      </c>
      <c r="BG130" s="154">
        <f t="shared" si="124"/>
        <v>0</v>
      </c>
      <c r="BH130" s="154">
        <f t="shared" si="124"/>
        <v>0</v>
      </c>
      <c r="BI130" s="154">
        <f t="shared" si="124"/>
        <v>0</v>
      </c>
      <c r="BJ130" s="154">
        <f t="shared" si="124"/>
        <v>0</v>
      </c>
      <c r="BK130" s="67"/>
      <c r="BL130" s="154">
        <f t="shared" ref="BL130" si="125">IF(OR(BL128&gt;$F130, BL128&lt;0), 1, 0)</f>
        <v>0</v>
      </c>
      <c r="BM130" s="154">
        <f t="shared" ref="BM130:BW130" si="126">IF(OR(BM128&gt;$F130, BM128&lt;0), 1, 0)</f>
        <v>0</v>
      </c>
      <c r="BN130" s="154">
        <f t="shared" si="126"/>
        <v>0</v>
      </c>
      <c r="BO130" s="154">
        <f t="shared" si="126"/>
        <v>0</v>
      </c>
      <c r="BP130" s="154">
        <f t="shared" si="126"/>
        <v>0</v>
      </c>
      <c r="BQ130" s="154">
        <f t="shared" si="126"/>
        <v>0</v>
      </c>
      <c r="BR130" s="154">
        <f t="shared" si="126"/>
        <v>0</v>
      </c>
      <c r="BS130" s="154">
        <f t="shared" si="126"/>
        <v>0</v>
      </c>
      <c r="BT130" s="154">
        <f t="shared" si="126"/>
        <v>0</v>
      </c>
      <c r="BU130" s="154">
        <f t="shared" si="126"/>
        <v>0</v>
      </c>
      <c r="BV130" s="154">
        <f t="shared" si="126"/>
        <v>0</v>
      </c>
      <c r="BW130" s="154">
        <f t="shared" si="126"/>
        <v>0</v>
      </c>
      <c r="BX130" s="67"/>
      <c r="BY130" s="12"/>
      <c r="CA130" s="12"/>
      <c r="CG130" s="67"/>
      <c r="CH130" s="67"/>
      <c r="CI130" s="67"/>
      <c r="CK130" s="67"/>
      <c r="CL130" s="7">
        <f>IF(MAX(V130:BW130)&gt;0, 1, 0)</f>
        <v>0</v>
      </c>
      <c r="CR130" s="12"/>
      <c r="CS130" s="93">
        <f t="shared" si="101"/>
        <v>1</v>
      </c>
      <c r="CT130" s="93">
        <v>0</v>
      </c>
      <c r="CU130" s="93">
        <v>0</v>
      </c>
      <c r="EX130" s="13" t="str">
        <f>IF(C130="", "", CONCATENATE(D123, " ",D130))</f>
        <v/>
      </c>
    </row>
    <row r="131" spans="1:154" x14ac:dyDescent="0.25">
      <c r="A131" s="362" cm="1">
        <f t="array" aca="1" ref="A131" ca="1">HYPERLINK(CONCATENATE("#",CELL("address",IF(SUM($CA131:$CR131)=0,A131,INDEX($CA131:$CR131,MATCH(1,$CA131:$CR131,0))))),SUM($CA131:$CR131))</f>
        <v>0</v>
      </c>
      <c r="B131" s="67"/>
      <c r="C131" s="380"/>
      <c r="D131" s="51" t="s">
        <v>220</v>
      </c>
      <c r="E131" s="160" t="s">
        <v>524</v>
      </c>
      <c r="F131" s="173" t="str">
        <f>IF($J$17="", "", $J$17)</f>
        <v/>
      </c>
      <c r="G131" s="67"/>
      <c r="H131" s="67"/>
      <c r="I131" s="67"/>
      <c r="J131" s="67"/>
      <c r="K131" s="67"/>
      <c r="L131" s="67"/>
      <c r="M131" s="67"/>
      <c r="N131" s="67"/>
      <c r="O131" s="67"/>
      <c r="P131" s="67"/>
      <c r="Q131" s="67"/>
      <c r="R131" s="67"/>
      <c r="S131" s="335"/>
      <c r="T131" s="25"/>
      <c r="U131" s="25"/>
      <c r="V131" s="230">
        <f>IF(AND(V$5&gt;=$F131,SUM(V128:$Y128)&lt;&gt;0),1,0)</f>
        <v>0</v>
      </c>
      <c r="W131" s="230">
        <f>IF(AND(W$5&gt;=$F131,SUM(W128:$Y128)&lt;&gt;0),1,0)</f>
        <v>0</v>
      </c>
      <c r="X131" s="230">
        <f>IF(AND(X$5&gt;=$F131,SUM(X128:$Y128)&lt;&gt;0),1,0)</f>
        <v>0</v>
      </c>
      <c r="Y131" s="230">
        <f>IF(AND(Y$5&gt;=$F131,SUM(Y128:$Y128)&lt;&gt;0),1,0)</f>
        <v>0</v>
      </c>
      <c r="Z131" s="67"/>
      <c r="AA131" s="154">
        <f>IF(AND(AA$5&gt;=$F131,SUM(AA128:$BJ128)&lt;&gt;0),1,0)</f>
        <v>0</v>
      </c>
      <c r="AB131" s="154">
        <f>IF(AND(AB$5&gt;=$F131,SUM(AB128:$BJ128)&lt;&gt;0),1,0)</f>
        <v>0</v>
      </c>
      <c r="AC131" s="154">
        <f>IF(AND(AC$5&gt;=$F131,SUM(AC128:$BJ128)&lt;&gt;0),1,0)</f>
        <v>0</v>
      </c>
      <c r="AD131" s="154">
        <f>IF(AND(AD$5&gt;=$F131,SUM(AD128:$BJ128)&lt;&gt;0),1,0)</f>
        <v>0</v>
      </c>
      <c r="AE131" s="154">
        <f>IF(AND(AE$5&gt;=$F131,SUM(AE128:$BJ128)&lt;&gt;0),1,0)</f>
        <v>0</v>
      </c>
      <c r="AF131" s="154">
        <f>IF(AND(AF$5&gt;=$F131,SUM(AF128:$BJ128)&lt;&gt;0),1,0)</f>
        <v>0</v>
      </c>
      <c r="AG131" s="154">
        <f>IF(AND(AG$5&gt;=$F131,SUM(AG128:$BJ128)&lt;&gt;0),1,0)</f>
        <v>0</v>
      </c>
      <c r="AH131" s="154">
        <f>IF(AND(AH$5&gt;=$F131,SUM(AH128:$BJ128)&lt;&gt;0),1,0)</f>
        <v>0</v>
      </c>
      <c r="AI131" s="154">
        <f>IF(AND(AI$5&gt;=$F131,SUM(AI128:$BJ128)&lt;&gt;0),1,0)</f>
        <v>0</v>
      </c>
      <c r="AJ131" s="154">
        <f>IF(AND(AJ$5&gt;=$F131,SUM(AJ128:$BJ128)&lt;&gt;0),1,0)</f>
        <v>0</v>
      </c>
      <c r="AK131" s="154">
        <f>IF(AND(AK$5&gt;=$F131,SUM(AK128:$BJ128)&lt;&gt;0),1,0)</f>
        <v>0</v>
      </c>
      <c r="AL131" s="154">
        <f>IF(AND(AL$5&gt;=$F131,SUM(AL128:$BJ128)&lt;&gt;0),1,0)</f>
        <v>0</v>
      </c>
      <c r="AM131" s="154">
        <f>IF(AND(AM$5&gt;=$F131,SUM(AM128:$BJ128)&lt;&gt;0),1,0)</f>
        <v>0</v>
      </c>
      <c r="AN131" s="154">
        <f>IF(AND(AN$5&gt;=$F131,SUM(AN128:$BJ128)&lt;&gt;0),1,0)</f>
        <v>0</v>
      </c>
      <c r="AO131" s="154">
        <f>IF(AND(AO$5&gt;=$F131,SUM(AO128:$BJ128)&lt;&gt;0),1,0)</f>
        <v>0</v>
      </c>
      <c r="AP131" s="154">
        <f>IF(AND(AP$5&gt;=$F131,SUM(AP128:$BJ128)&lt;&gt;0),1,0)</f>
        <v>0</v>
      </c>
      <c r="AQ131" s="154">
        <f>IF(AND(AQ$5&gt;=$F131,SUM(AQ128:$BJ128)&lt;&gt;0),1,0)</f>
        <v>0</v>
      </c>
      <c r="AR131" s="154">
        <f>IF(AND(AR$5&gt;=$F131,SUM(AR128:$BJ128)&lt;&gt;0),1,0)</f>
        <v>0</v>
      </c>
      <c r="AS131" s="154">
        <f>IF(AND(AS$5&gt;=$F131,SUM(AS128:$BJ128)&lt;&gt;0),1,0)</f>
        <v>0</v>
      </c>
      <c r="AT131" s="154">
        <f>IF(AND(AT$5&gt;=$F131,SUM(AT128:$BJ128)&lt;&gt;0),1,0)</f>
        <v>0</v>
      </c>
      <c r="AU131" s="154">
        <f>IF(AND(AU$5&gt;=$F131,SUM(AU128:$BJ128)&lt;&gt;0),1,0)</f>
        <v>0</v>
      </c>
      <c r="AV131" s="154">
        <f>IF(AND(AV$5&gt;=$F131,SUM(AV128:$BJ128)&lt;&gt;0),1,0)</f>
        <v>0</v>
      </c>
      <c r="AW131" s="154">
        <f>IF(AND(AW$5&gt;=$F131,SUM(AW128:$BJ128)&lt;&gt;0),1,0)</f>
        <v>0</v>
      </c>
      <c r="AX131" s="154">
        <f>IF(AND(AX$5&gt;=$F131,SUM(AX128:$BJ128)&lt;&gt;0),1,0)</f>
        <v>0</v>
      </c>
      <c r="AY131" s="154">
        <f>IF(AND(AY$5&gt;=$F131,SUM(AY128:$BJ128)&lt;&gt;0),1,0)</f>
        <v>0</v>
      </c>
      <c r="AZ131" s="154">
        <f>IF(AND(AZ$5&gt;=$F131,SUM(AZ128:$BJ128)&lt;&gt;0),1,0)</f>
        <v>0</v>
      </c>
      <c r="BA131" s="154">
        <f>IF(AND(BA$5&gt;=$F131,SUM(BA128:$BJ128)&lt;&gt;0),1,0)</f>
        <v>0</v>
      </c>
      <c r="BB131" s="154">
        <f>IF(AND(BB$5&gt;=$F131,SUM(BB128:$BJ128)&lt;&gt;0),1,0)</f>
        <v>0</v>
      </c>
      <c r="BC131" s="154">
        <f>IF(AND(BC$5&gt;=$F131,SUM(BC128:$BJ128)&lt;&gt;0),1,0)</f>
        <v>0</v>
      </c>
      <c r="BD131" s="154">
        <f>IF(AND(BD$5&gt;=$F131,SUM(BD128:$BJ128)&lt;&gt;0),1,0)</f>
        <v>0</v>
      </c>
      <c r="BE131" s="154">
        <f>IF(AND(BE$5&gt;=$F131,SUM(BE128:$BJ128)&lt;&gt;0),1,0)</f>
        <v>0</v>
      </c>
      <c r="BF131" s="154">
        <f>IF(AND(BF$5&gt;=$F131,SUM(BF128:$BJ128)&lt;&gt;0),1,0)</f>
        <v>0</v>
      </c>
      <c r="BG131" s="154">
        <f>IF(AND(BG$5&gt;=$F131,SUM(BG128:$BJ128)&lt;&gt;0),1,0)</f>
        <v>0</v>
      </c>
      <c r="BH131" s="154">
        <f>IF(AND(BH$5&gt;=$F131,SUM(BH128:$BJ128)&lt;&gt;0),1,0)</f>
        <v>0</v>
      </c>
      <c r="BI131" s="154">
        <f>IF(AND(BI$5&gt;=$F131,SUM(BI128:$BJ128)&lt;&gt;0),1,0)</f>
        <v>0</v>
      </c>
      <c r="BJ131" s="154">
        <f>IF(AND(BJ$5&gt;=$F131,SUM(BJ128:$BJ128)&lt;&gt;0),1,0)</f>
        <v>0</v>
      </c>
      <c r="BK131" s="67"/>
      <c r="BL131" s="154">
        <f>IF(AND(BL$5&gt;=$F131,SUM(BL128:$BW128)&lt;&gt;0),1,0)*BL$1150</f>
        <v>0</v>
      </c>
      <c r="BM131" s="154">
        <f>IF(AND(BM$5&gt;=$F131,SUM(BM128:$BW128)&lt;&gt;0),1,0)*BM$1150</f>
        <v>0</v>
      </c>
      <c r="BN131" s="154">
        <f>IF(AND(BN$5&gt;=$F131,SUM(BN128:$BW128)&lt;&gt;0),1,0)*BN$1150</f>
        <v>0</v>
      </c>
      <c r="BO131" s="154">
        <f>IF(AND(BO$5&gt;=$F131,SUM(BO128:$BW128)&lt;&gt;0),1,0)*BO$1150</f>
        <v>0</v>
      </c>
      <c r="BP131" s="154">
        <f>IF(AND(BP$5&gt;=$F131,SUM(BP128:$BW128)&lt;&gt;0),1,0)*BP$1150</f>
        <v>0</v>
      </c>
      <c r="BQ131" s="154">
        <f>IF(AND(BQ$5&gt;=$F131,SUM(BQ128:$BW128)&lt;&gt;0),1,0)*BQ$1150</f>
        <v>0</v>
      </c>
      <c r="BR131" s="154">
        <f>IF(AND(BR$5&gt;=$F131,SUM(BR128:$BW128)&lt;&gt;0),1,0)*BR$1150</f>
        <v>0</v>
      </c>
      <c r="BS131" s="154">
        <f>IF(AND(BS$5&gt;=$F131,SUM(BS128:$BW128)&lt;&gt;0),1,0)*BS$1150</f>
        <v>0</v>
      </c>
      <c r="BT131" s="154">
        <f>IF(AND(BT$5&gt;=$F131,SUM(BT128:$BW128)&lt;&gt;0),1,0)*BT$1150</f>
        <v>0</v>
      </c>
      <c r="BU131" s="154">
        <f>IF(AND(BU$5&gt;=$F131,SUM(BU128:$BW128)&lt;&gt;0),1,0)*BU$1150</f>
        <v>0</v>
      </c>
      <c r="BV131" s="154">
        <f>IF(AND(BV$5&gt;=$F131,SUM(BV128:$BW128)&lt;&gt;0),1,0)*BV$1150</f>
        <v>0</v>
      </c>
      <c r="BW131" s="154">
        <f>IF(AND(BW$5&gt;=$F131,SUM(BW128:$BW128)&lt;&gt;0),1,0)*BW$1150</f>
        <v>0</v>
      </c>
      <c r="BX131" s="67"/>
      <c r="BY131" s="12"/>
      <c r="CA131" s="12"/>
      <c r="CG131" s="67"/>
      <c r="CH131" s="67"/>
      <c r="CI131" s="67"/>
      <c r="CK131" s="67"/>
      <c r="CL131" s="7">
        <f>IF(MAX($V131:$BW131)&gt;0, 1, 0)</f>
        <v>0</v>
      </c>
      <c r="CR131" s="12"/>
      <c r="CS131" s="93">
        <f t="shared" si="101"/>
        <v>1</v>
      </c>
      <c r="CT131" s="93">
        <v>0</v>
      </c>
      <c r="CU131" s="93">
        <v>0</v>
      </c>
      <c r="EX131" s="13" t="str">
        <f>IF(C131="", "", CONCATENATE(D123, " ",D131))</f>
        <v/>
      </c>
    </row>
    <row r="132" spans="1:154" ht="6.6" customHeight="1" x14ac:dyDescent="0.25">
      <c r="A132" s="67"/>
      <c r="B132" s="67"/>
      <c r="C132" s="380"/>
      <c r="D132" s="1"/>
      <c r="E132" s="67"/>
      <c r="F132" s="67"/>
      <c r="G132" s="67"/>
      <c r="H132" s="67"/>
      <c r="I132" s="67"/>
      <c r="J132" s="67"/>
      <c r="K132" s="67"/>
      <c r="L132" s="67"/>
      <c r="M132" s="67"/>
      <c r="N132" s="67"/>
      <c r="O132" s="67"/>
      <c r="P132" s="67"/>
      <c r="Q132" s="67"/>
      <c r="R132" s="67"/>
      <c r="S132" s="335"/>
      <c r="T132" s="25"/>
      <c r="U132" s="25"/>
      <c r="V132" s="93"/>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
      <c r="BN132" s="67"/>
      <c r="BO132" s="67"/>
      <c r="BP132" s="67"/>
      <c r="BQ132" s="67"/>
      <c r="BR132" s="67"/>
      <c r="BS132" s="67"/>
      <c r="BT132" s="67"/>
      <c r="BU132" s="67"/>
      <c r="BV132" s="67"/>
      <c r="BW132" s="67"/>
      <c r="BX132" s="67"/>
      <c r="BY132" s="42"/>
      <c r="CA132" s="42"/>
      <c r="CG132" s="67"/>
      <c r="CH132" s="67"/>
      <c r="CI132" s="67"/>
      <c r="CK132" s="67"/>
      <c r="CL132" s="67"/>
      <c r="CR132" s="42"/>
      <c r="CS132" s="93">
        <f t="shared" si="101"/>
        <v>0</v>
      </c>
      <c r="CT132" s="93">
        <v>0</v>
      </c>
      <c r="CU132" s="93">
        <v>0</v>
      </c>
      <c r="EX132" s="13" t="str">
        <f>IF(C132="", "", CONCATENATE(D123, " ",D132))</f>
        <v/>
      </c>
    </row>
    <row r="133" spans="1:154" x14ac:dyDescent="0.25">
      <c r="A133" s="67"/>
      <c r="B133" s="67"/>
      <c r="C133" s="380"/>
      <c r="D133" s="51" t="s">
        <v>223</v>
      </c>
      <c r="F133" s="67"/>
      <c r="G133" s="9" t="s">
        <v>413</v>
      </c>
      <c r="H133" s="50" t="s">
        <v>8</v>
      </c>
      <c r="I133" s="67"/>
      <c r="J133" s="67"/>
      <c r="K133" s="67"/>
      <c r="L133" s="67"/>
      <c r="M133" s="67"/>
      <c r="N133" s="67"/>
      <c r="O133" s="67"/>
      <c r="P133" s="67"/>
      <c r="Q133" s="67"/>
      <c r="R133" s="67"/>
      <c r="S133" s="335"/>
      <c r="T133" s="25"/>
      <c r="U133" s="25"/>
      <c r="V133" s="210"/>
      <c r="W133" s="201">
        <f>V136</f>
        <v>0</v>
      </c>
      <c r="X133" s="201">
        <f>W136</f>
        <v>0</v>
      </c>
      <c r="Y133" s="10">
        <f>X136</f>
        <v>0</v>
      </c>
      <c r="Z133" s="67"/>
      <c r="AA133" s="13">
        <f>W133</f>
        <v>0</v>
      </c>
      <c r="AB133" s="10">
        <f t="shared" ref="AB133:BJ133" si="127">AA136</f>
        <v>0</v>
      </c>
      <c r="AC133" s="10">
        <f t="shared" si="127"/>
        <v>0</v>
      </c>
      <c r="AD133" s="10">
        <f t="shared" si="127"/>
        <v>0</v>
      </c>
      <c r="AE133" s="10">
        <f t="shared" si="127"/>
        <v>0</v>
      </c>
      <c r="AF133" s="10">
        <f t="shared" si="127"/>
        <v>0</v>
      </c>
      <c r="AG133" s="10">
        <f t="shared" si="127"/>
        <v>0</v>
      </c>
      <c r="AH133" s="10">
        <f t="shared" si="127"/>
        <v>0</v>
      </c>
      <c r="AI133" s="10">
        <f t="shared" si="127"/>
        <v>0</v>
      </c>
      <c r="AJ133" s="10">
        <f t="shared" si="127"/>
        <v>0</v>
      </c>
      <c r="AK133" s="10">
        <f t="shared" si="127"/>
        <v>0</v>
      </c>
      <c r="AL133" s="10">
        <f t="shared" si="127"/>
        <v>0</v>
      </c>
      <c r="AM133" s="10">
        <f t="shared" si="127"/>
        <v>0</v>
      </c>
      <c r="AN133" s="10">
        <f t="shared" si="127"/>
        <v>0</v>
      </c>
      <c r="AO133" s="10">
        <f t="shared" si="127"/>
        <v>0</v>
      </c>
      <c r="AP133" s="10">
        <f t="shared" si="127"/>
        <v>0</v>
      </c>
      <c r="AQ133" s="10">
        <f t="shared" si="127"/>
        <v>0</v>
      </c>
      <c r="AR133" s="10">
        <f t="shared" si="127"/>
        <v>0</v>
      </c>
      <c r="AS133" s="10">
        <f t="shared" si="127"/>
        <v>0</v>
      </c>
      <c r="AT133" s="10">
        <f t="shared" si="127"/>
        <v>0</v>
      </c>
      <c r="AU133" s="10">
        <f t="shared" si="127"/>
        <v>0</v>
      </c>
      <c r="AV133" s="10">
        <f t="shared" si="127"/>
        <v>0</v>
      </c>
      <c r="AW133" s="10">
        <f t="shared" si="127"/>
        <v>0</v>
      </c>
      <c r="AX133" s="10">
        <f t="shared" si="127"/>
        <v>0</v>
      </c>
      <c r="AY133" s="10">
        <f t="shared" si="127"/>
        <v>0</v>
      </c>
      <c r="AZ133" s="10">
        <f t="shared" si="127"/>
        <v>0</v>
      </c>
      <c r="BA133" s="10">
        <f t="shared" si="127"/>
        <v>0</v>
      </c>
      <c r="BB133" s="10">
        <f t="shared" si="127"/>
        <v>0</v>
      </c>
      <c r="BC133" s="10">
        <f t="shared" si="127"/>
        <v>0</v>
      </c>
      <c r="BD133" s="10">
        <f t="shared" si="127"/>
        <v>0</v>
      </c>
      <c r="BE133" s="10">
        <f t="shared" si="127"/>
        <v>0</v>
      </c>
      <c r="BF133" s="10">
        <f t="shared" si="127"/>
        <v>0</v>
      </c>
      <c r="BG133" s="10">
        <f t="shared" si="127"/>
        <v>0</v>
      </c>
      <c r="BH133" s="10">
        <f t="shared" si="127"/>
        <v>0</v>
      </c>
      <c r="BI133" s="10">
        <f t="shared" si="127"/>
        <v>0</v>
      </c>
      <c r="BJ133" s="10">
        <f t="shared" si="127"/>
        <v>0</v>
      </c>
      <c r="BK133" s="67"/>
      <c r="BL133" s="13">
        <f t="shared" ref="BL133:BO136" si="128">V133</f>
        <v>0</v>
      </c>
      <c r="BM133" s="13">
        <f t="shared" si="128"/>
        <v>0</v>
      </c>
      <c r="BN133" s="13">
        <f t="shared" si="128"/>
        <v>0</v>
      </c>
      <c r="BO133" s="13">
        <f t="shared" si="128"/>
        <v>0</v>
      </c>
      <c r="BP133" s="10">
        <f t="shared" ref="BP133:BW133" si="129">BO136</f>
        <v>0</v>
      </c>
      <c r="BQ133" s="10">
        <f t="shared" si="129"/>
        <v>0</v>
      </c>
      <c r="BR133" s="10">
        <f t="shared" si="129"/>
        <v>0</v>
      </c>
      <c r="BS133" s="10">
        <f t="shared" si="129"/>
        <v>0</v>
      </c>
      <c r="BT133" s="10">
        <f t="shared" si="129"/>
        <v>0</v>
      </c>
      <c r="BU133" s="10">
        <f t="shared" si="129"/>
        <v>0</v>
      </c>
      <c r="BV133" s="10">
        <f t="shared" si="129"/>
        <v>0</v>
      </c>
      <c r="BW133" s="10">
        <f t="shared" si="129"/>
        <v>0</v>
      </c>
      <c r="BX133" s="67"/>
      <c r="BY133" s="12"/>
      <c r="CA133" s="12"/>
      <c r="CG133" s="67"/>
      <c r="CH133" s="67"/>
      <c r="CI133" s="67"/>
      <c r="CK133" s="67"/>
      <c r="CL133" s="67"/>
      <c r="CR133" s="12"/>
      <c r="CS133" s="93">
        <f t="shared" si="101"/>
        <v>0</v>
      </c>
      <c r="CT133" s="93">
        <v>1</v>
      </c>
      <c r="CU133" s="93">
        <v>0</v>
      </c>
      <c r="EX133" s="13" t="str">
        <f>IF(C133="", "", CONCATENATE(D123, " ",D133))</f>
        <v/>
      </c>
    </row>
    <row r="134" spans="1:154" s="5" customFormat="1" ht="15.75" x14ac:dyDescent="0.3">
      <c r="A134" s="362" cm="1">
        <f t="array" aca="1" ref="A134" ca="1">HYPERLINK(CONCATENATE("#",CELL("address",IF(SUM($CA134:$CR134)=0,A134,INDEX($CA134:$CR134,MATCH(1,$CA134:$CR134,0))))),SUM($CA134:$CR134))</f>
        <v>0</v>
      </c>
      <c r="B134" s="105" t="s">
        <v>335</v>
      </c>
      <c r="C134" s="380"/>
      <c r="D134" s="51" t="s">
        <v>234</v>
      </c>
      <c r="E134" s="1"/>
      <c r="F134" s="67"/>
      <c r="G134" s="9" t="s">
        <v>413</v>
      </c>
      <c r="H134" s="50" t="s">
        <v>125</v>
      </c>
      <c r="I134" s="67"/>
      <c r="J134" s="67"/>
      <c r="K134" s="67"/>
      <c r="L134" s="67"/>
      <c r="M134" s="67"/>
      <c r="N134" s="67"/>
      <c r="O134" s="67"/>
      <c r="P134" s="67"/>
      <c r="Q134" s="67"/>
      <c r="R134" s="67"/>
      <c r="S134" s="335"/>
      <c r="T134" s="25"/>
      <c r="U134" s="25"/>
      <c r="V134" s="210"/>
      <c r="W134" s="215">
        <f t="shared" ref="W134:Y135" si="130" xml:space="preserve"> SUMIFS($AA134:$BJ134, $AA$3:$BJ$3, W$3)</f>
        <v>36</v>
      </c>
      <c r="X134" s="215">
        <f t="shared" si="130"/>
        <v>36</v>
      </c>
      <c r="Y134" s="215">
        <f t="shared" si="130"/>
        <v>36</v>
      </c>
      <c r="Z134" s="67"/>
      <c r="AA134" s="147">
        <v>9</v>
      </c>
      <c r="AB134" s="147"/>
      <c r="AC134" s="147"/>
      <c r="AD134" s="147">
        <v>9</v>
      </c>
      <c r="AE134" s="147"/>
      <c r="AF134" s="147"/>
      <c r="AG134" s="147">
        <v>9</v>
      </c>
      <c r="AH134" s="147"/>
      <c r="AI134" s="147"/>
      <c r="AJ134" s="147">
        <v>9</v>
      </c>
      <c r="AK134" s="147"/>
      <c r="AL134" s="147"/>
      <c r="AM134" s="147">
        <v>9</v>
      </c>
      <c r="AN134" s="147"/>
      <c r="AO134" s="147"/>
      <c r="AP134" s="147">
        <v>9</v>
      </c>
      <c r="AQ134" s="147"/>
      <c r="AR134" s="147"/>
      <c r="AS134" s="147">
        <v>9</v>
      </c>
      <c r="AT134" s="147"/>
      <c r="AU134" s="147"/>
      <c r="AV134" s="147">
        <v>9</v>
      </c>
      <c r="AW134" s="147"/>
      <c r="AX134" s="147"/>
      <c r="AY134" s="147">
        <v>9</v>
      </c>
      <c r="AZ134" s="147"/>
      <c r="BA134" s="147"/>
      <c r="BB134" s="147">
        <v>9</v>
      </c>
      <c r="BC134" s="147"/>
      <c r="BD134" s="147"/>
      <c r="BE134" s="147">
        <v>9</v>
      </c>
      <c r="BF134" s="147"/>
      <c r="BG134" s="147"/>
      <c r="BH134" s="147">
        <v>9</v>
      </c>
      <c r="BI134" s="147"/>
      <c r="BJ134" s="147"/>
      <c r="BK134" s="67"/>
      <c r="BL134" s="13">
        <f t="shared" si="128"/>
        <v>0</v>
      </c>
      <c r="BM134" s="13">
        <f t="shared" si="128"/>
        <v>36</v>
      </c>
      <c r="BN134" s="13">
        <f t="shared" si="128"/>
        <v>36</v>
      </c>
      <c r="BO134" s="13">
        <f t="shared" si="128"/>
        <v>36</v>
      </c>
      <c r="BP134" s="141"/>
      <c r="BQ134" s="141"/>
      <c r="BR134" s="141"/>
      <c r="BS134" s="141"/>
      <c r="BT134" s="141"/>
      <c r="BU134" s="141"/>
      <c r="BV134" s="141"/>
      <c r="BW134" s="141"/>
      <c r="BX134" s="67"/>
      <c r="BY134" s="12"/>
      <c r="BZ134" s="395">
        <f>IF(MIN($V134:$BW134)&lt;0, 1, 0)</f>
        <v>0</v>
      </c>
      <c r="CA134" s="12"/>
      <c r="CB134" s="335"/>
      <c r="CC134" s="335"/>
      <c r="CD134" s="335"/>
      <c r="CE134" s="335"/>
      <c r="CF134" s="67"/>
      <c r="CG134" s="67"/>
      <c r="CH134" s="67"/>
      <c r="CI134" s="67"/>
      <c r="CJ134" s="67"/>
      <c r="CK134" s="67"/>
      <c r="CL134" s="67"/>
      <c r="CM134" s="7">
        <f t="shared" ref="CM134:CO135" si="131">IF(ROUND(W134-SUMIFS($AA134:$BJ134, $AA$3:$BJ$3, W$3), rounding)=0, 0, 1)</f>
        <v>0</v>
      </c>
      <c r="CN134" s="7">
        <f t="shared" si="131"/>
        <v>0</v>
      </c>
      <c r="CO134" s="7">
        <f t="shared" si="131"/>
        <v>0</v>
      </c>
      <c r="CP134" s="7">
        <f>IF(ROUND(V134-BL134, rounding)=0, 0, 1)*'BS Forecasts'!$V$10</f>
        <v>0</v>
      </c>
      <c r="CQ134" s="67"/>
      <c r="CR134" s="12"/>
      <c r="CS134" s="93">
        <f t="shared" si="101"/>
        <v>0</v>
      </c>
      <c r="CT134" s="93">
        <v>1</v>
      </c>
      <c r="CU134" s="93">
        <v>1</v>
      </c>
      <c r="EX134" s="13" t="str">
        <f>IF(C134="", "", CONCATENATE(D123, " ",D134))</f>
        <v/>
      </c>
    </row>
    <row r="135" spans="1:154" ht="15.75" x14ac:dyDescent="0.3">
      <c r="A135" s="362" cm="1">
        <f t="array" aca="1" ref="A135" ca="1">HYPERLINK(CONCATENATE("#",CELL("address",IF(SUM($CA135:$CR135)=0,A135,INDEX($CA135:$CR135,MATCH(1,$CA135:$CR135,0))))),SUM($CA135:$CR135))</f>
        <v>0</v>
      </c>
      <c r="B135" s="105" t="s">
        <v>335</v>
      </c>
      <c r="C135" s="380"/>
      <c r="D135" s="51" t="s">
        <v>222</v>
      </c>
      <c r="F135" s="67"/>
      <c r="G135" s="9" t="s">
        <v>413</v>
      </c>
      <c r="H135" s="50" t="s">
        <v>157</v>
      </c>
      <c r="I135" s="67"/>
      <c r="J135" s="67"/>
      <c r="K135" s="67"/>
      <c r="L135" s="67"/>
      <c r="M135" s="67"/>
      <c r="N135" s="67"/>
      <c r="O135" s="67"/>
      <c r="P135" s="67"/>
      <c r="Q135" s="67"/>
      <c r="R135" s="67"/>
      <c r="S135" s="335"/>
      <c r="T135" s="25"/>
      <c r="U135" s="25"/>
      <c r="V135" s="210"/>
      <c r="W135" s="215">
        <f t="shared" si="130"/>
        <v>-36</v>
      </c>
      <c r="X135" s="215">
        <f t="shared" si="130"/>
        <v>-36</v>
      </c>
      <c r="Y135" s="215">
        <f t="shared" si="130"/>
        <v>-36</v>
      </c>
      <c r="Z135" s="67"/>
      <c r="AA135" s="147">
        <v>-9</v>
      </c>
      <c r="AB135" s="147"/>
      <c r="AC135" s="147"/>
      <c r="AD135" s="147">
        <v>-9</v>
      </c>
      <c r="AE135" s="147"/>
      <c r="AF135" s="147"/>
      <c r="AG135" s="147">
        <v>-9</v>
      </c>
      <c r="AH135" s="147"/>
      <c r="AI135" s="147"/>
      <c r="AJ135" s="147">
        <v>-9</v>
      </c>
      <c r="AK135" s="147"/>
      <c r="AL135" s="147"/>
      <c r="AM135" s="147">
        <v>-9</v>
      </c>
      <c r="AN135" s="147"/>
      <c r="AO135" s="147"/>
      <c r="AP135" s="147">
        <v>-9</v>
      </c>
      <c r="AQ135" s="147"/>
      <c r="AR135" s="147"/>
      <c r="AS135" s="147">
        <v>-9</v>
      </c>
      <c r="AT135" s="147"/>
      <c r="AU135" s="147"/>
      <c r="AV135" s="147">
        <v>-9</v>
      </c>
      <c r="AW135" s="147"/>
      <c r="AX135" s="147"/>
      <c r="AY135" s="147">
        <v>-9</v>
      </c>
      <c r="AZ135" s="147"/>
      <c r="BA135" s="147"/>
      <c r="BB135" s="147">
        <v>-9</v>
      </c>
      <c r="BC135" s="147"/>
      <c r="BD135" s="147"/>
      <c r="BE135" s="147">
        <v>-9</v>
      </c>
      <c r="BF135" s="147"/>
      <c r="BG135" s="147"/>
      <c r="BH135" s="147">
        <v>-9</v>
      </c>
      <c r="BI135" s="147"/>
      <c r="BJ135" s="147"/>
      <c r="BK135" s="67"/>
      <c r="BL135" s="13">
        <f t="shared" si="128"/>
        <v>0</v>
      </c>
      <c r="BM135" s="13">
        <f t="shared" si="128"/>
        <v>-36</v>
      </c>
      <c r="BN135" s="13">
        <f t="shared" si="128"/>
        <v>-36</v>
      </c>
      <c r="BO135" s="13">
        <f t="shared" si="128"/>
        <v>-36</v>
      </c>
      <c r="BP135" s="141"/>
      <c r="BQ135" s="141"/>
      <c r="BR135" s="141"/>
      <c r="BS135" s="141"/>
      <c r="BT135" s="141"/>
      <c r="BU135" s="141"/>
      <c r="BV135" s="141"/>
      <c r="BW135" s="141"/>
      <c r="BX135" s="67"/>
      <c r="BY135" s="12"/>
      <c r="BZ135" s="395">
        <f>IF(MAX($V135:$BW135)&gt;0, 1, 0)</f>
        <v>0</v>
      </c>
      <c r="CA135" s="12"/>
      <c r="CG135" s="67"/>
      <c r="CH135" s="67"/>
      <c r="CI135" s="67"/>
      <c r="CK135" s="67"/>
      <c r="CL135" s="67"/>
      <c r="CM135" s="7">
        <f t="shared" si="131"/>
        <v>0</v>
      </c>
      <c r="CN135" s="7">
        <f t="shared" si="131"/>
        <v>0</v>
      </c>
      <c r="CO135" s="7">
        <f t="shared" si="131"/>
        <v>0</v>
      </c>
      <c r="CP135" s="7">
        <f>IF(ROUND(V135-BL135, rounding)=0, 0, 1)*'BS Forecasts'!$V$10</f>
        <v>0</v>
      </c>
      <c r="CR135" s="12"/>
      <c r="CS135" s="93">
        <f t="shared" si="101"/>
        <v>0</v>
      </c>
      <c r="CT135" s="93">
        <v>1</v>
      </c>
      <c r="CU135" s="93">
        <v>1</v>
      </c>
      <c r="EX135" s="13" t="str">
        <f>IF(C135="", "", CONCATENATE(D123, " ",D135))</f>
        <v/>
      </c>
    </row>
    <row r="136" spans="1:154" x14ac:dyDescent="0.25">
      <c r="A136" s="67"/>
      <c r="B136" s="67"/>
      <c r="C136" s="380"/>
      <c r="D136" s="51" t="s">
        <v>224</v>
      </c>
      <c r="F136" s="67"/>
      <c r="G136" s="9" t="s">
        <v>413</v>
      </c>
      <c r="H136" s="50" t="s">
        <v>8</v>
      </c>
      <c r="I136" s="67"/>
      <c r="J136" s="67"/>
      <c r="K136" s="67"/>
      <c r="L136" s="67"/>
      <c r="M136" s="67"/>
      <c r="N136" s="67"/>
      <c r="O136" s="67"/>
      <c r="P136" s="67"/>
      <c r="Q136" s="67"/>
      <c r="R136" s="67"/>
      <c r="S136" s="335"/>
      <c r="T136" s="25"/>
      <c r="U136" s="25"/>
      <c r="V136" s="13">
        <f>$H$17</f>
        <v>0</v>
      </c>
      <c r="W136" s="10">
        <f>SUM(W133:W135)</f>
        <v>0</v>
      </c>
      <c r="X136" s="10">
        <f>SUM(X133:X135)</f>
        <v>0</v>
      </c>
      <c r="Y136" s="10">
        <f>SUM(Y133:Y135)</f>
        <v>0</v>
      </c>
      <c r="Z136" s="67"/>
      <c r="AA136" s="10">
        <f t="shared" ref="AA136:BJ136" si="132">SUM(AA133:AA135)</f>
        <v>0</v>
      </c>
      <c r="AB136" s="10">
        <f t="shared" si="132"/>
        <v>0</v>
      </c>
      <c r="AC136" s="10">
        <f t="shared" si="132"/>
        <v>0</v>
      </c>
      <c r="AD136" s="10">
        <f t="shared" si="132"/>
        <v>0</v>
      </c>
      <c r="AE136" s="10">
        <f t="shared" si="132"/>
        <v>0</v>
      </c>
      <c r="AF136" s="10">
        <f t="shared" si="132"/>
        <v>0</v>
      </c>
      <c r="AG136" s="10">
        <f t="shared" si="132"/>
        <v>0</v>
      </c>
      <c r="AH136" s="10">
        <f t="shared" si="132"/>
        <v>0</v>
      </c>
      <c r="AI136" s="10">
        <f t="shared" si="132"/>
        <v>0</v>
      </c>
      <c r="AJ136" s="10">
        <f t="shared" si="132"/>
        <v>0</v>
      </c>
      <c r="AK136" s="10">
        <f t="shared" si="132"/>
        <v>0</v>
      </c>
      <c r="AL136" s="10">
        <f t="shared" si="132"/>
        <v>0</v>
      </c>
      <c r="AM136" s="10">
        <f t="shared" si="132"/>
        <v>0</v>
      </c>
      <c r="AN136" s="10">
        <f t="shared" si="132"/>
        <v>0</v>
      </c>
      <c r="AO136" s="10">
        <f t="shared" si="132"/>
        <v>0</v>
      </c>
      <c r="AP136" s="10">
        <f t="shared" si="132"/>
        <v>0</v>
      </c>
      <c r="AQ136" s="10">
        <f t="shared" si="132"/>
        <v>0</v>
      </c>
      <c r="AR136" s="10">
        <f t="shared" si="132"/>
        <v>0</v>
      </c>
      <c r="AS136" s="10">
        <f t="shared" si="132"/>
        <v>0</v>
      </c>
      <c r="AT136" s="10">
        <f t="shared" si="132"/>
        <v>0</v>
      </c>
      <c r="AU136" s="10">
        <f t="shared" si="132"/>
        <v>0</v>
      </c>
      <c r="AV136" s="10">
        <f t="shared" si="132"/>
        <v>0</v>
      </c>
      <c r="AW136" s="10">
        <f t="shared" si="132"/>
        <v>0</v>
      </c>
      <c r="AX136" s="10">
        <f t="shared" si="132"/>
        <v>0</v>
      </c>
      <c r="AY136" s="10">
        <f t="shared" si="132"/>
        <v>0</v>
      </c>
      <c r="AZ136" s="10">
        <f t="shared" si="132"/>
        <v>0</v>
      </c>
      <c r="BA136" s="10">
        <f t="shared" si="132"/>
        <v>0</v>
      </c>
      <c r="BB136" s="10">
        <f t="shared" si="132"/>
        <v>0</v>
      </c>
      <c r="BC136" s="10">
        <f t="shared" si="132"/>
        <v>0</v>
      </c>
      <c r="BD136" s="10">
        <f t="shared" si="132"/>
        <v>0</v>
      </c>
      <c r="BE136" s="10">
        <f t="shared" si="132"/>
        <v>0</v>
      </c>
      <c r="BF136" s="10">
        <f t="shared" si="132"/>
        <v>0</v>
      </c>
      <c r="BG136" s="10">
        <f t="shared" si="132"/>
        <v>0</v>
      </c>
      <c r="BH136" s="10">
        <f t="shared" si="132"/>
        <v>0</v>
      </c>
      <c r="BI136" s="10">
        <f t="shared" si="132"/>
        <v>0</v>
      </c>
      <c r="BJ136" s="10">
        <f t="shared" si="132"/>
        <v>0</v>
      </c>
      <c r="BK136" s="67"/>
      <c r="BL136" s="152">
        <f t="shared" si="128"/>
        <v>0</v>
      </c>
      <c r="BM136" s="152">
        <f t="shared" si="128"/>
        <v>0</v>
      </c>
      <c r="BN136" s="152">
        <f t="shared" si="128"/>
        <v>0</v>
      </c>
      <c r="BO136" s="152">
        <f t="shared" si="128"/>
        <v>0</v>
      </c>
      <c r="BP136" s="10">
        <f t="shared" ref="BP136:BW136" si="133">SUM(BP133:BP135)</f>
        <v>0</v>
      </c>
      <c r="BQ136" s="10">
        <f t="shared" si="133"/>
        <v>0</v>
      </c>
      <c r="BR136" s="10">
        <f t="shared" si="133"/>
        <v>0</v>
      </c>
      <c r="BS136" s="10">
        <f t="shared" si="133"/>
        <v>0</v>
      </c>
      <c r="BT136" s="10">
        <f t="shared" si="133"/>
        <v>0</v>
      </c>
      <c r="BU136" s="10">
        <f t="shared" si="133"/>
        <v>0</v>
      </c>
      <c r="BV136" s="10">
        <f t="shared" si="133"/>
        <v>0</v>
      </c>
      <c r="BW136" s="10">
        <f t="shared" si="133"/>
        <v>0</v>
      </c>
      <c r="BX136" s="67"/>
      <c r="BY136" s="12"/>
      <c r="CA136" s="12"/>
      <c r="CG136" s="67"/>
      <c r="CH136" s="67"/>
      <c r="CI136" s="67"/>
      <c r="CK136" s="67"/>
      <c r="CL136" s="67"/>
      <c r="CR136" s="12"/>
      <c r="CS136" s="93">
        <f t="shared" si="101"/>
        <v>0</v>
      </c>
      <c r="CT136" s="93">
        <v>0</v>
      </c>
      <c r="CU136" s="93">
        <v>0</v>
      </c>
      <c r="EX136" s="13" t="str">
        <f>IF(C136="", "", CONCATENATE(D123, " ",D136))</f>
        <v/>
      </c>
    </row>
    <row r="137" spans="1:154" s="67" customFormat="1" ht="6.6" customHeight="1" x14ac:dyDescent="0.25">
      <c r="C137" s="380"/>
      <c r="D137" s="1"/>
      <c r="S137" s="335"/>
      <c r="T137" s="25"/>
      <c r="U137" s="25"/>
      <c r="V137" s="229"/>
      <c r="W137" s="25"/>
      <c r="X137" s="25"/>
      <c r="Y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L137" s="25"/>
      <c r="BM137" s="155"/>
      <c r="BN137" s="25"/>
      <c r="BO137" s="25"/>
      <c r="BP137" s="25"/>
      <c r="BQ137" s="25"/>
      <c r="BR137" s="25"/>
      <c r="BS137" s="25"/>
      <c r="BT137" s="25"/>
      <c r="BU137" s="25"/>
      <c r="BV137" s="25"/>
      <c r="BW137" s="25"/>
      <c r="BY137" s="42"/>
      <c r="BZ137" s="335"/>
      <c r="CA137" s="42"/>
      <c r="CB137" s="335"/>
      <c r="CC137" s="335"/>
      <c r="CD137" s="335"/>
      <c r="CE137" s="335"/>
      <c r="CM137" s="335"/>
      <c r="CN137" s="335"/>
      <c r="CO137" s="335"/>
      <c r="CP137" s="335"/>
      <c r="CR137" s="42"/>
      <c r="CS137" s="93">
        <f t="shared" si="101"/>
        <v>0</v>
      </c>
      <c r="CT137" s="93">
        <v>0</v>
      </c>
      <c r="CU137" s="93">
        <v>0</v>
      </c>
      <c r="EW137" s="335"/>
      <c r="EX137" s="13" t="str">
        <f>IF(C137="", "", CONCATENATE(D123, " ",D137))</f>
        <v/>
      </c>
    </row>
    <row r="138" spans="1:154" s="5" customFormat="1" x14ac:dyDescent="0.25">
      <c r="A138" s="362" cm="1">
        <f t="array" aca="1" ref="A138" ca="1">HYPERLINK(CONCATENATE("#",CELL("address",IF(SUM($CA138:$CR138)=0,A138,INDEX($CA138:$CR138,MATCH(1,$CA138:$CR138,0))))),SUM($CA138:$CR138))</f>
        <v>0</v>
      </c>
      <c r="B138" s="335"/>
      <c r="C138" s="340" t="s">
        <v>1277</v>
      </c>
      <c r="D138" s="41" t="s">
        <v>1569</v>
      </c>
      <c r="E138" s="35"/>
      <c r="F138" s="25"/>
      <c r="G138" s="174" t="s">
        <v>413</v>
      </c>
      <c r="H138" s="171" t="s">
        <v>125</v>
      </c>
      <c r="I138" s="25"/>
      <c r="J138" s="25"/>
      <c r="K138" s="25"/>
      <c r="L138" s="25"/>
      <c r="M138" s="25"/>
      <c r="N138" s="25"/>
      <c r="O138" s="25"/>
      <c r="P138" s="25"/>
      <c r="Q138" s="25"/>
      <c r="R138" s="25"/>
      <c r="S138" s="335"/>
      <c r="T138" s="25"/>
      <c r="U138" s="25"/>
      <c r="V138" s="222"/>
      <c r="W138" s="215">
        <f xml:space="preserve"> SUMIFS($AA138:$BJ138, $AA$3:$BJ$3, W$3)</f>
        <v>0</v>
      </c>
      <c r="X138" s="215">
        <f xml:space="preserve"> SUMIFS($AA138:$BJ138, $AA$3:$BJ$3, X$3)</f>
        <v>0</v>
      </c>
      <c r="Y138" s="215">
        <f xml:space="preserve"> SUMIFS($AA138:$BJ138, $AA$3:$BJ$3, Y$3)</f>
        <v>0</v>
      </c>
      <c r="Z138" s="335"/>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c r="BI138" s="147"/>
      <c r="BJ138" s="147"/>
      <c r="BK138" s="335"/>
      <c r="BL138" s="152">
        <f>V138</f>
        <v>0</v>
      </c>
      <c r="BM138" s="152">
        <f>W138</f>
        <v>0</v>
      </c>
      <c r="BN138" s="152">
        <f>X138</f>
        <v>0</v>
      </c>
      <c r="BO138" s="152">
        <f>Y138</f>
        <v>0</v>
      </c>
      <c r="BP138" s="141"/>
      <c r="BQ138" s="141"/>
      <c r="BR138" s="141"/>
      <c r="BS138" s="141"/>
      <c r="BT138" s="141"/>
      <c r="BU138" s="141"/>
      <c r="BV138" s="141"/>
      <c r="BW138" s="141"/>
      <c r="BX138" s="335"/>
      <c r="BY138" s="12"/>
      <c r="BZ138" s="395">
        <f>IF(MIN($V138:$BW138)&lt;0, 1, 0)</f>
        <v>0</v>
      </c>
      <c r="CA138" s="12"/>
      <c r="CB138" s="335"/>
      <c r="CC138" s="335"/>
      <c r="CD138" s="335"/>
      <c r="CE138" s="335"/>
      <c r="CF138" s="335"/>
      <c r="CG138" s="335"/>
      <c r="CH138" s="335"/>
      <c r="CI138" s="335"/>
      <c r="CJ138" s="335"/>
      <c r="CK138" s="335"/>
      <c r="CL138" s="335"/>
      <c r="CM138" s="7">
        <f>IF(ROUND(W138-SUMIFS($AA138:$BJ138, $AA$3:$BJ$3, W$3), rounding)=0, 0, 1)</f>
        <v>0</v>
      </c>
      <c r="CN138" s="7">
        <f>IF(ROUND(X138-SUMIFS($AA138:$BJ138, $AA$3:$BJ$3, X$3), rounding)=0, 0, 1)</f>
        <v>0</v>
      </c>
      <c r="CO138" s="7">
        <f>IF(ROUND(Y138-SUMIFS($AA138:$BJ138, $AA$3:$BJ$3, Y$3), rounding)=0, 0, 1)</f>
        <v>0</v>
      </c>
      <c r="CP138" s="7">
        <f>IF(ROUND(V138-BL138, rounding)=0, 0, 1)*'BS Forecasts'!$V$10</f>
        <v>0</v>
      </c>
      <c r="CQ138" s="335"/>
      <c r="CR138" s="12"/>
      <c r="CS138" s="93">
        <f t="shared" si="101"/>
        <v>0</v>
      </c>
      <c r="CT138" s="93">
        <v>1</v>
      </c>
      <c r="CU138" s="93">
        <v>1</v>
      </c>
      <c r="EX138" s="13" t="str">
        <f>IF(C138="", "", CONCATENATE(D123, " ",D138))</f>
        <v>Loan 5 Early Repayment Fee</v>
      </c>
    </row>
    <row r="139" spans="1:154" s="335" customFormat="1" ht="6.6" customHeight="1" x14ac:dyDescent="0.25">
      <c r="C139" s="380"/>
      <c r="D139" s="1"/>
      <c r="T139" s="25"/>
      <c r="U139" s="25"/>
      <c r="V139" s="93"/>
      <c r="BM139" s="6"/>
      <c r="BY139" s="42"/>
      <c r="CA139" s="42"/>
      <c r="CR139" s="42"/>
      <c r="CS139" s="93">
        <f t="shared" si="101"/>
        <v>0</v>
      </c>
      <c r="CT139" s="93">
        <v>0</v>
      </c>
      <c r="CU139" s="93">
        <v>0</v>
      </c>
      <c r="EX139" s="13" t="str">
        <f>IF(C139="", "", CONCATENATE(D123, " ",D139))</f>
        <v/>
      </c>
    </row>
    <row r="140" spans="1:154" s="335" customFormat="1" ht="15.75" x14ac:dyDescent="0.3">
      <c r="A140" s="362" cm="1">
        <f t="array" aca="1" ref="A140" ca="1">HYPERLINK(CONCATENATE("#",CELL("address",IF(SUM($CA140:$CR140)=0,A140,INDEX($CA140:$CR140,MATCH(1,$CA140:$CR140,0))))),SUM($CA140:$CR140))</f>
        <v>0</v>
      </c>
      <c r="B140" s="105" t="s">
        <v>335</v>
      </c>
      <c r="D140" s="51" t="s">
        <v>1630</v>
      </c>
      <c r="E140" s="220" t="str">
        <f>IF(I$17="", "", I$17)</f>
        <v/>
      </c>
      <c r="F140" s="220" t="str">
        <f>IF(J$17="", "", J$17)</f>
        <v/>
      </c>
      <c r="T140" s="25"/>
      <c r="U140" s="25"/>
      <c r="V140" s="230">
        <f>IF(AND(OR( V$5&gt;$F140, Timeline!V$8&lt;Loans!$E140), Loans!V138&lt;&gt;0), 1, 0)</f>
        <v>0</v>
      </c>
      <c r="W140" s="230">
        <f>IF(AND(OR( W$5&gt;$F140, Timeline!W$8&lt;Loans!$E140), Loans!W138&lt;&gt;0), 1, 0)</f>
        <v>0</v>
      </c>
      <c r="X140" s="230">
        <f>IF(AND(OR( X$5&gt;$F140, Timeline!X$8&lt;Loans!$E140), Loans!X138&lt;&gt;0), 1, 0)</f>
        <v>0</v>
      </c>
      <c r="Y140" s="230">
        <f>IF(AND(OR( Y$5&gt;$F140, Timeline!Y$8&lt;Loans!$E140), Loans!Y138&lt;&gt;0), 1, 0)</f>
        <v>0</v>
      </c>
      <c r="AA140" s="230">
        <f>IF(AND(OR( AA$5&gt;$F140, Timeline!AA$8&lt;Loans!$E140), Loans!AA138&lt;&gt;0), 1, 0)</f>
        <v>0</v>
      </c>
      <c r="AB140" s="230">
        <f>IF(AND(OR( AB$5&gt;$F140, Timeline!AB$8&lt;Loans!$E140), Loans!AB138&lt;&gt;0), 1, 0)</f>
        <v>0</v>
      </c>
      <c r="AC140" s="230">
        <f>IF(AND(OR( AC$5&gt;$F140, Timeline!AC$8&lt;Loans!$E140), Loans!AC138&lt;&gt;0), 1, 0)</f>
        <v>0</v>
      </c>
      <c r="AD140" s="230">
        <f>IF(AND(OR( AD$5&gt;$F140, Timeline!AD$8&lt;Loans!$E140), Loans!AD138&lt;&gt;0), 1, 0)</f>
        <v>0</v>
      </c>
      <c r="AE140" s="230">
        <f>IF(AND(OR( AE$5&gt;$F140, Timeline!AE$8&lt;Loans!$E140), Loans!AE138&lt;&gt;0), 1, 0)</f>
        <v>0</v>
      </c>
      <c r="AF140" s="230">
        <f>IF(AND(OR( AF$5&gt;$F140, Timeline!AF$8&lt;Loans!$E140), Loans!AF138&lt;&gt;0), 1, 0)</f>
        <v>0</v>
      </c>
      <c r="AG140" s="230">
        <f>IF(AND(OR( AG$5&gt;$F140, Timeline!AG$8&lt;Loans!$E140), Loans!AG138&lt;&gt;0), 1, 0)</f>
        <v>0</v>
      </c>
      <c r="AH140" s="230">
        <f>IF(AND(OR( AH$5&gt;$F140, Timeline!AH$8&lt;Loans!$E140), Loans!AH138&lt;&gt;0), 1, 0)</f>
        <v>0</v>
      </c>
      <c r="AI140" s="230">
        <f>IF(AND(OR( AI$5&gt;$F140, Timeline!AI$8&lt;Loans!$E140), Loans!AI138&lt;&gt;0), 1, 0)</f>
        <v>0</v>
      </c>
      <c r="AJ140" s="230">
        <f>IF(AND(OR( AJ$5&gt;$F140, Timeline!AJ$8&lt;Loans!$E140), Loans!AJ138&lt;&gt;0), 1, 0)</f>
        <v>0</v>
      </c>
      <c r="AK140" s="230">
        <f>IF(AND(OR( AK$5&gt;$F140, Timeline!AK$8&lt;Loans!$E140), Loans!AK138&lt;&gt;0), 1, 0)</f>
        <v>0</v>
      </c>
      <c r="AL140" s="230">
        <f>IF(AND(OR( AL$5&gt;$F140, Timeline!AL$8&lt;Loans!$E140), Loans!AL138&lt;&gt;0), 1, 0)</f>
        <v>0</v>
      </c>
      <c r="AM140" s="230">
        <f>IF(AND(OR( AM$5&gt;$F140, Timeline!AM$8&lt;Loans!$E140), Loans!AM138&lt;&gt;0), 1, 0)</f>
        <v>0</v>
      </c>
      <c r="AN140" s="230">
        <f>IF(AND(OR( AN$5&gt;$F140, Timeline!AN$8&lt;Loans!$E140), Loans!AN138&lt;&gt;0), 1, 0)</f>
        <v>0</v>
      </c>
      <c r="AO140" s="230">
        <f>IF(AND(OR( AO$5&gt;$F140, Timeline!AO$8&lt;Loans!$E140), Loans!AO138&lt;&gt;0), 1, 0)</f>
        <v>0</v>
      </c>
      <c r="AP140" s="230">
        <f>IF(AND(OR( AP$5&gt;$F140, Timeline!AP$8&lt;Loans!$E140), Loans!AP138&lt;&gt;0), 1, 0)</f>
        <v>0</v>
      </c>
      <c r="AQ140" s="230">
        <f>IF(AND(OR( AQ$5&gt;$F140, Timeline!AQ$8&lt;Loans!$E140), Loans!AQ138&lt;&gt;0), 1, 0)</f>
        <v>0</v>
      </c>
      <c r="AR140" s="230">
        <f>IF(AND(OR( AR$5&gt;$F140, Timeline!AR$8&lt;Loans!$E140), Loans!AR138&lt;&gt;0), 1, 0)</f>
        <v>0</v>
      </c>
      <c r="AS140" s="230">
        <f>IF(AND(OR( AS$5&gt;$F140, Timeline!AS$8&lt;Loans!$E140), Loans!AS138&lt;&gt;0), 1, 0)</f>
        <v>0</v>
      </c>
      <c r="AT140" s="230">
        <f>IF(AND(OR( AT$5&gt;$F140, Timeline!AT$8&lt;Loans!$E140), Loans!AT138&lt;&gt;0), 1, 0)</f>
        <v>0</v>
      </c>
      <c r="AU140" s="230">
        <f>IF(AND(OR( AU$5&gt;$F140, Timeline!AU$8&lt;Loans!$E140), Loans!AU138&lt;&gt;0), 1, 0)</f>
        <v>0</v>
      </c>
      <c r="AV140" s="230">
        <f>IF(AND(OR( AV$5&gt;$F140, Timeline!AV$8&lt;Loans!$E140), Loans!AV138&lt;&gt;0), 1, 0)</f>
        <v>0</v>
      </c>
      <c r="AW140" s="230">
        <f>IF(AND(OR( AW$5&gt;$F140, Timeline!AW$8&lt;Loans!$E140), Loans!AW138&lt;&gt;0), 1, 0)</f>
        <v>0</v>
      </c>
      <c r="AX140" s="230">
        <f>IF(AND(OR( AX$5&gt;$F140, Timeline!AX$8&lt;Loans!$E140), Loans!AX138&lt;&gt;0), 1, 0)</f>
        <v>0</v>
      </c>
      <c r="AY140" s="230">
        <f>IF(AND(OR( AY$5&gt;$F140, Timeline!AY$8&lt;Loans!$E140), Loans!AY138&lt;&gt;0), 1, 0)</f>
        <v>0</v>
      </c>
      <c r="AZ140" s="230">
        <f>IF(AND(OR( AZ$5&gt;$F140, Timeline!AZ$8&lt;Loans!$E140), Loans!AZ138&lt;&gt;0), 1, 0)</f>
        <v>0</v>
      </c>
      <c r="BA140" s="230">
        <f>IF(AND(OR( BA$5&gt;$F140, Timeline!BA$8&lt;Loans!$E140), Loans!BA138&lt;&gt;0), 1, 0)</f>
        <v>0</v>
      </c>
      <c r="BB140" s="230">
        <f>IF(AND(OR( BB$5&gt;$F140, Timeline!BB$8&lt;Loans!$E140), Loans!BB138&lt;&gt;0), 1, 0)</f>
        <v>0</v>
      </c>
      <c r="BC140" s="230">
        <f>IF(AND(OR( BC$5&gt;$F140, Timeline!BC$8&lt;Loans!$E140), Loans!BC138&lt;&gt;0), 1, 0)</f>
        <v>0</v>
      </c>
      <c r="BD140" s="230">
        <f>IF(AND(OR( BD$5&gt;$F140, Timeline!BD$8&lt;Loans!$E140), Loans!BD138&lt;&gt;0), 1, 0)</f>
        <v>0</v>
      </c>
      <c r="BE140" s="230">
        <f>IF(AND(OR( BE$5&gt;$F140, Timeline!BE$8&lt;Loans!$E140), Loans!BE138&lt;&gt;0), 1, 0)</f>
        <v>0</v>
      </c>
      <c r="BF140" s="230">
        <f>IF(AND(OR( BF$5&gt;$F140, Timeline!BF$8&lt;Loans!$E140), Loans!BF138&lt;&gt;0), 1, 0)</f>
        <v>0</v>
      </c>
      <c r="BG140" s="230">
        <f>IF(AND(OR( BG$5&gt;$F140, Timeline!BG$8&lt;Loans!$E140), Loans!BG138&lt;&gt;0), 1, 0)</f>
        <v>0</v>
      </c>
      <c r="BH140" s="230">
        <f>IF(AND(OR( BH$5&gt;$F140, Timeline!BH$8&lt;Loans!$E140), Loans!BH138&lt;&gt;0), 1, 0)</f>
        <v>0</v>
      </c>
      <c r="BI140" s="230">
        <f>IF(AND(OR( BI$5&gt;$F140, Timeline!BI$8&lt;Loans!$E140), Loans!BI138&lt;&gt;0), 1, 0)</f>
        <v>0</v>
      </c>
      <c r="BJ140" s="230">
        <f>IF(AND(OR( BJ$5&gt;$F140, Timeline!BJ$8&lt;Loans!$E140), Loans!BJ138&lt;&gt;0), 1, 0)</f>
        <v>0</v>
      </c>
      <c r="BL140" s="230">
        <f>IF(AND(OR( BL$5&gt;$F140, Timeline!BL$8&lt;Loans!$E140), Loans!BL138&lt;&gt;0), 1, 0)</f>
        <v>0</v>
      </c>
      <c r="BM140" s="230">
        <f>IF(AND(OR( BM$5&gt;$F140, Timeline!BM$8&lt;Loans!$E140), Loans!BM138&lt;&gt;0), 1, 0)</f>
        <v>0</v>
      </c>
      <c r="BN140" s="230">
        <f>IF(AND(OR( BN$5&gt;$F140, Timeline!BN$8&lt;Loans!$E140), Loans!BN138&lt;&gt;0), 1, 0)</f>
        <v>0</v>
      </c>
      <c r="BO140" s="230">
        <f>IF(AND(OR( BO$5&gt;$F140, Timeline!BO$8&lt;Loans!$E140), Loans!BO138&lt;&gt;0), 1, 0)</f>
        <v>0</v>
      </c>
      <c r="BP140" s="230">
        <f>IF(AND(OR( BP$5&gt;$F140, Timeline!BP$8&lt;Loans!$E140), Loans!BP138&lt;&gt;0), 1, 0)</f>
        <v>0</v>
      </c>
      <c r="BQ140" s="230">
        <f>IF(AND(OR( BQ$5&gt;$F140, Timeline!BQ$8&lt;Loans!$E140), Loans!BQ138&lt;&gt;0), 1, 0)</f>
        <v>0</v>
      </c>
      <c r="BR140" s="230">
        <f>IF(AND(OR( BR$5&gt;$F140, Timeline!BR$8&lt;Loans!$E140), Loans!BR138&lt;&gt;0), 1, 0)</f>
        <v>0</v>
      </c>
      <c r="BS140" s="230">
        <f>IF(AND(OR( BS$5&gt;$F140, Timeline!BS$8&lt;Loans!$E140), Loans!BS138&lt;&gt;0), 1, 0)</f>
        <v>0</v>
      </c>
      <c r="BT140" s="230">
        <f>IF(AND(OR( BT$5&gt;$F140, Timeline!BT$8&lt;Loans!$E140), Loans!BT138&lt;&gt;0), 1, 0)</f>
        <v>0</v>
      </c>
      <c r="BU140" s="230">
        <f>IF(AND(OR( BU$5&gt;$F140, Timeline!BU$8&lt;Loans!$E140), Loans!BU138&lt;&gt;0), 1, 0)</f>
        <v>0</v>
      </c>
      <c r="BV140" s="230">
        <f>IF(AND(OR( BV$5&gt;$F140, Timeline!BV$8&lt;Loans!$E140), Loans!BV138&lt;&gt;0), 1, 0)</f>
        <v>0</v>
      </c>
      <c r="BW140" s="230">
        <f>IF(AND(OR( BW$5&gt;$F140, Timeline!BW$8&lt;Loans!$E140), Loans!BW138&lt;&gt;0), 1, 0)</f>
        <v>0</v>
      </c>
      <c r="BY140" s="12"/>
      <c r="CA140" s="12"/>
      <c r="CL140" s="7">
        <f>IF(MAX($V140:$BW140)&gt;0, 1, 0)</f>
        <v>0</v>
      </c>
      <c r="CR140" s="12"/>
      <c r="CS140" s="93">
        <f t="shared" si="101"/>
        <v>1</v>
      </c>
      <c r="CT140" s="93">
        <v>0</v>
      </c>
      <c r="CU140" s="93">
        <v>0</v>
      </c>
      <c r="EX140" s="13" t="str">
        <f>IF(C140="", "", CONCATENATE(D123, " ",D140))</f>
        <v/>
      </c>
    </row>
    <row r="141" spans="1:154" s="335" customFormat="1" ht="6.6" customHeight="1" x14ac:dyDescent="0.25">
      <c r="C141" s="380"/>
      <c r="D141" s="1"/>
      <c r="T141" s="25"/>
      <c r="U141" s="25"/>
      <c r="V141" s="93"/>
      <c r="BM141" s="6"/>
      <c r="BY141" s="42"/>
      <c r="CA141" s="42"/>
      <c r="CR141" s="42"/>
      <c r="CS141" s="93">
        <f t="shared" si="101"/>
        <v>0</v>
      </c>
      <c r="CT141" s="93">
        <v>0</v>
      </c>
      <c r="CU141" s="93">
        <v>0</v>
      </c>
      <c r="EX141" s="10" t="str">
        <f t="shared" ref="EX141" si="134">IF($C141="","",$D141)</f>
        <v/>
      </c>
    </row>
    <row r="142" spans="1:154" s="67" customFormat="1" x14ac:dyDescent="0.25">
      <c r="A142" s="64"/>
      <c r="C142" s="380"/>
      <c r="D142" s="64" t="s">
        <v>195</v>
      </c>
      <c r="E142" s="64"/>
      <c r="F142" s="64"/>
      <c r="G142" s="64"/>
      <c r="H142" s="64"/>
      <c r="I142" s="64"/>
      <c r="L142" s="64"/>
      <c r="M142" s="64"/>
      <c r="N142" s="64"/>
      <c r="O142" s="64"/>
      <c r="P142" s="64"/>
      <c r="Q142" s="64"/>
      <c r="S142" s="335"/>
      <c r="T142" s="25"/>
      <c r="U142" s="25"/>
      <c r="V142" s="229"/>
      <c r="W142" s="25"/>
      <c r="X142" s="25"/>
      <c r="Y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L142" s="25"/>
      <c r="BM142" s="25"/>
      <c r="BN142" s="25"/>
      <c r="BO142" s="25"/>
      <c r="BP142" s="25"/>
      <c r="BQ142" s="25"/>
      <c r="BR142" s="25"/>
      <c r="BS142" s="25"/>
      <c r="BT142" s="25"/>
      <c r="BU142" s="25"/>
      <c r="BV142" s="25"/>
      <c r="BW142" s="25"/>
      <c r="BY142" s="12"/>
      <c r="BZ142" s="335"/>
      <c r="CA142" s="12"/>
      <c r="CB142" s="335"/>
      <c r="CC142" s="335"/>
      <c r="CD142" s="335"/>
      <c r="CE142" s="335"/>
      <c r="CM142" s="335"/>
      <c r="CN142" s="335"/>
      <c r="CO142" s="335"/>
      <c r="CP142" s="335"/>
      <c r="CR142" s="12"/>
      <c r="CS142" s="93">
        <f t="shared" si="101"/>
        <v>0</v>
      </c>
      <c r="CT142" s="93">
        <v>0</v>
      </c>
      <c r="CU142" s="93">
        <v>0</v>
      </c>
      <c r="EW142" s="335"/>
      <c r="EX142" s="10" t="str">
        <f t="shared" si="110"/>
        <v/>
      </c>
    </row>
    <row r="143" spans="1:154" s="67" customFormat="1" x14ac:dyDescent="0.25">
      <c r="C143" s="340" t="s">
        <v>1378</v>
      </c>
      <c r="D143" s="51" t="s">
        <v>230</v>
      </c>
      <c r="E143" s="1"/>
      <c r="G143" s="9" t="s">
        <v>413</v>
      </c>
      <c r="H143" s="50" t="s">
        <v>8</v>
      </c>
      <c r="S143" s="335"/>
      <c r="T143" s="25"/>
      <c r="U143" s="25"/>
      <c r="V143" s="222"/>
      <c r="W143" s="201">
        <f>V147</f>
        <v>0</v>
      </c>
      <c r="X143" s="201">
        <f>W147</f>
        <v>0</v>
      </c>
      <c r="Y143" s="10">
        <f>X147</f>
        <v>0</v>
      </c>
      <c r="AA143" s="13">
        <f>W143</f>
        <v>0</v>
      </c>
      <c r="AB143" s="153">
        <f t="shared" ref="AB143:BJ143" si="135">AA147</f>
        <v>0</v>
      </c>
      <c r="AC143" s="153">
        <f t="shared" si="135"/>
        <v>0</v>
      </c>
      <c r="AD143" s="153">
        <f t="shared" si="135"/>
        <v>0</v>
      </c>
      <c r="AE143" s="153">
        <f t="shared" si="135"/>
        <v>0</v>
      </c>
      <c r="AF143" s="153">
        <f t="shared" si="135"/>
        <v>0</v>
      </c>
      <c r="AG143" s="153">
        <f t="shared" si="135"/>
        <v>0</v>
      </c>
      <c r="AH143" s="153">
        <f t="shared" si="135"/>
        <v>0</v>
      </c>
      <c r="AI143" s="153">
        <f t="shared" si="135"/>
        <v>0</v>
      </c>
      <c r="AJ143" s="153">
        <f t="shared" si="135"/>
        <v>0</v>
      </c>
      <c r="AK143" s="153">
        <f t="shared" si="135"/>
        <v>0</v>
      </c>
      <c r="AL143" s="153">
        <f t="shared" si="135"/>
        <v>0</v>
      </c>
      <c r="AM143" s="153">
        <f t="shared" si="135"/>
        <v>0</v>
      </c>
      <c r="AN143" s="153">
        <f t="shared" si="135"/>
        <v>0</v>
      </c>
      <c r="AO143" s="153">
        <f t="shared" si="135"/>
        <v>0</v>
      </c>
      <c r="AP143" s="153">
        <f t="shared" si="135"/>
        <v>0</v>
      </c>
      <c r="AQ143" s="153">
        <f t="shared" si="135"/>
        <v>0</v>
      </c>
      <c r="AR143" s="153">
        <f t="shared" si="135"/>
        <v>0</v>
      </c>
      <c r="AS143" s="153">
        <f t="shared" si="135"/>
        <v>0</v>
      </c>
      <c r="AT143" s="153">
        <f t="shared" si="135"/>
        <v>0</v>
      </c>
      <c r="AU143" s="153">
        <f t="shared" si="135"/>
        <v>0</v>
      </c>
      <c r="AV143" s="153">
        <f t="shared" si="135"/>
        <v>0</v>
      </c>
      <c r="AW143" s="153">
        <f t="shared" si="135"/>
        <v>0</v>
      </c>
      <c r="AX143" s="153">
        <f t="shared" si="135"/>
        <v>0</v>
      </c>
      <c r="AY143" s="153">
        <f t="shared" si="135"/>
        <v>0</v>
      </c>
      <c r="AZ143" s="153">
        <f t="shared" si="135"/>
        <v>0</v>
      </c>
      <c r="BA143" s="153">
        <f t="shared" si="135"/>
        <v>0</v>
      </c>
      <c r="BB143" s="153">
        <f t="shared" si="135"/>
        <v>0</v>
      </c>
      <c r="BC143" s="153">
        <f t="shared" si="135"/>
        <v>0</v>
      </c>
      <c r="BD143" s="153">
        <f t="shared" si="135"/>
        <v>0</v>
      </c>
      <c r="BE143" s="153">
        <f t="shared" si="135"/>
        <v>0</v>
      </c>
      <c r="BF143" s="153">
        <f t="shared" si="135"/>
        <v>0</v>
      </c>
      <c r="BG143" s="153">
        <f t="shared" si="135"/>
        <v>0</v>
      </c>
      <c r="BH143" s="153">
        <f t="shared" si="135"/>
        <v>0</v>
      </c>
      <c r="BI143" s="153">
        <f t="shared" si="135"/>
        <v>0</v>
      </c>
      <c r="BJ143" s="153">
        <f t="shared" si="135"/>
        <v>0</v>
      </c>
      <c r="BL143" s="152">
        <f t="shared" ref="BL143:BO147" si="136">V143</f>
        <v>0</v>
      </c>
      <c r="BM143" s="152">
        <f t="shared" si="136"/>
        <v>0</v>
      </c>
      <c r="BN143" s="152">
        <f t="shared" si="136"/>
        <v>0</v>
      </c>
      <c r="BO143" s="152">
        <f t="shared" si="136"/>
        <v>0</v>
      </c>
      <c r="BP143" s="153">
        <f t="shared" ref="BP143:BW143" si="137">BO147</f>
        <v>0</v>
      </c>
      <c r="BQ143" s="153">
        <f t="shared" si="137"/>
        <v>0</v>
      </c>
      <c r="BR143" s="153">
        <f t="shared" si="137"/>
        <v>0</v>
      </c>
      <c r="BS143" s="153">
        <f t="shared" si="137"/>
        <v>0</v>
      </c>
      <c r="BT143" s="153">
        <f t="shared" si="137"/>
        <v>0</v>
      </c>
      <c r="BU143" s="153">
        <f t="shared" si="137"/>
        <v>0</v>
      </c>
      <c r="BV143" s="153">
        <f t="shared" si="137"/>
        <v>0</v>
      </c>
      <c r="BW143" s="153">
        <f t="shared" si="137"/>
        <v>0</v>
      </c>
      <c r="BY143" s="12"/>
      <c r="BZ143" s="335"/>
      <c r="CA143" s="12"/>
      <c r="CB143" s="335"/>
      <c r="CC143" s="335"/>
      <c r="CD143" s="335"/>
      <c r="CE143" s="335"/>
      <c r="CM143" s="335"/>
      <c r="CN143" s="335"/>
      <c r="CO143" s="335"/>
      <c r="CP143" s="335"/>
      <c r="CR143" s="12"/>
      <c r="CS143" s="93">
        <f t="shared" si="101"/>
        <v>0</v>
      </c>
      <c r="CT143" s="93">
        <v>1</v>
      </c>
      <c r="CU143" s="93">
        <v>0</v>
      </c>
      <c r="EW143" s="335"/>
      <c r="EX143" s="13" t="str">
        <f>IF(C143="", "", CONCATENATE(D142, " ",D143))</f>
        <v>Loan 6 Opening Loan Balance</v>
      </c>
    </row>
    <row r="144" spans="1:154" s="5" customFormat="1" x14ac:dyDescent="0.25">
      <c r="A144" s="362" cm="1">
        <f t="array" aca="1" ref="A144" ca="1">HYPERLINK(CONCATENATE("#",CELL("address",IF(SUM($CA144:$CR144)=0,A144,INDEX($CA144:$CR144,MATCH(1,$CA144:$CR144,0))))),SUM($CA144:$CR144))</f>
        <v>0</v>
      </c>
      <c r="B144" s="67"/>
      <c r="C144" s="340" t="s">
        <v>1265</v>
      </c>
      <c r="D144" s="51" t="s">
        <v>219</v>
      </c>
      <c r="E144" s="1"/>
      <c r="F144" s="67"/>
      <c r="G144" s="9" t="s">
        <v>413</v>
      </c>
      <c r="H144" s="50" t="s">
        <v>125</v>
      </c>
      <c r="I144" s="67"/>
      <c r="J144" s="67"/>
      <c r="K144" s="67"/>
      <c r="L144" s="67"/>
      <c r="M144" s="67"/>
      <c r="N144" s="67"/>
      <c r="O144" s="67"/>
      <c r="P144" s="67"/>
      <c r="Q144" s="67"/>
      <c r="R144" s="67"/>
      <c r="S144" s="335"/>
      <c r="T144" s="25"/>
      <c r="U144" s="25"/>
      <c r="V144" s="222"/>
      <c r="W144" s="215">
        <f t="shared" ref="W144:Y146" si="138" xml:space="preserve"> SUMIFS($AA144:$BJ144, $AA$3:$BJ$3, W$3)</f>
        <v>0</v>
      </c>
      <c r="X144" s="215">
        <f t="shared" si="138"/>
        <v>0</v>
      </c>
      <c r="Y144" s="215">
        <f t="shared" si="138"/>
        <v>0</v>
      </c>
      <c r="Z144" s="6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c r="BI144" s="147"/>
      <c r="BJ144" s="147"/>
      <c r="BK144" s="67"/>
      <c r="BL144" s="152">
        <f t="shared" si="136"/>
        <v>0</v>
      </c>
      <c r="BM144" s="152">
        <f t="shared" si="136"/>
        <v>0</v>
      </c>
      <c r="BN144" s="152">
        <f t="shared" si="136"/>
        <v>0</v>
      </c>
      <c r="BO144" s="152">
        <f t="shared" si="136"/>
        <v>0</v>
      </c>
      <c r="BP144" s="156"/>
      <c r="BQ144" s="156"/>
      <c r="BR144" s="156"/>
      <c r="BS144" s="156"/>
      <c r="BT144" s="156"/>
      <c r="BU144" s="156"/>
      <c r="BV144" s="156"/>
      <c r="BW144" s="156"/>
      <c r="BX144" s="67"/>
      <c r="BY144" s="12"/>
      <c r="BZ144" s="395">
        <f>IF(MIN($V144:$BW144)&lt;0, 1, 0)</f>
        <v>0</v>
      </c>
      <c r="CA144" s="12"/>
      <c r="CB144" s="335"/>
      <c r="CC144" s="335"/>
      <c r="CD144" s="335"/>
      <c r="CE144" s="335"/>
      <c r="CF144" s="67"/>
      <c r="CG144" s="67"/>
      <c r="CH144" s="67"/>
      <c r="CI144" s="67"/>
      <c r="CJ144" s="67"/>
      <c r="CK144" s="67"/>
      <c r="CL144" s="67"/>
      <c r="CM144" s="7">
        <f t="shared" ref="CM144:CO146" si="139">IF(ROUND(W144-SUMIFS($AA144:$BJ144, $AA$3:$BJ$3, W$3), rounding)=0, 0, 1)</f>
        <v>0</v>
      </c>
      <c r="CN144" s="7">
        <f t="shared" si="139"/>
        <v>0</v>
      </c>
      <c r="CO144" s="7">
        <f t="shared" si="139"/>
        <v>0</v>
      </c>
      <c r="CP144" s="7">
        <f>IF(ROUND(V144-BL144, rounding)=0, 0, 1)*'BS Forecasts'!$V$10</f>
        <v>0</v>
      </c>
      <c r="CQ144" s="67"/>
      <c r="CR144" s="12"/>
      <c r="CS144" s="93">
        <f t="shared" si="101"/>
        <v>0</v>
      </c>
      <c r="CT144" s="93">
        <v>1</v>
      </c>
      <c r="CU144" s="93">
        <v>1</v>
      </c>
      <c r="EX144" s="13" t="str">
        <f>IF(C144="", "", CONCATENATE(D142, " ",D144))</f>
        <v>Loan 6 Drawdowns</v>
      </c>
    </row>
    <row r="145" spans="1:154" s="67" customFormat="1" x14ac:dyDescent="0.25">
      <c r="A145" s="362" cm="1">
        <f t="array" aca="1" ref="A145" ca="1">HYPERLINK(CONCATENATE("#",CELL("address",IF(SUM($CA145:$CR145)=0,A145,INDEX($CA145:$CR145,MATCH(1,$CA145:$CR145,0))))),SUM($CA145:$CR145))</f>
        <v>0</v>
      </c>
      <c r="C145" s="340" t="s">
        <v>1266</v>
      </c>
      <c r="D145" s="41" t="s">
        <v>1570</v>
      </c>
      <c r="E145" s="1"/>
      <c r="G145" s="9" t="s">
        <v>413</v>
      </c>
      <c r="H145" s="50" t="s">
        <v>157</v>
      </c>
      <c r="S145" s="335"/>
      <c r="T145" s="25"/>
      <c r="U145" s="25"/>
      <c r="V145" s="222"/>
      <c r="W145" s="215">
        <f t="shared" si="138"/>
        <v>0</v>
      </c>
      <c r="X145" s="215">
        <f t="shared" si="138"/>
        <v>0</v>
      </c>
      <c r="Y145" s="215">
        <f t="shared" si="138"/>
        <v>0</v>
      </c>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c r="BI145" s="147"/>
      <c r="BJ145" s="147"/>
      <c r="BL145" s="152">
        <f t="shared" si="136"/>
        <v>0</v>
      </c>
      <c r="BM145" s="152">
        <f t="shared" si="136"/>
        <v>0</v>
      </c>
      <c r="BN145" s="152">
        <f t="shared" si="136"/>
        <v>0</v>
      </c>
      <c r="BO145" s="152">
        <f t="shared" si="136"/>
        <v>0</v>
      </c>
      <c r="BP145" s="156"/>
      <c r="BQ145" s="156"/>
      <c r="BR145" s="156"/>
      <c r="BS145" s="156"/>
      <c r="BT145" s="156"/>
      <c r="BU145" s="156"/>
      <c r="BV145" s="156"/>
      <c r="BW145" s="156"/>
      <c r="BY145" s="12"/>
      <c r="BZ145" s="395">
        <f>IF(MAX($V145:$BW145)&gt;0, 1, 0)</f>
        <v>0</v>
      </c>
      <c r="CA145" s="12"/>
      <c r="CB145" s="335"/>
      <c r="CC145" s="335"/>
      <c r="CD145" s="335"/>
      <c r="CE145" s="335"/>
      <c r="CM145" s="7">
        <f t="shared" si="139"/>
        <v>0</v>
      </c>
      <c r="CN145" s="7">
        <f t="shared" si="139"/>
        <v>0</v>
      </c>
      <c r="CO145" s="7">
        <f t="shared" si="139"/>
        <v>0</v>
      </c>
      <c r="CP145" s="7">
        <f>IF(ROUND(V145-BL145, rounding)=0, 0, 1)*'BS Forecasts'!$V$10</f>
        <v>0</v>
      </c>
      <c r="CR145" s="12"/>
      <c r="CS145" s="93">
        <f t="shared" si="101"/>
        <v>0</v>
      </c>
      <c r="CT145" s="93">
        <v>1</v>
      </c>
      <c r="CU145" s="93">
        <v>1</v>
      </c>
      <c r="EW145" s="335"/>
      <c r="EX145" s="13" t="str">
        <f>IF(C145="", "", CONCATENATE(D142, " ",D145))</f>
        <v>Loan 6 Loan Capital Repayment (as per loan agreement)</v>
      </c>
    </row>
    <row r="146" spans="1:154" s="335" customFormat="1" x14ac:dyDescent="0.25">
      <c r="A146" s="362" cm="1">
        <f t="array" aca="1" ref="A146" ca="1">HYPERLINK(CONCATENATE("#",CELL("address",IF(SUM($CA146:$CR146)=0,A146,INDEX($CA146:$CR146,MATCH(1,$CA146:$CR146,0))))),SUM($CA146:$CR146))</f>
        <v>0</v>
      </c>
      <c r="C146" s="340" t="s">
        <v>1587</v>
      </c>
      <c r="D146" s="41" t="s">
        <v>1571</v>
      </c>
      <c r="E146" s="1"/>
      <c r="G146" s="9" t="s">
        <v>413</v>
      </c>
      <c r="H146" s="50" t="s">
        <v>157</v>
      </c>
      <c r="T146" s="25"/>
      <c r="U146" s="25"/>
      <c r="V146" s="210"/>
      <c r="W146" s="215">
        <f t="shared" si="138"/>
        <v>0</v>
      </c>
      <c r="X146" s="215">
        <f t="shared" si="138"/>
        <v>0</v>
      </c>
      <c r="Y146" s="215">
        <f t="shared" si="138"/>
        <v>0</v>
      </c>
      <c r="AA146" s="147"/>
      <c r="AB146" s="147"/>
      <c r="AC146" s="147"/>
      <c r="AD146" s="147"/>
      <c r="AE146" s="147"/>
      <c r="AF146" s="147"/>
      <c r="AG146" s="147"/>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c r="BI146" s="147"/>
      <c r="BJ146" s="147"/>
      <c r="BL146" s="13">
        <f t="shared" si="136"/>
        <v>0</v>
      </c>
      <c r="BM146" s="13">
        <f t="shared" si="136"/>
        <v>0</v>
      </c>
      <c r="BN146" s="13">
        <f t="shared" si="136"/>
        <v>0</v>
      </c>
      <c r="BO146" s="13">
        <f t="shared" si="136"/>
        <v>0</v>
      </c>
      <c r="BP146" s="141"/>
      <c r="BQ146" s="141"/>
      <c r="BR146" s="141"/>
      <c r="BS146" s="141"/>
      <c r="BT146" s="141"/>
      <c r="BU146" s="141"/>
      <c r="BV146" s="141"/>
      <c r="BW146" s="141"/>
      <c r="BY146" s="12"/>
      <c r="BZ146" s="395">
        <f>IF(MAX($V146:$BW146)&gt;0, 1, 0)</f>
        <v>0</v>
      </c>
      <c r="CA146" s="12"/>
      <c r="CM146" s="7">
        <f t="shared" si="139"/>
        <v>0</v>
      </c>
      <c r="CN146" s="7">
        <f t="shared" si="139"/>
        <v>0</v>
      </c>
      <c r="CO146" s="7">
        <f t="shared" si="139"/>
        <v>0</v>
      </c>
      <c r="CP146" s="7">
        <f>IF(ROUND(V146-BL146, rounding)=0, 0, 1)*'BS Forecasts'!$V$10</f>
        <v>0</v>
      </c>
      <c r="CR146" s="12"/>
      <c r="CS146" s="93">
        <f t="shared" si="101"/>
        <v>0</v>
      </c>
      <c r="CT146" s="93">
        <v>1</v>
      </c>
      <c r="CU146" s="93">
        <v>1</v>
      </c>
      <c r="EX146" s="13" t="str">
        <f>IF(C146="", "", CONCATENATE(D142, " ",D146))</f>
        <v xml:space="preserve">Loan 6 Early Repayment </v>
      </c>
    </row>
    <row r="147" spans="1:154" s="67" customFormat="1" x14ac:dyDescent="0.25">
      <c r="C147" s="340" t="s">
        <v>1358</v>
      </c>
      <c r="D147" s="51" t="s">
        <v>231</v>
      </c>
      <c r="E147" s="1"/>
      <c r="F147" s="25"/>
      <c r="G147" s="9" t="s">
        <v>413</v>
      </c>
      <c r="H147" s="50" t="s">
        <v>8</v>
      </c>
      <c r="S147" s="335"/>
      <c r="T147" s="25"/>
      <c r="U147" s="25"/>
      <c r="V147" s="13">
        <f>$G$18</f>
        <v>0</v>
      </c>
      <c r="W147" s="153">
        <f>SUM(W143:W146)</f>
        <v>0</v>
      </c>
      <c r="X147" s="153">
        <f t="shared" ref="X147:BJ147" si="140">SUM(X143:X146)</f>
        <v>0</v>
      </c>
      <c r="Y147" s="153">
        <f t="shared" si="140"/>
        <v>0</v>
      </c>
      <c r="Z147" s="335"/>
      <c r="AA147" s="153">
        <f t="shared" si="140"/>
        <v>0</v>
      </c>
      <c r="AB147" s="153">
        <f t="shared" si="140"/>
        <v>0</v>
      </c>
      <c r="AC147" s="153">
        <f t="shared" si="140"/>
        <v>0</v>
      </c>
      <c r="AD147" s="153">
        <f t="shared" si="140"/>
        <v>0</v>
      </c>
      <c r="AE147" s="153">
        <f t="shared" si="140"/>
        <v>0</v>
      </c>
      <c r="AF147" s="153">
        <f t="shared" si="140"/>
        <v>0</v>
      </c>
      <c r="AG147" s="153">
        <f t="shared" si="140"/>
        <v>0</v>
      </c>
      <c r="AH147" s="153">
        <f t="shared" si="140"/>
        <v>0</v>
      </c>
      <c r="AI147" s="153">
        <f t="shared" si="140"/>
        <v>0</v>
      </c>
      <c r="AJ147" s="153">
        <f t="shared" si="140"/>
        <v>0</v>
      </c>
      <c r="AK147" s="153">
        <f t="shared" si="140"/>
        <v>0</v>
      </c>
      <c r="AL147" s="153">
        <f t="shared" si="140"/>
        <v>0</v>
      </c>
      <c r="AM147" s="153">
        <f t="shared" si="140"/>
        <v>0</v>
      </c>
      <c r="AN147" s="153">
        <f t="shared" si="140"/>
        <v>0</v>
      </c>
      <c r="AO147" s="153">
        <f t="shared" si="140"/>
        <v>0</v>
      </c>
      <c r="AP147" s="153">
        <f t="shared" si="140"/>
        <v>0</v>
      </c>
      <c r="AQ147" s="153">
        <f t="shared" si="140"/>
        <v>0</v>
      </c>
      <c r="AR147" s="153">
        <f t="shared" si="140"/>
        <v>0</v>
      </c>
      <c r="AS147" s="153">
        <f t="shared" si="140"/>
        <v>0</v>
      </c>
      <c r="AT147" s="153">
        <f t="shared" si="140"/>
        <v>0</v>
      </c>
      <c r="AU147" s="153">
        <f t="shared" si="140"/>
        <v>0</v>
      </c>
      <c r="AV147" s="153">
        <f t="shared" si="140"/>
        <v>0</v>
      </c>
      <c r="AW147" s="153">
        <f t="shared" si="140"/>
        <v>0</v>
      </c>
      <c r="AX147" s="153">
        <f t="shared" si="140"/>
        <v>0</v>
      </c>
      <c r="AY147" s="153">
        <f t="shared" si="140"/>
        <v>0</v>
      </c>
      <c r="AZ147" s="153">
        <f t="shared" si="140"/>
        <v>0</v>
      </c>
      <c r="BA147" s="153">
        <f t="shared" si="140"/>
        <v>0</v>
      </c>
      <c r="BB147" s="153">
        <f t="shared" si="140"/>
        <v>0</v>
      </c>
      <c r="BC147" s="153">
        <f t="shared" si="140"/>
        <v>0</v>
      </c>
      <c r="BD147" s="153">
        <f t="shared" si="140"/>
        <v>0</v>
      </c>
      <c r="BE147" s="153">
        <f t="shared" si="140"/>
        <v>0</v>
      </c>
      <c r="BF147" s="153">
        <f t="shared" si="140"/>
        <v>0</v>
      </c>
      <c r="BG147" s="153">
        <f t="shared" si="140"/>
        <v>0</v>
      </c>
      <c r="BH147" s="153">
        <f t="shared" si="140"/>
        <v>0</v>
      </c>
      <c r="BI147" s="153">
        <f t="shared" si="140"/>
        <v>0</v>
      </c>
      <c r="BJ147" s="153">
        <f t="shared" si="140"/>
        <v>0</v>
      </c>
      <c r="BL147" s="152">
        <f t="shared" si="136"/>
        <v>0</v>
      </c>
      <c r="BM147" s="152">
        <f t="shared" si="136"/>
        <v>0</v>
      </c>
      <c r="BN147" s="152">
        <f t="shared" si="136"/>
        <v>0</v>
      </c>
      <c r="BO147" s="152">
        <f t="shared" si="136"/>
        <v>0</v>
      </c>
      <c r="BP147" s="153">
        <f>SUM(BP143:BP146)</f>
        <v>0</v>
      </c>
      <c r="BQ147" s="153">
        <f t="shared" ref="BQ147" si="141">SUM(BQ143:BQ146)</f>
        <v>0</v>
      </c>
      <c r="BR147" s="153">
        <f t="shared" ref="BR147" si="142">SUM(BR143:BR146)</f>
        <v>0</v>
      </c>
      <c r="BS147" s="153">
        <f t="shared" ref="BS147" si="143">SUM(BS143:BS146)</f>
        <v>0</v>
      </c>
      <c r="BT147" s="153">
        <f t="shared" ref="BT147" si="144">SUM(BT143:BT146)</f>
        <v>0</v>
      </c>
      <c r="BU147" s="153">
        <f t="shared" ref="BU147" si="145">SUM(BU143:BU146)</f>
        <v>0</v>
      </c>
      <c r="BV147" s="153">
        <f t="shared" ref="BV147" si="146">SUM(BV143:BV146)</f>
        <v>0</v>
      </c>
      <c r="BW147" s="153">
        <f t="shared" ref="BW147" si="147">SUM(BW143:BW146)</f>
        <v>0</v>
      </c>
      <c r="BY147" s="12"/>
      <c r="BZ147" s="335"/>
      <c r="CA147" s="12"/>
      <c r="CB147" s="335"/>
      <c r="CC147" s="335"/>
      <c r="CD147" s="335"/>
      <c r="CE147" s="335"/>
      <c r="CM147" s="335"/>
      <c r="CN147" s="335"/>
      <c r="CO147" s="335"/>
      <c r="CP147" s="335"/>
      <c r="CR147" s="12"/>
      <c r="CS147" s="93">
        <f t="shared" si="101"/>
        <v>0</v>
      </c>
      <c r="CT147" s="93">
        <v>0</v>
      </c>
      <c r="CU147" s="93">
        <v>0</v>
      </c>
      <c r="EW147" s="335"/>
      <c r="EX147" s="13" t="str">
        <f>IF(C147="", "", CONCATENATE(D142, " ",D147))</f>
        <v>Loan 6 Closing Loan Balance</v>
      </c>
    </row>
    <row r="148" spans="1:154" s="67" customFormat="1" ht="6.6" customHeight="1" x14ac:dyDescent="0.25">
      <c r="C148" s="380"/>
      <c r="D148" s="1"/>
      <c r="F148" s="25"/>
      <c r="S148" s="335"/>
      <c r="T148" s="25"/>
      <c r="U148" s="25"/>
      <c r="V148" s="93"/>
      <c r="BM148" s="6"/>
      <c r="BY148" s="42"/>
      <c r="BZ148" s="335"/>
      <c r="CA148" s="42"/>
      <c r="CB148" s="335"/>
      <c r="CC148" s="335"/>
      <c r="CD148" s="335"/>
      <c r="CE148" s="335"/>
      <c r="CM148" s="335"/>
      <c r="CN148" s="335"/>
      <c r="CO148" s="335"/>
      <c r="CP148" s="335"/>
      <c r="CR148" s="42"/>
      <c r="CS148" s="93">
        <f t="shared" si="101"/>
        <v>0</v>
      </c>
      <c r="CT148" s="93">
        <v>0</v>
      </c>
      <c r="CU148" s="93">
        <v>0</v>
      </c>
      <c r="EW148" s="335"/>
      <c r="EX148" s="13" t="str">
        <f>IF(C148="", "", CONCATENATE(D142, " ",D148))</f>
        <v/>
      </c>
    </row>
    <row r="149" spans="1:154" s="67" customFormat="1" x14ac:dyDescent="0.25">
      <c r="A149" s="362" cm="1">
        <f t="array" aca="1" ref="A149" ca="1">HYPERLINK(CONCATENATE("#",CELL("address",IF(SUM($CA149:$CR149)=0,A149,INDEX($CA149:$CR149,MATCH(1,$CA149:$CR149,0))))),SUM($CA149:$CR149))</f>
        <v>0</v>
      </c>
      <c r="C149" s="380"/>
      <c r="D149" s="51" t="s">
        <v>526</v>
      </c>
      <c r="E149" s="160" t="s">
        <v>523</v>
      </c>
      <c r="F149" s="153">
        <f>$F$18</f>
        <v>0</v>
      </c>
      <c r="S149" s="335"/>
      <c r="T149" s="25"/>
      <c r="U149" s="25"/>
      <c r="V149" s="188">
        <f>IF(OR(V147&gt;$F149, V147&lt;0), 1, 0)</f>
        <v>0</v>
      </c>
      <c r="W149" s="7">
        <f>IF(OR(W147&gt;$F149, W147&lt;0), 1, 0)</f>
        <v>0</v>
      </c>
      <c r="X149" s="7">
        <f>IF(OR(X147&gt;$F149, X147&lt;0), 1, 0)</f>
        <v>0</v>
      </c>
      <c r="Y149" s="7">
        <f>IF(OR(Y147&gt;$F149, Y147&lt;0), 1, 0)</f>
        <v>0</v>
      </c>
      <c r="AA149" s="7">
        <f t="shared" ref="AA149:BJ149" si="148">IF(OR(AA147&gt;$F149, AA147&lt;0), 1, 0)</f>
        <v>0</v>
      </c>
      <c r="AB149" s="7">
        <f t="shared" si="148"/>
        <v>0</v>
      </c>
      <c r="AC149" s="7">
        <f t="shared" si="148"/>
        <v>0</v>
      </c>
      <c r="AD149" s="7">
        <f t="shared" si="148"/>
        <v>0</v>
      </c>
      <c r="AE149" s="7">
        <f t="shared" si="148"/>
        <v>0</v>
      </c>
      <c r="AF149" s="7">
        <f t="shared" si="148"/>
        <v>0</v>
      </c>
      <c r="AG149" s="7">
        <f t="shared" si="148"/>
        <v>0</v>
      </c>
      <c r="AH149" s="7">
        <f t="shared" si="148"/>
        <v>0</v>
      </c>
      <c r="AI149" s="7">
        <f t="shared" si="148"/>
        <v>0</v>
      </c>
      <c r="AJ149" s="7">
        <f t="shared" si="148"/>
        <v>0</v>
      </c>
      <c r="AK149" s="7">
        <f t="shared" si="148"/>
        <v>0</v>
      </c>
      <c r="AL149" s="7">
        <f t="shared" si="148"/>
        <v>0</v>
      </c>
      <c r="AM149" s="7">
        <f t="shared" si="148"/>
        <v>0</v>
      </c>
      <c r="AN149" s="7">
        <f t="shared" si="148"/>
        <v>0</v>
      </c>
      <c r="AO149" s="7">
        <f t="shared" si="148"/>
        <v>0</v>
      </c>
      <c r="AP149" s="7">
        <f t="shared" si="148"/>
        <v>0</v>
      </c>
      <c r="AQ149" s="7">
        <f t="shared" si="148"/>
        <v>0</v>
      </c>
      <c r="AR149" s="7">
        <f t="shared" si="148"/>
        <v>0</v>
      </c>
      <c r="AS149" s="7">
        <f t="shared" si="148"/>
        <v>0</v>
      </c>
      <c r="AT149" s="7">
        <f t="shared" si="148"/>
        <v>0</v>
      </c>
      <c r="AU149" s="7">
        <f t="shared" si="148"/>
        <v>0</v>
      </c>
      <c r="AV149" s="7">
        <f t="shared" si="148"/>
        <v>0</v>
      </c>
      <c r="AW149" s="7">
        <f t="shared" si="148"/>
        <v>0</v>
      </c>
      <c r="AX149" s="7">
        <f t="shared" si="148"/>
        <v>0</v>
      </c>
      <c r="AY149" s="7">
        <f t="shared" si="148"/>
        <v>0</v>
      </c>
      <c r="AZ149" s="7">
        <f t="shared" si="148"/>
        <v>0</v>
      </c>
      <c r="BA149" s="7">
        <f t="shared" si="148"/>
        <v>0</v>
      </c>
      <c r="BB149" s="7">
        <f t="shared" si="148"/>
        <v>0</v>
      </c>
      <c r="BC149" s="7">
        <f t="shared" si="148"/>
        <v>0</v>
      </c>
      <c r="BD149" s="7">
        <f t="shared" si="148"/>
        <v>0</v>
      </c>
      <c r="BE149" s="7">
        <f t="shared" si="148"/>
        <v>0</v>
      </c>
      <c r="BF149" s="7">
        <f t="shared" si="148"/>
        <v>0</v>
      </c>
      <c r="BG149" s="7">
        <f t="shared" si="148"/>
        <v>0</v>
      </c>
      <c r="BH149" s="7">
        <f t="shared" si="148"/>
        <v>0</v>
      </c>
      <c r="BI149" s="7">
        <f t="shared" si="148"/>
        <v>0</v>
      </c>
      <c r="BJ149" s="7">
        <f t="shared" si="148"/>
        <v>0</v>
      </c>
      <c r="BL149" s="7">
        <f t="shared" ref="BL149" si="149">IF(OR(BL147&gt;$F149, BL147&lt;0), 1, 0)</f>
        <v>0</v>
      </c>
      <c r="BM149" s="7">
        <f t="shared" ref="BM149:BW149" si="150">IF(OR(BM147&gt;$F149, BM147&lt;0), 1, 0)</f>
        <v>0</v>
      </c>
      <c r="BN149" s="7">
        <f t="shared" si="150"/>
        <v>0</v>
      </c>
      <c r="BO149" s="7">
        <f t="shared" si="150"/>
        <v>0</v>
      </c>
      <c r="BP149" s="7">
        <f t="shared" si="150"/>
        <v>0</v>
      </c>
      <c r="BQ149" s="7">
        <f t="shared" si="150"/>
        <v>0</v>
      </c>
      <c r="BR149" s="7">
        <f t="shared" si="150"/>
        <v>0</v>
      </c>
      <c r="BS149" s="7">
        <f t="shared" si="150"/>
        <v>0</v>
      </c>
      <c r="BT149" s="7">
        <f t="shared" si="150"/>
        <v>0</v>
      </c>
      <c r="BU149" s="7">
        <f t="shared" si="150"/>
        <v>0</v>
      </c>
      <c r="BV149" s="7">
        <f t="shared" si="150"/>
        <v>0</v>
      </c>
      <c r="BW149" s="7">
        <f t="shared" si="150"/>
        <v>0</v>
      </c>
      <c r="BY149" s="12"/>
      <c r="BZ149" s="335"/>
      <c r="CA149" s="12"/>
      <c r="CB149" s="335"/>
      <c r="CC149" s="335"/>
      <c r="CD149" s="335"/>
      <c r="CE149" s="335"/>
      <c r="CL149" s="7">
        <f>IF(MAX(V149:BW149)&gt;0, 1, 0)</f>
        <v>0</v>
      </c>
      <c r="CM149" s="335"/>
      <c r="CN149" s="335"/>
      <c r="CO149" s="335"/>
      <c r="CP149" s="335"/>
      <c r="CR149" s="12"/>
      <c r="CS149" s="93">
        <f t="shared" si="101"/>
        <v>1</v>
      </c>
      <c r="CT149" s="93">
        <v>0</v>
      </c>
      <c r="CU149" s="93">
        <v>0</v>
      </c>
      <c r="EW149" s="335"/>
      <c r="EX149" s="13" t="str">
        <f>IF(C149="", "", CONCATENATE(D142, " ",D149))</f>
        <v/>
      </c>
    </row>
    <row r="150" spans="1:154" s="67" customFormat="1" x14ac:dyDescent="0.25">
      <c r="A150" s="362" cm="1">
        <f t="array" aca="1" ref="A150" ca="1">HYPERLINK(CONCATENATE("#",CELL("address",IF(SUM($CA150:$CR150)=0,A150,INDEX($CA150:$CR150,MATCH(1,$CA150:$CR150,0))))),SUM($CA150:$CR150))</f>
        <v>0</v>
      </c>
      <c r="C150" s="380"/>
      <c r="D150" s="51" t="s">
        <v>220</v>
      </c>
      <c r="E150" s="160" t="s">
        <v>524</v>
      </c>
      <c r="F150" s="173" t="str">
        <f>IF($J$18="", "", $J$18)</f>
        <v/>
      </c>
      <c r="S150" s="335"/>
      <c r="T150" s="25"/>
      <c r="U150" s="25"/>
      <c r="V150" s="230">
        <f>IF(AND(V$5&gt;=$F150,SUM(V147:$Y147)&lt;&gt;0),1,0)</f>
        <v>0</v>
      </c>
      <c r="W150" s="230">
        <f>IF(AND(W$5&gt;=$F150,SUM(W147:$Y147)&lt;&gt;0),1,0)</f>
        <v>0</v>
      </c>
      <c r="X150" s="230">
        <f>IF(AND(X$5&gt;=$F150,SUM(X147:$Y147)&lt;&gt;0),1,0)</f>
        <v>0</v>
      </c>
      <c r="Y150" s="230">
        <f>IF(AND(Y$5&gt;=$F150,SUM(Y147:$Y147)&lt;&gt;0),1,0)</f>
        <v>0</v>
      </c>
      <c r="AA150" s="154">
        <f>IF(AND(AA$5&gt;=$F150,SUM(AA147:$BJ147)&lt;&gt;0),1,0)</f>
        <v>0</v>
      </c>
      <c r="AB150" s="154">
        <f>IF(AND(AB$5&gt;=$F150,SUM(AB147:$BJ147)&lt;&gt;0),1,0)</f>
        <v>0</v>
      </c>
      <c r="AC150" s="154">
        <f>IF(AND(AC$5&gt;=$F150,SUM(AC147:$BJ147)&lt;&gt;0),1,0)</f>
        <v>0</v>
      </c>
      <c r="AD150" s="154">
        <f>IF(AND(AD$5&gt;=$F150,SUM(AD147:$BJ147)&lt;&gt;0),1,0)</f>
        <v>0</v>
      </c>
      <c r="AE150" s="154">
        <f>IF(AND(AE$5&gt;=$F150,SUM(AE147:$BJ147)&lt;&gt;0),1,0)</f>
        <v>0</v>
      </c>
      <c r="AF150" s="154">
        <f>IF(AND(AF$5&gt;=$F150,SUM(AF147:$BJ147)&lt;&gt;0),1,0)</f>
        <v>0</v>
      </c>
      <c r="AG150" s="154">
        <f>IF(AND(AG$5&gt;=$F150,SUM(AG147:$BJ147)&lt;&gt;0),1,0)</f>
        <v>0</v>
      </c>
      <c r="AH150" s="154">
        <f>IF(AND(AH$5&gt;=$F150,SUM(AH147:$BJ147)&lt;&gt;0),1,0)</f>
        <v>0</v>
      </c>
      <c r="AI150" s="154">
        <f>IF(AND(AI$5&gt;=$F150,SUM(AI147:$BJ147)&lt;&gt;0),1,0)</f>
        <v>0</v>
      </c>
      <c r="AJ150" s="154">
        <f>IF(AND(AJ$5&gt;=$F150,SUM(AJ147:$BJ147)&lt;&gt;0),1,0)</f>
        <v>0</v>
      </c>
      <c r="AK150" s="154">
        <f>IF(AND(AK$5&gt;=$F150,SUM(AK147:$BJ147)&lt;&gt;0),1,0)</f>
        <v>0</v>
      </c>
      <c r="AL150" s="154">
        <f>IF(AND(AL$5&gt;=$F150,SUM(AL147:$BJ147)&lt;&gt;0),1,0)</f>
        <v>0</v>
      </c>
      <c r="AM150" s="154">
        <f>IF(AND(AM$5&gt;=$F150,SUM(AM147:$BJ147)&lt;&gt;0),1,0)</f>
        <v>0</v>
      </c>
      <c r="AN150" s="154">
        <f>IF(AND(AN$5&gt;=$F150,SUM(AN147:$BJ147)&lt;&gt;0),1,0)</f>
        <v>0</v>
      </c>
      <c r="AO150" s="154">
        <f>IF(AND(AO$5&gt;=$F150,SUM(AO147:$BJ147)&lt;&gt;0),1,0)</f>
        <v>0</v>
      </c>
      <c r="AP150" s="154">
        <f>IF(AND(AP$5&gt;=$F150,SUM(AP147:$BJ147)&lt;&gt;0),1,0)</f>
        <v>0</v>
      </c>
      <c r="AQ150" s="154">
        <f>IF(AND(AQ$5&gt;=$F150,SUM(AQ147:$BJ147)&lt;&gt;0),1,0)</f>
        <v>0</v>
      </c>
      <c r="AR150" s="154">
        <f>IF(AND(AR$5&gt;=$F150,SUM(AR147:$BJ147)&lt;&gt;0),1,0)</f>
        <v>0</v>
      </c>
      <c r="AS150" s="154">
        <f>IF(AND(AS$5&gt;=$F150,SUM(AS147:$BJ147)&lt;&gt;0),1,0)</f>
        <v>0</v>
      </c>
      <c r="AT150" s="154">
        <f>IF(AND(AT$5&gt;=$F150,SUM(AT147:$BJ147)&lt;&gt;0),1,0)</f>
        <v>0</v>
      </c>
      <c r="AU150" s="154">
        <f>IF(AND(AU$5&gt;=$F150,SUM(AU147:$BJ147)&lt;&gt;0),1,0)</f>
        <v>0</v>
      </c>
      <c r="AV150" s="154">
        <f>IF(AND(AV$5&gt;=$F150,SUM(AV147:$BJ147)&lt;&gt;0),1,0)</f>
        <v>0</v>
      </c>
      <c r="AW150" s="154">
        <f>IF(AND(AW$5&gt;=$F150,SUM(AW147:$BJ147)&lt;&gt;0),1,0)</f>
        <v>0</v>
      </c>
      <c r="AX150" s="154">
        <f>IF(AND(AX$5&gt;=$F150,SUM(AX147:$BJ147)&lt;&gt;0),1,0)</f>
        <v>0</v>
      </c>
      <c r="AY150" s="154">
        <f>IF(AND(AY$5&gt;=$F150,SUM(AY147:$BJ147)&lt;&gt;0),1,0)</f>
        <v>0</v>
      </c>
      <c r="AZ150" s="154">
        <f>IF(AND(AZ$5&gt;=$F150,SUM(AZ147:$BJ147)&lt;&gt;0),1,0)</f>
        <v>0</v>
      </c>
      <c r="BA150" s="154">
        <f>IF(AND(BA$5&gt;=$F150,SUM(BA147:$BJ147)&lt;&gt;0),1,0)</f>
        <v>0</v>
      </c>
      <c r="BB150" s="154">
        <f>IF(AND(BB$5&gt;=$F150,SUM(BB147:$BJ147)&lt;&gt;0),1,0)</f>
        <v>0</v>
      </c>
      <c r="BC150" s="154">
        <f>IF(AND(BC$5&gt;=$F150,SUM(BC147:$BJ147)&lt;&gt;0),1,0)</f>
        <v>0</v>
      </c>
      <c r="BD150" s="154">
        <f>IF(AND(BD$5&gt;=$F150,SUM(BD147:$BJ147)&lt;&gt;0),1,0)</f>
        <v>0</v>
      </c>
      <c r="BE150" s="154">
        <f>IF(AND(BE$5&gt;=$F150,SUM(BE147:$BJ147)&lt;&gt;0),1,0)</f>
        <v>0</v>
      </c>
      <c r="BF150" s="154">
        <f>IF(AND(BF$5&gt;=$F150,SUM(BF147:$BJ147)&lt;&gt;0),1,0)</f>
        <v>0</v>
      </c>
      <c r="BG150" s="154">
        <f>IF(AND(BG$5&gt;=$F150,SUM(BG147:$BJ147)&lt;&gt;0),1,0)</f>
        <v>0</v>
      </c>
      <c r="BH150" s="154">
        <f>IF(AND(BH$5&gt;=$F150,SUM(BH147:$BJ147)&lt;&gt;0),1,0)</f>
        <v>0</v>
      </c>
      <c r="BI150" s="154">
        <f>IF(AND(BI$5&gt;=$F150,SUM(BI147:$BJ147)&lt;&gt;0),1,0)</f>
        <v>0</v>
      </c>
      <c r="BJ150" s="154">
        <f>IF(AND(BJ$5&gt;=$F150,SUM(BJ147:$BJ147)&lt;&gt;0),1,0)</f>
        <v>0</v>
      </c>
      <c r="BL150" s="154">
        <f>IF(AND(BL$5&gt;=$F150,SUM(BL147:$BW147)&lt;&gt;0),1,0)*BL$1150</f>
        <v>0</v>
      </c>
      <c r="BM150" s="154">
        <f>IF(AND(BM$5&gt;=$F150,SUM(BM147:$BW147)&lt;&gt;0),1,0)*BM$1150</f>
        <v>0</v>
      </c>
      <c r="BN150" s="154">
        <f>IF(AND(BN$5&gt;=$F150,SUM(BN147:$BW147)&lt;&gt;0),1,0)*BN$1150</f>
        <v>0</v>
      </c>
      <c r="BO150" s="154">
        <f>IF(AND(BO$5&gt;=$F150,SUM(BO147:$BW147)&lt;&gt;0),1,0)*BO$1150</f>
        <v>0</v>
      </c>
      <c r="BP150" s="154">
        <f>IF(AND(BP$5&gt;=$F150,SUM(BP147:$BW147)&lt;&gt;0),1,0)*BP$1150</f>
        <v>0</v>
      </c>
      <c r="BQ150" s="154">
        <f>IF(AND(BQ$5&gt;=$F150,SUM(BQ147:$BW147)&lt;&gt;0),1,0)*BQ$1150</f>
        <v>0</v>
      </c>
      <c r="BR150" s="154">
        <f>IF(AND(BR$5&gt;=$F150,SUM(BR147:$BW147)&lt;&gt;0),1,0)*BR$1150</f>
        <v>0</v>
      </c>
      <c r="BS150" s="154">
        <f>IF(AND(BS$5&gt;=$F150,SUM(BS147:$BW147)&lt;&gt;0),1,0)*BS$1150</f>
        <v>0</v>
      </c>
      <c r="BT150" s="154">
        <f>IF(AND(BT$5&gt;=$F150,SUM(BT147:$BW147)&lt;&gt;0),1,0)*BT$1150</f>
        <v>0</v>
      </c>
      <c r="BU150" s="154">
        <f>IF(AND(BU$5&gt;=$F150,SUM(BU147:$BW147)&lt;&gt;0),1,0)*BU$1150</f>
        <v>0</v>
      </c>
      <c r="BV150" s="154">
        <f>IF(AND(BV$5&gt;=$F150,SUM(BV147:$BW147)&lt;&gt;0),1,0)*BV$1150</f>
        <v>0</v>
      </c>
      <c r="BW150" s="154">
        <f>IF(AND(BW$5&gt;=$F150,SUM(BW147:$BW147)&lt;&gt;0),1,0)*BW$1150</f>
        <v>0</v>
      </c>
      <c r="BY150" s="12"/>
      <c r="BZ150" s="335"/>
      <c r="CA150" s="12"/>
      <c r="CB150" s="335"/>
      <c r="CC150" s="335"/>
      <c r="CD150" s="335"/>
      <c r="CE150" s="335"/>
      <c r="CL150" s="7">
        <f>IF(MAX($V150:$BW150)&gt;0, 1, 0)</f>
        <v>0</v>
      </c>
      <c r="CM150" s="335"/>
      <c r="CN150" s="335"/>
      <c r="CO150" s="335"/>
      <c r="CP150" s="335"/>
      <c r="CR150" s="12"/>
      <c r="CS150" s="93">
        <f t="shared" si="101"/>
        <v>1</v>
      </c>
      <c r="CT150" s="93">
        <v>0</v>
      </c>
      <c r="CU150" s="93">
        <v>0</v>
      </c>
      <c r="EW150" s="335"/>
      <c r="EX150" s="13" t="str">
        <f>IF(C150="", "", CONCATENATE(D142, " ",D150))</f>
        <v/>
      </c>
    </row>
    <row r="151" spans="1:154" s="67" customFormat="1" ht="6.6" customHeight="1" x14ac:dyDescent="0.25">
      <c r="C151" s="380"/>
      <c r="D151" s="1"/>
      <c r="S151" s="335"/>
      <c r="T151" s="25"/>
      <c r="U151" s="25"/>
      <c r="V151" s="229"/>
      <c r="W151" s="25"/>
      <c r="X151" s="25"/>
      <c r="Y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L151" s="25"/>
      <c r="BM151" s="155"/>
      <c r="BN151" s="25"/>
      <c r="BO151" s="25"/>
      <c r="BP151" s="25"/>
      <c r="BQ151" s="25"/>
      <c r="BR151" s="25"/>
      <c r="BS151" s="25"/>
      <c r="BT151" s="25"/>
      <c r="BU151" s="25"/>
      <c r="BV151" s="25"/>
      <c r="BW151" s="25"/>
      <c r="BY151" s="42"/>
      <c r="BZ151" s="335"/>
      <c r="CA151" s="42"/>
      <c r="CB151" s="335"/>
      <c r="CC151" s="335"/>
      <c r="CD151" s="335"/>
      <c r="CE151" s="335"/>
      <c r="CM151" s="335"/>
      <c r="CN151" s="335"/>
      <c r="CO151" s="335"/>
      <c r="CP151" s="335"/>
      <c r="CR151" s="42"/>
      <c r="CS151" s="93">
        <f t="shared" si="101"/>
        <v>0</v>
      </c>
      <c r="CT151" s="93">
        <v>0</v>
      </c>
      <c r="CU151" s="93">
        <v>0</v>
      </c>
      <c r="EW151" s="335"/>
      <c r="EX151" s="13" t="str">
        <f>IF(C151="", "", CONCATENATE(D142, " ",D151))</f>
        <v/>
      </c>
    </row>
    <row r="152" spans="1:154" s="67" customFormat="1" x14ac:dyDescent="0.25">
      <c r="C152" s="380"/>
      <c r="D152" s="51" t="s">
        <v>223</v>
      </c>
      <c r="E152" s="1"/>
      <c r="G152" s="9" t="s">
        <v>413</v>
      </c>
      <c r="H152" s="50" t="s">
        <v>8</v>
      </c>
      <c r="S152" s="335"/>
      <c r="T152" s="25"/>
      <c r="U152" s="25"/>
      <c r="V152" s="210"/>
      <c r="W152" s="201">
        <f>V155</f>
        <v>0</v>
      </c>
      <c r="X152" s="201">
        <f>W155</f>
        <v>0</v>
      </c>
      <c r="Y152" s="10">
        <f>X155</f>
        <v>0</v>
      </c>
      <c r="AA152" s="13">
        <f>W152</f>
        <v>0</v>
      </c>
      <c r="AB152" s="10">
        <f t="shared" ref="AB152:BJ152" si="151">AA155</f>
        <v>0</v>
      </c>
      <c r="AC152" s="10">
        <f t="shared" si="151"/>
        <v>0</v>
      </c>
      <c r="AD152" s="10">
        <f t="shared" si="151"/>
        <v>0</v>
      </c>
      <c r="AE152" s="10">
        <f t="shared" si="151"/>
        <v>0</v>
      </c>
      <c r="AF152" s="10">
        <f t="shared" si="151"/>
        <v>0</v>
      </c>
      <c r="AG152" s="10">
        <f t="shared" si="151"/>
        <v>0</v>
      </c>
      <c r="AH152" s="10">
        <f t="shared" si="151"/>
        <v>0</v>
      </c>
      <c r="AI152" s="10">
        <f t="shared" si="151"/>
        <v>0</v>
      </c>
      <c r="AJ152" s="10">
        <f t="shared" si="151"/>
        <v>0</v>
      </c>
      <c r="AK152" s="10">
        <f t="shared" si="151"/>
        <v>0</v>
      </c>
      <c r="AL152" s="10">
        <f t="shared" si="151"/>
        <v>0</v>
      </c>
      <c r="AM152" s="10">
        <f t="shared" si="151"/>
        <v>0</v>
      </c>
      <c r="AN152" s="10">
        <f t="shared" si="151"/>
        <v>0</v>
      </c>
      <c r="AO152" s="10">
        <f t="shared" si="151"/>
        <v>0</v>
      </c>
      <c r="AP152" s="10">
        <f t="shared" si="151"/>
        <v>0</v>
      </c>
      <c r="AQ152" s="10">
        <f t="shared" si="151"/>
        <v>0</v>
      </c>
      <c r="AR152" s="10">
        <f t="shared" si="151"/>
        <v>0</v>
      </c>
      <c r="AS152" s="10">
        <f t="shared" si="151"/>
        <v>0</v>
      </c>
      <c r="AT152" s="10">
        <f t="shared" si="151"/>
        <v>0</v>
      </c>
      <c r="AU152" s="10">
        <f t="shared" si="151"/>
        <v>0</v>
      </c>
      <c r="AV152" s="10">
        <f t="shared" si="151"/>
        <v>0</v>
      </c>
      <c r="AW152" s="10">
        <f t="shared" si="151"/>
        <v>0</v>
      </c>
      <c r="AX152" s="10">
        <f t="shared" si="151"/>
        <v>0</v>
      </c>
      <c r="AY152" s="10">
        <f t="shared" si="151"/>
        <v>0</v>
      </c>
      <c r="AZ152" s="10">
        <f t="shared" si="151"/>
        <v>0</v>
      </c>
      <c r="BA152" s="10">
        <f t="shared" si="151"/>
        <v>0</v>
      </c>
      <c r="BB152" s="10">
        <f t="shared" si="151"/>
        <v>0</v>
      </c>
      <c r="BC152" s="10">
        <f t="shared" si="151"/>
        <v>0</v>
      </c>
      <c r="BD152" s="10">
        <f t="shared" si="151"/>
        <v>0</v>
      </c>
      <c r="BE152" s="10">
        <f t="shared" si="151"/>
        <v>0</v>
      </c>
      <c r="BF152" s="10">
        <f t="shared" si="151"/>
        <v>0</v>
      </c>
      <c r="BG152" s="10">
        <f t="shared" si="151"/>
        <v>0</v>
      </c>
      <c r="BH152" s="10">
        <f t="shared" si="151"/>
        <v>0</v>
      </c>
      <c r="BI152" s="10">
        <f t="shared" si="151"/>
        <v>0</v>
      </c>
      <c r="BJ152" s="10">
        <f t="shared" si="151"/>
        <v>0</v>
      </c>
      <c r="BL152" s="13">
        <f t="shared" ref="BL152:BO155" si="152">V152</f>
        <v>0</v>
      </c>
      <c r="BM152" s="13">
        <f t="shared" si="152"/>
        <v>0</v>
      </c>
      <c r="BN152" s="13">
        <f t="shared" si="152"/>
        <v>0</v>
      </c>
      <c r="BO152" s="13">
        <f t="shared" si="152"/>
        <v>0</v>
      </c>
      <c r="BP152" s="10">
        <f t="shared" ref="BP152:BW152" si="153">BO155</f>
        <v>0</v>
      </c>
      <c r="BQ152" s="10">
        <f t="shared" si="153"/>
        <v>0</v>
      </c>
      <c r="BR152" s="10">
        <f t="shared" si="153"/>
        <v>0</v>
      </c>
      <c r="BS152" s="10">
        <f t="shared" si="153"/>
        <v>0</v>
      </c>
      <c r="BT152" s="10">
        <f t="shared" si="153"/>
        <v>0</v>
      </c>
      <c r="BU152" s="10">
        <f t="shared" si="153"/>
        <v>0</v>
      </c>
      <c r="BV152" s="10">
        <f t="shared" si="153"/>
        <v>0</v>
      </c>
      <c r="BW152" s="10">
        <f t="shared" si="153"/>
        <v>0</v>
      </c>
      <c r="BY152" s="12"/>
      <c r="BZ152" s="335"/>
      <c r="CA152" s="12"/>
      <c r="CB152" s="335"/>
      <c r="CC152" s="335"/>
      <c r="CD152" s="335"/>
      <c r="CE152" s="335"/>
      <c r="CM152" s="335"/>
      <c r="CN152" s="335"/>
      <c r="CO152" s="335"/>
      <c r="CP152" s="335"/>
      <c r="CR152" s="12"/>
      <c r="CS152" s="93">
        <f t="shared" si="101"/>
        <v>0</v>
      </c>
      <c r="CT152" s="93">
        <v>1</v>
      </c>
      <c r="CU152" s="93">
        <v>0</v>
      </c>
      <c r="EW152" s="335"/>
      <c r="EX152" s="13" t="str">
        <f>IF(C152="", "", CONCATENATE(D142, " ",D152))</f>
        <v/>
      </c>
    </row>
    <row r="153" spans="1:154" s="5" customFormat="1" ht="15.75" x14ac:dyDescent="0.3">
      <c r="A153" s="362" cm="1">
        <f t="array" aca="1" ref="A153" ca="1">HYPERLINK(CONCATENATE("#",CELL("address",IF(SUM($CA153:$CR153)=0,A153,INDEX($CA153:$CR153,MATCH(1,$CA153:$CR153,0))))),SUM($CA153:$CR153))</f>
        <v>0</v>
      </c>
      <c r="B153" s="105" t="s">
        <v>335</v>
      </c>
      <c r="C153" s="380"/>
      <c r="D153" s="51" t="s">
        <v>234</v>
      </c>
      <c r="E153" s="1"/>
      <c r="F153" s="67"/>
      <c r="G153" s="9" t="s">
        <v>413</v>
      </c>
      <c r="H153" s="50" t="s">
        <v>125</v>
      </c>
      <c r="I153" s="67"/>
      <c r="J153" s="67"/>
      <c r="K153" s="67"/>
      <c r="L153" s="67"/>
      <c r="M153" s="67"/>
      <c r="N153" s="67"/>
      <c r="O153" s="67"/>
      <c r="P153" s="67"/>
      <c r="Q153" s="67"/>
      <c r="R153" s="67"/>
      <c r="S153" s="335"/>
      <c r="T153" s="25"/>
      <c r="U153" s="25"/>
      <c r="V153" s="210"/>
      <c r="W153" s="215">
        <f t="shared" ref="W153:Y154" si="154" xml:space="preserve"> SUMIFS($AA153:$BJ153, $AA$3:$BJ$3, W$3)</f>
        <v>0</v>
      </c>
      <c r="X153" s="215">
        <f t="shared" si="154"/>
        <v>0</v>
      </c>
      <c r="Y153" s="215">
        <f t="shared" si="154"/>
        <v>0</v>
      </c>
      <c r="Z153" s="67"/>
      <c r="AA153" s="147"/>
      <c r="AB153" s="147"/>
      <c r="AC153" s="147"/>
      <c r="AD153" s="147"/>
      <c r="AE153" s="147"/>
      <c r="AF153" s="147"/>
      <c r="AG153" s="147"/>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c r="BI153" s="147"/>
      <c r="BJ153" s="147"/>
      <c r="BK153" s="67"/>
      <c r="BL153" s="13">
        <f t="shared" si="152"/>
        <v>0</v>
      </c>
      <c r="BM153" s="13">
        <f t="shared" si="152"/>
        <v>0</v>
      </c>
      <c r="BN153" s="13">
        <f t="shared" si="152"/>
        <v>0</v>
      </c>
      <c r="BO153" s="13">
        <f t="shared" si="152"/>
        <v>0</v>
      </c>
      <c r="BP153" s="141"/>
      <c r="BQ153" s="141"/>
      <c r="BR153" s="141"/>
      <c r="BS153" s="141"/>
      <c r="BT153" s="141"/>
      <c r="BU153" s="141"/>
      <c r="BV153" s="141"/>
      <c r="BW153" s="141"/>
      <c r="BX153" s="67"/>
      <c r="BY153" s="12"/>
      <c r="BZ153" s="395">
        <f>IF(MIN($V153:$BW153)&lt;0, 1, 0)</f>
        <v>0</v>
      </c>
      <c r="CA153" s="12"/>
      <c r="CB153" s="335"/>
      <c r="CC153" s="335"/>
      <c r="CD153" s="335"/>
      <c r="CE153" s="335"/>
      <c r="CF153" s="67"/>
      <c r="CG153" s="67"/>
      <c r="CH153" s="67"/>
      <c r="CI153" s="67"/>
      <c r="CJ153" s="67"/>
      <c r="CK153" s="67"/>
      <c r="CL153" s="67"/>
      <c r="CM153" s="7">
        <f t="shared" ref="CM153:CO154" si="155">IF(ROUND(W153-SUMIFS($AA153:$BJ153, $AA$3:$BJ$3, W$3), rounding)=0, 0, 1)</f>
        <v>0</v>
      </c>
      <c r="CN153" s="7">
        <f t="shared" si="155"/>
        <v>0</v>
      </c>
      <c r="CO153" s="7">
        <f t="shared" si="155"/>
        <v>0</v>
      </c>
      <c r="CP153" s="7">
        <f>IF(ROUND(V153-BL153, rounding)=0, 0, 1)*'BS Forecasts'!$V$10</f>
        <v>0</v>
      </c>
      <c r="CQ153" s="67"/>
      <c r="CR153" s="12"/>
      <c r="CS153" s="93">
        <f t="shared" si="101"/>
        <v>0</v>
      </c>
      <c r="CT153" s="93">
        <v>1</v>
      </c>
      <c r="CU153" s="93">
        <v>1</v>
      </c>
      <c r="EX153" s="13" t="str">
        <f>IF(C153="", "", CONCATENATE(D142, " ",D153))</f>
        <v/>
      </c>
    </row>
    <row r="154" spans="1:154" s="67" customFormat="1" ht="15.75" x14ac:dyDescent="0.3">
      <c r="A154" s="362" cm="1">
        <f t="array" aca="1" ref="A154" ca="1">HYPERLINK(CONCATENATE("#",CELL("address",IF(SUM($CA154:$CR154)=0,A154,INDEX($CA154:$CR154,MATCH(1,$CA154:$CR154,0))))),SUM($CA154:$CR154))</f>
        <v>0</v>
      </c>
      <c r="B154" s="105" t="s">
        <v>335</v>
      </c>
      <c r="C154" s="380"/>
      <c r="D154" s="51" t="s">
        <v>222</v>
      </c>
      <c r="E154" s="1"/>
      <c r="G154" s="9" t="s">
        <v>413</v>
      </c>
      <c r="H154" s="50" t="s">
        <v>157</v>
      </c>
      <c r="S154" s="335"/>
      <c r="T154" s="25"/>
      <c r="U154" s="25"/>
      <c r="V154" s="210"/>
      <c r="W154" s="215">
        <f t="shared" si="154"/>
        <v>0</v>
      </c>
      <c r="X154" s="215">
        <f t="shared" si="154"/>
        <v>0</v>
      </c>
      <c r="Y154" s="215">
        <f t="shared" si="154"/>
        <v>0</v>
      </c>
      <c r="AA154" s="147"/>
      <c r="AB154" s="147"/>
      <c r="AC154" s="147"/>
      <c r="AD154" s="147"/>
      <c r="AE154" s="147"/>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c r="BI154" s="147"/>
      <c r="BJ154" s="147"/>
      <c r="BL154" s="13">
        <f t="shared" si="152"/>
        <v>0</v>
      </c>
      <c r="BM154" s="13">
        <f t="shared" si="152"/>
        <v>0</v>
      </c>
      <c r="BN154" s="13">
        <f t="shared" si="152"/>
        <v>0</v>
      </c>
      <c r="BO154" s="13">
        <f t="shared" si="152"/>
        <v>0</v>
      </c>
      <c r="BP154" s="141"/>
      <c r="BQ154" s="141"/>
      <c r="BR154" s="141"/>
      <c r="BS154" s="141"/>
      <c r="BT154" s="141"/>
      <c r="BU154" s="141"/>
      <c r="BV154" s="141"/>
      <c r="BW154" s="141"/>
      <c r="BY154" s="12"/>
      <c r="BZ154" s="395">
        <f>IF(MAX($V154:$BW154)&gt;0, 1, 0)</f>
        <v>0</v>
      </c>
      <c r="CA154" s="12"/>
      <c r="CB154" s="335"/>
      <c r="CC154" s="335"/>
      <c r="CD154" s="335"/>
      <c r="CE154" s="335"/>
      <c r="CM154" s="7">
        <f t="shared" si="155"/>
        <v>0</v>
      </c>
      <c r="CN154" s="7">
        <f t="shared" si="155"/>
        <v>0</v>
      </c>
      <c r="CO154" s="7">
        <f t="shared" si="155"/>
        <v>0</v>
      </c>
      <c r="CP154" s="7">
        <f>IF(ROUND(V154-BL154, rounding)=0, 0, 1)*'BS Forecasts'!$V$10</f>
        <v>0</v>
      </c>
      <c r="CR154" s="12"/>
      <c r="CS154" s="93">
        <f t="shared" si="101"/>
        <v>0</v>
      </c>
      <c r="CT154" s="93">
        <v>1</v>
      </c>
      <c r="CU154" s="93">
        <v>1</v>
      </c>
      <c r="EW154" s="335"/>
      <c r="EX154" s="13" t="str">
        <f>IF(C154="", "", CONCATENATE(D142, " ",D154))</f>
        <v/>
      </c>
    </row>
    <row r="155" spans="1:154" s="67" customFormat="1" x14ac:dyDescent="0.25">
      <c r="C155" s="380"/>
      <c r="D155" s="51" t="s">
        <v>224</v>
      </c>
      <c r="E155" s="1"/>
      <c r="G155" s="9" t="s">
        <v>413</v>
      </c>
      <c r="H155" s="50" t="s">
        <v>8</v>
      </c>
      <c r="S155" s="335"/>
      <c r="T155" s="25"/>
      <c r="U155" s="25"/>
      <c r="V155" s="13">
        <f>$H$18</f>
        <v>0</v>
      </c>
      <c r="W155" s="10">
        <f>SUM(W152:W154)</f>
        <v>0</v>
      </c>
      <c r="X155" s="10">
        <f>SUM(X152:X154)</f>
        <v>0</v>
      </c>
      <c r="Y155" s="10">
        <f>SUM(Y152:Y154)</f>
        <v>0</v>
      </c>
      <c r="AA155" s="10">
        <f t="shared" ref="AA155:BJ155" si="156">SUM(AA152:AA154)</f>
        <v>0</v>
      </c>
      <c r="AB155" s="10">
        <f t="shared" si="156"/>
        <v>0</v>
      </c>
      <c r="AC155" s="10">
        <f t="shared" si="156"/>
        <v>0</v>
      </c>
      <c r="AD155" s="10">
        <f t="shared" si="156"/>
        <v>0</v>
      </c>
      <c r="AE155" s="10">
        <f t="shared" si="156"/>
        <v>0</v>
      </c>
      <c r="AF155" s="10">
        <f t="shared" si="156"/>
        <v>0</v>
      </c>
      <c r="AG155" s="10">
        <f t="shared" si="156"/>
        <v>0</v>
      </c>
      <c r="AH155" s="10">
        <f t="shared" si="156"/>
        <v>0</v>
      </c>
      <c r="AI155" s="10">
        <f t="shared" si="156"/>
        <v>0</v>
      </c>
      <c r="AJ155" s="10">
        <f t="shared" si="156"/>
        <v>0</v>
      </c>
      <c r="AK155" s="10">
        <f t="shared" si="156"/>
        <v>0</v>
      </c>
      <c r="AL155" s="10">
        <f t="shared" si="156"/>
        <v>0</v>
      </c>
      <c r="AM155" s="10">
        <f t="shared" si="156"/>
        <v>0</v>
      </c>
      <c r="AN155" s="10">
        <f t="shared" si="156"/>
        <v>0</v>
      </c>
      <c r="AO155" s="10">
        <f t="shared" si="156"/>
        <v>0</v>
      </c>
      <c r="AP155" s="10">
        <f t="shared" si="156"/>
        <v>0</v>
      </c>
      <c r="AQ155" s="10">
        <f t="shared" si="156"/>
        <v>0</v>
      </c>
      <c r="AR155" s="10">
        <f t="shared" si="156"/>
        <v>0</v>
      </c>
      <c r="AS155" s="10">
        <f t="shared" si="156"/>
        <v>0</v>
      </c>
      <c r="AT155" s="10">
        <f t="shared" si="156"/>
        <v>0</v>
      </c>
      <c r="AU155" s="10">
        <f t="shared" si="156"/>
        <v>0</v>
      </c>
      <c r="AV155" s="10">
        <f t="shared" si="156"/>
        <v>0</v>
      </c>
      <c r="AW155" s="10">
        <f t="shared" si="156"/>
        <v>0</v>
      </c>
      <c r="AX155" s="10">
        <f t="shared" si="156"/>
        <v>0</v>
      </c>
      <c r="AY155" s="10">
        <f t="shared" si="156"/>
        <v>0</v>
      </c>
      <c r="AZ155" s="10">
        <f t="shared" si="156"/>
        <v>0</v>
      </c>
      <c r="BA155" s="10">
        <f t="shared" si="156"/>
        <v>0</v>
      </c>
      <c r="BB155" s="10">
        <f t="shared" si="156"/>
        <v>0</v>
      </c>
      <c r="BC155" s="10">
        <f t="shared" si="156"/>
        <v>0</v>
      </c>
      <c r="BD155" s="10">
        <f t="shared" si="156"/>
        <v>0</v>
      </c>
      <c r="BE155" s="10">
        <f t="shared" si="156"/>
        <v>0</v>
      </c>
      <c r="BF155" s="10">
        <f t="shared" si="156"/>
        <v>0</v>
      </c>
      <c r="BG155" s="10">
        <f t="shared" si="156"/>
        <v>0</v>
      </c>
      <c r="BH155" s="10">
        <f t="shared" si="156"/>
        <v>0</v>
      </c>
      <c r="BI155" s="10">
        <f t="shared" si="156"/>
        <v>0</v>
      </c>
      <c r="BJ155" s="10">
        <f t="shared" si="156"/>
        <v>0</v>
      </c>
      <c r="BL155" s="152">
        <f t="shared" si="152"/>
        <v>0</v>
      </c>
      <c r="BM155" s="152">
        <f t="shared" si="152"/>
        <v>0</v>
      </c>
      <c r="BN155" s="152">
        <f t="shared" si="152"/>
        <v>0</v>
      </c>
      <c r="BO155" s="152">
        <f t="shared" si="152"/>
        <v>0</v>
      </c>
      <c r="BP155" s="10">
        <f t="shared" ref="BP155:BW155" si="157">SUM(BP152:BP154)</f>
        <v>0</v>
      </c>
      <c r="BQ155" s="10">
        <f t="shared" si="157"/>
        <v>0</v>
      </c>
      <c r="BR155" s="10">
        <f t="shared" si="157"/>
        <v>0</v>
      </c>
      <c r="BS155" s="10">
        <f t="shared" si="157"/>
        <v>0</v>
      </c>
      <c r="BT155" s="10">
        <f t="shared" si="157"/>
        <v>0</v>
      </c>
      <c r="BU155" s="10">
        <f t="shared" si="157"/>
        <v>0</v>
      </c>
      <c r="BV155" s="10">
        <f t="shared" si="157"/>
        <v>0</v>
      </c>
      <c r="BW155" s="10">
        <f t="shared" si="157"/>
        <v>0</v>
      </c>
      <c r="BY155" s="12"/>
      <c r="BZ155" s="335"/>
      <c r="CA155" s="12"/>
      <c r="CB155" s="335"/>
      <c r="CC155" s="335"/>
      <c r="CD155" s="335"/>
      <c r="CE155" s="335"/>
      <c r="CM155" s="335"/>
      <c r="CN155" s="335"/>
      <c r="CO155" s="335"/>
      <c r="CP155" s="335"/>
      <c r="CR155" s="12"/>
      <c r="CS155" s="93">
        <f t="shared" si="101"/>
        <v>0</v>
      </c>
      <c r="CT155" s="93">
        <v>0</v>
      </c>
      <c r="CU155" s="93">
        <v>0</v>
      </c>
      <c r="EW155" s="335"/>
      <c r="EX155" s="13" t="str">
        <f>IF(C155="", "", CONCATENATE(D142, " ",D155))</f>
        <v/>
      </c>
    </row>
    <row r="156" spans="1:154" s="67" customFormat="1" ht="6.6" customHeight="1" x14ac:dyDescent="0.25">
      <c r="C156" s="380"/>
      <c r="D156" s="1"/>
      <c r="S156" s="335"/>
      <c r="T156" s="25"/>
      <c r="U156" s="25"/>
      <c r="V156" s="93"/>
      <c r="BM156" s="6"/>
      <c r="BY156" s="42"/>
      <c r="BZ156" s="335"/>
      <c r="CA156" s="42"/>
      <c r="CB156" s="335"/>
      <c r="CC156" s="335"/>
      <c r="CD156" s="335"/>
      <c r="CE156" s="335"/>
      <c r="CM156" s="335"/>
      <c r="CN156" s="335"/>
      <c r="CO156" s="335"/>
      <c r="CP156" s="335"/>
      <c r="CR156" s="42"/>
      <c r="CS156" s="93">
        <f t="shared" si="101"/>
        <v>0</v>
      </c>
      <c r="CT156" s="93">
        <v>0</v>
      </c>
      <c r="CU156" s="93">
        <v>0</v>
      </c>
      <c r="EW156" s="335"/>
      <c r="EX156" s="13" t="str">
        <f>IF(C156="", "", CONCATENATE(D142, " ",D156))</f>
        <v/>
      </c>
    </row>
    <row r="157" spans="1:154" s="5" customFormat="1" x14ac:dyDescent="0.25">
      <c r="A157" s="362" cm="1">
        <f t="array" aca="1" ref="A157" ca="1">HYPERLINK(CONCATENATE("#",CELL("address",IF(SUM($CA157:$CR157)=0,A157,INDEX($CA157:$CR157,MATCH(1,$CA157:$CR157,0))))),SUM($CA157:$CR157))</f>
        <v>0</v>
      </c>
      <c r="B157" s="335"/>
      <c r="C157" s="340" t="s">
        <v>1278</v>
      </c>
      <c r="D157" s="41" t="s">
        <v>1569</v>
      </c>
      <c r="E157" s="35"/>
      <c r="F157" s="25"/>
      <c r="G157" s="174" t="s">
        <v>413</v>
      </c>
      <c r="H157" s="171" t="s">
        <v>125</v>
      </c>
      <c r="I157" s="25"/>
      <c r="J157" s="25"/>
      <c r="K157" s="25"/>
      <c r="L157" s="25"/>
      <c r="M157" s="25"/>
      <c r="N157" s="25"/>
      <c r="O157" s="25"/>
      <c r="P157" s="25"/>
      <c r="Q157" s="25"/>
      <c r="R157" s="25"/>
      <c r="S157" s="335"/>
      <c r="T157" s="25"/>
      <c r="U157" s="25"/>
      <c r="V157" s="222"/>
      <c r="W157" s="215">
        <f xml:space="preserve"> SUMIFS($AA157:$BJ157, $AA$3:$BJ$3, W$3)</f>
        <v>0</v>
      </c>
      <c r="X157" s="215">
        <f xml:space="preserve"> SUMIFS($AA157:$BJ157, $AA$3:$BJ$3, X$3)</f>
        <v>0</v>
      </c>
      <c r="Y157" s="215">
        <f xml:space="preserve"> SUMIFS($AA157:$BJ157, $AA$3:$BJ$3, Y$3)</f>
        <v>0</v>
      </c>
      <c r="Z157" s="335"/>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c r="BI157" s="147"/>
      <c r="BJ157" s="147"/>
      <c r="BK157" s="335"/>
      <c r="BL157" s="152">
        <f>V157</f>
        <v>0</v>
      </c>
      <c r="BM157" s="152">
        <f>W157</f>
        <v>0</v>
      </c>
      <c r="BN157" s="152">
        <f>X157</f>
        <v>0</v>
      </c>
      <c r="BO157" s="152">
        <f>Y157</f>
        <v>0</v>
      </c>
      <c r="BP157" s="141"/>
      <c r="BQ157" s="141"/>
      <c r="BR157" s="141"/>
      <c r="BS157" s="141"/>
      <c r="BT157" s="141"/>
      <c r="BU157" s="141"/>
      <c r="BV157" s="141"/>
      <c r="BW157" s="141"/>
      <c r="BX157" s="335"/>
      <c r="BY157" s="12"/>
      <c r="BZ157" s="395">
        <f>IF(MIN($V157:$BW157)&lt;0, 1, 0)</f>
        <v>0</v>
      </c>
      <c r="CA157" s="12"/>
      <c r="CB157" s="335"/>
      <c r="CC157" s="335"/>
      <c r="CD157" s="335"/>
      <c r="CE157" s="335"/>
      <c r="CF157" s="335"/>
      <c r="CG157" s="335"/>
      <c r="CH157" s="335"/>
      <c r="CI157" s="335"/>
      <c r="CJ157" s="335"/>
      <c r="CK157" s="335"/>
      <c r="CL157" s="335"/>
      <c r="CM157" s="7">
        <f>IF(ROUND(W157-SUMIFS($AA157:$BJ157, $AA$3:$BJ$3, W$3), rounding)=0, 0, 1)</f>
        <v>0</v>
      </c>
      <c r="CN157" s="7">
        <f>IF(ROUND(X157-SUMIFS($AA157:$BJ157, $AA$3:$BJ$3, X$3), rounding)=0, 0, 1)</f>
        <v>0</v>
      </c>
      <c r="CO157" s="7">
        <f>IF(ROUND(Y157-SUMIFS($AA157:$BJ157, $AA$3:$BJ$3, Y$3), rounding)=0, 0, 1)</f>
        <v>0</v>
      </c>
      <c r="CP157" s="7">
        <f>IF(ROUND(V157-BL157, rounding)=0, 0, 1)*'BS Forecasts'!$V$10</f>
        <v>0</v>
      </c>
      <c r="CQ157" s="335"/>
      <c r="CR157" s="12"/>
      <c r="CS157" s="93">
        <f t="shared" si="101"/>
        <v>0</v>
      </c>
      <c r="CT157" s="93">
        <v>1</v>
      </c>
      <c r="CU157" s="93">
        <v>1</v>
      </c>
      <c r="EX157" s="13" t="str">
        <f>IF(C157="", "", CONCATENATE(D142, " ",D157))</f>
        <v>Loan 6 Early Repayment Fee</v>
      </c>
    </row>
    <row r="158" spans="1:154" s="335" customFormat="1" ht="6.6" customHeight="1" x14ac:dyDescent="0.25">
      <c r="C158" s="380"/>
      <c r="D158" s="1"/>
      <c r="T158" s="25"/>
      <c r="U158" s="25"/>
      <c r="V158" s="93"/>
      <c r="BM158" s="6"/>
      <c r="BY158" s="42"/>
      <c r="CA158" s="42"/>
      <c r="CR158" s="42"/>
      <c r="CS158" s="93">
        <f t="shared" si="101"/>
        <v>0</v>
      </c>
      <c r="CT158" s="93">
        <v>0</v>
      </c>
      <c r="CU158" s="93">
        <v>0</v>
      </c>
      <c r="EX158" s="13" t="str">
        <f>IF(C158="", "", CONCATENATE(D142, " ",D158))</f>
        <v/>
      </c>
    </row>
    <row r="159" spans="1:154" s="335" customFormat="1" ht="15.75" x14ac:dyDescent="0.3">
      <c r="A159" s="362" cm="1">
        <f t="array" aca="1" ref="A159" ca="1">HYPERLINK(CONCATENATE("#",CELL("address",IF(SUM($CA159:$CR159)=0,A159,INDEX($CA159:$CR159,MATCH(1,$CA159:$CR159,0))))),SUM($CA159:$CR159))</f>
        <v>0</v>
      </c>
      <c r="B159" s="105" t="s">
        <v>335</v>
      </c>
      <c r="D159" s="51" t="s">
        <v>1630</v>
      </c>
      <c r="E159" s="220" t="str">
        <f>IF(I$18="", "", I$18)</f>
        <v/>
      </c>
      <c r="F159" s="220" t="str">
        <f>IF(J$18="", "", J$18)</f>
        <v/>
      </c>
      <c r="T159" s="25"/>
      <c r="U159" s="25"/>
      <c r="V159" s="230">
        <f>IF(AND(OR( V$5&gt;$F159, Timeline!V$8&lt;Loans!$E159), Loans!V157&lt;&gt;0), 1, 0)</f>
        <v>0</v>
      </c>
      <c r="W159" s="230">
        <f>IF(AND(OR( W$5&gt;$F159, Timeline!W$8&lt;Loans!$E159), Loans!W157&lt;&gt;0), 1, 0)</f>
        <v>0</v>
      </c>
      <c r="X159" s="230">
        <f>IF(AND(OR( X$5&gt;$F159, Timeline!X$8&lt;Loans!$E159), Loans!X157&lt;&gt;0), 1, 0)</f>
        <v>0</v>
      </c>
      <c r="Y159" s="230">
        <f>IF(AND(OR( Y$5&gt;$F159, Timeline!Y$8&lt;Loans!$E159), Loans!Y157&lt;&gt;0), 1, 0)</f>
        <v>0</v>
      </c>
      <c r="AA159" s="230">
        <f>IF(AND(OR( AA$5&gt;$F159, Timeline!AA$8&lt;Loans!$E159), Loans!AA157&lt;&gt;0), 1, 0)</f>
        <v>0</v>
      </c>
      <c r="AB159" s="230">
        <f>IF(AND(OR( AB$5&gt;$F159, Timeline!AB$8&lt;Loans!$E159), Loans!AB157&lt;&gt;0), 1, 0)</f>
        <v>0</v>
      </c>
      <c r="AC159" s="230">
        <f>IF(AND(OR( AC$5&gt;$F159, Timeline!AC$8&lt;Loans!$E159), Loans!AC157&lt;&gt;0), 1, 0)</f>
        <v>0</v>
      </c>
      <c r="AD159" s="230">
        <f>IF(AND(OR( AD$5&gt;$F159, Timeline!AD$8&lt;Loans!$E159), Loans!AD157&lt;&gt;0), 1, 0)</f>
        <v>0</v>
      </c>
      <c r="AE159" s="230">
        <f>IF(AND(OR( AE$5&gt;$F159, Timeline!AE$8&lt;Loans!$E159), Loans!AE157&lt;&gt;0), 1, 0)</f>
        <v>0</v>
      </c>
      <c r="AF159" s="230">
        <f>IF(AND(OR( AF$5&gt;$F159, Timeline!AF$8&lt;Loans!$E159), Loans!AF157&lt;&gt;0), 1, 0)</f>
        <v>0</v>
      </c>
      <c r="AG159" s="230">
        <f>IF(AND(OR( AG$5&gt;$F159, Timeline!AG$8&lt;Loans!$E159), Loans!AG157&lt;&gt;0), 1, 0)</f>
        <v>0</v>
      </c>
      <c r="AH159" s="230">
        <f>IF(AND(OR( AH$5&gt;$F159, Timeline!AH$8&lt;Loans!$E159), Loans!AH157&lt;&gt;0), 1, 0)</f>
        <v>0</v>
      </c>
      <c r="AI159" s="230">
        <f>IF(AND(OR( AI$5&gt;$F159, Timeline!AI$8&lt;Loans!$E159), Loans!AI157&lt;&gt;0), 1, 0)</f>
        <v>0</v>
      </c>
      <c r="AJ159" s="230">
        <f>IF(AND(OR( AJ$5&gt;$F159, Timeline!AJ$8&lt;Loans!$E159), Loans!AJ157&lt;&gt;0), 1, 0)</f>
        <v>0</v>
      </c>
      <c r="AK159" s="230">
        <f>IF(AND(OR( AK$5&gt;$F159, Timeline!AK$8&lt;Loans!$E159), Loans!AK157&lt;&gt;0), 1, 0)</f>
        <v>0</v>
      </c>
      <c r="AL159" s="230">
        <f>IF(AND(OR( AL$5&gt;$F159, Timeline!AL$8&lt;Loans!$E159), Loans!AL157&lt;&gt;0), 1, 0)</f>
        <v>0</v>
      </c>
      <c r="AM159" s="230">
        <f>IF(AND(OR( AM$5&gt;$F159, Timeline!AM$8&lt;Loans!$E159), Loans!AM157&lt;&gt;0), 1, 0)</f>
        <v>0</v>
      </c>
      <c r="AN159" s="230">
        <f>IF(AND(OR( AN$5&gt;$F159, Timeline!AN$8&lt;Loans!$E159), Loans!AN157&lt;&gt;0), 1, 0)</f>
        <v>0</v>
      </c>
      <c r="AO159" s="230">
        <f>IF(AND(OR( AO$5&gt;$F159, Timeline!AO$8&lt;Loans!$E159), Loans!AO157&lt;&gt;0), 1, 0)</f>
        <v>0</v>
      </c>
      <c r="AP159" s="230">
        <f>IF(AND(OR( AP$5&gt;$F159, Timeline!AP$8&lt;Loans!$E159), Loans!AP157&lt;&gt;0), 1, 0)</f>
        <v>0</v>
      </c>
      <c r="AQ159" s="230">
        <f>IF(AND(OR( AQ$5&gt;$F159, Timeline!AQ$8&lt;Loans!$E159), Loans!AQ157&lt;&gt;0), 1, 0)</f>
        <v>0</v>
      </c>
      <c r="AR159" s="230">
        <f>IF(AND(OR( AR$5&gt;$F159, Timeline!AR$8&lt;Loans!$E159), Loans!AR157&lt;&gt;0), 1, 0)</f>
        <v>0</v>
      </c>
      <c r="AS159" s="230">
        <f>IF(AND(OR( AS$5&gt;$F159, Timeline!AS$8&lt;Loans!$E159), Loans!AS157&lt;&gt;0), 1, 0)</f>
        <v>0</v>
      </c>
      <c r="AT159" s="230">
        <f>IF(AND(OR( AT$5&gt;$F159, Timeline!AT$8&lt;Loans!$E159), Loans!AT157&lt;&gt;0), 1, 0)</f>
        <v>0</v>
      </c>
      <c r="AU159" s="230">
        <f>IF(AND(OR( AU$5&gt;$F159, Timeline!AU$8&lt;Loans!$E159), Loans!AU157&lt;&gt;0), 1, 0)</f>
        <v>0</v>
      </c>
      <c r="AV159" s="230">
        <f>IF(AND(OR( AV$5&gt;$F159, Timeline!AV$8&lt;Loans!$E159), Loans!AV157&lt;&gt;0), 1, 0)</f>
        <v>0</v>
      </c>
      <c r="AW159" s="230">
        <f>IF(AND(OR( AW$5&gt;$F159, Timeline!AW$8&lt;Loans!$E159), Loans!AW157&lt;&gt;0), 1, 0)</f>
        <v>0</v>
      </c>
      <c r="AX159" s="230">
        <f>IF(AND(OR( AX$5&gt;$F159, Timeline!AX$8&lt;Loans!$E159), Loans!AX157&lt;&gt;0), 1, 0)</f>
        <v>0</v>
      </c>
      <c r="AY159" s="230">
        <f>IF(AND(OR( AY$5&gt;$F159, Timeline!AY$8&lt;Loans!$E159), Loans!AY157&lt;&gt;0), 1, 0)</f>
        <v>0</v>
      </c>
      <c r="AZ159" s="230">
        <f>IF(AND(OR( AZ$5&gt;$F159, Timeline!AZ$8&lt;Loans!$E159), Loans!AZ157&lt;&gt;0), 1, 0)</f>
        <v>0</v>
      </c>
      <c r="BA159" s="230">
        <f>IF(AND(OR( BA$5&gt;$F159, Timeline!BA$8&lt;Loans!$E159), Loans!BA157&lt;&gt;0), 1, 0)</f>
        <v>0</v>
      </c>
      <c r="BB159" s="230">
        <f>IF(AND(OR( BB$5&gt;$F159, Timeline!BB$8&lt;Loans!$E159), Loans!BB157&lt;&gt;0), 1, 0)</f>
        <v>0</v>
      </c>
      <c r="BC159" s="230">
        <f>IF(AND(OR( BC$5&gt;$F159, Timeline!BC$8&lt;Loans!$E159), Loans!BC157&lt;&gt;0), 1, 0)</f>
        <v>0</v>
      </c>
      <c r="BD159" s="230">
        <f>IF(AND(OR( BD$5&gt;$F159, Timeline!BD$8&lt;Loans!$E159), Loans!BD157&lt;&gt;0), 1, 0)</f>
        <v>0</v>
      </c>
      <c r="BE159" s="230">
        <f>IF(AND(OR( BE$5&gt;$F159, Timeline!BE$8&lt;Loans!$E159), Loans!BE157&lt;&gt;0), 1, 0)</f>
        <v>0</v>
      </c>
      <c r="BF159" s="230">
        <f>IF(AND(OR( BF$5&gt;$F159, Timeline!BF$8&lt;Loans!$E159), Loans!BF157&lt;&gt;0), 1, 0)</f>
        <v>0</v>
      </c>
      <c r="BG159" s="230">
        <f>IF(AND(OR( BG$5&gt;$F159, Timeline!BG$8&lt;Loans!$E159), Loans!BG157&lt;&gt;0), 1, 0)</f>
        <v>0</v>
      </c>
      <c r="BH159" s="230">
        <f>IF(AND(OR( BH$5&gt;$F159, Timeline!BH$8&lt;Loans!$E159), Loans!BH157&lt;&gt;0), 1, 0)</f>
        <v>0</v>
      </c>
      <c r="BI159" s="230">
        <f>IF(AND(OR( BI$5&gt;$F159, Timeline!BI$8&lt;Loans!$E159), Loans!BI157&lt;&gt;0), 1, 0)</f>
        <v>0</v>
      </c>
      <c r="BJ159" s="230">
        <f>IF(AND(OR( BJ$5&gt;$F159, Timeline!BJ$8&lt;Loans!$E159), Loans!BJ157&lt;&gt;0), 1, 0)</f>
        <v>0</v>
      </c>
      <c r="BL159" s="230">
        <f>IF(AND(OR( BL$5&gt;$F159, Timeline!BL$8&lt;Loans!$E159), Loans!BL157&lt;&gt;0), 1, 0)</f>
        <v>0</v>
      </c>
      <c r="BM159" s="230">
        <f>IF(AND(OR( BM$5&gt;$F159, Timeline!BM$8&lt;Loans!$E159), Loans!BM157&lt;&gt;0), 1, 0)</f>
        <v>0</v>
      </c>
      <c r="BN159" s="230">
        <f>IF(AND(OR( BN$5&gt;$F159, Timeline!BN$8&lt;Loans!$E159), Loans!BN157&lt;&gt;0), 1, 0)</f>
        <v>0</v>
      </c>
      <c r="BO159" s="230">
        <f>IF(AND(OR( BO$5&gt;$F159, Timeline!BO$8&lt;Loans!$E159), Loans!BO157&lt;&gt;0), 1, 0)</f>
        <v>0</v>
      </c>
      <c r="BP159" s="230">
        <f>IF(AND(OR( BP$5&gt;$F159, Timeline!BP$8&lt;Loans!$E159), Loans!BP157&lt;&gt;0), 1, 0)</f>
        <v>0</v>
      </c>
      <c r="BQ159" s="230">
        <f>IF(AND(OR( BQ$5&gt;$F159, Timeline!BQ$8&lt;Loans!$E159), Loans!BQ157&lt;&gt;0), 1, 0)</f>
        <v>0</v>
      </c>
      <c r="BR159" s="230">
        <f>IF(AND(OR( BR$5&gt;$F159, Timeline!BR$8&lt;Loans!$E159), Loans!BR157&lt;&gt;0), 1, 0)</f>
        <v>0</v>
      </c>
      <c r="BS159" s="230">
        <f>IF(AND(OR( BS$5&gt;$F159, Timeline!BS$8&lt;Loans!$E159), Loans!BS157&lt;&gt;0), 1, 0)</f>
        <v>0</v>
      </c>
      <c r="BT159" s="230">
        <f>IF(AND(OR( BT$5&gt;$F159, Timeline!BT$8&lt;Loans!$E159), Loans!BT157&lt;&gt;0), 1, 0)</f>
        <v>0</v>
      </c>
      <c r="BU159" s="230">
        <f>IF(AND(OR( BU$5&gt;$F159, Timeline!BU$8&lt;Loans!$E159), Loans!BU157&lt;&gt;0), 1, 0)</f>
        <v>0</v>
      </c>
      <c r="BV159" s="230">
        <f>IF(AND(OR( BV$5&gt;$F159, Timeline!BV$8&lt;Loans!$E159), Loans!BV157&lt;&gt;0), 1, 0)</f>
        <v>0</v>
      </c>
      <c r="BW159" s="230">
        <f>IF(AND(OR( BW$5&gt;$F159, Timeline!BW$8&lt;Loans!$E159), Loans!BW157&lt;&gt;0), 1, 0)</f>
        <v>0</v>
      </c>
      <c r="BY159" s="12"/>
      <c r="CA159" s="12"/>
      <c r="CL159" s="7">
        <f>IF(MAX($V159:$BW159)&gt;0, 1, 0)</f>
        <v>0</v>
      </c>
      <c r="CR159" s="12"/>
      <c r="CS159" s="93">
        <f t="shared" si="101"/>
        <v>1</v>
      </c>
      <c r="CT159" s="93">
        <v>0</v>
      </c>
      <c r="CU159" s="93">
        <v>0</v>
      </c>
      <c r="EX159" s="13" t="str">
        <f>IF(C159="", "", CONCATENATE(D142, " ",D159))</f>
        <v/>
      </c>
    </row>
    <row r="160" spans="1:154" s="335" customFormat="1" ht="6.6" customHeight="1" x14ac:dyDescent="0.25">
      <c r="C160" s="380"/>
      <c r="D160" s="1"/>
      <c r="T160" s="25"/>
      <c r="U160" s="25"/>
      <c r="V160" s="93"/>
      <c r="BM160" s="6"/>
      <c r="BY160" s="42"/>
      <c r="CA160" s="42"/>
      <c r="CR160" s="42"/>
      <c r="CS160" s="93">
        <f t="shared" si="101"/>
        <v>0</v>
      </c>
      <c r="CT160" s="93">
        <v>0</v>
      </c>
      <c r="CU160" s="93">
        <v>0</v>
      </c>
      <c r="EX160" s="10" t="str">
        <f t="shared" ref="EX160" si="158">IF($C160="","",$D160)</f>
        <v/>
      </c>
    </row>
    <row r="161" spans="1:154" s="67" customFormat="1" x14ac:dyDescent="0.25">
      <c r="A161" s="64"/>
      <c r="C161" s="380"/>
      <c r="D161" s="64" t="s">
        <v>196</v>
      </c>
      <c r="E161" s="64"/>
      <c r="F161" s="64"/>
      <c r="G161" s="64"/>
      <c r="H161" s="64"/>
      <c r="I161" s="64"/>
      <c r="L161" s="64"/>
      <c r="M161" s="64"/>
      <c r="N161" s="64"/>
      <c r="O161" s="64"/>
      <c r="P161" s="64"/>
      <c r="Q161" s="64"/>
      <c r="S161" s="335"/>
      <c r="T161" s="25"/>
      <c r="U161" s="25"/>
      <c r="V161" s="93"/>
      <c r="BY161" s="12"/>
      <c r="BZ161" s="335"/>
      <c r="CA161" s="12"/>
      <c r="CB161" s="335"/>
      <c r="CC161" s="335"/>
      <c r="CD161" s="335"/>
      <c r="CE161" s="335"/>
      <c r="CM161" s="335"/>
      <c r="CN161" s="335"/>
      <c r="CO161" s="335"/>
      <c r="CP161" s="335"/>
      <c r="CR161" s="12"/>
      <c r="CS161" s="93">
        <f t="shared" si="101"/>
        <v>0</v>
      </c>
      <c r="CT161" s="93">
        <v>0</v>
      </c>
      <c r="CU161" s="93">
        <v>0</v>
      </c>
      <c r="EW161" s="335"/>
      <c r="EX161" s="10" t="str">
        <f t="shared" si="110"/>
        <v/>
      </c>
    </row>
    <row r="162" spans="1:154" s="67" customFormat="1" x14ac:dyDescent="0.25">
      <c r="C162" s="340" t="s">
        <v>1379</v>
      </c>
      <c r="D162" s="51" t="s">
        <v>230</v>
      </c>
      <c r="E162" s="1"/>
      <c r="G162" s="9" t="s">
        <v>413</v>
      </c>
      <c r="H162" s="50" t="s">
        <v>8</v>
      </c>
      <c r="S162" s="335"/>
      <c r="T162" s="25"/>
      <c r="U162" s="25"/>
      <c r="V162" s="210"/>
      <c r="W162" s="201">
        <f>V166</f>
        <v>0</v>
      </c>
      <c r="X162" s="201">
        <f>W166</f>
        <v>0</v>
      </c>
      <c r="Y162" s="10">
        <f>X166</f>
        <v>0</v>
      </c>
      <c r="AA162" s="13">
        <f>W162</f>
        <v>0</v>
      </c>
      <c r="AB162" s="10">
        <f t="shared" ref="AB162:BJ162" si="159">AA166</f>
        <v>0</v>
      </c>
      <c r="AC162" s="10">
        <f t="shared" si="159"/>
        <v>0</v>
      </c>
      <c r="AD162" s="10">
        <f t="shared" si="159"/>
        <v>0</v>
      </c>
      <c r="AE162" s="10">
        <f t="shared" si="159"/>
        <v>0</v>
      </c>
      <c r="AF162" s="10">
        <f t="shared" si="159"/>
        <v>0</v>
      </c>
      <c r="AG162" s="10">
        <f t="shared" si="159"/>
        <v>0</v>
      </c>
      <c r="AH162" s="10">
        <f t="shared" si="159"/>
        <v>0</v>
      </c>
      <c r="AI162" s="10">
        <f t="shared" si="159"/>
        <v>0</v>
      </c>
      <c r="AJ162" s="10">
        <f t="shared" si="159"/>
        <v>0</v>
      </c>
      <c r="AK162" s="10">
        <f t="shared" si="159"/>
        <v>0</v>
      </c>
      <c r="AL162" s="10">
        <f t="shared" si="159"/>
        <v>0</v>
      </c>
      <c r="AM162" s="10">
        <f t="shared" si="159"/>
        <v>0</v>
      </c>
      <c r="AN162" s="10">
        <f t="shared" si="159"/>
        <v>0</v>
      </c>
      <c r="AO162" s="10">
        <f t="shared" si="159"/>
        <v>0</v>
      </c>
      <c r="AP162" s="10">
        <f t="shared" si="159"/>
        <v>0</v>
      </c>
      <c r="AQ162" s="10">
        <f t="shared" si="159"/>
        <v>0</v>
      </c>
      <c r="AR162" s="10">
        <f t="shared" si="159"/>
        <v>0</v>
      </c>
      <c r="AS162" s="10">
        <f t="shared" si="159"/>
        <v>0</v>
      </c>
      <c r="AT162" s="10">
        <f t="shared" si="159"/>
        <v>0</v>
      </c>
      <c r="AU162" s="10">
        <f t="shared" si="159"/>
        <v>0</v>
      </c>
      <c r="AV162" s="10">
        <f t="shared" si="159"/>
        <v>0</v>
      </c>
      <c r="AW162" s="10">
        <f t="shared" si="159"/>
        <v>0</v>
      </c>
      <c r="AX162" s="10">
        <f t="shared" si="159"/>
        <v>0</v>
      </c>
      <c r="AY162" s="10">
        <f t="shared" si="159"/>
        <v>0</v>
      </c>
      <c r="AZ162" s="10">
        <f t="shared" si="159"/>
        <v>0</v>
      </c>
      <c r="BA162" s="10">
        <f t="shared" si="159"/>
        <v>0</v>
      </c>
      <c r="BB162" s="10">
        <f t="shared" si="159"/>
        <v>0</v>
      </c>
      <c r="BC162" s="10">
        <f t="shared" si="159"/>
        <v>0</v>
      </c>
      <c r="BD162" s="10">
        <f t="shared" si="159"/>
        <v>0</v>
      </c>
      <c r="BE162" s="10">
        <f t="shared" si="159"/>
        <v>0</v>
      </c>
      <c r="BF162" s="10">
        <f t="shared" si="159"/>
        <v>0</v>
      </c>
      <c r="BG162" s="10">
        <f t="shared" si="159"/>
        <v>0</v>
      </c>
      <c r="BH162" s="10">
        <f t="shared" si="159"/>
        <v>0</v>
      </c>
      <c r="BI162" s="10">
        <f t="shared" si="159"/>
        <v>0</v>
      </c>
      <c r="BJ162" s="10">
        <f t="shared" si="159"/>
        <v>0</v>
      </c>
      <c r="BL162" s="13">
        <f t="shared" ref="BL162:BO166" si="160">V162</f>
        <v>0</v>
      </c>
      <c r="BM162" s="13">
        <f t="shared" si="160"/>
        <v>0</v>
      </c>
      <c r="BN162" s="13">
        <f t="shared" si="160"/>
        <v>0</v>
      </c>
      <c r="BO162" s="13">
        <f t="shared" si="160"/>
        <v>0</v>
      </c>
      <c r="BP162" s="10">
        <f t="shared" ref="BP162:BW162" si="161">BO166</f>
        <v>0</v>
      </c>
      <c r="BQ162" s="10">
        <f t="shared" si="161"/>
        <v>0</v>
      </c>
      <c r="BR162" s="10">
        <f t="shared" si="161"/>
        <v>0</v>
      </c>
      <c r="BS162" s="10">
        <f t="shared" si="161"/>
        <v>0</v>
      </c>
      <c r="BT162" s="10">
        <f t="shared" si="161"/>
        <v>0</v>
      </c>
      <c r="BU162" s="10">
        <f t="shared" si="161"/>
        <v>0</v>
      </c>
      <c r="BV162" s="10">
        <f t="shared" si="161"/>
        <v>0</v>
      </c>
      <c r="BW162" s="10">
        <f t="shared" si="161"/>
        <v>0</v>
      </c>
      <c r="BY162" s="12"/>
      <c r="BZ162" s="335"/>
      <c r="CA162" s="12"/>
      <c r="CB162" s="335"/>
      <c r="CC162" s="335"/>
      <c r="CD162" s="335"/>
      <c r="CE162" s="335"/>
      <c r="CM162" s="335"/>
      <c r="CN162" s="335"/>
      <c r="CO162" s="335"/>
      <c r="CP162" s="335"/>
      <c r="CR162" s="12"/>
      <c r="CS162" s="93">
        <f t="shared" si="101"/>
        <v>0</v>
      </c>
      <c r="CT162" s="93">
        <v>1</v>
      </c>
      <c r="CU162" s="93">
        <v>0</v>
      </c>
      <c r="EW162" s="335"/>
      <c r="EX162" s="13" t="str">
        <f>IF(C162="", "", CONCATENATE(D161, " ",D162))</f>
        <v>Loan 7 Opening Loan Balance</v>
      </c>
    </row>
    <row r="163" spans="1:154" s="5" customFormat="1" x14ac:dyDescent="0.25">
      <c r="A163" s="362" cm="1">
        <f t="array" aca="1" ref="A163" ca="1">HYPERLINK(CONCATENATE("#",CELL("address",IF(SUM($CA163:$CR163)=0,A163,INDEX($CA163:$CR163,MATCH(1,$CA163:$CR163,0))))),SUM($CA163:$CR163))</f>
        <v>0</v>
      </c>
      <c r="B163" s="67"/>
      <c r="C163" s="340" t="s">
        <v>1263</v>
      </c>
      <c r="D163" s="51" t="s">
        <v>219</v>
      </c>
      <c r="E163" s="1"/>
      <c r="F163" s="67"/>
      <c r="G163" s="9" t="s">
        <v>413</v>
      </c>
      <c r="H163" s="50" t="s">
        <v>125</v>
      </c>
      <c r="I163" s="67"/>
      <c r="J163" s="67"/>
      <c r="K163" s="67"/>
      <c r="L163" s="67"/>
      <c r="M163" s="67"/>
      <c r="N163" s="67"/>
      <c r="O163" s="67"/>
      <c r="P163" s="67"/>
      <c r="Q163" s="67"/>
      <c r="R163" s="67"/>
      <c r="S163" s="335"/>
      <c r="T163" s="25"/>
      <c r="U163" s="25"/>
      <c r="V163" s="210"/>
      <c r="W163" s="215">
        <f t="shared" ref="W163:Y165" si="162" xml:space="preserve"> SUMIFS($AA163:$BJ163, $AA$3:$BJ$3, W$3)</f>
        <v>0</v>
      </c>
      <c r="X163" s="215">
        <f t="shared" si="162"/>
        <v>0</v>
      </c>
      <c r="Y163" s="215">
        <f t="shared" si="162"/>
        <v>0</v>
      </c>
      <c r="Z163" s="6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c r="BI163" s="147"/>
      <c r="BJ163" s="147"/>
      <c r="BK163" s="67"/>
      <c r="BL163" s="13">
        <f t="shared" si="160"/>
        <v>0</v>
      </c>
      <c r="BM163" s="13">
        <f t="shared" si="160"/>
        <v>0</v>
      </c>
      <c r="BN163" s="13">
        <f t="shared" si="160"/>
        <v>0</v>
      </c>
      <c r="BO163" s="13">
        <f t="shared" si="160"/>
        <v>0</v>
      </c>
      <c r="BP163" s="141"/>
      <c r="BQ163" s="141"/>
      <c r="BR163" s="141"/>
      <c r="BS163" s="141"/>
      <c r="BT163" s="141"/>
      <c r="BU163" s="141"/>
      <c r="BV163" s="141"/>
      <c r="BW163" s="141"/>
      <c r="BX163" s="67"/>
      <c r="BY163" s="12"/>
      <c r="BZ163" s="395">
        <f>IF(MIN($V163:$BW163)&lt;0, 1, 0)</f>
        <v>0</v>
      </c>
      <c r="CA163" s="12"/>
      <c r="CB163" s="335"/>
      <c r="CC163" s="335"/>
      <c r="CD163" s="335"/>
      <c r="CE163" s="335"/>
      <c r="CF163" s="67"/>
      <c r="CG163" s="67"/>
      <c r="CH163" s="67"/>
      <c r="CI163" s="67"/>
      <c r="CJ163" s="67"/>
      <c r="CK163" s="67"/>
      <c r="CL163" s="67"/>
      <c r="CM163" s="7">
        <f t="shared" ref="CM163:CO165" si="163">IF(ROUND(W163-SUMIFS($AA163:$BJ163, $AA$3:$BJ$3, W$3), rounding)=0, 0, 1)</f>
        <v>0</v>
      </c>
      <c r="CN163" s="7">
        <f t="shared" si="163"/>
        <v>0</v>
      </c>
      <c r="CO163" s="7">
        <f t="shared" si="163"/>
        <v>0</v>
      </c>
      <c r="CP163" s="7">
        <f>IF(ROUND(V163-BL163, rounding)=0, 0, 1)*'BS Forecasts'!$V$10</f>
        <v>0</v>
      </c>
      <c r="CQ163" s="67"/>
      <c r="CR163" s="12"/>
      <c r="CS163" s="93">
        <f t="shared" si="101"/>
        <v>0</v>
      </c>
      <c r="CT163" s="93">
        <v>1</v>
      </c>
      <c r="CU163" s="93">
        <v>1</v>
      </c>
      <c r="EX163" s="13" t="str">
        <f>IF(C163="", "", CONCATENATE(D161, " ",D163))</f>
        <v>Loan 7 Drawdowns</v>
      </c>
    </row>
    <row r="164" spans="1:154" s="67" customFormat="1" x14ac:dyDescent="0.25">
      <c r="A164" s="362" cm="1">
        <f t="array" aca="1" ref="A164" ca="1">HYPERLINK(CONCATENATE("#",CELL("address",IF(SUM($CA164:$CR164)=0,A164,INDEX($CA164:$CR164,MATCH(1,$CA164:$CR164,0))))),SUM($CA164:$CR164))</f>
        <v>0</v>
      </c>
      <c r="C164" s="340" t="s">
        <v>1264</v>
      </c>
      <c r="D164" s="41" t="s">
        <v>1570</v>
      </c>
      <c r="E164" s="1"/>
      <c r="G164" s="9" t="s">
        <v>413</v>
      </c>
      <c r="H164" s="50" t="s">
        <v>157</v>
      </c>
      <c r="S164" s="335"/>
      <c r="T164" s="25"/>
      <c r="U164" s="25"/>
      <c r="V164" s="210"/>
      <c r="W164" s="215">
        <f t="shared" si="162"/>
        <v>0</v>
      </c>
      <c r="X164" s="215">
        <f t="shared" si="162"/>
        <v>0</v>
      </c>
      <c r="Y164" s="215">
        <f t="shared" si="162"/>
        <v>0</v>
      </c>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c r="BI164" s="147"/>
      <c r="BJ164" s="147"/>
      <c r="BL164" s="13">
        <f t="shared" si="160"/>
        <v>0</v>
      </c>
      <c r="BM164" s="13">
        <f t="shared" si="160"/>
        <v>0</v>
      </c>
      <c r="BN164" s="13">
        <f t="shared" si="160"/>
        <v>0</v>
      </c>
      <c r="BO164" s="13">
        <f t="shared" si="160"/>
        <v>0</v>
      </c>
      <c r="BP164" s="141"/>
      <c r="BQ164" s="141"/>
      <c r="BR164" s="141"/>
      <c r="BS164" s="141"/>
      <c r="BT164" s="141"/>
      <c r="BU164" s="141"/>
      <c r="BV164" s="141"/>
      <c r="BW164" s="141"/>
      <c r="BY164" s="12"/>
      <c r="BZ164" s="395">
        <f>IF(MAX($V164:$BW164)&gt;0, 1, 0)</f>
        <v>0</v>
      </c>
      <c r="CA164" s="12"/>
      <c r="CB164" s="335"/>
      <c r="CC164" s="335"/>
      <c r="CD164" s="335"/>
      <c r="CE164" s="335"/>
      <c r="CM164" s="7">
        <f t="shared" si="163"/>
        <v>0</v>
      </c>
      <c r="CN164" s="7">
        <f t="shared" si="163"/>
        <v>0</v>
      </c>
      <c r="CO164" s="7">
        <f t="shared" si="163"/>
        <v>0</v>
      </c>
      <c r="CP164" s="7">
        <f>IF(ROUND(V164-BL164, rounding)=0, 0, 1)*'BS Forecasts'!$V$10</f>
        <v>0</v>
      </c>
      <c r="CR164" s="12"/>
      <c r="CS164" s="93">
        <f t="shared" si="101"/>
        <v>0</v>
      </c>
      <c r="CT164" s="93">
        <v>1</v>
      </c>
      <c r="CU164" s="93">
        <v>1</v>
      </c>
      <c r="EW164" s="335"/>
      <c r="EX164" s="13" t="str">
        <f>IF(C164="", "", CONCATENATE(D161, " ",D164))</f>
        <v>Loan 7 Loan Capital Repayment (as per loan agreement)</v>
      </c>
    </row>
    <row r="165" spans="1:154" s="335" customFormat="1" x14ac:dyDescent="0.25">
      <c r="A165" s="362" cm="1">
        <f t="array" aca="1" ref="A165" ca="1">HYPERLINK(CONCATENATE("#",CELL("address",IF(SUM($CA165:$CR165)=0,A165,INDEX($CA165:$CR165,MATCH(1,$CA165:$CR165,0))))),SUM($CA165:$CR165))</f>
        <v>0</v>
      </c>
      <c r="C165" s="340" t="s">
        <v>1586</v>
      </c>
      <c r="D165" s="41" t="s">
        <v>1571</v>
      </c>
      <c r="E165" s="1"/>
      <c r="G165" s="9" t="s">
        <v>413</v>
      </c>
      <c r="H165" s="50" t="s">
        <v>157</v>
      </c>
      <c r="T165" s="25"/>
      <c r="U165" s="25"/>
      <c r="V165" s="210"/>
      <c r="W165" s="215">
        <f t="shared" si="162"/>
        <v>0</v>
      </c>
      <c r="X165" s="215">
        <f t="shared" si="162"/>
        <v>0</v>
      </c>
      <c r="Y165" s="215">
        <f t="shared" si="162"/>
        <v>0</v>
      </c>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c r="BI165" s="147"/>
      <c r="BJ165" s="147"/>
      <c r="BL165" s="13">
        <f t="shared" si="160"/>
        <v>0</v>
      </c>
      <c r="BM165" s="13">
        <f t="shared" si="160"/>
        <v>0</v>
      </c>
      <c r="BN165" s="13">
        <f t="shared" si="160"/>
        <v>0</v>
      </c>
      <c r="BO165" s="13">
        <f t="shared" si="160"/>
        <v>0</v>
      </c>
      <c r="BP165" s="141"/>
      <c r="BQ165" s="141"/>
      <c r="BR165" s="141"/>
      <c r="BS165" s="141"/>
      <c r="BT165" s="141"/>
      <c r="BU165" s="141"/>
      <c r="BV165" s="141"/>
      <c r="BW165" s="141"/>
      <c r="BY165" s="12"/>
      <c r="BZ165" s="395">
        <f>IF(MAX($V165:$BW165)&gt;0, 1, 0)</f>
        <v>0</v>
      </c>
      <c r="CA165" s="12"/>
      <c r="CM165" s="7">
        <f t="shared" si="163"/>
        <v>0</v>
      </c>
      <c r="CN165" s="7">
        <f t="shared" si="163"/>
        <v>0</v>
      </c>
      <c r="CO165" s="7">
        <f t="shared" si="163"/>
        <v>0</v>
      </c>
      <c r="CP165" s="7">
        <f>IF(ROUND(V165-BL165, rounding)=0, 0, 1)*'BS Forecasts'!$V$10</f>
        <v>0</v>
      </c>
      <c r="CR165" s="12"/>
      <c r="CS165" s="93">
        <f t="shared" si="101"/>
        <v>0</v>
      </c>
      <c r="CT165" s="93">
        <v>1</v>
      </c>
      <c r="CU165" s="93">
        <v>1</v>
      </c>
      <c r="EX165" s="13" t="str">
        <f>IF(C165="", "", CONCATENATE(D161, " ",D165))</f>
        <v xml:space="preserve">Loan 7 Early Repayment </v>
      </c>
    </row>
    <row r="166" spans="1:154" s="67" customFormat="1" x14ac:dyDescent="0.25">
      <c r="C166" s="340" t="s">
        <v>1359</v>
      </c>
      <c r="D166" s="51" t="s">
        <v>231</v>
      </c>
      <c r="E166" s="1"/>
      <c r="G166" s="9" t="s">
        <v>413</v>
      </c>
      <c r="H166" s="50" t="s">
        <v>8</v>
      </c>
      <c r="S166" s="335"/>
      <c r="T166" s="25"/>
      <c r="U166" s="25"/>
      <c r="V166" s="13">
        <f>$G$19</f>
        <v>0</v>
      </c>
      <c r="W166" s="10">
        <f>SUM(W162:W165)</f>
        <v>0</v>
      </c>
      <c r="X166" s="10">
        <f t="shared" ref="X166:BJ166" si="164">SUM(X162:X165)</f>
        <v>0</v>
      </c>
      <c r="Y166" s="10">
        <f t="shared" si="164"/>
        <v>0</v>
      </c>
      <c r="Z166" s="335"/>
      <c r="AA166" s="10">
        <f t="shared" si="164"/>
        <v>0</v>
      </c>
      <c r="AB166" s="10">
        <f t="shared" si="164"/>
        <v>0</v>
      </c>
      <c r="AC166" s="10">
        <f t="shared" si="164"/>
        <v>0</v>
      </c>
      <c r="AD166" s="10">
        <f t="shared" si="164"/>
        <v>0</v>
      </c>
      <c r="AE166" s="10">
        <f t="shared" si="164"/>
        <v>0</v>
      </c>
      <c r="AF166" s="10">
        <f t="shared" si="164"/>
        <v>0</v>
      </c>
      <c r="AG166" s="10">
        <f t="shared" si="164"/>
        <v>0</v>
      </c>
      <c r="AH166" s="10">
        <f t="shared" si="164"/>
        <v>0</v>
      </c>
      <c r="AI166" s="10">
        <f t="shared" si="164"/>
        <v>0</v>
      </c>
      <c r="AJ166" s="10">
        <f t="shared" si="164"/>
        <v>0</v>
      </c>
      <c r="AK166" s="10">
        <f t="shared" si="164"/>
        <v>0</v>
      </c>
      <c r="AL166" s="10">
        <f t="shared" si="164"/>
        <v>0</v>
      </c>
      <c r="AM166" s="10">
        <f t="shared" si="164"/>
        <v>0</v>
      </c>
      <c r="AN166" s="10">
        <f t="shared" si="164"/>
        <v>0</v>
      </c>
      <c r="AO166" s="10">
        <f t="shared" si="164"/>
        <v>0</v>
      </c>
      <c r="AP166" s="10">
        <f t="shared" si="164"/>
        <v>0</v>
      </c>
      <c r="AQ166" s="10">
        <f t="shared" si="164"/>
        <v>0</v>
      </c>
      <c r="AR166" s="10">
        <f t="shared" si="164"/>
        <v>0</v>
      </c>
      <c r="AS166" s="10">
        <f t="shared" si="164"/>
        <v>0</v>
      </c>
      <c r="AT166" s="10">
        <f t="shared" si="164"/>
        <v>0</v>
      </c>
      <c r="AU166" s="10">
        <f t="shared" si="164"/>
        <v>0</v>
      </c>
      <c r="AV166" s="10">
        <f t="shared" si="164"/>
        <v>0</v>
      </c>
      <c r="AW166" s="10">
        <f t="shared" si="164"/>
        <v>0</v>
      </c>
      <c r="AX166" s="10">
        <f t="shared" si="164"/>
        <v>0</v>
      </c>
      <c r="AY166" s="10">
        <f t="shared" si="164"/>
        <v>0</v>
      </c>
      <c r="AZ166" s="10">
        <f t="shared" si="164"/>
        <v>0</v>
      </c>
      <c r="BA166" s="10">
        <f t="shared" si="164"/>
        <v>0</v>
      </c>
      <c r="BB166" s="10">
        <f t="shared" si="164"/>
        <v>0</v>
      </c>
      <c r="BC166" s="10">
        <f t="shared" si="164"/>
        <v>0</v>
      </c>
      <c r="BD166" s="10">
        <f t="shared" si="164"/>
        <v>0</v>
      </c>
      <c r="BE166" s="10">
        <f t="shared" si="164"/>
        <v>0</v>
      </c>
      <c r="BF166" s="10">
        <f t="shared" si="164"/>
        <v>0</v>
      </c>
      <c r="BG166" s="10">
        <f t="shared" si="164"/>
        <v>0</v>
      </c>
      <c r="BH166" s="10">
        <f t="shared" si="164"/>
        <v>0</v>
      </c>
      <c r="BI166" s="10">
        <f t="shared" si="164"/>
        <v>0</v>
      </c>
      <c r="BJ166" s="10">
        <f t="shared" si="164"/>
        <v>0</v>
      </c>
      <c r="BL166" s="152">
        <f t="shared" si="160"/>
        <v>0</v>
      </c>
      <c r="BM166" s="152">
        <f t="shared" si="160"/>
        <v>0</v>
      </c>
      <c r="BN166" s="152">
        <f t="shared" si="160"/>
        <v>0</v>
      </c>
      <c r="BO166" s="152">
        <f t="shared" si="160"/>
        <v>0</v>
      </c>
      <c r="BP166" s="10">
        <f>SUM(BP162:BP165)</f>
        <v>0</v>
      </c>
      <c r="BQ166" s="10">
        <f t="shared" ref="BQ166" si="165">SUM(BQ162:BQ165)</f>
        <v>0</v>
      </c>
      <c r="BR166" s="10">
        <f t="shared" ref="BR166" si="166">SUM(BR162:BR165)</f>
        <v>0</v>
      </c>
      <c r="BS166" s="10">
        <f t="shared" ref="BS166" si="167">SUM(BS162:BS165)</f>
        <v>0</v>
      </c>
      <c r="BT166" s="10">
        <f t="shared" ref="BT166" si="168">SUM(BT162:BT165)</f>
        <v>0</v>
      </c>
      <c r="BU166" s="10">
        <f t="shared" ref="BU166" si="169">SUM(BU162:BU165)</f>
        <v>0</v>
      </c>
      <c r="BV166" s="10">
        <f t="shared" ref="BV166" si="170">SUM(BV162:BV165)</f>
        <v>0</v>
      </c>
      <c r="BW166" s="10">
        <f t="shared" ref="BW166" si="171">SUM(BW162:BW165)</f>
        <v>0</v>
      </c>
      <c r="BY166" s="12"/>
      <c r="BZ166" s="335"/>
      <c r="CA166" s="12"/>
      <c r="CB166" s="335"/>
      <c r="CC166" s="335"/>
      <c r="CD166" s="335"/>
      <c r="CE166" s="335"/>
      <c r="CM166" s="335"/>
      <c r="CN166" s="335"/>
      <c r="CO166" s="335"/>
      <c r="CP166" s="335"/>
      <c r="CR166" s="12"/>
      <c r="CS166" s="93">
        <f t="shared" si="101"/>
        <v>0</v>
      </c>
      <c r="CT166" s="93">
        <v>0</v>
      </c>
      <c r="CU166" s="93">
        <v>0</v>
      </c>
      <c r="EW166" s="335"/>
      <c r="EX166" s="13" t="str">
        <f>IF(C166="", "", CONCATENATE(D161, " ",D166))</f>
        <v>Loan 7 Closing Loan Balance</v>
      </c>
    </row>
    <row r="167" spans="1:154" s="67" customFormat="1" ht="6.6" customHeight="1" x14ac:dyDescent="0.25">
      <c r="C167" s="380"/>
      <c r="D167" s="1"/>
      <c r="S167" s="335"/>
      <c r="T167" s="25"/>
      <c r="U167" s="25"/>
      <c r="V167" s="229"/>
      <c r="W167" s="25"/>
      <c r="X167" s="25"/>
      <c r="Y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L167" s="25"/>
      <c r="BM167" s="155"/>
      <c r="BN167" s="25"/>
      <c r="BO167" s="25"/>
      <c r="BP167" s="25"/>
      <c r="BQ167" s="25"/>
      <c r="BR167" s="25"/>
      <c r="BS167" s="25"/>
      <c r="BT167" s="25"/>
      <c r="BU167" s="25"/>
      <c r="BV167" s="25"/>
      <c r="BW167" s="25"/>
      <c r="BY167" s="42"/>
      <c r="BZ167" s="335"/>
      <c r="CA167" s="42"/>
      <c r="CB167" s="335"/>
      <c r="CC167" s="335"/>
      <c r="CD167" s="335"/>
      <c r="CE167" s="335"/>
      <c r="CM167" s="335"/>
      <c r="CN167" s="335"/>
      <c r="CO167" s="335"/>
      <c r="CP167" s="335"/>
      <c r="CR167" s="42"/>
      <c r="CS167" s="93">
        <f t="shared" si="101"/>
        <v>0</v>
      </c>
      <c r="CT167" s="93">
        <v>0</v>
      </c>
      <c r="CU167" s="93">
        <v>0</v>
      </c>
      <c r="EW167" s="335"/>
      <c r="EX167" s="13" t="str">
        <f>IF(C167="", "", CONCATENATE(D161, " ",D167))</f>
        <v/>
      </c>
    </row>
    <row r="168" spans="1:154" s="67" customFormat="1" x14ac:dyDescent="0.25">
      <c r="A168" s="362" cm="1">
        <f t="array" aca="1" ref="A168" ca="1">HYPERLINK(CONCATENATE("#",CELL("address",IF(SUM($CA168:$CR168)=0,A168,INDEX($CA168:$CR168,MATCH(1,$CA168:$CR168,0))))),SUM($CA168:$CR168))</f>
        <v>0</v>
      </c>
      <c r="C168" s="380"/>
      <c r="D168" s="51" t="s">
        <v>526</v>
      </c>
      <c r="E168" s="160" t="s">
        <v>523</v>
      </c>
      <c r="F168" s="153">
        <f>$F$19</f>
        <v>0</v>
      </c>
      <c r="S168" s="335"/>
      <c r="T168" s="25"/>
      <c r="U168" s="25"/>
      <c r="V168" s="230">
        <f>IF(OR(V166&gt;$F168, V166&lt;0), 1, 0)</f>
        <v>0</v>
      </c>
      <c r="W168" s="154">
        <f>IF(OR(W166&gt;$F168, W166&lt;0), 1, 0)</f>
        <v>0</v>
      </c>
      <c r="X168" s="154">
        <f>IF(OR(X166&gt;$F168, X166&lt;0), 1, 0)</f>
        <v>0</v>
      </c>
      <c r="Y168" s="154">
        <f>IF(OR(Y166&gt;$F168, Y166&lt;0), 1, 0)</f>
        <v>0</v>
      </c>
      <c r="AA168" s="154">
        <f t="shared" ref="AA168:BJ168" si="172">IF(OR(AA166&gt;$F168, AA166&lt;0), 1, 0)</f>
        <v>0</v>
      </c>
      <c r="AB168" s="154">
        <f t="shared" si="172"/>
        <v>0</v>
      </c>
      <c r="AC168" s="154">
        <f t="shared" si="172"/>
        <v>0</v>
      </c>
      <c r="AD168" s="154">
        <f t="shared" si="172"/>
        <v>0</v>
      </c>
      <c r="AE168" s="154">
        <f t="shared" si="172"/>
        <v>0</v>
      </c>
      <c r="AF168" s="154">
        <f t="shared" si="172"/>
        <v>0</v>
      </c>
      <c r="AG168" s="154">
        <f t="shared" si="172"/>
        <v>0</v>
      </c>
      <c r="AH168" s="154">
        <f t="shared" si="172"/>
        <v>0</v>
      </c>
      <c r="AI168" s="154">
        <f t="shared" si="172"/>
        <v>0</v>
      </c>
      <c r="AJ168" s="154">
        <f t="shared" si="172"/>
        <v>0</v>
      </c>
      <c r="AK168" s="154">
        <f t="shared" si="172"/>
        <v>0</v>
      </c>
      <c r="AL168" s="154">
        <f t="shared" si="172"/>
        <v>0</v>
      </c>
      <c r="AM168" s="154">
        <f t="shared" si="172"/>
        <v>0</v>
      </c>
      <c r="AN168" s="154">
        <f t="shared" si="172"/>
        <v>0</v>
      </c>
      <c r="AO168" s="154">
        <f t="shared" si="172"/>
        <v>0</v>
      </c>
      <c r="AP168" s="154">
        <f t="shared" si="172"/>
        <v>0</v>
      </c>
      <c r="AQ168" s="154">
        <f t="shared" si="172"/>
        <v>0</v>
      </c>
      <c r="AR168" s="154">
        <f t="shared" si="172"/>
        <v>0</v>
      </c>
      <c r="AS168" s="154">
        <f t="shared" si="172"/>
        <v>0</v>
      </c>
      <c r="AT168" s="154">
        <f t="shared" si="172"/>
        <v>0</v>
      </c>
      <c r="AU168" s="154">
        <f t="shared" si="172"/>
        <v>0</v>
      </c>
      <c r="AV168" s="154">
        <f t="shared" si="172"/>
        <v>0</v>
      </c>
      <c r="AW168" s="154">
        <f t="shared" si="172"/>
        <v>0</v>
      </c>
      <c r="AX168" s="154">
        <f t="shared" si="172"/>
        <v>0</v>
      </c>
      <c r="AY168" s="154">
        <f t="shared" si="172"/>
        <v>0</v>
      </c>
      <c r="AZ168" s="154">
        <f t="shared" si="172"/>
        <v>0</v>
      </c>
      <c r="BA168" s="154">
        <f t="shared" si="172"/>
        <v>0</v>
      </c>
      <c r="BB168" s="154">
        <f t="shared" si="172"/>
        <v>0</v>
      </c>
      <c r="BC168" s="154">
        <f t="shared" si="172"/>
        <v>0</v>
      </c>
      <c r="BD168" s="154">
        <f t="shared" si="172"/>
        <v>0</v>
      </c>
      <c r="BE168" s="154">
        <f t="shared" si="172"/>
        <v>0</v>
      </c>
      <c r="BF168" s="154">
        <f t="shared" si="172"/>
        <v>0</v>
      </c>
      <c r="BG168" s="154">
        <f t="shared" si="172"/>
        <v>0</v>
      </c>
      <c r="BH168" s="154">
        <f t="shared" si="172"/>
        <v>0</v>
      </c>
      <c r="BI168" s="154">
        <f t="shared" si="172"/>
        <v>0</v>
      </c>
      <c r="BJ168" s="154">
        <f t="shared" si="172"/>
        <v>0</v>
      </c>
      <c r="BL168" s="154">
        <f t="shared" ref="BL168" si="173">IF(OR(BL166&gt;$F168, BL166&lt;0), 1, 0)</f>
        <v>0</v>
      </c>
      <c r="BM168" s="154">
        <f t="shared" ref="BM168:BW168" si="174">IF(OR(BM166&gt;$F168, BM166&lt;0), 1, 0)</f>
        <v>0</v>
      </c>
      <c r="BN168" s="154">
        <f t="shared" si="174"/>
        <v>0</v>
      </c>
      <c r="BO168" s="154">
        <f t="shared" si="174"/>
        <v>0</v>
      </c>
      <c r="BP168" s="154">
        <f t="shared" si="174"/>
        <v>0</v>
      </c>
      <c r="BQ168" s="154">
        <f t="shared" si="174"/>
        <v>0</v>
      </c>
      <c r="BR168" s="154">
        <f t="shared" si="174"/>
        <v>0</v>
      </c>
      <c r="BS168" s="154">
        <f t="shared" si="174"/>
        <v>0</v>
      </c>
      <c r="BT168" s="154">
        <f t="shared" si="174"/>
        <v>0</v>
      </c>
      <c r="BU168" s="154">
        <f t="shared" si="174"/>
        <v>0</v>
      </c>
      <c r="BV168" s="154">
        <f t="shared" si="174"/>
        <v>0</v>
      </c>
      <c r="BW168" s="154">
        <f t="shared" si="174"/>
        <v>0</v>
      </c>
      <c r="BY168" s="12"/>
      <c r="BZ168" s="335"/>
      <c r="CA168" s="12"/>
      <c r="CB168" s="335"/>
      <c r="CC168" s="335"/>
      <c r="CD168" s="335"/>
      <c r="CE168" s="335"/>
      <c r="CL168" s="7">
        <f>IF(MAX(V168:BW168)&gt;0, 1, 0)</f>
        <v>0</v>
      </c>
      <c r="CM168" s="335"/>
      <c r="CN168" s="335"/>
      <c r="CO168" s="335"/>
      <c r="CP168" s="335"/>
      <c r="CR168" s="12"/>
      <c r="CS168" s="93">
        <f t="shared" si="101"/>
        <v>1</v>
      </c>
      <c r="CT168" s="93">
        <v>0</v>
      </c>
      <c r="CU168" s="93">
        <v>0</v>
      </c>
      <c r="EW168" s="335"/>
      <c r="EX168" s="13" t="str">
        <f>IF(C168="", "", CONCATENATE(D161, " ",D168))</f>
        <v/>
      </c>
    </row>
    <row r="169" spans="1:154" s="67" customFormat="1" x14ac:dyDescent="0.25">
      <c r="A169" s="362" cm="1">
        <f t="array" aca="1" ref="A169" ca="1">HYPERLINK(CONCATENATE("#",CELL("address",IF(SUM($CA169:$CR169)=0,A169,INDEX($CA169:$CR169,MATCH(1,$CA169:$CR169,0))))),SUM($CA169:$CR169))</f>
        <v>0</v>
      </c>
      <c r="C169" s="380"/>
      <c r="D169" s="51" t="s">
        <v>220</v>
      </c>
      <c r="E169" s="160" t="s">
        <v>524</v>
      </c>
      <c r="F169" s="173" t="str">
        <f>IF($J$19="", "", $J$19)</f>
        <v/>
      </c>
      <c r="S169" s="335"/>
      <c r="T169" s="25"/>
      <c r="U169" s="25"/>
      <c r="V169" s="230">
        <f>IF(AND(V$5&gt;=$F169,SUM(V166:$Y166)&lt;&gt;0),1,0)</f>
        <v>0</v>
      </c>
      <c r="W169" s="230">
        <f>IF(AND(W$5&gt;=$F169,SUM(W166:$Y166)&lt;&gt;0),1,0)</f>
        <v>0</v>
      </c>
      <c r="X169" s="230">
        <f>IF(AND(X$5&gt;=$F169,SUM(X166:$Y166)&lt;&gt;0),1,0)</f>
        <v>0</v>
      </c>
      <c r="Y169" s="230">
        <f>IF(AND(Y$5&gt;=$F169,SUM(Y166:$Y166)&lt;&gt;0),1,0)</f>
        <v>0</v>
      </c>
      <c r="AA169" s="154">
        <f>IF(AND(AA$5&gt;=$F169,SUM(AA166:$BJ166)&lt;&gt;0),1,0)</f>
        <v>0</v>
      </c>
      <c r="AB169" s="154">
        <f>IF(AND(AB$5&gt;=$F169,SUM(AB166:$BJ166)&lt;&gt;0),1,0)</f>
        <v>0</v>
      </c>
      <c r="AC169" s="154">
        <f>IF(AND(AC$5&gt;=$F169,SUM(AC166:$BJ166)&lt;&gt;0),1,0)</f>
        <v>0</v>
      </c>
      <c r="AD169" s="154">
        <f>IF(AND(AD$5&gt;=$F169,SUM(AD166:$BJ166)&lt;&gt;0),1,0)</f>
        <v>0</v>
      </c>
      <c r="AE169" s="154">
        <f>IF(AND(AE$5&gt;=$F169,SUM(AE166:$BJ166)&lt;&gt;0),1,0)</f>
        <v>0</v>
      </c>
      <c r="AF169" s="154">
        <f>IF(AND(AF$5&gt;=$F169,SUM(AF166:$BJ166)&lt;&gt;0),1,0)</f>
        <v>0</v>
      </c>
      <c r="AG169" s="154">
        <f>IF(AND(AG$5&gt;=$F169,SUM(AG166:$BJ166)&lt;&gt;0),1,0)</f>
        <v>0</v>
      </c>
      <c r="AH169" s="154">
        <f>IF(AND(AH$5&gt;=$F169,SUM(AH166:$BJ166)&lt;&gt;0),1,0)</f>
        <v>0</v>
      </c>
      <c r="AI169" s="154">
        <f>IF(AND(AI$5&gt;=$F169,SUM(AI166:$BJ166)&lt;&gt;0),1,0)</f>
        <v>0</v>
      </c>
      <c r="AJ169" s="154">
        <f>IF(AND(AJ$5&gt;=$F169,SUM(AJ166:$BJ166)&lt;&gt;0),1,0)</f>
        <v>0</v>
      </c>
      <c r="AK169" s="154">
        <f>IF(AND(AK$5&gt;=$F169,SUM(AK166:$BJ166)&lt;&gt;0),1,0)</f>
        <v>0</v>
      </c>
      <c r="AL169" s="154">
        <f>IF(AND(AL$5&gt;=$F169,SUM(AL166:$BJ166)&lt;&gt;0),1,0)</f>
        <v>0</v>
      </c>
      <c r="AM169" s="154">
        <f>IF(AND(AM$5&gt;=$F169,SUM(AM166:$BJ166)&lt;&gt;0),1,0)</f>
        <v>0</v>
      </c>
      <c r="AN169" s="154">
        <f>IF(AND(AN$5&gt;=$F169,SUM(AN166:$BJ166)&lt;&gt;0),1,0)</f>
        <v>0</v>
      </c>
      <c r="AO169" s="154">
        <f>IF(AND(AO$5&gt;=$F169,SUM(AO166:$BJ166)&lt;&gt;0),1,0)</f>
        <v>0</v>
      </c>
      <c r="AP169" s="154">
        <f>IF(AND(AP$5&gt;=$F169,SUM(AP166:$BJ166)&lt;&gt;0),1,0)</f>
        <v>0</v>
      </c>
      <c r="AQ169" s="154">
        <f>IF(AND(AQ$5&gt;=$F169,SUM(AQ166:$BJ166)&lt;&gt;0),1,0)</f>
        <v>0</v>
      </c>
      <c r="AR169" s="154">
        <f>IF(AND(AR$5&gt;=$F169,SUM(AR166:$BJ166)&lt;&gt;0),1,0)</f>
        <v>0</v>
      </c>
      <c r="AS169" s="154">
        <f>IF(AND(AS$5&gt;=$F169,SUM(AS166:$BJ166)&lt;&gt;0),1,0)</f>
        <v>0</v>
      </c>
      <c r="AT169" s="154">
        <f>IF(AND(AT$5&gt;=$F169,SUM(AT166:$BJ166)&lt;&gt;0),1,0)</f>
        <v>0</v>
      </c>
      <c r="AU169" s="154">
        <f>IF(AND(AU$5&gt;=$F169,SUM(AU166:$BJ166)&lt;&gt;0),1,0)</f>
        <v>0</v>
      </c>
      <c r="AV169" s="154">
        <f>IF(AND(AV$5&gt;=$F169,SUM(AV166:$BJ166)&lt;&gt;0),1,0)</f>
        <v>0</v>
      </c>
      <c r="AW169" s="154">
        <f>IF(AND(AW$5&gt;=$F169,SUM(AW166:$BJ166)&lt;&gt;0),1,0)</f>
        <v>0</v>
      </c>
      <c r="AX169" s="154">
        <f>IF(AND(AX$5&gt;=$F169,SUM(AX166:$BJ166)&lt;&gt;0),1,0)</f>
        <v>0</v>
      </c>
      <c r="AY169" s="154">
        <f>IF(AND(AY$5&gt;=$F169,SUM(AY166:$BJ166)&lt;&gt;0),1,0)</f>
        <v>0</v>
      </c>
      <c r="AZ169" s="154">
        <f>IF(AND(AZ$5&gt;=$F169,SUM(AZ166:$BJ166)&lt;&gt;0),1,0)</f>
        <v>0</v>
      </c>
      <c r="BA169" s="154">
        <f>IF(AND(BA$5&gt;=$F169,SUM(BA166:$BJ166)&lt;&gt;0),1,0)</f>
        <v>0</v>
      </c>
      <c r="BB169" s="154">
        <f>IF(AND(BB$5&gt;=$F169,SUM(BB166:$BJ166)&lt;&gt;0),1,0)</f>
        <v>0</v>
      </c>
      <c r="BC169" s="154">
        <f>IF(AND(BC$5&gt;=$F169,SUM(BC166:$BJ166)&lt;&gt;0),1,0)</f>
        <v>0</v>
      </c>
      <c r="BD169" s="154">
        <f>IF(AND(BD$5&gt;=$F169,SUM(BD166:$BJ166)&lt;&gt;0),1,0)</f>
        <v>0</v>
      </c>
      <c r="BE169" s="154">
        <f>IF(AND(BE$5&gt;=$F169,SUM(BE166:$BJ166)&lt;&gt;0),1,0)</f>
        <v>0</v>
      </c>
      <c r="BF169" s="154">
        <f>IF(AND(BF$5&gt;=$F169,SUM(BF166:$BJ166)&lt;&gt;0),1,0)</f>
        <v>0</v>
      </c>
      <c r="BG169" s="154">
        <f>IF(AND(BG$5&gt;=$F169,SUM(BG166:$BJ166)&lt;&gt;0),1,0)</f>
        <v>0</v>
      </c>
      <c r="BH169" s="154">
        <f>IF(AND(BH$5&gt;=$F169,SUM(BH166:$BJ166)&lt;&gt;0),1,0)</f>
        <v>0</v>
      </c>
      <c r="BI169" s="154">
        <f>IF(AND(BI$5&gt;=$F169,SUM(BI166:$BJ166)&lt;&gt;0),1,0)</f>
        <v>0</v>
      </c>
      <c r="BJ169" s="154">
        <f>IF(AND(BJ$5&gt;=$F169,SUM(BJ166:$BJ166)&lt;&gt;0),1,0)</f>
        <v>0</v>
      </c>
      <c r="BL169" s="154">
        <f>IF(AND(BL$5&gt;=$F169,SUM(BL166:$BW166)&lt;&gt;0),1,0)*BL$1150</f>
        <v>0</v>
      </c>
      <c r="BM169" s="154">
        <f>IF(AND(BM$5&gt;=$F169,SUM(BM166:$BW166)&lt;&gt;0),1,0)*BM$1150</f>
        <v>0</v>
      </c>
      <c r="BN169" s="154">
        <f>IF(AND(BN$5&gt;=$F169,SUM(BN166:$BW166)&lt;&gt;0),1,0)*BN$1150</f>
        <v>0</v>
      </c>
      <c r="BO169" s="154">
        <f>IF(AND(BO$5&gt;=$F169,SUM(BO166:$BW166)&lt;&gt;0),1,0)*BO$1150</f>
        <v>0</v>
      </c>
      <c r="BP169" s="154">
        <f>IF(AND(BP$5&gt;=$F169,SUM(BP166:$BW166)&lt;&gt;0),1,0)*BP$1150</f>
        <v>0</v>
      </c>
      <c r="BQ169" s="154">
        <f>IF(AND(BQ$5&gt;=$F169,SUM(BQ166:$BW166)&lt;&gt;0),1,0)*BQ$1150</f>
        <v>0</v>
      </c>
      <c r="BR169" s="154">
        <f>IF(AND(BR$5&gt;=$F169,SUM(BR166:$BW166)&lt;&gt;0),1,0)*BR$1150</f>
        <v>0</v>
      </c>
      <c r="BS169" s="154">
        <f>IF(AND(BS$5&gt;=$F169,SUM(BS166:$BW166)&lt;&gt;0),1,0)*BS$1150</f>
        <v>0</v>
      </c>
      <c r="BT169" s="154">
        <f>IF(AND(BT$5&gt;=$F169,SUM(BT166:$BW166)&lt;&gt;0),1,0)*BT$1150</f>
        <v>0</v>
      </c>
      <c r="BU169" s="154">
        <f>IF(AND(BU$5&gt;=$F169,SUM(BU166:$BW166)&lt;&gt;0),1,0)*BU$1150</f>
        <v>0</v>
      </c>
      <c r="BV169" s="154">
        <f>IF(AND(BV$5&gt;=$F169,SUM(BV166:$BW166)&lt;&gt;0),1,0)*BV$1150</f>
        <v>0</v>
      </c>
      <c r="BW169" s="154">
        <f>IF(AND(BW$5&gt;=$F169,SUM(BW166:$BW166)&lt;&gt;0),1,0)*BW$1150</f>
        <v>0</v>
      </c>
      <c r="BY169" s="12"/>
      <c r="BZ169" s="335"/>
      <c r="CA169" s="12"/>
      <c r="CB169" s="335"/>
      <c r="CC169" s="335"/>
      <c r="CD169" s="335"/>
      <c r="CE169" s="335"/>
      <c r="CL169" s="7">
        <f>IF(MAX($V169:$BW169)&gt;0, 1, 0)</f>
        <v>0</v>
      </c>
      <c r="CM169" s="335"/>
      <c r="CN169" s="335"/>
      <c r="CO169" s="335"/>
      <c r="CP169" s="335"/>
      <c r="CR169" s="12"/>
      <c r="CS169" s="93">
        <f t="shared" si="101"/>
        <v>1</v>
      </c>
      <c r="CT169" s="93">
        <v>0</v>
      </c>
      <c r="CU169" s="93">
        <v>0</v>
      </c>
      <c r="EW169" s="335"/>
      <c r="EX169" s="13" t="str">
        <f>IF(C169="", "", CONCATENATE(D161, " ",D169))</f>
        <v/>
      </c>
    </row>
    <row r="170" spans="1:154" s="67" customFormat="1" ht="6.6" customHeight="1" x14ac:dyDescent="0.25">
      <c r="C170" s="380"/>
      <c r="D170" s="1"/>
      <c r="F170" s="25"/>
      <c r="S170" s="335"/>
      <c r="T170" s="25"/>
      <c r="U170" s="25"/>
      <c r="V170" s="93"/>
      <c r="BM170" s="6"/>
      <c r="BY170" s="42"/>
      <c r="BZ170" s="335"/>
      <c r="CA170" s="42"/>
      <c r="CB170" s="335"/>
      <c r="CC170" s="335"/>
      <c r="CD170" s="335"/>
      <c r="CE170" s="335"/>
      <c r="CM170" s="335"/>
      <c r="CN170" s="335"/>
      <c r="CO170" s="335"/>
      <c r="CP170" s="335"/>
      <c r="CR170" s="42"/>
      <c r="CS170" s="93">
        <f t="shared" si="101"/>
        <v>0</v>
      </c>
      <c r="CT170" s="93">
        <v>0</v>
      </c>
      <c r="CU170" s="93">
        <v>0</v>
      </c>
      <c r="EW170" s="335"/>
      <c r="EX170" s="13" t="str">
        <f>IF(C170="", "", CONCATENATE(D161, " ",D170))</f>
        <v/>
      </c>
    </row>
    <row r="171" spans="1:154" s="67" customFormat="1" x14ac:dyDescent="0.25">
      <c r="C171" s="380"/>
      <c r="D171" s="51" t="s">
        <v>223</v>
      </c>
      <c r="E171" s="1"/>
      <c r="F171" s="25"/>
      <c r="G171" s="9" t="s">
        <v>413</v>
      </c>
      <c r="H171" s="50" t="s">
        <v>8</v>
      </c>
      <c r="S171" s="335"/>
      <c r="T171" s="25"/>
      <c r="U171" s="25"/>
      <c r="V171" s="222"/>
      <c r="W171" s="201">
        <f>V174</f>
        <v>0</v>
      </c>
      <c r="X171" s="201">
        <f>W174</f>
        <v>0</v>
      </c>
      <c r="Y171" s="10">
        <f>X174</f>
        <v>0</v>
      </c>
      <c r="AA171" s="13">
        <f>W171</f>
        <v>0</v>
      </c>
      <c r="AB171" s="153">
        <f t="shared" ref="AB171:BJ171" si="175">AA174</f>
        <v>0</v>
      </c>
      <c r="AC171" s="153">
        <f t="shared" si="175"/>
        <v>0</v>
      </c>
      <c r="AD171" s="153">
        <f t="shared" si="175"/>
        <v>0</v>
      </c>
      <c r="AE171" s="153">
        <f t="shared" si="175"/>
        <v>0</v>
      </c>
      <c r="AF171" s="153">
        <f t="shared" si="175"/>
        <v>0</v>
      </c>
      <c r="AG171" s="153">
        <f t="shared" si="175"/>
        <v>0</v>
      </c>
      <c r="AH171" s="153">
        <f t="shared" si="175"/>
        <v>0</v>
      </c>
      <c r="AI171" s="153">
        <f t="shared" si="175"/>
        <v>0</v>
      </c>
      <c r="AJ171" s="153">
        <f t="shared" si="175"/>
        <v>0</v>
      </c>
      <c r="AK171" s="153">
        <f t="shared" si="175"/>
        <v>0</v>
      </c>
      <c r="AL171" s="153">
        <f t="shared" si="175"/>
        <v>0</v>
      </c>
      <c r="AM171" s="153">
        <f t="shared" si="175"/>
        <v>0</v>
      </c>
      <c r="AN171" s="153">
        <f t="shared" si="175"/>
        <v>0</v>
      </c>
      <c r="AO171" s="153">
        <f t="shared" si="175"/>
        <v>0</v>
      </c>
      <c r="AP171" s="153">
        <f t="shared" si="175"/>
        <v>0</v>
      </c>
      <c r="AQ171" s="153">
        <f t="shared" si="175"/>
        <v>0</v>
      </c>
      <c r="AR171" s="153">
        <f t="shared" si="175"/>
        <v>0</v>
      </c>
      <c r="AS171" s="153">
        <f t="shared" si="175"/>
        <v>0</v>
      </c>
      <c r="AT171" s="153">
        <f t="shared" si="175"/>
        <v>0</v>
      </c>
      <c r="AU171" s="153">
        <f t="shared" si="175"/>
        <v>0</v>
      </c>
      <c r="AV171" s="153">
        <f t="shared" si="175"/>
        <v>0</v>
      </c>
      <c r="AW171" s="153">
        <f t="shared" si="175"/>
        <v>0</v>
      </c>
      <c r="AX171" s="153">
        <f t="shared" si="175"/>
        <v>0</v>
      </c>
      <c r="AY171" s="153">
        <f t="shared" si="175"/>
        <v>0</v>
      </c>
      <c r="AZ171" s="153">
        <f t="shared" si="175"/>
        <v>0</v>
      </c>
      <c r="BA171" s="153">
        <f t="shared" si="175"/>
        <v>0</v>
      </c>
      <c r="BB171" s="153">
        <f t="shared" si="175"/>
        <v>0</v>
      </c>
      <c r="BC171" s="153">
        <f t="shared" si="175"/>
        <v>0</v>
      </c>
      <c r="BD171" s="153">
        <f t="shared" si="175"/>
        <v>0</v>
      </c>
      <c r="BE171" s="153">
        <f t="shared" si="175"/>
        <v>0</v>
      </c>
      <c r="BF171" s="153">
        <f t="shared" si="175"/>
        <v>0</v>
      </c>
      <c r="BG171" s="153">
        <f t="shared" si="175"/>
        <v>0</v>
      </c>
      <c r="BH171" s="153">
        <f t="shared" si="175"/>
        <v>0</v>
      </c>
      <c r="BI171" s="153">
        <f t="shared" si="175"/>
        <v>0</v>
      </c>
      <c r="BJ171" s="153">
        <f t="shared" si="175"/>
        <v>0</v>
      </c>
      <c r="BL171" s="152">
        <f t="shared" ref="BL171:BO174" si="176">V171</f>
        <v>0</v>
      </c>
      <c r="BM171" s="152">
        <f t="shared" si="176"/>
        <v>0</v>
      </c>
      <c r="BN171" s="152">
        <f t="shared" si="176"/>
        <v>0</v>
      </c>
      <c r="BO171" s="152">
        <f t="shared" si="176"/>
        <v>0</v>
      </c>
      <c r="BP171" s="153">
        <f t="shared" ref="BP171:BW171" si="177">BO174</f>
        <v>0</v>
      </c>
      <c r="BQ171" s="153">
        <f t="shared" si="177"/>
        <v>0</v>
      </c>
      <c r="BR171" s="153">
        <f t="shared" si="177"/>
        <v>0</v>
      </c>
      <c r="BS171" s="153">
        <f t="shared" si="177"/>
        <v>0</v>
      </c>
      <c r="BT171" s="153">
        <f t="shared" si="177"/>
        <v>0</v>
      </c>
      <c r="BU171" s="153">
        <f t="shared" si="177"/>
        <v>0</v>
      </c>
      <c r="BV171" s="153">
        <f t="shared" si="177"/>
        <v>0</v>
      </c>
      <c r="BW171" s="153">
        <f t="shared" si="177"/>
        <v>0</v>
      </c>
      <c r="BY171" s="12"/>
      <c r="BZ171" s="335"/>
      <c r="CA171" s="12"/>
      <c r="CB171" s="335"/>
      <c r="CC171" s="335"/>
      <c r="CD171" s="335"/>
      <c r="CE171" s="335"/>
      <c r="CM171" s="335"/>
      <c r="CN171" s="335"/>
      <c r="CO171" s="335"/>
      <c r="CP171" s="335"/>
      <c r="CR171" s="12"/>
      <c r="CS171" s="93">
        <f t="shared" si="101"/>
        <v>0</v>
      </c>
      <c r="CT171" s="93">
        <v>1</v>
      </c>
      <c r="CU171" s="93">
        <v>0</v>
      </c>
      <c r="EW171" s="335"/>
      <c r="EX171" s="13" t="str">
        <f>IF(C171="", "", CONCATENATE(D161, " ",D171))</f>
        <v/>
      </c>
    </row>
    <row r="172" spans="1:154" s="5" customFormat="1" ht="15.75" x14ac:dyDescent="0.3">
      <c r="A172" s="362" cm="1">
        <f t="array" aca="1" ref="A172" ca="1">HYPERLINK(CONCATENATE("#",CELL("address",IF(SUM($CA172:$CR172)=0,A172,INDEX($CA172:$CR172,MATCH(1,$CA172:$CR172,0))))),SUM($CA172:$CR172))</f>
        <v>0</v>
      </c>
      <c r="B172" s="105" t="s">
        <v>335</v>
      </c>
      <c r="C172" s="380"/>
      <c r="D172" s="51" t="s">
        <v>234</v>
      </c>
      <c r="E172" s="1"/>
      <c r="F172" s="67"/>
      <c r="G172" s="9" t="s">
        <v>413</v>
      </c>
      <c r="H172" s="50" t="s">
        <v>125</v>
      </c>
      <c r="I172" s="67"/>
      <c r="J172" s="67"/>
      <c r="K172" s="67"/>
      <c r="L172" s="67"/>
      <c r="M172" s="67"/>
      <c r="N172" s="67"/>
      <c r="O172" s="67"/>
      <c r="P172" s="67"/>
      <c r="Q172" s="67"/>
      <c r="R172" s="67"/>
      <c r="S172" s="335"/>
      <c r="T172" s="25"/>
      <c r="U172" s="25"/>
      <c r="V172" s="222"/>
      <c r="W172" s="215">
        <f t="shared" ref="W172:Y173" si="178" xml:space="preserve"> SUMIFS($AA172:$BJ172, $AA$3:$BJ$3, W$3)</f>
        <v>0</v>
      </c>
      <c r="X172" s="215">
        <f t="shared" si="178"/>
        <v>0</v>
      </c>
      <c r="Y172" s="215">
        <f t="shared" si="178"/>
        <v>0</v>
      </c>
      <c r="Z172" s="6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c r="BI172" s="147"/>
      <c r="BJ172" s="147"/>
      <c r="BK172" s="67"/>
      <c r="BL172" s="152">
        <f t="shared" si="176"/>
        <v>0</v>
      </c>
      <c r="BM172" s="152">
        <f t="shared" si="176"/>
        <v>0</v>
      </c>
      <c r="BN172" s="152">
        <f t="shared" si="176"/>
        <v>0</v>
      </c>
      <c r="BO172" s="152">
        <f t="shared" si="176"/>
        <v>0</v>
      </c>
      <c r="BP172" s="156"/>
      <c r="BQ172" s="156"/>
      <c r="BR172" s="156"/>
      <c r="BS172" s="156"/>
      <c r="BT172" s="156"/>
      <c r="BU172" s="156"/>
      <c r="BV172" s="156"/>
      <c r="BW172" s="156"/>
      <c r="BX172" s="67"/>
      <c r="BY172" s="12"/>
      <c r="BZ172" s="395">
        <f>IF(MIN($V172:$BW172)&lt;0, 1, 0)</f>
        <v>0</v>
      </c>
      <c r="CA172" s="12"/>
      <c r="CB172" s="335"/>
      <c r="CC172" s="335"/>
      <c r="CD172" s="335"/>
      <c r="CE172" s="335"/>
      <c r="CF172" s="67"/>
      <c r="CG172" s="67"/>
      <c r="CH172" s="67"/>
      <c r="CI172" s="67"/>
      <c r="CJ172" s="67"/>
      <c r="CK172" s="67"/>
      <c r="CL172" s="67"/>
      <c r="CM172" s="7">
        <f t="shared" ref="CM172:CO173" si="179">IF(ROUND(W172-SUMIFS($AA172:$BJ172, $AA$3:$BJ$3, W$3), rounding)=0, 0, 1)</f>
        <v>0</v>
      </c>
      <c r="CN172" s="7">
        <f t="shared" si="179"/>
        <v>0</v>
      </c>
      <c r="CO172" s="7">
        <f t="shared" si="179"/>
        <v>0</v>
      </c>
      <c r="CP172" s="7">
        <f>IF(ROUND(V172-BL172, rounding)=0, 0, 1)*'BS Forecasts'!$V$10</f>
        <v>0</v>
      </c>
      <c r="CQ172" s="67"/>
      <c r="CR172" s="12"/>
      <c r="CS172" s="93">
        <f t="shared" si="101"/>
        <v>0</v>
      </c>
      <c r="CT172" s="93">
        <v>1</v>
      </c>
      <c r="CU172" s="93">
        <v>1</v>
      </c>
      <c r="EX172" s="13" t="str">
        <f>IF(C172="", "", CONCATENATE(D161, " ",D172))</f>
        <v/>
      </c>
    </row>
    <row r="173" spans="1:154" s="67" customFormat="1" ht="15.75" x14ac:dyDescent="0.3">
      <c r="A173" s="362" cm="1">
        <f t="array" aca="1" ref="A173" ca="1">HYPERLINK(CONCATENATE("#",CELL("address",IF(SUM($CA173:$CR173)=0,A173,INDEX($CA173:$CR173,MATCH(1,$CA173:$CR173,0))))),SUM($CA173:$CR173))</f>
        <v>0</v>
      </c>
      <c r="B173" s="105" t="s">
        <v>335</v>
      </c>
      <c r="C173" s="380"/>
      <c r="D173" s="51" t="s">
        <v>222</v>
      </c>
      <c r="E173" s="1"/>
      <c r="F173" s="25"/>
      <c r="G173" s="9" t="s">
        <v>413</v>
      </c>
      <c r="H173" s="50" t="s">
        <v>157</v>
      </c>
      <c r="S173" s="335"/>
      <c r="T173" s="25"/>
      <c r="U173" s="25"/>
      <c r="V173" s="222"/>
      <c r="W173" s="215">
        <f t="shared" si="178"/>
        <v>0</v>
      </c>
      <c r="X173" s="215">
        <f t="shared" si="178"/>
        <v>0</v>
      </c>
      <c r="Y173" s="215">
        <f t="shared" si="178"/>
        <v>0</v>
      </c>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c r="BI173" s="147"/>
      <c r="BJ173" s="147"/>
      <c r="BL173" s="152">
        <f t="shared" si="176"/>
        <v>0</v>
      </c>
      <c r="BM173" s="152">
        <f t="shared" si="176"/>
        <v>0</v>
      </c>
      <c r="BN173" s="152">
        <f t="shared" si="176"/>
        <v>0</v>
      </c>
      <c r="BO173" s="152">
        <f t="shared" si="176"/>
        <v>0</v>
      </c>
      <c r="BP173" s="156"/>
      <c r="BQ173" s="156"/>
      <c r="BR173" s="156"/>
      <c r="BS173" s="156"/>
      <c r="BT173" s="156"/>
      <c r="BU173" s="156"/>
      <c r="BV173" s="156"/>
      <c r="BW173" s="156"/>
      <c r="BY173" s="12"/>
      <c r="BZ173" s="395">
        <f>IF(MAX($V173:$BW173)&gt;0, 1, 0)</f>
        <v>0</v>
      </c>
      <c r="CA173" s="12"/>
      <c r="CB173" s="335"/>
      <c r="CC173" s="335"/>
      <c r="CD173" s="335"/>
      <c r="CE173" s="335"/>
      <c r="CM173" s="7">
        <f t="shared" si="179"/>
        <v>0</v>
      </c>
      <c r="CN173" s="7">
        <f t="shared" si="179"/>
        <v>0</v>
      </c>
      <c r="CO173" s="7">
        <f t="shared" si="179"/>
        <v>0</v>
      </c>
      <c r="CP173" s="7">
        <f>IF(ROUND(V173-BL173, rounding)=0, 0, 1)*'BS Forecasts'!$V$10</f>
        <v>0</v>
      </c>
      <c r="CR173" s="12"/>
      <c r="CS173" s="93">
        <f t="shared" si="101"/>
        <v>0</v>
      </c>
      <c r="CT173" s="93">
        <v>1</v>
      </c>
      <c r="CU173" s="93">
        <v>1</v>
      </c>
      <c r="EW173" s="335"/>
      <c r="EX173" s="13" t="str">
        <f>IF(C173="", "", CONCATENATE(D161, " ",D173))</f>
        <v/>
      </c>
    </row>
    <row r="174" spans="1:154" s="67" customFormat="1" x14ac:dyDescent="0.25">
      <c r="C174" s="380"/>
      <c r="D174" s="51" t="s">
        <v>224</v>
      </c>
      <c r="E174" s="1"/>
      <c r="G174" s="9" t="s">
        <v>413</v>
      </c>
      <c r="H174" s="50" t="s">
        <v>8</v>
      </c>
      <c r="S174" s="335"/>
      <c r="T174" s="25"/>
      <c r="U174" s="25"/>
      <c r="V174" s="13">
        <f>$H$19</f>
        <v>0</v>
      </c>
      <c r="W174" s="153">
        <f>SUM(W171:W173)</f>
        <v>0</v>
      </c>
      <c r="X174" s="153">
        <f>SUM(X171:X173)</f>
        <v>0</v>
      </c>
      <c r="Y174" s="153">
        <f>SUM(Y171:Y173)</f>
        <v>0</v>
      </c>
      <c r="AA174" s="153">
        <f t="shared" ref="AA174:BJ174" si="180">SUM(AA171:AA173)</f>
        <v>0</v>
      </c>
      <c r="AB174" s="153">
        <f t="shared" si="180"/>
        <v>0</v>
      </c>
      <c r="AC174" s="153">
        <f t="shared" si="180"/>
        <v>0</v>
      </c>
      <c r="AD174" s="153">
        <f t="shared" si="180"/>
        <v>0</v>
      </c>
      <c r="AE174" s="153">
        <f t="shared" si="180"/>
        <v>0</v>
      </c>
      <c r="AF174" s="153">
        <f t="shared" si="180"/>
        <v>0</v>
      </c>
      <c r="AG174" s="153">
        <f t="shared" si="180"/>
        <v>0</v>
      </c>
      <c r="AH174" s="153">
        <f t="shared" si="180"/>
        <v>0</v>
      </c>
      <c r="AI174" s="153">
        <f t="shared" si="180"/>
        <v>0</v>
      </c>
      <c r="AJ174" s="153">
        <f t="shared" si="180"/>
        <v>0</v>
      </c>
      <c r="AK174" s="153">
        <f t="shared" si="180"/>
        <v>0</v>
      </c>
      <c r="AL174" s="153">
        <f t="shared" si="180"/>
        <v>0</v>
      </c>
      <c r="AM174" s="153">
        <f t="shared" si="180"/>
        <v>0</v>
      </c>
      <c r="AN174" s="153">
        <f t="shared" si="180"/>
        <v>0</v>
      </c>
      <c r="AO174" s="153">
        <f t="shared" si="180"/>
        <v>0</v>
      </c>
      <c r="AP174" s="153">
        <f t="shared" si="180"/>
        <v>0</v>
      </c>
      <c r="AQ174" s="153">
        <f t="shared" si="180"/>
        <v>0</v>
      </c>
      <c r="AR174" s="153">
        <f t="shared" si="180"/>
        <v>0</v>
      </c>
      <c r="AS174" s="153">
        <f t="shared" si="180"/>
        <v>0</v>
      </c>
      <c r="AT174" s="153">
        <f t="shared" si="180"/>
        <v>0</v>
      </c>
      <c r="AU174" s="153">
        <f t="shared" si="180"/>
        <v>0</v>
      </c>
      <c r="AV174" s="153">
        <f t="shared" si="180"/>
        <v>0</v>
      </c>
      <c r="AW174" s="153">
        <f t="shared" si="180"/>
        <v>0</v>
      </c>
      <c r="AX174" s="153">
        <f t="shared" si="180"/>
        <v>0</v>
      </c>
      <c r="AY174" s="153">
        <f t="shared" si="180"/>
        <v>0</v>
      </c>
      <c r="AZ174" s="153">
        <f t="shared" si="180"/>
        <v>0</v>
      </c>
      <c r="BA174" s="153">
        <f t="shared" si="180"/>
        <v>0</v>
      </c>
      <c r="BB174" s="153">
        <f t="shared" si="180"/>
        <v>0</v>
      </c>
      <c r="BC174" s="153">
        <f t="shared" si="180"/>
        <v>0</v>
      </c>
      <c r="BD174" s="153">
        <f t="shared" si="180"/>
        <v>0</v>
      </c>
      <c r="BE174" s="153">
        <f t="shared" si="180"/>
        <v>0</v>
      </c>
      <c r="BF174" s="153">
        <f t="shared" si="180"/>
        <v>0</v>
      </c>
      <c r="BG174" s="153">
        <f t="shared" si="180"/>
        <v>0</v>
      </c>
      <c r="BH174" s="153">
        <f t="shared" si="180"/>
        <v>0</v>
      </c>
      <c r="BI174" s="153">
        <f t="shared" si="180"/>
        <v>0</v>
      </c>
      <c r="BJ174" s="153">
        <f t="shared" si="180"/>
        <v>0</v>
      </c>
      <c r="BL174" s="152">
        <f t="shared" si="176"/>
        <v>0</v>
      </c>
      <c r="BM174" s="152">
        <f t="shared" si="176"/>
        <v>0</v>
      </c>
      <c r="BN174" s="152">
        <f t="shared" si="176"/>
        <v>0</v>
      </c>
      <c r="BO174" s="152">
        <f t="shared" si="176"/>
        <v>0</v>
      </c>
      <c r="BP174" s="153">
        <f t="shared" ref="BP174:BW174" si="181">SUM(BP171:BP173)</f>
        <v>0</v>
      </c>
      <c r="BQ174" s="153">
        <f t="shared" si="181"/>
        <v>0</v>
      </c>
      <c r="BR174" s="153">
        <f t="shared" si="181"/>
        <v>0</v>
      </c>
      <c r="BS174" s="153">
        <f t="shared" si="181"/>
        <v>0</v>
      </c>
      <c r="BT174" s="153">
        <f t="shared" si="181"/>
        <v>0</v>
      </c>
      <c r="BU174" s="153">
        <f t="shared" si="181"/>
        <v>0</v>
      </c>
      <c r="BV174" s="153">
        <f t="shared" si="181"/>
        <v>0</v>
      </c>
      <c r="BW174" s="153">
        <f t="shared" si="181"/>
        <v>0</v>
      </c>
      <c r="BY174" s="12"/>
      <c r="BZ174" s="335"/>
      <c r="CA174" s="12"/>
      <c r="CB174" s="335"/>
      <c r="CC174" s="335"/>
      <c r="CD174" s="335"/>
      <c r="CE174" s="335"/>
      <c r="CM174" s="335"/>
      <c r="CN174" s="335"/>
      <c r="CO174" s="335"/>
      <c r="CP174" s="335"/>
      <c r="CR174" s="12"/>
      <c r="CS174" s="93">
        <f t="shared" si="101"/>
        <v>0</v>
      </c>
      <c r="CT174" s="93">
        <v>0</v>
      </c>
      <c r="CU174" s="93">
        <v>0</v>
      </c>
      <c r="EW174" s="335"/>
      <c r="EX174" s="13" t="str">
        <f>IF(C174="", "", CONCATENATE(D161, " ",D174))</f>
        <v/>
      </c>
    </row>
    <row r="175" spans="1:154" s="67" customFormat="1" ht="6.6" customHeight="1" x14ac:dyDescent="0.25">
      <c r="C175" s="380"/>
      <c r="D175" s="1"/>
      <c r="S175" s="335"/>
      <c r="T175" s="25"/>
      <c r="U175" s="25"/>
      <c r="V175" s="229"/>
      <c r="W175" s="25"/>
      <c r="X175" s="25"/>
      <c r="Y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L175" s="25"/>
      <c r="BM175" s="155"/>
      <c r="BN175" s="25"/>
      <c r="BO175" s="25"/>
      <c r="BP175" s="25"/>
      <c r="BQ175" s="25"/>
      <c r="BR175" s="25"/>
      <c r="BS175" s="25"/>
      <c r="BT175" s="25"/>
      <c r="BU175" s="25"/>
      <c r="BV175" s="25"/>
      <c r="BW175" s="25"/>
      <c r="BY175" s="42"/>
      <c r="BZ175" s="335"/>
      <c r="CA175" s="42"/>
      <c r="CB175" s="335"/>
      <c r="CC175" s="335"/>
      <c r="CD175" s="335"/>
      <c r="CE175" s="335"/>
      <c r="CM175" s="335"/>
      <c r="CN175" s="335"/>
      <c r="CO175" s="335"/>
      <c r="CP175" s="335"/>
      <c r="CR175" s="42"/>
      <c r="CS175" s="93">
        <f t="shared" si="101"/>
        <v>0</v>
      </c>
      <c r="CT175" s="93">
        <v>0</v>
      </c>
      <c r="CU175" s="93">
        <v>0</v>
      </c>
      <c r="EW175" s="335"/>
      <c r="EX175" s="13" t="str">
        <f>IF(C175="", "", CONCATENATE(D161, " ",D175))</f>
        <v/>
      </c>
    </row>
    <row r="176" spans="1:154" s="5" customFormat="1" x14ac:dyDescent="0.25">
      <c r="A176" s="362" cm="1">
        <f t="array" aca="1" ref="A176" ca="1">HYPERLINK(CONCATENATE("#",CELL("address",IF(SUM($CA176:$CR176)=0,A176,INDEX($CA176:$CR176,MATCH(1,$CA176:$CR176,0))))),SUM($CA176:$CR176))</f>
        <v>0</v>
      </c>
      <c r="B176" s="335"/>
      <c r="C176" s="340" t="s">
        <v>1279</v>
      </c>
      <c r="D176" s="41" t="s">
        <v>1569</v>
      </c>
      <c r="E176" s="35"/>
      <c r="F176" s="25"/>
      <c r="G176" s="174" t="s">
        <v>413</v>
      </c>
      <c r="H176" s="171" t="s">
        <v>125</v>
      </c>
      <c r="I176" s="25"/>
      <c r="J176" s="25"/>
      <c r="K176" s="25"/>
      <c r="L176" s="25"/>
      <c r="M176" s="25"/>
      <c r="N176" s="25"/>
      <c r="O176" s="25"/>
      <c r="P176" s="25"/>
      <c r="Q176" s="25"/>
      <c r="R176" s="25"/>
      <c r="S176" s="335"/>
      <c r="T176" s="25"/>
      <c r="U176" s="25"/>
      <c r="V176" s="222"/>
      <c r="W176" s="215">
        <f xml:space="preserve"> SUMIFS($AA176:$BJ176, $AA$3:$BJ$3, W$3)</f>
        <v>0</v>
      </c>
      <c r="X176" s="215">
        <f xml:space="preserve"> SUMIFS($AA176:$BJ176, $AA$3:$BJ$3, X$3)</f>
        <v>0</v>
      </c>
      <c r="Y176" s="215">
        <f xml:space="preserve"> SUMIFS($AA176:$BJ176, $AA$3:$BJ$3, Y$3)</f>
        <v>0</v>
      </c>
      <c r="Z176" s="335"/>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c r="BI176" s="147"/>
      <c r="BJ176" s="147"/>
      <c r="BK176" s="335"/>
      <c r="BL176" s="152">
        <f>V176</f>
        <v>0</v>
      </c>
      <c r="BM176" s="152">
        <f>W176</f>
        <v>0</v>
      </c>
      <c r="BN176" s="152">
        <f>X176</f>
        <v>0</v>
      </c>
      <c r="BO176" s="152">
        <f>Y176</f>
        <v>0</v>
      </c>
      <c r="BP176" s="141"/>
      <c r="BQ176" s="141"/>
      <c r="BR176" s="141"/>
      <c r="BS176" s="141"/>
      <c r="BT176" s="141"/>
      <c r="BU176" s="141"/>
      <c r="BV176" s="141"/>
      <c r="BW176" s="141"/>
      <c r="BX176" s="335"/>
      <c r="BY176" s="12"/>
      <c r="BZ176" s="395">
        <f>IF(MIN($V176:$BW176)&lt;0, 1, 0)</f>
        <v>0</v>
      </c>
      <c r="CA176" s="12"/>
      <c r="CB176" s="335"/>
      <c r="CC176" s="335"/>
      <c r="CD176" s="335"/>
      <c r="CE176" s="335"/>
      <c r="CF176" s="335"/>
      <c r="CG176" s="335"/>
      <c r="CH176" s="335"/>
      <c r="CI176" s="335"/>
      <c r="CJ176" s="335"/>
      <c r="CK176" s="335"/>
      <c r="CL176" s="335"/>
      <c r="CM176" s="7">
        <f>IF(ROUND(W176-SUMIFS($AA176:$BJ176, $AA$3:$BJ$3, W$3), rounding)=0, 0, 1)</f>
        <v>0</v>
      </c>
      <c r="CN176" s="7">
        <f>IF(ROUND(X176-SUMIFS($AA176:$BJ176, $AA$3:$BJ$3, X$3), rounding)=0, 0, 1)</f>
        <v>0</v>
      </c>
      <c r="CO176" s="7">
        <f>IF(ROUND(Y176-SUMIFS($AA176:$BJ176, $AA$3:$BJ$3, Y$3), rounding)=0, 0, 1)</f>
        <v>0</v>
      </c>
      <c r="CP176" s="7">
        <f>IF(ROUND(V176-BL176, rounding)=0, 0, 1)*'BS Forecasts'!$V$10</f>
        <v>0</v>
      </c>
      <c r="CQ176" s="335"/>
      <c r="CR176" s="12"/>
      <c r="CS176" s="93">
        <f t="shared" ref="CS176:CS239" si="182">IF(IFERROR(FIND("check", D176), 0)=0, 0, 1)</f>
        <v>0</v>
      </c>
      <c r="CT176" s="93">
        <v>1</v>
      </c>
      <c r="CU176" s="93">
        <v>1</v>
      </c>
      <c r="EX176" s="13" t="str">
        <f>IF(C176="", "", CONCATENATE(D161, " ",D176))</f>
        <v>Loan 7 Early Repayment Fee</v>
      </c>
    </row>
    <row r="177" spans="1:154" s="335" customFormat="1" ht="6.6" customHeight="1" x14ac:dyDescent="0.25">
      <c r="C177" s="380"/>
      <c r="D177" s="1"/>
      <c r="T177" s="25"/>
      <c r="U177" s="25"/>
      <c r="V177" s="93"/>
      <c r="BM177" s="6"/>
      <c r="BY177" s="42"/>
      <c r="CA177" s="42"/>
      <c r="CR177" s="42"/>
      <c r="CS177" s="93">
        <f t="shared" si="182"/>
        <v>0</v>
      </c>
      <c r="CT177" s="93">
        <v>0</v>
      </c>
      <c r="CU177" s="93">
        <v>0</v>
      </c>
      <c r="EX177" s="13" t="str">
        <f>IF(C177="", "", CONCATENATE(D161, " ",D177))</f>
        <v/>
      </c>
    </row>
    <row r="178" spans="1:154" s="335" customFormat="1" ht="15.75" x14ac:dyDescent="0.3">
      <c r="A178" s="362" cm="1">
        <f t="array" aca="1" ref="A178" ca="1">HYPERLINK(CONCATENATE("#",CELL("address",IF(SUM($CA178:$CR178)=0,A178,INDEX($CA178:$CR178,MATCH(1,$CA178:$CR178,0))))),SUM($CA178:$CR178))</f>
        <v>0</v>
      </c>
      <c r="B178" s="105" t="s">
        <v>335</v>
      </c>
      <c r="D178" s="51" t="s">
        <v>1630</v>
      </c>
      <c r="E178" s="220" t="str">
        <f>IF(I$19="", "", I$19)</f>
        <v/>
      </c>
      <c r="F178" s="220" t="str">
        <f>IF(J$19="", "", J$19)</f>
        <v/>
      </c>
      <c r="T178" s="25"/>
      <c r="U178" s="25"/>
      <c r="V178" s="230">
        <f>IF(AND(OR( V$5&gt;$F178, Timeline!V$8&lt;Loans!$E178), Loans!V176&lt;&gt;0), 1, 0)</f>
        <v>0</v>
      </c>
      <c r="W178" s="230">
        <f>IF(AND(OR( W$5&gt;$F178, Timeline!W$8&lt;Loans!$E178), Loans!W176&lt;&gt;0), 1, 0)</f>
        <v>0</v>
      </c>
      <c r="X178" s="230">
        <f>IF(AND(OR( X$5&gt;$F178, Timeline!X$8&lt;Loans!$E178), Loans!X176&lt;&gt;0), 1, 0)</f>
        <v>0</v>
      </c>
      <c r="Y178" s="230">
        <f>IF(AND(OR( Y$5&gt;$F178, Timeline!Y$8&lt;Loans!$E178), Loans!Y176&lt;&gt;0), 1, 0)</f>
        <v>0</v>
      </c>
      <c r="AA178" s="230">
        <f>IF(AND(OR( AA$5&gt;$F178, Timeline!AA$8&lt;Loans!$E178), Loans!AA176&lt;&gt;0), 1, 0)</f>
        <v>0</v>
      </c>
      <c r="AB178" s="230">
        <f>IF(AND(OR( AB$5&gt;$F178, Timeline!AB$8&lt;Loans!$E178), Loans!AB176&lt;&gt;0), 1, 0)</f>
        <v>0</v>
      </c>
      <c r="AC178" s="230">
        <f>IF(AND(OR( AC$5&gt;$F178, Timeline!AC$8&lt;Loans!$E178), Loans!AC176&lt;&gt;0), 1, 0)</f>
        <v>0</v>
      </c>
      <c r="AD178" s="230">
        <f>IF(AND(OR( AD$5&gt;$F178, Timeline!AD$8&lt;Loans!$E178), Loans!AD176&lt;&gt;0), 1, 0)</f>
        <v>0</v>
      </c>
      <c r="AE178" s="230">
        <f>IF(AND(OR( AE$5&gt;$F178, Timeline!AE$8&lt;Loans!$E178), Loans!AE176&lt;&gt;0), 1, 0)</f>
        <v>0</v>
      </c>
      <c r="AF178" s="230">
        <f>IF(AND(OR( AF$5&gt;$F178, Timeline!AF$8&lt;Loans!$E178), Loans!AF176&lt;&gt;0), 1, 0)</f>
        <v>0</v>
      </c>
      <c r="AG178" s="230">
        <f>IF(AND(OR( AG$5&gt;$F178, Timeline!AG$8&lt;Loans!$E178), Loans!AG176&lt;&gt;0), 1, 0)</f>
        <v>0</v>
      </c>
      <c r="AH178" s="230">
        <f>IF(AND(OR( AH$5&gt;$F178, Timeline!AH$8&lt;Loans!$E178), Loans!AH176&lt;&gt;0), 1, 0)</f>
        <v>0</v>
      </c>
      <c r="AI178" s="230">
        <f>IF(AND(OR( AI$5&gt;$F178, Timeline!AI$8&lt;Loans!$E178), Loans!AI176&lt;&gt;0), 1, 0)</f>
        <v>0</v>
      </c>
      <c r="AJ178" s="230">
        <f>IF(AND(OR( AJ$5&gt;$F178, Timeline!AJ$8&lt;Loans!$E178), Loans!AJ176&lt;&gt;0), 1, 0)</f>
        <v>0</v>
      </c>
      <c r="AK178" s="230">
        <f>IF(AND(OR( AK$5&gt;$F178, Timeline!AK$8&lt;Loans!$E178), Loans!AK176&lt;&gt;0), 1, 0)</f>
        <v>0</v>
      </c>
      <c r="AL178" s="230">
        <f>IF(AND(OR( AL$5&gt;$F178, Timeline!AL$8&lt;Loans!$E178), Loans!AL176&lt;&gt;0), 1, 0)</f>
        <v>0</v>
      </c>
      <c r="AM178" s="230">
        <f>IF(AND(OR( AM$5&gt;$F178, Timeline!AM$8&lt;Loans!$E178), Loans!AM176&lt;&gt;0), 1, 0)</f>
        <v>0</v>
      </c>
      <c r="AN178" s="230">
        <f>IF(AND(OR( AN$5&gt;$F178, Timeline!AN$8&lt;Loans!$E178), Loans!AN176&lt;&gt;0), 1, 0)</f>
        <v>0</v>
      </c>
      <c r="AO178" s="230">
        <f>IF(AND(OR( AO$5&gt;$F178, Timeline!AO$8&lt;Loans!$E178), Loans!AO176&lt;&gt;0), 1, 0)</f>
        <v>0</v>
      </c>
      <c r="AP178" s="230">
        <f>IF(AND(OR( AP$5&gt;$F178, Timeline!AP$8&lt;Loans!$E178), Loans!AP176&lt;&gt;0), 1, 0)</f>
        <v>0</v>
      </c>
      <c r="AQ178" s="230">
        <f>IF(AND(OR( AQ$5&gt;$F178, Timeline!AQ$8&lt;Loans!$E178), Loans!AQ176&lt;&gt;0), 1, 0)</f>
        <v>0</v>
      </c>
      <c r="AR178" s="230">
        <f>IF(AND(OR( AR$5&gt;$F178, Timeline!AR$8&lt;Loans!$E178), Loans!AR176&lt;&gt;0), 1, 0)</f>
        <v>0</v>
      </c>
      <c r="AS178" s="230">
        <f>IF(AND(OR( AS$5&gt;$F178, Timeline!AS$8&lt;Loans!$E178), Loans!AS176&lt;&gt;0), 1, 0)</f>
        <v>0</v>
      </c>
      <c r="AT178" s="230">
        <f>IF(AND(OR( AT$5&gt;$F178, Timeline!AT$8&lt;Loans!$E178), Loans!AT176&lt;&gt;0), 1, 0)</f>
        <v>0</v>
      </c>
      <c r="AU178" s="230">
        <f>IF(AND(OR( AU$5&gt;$F178, Timeline!AU$8&lt;Loans!$E178), Loans!AU176&lt;&gt;0), 1, 0)</f>
        <v>0</v>
      </c>
      <c r="AV178" s="230">
        <f>IF(AND(OR( AV$5&gt;$F178, Timeline!AV$8&lt;Loans!$E178), Loans!AV176&lt;&gt;0), 1, 0)</f>
        <v>0</v>
      </c>
      <c r="AW178" s="230">
        <f>IF(AND(OR( AW$5&gt;$F178, Timeline!AW$8&lt;Loans!$E178), Loans!AW176&lt;&gt;0), 1, 0)</f>
        <v>0</v>
      </c>
      <c r="AX178" s="230">
        <f>IF(AND(OR( AX$5&gt;$F178, Timeline!AX$8&lt;Loans!$E178), Loans!AX176&lt;&gt;0), 1, 0)</f>
        <v>0</v>
      </c>
      <c r="AY178" s="230">
        <f>IF(AND(OR( AY$5&gt;$F178, Timeline!AY$8&lt;Loans!$E178), Loans!AY176&lt;&gt;0), 1, 0)</f>
        <v>0</v>
      </c>
      <c r="AZ178" s="230">
        <f>IF(AND(OR( AZ$5&gt;$F178, Timeline!AZ$8&lt;Loans!$E178), Loans!AZ176&lt;&gt;0), 1, 0)</f>
        <v>0</v>
      </c>
      <c r="BA178" s="230">
        <f>IF(AND(OR( BA$5&gt;$F178, Timeline!BA$8&lt;Loans!$E178), Loans!BA176&lt;&gt;0), 1, 0)</f>
        <v>0</v>
      </c>
      <c r="BB178" s="230">
        <f>IF(AND(OR( BB$5&gt;$F178, Timeline!BB$8&lt;Loans!$E178), Loans!BB176&lt;&gt;0), 1, 0)</f>
        <v>0</v>
      </c>
      <c r="BC178" s="230">
        <f>IF(AND(OR( BC$5&gt;$F178, Timeline!BC$8&lt;Loans!$E178), Loans!BC176&lt;&gt;0), 1, 0)</f>
        <v>0</v>
      </c>
      <c r="BD178" s="230">
        <f>IF(AND(OR( BD$5&gt;$F178, Timeline!BD$8&lt;Loans!$E178), Loans!BD176&lt;&gt;0), 1, 0)</f>
        <v>0</v>
      </c>
      <c r="BE178" s="230">
        <f>IF(AND(OR( BE$5&gt;$F178, Timeline!BE$8&lt;Loans!$E178), Loans!BE176&lt;&gt;0), 1, 0)</f>
        <v>0</v>
      </c>
      <c r="BF178" s="230">
        <f>IF(AND(OR( BF$5&gt;$F178, Timeline!BF$8&lt;Loans!$E178), Loans!BF176&lt;&gt;0), 1, 0)</f>
        <v>0</v>
      </c>
      <c r="BG178" s="230">
        <f>IF(AND(OR( BG$5&gt;$F178, Timeline!BG$8&lt;Loans!$E178), Loans!BG176&lt;&gt;0), 1, 0)</f>
        <v>0</v>
      </c>
      <c r="BH178" s="230">
        <f>IF(AND(OR( BH$5&gt;$F178, Timeline!BH$8&lt;Loans!$E178), Loans!BH176&lt;&gt;0), 1, 0)</f>
        <v>0</v>
      </c>
      <c r="BI178" s="230">
        <f>IF(AND(OR( BI$5&gt;$F178, Timeline!BI$8&lt;Loans!$E178), Loans!BI176&lt;&gt;0), 1, 0)</f>
        <v>0</v>
      </c>
      <c r="BJ178" s="230">
        <f>IF(AND(OR( BJ$5&gt;$F178, Timeline!BJ$8&lt;Loans!$E178), Loans!BJ176&lt;&gt;0), 1, 0)</f>
        <v>0</v>
      </c>
      <c r="BL178" s="230">
        <f>IF(AND(OR( BL$5&gt;$F178, Timeline!BL$8&lt;Loans!$E178), Loans!BL176&lt;&gt;0), 1, 0)</f>
        <v>0</v>
      </c>
      <c r="BM178" s="230">
        <f>IF(AND(OR( BM$5&gt;$F178, Timeline!BM$8&lt;Loans!$E178), Loans!BM176&lt;&gt;0), 1, 0)</f>
        <v>0</v>
      </c>
      <c r="BN178" s="230">
        <f>IF(AND(OR( BN$5&gt;$F178, Timeline!BN$8&lt;Loans!$E178), Loans!BN176&lt;&gt;0), 1, 0)</f>
        <v>0</v>
      </c>
      <c r="BO178" s="230">
        <f>IF(AND(OR( BO$5&gt;$F178, Timeline!BO$8&lt;Loans!$E178), Loans!BO176&lt;&gt;0), 1, 0)</f>
        <v>0</v>
      </c>
      <c r="BP178" s="230">
        <f>IF(AND(OR( BP$5&gt;$F178, Timeline!BP$8&lt;Loans!$E178), Loans!BP176&lt;&gt;0), 1, 0)</f>
        <v>0</v>
      </c>
      <c r="BQ178" s="230">
        <f>IF(AND(OR( BQ$5&gt;$F178, Timeline!BQ$8&lt;Loans!$E178), Loans!BQ176&lt;&gt;0), 1, 0)</f>
        <v>0</v>
      </c>
      <c r="BR178" s="230">
        <f>IF(AND(OR( BR$5&gt;$F178, Timeline!BR$8&lt;Loans!$E178), Loans!BR176&lt;&gt;0), 1, 0)</f>
        <v>0</v>
      </c>
      <c r="BS178" s="230">
        <f>IF(AND(OR( BS$5&gt;$F178, Timeline!BS$8&lt;Loans!$E178), Loans!BS176&lt;&gt;0), 1, 0)</f>
        <v>0</v>
      </c>
      <c r="BT178" s="230">
        <f>IF(AND(OR( BT$5&gt;$F178, Timeline!BT$8&lt;Loans!$E178), Loans!BT176&lt;&gt;0), 1, 0)</f>
        <v>0</v>
      </c>
      <c r="BU178" s="230">
        <f>IF(AND(OR( BU$5&gt;$F178, Timeline!BU$8&lt;Loans!$E178), Loans!BU176&lt;&gt;0), 1, 0)</f>
        <v>0</v>
      </c>
      <c r="BV178" s="230">
        <f>IF(AND(OR( BV$5&gt;$F178, Timeline!BV$8&lt;Loans!$E178), Loans!BV176&lt;&gt;0), 1, 0)</f>
        <v>0</v>
      </c>
      <c r="BW178" s="230">
        <f>IF(AND(OR( BW$5&gt;$F178, Timeline!BW$8&lt;Loans!$E178), Loans!BW176&lt;&gt;0), 1, 0)</f>
        <v>0</v>
      </c>
      <c r="BY178" s="12"/>
      <c r="CA178" s="12"/>
      <c r="CL178" s="7">
        <f>IF(MAX($V178:$BW178)&gt;0, 1, 0)</f>
        <v>0</v>
      </c>
      <c r="CR178" s="12"/>
      <c r="CS178" s="93">
        <f t="shared" si="182"/>
        <v>1</v>
      </c>
      <c r="CT178" s="93">
        <v>0</v>
      </c>
      <c r="CU178" s="93">
        <v>0</v>
      </c>
      <c r="EX178" s="13" t="str">
        <f>IF(C178="", "", CONCATENATE(D161, " ",D178))</f>
        <v/>
      </c>
    </row>
    <row r="179" spans="1:154" s="335" customFormat="1" ht="6.6" customHeight="1" x14ac:dyDescent="0.25">
      <c r="C179" s="380"/>
      <c r="D179" s="1"/>
      <c r="T179" s="25"/>
      <c r="U179" s="25"/>
      <c r="V179" s="93"/>
      <c r="BM179" s="6"/>
      <c r="BY179" s="42"/>
      <c r="CA179" s="42"/>
      <c r="CR179" s="42"/>
      <c r="CS179" s="93">
        <f t="shared" si="182"/>
        <v>0</v>
      </c>
      <c r="CT179" s="93">
        <v>0</v>
      </c>
      <c r="CU179" s="93">
        <v>0</v>
      </c>
      <c r="EX179" s="10" t="str">
        <f t="shared" ref="EX179" si="183">IF($C179="","",$D179)</f>
        <v/>
      </c>
    </row>
    <row r="180" spans="1:154" s="67" customFormat="1" x14ac:dyDescent="0.25">
      <c r="A180" s="64"/>
      <c r="C180" s="380"/>
      <c r="D180" s="64" t="s">
        <v>197</v>
      </c>
      <c r="E180" s="64"/>
      <c r="F180" s="64"/>
      <c r="G180" s="64"/>
      <c r="H180" s="64"/>
      <c r="I180" s="64"/>
      <c r="L180" s="64"/>
      <c r="M180" s="64"/>
      <c r="N180" s="64"/>
      <c r="O180" s="64"/>
      <c r="P180" s="64"/>
      <c r="Q180" s="64"/>
      <c r="S180" s="335"/>
      <c r="T180" s="25"/>
      <c r="U180" s="25"/>
      <c r="V180" s="229"/>
      <c r="W180" s="25"/>
      <c r="X180" s="25"/>
      <c r="Y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L180" s="25"/>
      <c r="BM180" s="25"/>
      <c r="BN180" s="25"/>
      <c r="BO180" s="25"/>
      <c r="BP180" s="25"/>
      <c r="BQ180" s="25"/>
      <c r="BR180" s="25"/>
      <c r="BS180" s="25"/>
      <c r="BT180" s="25"/>
      <c r="BU180" s="25"/>
      <c r="BV180" s="25"/>
      <c r="BW180" s="25"/>
      <c r="BY180" s="12"/>
      <c r="BZ180" s="335"/>
      <c r="CA180" s="12"/>
      <c r="CB180" s="335"/>
      <c r="CC180" s="335"/>
      <c r="CD180" s="335"/>
      <c r="CE180" s="335"/>
      <c r="CM180" s="335"/>
      <c r="CN180" s="335"/>
      <c r="CO180" s="335"/>
      <c r="CP180" s="335"/>
      <c r="CR180" s="12"/>
      <c r="CS180" s="93">
        <f t="shared" si="182"/>
        <v>0</v>
      </c>
      <c r="CT180" s="93">
        <v>0</v>
      </c>
      <c r="CU180" s="93">
        <v>0</v>
      </c>
      <c r="EW180" s="335"/>
      <c r="EX180" s="10" t="str">
        <f t="shared" si="110"/>
        <v/>
      </c>
    </row>
    <row r="181" spans="1:154" s="67" customFormat="1" x14ac:dyDescent="0.25">
      <c r="C181" s="340" t="s">
        <v>1380</v>
      </c>
      <c r="D181" s="51" t="s">
        <v>230</v>
      </c>
      <c r="E181" s="1"/>
      <c r="G181" s="9" t="s">
        <v>413</v>
      </c>
      <c r="H181" s="50" t="s">
        <v>8</v>
      </c>
      <c r="S181" s="335"/>
      <c r="T181" s="25"/>
      <c r="U181" s="25"/>
      <c r="V181" s="210"/>
      <c r="W181" s="201">
        <f>V185</f>
        <v>0</v>
      </c>
      <c r="X181" s="201">
        <f>W185</f>
        <v>0</v>
      </c>
      <c r="Y181" s="10">
        <f>X185</f>
        <v>0</v>
      </c>
      <c r="AA181" s="13">
        <f>W181</f>
        <v>0</v>
      </c>
      <c r="AB181" s="10">
        <f t="shared" ref="AB181:BJ181" si="184">AA185</f>
        <v>0</v>
      </c>
      <c r="AC181" s="10">
        <f t="shared" si="184"/>
        <v>0</v>
      </c>
      <c r="AD181" s="10">
        <f t="shared" si="184"/>
        <v>0</v>
      </c>
      <c r="AE181" s="10">
        <f t="shared" si="184"/>
        <v>0</v>
      </c>
      <c r="AF181" s="10">
        <f t="shared" si="184"/>
        <v>0</v>
      </c>
      <c r="AG181" s="10">
        <f t="shared" si="184"/>
        <v>0</v>
      </c>
      <c r="AH181" s="10">
        <f t="shared" si="184"/>
        <v>0</v>
      </c>
      <c r="AI181" s="10">
        <f t="shared" si="184"/>
        <v>0</v>
      </c>
      <c r="AJ181" s="10">
        <f t="shared" si="184"/>
        <v>0</v>
      </c>
      <c r="AK181" s="10">
        <f t="shared" si="184"/>
        <v>0</v>
      </c>
      <c r="AL181" s="10">
        <f t="shared" si="184"/>
        <v>0</v>
      </c>
      <c r="AM181" s="10">
        <f t="shared" si="184"/>
        <v>0</v>
      </c>
      <c r="AN181" s="10">
        <f t="shared" si="184"/>
        <v>0</v>
      </c>
      <c r="AO181" s="10">
        <f t="shared" si="184"/>
        <v>0</v>
      </c>
      <c r="AP181" s="10">
        <f t="shared" si="184"/>
        <v>0</v>
      </c>
      <c r="AQ181" s="10">
        <f t="shared" si="184"/>
        <v>0</v>
      </c>
      <c r="AR181" s="10">
        <f t="shared" si="184"/>
        <v>0</v>
      </c>
      <c r="AS181" s="10">
        <f t="shared" si="184"/>
        <v>0</v>
      </c>
      <c r="AT181" s="10">
        <f t="shared" si="184"/>
        <v>0</v>
      </c>
      <c r="AU181" s="10">
        <f t="shared" si="184"/>
        <v>0</v>
      </c>
      <c r="AV181" s="10">
        <f t="shared" si="184"/>
        <v>0</v>
      </c>
      <c r="AW181" s="10">
        <f t="shared" si="184"/>
        <v>0</v>
      </c>
      <c r="AX181" s="10">
        <f t="shared" si="184"/>
        <v>0</v>
      </c>
      <c r="AY181" s="10">
        <f t="shared" si="184"/>
        <v>0</v>
      </c>
      <c r="AZ181" s="10">
        <f t="shared" si="184"/>
        <v>0</v>
      </c>
      <c r="BA181" s="10">
        <f t="shared" si="184"/>
        <v>0</v>
      </c>
      <c r="BB181" s="10">
        <f t="shared" si="184"/>
        <v>0</v>
      </c>
      <c r="BC181" s="10">
        <f t="shared" si="184"/>
        <v>0</v>
      </c>
      <c r="BD181" s="10">
        <f t="shared" si="184"/>
        <v>0</v>
      </c>
      <c r="BE181" s="10">
        <f t="shared" si="184"/>
        <v>0</v>
      </c>
      <c r="BF181" s="10">
        <f t="shared" si="184"/>
        <v>0</v>
      </c>
      <c r="BG181" s="10">
        <f t="shared" si="184"/>
        <v>0</v>
      </c>
      <c r="BH181" s="10">
        <f t="shared" si="184"/>
        <v>0</v>
      </c>
      <c r="BI181" s="10">
        <f t="shared" si="184"/>
        <v>0</v>
      </c>
      <c r="BJ181" s="10">
        <f t="shared" si="184"/>
        <v>0</v>
      </c>
      <c r="BL181" s="13">
        <f t="shared" ref="BL181:BO185" si="185">V181</f>
        <v>0</v>
      </c>
      <c r="BM181" s="13">
        <f t="shared" si="185"/>
        <v>0</v>
      </c>
      <c r="BN181" s="13">
        <f t="shared" si="185"/>
        <v>0</v>
      </c>
      <c r="BO181" s="13">
        <f t="shared" si="185"/>
        <v>0</v>
      </c>
      <c r="BP181" s="10">
        <f t="shared" ref="BP181:BW181" si="186">BO185</f>
        <v>0</v>
      </c>
      <c r="BQ181" s="10">
        <f t="shared" si="186"/>
        <v>0</v>
      </c>
      <c r="BR181" s="10">
        <f t="shared" si="186"/>
        <v>0</v>
      </c>
      <c r="BS181" s="10">
        <f t="shared" si="186"/>
        <v>0</v>
      </c>
      <c r="BT181" s="10">
        <f t="shared" si="186"/>
        <v>0</v>
      </c>
      <c r="BU181" s="10">
        <f t="shared" si="186"/>
        <v>0</v>
      </c>
      <c r="BV181" s="10">
        <f t="shared" si="186"/>
        <v>0</v>
      </c>
      <c r="BW181" s="10">
        <f t="shared" si="186"/>
        <v>0</v>
      </c>
      <c r="BY181" s="12"/>
      <c r="BZ181" s="335"/>
      <c r="CA181" s="12"/>
      <c r="CB181" s="335"/>
      <c r="CC181" s="335"/>
      <c r="CD181" s="335"/>
      <c r="CE181" s="335"/>
      <c r="CM181" s="335"/>
      <c r="CN181" s="335"/>
      <c r="CO181" s="335"/>
      <c r="CP181" s="335"/>
      <c r="CR181" s="12"/>
      <c r="CS181" s="93">
        <f t="shared" si="182"/>
        <v>0</v>
      </c>
      <c r="CT181" s="93">
        <v>1</v>
      </c>
      <c r="CU181" s="93">
        <v>0</v>
      </c>
      <c r="EW181" s="335"/>
      <c r="EX181" s="13" t="str">
        <f>IF(C181="", "", CONCATENATE(D180, " ",D181))</f>
        <v>Loan 8 Opening Loan Balance</v>
      </c>
    </row>
    <row r="182" spans="1:154" s="5" customFormat="1" x14ac:dyDescent="0.25">
      <c r="A182" s="362" cm="1">
        <f t="array" aca="1" ref="A182" ca="1">HYPERLINK(CONCATENATE("#",CELL("address",IF(SUM($CA182:$CR182)=0,A182,INDEX($CA182:$CR182,MATCH(1,$CA182:$CR182,0))))),SUM($CA182:$CR182))</f>
        <v>0</v>
      </c>
      <c r="B182" s="67"/>
      <c r="C182" s="340" t="s">
        <v>1261</v>
      </c>
      <c r="D182" s="51" t="s">
        <v>219</v>
      </c>
      <c r="E182" s="1"/>
      <c r="F182" s="25"/>
      <c r="G182" s="9" t="s">
        <v>413</v>
      </c>
      <c r="H182" s="50" t="s">
        <v>125</v>
      </c>
      <c r="I182" s="67"/>
      <c r="J182" s="67"/>
      <c r="K182" s="67"/>
      <c r="L182" s="67"/>
      <c r="M182" s="67"/>
      <c r="N182" s="67"/>
      <c r="O182" s="67"/>
      <c r="P182" s="67"/>
      <c r="Q182" s="67"/>
      <c r="R182" s="67"/>
      <c r="S182" s="335"/>
      <c r="T182" s="25"/>
      <c r="U182" s="25"/>
      <c r="V182" s="222"/>
      <c r="W182" s="215">
        <f t="shared" ref="W182:Y184" si="187" xml:space="preserve"> SUMIFS($AA182:$BJ182, $AA$3:$BJ$3, W$3)</f>
        <v>0</v>
      </c>
      <c r="X182" s="215">
        <f t="shared" si="187"/>
        <v>0</v>
      </c>
      <c r="Y182" s="215">
        <f t="shared" si="187"/>
        <v>0</v>
      </c>
      <c r="Z182" s="6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c r="BI182" s="147"/>
      <c r="BJ182" s="147"/>
      <c r="BK182" s="67"/>
      <c r="BL182" s="152">
        <f t="shared" si="185"/>
        <v>0</v>
      </c>
      <c r="BM182" s="152">
        <f t="shared" si="185"/>
        <v>0</v>
      </c>
      <c r="BN182" s="152">
        <f t="shared" si="185"/>
        <v>0</v>
      </c>
      <c r="BO182" s="152">
        <f t="shared" si="185"/>
        <v>0</v>
      </c>
      <c r="BP182" s="156"/>
      <c r="BQ182" s="156"/>
      <c r="BR182" s="156"/>
      <c r="BS182" s="156"/>
      <c r="BT182" s="156"/>
      <c r="BU182" s="156"/>
      <c r="BV182" s="156"/>
      <c r="BW182" s="156"/>
      <c r="BX182" s="67"/>
      <c r="BY182" s="12"/>
      <c r="BZ182" s="395">
        <f>IF(MIN($V182:$BW182)&lt;0, 1, 0)</f>
        <v>0</v>
      </c>
      <c r="CA182" s="12"/>
      <c r="CB182" s="335"/>
      <c r="CC182" s="335"/>
      <c r="CD182" s="335"/>
      <c r="CE182" s="335"/>
      <c r="CF182" s="67"/>
      <c r="CG182" s="67"/>
      <c r="CH182" s="67"/>
      <c r="CI182" s="67"/>
      <c r="CJ182" s="67"/>
      <c r="CK182" s="67"/>
      <c r="CL182" s="67"/>
      <c r="CM182" s="7">
        <f t="shared" ref="CM182:CO184" si="188">IF(ROUND(W182-SUMIFS($AA182:$BJ182, $AA$3:$BJ$3, W$3), rounding)=0, 0, 1)</f>
        <v>0</v>
      </c>
      <c r="CN182" s="7">
        <f t="shared" si="188"/>
        <v>0</v>
      </c>
      <c r="CO182" s="7">
        <f t="shared" si="188"/>
        <v>0</v>
      </c>
      <c r="CP182" s="7">
        <f>IF(ROUND(V182-BL182, rounding)=0, 0, 1)*'BS Forecasts'!$V$10</f>
        <v>0</v>
      </c>
      <c r="CQ182" s="67"/>
      <c r="CR182" s="12"/>
      <c r="CS182" s="93">
        <f t="shared" si="182"/>
        <v>0</v>
      </c>
      <c r="CT182" s="93">
        <v>1</v>
      </c>
      <c r="CU182" s="93">
        <v>1</v>
      </c>
      <c r="EX182" s="13" t="str">
        <f>IF(C182="", "", CONCATENATE(D180, " ",D182))</f>
        <v>Loan 8 Drawdowns</v>
      </c>
    </row>
    <row r="183" spans="1:154" s="67" customFormat="1" x14ac:dyDescent="0.25">
      <c r="A183" s="362" cm="1">
        <f t="array" aca="1" ref="A183" ca="1">HYPERLINK(CONCATENATE("#",CELL("address",IF(SUM($CA183:$CR183)=0,A183,INDEX($CA183:$CR183,MATCH(1,$CA183:$CR183,0))))),SUM($CA183:$CR183))</f>
        <v>0</v>
      </c>
      <c r="C183" s="340" t="s">
        <v>1262</v>
      </c>
      <c r="D183" s="41" t="s">
        <v>1570</v>
      </c>
      <c r="E183" s="1"/>
      <c r="G183" s="9" t="s">
        <v>413</v>
      </c>
      <c r="H183" s="50" t="s">
        <v>157</v>
      </c>
      <c r="S183" s="335"/>
      <c r="T183" s="25"/>
      <c r="U183" s="25"/>
      <c r="V183" s="222"/>
      <c r="W183" s="215">
        <f t="shared" si="187"/>
        <v>0</v>
      </c>
      <c r="X183" s="215">
        <f t="shared" si="187"/>
        <v>0</v>
      </c>
      <c r="Y183" s="215">
        <f t="shared" si="187"/>
        <v>0</v>
      </c>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c r="BI183" s="147"/>
      <c r="BJ183" s="147"/>
      <c r="BL183" s="152">
        <f t="shared" si="185"/>
        <v>0</v>
      </c>
      <c r="BM183" s="152">
        <f t="shared" si="185"/>
        <v>0</v>
      </c>
      <c r="BN183" s="152">
        <f t="shared" si="185"/>
        <v>0</v>
      </c>
      <c r="BO183" s="152">
        <f t="shared" si="185"/>
        <v>0</v>
      </c>
      <c r="BP183" s="156"/>
      <c r="BQ183" s="156"/>
      <c r="BR183" s="156"/>
      <c r="BS183" s="156"/>
      <c r="BT183" s="156"/>
      <c r="BU183" s="156"/>
      <c r="BV183" s="156"/>
      <c r="BW183" s="156"/>
      <c r="BY183" s="12"/>
      <c r="BZ183" s="395">
        <f>IF(MAX($V183:$BW183)&gt;0, 1, 0)</f>
        <v>0</v>
      </c>
      <c r="CA183" s="12"/>
      <c r="CB183" s="335"/>
      <c r="CC183" s="335"/>
      <c r="CD183" s="335"/>
      <c r="CE183" s="335"/>
      <c r="CM183" s="7">
        <f t="shared" si="188"/>
        <v>0</v>
      </c>
      <c r="CN183" s="7">
        <f t="shared" si="188"/>
        <v>0</v>
      </c>
      <c r="CO183" s="7">
        <f t="shared" si="188"/>
        <v>0</v>
      </c>
      <c r="CP183" s="7">
        <f>IF(ROUND(V183-BL183, rounding)=0, 0, 1)*'BS Forecasts'!$V$10</f>
        <v>0</v>
      </c>
      <c r="CR183" s="12"/>
      <c r="CS183" s="93">
        <f t="shared" si="182"/>
        <v>0</v>
      </c>
      <c r="CT183" s="93">
        <v>1</v>
      </c>
      <c r="CU183" s="93">
        <v>1</v>
      </c>
      <c r="EW183" s="335"/>
      <c r="EX183" s="13" t="str">
        <f>IF(C183="", "", CONCATENATE(D180, " ",D183))</f>
        <v>Loan 8 Loan Capital Repayment (as per loan agreement)</v>
      </c>
    </row>
    <row r="184" spans="1:154" s="335" customFormat="1" x14ac:dyDescent="0.25">
      <c r="A184" s="362" cm="1">
        <f t="array" aca="1" ref="A184" ca="1">HYPERLINK(CONCATENATE("#",CELL("address",IF(SUM($CA184:$CR184)=0,A184,INDEX($CA184:$CR184,MATCH(1,$CA184:$CR184,0))))),SUM($CA184:$CR184))</f>
        <v>0</v>
      </c>
      <c r="C184" s="340" t="s">
        <v>1585</v>
      </c>
      <c r="D184" s="41" t="s">
        <v>1571</v>
      </c>
      <c r="E184" s="1"/>
      <c r="G184" s="9" t="s">
        <v>413</v>
      </c>
      <c r="H184" s="50" t="s">
        <v>157</v>
      </c>
      <c r="T184" s="25"/>
      <c r="U184" s="25"/>
      <c r="V184" s="210"/>
      <c r="W184" s="215">
        <f t="shared" si="187"/>
        <v>0</v>
      </c>
      <c r="X184" s="215">
        <f t="shared" si="187"/>
        <v>0</v>
      </c>
      <c r="Y184" s="215">
        <f t="shared" si="187"/>
        <v>0</v>
      </c>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c r="BI184" s="147"/>
      <c r="BJ184" s="147"/>
      <c r="BL184" s="13">
        <f t="shared" si="185"/>
        <v>0</v>
      </c>
      <c r="BM184" s="13">
        <f t="shared" si="185"/>
        <v>0</v>
      </c>
      <c r="BN184" s="13">
        <f t="shared" si="185"/>
        <v>0</v>
      </c>
      <c r="BO184" s="13">
        <f t="shared" si="185"/>
        <v>0</v>
      </c>
      <c r="BP184" s="141"/>
      <c r="BQ184" s="141"/>
      <c r="BR184" s="141"/>
      <c r="BS184" s="141"/>
      <c r="BT184" s="141"/>
      <c r="BU184" s="141"/>
      <c r="BV184" s="141"/>
      <c r="BW184" s="141"/>
      <c r="BY184" s="12"/>
      <c r="BZ184" s="395">
        <f>IF(MAX($V184:$BW184)&gt;0, 1, 0)</f>
        <v>0</v>
      </c>
      <c r="CA184" s="12"/>
      <c r="CM184" s="7">
        <f t="shared" si="188"/>
        <v>0</v>
      </c>
      <c r="CN184" s="7">
        <f t="shared" si="188"/>
        <v>0</v>
      </c>
      <c r="CO184" s="7">
        <f t="shared" si="188"/>
        <v>0</v>
      </c>
      <c r="CP184" s="7">
        <f>IF(ROUND(V184-BL184, rounding)=0, 0, 1)*'BS Forecasts'!$V$10</f>
        <v>0</v>
      </c>
      <c r="CR184" s="12"/>
      <c r="CS184" s="93">
        <f t="shared" si="182"/>
        <v>0</v>
      </c>
      <c r="CT184" s="93">
        <v>1</v>
      </c>
      <c r="CU184" s="93">
        <v>1</v>
      </c>
      <c r="EX184" s="13" t="str">
        <f>IF(C184="", "", CONCATENATE(D180, " ",D184))</f>
        <v xml:space="preserve">Loan 8 Early Repayment </v>
      </c>
    </row>
    <row r="185" spans="1:154" s="67" customFormat="1" x14ac:dyDescent="0.25">
      <c r="C185" s="340" t="s">
        <v>1360</v>
      </c>
      <c r="D185" s="51" t="s">
        <v>231</v>
      </c>
      <c r="E185" s="1"/>
      <c r="G185" s="9" t="s">
        <v>413</v>
      </c>
      <c r="H185" s="50" t="s">
        <v>8</v>
      </c>
      <c r="S185" s="335"/>
      <c r="T185" s="25"/>
      <c r="U185" s="25"/>
      <c r="V185" s="13">
        <f>$G$20</f>
        <v>0</v>
      </c>
      <c r="W185" s="10">
        <f>SUM(W181:W184)</f>
        <v>0</v>
      </c>
      <c r="X185" s="10">
        <f t="shared" ref="X185:BJ185" si="189">SUM(X181:X184)</f>
        <v>0</v>
      </c>
      <c r="Y185" s="10">
        <f t="shared" si="189"/>
        <v>0</v>
      </c>
      <c r="Z185" s="335"/>
      <c r="AA185" s="10">
        <f t="shared" si="189"/>
        <v>0</v>
      </c>
      <c r="AB185" s="10">
        <f t="shared" si="189"/>
        <v>0</v>
      </c>
      <c r="AC185" s="10">
        <f t="shared" si="189"/>
        <v>0</v>
      </c>
      <c r="AD185" s="10">
        <f t="shared" si="189"/>
        <v>0</v>
      </c>
      <c r="AE185" s="10">
        <f t="shared" si="189"/>
        <v>0</v>
      </c>
      <c r="AF185" s="10">
        <f t="shared" si="189"/>
        <v>0</v>
      </c>
      <c r="AG185" s="10">
        <f t="shared" si="189"/>
        <v>0</v>
      </c>
      <c r="AH185" s="10">
        <f t="shared" si="189"/>
        <v>0</v>
      </c>
      <c r="AI185" s="10">
        <f t="shared" si="189"/>
        <v>0</v>
      </c>
      <c r="AJ185" s="10">
        <f t="shared" si="189"/>
        <v>0</v>
      </c>
      <c r="AK185" s="10">
        <f t="shared" si="189"/>
        <v>0</v>
      </c>
      <c r="AL185" s="10">
        <f t="shared" si="189"/>
        <v>0</v>
      </c>
      <c r="AM185" s="10">
        <f t="shared" si="189"/>
        <v>0</v>
      </c>
      <c r="AN185" s="10">
        <f t="shared" si="189"/>
        <v>0</v>
      </c>
      <c r="AO185" s="10">
        <f t="shared" si="189"/>
        <v>0</v>
      </c>
      <c r="AP185" s="10">
        <f t="shared" si="189"/>
        <v>0</v>
      </c>
      <c r="AQ185" s="10">
        <f t="shared" si="189"/>
        <v>0</v>
      </c>
      <c r="AR185" s="10">
        <f t="shared" si="189"/>
        <v>0</v>
      </c>
      <c r="AS185" s="10">
        <f t="shared" si="189"/>
        <v>0</v>
      </c>
      <c r="AT185" s="10">
        <f t="shared" si="189"/>
        <v>0</v>
      </c>
      <c r="AU185" s="10">
        <f t="shared" si="189"/>
        <v>0</v>
      </c>
      <c r="AV185" s="10">
        <f t="shared" si="189"/>
        <v>0</v>
      </c>
      <c r="AW185" s="10">
        <f t="shared" si="189"/>
        <v>0</v>
      </c>
      <c r="AX185" s="10">
        <f t="shared" si="189"/>
        <v>0</v>
      </c>
      <c r="AY185" s="10">
        <f t="shared" si="189"/>
        <v>0</v>
      </c>
      <c r="AZ185" s="10">
        <f t="shared" si="189"/>
        <v>0</v>
      </c>
      <c r="BA185" s="10">
        <f t="shared" si="189"/>
        <v>0</v>
      </c>
      <c r="BB185" s="10">
        <f t="shared" si="189"/>
        <v>0</v>
      </c>
      <c r="BC185" s="10">
        <f t="shared" si="189"/>
        <v>0</v>
      </c>
      <c r="BD185" s="10">
        <f t="shared" si="189"/>
        <v>0</v>
      </c>
      <c r="BE185" s="10">
        <f t="shared" si="189"/>
        <v>0</v>
      </c>
      <c r="BF185" s="10">
        <f t="shared" si="189"/>
        <v>0</v>
      </c>
      <c r="BG185" s="10">
        <f t="shared" si="189"/>
        <v>0</v>
      </c>
      <c r="BH185" s="10">
        <f t="shared" si="189"/>
        <v>0</v>
      </c>
      <c r="BI185" s="10">
        <f t="shared" si="189"/>
        <v>0</v>
      </c>
      <c r="BJ185" s="10">
        <f t="shared" si="189"/>
        <v>0</v>
      </c>
      <c r="BL185" s="152">
        <f t="shared" si="185"/>
        <v>0</v>
      </c>
      <c r="BM185" s="152">
        <f t="shared" si="185"/>
        <v>0</v>
      </c>
      <c r="BN185" s="152">
        <f t="shared" si="185"/>
        <v>0</v>
      </c>
      <c r="BO185" s="152">
        <f t="shared" si="185"/>
        <v>0</v>
      </c>
      <c r="BP185" s="10">
        <f t="shared" ref="BP185" si="190">SUM(BP181:BP184)</f>
        <v>0</v>
      </c>
      <c r="BQ185" s="10">
        <f>SUM(BQ181:BQ184)</f>
        <v>0</v>
      </c>
      <c r="BR185" s="10">
        <f t="shared" ref="BR185" si="191">SUM(BR181:BR184)</f>
        <v>0</v>
      </c>
      <c r="BS185" s="10">
        <f t="shared" ref="BS185" si="192">SUM(BS181:BS184)</f>
        <v>0</v>
      </c>
      <c r="BT185" s="10">
        <f t="shared" ref="BT185" si="193">SUM(BT181:BT184)</f>
        <v>0</v>
      </c>
      <c r="BU185" s="10">
        <f t="shared" ref="BU185" si="194">SUM(BU181:BU184)</f>
        <v>0</v>
      </c>
      <c r="BV185" s="10">
        <f t="shared" ref="BV185" si="195">SUM(BV181:BV184)</f>
        <v>0</v>
      </c>
      <c r="BW185" s="10">
        <f t="shared" ref="BW185" si="196">SUM(BW181:BW184)</f>
        <v>0</v>
      </c>
      <c r="BY185" s="12"/>
      <c r="BZ185" s="335"/>
      <c r="CA185" s="12"/>
      <c r="CB185" s="335"/>
      <c r="CC185" s="335"/>
      <c r="CD185" s="335"/>
      <c r="CE185" s="335"/>
      <c r="CM185" s="335"/>
      <c r="CN185" s="335"/>
      <c r="CO185" s="335"/>
      <c r="CP185" s="335"/>
      <c r="CR185" s="12"/>
      <c r="CS185" s="93">
        <f t="shared" si="182"/>
        <v>0</v>
      </c>
      <c r="CT185" s="93">
        <v>0</v>
      </c>
      <c r="CU185" s="93">
        <v>0</v>
      </c>
      <c r="EW185" s="335"/>
      <c r="EX185" s="13" t="str">
        <f>IF(C185="", "", CONCATENATE(D180, " ",D185))</f>
        <v>Loan 8 Closing Loan Balance</v>
      </c>
    </row>
    <row r="186" spans="1:154" s="67" customFormat="1" ht="6.6" customHeight="1" x14ac:dyDescent="0.25">
      <c r="C186" s="380"/>
      <c r="D186" s="1"/>
      <c r="S186" s="335"/>
      <c r="T186" s="25"/>
      <c r="U186" s="25"/>
      <c r="V186" s="93"/>
      <c r="BM186" s="6"/>
      <c r="BY186" s="42"/>
      <c r="BZ186" s="335"/>
      <c r="CA186" s="42"/>
      <c r="CB186" s="335"/>
      <c r="CC186" s="335"/>
      <c r="CD186" s="335"/>
      <c r="CE186" s="335"/>
      <c r="CM186" s="335"/>
      <c r="CN186" s="335"/>
      <c r="CO186" s="335"/>
      <c r="CP186" s="335"/>
      <c r="CR186" s="42"/>
      <c r="CS186" s="93">
        <f t="shared" si="182"/>
        <v>0</v>
      </c>
      <c r="CT186" s="93">
        <v>0</v>
      </c>
      <c r="CU186" s="93">
        <v>0</v>
      </c>
      <c r="EW186" s="335"/>
      <c r="EX186" s="13" t="str">
        <f>IF(C186="", "", CONCATENATE(D180, " ",D186))</f>
        <v/>
      </c>
    </row>
    <row r="187" spans="1:154" s="67" customFormat="1" x14ac:dyDescent="0.25">
      <c r="A187" s="362" cm="1">
        <f t="array" aca="1" ref="A187" ca="1">HYPERLINK(CONCATENATE("#",CELL("address",IF(SUM($CA187:$CR187)=0,A187,INDEX($CA187:$CR187,MATCH(1,$CA187:$CR187,0))))),SUM($CA187:$CR187))</f>
        <v>0</v>
      </c>
      <c r="C187" s="380"/>
      <c r="D187" s="51" t="s">
        <v>526</v>
      </c>
      <c r="E187" s="160" t="s">
        <v>523</v>
      </c>
      <c r="F187" s="153">
        <f>$F$20</f>
        <v>0</v>
      </c>
      <c r="S187" s="335"/>
      <c r="T187" s="25"/>
      <c r="U187" s="25"/>
      <c r="V187" s="188">
        <f>IF(OR(V185&gt;$F187, V185&lt;0), 1, 0)</f>
        <v>0</v>
      </c>
      <c r="W187" s="7">
        <f>IF(OR(W185&gt;$F187, W185&lt;0), 1, 0)</f>
        <v>0</v>
      </c>
      <c r="X187" s="7">
        <f>IF(OR(X185&gt;$F187, X185&lt;0), 1, 0)</f>
        <v>0</v>
      </c>
      <c r="Y187" s="7">
        <f>IF(OR(Y185&gt;$F187, Y185&lt;0), 1, 0)</f>
        <v>0</v>
      </c>
      <c r="AA187" s="7">
        <f t="shared" ref="AA187:BJ187" si="197">IF(OR(AA185&gt;$F187, AA185&lt;0), 1, 0)</f>
        <v>0</v>
      </c>
      <c r="AB187" s="7">
        <f t="shared" si="197"/>
        <v>0</v>
      </c>
      <c r="AC187" s="7">
        <f t="shared" si="197"/>
        <v>0</v>
      </c>
      <c r="AD187" s="7">
        <f t="shared" si="197"/>
        <v>0</v>
      </c>
      <c r="AE187" s="7">
        <f t="shared" si="197"/>
        <v>0</v>
      </c>
      <c r="AF187" s="7">
        <f t="shared" si="197"/>
        <v>0</v>
      </c>
      <c r="AG187" s="7">
        <f t="shared" si="197"/>
        <v>0</v>
      </c>
      <c r="AH187" s="7">
        <f t="shared" si="197"/>
        <v>0</v>
      </c>
      <c r="AI187" s="7">
        <f t="shared" si="197"/>
        <v>0</v>
      </c>
      <c r="AJ187" s="7">
        <f t="shared" si="197"/>
        <v>0</v>
      </c>
      <c r="AK187" s="7">
        <f t="shared" si="197"/>
        <v>0</v>
      </c>
      <c r="AL187" s="7">
        <f t="shared" si="197"/>
        <v>0</v>
      </c>
      <c r="AM187" s="7">
        <f t="shared" si="197"/>
        <v>0</v>
      </c>
      <c r="AN187" s="7">
        <f t="shared" si="197"/>
        <v>0</v>
      </c>
      <c r="AO187" s="7">
        <f t="shared" si="197"/>
        <v>0</v>
      </c>
      <c r="AP187" s="7">
        <f t="shared" si="197"/>
        <v>0</v>
      </c>
      <c r="AQ187" s="7">
        <f t="shared" si="197"/>
        <v>0</v>
      </c>
      <c r="AR187" s="7">
        <f t="shared" si="197"/>
        <v>0</v>
      </c>
      <c r="AS187" s="7">
        <f t="shared" si="197"/>
        <v>0</v>
      </c>
      <c r="AT187" s="7">
        <f t="shared" si="197"/>
        <v>0</v>
      </c>
      <c r="AU187" s="7">
        <f t="shared" si="197"/>
        <v>0</v>
      </c>
      <c r="AV187" s="7">
        <f t="shared" si="197"/>
        <v>0</v>
      </c>
      <c r="AW187" s="7">
        <f t="shared" si="197"/>
        <v>0</v>
      </c>
      <c r="AX187" s="7">
        <f t="shared" si="197"/>
        <v>0</v>
      </c>
      <c r="AY187" s="7">
        <f t="shared" si="197"/>
        <v>0</v>
      </c>
      <c r="AZ187" s="7">
        <f t="shared" si="197"/>
        <v>0</v>
      </c>
      <c r="BA187" s="7">
        <f t="shared" si="197"/>
        <v>0</v>
      </c>
      <c r="BB187" s="7">
        <f t="shared" si="197"/>
        <v>0</v>
      </c>
      <c r="BC187" s="7">
        <f t="shared" si="197"/>
        <v>0</v>
      </c>
      <c r="BD187" s="7">
        <f t="shared" si="197"/>
        <v>0</v>
      </c>
      <c r="BE187" s="7">
        <f t="shared" si="197"/>
        <v>0</v>
      </c>
      <c r="BF187" s="7">
        <f t="shared" si="197"/>
        <v>0</v>
      </c>
      <c r="BG187" s="7">
        <f t="shared" si="197"/>
        <v>0</v>
      </c>
      <c r="BH187" s="7">
        <f t="shared" si="197"/>
        <v>0</v>
      </c>
      <c r="BI187" s="7">
        <f t="shared" si="197"/>
        <v>0</v>
      </c>
      <c r="BJ187" s="7">
        <f t="shared" si="197"/>
        <v>0</v>
      </c>
      <c r="BL187" s="7">
        <f t="shared" ref="BL187" si="198">IF(OR(BL185&gt;$F187, BL185&lt;0), 1, 0)</f>
        <v>0</v>
      </c>
      <c r="BM187" s="7">
        <f t="shared" ref="BM187:BW187" si="199">IF(OR(BM185&gt;$F187, BM185&lt;0), 1, 0)</f>
        <v>0</v>
      </c>
      <c r="BN187" s="7">
        <f t="shared" si="199"/>
        <v>0</v>
      </c>
      <c r="BO187" s="7">
        <f t="shared" si="199"/>
        <v>0</v>
      </c>
      <c r="BP187" s="7">
        <f t="shared" si="199"/>
        <v>0</v>
      </c>
      <c r="BQ187" s="7">
        <f t="shared" si="199"/>
        <v>0</v>
      </c>
      <c r="BR187" s="7">
        <f t="shared" si="199"/>
        <v>0</v>
      </c>
      <c r="BS187" s="7">
        <f t="shared" si="199"/>
        <v>0</v>
      </c>
      <c r="BT187" s="7">
        <f t="shared" si="199"/>
        <v>0</v>
      </c>
      <c r="BU187" s="7">
        <f t="shared" si="199"/>
        <v>0</v>
      </c>
      <c r="BV187" s="7">
        <f t="shared" si="199"/>
        <v>0</v>
      </c>
      <c r="BW187" s="7">
        <f t="shared" si="199"/>
        <v>0</v>
      </c>
      <c r="BY187" s="12"/>
      <c r="BZ187" s="335"/>
      <c r="CA187" s="12"/>
      <c r="CB187" s="335"/>
      <c r="CC187" s="335"/>
      <c r="CD187" s="335"/>
      <c r="CE187" s="335"/>
      <c r="CL187" s="7">
        <f>IF(MAX(V187:BW187)&gt;0, 1, 0)</f>
        <v>0</v>
      </c>
      <c r="CM187" s="335"/>
      <c r="CN187" s="335"/>
      <c r="CO187" s="335"/>
      <c r="CP187" s="335"/>
      <c r="CR187" s="12"/>
      <c r="CS187" s="93">
        <f t="shared" si="182"/>
        <v>1</v>
      </c>
      <c r="CT187" s="93">
        <v>0</v>
      </c>
      <c r="CU187" s="93">
        <v>0</v>
      </c>
      <c r="EW187" s="335"/>
      <c r="EX187" s="13" t="str">
        <f>IF(C187="", "", CONCATENATE(D180, " ",D187))</f>
        <v/>
      </c>
    </row>
    <row r="188" spans="1:154" s="67" customFormat="1" x14ac:dyDescent="0.25">
      <c r="A188" s="362" cm="1">
        <f t="array" aca="1" ref="A188" ca="1">HYPERLINK(CONCATENATE("#",CELL("address",IF(SUM($CA188:$CR188)=0,A188,INDEX($CA188:$CR188,MATCH(1,$CA188:$CR188,0))))),SUM($CA188:$CR188))</f>
        <v>0</v>
      </c>
      <c r="C188" s="380"/>
      <c r="D188" s="51" t="s">
        <v>220</v>
      </c>
      <c r="E188" s="160" t="s">
        <v>524</v>
      </c>
      <c r="F188" s="173" t="str">
        <f>IF($J$20="", "", $J$20)</f>
        <v/>
      </c>
      <c r="S188" s="335"/>
      <c r="T188" s="25"/>
      <c r="U188" s="25"/>
      <c r="V188" s="230">
        <f>IF(AND(V$5&gt;=$F188,SUM(V185:$Y185)&lt;&gt;0),1,0)</f>
        <v>0</v>
      </c>
      <c r="W188" s="230">
        <f>IF(AND(W$5&gt;=$F188,SUM(W185:$Y185)&lt;&gt;0),1,0)</f>
        <v>0</v>
      </c>
      <c r="X188" s="230">
        <f>IF(AND(X$5&gt;=$F188,SUM(X185:$Y185)&lt;&gt;0),1,0)</f>
        <v>0</v>
      </c>
      <c r="Y188" s="230">
        <f>IF(AND(Y$5&gt;=$F188,SUM(Y185:$Y185)&lt;&gt;0),1,0)</f>
        <v>0</v>
      </c>
      <c r="AA188" s="154">
        <f>IF(AND(AA$5&gt;=$F188,SUM(AA185:$BJ185)&lt;&gt;0),1,0)</f>
        <v>0</v>
      </c>
      <c r="AB188" s="154">
        <f>IF(AND(AB$5&gt;=$F188,SUM(AB185:$BJ185)&lt;&gt;0),1,0)</f>
        <v>0</v>
      </c>
      <c r="AC188" s="154">
        <f>IF(AND(AC$5&gt;=$F188,SUM(AC185:$BJ185)&lt;&gt;0),1,0)</f>
        <v>0</v>
      </c>
      <c r="AD188" s="154">
        <f>IF(AND(AD$5&gt;=$F188,SUM(AD185:$BJ185)&lt;&gt;0),1,0)</f>
        <v>0</v>
      </c>
      <c r="AE188" s="154">
        <f>IF(AND(AE$5&gt;=$F188,SUM(AE185:$BJ185)&lt;&gt;0),1,0)</f>
        <v>0</v>
      </c>
      <c r="AF188" s="154">
        <f>IF(AND(AF$5&gt;=$F188,SUM(AF185:$BJ185)&lt;&gt;0),1,0)</f>
        <v>0</v>
      </c>
      <c r="AG188" s="154">
        <f>IF(AND(AG$5&gt;=$F188,SUM(AG185:$BJ185)&lt;&gt;0),1,0)</f>
        <v>0</v>
      </c>
      <c r="AH188" s="154">
        <f>IF(AND(AH$5&gt;=$F188,SUM(AH185:$BJ185)&lt;&gt;0),1,0)</f>
        <v>0</v>
      </c>
      <c r="AI188" s="154">
        <f>IF(AND(AI$5&gt;=$F188,SUM(AI185:$BJ185)&lt;&gt;0),1,0)</f>
        <v>0</v>
      </c>
      <c r="AJ188" s="154">
        <f>IF(AND(AJ$5&gt;=$F188,SUM(AJ185:$BJ185)&lt;&gt;0),1,0)</f>
        <v>0</v>
      </c>
      <c r="AK188" s="154">
        <f>IF(AND(AK$5&gt;=$F188,SUM(AK185:$BJ185)&lt;&gt;0),1,0)</f>
        <v>0</v>
      </c>
      <c r="AL188" s="154">
        <f>IF(AND(AL$5&gt;=$F188,SUM(AL185:$BJ185)&lt;&gt;0),1,0)</f>
        <v>0</v>
      </c>
      <c r="AM188" s="154">
        <f>IF(AND(AM$5&gt;=$F188,SUM(AM185:$BJ185)&lt;&gt;0),1,0)</f>
        <v>0</v>
      </c>
      <c r="AN188" s="154">
        <f>IF(AND(AN$5&gt;=$F188,SUM(AN185:$BJ185)&lt;&gt;0),1,0)</f>
        <v>0</v>
      </c>
      <c r="AO188" s="154">
        <f>IF(AND(AO$5&gt;=$F188,SUM(AO185:$BJ185)&lt;&gt;0),1,0)</f>
        <v>0</v>
      </c>
      <c r="AP188" s="154">
        <f>IF(AND(AP$5&gt;=$F188,SUM(AP185:$BJ185)&lt;&gt;0),1,0)</f>
        <v>0</v>
      </c>
      <c r="AQ188" s="154">
        <f>IF(AND(AQ$5&gt;=$F188,SUM(AQ185:$BJ185)&lt;&gt;0),1,0)</f>
        <v>0</v>
      </c>
      <c r="AR188" s="154">
        <f>IF(AND(AR$5&gt;=$F188,SUM(AR185:$BJ185)&lt;&gt;0),1,0)</f>
        <v>0</v>
      </c>
      <c r="AS188" s="154">
        <f>IF(AND(AS$5&gt;=$F188,SUM(AS185:$BJ185)&lt;&gt;0),1,0)</f>
        <v>0</v>
      </c>
      <c r="AT188" s="154">
        <f>IF(AND(AT$5&gt;=$F188,SUM(AT185:$BJ185)&lt;&gt;0),1,0)</f>
        <v>0</v>
      </c>
      <c r="AU188" s="154">
        <f>IF(AND(AU$5&gt;=$F188,SUM(AU185:$BJ185)&lt;&gt;0),1,0)</f>
        <v>0</v>
      </c>
      <c r="AV188" s="154">
        <f>IF(AND(AV$5&gt;=$F188,SUM(AV185:$BJ185)&lt;&gt;0),1,0)</f>
        <v>0</v>
      </c>
      <c r="AW188" s="154">
        <f>IF(AND(AW$5&gt;=$F188,SUM(AW185:$BJ185)&lt;&gt;0),1,0)</f>
        <v>0</v>
      </c>
      <c r="AX188" s="154">
        <f>IF(AND(AX$5&gt;=$F188,SUM(AX185:$BJ185)&lt;&gt;0),1,0)</f>
        <v>0</v>
      </c>
      <c r="AY188" s="154">
        <f>IF(AND(AY$5&gt;=$F188,SUM(AY185:$BJ185)&lt;&gt;0),1,0)</f>
        <v>0</v>
      </c>
      <c r="AZ188" s="154">
        <f>IF(AND(AZ$5&gt;=$F188,SUM(AZ185:$BJ185)&lt;&gt;0),1,0)</f>
        <v>0</v>
      </c>
      <c r="BA188" s="154">
        <f>IF(AND(BA$5&gt;=$F188,SUM(BA185:$BJ185)&lt;&gt;0),1,0)</f>
        <v>0</v>
      </c>
      <c r="BB188" s="154">
        <f>IF(AND(BB$5&gt;=$F188,SUM(BB185:$BJ185)&lt;&gt;0),1,0)</f>
        <v>0</v>
      </c>
      <c r="BC188" s="154">
        <f>IF(AND(BC$5&gt;=$F188,SUM(BC185:$BJ185)&lt;&gt;0),1,0)</f>
        <v>0</v>
      </c>
      <c r="BD188" s="154">
        <f>IF(AND(BD$5&gt;=$F188,SUM(BD185:$BJ185)&lt;&gt;0),1,0)</f>
        <v>0</v>
      </c>
      <c r="BE188" s="154">
        <f>IF(AND(BE$5&gt;=$F188,SUM(BE185:$BJ185)&lt;&gt;0),1,0)</f>
        <v>0</v>
      </c>
      <c r="BF188" s="154">
        <f>IF(AND(BF$5&gt;=$F188,SUM(BF185:$BJ185)&lt;&gt;0),1,0)</f>
        <v>0</v>
      </c>
      <c r="BG188" s="154">
        <f>IF(AND(BG$5&gt;=$F188,SUM(BG185:$BJ185)&lt;&gt;0),1,0)</f>
        <v>0</v>
      </c>
      <c r="BH188" s="154">
        <f>IF(AND(BH$5&gt;=$F188,SUM(BH185:$BJ185)&lt;&gt;0),1,0)</f>
        <v>0</v>
      </c>
      <c r="BI188" s="154">
        <f>IF(AND(BI$5&gt;=$F188,SUM(BI185:$BJ185)&lt;&gt;0),1,0)</f>
        <v>0</v>
      </c>
      <c r="BJ188" s="154">
        <f>IF(AND(BJ$5&gt;=$F188,SUM(BJ185:$BJ185)&lt;&gt;0),1,0)</f>
        <v>0</v>
      </c>
      <c r="BL188" s="154">
        <f>IF(AND(BL$5&gt;=$F188,SUM(BL185:$BW185)&lt;&gt;0),1,0)*BL$1150</f>
        <v>0</v>
      </c>
      <c r="BM188" s="154">
        <f>IF(AND(BM$5&gt;=$F188,SUM(BM185:$BW185)&lt;&gt;0),1,0)*BM$1150</f>
        <v>0</v>
      </c>
      <c r="BN188" s="154">
        <f>IF(AND(BN$5&gt;=$F188,SUM(BN185:$BW185)&lt;&gt;0),1,0)*BN$1150</f>
        <v>0</v>
      </c>
      <c r="BO188" s="154">
        <f>IF(AND(BO$5&gt;=$F188,SUM(BO185:$BW185)&lt;&gt;0),1,0)*BO$1150</f>
        <v>0</v>
      </c>
      <c r="BP188" s="154">
        <f>IF(AND(BP$5&gt;=$F188,SUM(BP185:$BW185)&lt;&gt;0),1,0)*BP$1150</f>
        <v>0</v>
      </c>
      <c r="BQ188" s="154">
        <f>IF(AND(BQ$5&gt;=$F188,SUM(BQ185:$BW185)&lt;&gt;0),1,0)*BQ$1150</f>
        <v>0</v>
      </c>
      <c r="BR188" s="154">
        <f>IF(AND(BR$5&gt;=$F188,SUM(BR185:$BW185)&lt;&gt;0),1,0)*BR$1150</f>
        <v>0</v>
      </c>
      <c r="BS188" s="154">
        <f>IF(AND(BS$5&gt;=$F188,SUM(BS185:$BW185)&lt;&gt;0),1,0)*BS$1150</f>
        <v>0</v>
      </c>
      <c r="BT188" s="154">
        <f>IF(AND(BT$5&gt;=$F188,SUM(BT185:$BW185)&lt;&gt;0),1,0)*BT$1150</f>
        <v>0</v>
      </c>
      <c r="BU188" s="154">
        <f>IF(AND(BU$5&gt;=$F188,SUM(BU185:$BW185)&lt;&gt;0),1,0)*BU$1150</f>
        <v>0</v>
      </c>
      <c r="BV188" s="154">
        <f>IF(AND(BV$5&gt;=$F188,SUM(BV185:$BW185)&lt;&gt;0),1,0)*BV$1150</f>
        <v>0</v>
      </c>
      <c r="BW188" s="154">
        <f>IF(AND(BW$5&gt;=$F188,SUM(BW185:$BW185)&lt;&gt;0),1,0)*BW$1150</f>
        <v>0</v>
      </c>
      <c r="BY188" s="12"/>
      <c r="BZ188" s="335"/>
      <c r="CA188" s="12"/>
      <c r="CB188" s="335"/>
      <c r="CC188" s="335"/>
      <c r="CD188" s="335"/>
      <c r="CE188" s="335"/>
      <c r="CL188" s="7">
        <f>IF(MAX($V188:$BW188)&gt;0, 1, 0)</f>
        <v>0</v>
      </c>
      <c r="CM188" s="335"/>
      <c r="CN188" s="335"/>
      <c r="CO188" s="335"/>
      <c r="CP188" s="335"/>
      <c r="CR188" s="12"/>
      <c r="CS188" s="93">
        <f t="shared" si="182"/>
        <v>1</v>
      </c>
      <c r="CT188" s="93">
        <v>0</v>
      </c>
      <c r="CU188" s="93">
        <v>0</v>
      </c>
      <c r="EW188" s="335"/>
      <c r="EX188" s="13" t="str">
        <f>IF(C188="", "", CONCATENATE(D180, " ",D188))</f>
        <v/>
      </c>
    </row>
    <row r="189" spans="1:154" s="67" customFormat="1" ht="6.6" customHeight="1" x14ac:dyDescent="0.25">
      <c r="C189" s="380"/>
      <c r="D189" s="1"/>
      <c r="S189" s="335"/>
      <c r="T189" s="25"/>
      <c r="U189" s="25"/>
      <c r="V189" s="229"/>
      <c r="W189" s="25"/>
      <c r="X189" s="25"/>
      <c r="Y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L189" s="25"/>
      <c r="BM189" s="155"/>
      <c r="BN189" s="25"/>
      <c r="BO189" s="25"/>
      <c r="BP189" s="25"/>
      <c r="BQ189" s="25"/>
      <c r="BR189" s="25"/>
      <c r="BS189" s="25"/>
      <c r="BT189" s="25"/>
      <c r="BU189" s="25"/>
      <c r="BV189" s="25"/>
      <c r="BW189" s="25"/>
      <c r="BY189" s="42"/>
      <c r="BZ189" s="335"/>
      <c r="CA189" s="42"/>
      <c r="CB189" s="335"/>
      <c r="CC189" s="335"/>
      <c r="CD189" s="335"/>
      <c r="CE189" s="335"/>
      <c r="CM189" s="335"/>
      <c r="CN189" s="335"/>
      <c r="CO189" s="335"/>
      <c r="CP189" s="335"/>
      <c r="CR189" s="42"/>
      <c r="CS189" s="93">
        <f t="shared" si="182"/>
        <v>0</v>
      </c>
      <c r="CT189" s="93">
        <v>0</v>
      </c>
      <c r="CU189" s="93">
        <v>0</v>
      </c>
      <c r="EW189" s="335"/>
      <c r="EX189" s="13" t="str">
        <f>IF(C189="", "", CONCATENATE(D180, " ",D189))</f>
        <v/>
      </c>
    </row>
    <row r="190" spans="1:154" s="67" customFormat="1" x14ac:dyDescent="0.25">
      <c r="C190" s="380"/>
      <c r="D190" s="51" t="s">
        <v>223</v>
      </c>
      <c r="E190" s="1"/>
      <c r="G190" s="9" t="s">
        <v>413</v>
      </c>
      <c r="H190" s="50" t="s">
        <v>8</v>
      </c>
      <c r="S190" s="335"/>
      <c r="T190" s="25"/>
      <c r="U190" s="25"/>
      <c r="V190" s="210"/>
      <c r="W190" s="201">
        <f>V193</f>
        <v>0</v>
      </c>
      <c r="X190" s="201">
        <f>W193</f>
        <v>0</v>
      </c>
      <c r="Y190" s="10">
        <f>X193</f>
        <v>0</v>
      </c>
      <c r="AA190" s="13">
        <f>W190</f>
        <v>0</v>
      </c>
      <c r="AB190" s="10">
        <f t="shared" ref="AB190:BJ190" si="200">AA193</f>
        <v>0</v>
      </c>
      <c r="AC190" s="10">
        <f t="shared" si="200"/>
        <v>0</v>
      </c>
      <c r="AD190" s="10">
        <f t="shared" si="200"/>
        <v>0</v>
      </c>
      <c r="AE190" s="10">
        <f t="shared" si="200"/>
        <v>0</v>
      </c>
      <c r="AF190" s="10">
        <f t="shared" si="200"/>
        <v>0</v>
      </c>
      <c r="AG190" s="10">
        <f t="shared" si="200"/>
        <v>0</v>
      </c>
      <c r="AH190" s="10">
        <f t="shared" si="200"/>
        <v>0</v>
      </c>
      <c r="AI190" s="10">
        <f t="shared" si="200"/>
        <v>0</v>
      </c>
      <c r="AJ190" s="10">
        <f t="shared" si="200"/>
        <v>0</v>
      </c>
      <c r="AK190" s="10">
        <f t="shared" si="200"/>
        <v>0</v>
      </c>
      <c r="AL190" s="10">
        <f t="shared" si="200"/>
        <v>0</v>
      </c>
      <c r="AM190" s="10">
        <f t="shared" si="200"/>
        <v>0</v>
      </c>
      <c r="AN190" s="10">
        <f t="shared" si="200"/>
        <v>0</v>
      </c>
      <c r="AO190" s="10">
        <f t="shared" si="200"/>
        <v>0</v>
      </c>
      <c r="AP190" s="10">
        <f t="shared" si="200"/>
        <v>0</v>
      </c>
      <c r="AQ190" s="10">
        <f t="shared" si="200"/>
        <v>0</v>
      </c>
      <c r="AR190" s="10">
        <f t="shared" si="200"/>
        <v>0</v>
      </c>
      <c r="AS190" s="10">
        <f t="shared" si="200"/>
        <v>0</v>
      </c>
      <c r="AT190" s="10">
        <f t="shared" si="200"/>
        <v>0</v>
      </c>
      <c r="AU190" s="10">
        <f t="shared" si="200"/>
        <v>0</v>
      </c>
      <c r="AV190" s="10">
        <f t="shared" si="200"/>
        <v>0</v>
      </c>
      <c r="AW190" s="10">
        <f t="shared" si="200"/>
        <v>0</v>
      </c>
      <c r="AX190" s="10">
        <f t="shared" si="200"/>
        <v>0</v>
      </c>
      <c r="AY190" s="10">
        <f t="shared" si="200"/>
        <v>0</v>
      </c>
      <c r="AZ190" s="10">
        <f t="shared" si="200"/>
        <v>0</v>
      </c>
      <c r="BA190" s="10">
        <f t="shared" si="200"/>
        <v>0</v>
      </c>
      <c r="BB190" s="10">
        <f t="shared" si="200"/>
        <v>0</v>
      </c>
      <c r="BC190" s="10">
        <f t="shared" si="200"/>
        <v>0</v>
      </c>
      <c r="BD190" s="10">
        <f t="shared" si="200"/>
        <v>0</v>
      </c>
      <c r="BE190" s="10">
        <f t="shared" si="200"/>
        <v>0</v>
      </c>
      <c r="BF190" s="10">
        <f t="shared" si="200"/>
        <v>0</v>
      </c>
      <c r="BG190" s="10">
        <f t="shared" si="200"/>
        <v>0</v>
      </c>
      <c r="BH190" s="10">
        <f t="shared" si="200"/>
        <v>0</v>
      </c>
      <c r="BI190" s="10">
        <f t="shared" si="200"/>
        <v>0</v>
      </c>
      <c r="BJ190" s="10">
        <f t="shared" si="200"/>
        <v>0</v>
      </c>
      <c r="BL190" s="13">
        <f t="shared" ref="BL190:BO193" si="201">V190</f>
        <v>0</v>
      </c>
      <c r="BM190" s="13">
        <f t="shared" si="201"/>
        <v>0</v>
      </c>
      <c r="BN190" s="13">
        <f t="shared" si="201"/>
        <v>0</v>
      </c>
      <c r="BO190" s="13">
        <f t="shared" si="201"/>
        <v>0</v>
      </c>
      <c r="BP190" s="10">
        <f t="shared" ref="BP190:BW190" si="202">BO193</f>
        <v>0</v>
      </c>
      <c r="BQ190" s="10">
        <f t="shared" si="202"/>
        <v>0</v>
      </c>
      <c r="BR190" s="10">
        <f t="shared" si="202"/>
        <v>0</v>
      </c>
      <c r="BS190" s="10">
        <f t="shared" si="202"/>
        <v>0</v>
      </c>
      <c r="BT190" s="10">
        <f t="shared" si="202"/>
        <v>0</v>
      </c>
      <c r="BU190" s="10">
        <f t="shared" si="202"/>
        <v>0</v>
      </c>
      <c r="BV190" s="10">
        <f t="shared" si="202"/>
        <v>0</v>
      </c>
      <c r="BW190" s="10">
        <f t="shared" si="202"/>
        <v>0</v>
      </c>
      <c r="BY190" s="12"/>
      <c r="BZ190" s="335"/>
      <c r="CA190" s="12"/>
      <c r="CB190" s="335"/>
      <c r="CC190" s="335"/>
      <c r="CD190" s="335"/>
      <c r="CE190" s="335"/>
      <c r="CM190" s="335"/>
      <c r="CN190" s="335"/>
      <c r="CO190" s="335"/>
      <c r="CP190" s="335"/>
      <c r="CR190" s="12"/>
      <c r="CS190" s="93">
        <f t="shared" si="182"/>
        <v>0</v>
      </c>
      <c r="CT190" s="93">
        <v>1</v>
      </c>
      <c r="CU190" s="93">
        <v>0</v>
      </c>
      <c r="EW190" s="335"/>
      <c r="EX190" s="13" t="str">
        <f>IF(C190="", "", CONCATENATE(D180, " ",D190))</f>
        <v/>
      </c>
    </row>
    <row r="191" spans="1:154" s="5" customFormat="1" ht="15.75" x14ac:dyDescent="0.3">
      <c r="A191" s="362" cm="1">
        <f t="array" aca="1" ref="A191" ca="1">HYPERLINK(CONCATENATE("#",CELL("address",IF(SUM($CA191:$CR191)=0,A191,INDEX($CA191:$CR191,MATCH(1,$CA191:$CR191,0))))),SUM($CA191:$CR191))</f>
        <v>0</v>
      </c>
      <c r="B191" s="105" t="s">
        <v>335</v>
      </c>
      <c r="C191" s="380"/>
      <c r="D191" s="51" t="s">
        <v>234</v>
      </c>
      <c r="E191" s="1"/>
      <c r="F191" s="67"/>
      <c r="G191" s="9" t="s">
        <v>413</v>
      </c>
      <c r="H191" s="50" t="s">
        <v>125</v>
      </c>
      <c r="I191" s="67"/>
      <c r="J191" s="67"/>
      <c r="K191" s="67"/>
      <c r="L191" s="67"/>
      <c r="M191" s="67"/>
      <c r="N191" s="67"/>
      <c r="O191" s="67"/>
      <c r="P191" s="67"/>
      <c r="Q191" s="67"/>
      <c r="R191" s="67"/>
      <c r="S191" s="335"/>
      <c r="T191" s="25"/>
      <c r="U191" s="25"/>
      <c r="V191" s="210"/>
      <c r="W191" s="215">
        <f t="shared" ref="W191:Y192" si="203" xml:space="preserve"> SUMIFS($AA191:$BJ191, $AA$3:$BJ$3, W$3)</f>
        <v>0</v>
      </c>
      <c r="X191" s="215">
        <f t="shared" si="203"/>
        <v>0</v>
      </c>
      <c r="Y191" s="215">
        <f t="shared" si="203"/>
        <v>0</v>
      </c>
      <c r="Z191" s="6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c r="BI191" s="147"/>
      <c r="BJ191" s="147"/>
      <c r="BK191" s="67"/>
      <c r="BL191" s="13">
        <f t="shared" si="201"/>
        <v>0</v>
      </c>
      <c r="BM191" s="13">
        <f t="shared" si="201"/>
        <v>0</v>
      </c>
      <c r="BN191" s="13">
        <f t="shared" si="201"/>
        <v>0</v>
      </c>
      <c r="BO191" s="13">
        <f t="shared" si="201"/>
        <v>0</v>
      </c>
      <c r="BP191" s="141"/>
      <c r="BQ191" s="141"/>
      <c r="BR191" s="141"/>
      <c r="BS191" s="141"/>
      <c r="BT191" s="141"/>
      <c r="BU191" s="141"/>
      <c r="BV191" s="141"/>
      <c r="BW191" s="141"/>
      <c r="BX191" s="67"/>
      <c r="BY191" s="12"/>
      <c r="BZ191" s="395">
        <f>IF(MIN($V191:$BW191)&lt;0, 1, 0)</f>
        <v>0</v>
      </c>
      <c r="CA191" s="12"/>
      <c r="CB191" s="335"/>
      <c r="CC191" s="335"/>
      <c r="CD191" s="335"/>
      <c r="CE191" s="335"/>
      <c r="CF191" s="67"/>
      <c r="CG191" s="67"/>
      <c r="CH191" s="67"/>
      <c r="CI191" s="67"/>
      <c r="CJ191" s="67"/>
      <c r="CK191" s="67"/>
      <c r="CL191" s="67"/>
      <c r="CM191" s="7">
        <f t="shared" ref="CM191:CO192" si="204">IF(ROUND(W191-SUMIFS($AA191:$BJ191, $AA$3:$BJ$3, W$3), rounding)=0, 0, 1)</f>
        <v>0</v>
      </c>
      <c r="CN191" s="7">
        <f t="shared" si="204"/>
        <v>0</v>
      </c>
      <c r="CO191" s="7">
        <f t="shared" si="204"/>
        <v>0</v>
      </c>
      <c r="CP191" s="7">
        <f>IF(ROUND(V191-BL191, rounding)=0, 0, 1)*'BS Forecasts'!$V$10</f>
        <v>0</v>
      </c>
      <c r="CQ191" s="67"/>
      <c r="CR191" s="12"/>
      <c r="CS191" s="93">
        <f t="shared" si="182"/>
        <v>0</v>
      </c>
      <c r="CT191" s="93">
        <v>1</v>
      </c>
      <c r="CU191" s="93">
        <v>1</v>
      </c>
      <c r="EX191" s="13" t="str">
        <f>IF(C191="", "", CONCATENATE(D180, " ",D191))</f>
        <v/>
      </c>
    </row>
    <row r="192" spans="1:154" s="67" customFormat="1" ht="15.75" x14ac:dyDescent="0.3">
      <c r="A192" s="362" cm="1">
        <f t="array" aca="1" ref="A192" ca="1">HYPERLINK(CONCATENATE("#",CELL("address",IF(SUM($CA192:$CR192)=0,A192,INDEX($CA192:$CR192,MATCH(1,$CA192:$CR192,0))))),SUM($CA192:$CR192))</f>
        <v>0</v>
      </c>
      <c r="B192" s="105" t="s">
        <v>335</v>
      </c>
      <c r="C192" s="380"/>
      <c r="D192" s="51" t="s">
        <v>222</v>
      </c>
      <c r="E192" s="1"/>
      <c r="G192" s="9" t="s">
        <v>413</v>
      </c>
      <c r="H192" s="50" t="s">
        <v>157</v>
      </c>
      <c r="S192" s="335"/>
      <c r="T192" s="25"/>
      <c r="U192" s="25"/>
      <c r="V192" s="210"/>
      <c r="W192" s="215">
        <f t="shared" si="203"/>
        <v>0</v>
      </c>
      <c r="X192" s="215">
        <f t="shared" si="203"/>
        <v>0</v>
      </c>
      <c r="Y192" s="215">
        <f t="shared" si="203"/>
        <v>0</v>
      </c>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c r="BI192" s="147"/>
      <c r="BJ192" s="147"/>
      <c r="BL192" s="13">
        <f t="shared" si="201"/>
        <v>0</v>
      </c>
      <c r="BM192" s="13">
        <f t="shared" si="201"/>
        <v>0</v>
      </c>
      <c r="BN192" s="13">
        <f t="shared" si="201"/>
        <v>0</v>
      </c>
      <c r="BO192" s="13">
        <f t="shared" si="201"/>
        <v>0</v>
      </c>
      <c r="BP192" s="141"/>
      <c r="BQ192" s="141"/>
      <c r="BR192" s="141"/>
      <c r="BS192" s="141"/>
      <c r="BT192" s="141"/>
      <c r="BU192" s="141"/>
      <c r="BV192" s="141"/>
      <c r="BW192" s="141"/>
      <c r="BY192" s="12"/>
      <c r="BZ192" s="395">
        <f>IF(MAX($V192:$BW192)&gt;0, 1, 0)</f>
        <v>0</v>
      </c>
      <c r="CA192" s="12"/>
      <c r="CB192" s="335"/>
      <c r="CC192" s="335"/>
      <c r="CD192" s="335"/>
      <c r="CE192" s="335"/>
      <c r="CM192" s="7">
        <f t="shared" si="204"/>
        <v>0</v>
      </c>
      <c r="CN192" s="7">
        <f t="shared" si="204"/>
        <v>0</v>
      </c>
      <c r="CO192" s="7">
        <f t="shared" si="204"/>
        <v>0</v>
      </c>
      <c r="CP192" s="7">
        <f>IF(ROUND(V192-BL192, rounding)=0, 0, 1)*'BS Forecasts'!$V$10</f>
        <v>0</v>
      </c>
      <c r="CR192" s="12"/>
      <c r="CS192" s="93">
        <f t="shared" si="182"/>
        <v>0</v>
      </c>
      <c r="CT192" s="93">
        <v>1</v>
      </c>
      <c r="CU192" s="93">
        <v>1</v>
      </c>
      <c r="EW192" s="335"/>
      <c r="EX192" s="13" t="str">
        <f>IF(C192="", "", CONCATENATE(D180, " ",D192))</f>
        <v/>
      </c>
    </row>
    <row r="193" spans="1:154" s="67" customFormat="1" x14ac:dyDescent="0.25">
      <c r="C193" s="380"/>
      <c r="D193" s="51" t="s">
        <v>224</v>
      </c>
      <c r="E193" s="1"/>
      <c r="G193" s="9" t="s">
        <v>413</v>
      </c>
      <c r="H193" s="50" t="s">
        <v>8</v>
      </c>
      <c r="S193" s="335"/>
      <c r="T193" s="25"/>
      <c r="U193" s="25"/>
      <c r="V193" s="13">
        <f>$H$20</f>
        <v>0</v>
      </c>
      <c r="W193" s="10">
        <f>SUM(W190:W192)</f>
        <v>0</v>
      </c>
      <c r="X193" s="10">
        <f>SUM(X190:X192)</f>
        <v>0</v>
      </c>
      <c r="Y193" s="10">
        <f>SUM(Y190:Y192)</f>
        <v>0</v>
      </c>
      <c r="AA193" s="10">
        <f t="shared" ref="AA193:BJ193" si="205">SUM(AA190:AA192)</f>
        <v>0</v>
      </c>
      <c r="AB193" s="10">
        <f t="shared" si="205"/>
        <v>0</v>
      </c>
      <c r="AC193" s="10">
        <f t="shared" si="205"/>
        <v>0</v>
      </c>
      <c r="AD193" s="10">
        <f t="shared" si="205"/>
        <v>0</v>
      </c>
      <c r="AE193" s="10">
        <f t="shared" si="205"/>
        <v>0</v>
      </c>
      <c r="AF193" s="10">
        <f t="shared" si="205"/>
        <v>0</v>
      </c>
      <c r="AG193" s="10">
        <f t="shared" si="205"/>
        <v>0</v>
      </c>
      <c r="AH193" s="10">
        <f t="shared" si="205"/>
        <v>0</v>
      </c>
      <c r="AI193" s="10">
        <f t="shared" si="205"/>
        <v>0</v>
      </c>
      <c r="AJ193" s="10">
        <f t="shared" si="205"/>
        <v>0</v>
      </c>
      <c r="AK193" s="10">
        <f t="shared" si="205"/>
        <v>0</v>
      </c>
      <c r="AL193" s="10">
        <f t="shared" si="205"/>
        <v>0</v>
      </c>
      <c r="AM193" s="10">
        <f t="shared" si="205"/>
        <v>0</v>
      </c>
      <c r="AN193" s="10">
        <f t="shared" si="205"/>
        <v>0</v>
      </c>
      <c r="AO193" s="10">
        <f t="shared" si="205"/>
        <v>0</v>
      </c>
      <c r="AP193" s="10">
        <f t="shared" si="205"/>
        <v>0</v>
      </c>
      <c r="AQ193" s="10">
        <f t="shared" si="205"/>
        <v>0</v>
      </c>
      <c r="AR193" s="10">
        <f t="shared" si="205"/>
        <v>0</v>
      </c>
      <c r="AS193" s="10">
        <f t="shared" si="205"/>
        <v>0</v>
      </c>
      <c r="AT193" s="10">
        <f t="shared" si="205"/>
        <v>0</v>
      </c>
      <c r="AU193" s="10">
        <f t="shared" si="205"/>
        <v>0</v>
      </c>
      <c r="AV193" s="10">
        <f t="shared" si="205"/>
        <v>0</v>
      </c>
      <c r="AW193" s="10">
        <f t="shared" si="205"/>
        <v>0</v>
      </c>
      <c r="AX193" s="10">
        <f t="shared" si="205"/>
        <v>0</v>
      </c>
      <c r="AY193" s="10">
        <f t="shared" si="205"/>
        <v>0</v>
      </c>
      <c r="AZ193" s="10">
        <f t="shared" si="205"/>
        <v>0</v>
      </c>
      <c r="BA193" s="10">
        <f t="shared" si="205"/>
        <v>0</v>
      </c>
      <c r="BB193" s="10">
        <f t="shared" si="205"/>
        <v>0</v>
      </c>
      <c r="BC193" s="10">
        <f t="shared" si="205"/>
        <v>0</v>
      </c>
      <c r="BD193" s="10">
        <f t="shared" si="205"/>
        <v>0</v>
      </c>
      <c r="BE193" s="10">
        <f t="shared" si="205"/>
        <v>0</v>
      </c>
      <c r="BF193" s="10">
        <f t="shared" si="205"/>
        <v>0</v>
      </c>
      <c r="BG193" s="10">
        <f t="shared" si="205"/>
        <v>0</v>
      </c>
      <c r="BH193" s="10">
        <f t="shared" si="205"/>
        <v>0</v>
      </c>
      <c r="BI193" s="10">
        <f t="shared" si="205"/>
        <v>0</v>
      </c>
      <c r="BJ193" s="10">
        <f t="shared" si="205"/>
        <v>0</v>
      </c>
      <c r="BL193" s="152">
        <f t="shared" si="201"/>
        <v>0</v>
      </c>
      <c r="BM193" s="152">
        <f t="shared" si="201"/>
        <v>0</v>
      </c>
      <c r="BN193" s="152">
        <f t="shared" si="201"/>
        <v>0</v>
      </c>
      <c r="BO193" s="152">
        <f t="shared" si="201"/>
        <v>0</v>
      </c>
      <c r="BP193" s="10">
        <f t="shared" ref="BP193:BW193" si="206">SUM(BP190:BP192)</f>
        <v>0</v>
      </c>
      <c r="BQ193" s="10">
        <f t="shared" si="206"/>
        <v>0</v>
      </c>
      <c r="BR193" s="10">
        <f t="shared" si="206"/>
        <v>0</v>
      </c>
      <c r="BS193" s="10">
        <f t="shared" si="206"/>
        <v>0</v>
      </c>
      <c r="BT193" s="10">
        <f t="shared" si="206"/>
        <v>0</v>
      </c>
      <c r="BU193" s="10">
        <f t="shared" si="206"/>
        <v>0</v>
      </c>
      <c r="BV193" s="10">
        <f t="shared" si="206"/>
        <v>0</v>
      </c>
      <c r="BW193" s="10">
        <f t="shared" si="206"/>
        <v>0</v>
      </c>
      <c r="BY193" s="12"/>
      <c r="BZ193" s="335"/>
      <c r="CA193" s="12"/>
      <c r="CB193" s="335"/>
      <c r="CC193" s="335"/>
      <c r="CD193" s="335"/>
      <c r="CE193" s="335"/>
      <c r="CM193" s="335"/>
      <c r="CN193" s="335"/>
      <c r="CO193" s="335"/>
      <c r="CP193" s="335"/>
      <c r="CR193" s="12"/>
      <c r="CS193" s="93">
        <f t="shared" si="182"/>
        <v>0</v>
      </c>
      <c r="CT193" s="93">
        <v>0</v>
      </c>
      <c r="CU193" s="93">
        <v>0</v>
      </c>
      <c r="EW193" s="335"/>
      <c r="EX193" s="13" t="str">
        <f>IF(C193="", "", CONCATENATE(D180, " ",D193))</f>
        <v/>
      </c>
    </row>
    <row r="194" spans="1:154" s="67" customFormat="1" ht="6.6" customHeight="1" x14ac:dyDescent="0.25">
      <c r="C194" s="380"/>
      <c r="D194" s="1"/>
      <c r="S194" s="335"/>
      <c r="T194" s="25"/>
      <c r="U194" s="25"/>
      <c r="V194" s="93"/>
      <c r="BM194" s="6"/>
      <c r="BY194" s="42"/>
      <c r="BZ194" s="335"/>
      <c r="CA194" s="42"/>
      <c r="CB194" s="335"/>
      <c r="CC194" s="335"/>
      <c r="CD194" s="335"/>
      <c r="CE194" s="335"/>
      <c r="CM194" s="335"/>
      <c r="CN194" s="335"/>
      <c r="CO194" s="335"/>
      <c r="CP194" s="335"/>
      <c r="CR194" s="42"/>
      <c r="CS194" s="93">
        <f t="shared" si="182"/>
        <v>0</v>
      </c>
      <c r="CT194" s="93">
        <v>0</v>
      </c>
      <c r="CU194" s="93">
        <v>0</v>
      </c>
      <c r="EW194" s="335"/>
      <c r="EX194" s="13" t="str">
        <f>IF(C194="", "", CONCATENATE(D180, " ",D194))</f>
        <v/>
      </c>
    </row>
    <row r="195" spans="1:154" s="5" customFormat="1" x14ac:dyDescent="0.25">
      <c r="A195" s="362" cm="1">
        <f t="array" aca="1" ref="A195" ca="1">HYPERLINK(CONCATENATE("#",CELL("address",IF(SUM($CA195:$CR195)=0,A195,INDEX($CA195:$CR195,MATCH(1,$CA195:$CR195,0))))),SUM($CA195:$CR195))</f>
        <v>0</v>
      </c>
      <c r="B195" s="335"/>
      <c r="C195" s="340" t="s">
        <v>1280</v>
      </c>
      <c r="D195" s="41" t="s">
        <v>1569</v>
      </c>
      <c r="E195" s="35"/>
      <c r="F195" s="25"/>
      <c r="G195" s="174" t="s">
        <v>413</v>
      </c>
      <c r="H195" s="171" t="s">
        <v>125</v>
      </c>
      <c r="I195" s="25"/>
      <c r="J195" s="25"/>
      <c r="K195" s="25"/>
      <c r="L195" s="25"/>
      <c r="M195" s="25"/>
      <c r="N195" s="25"/>
      <c r="O195" s="25"/>
      <c r="P195" s="25"/>
      <c r="Q195" s="25"/>
      <c r="R195" s="25"/>
      <c r="S195" s="335"/>
      <c r="T195" s="25"/>
      <c r="U195" s="25"/>
      <c r="V195" s="222"/>
      <c r="W195" s="215">
        <f xml:space="preserve"> SUMIFS($AA195:$BJ195, $AA$3:$BJ$3, W$3)</f>
        <v>0</v>
      </c>
      <c r="X195" s="215">
        <f xml:space="preserve"> SUMIFS($AA195:$BJ195, $AA$3:$BJ$3, X$3)</f>
        <v>0</v>
      </c>
      <c r="Y195" s="215">
        <f xml:space="preserve"> SUMIFS($AA195:$BJ195, $AA$3:$BJ$3, Y$3)</f>
        <v>0</v>
      </c>
      <c r="Z195" s="335"/>
      <c r="AA195" s="147"/>
      <c r="AB195" s="147"/>
      <c r="AC195" s="147"/>
      <c r="AD195" s="147"/>
      <c r="AE195" s="147"/>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c r="BI195" s="147"/>
      <c r="BJ195" s="147"/>
      <c r="BK195" s="335"/>
      <c r="BL195" s="152">
        <f>V195</f>
        <v>0</v>
      </c>
      <c r="BM195" s="152">
        <f>W195</f>
        <v>0</v>
      </c>
      <c r="BN195" s="152">
        <f>X195</f>
        <v>0</v>
      </c>
      <c r="BO195" s="152">
        <f>Y195</f>
        <v>0</v>
      </c>
      <c r="BP195" s="141"/>
      <c r="BQ195" s="141"/>
      <c r="BR195" s="141"/>
      <c r="BS195" s="141"/>
      <c r="BT195" s="141"/>
      <c r="BU195" s="141"/>
      <c r="BV195" s="141"/>
      <c r="BW195" s="141"/>
      <c r="BX195" s="335"/>
      <c r="BY195" s="12"/>
      <c r="BZ195" s="395">
        <f>IF(MIN($V195:$BW195)&lt;0, 1, 0)</f>
        <v>0</v>
      </c>
      <c r="CA195" s="12"/>
      <c r="CB195" s="335"/>
      <c r="CC195" s="335"/>
      <c r="CD195" s="335"/>
      <c r="CE195" s="335"/>
      <c r="CF195" s="335"/>
      <c r="CG195" s="335"/>
      <c r="CH195" s="335"/>
      <c r="CI195" s="335"/>
      <c r="CJ195" s="335"/>
      <c r="CK195" s="335"/>
      <c r="CL195" s="335"/>
      <c r="CM195" s="7">
        <f>IF(ROUND(W195-SUMIFS($AA195:$BJ195, $AA$3:$BJ$3, W$3), rounding)=0, 0, 1)</f>
        <v>0</v>
      </c>
      <c r="CN195" s="7">
        <f>IF(ROUND(X195-SUMIFS($AA195:$BJ195, $AA$3:$BJ$3, X$3), rounding)=0, 0, 1)</f>
        <v>0</v>
      </c>
      <c r="CO195" s="7">
        <f>IF(ROUND(Y195-SUMIFS($AA195:$BJ195, $AA$3:$BJ$3, Y$3), rounding)=0, 0, 1)</f>
        <v>0</v>
      </c>
      <c r="CP195" s="7">
        <f>IF(ROUND(V195-BL195, rounding)=0, 0, 1)*'BS Forecasts'!$V$10</f>
        <v>0</v>
      </c>
      <c r="CQ195" s="335"/>
      <c r="CR195" s="12"/>
      <c r="CS195" s="93">
        <f t="shared" si="182"/>
        <v>0</v>
      </c>
      <c r="CT195" s="93">
        <v>1</v>
      </c>
      <c r="CU195" s="93">
        <v>1</v>
      </c>
      <c r="EX195" s="13" t="str">
        <f>IF(C195="", "", CONCATENATE(D180, " ",D195))</f>
        <v>Loan 8 Early Repayment Fee</v>
      </c>
    </row>
    <row r="196" spans="1:154" s="335" customFormat="1" ht="6.6" customHeight="1" x14ac:dyDescent="0.25">
      <c r="C196" s="380"/>
      <c r="D196" s="1"/>
      <c r="T196" s="25"/>
      <c r="U196" s="25"/>
      <c r="V196" s="93"/>
      <c r="BM196" s="6"/>
      <c r="BY196" s="42"/>
      <c r="CA196" s="42"/>
      <c r="CR196" s="42"/>
      <c r="CS196" s="93">
        <f t="shared" si="182"/>
        <v>0</v>
      </c>
      <c r="CT196" s="93">
        <v>0</v>
      </c>
      <c r="CU196" s="93">
        <v>0</v>
      </c>
      <c r="EX196" s="13" t="str">
        <f>IF(C196="", "", CONCATENATE(D180, " ",D196))</f>
        <v/>
      </c>
    </row>
    <row r="197" spans="1:154" s="335" customFormat="1" ht="15.75" x14ac:dyDescent="0.3">
      <c r="A197" s="362" cm="1">
        <f t="array" aca="1" ref="A197" ca="1">HYPERLINK(CONCATENATE("#",CELL("address",IF(SUM($CA197:$CR197)=0,A197,INDEX($CA197:$CR197,MATCH(1,$CA197:$CR197,0))))),SUM($CA197:$CR197))</f>
        <v>0</v>
      </c>
      <c r="B197" s="105" t="s">
        <v>335</v>
      </c>
      <c r="D197" s="51" t="s">
        <v>1630</v>
      </c>
      <c r="E197" s="220" t="str">
        <f>IF(I$20="", "", I$20)</f>
        <v/>
      </c>
      <c r="F197" s="220" t="str">
        <f>IF(J$20="", "", J$20)</f>
        <v/>
      </c>
      <c r="T197" s="25"/>
      <c r="U197" s="25"/>
      <c r="V197" s="230">
        <f>IF(AND(OR( V$5&gt;$F197, Timeline!V$8&lt;Loans!$E197), Loans!V195&lt;&gt;0), 1, 0)</f>
        <v>0</v>
      </c>
      <c r="W197" s="230">
        <f>IF(AND(OR( W$5&gt;$F197, Timeline!W$8&lt;Loans!$E197), Loans!W195&lt;&gt;0), 1, 0)</f>
        <v>0</v>
      </c>
      <c r="X197" s="230">
        <f>IF(AND(OR( X$5&gt;$F197, Timeline!X$8&lt;Loans!$E197), Loans!X195&lt;&gt;0), 1, 0)</f>
        <v>0</v>
      </c>
      <c r="Y197" s="230">
        <f>IF(AND(OR( Y$5&gt;$F197, Timeline!Y$8&lt;Loans!$E197), Loans!Y195&lt;&gt;0), 1, 0)</f>
        <v>0</v>
      </c>
      <c r="AA197" s="230">
        <f>IF(AND(OR( AA$5&gt;$F197, Timeline!AA$8&lt;Loans!$E197), Loans!AA195&lt;&gt;0), 1, 0)</f>
        <v>0</v>
      </c>
      <c r="AB197" s="230">
        <f>IF(AND(OR( AB$5&gt;$F197, Timeline!AB$8&lt;Loans!$E197), Loans!AB195&lt;&gt;0), 1, 0)</f>
        <v>0</v>
      </c>
      <c r="AC197" s="230">
        <f>IF(AND(OR( AC$5&gt;$F197, Timeline!AC$8&lt;Loans!$E197), Loans!AC195&lt;&gt;0), 1, 0)</f>
        <v>0</v>
      </c>
      <c r="AD197" s="230">
        <f>IF(AND(OR( AD$5&gt;$F197, Timeline!AD$8&lt;Loans!$E197), Loans!AD195&lt;&gt;0), 1, 0)</f>
        <v>0</v>
      </c>
      <c r="AE197" s="230">
        <f>IF(AND(OR( AE$5&gt;$F197, Timeline!AE$8&lt;Loans!$E197), Loans!AE195&lt;&gt;0), 1, 0)</f>
        <v>0</v>
      </c>
      <c r="AF197" s="230">
        <f>IF(AND(OR( AF$5&gt;$F197, Timeline!AF$8&lt;Loans!$E197), Loans!AF195&lt;&gt;0), 1, 0)</f>
        <v>0</v>
      </c>
      <c r="AG197" s="230">
        <f>IF(AND(OR( AG$5&gt;$F197, Timeline!AG$8&lt;Loans!$E197), Loans!AG195&lt;&gt;0), 1, 0)</f>
        <v>0</v>
      </c>
      <c r="AH197" s="230">
        <f>IF(AND(OR( AH$5&gt;$F197, Timeline!AH$8&lt;Loans!$E197), Loans!AH195&lt;&gt;0), 1, 0)</f>
        <v>0</v>
      </c>
      <c r="AI197" s="230">
        <f>IF(AND(OR( AI$5&gt;$F197, Timeline!AI$8&lt;Loans!$E197), Loans!AI195&lt;&gt;0), 1, 0)</f>
        <v>0</v>
      </c>
      <c r="AJ197" s="230">
        <f>IF(AND(OR( AJ$5&gt;$F197, Timeline!AJ$8&lt;Loans!$E197), Loans!AJ195&lt;&gt;0), 1, 0)</f>
        <v>0</v>
      </c>
      <c r="AK197" s="230">
        <f>IF(AND(OR( AK$5&gt;$F197, Timeline!AK$8&lt;Loans!$E197), Loans!AK195&lt;&gt;0), 1, 0)</f>
        <v>0</v>
      </c>
      <c r="AL197" s="230">
        <f>IF(AND(OR( AL$5&gt;$F197, Timeline!AL$8&lt;Loans!$E197), Loans!AL195&lt;&gt;0), 1, 0)</f>
        <v>0</v>
      </c>
      <c r="AM197" s="230">
        <f>IF(AND(OR( AM$5&gt;$F197, Timeline!AM$8&lt;Loans!$E197), Loans!AM195&lt;&gt;0), 1, 0)</f>
        <v>0</v>
      </c>
      <c r="AN197" s="230">
        <f>IF(AND(OR( AN$5&gt;$F197, Timeline!AN$8&lt;Loans!$E197), Loans!AN195&lt;&gt;0), 1, 0)</f>
        <v>0</v>
      </c>
      <c r="AO197" s="230">
        <f>IF(AND(OR( AO$5&gt;$F197, Timeline!AO$8&lt;Loans!$E197), Loans!AO195&lt;&gt;0), 1, 0)</f>
        <v>0</v>
      </c>
      <c r="AP197" s="230">
        <f>IF(AND(OR( AP$5&gt;$F197, Timeline!AP$8&lt;Loans!$E197), Loans!AP195&lt;&gt;0), 1, 0)</f>
        <v>0</v>
      </c>
      <c r="AQ197" s="230">
        <f>IF(AND(OR( AQ$5&gt;$F197, Timeline!AQ$8&lt;Loans!$E197), Loans!AQ195&lt;&gt;0), 1, 0)</f>
        <v>0</v>
      </c>
      <c r="AR197" s="230">
        <f>IF(AND(OR( AR$5&gt;$F197, Timeline!AR$8&lt;Loans!$E197), Loans!AR195&lt;&gt;0), 1, 0)</f>
        <v>0</v>
      </c>
      <c r="AS197" s="230">
        <f>IF(AND(OR( AS$5&gt;$F197, Timeline!AS$8&lt;Loans!$E197), Loans!AS195&lt;&gt;0), 1, 0)</f>
        <v>0</v>
      </c>
      <c r="AT197" s="230">
        <f>IF(AND(OR( AT$5&gt;$F197, Timeline!AT$8&lt;Loans!$E197), Loans!AT195&lt;&gt;0), 1, 0)</f>
        <v>0</v>
      </c>
      <c r="AU197" s="230">
        <f>IF(AND(OR( AU$5&gt;$F197, Timeline!AU$8&lt;Loans!$E197), Loans!AU195&lt;&gt;0), 1, 0)</f>
        <v>0</v>
      </c>
      <c r="AV197" s="230">
        <f>IF(AND(OR( AV$5&gt;$F197, Timeline!AV$8&lt;Loans!$E197), Loans!AV195&lt;&gt;0), 1, 0)</f>
        <v>0</v>
      </c>
      <c r="AW197" s="230">
        <f>IF(AND(OR( AW$5&gt;$F197, Timeline!AW$8&lt;Loans!$E197), Loans!AW195&lt;&gt;0), 1, 0)</f>
        <v>0</v>
      </c>
      <c r="AX197" s="230">
        <f>IF(AND(OR( AX$5&gt;$F197, Timeline!AX$8&lt;Loans!$E197), Loans!AX195&lt;&gt;0), 1, 0)</f>
        <v>0</v>
      </c>
      <c r="AY197" s="230">
        <f>IF(AND(OR( AY$5&gt;$F197, Timeline!AY$8&lt;Loans!$E197), Loans!AY195&lt;&gt;0), 1, 0)</f>
        <v>0</v>
      </c>
      <c r="AZ197" s="230">
        <f>IF(AND(OR( AZ$5&gt;$F197, Timeline!AZ$8&lt;Loans!$E197), Loans!AZ195&lt;&gt;0), 1, 0)</f>
        <v>0</v>
      </c>
      <c r="BA197" s="230">
        <f>IF(AND(OR( BA$5&gt;$F197, Timeline!BA$8&lt;Loans!$E197), Loans!BA195&lt;&gt;0), 1, 0)</f>
        <v>0</v>
      </c>
      <c r="BB197" s="230">
        <f>IF(AND(OR( BB$5&gt;$F197, Timeline!BB$8&lt;Loans!$E197), Loans!BB195&lt;&gt;0), 1, 0)</f>
        <v>0</v>
      </c>
      <c r="BC197" s="230">
        <f>IF(AND(OR( BC$5&gt;$F197, Timeline!BC$8&lt;Loans!$E197), Loans!BC195&lt;&gt;0), 1, 0)</f>
        <v>0</v>
      </c>
      <c r="BD197" s="230">
        <f>IF(AND(OR( BD$5&gt;$F197, Timeline!BD$8&lt;Loans!$E197), Loans!BD195&lt;&gt;0), 1, 0)</f>
        <v>0</v>
      </c>
      <c r="BE197" s="230">
        <f>IF(AND(OR( BE$5&gt;$F197, Timeline!BE$8&lt;Loans!$E197), Loans!BE195&lt;&gt;0), 1, 0)</f>
        <v>0</v>
      </c>
      <c r="BF197" s="230">
        <f>IF(AND(OR( BF$5&gt;$F197, Timeline!BF$8&lt;Loans!$E197), Loans!BF195&lt;&gt;0), 1, 0)</f>
        <v>0</v>
      </c>
      <c r="BG197" s="230">
        <f>IF(AND(OR( BG$5&gt;$F197, Timeline!BG$8&lt;Loans!$E197), Loans!BG195&lt;&gt;0), 1, 0)</f>
        <v>0</v>
      </c>
      <c r="BH197" s="230">
        <f>IF(AND(OR( BH$5&gt;$F197, Timeline!BH$8&lt;Loans!$E197), Loans!BH195&lt;&gt;0), 1, 0)</f>
        <v>0</v>
      </c>
      <c r="BI197" s="230">
        <f>IF(AND(OR( BI$5&gt;$F197, Timeline!BI$8&lt;Loans!$E197), Loans!BI195&lt;&gt;0), 1, 0)</f>
        <v>0</v>
      </c>
      <c r="BJ197" s="230">
        <f>IF(AND(OR( BJ$5&gt;$F197, Timeline!BJ$8&lt;Loans!$E197), Loans!BJ195&lt;&gt;0), 1, 0)</f>
        <v>0</v>
      </c>
      <c r="BL197" s="230">
        <f>IF(AND(OR( BL$5&gt;$F197, Timeline!BL$8&lt;Loans!$E197), Loans!BL195&lt;&gt;0), 1, 0)</f>
        <v>0</v>
      </c>
      <c r="BM197" s="230">
        <f>IF(AND(OR( BM$5&gt;$F197, Timeline!BM$8&lt;Loans!$E197), Loans!BM195&lt;&gt;0), 1, 0)</f>
        <v>0</v>
      </c>
      <c r="BN197" s="230">
        <f>IF(AND(OR( BN$5&gt;$F197, Timeline!BN$8&lt;Loans!$E197), Loans!BN195&lt;&gt;0), 1, 0)</f>
        <v>0</v>
      </c>
      <c r="BO197" s="230">
        <f>IF(AND(OR( BO$5&gt;$F197, Timeline!BO$8&lt;Loans!$E197), Loans!BO195&lt;&gt;0), 1, 0)</f>
        <v>0</v>
      </c>
      <c r="BP197" s="230">
        <f>IF(AND(OR( BP$5&gt;$F197, Timeline!BP$8&lt;Loans!$E197), Loans!BP195&lt;&gt;0), 1, 0)</f>
        <v>0</v>
      </c>
      <c r="BQ197" s="230">
        <f>IF(AND(OR( BQ$5&gt;$F197, Timeline!BQ$8&lt;Loans!$E197), Loans!BQ195&lt;&gt;0), 1, 0)</f>
        <v>0</v>
      </c>
      <c r="BR197" s="230">
        <f>IF(AND(OR( BR$5&gt;$F197, Timeline!BR$8&lt;Loans!$E197), Loans!BR195&lt;&gt;0), 1, 0)</f>
        <v>0</v>
      </c>
      <c r="BS197" s="230">
        <f>IF(AND(OR( BS$5&gt;$F197, Timeline!BS$8&lt;Loans!$E197), Loans!BS195&lt;&gt;0), 1, 0)</f>
        <v>0</v>
      </c>
      <c r="BT197" s="230">
        <f>IF(AND(OR( BT$5&gt;$F197, Timeline!BT$8&lt;Loans!$E197), Loans!BT195&lt;&gt;0), 1, 0)</f>
        <v>0</v>
      </c>
      <c r="BU197" s="230">
        <f>IF(AND(OR( BU$5&gt;$F197, Timeline!BU$8&lt;Loans!$E197), Loans!BU195&lt;&gt;0), 1, 0)</f>
        <v>0</v>
      </c>
      <c r="BV197" s="230">
        <f>IF(AND(OR( BV$5&gt;$F197, Timeline!BV$8&lt;Loans!$E197), Loans!BV195&lt;&gt;0), 1, 0)</f>
        <v>0</v>
      </c>
      <c r="BW197" s="230">
        <f>IF(AND(OR( BW$5&gt;$F197, Timeline!BW$8&lt;Loans!$E197), Loans!BW195&lt;&gt;0), 1, 0)</f>
        <v>0</v>
      </c>
      <c r="BY197" s="12"/>
      <c r="CA197" s="12"/>
      <c r="CL197" s="7">
        <f>IF(MAX($V197:$BW197)&gt;0, 1, 0)</f>
        <v>0</v>
      </c>
      <c r="CR197" s="12"/>
      <c r="CS197" s="93">
        <f t="shared" si="182"/>
        <v>1</v>
      </c>
      <c r="CT197" s="93">
        <v>0</v>
      </c>
      <c r="CU197" s="93">
        <v>0</v>
      </c>
      <c r="EX197" s="13" t="str">
        <f>IF(C197="", "", CONCATENATE(D180, " ",D197))</f>
        <v/>
      </c>
    </row>
    <row r="198" spans="1:154" s="335" customFormat="1" ht="6.6" customHeight="1" x14ac:dyDescent="0.25">
      <c r="C198" s="380"/>
      <c r="D198" s="1"/>
      <c r="T198" s="25"/>
      <c r="U198" s="25"/>
      <c r="V198" s="93"/>
      <c r="BM198" s="6"/>
      <c r="BY198" s="42"/>
      <c r="CA198" s="42"/>
      <c r="CR198" s="42"/>
      <c r="CS198" s="93">
        <f t="shared" si="182"/>
        <v>0</v>
      </c>
      <c r="CT198" s="93">
        <v>0</v>
      </c>
      <c r="CU198" s="93">
        <v>0</v>
      </c>
      <c r="EX198" s="10" t="str">
        <f t="shared" ref="EX198" si="207">IF($C198="","",$D198)</f>
        <v/>
      </c>
    </row>
    <row r="199" spans="1:154" s="67" customFormat="1" x14ac:dyDescent="0.25">
      <c r="A199" s="64"/>
      <c r="C199" s="380"/>
      <c r="D199" s="64" t="s">
        <v>198</v>
      </c>
      <c r="E199" s="64"/>
      <c r="F199" s="172"/>
      <c r="G199" s="64"/>
      <c r="H199" s="64"/>
      <c r="I199" s="64"/>
      <c r="L199" s="64"/>
      <c r="M199" s="64"/>
      <c r="N199" s="64"/>
      <c r="O199" s="64"/>
      <c r="P199" s="64"/>
      <c r="Q199" s="64"/>
      <c r="S199" s="335"/>
      <c r="T199" s="25"/>
      <c r="U199" s="25"/>
      <c r="V199" s="93"/>
      <c r="BY199" s="12"/>
      <c r="BZ199" s="335"/>
      <c r="CA199" s="12"/>
      <c r="CB199" s="335"/>
      <c r="CC199" s="335"/>
      <c r="CD199" s="335"/>
      <c r="CE199" s="335"/>
      <c r="CM199" s="335"/>
      <c r="CN199" s="335"/>
      <c r="CO199" s="335"/>
      <c r="CP199" s="335"/>
      <c r="CR199" s="12"/>
      <c r="CS199" s="93">
        <f t="shared" si="182"/>
        <v>0</v>
      </c>
      <c r="CT199" s="93">
        <v>0</v>
      </c>
      <c r="CU199" s="93">
        <v>0</v>
      </c>
      <c r="EW199" s="335"/>
      <c r="EX199" s="10" t="str">
        <f t="shared" si="110"/>
        <v/>
      </c>
    </row>
    <row r="200" spans="1:154" s="67" customFormat="1" x14ac:dyDescent="0.25">
      <c r="C200" s="340" t="s">
        <v>1381</v>
      </c>
      <c r="D200" s="51" t="s">
        <v>230</v>
      </c>
      <c r="E200" s="1"/>
      <c r="F200" s="25"/>
      <c r="G200" s="9" t="s">
        <v>413</v>
      </c>
      <c r="H200" s="50" t="s">
        <v>8</v>
      </c>
      <c r="S200" s="335"/>
      <c r="T200" s="25"/>
      <c r="U200" s="25"/>
      <c r="V200" s="222"/>
      <c r="W200" s="201">
        <f>V204</f>
        <v>0</v>
      </c>
      <c r="X200" s="201">
        <f>W204</f>
        <v>0</v>
      </c>
      <c r="Y200" s="10">
        <f>X204</f>
        <v>0</v>
      </c>
      <c r="AA200" s="13">
        <f>W200</f>
        <v>0</v>
      </c>
      <c r="AB200" s="153">
        <f t="shared" ref="AB200:BJ200" si="208">AA204</f>
        <v>0</v>
      </c>
      <c r="AC200" s="153">
        <f t="shared" si="208"/>
        <v>0</v>
      </c>
      <c r="AD200" s="153">
        <f t="shared" si="208"/>
        <v>0</v>
      </c>
      <c r="AE200" s="153">
        <f t="shared" si="208"/>
        <v>0</v>
      </c>
      <c r="AF200" s="153">
        <f t="shared" si="208"/>
        <v>0</v>
      </c>
      <c r="AG200" s="153">
        <f t="shared" si="208"/>
        <v>0</v>
      </c>
      <c r="AH200" s="153">
        <f t="shared" si="208"/>
        <v>0</v>
      </c>
      <c r="AI200" s="153">
        <f t="shared" si="208"/>
        <v>0</v>
      </c>
      <c r="AJ200" s="153">
        <f t="shared" si="208"/>
        <v>0</v>
      </c>
      <c r="AK200" s="153">
        <f t="shared" si="208"/>
        <v>0</v>
      </c>
      <c r="AL200" s="153">
        <f t="shared" si="208"/>
        <v>0</v>
      </c>
      <c r="AM200" s="153">
        <f t="shared" si="208"/>
        <v>0</v>
      </c>
      <c r="AN200" s="153">
        <f t="shared" si="208"/>
        <v>0</v>
      </c>
      <c r="AO200" s="153">
        <f t="shared" si="208"/>
        <v>0</v>
      </c>
      <c r="AP200" s="153">
        <f t="shared" si="208"/>
        <v>0</v>
      </c>
      <c r="AQ200" s="153">
        <f t="shared" si="208"/>
        <v>0</v>
      </c>
      <c r="AR200" s="153">
        <f t="shared" si="208"/>
        <v>0</v>
      </c>
      <c r="AS200" s="153">
        <f t="shared" si="208"/>
        <v>0</v>
      </c>
      <c r="AT200" s="153">
        <f t="shared" si="208"/>
        <v>0</v>
      </c>
      <c r="AU200" s="153">
        <f t="shared" si="208"/>
        <v>0</v>
      </c>
      <c r="AV200" s="153">
        <f t="shared" si="208"/>
        <v>0</v>
      </c>
      <c r="AW200" s="153">
        <f t="shared" si="208"/>
        <v>0</v>
      </c>
      <c r="AX200" s="153">
        <f t="shared" si="208"/>
        <v>0</v>
      </c>
      <c r="AY200" s="153">
        <f t="shared" si="208"/>
        <v>0</v>
      </c>
      <c r="AZ200" s="153">
        <f t="shared" si="208"/>
        <v>0</v>
      </c>
      <c r="BA200" s="153">
        <f t="shared" si="208"/>
        <v>0</v>
      </c>
      <c r="BB200" s="153">
        <f t="shared" si="208"/>
        <v>0</v>
      </c>
      <c r="BC200" s="153">
        <f t="shared" si="208"/>
        <v>0</v>
      </c>
      <c r="BD200" s="153">
        <f t="shared" si="208"/>
        <v>0</v>
      </c>
      <c r="BE200" s="153">
        <f t="shared" si="208"/>
        <v>0</v>
      </c>
      <c r="BF200" s="153">
        <f t="shared" si="208"/>
        <v>0</v>
      </c>
      <c r="BG200" s="153">
        <f t="shared" si="208"/>
        <v>0</v>
      </c>
      <c r="BH200" s="153">
        <f t="shared" si="208"/>
        <v>0</v>
      </c>
      <c r="BI200" s="153">
        <f t="shared" si="208"/>
        <v>0</v>
      </c>
      <c r="BJ200" s="153">
        <f t="shared" si="208"/>
        <v>0</v>
      </c>
      <c r="BL200" s="152">
        <f t="shared" ref="BL200:BO204" si="209">V200</f>
        <v>0</v>
      </c>
      <c r="BM200" s="152">
        <f t="shared" si="209"/>
        <v>0</v>
      </c>
      <c r="BN200" s="152">
        <f t="shared" si="209"/>
        <v>0</v>
      </c>
      <c r="BO200" s="152">
        <f t="shared" si="209"/>
        <v>0</v>
      </c>
      <c r="BP200" s="153">
        <f t="shared" ref="BP200:BW200" si="210">BO204</f>
        <v>0</v>
      </c>
      <c r="BQ200" s="153">
        <f t="shared" si="210"/>
        <v>0</v>
      </c>
      <c r="BR200" s="153">
        <f t="shared" si="210"/>
        <v>0</v>
      </c>
      <c r="BS200" s="153">
        <f t="shared" si="210"/>
        <v>0</v>
      </c>
      <c r="BT200" s="153">
        <f t="shared" si="210"/>
        <v>0</v>
      </c>
      <c r="BU200" s="153">
        <f t="shared" si="210"/>
        <v>0</v>
      </c>
      <c r="BV200" s="153">
        <f t="shared" si="210"/>
        <v>0</v>
      </c>
      <c r="BW200" s="153">
        <f t="shared" si="210"/>
        <v>0</v>
      </c>
      <c r="BY200" s="12"/>
      <c r="BZ200" s="335"/>
      <c r="CA200" s="12"/>
      <c r="CB200" s="335"/>
      <c r="CC200" s="335"/>
      <c r="CD200" s="335"/>
      <c r="CE200" s="335"/>
      <c r="CM200" s="335"/>
      <c r="CN200" s="335"/>
      <c r="CO200" s="335"/>
      <c r="CP200" s="335"/>
      <c r="CR200" s="12"/>
      <c r="CS200" s="93">
        <f t="shared" si="182"/>
        <v>0</v>
      </c>
      <c r="CT200" s="93">
        <v>1</v>
      </c>
      <c r="CU200" s="93">
        <v>0</v>
      </c>
      <c r="EW200" s="335"/>
      <c r="EX200" s="13" t="str">
        <f>IF(C200="", "", CONCATENATE(D199, " ",D200))</f>
        <v>Loan 9 Opening Loan Balance</v>
      </c>
    </row>
    <row r="201" spans="1:154" s="5" customFormat="1" x14ac:dyDescent="0.25">
      <c r="A201" s="362" cm="1">
        <f t="array" aca="1" ref="A201" ca="1">HYPERLINK(CONCATENATE("#",CELL("address",IF(SUM($CA201:$CR201)=0,A201,INDEX($CA201:$CR201,MATCH(1,$CA201:$CR201,0))))),SUM($CA201:$CR201))</f>
        <v>0</v>
      </c>
      <c r="B201" s="67"/>
      <c r="C201" s="340" t="s">
        <v>1259</v>
      </c>
      <c r="D201" s="51" t="s">
        <v>219</v>
      </c>
      <c r="E201" s="1"/>
      <c r="F201" s="67"/>
      <c r="G201" s="9" t="s">
        <v>413</v>
      </c>
      <c r="H201" s="50" t="s">
        <v>125</v>
      </c>
      <c r="I201" s="67"/>
      <c r="J201" s="67"/>
      <c r="K201" s="67"/>
      <c r="L201" s="67"/>
      <c r="M201" s="67"/>
      <c r="N201" s="67"/>
      <c r="O201" s="67"/>
      <c r="P201" s="67"/>
      <c r="Q201" s="67"/>
      <c r="R201" s="67"/>
      <c r="S201" s="335"/>
      <c r="T201" s="25"/>
      <c r="U201" s="25"/>
      <c r="V201" s="210"/>
      <c r="W201" s="215">
        <f t="shared" ref="W201:Y203" si="211" xml:space="preserve"> SUMIFS($AA201:$BJ201, $AA$3:$BJ$3, W$3)</f>
        <v>0</v>
      </c>
      <c r="X201" s="215">
        <f t="shared" si="211"/>
        <v>0</v>
      </c>
      <c r="Y201" s="215">
        <f t="shared" si="211"/>
        <v>0</v>
      </c>
      <c r="Z201" s="6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c r="BI201" s="147"/>
      <c r="BJ201" s="147"/>
      <c r="BK201" s="67"/>
      <c r="BL201" s="13">
        <f t="shared" si="209"/>
        <v>0</v>
      </c>
      <c r="BM201" s="13">
        <f t="shared" si="209"/>
        <v>0</v>
      </c>
      <c r="BN201" s="13">
        <f t="shared" si="209"/>
        <v>0</v>
      </c>
      <c r="BO201" s="13">
        <f t="shared" si="209"/>
        <v>0</v>
      </c>
      <c r="BP201" s="141"/>
      <c r="BQ201" s="141"/>
      <c r="BR201" s="141"/>
      <c r="BS201" s="141"/>
      <c r="BT201" s="141"/>
      <c r="BU201" s="141"/>
      <c r="BV201" s="141"/>
      <c r="BW201" s="141"/>
      <c r="BX201" s="67"/>
      <c r="BY201" s="12"/>
      <c r="BZ201" s="395">
        <f>IF(MIN($V201:$BW201)&lt;0, 1, 0)</f>
        <v>0</v>
      </c>
      <c r="CA201" s="12"/>
      <c r="CB201" s="335"/>
      <c r="CC201" s="335"/>
      <c r="CD201" s="335"/>
      <c r="CE201" s="335"/>
      <c r="CF201" s="67"/>
      <c r="CG201" s="67"/>
      <c r="CH201" s="67"/>
      <c r="CI201" s="67"/>
      <c r="CJ201" s="67"/>
      <c r="CK201" s="67"/>
      <c r="CL201" s="67"/>
      <c r="CM201" s="7">
        <f t="shared" ref="CM201:CO203" si="212">IF(ROUND(W201-SUMIFS($AA201:$BJ201, $AA$3:$BJ$3, W$3), rounding)=0, 0, 1)</f>
        <v>0</v>
      </c>
      <c r="CN201" s="7">
        <f t="shared" si="212"/>
        <v>0</v>
      </c>
      <c r="CO201" s="7">
        <f t="shared" si="212"/>
        <v>0</v>
      </c>
      <c r="CP201" s="7">
        <f>IF(ROUND(V201-BL201, rounding)=0, 0, 1)*'BS Forecasts'!$V$10</f>
        <v>0</v>
      </c>
      <c r="CQ201" s="67"/>
      <c r="CR201" s="12"/>
      <c r="CS201" s="93">
        <f t="shared" si="182"/>
        <v>0</v>
      </c>
      <c r="CT201" s="93">
        <v>1</v>
      </c>
      <c r="CU201" s="93">
        <v>1</v>
      </c>
      <c r="EX201" s="13" t="str">
        <f>IF(C201="", "", CONCATENATE(D199, " ",D201))</f>
        <v>Loan 9 Drawdowns</v>
      </c>
    </row>
    <row r="202" spans="1:154" s="67" customFormat="1" x14ac:dyDescent="0.25">
      <c r="A202" s="362" cm="1">
        <f t="array" aca="1" ref="A202" ca="1">HYPERLINK(CONCATENATE("#",CELL("address",IF(SUM($CA202:$CR202)=0,A202,INDEX($CA202:$CR202,MATCH(1,$CA202:$CR202,0))))),SUM($CA202:$CR202))</f>
        <v>0</v>
      </c>
      <c r="C202" s="340" t="s">
        <v>1260</v>
      </c>
      <c r="D202" s="41" t="s">
        <v>1570</v>
      </c>
      <c r="E202" s="1"/>
      <c r="G202" s="9" t="s">
        <v>413</v>
      </c>
      <c r="H202" s="50" t="s">
        <v>157</v>
      </c>
      <c r="S202" s="335"/>
      <c r="T202" s="25"/>
      <c r="U202" s="25"/>
      <c r="V202" s="210"/>
      <c r="W202" s="215">
        <f t="shared" si="211"/>
        <v>0</v>
      </c>
      <c r="X202" s="215">
        <f t="shared" si="211"/>
        <v>0</v>
      </c>
      <c r="Y202" s="215">
        <f t="shared" si="211"/>
        <v>0</v>
      </c>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c r="BI202" s="147"/>
      <c r="BJ202" s="147"/>
      <c r="BL202" s="13">
        <f t="shared" si="209"/>
        <v>0</v>
      </c>
      <c r="BM202" s="13">
        <f t="shared" si="209"/>
        <v>0</v>
      </c>
      <c r="BN202" s="13">
        <f t="shared" si="209"/>
        <v>0</v>
      </c>
      <c r="BO202" s="13">
        <f t="shared" si="209"/>
        <v>0</v>
      </c>
      <c r="BP202" s="141"/>
      <c r="BQ202" s="141"/>
      <c r="BR202" s="141"/>
      <c r="BS202" s="141"/>
      <c r="BT202" s="141"/>
      <c r="BU202" s="141"/>
      <c r="BV202" s="141"/>
      <c r="BW202" s="141"/>
      <c r="BY202" s="12"/>
      <c r="BZ202" s="395">
        <f>IF(MAX($V202:$BW202)&gt;0, 1, 0)</f>
        <v>0</v>
      </c>
      <c r="CA202" s="12"/>
      <c r="CB202" s="335"/>
      <c r="CC202" s="335"/>
      <c r="CD202" s="335"/>
      <c r="CE202" s="335"/>
      <c r="CM202" s="7">
        <f t="shared" si="212"/>
        <v>0</v>
      </c>
      <c r="CN202" s="7">
        <f t="shared" si="212"/>
        <v>0</v>
      </c>
      <c r="CO202" s="7">
        <f t="shared" si="212"/>
        <v>0</v>
      </c>
      <c r="CP202" s="7">
        <f>IF(ROUND(V202-BL202, rounding)=0, 0, 1)*'BS Forecasts'!$V$10</f>
        <v>0</v>
      </c>
      <c r="CR202" s="12"/>
      <c r="CS202" s="93">
        <f t="shared" si="182"/>
        <v>0</v>
      </c>
      <c r="CT202" s="93">
        <v>1</v>
      </c>
      <c r="CU202" s="93">
        <v>1</v>
      </c>
      <c r="EW202" s="335"/>
      <c r="EX202" s="13" t="str">
        <f>IF(C202="", "", CONCATENATE(D199, " ",D202))</f>
        <v>Loan 9 Loan Capital Repayment (as per loan agreement)</v>
      </c>
    </row>
    <row r="203" spans="1:154" s="335" customFormat="1" x14ac:dyDescent="0.25">
      <c r="A203" s="362" cm="1">
        <f t="array" aca="1" ref="A203" ca="1">HYPERLINK(CONCATENATE("#",CELL("address",IF(SUM($CA203:$CR203)=0,A203,INDEX($CA203:$CR203,MATCH(1,$CA203:$CR203,0))))),SUM($CA203:$CR203))</f>
        <v>0</v>
      </c>
      <c r="C203" s="340" t="s">
        <v>1584</v>
      </c>
      <c r="D203" s="41" t="s">
        <v>1571</v>
      </c>
      <c r="E203" s="1"/>
      <c r="G203" s="9" t="s">
        <v>413</v>
      </c>
      <c r="H203" s="50" t="s">
        <v>157</v>
      </c>
      <c r="T203" s="25"/>
      <c r="U203" s="25"/>
      <c r="V203" s="210"/>
      <c r="W203" s="215">
        <f t="shared" si="211"/>
        <v>0</v>
      </c>
      <c r="X203" s="215">
        <f t="shared" si="211"/>
        <v>0</v>
      </c>
      <c r="Y203" s="215">
        <f t="shared" si="211"/>
        <v>0</v>
      </c>
      <c r="AA203" s="147"/>
      <c r="AB203" s="147"/>
      <c r="AC203" s="147"/>
      <c r="AD203" s="147"/>
      <c r="AE203" s="147"/>
      <c r="AF203" s="147"/>
      <c r="AG203" s="147"/>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c r="BI203" s="147"/>
      <c r="BJ203" s="147"/>
      <c r="BL203" s="13">
        <f t="shared" si="209"/>
        <v>0</v>
      </c>
      <c r="BM203" s="13">
        <f t="shared" si="209"/>
        <v>0</v>
      </c>
      <c r="BN203" s="13">
        <f t="shared" si="209"/>
        <v>0</v>
      </c>
      <c r="BO203" s="13">
        <f t="shared" si="209"/>
        <v>0</v>
      </c>
      <c r="BP203" s="141"/>
      <c r="BQ203" s="141"/>
      <c r="BR203" s="141"/>
      <c r="BS203" s="141"/>
      <c r="BT203" s="141"/>
      <c r="BU203" s="141"/>
      <c r="BV203" s="141"/>
      <c r="BW203" s="141"/>
      <c r="BY203" s="12"/>
      <c r="BZ203" s="395">
        <f>IF(MAX($V203:$BW203)&gt;0, 1, 0)</f>
        <v>0</v>
      </c>
      <c r="CA203" s="12"/>
      <c r="CM203" s="7">
        <f t="shared" si="212"/>
        <v>0</v>
      </c>
      <c r="CN203" s="7">
        <f t="shared" si="212"/>
        <v>0</v>
      </c>
      <c r="CO203" s="7">
        <f t="shared" si="212"/>
        <v>0</v>
      </c>
      <c r="CP203" s="7">
        <f>IF(ROUND(V203-BL203, rounding)=0, 0, 1)*'BS Forecasts'!$V$10</f>
        <v>0</v>
      </c>
      <c r="CR203" s="12"/>
      <c r="CS203" s="93">
        <f t="shared" si="182"/>
        <v>0</v>
      </c>
      <c r="CT203" s="93">
        <v>1</v>
      </c>
      <c r="CU203" s="93">
        <v>1</v>
      </c>
      <c r="EX203" s="13" t="str">
        <f>IF(C203="", "", CONCATENATE(D199, " ",D203))</f>
        <v xml:space="preserve">Loan 9 Early Repayment </v>
      </c>
    </row>
    <row r="204" spans="1:154" s="67" customFormat="1" x14ac:dyDescent="0.25">
      <c r="C204" s="340" t="s">
        <v>1361</v>
      </c>
      <c r="D204" s="51" t="s">
        <v>231</v>
      </c>
      <c r="E204" s="1"/>
      <c r="G204" s="9" t="s">
        <v>413</v>
      </c>
      <c r="H204" s="50" t="s">
        <v>8</v>
      </c>
      <c r="S204" s="335"/>
      <c r="T204" s="25"/>
      <c r="U204" s="25"/>
      <c r="V204" s="13">
        <f>$G$21</f>
        <v>0</v>
      </c>
      <c r="W204" s="153">
        <f>SUM(W200:W203)</f>
        <v>0</v>
      </c>
      <c r="X204" s="153">
        <f t="shared" ref="X204:BJ204" si="213">SUM(X200:X203)</f>
        <v>0</v>
      </c>
      <c r="Y204" s="153">
        <f t="shared" si="213"/>
        <v>0</v>
      </c>
      <c r="Z204" s="335"/>
      <c r="AA204" s="153">
        <f t="shared" si="213"/>
        <v>0</v>
      </c>
      <c r="AB204" s="153">
        <f t="shared" si="213"/>
        <v>0</v>
      </c>
      <c r="AC204" s="153">
        <f t="shared" si="213"/>
        <v>0</v>
      </c>
      <c r="AD204" s="153">
        <f t="shared" si="213"/>
        <v>0</v>
      </c>
      <c r="AE204" s="153">
        <f t="shared" si="213"/>
        <v>0</v>
      </c>
      <c r="AF204" s="153">
        <f t="shared" si="213"/>
        <v>0</v>
      </c>
      <c r="AG204" s="153">
        <f t="shared" si="213"/>
        <v>0</v>
      </c>
      <c r="AH204" s="153">
        <f t="shared" si="213"/>
        <v>0</v>
      </c>
      <c r="AI204" s="153">
        <f t="shared" si="213"/>
        <v>0</v>
      </c>
      <c r="AJ204" s="153">
        <f t="shared" si="213"/>
        <v>0</v>
      </c>
      <c r="AK204" s="153">
        <f t="shared" si="213"/>
        <v>0</v>
      </c>
      <c r="AL204" s="153">
        <f t="shared" si="213"/>
        <v>0</v>
      </c>
      <c r="AM204" s="153">
        <f t="shared" si="213"/>
        <v>0</v>
      </c>
      <c r="AN204" s="153">
        <f t="shared" si="213"/>
        <v>0</v>
      </c>
      <c r="AO204" s="153">
        <f t="shared" si="213"/>
        <v>0</v>
      </c>
      <c r="AP204" s="153">
        <f t="shared" si="213"/>
        <v>0</v>
      </c>
      <c r="AQ204" s="153">
        <f t="shared" si="213"/>
        <v>0</v>
      </c>
      <c r="AR204" s="153">
        <f t="shared" si="213"/>
        <v>0</v>
      </c>
      <c r="AS204" s="153">
        <f t="shared" si="213"/>
        <v>0</v>
      </c>
      <c r="AT204" s="153">
        <f t="shared" si="213"/>
        <v>0</v>
      </c>
      <c r="AU204" s="153">
        <f t="shared" si="213"/>
        <v>0</v>
      </c>
      <c r="AV204" s="153">
        <f t="shared" si="213"/>
        <v>0</v>
      </c>
      <c r="AW204" s="153">
        <f t="shared" si="213"/>
        <v>0</v>
      </c>
      <c r="AX204" s="153">
        <f t="shared" si="213"/>
        <v>0</v>
      </c>
      <c r="AY204" s="153">
        <f t="shared" si="213"/>
        <v>0</v>
      </c>
      <c r="AZ204" s="153">
        <f t="shared" si="213"/>
        <v>0</v>
      </c>
      <c r="BA204" s="153">
        <f t="shared" si="213"/>
        <v>0</v>
      </c>
      <c r="BB204" s="153">
        <f t="shared" si="213"/>
        <v>0</v>
      </c>
      <c r="BC204" s="153">
        <f t="shared" si="213"/>
        <v>0</v>
      </c>
      <c r="BD204" s="153">
        <f t="shared" si="213"/>
        <v>0</v>
      </c>
      <c r="BE204" s="153">
        <f t="shared" si="213"/>
        <v>0</v>
      </c>
      <c r="BF204" s="153">
        <f t="shared" si="213"/>
        <v>0</v>
      </c>
      <c r="BG204" s="153">
        <f t="shared" si="213"/>
        <v>0</v>
      </c>
      <c r="BH204" s="153">
        <f t="shared" si="213"/>
        <v>0</v>
      </c>
      <c r="BI204" s="153">
        <f t="shared" si="213"/>
        <v>0</v>
      </c>
      <c r="BJ204" s="153">
        <f t="shared" si="213"/>
        <v>0</v>
      </c>
      <c r="BL204" s="152">
        <f t="shared" si="209"/>
        <v>0</v>
      </c>
      <c r="BM204" s="152">
        <f t="shared" si="209"/>
        <v>0</v>
      </c>
      <c r="BN204" s="152">
        <f t="shared" si="209"/>
        <v>0</v>
      </c>
      <c r="BO204" s="152">
        <f t="shared" si="209"/>
        <v>0</v>
      </c>
      <c r="BP204" s="153">
        <f>SUM(BP200:BP203)</f>
        <v>0</v>
      </c>
      <c r="BQ204" s="153">
        <f t="shared" ref="BQ204" si="214">SUM(BQ200:BQ203)</f>
        <v>0</v>
      </c>
      <c r="BR204" s="153">
        <f t="shared" ref="BR204" si="215">SUM(BR200:BR203)</f>
        <v>0</v>
      </c>
      <c r="BS204" s="153">
        <f t="shared" ref="BS204" si="216">SUM(BS200:BS203)</f>
        <v>0</v>
      </c>
      <c r="BT204" s="153">
        <f t="shared" ref="BT204" si="217">SUM(BT200:BT203)</f>
        <v>0</v>
      </c>
      <c r="BU204" s="153">
        <f t="shared" ref="BU204" si="218">SUM(BU200:BU203)</f>
        <v>0</v>
      </c>
      <c r="BV204" s="153">
        <f t="shared" ref="BV204" si="219">SUM(BV200:BV203)</f>
        <v>0</v>
      </c>
      <c r="BW204" s="153">
        <f t="shared" ref="BW204" si="220">SUM(BW200:BW203)</f>
        <v>0</v>
      </c>
      <c r="BY204" s="12"/>
      <c r="BZ204" s="335"/>
      <c r="CA204" s="12"/>
      <c r="CB204" s="335"/>
      <c r="CC204" s="335"/>
      <c r="CD204" s="335"/>
      <c r="CE204" s="335"/>
      <c r="CM204" s="335"/>
      <c r="CN204" s="335"/>
      <c r="CO204" s="335"/>
      <c r="CP204" s="335"/>
      <c r="CR204" s="12"/>
      <c r="CS204" s="93">
        <f t="shared" si="182"/>
        <v>0</v>
      </c>
      <c r="CT204" s="93">
        <v>0</v>
      </c>
      <c r="CU204" s="93">
        <v>0</v>
      </c>
      <c r="EW204" s="335"/>
      <c r="EX204" s="13" t="str">
        <f>IF(C204="", "", CONCATENATE(D199, " ",D204))</f>
        <v>Loan 9 Closing Loan Balance</v>
      </c>
    </row>
    <row r="205" spans="1:154" s="67" customFormat="1" ht="6.6" customHeight="1" x14ac:dyDescent="0.25">
      <c r="C205" s="380"/>
      <c r="D205" s="1"/>
      <c r="S205" s="335"/>
      <c r="T205" s="25"/>
      <c r="U205" s="25"/>
      <c r="V205" s="229"/>
      <c r="W205" s="25"/>
      <c r="X205" s="25"/>
      <c r="Y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L205" s="25"/>
      <c r="BM205" s="155"/>
      <c r="BN205" s="25"/>
      <c r="BO205" s="25"/>
      <c r="BP205" s="25"/>
      <c r="BQ205" s="25"/>
      <c r="BR205" s="25"/>
      <c r="BS205" s="25"/>
      <c r="BT205" s="25"/>
      <c r="BU205" s="25"/>
      <c r="BV205" s="25"/>
      <c r="BW205" s="25"/>
      <c r="BY205" s="42"/>
      <c r="BZ205" s="335"/>
      <c r="CA205" s="42"/>
      <c r="CB205" s="335"/>
      <c r="CC205" s="335"/>
      <c r="CD205" s="335"/>
      <c r="CE205" s="335"/>
      <c r="CM205" s="335"/>
      <c r="CN205" s="335"/>
      <c r="CO205" s="335"/>
      <c r="CP205" s="335"/>
      <c r="CR205" s="42"/>
      <c r="CS205" s="93">
        <f t="shared" si="182"/>
        <v>0</v>
      </c>
      <c r="CT205" s="93">
        <v>0</v>
      </c>
      <c r="CU205" s="93">
        <v>0</v>
      </c>
      <c r="EW205" s="335"/>
      <c r="EX205" s="13" t="str">
        <f>IF(C205="", "", CONCATENATE(D199, " ",D205))</f>
        <v/>
      </c>
    </row>
    <row r="206" spans="1:154" s="67" customFormat="1" x14ac:dyDescent="0.25">
      <c r="A206" s="362" cm="1">
        <f t="array" aca="1" ref="A206" ca="1">HYPERLINK(CONCATENATE("#",CELL("address",IF(SUM($CA206:$CR206)=0,A206,INDEX($CA206:$CR206,MATCH(1,$CA206:$CR206,0))))),SUM($CA206:$CR206))</f>
        <v>0</v>
      </c>
      <c r="C206" s="380"/>
      <c r="D206" s="51" t="s">
        <v>526</v>
      </c>
      <c r="E206" s="160" t="s">
        <v>523</v>
      </c>
      <c r="F206" s="153">
        <f>$F$21</f>
        <v>0</v>
      </c>
      <c r="S206" s="335"/>
      <c r="T206" s="25"/>
      <c r="U206" s="25"/>
      <c r="V206" s="230">
        <f>IF(OR(V204&gt;$F206, V204&lt;0), 1, 0)</f>
        <v>0</v>
      </c>
      <c r="W206" s="154">
        <f>IF(OR(W204&gt;$F206, W204&lt;0), 1, 0)</f>
        <v>0</v>
      </c>
      <c r="X206" s="154">
        <f>IF(OR(X204&gt;$F206, X204&lt;0), 1, 0)</f>
        <v>0</v>
      </c>
      <c r="Y206" s="154">
        <f>IF(OR(Y204&gt;$F206, Y204&lt;0), 1, 0)</f>
        <v>0</v>
      </c>
      <c r="AA206" s="154">
        <f t="shared" ref="AA206:BJ206" si="221">IF(OR(AA204&gt;$F206, AA204&lt;0), 1, 0)</f>
        <v>0</v>
      </c>
      <c r="AB206" s="154">
        <f t="shared" si="221"/>
        <v>0</v>
      </c>
      <c r="AC206" s="154">
        <f t="shared" si="221"/>
        <v>0</v>
      </c>
      <c r="AD206" s="154">
        <f t="shared" si="221"/>
        <v>0</v>
      </c>
      <c r="AE206" s="154">
        <f t="shared" si="221"/>
        <v>0</v>
      </c>
      <c r="AF206" s="154">
        <f t="shared" si="221"/>
        <v>0</v>
      </c>
      <c r="AG206" s="154">
        <f t="shared" si="221"/>
        <v>0</v>
      </c>
      <c r="AH206" s="154">
        <f t="shared" si="221"/>
        <v>0</v>
      </c>
      <c r="AI206" s="154">
        <f t="shared" si="221"/>
        <v>0</v>
      </c>
      <c r="AJ206" s="154">
        <f t="shared" si="221"/>
        <v>0</v>
      </c>
      <c r="AK206" s="154">
        <f t="shared" si="221"/>
        <v>0</v>
      </c>
      <c r="AL206" s="154">
        <f t="shared" si="221"/>
        <v>0</v>
      </c>
      <c r="AM206" s="154">
        <f t="shared" si="221"/>
        <v>0</v>
      </c>
      <c r="AN206" s="154">
        <f t="shared" si="221"/>
        <v>0</v>
      </c>
      <c r="AO206" s="154">
        <f t="shared" si="221"/>
        <v>0</v>
      </c>
      <c r="AP206" s="154">
        <f t="shared" si="221"/>
        <v>0</v>
      </c>
      <c r="AQ206" s="154">
        <f t="shared" si="221"/>
        <v>0</v>
      </c>
      <c r="AR206" s="154">
        <f t="shared" si="221"/>
        <v>0</v>
      </c>
      <c r="AS206" s="154">
        <f t="shared" si="221"/>
        <v>0</v>
      </c>
      <c r="AT206" s="154">
        <f t="shared" si="221"/>
        <v>0</v>
      </c>
      <c r="AU206" s="154">
        <f t="shared" si="221"/>
        <v>0</v>
      </c>
      <c r="AV206" s="154">
        <f t="shared" si="221"/>
        <v>0</v>
      </c>
      <c r="AW206" s="154">
        <f t="shared" si="221"/>
        <v>0</v>
      </c>
      <c r="AX206" s="154">
        <f t="shared" si="221"/>
        <v>0</v>
      </c>
      <c r="AY206" s="154">
        <f t="shared" si="221"/>
        <v>0</v>
      </c>
      <c r="AZ206" s="154">
        <f t="shared" si="221"/>
        <v>0</v>
      </c>
      <c r="BA206" s="154">
        <f t="shared" si="221"/>
        <v>0</v>
      </c>
      <c r="BB206" s="154">
        <f t="shared" si="221"/>
        <v>0</v>
      </c>
      <c r="BC206" s="154">
        <f t="shared" si="221"/>
        <v>0</v>
      </c>
      <c r="BD206" s="154">
        <f t="shared" si="221"/>
        <v>0</v>
      </c>
      <c r="BE206" s="154">
        <f t="shared" si="221"/>
        <v>0</v>
      </c>
      <c r="BF206" s="154">
        <f t="shared" si="221"/>
        <v>0</v>
      </c>
      <c r="BG206" s="154">
        <f t="shared" si="221"/>
        <v>0</v>
      </c>
      <c r="BH206" s="154">
        <f t="shared" si="221"/>
        <v>0</v>
      </c>
      <c r="BI206" s="154">
        <f t="shared" si="221"/>
        <v>0</v>
      </c>
      <c r="BJ206" s="154">
        <f t="shared" si="221"/>
        <v>0</v>
      </c>
      <c r="BL206" s="154">
        <f t="shared" ref="BL206" si="222">IF(OR(BL204&gt;$F206, BL204&lt;0), 1, 0)</f>
        <v>0</v>
      </c>
      <c r="BM206" s="154">
        <f t="shared" ref="BM206:BW206" si="223">IF(OR(BM204&gt;$F206, BM204&lt;0), 1, 0)</f>
        <v>0</v>
      </c>
      <c r="BN206" s="154">
        <f t="shared" si="223"/>
        <v>0</v>
      </c>
      <c r="BO206" s="154">
        <f t="shared" si="223"/>
        <v>0</v>
      </c>
      <c r="BP206" s="154">
        <f t="shared" si="223"/>
        <v>0</v>
      </c>
      <c r="BQ206" s="154">
        <f t="shared" si="223"/>
        <v>0</v>
      </c>
      <c r="BR206" s="154">
        <f t="shared" si="223"/>
        <v>0</v>
      </c>
      <c r="BS206" s="154">
        <f t="shared" si="223"/>
        <v>0</v>
      </c>
      <c r="BT206" s="154">
        <f t="shared" si="223"/>
        <v>0</v>
      </c>
      <c r="BU206" s="154">
        <f t="shared" si="223"/>
        <v>0</v>
      </c>
      <c r="BV206" s="154">
        <f t="shared" si="223"/>
        <v>0</v>
      </c>
      <c r="BW206" s="154">
        <f t="shared" si="223"/>
        <v>0</v>
      </c>
      <c r="BY206" s="12"/>
      <c r="BZ206" s="335"/>
      <c r="CA206" s="12"/>
      <c r="CB206" s="335"/>
      <c r="CC206" s="335"/>
      <c r="CD206" s="335"/>
      <c r="CE206" s="335"/>
      <c r="CL206" s="7">
        <f>IF(MAX(V206:BW206)&gt;0, 1, 0)</f>
        <v>0</v>
      </c>
      <c r="CM206" s="335"/>
      <c r="CN206" s="335"/>
      <c r="CO206" s="335"/>
      <c r="CP206" s="335"/>
      <c r="CR206" s="12"/>
      <c r="CS206" s="93">
        <f t="shared" si="182"/>
        <v>1</v>
      </c>
      <c r="CT206" s="93">
        <v>0</v>
      </c>
      <c r="CU206" s="93">
        <v>0</v>
      </c>
      <c r="EW206" s="335"/>
      <c r="EX206" s="13" t="str">
        <f>IF(C206="", "", CONCATENATE(D199, " ",D206))</f>
        <v/>
      </c>
    </row>
    <row r="207" spans="1:154" s="67" customFormat="1" x14ac:dyDescent="0.25">
      <c r="A207" s="362" cm="1">
        <f t="array" aca="1" ref="A207" ca="1">HYPERLINK(CONCATENATE("#",CELL("address",IF(SUM($CA207:$CR207)=0,A207,INDEX($CA207:$CR207,MATCH(1,$CA207:$CR207,0))))),SUM($CA207:$CR207))</f>
        <v>0</v>
      </c>
      <c r="C207" s="380"/>
      <c r="D207" s="51" t="s">
        <v>220</v>
      </c>
      <c r="E207" s="160" t="s">
        <v>524</v>
      </c>
      <c r="F207" s="173" t="str">
        <f>IF($J$21="", "", $J$21)</f>
        <v/>
      </c>
      <c r="S207" s="335"/>
      <c r="T207" s="25"/>
      <c r="U207" s="25"/>
      <c r="V207" s="230">
        <f>IF(AND(V$5&gt;=$F207,SUM(V204:$Y204)&lt;&gt;0),1,0)</f>
        <v>0</v>
      </c>
      <c r="W207" s="230">
        <f>IF(AND(W$5&gt;=$F207,SUM(W204:$Y204)&lt;&gt;0),1,0)</f>
        <v>0</v>
      </c>
      <c r="X207" s="230">
        <f>IF(AND(X$5&gt;=$F207,SUM(X204:$Y204)&lt;&gt;0),1,0)</f>
        <v>0</v>
      </c>
      <c r="Y207" s="230">
        <f>IF(AND(Y$5&gt;=$F207,SUM(Y204:$Y204)&lt;&gt;0),1,0)</f>
        <v>0</v>
      </c>
      <c r="AA207" s="154">
        <f>IF(AND(AA$5&gt;=$F207,SUM(AA204:$BJ204)&lt;&gt;0),1,0)</f>
        <v>0</v>
      </c>
      <c r="AB207" s="154">
        <f>IF(AND(AB$5&gt;=$F207,SUM(AB204:$BJ204)&lt;&gt;0),1,0)</f>
        <v>0</v>
      </c>
      <c r="AC207" s="154">
        <f>IF(AND(AC$5&gt;=$F207,SUM(AC204:$BJ204)&lt;&gt;0),1,0)</f>
        <v>0</v>
      </c>
      <c r="AD207" s="154">
        <f>IF(AND(AD$5&gt;=$F207,SUM(AD204:$BJ204)&lt;&gt;0),1,0)</f>
        <v>0</v>
      </c>
      <c r="AE207" s="154">
        <f>IF(AND(AE$5&gt;=$F207,SUM(AE204:$BJ204)&lt;&gt;0),1,0)</f>
        <v>0</v>
      </c>
      <c r="AF207" s="154">
        <f>IF(AND(AF$5&gt;=$F207,SUM(AF204:$BJ204)&lt;&gt;0),1,0)</f>
        <v>0</v>
      </c>
      <c r="AG207" s="154">
        <f>IF(AND(AG$5&gt;=$F207,SUM(AG204:$BJ204)&lt;&gt;0),1,0)</f>
        <v>0</v>
      </c>
      <c r="AH207" s="154">
        <f>IF(AND(AH$5&gt;=$F207,SUM(AH204:$BJ204)&lt;&gt;0),1,0)</f>
        <v>0</v>
      </c>
      <c r="AI207" s="154">
        <f>IF(AND(AI$5&gt;=$F207,SUM(AI204:$BJ204)&lt;&gt;0),1,0)</f>
        <v>0</v>
      </c>
      <c r="AJ207" s="154">
        <f>IF(AND(AJ$5&gt;=$F207,SUM(AJ204:$BJ204)&lt;&gt;0),1,0)</f>
        <v>0</v>
      </c>
      <c r="AK207" s="154">
        <f>IF(AND(AK$5&gt;=$F207,SUM(AK204:$BJ204)&lt;&gt;0),1,0)</f>
        <v>0</v>
      </c>
      <c r="AL207" s="154">
        <f>IF(AND(AL$5&gt;=$F207,SUM(AL204:$BJ204)&lt;&gt;0),1,0)</f>
        <v>0</v>
      </c>
      <c r="AM207" s="154">
        <f>IF(AND(AM$5&gt;=$F207,SUM(AM204:$BJ204)&lt;&gt;0),1,0)</f>
        <v>0</v>
      </c>
      <c r="AN207" s="154">
        <f>IF(AND(AN$5&gt;=$F207,SUM(AN204:$BJ204)&lt;&gt;0),1,0)</f>
        <v>0</v>
      </c>
      <c r="AO207" s="154">
        <f>IF(AND(AO$5&gt;=$F207,SUM(AO204:$BJ204)&lt;&gt;0),1,0)</f>
        <v>0</v>
      </c>
      <c r="AP207" s="154">
        <f>IF(AND(AP$5&gt;=$F207,SUM(AP204:$BJ204)&lt;&gt;0),1,0)</f>
        <v>0</v>
      </c>
      <c r="AQ207" s="154">
        <f>IF(AND(AQ$5&gt;=$F207,SUM(AQ204:$BJ204)&lt;&gt;0),1,0)</f>
        <v>0</v>
      </c>
      <c r="AR207" s="154">
        <f>IF(AND(AR$5&gt;=$F207,SUM(AR204:$BJ204)&lt;&gt;0),1,0)</f>
        <v>0</v>
      </c>
      <c r="AS207" s="154">
        <f>IF(AND(AS$5&gt;=$F207,SUM(AS204:$BJ204)&lt;&gt;0),1,0)</f>
        <v>0</v>
      </c>
      <c r="AT207" s="154">
        <f>IF(AND(AT$5&gt;=$F207,SUM(AT204:$BJ204)&lt;&gt;0),1,0)</f>
        <v>0</v>
      </c>
      <c r="AU207" s="154">
        <f>IF(AND(AU$5&gt;=$F207,SUM(AU204:$BJ204)&lt;&gt;0),1,0)</f>
        <v>0</v>
      </c>
      <c r="AV207" s="154">
        <f>IF(AND(AV$5&gt;=$F207,SUM(AV204:$BJ204)&lt;&gt;0),1,0)</f>
        <v>0</v>
      </c>
      <c r="AW207" s="154">
        <f>IF(AND(AW$5&gt;=$F207,SUM(AW204:$BJ204)&lt;&gt;0),1,0)</f>
        <v>0</v>
      </c>
      <c r="AX207" s="154">
        <f>IF(AND(AX$5&gt;=$F207,SUM(AX204:$BJ204)&lt;&gt;0),1,0)</f>
        <v>0</v>
      </c>
      <c r="AY207" s="154">
        <f>IF(AND(AY$5&gt;=$F207,SUM(AY204:$BJ204)&lt;&gt;0),1,0)</f>
        <v>0</v>
      </c>
      <c r="AZ207" s="154">
        <f>IF(AND(AZ$5&gt;=$F207,SUM(AZ204:$BJ204)&lt;&gt;0),1,0)</f>
        <v>0</v>
      </c>
      <c r="BA207" s="154">
        <f>IF(AND(BA$5&gt;=$F207,SUM(BA204:$BJ204)&lt;&gt;0),1,0)</f>
        <v>0</v>
      </c>
      <c r="BB207" s="154">
        <f>IF(AND(BB$5&gt;=$F207,SUM(BB204:$BJ204)&lt;&gt;0),1,0)</f>
        <v>0</v>
      </c>
      <c r="BC207" s="154">
        <f>IF(AND(BC$5&gt;=$F207,SUM(BC204:$BJ204)&lt;&gt;0),1,0)</f>
        <v>0</v>
      </c>
      <c r="BD207" s="154">
        <f>IF(AND(BD$5&gt;=$F207,SUM(BD204:$BJ204)&lt;&gt;0),1,0)</f>
        <v>0</v>
      </c>
      <c r="BE207" s="154">
        <f>IF(AND(BE$5&gt;=$F207,SUM(BE204:$BJ204)&lt;&gt;0),1,0)</f>
        <v>0</v>
      </c>
      <c r="BF207" s="154">
        <f>IF(AND(BF$5&gt;=$F207,SUM(BF204:$BJ204)&lt;&gt;0),1,0)</f>
        <v>0</v>
      </c>
      <c r="BG207" s="154">
        <f>IF(AND(BG$5&gt;=$F207,SUM(BG204:$BJ204)&lt;&gt;0),1,0)</f>
        <v>0</v>
      </c>
      <c r="BH207" s="154">
        <f>IF(AND(BH$5&gt;=$F207,SUM(BH204:$BJ204)&lt;&gt;0),1,0)</f>
        <v>0</v>
      </c>
      <c r="BI207" s="154">
        <f>IF(AND(BI$5&gt;=$F207,SUM(BI204:$BJ204)&lt;&gt;0),1,0)</f>
        <v>0</v>
      </c>
      <c r="BJ207" s="154">
        <f>IF(AND(BJ$5&gt;=$F207,SUM(BJ204:$BJ204)&lt;&gt;0),1,0)</f>
        <v>0</v>
      </c>
      <c r="BL207" s="154">
        <f>IF(AND(BL$5&gt;=$F207,SUM(BL204:$BW204)&lt;&gt;0),1,0)*BL$1150</f>
        <v>0</v>
      </c>
      <c r="BM207" s="154">
        <f>IF(AND(BM$5&gt;=$F207,SUM(BM204:$BW204)&lt;&gt;0),1,0)*BM$1150</f>
        <v>0</v>
      </c>
      <c r="BN207" s="154">
        <f>IF(AND(BN$5&gt;=$F207,SUM(BN204:$BW204)&lt;&gt;0),1,0)*BN$1150</f>
        <v>0</v>
      </c>
      <c r="BO207" s="154">
        <f>IF(AND(BO$5&gt;=$F207,SUM(BO204:$BW204)&lt;&gt;0),1,0)*BO$1150</f>
        <v>0</v>
      </c>
      <c r="BP207" s="154">
        <f>IF(AND(BP$5&gt;=$F207,SUM(BP204:$BW204)&lt;&gt;0),1,0)*BP$1150</f>
        <v>0</v>
      </c>
      <c r="BQ207" s="154">
        <f>IF(AND(BQ$5&gt;=$F207,SUM(BQ204:$BW204)&lt;&gt;0),1,0)*BQ$1150</f>
        <v>0</v>
      </c>
      <c r="BR207" s="154">
        <f>IF(AND(BR$5&gt;=$F207,SUM(BR204:$BW204)&lt;&gt;0),1,0)*BR$1150</f>
        <v>0</v>
      </c>
      <c r="BS207" s="154">
        <f>IF(AND(BS$5&gt;=$F207,SUM(BS204:$BW204)&lt;&gt;0),1,0)*BS$1150</f>
        <v>0</v>
      </c>
      <c r="BT207" s="154">
        <f>IF(AND(BT$5&gt;=$F207,SUM(BT204:$BW204)&lt;&gt;0),1,0)*BT$1150</f>
        <v>0</v>
      </c>
      <c r="BU207" s="154">
        <f>IF(AND(BU$5&gt;=$F207,SUM(BU204:$BW204)&lt;&gt;0),1,0)*BU$1150</f>
        <v>0</v>
      </c>
      <c r="BV207" s="154">
        <f>IF(AND(BV$5&gt;=$F207,SUM(BV204:$BW204)&lt;&gt;0),1,0)*BV$1150</f>
        <v>0</v>
      </c>
      <c r="BW207" s="154">
        <f>IF(AND(BW$5&gt;=$F207,SUM(BW204:$BW204)&lt;&gt;0),1,0)*BW$1150</f>
        <v>0</v>
      </c>
      <c r="BY207" s="12"/>
      <c r="BZ207" s="335"/>
      <c r="CA207" s="12"/>
      <c r="CB207" s="335"/>
      <c r="CC207" s="335"/>
      <c r="CD207" s="335"/>
      <c r="CE207" s="335"/>
      <c r="CL207" s="7">
        <f>IF(MAX($V207:$BW207)&gt;0, 1, 0)</f>
        <v>0</v>
      </c>
      <c r="CM207" s="335"/>
      <c r="CN207" s="335"/>
      <c r="CO207" s="335"/>
      <c r="CP207" s="335"/>
      <c r="CR207" s="12"/>
      <c r="CS207" s="93">
        <f t="shared" si="182"/>
        <v>1</v>
      </c>
      <c r="CT207" s="93">
        <v>0</v>
      </c>
      <c r="CU207" s="93">
        <v>0</v>
      </c>
      <c r="EW207" s="335"/>
      <c r="EX207" s="13" t="str">
        <f>IF(C207="", "", CONCATENATE(D199, " ",D207))</f>
        <v/>
      </c>
    </row>
    <row r="208" spans="1:154" s="67" customFormat="1" ht="6.6" customHeight="1" x14ac:dyDescent="0.25">
      <c r="C208" s="380"/>
      <c r="D208" s="1"/>
      <c r="S208" s="335"/>
      <c r="T208" s="25"/>
      <c r="U208" s="25"/>
      <c r="V208" s="229"/>
      <c r="W208" s="25"/>
      <c r="X208" s="25"/>
      <c r="Y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L208" s="25"/>
      <c r="BM208" s="155"/>
      <c r="BN208" s="25"/>
      <c r="BO208" s="25"/>
      <c r="BP208" s="25"/>
      <c r="BQ208" s="25"/>
      <c r="BR208" s="25"/>
      <c r="BS208" s="25"/>
      <c r="BT208" s="25"/>
      <c r="BU208" s="25"/>
      <c r="BV208" s="25"/>
      <c r="BW208" s="25"/>
      <c r="BY208" s="42"/>
      <c r="BZ208" s="335"/>
      <c r="CA208" s="42"/>
      <c r="CB208" s="335"/>
      <c r="CC208" s="335"/>
      <c r="CD208" s="335"/>
      <c r="CE208" s="335"/>
      <c r="CM208" s="335"/>
      <c r="CN208" s="335"/>
      <c r="CO208" s="335"/>
      <c r="CP208" s="335"/>
      <c r="CR208" s="42"/>
      <c r="CS208" s="93">
        <f t="shared" si="182"/>
        <v>0</v>
      </c>
      <c r="CT208" s="93">
        <v>0</v>
      </c>
      <c r="CU208" s="93">
        <v>0</v>
      </c>
      <c r="EW208" s="335"/>
      <c r="EX208" s="13" t="str">
        <f>IF(C208="", "", CONCATENATE(D199, " ",D208))</f>
        <v/>
      </c>
    </row>
    <row r="209" spans="1:154" s="67" customFormat="1" x14ac:dyDescent="0.25">
      <c r="C209" s="380"/>
      <c r="D209" s="51" t="s">
        <v>223</v>
      </c>
      <c r="E209" s="1"/>
      <c r="G209" s="9" t="s">
        <v>413</v>
      </c>
      <c r="H209" s="50" t="s">
        <v>8</v>
      </c>
      <c r="S209" s="335"/>
      <c r="T209" s="25"/>
      <c r="U209" s="25"/>
      <c r="V209" s="222"/>
      <c r="W209" s="201">
        <f>V212</f>
        <v>0</v>
      </c>
      <c r="X209" s="201">
        <f>W212</f>
        <v>0</v>
      </c>
      <c r="Y209" s="10">
        <f>X212</f>
        <v>0</v>
      </c>
      <c r="AA209" s="13">
        <f>W209</f>
        <v>0</v>
      </c>
      <c r="AB209" s="153">
        <f t="shared" ref="AB209:BJ209" si="224">AA212</f>
        <v>0</v>
      </c>
      <c r="AC209" s="153">
        <f t="shared" si="224"/>
        <v>0</v>
      </c>
      <c r="AD209" s="153">
        <f t="shared" si="224"/>
        <v>0</v>
      </c>
      <c r="AE209" s="153">
        <f t="shared" si="224"/>
        <v>0</v>
      </c>
      <c r="AF209" s="153">
        <f t="shared" si="224"/>
        <v>0</v>
      </c>
      <c r="AG209" s="153">
        <f t="shared" si="224"/>
        <v>0</v>
      </c>
      <c r="AH209" s="153">
        <f t="shared" si="224"/>
        <v>0</v>
      </c>
      <c r="AI209" s="153">
        <f t="shared" si="224"/>
        <v>0</v>
      </c>
      <c r="AJ209" s="153">
        <f t="shared" si="224"/>
        <v>0</v>
      </c>
      <c r="AK209" s="153">
        <f t="shared" si="224"/>
        <v>0</v>
      </c>
      <c r="AL209" s="153">
        <f t="shared" si="224"/>
        <v>0</v>
      </c>
      <c r="AM209" s="153">
        <f t="shared" si="224"/>
        <v>0</v>
      </c>
      <c r="AN209" s="153">
        <f t="shared" si="224"/>
        <v>0</v>
      </c>
      <c r="AO209" s="153">
        <f t="shared" si="224"/>
        <v>0</v>
      </c>
      <c r="AP209" s="153">
        <f t="shared" si="224"/>
        <v>0</v>
      </c>
      <c r="AQ209" s="153">
        <f t="shared" si="224"/>
        <v>0</v>
      </c>
      <c r="AR209" s="153">
        <f t="shared" si="224"/>
        <v>0</v>
      </c>
      <c r="AS209" s="153">
        <f t="shared" si="224"/>
        <v>0</v>
      </c>
      <c r="AT209" s="153">
        <f t="shared" si="224"/>
        <v>0</v>
      </c>
      <c r="AU209" s="153">
        <f t="shared" si="224"/>
        <v>0</v>
      </c>
      <c r="AV209" s="153">
        <f t="shared" si="224"/>
        <v>0</v>
      </c>
      <c r="AW209" s="153">
        <f t="shared" si="224"/>
        <v>0</v>
      </c>
      <c r="AX209" s="153">
        <f t="shared" si="224"/>
        <v>0</v>
      </c>
      <c r="AY209" s="153">
        <f t="shared" si="224"/>
        <v>0</v>
      </c>
      <c r="AZ209" s="153">
        <f t="shared" si="224"/>
        <v>0</v>
      </c>
      <c r="BA209" s="153">
        <f t="shared" si="224"/>
        <v>0</v>
      </c>
      <c r="BB209" s="153">
        <f t="shared" si="224"/>
        <v>0</v>
      </c>
      <c r="BC209" s="153">
        <f t="shared" si="224"/>
        <v>0</v>
      </c>
      <c r="BD209" s="153">
        <f t="shared" si="224"/>
        <v>0</v>
      </c>
      <c r="BE209" s="153">
        <f t="shared" si="224"/>
        <v>0</v>
      </c>
      <c r="BF209" s="153">
        <f t="shared" si="224"/>
        <v>0</v>
      </c>
      <c r="BG209" s="153">
        <f t="shared" si="224"/>
        <v>0</v>
      </c>
      <c r="BH209" s="153">
        <f t="shared" si="224"/>
        <v>0</v>
      </c>
      <c r="BI209" s="153">
        <f t="shared" si="224"/>
        <v>0</v>
      </c>
      <c r="BJ209" s="153">
        <f t="shared" si="224"/>
        <v>0</v>
      </c>
      <c r="BL209" s="152">
        <f t="shared" ref="BL209:BO212" si="225">V209</f>
        <v>0</v>
      </c>
      <c r="BM209" s="152">
        <f t="shared" si="225"/>
        <v>0</v>
      </c>
      <c r="BN209" s="152">
        <f t="shared" si="225"/>
        <v>0</v>
      </c>
      <c r="BO209" s="152">
        <f t="shared" si="225"/>
        <v>0</v>
      </c>
      <c r="BP209" s="153">
        <f t="shared" ref="BP209:BW209" si="226">BO212</f>
        <v>0</v>
      </c>
      <c r="BQ209" s="153">
        <f t="shared" si="226"/>
        <v>0</v>
      </c>
      <c r="BR209" s="153">
        <f t="shared" si="226"/>
        <v>0</v>
      </c>
      <c r="BS209" s="153">
        <f t="shared" si="226"/>
        <v>0</v>
      </c>
      <c r="BT209" s="153">
        <f t="shared" si="226"/>
        <v>0</v>
      </c>
      <c r="BU209" s="153">
        <f t="shared" si="226"/>
        <v>0</v>
      </c>
      <c r="BV209" s="153">
        <f t="shared" si="226"/>
        <v>0</v>
      </c>
      <c r="BW209" s="153">
        <f t="shared" si="226"/>
        <v>0</v>
      </c>
      <c r="BY209" s="12"/>
      <c r="BZ209" s="335"/>
      <c r="CA209" s="12"/>
      <c r="CB209" s="335"/>
      <c r="CC209" s="335"/>
      <c r="CD209" s="335"/>
      <c r="CE209" s="335"/>
      <c r="CM209" s="335"/>
      <c r="CN209" s="335"/>
      <c r="CO209" s="335"/>
      <c r="CP209" s="335"/>
      <c r="CR209" s="12"/>
      <c r="CS209" s="93">
        <f t="shared" si="182"/>
        <v>0</v>
      </c>
      <c r="CT209" s="93">
        <v>1</v>
      </c>
      <c r="CU209" s="93">
        <v>0</v>
      </c>
      <c r="EW209" s="335"/>
      <c r="EX209" s="13" t="str">
        <f>IF(C209="", "", CONCATENATE(D199, " ",D209))</f>
        <v/>
      </c>
    </row>
    <row r="210" spans="1:154" s="5" customFormat="1" ht="15.75" x14ac:dyDescent="0.3">
      <c r="A210" s="362" cm="1">
        <f t="array" aca="1" ref="A210" ca="1">HYPERLINK(CONCATENATE("#",CELL("address",IF(SUM($CA210:$CR210)=0,A210,INDEX($CA210:$CR210,MATCH(1,$CA210:$CR210,0))))),SUM($CA210:$CR210))</f>
        <v>0</v>
      </c>
      <c r="B210" s="105" t="s">
        <v>335</v>
      </c>
      <c r="C210" s="380"/>
      <c r="D210" s="51" t="s">
        <v>234</v>
      </c>
      <c r="E210" s="1"/>
      <c r="F210" s="67"/>
      <c r="G210" s="9" t="s">
        <v>413</v>
      </c>
      <c r="H210" s="50" t="s">
        <v>125</v>
      </c>
      <c r="I210" s="67"/>
      <c r="J210" s="67"/>
      <c r="K210" s="67"/>
      <c r="L210" s="67"/>
      <c r="M210" s="67"/>
      <c r="N210" s="67"/>
      <c r="O210" s="67"/>
      <c r="P210" s="67"/>
      <c r="Q210" s="67"/>
      <c r="R210" s="67"/>
      <c r="S210" s="335"/>
      <c r="T210" s="25"/>
      <c r="U210" s="25"/>
      <c r="V210" s="222"/>
      <c r="W210" s="215">
        <f t="shared" ref="W210:Y211" si="227" xml:space="preserve"> SUMIFS($AA210:$BJ210, $AA$3:$BJ$3, W$3)</f>
        <v>0</v>
      </c>
      <c r="X210" s="215">
        <f t="shared" si="227"/>
        <v>0</v>
      </c>
      <c r="Y210" s="215">
        <f t="shared" si="227"/>
        <v>0</v>
      </c>
      <c r="Z210" s="6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67"/>
      <c r="BL210" s="152">
        <f t="shared" si="225"/>
        <v>0</v>
      </c>
      <c r="BM210" s="152">
        <f t="shared" si="225"/>
        <v>0</v>
      </c>
      <c r="BN210" s="152">
        <f t="shared" si="225"/>
        <v>0</v>
      </c>
      <c r="BO210" s="152">
        <f t="shared" si="225"/>
        <v>0</v>
      </c>
      <c r="BP210" s="156"/>
      <c r="BQ210" s="156"/>
      <c r="BR210" s="156"/>
      <c r="BS210" s="156"/>
      <c r="BT210" s="156"/>
      <c r="BU210" s="156"/>
      <c r="BV210" s="156"/>
      <c r="BW210" s="156"/>
      <c r="BX210" s="67"/>
      <c r="BY210" s="12"/>
      <c r="BZ210" s="395">
        <f>IF(MIN($V210:$BW210)&lt;0, 1, 0)</f>
        <v>0</v>
      </c>
      <c r="CA210" s="12"/>
      <c r="CB210" s="335"/>
      <c r="CC210" s="335"/>
      <c r="CD210" s="335"/>
      <c r="CE210" s="335"/>
      <c r="CF210" s="67"/>
      <c r="CG210" s="67"/>
      <c r="CH210" s="67"/>
      <c r="CI210" s="67"/>
      <c r="CJ210" s="67"/>
      <c r="CK210" s="67"/>
      <c r="CL210" s="67"/>
      <c r="CM210" s="7">
        <f t="shared" ref="CM210:CO211" si="228">IF(ROUND(W210-SUMIFS($AA210:$BJ210, $AA$3:$BJ$3, W$3), rounding)=0, 0, 1)</f>
        <v>0</v>
      </c>
      <c r="CN210" s="7">
        <f t="shared" si="228"/>
        <v>0</v>
      </c>
      <c r="CO210" s="7">
        <f t="shared" si="228"/>
        <v>0</v>
      </c>
      <c r="CP210" s="7">
        <f>IF(ROUND(V210-BL210, rounding)=0, 0, 1)*'BS Forecasts'!$V$10</f>
        <v>0</v>
      </c>
      <c r="CQ210" s="67"/>
      <c r="CR210" s="12"/>
      <c r="CS210" s="93">
        <f t="shared" si="182"/>
        <v>0</v>
      </c>
      <c r="CT210" s="93">
        <v>1</v>
      </c>
      <c r="CU210" s="93">
        <v>1</v>
      </c>
      <c r="EX210" s="13" t="str">
        <f>IF(C210="", "", CONCATENATE(D199, " ",D210))</f>
        <v/>
      </c>
    </row>
    <row r="211" spans="1:154" s="67" customFormat="1" ht="15.75" x14ac:dyDescent="0.3">
      <c r="A211" s="362" cm="1">
        <f t="array" aca="1" ref="A211" ca="1">HYPERLINK(CONCATENATE("#",CELL("address",IF(SUM($CA211:$CR211)=0,A211,INDEX($CA211:$CR211,MATCH(1,$CA211:$CR211,0))))),SUM($CA211:$CR211))</f>
        <v>0</v>
      </c>
      <c r="B211" s="105" t="s">
        <v>335</v>
      </c>
      <c r="C211" s="380"/>
      <c r="D211" s="51" t="s">
        <v>222</v>
      </c>
      <c r="E211" s="1"/>
      <c r="G211" s="9" t="s">
        <v>413</v>
      </c>
      <c r="H211" s="50" t="s">
        <v>157</v>
      </c>
      <c r="S211" s="335"/>
      <c r="T211" s="25"/>
      <c r="U211" s="25"/>
      <c r="V211" s="222"/>
      <c r="W211" s="215">
        <f t="shared" si="227"/>
        <v>0</v>
      </c>
      <c r="X211" s="215">
        <f t="shared" si="227"/>
        <v>0</v>
      </c>
      <c r="Y211" s="215">
        <f t="shared" si="227"/>
        <v>0</v>
      </c>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c r="BI211" s="147"/>
      <c r="BJ211" s="147"/>
      <c r="BL211" s="152">
        <f t="shared" si="225"/>
        <v>0</v>
      </c>
      <c r="BM211" s="152">
        <f t="shared" si="225"/>
        <v>0</v>
      </c>
      <c r="BN211" s="152">
        <f t="shared" si="225"/>
        <v>0</v>
      </c>
      <c r="BO211" s="152">
        <f t="shared" si="225"/>
        <v>0</v>
      </c>
      <c r="BP211" s="156"/>
      <c r="BQ211" s="156"/>
      <c r="BR211" s="156"/>
      <c r="BS211" s="156"/>
      <c r="BT211" s="156"/>
      <c r="BU211" s="156"/>
      <c r="BV211" s="156"/>
      <c r="BW211" s="156"/>
      <c r="BY211" s="12"/>
      <c r="BZ211" s="395">
        <f>IF(MAX($V211:$BW211)&gt;0, 1, 0)</f>
        <v>0</v>
      </c>
      <c r="CA211" s="12"/>
      <c r="CB211" s="335"/>
      <c r="CC211" s="335"/>
      <c r="CD211" s="335"/>
      <c r="CE211" s="335"/>
      <c r="CM211" s="7">
        <f t="shared" si="228"/>
        <v>0</v>
      </c>
      <c r="CN211" s="7">
        <f t="shared" si="228"/>
        <v>0</v>
      </c>
      <c r="CO211" s="7">
        <f t="shared" si="228"/>
        <v>0</v>
      </c>
      <c r="CP211" s="7">
        <f>IF(ROUND(V211-BL211, rounding)=0, 0, 1)*'BS Forecasts'!$V$10</f>
        <v>0</v>
      </c>
      <c r="CR211" s="12"/>
      <c r="CS211" s="93">
        <f t="shared" si="182"/>
        <v>0</v>
      </c>
      <c r="CT211" s="93">
        <v>1</v>
      </c>
      <c r="CU211" s="93">
        <v>1</v>
      </c>
      <c r="EW211" s="335"/>
      <c r="EX211" s="13" t="str">
        <f>IF(C211="", "", CONCATENATE(D199, " ",D211))</f>
        <v/>
      </c>
    </row>
    <row r="212" spans="1:154" s="67" customFormat="1" x14ac:dyDescent="0.25">
      <c r="C212" s="380"/>
      <c r="D212" s="51" t="s">
        <v>224</v>
      </c>
      <c r="E212" s="1"/>
      <c r="G212" s="9" t="s">
        <v>413</v>
      </c>
      <c r="H212" s="50" t="s">
        <v>8</v>
      </c>
      <c r="S212" s="335"/>
      <c r="T212" s="25"/>
      <c r="U212" s="25"/>
      <c r="V212" s="13">
        <f>$H$21</f>
        <v>0</v>
      </c>
      <c r="W212" s="153">
        <f>SUM(W209:W211)</f>
        <v>0</v>
      </c>
      <c r="X212" s="153">
        <f>SUM(X209:X211)</f>
        <v>0</v>
      </c>
      <c r="Y212" s="153">
        <f>SUM(Y209:Y211)</f>
        <v>0</v>
      </c>
      <c r="AA212" s="153">
        <f t="shared" ref="AA212:BJ212" si="229">SUM(AA209:AA211)</f>
        <v>0</v>
      </c>
      <c r="AB212" s="153">
        <f t="shared" si="229"/>
        <v>0</v>
      </c>
      <c r="AC212" s="153">
        <f t="shared" si="229"/>
        <v>0</v>
      </c>
      <c r="AD212" s="153">
        <f t="shared" si="229"/>
        <v>0</v>
      </c>
      <c r="AE212" s="153">
        <f t="shared" si="229"/>
        <v>0</v>
      </c>
      <c r="AF212" s="153">
        <f t="shared" si="229"/>
        <v>0</v>
      </c>
      <c r="AG212" s="153">
        <f t="shared" si="229"/>
        <v>0</v>
      </c>
      <c r="AH212" s="153">
        <f t="shared" si="229"/>
        <v>0</v>
      </c>
      <c r="AI212" s="153">
        <f t="shared" si="229"/>
        <v>0</v>
      </c>
      <c r="AJ212" s="153">
        <f t="shared" si="229"/>
        <v>0</v>
      </c>
      <c r="AK212" s="153">
        <f t="shared" si="229"/>
        <v>0</v>
      </c>
      <c r="AL212" s="153">
        <f t="shared" si="229"/>
        <v>0</v>
      </c>
      <c r="AM212" s="153">
        <f t="shared" si="229"/>
        <v>0</v>
      </c>
      <c r="AN212" s="153">
        <f t="shared" si="229"/>
        <v>0</v>
      </c>
      <c r="AO212" s="153">
        <f t="shared" si="229"/>
        <v>0</v>
      </c>
      <c r="AP212" s="153">
        <f t="shared" si="229"/>
        <v>0</v>
      </c>
      <c r="AQ212" s="153">
        <f t="shared" si="229"/>
        <v>0</v>
      </c>
      <c r="AR212" s="153">
        <f t="shared" si="229"/>
        <v>0</v>
      </c>
      <c r="AS212" s="153">
        <f t="shared" si="229"/>
        <v>0</v>
      </c>
      <c r="AT212" s="153">
        <f t="shared" si="229"/>
        <v>0</v>
      </c>
      <c r="AU212" s="153">
        <f t="shared" si="229"/>
        <v>0</v>
      </c>
      <c r="AV212" s="153">
        <f t="shared" si="229"/>
        <v>0</v>
      </c>
      <c r="AW212" s="153">
        <f t="shared" si="229"/>
        <v>0</v>
      </c>
      <c r="AX212" s="153">
        <f t="shared" si="229"/>
        <v>0</v>
      </c>
      <c r="AY212" s="153">
        <f t="shared" si="229"/>
        <v>0</v>
      </c>
      <c r="AZ212" s="153">
        <f t="shared" si="229"/>
        <v>0</v>
      </c>
      <c r="BA212" s="153">
        <f t="shared" si="229"/>
        <v>0</v>
      </c>
      <c r="BB212" s="153">
        <f t="shared" si="229"/>
        <v>0</v>
      </c>
      <c r="BC212" s="153">
        <f t="shared" si="229"/>
        <v>0</v>
      </c>
      <c r="BD212" s="153">
        <f t="shared" si="229"/>
        <v>0</v>
      </c>
      <c r="BE212" s="153">
        <f t="shared" si="229"/>
        <v>0</v>
      </c>
      <c r="BF212" s="153">
        <f t="shared" si="229"/>
        <v>0</v>
      </c>
      <c r="BG212" s="153">
        <f t="shared" si="229"/>
        <v>0</v>
      </c>
      <c r="BH212" s="153">
        <f t="shared" si="229"/>
        <v>0</v>
      </c>
      <c r="BI212" s="153">
        <f t="shared" si="229"/>
        <v>0</v>
      </c>
      <c r="BJ212" s="153">
        <f t="shared" si="229"/>
        <v>0</v>
      </c>
      <c r="BL212" s="152">
        <f t="shared" si="225"/>
        <v>0</v>
      </c>
      <c r="BM212" s="152">
        <f t="shared" si="225"/>
        <v>0</v>
      </c>
      <c r="BN212" s="152">
        <f t="shared" si="225"/>
        <v>0</v>
      </c>
      <c r="BO212" s="152">
        <f t="shared" si="225"/>
        <v>0</v>
      </c>
      <c r="BP212" s="153">
        <f t="shared" ref="BP212:BW212" si="230">SUM(BP209:BP211)</f>
        <v>0</v>
      </c>
      <c r="BQ212" s="153">
        <f t="shared" si="230"/>
        <v>0</v>
      </c>
      <c r="BR212" s="153">
        <f t="shared" si="230"/>
        <v>0</v>
      </c>
      <c r="BS212" s="153">
        <f t="shared" si="230"/>
        <v>0</v>
      </c>
      <c r="BT212" s="153">
        <f t="shared" si="230"/>
        <v>0</v>
      </c>
      <c r="BU212" s="153">
        <f t="shared" si="230"/>
        <v>0</v>
      </c>
      <c r="BV212" s="153">
        <f t="shared" si="230"/>
        <v>0</v>
      </c>
      <c r="BW212" s="153">
        <f t="shared" si="230"/>
        <v>0</v>
      </c>
      <c r="BY212" s="12"/>
      <c r="BZ212" s="335"/>
      <c r="CA212" s="12"/>
      <c r="CB212" s="335"/>
      <c r="CC212" s="335"/>
      <c r="CD212" s="335"/>
      <c r="CE212" s="335"/>
      <c r="CM212" s="335"/>
      <c r="CN212" s="335"/>
      <c r="CO212" s="335"/>
      <c r="CP212" s="335"/>
      <c r="CR212" s="12"/>
      <c r="CS212" s="93">
        <f t="shared" si="182"/>
        <v>0</v>
      </c>
      <c r="CT212" s="93">
        <v>0</v>
      </c>
      <c r="CU212" s="93">
        <v>0</v>
      </c>
      <c r="EW212" s="335"/>
      <c r="EX212" s="13" t="str">
        <f>IF(C212="", "", CONCATENATE(D199, " ",D212))</f>
        <v/>
      </c>
    </row>
    <row r="213" spans="1:154" s="67" customFormat="1" ht="6.6" customHeight="1" x14ac:dyDescent="0.25">
      <c r="C213" s="380"/>
      <c r="D213" s="1"/>
      <c r="S213" s="335"/>
      <c r="T213" s="25"/>
      <c r="U213" s="25"/>
      <c r="V213" s="229"/>
      <c r="W213" s="25"/>
      <c r="X213" s="25"/>
      <c r="Y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L213" s="25"/>
      <c r="BM213" s="155"/>
      <c r="BN213" s="25"/>
      <c r="BO213" s="25"/>
      <c r="BP213" s="25"/>
      <c r="BQ213" s="25"/>
      <c r="BR213" s="25"/>
      <c r="BS213" s="25"/>
      <c r="BT213" s="25"/>
      <c r="BU213" s="25"/>
      <c r="BV213" s="25"/>
      <c r="BW213" s="25"/>
      <c r="BY213" s="42"/>
      <c r="BZ213" s="335"/>
      <c r="CA213" s="42"/>
      <c r="CB213" s="335"/>
      <c r="CC213" s="335"/>
      <c r="CD213" s="335"/>
      <c r="CE213" s="335"/>
      <c r="CM213" s="335"/>
      <c r="CN213" s="335"/>
      <c r="CO213" s="335"/>
      <c r="CP213" s="335"/>
      <c r="CR213" s="42"/>
      <c r="CS213" s="93">
        <f t="shared" si="182"/>
        <v>0</v>
      </c>
      <c r="CT213" s="93">
        <v>0</v>
      </c>
      <c r="CU213" s="93">
        <v>0</v>
      </c>
      <c r="EW213" s="335"/>
      <c r="EX213" s="13" t="str">
        <f>IF(C213="", "", CONCATENATE(D199, " ",D213))</f>
        <v/>
      </c>
    </row>
    <row r="214" spans="1:154" s="5" customFormat="1" x14ac:dyDescent="0.25">
      <c r="A214" s="362" cm="1">
        <f t="array" aca="1" ref="A214" ca="1">HYPERLINK(CONCATENATE("#",CELL("address",IF(SUM($CA214:$CR214)=0,A214,INDEX($CA214:$CR214,MATCH(1,$CA214:$CR214,0))))),SUM($CA214:$CR214))</f>
        <v>0</v>
      </c>
      <c r="B214" s="335"/>
      <c r="C214" s="340" t="s">
        <v>1281</v>
      </c>
      <c r="D214" s="41" t="s">
        <v>1569</v>
      </c>
      <c r="E214" s="35"/>
      <c r="F214" s="25"/>
      <c r="G214" s="174" t="s">
        <v>413</v>
      </c>
      <c r="H214" s="171" t="s">
        <v>125</v>
      </c>
      <c r="I214" s="25"/>
      <c r="J214" s="25"/>
      <c r="K214" s="25"/>
      <c r="L214" s="25"/>
      <c r="M214" s="25"/>
      <c r="N214" s="25"/>
      <c r="O214" s="25"/>
      <c r="P214" s="25"/>
      <c r="Q214" s="25"/>
      <c r="R214" s="25"/>
      <c r="S214" s="335"/>
      <c r="T214" s="25"/>
      <c r="U214" s="25"/>
      <c r="V214" s="222"/>
      <c r="W214" s="215">
        <f xml:space="preserve"> SUMIFS($AA214:$BJ214, $AA$3:$BJ$3, W$3)</f>
        <v>0</v>
      </c>
      <c r="X214" s="215">
        <f xml:space="preserve"> SUMIFS($AA214:$BJ214, $AA$3:$BJ$3, X$3)</f>
        <v>0</v>
      </c>
      <c r="Y214" s="215">
        <f xml:space="preserve"> SUMIFS($AA214:$BJ214, $AA$3:$BJ$3, Y$3)</f>
        <v>0</v>
      </c>
      <c r="Z214" s="335"/>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c r="BI214" s="147"/>
      <c r="BJ214" s="147"/>
      <c r="BK214" s="335"/>
      <c r="BL214" s="152">
        <f>V214</f>
        <v>0</v>
      </c>
      <c r="BM214" s="152">
        <f>W214</f>
        <v>0</v>
      </c>
      <c r="BN214" s="152">
        <f>X214</f>
        <v>0</v>
      </c>
      <c r="BO214" s="152">
        <f>Y214</f>
        <v>0</v>
      </c>
      <c r="BP214" s="141"/>
      <c r="BQ214" s="141"/>
      <c r="BR214" s="141"/>
      <c r="BS214" s="141"/>
      <c r="BT214" s="141"/>
      <c r="BU214" s="141"/>
      <c r="BV214" s="141"/>
      <c r="BW214" s="141"/>
      <c r="BX214" s="335"/>
      <c r="BY214" s="12"/>
      <c r="BZ214" s="395">
        <f>IF(MIN($V214:$BW214)&lt;0, 1, 0)</f>
        <v>0</v>
      </c>
      <c r="CA214" s="12"/>
      <c r="CB214" s="335"/>
      <c r="CC214" s="335"/>
      <c r="CD214" s="335"/>
      <c r="CE214" s="335"/>
      <c r="CF214" s="335"/>
      <c r="CG214" s="335"/>
      <c r="CH214" s="335"/>
      <c r="CI214" s="335"/>
      <c r="CJ214" s="335"/>
      <c r="CK214" s="335"/>
      <c r="CL214" s="335"/>
      <c r="CM214" s="7">
        <f>IF(ROUND(W214-SUMIFS($AA214:$BJ214, $AA$3:$BJ$3, W$3), rounding)=0, 0, 1)</f>
        <v>0</v>
      </c>
      <c r="CN214" s="7">
        <f>IF(ROUND(X214-SUMIFS($AA214:$BJ214, $AA$3:$BJ$3, X$3), rounding)=0, 0, 1)</f>
        <v>0</v>
      </c>
      <c r="CO214" s="7">
        <f>IF(ROUND(Y214-SUMIFS($AA214:$BJ214, $AA$3:$BJ$3, Y$3), rounding)=0, 0, 1)</f>
        <v>0</v>
      </c>
      <c r="CP214" s="7">
        <f>IF(ROUND(V214-BL214, rounding)=0, 0, 1)*'BS Forecasts'!$V$10</f>
        <v>0</v>
      </c>
      <c r="CQ214" s="335"/>
      <c r="CR214" s="12"/>
      <c r="CS214" s="93">
        <f t="shared" si="182"/>
        <v>0</v>
      </c>
      <c r="CT214" s="93">
        <v>1</v>
      </c>
      <c r="CU214" s="93">
        <v>1</v>
      </c>
      <c r="EX214" s="13" t="str">
        <f>IF(C214="", "", CONCATENATE(D199, " ",D214))</f>
        <v>Loan 9 Early Repayment Fee</v>
      </c>
    </row>
    <row r="215" spans="1:154" s="335" customFormat="1" ht="6.6" customHeight="1" x14ac:dyDescent="0.25">
      <c r="C215" s="380"/>
      <c r="D215" s="1"/>
      <c r="T215" s="25"/>
      <c r="U215" s="25"/>
      <c r="V215" s="93"/>
      <c r="BM215" s="6"/>
      <c r="BY215" s="42"/>
      <c r="CA215" s="42"/>
      <c r="CR215" s="42"/>
      <c r="CS215" s="93">
        <f t="shared" si="182"/>
        <v>0</v>
      </c>
      <c r="CT215" s="93">
        <v>0</v>
      </c>
      <c r="CU215" s="93">
        <v>0</v>
      </c>
      <c r="EX215" s="13" t="str">
        <f>IF(C215="", "", CONCATENATE(D199, " ",D215))</f>
        <v/>
      </c>
    </row>
    <row r="216" spans="1:154" s="335" customFormat="1" ht="15.75" x14ac:dyDescent="0.3">
      <c r="A216" s="362" cm="1">
        <f t="array" aca="1" ref="A216" ca="1">HYPERLINK(CONCATENATE("#",CELL("address",IF(SUM($CA216:$CR216)=0,A216,INDEX($CA216:$CR216,MATCH(1,$CA216:$CR216,0))))),SUM($CA216:$CR216))</f>
        <v>0</v>
      </c>
      <c r="B216" s="105" t="s">
        <v>335</v>
      </c>
      <c r="D216" s="51" t="s">
        <v>1630</v>
      </c>
      <c r="E216" s="220" t="str">
        <f>IF(I$21="", "", I$21)</f>
        <v/>
      </c>
      <c r="F216" s="220" t="str">
        <f>IF(J$21="", "", J$21)</f>
        <v/>
      </c>
      <c r="T216" s="25"/>
      <c r="U216" s="25"/>
      <c r="V216" s="230">
        <f>IF(AND(OR( V$5&gt;$F216, Timeline!V$8&lt;Loans!$E216), Loans!V214&lt;&gt;0), 1, 0)</f>
        <v>0</v>
      </c>
      <c r="W216" s="230">
        <f>IF(AND(OR( W$5&gt;$F216, Timeline!W$8&lt;Loans!$E216), Loans!W214&lt;&gt;0), 1, 0)</f>
        <v>0</v>
      </c>
      <c r="X216" s="230">
        <f>IF(AND(OR( X$5&gt;$F216, Timeline!X$8&lt;Loans!$E216), Loans!X214&lt;&gt;0), 1, 0)</f>
        <v>0</v>
      </c>
      <c r="Y216" s="230">
        <f>IF(AND(OR( Y$5&gt;$F216, Timeline!Y$8&lt;Loans!$E216), Loans!Y214&lt;&gt;0), 1, 0)</f>
        <v>0</v>
      </c>
      <c r="AA216" s="230">
        <f>IF(AND(OR( AA$5&gt;$F216, Timeline!AA$8&lt;Loans!$E216), Loans!AA214&lt;&gt;0), 1, 0)</f>
        <v>0</v>
      </c>
      <c r="AB216" s="230">
        <f>IF(AND(OR( AB$5&gt;$F216, Timeline!AB$8&lt;Loans!$E216), Loans!AB214&lt;&gt;0), 1, 0)</f>
        <v>0</v>
      </c>
      <c r="AC216" s="230">
        <f>IF(AND(OR( AC$5&gt;$F216, Timeline!AC$8&lt;Loans!$E216), Loans!AC214&lt;&gt;0), 1, 0)</f>
        <v>0</v>
      </c>
      <c r="AD216" s="230">
        <f>IF(AND(OR( AD$5&gt;$F216, Timeline!AD$8&lt;Loans!$E216), Loans!AD214&lt;&gt;0), 1, 0)</f>
        <v>0</v>
      </c>
      <c r="AE216" s="230">
        <f>IF(AND(OR( AE$5&gt;$F216, Timeline!AE$8&lt;Loans!$E216), Loans!AE214&lt;&gt;0), 1, 0)</f>
        <v>0</v>
      </c>
      <c r="AF216" s="230">
        <f>IF(AND(OR( AF$5&gt;$F216, Timeline!AF$8&lt;Loans!$E216), Loans!AF214&lt;&gt;0), 1, 0)</f>
        <v>0</v>
      </c>
      <c r="AG216" s="230">
        <f>IF(AND(OR( AG$5&gt;$F216, Timeline!AG$8&lt;Loans!$E216), Loans!AG214&lt;&gt;0), 1, 0)</f>
        <v>0</v>
      </c>
      <c r="AH216" s="230">
        <f>IF(AND(OR( AH$5&gt;$F216, Timeline!AH$8&lt;Loans!$E216), Loans!AH214&lt;&gt;0), 1, 0)</f>
        <v>0</v>
      </c>
      <c r="AI216" s="230">
        <f>IF(AND(OR( AI$5&gt;$F216, Timeline!AI$8&lt;Loans!$E216), Loans!AI214&lt;&gt;0), 1, 0)</f>
        <v>0</v>
      </c>
      <c r="AJ216" s="230">
        <f>IF(AND(OR( AJ$5&gt;$F216, Timeline!AJ$8&lt;Loans!$E216), Loans!AJ214&lt;&gt;0), 1, 0)</f>
        <v>0</v>
      </c>
      <c r="AK216" s="230">
        <f>IF(AND(OR( AK$5&gt;$F216, Timeline!AK$8&lt;Loans!$E216), Loans!AK214&lt;&gt;0), 1, 0)</f>
        <v>0</v>
      </c>
      <c r="AL216" s="230">
        <f>IF(AND(OR( AL$5&gt;$F216, Timeline!AL$8&lt;Loans!$E216), Loans!AL214&lt;&gt;0), 1, 0)</f>
        <v>0</v>
      </c>
      <c r="AM216" s="230">
        <f>IF(AND(OR( AM$5&gt;$F216, Timeline!AM$8&lt;Loans!$E216), Loans!AM214&lt;&gt;0), 1, 0)</f>
        <v>0</v>
      </c>
      <c r="AN216" s="230">
        <f>IF(AND(OR( AN$5&gt;$F216, Timeline!AN$8&lt;Loans!$E216), Loans!AN214&lt;&gt;0), 1, 0)</f>
        <v>0</v>
      </c>
      <c r="AO216" s="230">
        <f>IF(AND(OR( AO$5&gt;$F216, Timeline!AO$8&lt;Loans!$E216), Loans!AO214&lt;&gt;0), 1, 0)</f>
        <v>0</v>
      </c>
      <c r="AP216" s="230">
        <f>IF(AND(OR( AP$5&gt;$F216, Timeline!AP$8&lt;Loans!$E216), Loans!AP214&lt;&gt;0), 1, 0)</f>
        <v>0</v>
      </c>
      <c r="AQ216" s="230">
        <f>IF(AND(OR( AQ$5&gt;$F216, Timeline!AQ$8&lt;Loans!$E216), Loans!AQ214&lt;&gt;0), 1, 0)</f>
        <v>0</v>
      </c>
      <c r="AR216" s="230">
        <f>IF(AND(OR( AR$5&gt;$F216, Timeline!AR$8&lt;Loans!$E216), Loans!AR214&lt;&gt;0), 1, 0)</f>
        <v>0</v>
      </c>
      <c r="AS216" s="230">
        <f>IF(AND(OR( AS$5&gt;$F216, Timeline!AS$8&lt;Loans!$E216), Loans!AS214&lt;&gt;0), 1, 0)</f>
        <v>0</v>
      </c>
      <c r="AT216" s="230">
        <f>IF(AND(OR( AT$5&gt;$F216, Timeline!AT$8&lt;Loans!$E216), Loans!AT214&lt;&gt;0), 1, 0)</f>
        <v>0</v>
      </c>
      <c r="AU216" s="230">
        <f>IF(AND(OR( AU$5&gt;$F216, Timeline!AU$8&lt;Loans!$E216), Loans!AU214&lt;&gt;0), 1, 0)</f>
        <v>0</v>
      </c>
      <c r="AV216" s="230">
        <f>IF(AND(OR( AV$5&gt;$F216, Timeline!AV$8&lt;Loans!$E216), Loans!AV214&lt;&gt;0), 1, 0)</f>
        <v>0</v>
      </c>
      <c r="AW216" s="230">
        <f>IF(AND(OR( AW$5&gt;$F216, Timeline!AW$8&lt;Loans!$E216), Loans!AW214&lt;&gt;0), 1, 0)</f>
        <v>0</v>
      </c>
      <c r="AX216" s="230">
        <f>IF(AND(OR( AX$5&gt;$F216, Timeline!AX$8&lt;Loans!$E216), Loans!AX214&lt;&gt;0), 1, 0)</f>
        <v>0</v>
      </c>
      <c r="AY216" s="230">
        <f>IF(AND(OR( AY$5&gt;$F216, Timeline!AY$8&lt;Loans!$E216), Loans!AY214&lt;&gt;0), 1, 0)</f>
        <v>0</v>
      </c>
      <c r="AZ216" s="230">
        <f>IF(AND(OR( AZ$5&gt;$F216, Timeline!AZ$8&lt;Loans!$E216), Loans!AZ214&lt;&gt;0), 1, 0)</f>
        <v>0</v>
      </c>
      <c r="BA216" s="230">
        <f>IF(AND(OR( BA$5&gt;$F216, Timeline!BA$8&lt;Loans!$E216), Loans!BA214&lt;&gt;0), 1, 0)</f>
        <v>0</v>
      </c>
      <c r="BB216" s="230">
        <f>IF(AND(OR( BB$5&gt;$F216, Timeline!BB$8&lt;Loans!$E216), Loans!BB214&lt;&gt;0), 1, 0)</f>
        <v>0</v>
      </c>
      <c r="BC216" s="230">
        <f>IF(AND(OR( BC$5&gt;$F216, Timeline!BC$8&lt;Loans!$E216), Loans!BC214&lt;&gt;0), 1, 0)</f>
        <v>0</v>
      </c>
      <c r="BD216" s="230">
        <f>IF(AND(OR( BD$5&gt;$F216, Timeline!BD$8&lt;Loans!$E216), Loans!BD214&lt;&gt;0), 1, 0)</f>
        <v>0</v>
      </c>
      <c r="BE216" s="230">
        <f>IF(AND(OR( BE$5&gt;$F216, Timeline!BE$8&lt;Loans!$E216), Loans!BE214&lt;&gt;0), 1, 0)</f>
        <v>0</v>
      </c>
      <c r="BF216" s="230">
        <f>IF(AND(OR( BF$5&gt;$F216, Timeline!BF$8&lt;Loans!$E216), Loans!BF214&lt;&gt;0), 1, 0)</f>
        <v>0</v>
      </c>
      <c r="BG216" s="230">
        <f>IF(AND(OR( BG$5&gt;$F216, Timeline!BG$8&lt;Loans!$E216), Loans!BG214&lt;&gt;0), 1, 0)</f>
        <v>0</v>
      </c>
      <c r="BH216" s="230">
        <f>IF(AND(OR( BH$5&gt;$F216, Timeline!BH$8&lt;Loans!$E216), Loans!BH214&lt;&gt;0), 1, 0)</f>
        <v>0</v>
      </c>
      <c r="BI216" s="230">
        <f>IF(AND(OR( BI$5&gt;$F216, Timeline!BI$8&lt;Loans!$E216), Loans!BI214&lt;&gt;0), 1, 0)</f>
        <v>0</v>
      </c>
      <c r="BJ216" s="230">
        <f>IF(AND(OR( BJ$5&gt;$F216, Timeline!BJ$8&lt;Loans!$E216), Loans!BJ214&lt;&gt;0), 1, 0)</f>
        <v>0</v>
      </c>
      <c r="BL216" s="230">
        <f>IF(AND(OR( BL$5&gt;$F216, Timeline!BL$8&lt;Loans!$E216), Loans!BL214&lt;&gt;0), 1, 0)</f>
        <v>0</v>
      </c>
      <c r="BM216" s="230">
        <f>IF(AND(OR( BM$5&gt;$F216, Timeline!BM$8&lt;Loans!$E216), Loans!BM214&lt;&gt;0), 1, 0)</f>
        <v>0</v>
      </c>
      <c r="BN216" s="230">
        <f>IF(AND(OR( BN$5&gt;$F216, Timeline!BN$8&lt;Loans!$E216), Loans!BN214&lt;&gt;0), 1, 0)</f>
        <v>0</v>
      </c>
      <c r="BO216" s="230">
        <f>IF(AND(OR( BO$5&gt;$F216, Timeline!BO$8&lt;Loans!$E216), Loans!BO214&lt;&gt;0), 1, 0)</f>
        <v>0</v>
      </c>
      <c r="BP216" s="230">
        <f>IF(AND(OR( BP$5&gt;$F216, Timeline!BP$8&lt;Loans!$E216), Loans!BP214&lt;&gt;0), 1, 0)</f>
        <v>0</v>
      </c>
      <c r="BQ216" s="230">
        <f>IF(AND(OR( BQ$5&gt;$F216, Timeline!BQ$8&lt;Loans!$E216), Loans!BQ214&lt;&gt;0), 1, 0)</f>
        <v>0</v>
      </c>
      <c r="BR216" s="230">
        <f>IF(AND(OR( BR$5&gt;$F216, Timeline!BR$8&lt;Loans!$E216), Loans!BR214&lt;&gt;0), 1, 0)</f>
        <v>0</v>
      </c>
      <c r="BS216" s="230">
        <f>IF(AND(OR( BS$5&gt;$F216, Timeline!BS$8&lt;Loans!$E216), Loans!BS214&lt;&gt;0), 1, 0)</f>
        <v>0</v>
      </c>
      <c r="BT216" s="230">
        <f>IF(AND(OR( BT$5&gt;$F216, Timeline!BT$8&lt;Loans!$E216), Loans!BT214&lt;&gt;0), 1, 0)</f>
        <v>0</v>
      </c>
      <c r="BU216" s="230">
        <f>IF(AND(OR( BU$5&gt;$F216, Timeline!BU$8&lt;Loans!$E216), Loans!BU214&lt;&gt;0), 1, 0)</f>
        <v>0</v>
      </c>
      <c r="BV216" s="230">
        <f>IF(AND(OR( BV$5&gt;$F216, Timeline!BV$8&lt;Loans!$E216), Loans!BV214&lt;&gt;0), 1, 0)</f>
        <v>0</v>
      </c>
      <c r="BW216" s="230">
        <f>IF(AND(OR( BW$5&gt;$F216, Timeline!BW$8&lt;Loans!$E216), Loans!BW214&lt;&gt;0), 1, 0)</f>
        <v>0</v>
      </c>
      <c r="BY216" s="12"/>
      <c r="CA216" s="12"/>
      <c r="CL216" s="7">
        <f>IF(MAX($V216:$BW216)&gt;0, 1, 0)</f>
        <v>0</v>
      </c>
      <c r="CR216" s="12"/>
      <c r="CS216" s="93">
        <f t="shared" si="182"/>
        <v>1</v>
      </c>
      <c r="CT216" s="93">
        <v>0</v>
      </c>
      <c r="CU216" s="93">
        <v>0</v>
      </c>
      <c r="EX216" s="13" t="str">
        <f>IF(C216="", "", CONCATENATE(D199, " ",D216))</f>
        <v/>
      </c>
    </row>
    <row r="217" spans="1:154" s="335" customFormat="1" ht="6.6" customHeight="1" x14ac:dyDescent="0.25">
      <c r="C217" s="380"/>
      <c r="D217" s="1"/>
      <c r="T217" s="25"/>
      <c r="U217" s="25"/>
      <c r="V217" s="93"/>
      <c r="BM217" s="6"/>
      <c r="BY217" s="42"/>
      <c r="CA217" s="42"/>
      <c r="CR217" s="42"/>
      <c r="CS217" s="93">
        <f t="shared" si="182"/>
        <v>0</v>
      </c>
      <c r="CT217" s="93">
        <v>0</v>
      </c>
      <c r="CU217" s="93">
        <v>0</v>
      </c>
      <c r="EX217" s="10" t="str">
        <f t="shared" ref="EX217" si="231">IF($C217="","",$D217)</f>
        <v/>
      </c>
    </row>
    <row r="218" spans="1:154" s="67" customFormat="1" x14ac:dyDescent="0.25">
      <c r="A218" s="64"/>
      <c r="C218" s="380"/>
      <c r="D218" s="64" t="s">
        <v>199</v>
      </c>
      <c r="E218" s="64"/>
      <c r="F218" s="64"/>
      <c r="G218" s="64"/>
      <c r="H218" s="64"/>
      <c r="I218" s="64"/>
      <c r="L218" s="64"/>
      <c r="M218" s="64"/>
      <c r="N218" s="64"/>
      <c r="O218" s="64"/>
      <c r="P218" s="64"/>
      <c r="Q218" s="64"/>
      <c r="S218" s="335"/>
      <c r="T218" s="25"/>
      <c r="U218" s="25"/>
      <c r="V218" s="229"/>
      <c r="W218" s="25"/>
      <c r="X218" s="25"/>
      <c r="Y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L218" s="25"/>
      <c r="BM218" s="25"/>
      <c r="BN218" s="25"/>
      <c r="BO218" s="25"/>
      <c r="BP218" s="25"/>
      <c r="BQ218" s="25"/>
      <c r="BR218" s="25"/>
      <c r="BS218" s="25"/>
      <c r="BT218" s="25"/>
      <c r="BU218" s="25"/>
      <c r="BV218" s="25"/>
      <c r="BW218" s="25"/>
      <c r="BY218" s="12"/>
      <c r="BZ218" s="335"/>
      <c r="CA218" s="12"/>
      <c r="CB218" s="335"/>
      <c r="CC218" s="335"/>
      <c r="CD218" s="335"/>
      <c r="CE218" s="335"/>
      <c r="CM218" s="335"/>
      <c r="CN218" s="335"/>
      <c r="CO218" s="335"/>
      <c r="CP218" s="335"/>
      <c r="CR218" s="12"/>
      <c r="CS218" s="93">
        <f t="shared" si="182"/>
        <v>0</v>
      </c>
      <c r="CT218" s="93">
        <v>0</v>
      </c>
      <c r="CU218" s="93">
        <v>0</v>
      </c>
      <c r="EW218" s="335"/>
      <c r="EX218" s="10" t="str">
        <f t="shared" ref="EX218:EX275" si="232">IF($C218="","",$D218)</f>
        <v/>
      </c>
    </row>
    <row r="219" spans="1:154" s="67" customFormat="1" x14ac:dyDescent="0.25">
      <c r="C219" s="340" t="s">
        <v>1382</v>
      </c>
      <c r="D219" s="51" t="s">
        <v>230</v>
      </c>
      <c r="E219" s="1"/>
      <c r="G219" s="9" t="s">
        <v>413</v>
      </c>
      <c r="H219" s="50" t="s">
        <v>8</v>
      </c>
      <c r="S219" s="335"/>
      <c r="T219" s="25"/>
      <c r="U219" s="25"/>
      <c r="V219" s="210"/>
      <c r="W219" s="201">
        <f>V223</f>
        <v>0</v>
      </c>
      <c r="X219" s="201">
        <f>W223</f>
        <v>0</v>
      </c>
      <c r="Y219" s="10">
        <f>X223</f>
        <v>0</v>
      </c>
      <c r="AA219" s="13">
        <f>W219</f>
        <v>0</v>
      </c>
      <c r="AB219" s="10">
        <f t="shared" ref="AB219:BJ219" si="233">AA223</f>
        <v>0</v>
      </c>
      <c r="AC219" s="10">
        <f t="shared" si="233"/>
        <v>0</v>
      </c>
      <c r="AD219" s="10">
        <f t="shared" si="233"/>
        <v>0</v>
      </c>
      <c r="AE219" s="10">
        <f t="shared" si="233"/>
        <v>0</v>
      </c>
      <c r="AF219" s="10">
        <f t="shared" si="233"/>
        <v>0</v>
      </c>
      <c r="AG219" s="10">
        <f t="shared" si="233"/>
        <v>0</v>
      </c>
      <c r="AH219" s="10">
        <f t="shared" si="233"/>
        <v>0</v>
      </c>
      <c r="AI219" s="10">
        <f t="shared" si="233"/>
        <v>0</v>
      </c>
      <c r="AJ219" s="10">
        <f t="shared" si="233"/>
        <v>0</v>
      </c>
      <c r="AK219" s="10">
        <f t="shared" si="233"/>
        <v>0</v>
      </c>
      <c r="AL219" s="10">
        <f t="shared" si="233"/>
        <v>0</v>
      </c>
      <c r="AM219" s="10">
        <f t="shared" si="233"/>
        <v>0</v>
      </c>
      <c r="AN219" s="10">
        <f t="shared" si="233"/>
        <v>0</v>
      </c>
      <c r="AO219" s="10">
        <f t="shared" si="233"/>
        <v>0</v>
      </c>
      <c r="AP219" s="10">
        <f t="shared" si="233"/>
        <v>0</v>
      </c>
      <c r="AQ219" s="10">
        <f t="shared" si="233"/>
        <v>0</v>
      </c>
      <c r="AR219" s="10">
        <f t="shared" si="233"/>
        <v>0</v>
      </c>
      <c r="AS219" s="10">
        <f t="shared" si="233"/>
        <v>0</v>
      </c>
      <c r="AT219" s="10">
        <f t="shared" si="233"/>
        <v>0</v>
      </c>
      <c r="AU219" s="10">
        <f t="shared" si="233"/>
        <v>0</v>
      </c>
      <c r="AV219" s="10">
        <f t="shared" si="233"/>
        <v>0</v>
      </c>
      <c r="AW219" s="10">
        <f t="shared" si="233"/>
        <v>0</v>
      </c>
      <c r="AX219" s="10">
        <f t="shared" si="233"/>
        <v>0</v>
      </c>
      <c r="AY219" s="10">
        <f t="shared" si="233"/>
        <v>0</v>
      </c>
      <c r="AZ219" s="10">
        <f t="shared" si="233"/>
        <v>0</v>
      </c>
      <c r="BA219" s="10">
        <f t="shared" si="233"/>
        <v>0</v>
      </c>
      <c r="BB219" s="10">
        <f t="shared" si="233"/>
        <v>0</v>
      </c>
      <c r="BC219" s="10">
        <f t="shared" si="233"/>
        <v>0</v>
      </c>
      <c r="BD219" s="10">
        <f t="shared" si="233"/>
        <v>0</v>
      </c>
      <c r="BE219" s="10">
        <f t="shared" si="233"/>
        <v>0</v>
      </c>
      <c r="BF219" s="10">
        <f t="shared" si="233"/>
        <v>0</v>
      </c>
      <c r="BG219" s="10">
        <f t="shared" si="233"/>
        <v>0</v>
      </c>
      <c r="BH219" s="10">
        <f t="shared" si="233"/>
        <v>0</v>
      </c>
      <c r="BI219" s="10">
        <f t="shared" si="233"/>
        <v>0</v>
      </c>
      <c r="BJ219" s="10">
        <f t="shared" si="233"/>
        <v>0</v>
      </c>
      <c r="BL219" s="13">
        <f t="shared" ref="BL219:BO223" si="234">V219</f>
        <v>0</v>
      </c>
      <c r="BM219" s="13">
        <f t="shared" si="234"/>
        <v>0</v>
      </c>
      <c r="BN219" s="13">
        <f t="shared" si="234"/>
        <v>0</v>
      </c>
      <c r="BO219" s="13">
        <f t="shared" si="234"/>
        <v>0</v>
      </c>
      <c r="BP219" s="10">
        <f t="shared" ref="BP219:BW219" si="235">BO223</f>
        <v>0</v>
      </c>
      <c r="BQ219" s="10">
        <f t="shared" si="235"/>
        <v>0</v>
      </c>
      <c r="BR219" s="10">
        <f t="shared" si="235"/>
        <v>0</v>
      </c>
      <c r="BS219" s="10">
        <f t="shared" si="235"/>
        <v>0</v>
      </c>
      <c r="BT219" s="10">
        <f t="shared" si="235"/>
        <v>0</v>
      </c>
      <c r="BU219" s="10">
        <f t="shared" si="235"/>
        <v>0</v>
      </c>
      <c r="BV219" s="10">
        <f t="shared" si="235"/>
        <v>0</v>
      </c>
      <c r="BW219" s="10">
        <f t="shared" si="235"/>
        <v>0</v>
      </c>
      <c r="BY219" s="12"/>
      <c r="BZ219" s="335"/>
      <c r="CA219" s="12"/>
      <c r="CB219" s="335"/>
      <c r="CC219" s="335"/>
      <c r="CD219" s="335"/>
      <c r="CE219" s="335"/>
      <c r="CM219" s="335"/>
      <c r="CN219" s="335"/>
      <c r="CO219" s="335"/>
      <c r="CP219" s="335"/>
      <c r="CR219" s="12"/>
      <c r="CS219" s="93">
        <f t="shared" si="182"/>
        <v>0</v>
      </c>
      <c r="CT219" s="93">
        <v>1</v>
      </c>
      <c r="CU219" s="93">
        <v>0</v>
      </c>
      <c r="EW219" s="335"/>
      <c r="EX219" s="13" t="str">
        <f>IF(C219="", "", CONCATENATE(D218, " ",D219))</f>
        <v>Loan 10 Opening Loan Balance</v>
      </c>
    </row>
    <row r="220" spans="1:154" s="5" customFormat="1" x14ac:dyDescent="0.25">
      <c r="A220" s="362" cm="1">
        <f t="array" aca="1" ref="A220" ca="1">HYPERLINK(CONCATENATE("#",CELL("address",IF(SUM($CA220:$CR220)=0,A220,INDEX($CA220:$CR220,MATCH(1,$CA220:$CR220,0))))),SUM($CA220:$CR220))</f>
        <v>0</v>
      </c>
      <c r="B220" s="67"/>
      <c r="C220" s="340" t="s">
        <v>1257</v>
      </c>
      <c r="D220" s="51" t="s">
        <v>219</v>
      </c>
      <c r="E220" s="1"/>
      <c r="F220" s="67"/>
      <c r="G220" s="9" t="s">
        <v>413</v>
      </c>
      <c r="H220" s="50" t="s">
        <v>125</v>
      </c>
      <c r="I220" s="67"/>
      <c r="J220" s="67"/>
      <c r="K220" s="67"/>
      <c r="L220" s="67"/>
      <c r="M220" s="67"/>
      <c r="N220" s="67"/>
      <c r="O220" s="67"/>
      <c r="P220" s="67"/>
      <c r="Q220" s="67"/>
      <c r="R220" s="67"/>
      <c r="S220" s="335"/>
      <c r="T220" s="25"/>
      <c r="U220" s="25"/>
      <c r="V220" s="210"/>
      <c r="W220" s="215">
        <f t="shared" ref="W220:Y222" si="236" xml:space="preserve"> SUMIFS($AA220:$BJ220, $AA$3:$BJ$3, W$3)</f>
        <v>0</v>
      </c>
      <c r="X220" s="215">
        <f t="shared" si="236"/>
        <v>0</v>
      </c>
      <c r="Y220" s="215">
        <f t="shared" si="236"/>
        <v>0</v>
      </c>
      <c r="Z220" s="6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c r="BI220" s="147"/>
      <c r="BJ220" s="147"/>
      <c r="BK220" s="67"/>
      <c r="BL220" s="13">
        <f t="shared" si="234"/>
        <v>0</v>
      </c>
      <c r="BM220" s="13">
        <f t="shared" si="234"/>
        <v>0</v>
      </c>
      <c r="BN220" s="13">
        <f t="shared" si="234"/>
        <v>0</v>
      </c>
      <c r="BO220" s="13">
        <f t="shared" si="234"/>
        <v>0</v>
      </c>
      <c r="BP220" s="141"/>
      <c r="BQ220" s="141"/>
      <c r="BR220" s="141"/>
      <c r="BS220" s="141"/>
      <c r="BT220" s="141"/>
      <c r="BU220" s="141"/>
      <c r="BV220" s="141"/>
      <c r="BW220" s="141"/>
      <c r="BX220" s="67"/>
      <c r="BY220" s="12"/>
      <c r="BZ220" s="395">
        <f>IF(MIN($V220:$BW220)&lt;0, 1, 0)</f>
        <v>0</v>
      </c>
      <c r="CA220" s="12"/>
      <c r="CB220" s="335"/>
      <c r="CC220" s="335"/>
      <c r="CD220" s="335"/>
      <c r="CE220" s="335"/>
      <c r="CF220" s="67"/>
      <c r="CG220" s="67"/>
      <c r="CH220" s="67"/>
      <c r="CI220" s="67"/>
      <c r="CJ220" s="67"/>
      <c r="CK220" s="67"/>
      <c r="CL220" s="67"/>
      <c r="CM220" s="7">
        <f t="shared" ref="CM220:CO222" si="237">IF(ROUND(W220-SUMIFS($AA220:$BJ220, $AA$3:$BJ$3, W$3), rounding)=0, 0, 1)</f>
        <v>0</v>
      </c>
      <c r="CN220" s="7">
        <f t="shared" si="237"/>
        <v>0</v>
      </c>
      <c r="CO220" s="7">
        <f t="shared" si="237"/>
        <v>0</v>
      </c>
      <c r="CP220" s="7">
        <f>IF(ROUND(V220-BL220, rounding)=0, 0, 1)*'BS Forecasts'!$V$10</f>
        <v>0</v>
      </c>
      <c r="CQ220" s="67"/>
      <c r="CR220" s="12"/>
      <c r="CS220" s="93">
        <f t="shared" si="182"/>
        <v>0</v>
      </c>
      <c r="CT220" s="93">
        <v>1</v>
      </c>
      <c r="CU220" s="93">
        <v>1</v>
      </c>
      <c r="EX220" s="13" t="str">
        <f>IF(C220="", "", CONCATENATE(D218, " ",D220))</f>
        <v>Loan 10 Drawdowns</v>
      </c>
    </row>
    <row r="221" spans="1:154" s="67" customFormat="1" x14ac:dyDescent="0.25">
      <c r="A221" s="362" cm="1">
        <f t="array" aca="1" ref="A221" ca="1">HYPERLINK(CONCATENATE("#",CELL("address",IF(SUM($CA221:$CR221)=0,A221,INDEX($CA221:$CR221,MATCH(1,$CA221:$CR221,0))))),SUM($CA221:$CR221))</f>
        <v>0</v>
      </c>
      <c r="C221" s="340" t="s">
        <v>1258</v>
      </c>
      <c r="D221" s="41" t="s">
        <v>1570</v>
      </c>
      <c r="E221" s="1"/>
      <c r="G221" s="9" t="s">
        <v>413</v>
      </c>
      <c r="H221" s="50" t="s">
        <v>157</v>
      </c>
      <c r="S221" s="335"/>
      <c r="T221" s="25"/>
      <c r="U221" s="25"/>
      <c r="V221" s="210"/>
      <c r="W221" s="215">
        <f t="shared" si="236"/>
        <v>0</v>
      </c>
      <c r="X221" s="215">
        <f t="shared" si="236"/>
        <v>0</v>
      </c>
      <c r="Y221" s="215">
        <f t="shared" si="236"/>
        <v>0</v>
      </c>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L221" s="13">
        <f t="shared" si="234"/>
        <v>0</v>
      </c>
      <c r="BM221" s="13">
        <f t="shared" si="234"/>
        <v>0</v>
      </c>
      <c r="BN221" s="13">
        <f t="shared" si="234"/>
        <v>0</v>
      </c>
      <c r="BO221" s="13">
        <f t="shared" si="234"/>
        <v>0</v>
      </c>
      <c r="BP221" s="141"/>
      <c r="BQ221" s="141"/>
      <c r="BR221" s="141"/>
      <c r="BS221" s="141"/>
      <c r="BT221" s="141"/>
      <c r="BU221" s="141"/>
      <c r="BV221" s="141"/>
      <c r="BW221" s="141"/>
      <c r="BY221" s="12"/>
      <c r="BZ221" s="395">
        <f>IF(MAX($V221:$BW221)&gt;0, 1, 0)</f>
        <v>0</v>
      </c>
      <c r="CA221" s="12"/>
      <c r="CB221" s="335"/>
      <c r="CC221" s="335"/>
      <c r="CD221" s="335"/>
      <c r="CE221" s="335"/>
      <c r="CM221" s="7">
        <f t="shared" si="237"/>
        <v>0</v>
      </c>
      <c r="CN221" s="7">
        <f t="shared" si="237"/>
        <v>0</v>
      </c>
      <c r="CO221" s="7">
        <f t="shared" si="237"/>
        <v>0</v>
      </c>
      <c r="CP221" s="7">
        <f>IF(ROUND(V221-BL221, rounding)=0, 0, 1)*'BS Forecasts'!$V$10</f>
        <v>0</v>
      </c>
      <c r="CR221" s="12"/>
      <c r="CS221" s="93">
        <f t="shared" si="182"/>
        <v>0</v>
      </c>
      <c r="CT221" s="93">
        <v>1</v>
      </c>
      <c r="CU221" s="93">
        <v>1</v>
      </c>
      <c r="EW221" s="335"/>
      <c r="EX221" s="13" t="str">
        <f>IF(C221="", "", CONCATENATE(D218, " ",D221))</f>
        <v>Loan 10 Loan Capital Repayment (as per loan agreement)</v>
      </c>
    </row>
    <row r="222" spans="1:154" s="335" customFormat="1" x14ac:dyDescent="0.25">
      <c r="A222" s="362" cm="1">
        <f t="array" aca="1" ref="A222" ca="1">HYPERLINK(CONCATENATE("#",CELL("address",IF(SUM($CA222:$CR222)=0,A222,INDEX($CA222:$CR222,MATCH(1,$CA222:$CR222,0))))),SUM($CA222:$CR222))</f>
        <v>0</v>
      </c>
      <c r="C222" s="340" t="s">
        <v>1583</v>
      </c>
      <c r="D222" s="41" t="s">
        <v>1571</v>
      </c>
      <c r="E222" s="1"/>
      <c r="G222" s="9" t="s">
        <v>413</v>
      </c>
      <c r="H222" s="50" t="s">
        <v>157</v>
      </c>
      <c r="T222" s="25"/>
      <c r="U222" s="25"/>
      <c r="V222" s="210"/>
      <c r="W222" s="215">
        <f t="shared" si="236"/>
        <v>0</v>
      </c>
      <c r="X222" s="215">
        <f t="shared" si="236"/>
        <v>0</v>
      </c>
      <c r="Y222" s="215">
        <f t="shared" si="236"/>
        <v>0</v>
      </c>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c r="BI222" s="147"/>
      <c r="BJ222" s="147"/>
      <c r="BL222" s="13">
        <f t="shared" si="234"/>
        <v>0</v>
      </c>
      <c r="BM222" s="13">
        <f t="shared" si="234"/>
        <v>0</v>
      </c>
      <c r="BN222" s="13">
        <f t="shared" si="234"/>
        <v>0</v>
      </c>
      <c r="BO222" s="13">
        <f t="shared" si="234"/>
        <v>0</v>
      </c>
      <c r="BP222" s="141"/>
      <c r="BQ222" s="141"/>
      <c r="BR222" s="141"/>
      <c r="BS222" s="141"/>
      <c r="BT222" s="141"/>
      <c r="BU222" s="141"/>
      <c r="BV222" s="141"/>
      <c r="BW222" s="141"/>
      <c r="BY222" s="12"/>
      <c r="BZ222" s="395">
        <f>IF(MAX($V222:$BW222)&gt;0, 1, 0)</f>
        <v>0</v>
      </c>
      <c r="CA222" s="12"/>
      <c r="CM222" s="7">
        <f t="shared" si="237"/>
        <v>0</v>
      </c>
      <c r="CN222" s="7">
        <f t="shared" si="237"/>
        <v>0</v>
      </c>
      <c r="CO222" s="7">
        <f t="shared" si="237"/>
        <v>0</v>
      </c>
      <c r="CP222" s="7">
        <f>IF(ROUND(V222-BL222, rounding)=0, 0, 1)*'BS Forecasts'!$V$10</f>
        <v>0</v>
      </c>
      <c r="CR222" s="12"/>
      <c r="CS222" s="93">
        <f t="shared" si="182"/>
        <v>0</v>
      </c>
      <c r="CT222" s="93">
        <v>1</v>
      </c>
      <c r="CU222" s="93">
        <v>1</v>
      </c>
      <c r="EX222" s="13" t="str">
        <f>IF(C222="", "", CONCATENATE(D218, " ",D222))</f>
        <v xml:space="preserve">Loan 10 Early Repayment </v>
      </c>
    </row>
    <row r="223" spans="1:154" s="67" customFormat="1" x14ac:dyDescent="0.25">
      <c r="C223" s="340" t="s">
        <v>1362</v>
      </c>
      <c r="D223" s="51" t="s">
        <v>231</v>
      </c>
      <c r="E223" s="1"/>
      <c r="G223" s="9" t="s">
        <v>413</v>
      </c>
      <c r="H223" s="50" t="s">
        <v>8</v>
      </c>
      <c r="S223" s="335"/>
      <c r="T223" s="25"/>
      <c r="U223" s="25"/>
      <c r="V223" s="13">
        <f>$G$22</f>
        <v>0</v>
      </c>
      <c r="W223" s="10">
        <f>SUM(W219:W222)</f>
        <v>0</v>
      </c>
      <c r="X223" s="10">
        <f t="shared" ref="X223:BI223" si="238">SUM(X219:X222)</f>
        <v>0</v>
      </c>
      <c r="Y223" s="10">
        <f t="shared" si="238"/>
        <v>0</v>
      </c>
      <c r="Z223" s="335"/>
      <c r="AA223" s="10">
        <f t="shared" si="238"/>
        <v>0</v>
      </c>
      <c r="AB223" s="10">
        <f t="shared" si="238"/>
        <v>0</v>
      </c>
      <c r="AC223" s="10">
        <f t="shared" si="238"/>
        <v>0</v>
      </c>
      <c r="AD223" s="10">
        <f t="shared" si="238"/>
        <v>0</v>
      </c>
      <c r="AE223" s="10">
        <f t="shared" si="238"/>
        <v>0</v>
      </c>
      <c r="AF223" s="10">
        <f t="shared" si="238"/>
        <v>0</v>
      </c>
      <c r="AG223" s="10">
        <f t="shared" si="238"/>
        <v>0</v>
      </c>
      <c r="AH223" s="10">
        <f t="shared" si="238"/>
        <v>0</v>
      </c>
      <c r="AI223" s="10">
        <f t="shared" si="238"/>
        <v>0</v>
      </c>
      <c r="AJ223" s="10">
        <f t="shared" si="238"/>
        <v>0</v>
      </c>
      <c r="AK223" s="10">
        <f t="shared" si="238"/>
        <v>0</v>
      </c>
      <c r="AL223" s="10">
        <f t="shared" si="238"/>
        <v>0</v>
      </c>
      <c r="AM223" s="10">
        <f t="shared" si="238"/>
        <v>0</v>
      </c>
      <c r="AN223" s="10">
        <f t="shared" si="238"/>
        <v>0</v>
      </c>
      <c r="AO223" s="10">
        <f t="shared" si="238"/>
        <v>0</v>
      </c>
      <c r="AP223" s="10">
        <f t="shared" si="238"/>
        <v>0</v>
      </c>
      <c r="AQ223" s="10">
        <f t="shared" si="238"/>
        <v>0</v>
      </c>
      <c r="AR223" s="10">
        <f t="shared" si="238"/>
        <v>0</v>
      </c>
      <c r="AS223" s="10">
        <f t="shared" si="238"/>
        <v>0</v>
      </c>
      <c r="AT223" s="10">
        <f t="shared" si="238"/>
        <v>0</v>
      </c>
      <c r="AU223" s="10">
        <f t="shared" si="238"/>
        <v>0</v>
      </c>
      <c r="AV223" s="10">
        <f t="shared" si="238"/>
        <v>0</v>
      </c>
      <c r="AW223" s="10">
        <f t="shared" si="238"/>
        <v>0</v>
      </c>
      <c r="AX223" s="10">
        <f t="shared" si="238"/>
        <v>0</v>
      </c>
      <c r="AY223" s="10">
        <f t="shared" si="238"/>
        <v>0</v>
      </c>
      <c r="AZ223" s="10">
        <f t="shared" si="238"/>
        <v>0</v>
      </c>
      <c r="BA223" s="10">
        <f t="shared" si="238"/>
        <v>0</v>
      </c>
      <c r="BB223" s="10">
        <f t="shared" si="238"/>
        <v>0</v>
      </c>
      <c r="BC223" s="10">
        <f t="shared" si="238"/>
        <v>0</v>
      </c>
      <c r="BD223" s="10">
        <f t="shared" si="238"/>
        <v>0</v>
      </c>
      <c r="BE223" s="10">
        <f t="shared" si="238"/>
        <v>0</v>
      </c>
      <c r="BF223" s="10">
        <f t="shared" si="238"/>
        <v>0</v>
      </c>
      <c r="BG223" s="10">
        <f t="shared" si="238"/>
        <v>0</v>
      </c>
      <c r="BH223" s="10">
        <f t="shared" si="238"/>
        <v>0</v>
      </c>
      <c r="BI223" s="10">
        <f t="shared" si="238"/>
        <v>0</v>
      </c>
      <c r="BJ223" s="10">
        <f>SUM(BJ219:BJ222)</f>
        <v>0</v>
      </c>
      <c r="BL223" s="152">
        <f t="shared" si="234"/>
        <v>0</v>
      </c>
      <c r="BM223" s="152">
        <f t="shared" si="234"/>
        <v>0</v>
      </c>
      <c r="BN223" s="152">
        <f t="shared" si="234"/>
        <v>0</v>
      </c>
      <c r="BO223" s="152">
        <f t="shared" si="234"/>
        <v>0</v>
      </c>
      <c r="BP223" s="10">
        <f t="shared" ref="BP223:BW223" si="239">SUM(BP219:BP222)</f>
        <v>0</v>
      </c>
      <c r="BQ223" s="10">
        <f t="shared" si="239"/>
        <v>0</v>
      </c>
      <c r="BR223" s="10">
        <f t="shared" si="239"/>
        <v>0</v>
      </c>
      <c r="BS223" s="10">
        <f t="shared" si="239"/>
        <v>0</v>
      </c>
      <c r="BT223" s="10">
        <f t="shared" si="239"/>
        <v>0</v>
      </c>
      <c r="BU223" s="10">
        <f t="shared" si="239"/>
        <v>0</v>
      </c>
      <c r="BV223" s="10">
        <f t="shared" si="239"/>
        <v>0</v>
      </c>
      <c r="BW223" s="10">
        <f t="shared" si="239"/>
        <v>0</v>
      </c>
      <c r="BY223" s="12"/>
      <c r="BZ223" s="335"/>
      <c r="CA223" s="12"/>
      <c r="CB223" s="335"/>
      <c r="CC223" s="335"/>
      <c r="CD223" s="335"/>
      <c r="CE223" s="335"/>
      <c r="CM223" s="335"/>
      <c r="CN223" s="335"/>
      <c r="CO223" s="335"/>
      <c r="CP223" s="335"/>
      <c r="CR223" s="12"/>
      <c r="CS223" s="93">
        <f t="shared" si="182"/>
        <v>0</v>
      </c>
      <c r="CT223" s="93">
        <v>0</v>
      </c>
      <c r="CU223" s="93">
        <v>0</v>
      </c>
      <c r="EW223" s="335"/>
      <c r="EX223" s="13" t="str">
        <f>IF(C223="", "", CONCATENATE(D218, " ",D223))</f>
        <v>Loan 10 Closing Loan Balance</v>
      </c>
    </row>
    <row r="224" spans="1:154" s="67" customFormat="1" ht="6.6" customHeight="1" x14ac:dyDescent="0.25">
      <c r="C224" s="380"/>
      <c r="D224" s="1"/>
      <c r="S224" s="335"/>
      <c r="T224" s="25"/>
      <c r="U224" s="25"/>
      <c r="V224" s="93"/>
      <c r="BM224" s="6"/>
      <c r="BY224" s="42"/>
      <c r="BZ224" s="335"/>
      <c r="CA224" s="42"/>
      <c r="CB224" s="335"/>
      <c r="CC224" s="335"/>
      <c r="CD224" s="335"/>
      <c r="CE224" s="335"/>
      <c r="CM224" s="335"/>
      <c r="CN224" s="335"/>
      <c r="CO224" s="335"/>
      <c r="CP224" s="335"/>
      <c r="CR224" s="42"/>
      <c r="CS224" s="93">
        <f t="shared" si="182"/>
        <v>0</v>
      </c>
      <c r="CT224" s="93">
        <v>0</v>
      </c>
      <c r="CU224" s="93">
        <v>0</v>
      </c>
      <c r="EW224" s="335"/>
      <c r="EX224" s="13" t="str">
        <f>IF(C224="", "", CONCATENATE(D218, " ",D224))</f>
        <v/>
      </c>
    </row>
    <row r="225" spans="1:154" s="67" customFormat="1" x14ac:dyDescent="0.25">
      <c r="A225" s="362" cm="1">
        <f t="array" aca="1" ref="A225" ca="1">HYPERLINK(CONCATENATE("#",CELL("address",IF(SUM($CA225:$CR225)=0,A225,INDEX($CA225:$CR225,MATCH(1,$CA225:$CR225,0))))),SUM($CA225:$CR225))</f>
        <v>0</v>
      </c>
      <c r="C225" s="380"/>
      <c r="D225" s="51" t="s">
        <v>526</v>
      </c>
      <c r="E225" s="160" t="s">
        <v>523</v>
      </c>
      <c r="F225" s="10">
        <f>$F$22</f>
        <v>0</v>
      </c>
      <c r="S225" s="335"/>
      <c r="T225" s="25"/>
      <c r="U225" s="25"/>
      <c r="V225" s="188">
        <f>IF(OR(V223&gt;$F225, V223&lt;0), 1, 0)</f>
        <v>0</v>
      </c>
      <c r="W225" s="7">
        <f>IF(OR(W223&gt;$F225, W223&lt;0), 1, 0)</f>
        <v>0</v>
      </c>
      <c r="X225" s="7">
        <f>IF(OR(X223&gt;$F225, X223&lt;0), 1, 0)</f>
        <v>0</v>
      </c>
      <c r="Y225" s="7">
        <f>IF(OR(Y223&gt;$F225, Y223&lt;0), 1, 0)</f>
        <v>0</v>
      </c>
      <c r="AA225" s="7">
        <f t="shared" ref="AA225:BJ225" si="240">IF(OR(AA223&gt;$F225, AA223&lt;0), 1, 0)</f>
        <v>0</v>
      </c>
      <c r="AB225" s="7">
        <f t="shared" si="240"/>
        <v>0</v>
      </c>
      <c r="AC225" s="7">
        <f t="shared" si="240"/>
        <v>0</v>
      </c>
      <c r="AD225" s="7">
        <f t="shared" si="240"/>
        <v>0</v>
      </c>
      <c r="AE225" s="7">
        <f t="shared" si="240"/>
        <v>0</v>
      </c>
      <c r="AF225" s="7">
        <f t="shared" si="240"/>
        <v>0</v>
      </c>
      <c r="AG225" s="7">
        <f t="shared" si="240"/>
        <v>0</v>
      </c>
      <c r="AH225" s="7">
        <f t="shared" si="240"/>
        <v>0</v>
      </c>
      <c r="AI225" s="7">
        <f t="shared" si="240"/>
        <v>0</v>
      </c>
      <c r="AJ225" s="7">
        <f t="shared" si="240"/>
        <v>0</v>
      </c>
      <c r="AK225" s="7">
        <f t="shared" si="240"/>
        <v>0</v>
      </c>
      <c r="AL225" s="7">
        <f t="shared" si="240"/>
        <v>0</v>
      </c>
      <c r="AM225" s="7">
        <f t="shared" si="240"/>
        <v>0</v>
      </c>
      <c r="AN225" s="7">
        <f t="shared" si="240"/>
        <v>0</v>
      </c>
      <c r="AO225" s="7">
        <f t="shared" si="240"/>
        <v>0</v>
      </c>
      <c r="AP225" s="7">
        <f t="shared" si="240"/>
        <v>0</v>
      </c>
      <c r="AQ225" s="7">
        <f t="shared" si="240"/>
        <v>0</v>
      </c>
      <c r="AR225" s="7">
        <f t="shared" si="240"/>
        <v>0</v>
      </c>
      <c r="AS225" s="7">
        <f t="shared" si="240"/>
        <v>0</v>
      </c>
      <c r="AT225" s="7">
        <f t="shared" si="240"/>
        <v>0</v>
      </c>
      <c r="AU225" s="7">
        <f t="shared" si="240"/>
        <v>0</v>
      </c>
      <c r="AV225" s="7">
        <f t="shared" si="240"/>
        <v>0</v>
      </c>
      <c r="AW225" s="7">
        <f t="shared" si="240"/>
        <v>0</v>
      </c>
      <c r="AX225" s="7">
        <f t="shared" si="240"/>
        <v>0</v>
      </c>
      <c r="AY225" s="7">
        <f t="shared" si="240"/>
        <v>0</v>
      </c>
      <c r="AZ225" s="7">
        <f t="shared" si="240"/>
        <v>0</v>
      </c>
      <c r="BA225" s="7">
        <f t="shared" si="240"/>
        <v>0</v>
      </c>
      <c r="BB225" s="7">
        <f t="shared" si="240"/>
        <v>0</v>
      </c>
      <c r="BC225" s="7">
        <f t="shared" si="240"/>
        <v>0</v>
      </c>
      <c r="BD225" s="7">
        <f t="shared" si="240"/>
        <v>0</v>
      </c>
      <c r="BE225" s="7">
        <f t="shared" si="240"/>
        <v>0</v>
      </c>
      <c r="BF225" s="7">
        <f t="shared" si="240"/>
        <v>0</v>
      </c>
      <c r="BG225" s="7">
        <f t="shared" si="240"/>
        <v>0</v>
      </c>
      <c r="BH225" s="7">
        <f t="shared" si="240"/>
        <v>0</v>
      </c>
      <c r="BI225" s="7">
        <f t="shared" si="240"/>
        <v>0</v>
      </c>
      <c r="BJ225" s="7">
        <f t="shared" si="240"/>
        <v>0</v>
      </c>
      <c r="BL225" s="7">
        <f t="shared" ref="BL225" si="241">IF(OR(BL223&gt;$F225, BL223&lt;0), 1, 0)</f>
        <v>0</v>
      </c>
      <c r="BM225" s="7">
        <f t="shared" ref="BM225:BW225" si="242">IF(OR(BM223&gt;$F225, BM223&lt;0), 1, 0)</f>
        <v>0</v>
      </c>
      <c r="BN225" s="7">
        <f t="shared" si="242"/>
        <v>0</v>
      </c>
      <c r="BO225" s="7">
        <f t="shared" si="242"/>
        <v>0</v>
      </c>
      <c r="BP225" s="7">
        <f t="shared" si="242"/>
        <v>0</v>
      </c>
      <c r="BQ225" s="7">
        <f t="shared" si="242"/>
        <v>0</v>
      </c>
      <c r="BR225" s="7">
        <f t="shared" si="242"/>
        <v>0</v>
      </c>
      <c r="BS225" s="7">
        <f t="shared" si="242"/>
        <v>0</v>
      </c>
      <c r="BT225" s="7">
        <f t="shared" si="242"/>
        <v>0</v>
      </c>
      <c r="BU225" s="7">
        <f t="shared" si="242"/>
        <v>0</v>
      </c>
      <c r="BV225" s="7">
        <f t="shared" si="242"/>
        <v>0</v>
      </c>
      <c r="BW225" s="7">
        <f t="shared" si="242"/>
        <v>0</v>
      </c>
      <c r="BY225" s="12"/>
      <c r="BZ225" s="335"/>
      <c r="CA225" s="12"/>
      <c r="CB225" s="335"/>
      <c r="CC225" s="335"/>
      <c r="CD225" s="335"/>
      <c r="CE225" s="335"/>
      <c r="CL225" s="7">
        <f>IF(MAX(V225:BW225)&gt;0, 1, 0)</f>
        <v>0</v>
      </c>
      <c r="CM225" s="335"/>
      <c r="CN225" s="335"/>
      <c r="CO225" s="335"/>
      <c r="CP225" s="335"/>
      <c r="CR225" s="12"/>
      <c r="CS225" s="93">
        <f t="shared" si="182"/>
        <v>1</v>
      </c>
      <c r="CT225" s="93">
        <v>0</v>
      </c>
      <c r="CU225" s="93">
        <v>0</v>
      </c>
      <c r="EW225" s="335"/>
      <c r="EX225" s="13" t="str">
        <f>IF(C225="", "", CONCATENATE(D218, " ",D225))</f>
        <v/>
      </c>
    </row>
    <row r="226" spans="1:154" s="67" customFormat="1" x14ac:dyDescent="0.25">
      <c r="A226" s="362" cm="1">
        <f t="array" aca="1" ref="A226" ca="1">HYPERLINK(CONCATENATE("#",CELL("address",IF(SUM($CA226:$CR226)=0,A226,INDEX($CA226:$CR226,MATCH(1,$CA226:$CR226,0))))),SUM($CA226:$CR226))</f>
        <v>0</v>
      </c>
      <c r="C226" s="380"/>
      <c r="D226" s="51" t="s">
        <v>220</v>
      </c>
      <c r="E226" s="160" t="s">
        <v>524</v>
      </c>
      <c r="F226" s="159" t="str">
        <f>IF($J$22="", "", $J$22)</f>
        <v/>
      </c>
      <c r="S226" s="335"/>
      <c r="T226" s="25"/>
      <c r="U226" s="25"/>
      <c r="V226" s="230">
        <f>IF(AND(V$5&gt;=$F226,SUM(V223:$Y223)&lt;&gt;0),1,0)</f>
        <v>0</v>
      </c>
      <c r="W226" s="230">
        <f>IF(AND(W$5&gt;=$F226,SUM(W223:$Y223)&lt;&gt;0),1,0)</f>
        <v>0</v>
      </c>
      <c r="X226" s="230">
        <f>IF(AND(X$5&gt;=$F226,SUM(X223:$Y223)&lt;&gt;0),1,0)</f>
        <v>0</v>
      </c>
      <c r="Y226" s="230">
        <f>IF(AND(Y$5&gt;=$F226,SUM(Y223:$Y223)&lt;&gt;0),1,0)</f>
        <v>0</v>
      </c>
      <c r="AA226" s="154">
        <f>IF(AND(AA$5&gt;=$F226,SUM(AA223:$BJ223)&lt;&gt;0),1,0)</f>
        <v>0</v>
      </c>
      <c r="AB226" s="154">
        <f>IF(AND(AB$5&gt;=$F226,SUM(AB223:$BJ223)&lt;&gt;0),1,0)</f>
        <v>0</v>
      </c>
      <c r="AC226" s="154">
        <f>IF(AND(AC$5&gt;=$F226,SUM(AC223:$BJ223)&lt;&gt;0),1,0)</f>
        <v>0</v>
      </c>
      <c r="AD226" s="154">
        <f>IF(AND(AD$5&gt;=$F226,SUM(AD223:$BJ223)&lt;&gt;0),1,0)</f>
        <v>0</v>
      </c>
      <c r="AE226" s="154">
        <f>IF(AND(AE$5&gt;=$F226,SUM(AE223:$BJ223)&lt;&gt;0),1,0)</f>
        <v>0</v>
      </c>
      <c r="AF226" s="154">
        <f>IF(AND(AF$5&gt;=$F226,SUM(AF223:$BJ223)&lt;&gt;0),1,0)</f>
        <v>0</v>
      </c>
      <c r="AG226" s="154">
        <f>IF(AND(AG$5&gt;=$F226,SUM(AG223:$BJ223)&lt;&gt;0),1,0)</f>
        <v>0</v>
      </c>
      <c r="AH226" s="154">
        <f>IF(AND(AH$5&gt;=$F226,SUM(AH223:$BJ223)&lt;&gt;0),1,0)</f>
        <v>0</v>
      </c>
      <c r="AI226" s="154">
        <f>IF(AND(AI$5&gt;=$F226,SUM(AI223:$BJ223)&lt;&gt;0),1,0)</f>
        <v>0</v>
      </c>
      <c r="AJ226" s="154">
        <f>IF(AND(AJ$5&gt;=$F226,SUM(AJ223:$BJ223)&lt;&gt;0),1,0)</f>
        <v>0</v>
      </c>
      <c r="AK226" s="154">
        <f>IF(AND(AK$5&gt;=$F226,SUM(AK223:$BJ223)&lt;&gt;0),1,0)</f>
        <v>0</v>
      </c>
      <c r="AL226" s="154">
        <f>IF(AND(AL$5&gt;=$F226,SUM(AL223:$BJ223)&lt;&gt;0),1,0)</f>
        <v>0</v>
      </c>
      <c r="AM226" s="154">
        <f>IF(AND(AM$5&gt;=$F226,SUM(AM223:$BJ223)&lt;&gt;0),1,0)</f>
        <v>0</v>
      </c>
      <c r="AN226" s="154">
        <f>IF(AND(AN$5&gt;=$F226,SUM(AN223:$BJ223)&lt;&gt;0),1,0)</f>
        <v>0</v>
      </c>
      <c r="AO226" s="154">
        <f>IF(AND(AO$5&gt;=$F226,SUM(AO223:$BJ223)&lt;&gt;0),1,0)</f>
        <v>0</v>
      </c>
      <c r="AP226" s="154">
        <f>IF(AND(AP$5&gt;=$F226,SUM(AP223:$BJ223)&lt;&gt;0),1,0)</f>
        <v>0</v>
      </c>
      <c r="AQ226" s="154">
        <f>IF(AND(AQ$5&gt;=$F226,SUM(AQ223:$BJ223)&lt;&gt;0),1,0)</f>
        <v>0</v>
      </c>
      <c r="AR226" s="154">
        <f>IF(AND(AR$5&gt;=$F226,SUM(AR223:$BJ223)&lt;&gt;0),1,0)</f>
        <v>0</v>
      </c>
      <c r="AS226" s="154">
        <f>IF(AND(AS$5&gt;=$F226,SUM(AS223:$BJ223)&lt;&gt;0),1,0)</f>
        <v>0</v>
      </c>
      <c r="AT226" s="154">
        <f>IF(AND(AT$5&gt;=$F226,SUM(AT223:$BJ223)&lt;&gt;0),1,0)</f>
        <v>0</v>
      </c>
      <c r="AU226" s="154">
        <f>IF(AND(AU$5&gt;=$F226,SUM(AU223:$BJ223)&lt;&gt;0),1,0)</f>
        <v>0</v>
      </c>
      <c r="AV226" s="154">
        <f>IF(AND(AV$5&gt;=$F226,SUM(AV223:$BJ223)&lt;&gt;0),1,0)</f>
        <v>0</v>
      </c>
      <c r="AW226" s="154">
        <f>IF(AND(AW$5&gt;=$F226,SUM(AW223:$BJ223)&lt;&gt;0),1,0)</f>
        <v>0</v>
      </c>
      <c r="AX226" s="154">
        <f>IF(AND(AX$5&gt;=$F226,SUM(AX223:$BJ223)&lt;&gt;0),1,0)</f>
        <v>0</v>
      </c>
      <c r="AY226" s="154">
        <f>IF(AND(AY$5&gt;=$F226,SUM(AY223:$BJ223)&lt;&gt;0),1,0)</f>
        <v>0</v>
      </c>
      <c r="AZ226" s="154">
        <f>IF(AND(AZ$5&gt;=$F226,SUM(AZ223:$BJ223)&lt;&gt;0),1,0)</f>
        <v>0</v>
      </c>
      <c r="BA226" s="154">
        <f>IF(AND(BA$5&gt;=$F226,SUM(BA223:$BJ223)&lt;&gt;0),1,0)</f>
        <v>0</v>
      </c>
      <c r="BB226" s="154">
        <f>IF(AND(BB$5&gt;=$F226,SUM(BB223:$BJ223)&lt;&gt;0),1,0)</f>
        <v>0</v>
      </c>
      <c r="BC226" s="154">
        <f>IF(AND(BC$5&gt;=$F226,SUM(BC223:$BJ223)&lt;&gt;0),1,0)</f>
        <v>0</v>
      </c>
      <c r="BD226" s="154">
        <f>IF(AND(BD$5&gt;=$F226,SUM(BD223:$BJ223)&lt;&gt;0),1,0)</f>
        <v>0</v>
      </c>
      <c r="BE226" s="154">
        <f>IF(AND(BE$5&gt;=$F226,SUM(BE223:$BJ223)&lt;&gt;0),1,0)</f>
        <v>0</v>
      </c>
      <c r="BF226" s="154">
        <f>IF(AND(BF$5&gt;=$F226,SUM(BF223:$BJ223)&lt;&gt;0),1,0)</f>
        <v>0</v>
      </c>
      <c r="BG226" s="154">
        <f>IF(AND(BG$5&gt;=$F226,SUM(BG223:$BJ223)&lt;&gt;0),1,0)</f>
        <v>0</v>
      </c>
      <c r="BH226" s="154">
        <f>IF(AND(BH$5&gt;=$F226,SUM(BH223:$BJ223)&lt;&gt;0),1,0)</f>
        <v>0</v>
      </c>
      <c r="BI226" s="154">
        <f>IF(AND(BI$5&gt;=$F226,SUM(BI223:$BJ223)&lt;&gt;0),1,0)</f>
        <v>0</v>
      </c>
      <c r="BJ226" s="154">
        <f>IF(AND(BJ$5&gt;=$F226,SUM(BJ223:$BJ223)&lt;&gt;0),1,0)</f>
        <v>0</v>
      </c>
      <c r="BL226" s="154">
        <f>IF(AND(BL$5&gt;=$F226,SUM(BL223:$BW223)&lt;&gt;0),1,0)*BL$1150</f>
        <v>0</v>
      </c>
      <c r="BM226" s="154">
        <f>IF(AND(BM$5&gt;=$F226,SUM(BM223:$BW223)&lt;&gt;0),1,0)*BM$1150</f>
        <v>0</v>
      </c>
      <c r="BN226" s="154">
        <f>IF(AND(BN$5&gt;=$F226,SUM(BN223:$BW223)&lt;&gt;0),1,0)*BN$1150</f>
        <v>0</v>
      </c>
      <c r="BO226" s="154">
        <f>IF(AND(BO$5&gt;=$F226,SUM(BO223:$BW223)&lt;&gt;0),1,0)*BO$1150</f>
        <v>0</v>
      </c>
      <c r="BP226" s="154">
        <f>IF(AND(BP$5&gt;=$F226,SUM(BP223:$BW223)&lt;&gt;0),1,0)*BP$1150</f>
        <v>0</v>
      </c>
      <c r="BQ226" s="154">
        <f>IF(AND(BQ$5&gt;=$F226,SUM(BQ223:$BW223)&lt;&gt;0),1,0)*BQ$1150</f>
        <v>0</v>
      </c>
      <c r="BR226" s="154">
        <f>IF(AND(BR$5&gt;=$F226,SUM(BR223:$BW223)&lt;&gt;0),1,0)*BR$1150</f>
        <v>0</v>
      </c>
      <c r="BS226" s="154">
        <f>IF(AND(BS$5&gt;=$F226,SUM(BS223:$BW223)&lt;&gt;0),1,0)*BS$1150</f>
        <v>0</v>
      </c>
      <c r="BT226" s="154">
        <f>IF(AND(BT$5&gt;=$F226,SUM(BT223:$BW223)&lt;&gt;0),1,0)*BT$1150</f>
        <v>0</v>
      </c>
      <c r="BU226" s="154">
        <f>IF(AND(BU$5&gt;=$F226,SUM(BU223:$BW223)&lt;&gt;0),1,0)*BU$1150</f>
        <v>0</v>
      </c>
      <c r="BV226" s="154">
        <f>IF(AND(BV$5&gt;=$F226,SUM(BV223:$BW223)&lt;&gt;0),1,0)*BV$1150</f>
        <v>0</v>
      </c>
      <c r="BW226" s="154">
        <f>IF(AND(BW$5&gt;=$F226,SUM(BW223:$BW223)&lt;&gt;0),1,0)*BW$1150</f>
        <v>0</v>
      </c>
      <c r="BY226" s="12"/>
      <c r="BZ226" s="335"/>
      <c r="CA226" s="12"/>
      <c r="CB226" s="335"/>
      <c r="CC226" s="335"/>
      <c r="CD226" s="335"/>
      <c r="CE226" s="335"/>
      <c r="CL226" s="7">
        <f>IF(MAX($V226:$BW226)&gt;0, 1, 0)</f>
        <v>0</v>
      </c>
      <c r="CM226" s="335"/>
      <c r="CN226" s="335"/>
      <c r="CO226" s="335"/>
      <c r="CP226" s="335"/>
      <c r="CR226" s="12"/>
      <c r="CS226" s="93">
        <f t="shared" si="182"/>
        <v>1</v>
      </c>
      <c r="CT226" s="93">
        <v>0</v>
      </c>
      <c r="CU226" s="93">
        <v>0</v>
      </c>
      <c r="EW226" s="335"/>
      <c r="EX226" s="13" t="str">
        <f>IF(C226="", "", CONCATENATE(D218, " ",D226))</f>
        <v/>
      </c>
    </row>
    <row r="227" spans="1:154" s="67" customFormat="1" ht="6.6" customHeight="1" x14ac:dyDescent="0.25">
      <c r="C227" s="380"/>
      <c r="D227" s="1"/>
      <c r="S227" s="335"/>
      <c r="T227" s="25"/>
      <c r="U227" s="25"/>
      <c r="V227" s="93"/>
      <c r="BM227" s="6"/>
      <c r="BY227" s="42"/>
      <c r="BZ227" s="335"/>
      <c r="CA227" s="42"/>
      <c r="CB227" s="335"/>
      <c r="CC227" s="335"/>
      <c r="CD227" s="335"/>
      <c r="CE227" s="335"/>
      <c r="CM227" s="335"/>
      <c r="CN227" s="335"/>
      <c r="CO227" s="335"/>
      <c r="CP227" s="335"/>
      <c r="CR227" s="42"/>
      <c r="CS227" s="93">
        <f t="shared" si="182"/>
        <v>0</v>
      </c>
      <c r="CT227" s="93">
        <v>0</v>
      </c>
      <c r="CU227" s="93">
        <v>0</v>
      </c>
      <c r="EW227" s="335"/>
      <c r="EX227" s="13" t="str">
        <f>IF(C227="", "", CONCATENATE(D218, " ",D227))</f>
        <v/>
      </c>
    </row>
    <row r="228" spans="1:154" s="67" customFormat="1" x14ac:dyDescent="0.25">
      <c r="C228" s="380"/>
      <c r="D228" s="51" t="s">
        <v>223</v>
      </c>
      <c r="E228" s="1"/>
      <c r="G228" s="9" t="s">
        <v>413</v>
      </c>
      <c r="H228" s="50" t="s">
        <v>8</v>
      </c>
      <c r="S228" s="335"/>
      <c r="T228" s="25"/>
      <c r="U228" s="25"/>
      <c r="V228" s="210"/>
      <c r="W228" s="201">
        <f>V231</f>
        <v>0</v>
      </c>
      <c r="X228" s="201">
        <f>W231</f>
        <v>0</v>
      </c>
      <c r="Y228" s="10">
        <f>X231</f>
        <v>0</v>
      </c>
      <c r="AA228" s="13">
        <f>W228</f>
        <v>0</v>
      </c>
      <c r="AB228" s="10">
        <f t="shared" ref="AB228:BJ228" si="243">AA231</f>
        <v>0</v>
      </c>
      <c r="AC228" s="10">
        <f t="shared" si="243"/>
        <v>0</v>
      </c>
      <c r="AD228" s="10">
        <f t="shared" si="243"/>
        <v>0</v>
      </c>
      <c r="AE228" s="10">
        <f t="shared" si="243"/>
        <v>0</v>
      </c>
      <c r="AF228" s="10">
        <f t="shared" si="243"/>
        <v>0</v>
      </c>
      <c r="AG228" s="10">
        <f t="shared" si="243"/>
        <v>0</v>
      </c>
      <c r="AH228" s="10">
        <f t="shared" si="243"/>
        <v>0</v>
      </c>
      <c r="AI228" s="10">
        <f t="shared" si="243"/>
        <v>0</v>
      </c>
      <c r="AJ228" s="10">
        <f t="shared" si="243"/>
        <v>0</v>
      </c>
      <c r="AK228" s="10">
        <f t="shared" si="243"/>
        <v>0</v>
      </c>
      <c r="AL228" s="10">
        <f t="shared" si="243"/>
        <v>0</v>
      </c>
      <c r="AM228" s="10">
        <f t="shared" si="243"/>
        <v>0</v>
      </c>
      <c r="AN228" s="10">
        <f t="shared" si="243"/>
        <v>0</v>
      </c>
      <c r="AO228" s="10">
        <f t="shared" si="243"/>
        <v>0</v>
      </c>
      <c r="AP228" s="10">
        <f t="shared" si="243"/>
        <v>0</v>
      </c>
      <c r="AQ228" s="10">
        <f t="shared" si="243"/>
        <v>0</v>
      </c>
      <c r="AR228" s="10">
        <f t="shared" si="243"/>
        <v>0</v>
      </c>
      <c r="AS228" s="10">
        <f t="shared" si="243"/>
        <v>0</v>
      </c>
      <c r="AT228" s="10">
        <f t="shared" si="243"/>
        <v>0</v>
      </c>
      <c r="AU228" s="10">
        <f t="shared" si="243"/>
        <v>0</v>
      </c>
      <c r="AV228" s="10">
        <f t="shared" si="243"/>
        <v>0</v>
      </c>
      <c r="AW228" s="10">
        <f t="shared" si="243"/>
        <v>0</v>
      </c>
      <c r="AX228" s="10">
        <f t="shared" si="243"/>
        <v>0</v>
      </c>
      <c r="AY228" s="10">
        <f t="shared" si="243"/>
        <v>0</v>
      </c>
      <c r="AZ228" s="10">
        <f t="shared" si="243"/>
        <v>0</v>
      </c>
      <c r="BA228" s="10">
        <f t="shared" si="243"/>
        <v>0</v>
      </c>
      <c r="BB228" s="10">
        <f t="shared" si="243"/>
        <v>0</v>
      </c>
      <c r="BC228" s="10">
        <f t="shared" si="243"/>
        <v>0</v>
      </c>
      <c r="BD228" s="10">
        <f t="shared" si="243"/>
        <v>0</v>
      </c>
      <c r="BE228" s="10">
        <f t="shared" si="243"/>
        <v>0</v>
      </c>
      <c r="BF228" s="10">
        <f t="shared" si="243"/>
        <v>0</v>
      </c>
      <c r="BG228" s="10">
        <f t="shared" si="243"/>
        <v>0</v>
      </c>
      <c r="BH228" s="10">
        <f t="shared" si="243"/>
        <v>0</v>
      </c>
      <c r="BI228" s="10">
        <f t="shared" si="243"/>
        <v>0</v>
      </c>
      <c r="BJ228" s="10">
        <f t="shared" si="243"/>
        <v>0</v>
      </c>
      <c r="BL228" s="13">
        <f t="shared" ref="BL228:BO231" si="244">V228</f>
        <v>0</v>
      </c>
      <c r="BM228" s="13">
        <f t="shared" si="244"/>
        <v>0</v>
      </c>
      <c r="BN228" s="13">
        <f t="shared" si="244"/>
        <v>0</v>
      </c>
      <c r="BO228" s="13">
        <f t="shared" si="244"/>
        <v>0</v>
      </c>
      <c r="BP228" s="10">
        <f t="shared" ref="BP228:BW228" si="245">BO231</f>
        <v>0</v>
      </c>
      <c r="BQ228" s="10">
        <f t="shared" si="245"/>
        <v>0</v>
      </c>
      <c r="BR228" s="10">
        <f t="shared" si="245"/>
        <v>0</v>
      </c>
      <c r="BS228" s="10">
        <f t="shared" si="245"/>
        <v>0</v>
      </c>
      <c r="BT228" s="10">
        <f t="shared" si="245"/>
        <v>0</v>
      </c>
      <c r="BU228" s="10">
        <f t="shared" si="245"/>
        <v>0</v>
      </c>
      <c r="BV228" s="10">
        <f t="shared" si="245"/>
        <v>0</v>
      </c>
      <c r="BW228" s="10">
        <f t="shared" si="245"/>
        <v>0</v>
      </c>
      <c r="BY228" s="12"/>
      <c r="BZ228" s="335"/>
      <c r="CA228" s="12"/>
      <c r="CB228" s="335"/>
      <c r="CC228" s="335"/>
      <c r="CD228" s="335"/>
      <c r="CE228" s="335"/>
      <c r="CM228" s="335"/>
      <c r="CN228" s="335"/>
      <c r="CO228" s="335"/>
      <c r="CP228" s="335"/>
      <c r="CR228" s="12"/>
      <c r="CS228" s="93">
        <f t="shared" si="182"/>
        <v>0</v>
      </c>
      <c r="CT228" s="93">
        <v>1</v>
      </c>
      <c r="CU228" s="93">
        <v>0</v>
      </c>
      <c r="EW228" s="335"/>
      <c r="EX228" s="13" t="str">
        <f>IF(C228="", "", CONCATENATE(D218, " ",D228))</f>
        <v/>
      </c>
    </row>
    <row r="229" spans="1:154" s="5" customFormat="1" ht="15.75" x14ac:dyDescent="0.3">
      <c r="A229" s="362" cm="1">
        <f t="array" aca="1" ref="A229" ca="1">HYPERLINK(CONCATENATE("#",CELL("address",IF(SUM($CA229:$CR229)=0,A229,INDEX($CA229:$CR229,MATCH(1,$CA229:$CR229,0))))),SUM($CA229:$CR229))</f>
        <v>0</v>
      </c>
      <c r="B229" s="105" t="s">
        <v>335</v>
      </c>
      <c r="C229" s="380"/>
      <c r="D229" s="51" t="s">
        <v>234</v>
      </c>
      <c r="E229" s="1"/>
      <c r="F229" s="67"/>
      <c r="G229" s="9" t="s">
        <v>413</v>
      </c>
      <c r="H229" s="50" t="s">
        <v>125</v>
      </c>
      <c r="I229" s="67"/>
      <c r="J229" s="67"/>
      <c r="K229" s="67"/>
      <c r="L229" s="67"/>
      <c r="M229" s="67"/>
      <c r="N229" s="67"/>
      <c r="O229" s="67"/>
      <c r="P229" s="67"/>
      <c r="Q229" s="67"/>
      <c r="R229" s="67"/>
      <c r="S229" s="335"/>
      <c r="T229" s="25"/>
      <c r="U229" s="25"/>
      <c r="V229" s="210"/>
      <c r="W229" s="215">
        <f t="shared" ref="W229:Y230" si="246" xml:space="preserve"> SUMIFS($AA229:$BJ229, $AA$3:$BJ$3, W$3)</f>
        <v>0</v>
      </c>
      <c r="X229" s="215">
        <f t="shared" si="246"/>
        <v>0</v>
      </c>
      <c r="Y229" s="215">
        <f t="shared" si="246"/>
        <v>0</v>
      </c>
      <c r="Z229" s="6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c r="BI229" s="147"/>
      <c r="BJ229" s="147"/>
      <c r="BK229" s="67"/>
      <c r="BL229" s="13">
        <f t="shared" si="244"/>
        <v>0</v>
      </c>
      <c r="BM229" s="13">
        <f t="shared" si="244"/>
        <v>0</v>
      </c>
      <c r="BN229" s="13">
        <f t="shared" si="244"/>
        <v>0</v>
      </c>
      <c r="BO229" s="13">
        <f t="shared" si="244"/>
        <v>0</v>
      </c>
      <c r="BP229" s="141"/>
      <c r="BQ229" s="141"/>
      <c r="BR229" s="141"/>
      <c r="BS229" s="141"/>
      <c r="BT229" s="141"/>
      <c r="BU229" s="141"/>
      <c r="BV229" s="141"/>
      <c r="BW229" s="141"/>
      <c r="BX229" s="67"/>
      <c r="BY229" s="12"/>
      <c r="BZ229" s="395">
        <f>IF(MIN($V229:$BW229)&lt;0, 1, 0)</f>
        <v>0</v>
      </c>
      <c r="CA229" s="12"/>
      <c r="CB229" s="335"/>
      <c r="CC229" s="335"/>
      <c r="CD229" s="335"/>
      <c r="CE229" s="335"/>
      <c r="CF229" s="67"/>
      <c r="CG229" s="67"/>
      <c r="CH229" s="67"/>
      <c r="CI229" s="67"/>
      <c r="CJ229" s="67"/>
      <c r="CK229" s="67"/>
      <c r="CL229" s="67"/>
      <c r="CM229" s="7">
        <f t="shared" ref="CM229:CO230" si="247">IF(ROUND(W229-SUMIFS($AA229:$BJ229, $AA$3:$BJ$3, W$3), rounding)=0, 0, 1)</f>
        <v>0</v>
      </c>
      <c r="CN229" s="7">
        <f t="shared" si="247"/>
        <v>0</v>
      </c>
      <c r="CO229" s="7">
        <f t="shared" si="247"/>
        <v>0</v>
      </c>
      <c r="CP229" s="7">
        <f>IF(ROUND(V229-BL229, rounding)=0, 0, 1)*'BS Forecasts'!$V$10</f>
        <v>0</v>
      </c>
      <c r="CQ229" s="67"/>
      <c r="CR229" s="12"/>
      <c r="CS229" s="93">
        <f t="shared" si="182"/>
        <v>0</v>
      </c>
      <c r="CT229" s="93">
        <v>1</v>
      </c>
      <c r="CU229" s="93">
        <v>1</v>
      </c>
      <c r="EX229" s="13" t="str">
        <f>IF(C229="", "", CONCATENATE(D218, " ",D229))</f>
        <v/>
      </c>
    </row>
    <row r="230" spans="1:154" s="67" customFormat="1" ht="15.75" x14ac:dyDescent="0.3">
      <c r="A230" s="362" cm="1">
        <f t="array" aca="1" ref="A230" ca="1">HYPERLINK(CONCATENATE("#",CELL("address",IF(SUM($CA230:$CR230)=0,A230,INDEX($CA230:$CR230,MATCH(1,$CA230:$CR230,0))))),SUM($CA230:$CR230))</f>
        <v>0</v>
      </c>
      <c r="B230" s="105" t="s">
        <v>335</v>
      </c>
      <c r="C230" s="380"/>
      <c r="D230" s="51" t="s">
        <v>222</v>
      </c>
      <c r="E230" s="1"/>
      <c r="G230" s="9" t="s">
        <v>413</v>
      </c>
      <c r="H230" s="50" t="s">
        <v>157</v>
      </c>
      <c r="S230" s="335"/>
      <c r="T230" s="25"/>
      <c r="U230" s="25"/>
      <c r="V230" s="210"/>
      <c r="W230" s="215">
        <f t="shared" si="246"/>
        <v>0</v>
      </c>
      <c r="X230" s="215">
        <f t="shared" si="246"/>
        <v>0</v>
      </c>
      <c r="Y230" s="215">
        <f t="shared" si="246"/>
        <v>0</v>
      </c>
      <c r="AA230" s="147"/>
      <c r="AB230" s="147"/>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c r="BI230" s="147"/>
      <c r="BJ230" s="147"/>
      <c r="BL230" s="13">
        <f t="shared" si="244"/>
        <v>0</v>
      </c>
      <c r="BM230" s="13">
        <f t="shared" si="244"/>
        <v>0</v>
      </c>
      <c r="BN230" s="13">
        <f t="shared" si="244"/>
        <v>0</v>
      </c>
      <c r="BO230" s="13">
        <f t="shared" si="244"/>
        <v>0</v>
      </c>
      <c r="BP230" s="141"/>
      <c r="BQ230" s="141"/>
      <c r="BR230" s="141"/>
      <c r="BS230" s="141"/>
      <c r="BT230" s="141"/>
      <c r="BU230" s="141"/>
      <c r="BV230" s="141"/>
      <c r="BW230" s="141"/>
      <c r="BY230" s="12"/>
      <c r="BZ230" s="395">
        <f>IF(MAX($V230:$BW230)&gt;0, 1, 0)</f>
        <v>0</v>
      </c>
      <c r="CA230" s="12"/>
      <c r="CB230" s="335"/>
      <c r="CC230" s="335"/>
      <c r="CD230" s="335"/>
      <c r="CE230" s="335"/>
      <c r="CM230" s="7">
        <f t="shared" si="247"/>
        <v>0</v>
      </c>
      <c r="CN230" s="7">
        <f t="shared" si="247"/>
        <v>0</v>
      </c>
      <c r="CO230" s="7">
        <f t="shared" si="247"/>
        <v>0</v>
      </c>
      <c r="CP230" s="7">
        <f>IF(ROUND(V230-BL230, rounding)=0, 0, 1)*'BS Forecasts'!$V$10</f>
        <v>0</v>
      </c>
      <c r="CR230" s="12"/>
      <c r="CS230" s="93">
        <f t="shared" si="182"/>
        <v>0</v>
      </c>
      <c r="CT230" s="93">
        <v>1</v>
      </c>
      <c r="CU230" s="93">
        <v>1</v>
      </c>
      <c r="EW230" s="335"/>
      <c r="EX230" s="13" t="str">
        <f>IF(C230="", "", CONCATENATE(D218, " ",D230))</f>
        <v/>
      </c>
    </row>
    <row r="231" spans="1:154" s="67" customFormat="1" x14ac:dyDescent="0.25">
      <c r="C231" s="380"/>
      <c r="D231" s="51" t="s">
        <v>224</v>
      </c>
      <c r="E231" s="1"/>
      <c r="G231" s="9" t="s">
        <v>413</v>
      </c>
      <c r="H231" s="50" t="s">
        <v>8</v>
      </c>
      <c r="S231" s="335"/>
      <c r="T231" s="25"/>
      <c r="U231" s="25"/>
      <c r="V231" s="13">
        <f>$H$22</f>
        <v>0</v>
      </c>
      <c r="W231" s="10">
        <f>SUM(W228:W230)</f>
        <v>0</v>
      </c>
      <c r="X231" s="10">
        <f>SUM(X228:X230)</f>
        <v>0</v>
      </c>
      <c r="Y231" s="10">
        <f>SUM(Y228:Y230)</f>
        <v>0</v>
      </c>
      <c r="AA231" s="10">
        <f t="shared" ref="AA231:BJ231" si="248">SUM(AA228:AA230)</f>
        <v>0</v>
      </c>
      <c r="AB231" s="10">
        <f t="shared" si="248"/>
        <v>0</v>
      </c>
      <c r="AC231" s="10">
        <f t="shared" si="248"/>
        <v>0</v>
      </c>
      <c r="AD231" s="10">
        <f t="shared" si="248"/>
        <v>0</v>
      </c>
      <c r="AE231" s="10">
        <f t="shared" si="248"/>
        <v>0</v>
      </c>
      <c r="AF231" s="10">
        <f t="shared" si="248"/>
        <v>0</v>
      </c>
      <c r="AG231" s="10">
        <f t="shared" si="248"/>
        <v>0</v>
      </c>
      <c r="AH231" s="10">
        <f t="shared" si="248"/>
        <v>0</v>
      </c>
      <c r="AI231" s="10">
        <f t="shared" si="248"/>
        <v>0</v>
      </c>
      <c r="AJ231" s="10">
        <f t="shared" si="248"/>
        <v>0</v>
      </c>
      <c r="AK231" s="10">
        <f t="shared" si="248"/>
        <v>0</v>
      </c>
      <c r="AL231" s="10">
        <f t="shared" si="248"/>
        <v>0</v>
      </c>
      <c r="AM231" s="10">
        <f t="shared" si="248"/>
        <v>0</v>
      </c>
      <c r="AN231" s="10">
        <f t="shared" si="248"/>
        <v>0</v>
      </c>
      <c r="AO231" s="10">
        <f t="shared" si="248"/>
        <v>0</v>
      </c>
      <c r="AP231" s="10">
        <f t="shared" si="248"/>
        <v>0</v>
      </c>
      <c r="AQ231" s="10">
        <f t="shared" si="248"/>
        <v>0</v>
      </c>
      <c r="AR231" s="10">
        <f t="shared" si="248"/>
        <v>0</v>
      </c>
      <c r="AS231" s="10">
        <f t="shared" si="248"/>
        <v>0</v>
      </c>
      <c r="AT231" s="10">
        <f t="shared" si="248"/>
        <v>0</v>
      </c>
      <c r="AU231" s="10">
        <f t="shared" si="248"/>
        <v>0</v>
      </c>
      <c r="AV231" s="10">
        <f t="shared" si="248"/>
        <v>0</v>
      </c>
      <c r="AW231" s="10">
        <f t="shared" si="248"/>
        <v>0</v>
      </c>
      <c r="AX231" s="10">
        <f t="shared" si="248"/>
        <v>0</v>
      </c>
      <c r="AY231" s="10">
        <f t="shared" si="248"/>
        <v>0</v>
      </c>
      <c r="AZ231" s="10">
        <f t="shared" si="248"/>
        <v>0</v>
      </c>
      <c r="BA231" s="10">
        <f t="shared" si="248"/>
        <v>0</v>
      </c>
      <c r="BB231" s="10">
        <f t="shared" si="248"/>
        <v>0</v>
      </c>
      <c r="BC231" s="10">
        <f t="shared" si="248"/>
        <v>0</v>
      </c>
      <c r="BD231" s="10">
        <f t="shared" si="248"/>
        <v>0</v>
      </c>
      <c r="BE231" s="10">
        <f t="shared" si="248"/>
        <v>0</v>
      </c>
      <c r="BF231" s="10">
        <f t="shared" si="248"/>
        <v>0</v>
      </c>
      <c r="BG231" s="10">
        <f t="shared" si="248"/>
        <v>0</v>
      </c>
      <c r="BH231" s="10">
        <f t="shared" si="248"/>
        <v>0</v>
      </c>
      <c r="BI231" s="10">
        <f t="shared" si="248"/>
        <v>0</v>
      </c>
      <c r="BJ231" s="10">
        <f t="shared" si="248"/>
        <v>0</v>
      </c>
      <c r="BL231" s="152">
        <f t="shared" si="244"/>
        <v>0</v>
      </c>
      <c r="BM231" s="152">
        <f t="shared" si="244"/>
        <v>0</v>
      </c>
      <c r="BN231" s="152">
        <f t="shared" si="244"/>
        <v>0</v>
      </c>
      <c r="BO231" s="152">
        <f t="shared" si="244"/>
        <v>0</v>
      </c>
      <c r="BP231" s="10">
        <f t="shared" ref="BP231:BW231" si="249">SUM(BP228:BP230)</f>
        <v>0</v>
      </c>
      <c r="BQ231" s="10">
        <f t="shared" si="249"/>
        <v>0</v>
      </c>
      <c r="BR231" s="10">
        <f t="shared" si="249"/>
        <v>0</v>
      </c>
      <c r="BS231" s="10">
        <f t="shared" si="249"/>
        <v>0</v>
      </c>
      <c r="BT231" s="10">
        <f t="shared" si="249"/>
        <v>0</v>
      </c>
      <c r="BU231" s="10">
        <f t="shared" si="249"/>
        <v>0</v>
      </c>
      <c r="BV231" s="10">
        <f t="shared" si="249"/>
        <v>0</v>
      </c>
      <c r="BW231" s="10">
        <f t="shared" si="249"/>
        <v>0</v>
      </c>
      <c r="BY231" s="12"/>
      <c r="BZ231" s="335"/>
      <c r="CA231" s="12"/>
      <c r="CB231" s="335"/>
      <c r="CC231" s="335"/>
      <c r="CD231" s="335"/>
      <c r="CE231" s="335"/>
      <c r="CM231" s="335"/>
      <c r="CN231" s="335"/>
      <c r="CO231" s="335"/>
      <c r="CP231" s="335"/>
      <c r="CR231" s="12"/>
      <c r="CS231" s="93">
        <f t="shared" si="182"/>
        <v>0</v>
      </c>
      <c r="CT231" s="93">
        <v>0</v>
      </c>
      <c r="CU231" s="93">
        <v>0</v>
      </c>
      <c r="EW231" s="335"/>
      <c r="EX231" s="13" t="str">
        <f>IF(C231="", "", CONCATENATE(D218, " ",D231))</f>
        <v/>
      </c>
    </row>
    <row r="232" spans="1:154" s="67" customFormat="1" ht="6.6" customHeight="1" x14ac:dyDescent="0.25">
      <c r="C232" s="380"/>
      <c r="D232" s="1"/>
      <c r="S232" s="335"/>
      <c r="T232" s="25"/>
      <c r="U232" s="25"/>
      <c r="V232" s="229"/>
      <c r="W232" s="25"/>
      <c r="X232" s="25"/>
      <c r="Y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L232" s="25"/>
      <c r="BM232" s="155"/>
      <c r="BN232" s="25"/>
      <c r="BO232" s="25"/>
      <c r="BP232" s="25"/>
      <c r="BQ232" s="25"/>
      <c r="BR232" s="25"/>
      <c r="BS232" s="25"/>
      <c r="BT232" s="25"/>
      <c r="BU232" s="25"/>
      <c r="BV232" s="25"/>
      <c r="BW232" s="25"/>
      <c r="BY232" s="42"/>
      <c r="BZ232" s="335"/>
      <c r="CA232" s="42"/>
      <c r="CB232" s="335"/>
      <c r="CC232" s="335"/>
      <c r="CD232" s="335"/>
      <c r="CE232" s="335"/>
      <c r="CM232" s="335"/>
      <c r="CN232" s="335"/>
      <c r="CO232" s="335"/>
      <c r="CP232" s="335"/>
      <c r="CR232" s="42"/>
      <c r="CS232" s="93">
        <f t="shared" si="182"/>
        <v>0</v>
      </c>
      <c r="CT232" s="93">
        <v>0</v>
      </c>
      <c r="CU232" s="93">
        <v>0</v>
      </c>
      <c r="EW232" s="335"/>
      <c r="EX232" s="13" t="str">
        <f>IF(C232="", "", CONCATENATE(D218, " ",D232))</f>
        <v/>
      </c>
    </row>
    <row r="233" spans="1:154" s="5" customFormat="1" x14ac:dyDescent="0.25">
      <c r="A233" s="362" cm="1">
        <f t="array" aca="1" ref="A233" ca="1">HYPERLINK(CONCATENATE("#",CELL("address",IF(SUM($CA233:$CR233)=0,A233,INDEX($CA233:$CR233,MATCH(1,$CA233:$CR233,0))))),SUM($CA233:$CR233))</f>
        <v>0</v>
      </c>
      <c r="B233" s="335"/>
      <c r="C233" s="340" t="s">
        <v>1282</v>
      </c>
      <c r="D233" s="41" t="s">
        <v>1569</v>
      </c>
      <c r="E233" s="35"/>
      <c r="F233" s="25"/>
      <c r="G233" s="174" t="s">
        <v>413</v>
      </c>
      <c r="H233" s="171" t="s">
        <v>125</v>
      </c>
      <c r="I233" s="25"/>
      <c r="J233" s="25"/>
      <c r="K233" s="25"/>
      <c r="L233" s="25"/>
      <c r="M233" s="25"/>
      <c r="N233" s="25"/>
      <c r="O233" s="25"/>
      <c r="P233" s="25"/>
      <c r="Q233" s="25"/>
      <c r="R233" s="25"/>
      <c r="S233" s="335"/>
      <c r="T233" s="25"/>
      <c r="U233" s="25"/>
      <c r="V233" s="222"/>
      <c r="W233" s="215">
        <f xml:space="preserve"> SUMIFS($AA233:$BJ233, $AA$3:$BJ$3, W$3)</f>
        <v>0</v>
      </c>
      <c r="X233" s="215">
        <f xml:space="preserve"> SUMIFS($AA233:$BJ233, $AA$3:$BJ$3, X$3)</f>
        <v>0</v>
      </c>
      <c r="Y233" s="215">
        <f xml:space="preserve"> SUMIFS($AA233:$BJ233, $AA$3:$BJ$3, Y$3)</f>
        <v>0</v>
      </c>
      <c r="Z233" s="335"/>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335"/>
      <c r="BL233" s="152">
        <f>V233</f>
        <v>0</v>
      </c>
      <c r="BM233" s="152">
        <f>W233</f>
        <v>0</v>
      </c>
      <c r="BN233" s="152">
        <f>X233</f>
        <v>0</v>
      </c>
      <c r="BO233" s="152">
        <f>Y233</f>
        <v>0</v>
      </c>
      <c r="BP233" s="141"/>
      <c r="BQ233" s="141"/>
      <c r="BR233" s="141"/>
      <c r="BS233" s="141"/>
      <c r="BT233" s="141"/>
      <c r="BU233" s="141"/>
      <c r="BV233" s="141"/>
      <c r="BW233" s="141"/>
      <c r="BX233" s="335"/>
      <c r="BY233" s="12"/>
      <c r="BZ233" s="395">
        <f>IF(MIN($V233:$BW233)&lt;0, 1, 0)</f>
        <v>0</v>
      </c>
      <c r="CA233" s="12"/>
      <c r="CB233" s="335"/>
      <c r="CC233" s="335"/>
      <c r="CD233" s="335"/>
      <c r="CE233" s="335"/>
      <c r="CF233" s="335"/>
      <c r="CG233" s="335"/>
      <c r="CH233" s="335"/>
      <c r="CI233" s="335"/>
      <c r="CJ233" s="335"/>
      <c r="CK233" s="335"/>
      <c r="CL233" s="335"/>
      <c r="CM233" s="7">
        <f>IF(ROUND(W233-SUMIFS($AA233:$BJ233, $AA$3:$BJ$3, W$3), rounding)=0, 0, 1)</f>
        <v>0</v>
      </c>
      <c r="CN233" s="7">
        <f>IF(ROUND(X233-SUMIFS($AA233:$BJ233, $AA$3:$BJ$3, X$3), rounding)=0, 0, 1)</f>
        <v>0</v>
      </c>
      <c r="CO233" s="7">
        <f>IF(ROUND(Y233-SUMIFS($AA233:$BJ233, $AA$3:$BJ$3, Y$3), rounding)=0, 0, 1)</f>
        <v>0</v>
      </c>
      <c r="CP233" s="7">
        <f>IF(ROUND(V233-BL233, rounding)=0, 0, 1)*'BS Forecasts'!$V$10</f>
        <v>0</v>
      </c>
      <c r="CQ233" s="335"/>
      <c r="CR233" s="12"/>
      <c r="CS233" s="93">
        <f t="shared" si="182"/>
        <v>0</v>
      </c>
      <c r="CT233" s="93">
        <v>1</v>
      </c>
      <c r="CU233" s="93">
        <v>1</v>
      </c>
      <c r="EX233" s="13" t="str">
        <f>IF(C233="", "", CONCATENATE(D218, " ",D233))</f>
        <v>Loan 10 Early Repayment Fee</v>
      </c>
    </row>
    <row r="234" spans="1:154" s="335" customFormat="1" ht="6.6" customHeight="1" x14ac:dyDescent="0.25">
      <c r="C234" s="380"/>
      <c r="D234" s="1"/>
      <c r="T234" s="25"/>
      <c r="U234" s="25"/>
      <c r="V234" s="93"/>
      <c r="BM234" s="6"/>
      <c r="BY234" s="42"/>
      <c r="CA234" s="42"/>
      <c r="CR234" s="42"/>
      <c r="CS234" s="93">
        <f t="shared" si="182"/>
        <v>0</v>
      </c>
      <c r="CT234" s="93">
        <v>0</v>
      </c>
      <c r="CU234" s="93">
        <v>0</v>
      </c>
      <c r="EX234" s="13" t="str">
        <f>IF(C234="", "", CONCATENATE(D218, " ",D234))</f>
        <v/>
      </c>
    </row>
    <row r="235" spans="1:154" s="335" customFormat="1" ht="15.75" x14ac:dyDescent="0.3">
      <c r="A235" s="362" cm="1">
        <f t="array" aca="1" ref="A235" ca="1">HYPERLINK(CONCATENATE("#",CELL("address",IF(SUM($CA235:$CR235)=0,A235,INDEX($CA235:$CR235,MATCH(1,$CA235:$CR235,0))))),SUM($CA235:$CR235))</f>
        <v>0</v>
      </c>
      <c r="B235" s="105" t="s">
        <v>335</v>
      </c>
      <c r="D235" s="51" t="s">
        <v>1630</v>
      </c>
      <c r="E235" s="220" t="str">
        <f>IF(I$22="", "", I$22)</f>
        <v/>
      </c>
      <c r="F235" s="220" t="str">
        <f>IF(J$22="", "", J$22)</f>
        <v/>
      </c>
      <c r="T235" s="25"/>
      <c r="U235" s="25"/>
      <c r="V235" s="230">
        <f>IF(AND(OR( V$5&gt;$F235, Timeline!V$8&lt;Loans!$E235), Loans!V233&lt;&gt;0), 1, 0)</f>
        <v>0</v>
      </c>
      <c r="W235" s="230">
        <f>IF(AND(OR( W$5&gt;$F235, Timeline!W$8&lt;Loans!$E235), Loans!W233&lt;&gt;0), 1, 0)</f>
        <v>0</v>
      </c>
      <c r="X235" s="230">
        <f>IF(AND(OR( X$5&gt;$F235, Timeline!X$8&lt;Loans!$E235), Loans!X233&lt;&gt;0), 1, 0)</f>
        <v>0</v>
      </c>
      <c r="Y235" s="230">
        <f>IF(AND(OR( Y$5&gt;$F235, Timeline!Y$8&lt;Loans!$E235), Loans!Y233&lt;&gt;0), 1, 0)</f>
        <v>0</v>
      </c>
      <c r="AA235" s="230">
        <f>IF(AND(OR( AA$5&gt;$F235, Timeline!AA$8&lt;Loans!$E235), Loans!AA233&lt;&gt;0), 1, 0)</f>
        <v>0</v>
      </c>
      <c r="AB235" s="230">
        <f>IF(AND(OR( AB$5&gt;$F235, Timeline!AB$8&lt;Loans!$E235), Loans!AB233&lt;&gt;0), 1, 0)</f>
        <v>0</v>
      </c>
      <c r="AC235" s="230">
        <f>IF(AND(OR( AC$5&gt;$F235, Timeline!AC$8&lt;Loans!$E235), Loans!AC233&lt;&gt;0), 1, 0)</f>
        <v>0</v>
      </c>
      <c r="AD235" s="230">
        <f>IF(AND(OR( AD$5&gt;$F235, Timeline!AD$8&lt;Loans!$E235), Loans!AD233&lt;&gt;0), 1, 0)</f>
        <v>0</v>
      </c>
      <c r="AE235" s="230">
        <f>IF(AND(OR( AE$5&gt;$F235, Timeline!AE$8&lt;Loans!$E235), Loans!AE233&lt;&gt;0), 1, 0)</f>
        <v>0</v>
      </c>
      <c r="AF235" s="230">
        <f>IF(AND(OR( AF$5&gt;$F235, Timeline!AF$8&lt;Loans!$E235), Loans!AF233&lt;&gt;0), 1, 0)</f>
        <v>0</v>
      </c>
      <c r="AG235" s="230">
        <f>IF(AND(OR( AG$5&gt;$F235, Timeline!AG$8&lt;Loans!$E235), Loans!AG233&lt;&gt;0), 1, 0)</f>
        <v>0</v>
      </c>
      <c r="AH235" s="230">
        <f>IF(AND(OR( AH$5&gt;$F235, Timeline!AH$8&lt;Loans!$E235), Loans!AH233&lt;&gt;0), 1, 0)</f>
        <v>0</v>
      </c>
      <c r="AI235" s="230">
        <f>IF(AND(OR( AI$5&gt;$F235, Timeline!AI$8&lt;Loans!$E235), Loans!AI233&lt;&gt;0), 1, 0)</f>
        <v>0</v>
      </c>
      <c r="AJ235" s="230">
        <f>IF(AND(OR( AJ$5&gt;$F235, Timeline!AJ$8&lt;Loans!$E235), Loans!AJ233&lt;&gt;0), 1, 0)</f>
        <v>0</v>
      </c>
      <c r="AK235" s="230">
        <f>IF(AND(OR( AK$5&gt;$F235, Timeline!AK$8&lt;Loans!$E235), Loans!AK233&lt;&gt;0), 1, 0)</f>
        <v>0</v>
      </c>
      <c r="AL235" s="230">
        <f>IF(AND(OR( AL$5&gt;$F235, Timeline!AL$8&lt;Loans!$E235), Loans!AL233&lt;&gt;0), 1, 0)</f>
        <v>0</v>
      </c>
      <c r="AM235" s="230">
        <f>IF(AND(OR( AM$5&gt;$F235, Timeline!AM$8&lt;Loans!$E235), Loans!AM233&lt;&gt;0), 1, 0)</f>
        <v>0</v>
      </c>
      <c r="AN235" s="230">
        <f>IF(AND(OR( AN$5&gt;$F235, Timeline!AN$8&lt;Loans!$E235), Loans!AN233&lt;&gt;0), 1, 0)</f>
        <v>0</v>
      </c>
      <c r="AO235" s="230">
        <f>IF(AND(OR( AO$5&gt;$F235, Timeline!AO$8&lt;Loans!$E235), Loans!AO233&lt;&gt;0), 1, 0)</f>
        <v>0</v>
      </c>
      <c r="AP235" s="230">
        <f>IF(AND(OR( AP$5&gt;$F235, Timeline!AP$8&lt;Loans!$E235), Loans!AP233&lt;&gt;0), 1, 0)</f>
        <v>0</v>
      </c>
      <c r="AQ235" s="230">
        <f>IF(AND(OR( AQ$5&gt;$F235, Timeline!AQ$8&lt;Loans!$E235), Loans!AQ233&lt;&gt;0), 1, 0)</f>
        <v>0</v>
      </c>
      <c r="AR235" s="230">
        <f>IF(AND(OR( AR$5&gt;$F235, Timeline!AR$8&lt;Loans!$E235), Loans!AR233&lt;&gt;0), 1, 0)</f>
        <v>0</v>
      </c>
      <c r="AS235" s="230">
        <f>IF(AND(OR( AS$5&gt;$F235, Timeline!AS$8&lt;Loans!$E235), Loans!AS233&lt;&gt;0), 1, 0)</f>
        <v>0</v>
      </c>
      <c r="AT235" s="230">
        <f>IF(AND(OR( AT$5&gt;$F235, Timeline!AT$8&lt;Loans!$E235), Loans!AT233&lt;&gt;0), 1, 0)</f>
        <v>0</v>
      </c>
      <c r="AU235" s="230">
        <f>IF(AND(OR( AU$5&gt;$F235, Timeline!AU$8&lt;Loans!$E235), Loans!AU233&lt;&gt;0), 1, 0)</f>
        <v>0</v>
      </c>
      <c r="AV235" s="230">
        <f>IF(AND(OR( AV$5&gt;$F235, Timeline!AV$8&lt;Loans!$E235), Loans!AV233&lt;&gt;0), 1, 0)</f>
        <v>0</v>
      </c>
      <c r="AW235" s="230">
        <f>IF(AND(OR( AW$5&gt;$F235, Timeline!AW$8&lt;Loans!$E235), Loans!AW233&lt;&gt;0), 1, 0)</f>
        <v>0</v>
      </c>
      <c r="AX235" s="230">
        <f>IF(AND(OR( AX$5&gt;$F235, Timeline!AX$8&lt;Loans!$E235), Loans!AX233&lt;&gt;0), 1, 0)</f>
        <v>0</v>
      </c>
      <c r="AY235" s="230">
        <f>IF(AND(OR( AY$5&gt;$F235, Timeline!AY$8&lt;Loans!$E235), Loans!AY233&lt;&gt;0), 1, 0)</f>
        <v>0</v>
      </c>
      <c r="AZ235" s="230">
        <f>IF(AND(OR( AZ$5&gt;$F235, Timeline!AZ$8&lt;Loans!$E235), Loans!AZ233&lt;&gt;0), 1, 0)</f>
        <v>0</v>
      </c>
      <c r="BA235" s="230">
        <f>IF(AND(OR( BA$5&gt;$F235, Timeline!BA$8&lt;Loans!$E235), Loans!BA233&lt;&gt;0), 1, 0)</f>
        <v>0</v>
      </c>
      <c r="BB235" s="230">
        <f>IF(AND(OR( BB$5&gt;$F235, Timeline!BB$8&lt;Loans!$E235), Loans!BB233&lt;&gt;0), 1, 0)</f>
        <v>0</v>
      </c>
      <c r="BC235" s="230">
        <f>IF(AND(OR( BC$5&gt;$F235, Timeline!BC$8&lt;Loans!$E235), Loans!BC233&lt;&gt;0), 1, 0)</f>
        <v>0</v>
      </c>
      <c r="BD235" s="230">
        <f>IF(AND(OR( BD$5&gt;$F235, Timeline!BD$8&lt;Loans!$E235), Loans!BD233&lt;&gt;0), 1, 0)</f>
        <v>0</v>
      </c>
      <c r="BE235" s="230">
        <f>IF(AND(OR( BE$5&gt;$F235, Timeline!BE$8&lt;Loans!$E235), Loans!BE233&lt;&gt;0), 1, 0)</f>
        <v>0</v>
      </c>
      <c r="BF235" s="230">
        <f>IF(AND(OR( BF$5&gt;$F235, Timeline!BF$8&lt;Loans!$E235), Loans!BF233&lt;&gt;0), 1, 0)</f>
        <v>0</v>
      </c>
      <c r="BG235" s="230">
        <f>IF(AND(OR( BG$5&gt;$F235, Timeline!BG$8&lt;Loans!$E235), Loans!BG233&lt;&gt;0), 1, 0)</f>
        <v>0</v>
      </c>
      <c r="BH235" s="230">
        <f>IF(AND(OR( BH$5&gt;$F235, Timeline!BH$8&lt;Loans!$E235), Loans!BH233&lt;&gt;0), 1, 0)</f>
        <v>0</v>
      </c>
      <c r="BI235" s="230">
        <f>IF(AND(OR( BI$5&gt;$F235, Timeline!BI$8&lt;Loans!$E235), Loans!BI233&lt;&gt;0), 1, 0)</f>
        <v>0</v>
      </c>
      <c r="BJ235" s="230">
        <f>IF(AND(OR( BJ$5&gt;$F235, Timeline!BJ$8&lt;Loans!$E235), Loans!BJ233&lt;&gt;0), 1, 0)</f>
        <v>0</v>
      </c>
      <c r="BL235" s="230">
        <f>IF(AND(OR( BL$5&gt;$F235, Timeline!BL$8&lt;Loans!$E235), Loans!BL233&lt;&gt;0), 1, 0)</f>
        <v>0</v>
      </c>
      <c r="BM235" s="230">
        <f>IF(AND(OR( BM$5&gt;$F235, Timeline!BM$8&lt;Loans!$E235), Loans!BM233&lt;&gt;0), 1, 0)</f>
        <v>0</v>
      </c>
      <c r="BN235" s="230">
        <f>IF(AND(OR( BN$5&gt;$F235, Timeline!BN$8&lt;Loans!$E235), Loans!BN233&lt;&gt;0), 1, 0)</f>
        <v>0</v>
      </c>
      <c r="BO235" s="230">
        <f>IF(AND(OR( BO$5&gt;$F235, Timeline!BO$8&lt;Loans!$E235), Loans!BO233&lt;&gt;0), 1, 0)</f>
        <v>0</v>
      </c>
      <c r="BP235" s="230">
        <f>IF(AND(OR( BP$5&gt;$F235, Timeline!BP$8&lt;Loans!$E235), Loans!BP233&lt;&gt;0), 1, 0)</f>
        <v>0</v>
      </c>
      <c r="BQ235" s="230">
        <f>IF(AND(OR( BQ$5&gt;$F235, Timeline!BQ$8&lt;Loans!$E235), Loans!BQ233&lt;&gt;0), 1, 0)</f>
        <v>0</v>
      </c>
      <c r="BR235" s="230">
        <f>IF(AND(OR( BR$5&gt;$F235, Timeline!BR$8&lt;Loans!$E235), Loans!BR233&lt;&gt;0), 1, 0)</f>
        <v>0</v>
      </c>
      <c r="BS235" s="230">
        <f>IF(AND(OR( BS$5&gt;$F235, Timeline!BS$8&lt;Loans!$E235), Loans!BS233&lt;&gt;0), 1, 0)</f>
        <v>0</v>
      </c>
      <c r="BT235" s="230">
        <f>IF(AND(OR( BT$5&gt;$F235, Timeline!BT$8&lt;Loans!$E235), Loans!BT233&lt;&gt;0), 1, 0)</f>
        <v>0</v>
      </c>
      <c r="BU235" s="230">
        <f>IF(AND(OR( BU$5&gt;$F235, Timeline!BU$8&lt;Loans!$E235), Loans!BU233&lt;&gt;0), 1, 0)</f>
        <v>0</v>
      </c>
      <c r="BV235" s="230">
        <f>IF(AND(OR( BV$5&gt;$F235, Timeline!BV$8&lt;Loans!$E235), Loans!BV233&lt;&gt;0), 1, 0)</f>
        <v>0</v>
      </c>
      <c r="BW235" s="230">
        <f>IF(AND(OR( BW$5&gt;$F235, Timeline!BW$8&lt;Loans!$E235), Loans!BW233&lt;&gt;0), 1, 0)</f>
        <v>0</v>
      </c>
      <c r="BY235" s="12"/>
      <c r="CA235" s="12"/>
      <c r="CL235" s="7">
        <f>IF(MAX($V235:$BW235)&gt;0, 1, 0)</f>
        <v>0</v>
      </c>
      <c r="CR235" s="12"/>
      <c r="CS235" s="93">
        <f t="shared" si="182"/>
        <v>1</v>
      </c>
      <c r="CT235" s="93">
        <v>0</v>
      </c>
      <c r="CU235" s="93">
        <v>0</v>
      </c>
      <c r="EX235" s="13" t="str">
        <f>IF(C235="", "", CONCATENATE(D218, " ",D235))</f>
        <v/>
      </c>
    </row>
    <row r="236" spans="1:154" s="335" customFormat="1" ht="6.6" customHeight="1" x14ac:dyDescent="0.25">
      <c r="C236" s="380"/>
      <c r="D236" s="1"/>
      <c r="T236" s="25"/>
      <c r="U236" s="25"/>
      <c r="V236" s="93"/>
      <c r="BM236" s="6"/>
      <c r="BY236" s="42"/>
      <c r="CA236" s="42"/>
      <c r="CR236" s="42"/>
      <c r="CS236" s="93">
        <f t="shared" si="182"/>
        <v>0</v>
      </c>
      <c r="CT236" s="93">
        <v>0</v>
      </c>
      <c r="CU236" s="93">
        <v>0</v>
      </c>
      <c r="EX236" s="10" t="str">
        <f t="shared" ref="EX236" si="250">IF($C236="","",$D236)</f>
        <v/>
      </c>
    </row>
    <row r="237" spans="1:154" s="67" customFormat="1" x14ac:dyDescent="0.25">
      <c r="A237" s="64"/>
      <c r="C237" s="380"/>
      <c r="D237" s="64" t="s">
        <v>200</v>
      </c>
      <c r="E237" s="64"/>
      <c r="F237" s="64"/>
      <c r="G237" s="64"/>
      <c r="H237" s="64"/>
      <c r="I237" s="64"/>
      <c r="L237" s="64"/>
      <c r="M237" s="64"/>
      <c r="N237" s="64"/>
      <c r="O237" s="64"/>
      <c r="P237" s="64"/>
      <c r="Q237" s="64"/>
      <c r="S237" s="335"/>
      <c r="T237" s="25"/>
      <c r="U237" s="25"/>
      <c r="V237" s="229"/>
      <c r="W237" s="25"/>
      <c r="X237" s="25"/>
      <c r="Y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L237" s="25"/>
      <c r="BM237" s="25"/>
      <c r="BN237" s="25"/>
      <c r="BO237" s="25"/>
      <c r="BP237" s="25"/>
      <c r="BQ237" s="25"/>
      <c r="BR237" s="25"/>
      <c r="BS237" s="25"/>
      <c r="BT237" s="25"/>
      <c r="BU237" s="25"/>
      <c r="BV237" s="25"/>
      <c r="BW237" s="25"/>
      <c r="BY237" s="12"/>
      <c r="BZ237" s="335"/>
      <c r="CA237" s="12"/>
      <c r="CB237" s="335"/>
      <c r="CC237" s="335"/>
      <c r="CD237" s="335"/>
      <c r="CE237" s="335"/>
      <c r="CM237" s="335"/>
      <c r="CN237" s="335"/>
      <c r="CO237" s="335"/>
      <c r="CP237" s="335"/>
      <c r="CR237" s="12"/>
      <c r="CS237" s="93">
        <f t="shared" si="182"/>
        <v>0</v>
      </c>
      <c r="CT237" s="93">
        <v>0</v>
      </c>
      <c r="CU237" s="93">
        <v>0</v>
      </c>
      <c r="EW237" s="335"/>
      <c r="EX237" s="10" t="str">
        <f t="shared" si="232"/>
        <v/>
      </c>
    </row>
    <row r="238" spans="1:154" s="67" customFormat="1" x14ac:dyDescent="0.25">
      <c r="C238" s="340" t="s">
        <v>1383</v>
      </c>
      <c r="D238" s="51" t="s">
        <v>230</v>
      </c>
      <c r="E238" s="1"/>
      <c r="G238" s="9" t="s">
        <v>413</v>
      </c>
      <c r="H238" s="50" t="s">
        <v>8</v>
      </c>
      <c r="S238" s="335"/>
      <c r="T238" s="25"/>
      <c r="U238" s="25"/>
      <c r="V238" s="222"/>
      <c r="W238" s="201">
        <f>V242</f>
        <v>0</v>
      </c>
      <c r="X238" s="201">
        <f>W242</f>
        <v>0</v>
      </c>
      <c r="Y238" s="10">
        <f>X242</f>
        <v>0</v>
      </c>
      <c r="AA238" s="13">
        <f>W238</f>
        <v>0</v>
      </c>
      <c r="AB238" s="153">
        <f t="shared" ref="AB238:BJ238" si="251">AA242</f>
        <v>0</v>
      </c>
      <c r="AC238" s="153">
        <f t="shared" si="251"/>
        <v>0</v>
      </c>
      <c r="AD238" s="153">
        <f t="shared" si="251"/>
        <v>0</v>
      </c>
      <c r="AE238" s="153">
        <f t="shared" si="251"/>
        <v>0</v>
      </c>
      <c r="AF238" s="153">
        <f t="shared" si="251"/>
        <v>0</v>
      </c>
      <c r="AG238" s="153">
        <f t="shared" si="251"/>
        <v>0</v>
      </c>
      <c r="AH238" s="153">
        <f t="shared" si="251"/>
        <v>0</v>
      </c>
      <c r="AI238" s="153">
        <f t="shared" si="251"/>
        <v>0</v>
      </c>
      <c r="AJ238" s="153">
        <f t="shared" si="251"/>
        <v>0</v>
      </c>
      <c r="AK238" s="153">
        <f t="shared" si="251"/>
        <v>0</v>
      </c>
      <c r="AL238" s="153">
        <f t="shared" si="251"/>
        <v>0</v>
      </c>
      <c r="AM238" s="153">
        <f t="shared" si="251"/>
        <v>0</v>
      </c>
      <c r="AN238" s="153">
        <f t="shared" si="251"/>
        <v>0</v>
      </c>
      <c r="AO238" s="153">
        <f t="shared" si="251"/>
        <v>0</v>
      </c>
      <c r="AP238" s="153">
        <f t="shared" si="251"/>
        <v>0</v>
      </c>
      <c r="AQ238" s="153">
        <f t="shared" si="251"/>
        <v>0</v>
      </c>
      <c r="AR238" s="153">
        <f t="shared" si="251"/>
        <v>0</v>
      </c>
      <c r="AS238" s="153">
        <f t="shared" si="251"/>
        <v>0</v>
      </c>
      <c r="AT238" s="153">
        <f t="shared" si="251"/>
        <v>0</v>
      </c>
      <c r="AU238" s="153">
        <f t="shared" si="251"/>
        <v>0</v>
      </c>
      <c r="AV238" s="153">
        <f t="shared" si="251"/>
        <v>0</v>
      </c>
      <c r="AW238" s="153">
        <f t="shared" si="251"/>
        <v>0</v>
      </c>
      <c r="AX238" s="153">
        <f t="shared" si="251"/>
        <v>0</v>
      </c>
      <c r="AY238" s="153">
        <f t="shared" si="251"/>
        <v>0</v>
      </c>
      <c r="AZ238" s="153">
        <f t="shared" si="251"/>
        <v>0</v>
      </c>
      <c r="BA238" s="153">
        <f t="shared" si="251"/>
        <v>0</v>
      </c>
      <c r="BB238" s="153">
        <f t="shared" si="251"/>
        <v>0</v>
      </c>
      <c r="BC238" s="153">
        <f t="shared" si="251"/>
        <v>0</v>
      </c>
      <c r="BD238" s="153">
        <f t="shared" si="251"/>
        <v>0</v>
      </c>
      <c r="BE238" s="153">
        <f t="shared" si="251"/>
        <v>0</v>
      </c>
      <c r="BF238" s="153">
        <f t="shared" si="251"/>
        <v>0</v>
      </c>
      <c r="BG238" s="153">
        <f t="shared" si="251"/>
        <v>0</v>
      </c>
      <c r="BH238" s="153">
        <f t="shared" si="251"/>
        <v>0</v>
      </c>
      <c r="BI238" s="153">
        <f t="shared" si="251"/>
        <v>0</v>
      </c>
      <c r="BJ238" s="153">
        <f t="shared" si="251"/>
        <v>0</v>
      </c>
      <c r="BL238" s="152">
        <f t="shared" ref="BL238:BO242" si="252">V238</f>
        <v>0</v>
      </c>
      <c r="BM238" s="152">
        <f t="shared" si="252"/>
        <v>0</v>
      </c>
      <c r="BN238" s="152">
        <f t="shared" si="252"/>
        <v>0</v>
      </c>
      <c r="BO238" s="152">
        <f t="shared" si="252"/>
        <v>0</v>
      </c>
      <c r="BP238" s="153">
        <f t="shared" ref="BP238:BW238" si="253">BO242</f>
        <v>0</v>
      </c>
      <c r="BQ238" s="153">
        <f t="shared" si="253"/>
        <v>0</v>
      </c>
      <c r="BR238" s="153">
        <f t="shared" si="253"/>
        <v>0</v>
      </c>
      <c r="BS238" s="153">
        <f t="shared" si="253"/>
        <v>0</v>
      </c>
      <c r="BT238" s="153">
        <f t="shared" si="253"/>
        <v>0</v>
      </c>
      <c r="BU238" s="153">
        <f t="shared" si="253"/>
        <v>0</v>
      </c>
      <c r="BV238" s="153">
        <f t="shared" si="253"/>
        <v>0</v>
      </c>
      <c r="BW238" s="153">
        <f t="shared" si="253"/>
        <v>0</v>
      </c>
      <c r="BY238" s="12"/>
      <c r="BZ238" s="335"/>
      <c r="CA238" s="12"/>
      <c r="CB238" s="335"/>
      <c r="CC238" s="335"/>
      <c r="CD238" s="335"/>
      <c r="CE238" s="335"/>
      <c r="CM238" s="335"/>
      <c r="CN238" s="335"/>
      <c r="CO238" s="335"/>
      <c r="CP238" s="335"/>
      <c r="CR238" s="12"/>
      <c r="CS238" s="93">
        <f t="shared" si="182"/>
        <v>0</v>
      </c>
      <c r="CT238" s="93">
        <v>1</v>
      </c>
      <c r="CU238" s="93">
        <v>0</v>
      </c>
      <c r="EW238" s="335"/>
      <c r="EX238" s="13" t="str">
        <f>IF(C238="", "", CONCATENATE(D237, " ",D238))</f>
        <v>Loan 11 Opening Loan Balance</v>
      </c>
    </row>
    <row r="239" spans="1:154" s="5" customFormat="1" x14ac:dyDescent="0.25">
      <c r="A239" s="362" cm="1">
        <f t="array" aca="1" ref="A239" ca="1">HYPERLINK(CONCATENATE("#",CELL("address",IF(SUM($CA239:$CR239)=0,A239,INDEX($CA239:$CR239,MATCH(1,$CA239:$CR239,0))))),SUM($CA239:$CR239))</f>
        <v>0</v>
      </c>
      <c r="B239" s="67"/>
      <c r="C239" s="340" t="s">
        <v>1255</v>
      </c>
      <c r="D239" s="51" t="s">
        <v>219</v>
      </c>
      <c r="E239" s="1"/>
      <c r="F239" s="67"/>
      <c r="G239" s="9" t="s">
        <v>413</v>
      </c>
      <c r="H239" s="50" t="s">
        <v>125</v>
      </c>
      <c r="I239" s="67"/>
      <c r="J239" s="67"/>
      <c r="K239" s="67"/>
      <c r="L239" s="67"/>
      <c r="M239" s="67"/>
      <c r="N239" s="67"/>
      <c r="O239" s="67"/>
      <c r="P239" s="67"/>
      <c r="Q239" s="67"/>
      <c r="R239" s="67"/>
      <c r="S239" s="335"/>
      <c r="T239" s="25"/>
      <c r="U239" s="25"/>
      <c r="V239" s="222"/>
      <c r="W239" s="215">
        <f t="shared" ref="W239:Y241" si="254" xml:space="preserve"> SUMIFS($AA239:$BJ239, $AA$3:$BJ$3, W$3)</f>
        <v>0</v>
      </c>
      <c r="X239" s="215">
        <f t="shared" si="254"/>
        <v>0</v>
      </c>
      <c r="Y239" s="215">
        <f t="shared" si="254"/>
        <v>0</v>
      </c>
      <c r="Z239" s="6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c r="BI239" s="147"/>
      <c r="BJ239" s="147"/>
      <c r="BK239" s="67"/>
      <c r="BL239" s="152">
        <f t="shared" si="252"/>
        <v>0</v>
      </c>
      <c r="BM239" s="152">
        <f t="shared" si="252"/>
        <v>0</v>
      </c>
      <c r="BN239" s="152">
        <f t="shared" si="252"/>
        <v>0</v>
      </c>
      <c r="BO239" s="152">
        <f t="shared" si="252"/>
        <v>0</v>
      </c>
      <c r="BP239" s="156"/>
      <c r="BQ239" s="156"/>
      <c r="BR239" s="156"/>
      <c r="BS239" s="156"/>
      <c r="BT239" s="156"/>
      <c r="BU239" s="156"/>
      <c r="BV239" s="156"/>
      <c r="BW239" s="156"/>
      <c r="BX239" s="67"/>
      <c r="BY239" s="12"/>
      <c r="BZ239" s="395">
        <f>IF(MIN($V239:$BW239)&lt;0, 1, 0)</f>
        <v>0</v>
      </c>
      <c r="CA239" s="12"/>
      <c r="CB239" s="335"/>
      <c r="CC239" s="335"/>
      <c r="CD239" s="335"/>
      <c r="CE239" s="335"/>
      <c r="CF239" s="67"/>
      <c r="CG239" s="67"/>
      <c r="CH239" s="67"/>
      <c r="CI239" s="67"/>
      <c r="CJ239" s="67"/>
      <c r="CK239" s="67"/>
      <c r="CL239" s="67"/>
      <c r="CM239" s="7">
        <f t="shared" ref="CM239:CO241" si="255">IF(ROUND(W239-SUMIFS($AA239:$BJ239, $AA$3:$BJ$3, W$3), rounding)=0, 0, 1)</f>
        <v>0</v>
      </c>
      <c r="CN239" s="7">
        <f t="shared" si="255"/>
        <v>0</v>
      </c>
      <c r="CO239" s="7">
        <f t="shared" si="255"/>
        <v>0</v>
      </c>
      <c r="CP239" s="7">
        <f>IF(ROUND(V239-BL239, rounding)=0, 0, 1)*'BS Forecasts'!$V$10</f>
        <v>0</v>
      </c>
      <c r="CQ239" s="67"/>
      <c r="CR239" s="12"/>
      <c r="CS239" s="93">
        <f t="shared" si="182"/>
        <v>0</v>
      </c>
      <c r="CT239" s="93">
        <v>1</v>
      </c>
      <c r="CU239" s="93">
        <v>1</v>
      </c>
      <c r="EX239" s="13" t="str">
        <f>IF(C239="", "", CONCATENATE(D237, " ",D239))</f>
        <v>Loan 11 Drawdowns</v>
      </c>
    </row>
    <row r="240" spans="1:154" s="67" customFormat="1" x14ac:dyDescent="0.25">
      <c r="A240" s="362" cm="1">
        <f t="array" aca="1" ref="A240" ca="1">HYPERLINK(CONCATENATE("#",CELL("address",IF(SUM($CA240:$CR240)=0,A240,INDEX($CA240:$CR240,MATCH(1,$CA240:$CR240,0))))),SUM($CA240:$CR240))</f>
        <v>0</v>
      </c>
      <c r="C240" s="340" t="s">
        <v>1256</v>
      </c>
      <c r="D240" s="41" t="s">
        <v>1570</v>
      </c>
      <c r="E240" s="1"/>
      <c r="F240" s="25"/>
      <c r="G240" s="9" t="s">
        <v>413</v>
      </c>
      <c r="H240" s="50" t="s">
        <v>157</v>
      </c>
      <c r="S240" s="335"/>
      <c r="T240" s="25"/>
      <c r="U240" s="25"/>
      <c r="V240" s="222"/>
      <c r="W240" s="215">
        <f t="shared" si="254"/>
        <v>0</v>
      </c>
      <c r="X240" s="215">
        <f t="shared" si="254"/>
        <v>0</v>
      </c>
      <c r="Y240" s="215">
        <f t="shared" si="254"/>
        <v>0</v>
      </c>
      <c r="AA240" s="147"/>
      <c r="AB240" s="147"/>
      <c r="AC240" s="147"/>
      <c r="AD240" s="147"/>
      <c r="AE240" s="147"/>
      <c r="AF240" s="147"/>
      <c r="AG240" s="147"/>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c r="BI240" s="147"/>
      <c r="BJ240" s="147"/>
      <c r="BL240" s="152">
        <f t="shared" si="252"/>
        <v>0</v>
      </c>
      <c r="BM240" s="152">
        <f t="shared" si="252"/>
        <v>0</v>
      </c>
      <c r="BN240" s="152">
        <f t="shared" si="252"/>
        <v>0</v>
      </c>
      <c r="BO240" s="152">
        <f t="shared" si="252"/>
        <v>0</v>
      </c>
      <c r="BP240" s="156"/>
      <c r="BQ240" s="156"/>
      <c r="BR240" s="156"/>
      <c r="BS240" s="156"/>
      <c r="BT240" s="156"/>
      <c r="BU240" s="156"/>
      <c r="BV240" s="156"/>
      <c r="BW240" s="156"/>
      <c r="BY240" s="12"/>
      <c r="BZ240" s="395">
        <f>IF(MAX($V240:$BW240)&gt;0, 1, 0)</f>
        <v>0</v>
      </c>
      <c r="CA240" s="12"/>
      <c r="CB240" s="335"/>
      <c r="CC240" s="335"/>
      <c r="CD240" s="335"/>
      <c r="CE240" s="335"/>
      <c r="CM240" s="7">
        <f t="shared" si="255"/>
        <v>0</v>
      </c>
      <c r="CN240" s="7">
        <f t="shared" si="255"/>
        <v>0</v>
      </c>
      <c r="CO240" s="7">
        <f t="shared" si="255"/>
        <v>0</v>
      </c>
      <c r="CP240" s="7">
        <f>IF(ROUND(V240-BL240, rounding)=0, 0, 1)*'BS Forecasts'!$V$10</f>
        <v>0</v>
      </c>
      <c r="CR240" s="12"/>
      <c r="CS240" s="93">
        <f t="shared" ref="CS240:CS303" si="256">IF(IFERROR(FIND("check", D240), 0)=0, 0, 1)</f>
        <v>0</v>
      </c>
      <c r="CT240" s="93">
        <v>1</v>
      </c>
      <c r="CU240" s="93">
        <v>1</v>
      </c>
      <c r="EW240" s="335"/>
      <c r="EX240" s="13" t="str">
        <f>IF(C240="", "", CONCATENATE(D237, " ",D240))</f>
        <v>Loan 11 Loan Capital Repayment (as per loan agreement)</v>
      </c>
    </row>
    <row r="241" spans="1:154" s="335" customFormat="1" x14ac:dyDescent="0.25">
      <c r="A241" s="362" cm="1">
        <f t="array" aca="1" ref="A241" ca="1">HYPERLINK(CONCATENATE("#",CELL("address",IF(SUM($CA241:$CR241)=0,A241,INDEX($CA241:$CR241,MATCH(1,$CA241:$CR241,0))))),SUM($CA241:$CR241))</f>
        <v>0</v>
      </c>
      <c r="C241" s="340" t="s">
        <v>1582</v>
      </c>
      <c r="D241" s="41" t="s">
        <v>1571</v>
      </c>
      <c r="E241" s="1"/>
      <c r="G241" s="9" t="s">
        <v>413</v>
      </c>
      <c r="H241" s="50" t="s">
        <v>157</v>
      </c>
      <c r="T241" s="25"/>
      <c r="U241" s="25"/>
      <c r="V241" s="210"/>
      <c r="W241" s="215">
        <f t="shared" si="254"/>
        <v>0</v>
      </c>
      <c r="X241" s="215">
        <f t="shared" si="254"/>
        <v>0</v>
      </c>
      <c r="Y241" s="215">
        <f t="shared" si="254"/>
        <v>0</v>
      </c>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L241" s="13">
        <f t="shared" si="252"/>
        <v>0</v>
      </c>
      <c r="BM241" s="13">
        <f t="shared" si="252"/>
        <v>0</v>
      </c>
      <c r="BN241" s="13">
        <f t="shared" si="252"/>
        <v>0</v>
      </c>
      <c r="BO241" s="13">
        <f t="shared" si="252"/>
        <v>0</v>
      </c>
      <c r="BP241" s="141"/>
      <c r="BQ241" s="141"/>
      <c r="BR241" s="141"/>
      <c r="BS241" s="141"/>
      <c r="BT241" s="141"/>
      <c r="BU241" s="141"/>
      <c r="BV241" s="141"/>
      <c r="BW241" s="141"/>
      <c r="BY241" s="12"/>
      <c r="BZ241" s="395">
        <f>IF(MAX($V241:$BW241)&gt;0, 1, 0)</f>
        <v>0</v>
      </c>
      <c r="CA241" s="12"/>
      <c r="CM241" s="7">
        <f t="shared" si="255"/>
        <v>0</v>
      </c>
      <c r="CN241" s="7">
        <f t="shared" si="255"/>
        <v>0</v>
      </c>
      <c r="CO241" s="7">
        <f t="shared" si="255"/>
        <v>0</v>
      </c>
      <c r="CP241" s="7">
        <f>IF(ROUND(V241-BL241, rounding)=0, 0, 1)*'BS Forecasts'!$V$10</f>
        <v>0</v>
      </c>
      <c r="CR241" s="12"/>
      <c r="CS241" s="93">
        <f t="shared" si="256"/>
        <v>0</v>
      </c>
      <c r="CT241" s="93">
        <v>1</v>
      </c>
      <c r="CU241" s="93">
        <v>1</v>
      </c>
      <c r="EX241" s="13" t="str">
        <f>IF(C241="", "", CONCATENATE(D237, " ",D241))</f>
        <v xml:space="preserve">Loan 11 Early Repayment </v>
      </c>
    </row>
    <row r="242" spans="1:154" s="67" customFormat="1" x14ac:dyDescent="0.25">
      <c r="C242" s="340" t="s">
        <v>1363</v>
      </c>
      <c r="D242" s="51" t="s">
        <v>231</v>
      </c>
      <c r="E242" s="1"/>
      <c r="G242" s="9" t="s">
        <v>413</v>
      </c>
      <c r="H242" s="50" t="s">
        <v>8</v>
      </c>
      <c r="S242" s="335"/>
      <c r="T242" s="25"/>
      <c r="U242" s="25"/>
      <c r="V242" s="13">
        <f>$G$23</f>
        <v>0</v>
      </c>
      <c r="W242" s="153">
        <f>SUM(W238:W241)</f>
        <v>0</v>
      </c>
      <c r="X242" s="153">
        <f t="shared" ref="X242:BI242" si="257">SUM(X238:X241)</f>
        <v>0</v>
      </c>
      <c r="Y242" s="153">
        <f t="shared" si="257"/>
        <v>0</v>
      </c>
      <c r="Z242" s="335"/>
      <c r="AA242" s="153">
        <f t="shared" si="257"/>
        <v>0</v>
      </c>
      <c r="AB242" s="153">
        <f t="shared" si="257"/>
        <v>0</v>
      </c>
      <c r="AC242" s="153">
        <f t="shared" si="257"/>
        <v>0</v>
      </c>
      <c r="AD242" s="153">
        <f t="shared" si="257"/>
        <v>0</v>
      </c>
      <c r="AE242" s="153">
        <f t="shared" si="257"/>
        <v>0</v>
      </c>
      <c r="AF242" s="153">
        <f t="shared" si="257"/>
        <v>0</v>
      </c>
      <c r="AG242" s="153">
        <f t="shared" si="257"/>
        <v>0</v>
      </c>
      <c r="AH242" s="153">
        <f t="shared" si="257"/>
        <v>0</v>
      </c>
      <c r="AI242" s="153">
        <f t="shared" si="257"/>
        <v>0</v>
      </c>
      <c r="AJ242" s="153">
        <f t="shared" si="257"/>
        <v>0</v>
      </c>
      <c r="AK242" s="153">
        <f t="shared" si="257"/>
        <v>0</v>
      </c>
      <c r="AL242" s="153">
        <f t="shared" si="257"/>
        <v>0</v>
      </c>
      <c r="AM242" s="153">
        <f t="shared" si="257"/>
        <v>0</v>
      </c>
      <c r="AN242" s="153">
        <f t="shared" si="257"/>
        <v>0</v>
      </c>
      <c r="AO242" s="153">
        <f t="shared" si="257"/>
        <v>0</v>
      </c>
      <c r="AP242" s="153">
        <f t="shared" si="257"/>
        <v>0</v>
      </c>
      <c r="AQ242" s="153">
        <f t="shared" si="257"/>
        <v>0</v>
      </c>
      <c r="AR242" s="153">
        <f t="shared" si="257"/>
        <v>0</v>
      </c>
      <c r="AS242" s="153">
        <f t="shared" si="257"/>
        <v>0</v>
      </c>
      <c r="AT242" s="153">
        <f t="shared" si="257"/>
        <v>0</v>
      </c>
      <c r="AU242" s="153">
        <f t="shared" si="257"/>
        <v>0</v>
      </c>
      <c r="AV242" s="153">
        <f t="shared" si="257"/>
        <v>0</v>
      </c>
      <c r="AW242" s="153">
        <f t="shared" si="257"/>
        <v>0</v>
      </c>
      <c r="AX242" s="153">
        <f t="shared" si="257"/>
        <v>0</v>
      </c>
      <c r="AY242" s="153">
        <f t="shared" si="257"/>
        <v>0</v>
      </c>
      <c r="AZ242" s="153">
        <f t="shared" si="257"/>
        <v>0</v>
      </c>
      <c r="BA242" s="153">
        <f t="shared" si="257"/>
        <v>0</v>
      </c>
      <c r="BB242" s="153">
        <f t="shared" si="257"/>
        <v>0</v>
      </c>
      <c r="BC242" s="153">
        <f t="shared" si="257"/>
        <v>0</v>
      </c>
      <c r="BD242" s="153">
        <f t="shared" si="257"/>
        <v>0</v>
      </c>
      <c r="BE242" s="153">
        <f t="shared" si="257"/>
        <v>0</v>
      </c>
      <c r="BF242" s="153">
        <f t="shared" si="257"/>
        <v>0</v>
      </c>
      <c r="BG242" s="153">
        <f t="shared" si="257"/>
        <v>0</v>
      </c>
      <c r="BH242" s="153">
        <f t="shared" si="257"/>
        <v>0</v>
      </c>
      <c r="BI242" s="153">
        <f t="shared" si="257"/>
        <v>0</v>
      </c>
      <c r="BJ242" s="153">
        <f>SUM(BJ238:BJ241)</f>
        <v>0</v>
      </c>
      <c r="BL242" s="152">
        <f t="shared" si="252"/>
        <v>0</v>
      </c>
      <c r="BM242" s="152">
        <f t="shared" si="252"/>
        <v>0</v>
      </c>
      <c r="BN242" s="152">
        <f t="shared" si="252"/>
        <v>0</v>
      </c>
      <c r="BO242" s="152">
        <f t="shared" si="252"/>
        <v>0</v>
      </c>
      <c r="BP242" s="153">
        <f t="shared" ref="BP242:BW242" si="258">SUM(BP238:BP241)</f>
        <v>0</v>
      </c>
      <c r="BQ242" s="153">
        <f t="shared" si="258"/>
        <v>0</v>
      </c>
      <c r="BR242" s="153">
        <f t="shared" si="258"/>
        <v>0</v>
      </c>
      <c r="BS242" s="153">
        <f t="shared" si="258"/>
        <v>0</v>
      </c>
      <c r="BT242" s="153">
        <f t="shared" si="258"/>
        <v>0</v>
      </c>
      <c r="BU242" s="153">
        <f t="shared" si="258"/>
        <v>0</v>
      </c>
      <c r="BV242" s="153">
        <f t="shared" si="258"/>
        <v>0</v>
      </c>
      <c r="BW242" s="153">
        <f t="shared" si="258"/>
        <v>0</v>
      </c>
      <c r="BY242" s="12"/>
      <c r="BZ242" s="335"/>
      <c r="CA242" s="12"/>
      <c r="CB242" s="335"/>
      <c r="CC242" s="335"/>
      <c r="CD242" s="335"/>
      <c r="CE242" s="335"/>
      <c r="CM242" s="335"/>
      <c r="CN242" s="335"/>
      <c r="CO242" s="335"/>
      <c r="CP242" s="335"/>
      <c r="CR242" s="12"/>
      <c r="CS242" s="93">
        <f t="shared" si="256"/>
        <v>0</v>
      </c>
      <c r="CT242" s="93">
        <v>0</v>
      </c>
      <c r="CU242" s="93">
        <v>0</v>
      </c>
      <c r="EW242" s="335"/>
      <c r="EX242" s="13" t="str">
        <f>IF(C242="", "", CONCATENATE(D237, " ",D242))</f>
        <v>Loan 11 Closing Loan Balance</v>
      </c>
    </row>
    <row r="243" spans="1:154" s="67" customFormat="1" ht="6.6" customHeight="1" x14ac:dyDescent="0.25">
      <c r="C243" s="380"/>
      <c r="D243" s="1"/>
      <c r="S243" s="335"/>
      <c r="T243" s="25"/>
      <c r="U243" s="25"/>
      <c r="V243" s="229"/>
      <c r="W243" s="25"/>
      <c r="X243" s="25"/>
      <c r="Y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L243" s="25"/>
      <c r="BM243" s="155"/>
      <c r="BN243" s="25"/>
      <c r="BO243" s="25"/>
      <c r="BP243" s="25"/>
      <c r="BQ243" s="25"/>
      <c r="BR243" s="25"/>
      <c r="BS243" s="25"/>
      <c r="BT243" s="25"/>
      <c r="BU243" s="25"/>
      <c r="BV243" s="25"/>
      <c r="BW243" s="25"/>
      <c r="BY243" s="42"/>
      <c r="BZ243" s="335"/>
      <c r="CA243" s="42"/>
      <c r="CB243" s="335"/>
      <c r="CC243" s="335"/>
      <c r="CD243" s="335"/>
      <c r="CE243" s="335"/>
      <c r="CM243" s="335"/>
      <c r="CN243" s="335"/>
      <c r="CO243" s="335"/>
      <c r="CP243" s="335"/>
      <c r="CR243" s="42"/>
      <c r="CS243" s="93">
        <f t="shared" si="256"/>
        <v>0</v>
      </c>
      <c r="CT243" s="93">
        <v>0</v>
      </c>
      <c r="CU243" s="93">
        <v>0</v>
      </c>
      <c r="EW243" s="335"/>
      <c r="EX243" s="13" t="str">
        <f>IF(C243="", "", CONCATENATE(D237, " ",D243))</f>
        <v/>
      </c>
    </row>
    <row r="244" spans="1:154" s="67" customFormat="1" x14ac:dyDescent="0.25">
      <c r="A244" s="362" cm="1">
        <f t="array" aca="1" ref="A244" ca="1">HYPERLINK(CONCATENATE("#",CELL("address",IF(SUM($CA244:$CR244)=0,A244,INDEX($CA244:$CR244,MATCH(1,$CA244:$CR244,0))))),SUM($CA244:$CR244))</f>
        <v>0</v>
      </c>
      <c r="C244" s="380"/>
      <c r="D244" s="51" t="s">
        <v>526</v>
      </c>
      <c r="E244" s="160" t="s">
        <v>523</v>
      </c>
      <c r="F244" s="153">
        <f>$F$23</f>
        <v>0</v>
      </c>
      <c r="S244" s="335"/>
      <c r="T244" s="25"/>
      <c r="U244" s="25"/>
      <c r="V244" s="230">
        <f>IF(OR(V242&gt;$F244, V242&lt;0), 1, 0)</f>
        <v>0</v>
      </c>
      <c r="W244" s="154">
        <f>IF(OR(W242&gt;$F244, W242&lt;0), 1, 0)</f>
        <v>0</v>
      </c>
      <c r="X244" s="154">
        <f>IF(OR(X242&gt;$F244, X242&lt;0), 1, 0)</f>
        <v>0</v>
      </c>
      <c r="Y244" s="154">
        <f>IF(OR(Y242&gt;$F244, Y242&lt;0), 1, 0)</f>
        <v>0</v>
      </c>
      <c r="AA244" s="154">
        <f t="shared" ref="AA244:BJ244" si="259">IF(OR(AA242&gt;$F244, AA242&lt;0), 1, 0)</f>
        <v>0</v>
      </c>
      <c r="AB244" s="154">
        <f t="shared" si="259"/>
        <v>0</v>
      </c>
      <c r="AC244" s="154">
        <f t="shared" si="259"/>
        <v>0</v>
      </c>
      <c r="AD244" s="154">
        <f t="shared" si="259"/>
        <v>0</v>
      </c>
      <c r="AE244" s="154">
        <f t="shared" si="259"/>
        <v>0</v>
      </c>
      <c r="AF244" s="154">
        <f t="shared" si="259"/>
        <v>0</v>
      </c>
      <c r="AG244" s="154">
        <f t="shared" si="259"/>
        <v>0</v>
      </c>
      <c r="AH244" s="154">
        <f t="shared" si="259"/>
        <v>0</v>
      </c>
      <c r="AI244" s="154">
        <f t="shared" si="259"/>
        <v>0</v>
      </c>
      <c r="AJ244" s="154">
        <f t="shared" si="259"/>
        <v>0</v>
      </c>
      <c r="AK244" s="154">
        <f t="shared" si="259"/>
        <v>0</v>
      </c>
      <c r="AL244" s="154">
        <f t="shared" si="259"/>
        <v>0</v>
      </c>
      <c r="AM244" s="154">
        <f t="shared" si="259"/>
        <v>0</v>
      </c>
      <c r="AN244" s="154">
        <f t="shared" si="259"/>
        <v>0</v>
      </c>
      <c r="AO244" s="154">
        <f t="shared" si="259"/>
        <v>0</v>
      </c>
      <c r="AP244" s="154">
        <f t="shared" si="259"/>
        <v>0</v>
      </c>
      <c r="AQ244" s="154">
        <f t="shared" si="259"/>
        <v>0</v>
      </c>
      <c r="AR244" s="154">
        <f t="shared" si="259"/>
        <v>0</v>
      </c>
      <c r="AS244" s="154">
        <f t="shared" si="259"/>
        <v>0</v>
      </c>
      <c r="AT244" s="154">
        <f t="shared" si="259"/>
        <v>0</v>
      </c>
      <c r="AU244" s="154">
        <f t="shared" si="259"/>
        <v>0</v>
      </c>
      <c r="AV244" s="154">
        <f t="shared" si="259"/>
        <v>0</v>
      </c>
      <c r="AW244" s="154">
        <f t="shared" si="259"/>
        <v>0</v>
      </c>
      <c r="AX244" s="154">
        <f t="shared" si="259"/>
        <v>0</v>
      </c>
      <c r="AY244" s="154">
        <f t="shared" si="259"/>
        <v>0</v>
      </c>
      <c r="AZ244" s="154">
        <f t="shared" si="259"/>
        <v>0</v>
      </c>
      <c r="BA244" s="154">
        <f t="shared" si="259"/>
        <v>0</v>
      </c>
      <c r="BB244" s="154">
        <f t="shared" si="259"/>
        <v>0</v>
      </c>
      <c r="BC244" s="154">
        <f t="shared" si="259"/>
        <v>0</v>
      </c>
      <c r="BD244" s="154">
        <f t="shared" si="259"/>
        <v>0</v>
      </c>
      <c r="BE244" s="154">
        <f t="shared" si="259"/>
        <v>0</v>
      </c>
      <c r="BF244" s="154">
        <f t="shared" si="259"/>
        <v>0</v>
      </c>
      <c r="BG244" s="154">
        <f t="shared" si="259"/>
        <v>0</v>
      </c>
      <c r="BH244" s="154">
        <f t="shared" si="259"/>
        <v>0</v>
      </c>
      <c r="BI244" s="154">
        <f t="shared" si="259"/>
        <v>0</v>
      </c>
      <c r="BJ244" s="154">
        <f t="shared" si="259"/>
        <v>0</v>
      </c>
      <c r="BL244" s="154">
        <f t="shared" ref="BL244" si="260">IF(OR(BL242&gt;$F244, BL242&lt;0), 1, 0)</f>
        <v>0</v>
      </c>
      <c r="BM244" s="154">
        <f t="shared" ref="BM244:BW244" si="261">IF(OR(BM242&gt;$F244, BM242&lt;0), 1, 0)</f>
        <v>0</v>
      </c>
      <c r="BN244" s="154">
        <f t="shared" si="261"/>
        <v>0</v>
      </c>
      <c r="BO244" s="154">
        <f t="shared" si="261"/>
        <v>0</v>
      </c>
      <c r="BP244" s="154">
        <f t="shared" si="261"/>
        <v>0</v>
      </c>
      <c r="BQ244" s="154">
        <f t="shared" si="261"/>
        <v>0</v>
      </c>
      <c r="BR244" s="154">
        <f t="shared" si="261"/>
        <v>0</v>
      </c>
      <c r="BS244" s="154">
        <f t="shared" si="261"/>
        <v>0</v>
      </c>
      <c r="BT244" s="154">
        <f t="shared" si="261"/>
        <v>0</v>
      </c>
      <c r="BU244" s="154">
        <f t="shared" si="261"/>
        <v>0</v>
      </c>
      <c r="BV244" s="154">
        <f t="shared" si="261"/>
        <v>0</v>
      </c>
      <c r="BW244" s="154">
        <f t="shared" si="261"/>
        <v>0</v>
      </c>
      <c r="BY244" s="12"/>
      <c r="BZ244" s="335"/>
      <c r="CA244" s="12"/>
      <c r="CB244" s="335"/>
      <c r="CC244" s="335"/>
      <c r="CD244" s="335"/>
      <c r="CE244" s="335"/>
      <c r="CL244" s="7">
        <f>IF(MAX(V244:BW244)&gt;0, 1, 0)</f>
        <v>0</v>
      </c>
      <c r="CM244" s="335"/>
      <c r="CN244" s="335"/>
      <c r="CO244" s="335"/>
      <c r="CP244" s="335"/>
      <c r="CR244" s="12"/>
      <c r="CS244" s="93">
        <f t="shared" si="256"/>
        <v>1</v>
      </c>
      <c r="CT244" s="93">
        <v>0</v>
      </c>
      <c r="CU244" s="93">
        <v>0</v>
      </c>
      <c r="EW244" s="335"/>
      <c r="EX244" s="13" t="str">
        <f>IF(C244="", "", CONCATENATE(D237, " ",D244))</f>
        <v/>
      </c>
    </row>
    <row r="245" spans="1:154" s="67" customFormat="1" x14ac:dyDescent="0.25">
      <c r="A245" s="362" cm="1">
        <f t="array" aca="1" ref="A245" ca="1">HYPERLINK(CONCATENATE("#",CELL("address",IF(SUM($CA245:$CR245)=0,A245,INDEX($CA245:$CR245,MATCH(1,$CA245:$CR245,0))))),SUM($CA245:$CR245))</f>
        <v>0</v>
      </c>
      <c r="C245" s="380"/>
      <c r="D245" s="51" t="s">
        <v>220</v>
      </c>
      <c r="E245" s="160" t="s">
        <v>524</v>
      </c>
      <c r="F245" s="173" t="str">
        <f>IF($J$23="", "", $J$23)</f>
        <v/>
      </c>
      <c r="S245" s="335"/>
      <c r="T245" s="25"/>
      <c r="U245" s="25"/>
      <c r="V245" s="230">
        <f>IF(AND(V$5&gt;=$F245,SUM(V242:$Y242)&lt;&gt;0),1,0)</f>
        <v>0</v>
      </c>
      <c r="W245" s="230">
        <f>IF(AND(W$5&gt;=$F245,SUM(W242:$Y242)&lt;&gt;0),1,0)</f>
        <v>0</v>
      </c>
      <c r="X245" s="230">
        <f>IF(AND(X$5&gt;=$F245,SUM(X242:$Y242)&lt;&gt;0),1,0)</f>
        <v>0</v>
      </c>
      <c r="Y245" s="230">
        <f>IF(AND(Y$5&gt;=$F245,SUM(Y242:$Y242)&lt;&gt;0),1,0)</f>
        <v>0</v>
      </c>
      <c r="AA245" s="154">
        <f>IF(AND(AA$5&gt;=$F245,SUM(AA242:$BJ242)&lt;&gt;0),1,0)</f>
        <v>0</v>
      </c>
      <c r="AB245" s="154">
        <f>IF(AND(AB$5&gt;=$F245,SUM(AB242:$BJ242)&lt;&gt;0),1,0)</f>
        <v>0</v>
      </c>
      <c r="AC245" s="154">
        <f>IF(AND(AC$5&gt;=$F245,SUM(AC242:$BJ242)&lt;&gt;0),1,0)</f>
        <v>0</v>
      </c>
      <c r="AD245" s="154">
        <f>IF(AND(AD$5&gt;=$F245,SUM(AD242:$BJ242)&lt;&gt;0),1,0)</f>
        <v>0</v>
      </c>
      <c r="AE245" s="154">
        <f>IF(AND(AE$5&gt;=$F245,SUM(AE242:$BJ242)&lt;&gt;0),1,0)</f>
        <v>0</v>
      </c>
      <c r="AF245" s="154">
        <f>IF(AND(AF$5&gt;=$F245,SUM(AF242:$BJ242)&lt;&gt;0),1,0)</f>
        <v>0</v>
      </c>
      <c r="AG245" s="154">
        <f>IF(AND(AG$5&gt;=$F245,SUM(AG242:$BJ242)&lt;&gt;0),1,0)</f>
        <v>0</v>
      </c>
      <c r="AH245" s="154">
        <f>IF(AND(AH$5&gt;=$F245,SUM(AH242:$BJ242)&lt;&gt;0),1,0)</f>
        <v>0</v>
      </c>
      <c r="AI245" s="154">
        <f>IF(AND(AI$5&gt;=$F245,SUM(AI242:$BJ242)&lt;&gt;0),1,0)</f>
        <v>0</v>
      </c>
      <c r="AJ245" s="154">
        <f>IF(AND(AJ$5&gt;=$F245,SUM(AJ242:$BJ242)&lt;&gt;0),1,0)</f>
        <v>0</v>
      </c>
      <c r="AK245" s="154">
        <f>IF(AND(AK$5&gt;=$F245,SUM(AK242:$BJ242)&lt;&gt;0),1,0)</f>
        <v>0</v>
      </c>
      <c r="AL245" s="154">
        <f>IF(AND(AL$5&gt;=$F245,SUM(AL242:$BJ242)&lt;&gt;0),1,0)</f>
        <v>0</v>
      </c>
      <c r="AM245" s="154">
        <f>IF(AND(AM$5&gt;=$F245,SUM(AM242:$BJ242)&lt;&gt;0),1,0)</f>
        <v>0</v>
      </c>
      <c r="AN245" s="154">
        <f>IF(AND(AN$5&gt;=$F245,SUM(AN242:$BJ242)&lt;&gt;0),1,0)</f>
        <v>0</v>
      </c>
      <c r="AO245" s="154">
        <f>IF(AND(AO$5&gt;=$F245,SUM(AO242:$BJ242)&lt;&gt;0),1,0)</f>
        <v>0</v>
      </c>
      <c r="AP245" s="154">
        <f>IF(AND(AP$5&gt;=$F245,SUM(AP242:$BJ242)&lt;&gt;0),1,0)</f>
        <v>0</v>
      </c>
      <c r="AQ245" s="154">
        <f>IF(AND(AQ$5&gt;=$F245,SUM(AQ242:$BJ242)&lt;&gt;0),1,0)</f>
        <v>0</v>
      </c>
      <c r="AR245" s="154">
        <f>IF(AND(AR$5&gt;=$F245,SUM(AR242:$BJ242)&lt;&gt;0),1,0)</f>
        <v>0</v>
      </c>
      <c r="AS245" s="154">
        <f>IF(AND(AS$5&gt;=$F245,SUM(AS242:$BJ242)&lt;&gt;0),1,0)</f>
        <v>0</v>
      </c>
      <c r="AT245" s="154">
        <f>IF(AND(AT$5&gt;=$F245,SUM(AT242:$BJ242)&lt;&gt;0),1,0)</f>
        <v>0</v>
      </c>
      <c r="AU245" s="154">
        <f>IF(AND(AU$5&gt;=$F245,SUM(AU242:$BJ242)&lt;&gt;0),1,0)</f>
        <v>0</v>
      </c>
      <c r="AV245" s="154">
        <f>IF(AND(AV$5&gt;=$F245,SUM(AV242:$BJ242)&lt;&gt;0),1,0)</f>
        <v>0</v>
      </c>
      <c r="AW245" s="154">
        <f>IF(AND(AW$5&gt;=$F245,SUM(AW242:$BJ242)&lt;&gt;0),1,0)</f>
        <v>0</v>
      </c>
      <c r="AX245" s="154">
        <f>IF(AND(AX$5&gt;=$F245,SUM(AX242:$BJ242)&lt;&gt;0),1,0)</f>
        <v>0</v>
      </c>
      <c r="AY245" s="154">
        <f>IF(AND(AY$5&gt;=$F245,SUM(AY242:$BJ242)&lt;&gt;0),1,0)</f>
        <v>0</v>
      </c>
      <c r="AZ245" s="154">
        <f>IF(AND(AZ$5&gt;=$F245,SUM(AZ242:$BJ242)&lt;&gt;0),1,0)</f>
        <v>0</v>
      </c>
      <c r="BA245" s="154">
        <f>IF(AND(BA$5&gt;=$F245,SUM(BA242:$BJ242)&lt;&gt;0),1,0)</f>
        <v>0</v>
      </c>
      <c r="BB245" s="154">
        <f>IF(AND(BB$5&gt;=$F245,SUM(BB242:$BJ242)&lt;&gt;0),1,0)</f>
        <v>0</v>
      </c>
      <c r="BC245" s="154">
        <f>IF(AND(BC$5&gt;=$F245,SUM(BC242:$BJ242)&lt;&gt;0),1,0)</f>
        <v>0</v>
      </c>
      <c r="BD245" s="154">
        <f>IF(AND(BD$5&gt;=$F245,SUM(BD242:$BJ242)&lt;&gt;0),1,0)</f>
        <v>0</v>
      </c>
      <c r="BE245" s="154">
        <f>IF(AND(BE$5&gt;=$F245,SUM(BE242:$BJ242)&lt;&gt;0),1,0)</f>
        <v>0</v>
      </c>
      <c r="BF245" s="154">
        <f>IF(AND(BF$5&gt;=$F245,SUM(BF242:$BJ242)&lt;&gt;0),1,0)</f>
        <v>0</v>
      </c>
      <c r="BG245" s="154">
        <f>IF(AND(BG$5&gt;=$F245,SUM(BG242:$BJ242)&lt;&gt;0),1,0)</f>
        <v>0</v>
      </c>
      <c r="BH245" s="154">
        <f>IF(AND(BH$5&gt;=$F245,SUM(BH242:$BJ242)&lt;&gt;0),1,0)</f>
        <v>0</v>
      </c>
      <c r="BI245" s="154">
        <f>IF(AND(BI$5&gt;=$F245,SUM(BI242:$BJ242)&lt;&gt;0),1,0)</f>
        <v>0</v>
      </c>
      <c r="BJ245" s="154">
        <f>IF(AND(BJ$5&gt;=$F245,SUM(BJ242:$BJ242)&lt;&gt;0),1,0)</f>
        <v>0</v>
      </c>
      <c r="BL245" s="154">
        <f>IF(AND(BL$5&gt;=$F245,SUM(BL242:$BW242)&lt;&gt;0),1,0)*BL$1150</f>
        <v>0</v>
      </c>
      <c r="BM245" s="154">
        <f>IF(AND(BM$5&gt;=$F245,SUM(BM242:$BW242)&lt;&gt;0),1,0)*BM$1150</f>
        <v>0</v>
      </c>
      <c r="BN245" s="154">
        <f>IF(AND(BN$5&gt;=$F245,SUM(BN242:$BW242)&lt;&gt;0),1,0)*BN$1150</f>
        <v>0</v>
      </c>
      <c r="BO245" s="154">
        <f>IF(AND(BO$5&gt;=$F245,SUM(BO242:$BW242)&lt;&gt;0),1,0)*BO$1150</f>
        <v>0</v>
      </c>
      <c r="BP245" s="154">
        <f>IF(AND(BP$5&gt;=$F245,SUM(BP242:$BW242)&lt;&gt;0),1,0)*BP$1150</f>
        <v>0</v>
      </c>
      <c r="BQ245" s="154">
        <f>IF(AND(BQ$5&gt;=$F245,SUM(BQ242:$BW242)&lt;&gt;0),1,0)*BQ$1150</f>
        <v>0</v>
      </c>
      <c r="BR245" s="154">
        <f>IF(AND(BR$5&gt;=$F245,SUM(BR242:$BW242)&lt;&gt;0),1,0)*BR$1150</f>
        <v>0</v>
      </c>
      <c r="BS245" s="154">
        <f>IF(AND(BS$5&gt;=$F245,SUM(BS242:$BW242)&lt;&gt;0),1,0)*BS$1150</f>
        <v>0</v>
      </c>
      <c r="BT245" s="154">
        <f>IF(AND(BT$5&gt;=$F245,SUM(BT242:$BW242)&lt;&gt;0),1,0)*BT$1150</f>
        <v>0</v>
      </c>
      <c r="BU245" s="154">
        <f>IF(AND(BU$5&gt;=$F245,SUM(BU242:$BW242)&lt;&gt;0),1,0)*BU$1150</f>
        <v>0</v>
      </c>
      <c r="BV245" s="154">
        <f>IF(AND(BV$5&gt;=$F245,SUM(BV242:$BW242)&lt;&gt;0),1,0)*BV$1150</f>
        <v>0</v>
      </c>
      <c r="BW245" s="154">
        <f>IF(AND(BW$5&gt;=$F245,SUM(BW242:$BW242)&lt;&gt;0),1,0)*BW$1150</f>
        <v>0</v>
      </c>
      <c r="BY245" s="12"/>
      <c r="BZ245" s="335"/>
      <c r="CA245" s="12"/>
      <c r="CB245" s="335"/>
      <c r="CC245" s="335"/>
      <c r="CD245" s="335"/>
      <c r="CE245" s="335"/>
      <c r="CL245" s="7">
        <f>IF(MAX($V245:$BW245)&gt;0, 1, 0)</f>
        <v>0</v>
      </c>
      <c r="CM245" s="335"/>
      <c r="CN245" s="335"/>
      <c r="CO245" s="335"/>
      <c r="CP245" s="335"/>
      <c r="CR245" s="12"/>
      <c r="CS245" s="93">
        <f t="shared" si="256"/>
        <v>1</v>
      </c>
      <c r="CT245" s="93">
        <v>0</v>
      </c>
      <c r="CU245" s="93">
        <v>0</v>
      </c>
      <c r="EW245" s="335"/>
      <c r="EX245" s="13" t="str">
        <f>IF(C245="", "", CONCATENATE(D237, " ",D245))</f>
        <v/>
      </c>
    </row>
    <row r="246" spans="1:154" s="67" customFormat="1" ht="6.6" customHeight="1" x14ac:dyDescent="0.25">
      <c r="C246" s="380"/>
      <c r="D246" s="1"/>
      <c r="S246" s="335"/>
      <c r="T246" s="25"/>
      <c r="U246" s="25"/>
      <c r="V246" s="229"/>
      <c r="W246" s="25"/>
      <c r="X246" s="25"/>
      <c r="Y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L246" s="25"/>
      <c r="BM246" s="155"/>
      <c r="BN246" s="25"/>
      <c r="BO246" s="25"/>
      <c r="BP246" s="25"/>
      <c r="BQ246" s="25"/>
      <c r="BR246" s="25"/>
      <c r="BS246" s="25"/>
      <c r="BT246" s="25"/>
      <c r="BU246" s="25"/>
      <c r="BV246" s="25"/>
      <c r="BW246" s="25"/>
      <c r="BY246" s="42"/>
      <c r="BZ246" s="335"/>
      <c r="CA246" s="42"/>
      <c r="CB246" s="335"/>
      <c r="CC246" s="335"/>
      <c r="CD246" s="335"/>
      <c r="CE246" s="335"/>
      <c r="CM246" s="335"/>
      <c r="CN246" s="335"/>
      <c r="CO246" s="335"/>
      <c r="CP246" s="335"/>
      <c r="CR246" s="42"/>
      <c r="CS246" s="93">
        <f t="shared" si="256"/>
        <v>0</v>
      </c>
      <c r="CT246" s="93">
        <v>0</v>
      </c>
      <c r="CU246" s="93">
        <v>0</v>
      </c>
      <c r="EW246" s="335"/>
      <c r="EX246" s="13" t="str">
        <f>IF(C246="", "", CONCATENATE(D237, " ",D246))</f>
        <v/>
      </c>
    </row>
    <row r="247" spans="1:154" s="67" customFormat="1" x14ac:dyDescent="0.25">
      <c r="C247" s="380"/>
      <c r="D247" s="51" t="s">
        <v>223</v>
      </c>
      <c r="E247" s="1"/>
      <c r="G247" s="9" t="s">
        <v>413</v>
      </c>
      <c r="H247" s="50" t="s">
        <v>8</v>
      </c>
      <c r="S247" s="335"/>
      <c r="T247" s="25"/>
      <c r="U247" s="25"/>
      <c r="V247" s="222"/>
      <c r="W247" s="201">
        <f>V250</f>
        <v>0</v>
      </c>
      <c r="X247" s="201">
        <f>W250</f>
        <v>0</v>
      </c>
      <c r="Y247" s="10">
        <f>X250</f>
        <v>0</v>
      </c>
      <c r="AA247" s="13">
        <f>W247</f>
        <v>0</v>
      </c>
      <c r="AB247" s="153">
        <f t="shared" ref="AB247:BJ247" si="262">AA250</f>
        <v>0</v>
      </c>
      <c r="AC247" s="153">
        <f t="shared" si="262"/>
        <v>0</v>
      </c>
      <c r="AD247" s="153">
        <f t="shared" si="262"/>
        <v>0</v>
      </c>
      <c r="AE247" s="153">
        <f t="shared" si="262"/>
        <v>0</v>
      </c>
      <c r="AF247" s="153">
        <f t="shared" si="262"/>
        <v>0</v>
      </c>
      <c r="AG247" s="153">
        <f t="shared" si="262"/>
        <v>0</v>
      </c>
      <c r="AH247" s="153">
        <f t="shared" si="262"/>
        <v>0</v>
      </c>
      <c r="AI247" s="153">
        <f t="shared" si="262"/>
        <v>0</v>
      </c>
      <c r="AJ247" s="153">
        <f t="shared" si="262"/>
        <v>0</v>
      </c>
      <c r="AK247" s="153">
        <f t="shared" si="262"/>
        <v>0</v>
      </c>
      <c r="AL247" s="153">
        <f t="shared" si="262"/>
        <v>0</v>
      </c>
      <c r="AM247" s="153">
        <f t="shared" si="262"/>
        <v>0</v>
      </c>
      <c r="AN247" s="153">
        <f t="shared" si="262"/>
        <v>0</v>
      </c>
      <c r="AO247" s="153">
        <f t="shared" si="262"/>
        <v>0</v>
      </c>
      <c r="AP247" s="153">
        <f t="shared" si="262"/>
        <v>0</v>
      </c>
      <c r="AQ247" s="153">
        <f t="shared" si="262"/>
        <v>0</v>
      </c>
      <c r="AR247" s="153">
        <f t="shared" si="262"/>
        <v>0</v>
      </c>
      <c r="AS247" s="153">
        <f t="shared" si="262"/>
        <v>0</v>
      </c>
      <c r="AT247" s="153">
        <f t="shared" si="262"/>
        <v>0</v>
      </c>
      <c r="AU247" s="153">
        <f t="shared" si="262"/>
        <v>0</v>
      </c>
      <c r="AV247" s="153">
        <f t="shared" si="262"/>
        <v>0</v>
      </c>
      <c r="AW247" s="153">
        <f t="shared" si="262"/>
        <v>0</v>
      </c>
      <c r="AX247" s="153">
        <f t="shared" si="262"/>
        <v>0</v>
      </c>
      <c r="AY247" s="153">
        <f t="shared" si="262"/>
        <v>0</v>
      </c>
      <c r="AZ247" s="153">
        <f t="shared" si="262"/>
        <v>0</v>
      </c>
      <c r="BA247" s="153">
        <f t="shared" si="262"/>
        <v>0</v>
      </c>
      <c r="BB247" s="153">
        <f t="shared" si="262"/>
        <v>0</v>
      </c>
      <c r="BC247" s="153">
        <f t="shared" si="262"/>
        <v>0</v>
      </c>
      <c r="BD247" s="153">
        <f t="shared" si="262"/>
        <v>0</v>
      </c>
      <c r="BE247" s="153">
        <f t="shared" si="262"/>
        <v>0</v>
      </c>
      <c r="BF247" s="153">
        <f t="shared" si="262"/>
        <v>0</v>
      </c>
      <c r="BG247" s="153">
        <f t="shared" si="262"/>
        <v>0</v>
      </c>
      <c r="BH247" s="153">
        <f t="shared" si="262"/>
        <v>0</v>
      </c>
      <c r="BI247" s="153">
        <f t="shared" si="262"/>
        <v>0</v>
      </c>
      <c r="BJ247" s="153">
        <f t="shared" si="262"/>
        <v>0</v>
      </c>
      <c r="BL247" s="152">
        <f t="shared" ref="BL247:BO250" si="263">V247</f>
        <v>0</v>
      </c>
      <c r="BM247" s="152">
        <f t="shared" si="263"/>
        <v>0</v>
      </c>
      <c r="BN247" s="152">
        <f t="shared" si="263"/>
        <v>0</v>
      </c>
      <c r="BO247" s="152">
        <f t="shared" si="263"/>
        <v>0</v>
      </c>
      <c r="BP247" s="153">
        <f t="shared" ref="BP247:BW247" si="264">BO250</f>
        <v>0</v>
      </c>
      <c r="BQ247" s="153">
        <f t="shared" si="264"/>
        <v>0</v>
      </c>
      <c r="BR247" s="153">
        <f t="shared" si="264"/>
        <v>0</v>
      </c>
      <c r="BS247" s="153">
        <f t="shared" si="264"/>
        <v>0</v>
      </c>
      <c r="BT247" s="153">
        <f t="shared" si="264"/>
        <v>0</v>
      </c>
      <c r="BU247" s="153">
        <f t="shared" si="264"/>
        <v>0</v>
      </c>
      <c r="BV247" s="153">
        <f t="shared" si="264"/>
        <v>0</v>
      </c>
      <c r="BW247" s="153">
        <f t="shared" si="264"/>
        <v>0</v>
      </c>
      <c r="BY247" s="12"/>
      <c r="BZ247" s="335"/>
      <c r="CA247" s="12"/>
      <c r="CB247" s="335"/>
      <c r="CC247" s="335"/>
      <c r="CD247" s="335"/>
      <c r="CE247" s="335"/>
      <c r="CM247" s="335"/>
      <c r="CN247" s="335"/>
      <c r="CO247" s="335"/>
      <c r="CP247" s="335"/>
      <c r="CR247" s="12"/>
      <c r="CS247" s="93">
        <f t="shared" si="256"/>
        <v>0</v>
      </c>
      <c r="CT247" s="93">
        <v>1</v>
      </c>
      <c r="CU247" s="93">
        <v>0</v>
      </c>
      <c r="EW247" s="335"/>
      <c r="EX247" s="13" t="str">
        <f>IF(C247="", "", CONCATENATE(D237, " ",D247))</f>
        <v/>
      </c>
    </row>
    <row r="248" spans="1:154" s="5" customFormat="1" ht="15.75" x14ac:dyDescent="0.3">
      <c r="A248" s="362" cm="1">
        <f t="array" aca="1" ref="A248" ca="1">HYPERLINK(CONCATENATE("#",CELL("address",IF(SUM($CA248:$CR248)=0,A248,INDEX($CA248:$CR248,MATCH(1,$CA248:$CR248,0))))),SUM($CA248:$CR248))</f>
        <v>0</v>
      </c>
      <c r="B248" s="105" t="s">
        <v>335</v>
      </c>
      <c r="C248" s="380"/>
      <c r="D248" s="51" t="s">
        <v>234</v>
      </c>
      <c r="E248" s="1"/>
      <c r="F248" s="25"/>
      <c r="G248" s="9" t="s">
        <v>413</v>
      </c>
      <c r="H248" s="50" t="s">
        <v>125</v>
      </c>
      <c r="I248" s="67"/>
      <c r="J248" s="67"/>
      <c r="K248" s="67"/>
      <c r="L248" s="67"/>
      <c r="M248" s="67"/>
      <c r="N248" s="67"/>
      <c r="O248" s="67"/>
      <c r="P248" s="67"/>
      <c r="Q248" s="67"/>
      <c r="R248" s="67"/>
      <c r="S248" s="335"/>
      <c r="T248" s="25"/>
      <c r="U248" s="25"/>
      <c r="V248" s="222"/>
      <c r="W248" s="215">
        <f t="shared" ref="W248:Y249" si="265" xml:space="preserve"> SUMIFS($AA248:$BJ248, $AA$3:$BJ$3, W$3)</f>
        <v>0</v>
      </c>
      <c r="X248" s="215">
        <f t="shared" si="265"/>
        <v>0</v>
      </c>
      <c r="Y248" s="215">
        <f t="shared" si="265"/>
        <v>0</v>
      </c>
      <c r="Z248" s="67"/>
      <c r="AA248" s="147"/>
      <c r="AB248" s="147"/>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c r="BI248" s="147"/>
      <c r="BJ248" s="147"/>
      <c r="BK248" s="67"/>
      <c r="BL248" s="152">
        <f t="shared" si="263"/>
        <v>0</v>
      </c>
      <c r="BM248" s="152">
        <f t="shared" si="263"/>
        <v>0</v>
      </c>
      <c r="BN248" s="152">
        <f t="shared" si="263"/>
        <v>0</v>
      </c>
      <c r="BO248" s="152">
        <f t="shared" si="263"/>
        <v>0</v>
      </c>
      <c r="BP248" s="156"/>
      <c r="BQ248" s="156"/>
      <c r="BR248" s="156"/>
      <c r="BS248" s="156"/>
      <c r="BT248" s="156"/>
      <c r="BU248" s="156"/>
      <c r="BV248" s="156"/>
      <c r="BW248" s="156"/>
      <c r="BX248" s="67"/>
      <c r="BY248" s="12"/>
      <c r="BZ248" s="395">
        <f>IF(MIN($V248:$BW248)&lt;0, 1, 0)</f>
        <v>0</v>
      </c>
      <c r="CA248" s="12"/>
      <c r="CB248" s="335"/>
      <c r="CC248" s="335"/>
      <c r="CD248" s="335"/>
      <c r="CE248" s="335"/>
      <c r="CF248" s="67"/>
      <c r="CG248" s="67"/>
      <c r="CH248" s="67"/>
      <c r="CI248" s="67"/>
      <c r="CJ248" s="67"/>
      <c r="CK248" s="67"/>
      <c r="CL248" s="67"/>
      <c r="CM248" s="7">
        <f t="shared" ref="CM248:CO249" si="266">IF(ROUND(W248-SUMIFS($AA248:$BJ248, $AA$3:$BJ$3, W$3), rounding)=0, 0, 1)</f>
        <v>0</v>
      </c>
      <c r="CN248" s="7">
        <f t="shared" si="266"/>
        <v>0</v>
      </c>
      <c r="CO248" s="7">
        <f t="shared" si="266"/>
        <v>0</v>
      </c>
      <c r="CP248" s="7">
        <f>IF(ROUND(V248-BL248, rounding)=0, 0, 1)*'BS Forecasts'!$V$10</f>
        <v>0</v>
      </c>
      <c r="CQ248" s="67"/>
      <c r="CR248" s="12"/>
      <c r="CS248" s="93">
        <f t="shared" si="256"/>
        <v>0</v>
      </c>
      <c r="CT248" s="93">
        <v>1</v>
      </c>
      <c r="CU248" s="93">
        <v>1</v>
      </c>
      <c r="EX248" s="13" t="str">
        <f>IF(C248="", "", CONCATENATE(D237, " ",D248))</f>
        <v/>
      </c>
    </row>
    <row r="249" spans="1:154" s="67" customFormat="1" ht="15.75" x14ac:dyDescent="0.3">
      <c r="A249" s="362" cm="1">
        <f t="array" aca="1" ref="A249" ca="1">HYPERLINK(CONCATENATE("#",CELL("address",IF(SUM($CA249:$CR249)=0,A249,INDEX($CA249:$CR249,MATCH(1,$CA249:$CR249,0))))),SUM($CA249:$CR249))</f>
        <v>0</v>
      </c>
      <c r="B249" s="105" t="s">
        <v>335</v>
      </c>
      <c r="C249" s="380"/>
      <c r="D249" s="51" t="s">
        <v>222</v>
      </c>
      <c r="E249" s="1"/>
      <c r="G249" s="9" t="s">
        <v>413</v>
      </c>
      <c r="H249" s="50" t="s">
        <v>157</v>
      </c>
      <c r="S249" s="335"/>
      <c r="T249" s="25"/>
      <c r="U249" s="25"/>
      <c r="V249" s="222"/>
      <c r="W249" s="215">
        <f t="shared" si="265"/>
        <v>0</v>
      </c>
      <c r="X249" s="215">
        <f t="shared" si="265"/>
        <v>0</v>
      </c>
      <c r="Y249" s="215">
        <f t="shared" si="265"/>
        <v>0</v>
      </c>
      <c r="AA249" s="147"/>
      <c r="AB249" s="147"/>
      <c r="AC249" s="147"/>
      <c r="AD249" s="147"/>
      <c r="AE249" s="147"/>
      <c r="AF249" s="147"/>
      <c r="AG249" s="147"/>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c r="BI249" s="147"/>
      <c r="BJ249" s="147"/>
      <c r="BL249" s="152">
        <f t="shared" si="263"/>
        <v>0</v>
      </c>
      <c r="BM249" s="152">
        <f t="shared" si="263"/>
        <v>0</v>
      </c>
      <c r="BN249" s="152">
        <f t="shared" si="263"/>
        <v>0</v>
      </c>
      <c r="BO249" s="152">
        <f t="shared" si="263"/>
        <v>0</v>
      </c>
      <c r="BP249" s="156"/>
      <c r="BQ249" s="156"/>
      <c r="BR249" s="156"/>
      <c r="BS249" s="156"/>
      <c r="BT249" s="156"/>
      <c r="BU249" s="156"/>
      <c r="BV249" s="156"/>
      <c r="BW249" s="156"/>
      <c r="BY249" s="12"/>
      <c r="BZ249" s="395">
        <f>IF(MAX($V249:$BW249)&gt;0, 1, 0)</f>
        <v>0</v>
      </c>
      <c r="CA249" s="12"/>
      <c r="CB249" s="335"/>
      <c r="CC249" s="335"/>
      <c r="CD249" s="335"/>
      <c r="CE249" s="335"/>
      <c r="CM249" s="7">
        <f t="shared" si="266"/>
        <v>0</v>
      </c>
      <c r="CN249" s="7">
        <f t="shared" si="266"/>
        <v>0</v>
      </c>
      <c r="CO249" s="7">
        <f t="shared" si="266"/>
        <v>0</v>
      </c>
      <c r="CP249" s="7">
        <f>IF(ROUND(V249-BL249, rounding)=0, 0, 1)*'BS Forecasts'!$V$10</f>
        <v>0</v>
      </c>
      <c r="CR249" s="12"/>
      <c r="CS249" s="93">
        <f t="shared" si="256"/>
        <v>0</v>
      </c>
      <c r="CT249" s="93">
        <v>1</v>
      </c>
      <c r="CU249" s="93">
        <v>1</v>
      </c>
      <c r="EW249" s="335"/>
      <c r="EX249" s="13" t="str">
        <f>IF(C249="", "", CONCATENATE(D237, " ",D249))</f>
        <v/>
      </c>
    </row>
    <row r="250" spans="1:154" s="67" customFormat="1" x14ac:dyDescent="0.25">
      <c r="C250" s="380"/>
      <c r="D250" s="51" t="s">
        <v>224</v>
      </c>
      <c r="E250" s="1"/>
      <c r="F250" s="25"/>
      <c r="G250" s="9" t="s">
        <v>413</v>
      </c>
      <c r="H250" s="50" t="s">
        <v>8</v>
      </c>
      <c r="S250" s="335"/>
      <c r="T250" s="25"/>
      <c r="U250" s="25"/>
      <c r="V250" s="13">
        <f>$H$23</f>
        <v>0</v>
      </c>
      <c r="W250" s="153">
        <f>SUM(W247:W249)</f>
        <v>0</v>
      </c>
      <c r="X250" s="153">
        <f>SUM(X247:X249)</f>
        <v>0</v>
      </c>
      <c r="Y250" s="153">
        <f>SUM(Y247:Y249)</f>
        <v>0</v>
      </c>
      <c r="AA250" s="153">
        <f t="shared" ref="AA250:BJ250" si="267">SUM(AA247:AA249)</f>
        <v>0</v>
      </c>
      <c r="AB250" s="153">
        <f t="shared" si="267"/>
        <v>0</v>
      </c>
      <c r="AC250" s="153">
        <f t="shared" si="267"/>
        <v>0</v>
      </c>
      <c r="AD250" s="153">
        <f t="shared" si="267"/>
        <v>0</v>
      </c>
      <c r="AE250" s="153">
        <f t="shared" si="267"/>
        <v>0</v>
      </c>
      <c r="AF250" s="153">
        <f t="shared" si="267"/>
        <v>0</v>
      </c>
      <c r="AG250" s="153">
        <f t="shared" si="267"/>
        <v>0</v>
      </c>
      <c r="AH250" s="153">
        <f t="shared" si="267"/>
        <v>0</v>
      </c>
      <c r="AI250" s="153">
        <f t="shared" si="267"/>
        <v>0</v>
      </c>
      <c r="AJ250" s="153">
        <f t="shared" si="267"/>
        <v>0</v>
      </c>
      <c r="AK250" s="153">
        <f t="shared" si="267"/>
        <v>0</v>
      </c>
      <c r="AL250" s="153">
        <f t="shared" si="267"/>
        <v>0</v>
      </c>
      <c r="AM250" s="153">
        <f t="shared" si="267"/>
        <v>0</v>
      </c>
      <c r="AN250" s="153">
        <f t="shared" si="267"/>
        <v>0</v>
      </c>
      <c r="AO250" s="153">
        <f t="shared" si="267"/>
        <v>0</v>
      </c>
      <c r="AP250" s="153">
        <f t="shared" si="267"/>
        <v>0</v>
      </c>
      <c r="AQ250" s="153">
        <f t="shared" si="267"/>
        <v>0</v>
      </c>
      <c r="AR250" s="153">
        <f t="shared" si="267"/>
        <v>0</v>
      </c>
      <c r="AS250" s="153">
        <f t="shared" si="267"/>
        <v>0</v>
      </c>
      <c r="AT250" s="153">
        <f t="shared" si="267"/>
        <v>0</v>
      </c>
      <c r="AU250" s="153">
        <f t="shared" si="267"/>
        <v>0</v>
      </c>
      <c r="AV250" s="153">
        <f t="shared" si="267"/>
        <v>0</v>
      </c>
      <c r="AW250" s="153">
        <f t="shared" si="267"/>
        <v>0</v>
      </c>
      <c r="AX250" s="153">
        <f t="shared" si="267"/>
        <v>0</v>
      </c>
      <c r="AY250" s="153">
        <f t="shared" si="267"/>
        <v>0</v>
      </c>
      <c r="AZ250" s="153">
        <f t="shared" si="267"/>
        <v>0</v>
      </c>
      <c r="BA250" s="153">
        <f t="shared" si="267"/>
        <v>0</v>
      </c>
      <c r="BB250" s="153">
        <f t="shared" si="267"/>
        <v>0</v>
      </c>
      <c r="BC250" s="153">
        <f t="shared" si="267"/>
        <v>0</v>
      </c>
      <c r="BD250" s="153">
        <f t="shared" si="267"/>
        <v>0</v>
      </c>
      <c r="BE250" s="153">
        <f t="shared" si="267"/>
        <v>0</v>
      </c>
      <c r="BF250" s="153">
        <f t="shared" si="267"/>
        <v>0</v>
      </c>
      <c r="BG250" s="153">
        <f t="shared" si="267"/>
        <v>0</v>
      </c>
      <c r="BH250" s="153">
        <f t="shared" si="267"/>
        <v>0</v>
      </c>
      <c r="BI250" s="153">
        <f t="shared" si="267"/>
        <v>0</v>
      </c>
      <c r="BJ250" s="153">
        <f t="shared" si="267"/>
        <v>0</v>
      </c>
      <c r="BL250" s="152">
        <f t="shared" si="263"/>
        <v>0</v>
      </c>
      <c r="BM250" s="152">
        <f t="shared" si="263"/>
        <v>0</v>
      </c>
      <c r="BN250" s="152">
        <f t="shared" si="263"/>
        <v>0</v>
      </c>
      <c r="BO250" s="152">
        <f t="shared" si="263"/>
        <v>0</v>
      </c>
      <c r="BP250" s="153">
        <f t="shared" ref="BP250:BW250" si="268">SUM(BP247:BP249)</f>
        <v>0</v>
      </c>
      <c r="BQ250" s="153">
        <f t="shared" si="268"/>
        <v>0</v>
      </c>
      <c r="BR250" s="153">
        <f t="shared" si="268"/>
        <v>0</v>
      </c>
      <c r="BS250" s="153">
        <f t="shared" si="268"/>
        <v>0</v>
      </c>
      <c r="BT250" s="153">
        <f t="shared" si="268"/>
        <v>0</v>
      </c>
      <c r="BU250" s="153">
        <f t="shared" si="268"/>
        <v>0</v>
      </c>
      <c r="BV250" s="153">
        <f t="shared" si="268"/>
        <v>0</v>
      </c>
      <c r="BW250" s="153">
        <f t="shared" si="268"/>
        <v>0</v>
      </c>
      <c r="BY250" s="12"/>
      <c r="BZ250" s="335"/>
      <c r="CA250" s="12"/>
      <c r="CB250" s="335"/>
      <c r="CC250" s="335"/>
      <c r="CD250" s="335"/>
      <c r="CE250" s="335"/>
      <c r="CM250" s="335"/>
      <c r="CN250" s="335"/>
      <c r="CO250" s="335"/>
      <c r="CP250" s="335"/>
      <c r="CR250" s="12"/>
      <c r="CS250" s="93">
        <f t="shared" si="256"/>
        <v>0</v>
      </c>
      <c r="CT250" s="93">
        <v>0</v>
      </c>
      <c r="CU250" s="93">
        <v>0</v>
      </c>
      <c r="EW250" s="335"/>
      <c r="EX250" s="13" t="str">
        <f>IF(C250="", "", CONCATENATE(D237, " ",D250))</f>
        <v/>
      </c>
    </row>
    <row r="251" spans="1:154" s="67" customFormat="1" ht="6.6" customHeight="1" x14ac:dyDescent="0.25">
      <c r="C251" s="380"/>
      <c r="D251" s="1"/>
      <c r="F251" s="25"/>
      <c r="S251" s="335"/>
      <c r="T251" s="25"/>
      <c r="U251" s="25"/>
      <c r="V251" s="93"/>
      <c r="BM251" s="6"/>
      <c r="BY251" s="42"/>
      <c r="BZ251" s="335"/>
      <c r="CA251" s="42"/>
      <c r="CB251" s="335"/>
      <c r="CC251" s="335"/>
      <c r="CD251" s="335"/>
      <c r="CE251" s="335"/>
      <c r="CM251" s="335"/>
      <c r="CN251" s="335"/>
      <c r="CO251" s="335"/>
      <c r="CP251" s="335"/>
      <c r="CR251" s="42"/>
      <c r="CS251" s="93">
        <f t="shared" si="256"/>
        <v>0</v>
      </c>
      <c r="CT251" s="93">
        <v>0</v>
      </c>
      <c r="CU251" s="93">
        <v>0</v>
      </c>
      <c r="EW251" s="335"/>
      <c r="EX251" s="13" t="str">
        <f>IF(C251="", "", CONCATENATE(D237, " ",D251))</f>
        <v/>
      </c>
    </row>
    <row r="252" spans="1:154" s="5" customFormat="1" x14ac:dyDescent="0.25">
      <c r="A252" s="362" cm="1">
        <f t="array" aca="1" ref="A252" ca="1">HYPERLINK(CONCATENATE("#",CELL("address",IF(SUM($CA252:$CR252)=0,A252,INDEX($CA252:$CR252,MATCH(1,$CA252:$CR252,0))))),SUM($CA252:$CR252))</f>
        <v>0</v>
      </c>
      <c r="B252" s="335"/>
      <c r="C252" s="340" t="s">
        <v>1283</v>
      </c>
      <c r="D252" s="41" t="s">
        <v>1569</v>
      </c>
      <c r="E252" s="35"/>
      <c r="F252" s="25"/>
      <c r="G252" s="174" t="s">
        <v>413</v>
      </c>
      <c r="H252" s="171" t="s">
        <v>125</v>
      </c>
      <c r="I252" s="25"/>
      <c r="J252" s="25"/>
      <c r="K252" s="25"/>
      <c r="L252" s="25"/>
      <c r="M252" s="25"/>
      <c r="N252" s="25"/>
      <c r="O252" s="25"/>
      <c r="P252" s="25"/>
      <c r="Q252" s="25"/>
      <c r="R252" s="25"/>
      <c r="S252" s="335"/>
      <c r="T252" s="25"/>
      <c r="U252" s="25"/>
      <c r="V252" s="222"/>
      <c r="W252" s="215">
        <f xml:space="preserve"> SUMIFS($AA252:$BJ252, $AA$3:$BJ$3, W$3)</f>
        <v>0</v>
      </c>
      <c r="X252" s="215">
        <f xml:space="preserve"> SUMIFS($AA252:$BJ252, $AA$3:$BJ$3, X$3)</f>
        <v>0</v>
      </c>
      <c r="Y252" s="215">
        <f xml:space="preserve"> SUMIFS($AA252:$BJ252, $AA$3:$BJ$3, Y$3)</f>
        <v>0</v>
      </c>
      <c r="Z252" s="335"/>
      <c r="AA252" s="147"/>
      <c r="AB252" s="147"/>
      <c r="AC252" s="147"/>
      <c r="AD252" s="147"/>
      <c r="AE252" s="147"/>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c r="BI252" s="147"/>
      <c r="BJ252" s="147"/>
      <c r="BK252" s="335"/>
      <c r="BL252" s="152">
        <f>V252</f>
        <v>0</v>
      </c>
      <c r="BM252" s="152">
        <f>W252</f>
        <v>0</v>
      </c>
      <c r="BN252" s="152">
        <f>X252</f>
        <v>0</v>
      </c>
      <c r="BO252" s="152">
        <f>Y252</f>
        <v>0</v>
      </c>
      <c r="BP252" s="141"/>
      <c r="BQ252" s="141"/>
      <c r="BR252" s="141"/>
      <c r="BS252" s="141"/>
      <c r="BT252" s="141"/>
      <c r="BU252" s="141"/>
      <c r="BV252" s="141"/>
      <c r="BW252" s="141"/>
      <c r="BX252" s="335"/>
      <c r="BY252" s="12"/>
      <c r="BZ252" s="395">
        <f>IF(MIN($V252:$BW252)&lt;0, 1, 0)</f>
        <v>0</v>
      </c>
      <c r="CA252" s="12"/>
      <c r="CB252" s="335"/>
      <c r="CC252" s="335"/>
      <c r="CD252" s="335"/>
      <c r="CE252" s="335"/>
      <c r="CF252" s="335"/>
      <c r="CG252" s="335"/>
      <c r="CH252" s="335"/>
      <c r="CI252" s="335"/>
      <c r="CJ252" s="335"/>
      <c r="CK252" s="335"/>
      <c r="CL252" s="335"/>
      <c r="CM252" s="7">
        <f>IF(ROUND(W252-SUMIFS($AA252:$BJ252, $AA$3:$BJ$3, W$3), rounding)=0, 0, 1)</f>
        <v>0</v>
      </c>
      <c r="CN252" s="7">
        <f>IF(ROUND(X252-SUMIFS($AA252:$BJ252, $AA$3:$BJ$3, X$3), rounding)=0, 0, 1)</f>
        <v>0</v>
      </c>
      <c r="CO252" s="7">
        <f>IF(ROUND(Y252-SUMIFS($AA252:$BJ252, $AA$3:$BJ$3, Y$3), rounding)=0, 0, 1)</f>
        <v>0</v>
      </c>
      <c r="CP252" s="7">
        <f>IF(ROUND(V252-BL252, rounding)=0, 0, 1)*'BS Forecasts'!$V$10</f>
        <v>0</v>
      </c>
      <c r="CQ252" s="335"/>
      <c r="CR252" s="12"/>
      <c r="CS252" s="93">
        <f t="shared" si="256"/>
        <v>0</v>
      </c>
      <c r="CT252" s="93">
        <v>1</v>
      </c>
      <c r="CU252" s="93">
        <v>1</v>
      </c>
      <c r="EX252" s="13" t="str">
        <f>IF(C252="", "", CONCATENATE(D237, " ",D252))</f>
        <v>Loan 11 Early Repayment Fee</v>
      </c>
    </row>
    <row r="253" spans="1:154" s="335" customFormat="1" ht="6.6" customHeight="1" x14ac:dyDescent="0.25">
      <c r="C253" s="380"/>
      <c r="D253" s="1"/>
      <c r="T253" s="25"/>
      <c r="U253" s="25"/>
      <c r="V253" s="93"/>
      <c r="BM253" s="6"/>
      <c r="BY253" s="42"/>
      <c r="CA253" s="42"/>
      <c r="CR253" s="42"/>
      <c r="CS253" s="93">
        <f t="shared" si="256"/>
        <v>0</v>
      </c>
      <c r="CT253" s="93">
        <v>0</v>
      </c>
      <c r="CU253" s="93">
        <v>0</v>
      </c>
      <c r="EX253" s="13" t="str">
        <f>IF(C253="", "", CONCATENATE(D237, " ",D253))</f>
        <v/>
      </c>
    </row>
    <row r="254" spans="1:154" s="335" customFormat="1" ht="15.75" x14ac:dyDescent="0.3">
      <c r="A254" s="362" cm="1">
        <f t="array" aca="1" ref="A254" ca="1">HYPERLINK(CONCATENATE("#",CELL("address",IF(SUM($CA254:$CR254)=0,A254,INDEX($CA254:$CR254,MATCH(1,$CA254:$CR254,0))))),SUM($CA254:$CR254))</f>
        <v>0</v>
      </c>
      <c r="B254" s="105" t="s">
        <v>335</v>
      </c>
      <c r="D254" s="51" t="s">
        <v>1630</v>
      </c>
      <c r="E254" s="220" t="str">
        <f>IF(I$23="", "", I$23)</f>
        <v/>
      </c>
      <c r="F254" s="220" t="str">
        <f>IF(J$23="", "", J$23)</f>
        <v/>
      </c>
      <c r="T254" s="25"/>
      <c r="U254" s="25"/>
      <c r="V254" s="230">
        <f>IF(AND(OR( V$5&gt;$F254, Timeline!V$8&lt;Loans!$E254), Loans!V252&lt;&gt;0), 1, 0)</f>
        <v>0</v>
      </c>
      <c r="W254" s="230">
        <f>IF(AND(OR( W$5&gt;$F254, Timeline!W$8&lt;Loans!$E254), Loans!W252&lt;&gt;0), 1, 0)</f>
        <v>0</v>
      </c>
      <c r="X254" s="230">
        <f>IF(AND(OR( X$5&gt;$F254, Timeline!X$8&lt;Loans!$E254), Loans!X252&lt;&gt;0), 1, 0)</f>
        <v>0</v>
      </c>
      <c r="Y254" s="230">
        <f>IF(AND(OR( Y$5&gt;$F254, Timeline!Y$8&lt;Loans!$E254), Loans!Y252&lt;&gt;0), 1, 0)</f>
        <v>0</v>
      </c>
      <c r="AA254" s="230">
        <f>IF(AND(OR( AA$5&gt;$F254, Timeline!AA$8&lt;Loans!$E254), Loans!AA252&lt;&gt;0), 1, 0)</f>
        <v>0</v>
      </c>
      <c r="AB254" s="230">
        <f>IF(AND(OR( AB$5&gt;$F254, Timeline!AB$8&lt;Loans!$E254), Loans!AB252&lt;&gt;0), 1, 0)</f>
        <v>0</v>
      </c>
      <c r="AC254" s="230">
        <f>IF(AND(OR( AC$5&gt;$F254, Timeline!AC$8&lt;Loans!$E254), Loans!AC252&lt;&gt;0), 1, 0)</f>
        <v>0</v>
      </c>
      <c r="AD254" s="230">
        <f>IF(AND(OR( AD$5&gt;$F254, Timeline!AD$8&lt;Loans!$E254), Loans!AD252&lt;&gt;0), 1, 0)</f>
        <v>0</v>
      </c>
      <c r="AE254" s="230">
        <f>IF(AND(OR( AE$5&gt;$F254, Timeline!AE$8&lt;Loans!$E254), Loans!AE252&lt;&gt;0), 1, 0)</f>
        <v>0</v>
      </c>
      <c r="AF254" s="230">
        <f>IF(AND(OR( AF$5&gt;$F254, Timeline!AF$8&lt;Loans!$E254), Loans!AF252&lt;&gt;0), 1, 0)</f>
        <v>0</v>
      </c>
      <c r="AG254" s="230">
        <f>IF(AND(OR( AG$5&gt;$F254, Timeline!AG$8&lt;Loans!$E254), Loans!AG252&lt;&gt;0), 1, 0)</f>
        <v>0</v>
      </c>
      <c r="AH254" s="230">
        <f>IF(AND(OR( AH$5&gt;$F254, Timeline!AH$8&lt;Loans!$E254), Loans!AH252&lt;&gt;0), 1, 0)</f>
        <v>0</v>
      </c>
      <c r="AI254" s="230">
        <f>IF(AND(OR( AI$5&gt;$F254, Timeline!AI$8&lt;Loans!$E254), Loans!AI252&lt;&gt;0), 1, 0)</f>
        <v>0</v>
      </c>
      <c r="AJ254" s="230">
        <f>IF(AND(OR( AJ$5&gt;$F254, Timeline!AJ$8&lt;Loans!$E254), Loans!AJ252&lt;&gt;0), 1, 0)</f>
        <v>0</v>
      </c>
      <c r="AK254" s="230">
        <f>IF(AND(OR( AK$5&gt;$F254, Timeline!AK$8&lt;Loans!$E254), Loans!AK252&lt;&gt;0), 1, 0)</f>
        <v>0</v>
      </c>
      <c r="AL254" s="230">
        <f>IF(AND(OR( AL$5&gt;$F254, Timeline!AL$8&lt;Loans!$E254), Loans!AL252&lt;&gt;0), 1, 0)</f>
        <v>0</v>
      </c>
      <c r="AM254" s="230">
        <f>IF(AND(OR( AM$5&gt;$F254, Timeline!AM$8&lt;Loans!$E254), Loans!AM252&lt;&gt;0), 1, 0)</f>
        <v>0</v>
      </c>
      <c r="AN254" s="230">
        <f>IF(AND(OR( AN$5&gt;$F254, Timeline!AN$8&lt;Loans!$E254), Loans!AN252&lt;&gt;0), 1, 0)</f>
        <v>0</v>
      </c>
      <c r="AO254" s="230">
        <f>IF(AND(OR( AO$5&gt;$F254, Timeline!AO$8&lt;Loans!$E254), Loans!AO252&lt;&gt;0), 1, 0)</f>
        <v>0</v>
      </c>
      <c r="AP254" s="230">
        <f>IF(AND(OR( AP$5&gt;$F254, Timeline!AP$8&lt;Loans!$E254), Loans!AP252&lt;&gt;0), 1, 0)</f>
        <v>0</v>
      </c>
      <c r="AQ254" s="230">
        <f>IF(AND(OR( AQ$5&gt;$F254, Timeline!AQ$8&lt;Loans!$E254), Loans!AQ252&lt;&gt;0), 1, 0)</f>
        <v>0</v>
      </c>
      <c r="AR254" s="230">
        <f>IF(AND(OR( AR$5&gt;$F254, Timeline!AR$8&lt;Loans!$E254), Loans!AR252&lt;&gt;0), 1, 0)</f>
        <v>0</v>
      </c>
      <c r="AS254" s="230">
        <f>IF(AND(OR( AS$5&gt;$F254, Timeline!AS$8&lt;Loans!$E254), Loans!AS252&lt;&gt;0), 1, 0)</f>
        <v>0</v>
      </c>
      <c r="AT254" s="230">
        <f>IF(AND(OR( AT$5&gt;$F254, Timeline!AT$8&lt;Loans!$E254), Loans!AT252&lt;&gt;0), 1, 0)</f>
        <v>0</v>
      </c>
      <c r="AU254" s="230">
        <f>IF(AND(OR( AU$5&gt;$F254, Timeline!AU$8&lt;Loans!$E254), Loans!AU252&lt;&gt;0), 1, 0)</f>
        <v>0</v>
      </c>
      <c r="AV254" s="230">
        <f>IF(AND(OR( AV$5&gt;$F254, Timeline!AV$8&lt;Loans!$E254), Loans!AV252&lt;&gt;0), 1, 0)</f>
        <v>0</v>
      </c>
      <c r="AW254" s="230">
        <f>IF(AND(OR( AW$5&gt;$F254, Timeline!AW$8&lt;Loans!$E254), Loans!AW252&lt;&gt;0), 1, 0)</f>
        <v>0</v>
      </c>
      <c r="AX254" s="230">
        <f>IF(AND(OR( AX$5&gt;$F254, Timeline!AX$8&lt;Loans!$E254), Loans!AX252&lt;&gt;0), 1, 0)</f>
        <v>0</v>
      </c>
      <c r="AY254" s="230">
        <f>IF(AND(OR( AY$5&gt;$F254, Timeline!AY$8&lt;Loans!$E254), Loans!AY252&lt;&gt;0), 1, 0)</f>
        <v>0</v>
      </c>
      <c r="AZ254" s="230">
        <f>IF(AND(OR( AZ$5&gt;$F254, Timeline!AZ$8&lt;Loans!$E254), Loans!AZ252&lt;&gt;0), 1, 0)</f>
        <v>0</v>
      </c>
      <c r="BA254" s="230">
        <f>IF(AND(OR( BA$5&gt;$F254, Timeline!BA$8&lt;Loans!$E254), Loans!BA252&lt;&gt;0), 1, 0)</f>
        <v>0</v>
      </c>
      <c r="BB254" s="230">
        <f>IF(AND(OR( BB$5&gt;$F254, Timeline!BB$8&lt;Loans!$E254), Loans!BB252&lt;&gt;0), 1, 0)</f>
        <v>0</v>
      </c>
      <c r="BC254" s="230">
        <f>IF(AND(OR( BC$5&gt;$F254, Timeline!BC$8&lt;Loans!$E254), Loans!BC252&lt;&gt;0), 1, 0)</f>
        <v>0</v>
      </c>
      <c r="BD254" s="230">
        <f>IF(AND(OR( BD$5&gt;$F254, Timeline!BD$8&lt;Loans!$E254), Loans!BD252&lt;&gt;0), 1, 0)</f>
        <v>0</v>
      </c>
      <c r="BE254" s="230">
        <f>IF(AND(OR( BE$5&gt;$F254, Timeline!BE$8&lt;Loans!$E254), Loans!BE252&lt;&gt;0), 1, 0)</f>
        <v>0</v>
      </c>
      <c r="BF254" s="230">
        <f>IF(AND(OR( BF$5&gt;$F254, Timeline!BF$8&lt;Loans!$E254), Loans!BF252&lt;&gt;0), 1, 0)</f>
        <v>0</v>
      </c>
      <c r="BG254" s="230">
        <f>IF(AND(OR( BG$5&gt;$F254, Timeline!BG$8&lt;Loans!$E254), Loans!BG252&lt;&gt;0), 1, 0)</f>
        <v>0</v>
      </c>
      <c r="BH254" s="230">
        <f>IF(AND(OR( BH$5&gt;$F254, Timeline!BH$8&lt;Loans!$E254), Loans!BH252&lt;&gt;0), 1, 0)</f>
        <v>0</v>
      </c>
      <c r="BI254" s="230">
        <f>IF(AND(OR( BI$5&gt;$F254, Timeline!BI$8&lt;Loans!$E254), Loans!BI252&lt;&gt;0), 1, 0)</f>
        <v>0</v>
      </c>
      <c r="BJ254" s="230">
        <f>IF(AND(OR( BJ$5&gt;$F254, Timeline!BJ$8&lt;Loans!$E254), Loans!BJ252&lt;&gt;0), 1, 0)</f>
        <v>0</v>
      </c>
      <c r="BL254" s="230">
        <f>IF(AND(OR( BL$5&gt;$F254, Timeline!BL$8&lt;Loans!$E254), Loans!BL252&lt;&gt;0), 1, 0)</f>
        <v>0</v>
      </c>
      <c r="BM254" s="230">
        <f>IF(AND(OR( BM$5&gt;$F254, Timeline!BM$8&lt;Loans!$E254), Loans!BM252&lt;&gt;0), 1, 0)</f>
        <v>0</v>
      </c>
      <c r="BN254" s="230">
        <f>IF(AND(OR( BN$5&gt;$F254, Timeline!BN$8&lt;Loans!$E254), Loans!BN252&lt;&gt;0), 1, 0)</f>
        <v>0</v>
      </c>
      <c r="BO254" s="230">
        <f>IF(AND(OR( BO$5&gt;$F254, Timeline!BO$8&lt;Loans!$E254), Loans!BO252&lt;&gt;0), 1, 0)</f>
        <v>0</v>
      </c>
      <c r="BP254" s="230">
        <f>IF(AND(OR( BP$5&gt;$F254, Timeline!BP$8&lt;Loans!$E254), Loans!BP252&lt;&gt;0), 1, 0)</f>
        <v>0</v>
      </c>
      <c r="BQ254" s="230">
        <f>IF(AND(OR( BQ$5&gt;$F254, Timeline!BQ$8&lt;Loans!$E254), Loans!BQ252&lt;&gt;0), 1, 0)</f>
        <v>0</v>
      </c>
      <c r="BR254" s="230">
        <f>IF(AND(OR( BR$5&gt;$F254, Timeline!BR$8&lt;Loans!$E254), Loans!BR252&lt;&gt;0), 1, 0)</f>
        <v>0</v>
      </c>
      <c r="BS254" s="230">
        <f>IF(AND(OR( BS$5&gt;$F254, Timeline!BS$8&lt;Loans!$E254), Loans!BS252&lt;&gt;0), 1, 0)</f>
        <v>0</v>
      </c>
      <c r="BT254" s="230">
        <f>IF(AND(OR( BT$5&gt;$F254, Timeline!BT$8&lt;Loans!$E254), Loans!BT252&lt;&gt;0), 1, 0)</f>
        <v>0</v>
      </c>
      <c r="BU254" s="230">
        <f>IF(AND(OR( BU$5&gt;$F254, Timeline!BU$8&lt;Loans!$E254), Loans!BU252&lt;&gt;0), 1, 0)</f>
        <v>0</v>
      </c>
      <c r="BV254" s="230">
        <f>IF(AND(OR( BV$5&gt;$F254, Timeline!BV$8&lt;Loans!$E254), Loans!BV252&lt;&gt;0), 1, 0)</f>
        <v>0</v>
      </c>
      <c r="BW254" s="230">
        <f>IF(AND(OR( BW$5&gt;$F254, Timeline!BW$8&lt;Loans!$E254), Loans!BW252&lt;&gt;0), 1, 0)</f>
        <v>0</v>
      </c>
      <c r="BY254" s="12"/>
      <c r="CA254" s="12"/>
      <c r="CL254" s="7">
        <f>IF(MAX($V254:$BW254)&gt;0, 1, 0)</f>
        <v>0</v>
      </c>
      <c r="CR254" s="12"/>
      <c r="CS254" s="93">
        <f t="shared" si="256"/>
        <v>1</v>
      </c>
      <c r="CT254" s="93">
        <v>0</v>
      </c>
      <c r="CU254" s="93">
        <v>0</v>
      </c>
      <c r="EX254" s="13" t="str">
        <f>IF(C254="", "", CONCATENATE(D237, " ",D254))</f>
        <v/>
      </c>
    </row>
    <row r="255" spans="1:154" s="335" customFormat="1" ht="6.6" customHeight="1" x14ac:dyDescent="0.25">
      <c r="C255" s="380"/>
      <c r="D255" s="1"/>
      <c r="T255" s="25"/>
      <c r="U255" s="25"/>
      <c r="V255" s="93"/>
      <c r="BM255" s="6"/>
      <c r="BY255" s="42"/>
      <c r="CA255" s="42"/>
      <c r="CR255" s="42"/>
      <c r="CS255" s="93">
        <f t="shared" si="256"/>
        <v>0</v>
      </c>
      <c r="CT255" s="93">
        <v>0</v>
      </c>
      <c r="CU255" s="93">
        <v>0</v>
      </c>
      <c r="EX255" s="10" t="str">
        <f t="shared" ref="EX255" si="269">IF($C255="","",$D255)</f>
        <v/>
      </c>
    </row>
    <row r="256" spans="1:154" s="67" customFormat="1" x14ac:dyDescent="0.25">
      <c r="A256" s="64"/>
      <c r="C256" s="380"/>
      <c r="D256" s="64" t="s">
        <v>201</v>
      </c>
      <c r="E256" s="64"/>
      <c r="F256" s="64"/>
      <c r="G256" s="64"/>
      <c r="H256" s="64"/>
      <c r="I256" s="64"/>
      <c r="L256" s="64"/>
      <c r="M256" s="64"/>
      <c r="N256" s="64"/>
      <c r="O256" s="64"/>
      <c r="P256" s="64"/>
      <c r="Q256" s="64"/>
      <c r="S256" s="335"/>
      <c r="T256" s="25"/>
      <c r="U256" s="25"/>
      <c r="V256" s="93"/>
      <c r="BY256" s="12"/>
      <c r="BZ256" s="335"/>
      <c r="CA256" s="12"/>
      <c r="CB256" s="335"/>
      <c r="CC256" s="335"/>
      <c r="CD256" s="335"/>
      <c r="CE256" s="335"/>
      <c r="CM256" s="335"/>
      <c r="CN256" s="335"/>
      <c r="CO256" s="335"/>
      <c r="CP256" s="335"/>
      <c r="CR256" s="12"/>
      <c r="CS256" s="93">
        <f t="shared" si="256"/>
        <v>0</v>
      </c>
      <c r="CT256" s="93">
        <v>0</v>
      </c>
      <c r="CU256" s="93">
        <v>0</v>
      </c>
      <c r="EW256" s="335"/>
      <c r="EX256" s="10" t="str">
        <f t="shared" si="232"/>
        <v/>
      </c>
    </row>
    <row r="257" spans="1:154" s="67" customFormat="1" x14ac:dyDescent="0.25">
      <c r="C257" s="340" t="s">
        <v>1384</v>
      </c>
      <c r="D257" s="51" t="s">
        <v>230</v>
      </c>
      <c r="E257" s="1"/>
      <c r="G257" s="9" t="s">
        <v>413</v>
      </c>
      <c r="H257" s="50" t="s">
        <v>8</v>
      </c>
      <c r="S257" s="335"/>
      <c r="T257" s="25"/>
      <c r="U257" s="25"/>
      <c r="V257" s="210"/>
      <c r="W257" s="201">
        <f>V261</f>
        <v>0</v>
      </c>
      <c r="X257" s="201">
        <f>W261</f>
        <v>0</v>
      </c>
      <c r="Y257" s="10">
        <f>X261</f>
        <v>0</v>
      </c>
      <c r="AA257" s="13">
        <f>W257</f>
        <v>0</v>
      </c>
      <c r="AB257" s="10">
        <f t="shared" ref="AB257:BJ257" si="270">AA261</f>
        <v>0</v>
      </c>
      <c r="AC257" s="10">
        <f t="shared" si="270"/>
        <v>0</v>
      </c>
      <c r="AD257" s="10">
        <f t="shared" si="270"/>
        <v>0</v>
      </c>
      <c r="AE257" s="10">
        <f t="shared" si="270"/>
        <v>0</v>
      </c>
      <c r="AF257" s="10">
        <f t="shared" si="270"/>
        <v>0</v>
      </c>
      <c r="AG257" s="10">
        <f t="shared" si="270"/>
        <v>0</v>
      </c>
      <c r="AH257" s="10">
        <f t="shared" si="270"/>
        <v>0</v>
      </c>
      <c r="AI257" s="10">
        <f t="shared" si="270"/>
        <v>0</v>
      </c>
      <c r="AJ257" s="10">
        <f t="shared" si="270"/>
        <v>0</v>
      </c>
      <c r="AK257" s="10">
        <f t="shared" si="270"/>
        <v>0</v>
      </c>
      <c r="AL257" s="10">
        <f t="shared" si="270"/>
        <v>0</v>
      </c>
      <c r="AM257" s="10">
        <f t="shared" si="270"/>
        <v>0</v>
      </c>
      <c r="AN257" s="10">
        <f t="shared" si="270"/>
        <v>0</v>
      </c>
      <c r="AO257" s="10">
        <f t="shared" si="270"/>
        <v>0</v>
      </c>
      <c r="AP257" s="10">
        <f t="shared" si="270"/>
        <v>0</v>
      </c>
      <c r="AQ257" s="10">
        <f t="shared" si="270"/>
        <v>0</v>
      </c>
      <c r="AR257" s="10">
        <f t="shared" si="270"/>
        <v>0</v>
      </c>
      <c r="AS257" s="10">
        <f t="shared" si="270"/>
        <v>0</v>
      </c>
      <c r="AT257" s="10">
        <f t="shared" si="270"/>
        <v>0</v>
      </c>
      <c r="AU257" s="10">
        <f t="shared" si="270"/>
        <v>0</v>
      </c>
      <c r="AV257" s="10">
        <f t="shared" si="270"/>
        <v>0</v>
      </c>
      <c r="AW257" s="10">
        <f t="shared" si="270"/>
        <v>0</v>
      </c>
      <c r="AX257" s="10">
        <f t="shared" si="270"/>
        <v>0</v>
      </c>
      <c r="AY257" s="10">
        <f t="shared" si="270"/>
        <v>0</v>
      </c>
      <c r="AZ257" s="10">
        <f t="shared" si="270"/>
        <v>0</v>
      </c>
      <c r="BA257" s="10">
        <f t="shared" si="270"/>
        <v>0</v>
      </c>
      <c r="BB257" s="10">
        <f t="shared" si="270"/>
        <v>0</v>
      </c>
      <c r="BC257" s="10">
        <f t="shared" si="270"/>
        <v>0</v>
      </c>
      <c r="BD257" s="10">
        <f t="shared" si="270"/>
        <v>0</v>
      </c>
      <c r="BE257" s="10">
        <f t="shared" si="270"/>
        <v>0</v>
      </c>
      <c r="BF257" s="10">
        <f t="shared" si="270"/>
        <v>0</v>
      </c>
      <c r="BG257" s="10">
        <f t="shared" si="270"/>
        <v>0</v>
      </c>
      <c r="BH257" s="10">
        <f t="shared" si="270"/>
        <v>0</v>
      </c>
      <c r="BI257" s="10">
        <f t="shared" si="270"/>
        <v>0</v>
      </c>
      <c r="BJ257" s="10">
        <f t="shared" si="270"/>
        <v>0</v>
      </c>
      <c r="BL257" s="13">
        <f t="shared" ref="BL257:BO261" si="271">V257</f>
        <v>0</v>
      </c>
      <c r="BM257" s="13">
        <f t="shared" si="271"/>
        <v>0</v>
      </c>
      <c r="BN257" s="13">
        <f t="shared" si="271"/>
        <v>0</v>
      </c>
      <c r="BO257" s="13">
        <f t="shared" si="271"/>
        <v>0</v>
      </c>
      <c r="BP257" s="10">
        <f t="shared" ref="BP257:BW257" si="272">BO261</f>
        <v>0</v>
      </c>
      <c r="BQ257" s="10">
        <f t="shared" si="272"/>
        <v>0</v>
      </c>
      <c r="BR257" s="10">
        <f t="shared" si="272"/>
        <v>0</v>
      </c>
      <c r="BS257" s="10">
        <f t="shared" si="272"/>
        <v>0</v>
      </c>
      <c r="BT257" s="10">
        <f t="shared" si="272"/>
        <v>0</v>
      </c>
      <c r="BU257" s="10">
        <f t="shared" si="272"/>
        <v>0</v>
      </c>
      <c r="BV257" s="10">
        <f t="shared" si="272"/>
        <v>0</v>
      </c>
      <c r="BW257" s="10">
        <f t="shared" si="272"/>
        <v>0</v>
      </c>
      <c r="BY257" s="12"/>
      <c r="BZ257" s="335"/>
      <c r="CA257" s="12"/>
      <c r="CB257" s="335"/>
      <c r="CC257" s="335"/>
      <c r="CD257" s="335"/>
      <c r="CE257" s="335"/>
      <c r="CM257" s="335"/>
      <c r="CN257" s="335"/>
      <c r="CO257" s="335"/>
      <c r="CP257" s="335"/>
      <c r="CR257" s="12"/>
      <c r="CS257" s="93">
        <f t="shared" si="256"/>
        <v>0</v>
      </c>
      <c r="CT257" s="93">
        <v>1</v>
      </c>
      <c r="CU257" s="93">
        <v>0</v>
      </c>
      <c r="EW257" s="335"/>
      <c r="EX257" s="13" t="str">
        <f>IF(C257="", "", CONCATENATE(D256, " ",D257))</f>
        <v>Loan 12 Opening Loan Balance</v>
      </c>
    </row>
    <row r="258" spans="1:154" s="5" customFormat="1" x14ac:dyDescent="0.25">
      <c r="A258" s="362" cm="1">
        <f t="array" aca="1" ref="A258" ca="1">HYPERLINK(CONCATENATE("#",CELL("address",IF(SUM($CA258:$CR258)=0,A258,INDEX($CA258:$CR258,MATCH(1,$CA258:$CR258,0))))),SUM($CA258:$CR258))</f>
        <v>0</v>
      </c>
      <c r="B258" s="67"/>
      <c r="C258" s="340" t="s">
        <v>1253</v>
      </c>
      <c r="D258" s="51" t="s">
        <v>219</v>
      </c>
      <c r="E258" s="1"/>
      <c r="F258" s="67"/>
      <c r="G258" s="9" t="s">
        <v>413</v>
      </c>
      <c r="H258" s="50" t="s">
        <v>125</v>
      </c>
      <c r="I258" s="67"/>
      <c r="J258" s="67"/>
      <c r="K258" s="67"/>
      <c r="L258" s="67"/>
      <c r="M258" s="67"/>
      <c r="N258" s="67"/>
      <c r="O258" s="67"/>
      <c r="P258" s="67"/>
      <c r="Q258" s="67"/>
      <c r="R258" s="67"/>
      <c r="S258" s="335"/>
      <c r="T258" s="25"/>
      <c r="U258" s="25"/>
      <c r="V258" s="210"/>
      <c r="W258" s="215">
        <f t="shared" ref="W258:Y260" si="273" xml:space="preserve"> SUMIFS($AA258:$BJ258, $AA$3:$BJ$3, W$3)</f>
        <v>0</v>
      </c>
      <c r="X258" s="215">
        <f t="shared" si="273"/>
        <v>0</v>
      </c>
      <c r="Y258" s="215">
        <f t="shared" si="273"/>
        <v>0</v>
      </c>
      <c r="Z258" s="67"/>
      <c r="AA258" s="147"/>
      <c r="AB258" s="147"/>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c r="BI258" s="147"/>
      <c r="BJ258" s="147"/>
      <c r="BK258" s="67"/>
      <c r="BL258" s="13">
        <f t="shared" si="271"/>
        <v>0</v>
      </c>
      <c r="BM258" s="13">
        <f t="shared" si="271"/>
        <v>0</v>
      </c>
      <c r="BN258" s="13">
        <f t="shared" si="271"/>
        <v>0</v>
      </c>
      <c r="BO258" s="13">
        <f t="shared" si="271"/>
        <v>0</v>
      </c>
      <c r="BP258" s="141"/>
      <c r="BQ258" s="141"/>
      <c r="BR258" s="141"/>
      <c r="BS258" s="141"/>
      <c r="BT258" s="141"/>
      <c r="BU258" s="141"/>
      <c r="BV258" s="141"/>
      <c r="BW258" s="141"/>
      <c r="BX258" s="67"/>
      <c r="BY258" s="12"/>
      <c r="BZ258" s="395">
        <f>IF(MIN($V258:$BW258)&lt;0, 1, 0)</f>
        <v>0</v>
      </c>
      <c r="CA258" s="12"/>
      <c r="CB258" s="335"/>
      <c r="CC258" s="335"/>
      <c r="CD258" s="335"/>
      <c r="CE258" s="335"/>
      <c r="CF258" s="67"/>
      <c r="CG258" s="67"/>
      <c r="CH258" s="67"/>
      <c r="CI258" s="67"/>
      <c r="CJ258" s="67"/>
      <c r="CK258" s="67"/>
      <c r="CL258" s="67"/>
      <c r="CM258" s="7">
        <f t="shared" ref="CM258:CO260" si="274">IF(ROUND(W258-SUMIFS($AA258:$BJ258, $AA$3:$BJ$3, W$3), rounding)=0, 0, 1)</f>
        <v>0</v>
      </c>
      <c r="CN258" s="7">
        <f t="shared" si="274"/>
        <v>0</v>
      </c>
      <c r="CO258" s="7">
        <f t="shared" si="274"/>
        <v>0</v>
      </c>
      <c r="CP258" s="7">
        <f>IF(ROUND(V258-BL258, rounding)=0, 0, 1)*'BS Forecasts'!$V$10</f>
        <v>0</v>
      </c>
      <c r="CQ258" s="67"/>
      <c r="CR258" s="12"/>
      <c r="CS258" s="93">
        <f t="shared" si="256"/>
        <v>0</v>
      </c>
      <c r="CT258" s="93">
        <v>1</v>
      </c>
      <c r="CU258" s="93">
        <v>1</v>
      </c>
      <c r="EX258" s="13" t="str">
        <f>IF(C258="", "", CONCATENATE(D256, " ",D258))</f>
        <v>Loan 12 Drawdowns</v>
      </c>
    </row>
    <row r="259" spans="1:154" s="67" customFormat="1" x14ac:dyDescent="0.25">
      <c r="A259" s="362" cm="1">
        <f t="array" aca="1" ref="A259" ca="1">HYPERLINK(CONCATENATE("#",CELL("address",IF(SUM($CA259:$CR259)=0,A259,INDEX($CA259:$CR259,MATCH(1,$CA259:$CR259,0))))),SUM($CA259:$CR259))</f>
        <v>0</v>
      </c>
      <c r="C259" s="340" t="s">
        <v>1254</v>
      </c>
      <c r="D259" s="41" t="s">
        <v>1570</v>
      </c>
      <c r="E259" s="1"/>
      <c r="G259" s="9" t="s">
        <v>413</v>
      </c>
      <c r="H259" s="50" t="s">
        <v>157</v>
      </c>
      <c r="S259" s="335"/>
      <c r="T259" s="25"/>
      <c r="U259" s="25"/>
      <c r="V259" s="210"/>
      <c r="W259" s="215">
        <f t="shared" si="273"/>
        <v>0</v>
      </c>
      <c r="X259" s="215">
        <f t="shared" si="273"/>
        <v>0</v>
      </c>
      <c r="Y259" s="215">
        <f t="shared" si="273"/>
        <v>0</v>
      </c>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c r="BI259" s="147"/>
      <c r="BJ259" s="147"/>
      <c r="BL259" s="13">
        <f t="shared" si="271"/>
        <v>0</v>
      </c>
      <c r="BM259" s="13">
        <f t="shared" si="271"/>
        <v>0</v>
      </c>
      <c r="BN259" s="13">
        <f t="shared" si="271"/>
        <v>0</v>
      </c>
      <c r="BO259" s="13">
        <f t="shared" si="271"/>
        <v>0</v>
      </c>
      <c r="BP259" s="141"/>
      <c r="BQ259" s="141"/>
      <c r="BR259" s="141"/>
      <c r="BS259" s="141"/>
      <c r="BT259" s="141"/>
      <c r="BU259" s="141"/>
      <c r="BV259" s="141"/>
      <c r="BW259" s="141"/>
      <c r="BY259" s="12"/>
      <c r="BZ259" s="395">
        <f>IF(MAX($V259:$BW259)&gt;0, 1, 0)</f>
        <v>0</v>
      </c>
      <c r="CA259" s="12"/>
      <c r="CB259" s="335"/>
      <c r="CC259" s="335"/>
      <c r="CD259" s="335"/>
      <c r="CE259" s="335"/>
      <c r="CM259" s="7">
        <f t="shared" si="274"/>
        <v>0</v>
      </c>
      <c r="CN259" s="7">
        <f t="shared" si="274"/>
        <v>0</v>
      </c>
      <c r="CO259" s="7">
        <f t="shared" si="274"/>
        <v>0</v>
      </c>
      <c r="CP259" s="7">
        <f>IF(ROUND(V259-BL259, rounding)=0, 0, 1)*'BS Forecasts'!$V$10</f>
        <v>0</v>
      </c>
      <c r="CR259" s="12"/>
      <c r="CS259" s="93">
        <f t="shared" si="256"/>
        <v>0</v>
      </c>
      <c r="CT259" s="93">
        <v>1</v>
      </c>
      <c r="CU259" s="93">
        <v>1</v>
      </c>
      <c r="EW259" s="335"/>
      <c r="EX259" s="13" t="str">
        <f>IF(C259="", "", CONCATENATE(D256, " ",D259))</f>
        <v>Loan 12 Loan Capital Repayment (as per loan agreement)</v>
      </c>
    </row>
    <row r="260" spans="1:154" s="335" customFormat="1" x14ac:dyDescent="0.25">
      <c r="A260" s="362" cm="1">
        <f t="array" aca="1" ref="A260" ca="1">HYPERLINK(CONCATENATE("#",CELL("address",IF(SUM($CA260:$CR260)=0,A260,INDEX($CA260:$CR260,MATCH(1,$CA260:$CR260,0))))),SUM($CA260:$CR260))</f>
        <v>0</v>
      </c>
      <c r="C260" s="340" t="s">
        <v>1581</v>
      </c>
      <c r="D260" s="41" t="s">
        <v>1571</v>
      </c>
      <c r="E260" s="1"/>
      <c r="G260" s="9" t="s">
        <v>413</v>
      </c>
      <c r="H260" s="50" t="s">
        <v>157</v>
      </c>
      <c r="T260" s="25"/>
      <c r="U260" s="25"/>
      <c r="V260" s="210"/>
      <c r="W260" s="215">
        <f t="shared" si="273"/>
        <v>0</v>
      </c>
      <c r="X260" s="215">
        <f t="shared" si="273"/>
        <v>0</v>
      </c>
      <c r="Y260" s="215">
        <f t="shared" si="273"/>
        <v>0</v>
      </c>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c r="BJ260" s="147"/>
      <c r="BL260" s="13">
        <f t="shared" si="271"/>
        <v>0</v>
      </c>
      <c r="BM260" s="13">
        <f t="shared" si="271"/>
        <v>0</v>
      </c>
      <c r="BN260" s="13">
        <f t="shared" si="271"/>
        <v>0</v>
      </c>
      <c r="BO260" s="13">
        <f t="shared" si="271"/>
        <v>0</v>
      </c>
      <c r="BP260" s="141"/>
      <c r="BQ260" s="141"/>
      <c r="BR260" s="141"/>
      <c r="BS260" s="141"/>
      <c r="BT260" s="141"/>
      <c r="BU260" s="141"/>
      <c r="BV260" s="141"/>
      <c r="BW260" s="141"/>
      <c r="BY260" s="12"/>
      <c r="BZ260" s="395">
        <f>IF(MAX($V260:$BW260)&gt;0, 1, 0)</f>
        <v>0</v>
      </c>
      <c r="CA260" s="12"/>
      <c r="CM260" s="7">
        <f t="shared" si="274"/>
        <v>0</v>
      </c>
      <c r="CN260" s="7">
        <f t="shared" si="274"/>
        <v>0</v>
      </c>
      <c r="CO260" s="7">
        <f t="shared" si="274"/>
        <v>0</v>
      </c>
      <c r="CP260" s="7">
        <f>IF(ROUND(V260-BL260, rounding)=0, 0, 1)*'BS Forecasts'!$V$10</f>
        <v>0</v>
      </c>
      <c r="CR260" s="12"/>
      <c r="CS260" s="93">
        <f t="shared" si="256"/>
        <v>0</v>
      </c>
      <c r="CT260" s="93">
        <v>1</v>
      </c>
      <c r="CU260" s="93">
        <v>1</v>
      </c>
      <c r="EX260" s="13" t="str">
        <f>IF(C260="", "", CONCATENATE(D256, " ",D260))</f>
        <v xml:space="preserve">Loan 12 Early Repayment </v>
      </c>
    </row>
    <row r="261" spans="1:154" s="67" customFormat="1" x14ac:dyDescent="0.25">
      <c r="C261" s="340" t="s">
        <v>1364</v>
      </c>
      <c r="D261" s="51" t="s">
        <v>231</v>
      </c>
      <c r="E261" s="1"/>
      <c r="G261" s="9" t="s">
        <v>413</v>
      </c>
      <c r="H261" s="50" t="s">
        <v>8</v>
      </c>
      <c r="S261" s="335"/>
      <c r="T261" s="25"/>
      <c r="U261" s="25"/>
      <c r="V261" s="13">
        <f>$G$24</f>
        <v>0</v>
      </c>
      <c r="W261" s="10">
        <f>SUM(W257:W260)</f>
        <v>0</v>
      </c>
      <c r="X261" s="10">
        <f t="shared" ref="X261:BI261" si="275">SUM(X257:X260)</f>
        <v>0</v>
      </c>
      <c r="Y261" s="10">
        <f t="shared" si="275"/>
        <v>0</v>
      </c>
      <c r="Z261" s="335"/>
      <c r="AA261" s="10">
        <f t="shared" si="275"/>
        <v>0</v>
      </c>
      <c r="AB261" s="10">
        <f t="shared" si="275"/>
        <v>0</v>
      </c>
      <c r="AC261" s="10">
        <f t="shared" si="275"/>
        <v>0</v>
      </c>
      <c r="AD261" s="10">
        <f t="shared" si="275"/>
        <v>0</v>
      </c>
      <c r="AE261" s="10">
        <f t="shared" si="275"/>
        <v>0</v>
      </c>
      <c r="AF261" s="10">
        <f t="shared" si="275"/>
        <v>0</v>
      </c>
      <c r="AG261" s="10">
        <f t="shared" si="275"/>
        <v>0</v>
      </c>
      <c r="AH261" s="10">
        <f t="shared" si="275"/>
        <v>0</v>
      </c>
      <c r="AI261" s="10">
        <f t="shared" si="275"/>
        <v>0</v>
      </c>
      <c r="AJ261" s="10">
        <f t="shared" si="275"/>
        <v>0</v>
      </c>
      <c r="AK261" s="10">
        <f t="shared" si="275"/>
        <v>0</v>
      </c>
      <c r="AL261" s="10">
        <f t="shared" si="275"/>
        <v>0</v>
      </c>
      <c r="AM261" s="10">
        <f t="shared" si="275"/>
        <v>0</v>
      </c>
      <c r="AN261" s="10">
        <f t="shared" si="275"/>
        <v>0</v>
      </c>
      <c r="AO261" s="10">
        <f t="shared" si="275"/>
        <v>0</v>
      </c>
      <c r="AP261" s="10">
        <f t="shared" si="275"/>
        <v>0</v>
      </c>
      <c r="AQ261" s="10">
        <f t="shared" si="275"/>
        <v>0</v>
      </c>
      <c r="AR261" s="10">
        <f t="shared" si="275"/>
        <v>0</v>
      </c>
      <c r="AS261" s="10">
        <f t="shared" si="275"/>
        <v>0</v>
      </c>
      <c r="AT261" s="10">
        <f t="shared" si="275"/>
        <v>0</v>
      </c>
      <c r="AU261" s="10">
        <f t="shared" si="275"/>
        <v>0</v>
      </c>
      <c r="AV261" s="10">
        <f t="shared" si="275"/>
        <v>0</v>
      </c>
      <c r="AW261" s="10">
        <f t="shared" si="275"/>
        <v>0</v>
      </c>
      <c r="AX261" s="10">
        <f t="shared" si="275"/>
        <v>0</v>
      </c>
      <c r="AY261" s="10">
        <f t="shared" si="275"/>
        <v>0</v>
      </c>
      <c r="AZ261" s="10">
        <f t="shared" si="275"/>
        <v>0</v>
      </c>
      <c r="BA261" s="10">
        <f t="shared" si="275"/>
        <v>0</v>
      </c>
      <c r="BB261" s="10">
        <f t="shared" si="275"/>
        <v>0</v>
      </c>
      <c r="BC261" s="10">
        <f t="shared" si="275"/>
        <v>0</v>
      </c>
      <c r="BD261" s="10">
        <f t="shared" si="275"/>
        <v>0</v>
      </c>
      <c r="BE261" s="10">
        <f t="shared" si="275"/>
        <v>0</v>
      </c>
      <c r="BF261" s="10">
        <f t="shared" si="275"/>
        <v>0</v>
      </c>
      <c r="BG261" s="10">
        <f t="shared" si="275"/>
        <v>0</v>
      </c>
      <c r="BH261" s="10">
        <f t="shared" si="275"/>
        <v>0</v>
      </c>
      <c r="BI261" s="10">
        <f t="shared" si="275"/>
        <v>0</v>
      </c>
      <c r="BJ261" s="10">
        <f>SUM(BJ257:BJ260)</f>
        <v>0</v>
      </c>
      <c r="BL261" s="152">
        <f t="shared" si="271"/>
        <v>0</v>
      </c>
      <c r="BM261" s="152">
        <f t="shared" si="271"/>
        <v>0</v>
      </c>
      <c r="BN261" s="152">
        <f t="shared" si="271"/>
        <v>0</v>
      </c>
      <c r="BO261" s="152">
        <f t="shared" si="271"/>
        <v>0</v>
      </c>
      <c r="BP261" s="10">
        <f>SUM(BP257:BP260)</f>
        <v>0</v>
      </c>
      <c r="BQ261" s="10">
        <f t="shared" ref="BQ261:BW261" si="276">SUM(BQ257:BQ260)</f>
        <v>0</v>
      </c>
      <c r="BR261" s="10">
        <f t="shared" si="276"/>
        <v>0</v>
      </c>
      <c r="BS261" s="10">
        <f t="shared" si="276"/>
        <v>0</v>
      </c>
      <c r="BT261" s="10">
        <f t="shared" si="276"/>
        <v>0</v>
      </c>
      <c r="BU261" s="10">
        <f t="shared" si="276"/>
        <v>0</v>
      </c>
      <c r="BV261" s="10">
        <f t="shared" si="276"/>
        <v>0</v>
      </c>
      <c r="BW261" s="10">
        <f t="shared" si="276"/>
        <v>0</v>
      </c>
      <c r="BY261" s="12"/>
      <c r="BZ261" s="335"/>
      <c r="CA261" s="12"/>
      <c r="CB261" s="335"/>
      <c r="CC261" s="335"/>
      <c r="CD261" s="335"/>
      <c r="CE261" s="335"/>
      <c r="CM261" s="335"/>
      <c r="CN261" s="335"/>
      <c r="CO261" s="335"/>
      <c r="CP261" s="335"/>
      <c r="CR261" s="12"/>
      <c r="CS261" s="93">
        <f t="shared" si="256"/>
        <v>0</v>
      </c>
      <c r="CT261" s="93">
        <v>0</v>
      </c>
      <c r="CU261" s="93">
        <v>0</v>
      </c>
      <c r="EW261" s="335"/>
      <c r="EX261" s="13" t="str">
        <f>IF(C261="", "", CONCATENATE(D256, " ",D261))</f>
        <v>Loan 12 Closing Loan Balance</v>
      </c>
    </row>
    <row r="262" spans="1:154" s="67" customFormat="1" ht="6.6" customHeight="1" x14ac:dyDescent="0.25">
      <c r="C262" s="380"/>
      <c r="D262" s="1"/>
      <c r="S262" s="335"/>
      <c r="T262" s="25"/>
      <c r="U262" s="25"/>
      <c r="V262" s="229"/>
      <c r="W262" s="25"/>
      <c r="X262" s="25"/>
      <c r="Y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L262" s="25"/>
      <c r="BM262" s="155"/>
      <c r="BN262" s="25"/>
      <c r="BO262" s="25"/>
      <c r="BP262" s="25"/>
      <c r="BQ262" s="25"/>
      <c r="BR262" s="25"/>
      <c r="BS262" s="25"/>
      <c r="BT262" s="25"/>
      <c r="BU262" s="25"/>
      <c r="BV262" s="25"/>
      <c r="BW262" s="25"/>
      <c r="BY262" s="42"/>
      <c r="BZ262" s="335"/>
      <c r="CA262" s="42"/>
      <c r="CB262" s="335"/>
      <c r="CC262" s="335"/>
      <c r="CD262" s="335"/>
      <c r="CE262" s="335"/>
      <c r="CM262" s="335"/>
      <c r="CN262" s="335"/>
      <c r="CO262" s="335"/>
      <c r="CP262" s="335"/>
      <c r="CR262" s="42"/>
      <c r="CS262" s="93">
        <f t="shared" si="256"/>
        <v>0</v>
      </c>
      <c r="CT262" s="93">
        <v>0</v>
      </c>
      <c r="CU262" s="93">
        <v>0</v>
      </c>
      <c r="EW262" s="335"/>
      <c r="EX262" s="13" t="str">
        <f>IF(C262="", "", CONCATENATE(D256, " ",D262))</f>
        <v/>
      </c>
    </row>
    <row r="263" spans="1:154" s="67" customFormat="1" x14ac:dyDescent="0.25">
      <c r="A263" s="362" cm="1">
        <f t="array" aca="1" ref="A263" ca="1">HYPERLINK(CONCATENATE("#",CELL("address",IF(SUM($CA263:$CR263)=0,A263,INDEX($CA263:$CR263,MATCH(1,$CA263:$CR263,0))))),SUM($CA263:$CR263))</f>
        <v>0</v>
      </c>
      <c r="C263" s="380"/>
      <c r="D263" s="51" t="s">
        <v>526</v>
      </c>
      <c r="E263" s="160" t="s">
        <v>523</v>
      </c>
      <c r="F263" s="153">
        <f>$F$24</f>
        <v>0</v>
      </c>
      <c r="S263" s="335"/>
      <c r="T263" s="25"/>
      <c r="U263" s="25"/>
      <c r="V263" s="230">
        <f>IF(OR(V261&gt;$F263, V261&lt;0), 1, 0)</f>
        <v>0</v>
      </c>
      <c r="W263" s="154">
        <f>IF(OR(W261&gt;$F263, W261&lt;0), 1, 0)</f>
        <v>0</v>
      </c>
      <c r="X263" s="154">
        <f>IF(OR(X261&gt;$F263, X261&lt;0), 1, 0)</f>
        <v>0</v>
      </c>
      <c r="Y263" s="154">
        <f>IF(OR(Y261&gt;$F263, Y261&lt;0), 1, 0)</f>
        <v>0</v>
      </c>
      <c r="AA263" s="154">
        <f t="shared" ref="AA263:BJ263" si="277">IF(OR(AA261&gt;$F263, AA261&lt;0), 1, 0)</f>
        <v>0</v>
      </c>
      <c r="AB263" s="154">
        <f t="shared" si="277"/>
        <v>0</v>
      </c>
      <c r="AC263" s="154">
        <f t="shared" si="277"/>
        <v>0</v>
      </c>
      <c r="AD263" s="154">
        <f t="shared" si="277"/>
        <v>0</v>
      </c>
      <c r="AE263" s="154">
        <f t="shared" si="277"/>
        <v>0</v>
      </c>
      <c r="AF263" s="154">
        <f t="shared" si="277"/>
        <v>0</v>
      </c>
      <c r="AG263" s="154">
        <f t="shared" si="277"/>
        <v>0</v>
      </c>
      <c r="AH263" s="154">
        <f t="shared" si="277"/>
        <v>0</v>
      </c>
      <c r="AI263" s="154">
        <f t="shared" si="277"/>
        <v>0</v>
      </c>
      <c r="AJ263" s="154">
        <f t="shared" si="277"/>
        <v>0</v>
      </c>
      <c r="AK263" s="154">
        <f t="shared" si="277"/>
        <v>0</v>
      </c>
      <c r="AL263" s="154">
        <f t="shared" si="277"/>
        <v>0</v>
      </c>
      <c r="AM263" s="154">
        <f t="shared" si="277"/>
        <v>0</v>
      </c>
      <c r="AN263" s="154">
        <f t="shared" si="277"/>
        <v>0</v>
      </c>
      <c r="AO263" s="154">
        <f t="shared" si="277"/>
        <v>0</v>
      </c>
      <c r="AP263" s="154">
        <f t="shared" si="277"/>
        <v>0</v>
      </c>
      <c r="AQ263" s="154">
        <f t="shared" si="277"/>
        <v>0</v>
      </c>
      <c r="AR263" s="154">
        <f t="shared" si="277"/>
        <v>0</v>
      </c>
      <c r="AS263" s="154">
        <f t="shared" si="277"/>
        <v>0</v>
      </c>
      <c r="AT263" s="154">
        <f t="shared" si="277"/>
        <v>0</v>
      </c>
      <c r="AU263" s="154">
        <f t="shared" si="277"/>
        <v>0</v>
      </c>
      <c r="AV263" s="154">
        <f t="shared" si="277"/>
        <v>0</v>
      </c>
      <c r="AW263" s="154">
        <f t="shared" si="277"/>
        <v>0</v>
      </c>
      <c r="AX263" s="154">
        <f t="shared" si="277"/>
        <v>0</v>
      </c>
      <c r="AY263" s="154">
        <f t="shared" si="277"/>
        <v>0</v>
      </c>
      <c r="AZ263" s="154">
        <f t="shared" si="277"/>
        <v>0</v>
      </c>
      <c r="BA263" s="154">
        <f t="shared" si="277"/>
        <v>0</v>
      </c>
      <c r="BB263" s="154">
        <f t="shared" si="277"/>
        <v>0</v>
      </c>
      <c r="BC263" s="154">
        <f t="shared" si="277"/>
        <v>0</v>
      </c>
      <c r="BD263" s="154">
        <f t="shared" si="277"/>
        <v>0</v>
      </c>
      <c r="BE263" s="154">
        <f t="shared" si="277"/>
        <v>0</v>
      </c>
      <c r="BF263" s="154">
        <f t="shared" si="277"/>
        <v>0</v>
      </c>
      <c r="BG263" s="154">
        <f t="shared" si="277"/>
        <v>0</v>
      </c>
      <c r="BH263" s="154">
        <f t="shared" si="277"/>
        <v>0</v>
      </c>
      <c r="BI263" s="154">
        <f t="shared" si="277"/>
        <v>0</v>
      </c>
      <c r="BJ263" s="154">
        <f t="shared" si="277"/>
        <v>0</v>
      </c>
      <c r="BL263" s="154">
        <f t="shared" ref="BL263" si="278">IF(OR(BL261&gt;$F263, BL261&lt;0), 1, 0)</f>
        <v>0</v>
      </c>
      <c r="BM263" s="154">
        <f t="shared" ref="BM263:BW263" si="279">IF(OR(BM261&gt;$F263, BM261&lt;0), 1, 0)</f>
        <v>0</v>
      </c>
      <c r="BN263" s="154">
        <f t="shared" si="279"/>
        <v>0</v>
      </c>
      <c r="BO263" s="154">
        <f t="shared" si="279"/>
        <v>0</v>
      </c>
      <c r="BP263" s="154">
        <f t="shared" si="279"/>
        <v>0</v>
      </c>
      <c r="BQ263" s="154">
        <f t="shared" si="279"/>
        <v>0</v>
      </c>
      <c r="BR263" s="154">
        <f t="shared" si="279"/>
        <v>0</v>
      </c>
      <c r="BS263" s="154">
        <f t="shared" si="279"/>
        <v>0</v>
      </c>
      <c r="BT263" s="154">
        <f t="shared" si="279"/>
        <v>0</v>
      </c>
      <c r="BU263" s="154">
        <f t="shared" si="279"/>
        <v>0</v>
      </c>
      <c r="BV263" s="154">
        <f t="shared" si="279"/>
        <v>0</v>
      </c>
      <c r="BW263" s="154">
        <f t="shared" si="279"/>
        <v>0</v>
      </c>
      <c r="BY263" s="12"/>
      <c r="BZ263" s="335"/>
      <c r="CA263" s="12"/>
      <c r="CB263" s="335"/>
      <c r="CC263" s="335"/>
      <c r="CD263" s="335"/>
      <c r="CE263" s="335"/>
      <c r="CL263" s="7">
        <f>IF(MAX(V263:BW263)&gt;0, 1, 0)</f>
        <v>0</v>
      </c>
      <c r="CM263" s="335"/>
      <c r="CN263" s="335"/>
      <c r="CO263" s="335"/>
      <c r="CP263" s="335"/>
      <c r="CR263" s="12"/>
      <c r="CS263" s="93">
        <f t="shared" si="256"/>
        <v>1</v>
      </c>
      <c r="CT263" s="93">
        <v>0</v>
      </c>
      <c r="CU263" s="93">
        <v>0</v>
      </c>
      <c r="EW263" s="335"/>
      <c r="EX263" s="13" t="str">
        <f>IF(C263="", "", CONCATENATE(D256, " ",D263))</f>
        <v/>
      </c>
    </row>
    <row r="264" spans="1:154" s="67" customFormat="1" x14ac:dyDescent="0.25">
      <c r="A264" s="362" cm="1">
        <f t="array" aca="1" ref="A264" ca="1">HYPERLINK(CONCATENATE("#",CELL("address",IF(SUM($CA264:$CR264)=0,A264,INDEX($CA264:$CR264,MATCH(1,$CA264:$CR264,0))))),SUM($CA264:$CR264))</f>
        <v>0</v>
      </c>
      <c r="C264" s="380"/>
      <c r="D264" s="51" t="s">
        <v>220</v>
      </c>
      <c r="E264" s="160" t="s">
        <v>524</v>
      </c>
      <c r="F264" s="173" t="str">
        <f>IF($J$24="", "", $J$24)</f>
        <v/>
      </c>
      <c r="S264" s="335"/>
      <c r="T264" s="25"/>
      <c r="U264" s="25"/>
      <c r="V264" s="230">
        <f>IF(AND(V$5&gt;=$F264,SUM(V261:$Y261)&lt;&gt;0),1,0)</f>
        <v>0</v>
      </c>
      <c r="W264" s="230">
        <f>IF(AND(W$5&gt;=$F264,SUM(W261:$Y261)&lt;&gt;0),1,0)</f>
        <v>0</v>
      </c>
      <c r="X264" s="230">
        <f>IF(AND(X$5&gt;=$F264,SUM(X261:$Y261)&lt;&gt;0),1,0)</f>
        <v>0</v>
      </c>
      <c r="Y264" s="230">
        <f>IF(AND(Y$5&gt;=$F264,SUM(Y261:$Y261)&lt;&gt;0),1,0)</f>
        <v>0</v>
      </c>
      <c r="AA264" s="154">
        <f>IF(AND(AA$5&gt;=$F264,SUM(AA261:$BJ261)&lt;&gt;0),1,0)</f>
        <v>0</v>
      </c>
      <c r="AB264" s="154">
        <f>IF(AND(AB$5&gt;=$F264,SUM(AB261:$BJ261)&lt;&gt;0),1,0)</f>
        <v>0</v>
      </c>
      <c r="AC264" s="154">
        <f>IF(AND(AC$5&gt;=$F264,SUM(AC261:$BJ261)&lt;&gt;0),1,0)</f>
        <v>0</v>
      </c>
      <c r="AD264" s="154">
        <f>IF(AND(AD$5&gt;=$F264,SUM(AD261:$BJ261)&lt;&gt;0),1,0)</f>
        <v>0</v>
      </c>
      <c r="AE264" s="154">
        <f>IF(AND(AE$5&gt;=$F264,SUM(AE261:$BJ261)&lt;&gt;0),1,0)</f>
        <v>0</v>
      </c>
      <c r="AF264" s="154">
        <f>IF(AND(AF$5&gt;=$F264,SUM(AF261:$BJ261)&lt;&gt;0),1,0)</f>
        <v>0</v>
      </c>
      <c r="AG264" s="154">
        <f>IF(AND(AG$5&gt;=$F264,SUM(AG261:$BJ261)&lt;&gt;0),1,0)</f>
        <v>0</v>
      </c>
      <c r="AH264" s="154">
        <f>IF(AND(AH$5&gt;=$F264,SUM(AH261:$BJ261)&lt;&gt;0),1,0)</f>
        <v>0</v>
      </c>
      <c r="AI264" s="154">
        <f>IF(AND(AI$5&gt;=$F264,SUM(AI261:$BJ261)&lt;&gt;0),1,0)</f>
        <v>0</v>
      </c>
      <c r="AJ264" s="154">
        <f>IF(AND(AJ$5&gt;=$F264,SUM(AJ261:$BJ261)&lt;&gt;0),1,0)</f>
        <v>0</v>
      </c>
      <c r="AK264" s="154">
        <f>IF(AND(AK$5&gt;=$F264,SUM(AK261:$BJ261)&lt;&gt;0),1,0)</f>
        <v>0</v>
      </c>
      <c r="AL264" s="154">
        <f>IF(AND(AL$5&gt;=$F264,SUM(AL261:$BJ261)&lt;&gt;0),1,0)</f>
        <v>0</v>
      </c>
      <c r="AM264" s="154">
        <f>IF(AND(AM$5&gt;=$F264,SUM(AM261:$BJ261)&lt;&gt;0),1,0)</f>
        <v>0</v>
      </c>
      <c r="AN264" s="154">
        <f>IF(AND(AN$5&gt;=$F264,SUM(AN261:$BJ261)&lt;&gt;0),1,0)</f>
        <v>0</v>
      </c>
      <c r="AO264" s="154">
        <f>IF(AND(AO$5&gt;=$F264,SUM(AO261:$BJ261)&lt;&gt;0),1,0)</f>
        <v>0</v>
      </c>
      <c r="AP264" s="154">
        <f>IF(AND(AP$5&gt;=$F264,SUM(AP261:$BJ261)&lt;&gt;0),1,0)</f>
        <v>0</v>
      </c>
      <c r="AQ264" s="154">
        <f>IF(AND(AQ$5&gt;=$F264,SUM(AQ261:$BJ261)&lt;&gt;0),1,0)</f>
        <v>0</v>
      </c>
      <c r="AR264" s="154">
        <f>IF(AND(AR$5&gt;=$F264,SUM(AR261:$BJ261)&lt;&gt;0),1,0)</f>
        <v>0</v>
      </c>
      <c r="AS264" s="154">
        <f>IF(AND(AS$5&gt;=$F264,SUM(AS261:$BJ261)&lt;&gt;0),1,0)</f>
        <v>0</v>
      </c>
      <c r="AT264" s="154">
        <f>IF(AND(AT$5&gt;=$F264,SUM(AT261:$BJ261)&lt;&gt;0),1,0)</f>
        <v>0</v>
      </c>
      <c r="AU264" s="154">
        <f>IF(AND(AU$5&gt;=$F264,SUM(AU261:$BJ261)&lt;&gt;0),1,0)</f>
        <v>0</v>
      </c>
      <c r="AV264" s="154">
        <f>IF(AND(AV$5&gt;=$F264,SUM(AV261:$BJ261)&lt;&gt;0),1,0)</f>
        <v>0</v>
      </c>
      <c r="AW264" s="154">
        <f>IF(AND(AW$5&gt;=$F264,SUM(AW261:$BJ261)&lt;&gt;0),1,0)</f>
        <v>0</v>
      </c>
      <c r="AX264" s="154">
        <f>IF(AND(AX$5&gt;=$F264,SUM(AX261:$BJ261)&lt;&gt;0),1,0)</f>
        <v>0</v>
      </c>
      <c r="AY264" s="154">
        <f>IF(AND(AY$5&gt;=$F264,SUM(AY261:$BJ261)&lt;&gt;0),1,0)</f>
        <v>0</v>
      </c>
      <c r="AZ264" s="154">
        <f>IF(AND(AZ$5&gt;=$F264,SUM(AZ261:$BJ261)&lt;&gt;0),1,0)</f>
        <v>0</v>
      </c>
      <c r="BA264" s="154">
        <f>IF(AND(BA$5&gt;=$F264,SUM(BA261:$BJ261)&lt;&gt;0),1,0)</f>
        <v>0</v>
      </c>
      <c r="BB264" s="154">
        <f>IF(AND(BB$5&gt;=$F264,SUM(BB261:$BJ261)&lt;&gt;0),1,0)</f>
        <v>0</v>
      </c>
      <c r="BC264" s="154">
        <f>IF(AND(BC$5&gt;=$F264,SUM(BC261:$BJ261)&lt;&gt;0),1,0)</f>
        <v>0</v>
      </c>
      <c r="BD264" s="154">
        <f>IF(AND(BD$5&gt;=$F264,SUM(BD261:$BJ261)&lt;&gt;0),1,0)</f>
        <v>0</v>
      </c>
      <c r="BE264" s="154">
        <f>IF(AND(BE$5&gt;=$F264,SUM(BE261:$BJ261)&lt;&gt;0),1,0)</f>
        <v>0</v>
      </c>
      <c r="BF264" s="154">
        <f>IF(AND(BF$5&gt;=$F264,SUM(BF261:$BJ261)&lt;&gt;0),1,0)</f>
        <v>0</v>
      </c>
      <c r="BG264" s="154">
        <f>IF(AND(BG$5&gt;=$F264,SUM(BG261:$BJ261)&lt;&gt;0),1,0)</f>
        <v>0</v>
      </c>
      <c r="BH264" s="154">
        <f>IF(AND(BH$5&gt;=$F264,SUM(BH261:$BJ261)&lt;&gt;0),1,0)</f>
        <v>0</v>
      </c>
      <c r="BI264" s="154">
        <f>IF(AND(BI$5&gt;=$F264,SUM(BI261:$BJ261)&lt;&gt;0),1,0)</f>
        <v>0</v>
      </c>
      <c r="BJ264" s="154">
        <f>IF(AND(BJ$5&gt;=$F264,SUM(BJ261:$BJ261)&lt;&gt;0),1,0)</f>
        <v>0</v>
      </c>
      <c r="BL264" s="154">
        <f>IF(AND(BL$5&gt;=$F264,SUM(BL261:$BW261)&lt;&gt;0),1,0)*BL$1150</f>
        <v>0</v>
      </c>
      <c r="BM264" s="154">
        <f>IF(AND(BM$5&gt;=$F264,SUM(BM261:$BW261)&lt;&gt;0),1,0)*BM$1150</f>
        <v>0</v>
      </c>
      <c r="BN264" s="154">
        <f>IF(AND(BN$5&gt;=$F264,SUM(BN261:$BW261)&lt;&gt;0),1,0)*BN$1150</f>
        <v>0</v>
      </c>
      <c r="BO264" s="154">
        <f>IF(AND(BO$5&gt;=$F264,SUM(BO261:$BW261)&lt;&gt;0),1,0)*BO$1150</f>
        <v>0</v>
      </c>
      <c r="BP264" s="154">
        <f>IF(AND(BP$5&gt;=$F264,SUM(BP261:$BW261)&lt;&gt;0),1,0)*BP$1150</f>
        <v>0</v>
      </c>
      <c r="BQ264" s="154">
        <f>IF(AND(BQ$5&gt;=$F264,SUM(BQ261:$BW261)&lt;&gt;0),1,0)*BQ$1150</f>
        <v>0</v>
      </c>
      <c r="BR264" s="154">
        <f>IF(AND(BR$5&gt;=$F264,SUM(BR261:$BW261)&lt;&gt;0),1,0)*BR$1150</f>
        <v>0</v>
      </c>
      <c r="BS264" s="154">
        <f>IF(AND(BS$5&gt;=$F264,SUM(BS261:$BW261)&lt;&gt;0),1,0)*BS$1150</f>
        <v>0</v>
      </c>
      <c r="BT264" s="154">
        <f>IF(AND(BT$5&gt;=$F264,SUM(BT261:$BW261)&lt;&gt;0),1,0)*BT$1150</f>
        <v>0</v>
      </c>
      <c r="BU264" s="154">
        <f>IF(AND(BU$5&gt;=$F264,SUM(BU261:$BW261)&lt;&gt;0),1,0)*BU$1150</f>
        <v>0</v>
      </c>
      <c r="BV264" s="154">
        <f>IF(AND(BV$5&gt;=$F264,SUM(BV261:$BW261)&lt;&gt;0),1,0)*BV$1150</f>
        <v>0</v>
      </c>
      <c r="BW264" s="154">
        <f>IF(AND(BW$5&gt;=$F264,SUM(BW261:$BW261)&lt;&gt;0),1,0)*BW$1150</f>
        <v>0</v>
      </c>
      <c r="BY264" s="12"/>
      <c r="BZ264" s="335"/>
      <c r="CA264" s="12"/>
      <c r="CB264" s="335"/>
      <c r="CC264" s="335"/>
      <c r="CD264" s="335"/>
      <c r="CE264" s="335"/>
      <c r="CL264" s="7">
        <f>IF(MAX($V264:$BW264)&gt;0, 1, 0)</f>
        <v>0</v>
      </c>
      <c r="CM264" s="335"/>
      <c r="CN264" s="335"/>
      <c r="CO264" s="335"/>
      <c r="CP264" s="335"/>
      <c r="CR264" s="12"/>
      <c r="CS264" s="93">
        <f t="shared" si="256"/>
        <v>1</v>
      </c>
      <c r="CT264" s="93">
        <v>0</v>
      </c>
      <c r="CU264" s="93">
        <v>0</v>
      </c>
      <c r="EW264" s="335"/>
      <c r="EX264" s="13" t="str">
        <f>IF(C264="", "", CONCATENATE(D256, " ",D264))</f>
        <v/>
      </c>
    </row>
    <row r="265" spans="1:154" s="67" customFormat="1" ht="6.6" customHeight="1" x14ac:dyDescent="0.25">
      <c r="C265" s="380"/>
      <c r="D265" s="1"/>
      <c r="S265" s="335"/>
      <c r="T265" s="25"/>
      <c r="U265" s="25"/>
      <c r="V265" s="93"/>
      <c r="BM265" s="6"/>
      <c r="BY265" s="42"/>
      <c r="BZ265" s="335"/>
      <c r="CA265" s="42"/>
      <c r="CB265" s="335"/>
      <c r="CC265" s="335"/>
      <c r="CD265" s="335"/>
      <c r="CE265" s="335"/>
      <c r="CM265" s="335"/>
      <c r="CN265" s="335"/>
      <c r="CO265" s="335"/>
      <c r="CP265" s="335"/>
      <c r="CR265" s="42"/>
      <c r="CS265" s="93">
        <f t="shared" si="256"/>
        <v>0</v>
      </c>
      <c r="CT265" s="93">
        <v>0</v>
      </c>
      <c r="CU265" s="93">
        <v>0</v>
      </c>
      <c r="EW265" s="335"/>
      <c r="EX265" s="13" t="str">
        <f>IF(C265="", "", CONCATENATE(D256, " ",D265))</f>
        <v/>
      </c>
    </row>
    <row r="266" spans="1:154" s="67" customFormat="1" x14ac:dyDescent="0.25">
      <c r="C266" s="380"/>
      <c r="D266" s="51" t="s">
        <v>223</v>
      </c>
      <c r="E266" s="1"/>
      <c r="G266" s="9" t="s">
        <v>413</v>
      </c>
      <c r="H266" s="50" t="s">
        <v>8</v>
      </c>
      <c r="S266" s="335"/>
      <c r="T266" s="25"/>
      <c r="U266" s="25"/>
      <c r="V266" s="210"/>
      <c r="W266" s="201">
        <f>V269</f>
        <v>0</v>
      </c>
      <c r="X266" s="201">
        <f>W269</f>
        <v>0</v>
      </c>
      <c r="Y266" s="10">
        <f>X269</f>
        <v>0</v>
      </c>
      <c r="AA266" s="13">
        <f>W266</f>
        <v>0</v>
      </c>
      <c r="AB266" s="10">
        <f t="shared" ref="AB266:BJ266" si="280">AA269</f>
        <v>0</v>
      </c>
      <c r="AC266" s="10">
        <f t="shared" si="280"/>
        <v>0</v>
      </c>
      <c r="AD266" s="10">
        <f t="shared" si="280"/>
        <v>0</v>
      </c>
      <c r="AE266" s="10">
        <f t="shared" si="280"/>
        <v>0</v>
      </c>
      <c r="AF266" s="10">
        <f t="shared" si="280"/>
        <v>0</v>
      </c>
      <c r="AG266" s="10">
        <f t="shared" si="280"/>
        <v>0</v>
      </c>
      <c r="AH266" s="10">
        <f t="shared" si="280"/>
        <v>0</v>
      </c>
      <c r="AI266" s="10">
        <f t="shared" si="280"/>
        <v>0</v>
      </c>
      <c r="AJ266" s="10">
        <f t="shared" si="280"/>
        <v>0</v>
      </c>
      <c r="AK266" s="10">
        <f t="shared" si="280"/>
        <v>0</v>
      </c>
      <c r="AL266" s="10">
        <f t="shared" si="280"/>
        <v>0</v>
      </c>
      <c r="AM266" s="10">
        <f t="shared" si="280"/>
        <v>0</v>
      </c>
      <c r="AN266" s="10">
        <f t="shared" si="280"/>
        <v>0</v>
      </c>
      <c r="AO266" s="10">
        <f t="shared" si="280"/>
        <v>0</v>
      </c>
      <c r="AP266" s="10">
        <f t="shared" si="280"/>
        <v>0</v>
      </c>
      <c r="AQ266" s="10">
        <f t="shared" si="280"/>
        <v>0</v>
      </c>
      <c r="AR266" s="10">
        <f t="shared" si="280"/>
        <v>0</v>
      </c>
      <c r="AS266" s="10">
        <f t="shared" si="280"/>
        <v>0</v>
      </c>
      <c r="AT266" s="10">
        <f t="shared" si="280"/>
        <v>0</v>
      </c>
      <c r="AU266" s="10">
        <f t="shared" si="280"/>
        <v>0</v>
      </c>
      <c r="AV266" s="10">
        <f t="shared" si="280"/>
        <v>0</v>
      </c>
      <c r="AW266" s="10">
        <f t="shared" si="280"/>
        <v>0</v>
      </c>
      <c r="AX266" s="10">
        <f t="shared" si="280"/>
        <v>0</v>
      </c>
      <c r="AY266" s="10">
        <f t="shared" si="280"/>
        <v>0</v>
      </c>
      <c r="AZ266" s="10">
        <f t="shared" si="280"/>
        <v>0</v>
      </c>
      <c r="BA266" s="10">
        <f t="shared" si="280"/>
        <v>0</v>
      </c>
      <c r="BB266" s="10">
        <f t="shared" si="280"/>
        <v>0</v>
      </c>
      <c r="BC266" s="10">
        <f t="shared" si="280"/>
        <v>0</v>
      </c>
      <c r="BD266" s="10">
        <f t="shared" si="280"/>
        <v>0</v>
      </c>
      <c r="BE266" s="10">
        <f t="shared" si="280"/>
        <v>0</v>
      </c>
      <c r="BF266" s="10">
        <f t="shared" si="280"/>
        <v>0</v>
      </c>
      <c r="BG266" s="10">
        <f t="shared" si="280"/>
        <v>0</v>
      </c>
      <c r="BH266" s="10">
        <f t="shared" si="280"/>
        <v>0</v>
      </c>
      <c r="BI266" s="10">
        <f t="shared" si="280"/>
        <v>0</v>
      </c>
      <c r="BJ266" s="10">
        <f t="shared" si="280"/>
        <v>0</v>
      </c>
      <c r="BL266" s="13">
        <f t="shared" ref="BL266:BO269" si="281">V266</f>
        <v>0</v>
      </c>
      <c r="BM266" s="13">
        <f t="shared" si="281"/>
        <v>0</v>
      </c>
      <c r="BN266" s="13">
        <f t="shared" si="281"/>
        <v>0</v>
      </c>
      <c r="BO266" s="13">
        <f t="shared" si="281"/>
        <v>0</v>
      </c>
      <c r="BP266" s="10">
        <f t="shared" ref="BP266:BW266" si="282">BO269</f>
        <v>0</v>
      </c>
      <c r="BQ266" s="10">
        <f t="shared" si="282"/>
        <v>0</v>
      </c>
      <c r="BR266" s="10">
        <f t="shared" si="282"/>
        <v>0</v>
      </c>
      <c r="BS266" s="10">
        <f t="shared" si="282"/>
        <v>0</v>
      </c>
      <c r="BT266" s="10">
        <f t="shared" si="282"/>
        <v>0</v>
      </c>
      <c r="BU266" s="10">
        <f t="shared" si="282"/>
        <v>0</v>
      </c>
      <c r="BV266" s="10">
        <f t="shared" si="282"/>
        <v>0</v>
      </c>
      <c r="BW266" s="10">
        <f t="shared" si="282"/>
        <v>0</v>
      </c>
      <c r="BY266" s="12"/>
      <c r="BZ266" s="335"/>
      <c r="CA266" s="12"/>
      <c r="CB266" s="335"/>
      <c r="CC266" s="335"/>
      <c r="CD266" s="335"/>
      <c r="CE266" s="335"/>
      <c r="CM266" s="335"/>
      <c r="CN266" s="335"/>
      <c r="CO266" s="335"/>
      <c r="CP266" s="335"/>
      <c r="CR266" s="12"/>
      <c r="CS266" s="93">
        <f t="shared" si="256"/>
        <v>0</v>
      </c>
      <c r="CT266" s="93">
        <v>1</v>
      </c>
      <c r="CU266" s="93">
        <v>0</v>
      </c>
      <c r="EW266" s="335"/>
      <c r="EX266" s="13" t="str">
        <f>IF(C266="", "", CONCATENATE(D256, " ",D266))</f>
        <v/>
      </c>
    </row>
    <row r="267" spans="1:154" s="5" customFormat="1" ht="15.75" x14ac:dyDescent="0.3">
      <c r="A267" s="362" cm="1">
        <f t="array" aca="1" ref="A267" ca="1">HYPERLINK(CONCATENATE("#",CELL("address",IF(SUM($CA267:$CR267)=0,A267,INDEX($CA267:$CR267,MATCH(1,$CA267:$CR267,0))))),SUM($CA267:$CR267))</f>
        <v>0</v>
      </c>
      <c r="B267" s="105" t="s">
        <v>335</v>
      </c>
      <c r="C267" s="380"/>
      <c r="D267" s="51" t="s">
        <v>234</v>
      </c>
      <c r="E267" s="1"/>
      <c r="F267" s="67"/>
      <c r="G267" s="9" t="s">
        <v>413</v>
      </c>
      <c r="H267" s="50" t="s">
        <v>125</v>
      </c>
      <c r="I267" s="67"/>
      <c r="J267" s="67"/>
      <c r="K267" s="67"/>
      <c r="L267" s="67"/>
      <c r="M267" s="67"/>
      <c r="N267" s="67"/>
      <c r="O267" s="67"/>
      <c r="P267" s="67"/>
      <c r="Q267" s="67"/>
      <c r="R267" s="67"/>
      <c r="S267" s="335"/>
      <c r="T267" s="25"/>
      <c r="U267" s="25"/>
      <c r="V267" s="210"/>
      <c r="W267" s="215">
        <f t="shared" ref="W267:Y268" si="283" xml:space="preserve"> SUMIFS($AA267:$BJ267, $AA$3:$BJ$3, W$3)</f>
        <v>0</v>
      </c>
      <c r="X267" s="215">
        <f t="shared" si="283"/>
        <v>0</v>
      </c>
      <c r="Y267" s="215">
        <f t="shared" si="283"/>
        <v>0</v>
      </c>
      <c r="Z267" s="67"/>
      <c r="AA267" s="147"/>
      <c r="AB267" s="147"/>
      <c r="AC267" s="147"/>
      <c r="AD267" s="147"/>
      <c r="AE267" s="147"/>
      <c r="AF267" s="147"/>
      <c r="AG267" s="147"/>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c r="BI267" s="147"/>
      <c r="BJ267" s="147"/>
      <c r="BK267" s="67"/>
      <c r="BL267" s="13">
        <f t="shared" si="281"/>
        <v>0</v>
      </c>
      <c r="BM267" s="13">
        <f t="shared" si="281"/>
        <v>0</v>
      </c>
      <c r="BN267" s="13">
        <f t="shared" si="281"/>
        <v>0</v>
      </c>
      <c r="BO267" s="13">
        <f t="shared" si="281"/>
        <v>0</v>
      </c>
      <c r="BP267" s="141"/>
      <c r="BQ267" s="141"/>
      <c r="BR267" s="141"/>
      <c r="BS267" s="141"/>
      <c r="BT267" s="141"/>
      <c r="BU267" s="141"/>
      <c r="BV267" s="141"/>
      <c r="BW267" s="141"/>
      <c r="BX267" s="67"/>
      <c r="BY267" s="12"/>
      <c r="BZ267" s="395">
        <f>IF(MIN($V267:$BW267)&lt;0, 1, 0)</f>
        <v>0</v>
      </c>
      <c r="CA267" s="12"/>
      <c r="CB267" s="335"/>
      <c r="CC267" s="335"/>
      <c r="CD267" s="335"/>
      <c r="CE267" s="335"/>
      <c r="CF267" s="67"/>
      <c r="CG267" s="67"/>
      <c r="CH267" s="67"/>
      <c r="CI267" s="67"/>
      <c r="CJ267" s="67"/>
      <c r="CK267" s="67"/>
      <c r="CL267" s="67"/>
      <c r="CM267" s="7">
        <f t="shared" ref="CM267:CO268" si="284">IF(ROUND(W267-SUMIFS($AA267:$BJ267, $AA$3:$BJ$3, W$3), rounding)=0, 0, 1)</f>
        <v>0</v>
      </c>
      <c r="CN267" s="7">
        <f t="shared" si="284"/>
        <v>0</v>
      </c>
      <c r="CO267" s="7">
        <f t="shared" si="284"/>
        <v>0</v>
      </c>
      <c r="CP267" s="7">
        <f>IF(ROUND(V267-BL267, rounding)=0, 0, 1)*'BS Forecasts'!$V$10</f>
        <v>0</v>
      </c>
      <c r="CQ267" s="67"/>
      <c r="CR267" s="12"/>
      <c r="CS267" s="93">
        <f t="shared" si="256"/>
        <v>0</v>
      </c>
      <c r="CT267" s="93">
        <v>1</v>
      </c>
      <c r="CU267" s="93">
        <v>1</v>
      </c>
      <c r="EX267" s="13" t="str">
        <f>IF(C267="", "", CONCATENATE(D256, " ",D267))</f>
        <v/>
      </c>
    </row>
    <row r="268" spans="1:154" s="67" customFormat="1" ht="15.75" x14ac:dyDescent="0.3">
      <c r="A268" s="362" cm="1">
        <f t="array" aca="1" ref="A268" ca="1">HYPERLINK(CONCATENATE("#",CELL("address",IF(SUM($CA268:$CR268)=0,A268,INDEX($CA268:$CR268,MATCH(1,$CA268:$CR268,0))))),SUM($CA268:$CR268))</f>
        <v>0</v>
      </c>
      <c r="B268" s="105" t="s">
        <v>335</v>
      </c>
      <c r="C268" s="380"/>
      <c r="D268" s="51" t="s">
        <v>222</v>
      </c>
      <c r="E268" s="1"/>
      <c r="G268" s="9" t="s">
        <v>413</v>
      </c>
      <c r="H268" s="50" t="s">
        <v>157</v>
      </c>
      <c r="S268" s="335"/>
      <c r="T268" s="25"/>
      <c r="U268" s="25"/>
      <c r="V268" s="210"/>
      <c r="W268" s="215">
        <f t="shared" si="283"/>
        <v>0</v>
      </c>
      <c r="X268" s="215">
        <f t="shared" si="283"/>
        <v>0</v>
      </c>
      <c r="Y268" s="215">
        <f t="shared" si="283"/>
        <v>0</v>
      </c>
      <c r="AA268" s="147"/>
      <c r="AB268" s="147"/>
      <c r="AC268" s="147"/>
      <c r="AD268" s="147"/>
      <c r="AE268" s="147"/>
      <c r="AF268" s="147"/>
      <c r="AG268" s="147"/>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c r="BI268" s="147"/>
      <c r="BJ268" s="147"/>
      <c r="BL268" s="13">
        <f t="shared" si="281"/>
        <v>0</v>
      </c>
      <c r="BM268" s="13">
        <f t="shared" si="281"/>
        <v>0</v>
      </c>
      <c r="BN268" s="13">
        <f t="shared" si="281"/>
        <v>0</v>
      </c>
      <c r="BO268" s="13">
        <f t="shared" si="281"/>
        <v>0</v>
      </c>
      <c r="BP268" s="141"/>
      <c r="BQ268" s="141"/>
      <c r="BR268" s="141"/>
      <c r="BS268" s="141"/>
      <c r="BT268" s="141"/>
      <c r="BU268" s="141"/>
      <c r="BV268" s="141"/>
      <c r="BW268" s="141"/>
      <c r="BY268" s="12"/>
      <c r="BZ268" s="395">
        <f>IF(MAX($V268:$BW268)&gt;0, 1, 0)</f>
        <v>0</v>
      </c>
      <c r="CA268" s="12"/>
      <c r="CB268" s="335"/>
      <c r="CC268" s="335"/>
      <c r="CD268" s="335"/>
      <c r="CE268" s="335"/>
      <c r="CM268" s="7">
        <f t="shared" si="284"/>
        <v>0</v>
      </c>
      <c r="CN268" s="7">
        <f t="shared" si="284"/>
        <v>0</v>
      </c>
      <c r="CO268" s="7">
        <f t="shared" si="284"/>
        <v>0</v>
      </c>
      <c r="CP268" s="7">
        <f>IF(ROUND(V268-BL268, rounding)=0, 0, 1)*'BS Forecasts'!$V$10</f>
        <v>0</v>
      </c>
      <c r="CR268" s="12"/>
      <c r="CS268" s="93">
        <f t="shared" si="256"/>
        <v>0</v>
      </c>
      <c r="CT268" s="93">
        <v>1</v>
      </c>
      <c r="CU268" s="93">
        <v>1</v>
      </c>
      <c r="EW268" s="335"/>
      <c r="EX268" s="13" t="str">
        <f>IF(C268="", "", CONCATENATE(D256, " ",D268))</f>
        <v/>
      </c>
    </row>
    <row r="269" spans="1:154" s="67" customFormat="1" x14ac:dyDescent="0.25">
      <c r="C269" s="380"/>
      <c r="D269" s="51" t="s">
        <v>224</v>
      </c>
      <c r="E269" s="1"/>
      <c r="G269" s="9" t="s">
        <v>413</v>
      </c>
      <c r="H269" s="50" t="s">
        <v>8</v>
      </c>
      <c r="S269" s="335"/>
      <c r="T269" s="25"/>
      <c r="U269" s="25"/>
      <c r="V269" s="13">
        <f>$H$24</f>
        <v>0</v>
      </c>
      <c r="W269" s="10">
        <f>SUM(W266:W268)</f>
        <v>0</v>
      </c>
      <c r="X269" s="10">
        <f>SUM(X266:X268)</f>
        <v>0</v>
      </c>
      <c r="Y269" s="10">
        <f>SUM(Y266:Y268)</f>
        <v>0</v>
      </c>
      <c r="AA269" s="10">
        <f t="shared" ref="AA269:BJ269" si="285">SUM(AA266:AA268)</f>
        <v>0</v>
      </c>
      <c r="AB269" s="10">
        <f t="shared" si="285"/>
        <v>0</v>
      </c>
      <c r="AC269" s="10">
        <f t="shared" si="285"/>
        <v>0</v>
      </c>
      <c r="AD269" s="10">
        <f t="shared" si="285"/>
        <v>0</v>
      </c>
      <c r="AE269" s="10">
        <f t="shared" si="285"/>
        <v>0</v>
      </c>
      <c r="AF269" s="10">
        <f t="shared" si="285"/>
        <v>0</v>
      </c>
      <c r="AG269" s="10">
        <f t="shared" si="285"/>
        <v>0</v>
      </c>
      <c r="AH269" s="10">
        <f t="shared" si="285"/>
        <v>0</v>
      </c>
      <c r="AI269" s="10">
        <f t="shared" si="285"/>
        <v>0</v>
      </c>
      <c r="AJ269" s="10">
        <f t="shared" si="285"/>
        <v>0</v>
      </c>
      <c r="AK269" s="10">
        <f t="shared" si="285"/>
        <v>0</v>
      </c>
      <c r="AL269" s="10">
        <f t="shared" si="285"/>
        <v>0</v>
      </c>
      <c r="AM269" s="10">
        <f t="shared" si="285"/>
        <v>0</v>
      </c>
      <c r="AN269" s="10">
        <f t="shared" si="285"/>
        <v>0</v>
      </c>
      <c r="AO269" s="10">
        <f t="shared" si="285"/>
        <v>0</v>
      </c>
      <c r="AP269" s="10">
        <f t="shared" si="285"/>
        <v>0</v>
      </c>
      <c r="AQ269" s="10">
        <f t="shared" si="285"/>
        <v>0</v>
      </c>
      <c r="AR269" s="10">
        <f t="shared" si="285"/>
        <v>0</v>
      </c>
      <c r="AS269" s="10">
        <f t="shared" si="285"/>
        <v>0</v>
      </c>
      <c r="AT269" s="10">
        <f t="shared" si="285"/>
        <v>0</v>
      </c>
      <c r="AU269" s="10">
        <f t="shared" si="285"/>
        <v>0</v>
      </c>
      <c r="AV269" s="10">
        <f t="shared" si="285"/>
        <v>0</v>
      </c>
      <c r="AW269" s="10">
        <f t="shared" si="285"/>
        <v>0</v>
      </c>
      <c r="AX269" s="10">
        <f t="shared" si="285"/>
        <v>0</v>
      </c>
      <c r="AY269" s="10">
        <f t="shared" si="285"/>
        <v>0</v>
      </c>
      <c r="AZ269" s="10">
        <f t="shared" si="285"/>
        <v>0</v>
      </c>
      <c r="BA269" s="10">
        <f t="shared" si="285"/>
        <v>0</v>
      </c>
      <c r="BB269" s="10">
        <f t="shared" si="285"/>
        <v>0</v>
      </c>
      <c r="BC269" s="10">
        <f t="shared" si="285"/>
        <v>0</v>
      </c>
      <c r="BD269" s="10">
        <f t="shared" si="285"/>
        <v>0</v>
      </c>
      <c r="BE269" s="10">
        <f t="shared" si="285"/>
        <v>0</v>
      </c>
      <c r="BF269" s="10">
        <f t="shared" si="285"/>
        <v>0</v>
      </c>
      <c r="BG269" s="10">
        <f t="shared" si="285"/>
        <v>0</v>
      </c>
      <c r="BH269" s="10">
        <f t="shared" si="285"/>
        <v>0</v>
      </c>
      <c r="BI269" s="10">
        <f t="shared" si="285"/>
        <v>0</v>
      </c>
      <c r="BJ269" s="10">
        <f t="shared" si="285"/>
        <v>0</v>
      </c>
      <c r="BL269" s="152">
        <f t="shared" si="281"/>
        <v>0</v>
      </c>
      <c r="BM269" s="152">
        <f t="shared" si="281"/>
        <v>0</v>
      </c>
      <c r="BN269" s="152">
        <f t="shared" si="281"/>
        <v>0</v>
      </c>
      <c r="BO269" s="152">
        <f t="shared" si="281"/>
        <v>0</v>
      </c>
      <c r="BP269" s="10">
        <f t="shared" ref="BP269:BW269" si="286">SUM(BP266:BP268)</f>
        <v>0</v>
      </c>
      <c r="BQ269" s="10">
        <f t="shared" si="286"/>
        <v>0</v>
      </c>
      <c r="BR269" s="10">
        <f t="shared" si="286"/>
        <v>0</v>
      </c>
      <c r="BS269" s="10">
        <f t="shared" si="286"/>
        <v>0</v>
      </c>
      <c r="BT269" s="10">
        <f t="shared" si="286"/>
        <v>0</v>
      </c>
      <c r="BU269" s="10">
        <f t="shared" si="286"/>
        <v>0</v>
      </c>
      <c r="BV269" s="10">
        <f t="shared" si="286"/>
        <v>0</v>
      </c>
      <c r="BW269" s="10">
        <f t="shared" si="286"/>
        <v>0</v>
      </c>
      <c r="BY269" s="12"/>
      <c r="BZ269" s="335"/>
      <c r="CA269" s="12"/>
      <c r="CB269" s="335"/>
      <c r="CC269" s="335"/>
      <c r="CD269" s="335"/>
      <c r="CE269" s="335"/>
      <c r="CM269" s="335"/>
      <c r="CN269" s="335"/>
      <c r="CO269" s="335"/>
      <c r="CP269" s="335"/>
      <c r="CR269" s="12"/>
      <c r="CS269" s="93">
        <f t="shared" si="256"/>
        <v>0</v>
      </c>
      <c r="CT269" s="93">
        <v>0</v>
      </c>
      <c r="CU269" s="93">
        <v>0</v>
      </c>
      <c r="EW269" s="335"/>
      <c r="EX269" s="13" t="str">
        <f>IF(C269="", "", CONCATENATE(D256, " ",D269))</f>
        <v/>
      </c>
    </row>
    <row r="270" spans="1:154" s="67" customFormat="1" ht="6.6" customHeight="1" x14ac:dyDescent="0.25">
      <c r="C270" s="380"/>
      <c r="D270" s="1"/>
      <c r="S270" s="335"/>
      <c r="T270" s="25"/>
      <c r="U270" s="25"/>
      <c r="V270" s="229"/>
      <c r="W270" s="25"/>
      <c r="X270" s="25"/>
      <c r="Y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L270" s="25"/>
      <c r="BM270" s="155"/>
      <c r="BN270" s="25"/>
      <c r="BO270" s="25"/>
      <c r="BP270" s="25"/>
      <c r="BQ270" s="25"/>
      <c r="BR270" s="25"/>
      <c r="BS270" s="25"/>
      <c r="BT270" s="25"/>
      <c r="BU270" s="25"/>
      <c r="BV270" s="25"/>
      <c r="BW270" s="25"/>
      <c r="BY270" s="42"/>
      <c r="BZ270" s="335"/>
      <c r="CA270" s="42"/>
      <c r="CB270" s="335"/>
      <c r="CC270" s="335"/>
      <c r="CD270" s="335"/>
      <c r="CE270" s="335"/>
      <c r="CM270" s="335"/>
      <c r="CN270" s="335"/>
      <c r="CO270" s="335"/>
      <c r="CP270" s="335"/>
      <c r="CR270" s="42"/>
      <c r="CS270" s="93">
        <f t="shared" si="256"/>
        <v>0</v>
      </c>
      <c r="CT270" s="93">
        <v>0</v>
      </c>
      <c r="CU270" s="93">
        <v>0</v>
      </c>
      <c r="EW270" s="335"/>
      <c r="EX270" s="13" t="str">
        <f>IF(C270="", "", CONCATENATE(D256, " ",D270))</f>
        <v/>
      </c>
    </row>
    <row r="271" spans="1:154" s="5" customFormat="1" x14ac:dyDescent="0.25">
      <c r="A271" s="362" cm="1">
        <f t="array" aca="1" ref="A271" ca="1">HYPERLINK(CONCATENATE("#",CELL("address",IF(SUM($CA271:$CR271)=0,A271,INDEX($CA271:$CR271,MATCH(1,$CA271:$CR271,0))))),SUM($CA271:$CR271))</f>
        <v>0</v>
      </c>
      <c r="B271" s="335"/>
      <c r="C271" s="340" t="s">
        <v>1284</v>
      </c>
      <c r="D271" s="41" t="s">
        <v>1569</v>
      </c>
      <c r="E271" s="35"/>
      <c r="F271" s="25"/>
      <c r="G271" s="174" t="s">
        <v>413</v>
      </c>
      <c r="H271" s="171" t="s">
        <v>125</v>
      </c>
      <c r="I271" s="25"/>
      <c r="J271" s="25"/>
      <c r="K271" s="25"/>
      <c r="L271" s="25"/>
      <c r="M271" s="25"/>
      <c r="N271" s="25"/>
      <c r="O271" s="25"/>
      <c r="P271" s="25"/>
      <c r="Q271" s="25"/>
      <c r="R271" s="25"/>
      <c r="S271" s="335"/>
      <c r="T271" s="25"/>
      <c r="U271" s="25"/>
      <c r="V271" s="222"/>
      <c r="W271" s="215">
        <f xml:space="preserve"> SUMIFS($AA271:$BJ271, $AA$3:$BJ$3, W$3)</f>
        <v>0</v>
      </c>
      <c r="X271" s="215">
        <f xml:space="preserve"> SUMIFS($AA271:$BJ271, $AA$3:$BJ$3, X$3)</f>
        <v>0</v>
      </c>
      <c r="Y271" s="215">
        <f xml:space="preserve"> SUMIFS($AA271:$BJ271, $AA$3:$BJ$3, Y$3)</f>
        <v>0</v>
      </c>
      <c r="Z271" s="335"/>
      <c r="AA271" s="147"/>
      <c r="AB271" s="147"/>
      <c r="AC271" s="147"/>
      <c r="AD271" s="147"/>
      <c r="AE271" s="147"/>
      <c r="AF271" s="147"/>
      <c r="AG271" s="147"/>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c r="BI271" s="147"/>
      <c r="BJ271" s="147"/>
      <c r="BK271" s="335"/>
      <c r="BL271" s="152">
        <f>V271</f>
        <v>0</v>
      </c>
      <c r="BM271" s="152">
        <f>W271</f>
        <v>0</v>
      </c>
      <c r="BN271" s="152">
        <f>X271</f>
        <v>0</v>
      </c>
      <c r="BO271" s="152">
        <f>Y271</f>
        <v>0</v>
      </c>
      <c r="BP271" s="141"/>
      <c r="BQ271" s="141"/>
      <c r="BR271" s="141"/>
      <c r="BS271" s="141"/>
      <c r="BT271" s="141"/>
      <c r="BU271" s="141"/>
      <c r="BV271" s="141"/>
      <c r="BW271" s="141"/>
      <c r="BX271" s="335"/>
      <c r="BY271" s="12"/>
      <c r="BZ271" s="395">
        <f>IF(MIN($V271:$BW271)&lt;0, 1, 0)</f>
        <v>0</v>
      </c>
      <c r="CA271" s="12"/>
      <c r="CB271" s="335"/>
      <c r="CC271" s="335"/>
      <c r="CD271" s="335"/>
      <c r="CE271" s="335"/>
      <c r="CF271" s="335"/>
      <c r="CG271" s="335"/>
      <c r="CH271" s="335"/>
      <c r="CI271" s="335"/>
      <c r="CJ271" s="335"/>
      <c r="CK271" s="335"/>
      <c r="CL271" s="335"/>
      <c r="CM271" s="7">
        <f>IF(ROUND(W271-SUMIFS($AA271:$BJ271, $AA$3:$BJ$3, W$3), rounding)=0, 0, 1)</f>
        <v>0</v>
      </c>
      <c r="CN271" s="7">
        <f>IF(ROUND(X271-SUMIFS($AA271:$BJ271, $AA$3:$BJ$3, X$3), rounding)=0, 0, 1)</f>
        <v>0</v>
      </c>
      <c r="CO271" s="7">
        <f>IF(ROUND(Y271-SUMIFS($AA271:$BJ271, $AA$3:$BJ$3, Y$3), rounding)=0, 0, 1)</f>
        <v>0</v>
      </c>
      <c r="CP271" s="7">
        <f>IF(ROUND(V271-BL271, rounding)=0, 0, 1)*'BS Forecasts'!$V$10</f>
        <v>0</v>
      </c>
      <c r="CQ271" s="335"/>
      <c r="CR271" s="12"/>
      <c r="CS271" s="93">
        <f t="shared" si="256"/>
        <v>0</v>
      </c>
      <c r="CT271" s="93">
        <v>1</v>
      </c>
      <c r="CU271" s="93">
        <v>1</v>
      </c>
      <c r="EX271" s="13" t="str">
        <f>IF(C271="", "", CONCATENATE(D256, " ",D271))</f>
        <v>Loan 12 Early Repayment Fee</v>
      </c>
    </row>
    <row r="272" spans="1:154" s="335" customFormat="1" ht="6.6" customHeight="1" x14ac:dyDescent="0.25">
      <c r="C272" s="380"/>
      <c r="D272" s="1"/>
      <c r="T272" s="25"/>
      <c r="U272" s="25"/>
      <c r="V272" s="93"/>
      <c r="BM272" s="6"/>
      <c r="BY272" s="42"/>
      <c r="CA272" s="42"/>
      <c r="CR272" s="42"/>
      <c r="CS272" s="93">
        <f t="shared" si="256"/>
        <v>0</v>
      </c>
      <c r="CT272" s="93">
        <v>0</v>
      </c>
      <c r="CU272" s="93">
        <v>0</v>
      </c>
      <c r="EX272" s="13" t="str">
        <f>IF(C272="", "", CONCATENATE(D256, " ",D272))</f>
        <v/>
      </c>
    </row>
    <row r="273" spans="1:154" s="335" customFormat="1" ht="15.75" x14ac:dyDescent="0.3">
      <c r="A273" s="362" cm="1">
        <f t="array" aca="1" ref="A273" ca="1">HYPERLINK(CONCATENATE("#",CELL("address",IF(SUM($CA273:$CR273)=0,A273,INDEX($CA273:$CR273,MATCH(1,$CA273:$CR273,0))))),SUM($CA273:$CR273))</f>
        <v>0</v>
      </c>
      <c r="B273" s="105" t="s">
        <v>335</v>
      </c>
      <c r="D273" s="51" t="s">
        <v>1630</v>
      </c>
      <c r="E273" s="220" t="str">
        <f>IF(I$24="", "", I$24)</f>
        <v/>
      </c>
      <c r="F273" s="220" t="str">
        <f>IF(J$24="", "", J$24)</f>
        <v/>
      </c>
      <c r="T273" s="25"/>
      <c r="U273" s="25"/>
      <c r="V273" s="230">
        <f>IF(AND(OR( V$5&gt;$F273, Timeline!V$8&lt;Loans!$E273), Loans!V271&lt;&gt;0), 1, 0)</f>
        <v>0</v>
      </c>
      <c r="W273" s="230">
        <f>IF(AND(OR( W$5&gt;$F273, Timeline!W$8&lt;Loans!$E273), Loans!W271&lt;&gt;0), 1, 0)</f>
        <v>0</v>
      </c>
      <c r="X273" s="230">
        <f>IF(AND(OR( X$5&gt;$F273, Timeline!X$8&lt;Loans!$E273), Loans!X271&lt;&gt;0), 1, 0)</f>
        <v>0</v>
      </c>
      <c r="Y273" s="230">
        <f>IF(AND(OR( Y$5&gt;$F273, Timeline!Y$8&lt;Loans!$E273), Loans!Y271&lt;&gt;0), 1, 0)</f>
        <v>0</v>
      </c>
      <c r="AA273" s="230">
        <f>IF(AND(OR( AA$5&gt;$F273, Timeline!AA$8&lt;Loans!$E273), Loans!AA271&lt;&gt;0), 1, 0)</f>
        <v>0</v>
      </c>
      <c r="AB273" s="230">
        <f>IF(AND(OR( AB$5&gt;$F273, Timeline!AB$8&lt;Loans!$E273), Loans!AB271&lt;&gt;0), 1, 0)</f>
        <v>0</v>
      </c>
      <c r="AC273" s="230">
        <f>IF(AND(OR( AC$5&gt;$F273, Timeline!AC$8&lt;Loans!$E273), Loans!AC271&lt;&gt;0), 1, 0)</f>
        <v>0</v>
      </c>
      <c r="AD273" s="230">
        <f>IF(AND(OR( AD$5&gt;$F273, Timeline!AD$8&lt;Loans!$E273), Loans!AD271&lt;&gt;0), 1, 0)</f>
        <v>0</v>
      </c>
      <c r="AE273" s="230">
        <f>IF(AND(OR( AE$5&gt;$F273, Timeline!AE$8&lt;Loans!$E273), Loans!AE271&lt;&gt;0), 1, 0)</f>
        <v>0</v>
      </c>
      <c r="AF273" s="230">
        <f>IF(AND(OR( AF$5&gt;$F273, Timeline!AF$8&lt;Loans!$E273), Loans!AF271&lt;&gt;0), 1, 0)</f>
        <v>0</v>
      </c>
      <c r="AG273" s="230">
        <f>IF(AND(OR( AG$5&gt;$F273, Timeline!AG$8&lt;Loans!$E273), Loans!AG271&lt;&gt;0), 1, 0)</f>
        <v>0</v>
      </c>
      <c r="AH273" s="230">
        <f>IF(AND(OR( AH$5&gt;$F273, Timeline!AH$8&lt;Loans!$E273), Loans!AH271&lt;&gt;0), 1, 0)</f>
        <v>0</v>
      </c>
      <c r="AI273" s="230">
        <f>IF(AND(OR( AI$5&gt;$F273, Timeline!AI$8&lt;Loans!$E273), Loans!AI271&lt;&gt;0), 1, 0)</f>
        <v>0</v>
      </c>
      <c r="AJ273" s="230">
        <f>IF(AND(OR( AJ$5&gt;$F273, Timeline!AJ$8&lt;Loans!$E273), Loans!AJ271&lt;&gt;0), 1, 0)</f>
        <v>0</v>
      </c>
      <c r="AK273" s="230">
        <f>IF(AND(OR( AK$5&gt;$F273, Timeline!AK$8&lt;Loans!$E273), Loans!AK271&lt;&gt;0), 1, 0)</f>
        <v>0</v>
      </c>
      <c r="AL273" s="230">
        <f>IF(AND(OR( AL$5&gt;$F273, Timeline!AL$8&lt;Loans!$E273), Loans!AL271&lt;&gt;0), 1, 0)</f>
        <v>0</v>
      </c>
      <c r="AM273" s="230">
        <f>IF(AND(OR( AM$5&gt;$F273, Timeline!AM$8&lt;Loans!$E273), Loans!AM271&lt;&gt;0), 1, 0)</f>
        <v>0</v>
      </c>
      <c r="AN273" s="230">
        <f>IF(AND(OR( AN$5&gt;$F273, Timeline!AN$8&lt;Loans!$E273), Loans!AN271&lt;&gt;0), 1, 0)</f>
        <v>0</v>
      </c>
      <c r="AO273" s="230">
        <f>IF(AND(OR( AO$5&gt;$F273, Timeline!AO$8&lt;Loans!$E273), Loans!AO271&lt;&gt;0), 1, 0)</f>
        <v>0</v>
      </c>
      <c r="AP273" s="230">
        <f>IF(AND(OR( AP$5&gt;$F273, Timeline!AP$8&lt;Loans!$E273), Loans!AP271&lt;&gt;0), 1, 0)</f>
        <v>0</v>
      </c>
      <c r="AQ273" s="230">
        <f>IF(AND(OR( AQ$5&gt;$F273, Timeline!AQ$8&lt;Loans!$E273), Loans!AQ271&lt;&gt;0), 1, 0)</f>
        <v>0</v>
      </c>
      <c r="AR273" s="230">
        <f>IF(AND(OR( AR$5&gt;$F273, Timeline!AR$8&lt;Loans!$E273), Loans!AR271&lt;&gt;0), 1, 0)</f>
        <v>0</v>
      </c>
      <c r="AS273" s="230">
        <f>IF(AND(OR( AS$5&gt;$F273, Timeline!AS$8&lt;Loans!$E273), Loans!AS271&lt;&gt;0), 1, 0)</f>
        <v>0</v>
      </c>
      <c r="AT273" s="230">
        <f>IF(AND(OR( AT$5&gt;$F273, Timeline!AT$8&lt;Loans!$E273), Loans!AT271&lt;&gt;0), 1, 0)</f>
        <v>0</v>
      </c>
      <c r="AU273" s="230">
        <f>IF(AND(OR( AU$5&gt;$F273, Timeline!AU$8&lt;Loans!$E273), Loans!AU271&lt;&gt;0), 1, 0)</f>
        <v>0</v>
      </c>
      <c r="AV273" s="230">
        <f>IF(AND(OR( AV$5&gt;$F273, Timeline!AV$8&lt;Loans!$E273), Loans!AV271&lt;&gt;0), 1, 0)</f>
        <v>0</v>
      </c>
      <c r="AW273" s="230">
        <f>IF(AND(OR( AW$5&gt;$F273, Timeline!AW$8&lt;Loans!$E273), Loans!AW271&lt;&gt;0), 1, 0)</f>
        <v>0</v>
      </c>
      <c r="AX273" s="230">
        <f>IF(AND(OR( AX$5&gt;$F273, Timeline!AX$8&lt;Loans!$E273), Loans!AX271&lt;&gt;0), 1, 0)</f>
        <v>0</v>
      </c>
      <c r="AY273" s="230">
        <f>IF(AND(OR( AY$5&gt;$F273, Timeline!AY$8&lt;Loans!$E273), Loans!AY271&lt;&gt;0), 1, 0)</f>
        <v>0</v>
      </c>
      <c r="AZ273" s="230">
        <f>IF(AND(OR( AZ$5&gt;$F273, Timeline!AZ$8&lt;Loans!$E273), Loans!AZ271&lt;&gt;0), 1, 0)</f>
        <v>0</v>
      </c>
      <c r="BA273" s="230">
        <f>IF(AND(OR( BA$5&gt;$F273, Timeline!BA$8&lt;Loans!$E273), Loans!BA271&lt;&gt;0), 1, 0)</f>
        <v>0</v>
      </c>
      <c r="BB273" s="230">
        <f>IF(AND(OR( BB$5&gt;$F273, Timeline!BB$8&lt;Loans!$E273), Loans!BB271&lt;&gt;0), 1, 0)</f>
        <v>0</v>
      </c>
      <c r="BC273" s="230">
        <f>IF(AND(OR( BC$5&gt;$F273, Timeline!BC$8&lt;Loans!$E273), Loans!BC271&lt;&gt;0), 1, 0)</f>
        <v>0</v>
      </c>
      <c r="BD273" s="230">
        <f>IF(AND(OR( BD$5&gt;$F273, Timeline!BD$8&lt;Loans!$E273), Loans!BD271&lt;&gt;0), 1, 0)</f>
        <v>0</v>
      </c>
      <c r="BE273" s="230">
        <f>IF(AND(OR( BE$5&gt;$F273, Timeline!BE$8&lt;Loans!$E273), Loans!BE271&lt;&gt;0), 1, 0)</f>
        <v>0</v>
      </c>
      <c r="BF273" s="230">
        <f>IF(AND(OR( BF$5&gt;$F273, Timeline!BF$8&lt;Loans!$E273), Loans!BF271&lt;&gt;0), 1, 0)</f>
        <v>0</v>
      </c>
      <c r="BG273" s="230">
        <f>IF(AND(OR( BG$5&gt;$F273, Timeline!BG$8&lt;Loans!$E273), Loans!BG271&lt;&gt;0), 1, 0)</f>
        <v>0</v>
      </c>
      <c r="BH273" s="230">
        <f>IF(AND(OR( BH$5&gt;$F273, Timeline!BH$8&lt;Loans!$E273), Loans!BH271&lt;&gt;0), 1, 0)</f>
        <v>0</v>
      </c>
      <c r="BI273" s="230">
        <f>IF(AND(OR( BI$5&gt;$F273, Timeline!BI$8&lt;Loans!$E273), Loans!BI271&lt;&gt;0), 1, 0)</f>
        <v>0</v>
      </c>
      <c r="BJ273" s="230">
        <f>IF(AND(OR( BJ$5&gt;$F273, Timeline!BJ$8&lt;Loans!$E273), Loans!BJ271&lt;&gt;0), 1, 0)</f>
        <v>0</v>
      </c>
      <c r="BL273" s="230">
        <f>IF(AND(OR( BL$5&gt;$F273, Timeline!BL$8&lt;Loans!$E273), Loans!BL271&lt;&gt;0), 1, 0)</f>
        <v>0</v>
      </c>
      <c r="BM273" s="230">
        <f>IF(AND(OR( BM$5&gt;$F273, Timeline!BM$8&lt;Loans!$E273), Loans!BM271&lt;&gt;0), 1, 0)</f>
        <v>0</v>
      </c>
      <c r="BN273" s="230">
        <f>IF(AND(OR( BN$5&gt;$F273, Timeline!BN$8&lt;Loans!$E273), Loans!BN271&lt;&gt;0), 1, 0)</f>
        <v>0</v>
      </c>
      <c r="BO273" s="230">
        <f>IF(AND(OR( BO$5&gt;$F273, Timeline!BO$8&lt;Loans!$E273), Loans!BO271&lt;&gt;0), 1, 0)</f>
        <v>0</v>
      </c>
      <c r="BP273" s="230">
        <f>IF(AND(OR( BP$5&gt;$F273, Timeline!BP$8&lt;Loans!$E273), Loans!BP271&lt;&gt;0), 1, 0)</f>
        <v>0</v>
      </c>
      <c r="BQ273" s="230">
        <f>IF(AND(OR( BQ$5&gt;$F273, Timeline!BQ$8&lt;Loans!$E273), Loans!BQ271&lt;&gt;0), 1, 0)</f>
        <v>0</v>
      </c>
      <c r="BR273" s="230">
        <f>IF(AND(OR( BR$5&gt;$F273, Timeline!BR$8&lt;Loans!$E273), Loans!BR271&lt;&gt;0), 1, 0)</f>
        <v>0</v>
      </c>
      <c r="BS273" s="230">
        <f>IF(AND(OR( BS$5&gt;$F273, Timeline!BS$8&lt;Loans!$E273), Loans!BS271&lt;&gt;0), 1, 0)</f>
        <v>0</v>
      </c>
      <c r="BT273" s="230">
        <f>IF(AND(OR( BT$5&gt;$F273, Timeline!BT$8&lt;Loans!$E273), Loans!BT271&lt;&gt;0), 1, 0)</f>
        <v>0</v>
      </c>
      <c r="BU273" s="230">
        <f>IF(AND(OR( BU$5&gt;$F273, Timeline!BU$8&lt;Loans!$E273), Loans!BU271&lt;&gt;0), 1, 0)</f>
        <v>0</v>
      </c>
      <c r="BV273" s="230">
        <f>IF(AND(OR( BV$5&gt;$F273, Timeline!BV$8&lt;Loans!$E273), Loans!BV271&lt;&gt;0), 1, 0)</f>
        <v>0</v>
      </c>
      <c r="BW273" s="230">
        <f>IF(AND(OR( BW$5&gt;$F273, Timeline!BW$8&lt;Loans!$E273), Loans!BW271&lt;&gt;0), 1, 0)</f>
        <v>0</v>
      </c>
      <c r="BY273" s="12"/>
      <c r="CA273" s="12"/>
      <c r="CL273" s="7">
        <f>IF(MAX($V273:$BW273)&gt;0, 1, 0)</f>
        <v>0</v>
      </c>
      <c r="CR273" s="12"/>
      <c r="CS273" s="93">
        <f t="shared" si="256"/>
        <v>1</v>
      </c>
      <c r="CT273" s="93">
        <v>0</v>
      </c>
      <c r="CU273" s="93">
        <v>0</v>
      </c>
      <c r="EX273" s="13" t="str">
        <f>IF(C273="", "", CONCATENATE(D256, " ",D273))</f>
        <v/>
      </c>
    </row>
    <row r="274" spans="1:154" s="335" customFormat="1" ht="6.6" customHeight="1" x14ac:dyDescent="0.25">
      <c r="C274" s="380"/>
      <c r="D274" s="1"/>
      <c r="T274" s="25"/>
      <c r="U274" s="25"/>
      <c r="V274" s="93"/>
      <c r="BM274" s="6"/>
      <c r="BY274" s="42"/>
      <c r="CA274" s="42"/>
      <c r="CR274" s="42"/>
      <c r="CS274" s="93">
        <f t="shared" si="256"/>
        <v>0</v>
      </c>
      <c r="CT274" s="93">
        <v>0</v>
      </c>
      <c r="CU274" s="93">
        <v>0</v>
      </c>
      <c r="EX274" s="10" t="str">
        <f t="shared" ref="EX274" si="287">IF($C274="","",$D274)</f>
        <v/>
      </c>
    </row>
    <row r="275" spans="1:154" s="67" customFormat="1" x14ac:dyDescent="0.25">
      <c r="A275" s="64"/>
      <c r="C275" s="380"/>
      <c r="D275" s="64" t="s">
        <v>202</v>
      </c>
      <c r="E275" s="64"/>
      <c r="F275" s="64"/>
      <c r="G275" s="64"/>
      <c r="H275" s="64"/>
      <c r="I275" s="64"/>
      <c r="L275" s="64"/>
      <c r="M275" s="64"/>
      <c r="N275" s="64"/>
      <c r="O275" s="64"/>
      <c r="P275" s="64"/>
      <c r="Q275" s="64"/>
      <c r="S275" s="335"/>
      <c r="T275" s="25"/>
      <c r="U275" s="25"/>
      <c r="V275" s="229"/>
      <c r="W275" s="25"/>
      <c r="X275" s="25"/>
      <c r="Y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L275" s="25"/>
      <c r="BM275" s="25"/>
      <c r="BN275" s="25"/>
      <c r="BO275" s="25"/>
      <c r="BP275" s="25"/>
      <c r="BQ275" s="25"/>
      <c r="BR275" s="25"/>
      <c r="BS275" s="25"/>
      <c r="BT275" s="25"/>
      <c r="BU275" s="25"/>
      <c r="BV275" s="25"/>
      <c r="BW275" s="25"/>
      <c r="BY275" s="12"/>
      <c r="BZ275" s="335"/>
      <c r="CA275" s="12"/>
      <c r="CB275" s="335"/>
      <c r="CC275" s="335"/>
      <c r="CD275" s="335"/>
      <c r="CE275" s="335"/>
      <c r="CM275" s="335"/>
      <c r="CN275" s="335"/>
      <c r="CO275" s="335"/>
      <c r="CP275" s="335"/>
      <c r="CR275" s="12"/>
      <c r="CS275" s="93">
        <f t="shared" si="256"/>
        <v>0</v>
      </c>
      <c r="CT275" s="93">
        <v>0</v>
      </c>
      <c r="CU275" s="93">
        <v>0</v>
      </c>
      <c r="EW275" s="335"/>
      <c r="EX275" s="10" t="str">
        <f t="shared" si="232"/>
        <v/>
      </c>
    </row>
    <row r="276" spans="1:154" s="67" customFormat="1" x14ac:dyDescent="0.25">
      <c r="C276" s="340" t="s">
        <v>1385</v>
      </c>
      <c r="D276" s="51" t="s">
        <v>230</v>
      </c>
      <c r="E276" s="1"/>
      <c r="G276" s="9" t="s">
        <v>413</v>
      </c>
      <c r="H276" s="50" t="s">
        <v>8</v>
      </c>
      <c r="S276" s="335"/>
      <c r="T276" s="25"/>
      <c r="U276" s="25"/>
      <c r="V276" s="222"/>
      <c r="W276" s="201">
        <f>V280</f>
        <v>0</v>
      </c>
      <c r="X276" s="201">
        <f>W280</f>
        <v>0</v>
      </c>
      <c r="Y276" s="10">
        <f>X280</f>
        <v>0</v>
      </c>
      <c r="AA276" s="13">
        <f>W276</f>
        <v>0</v>
      </c>
      <c r="AB276" s="153">
        <f t="shared" ref="AB276:BJ276" si="288">AA280</f>
        <v>0</v>
      </c>
      <c r="AC276" s="153">
        <f t="shared" si="288"/>
        <v>0</v>
      </c>
      <c r="AD276" s="153">
        <f t="shared" si="288"/>
        <v>0</v>
      </c>
      <c r="AE276" s="153">
        <f t="shared" si="288"/>
        <v>0</v>
      </c>
      <c r="AF276" s="153">
        <f t="shared" si="288"/>
        <v>0</v>
      </c>
      <c r="AG276" s="153">
        <f t="shared" si="288"/>
        <v>0</v>
      </c>
      <c r="AH276" s="153">
        <f t="shared" si="288"/>
        <v>0</v>
      </c>
      <c r="AI276" s="153">
        <f t="shared" si="288"/>
        <v>0</v>
      </c>
      <c r="AJ276" s="153">
        <f t="shared" si="288"/>
        <v>0</v>
      </c>
      <c r="AK276" s="153">
        <f t="shared" si="288"/>
        <v>0</v>
      </c>
      <c r="AL276" s="153">
        <f t="shared" si="288"/>
        <v>0</v>
      </c>
      <c r="AM276" s="153">
        <f t="shared" si="288"/>
        <v>0</v>
      </c>
      <c r="AN276" s="153">
        <f t="shared" si="288"/>
        <v>0</v>
      </c>
      <c r="AO276" s="153">
        <f t="shared" si="288"/>
        <v>0</v>
      </c>
      <c r="AP276" s="153">
        <f t="shared" si="288"/>
        <v>0</v>
      </c>
      <c r="AQ276" s="153">
        <f t="shared" si="288"/>
        <v>0</v>
      </c>
      <c r="AR276" s="153">
        <f t="shared" si="288"/>
        <v>0</v>
      </c>
      <c r="AS276" s="153">
        <f t="shared" si="288"/>
        <v>0</v>
      </c>
      <c r="AT276" s="153">
        <f t="shared" si="288"/>
        <v>0</v>
      </c>
      <c r="AU276" s="153">
        <f t="shared" si="288"/>
        <v>0</v>
      </c>
      <c r="AV276" s="153">
        <f t="shared" si="288"/>
        <v>0</v>
      </c>
      <c r="AW276" s="153">
        <f t="shared" si="288"/>
        <v>0</v>
      </c>
      <c r="AX276" s="153">
        <f t="shared" si="288"/>
        <v>0</v>
      </c>
      <c r="AY276" s="153">
        <f t="shared" si="288"/>
        <v>0</v>
      </c>
      <c r="AZ276" s="153">
        <f t="shared" si="288"/>
        <v>0</v>
      </c>
      <c r="BA276" s="153">
        <f t="shared" si="288"/>
        <v>0</v>
      </c>
      <c r="BB276" s="153">
        <f t="shared" si="288"/>
        <v>0</v>
      </c>
      <c r="BC276" s="153">
        <f t="shared" si="288"/>
        <v>0</v>
      </c>
      <c r="BD276" s="153">
        <f t="shared" si="288"/>
        <v>0</v>
      </c>
      <c r="BE276" s="153">
        <f t="shared" si="288"/>
        <v>0</v>
      </c>
      <c r="BF276" s="153">
        <f t="shared" si="288"/>
        <v>0</v>
      </c>
      <c r="BG276" s="153">
        <f t="shared" si="288"/>
        <v>0</v>
      </c>
      <c r="BH276" s="153">
        <f t="shared" si="288"/>
        <v>0</v>
      </c>
      <c r="BI276" s="153">
        <f t="shared" si="288"/>
        <v>0</v>
      </c>
      <c r="BJ276" s="153">
        <f t="shared" si="288"/>
        <v>0</v>
      </c>
      <c r="BL276" s="152">
        <f t="shared" ref="BL276:BO280" si="289">V276</f>
        <v>0</v>
      </c>
      <c r="BM276" s="152">
        <f t="shared" si="289"/>
        <v>0</v>
      </c>
      <c r="BN276" s="152">
        <f t="shared" si="289"/>
        <v>0</v>
      </c>
      <c r="BO276" s="152">
        <f t="shared" si="289"/>
        <v>0</v>
      </c>
      <c r="BP276" s="153">
        <f t="shared" ref="BP276:BW276" si="290">BO280</f>
        <v>0</v>
      </c>
      <c r="BQ276" s="153">
        <f t="shared" si="290"/>
        <v>0</v>
      </c>
      <c r="BR276" s="153">
        <f t="shared" si="290"/>
        <v>0</v>
      </c>
      <c r="BS276" s="153">
        <f t="shared" si="290"/>
        <v>0</v>
      </c>
      <c r="BT276" s="153">
        <f t="shared" si="290"/>
        <v>0</v>
      </c>
      <c r="BU276" s="153">
        <f t="shared" si="290"/>
        <v>0</v>
      </c>
      <c r="BV276" s="153">
        <f t="shared" si="290"/>
        <v>0</v>
      </c>
      <c r="BW276" s="153">
        <f t="shared" si="290"/>
        <v>0</v>
      </c>
      <c r="BY276" s="12"/>
      <c r="BZ276" s="335"/>
      <c r="CA276" s="12"/>
      <c r="CB276" s="335"/>
      <c r="CC276" s="335"/>
      <c r="CD276" s="335"/>
      <c r="CE276" s="335"/>
      <c r="CM276" s="335"/>
      <c r="CN276" s="335"/>
      <c r="CO276" s="335"/>
      <c r="CP276" s="335"/>
      <c r="CR276" s="12"/>
      <c r="CS276" s="93">
        <f t="shared" si="256"/>
        <v>0</v>
      </c>
      <c r="CT276" s="93">
        <v>1</v>
      </c>
      <c r="CU276" s="93">
        <v>0</v>
      </c>
      <c r="EW276" s="335"/>
      <c r="EX276" s="13" t="str">
        <f>IF(C276="", "", CONCATENATE(D275, " ",D276))</f>
        <v>Loan 13 Opening Loan Balance</v>
      </c>
    </row>
    <row r="277" spans="1:154" s="5" customFormat="1" x14ac:dyDescent="0.25">
      <c r="A277" s="362" cm="1">
        <f t="array" aca="1" ref="A277" ca="1">HYPERLINK(CONCATENATE("#",CELL("address",IF(SUM($CA277:$CR277)=0,A277,INDEX($CA277:$CR277,MATCH(1,$CA277:$CR277,0))))),SUM($CA277:$CR277))</f>
        <v>0</v>
      </c>
      <c r="B277" s="67"/>
      <c r="C277" s="340" t="s">
        <v>1251</v>
      </c>
      <c r="D277" s="51" t="s">
        <v>219</v>
      </c>
      <c r="E277" s="1"/>
      <c r="F277" s="67"/>
      <c r="G277" s="9" t="s">
        <v>413</v>
      </c>
      <c r="H277" s="50" t="s">
        <v>125</v>
      </c>
      <c r="I277" s="67"/>
      <c r="J277" s="67"/>
      <c r="K277" s="67"/>
      <c r="L277" s="67"/>
      <c r="M277" s="67"/>
      <c r="N277" s="67"/>
      <c r="O277" s="67"/>
      <c r="P277" s="67"/>
      <c r="Q277" s="67"/>
      <c r="R277" s="67"/>
      <c r="S277" s="335"/>
      <c r="T277" s="25"/>
      <c r="U277" s="25"/>
      <c r="V277" s="222"/>
      <c r="W277" s="215">
        <f t="shared" ref="W277:Y279" si="291" xml:space="preserve"> SUMIFS($AA277:$BJ277, $AA$3:$BJ$3, W$3)</f>
        <v>0</v>
      </c>
      <c r="X277" s="215">
        <f t="shared" si="291"/>
        <v>0</v>
      </c>
      <c r="Y277" s="215">
        <f t="shared" si="291"/>
        <v>0</v>
      </c>
      <c r="Z277" s="67"/>
      <c r="AA277" s="147"/>
      <c r="AB277" s="147"/>
      <c r="AC277" s="147"/>
      <c r="AD277" s="147"/>
      <c r="AE277" s="147"/>
      <c r="AF277" s="147"/>
      <c r="AG277" s="147"/>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c r="BI277" s="147"/>
      <c r="BJ277" s="147"/>
      <c r="BK277" s="67"/>
      <c r="BL277" s="152">
        <f t="shared" si="289"/>
        <v>0</v>
      </c>
      <c r="BM277" s="152">
        <f t="shared" si="289"/>
        <v>0</v>
      </c>
      <c r="BN277" s="152">
        <f t="shared" si="289"/>
        <v>0</v>
      </c>
      <c r="BO277" s="152">
        <f t="shared" si="289"/>
        <v>0</v>
      </c>
      <c r="BP277" s="156"/>
      <c r="BQ277" s="156"/>
      <c r="BR277" s="156"/>
      <c r="BS277" s="156"/>
      <c r="BT277" s="156"/>
      <c r="BU277" s="156"/>
      <c r="BV277" s="156"/>
      <c r="BW277" s="156"/>
      <c r="BX277" s="67"/>
      <c r="BY277" s="12"/>
      <c r="BZ277" s="395">
        <f>IF(MIN($V277:$BW277)&lt;0, 1, 0)</f>
        <v>0</v>
      </c>
      <c r="CA277" s="12"/>
      <c r="CB277" s="335"/>
      <c r="CC277" s="335"/>
      <c r="CD277" s="335"/>
      <c r="CE277" s="335"/>
      <c r="CF277" s="67"/>
      <c r="CG277" s="67"/>
      <c r="CH277" s="67"/>
      <c r="CI277" s="67"/>
      <c r="CJ277" s="67"/>
      <c r="CK277" s="67"/>
      <c r="CL277" s="67"/>
      <c r="CM277" s="7">
        <f t="shared" ref="CM277:CO279" si="292">IF(ROUND(W277-SUMIFS($AA277:$BJ277, $AA$3:$BJ$3, W$3), rounding)=0, 0, 1)</f>
        <v>0</v>
      </c>
      <c r="CN277" s="7">
        <f t="shared" si="292"/>
        <v>0</v>
      </c>
      <c r="CO277" s="7">
        <f t="shared" si="292"/>
        <v>0</v>
      </c>
      <c r="CP277" s="7">
        <f>IF(ROUND(V277-BL277, rounding)=0, 0, 1)*'BS Forecasts'!$V$10</f>
        <v>0</v>
      </c>
      <c r="CQ277" s="67"/>
      <c r="CR277" s="12"/>
      <c r="CS277" s="93">
        <f t="shared" si="256"/>
        <v>0</v>
      </c>
      <c r="CT277" s="93">
        <v>1</v>
      </c>
      <c r="CU277" s="93">
        <v>1</v>
      </c>
      <c r="EX277" s="13" t="str">
        <f>IF(C277="", "", CONCATENATE(D275, " ",D277))</f>
        <v>Loan 13 Drawdowns</v>
      </c>
    </row>
    <row r="278" spans="1:154" s="67" customFormat="1" x14ac:dyDescent="0.25">
      <c r="A278" s="362" cm="1">
        <f t="array" aca="1" ref="A278" ca="1">HYPERLINK(CONCATENATE("#",CELL("address",IF(SUM($CA278:$CR278)=0,A278,INDEX($CA278:$CR278,MATCH(1,$CA278:$CR278,0))))),SUM($CA278:$CR278))</f>
        <v>0</v>
      </c>
      <c r="C278" s="340" t="s">
        <v>1252</v>
      </c>
      <c r="D278" s="41" t="s">
        <v>1570</v>
      </c>
      <c r="E278" s="1"/>
      <c r="G278" s="9" t="s">
        <v>413</v>
      </c>
      <c r="H278" s="50" t="s">
        <v>157</v>
      </c>
      <c r="S278" s="335"/>
      <c r="T278" s="25"/>
      <c r="U278" s="25"/>
      <c r="V278" s="222"/>
      <c r="W278" s="215">
        <f t="shared" si="291"/>
        <v>0</v>
      </c>
      <c r="X278" s="215">
        <f t="shared" si="291"/>
        <v>0</v>
      </c>
      <c r="Y278" s="215">
        <f t="shared" si="291"/>
        <v>0</v>
      </c>
      <c r="AA278" s="147"/>
      <c r="AB278" s="147"/>
      <c r="AC278" s="147"/>
      <c r="AD278" s="147"/>
      <c r="AE278" s="147"/>
      <c r="AF278" s="147"/>
      <c r="AG278" s="147"/>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c r="BI278" s="147"/>
      <c r="BJ278" s="147"/>
      <c r="BL278" s="152">
        <f t="shared" si="289"/>
        <v>0</v>
      </c>
      <c r="BM278" s="152">
        <f t="shared" si="289"/>
        <v>0</v>
      </c>
      <c r="BN278" s="152">
        <f t="shared" si="289"/>
        <v>0</v>
      </c>
      <c r="BO278" s="152">
        <f t="shared" si="289"/>
        <v>0</v>
      </c>
      <c r="BP278" s="156"/>
      <c r="BQ278" s="156"/>
      <c r="BR278" s="156"/>
      <c r="BS278" s="156"/>
      <c r="BT278" s="156"/>
      <c r="BU278" s="156"/>
      <c r="BV278" s="156"/>
      <c r="BW278" s="156"/>
      <c r="BY278" s="12"/>
      <c r="BZ278" s="395">
        <f>IF(MAX($V278:$BW278)&gt;0, 1, 0)</f>
        <v>0</v>
      </c>
      <c r="CA278" s="12"/>
      <c r="CB278" s="335"/>
      <c r="CC278" s="335"/>
      <c r="CD278" s="335"/>
      <c r="CE278" s="335"/>
      <c r="CM278" s="7">
        <f t="shared" si="292"/>
        <v>0</v>
      </c>
      <c r="CN278" s="7">
        <f t="shared" si="292"/>
        <v>0</v>
      </c>
      <c r="CO278" s="7">
        <f t="shared" si="292"/>
        <v>0</v>
      </c>
      <c r="CP278" s="7">
        <f>IF(ROUND(V278-BL278, rounding)=0, 0, 1)*'BS Forecasts'!$V$10</f>
        <v>0</v>
      </c>
      <c r="CR278" s="12"/>
      <c r="CS278" s="93">
        <f t="shared" si="256"/>
        <v>0</v>
      </c>
      <c r="CT278" s="93">
        <v>1</v>
      </c>
      <c r="CU278" s="93">
        <v>1</v>
      </c>
      <c r="EW278" s="335"/>
      <c r="EX278" s="13" t="str">
        <f>IF(C278="", "", CONCATENATE(D275, " ",D278))</f>
        <v>Loan 13 Loan Capital Repayment (as per loan agreement)</v>
      </c>
    </row>
    <row r="279" spans="1:154" s="335" customFormat="1" x14ac:dyDescent="0.25">
      <c r="A279" s="362" cm="1">
        <f t="array" aca="1" ref="A279" ca="1">HYPERLINK(CONCATENATE("#",CELL("address",IF(SUM($CA279:$CR279)=0,A279,INDEX($CA279:$CR279,MATCH(1,$CA279:$CR279,0))))),SUM($CA279:$CR279))</f>
        <v>0</v>
      </c>
      <c r="C279" s="340" t="s">
        <v>1580</v>
      </c>
      <c r="D279" s="41" t="s">
        <v>1571</v>
      </c>
      <c r="E279" s="1"/>
      <c r="G279" s="9" t="s">
        <v>413</v>
      </c>
      <c r="H279" s="50" t="s">
        <v>157</v>
      </c>
      <c r="T279" s="25"/>
      <c r="U279" s="25"/>
      <c r="V279" s="210"/>
      <c r="W279" s="215">
        <f t="shared" si="291"/>
        <v>0</v>
      </c>
      <c r="X279" s="215">
        <f t="shared" si="291"/>
        <v>0</v>
      </c>
      <c r="Y279" s="215">
        <f t="shared" si="291"/>
        <v>0</v>
      </c>
      <c r="AA279" s="147"/>
      <c r="AB279" s="147"/>
      <c r="AC279" s="147"/>
      <c r="AD279" s="147"/>
      <c r="AE279" s="147"/>
      <c r="AF279" s="147"/>
      <c r="AG279" s="147"/>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c r="BI279" s="147"/>
      <c r="BJ279" s="147"/>
      <c r="BL279" s="13">
        <f t="shared" si="289"/>
        <v>0</v>
      </c>
      <c r="BM279" s="13">
        <f t="shared" si="289"/>
        <v>0</v>
      </c>
      <c r="BN279" s="13">
        <f t="shared" si="289"/>
        <v>0</v>
      </c>
      <c r="BO279" s="13">
        <f t="shared" si="289"/>
        <v>0</v>
      </c>
      <c r="BP279" s="141"/>
      <c r="BQ279" s="141"/>
      <c r="BR279" s="141"/>
      <c r="BS279" s="141"/>
      <c r="BT279" s="141"/>
      <c r="BU279" s="141"/>
      <c r="BV279" s="141"/>
      <c r="BW279" s="141"/>
      <c r="BY279" s="12"/>
      <c r="BZ279" s="395">
        <f>IF(MAX($V279:$BW279)&gt;0, 1, 0)</f>
        <v>0</v>
      </c>
      <c r="CA279" s="12"/>
      <c r="CM279" s="7">
        <f t="shared" si="292"/>
        <v>0</v>
      </c>
      <c r="CN279" s="7">
        <f t="shared" si="292"/>
        <v>0</v>
      </c>
      <c r="CO279" s="7">
        <f t="shared" si="292"/>
        <v>0</v>
      </c>
      <c r="CP279" s="7">
        <f>IF(ROUND(V279-BL279, rounding)=0, 0, 1)*'BS Forecasts'!$V$10</f>
        <v>0</v>
      </c>
      <c r="CR279" s="12"/>
      <c r="CS279" s="93">
        <f t="shared" si="256"/>
        <v>0</v>
      </c>
      <c r="CT279" s="93">
        <v>1</v>
      </c>
      <c r="CU279" s="93">
        <v>1</v>
      </c>
      <c r="EX279" s="13" t="str">
        <f>IF(C279="", "", CONCATENATE(D275, " ",D279))</f>
        <v xml:space="preserve">Loan 13 Early Repayment </v>
      </c>
    </row>
    <row r="280" spans="1:154" s="67" customFormat="1" x14ac:dyDescent="0.25">
      <c r="C280" s="340" t="s">
        <v>1365</v>
      </c>
      <c r="D280" s="51" t="s">
        <v>231</v>
      </c>
      <c r="E280" s="1"/>
      <c r="F280" s="25"/>
      <c r="G280" s="9" t="s">
        <v>413</v>
      </c>
      <c r="H280" s="50" t="s">
        <v>8</v>
      </c>
      <c r="S280" s="335"/>
      <c r="T280" s="25"/>
      <c r="U280" s="25"/>
      <c r="V280" s="13">
        <f>$G$25</f>
        <v>0</v>
      </c>
      <c r="W280" s="153">
        <f>SUM(W276:W279)</f>
        <v>0</v>
      </c>
      <c r="X280" s="153">
        <f t="shared" ref="X280:BI280" si="293">SUM(X276:X279)</f>
        <v>0</v>
      </c>
      <c r="Y280" s="153">
        <f t="shared" si="293"/>
        <v>0</v>
      </c>
      <c r="Z280" s="335"/>
      <c r="AA280" s="153">
        <f t="shared" si="293"/>
        <v>0</v>
      </c>
      <c r="AB280" s="153">
        <f t="shared" si="293"/>
        <v>0</v>
      </c>
      <c r="AC280" s="153">
        <f t="shared" si="293"/>
        <v>0</v>
      </c>
      <c r="AD280" s="153">
        <f t="shared" si="293"/>
        <v>0</v>
      </c>
      <c r="AE280" s="153">
        <f t="shared" si="293"/>
        <v>0</v>
      </c>
      <c r="AF280" s="153">
        <f t="shared" si="293"/>
        <v>0</v>
      </c>
      <c r="AG280" s="153">
        <f t="shared" si="293"/>
        <v>0</v>
      </c>
      <c r="AH280" s="153">
        <f t="shared" si="293"/>
        <v>0</v>
      </c>
      <c r="AI280" s="153">
        <f t="shared" si="293"/>
        <v>0</v>
      </c>
      <c r="AJ280" s="153">
        <f t="shared" si="293"/>
        <v>0</v>
      </c>
      <c r="AK280" s="153">
        <f t="shared" si="293"/>
        <v>0</v>
      </c>
      <c r="AL280" s="153">
        <f t="shared" si="293"/>
        <v>0</v>
      </c>
      <c r="AM280" s="153">
        <f t="shared" si="293"/>
        <v>0</v>
      </c>
      <c r="AN280" s="153">
        <f t="shared" si="293"/>
        <v>0</v>
      </c>
      <c r="AO280" s="153">
        <f t="shared" si="293"/>
        <v>0</v>
      </c>
      <c r="AP280" s="153">
        <f t="shared" si="293"/>
        <v>0</v>
      </c>
      <c r="AQ280" s="153">
        <f t="shared" si="293"/>
        <v>0</v>
      </c>
      <c r="AR280" s="153">
        <f t="shared" si="293"/>
        <v>0</v>
      </c>
      <c r="AS280" s="153">
        <f t="shared" si="293"/>
        <v>0</v>
      </c>
      <c r="AT280" s="153">
        <f t="shared" si="293"/>
        <v>0</v>
      </c>
      <c r="AU280" s="153">
        <f t="shared" si="293"/>
        <v>0</v>
      </c>
      <c r="AV280" s="153">
        <f t="shared" si="293"/>
        <v>0</v>
      </c>
      <c r="AW280" s="153">
        <f t="shared" si="293"/>
        <v>0</v>
      </c>
      <c r="AX280" s="153">
        <f t="shared" si="293"/>
        <v>0</v>
      </c>
      <c r="AY280" s="153">
        <f t="shared" si="293"/>
        <v>0</v>
      </c>
      <c r="AZ280" s="153">
        <f t="shared" si="293"/>
        <v>0</v>
      </c>
      <c r="BA280" s="153">
        <f t="shared" si="293"/>
        <v>0</v>
      </c>
      <c r="BB280" s="153">
        <f t="shared" si="293"/>
        <v>0</v>
      </c>
      <c r="BC280" s="153">
        <f t="shared" si="293"/>
        <v>0</v>
      </c>
      <c r="BD280" s="153">
        <f t="shared" si="293"/>
        <v>0</v>
      </c>
      <c r="BE280" s="153">
        <f t="shared" si="293"/>
        <v>0</v>
      </c>
      <c r="BF280" s="153">
        <f t="shared" si="293"/>
        <v>0</v>
      </c>
      <c r="BG280" s="153">
        <f t="shared" si="293"/>
        <v>0</v>
      </c>
      <c r="BH280" s="153">
        <f t="shared" si="293"/>
        <v>0</v>
      </c>
      <c r="BI280" s="153">
        <f t="shared" si="293"/>
        <v>0</v>
      </c>
      <c r="BJ280" s="153">
        <f>SUM(BJ276:BJ279)</f>
        <v>0</v>
      </c>
      <c r="BL280" s="152">
        <f t="shared" si="289"/>
        <v>0</v>
      </c>
      <c r="BM280" s="152">
        <f t="shared" si="289"/>
        <v>0</v>
      </c>
      <c r="BN280" s="152">
        <f t="shared" si="289"/>
        <v>0</v>
      </c>
      <c r="BO280" s="152">
        <f t="shared" si="289"/>
        <v>0</v>
      </c>
      <c r="BP280" s="153">
        <f>SUM(BP276:BP279)</f>
        <v>0</v>
      </c>
      <c r="BQ280" s="153">
        <f t="shared" ref="BQ280:BW280" si="294">SUM(BQ276:BQ279)</f>
        <v>0</v>
      </c>
      <c r="BR280" s="153">
        <f t="shared" si="294"/>
        <v>0</v>
      </c>
      <c r="BS280" s="153">
        <f t="shared" si="294"/>
        <v>0</v>
      </c>
      <c r="BT280" s="153">
        <f t="shared" si="294"/>
        <v>0</v>
      </c>
      <c r="BU280" s="153">
        <f t="shared" si="294"/>
        <v>0</v>
      </c>
      <c r="BV280" s="153">
        <f t="shared" si="294"/>
        <v>0</v>
      </c>
      <c r="BW280" s="153">
        <f t="shared" si="294"/>
        <v>0</v>
      </c>
      <c r="BY280" s="12"/>
      <c r="BZ280" s="335"/>
      <c r="CA280" s="12"/>
      <c r="CB280" s="335"/>
      <c r="CC280" s="335"/>
      <c r="CD280" s="335"/>
      <c r="CE280" s="335"/>
      <c r="CM280" s="335"/>
      <c r="CN280" s="335"/>
      <c r="CO280" s="335"/>
      <c r="CP280" s="335"/>
      <c r="CR280" s="12"/>
      <c r="CS280" s="93">
        <f t="shared" si="256"/>
        <v>0</v>
      </c>
      <c r="CT280" s="93">
        <v>0</v>
      </c>
      <c r="CU280" s="93">
        <v>0</v>
      </c>
      <c r="EW280" s="335"/>
      <c r="EX280" s="13" t="str">
        <f>IF(C280="", "", CONCATENATE(D275, " ",D280))</f>
        <v>Loan 13 Closing Loan Balance</v>
      </c>
    </row>
    <row r="281" spans="1:154" s="67" customFormat="1" ht="6.6" customHeight="1" x14ac:dyDescent="0.25">
      <c r="C281" s="380"/>
      <c r="D281" s="1"/>
      <c r="F281" s="25"/>
      <c r="S281" s="335"/>
      <c r="T281" s="25"/>
      <c r="U281" s="25"/>
      <c r="V281" s="93"/>
      <c r="BM281" s="6"/>
      <c r="BY281" s="42"/>
      <c r="BZ281" s="335"/>
      <c r="CA281" s="42"/>
      <c r="CB281" s="335"/>
      <c r="CC281" s="335"/>
      <c r="CD281" s="335"/>
      <c r="CE281" s="335"/>
      <c r="CM281" s="335"/>
      <c r="CN281" s="335"/>
      <c r="CO281" s="335"/>
      <c r="CP281" s="335"/>
      <c r="CR281" s="42"/>
      <c r="CS281" s="93">
        <f t="shared" si="256"/>
        <v>0</v>
      </c>
      <c r="CT281" s="93">
        <v>0</v>
      </c>
      <c r="CU281" s="93">
        <v>0</v>
      </c>
      <c r="EW281" s="335"/>
      <c r="EX281" s="13" t="str">
        <f>IF(C281="", "", CONCATENATE(D275, " ",D281))</f>
        <v/>
      </c>
    </row>
    <row r="282" spans="1:154" s="67" customFormat="1" x14ac:dyDescent="0.25">
      <c r="A282" s="362" cm="1">
        <f t="array" aca="1" ref="A282" ca="1">HYPERLINK(CONCATENATE("#",CELL("address",IF(SUM($CA282:$CR282)=0,A282,INDEX($CA282:$CR282,MATCH(1,$CA282:$CR282,0))))),SUM($CA282:$CR282))</f>
        <v>0</v>
      </c>
      <c r="C282" s="380"/>
      <c r="D282" s="51" t="s">
        <v>526</v>
      </c>
      <c r="E282" s="160" t="s">
        <v>523</v>
      </c>
      <c r="F282" s="153">
        <f>$F$25</f>
        <v>0</v>
      </c>
      <c r="S282" s="335"/>
      <c r="T282" s="25"/>
      <c r="U282" s="25"/>
      <c r="V282" s="188">
        <f>IF(OR(V280&gt;$F282, V280&lt;0), 1, 0)</f>
        <v>0</v>
      </c>
      <c r="W282" s="7">
        <f>IF(OR(W280&gt;$F282, W280&lt;0), 1, 0)</f>
        <v>0</v>
      </c>
      <c r="X282" s="7">
        <f>IF(OR(X280&gt;$F282, X280&lt;0), 1, 0)</f>
        <v>0</v>
      </c>
      <c r="Y282" s="7">
        <f>IF(OR(Y280&gt;$F282, Y280&lt;0), 1, 0)</f>
        <v>0</v>
      </c>
      <c r="AA282" s="7">
        <f t="shared" ref="AA282:BJ282" si="295">IF(OR(AA280&gt;$F282, AA280&lt;0), 1, 0)</f>
        <v>0</v>
      </c>
      <c r="AB282" s="7">
        <f t="shared" si="295"/>
        <v>0</v>
      </c>
      <c r="AC282" s="7">
        <f t="shared" si="295"/>
        <v>0</v>
      </c>
      <c r="AD282" s="7">
        <f t="shared" si="295"/>
        <v>0</v>
      </c>
      <c r="AE282" s="7">
        <f t="shared" si="295"/>
        <v>0</v>
      </c>
      <c r="AF282" s="7">
        <f t="shared" si="295"/>
        <v>0</v>
      </c>
      <c r="AG282" s="7">
        <f t="shared" si="295"/>
        <v>0</v>
      </c>
      <c r="AH282" s="7">
        <f t="shared" si="295"/>
        <v>0</v>
      </c>
      <c r="AI282" s="7">
        <f t="shared" si="295"/>
        <v>0</v>
      </c>
      <c r="AJ282" s="7">
        <f t="shared" si="295"/>
        <v>0</v>
      </c>
      <c r="AK282" s="7">
        <f t="shared" si="295"/>
        <v>0</v>
      </c>
      <c r="AL282" s="7">
        <f t="shared" si="295"/>
        <v>0</v>
      </c>
      <c r="AM282" s="7">
        <f t="shared" si="295"/>
        <v>0</v>
      </c>
      <c r="AN282" s="7">
        <f t="shared" si="295"/>
        <v>0</v>
      </c>
      <c r="AO282" s="7">
        <f t="shared" si="295"/>
        <v>0</v>
      </c>
      <c r="AP282" s="7">
        <f t="shared" si="295"/>
        <v>0</v>
      </c>
      <c r="AQ282" s="7">
        <f t="shared" si="295"/>
        <v>0</v>
      </c>
      <c r="AR282" s="7">
        <f t="shared" si="295"/>
        <v>0</v>
      </c>
      <c r="AS282" s="7">
        <f t="shared" si="295"/>
        <v>0</v>
      </c>
      <c r="AT282" s="7">
        <f t="shared" si="295"/>
        <v>0</v>
      </c>
      <c r="AU282" s="7">
        <f t="shared" si="295"/>
        <v>0</v>
      </c>
      <c r="AV282" s="7">
        <f t="shared" si="295"/>
        <v>0</v>
      </c>
      <c r="AW282" s="7">
        <f t="shared" si="295"/>
        <v>0</v>
      </c>
      <c r="AX282" s="7">
        <f t="shared" si="295"/>
        <v>0</v>
      </c>
      <c r="AY282" s="7">
        <f t="shared" si="295"/>
        <v>0</v>
      </c>
      <c r="AZ282" s="7">
        <f t="shared" si="295"/>
        <v>0</v>
      </c>
      <c r="BA282" s="7">
        <f t="shared" si="295"/>
        <v>0</v>
      </c>
      <c r="BB282" s="7">
        <f t="shared" si="295"/>
        <v>0</v>
      </c>
      <c r="BC282" s="7">
        <f t="shared" si="295"/>
        <v>0</v>
      </c>
      <c r="BD282" s="7">
        <f t="shared" si="295"/>
        <v>0</v>
      </c>
      <c r="BE282" s="7">
        <f t="shared" si="295"/>
        <v>0</v>
      </c>
      <c r="BF282" s="7">
        <f t="shared" si="295"/>
        <v>0</v>
      </c>
      <c r="BG282" s="7">
        <f t="shared" si="295"/>
        <v>0</v>
      </c>
      <c r="BH282" s="7">
        <f t="shared" si="295"/>
        <v>0</v>
      </c>
      <c r="BI282" s="7">
        <f t="shared" si="295"/>
        <v>0</v>
      </c>
      <c r="BJ282" s="7">
        <f t="shared" si="295"/>
        <v>0</v>
      </c>
      <c r="BL282" s="7">
        <f t="shared" ref="BL282" si="296">IF(OR(BL280&gt;$F282, BL280&lt;0), 1, 0)</f>
        <v>0</v>
      </c>
      <c r="BM282" s="7">
        <f t="shared" ref="BM282:BW282" si="297">IF(OR(BM280&gt;$F282, BM280&lt;0), 1, 0)</f>
        <v>0</v>
      </c>
      <c r="BN282" s="7">
        <f t="shared" si="297"/>
        <v>0</v>
      </c>
      <c r="BO282" s="7">
        <f t="shared" si="297"/>
        <v>0</v>
      </c>
      <c r="BP282" s="7">
        <f t="shared" si="297"/>
        <v>0</v>
      </c>
      <c r="BQ282" s="7">
        <f t="shared" si="297"/>
        <v>0</v>
      </c>
      <c r="BR282" s="7">
        <f t="shared" si="297"/>
        <v>0</v>
      </c>
      <c r="BS282" s="7">
        <f t="shared" si="297"/>
        <v>0</v>
      </c>
      <c r="BT282" s="7">
        <f t="shared" si="297"/>
        <v>0</v>
      </c>
      <c r="BU282" s="7">
        <f t="shared" si="297"/>
        <v>0</v>
      </c>
      <c r="BV282" s="7">
        <f t="shared" si="297"/>
        <v>0</v>
      </c>
      <c r="BW282" s="7">
        <f t="shared" si="297"/>
        <v>0</v>
      </c>
      <c r="BY282" s="12"/>
      <c r="BZ282" s="335"/>
      <c r="CA282" s="12"/>
      <c r="CB282" s="335"/>
      <c r="CC282" s="335"/>
      <c r="CD282" s="335"/>
      <c r="CE282" s="335"/>
      <c r="CL282" s="7">
        <f>IF(MAX(V282:BW282)&gt;0, 1, 0)</f>
        <v>0</v>
      </c>
      <c r="CM282" s="335"/>
      <c r="CN282" s="335"/>
      <c r="CO282" s="335"/>
      <c r="CP282" s="335"/>
      <c r="CR282" s="12"/>
      <c r="CS282" s="93">
        <f t="shared" si="256"/>
        <v>1</v>
      </c>
      <c r="CT282" s="93">
        <v>0</v>
      </c>
      <c r="CU282" s="93">
        <v>0</v>
      </c>
      <c r="EW282" s="335"/>
      <c r="EX282" s="13" t="str">
        <f>IF(C282="", "", CONCATENATE(D275, " ",D282))</f>
        <v/>
      </c>
    </row>
    <row r="283" spans="1:154" s="67" customFormat="1" x14ac:dyDescent="0.25">
      <c r="A283" s="362" cm="1">
        <f t="array" aca="1" ref="A283" ca="1">HYPERLINK(CONCATENATE("#",CELL("address",IF(SUM($CA283:$CR283)=0,A283,INDEX($CA283:$CR283,MATCH(1,$CA283:$CR283,0))))),SUM($CA283:$CR283))</f>
        <v>0</v>
      </c>
      <c r="C283" s="380"/>
      <c r="D283" s="51" t="s">
        <v>220</v>
      </c>
      <c r="E283" s="160" t="s">
        <v>524</v>
      </c>
      <c r="F283" s="173" t="str">
        <f>IF($J$25="", "", $J$25)</f>
        <v/>
      </c>
      <c r="S283" s="335"/>
      <c r="T283" s="25"/>
      <c r="U283" s="25"/>
      <c r="V283" s="230">
        <f>IF(AND(V$5&gt;=$F283,SUM(V280:$Y280)&lt;&gt;0),1,0)</f>
        <v>0</v>
      </c>
      <c r="W283" s="230">
        <f>IF(AND(W$5&gt;=$F283,SUM(W280:$Y280)&lt;&gt;0),1,0)</f>
        <v>0</v>
      </c>
      <c r="X283" s="230">
        <f>IF(AND(X$5&gt;=$F283,SUM(X280:$Y280)&lt;&gt;0),1,0)</f>
        <v>0</v>
      </c>
      <c r="Y283" s="230">
        <f>IF(AND(Y$5&gt;=$F283,SUM(Y280:$Y280)&lt;&gt;0),1,0)</f>
        <v>0</v>
      </c>
      <c r="AA283" s="154">
        <f>IF(AND(AA$5&gt;=$F283,SUM(AA280:$BJ280)&lt;&gt;0),1,0)</f>
        <v>0</v>
      </c>
      <c r="AB283" s="154">
        <f>IF(AND(AB$5&gt;=$F283,SUM(AB280:$BJ280)&lt;&gt;0),1,0)</f>
        <v>0</v>
      </c>
      <c r="AC283" s="154">
        <f>IF(AND(AC$5&gt;=$F283,SUM(AC280:$BJ280)&lt;&gt;0),1,0)</f>
        <v>0</v>
      </c>
      <c r="AD283" s="154">
        <f>IF(AND(AD$5&gt;=$F283,SUM(AD280:$BJ280)&lt;&gt;0),1,0)</f>
        <v>0</v>
      </c>
      <c r="AE283" s="154">
        <f>IF(AND(AE$5&gt;=$F283,SUM(AE280:$BJ280)&lt;&gt;0),1,0)</f>
        <v>0</v>
      </c>
      <c r="AF283" s="154">
        <f>IF(AND(AF$5&gt;=$F283,SUM(AF280:$BJ280)&lt;&gt;0),1,0)</f>
        <v>0</v>
      </c>
      <c r="AG283" s="154">
        <f>IF(AND(AG$5&gt;=$F283,SUM(AG280:$BJ280)&lt;&gt;0),1,0)</f>
        <v>0</v>
      </c>
      <c r="AH283" s="154">
        <f>IF(AND(AH$5&gt;=$F283,SUM(AH280:$BJ280)&lt;&gt;0),1,0)</f>
        <v>0</v>
      </c>
      <c r="AI283" s="154">
        <f>IF(AND(AI$5&gt;=$F283,SUM(AI280:$BJ280)&lt;&gt;0),1,0)</f>
        <v>0</v>
      </c>
      <c r="AJ283" s="154">
        <f>IF(AND(AJ$5&gt;=$F283,SUM(AJ280:$BJ280)&lt;&gt;0),1,0)</f>
        <v>0</v>
      </c>
      <c r="AK283" s="154">
        <f>IF(AND(AK$5&gt;=$F283,SUM(AK280:$BJ280)&lt;&gt;0),1,0)</f>
        <v>0</v>
      </c>
      <c r="AL283" s="154">
        <f>IF(AND(AL$5&gt;=$F283,SUM(AL280:$BJ280)&lt;&gt;0),1,0)</f>
        <v>0</v>
      </c>
      <c r="AM283" s="154">
        <f>IF(AND(AM$5&gt;=$F283,SUM(AM280:$BJ280)&lt;&gt;0),1,0)</f>
        <v>0</v>
      </c>
      <c r="AN283" s="154">
        <f>IF(AND(AN$5&gt;=$F283,SUM(AN280:$BJ280)&lt;&gt;0),1,0)</f>
        <v>0</v>
      </c>
      <c r="AO283" s="154">
        <f>IF(AND(AO$5&gt;=$F283,SUM(AO280:$BJ280)&lt;&gt;0),1,0)</f>
        <v>0</v>
      </c>
      <c r="AP283" s="154">
        <f>IF(AND(AP$5&gt;=$F283,SUM(AP280:$BJ280)&lt;&gt;0),1,0)</f>
        <v>0</v>
      </c>
      <c r="AQ283" s="154">
        <f>IF(AND(AQ$5&gt;=$F283,SUM(AQ280:$BJ280)&lt;&gt;0),1,0)</f>
        <v>0</v>
      </c>
      <c r="AR283" s="154">
        <f>IF(AND(AR$5&gt;=$F283,SUM(AR280:$BJ280)&lt;&gt;0),1,0)</f>
        <v>0</v>
      </c>
      <c r="AS283" s="154">
        <f>IF(AND(AS$5&gt;=$F283,SUM(AS280:$BJ280)&lt;&gt;0),1,0)</f>
        <v>0</v>
      </c>
      <c r="AT283" s="154">
        <f>IF(AND(AT$5&gt;=$F283,SUM(AT280:$BJ280)&lt;&gt;0),1,0)</f>
        <v>0</v>
      </c>
      <c r="AU283" s="154">
        <f>IF(AND(AU$5&gt;=$F283,SUM(AU280:$BJ280)&lt;&gt;0),1,0)</f>
        <v>0</v>
      </c>
      <c r="AV283" s="154">
        <f>IF(AND(AV$5&gt;=$F283,SUM(AV280:$BJ280)&lt;&gt;0),1,0)</f>
        <v>0</v>
      </c>
      <c r="AW283" s="154">
        <f>IF(AND(AW$5&gt;=$F283,SUM(AW280:$BJ280)&lt;&gt;0),1,0)</f>
        <v>0</v>
      </c>
      <c r="AX283" s="154">
        <f>IF(AND(AX$5&gt;=$F283,SUM(AX280:$BJ280)&lt;&gt;0),1,0)</f>
        <v>0</v>
      </c>
      <c r="AY283" s="154">
        <f>IF(AND(AY$5&gt;=$F283,SUM(AY280:$BJ280)&lt;&gt;0),1,0)</f>
        <v>0</v>
      </c>
      <c r="AZ283" s="154">
        <f>IF(AND(AZ$5&gt;=$F283,SUM(AZ280:$BJ280)&lt;&gt;0),1,0)</f>
        <v>0</v>
      </c>
      <c r="BA283" s="154">
        <f>IF(AND(BA$5&gt;=$F283,SUM(BA280:$BJ280)&lt;&gt;0),1,0)</f>
        <v>0</v>
      </c>
      <c r="BB283" s="154">
        <f>IF(AND(BB$5&gt;=$F283,SUM(BB280:$BJ280)&lt;&gt;0),1,0)</f>
        <v>0</v>
      </c>
      <c r="BC283" s="154">
        <f>IF(AND(BC$5&gt;=$F283,SUM(BC280:$BJ280)&lt;&gt;0),1,0)</f>
        <v>0</v>
      </c>
      <c r="BD283" s="154">
        <f>IF(AND(BD$5&gt;=$F283,SUM(BD280:$BJ280)&lt;&gt;0),1,0)</f>
        <v>0</v>
      </c>
      <c r="BE283" s="154">
        <f>IF(AND(BE$5&gt;=$F283,SUM(BE280:$BJ280)&lt;&gt;0),1,0)</f>
        <v>0</v>
      </c>
      <c r="BF283" s="154">
        <f>IF(AND(BF$5&gt;=$F283,SUM(BF280:$BJ280)&lt;&gt;0),1,0)</f>
        <v>0</v>
      </c>
      <c r="BG283" s="154">
        <f>IF(AND(BG$5&gt;=$F283,SUM(BG280:$BJ280)&lt;&gt;0),1,0)</f>
        <v>0</v>
      </c>
      <c r="BH283" s="154">
        <f>IF(AND(BH$5&gt;=$F283,SUM(BH280:$BJ280)&lt;&gt;0),1,0)</f>
        <v>0</v>
      </c>
      <c r="BI283" s="154">
        <f>IF(AND(BI$5&gt;=$F283,SUM(BI280:$BJ280)&lt;&gt;0),1,0)</f>
        <v>0</v>
      </c>
      <c r="BJ283" s="154">
        <f>IF(AND(BJ$5&gt;=$F283,SUM(BJ280:$BJ280)&lt;&gt;0),1,0)</f>
        <v>0</v>
      </c>
      <c r="BL283" s="154">
        <f>IF(AND(BL$5&gt;=$F283,SUM(BL280:$BW280)&lt;&gt;0),1,0)*BL$1150</f>
        <v>0</v>
      </c>
      <c r="BM283" s="154">
        <f>IF(AND(BM$5&gt;=$F283,SUM(BM280:$BW280)&lt;&gt;0),1,0)*BM$1150</f>
        <v>0</v>
      </c>
      <c r="BN283" s="154">
        <f>IF(AND(BN$5&gt;=$F283,SUM(BN280:$BW280)&lt;&gt;0),1,0)*BN$1150</f>
        <v>0</v>
      </c>
      <c r="BO283" s="154">
        <f>IF(AND(BO$5&gt;=$F283,SUM(BO280:$BW280)&lt;&gt;0),1,0)*BO$1150</f>
        <v>0</v>
      </c>
      <c r="BP283" s="154">
        <f>IF(AND(BP$5&gt;=$F283,SUM(BP280:$BW280)&lt;&gt;0),1,0)*BP$1150</f>
        <v>0</v>
      </c>
      <c r="BQ283" s="154">
        <f>IF(AND(BQ$5&gt;=$F283,SUM(BQ280:$BW280)&lt;&gt;0),1,0)*BQ$1150</f>
        <v>0</v>
      </c>
      <c r="BR283" s="154">
        <f>IF(AND(BR$5&gt;=$F283,SUM(BR280:$BW280)&lt;&gt;0),1,0)*BR$1150</f>
        <v>0</v>
      </c>
      <c r="BS283" s="154">
        <f>IF(AND(BS$5&gt;=$F283,SUM(BS280:$BW280)&lt;&gt;0),1,0)*BS$1150</f>
        <v>0</v>
      </c>
      <c r="BT283" s="154">
        <f>IF(AND(BT$5&gt;=$F283,SUM(BT280:$BW280)&lt;&gt;0),1,0)*BT$1150</f>
        <v>0</v>
      </c>
      <c r="BU283" s="154">
        <f>IF(AND(BU$5&gt;=$F283,SUM(BU280:$BW280)&lt;&gt;0),1,0)*BU$1150</f>
        <v>0</v>
      </c>
      <c r="BV283" s="154">
        <f>IF(AND(BV$5&gt;=$F283,SUM(BV280:$BW280)&lt;&gt;0),1,0)*BV$1150</f>
        <v>0</v>
      </c>
      <c r="BW283" s="154">
        <f>IF(AND(BW$5&gt;=$F283,SUM(BW280:$BW280)&lt;&gt;0),1,0)*BW$1150</f>
        <v>0</v>
      </c>
      <c r="BY283" s="12"/>
      <c r="BZ283" s="335"/>
      <c r="CA283" s="12"/>
      <c r="CB283" s="335"/>
      <c r="CC283" s="335"/>
      <c r="CD283" s="335"/>
      <c r="CE283" s="335"/>
      <c r="CL283" s="7">
        <f>IF(MAX($V283:$BW283)&gt;0, 1, 0)</f>
        <v>0</v>
      </c>
      <c r="CM283" s="335"/>
      <c r="CN283" s="335"/>
      <c r="CO283" s="335"/>
      <c r="CP283" s="335"/>
      <c r="CR283" s="12"/>
      <c r="CS283" s="93">
        <f t="shared" si="256"/>
        <v>1</v>
      </c>
      <c r="CT283" s="93">
        <v>0</v>
      </c>
      <c r="CU283" s="93">
        <v>0</v>
      </c>
      <c r="EW283" s="335"/>
      <c r="EX283" s="13" t="str">
        <f>IF(C283="", "", CONCATENATE(D275, " ",D283))</f>
        <v/>
      </c>
    </row>
    <row r="284" spans="1:154" s="67" customFormat="1" ht="6.6" customHeight="1" x14ac:dyDescent="0.25">
      <c r="C284" s="380"/>
      <c r="D284" s="1"/>
      <c r="S284" s="335"/>
      <c r="T284" s="25"/>
      <c r="U284" s="25"/>
      <c r="V284" s="229"/>
      <c r="W284" s="25"/>
      <c r="X284" s="25"/>
      <c r="Y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L284" s="25"/>
      <c r="BM284" s="155"/>
      <c r="BN284" s="25"/>
      <c r="BO284" s="25"/>
      <c r="BP284" s="25"/>
      <c r="BQ284" s="25"/>
      <c r="BR284" s="25"/>
      <c r="BS284" s="25"/>
      <c r="BT284" s="25"/>
      <c r="BU284" s="25"/>
      <c r="BV284" s="25"/>
      <c r="BW284" s="25"/>
      <c r="BY284" s="42"/>
      <c r="BZ284" s="335"/>
      <c r="CA284" s="42"/>
      <c r="CB284" s="335"/>
      <c r="CC284" s="335"/>
      <c r="CD284" s="335"/>
      <c r="CE284" s="335"/>
      <c r="CM284" s="335"/>
      <c r="CN284" s="335"/>
      <c r="CO284" s="335"/>
      <c r="CP284" s="335"/>
      <c r="CR284" s="42"/>
      <c r="CS284" s="93">
        <f t="shared" si="256"/>
        <v>0</v>
      </c>
      <c r="CT284" s="93">
        <v>0</v>
      </c>
      <c r="CU284" s="93">
        <v>0</v>
      </c>
      <c r="EW284" s="335"/>
      <c r="EX284" s="13" t="str">
        <f>IF(C284="", "", CONCATENATE(D275, " ",D284))</f>
        <v/>
      </c>
    </row>
    <row r="285" spans="1:154" s="67" customFormat="1" x14ac:dyDescent="0.25">
      <c r="C285" s="380"/>
      <c r="D285" s="51" t="s">
        <v>223</v>
      </c>
      <c r="E285" s="1"/>
      <c r="G285" s="9" t="s">
        <v>413</v>
      </c>
      <c r="H285" s="50" t="s">
        <v>8</v>
      </c>
      <c r="S285" s="335"/>
      <c r="T285" s="25"/>
      <c r="U285" s="25"/>
      <c r="V285" s="210"/>
      <c r="W285" s="201">
        <f>V288</f>
        <v>0</v>
      </c>
      <c r="X285" s="201">
        <f>W288</f>
        <v>0</v>
      </c>
      <c r="Y285" s="10">
        <f>X288</f>
        <v>0</v>
      </c>
      <c r="AA285" s="13">
        <f>W285</f>
        <v>0</v>
      </c>
      <c r="AB285" s="10">
        <f t="shared" ref="AB285:BJ285" si="298">AA288</f>
        <v>0</v>
      </c>
      <c r="AC285" s="10">
        <f t="shared" si="298"/>
        <v>0</v>
      </c>
      <c r="AD285" s="10">
        <f t="shared" si="298"/>
        <v>0</v>
      </c>
      <c r="AE285" s="10">
        <f t="shared" si="298"/>
        <v>0</v>
      </c>
      <c r="AF285" s="10">
        <f t="shared" si="298"/>
        <v>0</v>
      </c>
      <c r="AG285" s="10">
        <f t="shared" si="298"/>
        <v>0</v>
      </c>
      <c r="AH285" s="10">
        <f t="shared" si="298"/>
        <v>0</v>
      </c>
      <c r="AI285" s="10">
        <f t="shared" si="298"/>
        <v>0</v>
      </c>
      <c r="AJ285" s="10">
        <f t="shared" si="298"/>
        <v>0</v>
      </c>
      <c r="AK285" s="10">
        <f t="shared" si="298"/>
        <v>0</v>
      </c>
      <c r="AL285" s="10">
        <f t="shared" si="298"/>
        <v>0</v>
      </c>
      <c r="AM285" s="10">
        <f t="shared" si="298"/>
        <v>0</v>
      </c>
      <c r="AN285" s="10">
        <f t="shared" si="298"/>
        <v>0</v>
      </c>
      <c r="AO285" s="10">
        <f t="shared" si="298"/>
        <v>0</v>
      </c>
      <c r="AP285" s="10">
        <f t="shared" si="298"/>
        <v>0</v>
      </c>
      <c r="AQ285" s="10">
        <f t="shared" si="298"/>
        <v>0</v>
      </c>
      <c r="AR285" s="10">
        <f t="shared" si="298"/>
        <v>0</v>
      </c>
      <c r="AS285" s="10">
        <f t="shared" si="298"/>
        <v>0</v>
      </c>
      <c r="AT285" s="10">
        <f t="shared" si="298"/>
        <v>0</v>
      </c>
      <c r="AU285" s="10">
        <f t="shared" si="298"/>
        <v>0</v>
      </c>
      <c r="AV285" s="10">
        <f t="shared" si="298"/>
        <v>0</v>
      </c>
      <c r="AW285" s="10">
        <f t="shared" si="298"/>
        <v>0</v>
      </c>
      <c r="AX285" s="10">
        <f t="shared" si="298"/>
        <v>0</v>
      </c>
      <c r="AY285" s="10">
        <f t="shared" si="298"/>
        <v>0</v>
      </c>
      <c r="AZ285" s="10">
        <f t="shared" si="298"/>
        <v>0</v>
      </c>
      <c r="BA285" s="10">
        <f t="shared" si="298"/>
        <v>0</v>
      </c>
      <c r="BB285" s="10">
        <f t="shared" si="298"/>
        <v>0</v>
      </c>
      <c r="BC285" s="10">
        <f t="shared" si="298"/>
        <v>0</v>
      </c>
      <c r="BD285" s="10">
        <f t="shared" si="298"/>
        <v>0</v>
      </c>
      <c r="BE285" s="10">
        <f t="shared" si="298"/>
        <v>0</v>
      </c>
      <c r="BF285" s="10">
        <f t="shared" si="298"/>
        <v>0</v>
      </c>
      <c r="BG285" s="10">
        <f t="shared" si="298"/>
        <v>0</v>
      </c>
      <c r="BH285" s="10">
        <f t="shared" si="298"/>
        <v>0</v>
      </c>
      <c r="BI285" s="10">
        <f t="shared" si="298"/>
        <v>0</v>
      </c>
      <c r="BJ285" s="10">
        <f t="shared" si="298"/>
        <v>0</v>
      </c>
      <c r="BL285" s="13">
        <f t="shared" ref="BL285:BO288" si="299">V285</f>
        <v>0</v>
      </c>
      <c r="BM285" s="13">
        <f t="shared" si="299"/>
        <v>0</v>
      </c>
      <c r="BN285" s="13">
        <f t="shared" si="299"/>
        <v>0</v>
      </c>
      <c r="BO285" s="13">
        <f t="shared" si="299"/>
        <v>0</v>
      </c>
      <c r="BP285" s="10">
        <f t="shared" ref="BP285:BW285" si="300">BO288</f>
        <v>0</v>
      </c>
      <c r="BQ285" s="10">
        <f t="shared" si="300"/>
        <v>0</v>
      </c>
      <c r="BR285" s="10">
        <f t="shared" si="300"/>
        <v>0</v>
      </c>
      <c r="BS285" s="10">
        <f t="shared" si="300"/>
        <v>0</v>
      </c>
      <c r="BT285" s="10">
        <f t="shared" si="300"/>
        <v>0</v>
      </c>
      <c r="BU285" s="10">
        <f t="shared" si="300"/>
        <v>0</v>
      </c>
      <c r="BV285" s="10">
        <f t="shared" si="300"/>
        <v>0</v>
      </c>
      <c r="BW285" s="10">
        <f t="shared" si="300"/>
        <v>0</v>
      </c>
      <c r="BY285" s="12"/>
      <c r="BZ285" s="335"/>
      <c r="CA285" s="12"/>
      <c r="CB285" s="335"/>
      <c r="CC285" s="335"/>
      <c r="CD285" s="335"/>
      <c r="CE285" s="335"/>
      <c r="CM285" s="335"/>
      <c r="CN285" s="335"/>
      <c r="CO285" s="335"/>
      <c r="CP285" s="335"/>
      <c r="CR285" s="12"/>
      <c r="CS285" s="93">
        <f t="shared" si="256"/>
        <v>0</v>
      </c>
      <c r="CT285" s="93">
        <v>1</v>
      </c>
      <c r="CU285" s="93">
        <v>0</v>
      </c>
      <c r="EW285" s="335"/>
      <c r="EX285" s="13" t="str">
        <f>IF(C285="", "", CONCATENATE(D275, " ",D285))</f>
        <v/>
      </c>
    </row>
    <row r="286" spans="1:154" s="5" customFormat="1" ht="15.75" x14ac:dyDescent="0.3">
      <c r="A286" s="362" cm="1">
        <f t="array" aca="1" ref="A286" ca="1">HYPERLINK(CONCATENATE("#",CELL("address",IF(SUM($CA286:$CR286)=0,A286,INDEX($CA286:$CR286,MATCH(1,$CA286:$CR286,0))))),SUM($CA286:$CR286))</f>
        <v>0</v>
      </c>
      <c r="B286" s="105" t="s">
        <v>335</v>
      </c>
      <c r="C286" s="380"/>
      <c r="D286" s="51" t="s">
        <v>234</v>
      </c>
      <c r="E286" s="1"/>
      <c r="F286" s="67"/>
      <c r="G286" s="9" t="s">
        <v>413</v>
      </c>
      <c r="H286" s="50" t="s">
        <v>125</v>
      </c>
      <c r="I286" s="67"/>
      <c r="J286" s="67"/>
      <c r="K286" s="67"/>
      <c r="L286" s="67"/>
      <c r="M286" s="67"/>
      <c r="N286" s="67"/>
      <c r="O286" s="67"/>
      <c r="P286" s="67"/>
      <c r="Q286" s="67"/>
      <c r="R286" s="67"/>
      <c r="S286" s="335"/>
      <c r="T286" s="25"/>
      <c r="U286" s="25"/>
      <c r="V286" s="210"/>
      <c r="W286" s="215">
        <f t="shared" ref="W286:Y287" si="301" xml:space="preserve"> SUMIFS($AA286:$BJ286, $AA$3:$BJ$3, W$3)</f>
        <v>0</v>
      </c>
      <c r="X286" s="215">
        <f t="shared" si="301"/>
        <v>0</v>
      </c>
      <c r="Y286" s="215">
        <f t="shared" si="301"/>
        <v>0</v>
      </c>
      <c r="Z286" s="67"/>
      <c r="AA286" s="147"/>
      <c r="AB286" s="147"/>
      <c r="AC286" s="147"/>
      <c r="AD286" s="147"/>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c r="BI286" s="147"/>
      <c r="BJ286" s="147"/>
      <c r="BK286" s="67"/>
      <c r="BL286" s="13">
        <f t="shared" si="299"/>
        <v>0</v>
      </c>
      <c r="BM286" s="13">
        <f t="shared" si="299"/>
        <v>0</v>
      </c>
      <c r="BN286" s="13">
        <f t="shared" si="299"/>
        <v>0</v>
      </c>
      <c r="BO286" s="13">
        <f t="shared" si="299"/>
        <v>0</v>
      </c>
      <c r="BP286" s="141"/>
      <c r="BQ286" s="141"/>
      <c r="BR286" s="141"/>
      <c r="BS286" s="141"/>
      <c r="BT286" s="141"/>
      <c r="BU286" s="141"/>
      <c r="BV286" s="141"/>
      <c r="BW286" s="141"/>
      <c r="BX286" s="67"/>
      <c r="BY286" s="12"/>
      <c r="BZ286" s="395">
        <f>IF(MIN($V286:$BW286)&lt;0, 1, 0)</f>
        <v>0</v>
      </c>
      <c r="CA286" s="12"/>
      <c r="CB286" s="335"/>
      <c r="CC286" s="335"/>
      <c r="CD286" s="335"/>
      <c r="CE286" s="335"/>
      <c r="CF286" s="67"/>
      <c r="CG286" s="67"/>
      <c r="CH286" s="67"/>
      <c r="CI286" s="67"/>
      <c r="CJ286" s="67"/>
      <c r="CK286" s="67"/>
      <c r="CL286" s="67"/>
      <c r="CM286" s="7">
        <f t="shared" ref="CM286:CO287" si="302">IF(ROUND(W286-SUMIFS($AA286:$BJ286, $AA$3:$BJ$3, W$3), rounding)=0, 0, 1)</f>
        <v>0</v>
      </c>
      <c r="CN286" s="7">
        <f t="shared" si="302"/>
        <v>0</v>
      </c>
      <c r="CO286" s="7">
        <f t="shared" si="302"/>
        <v>0</v>
      </c>
      <c r="CP286" s="7">
        <f>IF(ROUND(V286-BL286, rounding)=0, 0, 1)*'BS Forecasts'!$V$10</f>
        <v>0</v>
      </c>
      <c r="CQ286" s="67"/>
      <c r="CR286" s="12"/>
      <c r="CS286" s="93">
        <f t="shared" si="256"/>
        <v>0</v>
      </c>
      <c r="CT286" s="93">
        <v>1</v>
      </c>
      <c r="CU286" s="93">
        <v>1</v>
      </c>
      <c r="EX286" s="13" t="str">
        <f>IF(C286="", "", CONCATENATE(D275, " ",D286))</f>
        <v/>
      </c>
    </row>
    <row r="287" spans="1:154" s="67" customFormat="1" ht="15.75" x14ac:dyDescent="0.3">
      <c r="A287" s="362" cm="1">
        <f t="array" aca="1" ref="A287" ca="1">HYPERLINK(CONCATENATE("#",CELL("address",IF(SUM($CA287:$CR287)=0,A287,INDEX($CA287:$CR287,MATCH(1,$CA287:$CR287,0))))),SUM($CA287:$CR287))</f>
        <v>0</v>
      </c>
      <c r="B287" s="105" t="s">
        <v>335</v>
      </c>
      <c r="C287" s="380"/>
      <c r="D287" s="51" t="s">
        <v>222</v>
      </c>
      <c r="E287" s="1"/>
      <c r="G287" s="9" t="s">
        <v>413</v>
      </c>
      <c r="H287" s="50" t="s">
        <v>157</v>
      </c>
      <c r="S287" s="335"/>
      <c r="T287" s="25"/>
      <c r="U287" s="25"/>
      <c r="V287" s="210"/>
      <c r="W287" s="215">
        <f t="shared" si="301"/>
        <v>0</v>
      </c>
      <c r="X287" s="215">
        <f t="shared" si="301"/>
        <v>0</v>
      </c>
      <c r="Y287" s="215">
        <f t="shared" si="301"/>
        <v>0</v>
      </c>
      <c r="AA287" s="147"/>
      <c r="AB287" s="147"/>
      <c r="AC287" s="147"/>
      <c r="AD287" s="147"/>
      <c r="AE287" s="147"/>
      <c r="AF287" s="147"/>
      <c r="AG287" s="147"/>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c r="BI287" s="147"/>
      <c r="BJ287" s="147"/>
      <c r="BL287" s="13">
        <f t="shared" si="299"/>
        <v>0</v>
      </c>
      <c r="BM287" s="13">
        <f t="shared" si="299"/>
        <v>0</v>
      </c>
      <c r="BN287" s="13">
        <f t="shared" si="299"/>
        <v>0</v>
      </c>
      <c r="BO287" s="13">
        <f t="shared" si="299"/>
        <v>0</v>
      </c>
      <c r="BP287" s="141"/>
      <c r="BQ287" s="141"/>
      <c r="BR287" s="141"/>
      <c r="BS287" s="141"/>
      <c r="BT287" s="141"/>
      <c r="BU287" s="141"/>
      <c r="BV287" s="141"/>
      <c r="BW287" s="141"/>
      <c r="BY287" s="12"/>
      <c r="BZ287" s="395">
        <f>IF(MAX($V287:$BW287)&gt;0, 1, 0)</f>
        <v>0</v>
      </c>
      <c r="CA287" s="12"/>
      <c r="CB287" s="335"/>
      <c r="CC287" s="335"/>
      <c r="CD287" s="335"/>
      <c r="CE287" s="335"/>
      <c r="CM287" s="7">
        <f t="shared" si="302"/>
        <v>0</v>
      </c>
      <c r="CN287" s="7">
        <f t="shared" si="302"/>
        <v>0</v>
      </c>
      <c r="CO287" s="7">
        <f t="shared" si="302"/>
        <v>0</v>
      </c>
      <c r="CP287" s="7">
        <f>IF(ROUND(V287-BL287, rounding)=0, 0, 1)*'BS Forecasts'!$V$10</f>
        <v>0</v>
      </c>
      <c r="CR287" s="12"/>
      <c r="CS287" s="93">
        <f t="shared" si="256"/>
        <v>0</v>
      </c>
      <c r="CT287" s="93">
        <v>1</v>
      </c>
      <c r="CU287" s="93">
        <v>1</v>
      </c>
      <c r="EW287" s="335"/>
      <c r="EX287" s="13" t="str">
        <f>IF(C287="", "", CONCATENATE(D275, " ",D287))</f>
        <v/>
      </c>
    </row>
    <row r="288" spans="1:154" s="67" customFormat="1" x14ac:dyDescent="0.25">
      <c r="C288" s="380"/>
      <c r="D288" s="51" t="s">
        <v>224</v>
      </c>
      <c r="E288" s="1"/>
      <c r="G288" s="9" t="s">
        <v>413</v>
      </c>
      <c r="H288" s="50" t="s">
        <v>8</v>
      </c>
      <c r="S288" s="335"/>
      <c r="T288" s="25"/>
      <c r="U288" s="25"/>
      <c r="V288" s="13">
        <f>$H$25</f>
        <v>0</v>
      </c>
      <c r="W288" s="10">
        <f>SUM(W285:W287)</f>
        <v>0</v>
      </c>
      <c r="X288" s="10">
        <f>SUM(X285:X287)</f>
        <v>0</v>
      </c>
      <c r="Y288" s="10">
        <f>SUM(Y285:Y287)</f>
        <v>0</v>
      </c>
      <c r="AA288" s="10">
        <f t="shared" ref="AA288:BJ288" si="303">SUM(AA285:AA287)</f>
        <v>0</v>
      </c>
      <c r="AB288" s="10">
        <f t="shared" si="303"/>
        <v>0</v>
      </c>
      <c r="AC288" s="10">
        <f t="shared" si="303"/>
        <v>0</v>
      </c>
      <c r="AD288" s="10">
        <f t="shared" si="303"/>
        <v>0</v>
      </c>
      <c r="AE288" s="10">
        <f t="shared" si="303"/>
        <v>0</v>
      </c>
      <c r="AF288" s="10">
        <f t="shared" si="303"/>
        <v>0</v>
      </c>
      <c r="AG288" s="10">
        <f t="shared" si="303"/>
        <v>0</v>
      </c>
      <c r="AH288" s="10">
        <f t="shared" si="303"/>
        <v>0</v>
      </c>
      <c r="AI288" s="10">
        <f t="shared" si="303"/>
        <v>0</v>
      </c>
      <c r="AJ288" s="10">
        <f t="shared" si="303"/>
        <v>0</v>
      </c>
      <c r="AK288" s="10">
        <f t="shared" si="303"/>
        <v>0</v>
      </c>
      <c r="AL288" s="10">
        <f t="shared" si="303"/>
        <v>0</v>
      </c>
      <c r="AM288" s="10">
        <f t="shared" si="303"/>
        <v>0</v>
      </c>
      <c r="AN288" s="10">
        <f t="shared" si="303"/>
        <v>0</v>
      </c>
      <c r="AO288" s="10">
        <f t="shared" si="303"/>
        <v>0</v>
      </c>
      <c r="AP288" s="10">
        <f t="shared" si="303"/>
        <v>0</v>
      </c>
      <c r="AQ288" s="10">
        <f t="shared" si="303"/>
        <v>0</v>
      </c>
      <c r="AR288" s="10">
        <f t="shared" si="303"/>
        <v>0</v>
      </c>
      <c r="AS288" s="10">
        <f t="shared" si="303"/>
        <v>0</v>
      </c>
      <c r="AT288" s="10">
        <f t="shared" si="303"/>
        <v>0</v>
      </c>
      <c r="AU288" s="10">
        <f t="shared" si="303"/>
        <v>0</v>
      </c>
      <c r="AV288" s="10">
        <f t="shared" si="303"/>
        <v>0</v>
      </c>
      <c r="AW288" s="10">
        <f t="shared" si="303"/>
        <v>0</v>
      </c>
      <c r="AX288" s="10">
        <f t="shared" si="303"/>
        <v>0</v>
      </c>
      <c r="AY288" s="10">
        <f t="shared" si="303"/>
        <v>0</v>
      </c>
      <c r="AZ288" s="10">
        <f t="shared" si="303"/>
        <v>0</v>
      </c>
      <c r="BA288" s="10">
        <f t="shared" si="303"/>
        <v>0</v>
      </c>
      <c r="BB288" s="10">
        <f t="shared" si="303"/>
        <v>0</v>
      </c>
      <c r="BC288" s="10">
        <f t="shared" si="303"/>
        <v>0</v>
      </c>
      <c r="BD288" s="10">
        <f t="shared" si="303"/>
        <v>0</v>
      </c>
      <c r="BE288" s="10">
        <f t="shared" si="303"/>
        <v>0</v>
      </c>
      <c r="BF288" s="10">
        <f t="shared" si="303"/>
        <v>0</v>
      </c>
      <c r="BG288" s="10">
        <f t="shared" si="303"/>
        <v>0</v>
      </c>
      <c r="BH288" s="10">
        <f t="shared" si="303"/>
        <v>0</v>
      </c>
      <c r="BI288" s="10">
        <f t="shared" si="303"/>
        <v>0</v>
      </c>
      <c r="BJ288" s="10">
        <f t="shared" si="303"/>
        <v>0</v>
      </c>
      <c r="BL288" s="152">
        <f t="shared" si="299"/>
        <v>0</v>
      </c>
      <c r="BM288" s="152">
        <f t="shared" si="299"/>
        <v>0</v>
      </c>
      <c r="BN288" s="152">
        <f t="shared" si="299"/>
        <v>0</v>
      </c>
      <c r="BO288" s="152">
        <f t="shared" si="299"/>
        <v>0</v>
      </c>
      <c r="BP288" s="10">
        <f t="shared" ref="BP288:BW288" si="304">SUM(BP285:BP287)</f>
        <v>0</v>
      </c>
      <c r="BQ288" s="10">
        <f t="shared" si="304"/>
        <v>0</v>
      </c>
      <c r="BR288" s="10">
        <f t="shared" si="304"/>
        <v>0</v>
      </c>
      <c r="BS288" s="10">
        <f t="shared" si="304"/>
        <v>0</v>
      </c>
      <c r="BT288" s="10">
        <f t="shared" si="304"/>
        <v>0</v>
      </c>
      <c r="BU288" s="10">
        <f t="shared" si="304"/>
        <v>0</v>
      </c>
      <c r="BV288" s="10">
        <f t="shared" si="304"/>
        <v>0</v>
      </c>
      <c r="BW288" s="10">
        <f t="shared" si="304"/>
        <v>0</v>
      </c>
      <c r="BY288" s="12"/>
      <c r="BZ288" s="335"/>
      <c r="CA288" s="12"/>
      <c r="CB288" s="335"/>
      <c r="CC288" s="335"/>
      <c r="CD288" s="335"/>
      <c r="CE288" s="335"/>
      <c r="CM288" s="335"/>
      <c r="CN288" s="335"/>
      <c r="CO288" s="335"/>
      <c r="CP288" s="335"/>
      <c r="CR288" s="12"/>
      <c r="CS288" s="93">
        <f t="shared" si="256"/>
        <v>0</v>
      </c>
      <c r="CT288" s="93">
        <v>0</v>
      </c>
      <c r="CU288" s="93">
        <v>0</v>
      </c>
      <c r="EW288" s="335"/>
      <c r="EX288" s="13" t="str">
        <f>IF(C288="", "", CONCATENATE(D275, " ",D288))</f>
        <v/>
      </c>
    </row>
    <row r="289" spans="1:154" s="67" customFormat="1" ht="6.6" customHeight="1" x14ac:dyDescent="0.25">
      <c r="C289" s="380"/>
      <c r="D289" s="1"/>
      <c r="S289" s="335"/>
      <c r="T289" s="25"/>
      <c r="U289" s="25"/>
      <c r="V289" s="93"/>
      <c r="BM289" s="6"/>
      <c r="BY289" s="42"/>
      <c r="BZ289" s="335"/>
      <c r="CA289" s="42"/>
      <c r="CB289" s="335"/>
      <c r="CC289" s="335"/>
      <c r="CD289" s="335"/>
      <c r="CE289" s="335"/>
      <c r="CM289" s="335"/>
      <c r="CN289" s="335"/>
      <c r="CO289" s="335"/>
      <c r="CP289" s="335"/>
      <c r="CR289" s="42"/>
      <c r="CS289" s="93">
        <f t="shared" si="256"/>
        <v>0</v>
      </c>
      <c r="CT289" s="93">
        <v>0</v>
      </c>
      <c r="CU289" s="93">
        <v>0</v>
      </c>
      <c r="EW289" s="335"/>
      <c r="EX289" s="13" t="str">
        <f>IF(C289="", "", CONCATENATE(D275, " ",D289))</f>
        <v/>
      </c>
    </row>
    <row r="290" spans="1:154" s="5" customFormat="1" x14ac:dyDescent="0.25">
      <c r="A290" s="362" cm="1">
        <f t="array" aca="1" ref="A290" ca="1">HYPERLINK(CONCATENATE("#",CELL("address",IF(SUM($CA290:$CR290)=0,A290,INDEX($CA290:$CR290,MATCH(1,$CA290:$CR290,0))))),SUM($CA290:$CR290))</f>
        <v>0</v>
      </c>
      <c r="B290" s="335"/>
      <c r="C290" s="340" t="s">
        <v>1285</v>
      </c>
      <c r="D290" s="41" t="s">
        <v>1569</v>
      </c>
      <c r="E290" s="35"/>
      <c r="F290" s="25"/>
      <c r="G290" s="174" t="s">
        <v>413</v>
      </c>
      <c r="H290" s="171" t="s">
        <v>125</v>
      </c>
      <c r="I290" s="25"/>
      <c r="J290" s="25"/>
      <c r="K290" s="25"/>
      <c r="L290" s="25"/>
      <c r="M290" s="25"/>
      <c r="N290" s="25"/>
      <c r="O290" s="25"/>
      <c r="P290" s="25"/>
      <c r="Q290" s="25"/>
      <c r="R290" s="25"/>
      <c r="S290" s="335"/>
      <c r="T290" s="25"/>
      <c r="U290" s="25"/>
      <c r="V290" s="222"/>
      <c r="W290" s="215">
        <f xml:space="preserve"> SUMIFS($AA290:$BJ290, $AA$3:$BJ$3, W$3)</f>
        <v>0</v>
      </c>
      <c r="X290" s="215">
        <f xml:space="preserve"> SUMIFS($AA290:$BJ290, $AA$3:$BJ$3, X$3)</f>
        <v>0</v>
      </c>
      <c r="Y290" s="215">
        <f xml:space="preserve"> SUMIFS($AA290:$BJ290, $AA$3:$BJ$3, Y$3)</f>
        <v>0</v>
      </c>
      <c r="Z290" s="335"/>
      <c r="AA290" s="147"/>
      <c r="AB290" s="147"/>
      <c r="AC290" s="147"/>
      <c r="AD290" s="147"/>
      <c r="AE290" s="147"/>
      <c r="AF290" s="147"/>
      <c r="AG290" s="147"/>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c r="BI290" s="147"/>
      <c r="BJ290" s="147"/>
      <c r="BK290" s="335"/>
      <c r="BL290" s="152">
        <f>V290</f>
        <v>0</v>
      </c>
      <c r="BM290" s="152">
        <f>W290</f>
        <v>0</v>
      </c>
      <c r="BN290" s="152">
        <f>X290</f>
        <v>0</v>
      </c>
      <c r="BO290" s="152">
        <f>Y290</f>
        <v>0</v>
      </c>
      <c r="BP290" s="141"/>
      <c r="BQ290" s="141"/>
      <c r="BR290" s="141"/>
      <c r="BS290" s="141"/>
      <c r="BT290" s="141"/>
      <c r="BU290" s="141"/>
      <c r="BV290" s="141"/>
      <c r="BW290" s="141"/>
      <c r="BX290" s="335"/>
      <c r="BY290" s="12"/>
      <c r="BZ290" s="395">
        <f>IF(MIN($V290:$BW290)&lt;0, 1, 0)</f>
        <v>0</v>
      </c>
      <c r="CA290" s="12"/>
      <c r="CB290" s="335"/>
      <c r="CC290" s="335"/>
      <c r="CD290" s="335"/>
      <c r="CE290" s="335"/>
      <c r="CF290" s="335"/>
      <c r="CG290" s="335"/>
      <c r="CH290" s="335"/>
      <c r="CI290" s="335"/>
      <c r="CJ290" s="335"/>
      <c r="CK290" s="335"/>
      <c r="CL290" s="335"/>
      <c r="CM290" s="7">
        <f>IF(ROUND(W290-SUMIFS($AA290:$BJ290, $AA$3:$BJ$3, W$3), rounding)=0, 0, 1)</f>
        <v>0</v>
      </c>
      <c r="CN290" s="7">
        <f>IF(ROUND(X290-SUMIFS($AA290:$BJ290, $AA$3:$BJ$3, X$3), rounding)=0, 0, 1)</f>
        <v>0</v>
      </c>
      <c r="CO290" s="7">
        <f>IF(ROUND(Y290-SUMIFS($AA290:$BJ290, $AA$3:$BJ$3, Y$3), rounding)=0, 0, 1)</f>
        <v>0</v>
      </c>
      <c r="CP290" s="7">
        <f>IF(ROUND(V290-BL290, rounding)=0, 0, 1)*'BS Forecasts'!$V$10</f>
        <v>0</v>
      </c>
      <c r="CQ290" s="335"/>
      <c r="CR290" s="12"/>
      <c r="CS290" s="93">
        <f t="shared" si="256"/>
        <v>0</v>
      </c>
      <c r="CT290" s="93">
        <v>1</v>
      </c>
      <c r="CU290" s="93">
        <v>1</v>
      </c>
      <c r="EX290" s="13" t="str">
        <f>IF(C290="", "", CONCATENATE(D275, " ",D290))</f>
        <v>Loan 13 Early Repayment Fee</v>
      </c>
    </row>
    <row r="291" spans="1:154" s="335" customFormat="1" ht="6.6" customHeight="1" x14ac:dyDescent="0.25">
      <c r="C291" s="380"/>
      <c r="D291" s="1"/>
      <c r="T291" s="25"/>
      <c r="U291" s="25"/>
      <c r="V291" s="93"/>
      <c r="BM291" s="6"/>
      <c r="BY291" s="42"/>
      <c r="CA291" s="42"/>
      <c r="CR291" s="42"/>
      <c r="CS291" s="93">
        <f t="shared" si="256"/>
        <v>0</v>
      </c>
      <c r="CT291" s="93">
        <v>0</v>
      </c>
      <c r="CU291" s="93">
        <v>0</v>
      </c>
      <c r="EX291" s="13" t="str">
        <f>IF(C291="", "", CONCATENATE(D275, " ",D291))</f>
        <v/>
      </c>
    </row>
    <row r="292" spans="1:154" s="335" customFormat="1" ht="15.75" x14ac:dyDescent="0.3">
      <c r="A292" s="362" cm="1">
        <f t="array" aca="1" ref="A292" ca="1">HYPERLINK(CONCATENATE("#",CELL("address",IF(SUM($CA292:$CR292)=0,A292,INDEX($CA292:$CR292,MATCH(1,$CA292:$CR292,0))))),SUM($CA292:$CR292))</f>
        <v>0</v>
      </c>
      <c r="B292" s="105" t="s">
        <v>335</v>
      </c>
      <c r="D292" s="51" t="s">
        <v>1630</v>
      </c>
      <c r="E292" s="220" t="str">
        <f>IF(I$25="", "", I$25)</f>
        <v/>
      </c>
      <c r="F292" s="220" t="str">
        <f>IF(J$25="", "", J$25)</f>
        <v/>
      </c>
      <c r="T292" s="25"/>
      <c r="U292" s="25"/>
      <c r="V292" s="230">
        <f>IF(AND(OR( V$5&gt;$F292, Timeline!V$8&lt;Loans!$E292), Loans!V290&lt;&gt;0), 1, 0)</f>
        <v>0</v>
      </c>
      <c r="W292" s="230">
        <f>IF(AND(OR( W$5&gt;$F292, Timeline!W$8&lt;Loans!$E292), Loans!W290&lt;&gt;0), 1, 0)</f>
        <v>0</v>
      </c>
      <c r="X292" s="230">
        <f>IF(AND(OR( X$5&gt;$F292, Timeline!X$8&lt;Loans!$E292), Loans!X290&lt;&gt;0), 1, 0)</f>
        <v>0</v>
      </c>
      <c r="Y292" s="230">
        <f>IF(AND(OR( Y$5&gt;$F292, Timeline!Y$8&lt;Loans!$E292), Loans!Y290&lt;&gt;0), 1, 0)</f>
        <v>0</v>
      </c>
      <c r="AA292" s="230">
        <f>IF(AND(OR( AA$5&gt;$F292, Timeline!AA$8&lt;Loans!$E292), Loans!AA290&lt;&gt;0), 1, 0)</f>
        <v>0</v>
      </c>
      <c r="AB292" s="230">
        <f>IF(AND(OR( AB$5&gt;$F292, Timeline!AB$8&lt;Loans!$E292), Loans!AB290&lt;&gt;0), 1, 0)</f>
        <v>0</v>
      </c>
      <c r="AC292" s="230">
        <f>IF(AND(OR( AC$5&gt;$F292, Timeline!AC$8&lt;Loans!$E292), Loans!AC290&lt;&gt;0), 1, 0)</f>
        <v>0</v>
      </c>
      <c r="AD292" s="230">
        <f>IF(AND(OR( AD$5&gt;$F292, Timeline!AD$8&lt;Loans!$E292), Loans!AD290&lt;&gt;0), 1, 0)</f>
        <v>0</v>
      </c>
      <c r="AE292" s="230">
        <f>IF(AND(OR( AE$5&gt;$F292, Timeline!AE$8&lt;Loans!$E292), Loans!AE290&lt;&gt;0), 1, 0)</f>
        <v>0</v>
      </c>
      <c r="AF292" s="230">
        <f>IF(AND(OR( AF$5&gt;$F292, Timeline!AF$8&lt;Loans!$E292), Loans!AF290&lt;&gt;0), 1, 0)</f>
        <v>0</v>
      </c>
      <c r="AG292" s="230">
        <f>IF(AND(OR( AG$5&gt;$F292, Timeline!AG$8&lt;Loans!$E292), Loans!AG290&lt;&gt;0), 1, 0)</f>
        <v>0</v>
      </c>
      <c r="AH292" s="230">
        <f>IF(AND(OR( AH$5&gt;$F292, Timeline!AH$8&lt;Loans!$E292), Loans!AH290&lt;&gt;0), 1, 0)</f>
        <v>0</v>
      </c>
      <c r="AI292" s="230">
        <f>IF(AND(OR( AI$5&gt;$F292, Timeline!AI$8&lt;Loans!$E292), Loans!AI290&lt;&gt;0), 1, 0)</f>
        <v>0</v>
      </c>
      <c r="AJ292" s="230">
        <f>IF(AND(OR( AJ$5&gt;$F292, Timeline!AJ$8&lt;Loans!$E292), Loans!AJ290&lt;&gt;0), 1, 0)</f>
        <v>0</v>
      </c>
      <c r="AK292" s="230">
        <f>IF(AND(OR( AK$5&gt;$F292, Timeline!AK$8&lt;Loans!$E292), Loans!AK290&lt;&gt;0), 1, 0)</f>
        <v>0</v>
      </c>
      <c r="AL292" s="230">
        <f>IF(AND(OR( AL$5&gt;$F292, Timeline!AL$8&lt;Loans!$E292), Loans!AL290&lt;&gt;0), 1, 0)</f>
        <v>0</v>
      </c>
      <c r="AM292" s="230">
        <f>IF(AND(OR( AM$5&gt;$F292, Timeline!AM$8&lt;Loans!$E292), Loans!AM290&lt;&gt;0), 1, 0)</f>
        <v>0</v>
      </c>
      <c r="AN292" s="230">
        <f>IF(AND(OR( AN$5&gt;$F292, Timeline!AN$8&lt;Loans!$E292), Loans!AN290&lt;&gt;0), 1, 0)</f>
        <v>0</v>
      </c>
      <c r="AO292" s="230">
        <f>IF(AND(OR( AO$5&gt;$F292, Timeline!AO$8&lt;Loans!$E292), Loans!AO290&lt;&gt;0), 1, 0)</f>
        <v>0</v>
      </c>
      <c r="AP292" s="230">
        <f>IF(AND(OR( AP$5&gt;$F292, Timeline!AP$8&lt;Loans!$E292), Loans!AP290&lt;&gt;0), 1, 0)</f>
        <v>0</v>
      </c>
      <c r="AQ292" s="230">
        <f>IF(AND(OR( AQ$5&gt;$F292, Timeline!AQ$8&lt;Loans!$E292), Loans!AQ290&lt;&gt;0), 1, 0)</f>
        <v>0</v>
      </c>
      <c r="AR292" s="230">
        <f>IF(AND(OR( AR$5&gt;$F292, Timeline!AR$8&lt;Loans!$E292), Loans!AR290&lt;&gt;0), 1, 0)</f>
        <v>0</v>
      </c>
      <c r="AS292" s="230">
        <f>IF(AND(OR( AS$5&gt;$F292, Timeline!AS$8&lt;Loans!$E292), Loans!AS290&lt;&gt;0), 1, 0)</f>
        <v>0</v>
      </c>
      <c r="AT292" s="230">
        <f>IF(AND(OR( AT$5&gt;$F292, Timeline!AT$8&lt;Loans!$E292), Loans!AT290&lt;&gt;0), 1, 0)</f>
        <v>0</v>
      </c>
      <c r="AU292" s="230">
        <f>IF(AND(OR( AU$5&gt;$F292, Timeline!AU$8&lt;Loans!$E292), Loans!AU290&lt;&gt;0), 1, 0)</f>
        <v>0</v>
      </c>
      <c r="AV292" s="230">
        <f>IF(AND(OR( AV$5&gt;$F292, Timeline!AV$8&lt;Loans!$E292), Loans!AV290&lt;&gt;0), 1, 0)</f>
        <v>0</v>
      </c>
      <c r="AW292" s="230">
        <f>IF(AND(OR( AW$5&gt;$F292, Timeline!AW$8&lt;Loans!$E292), Loans!AW290&lt;&gt;0), 1, 0)</f>
        <v>0</v>
      </c>
      <c r="AX292" s="230">
        <f>IF(AND(OR( AX$5&gt;$F292, Timeline!AX$8&lt;Loans!$E292), Loans!AX290&lt;&gt;0), 1, 0)</f>
        <v>0</v>
      </c>
      <c r="AY292" s="230">
        <f>IF(AND(OR( AY$5&gt;$F292, Timeline!AY$8&lt;Loans!$E292), Loans!AY290&lt;&gt;0), 1, 0)</f>
        <v>0</v>
      </c>
      <c r="AZ292" s="230">
        <f>IF(AND(OR( AZ$5&gt;$F292, Timeline!AZ$8&lt;Loans!$E292), Loans!AZ290&lt;&gt;0), 1, 0)</f>
        <v>0</v>
      </c>
      <c r="BA292" s="230">
        <f>IF(AND(OR( BA$5&gt;$F292, Timeline!BA$8&lt;Loans!$E292), Loans!BA290&lt;&gt;0), 1, 0)</f>
        <v>0</v>
      </c>
      <c r="BB292" s="230">
        <f>IF(AND(OR( BB$5&gt;$F292, Timeline!BB$8&lt;Loans!$E292), Loans!BB290&lt;&gt;0), 1, 0)</f>
        <v>0</v>
      </c>
      <c r="BC292" s="230">
        <f>IF(AND(OR( BC$5&gt;$F292, Timeline!BC$8&lt;Loans!$E292), Loans!BC290&lt;&gt;0), 1, 0)</f>
        <v>0</v>
      </c>
      <c r="BD292" s="230">
        <f>IF(AND(OR( BD$5&gt;$F292, Timeline!BD$8&lt;Loans!$E292), Loans!BD290&lt;&gt;0), 1, 0)</f>
        <v>0</v>
      </c>
      <c r="BE292" s="230">
        <f>IF(AND(OR( BE$5&gt;$F292, Timeline!BE$8&lt;Loans!$E292), Loans!BE290&lt;&gt;0), 1, 0)</f>
        <v>0</v>
      </c>
      <c r="BF292" s="230">
        <f>IF(AND(OR( BF$5&gt;$F292, Timeline!BF$8&lt;Loans!$E292), Loans!BF290&lt;&gt;0), 1, 0)</f>
        <v>0</v>
      </c>
      <c r="BG292" s="230">
        <f>IF(AND(OR( BG$5&gt;$F292, Timeline!BG$8&lt;Loans!$E292), Loans!BG290&lt;&gt;0), 1, 0)</f>
        <v>0</v>
      </c>
      <c r="BH292" s="230">
        <f>IF(AND(OR( BH$5&gt;$F292, Timeline!BH$8&lt;Loans!$E292), Loans!BH290&lt;&gt;0), 1, 0)</f>
        <v>0</v>
      </c>
      <c r="BI292" s="230">
        <f>IF(AND(OR( BI$5&gt;$F292, Timeline!BI$8&lt;Loans!$E292), Loans!BI290&lt;&gt;0), 1, 0)</f>
        <v>0</v>
      </c>
      <c r="BJ292" s="230">
        <f>IF(AND(OR( BJ$5&gt;$F292, Timeline!BJ$8&lt;Loans!$E292), Loans!BJ290&lt;&gt;0), 1, 0)</f>
        <v>0</v>
      </c>
      <c r="BL292" s="230">
        <f>IF(AND(OR( BL$5&gt;$F292, Timeline!BL$8&lt;Loans!$E292), Loans!BL290&lt;&gt;0), 1, 0)</f>
        <v>0</v>
      </c>
      <c r="BM292" s="230">
        <f>IF(AND(OR( BM$5&gt;$F292, Timeline!BM$8&lt;Loans!$E292), Loans!BM290&lt;&gt;0), 1, 0)</f>
        <v>0</v>
      </c>
      <c r="BN292" s="230">
        <f>IF(AND(OR( BN$5&gt;$F292, Timeline!BN$8&lt;Loans!$E292), Loans!BN290&lt;&gt;0), 1, 0)</f>
        <v>0</v>
      </c>
      <c r="BO292" s="230">
        <f>IF(AND(OR( BO$5&gt;$F292, Timeline!BO$8&lt;Loans!$E292), Loans!BO290&lt;&gt;0), 1, 0)</f>
        <v>0</v>
      </c>
      <c r="BP292" s="230">
        <f>IF(AND(OR( BP$5&gt;$F292, Timeline!BP$8&lt;Loans!$E292), Loans!BP290&lt;&gt;0), 1, 0)</f>
        <v>0</v>
      </c>
      <c r="BQ292" s="230">
        <f>IF(AND(OR( BQ$5&gt;$F292, Timeline!BQ$8&lt;Loans!$E292), Loans!BQ290&lt;&gt;0), 1, 0)</f>
        <v>0</v>
      </c>
      <c r="BR292" s="230">
        <f>IF(AND(OR( BR$5&gt;$F292, Timeline!BR$8&lt;Loans!$E292), Loans!BR290&lt;&gt;0), 1, 0)</f>
        <v>0</v>
      </c>
      <c r="BS292" s="230">
        <f>IF(AND(OR( BS$5&gt;$F292, Timeline!BS$8&lt;Loans!$E292), Loans!BS290&lt;&gt;0), 1, 0)</f>
        <v>0</v>
      </c>
      <c r="BT292" s="230">
        <f>IF(AND(OR( BT$5&gt;$F292, Timeline!BT$8&lt;Loans!$E292), Loans!BT290&lt;&gt;0), 1, 0)</f>
        <v>0</v>
      </c>
      <c r="BU292" s="230">
        <f>IF(AND(OR( BU$5&gt;$F292, Timeline!BU$8&lt;Loans!$E292), Loans!BU290&lt;&gt;0), 1, 0)</f>
        <v>0</v>
      </c>
      <c r="BV292" s="230">
        <f>IF(AND(OR( BV$5&gt;$F292, Timeline!BV$8&lt;Loans!$E292), Loans!BV290&lt;&gt;0), 1, 0)</f>
        <v>0</v>
      </c>
      <c r="BW292" s="230">
        <f>IF(AND(OR( BW$5&gt;$F292, Timeline!BW$8&lt;Loans!$E292), Loans!BW290&lt;&gt;0), 1, 0)</f>
        <v>0</v>
      </c>
      <c r="BY292" s="12"/>
      <c r="CA292" s="12"/>
      <c r="CL292" s="7">
        <f>IF(MAX($V292:$BW292)&gt;0, 1, 0)</f>
        <v>0</v>
      </c>
      <c r="CR292" s="12"/>
      <c r="CS292" s="93">
        <f t="shared" si="256"/>
        <v>1</v>
      </c>
      <c r="CT292" s="93">
        <v>0</v>
      </c>
      <c r="CU292" s="93">
        <v>0</v>
      </c>
      <c r="EX292" s="13" t="str">
        <f>IF(C292="", "", CONCATENATE(D275, " ",D292))</f>
        <v/>
      </c>
    </row>
    <row r="293" spans="1:154" s="335" customFormat="1" ht="6.6" customHeight="1" x14ac:dyDescent="0.25">
      <c r="C293" s="380"/>
      <c r="D293" s="1"/>
      <c r="T293" s="25"/>
      <c r="U293" s="25"/>
      <c r="V293" s="93"/>
      <c r="BM293" s="6"/>
      <c r="BY293" s="42"/>
      <c r="CA293" s="42"/>
      <c r="CR293" s="42"/>
      <c r="CS293" s="93">
        <f t="shared" si="256"/>
        <v>0</v>
      </c>
      <c r="CT293" s="93">
        <v>0</v>
      </c>
      <c r="CU293" s="93">
        <v>0</v>
      </c>
      <c r="EX293" s="10" t="str">
        <f t="shared" ref="EX293" si="305">IF($C293="","",$D293)</f>
        <v/>
      </c>
    </row>
    <row r="294" spans="1:154" s="67" customFormat="1" x14ac:dyDescent="0.25">
      <c r="A294" s="64"/>
      <c r="C294" s="380"/>
      <c r="D294" s="64" t="s">
        <v>203</v>
      </c>
      <c r="E294" s="64"/>
      <c r="F294" s="64"/>
      <c r="G294" s="64"/>
      <c r="H294" s="64"/>
      <c r="I294" s="64"/>
      <c r="L294" s="64"/>
      <c r="M294" s="64"/>
      <c r="N294" s="64"/>
      <c r="O294" s="64"/>
      <c r="P294" s="64"/>
      <c r="Q294" s="64"/>
      <c r="S294" s="335"/>
      <c r="T294" s="25"/>
      <c r="U294" s="25"/>
      <c r="V294" s="93"/>
      <c r="BY294" s="12"/>
      <c r="BZ294" s="335"/>
      <c r="CA294" s="12"/>
      <c r="CB294" s="335"/>
      <c r="CC294" s="335"/>
      <c r="CD294" s="335"/>
      <c r="CE294" s="335"/>
      <c r="CM294" s="335"/>
      <c r="CN294" s="335"/>
      <c r="CO294" s="335"/>
      <c r="CP294" s="335"/>
      <c r="CR294" s="12"/>
      <c r="CS294" s="93">
        <f t="shared" si="256"/>
        <v>0</v>
      </c>
      <c r="CT294" s="93">
        <v>0</v>
      </c>
      <c r="CU294" s="93">
        <v>0</v>
      </c>
      <c r="EW294" s="335"/>
      <c r="EX294" s="10" t="str">
        <f t="shared" ref="EX294:EX370" si="306">IF($C294="","",$D294)</f>
        <v/>
      </c>
    </row>
    <row r="295" spans="1:154" s="67" customFormat="1" x14ac:dyDescent="0.25">
      <c r="C295" s="340" t="s">
        <v>1386</v>
      </c>
      <c r="D295" s="51" t="s">
        <v>230</v>
      </c>
      <c r="E295" s="1"/>
      <c r="G295" s="9" t="s">
        <v>413</v>
      </c>
      <c r="H295" s="50" t="s">
        <v>8</v>
      </c>
      <c r="S295" s="335"/>
      <c r="T295" s="25"/>
      <c r="U295" s="25"/>
      <c r="V295" s="210"/>
      <c r="W295" s="201">
        <f>V299</f>
        <v>0</v>
      </c>
      <c r="X295" s="201">
        <f>W299</f>
        <v>0</v>
      </c>
      <c r="Y295" s="10">
        <f>X299</f>
        <v>0</v>
      </c>
      <c r="AA295" s="13">
        <f>W295</f>
        <v>0</v>
      </c>
      <c r="AB295" s="10">
        <f t="shared" ref="AB295:BJ295" si="307">AA299</f>
        <v>0</v>
      </c>
      <c r="AC295" s="10">
        <f t="shared" si="307"/>
        <v>0</v>
      </c>
      <c r="AD295" s="10">
        <f t="shared" si="307"/>
        <v>0</v>
      </c>
      <c r="AE295" s="10">
        <f t="shared" si="307"/>
        <v>0</v>
      </c>
      <c r="AF295" s="10">
        <f t="shared" si="307"/>
        <v>0</v>
      </c>
      <c r="AG295" s="10">
        <f t="shared" si="307"/>
        <v>0</v>
      </c>
      <c r="AH295" s="10">
        <f t="shared" si="307"/>
        <v>0</v>
      </c>
      <c r="AI295" s="10">
        <f t="shared" si="307"/>
        <v>0</v>
      </c>
      <c r="AJ295" s="10">
        <f t="shared" si="307"/>
        <v>0</v>
      </c>
      <c r="AK295" s="10">
        <f t="shared" si="307"/>
        <v>0</v>
      </c>
      <c r="AL295" s="10">
        <f t="shared" si="307"/>
        <v>0</v>
      </c>
      <c r="AM295" s="10">
        <f t="shared" si="307"/>
        <v>0</v>
      </c>
      <c r="AN295" s="10">
        <f t="shared" si="307"/>
        <v>0</v>
      </c>
      <c r="AO295" s="10">
        <f t="shared" si="307"/>
        <v>0</v>
      </c>
      <c r="AP295" s="10">
        <f t="shared" si="307"/>
        <v>0</v>
      </c>
      <c r="AQ295" s="10">
        <f t="shared" si="307"/>
        <v>0</v>
      </c>
      <c r="AR295" s="10">
        <f t="shared" si="307"/>
        <v>0</v>
      </c>
      <c r="AS295" s="10">
        <f t="shared" si="307"/>
        <v>0</v>
      </c>
      <c r="AT295" s="10">
        <f t="shared" si="307"/>
        <v>0</v>
      </c>
      <c r="AU295" s="10">
        <f t="shared" si="307"/>
        <v>0</v>
      </c>
      <c r="AV295" s="10">
        <f t="shared" si="307"/>
        <v>0</v>
      </c>
      <c r="AW295" s="10">
        <f t="shared" si="307"/>
        <v>0</v>
      </c>
      <c r="AX295" s="10">
        <f t="shared" si="307"/>
        <v>0</v>
      </c>
      <c r="AY295" s="10">
        <f t="shared" si="307"/>
        <v>0</v>
      </c>
      <c r="AZ295" s="10">
        <f t="shared" si="307"/>
        <v>0</v>
      </c>
      <c r="BA295" s="10">
        <f t="shared" si="307"/>
        <v>0</v>
      </c>
      <c r="BB295" s="10">
        <f t="shared" si="307"/>
        <v>0</v>
      </c>
      <c r="BC295" s="10">
        <f t="shared" si="307"/>
        <v>0</v>
      </c>
      <c r="BD295" s="10">
        <f t="shared" si="307"/>
        <v>0</v>
      </c>
      <c r="BE295" s="10">
        <f t="shared" si="307"/>
        <v>0</v>
      </c>
      <c r="BF295" s="10">
        <f t="shared" si="307"/>
        <v>0</v>
      </c>
      <c r="BG295" s="10">
        <f t="shared" si="307"/>
        <v>0</v>
      </c>
      <c r="BH295" s="10">
        <f t="shared" si="307"/>
        <v>0</v>
      </c>
      <c r="BI295" s="10">
        <f t="shared" si="307"/>
        <v>0</v>
      </c>
      <c r="BJ295" s="10">
        <f t="shared" si="307"/>
        <v>0</v>
      </c>
      <c r="BL295" s="13">
        <f t="shared" ref="BL295:BO299" si="308">V295</f>
        <v>0</v>
      </c>
      <c r="BM295" s="13">
        <f t="shared" si="308"/>
        <v>0</v>
      </c>
      <c r="BN295" s="13">
        <f t="shared" si="308"/>
        <v>0</v>
      </c>
      <c r="BO295" s="13">
        <f t="shared" si="308"/>
        <v>0</v>
      </c>
      <c r="BP295" s="10">
        <f t="shared" ref="BP295:BW295" si="309">BO299</f>
        <v>0</v>
      </c>
      <c r="BQ295" s="10">
        <f t="shared" si="309"/>
        <v>0</v>
      </c>
      <c r="BR295" s="10">
        <f t="shared" si="309"/>
        <v>0</v>
      </c>
      <c r="BS295" s="10">
        <f t="shared" si="309"/>
        <v>0</v>
      </c>
      <c r="BT295" s="10">
        <f t="shared" si="309"/>
        <v>0</v>
      </c>
      <c r="BU295" s="10">
        <f t="shared" si="309"/>
        <v>0</v>
      </c>
      <c r="BV295" s="10">
        <f t="shared" si="309"/>
        <v>0</v>
      </c>
      <c r="BW295" s="10">
        <f t="shared" si="309"/>
        <v>0</v>
      </c>
      <c r="BY295" s="12"/>
      <c r="BZ295" s="335"/>
      <c r="CA295" s="12"/>
      <c r="CB295" s="335"/>
      <c r="CC295" s="335"/>
      <c r="CD295" s="335"/>
      <c r="CE295" s="335"/>
      <c r="CM295" s="335"/>
      <c r="CN295" s="335"/>
      <c r="CO295" s="335"/>
      <c r="CP295" s="335"/>
      <c r="CR295" s="12"/>
      <c r="CS295" s="93">
        <f t="shared" si="256"/>
        <v>0</v>
      </c>
      <c r="CT295" s="93">
        <v>1</v>
      </c>
      <c r="CU295" s="93">
        <v>0</v>
      </c>
      <c r="EW295" s="335"/>
      <c r="EX295" s="13" t="str">
        <f>IF(C295="", "", CONCATENATE(D294, " ",D295))</f>
        <v>Loan 14 Opening Loan Balance</v>
      </c>
    </row>
    <row r="296" spans="1:154" s="5" customFormat="1" x14ac:dyDescent="0.25">
      <c r="A296" s="362" cm="1">
        <f t="array" aca="1" ref="A296" ca="1">HYPERLINK(CONCATENATE("#",CELL("address",IF(SUM($CA296:$CR296)=0,A296,INDEX($CA296:$CR296,MATCH(1,$CA296:$CR296,0))))),SUM($CA296:$CR296))</f>
        <v>0</v>
      </c>
      <c r="B296" s="67"/>
      <c r="C296" s="340" t="s">
        <v>1249</v>
      </c>
      <c r="D296" s="51" t="s">
        <v>219</v>
      </c>
      <c r="E296" s="1"/>
      <c r="F296" s="67"/>
      <c r="G296" s="9" t="s">
        <v>413</v>
      </c>
      <c r="H296" s="50" t="s">
        <v>125</v>
      </c>
      <c r="I296" s="67"/>
      <c r="J296" s="67"/>
      <c r="K296" s="67"/>
      <c r="L296" s="67"/>
      <c r="M296" s="67"/>
      <c r="N296" s="67"/>
      <c r="O296" s="67"/>
      <c r="P296" s="67"/>
      <c r="Q296" s="67"/>
      <c r="R296" s="67"/>
      <c r="S296" s="335"/>
      <c r="T296" s="25"/>
      <c r="U296" s="25"/>
      <c r="V296" s="210"/>
      <c r="W296" s="215">
        <f t="shared" ref="W296:Y298" si="310" xml:space="preserve"> SUMIFS($AA296:$BJ296, $AA$3:$BJ$3, W$3)</f>
        <v>0</v>
      </c>
      <c r="X296" s="215">
        <f t="shared" si="310"/>
        <v>0</v>
      </c>
      <c r="Y296" s="215">
        <f t="shared" si="310"/>
        <v>0</v>
      </c>
      <c r="Z296" s="67"/>
      <c r="AA296" s="147"/>
      <c r="AB296" s="147"/>
      <c r="AC296" s="147"/>
      <c r="AD296" s="147"/>
      <c r="AE296" s="147"/>
      <c r="AF296" s="147"/>
      <c r="AG296" s="147"/>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c r="BI296" s="147"/>
      <c r="BJ296" s="147"/>
      <c r="BK296" s="67"/>
      <c r="BL296" s="13">
        <f t="shared" si="308"/>
        <v>0</v>
      </c>
      <c r="BM296" s="13">
        <f t="shared" si="308"/>
        <v>0</v>
      </c>
      <c r="BN296" s="13">
        <f t="shared" si="308"/>
        <v>0</v>
      </c>
      <c r="BO296" s="13">
        <f t="shared" si="308"/>
        <v>0</v>
      </c>
      <c r="BP296" s="141"/>
      <c r="BQ296" s="141"/>
      <c r="BR296" s="141"/>
      <c r="BS296" s="141"/>
      <c r="BT296" s="141"/>
      <c r="BU296" s="141"/>
      <c r="BV296" s="141"/>
      <c r="BW296" s="141"/>
      <c r="BX296" s="67"/>
      <c r="BY296" s="12"/>
      <c r="BZ296" s="395">
        <f>IF(MIN($V296:$BW296)&lt;0, 1, 0)</f>
        <v>0</v>
      </c>
      <c r="CA296" s="12"/>
      <c r="CB296" s="335"/>
      <c r="CC296" s="335"/>
      <c r="CD296" s="335"/>
      <c r="CE296" s="335"/>
      <c r="CF296" s="67"/>
      <c r="CG296" s="67"/>
      <c r="CH296" s="67"/>
      <c r="CI296" s="67"/>
      <c r="CJ296" s="67"/>
      <c r="CK296" s="67"/>
      <c r="CL296" s="67"/>
      <c r="CM296" s="7">
        <f t="shared" ref="CM296:CO298" si="311">IF(ROUND(W296-SUMIFS($AA296:$BJ296, $AA$3:$BJ$3, W$3), rounding)=0, 0, 1)</f>
        <v>0</v>
      </c>
      <c r="CN296" s="7">
        <f t="shared" si="311"/>
        <v>0</v>
      </c>
      <c r="CO296" s="7">
        <f t="shared" si="311"/>
        <v>0</v>
      </c>
      <c r="CP296" s="7">
        <f>IF(ROUND(V296-BL296, rounding)=0, 0, 1)*'BS Forecasts'!$V$10</f>
        <v>0</v>
      </c>
      <c r="CQ296" s="67"/>
      <c r="CR296" s="12"/>
      <c r="CS296" s="93">
        <f t="shared" si="256"/>
        <v>0</v>
      </c>
      <c r="CT296" s="93">
        <v>1</v>
      </c>
      <c r="CU296" s="93">
        <v>1</v>
      </c>
      <c r="EX296" s="13" t="str">
        <f>IF(C296="", "", CONCATENATE(D294, " ",D296))</f>
        <v>Loan 14 Drawdowns</v>
      </c>
    </row>
    <row r="297" spans="1:154" s="67" customFormat="1" x14ac:dyDescent="0.25">
      <c r="A297" s="362" cm="1">
        <f t="array" aca="1" ref="A297" ca="1">HYPERLINK(CONCATENATE("#",CELL("address",IF(SUM($CA297:$CR297)=0,A297,INDEX($CA297:$CR297,MATCH(1,$CA297:$CR297,0))))),SUM($CA297:$CR297))</f>
        <v>0</v>
      </c>
      <c r="C297" s="340" t="s">
        <v>1250</v>
      </c>
      <c r="D297" s="41" t="s">
        <v>1570</v>
      </c>
      <c r="E297" s="1"/>
      <c r="G297" s="9" t="s">
        <v>413</v>
      </c>
      <c r="H297" s="50" t="s">
        <v>157</v>
      </c>
      <c r="S297" s="335"/>
      <c r="T297" s="25"/>
      <c r="U297" s="25"/>
      <c r="V297" s="210"/>
      <c r="W297" s="215">
        <f t="shared" si="310"/>
        <v>0</v>
      </c>
      <c r="X297" s="215">
        <f t="shared" si="310"/>
        <v>0</v>
      </c>
      <c r="Y297" s="215">
        <f t="shared" si="310"/>
        <v>0</v>
      </c>
      <c r="AA297" s="147"/>
      <c r="AB297" s="147"/>
      <c r="AC297" s="147"/>
      <c r="AD297" s="147"/>
      <c r="AE297" s="147"/>
      <c r="AF297" s="147"/>
      <c r="AG297" s="147"/>
      <c r="AH297" s="147"/>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c r="BI297" s="147"/>
      <c r="BJ297" s="147"/>
      <c r="BL297" s="13">
        <f t="shared" si="308"/>
        <v>0</v>
      </c>
      <c r="BM297" s="13">
        <f t="shared" si="308"/>
        <v>0</v>
      </c>
      <c r="BN297" s="13">
        <f t="shared" si="308"/>
        <v>0</v>
      </c>
      <c r="BO297" s="13">
        <f t="shared" si="308"/>
        <v>0</v>
      </c>
      <c r="BP297" s="141"/>
      <c r="BQ297" s="141"/>
      <c r="BR297" s="141"/>
      <c r="BS297" s="141"/>
      <c r="BT297" s="141"/>
      <c r="BU297" s="141"/>
      <c r="BV297" s="141"/>
      <c r="BW297" s="141"/>
      <c r="BY297" s="12"/>
      <c r="BZ297" s="395">
        <f>IF(MAX($V297:$BW297)&gt;0, 1, 0)</f>
        <v>0</v>
      </c>
      <c r="CA297" s="12"/>
      <c r="CB297" s="335"/>
      <c r="CC297" s="335"/>
      <c r="CD297" s="335"/>
      <c r="CE297" s="335"/>
      <c r="CM297" s="7">
        <f t="shared" si="311"/>
        <v>0</v>
      </c>
      <c r="CN297" s="7">
        <f t="shared" si="311"/>
        <v>0</v>
      </c>
      <c r="CO297" s="7">
        <f t="shared" si="311"/>
        <v>0</v>
      </c>
      <c r="CP297" s="7">
        <f>IF(ROUND(V297-BL297, rounding)=0, 0, 1)*'BS Forecasts'!$V$10</f>
        <v>0</v>
      </c>
      <c r="CR297" s="12"/>
      <c r="CS297" s="93">
        <f t="shared" si="256"/>
        <v>0</v>
      </c>
      <c r="CT297" s="93">
        <v>1</v>
      </c>
      <c r="CU297" s="93">
        <v>1</v>
      </c>
      <c r="EW297" s="335"/>
      <c r="EX297" s="13" t="str">
        <f>IF(C297="", "", CONCATENATE(D294, " ",D297))</f>
        <v>Loan 14 Loan Capital Repayment (as per loan agreement)</v>
      </c>
    </row>
    <row r="298" spans="1:154" s="335" customFormat="1" x14ac:dyDescent="0.25">
      <c r="A298" s="362" cm="1">
        <f t="array" aca="1" ref="A298" ca="1">HYPERLINK(CONCATENATE("#",CELL("address",IF(SUM($CA298:$CR298)=0,A298,INDEX($CA298:$CR298,MATCH(1,$CA298:$CR298,0))))),SUM($CA298:$CR298))</f>
        <v>0</v>
      </c>
      <c r="C298" s="340" t="s">
        <v>1579</v>
      </c>
      <c r="D298" s="41" t="s">
        <v>1571</v>
      </c>
      <c r="E298" s="1"/>
      <c r="G298" s="9" t="s">
        <v>413</v>
      </c>
      <c r="H298" s="50" t="s">
        <v>157</v>
      </c>
      <c r="T298" s="25"/>
      <c r="U298" s="25"/>
      <c r="V298" s="210"/>
      <c r="W298" s="215">
        <f t="shared" si="310"/>
        <v>0</v>
      </c>
      <c r="X298" s="215">
        <f t="shared" si="310"/>
        <v>0</v>
      </c>
      <c r="Y298" s="215">
        <f t="shared" si="310"/>
        <v>0</v>
      </c>
      <c r="AA298" s="147"/>
      <c r="AB298" s="147"/>
      <c r="AC298" s="147"/>
      <c r="AD298" s="147"/>
      <c r="AE298" s="147"/>
      <c r="AF298" s="147"/>
      <c r="AG298" s="147"/>
      <c r="AH298" s="147"/>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c r="BI298" s="147"/>
      <c r="BJ298" s="147"/>
      <c r="BL298" s="13">
        <f t="shared" si="308"/>
        <v>0</v>
      </c>
      <c r="BM298" s="13">
        <f t="shared" si="308"/>
        <v>0</v>
      </c>
      <c r="BN298" s="13">
        <f t="shared" si="308"/>
        <v>0</v>
      </c>
      <c r="BO298" s="13">
        <f t="shared" si="308"/>
        <v>0</v>
      </c>
      <c r="BP298" s="141"/>
      <c r="BQ298" s="141"/>
      <c r="BR298" s="141"/>
      <c r="BS298" s="141"/>
      <c r="BT298" s="141"/>
      <c r="BU298" s="141"/>
      <c r="BV298" s="141"/>
      <c r="BW298" s="141"/>
      <c r="BY298" s="12"/>
      <c r="BZ298" s="395">
        <f>IF(MAX($V298:$BW298)&gt;0, 1, 0)</f>
        <v>0</v>
      </c>
      <c r="CA298" s="12"/>
      <c r="CM298" s="7">
        <f t="shared" si="311"/>
        <v>0</v>
      </c>
      <c r="CN298" s="7">
        <f t="shared" si="311"/>
        <v>0</v>
      </c>
      <c r="CO298" s="7">
        <f t="shared" si="311"/>
        <v>0</v>
      </c>
      <c r="CP298" s="7">
        <f>IF(ROUND(V298-BL298, rounding)=0, 0, 1)*'BS Forecasts'!$V$10</f>
        <v>0</v>
      </c>
      <c r="CR298" s="12"/>
      <c r="CS298" s="93">
        <f t="shared" si="256"/>
        <v>0</v>
      </c>
      <c r="CT298" s="93">
        <v>1</v>
      </c>
      <c r="CU298" s="93">
        <v>1</v>
      </c>
      <c r="EX298" s="13" t="str">
        <f>IF(C298="", "", CONCATENATE(D294, " ",D298))</f>
        <v xml:space="preserve">Loan 14 Early Repayment </v>
      </c>
    </row>
    <row r="299" spans="1:154" s="67" customFormat="1" x14ac:dyDescent="0.25">
      <c r="C299" s="340" t="s">
        <v>1366</v>
      </c>
      <c r="D299" s="51" t="s">
        <v>231</v>
      </c>
      <c r="E299" s="1"/>
      <c r="G299" s="9" t="s">
        <v>413</v>
      </c>
      <c r="H299" s="50" t="s">
        <v>8</v>
      </c>
      <c r="S299" s="335"/>
      <c r="T299" s="25"/>
      <c r="U299" s="25"/>
      <c r="V299" s="13">
        <f>$G$26</f>
        <v>0</v>
      </c>
      <c r="W299" s="10">
        <f>SUM(W295:W298)</f>
        <v>0</v>
      </c>
      <c r="X299" s="10">
        <f t="shared" ref="X299:BI299" si="312">SUM(X295:X298)</f>
        <v>0</v>
      </c>
      <c r="Y299" s="10">
        <f t="shared" si="312"/>
        <v>0</v>
      </c>
      <c r="Z299" s="335"/>
      <c r="AA299" s="10">
        <f t="shared" si="312"/>
        <v>0</v>
      </c>
      <c r="AB299" s="10">
        <f t="shared" si="312"/>
        <v>0</v>
      </c>
      <c r="AC299" s="10">
        <f t="shared" si="312"/>
        <v>0</v>
      </c>
      <c r="AD299" s="10">
        <f t="shared" si="312"/>
        <v>0</v>
      </c>
      <c r="AE299" s="10">
        <f t="shared" si="312"/>
        <v>0</v>
      </c>
      <c r="AF299" s="10">
        <f t="shared" si="312"/>
        <v>0</v>
      </c>
      <c r="AG299" s="10">
        <f t="shared" si="312"/>
        <v>0</v>
      </c>
      <c r="AH299" s="10">
        <f t="shared" si="312"/>
        <v>0</v>
      </c>
      <c r="AI299" s="10">
        <f t="shared" si="312"/>
        <v>0</v>
      </c>
      <c r="AJ299" s="10">
        <f t="shared" si="312"/>
        <v>0</v>
      </c>
      <c r="AK299" s="10">
        <f t="shared" si="312"/>
        <v>0</v>
      </c>
      <c r="AL299" s="10">
        <f t="shared" si="312"/>
        <v>0</v>
      </c>
      <c r="AM299" s="10">
        <f t="shared" si="312"/>
        <v>0</v>
      </c>
      <c r="AN299" s="10">
        <f t="shared" si="312"/>
        <v>0</v>
      </c>
      <c r="AO299" s="10">
        <f t="shared" si="312"/>
        <v>0</v>
      </c>
      <c r="AP299" s="10">
        <f t="shared" si="312"/>
        <v>0</v>
      </c>
      <c r="AQ299" s="10">
        <f t="shared" si="312"/>
        <v>0</v>
      </c>
      <c r="AR299" s="10">
        <f t="shared" si="312"/>
        <v>0</v>
      </c>
      <c r="AS299" s="10">
        <f t="shared" si="312"/>
        <v>0</v>
      </c>
      <c r="AT299" s="10">
        <f t="shared" si="312"/>
        <v>0</v>
      </c>
      <c r="AU299" s="10">
        <f t="shared" si="312"/>
        <v>0</v>
      </c>
      <c r="AV299" s="10">
        <f t="shared" si="312"/>
        <v>0</v>
      </c>
      <c r="AW299" s="10">
        <f t="shared" si="312"/>
        <v>0</v>
      </c>
      <c r="AX299" s="10">
        <f t="shared" si="312"/>
        <v>0</v>
      </c>
      <c r="AY299" s="10">
        <f t="shared" si="312"/>
        <v>0</v>
      </c>
      <c r="AZ299" s="10">
        <f t="shared" si="312"/>
        <v>0</v>
      </c>
      <c r="BA299" s="10">
        <f t="shared" si="312"/>
        <v>0</v>
      </c>
      <c r="BB299" s="10">
        <f t="shared" si="312"/>
        <v>0</v>
      </c>
      <c r="BC299" s="10">
        <f t="shared" si="312"/>
        <v>0</v>
      </c>
      <c r="BD299" s="10">
        <f t="shared" si="312"/>
        <v>0</v>
      </c>
      <c r="BE299" s="10">
        <f t="shared" si="312"/>
        <v>0</v>
      </c>
      <c r="BF299" s="10">
        <f t="shared" si="312"/>
        <v>0</v>
      </c>
      <c r="BG299" s="10">
        <f t="shared" si="312"/>
        <v>0</v>
      </c>
      <c r="BH299" s="10">
        <f t="shared" si="312"/>
        <v>0</v>
      </c>
      <c r="BI299" s="10">
        <f t="shared" si="312"/>
        <v>0</v>
      </c>
      <c r="BJ299" s="10">
        <f>SUM(BJ295:BJ298)</f>
        <v>0</v>
      </c>
      <c r="BL299" s="152">
        <f t="shared" si="308"/>
        <v>0</v>
      </c>
      <c r="BM299" s="152">
        <f t="shared" si="308"/>
        <v>0</v>
      </c>
      <c r="BN299" s="152">
        <f t="shared" si="308"/>
        <v>0</v>
      </c>
      <c r="BO299" s="152">
        <f t="shared" si="308"/>
        <v>0</v>
      </c>
      <c r="BP299" s="10">
        <f t="shared" ref="BP299:BW299" si="313">SUM(BP295:BP298)</f>
        <v>0</v>
      </c>
      <c r="BQ299" s="10">
        <f t="shared" si="313"/>
        <v>0</v>
      </c>
      <c r="BR299" s="10">
        <f t="shared" si="313"/>
        <v>0</v>
      </c>
      <c r="BS299" s="10">
        <f t="shared" si="313"/>
        <v>0</v>
      </c>
      <c r="BT299" s="10">
        <f t="shared" si="313"/>
        <v>0</v>
      </c>
      <c r="BU299" s="10">
        <f t="shared" si="313"/>
        <v>0</v>
      </c>
      <c r="BV299" s="10">
        <f t="shared" si="313"/>
        <v>0</v>
      </c>
      <c r="BW299" s="10">
        <f t="shared" si="313"/>
        <v>0</v>
      </c>
      <c r="BY299" s="12"/>
      <c r="BZ299" s="335"/>
      <c r="CA299" s="12"/>
      <c r="CB299" s="335"/>
      <c r="CC299" s="335"/>
      <c r="CD299" s="335"/>
      <c r="CE299" s="335"/>
      <c r="CM299" s="335"/>
      <c r="CN299" s="335"/>
      <c r="CO299" s="335"/>
      <c r="CP299" s="335"/>
      <c r="CR299" s="12"/>
      <c r="CS299" s="93">
        <f t="shared" si="256"/>
        <v>0</v>
      </c>
      <c r="CT299" s="93">
        <v>0</v>
      </c>
      <c r="CU299" s="93">
        <v>0</v>
      </c>
      <c r="EW299" s="335"/>
      <c r="EX299" s="13" t="str">
        <f>IF(C299="", "", CONCATENATE(D294, " ",D299))</f>
        <v>Loan 14 Closing Loan Balance</v>
      </c>
    </row>
    <row r="300" spans="1:154" s="67" customFormat="1" ht="6.6" customHeight="1" x14ac:dyDescent="0.25">
      <c r="C300" s="380"/>
      <c r="D300" s="1"/>
      <c r="S300" s="335"/>
      <c r="T300" s="25"/>
      <c r="U300" s="25"/>
      <c r="V300" s="229"/>
      <c r="W300" s="25"/>
      <c r="X300" s="25"/>
      <c r="Y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L300" s="25"/>
      <c r="BM300" s="155"/>
      <c r="BN300" s="25"/>
      <c r="BO300" s="25"/>
      <c r="BP300" s="25"/>
      <c r="BQ300" s="25"/>
      <c r="BR300" s="25"/>
      <c r="BS300" s="25"/>
      <c r="BT300" s="25"/>
      <c r="BU300" s="25"/>
      <c r="BV300" s="25"/>
      <c r="BW300" s="25"/>
      <c r="BY300" s="42"/>
      <c r="BZ300" s="335"/>
      <c r="CA300" s="42"/>
      <c r="CB300" s="335"/>
      <c r="CC300" s="335"/>
      <c r="CD300" s="335"/>
      <c r="CE300" s="335"/>
      <c r="CM300" s="335"/>
      <c r="CN300" s="335"/>
      <c r="CO300" s="335"/>
      <c r="CP300" s="335"/>
      <c r="CR300" s="42"/>
      <c r="CS300" s="93">
        <f t="shared" si="256"/>
        <v>0</v>
      </c>
      <c r="CT300" s="93">
        <v>0</v>
      </c>
      <c r="CU300" s="93">
        <v>0</v>
      </c>
      <c r="EW300" s="335"/>
      <c r="EX300" s="13" t="str">
        <f>IF(C300="", "", CONCATENATE(D294, " ",D300))</f>
        <v/>
      </c>
    </row>
    <row r="301" spans="1:154" s="67" customFormat="1" x14ac:dyDescent="0.25">
      <c r="A301" s="362" cm="1">
        <f t="array" aca="1" ref="A301" ca="1">HYPERLINK(CONCATENATE("#",CELL("address",IF(SUM($CA301:$CR301)=0,A301,INDEX($CA301:$CR301,MATCH(1,$CA301:$CR301,0))))),SUM($CA301:$CR301))</f>
        <v>0</v>
      </c>
      <c r="C301" s="380"/>
      <c r="D301" s="51" t="s">
        <v>526</v>
      </c>
      <c r="E301" s="160" t="s">
        <v>523</v>
      </c>
      <c r="F301" s="153">
        <f>$F$26</f>
        <v>0</v>
      </c>
      <c r="S301" s="335"/>
      <c r="T301" s="25"/>
      <c r="U301" s="25"/>
      <c r="V301" s="230">
        <f>IF(OR(V299&gt;$F301, V299&lt;0), 1, 0)</f>
        <v>0</v>
      </c>
      <c r="W301" s="154">
        <f>IF(OR(W299&gt;$F301, W299&lt;0), 1, 0)</f>
        <v>0</v>
      </c>
      <c r="X301" s="154">
        <f>IF(OR(X299&gt;$F301, X299&lt;0), 1, 0)</f>
        <v>0</v>
      </c>
      <c r="Y301" s="154">
        <f>IF(OR(Y299&gt;$F301, Y299&lt;0), 1, 0)</f>
        <v>0</v>
      </c>
      <c r="AA301" s="154">
        <f t="shared" ref="AA301:BJ301" si="314">IF(OR(AA299&gt;$F301, AA299&lt;0), 1, 0)</f>
        <v>0</v>
      </c>
      <c r="AB301" s="154">
        <f t="shared" si="314"/>
        <v>0</v>
      </c>
      <c r="AC301" s="154">
        <f t="shared" si="314"/>
        <v>0</v>
      </c>
      <c r="AD301" s="154">
        <f t="shared" si="314"/>
        <v>0</v>
      </c>
      <c r="AE301" s="154">
        <f t="shared" si="314"/>
        <v>0</v>
      </c>
      <c r="AF301" s="154">
        <f t="shared" si="314"/>
        <v>0</v>
      </c>
      <c r="AG301" s="154">
        <f t="shared" si="314"/>
        <v>0</v>
      </c>
      <c r="AH301" s="154">
        <f t="shared" si="314"/>
        <v>0</v>
      </c>
      <c r="AI301" s="154">
        <f t="shared" si="314"/>
        <v>0</v>
      </c>
      <c r="AJ301" s="154">
        <f t="shared" si="314"/>
        <v>0</v>
      </c>
      <c r="AK301" s="154">
        <f t="shared" si="314"/>
        <v>0</v>
      </c>
      <c r="AL301" s="154">
        <f t="shared" si="314"/>
        <v>0</v>
      </c>
      <c r="AM301" s="154">
        <f t="shared" si="314"/>
        <v>0</v>
      </c>
      <c r="AN301" s="154">
        <f t="shared" si="314"/>
        <v>0</v>
      </c>
      <c r="AO301" s="154">
        <f t="shared" si="314"/>
        <v>0</v>
      </c>
      <c r="AP301" s="154">
        <f t="shared" si="314"/>
        <v>0</v>
      </c>
      <c r="AQ301" s="154">
        <f t="shared" si="314"/>
        <v>0</v>
      </c>
      <c r="AR301" s="154">
        <f t="shared" si="314"/>
        <v>0</v>
      </c>
      <c r="AS301" s="154">
        <f t="shared" si="314"/>
        <v>0</v>
      </c>
      <c r="AT301" s="154">
        <f t="shared" si="314"/>
        <v>0</v>
      </c>
      <c r="AU301" s="154">
        <f t="shared" si="314"/>
        <v>0</v>
      </c>
      <c r="AV301" s="154">
        <f t="shared" si="314"/>
        <v>0</v>
      </c>
      <c r="AW301" s="154">
        <f t="shared" si="314"/>
        <v>0</v>
      </c>
      <c r="AX301" s="154">
        <f t="shared" si="314"/>
        <v>0</v>
      </c>
      <c r="AY301" s="154">
        <f t="shared" si="314"/>
        <v>0</v>
      </c>
      <c r="AZ301" s="154">
        <f t="shared" si="314"/>
        <v>0</v>
      </c>
      <c r="BA301" s="154">
        <f t="shared" si="314"/>
        <v>0</v>
      </c>
      <c r="BB301" s="154">
        <f t="shared" si="314"/>
        <v>0</v>
      </c>
      <c r="BC301" s="154">
        <f t="shared" si="314"/>
        <v>0</v>
      </c>
      <c r="BD301" s="154">
        <f t="shared" si="314"/>
        <v>0</v>
      </c>
      <c r="BE301" s="154">
        <f t="shared" si="314"/>
        <v>0</v>
      </c>
      <c r="BF301" s="154">
        <f t="shared" si="314"/>
        <v>0</v>
      </c>
      <c r="BG301" s="154">
        <f t="shared" si="314"/>
        <v>0</v>
      </c>
      <c r="BH301" s="154">
        <f t="shared" si="314"/>
        <v>0</v>
      </c>
      <c r="BI301" s="154">
        <f t="shared" si="314"/>
        <v>0</v>
      </c>
      <c r="BJ301" s="154">
        <f t="shared" si="314"/>
        <v>0</v>
      </c>
      <c r="BL301" s="154">
        <f t="shared" ref="BL301" si="315">IF(OR(BL299&gt;$F301, BL299&lt;0), 1, 0)</f>
        <v>0</v>
      </c>
      <c r="BM301" s="154">
        <f t="shared" ref="BM301:BW301" si="316">IF(OR(BM299&gt;$F301, BM299&lt;0), 1, 0)</f>
        <v>0</v>
      </c>
      <c r="BN301" s="154">
        <f t="shared" si="316"/>
        <v>0</v>
      </c>
      <c r="BO301" s="154">
        <f t="shared" si="316"/>
        <v>0</v>
      </c>
      <c r="BP301" s="154">
        <f t="shared" si="316"/>
        <v>0</v>
      </c>
      <c r="BQ301" s="154">
        <f t="shared" si="316"/>
        <v>0</v>
      </c>
      <c r="BR301" s="154">
        <f t="shared" si="316"/>
        <v>0</v>
      </c>
      <c r="BS301" s="154">
        <f t="shared" si="316"/>
        <v>0</v>
      </c>
      <c r="BT301" s="154">
        <f t="shared" si="316"/>
        <v>0</v>
      </c>
      <c r="BU301" s="154">
        <f t="shared" si="316"/>
        <v>0</v>
      </c>
      <c r="BV301" s="154">
        <f t="shared" si="316"/>
        <v>0</v>
      </c>
      <c r="BW301" s="154">
        <f t="shared" si="316"/>
        <v>0</v>
      </c>
      <c r="BY301" s="12"/>
      <c r="BZ301" s="335"/>
      <c r="CA301" s="12"/>
      <c r="CB301" s="335"/>
      <c r="CC301" s="335"/>
      <c r="CD301" s="335"/>
      <c r="CE301" s="335"/>
      <c r="CL301" s="7">
        <f>IF(MAX(V301:BW301)&gt;0, 1, 0)</f>
        <v>0</v>
      </c>
      <c r="CM301" s="335"/>
      <c r="CN301" s="335"/>
      <c r="CO301" s="335"/>
      <c r="CP301" s="335"/>
      <c r="CR301" s="12"/>
      <c r="CS301" s="93">
        <f t="shared" si="256"/>
        <v>1</v>
      </c>
      <c r="CT301" s="93">
        <v>0</v>
      </c>
      <c r="CU301" s="93">
        <v>0</v>
      </c>
      <c r="EW301" s="335"/>
      <c r="EX301" s="13" t="str">
        <f>IF(C301="", "", CONCATENATE(D294, " ",D301))</f>
        <v/>
      </c>
    </row>
    <row r="302" spans="1:154" s="67" customFormat="1" x14ac:dyDescent="0.25">
      <c r="A302" s="362" cm="1">
        <f t="array" aca="1" ref="A302" ca="1">HYPERLINK(CONCATENATE("#",CELL("address",IF(SUM($CA302:$CR302)=0,A302,INDEX($CA302:$CR302,MATCH(1,$CA302:$CR302,0))))),SUM($CA302:$CR302))</f>
        <v>0</v>
      </c>
      <c r="C302" s="380"/>
      <c r="D302" s="51" t="s">
        <v>220</v>
      </c>
      <c r="E302" s="160" t="s">
        <v>524</v>
      </c>
      <c r="F302" s="173" t="str">
        <f>IF($J$26="", "", $J$26)</f>
        <v/>
      </c>
      <c r="S302" s="335"/>
      <c r="T302" s="25"/>
      <c r="U302" s="25"/>
      <c r="V302" s="230">
        <f>IF(AND(V$5&gt;=$F302,SUM(V299:$Y299)&lt;&gt;0),1,0)</f>
        <v>0</v>
      </c>
      <c r="W302" s="230">
        <f>IF(AND(W$5&gt;=$F302,SUM(W299:$Y299)&lt;&gt;0),1,0)</f>
        <v>0</v>
      </c>
      <c r="X302" s="230">
        <f>IF(AND(X$5&gt;=$F302,SUM(X299:$Y299)&lt;&gt;0),1,0)</f>
        <v>0</v>
      </c>
      <c r="Y302" s="230">
        <f>IF(AND(Y$5&gt;=$F302,SUM(Y299:$Y299)&lt;&gt;0),1,0)</f>
        <v>0</v>
      </c>
      <c r="AA302" s="154">
        <f>IF(AND(AA$5&gt;=$F302,SUM(AA299:$BJ299)&lt;&gt;0),1,0)</f>
        <v>0</v>
      </c>
      <c r="AB302" s="154">
        <f>IF(AND(AB$5&gt;=$F302,SUM(AB299:$BJ299)&lt;&gt;0),1,0)</f>
        <v>0</v>
      </c>
      <c r="AC302" s="154">
        <f>IF(AND(AC$5&gt;=$F302,SUM(AC299:$BJ299)&lt;&gt;0),1,0)</f>
        <v>0</v>
      </c>
      <c r="AD302" s="154">
        <f>IF(AND(AD$5&gt;=$F302,SUM(AD299:$BJ299)&lt;&gt;0),1,0)</f>
        <v>0</v>
      </c>
      <c r="AE302" s="154">
        <f>IF(AND(AE$5&gt;=$F302,SUM(AE299:$BJ299)&lt;&gt;0),1,0)</f>
        <v>0</v>
      </c>
      <c r="AF302" s="154">
        <f>IF(AND(AF$5&gt;=$F302,SUM(AF299:$BJ299)&lt;&gt;0),1,0)</f>
        <v>0</v>
      </c>
      <c r="AG302" s="154">
        <f>IF(AND(AG$5&gt;=$F302,SUM(AG299:$BJ299)&lt;&gt;0),1,0)</f>
        <v>0</v>
      </c>
      <c r="AH302" s="154">
        <f>IF(AND(AH$5&gt;=$F302,SUM(AH299:$BJ299)&lt;&gt;0),1,0)</f>
        <v>0</v>
      </c>
      <c r="AI302" s="154">
        <f>IF(AND(AI$5&gt;=$F302,SUM(AI299:$BJ299)&lt;&gt;0),1,0)</f>
        <v>0</v>
      </c>
      <c r="AJ302" s="154">
        <f>IF(AND(AJ$5&gt;=$F302,SUM(AJ299:$BJ299)&lt;&gt;0),1,0)</f>
        <v>0</v>
      </c>
      <c r="AK302" s="154">
        <f>IF(AND(AK$5&gt;=$F302,SUM(AK299:$BJ299)&lt;&gt;0),1,0)</f>
        <v>0</v>
      </c>
      <c r="AL302" s="154">
        <f>IF(AND(AL$5&gt;=$F302,SUM(AL299:$BJ299)&lt;&gt;0),1,0)</f>
        <v>0</v>
      </c>
      <c r="AM302" s="154">
        <f>IF(AND(AM$5&gt;=$F302,SUM(AM299:$BJ299)&lt;&gt;0),1,0)</f>
        <v>0</v>
      </c>
      <c r="AN302" s="154">
        <f>IF(AND(AN$5&gt;=$F302,SUM(AN299:$BJ299)&lt;&gt;0),1,0)</f>
        <v>0</v>
      </c>
      <c r="AO302" s="154">
        <f>IF(AND(AO$5&gt;=$F302,SUM(AO299:$BJ299)&lt;&gt;0),1,0)</f>
        <v>0</v>
      </c>
      <c r="AP302" s="154">
        <f>IF(AND(AP$5&gt;=$F302,SUM(AP299:$BJ299)&lt;&gt;0),1,0)</f>
        <v>0</v>
      </c>
      <c r="AQ302" s="154">
        <f>IF(AND(AQ$5&gt;=$F302,SUM(AQ299:$BJ299)&lt;&gt;0),1,0)</f>
        <v>0</v>
      </c>
      <c r="AR302" s="154">
        <f>IF(AND(AR$5&gt;=$F302,SUM(AR299:$BJ299)&lt;&gt;0),1,0)</f>
        <v>0</v>
      </c>
      <c r="AS302" s="154">
        <f>IF(AND(AS$5&gt;=$F302,SUM(AS299:$BJ299)&lt;&gt;0),1,0)</f>
        <v>0</v>
      </c>
      <c r="AT302" s="154">
        <f>IF(AND(AT$5&gt;=$F302,SUM(AT299:$BJ299)&lt;&gt;0),1,0)</f>
        <v>0</v>
      </c>
      <c r="AU302" s="154">
        <f>IF(AND(AU$5&gt;=$F302,SUM(AU299:$BJ299)&lt;&gt;0),1,0)</f>
        <v>0</v>
      </c>
      <c r="AV302" s="154">
        <f>IF(AND(AV$5&gt;=$F302,SUM(AV299:$BJ299)&lt;&gt;0),1,0)</f>
        <v>0</v>
      </c>
      <c r="AW302" s="154">
        <f>IF(AND(AW$5&gt;=$F302,SUM(AW299:$BJ299)&lt;&gt;0),1,0)</f>
        <v>0</v>
      </c>
      <c r="AX302" s="154">
        <f>IF(AND(AX$5&gt;=$F302,SUM(AX299:$BJ299)&lt;&gt;0),1,0)</f>
        <v>0</v>
      </c>
      <c r="AY302" s="154">
        <f>IF(AND(AY$5&gt;=$F302,SUM(AY299:$BJ299)&lt;&gt;0),1,0)</f>
        <v>0</v>
      </c>
      <c r="AZ302" s="154">
        <f>IF(AND(AZ$5&gt;=$F302,SUM(AZ299:$BJ299)&lt;&gt;0),1,0)</f>
        <v>0</v>
      </c>
      <c r="BA302" s="154">
        <f>IF(AND(BA$5&gt;=$F302,SUM(BA299:$BJ299)&lt;&gt;0),1,0)</f>
        <v>0</v>
      </c>
      <c r="BB302" s="154">
        <f>IF(AND(BB$5&gt;=$F302,SUM(BB299:$BJ299)&lt;&gt;0),1,0)</f>
        <v>0</v>
      </c>
      <c r="BC302" s="154">
        <f>IF(AND(BC$5&gt;=$F302,SUM(BC299:$BJ299)&lt;&gt;0),1,0)</f>
        <v>0</v>
      </c>
      <c r="BD302" s="154">
        <f>IF(AND(BD$5&gt;=$F302,SUM(BD299:$BJ299)&lt;&gt;0),1,0)</f>
        <v>0</v>
      </c>
      <c r="BE302" s="154">
        <f>IF(AND(BE$5&gt;=$F302,SUM(BE299:$BJ299)&lt;&gt;0),1,0)</f>
        <v>0</v>
      </c>
      <c r="BF302" s="154">
        <f>IF(AND(BF$5&gt;=$F302,SUM(BF299:$BJ299)&lt;&gt;0),1,0)</f>
        <v>0</v>
      </c>
      <c r="BG302" s="154">
        <f>IF(AND(BG$5&gt;=$F302,SUM(BG299:$BJ299)&lt;&gt;0),1,0)</f>
        <v>0</v>
      </c>
      <c r="BH302" s="154">
        <f>IF(AND(BH$5&gt;=$F302,SUM(BH299:$BJ299)&lt;&gt;0),1,0)</f>
        <v>0</v>
      </c>
      <c r="BI302" s="154">
        <f>IF(AND(BI$5&gt;=$F302,SUM(BI299:$BJ299)&lt;&gt;0),1,0)</f>
        <v>0</v>
      </c>
      <c r="BJ302" s="154">
        <f>IF(AND(BJ$5&gt;=$F302,SUM(BJ299:$BJ299)&lt;&gt;0),1,0)</f>
        <v>0</v>
      </c>
      <c r="BL302" s="154">
        <f>IF(AND(BL$5&gt;=$F302,SUM(BL299:$BW299)&lt;&gt;0),1,0)*BL$1150</f>
        <v>0</v>
      </c>
      <c r="BM302" s="154">
        <f>IF(AND(BM$5&gt;=$F302,SUM(BM299:$BW299)&lt;&gt;0),1,0)*BM$1150</f>
        <v>0</v>
      </c>
      <c r="BN302" s="154">
        <f>IF(AND(BN$5&gt;=$F302,SUM(BN299:$BW299)&lt;&gt;0),1,0)*BN$1150</f>
        <v>0</v>
      </c>
      <c r="BO302" s="154">
        <f>IF(AND(BO$5&gt;=$F302,SUM(BO299:$BW299)&lt;&gt;0),1,0)*BO$1150</f>
        <v>0</v>
      </c>
      <c r="BP302" s="154">
        <f>IF(AND(BP$5&gt;=$F302,SUM(BP299:$BW299)&lt;&gt;0),1,0)*BP$1150</f>
        <v>0</v>
      </c>
      <c r="BQ302" s="154">
        <f>IF(AND(BQ$5&gt;=$F302,SUM(BQ299:$BW299)&lt;&gt;0),1,0)*BQ$1150</f>
        <v>0</v>
      </c>
      <c r="BR302" s="154">
        <f>IF(AND(BR$5&gt;=$F302,SUM(BR299:$BW299)&lt;&gt;0),1,0)*BR$1150</f>
        <v>0</v>
      </c>
      <c r="BS302" s="154">
        <f>IF(AND(BS$5&gt;=$F302,SUM(BS299:$BW299)&lt;&gt;0),1,0)*BS$1150</f>
        <v>0</v>
      </c>
      <c r="BT302" s="154">
        <f>IF(AND(BT$5&gt;=$F302,SUM(BT299:$BW299)&lt;&gt;0),1,0)*BT$1150</f>
        <v>0</v>
      </c>
      <c r="BU302" s="154">
        <f>IF(AND(BU$5&gt;=$F302,SUM(BU299:$BW299)&lt;&gt;0),1,0)*BU$1150</f>
        <v>0</v>
      </c>
      <c r="BV302" s="154">
        <f>IF(AND(BV$5&gt;=$F302,SUM(BV299:$BW299)&lt;&gt;0),1,0)*BV$1150</f>
        <v>0</v>
      </c>
      <c r="BW302" s="154">
        <f>IF(AND(BW$5&gt;=$F302,SUM(BW299:$BW299)&lt;&gt;0),1,0)*BW$1150</f>
        <v>0</v>
      </c>
      <c r="BY302" s="12"/>
      <c r="BZ302" s="335"/>
      <c r="CA302" s="12"/>
      <c r="CB302" s="335"/>
      <c r="CC302" s="335"/>
      <c r="CD302" s="335"/>
      <c r="CE302" s="335"/>
      <c r="CL302" s="7">
        <f>IF(MAX($V302:$BW302)&gt;0, 1, 0)</f>
        <v>0</v>
      </c>
      <c r="CM302" s="335"/>
      <c r="CN302" s="335"/>
      <c r="CO302" s="335"/>
      <c r="CP302" s="335"/>
      <c r="CR302" s="12"/>
      <c r="CS302" s="93">
        <f t="shared" si="256"/>
        <v>1</v>
      </c>
      <c r="CT302" s="93">
        <v>0</v>
      </c>
      <c r="CU302" s="93">
        <v>0</v>
      </c>
      <c r="EW302" s="335"/>
      <c r="EX302" s="13" t="str">
        <f>IF(C302="", "", CONCATENATE(D294, " ",D302))</f>
        <v/>
      </c>
    </row>
    <row r="303" spans="1:154" s="67" customFormat="1" ht="6.6" customHeight="1" x14ac:dyDescent="0.25">
      <c r="C303" s="380"/>
      <c r="D303" s="1"/>
      <c r="F303" s="25"/>
      <c r="S303" s="335"/>
      <c r="T303" s="25"/>
      <c r="U303" s="25"/>
      <c r="V303" s="93"/>
      <c r="BM303" s="6"/>
      <c r="BY303" s="42"/>
      <c r="BZ303" s="335"/>
      <c r="CA303" s="42"/>
      <c r="CB303" s="335"/>
      <c r="CC303" s="335"/>
      <c r="CD303" s="335"/>
      <c r="CE303" s="335"/>
      <c r="CM303" s="335"/>
      <c r="CN303" s="335"/>
      <c r="CO303" s="335"/>
      <c r="CP303" s="335"/>
      <c r="CR303" s="42"/>
      <c r="CS303" s="93">
        <f t="shared" si="256"/>
        <v>0</v>
      </c>
      <c r="CT303" s="93">
        <v>0</v>
      </c>
      <c r="CU303" s="93">
        <v>0</v>
      </c>
      <c r="EW303" s="335"/>
      <c r="EX303" s="13" t="str">
        <f>IF(C303="", "", CONCATENATE(D294, " ",D303))</f>
        <v/>
      </c>
    </row>
    <row r="304" spans="1:154" s="67" customFormat="1" x14ac:dyDescent="0.25">
      <c r="C304" s="380"/>
      <c r="D304" s="51" t="s">
        <v>223</v>
      </c>
      <c r="E304" s="1"/>
      <c r="F304" s="25"/>
      <c r="G304" s="9" t="s">
        <v>413</v>
      </c>
      <c r="H304" s="50" t="s">
        <v>8</v>
      </c>
      <c r="S304" s="335"/>
      <c r="T304" s="25"/>
      <c r="U304" s="25"/>
      <c r="V304" s="222"/>
      <c r="W304" s="201">
        <f>V307</f>
        <v>0</v>
      </c>
      <c r="X304" s="201">
        <f>W307</f>
        <v>0</v>
      </c>
      <c r="Y304" s="10">
        <f>X307</f>
        <v>0</v>
      </c>
      <c r="AA304" s="13">
        <f>W304</f>
        <v>0</v>
      </c>
      <c r="AB304" s="153">
        <f t="shared" ref="AB304:BJ304" si="317">AA307</f>
        <v>0</v>
      </c>
      <c r="AC304" s="153">
        <f t="shared" si="317"/>
        <v>0</v>
      </c>
      <c r="AD304" s="153">
        <f t="shared" si="317"/>
        <v>0</v>
      </c>
      <c r="AE304" s="153">
        <f t="shared" si="317"/>
        <v>0</v>
      </c>
      <c r="AF304" s="153">
        <f t="shared" si="317"/>
        <v>0</v>
      </c>
      <c r="AG304" s="153">
        <f t="shared" si="317"/>
        <v>0</v>
      </c>
      <c r="AH304" s="153">
        <f t="shared" si="317"/>
        <v>0</v>
      </c>
      <c r="AI304" s="153">
        <f t="shared" si="317"/>
        <v>0</v>
      </c>
      <c r="AJ304" s="153">
        <f t="shared" si="317"/>
        <v>0</v>
      </c>
      <c r="AK304" s="153">
        <f t="shared" si="317"/>
        <v>0</v>
      </c>
      <c r="AL304" s="153">
        <f t="shared" si="317"/>
        <v>0</v>
      </c>
      <c r="AM304" s="153">
        <f t="shared" si="317"/>
        <v>0</v>
      </c>
      <c r="AN304" s="153">
        <f t="shared" si="317"/>
        <v>0</v>
      </c>
      <c r="AO304" s="153">
        <f t="shared" si="317"/>
        <v>0</v>
      </c>
      <c r="AP304" s="153">
        <f t="shared" si="317"/>
        <v>0</v>
      </c>
      <c r="AQ304" s="153">
        <f t="shared" si="317"/>
        <v>0</v>
      </c>
      <c r="AR304" s="153">
        <f t="shared" si="317"/>
        <v>0</v>
      </c>
      <c r="AS304" s="153">
        <f t="shared" si="317"/>
        <v>0</v>
      </c>
      <c r="AT304" s="153">
        <f t="shared" si="317"/>
        <v>0</v>
      </c>
      <c r="AU304" s="153">
        <f t="shared" si="317"/>
        <v>0</v>
      </c>
      <c r="AV304" s="153">
        <f t="shared" si="317"/>
        <v>0</v>
      </c>
      <c r="AW304" s="153">
        <f t="shared" si="317"/>
        <v>0</v>
      </c>
      <c r="AX304" s="153">
        <f t="shared" si="317"/>
        <v>0</v>
      </c>
      <c r="AY304" s="153">
        <f t="shared" si="317"/>
        <v>0</v>
      </c>
      <c r="AZ304" s="153">
        <f t="shared" si="317"/>
        <v>0</v>
      </c>
      <c r="BA304" s="153">
        <f t="shared" si="317"/>
        <v>0</v>
      </c>
      <c r="BB304" s="153">
        <f t="shared" si="317"/>
        <v>0</v>
      </c>
      <c r="BC304" s="153">
        <f t="shared" si="317"/>
        <v>0</v>
      </c>
      <c r="BD304" s="153">
        <f t="shared" si="317"/>
        <v>0</v>
      </c>
      <c r="BE304" s="153">
        <f t="shared" si="317"/>
        <v>0</v>
      </c>
      <c r="BF304" s="153">
        <f t="shared" si="317"/>
        <v>0</v>
      </c>
      <c r="BG304" s="153">
        <f t="shared" si="317"/>
        <v>0</v>
      </c>
      <c r="BH304" s="153">
        <f t="shared" si="317"/>
        <v>0</v>
      </c>
      <c r="BI304" s="153">
        <f t="shared" si="317"/>
        <v>0</v>
      </c>
      <c r="BJ304" s="153">
        <f t="shared" si="317"/>
        <v>0</v>
      </c>
      <c r="BL304" s="152">
        <f t="shared" ref="BL304:BO307" si="318">V304</f>
        <v>0</v>
      </c>
      <c r="BM304" s="152">
        <f t="shared" si="318"/>
        <v>0</v>
      </c>
      <c r="BN304" s="152">
        <f t="shared" si="318"/>
        <v>0</v>
      </c>
      <c r="BO304" s="152">
        <f t="shared" si="318"/>
        <v>0</v>
      </c>
      <c r="BP304" s="153">
        <f t="shared" ref="BP304:BW304" si="319">BO307</f>
        <v>0</v>
      </c>
      <c r="BQ304" s="153">
        <f t="shared" si="319"/>
        <v>0</v>
      </c>
      <c r="BR304" s="153">
        <f t="shared" si="319"/>
        <v>0</v>
      </c>
      <c r="BS304" s="153">
        <f t="shared" si="319"/>
        <v>0</v>
      </c>
      <c r="BT304" s="153">
        <f t="shared" si="319"/>
        <v>0</v>
      </c>
      <c r="BU304" s="153">
        <f t="shared" si="319"/>
        <v>0</v>
      </c>
      <c r="BV304" s="153">
        <f t="shared" si="319"/>
        <v>0</v>
      </c>
      <c r="BW304" s="153">
        <f t="shared" si="319"/>
        <v>0</v>
      </c>
      <c r="BY304" s="12"/>
      <c r="BZ304" s="335"/>
      <c r="CA304" s="12"/>
      <c r="CB304" s="335"/>
      <c r="CC304" s="335"/>
      <c r="CD304" s="335"/>
      <c r="CE304" s="335"/>
      <c r="CM304" s="335"/>
      <c r="CN304" s="335"/>
      <c r="CO304" s="335"/>
      <c r="CP304" s="335"/>
      <c r="CR304" s="12"/>
      <c r="CS304" s="93">
        <f t="shared" ref="CS304:CS367" si="320">IF(IFERROR(FIND("check", D304), 0)=0, 0, 1)</f>
        <v>0</v>
      </c>
      <c r="CT304" s="93">
        <v>1</v>
      </c>
      <c r="CU304" s="93">
        <v>0</v>
      </c>
      <c r="EW304" s="335"/>
      <c r="EX304" s="13" t="str">
        <f>IF(C304="", "", CONCATENATE(D294, " ",D304))</f>
        <v/>
      </c>
    </row>
    <row r="305" spans="1:154" s="5" customFormat="1" ht="15.75" x14ac:dyDescent="0.3">
      <c r="A305" s="362" cm="1">
        <f t="array" aca="1" ref="A305" ca="1">HYPERLINK(CONCATENATE("#",CELL("address",IF(SUM($CA305:$CR305)=0,A305,INDEX($CA305:$CR305,MATCH(1,$CA305:$CR305,0))))),SUM($CA305:$CR305))</f>
        <v>0</v>
      </c>
      <c r="B305" s="105" t="s">
        <v>335</v>
      </c>
      <c r="C305" s="380"/>
      <c r="D305" s="51" t="s">
        <v>234</v>
      </c>
      <c r="E305" s="1"/>
      <c r="F305" s="67"/>
      <c r="G305" s="9" t="s">
        <v>413</v>
      </c>
      <c r="H305" s="50" t="s">
        <v>125</v>
      </c>
      <c r="I305" s="67"/>
      <c r="J305" s="67"/>
      <c r="K305" s="67"/>
      <c r="L305" s="67"/>
      <c r="M305" s="67"/>
      <c r="N305" s="67"/>
      <c r="O305" s="67"/>
      <c r="P305" s="67"/>
      <c r="Q305" s="67"/>
      <c r="R305" s="67"/>
      <c r="S305" s="335"/>
      <c r="T305" s="25"/>
      <c r="U305" s="25"/>
      <c r="V305" s="222"/>
      <c r="W305" s="215">
        <f t="shared" ref="W305:Y306" si="321" xml:space="preserve"> SUMIFS($AA305:$BJ305, $AA$3:$BJ$3, W$3)</f>
        <v>0</v>
      </c>
      <c r="X305" s="215">
        <f t="shared" si="321"/>
        <v>0</v>
      </c>
      <c r="Y305" s="215">
        <f t="shared" si="321"/>
        <v>0</v>
      </c>
      <c r="Z305" s="67"/>
      <c r="AA305" s="147"/>
      <c r="AB305" s="147"/>
      <c r="AC305" s="147"/>
      <c r="AD305" s="147"/>
      <c r="AE305" s="147"/>
      <c r="AF305" s="147"/>
      <c r="AG305" s="147"/>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c r="BI305" s="147"/>
      <c r="BJ305" s="147"/>
      <c r="BK305" s="67"/>
      <c r="BL305" s="152">
        <f t="shared" si="318"/>
        <v>0</v>
      </c>
      <c r="BM305" s="152">
        <f t="shared" si="318"/>
        <v>0</v>
      </c>
      <c r="BN305" s="152">
        <f t="shared" si="318"/>
        <v>0</v>
      </c>
      <c r="BO305" s="152">
        <f t="shared" si="318"/>
        <v>0</v>
      </c>
      <c r="BP305" s="156"/>
      <c r="BQ305" s="156"/>
      <c r="BR305" s="156"/>
      <c r="BS305" s="156"/>
      <c r="BT305" s="156"/>
      <c r="BU305" s="156"/>
      <c r="BV305" s="156"/>
      <c r="BW305" s="156"/>
      <c r="BX305" s="67"/>
      <c r="BY305" s="12"/>
      <c r="BZ305" s="395">
        <f>IF(MIN($V305:$BW305)&lt;0, 1, 0)</f>
        <v>0</v>
      </c>
      <c r="CA305" s="12"/>
      <c r="CB305" s="335"/>
      <c r="CC305" s="335"/>
      <c r="CD305" s="335"/>
      <c r="CE305" s="335"/>
      <c r="CF305" s="67"/>
      <c r="CG305" s="67"/>
      <c r="CH305" s="67"/>
      <c r="CI305" s="67"/>
      <c r="CJ305" s="67"/>
      <c r="CK305" s="67"/>
      <c r="CL305" s="67"/>
      <c r="CM305" s="7">
        <f t="shared" ref="CM305:CO306" si="322">IF(ROUND(W305-SUMIFS($AA305:$BJ305, $AA$3:$BJ$3, W$3), rounding)=0, 0, 1)</f>
        <v>0</v>
      </c>
      <c r="CN305" s="7">
        <f t="shared" si="322"/>
        <v>0</v>
      </c>
      <c r="CO305" s="7">
        <f t="shared" si="322"/>
        <v>0</v>
      </c>
      <c r="CP305" s="7">
        <f>IF(ROUND(V305-BL305, rounding)=0, 0, 1)*'BS Forecasts'!$V$10</f>
        <v>0</v>
      </c>
      <c r="CQ305" s="67"/>
      <c r="CR305" s="12"/>
      <c r="CS305" s="93">
        <f t="shared" si="320"/>
        <v>0</v>
      </c>
      <c r="CT305" s="93">
        <v>1</v>
      </c>
      <c r="CU305" s="93">
        <v>1</v>
      </c>
      <c r="EX305" s="13" t="str">
        <f>IF(C305="", "", CONCATENATE(D294, " ",D305))</f>
        <v/>
      </c>
    </row>
    <row r="306" spans="1:154" s="67" customFormat="1" ht="15.75" x14ac:dyDescent="0.3">
      <c r="A306" s="362" cm="1">
        <f t="array" aca="1" ref="A306" ca="1">HYPERLINK(CONCATENATE("#",CELL("address",IF(SUM($CA306:$CR306)=0,A306,INDEX($CA306:$CR306,MATCH(1,$CA306:$CR306,0))))),SUM($CA306:$CR306))</f>
        <v>0</v>
      </c>
      <c r="B306" s="105" t="s">
        <v>335</v>
      </c>
      <c r="C306" s="380"/>
      <c r="D306" s="51" t="s">
        <v>222</v>
      </c>
      <c r="E306" s="1"/>
      <c r="F306" s="25"/>
      <c r="G306" s="9" t="s">
        <v>413</v>
      </c>
      <c r="H306" s="50" t="s">
        <v>157</v>
      </c>
      <c r="S306" s="335"/>
      <c r="T306" s="25"/>
      <c r="U306" s="25"/>
      <c r="V306" s="222"/>
      <c r="W306" s="215">
        <f t="shared" si="321"/>
        <v>0</v>
      </c>
      <c r="X306" s="215">
        <f t="shared" si="321"/>
        <v>0</v>
      </c>
      <c r="Y306" s="215">
        <f t="shared" si="321"/>
        <v>0</v>
      </c>
      <c r="AA306" s="147"/>
      <c r="AB306" s="147"/>
      <c r="AC306" s="147"/>
      <c r="AD306" s="147"/>
      <c r="AE306" s="147"/>
      <c r="AF306" s="147"/>
      <c r="AG306" s="147"/>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c r="BI306" s="147"/>
      <c r="BJ306" s="147"/>
      <c r="BL306" s="152">
        <f t="shared" si="318"/>
        <v>0</v>
      </c>
      <c r="BM306" s="152">
        <f t="shared" si="318"/>
        <v>0</v>
      </c>
      <c r="BN306" s="152">
        <f t="shared" si="318"/>
        <v>0</v>
      </c>
      <c r="BO306" s="152">
        <f t="shared" si="318"/>
        <v>0</v>
      </c>
      <c r="BP306" s="156"/>
      <c r="BQ306" s="156"/>
      <c r="BR306" s="156"/>
      <c r="BS306" s="156"/>
      <c r="BT306" s="156"/>
      <c r="BU306" s="156"/>
      <c r="BV306" s="156"/>
      <c r="BW306" s="156"/>
      <c r="BY306" s="12"/>
      <c r="BZ306" s="395">
        <f>IF(MAX($V306:$BW306)&gt;0, 1, 0)</f>
        <v>0</v>
      </c>
      <c r="CA306" s="12"/>
      <c r="CB306" s="335"/>
      <c r="CC306" s="335"/>
      <c r="CD306" s="335"/>
      <c r="CE306" s="335"/>
      <c r="CM306" s="7">
        <f t="shared" si="322"/>
        <v>0</v>
      </c>
      <c r="CN306" s="7">
        <f t="shared" si="322"/>
        <v>0</v>
      </c>
      <c r="CO306" s="7">
        <f t="shared" si="322"/>
        <v>0</v>
      </c>
      <c r="CP306" s="7">
        <f>IF(ROUND(V306-BL306, rounding)=0, 0, 1)*'BS Forecasts'!$V$10</f>
        <v>0</v>
      </c>
      <c r="CR306" s="12"/>
      <c r="CS306" s="93">
        <f t="shared" si="320"/>
        <v>0</v>
      </c>
      <c r="CT306" s="93">
        <v>1</v>
      </c>
      <c r="CU306" s="93">
        <v>1</v>
      </c>
      <c r="EW306" s="335"/>
      <c r="EX306" s="13" t="str">
        <f>IF(C306="", "", CONCATENATE(D294, " ",D306))</f>
        <v/>
      </c>
    </row>
    <row r="307" spans="1:154" s="67" customFormat="1" x14ac:dyDescent="0.25">
      <c r="C307" s="380"/>
      <c r="D307" s="51" t="s">
        <v>224</v>
      </c>
      <c r="E307" s="1"/>
      <c r="G307" s="9" t="s">
        <v>413</v>
      </c>
      <c r="H307" s="50" t="s">
        <v>8</v>
      </c>
      <c r="S307" s="335"/>
      <c r="T307" s="25"/>
      <c r="U307" s="25"/>
      <c r="V307" s="13">
        <f>$H$26</f>
        <v>0</v>
      </c>
      <c r="W307" s="153">
        <f>SUM(W304:W306)</f>
        <v>0</v>
      </c>
      <c r="X307" s="153">
        <f>SUM(X304:X306)</f>
        <v>0</v>
      </c>
      <c r="Y307" s="153">
        <f>SUM(Y304:Y306)</f>
        <v>0</v>
      </c>
      <c r="AA307" s="153">
        <f t="shared" ref="AA307:BJ307" si="323">SUM(AA304:AA306)</f>
        <v>0</v>
      </c>
      <c r="AB307" s="153">
        <f t="shared" si="323"/>
        <v>0</v>
      </c>
      <c r="AC307" s="153">
        <f t="shared" si="323"/>
        <v>0</v>
      </c>
      <c r="AD307" s="153">
        <f t="shared" si="323"/>
        <v>0</v>
      </c>
      <c r="AE307" s="153">
        <f t="shared" si="323"/>
        <v>0</v>
      </c>
      <c r="AF307" s="153">
        <f t="shared" si="323"/>
        <v>0</v>
      </c>
      <c r="AG307" s="153">
        <f t="shared" si="323"/>
        <v>0</v>
      </c>
      <c r="AH307" s="153">
        <f t="shared" si="323"/>
        <v>0</v>
      </c>
      <c r="AI307" s="153">
        <f t="shared" si="323"/>
        <v>0</v>
      </c>
      <c r="AJ307" s="153">
        <f t="shared" si="323"/>
        <v>0</v>
      </c>
      <c r="AK307" s="153">
        <f t="shared" si="323"/>
        <v>0</v>
      </c>
      <c r="AL307" s="153">
        <f t="shared" si="323"/>
        <v>0</v>
      </c>
      <c r="AM307" s="153">
        <f t="shared" si="323"/>
        <v>0</v>
      </c>
      <c r="AN307" s="153">
        <f t="shared" si="323"/>
        <v>0</v>
      </c>
      <c r="AO307" s="153">
        <f t="shared" si="323"/>
        <v>0</v>
      </c>
      <c r="AP307" s="153">
        <f t="shared" si="323"/>
        <v>0</v>
      </c>
      <c r="AQ307" s="153">
        <f t="shared" si="323"/>
        <v>0</v>
      </c>
      <c r="AR307" s="153">
        <f t="shared" si="323"/>
        <v>0</v>
      </c>
      <c r="AS307" s="153">
        <f t="shared" si="323"/>
        <v>0</v>
      </c>
      <c r="AT307" s="153">
        <f t="shared" si="323"/>
        <v>0</v>
      </c>
      <c r="AU307" s="153">
        <f t="shared" si="323"/>
        <v>0</v>
      </c>
      <c r="AV307" s="153">
        <f t="shared" si="323"/>
        <v>0</v>
      </c>
      <c r="AW307" s="153">
        <f t="shared" si="323"/>
        <v>0</v>
      </c>
      <c r="AX307" s="153">
        <f t="shared" si="323"/>
        <v>0</v>
      </c>
      <c r="AY307" s="153">
        <f t="shared" si="323"/>
        <v>0</v>
      </c>
      <c r="AZ307" s="153">
        <f t="shared" si="323"/>
        <v>0</v>
      </c>
      <c r="BA307" s="153">
        <f t="shared" si="323"/>
        <v>0</v>
      </c>
      <c r="BB307" s="153">
        <f t="shared" si="323"/>
        <v>0</v>
      </c>
      <c r="BC307" s="153">
        <f t="shared" si="323"/>
        <v>0</v>
      </c>
      <c r="BD307" s="153">
        <f t="shared" si="323"/>
        <v>0</v>
      </c>
      <c r="BE307" s="153">
        <f t="shared" si="323"/>
        <v>0</v>
      </c>
      <c r="BF307" s="153">
        <f t="shared" si="323"/>
        <v>0</v>
      </c>
      <c r="BG307" s="153">
        <f t="shared" si="323"/>
        <v>0</v>
      </c>
      <c r="BH307" s="153">
        <f t="shared" si="323"/>
        <v>0</v>
      </c>
      <c r="BI307" s="153">
        <f t="shared" si="323"/>
        <v>0</v>
      </c>
      <c r="BJ307" s="153">
        <f t="shared" si="323"/>
        <v>0</v>
      </c>
      <c r="BL307" s="152">
        <f t="shared" si="318"/>
        <v>0</v>
      </c>
      <c r="BM307" s="152">
        <f t="shared" si="318"/>
        <v>0</v>
      </c>
      <c r="BN307" s="152">
        <f t="shared" si="318"/>
        <v>0</v>
      </c>
      <c r="BO307" s="152">
        <f t="shared" si="318"/>
        <v>0</v>
      </c>
      <c r="BP307" s="153">
        <f t="shared" ref="BP307:BW307" si="324">SUM(BP304:BP306)</f>
        <v>0</v>
      </c>
      <c r="BQ307" s="153">
        <f t="shared" si="324"/>
        <v>0</v>
      </c>
      <c r="BR307" s="153">
        <f t="shared" si="324"/>
        <v>0</v>
      </c>
      <c r="BS307" s="153">
        <f t="shared" si="324"/>
        <v>0</v>
      </c>
      <c r="BT307" s="153">
        <f t="shared" si="324"/>
        <v>0</v>
      </c>
      <c r="BU307" s="153">
        <f t="shared" si="324"/>
        <v>0</v>
      </c>
      <c r="BV307" s="153">
        <f t="shared" si="324"/>
        <v>0</v>
      </c>
      <c r="BW307" s="153">
        <f t="shared" si="324"/>
        <v>0</v>
      </c>
      <c r="BY307" s="12"/>
      <c r="BZ307" s="335"/>
      <c r="CA307" s="12"/>
      <c r="CB307" s="335"/>
      <c r="CC307" s="335"/>
      <c r="CD307" s="335"/>
      <c r="CE307" s="335"/>
      <c r="CM307" s="335"/>
      <c r="CN307" s="335"/>
      <c r="CO307" s="335"/>
      <c r="CP307" s="335"/>
      <c r="CR307" s="12"/>
      <c r="CS307" s="93">
        <f t="shared" si="320"/>
        <v>0</v>
      </c>
      <c r="CT307" s="93">
        <v>0</v>
      </c>
      <c r="CU307" s="93">
        <v>0</v>
      </c>
      <c r="EW307" s="335"/>
      <c r="EX307" s="13" t="str">
        <f>IF(C307="", "", CONCATENATE(D294, " ",D307))</f>
        <v/>
      </c>
    </row>
    <row r="308" spans="1:154" s="67" customFormat="1" ht="6.6" customHeight="1" x14ac:dyDescent="0.25">
      <c r="C308" s="380"/>
      <c r="D308" s="1"/>
      <c r="S308" s="335"/>
      <c r="T308" s="25"/>
      <c r="U308" s="25"/>
      <c r="V308" s="229"/>
      <c r="W308" s="25"/>
      <c r="X308" s="25"/>
      <c r="Y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L308" s="25"/>
      <c r="BM308" s="155"/>
      <c r="BN308" s="25"/>
      <c r="BO308" s="25"/>
      <c r="BP308" s="25"/>
      <c r="BQ308" s="25"/>
      <c r="BR308" s="25"/>
      <c r="BS308" s="25"/>
      <c r="BT308" s="25"/>
      <c r="BU308" s="25"/>
      <c r="BV308" s="25"/>
      <c r="BW308" s="25"/>
      <c r="BY308" s="42"/>
      <c r="BZ308" s="335"/>
      <c r="CA308" s="42"/>
      <c r="CB308" s="335"/>
      <c r="CC308" s="335"/>
      <c r="CD308" s="335"/>
      <c r="CE308" s="335"/>
      <c r="CM308" s="335"/>
      <c r="CN308" s="335"/>
      <c r="CO308" s="335"/>
      <c r="CP308" s="335"/>
      <c r="CR308" s="42"/>
      <c r="CS308" s="93">
        <f t="shared" si="320"/>
        <v>0</v>
      </c>
      <c r="CT308" s="93">
        <v>0</v>
      </c>
      <c r="CU308" s="93">
        <v>0</v>
      </c>
      <c r="EW308" s="335"/>
      <c r="EX308" s="13" t="str">
        <f>IF(C308="", "", CONCATENATE(D294, " ",D308))</f>
        <v/>
      </c>
    </row>
    <row r="309" spans="1:154" s="5" customFormat="1" x14ac:dyDescent="0.25">
      <c r="A309" s="362" cm="1">
        <f t="array" aca="1" ref="A309" ca="1">HYPERLINK(CONCATENATE("#",CELL("address",IF(SUM($CA309:$CR309)=0,A309,INDEX($CA309:$CR309,MATCH(1,$CA309:$CR309,0))))),SUM($CA309:$CR309))</f>
        <v>0</v>
      </c>
      <c r="B309" s="335"/>
      <c r="C309" s="340" t="s">
        <v>1286</v>
      </c>
      <c r="D309" s="41" t="s">
        <v>1569</v>
      </c>
      <c r="E309" s="35"/>
      <c r="F309" s="25"/>
      <c r="G309" s="174" t="s">
        <v>413</v>
      </c>
      <c r="H309" s="171" t="s">
        <v>125</v>
      </c>
      <c r="I309" s="25"/>
      <c r="J309" s="25"/>
      <c r="K309" s="25"/>
      <c r="L309" s="25"/>
      <c r="M309" s="25"/>
      <c r="N309" s="25"/>
      <c r="O309" s="25"/>
      <c r="P309" s="25"/>
      <c r="Q309" s="25"/>
      <c r="R309" s="25"/>
      <c r="S309" s="335"/>
      <c r="T309" s="25"/>
      <c r="U309" s="25"/>
      <c r="V309" s="222"/>
      <c r="W309" s="215">
        <f xml:space="preserve"> SUMIFS($AA309:$BJ309, $AA$3:$BJ$3, W$3)</f>
        <v>0</v>
      </c>
      <c r="X309" s="215">
        <f xml:space="preserve"> SUMIFS($AA309:$BJ309, $AA$3:$BJ$3, X$3)</f>
        <v>0</v>
      </c>
      <c r="Y309" s="215">
        <f xml:space="preserve"> SUMIFS($AA309:$BJ309, $AA$3:$BJ$3, Y$3)</f>
        <v>0</v>
      </c>
      <c r="Z309" s="335"/>
      <c r="AA309" s="147"/>
      <c r="AB309" s="147"/>
      <c r="AC309" s="147"/>
      <c r="AD309" s="147"/>
      <c r="AE309" s="147"/>
      <c r="AF309" s="147"/>
      <c r="AG309" s="147"/>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c r="BI309" s="147"/>
      <c r="BJ309" s="147"/>
      <c r="BK309" s="335"/>
      <c r="BL309" s="152">
        <f>V309</f>
        <v>0</v>
      </c>
      <c r="BM309" s="152">
        <f>W309</f>
        <v>0</v>
      </c>
      <c r="BN309" s="152">
        <f>X309</f>
        <v>0</v>
      </c>
      <c r="BO309" s="152">
        <f>Y309</f>
        <v>0</v>
      </c>
      <c r="BP309" s="141"/>
      <c r="BQ309" s="141"/>
      <c r="BR309" s="141"/>
      <c r="BS309" s="141"/>
      <c r="BT309" s="141"/>
      <c r="BU309" s="141"/>
      <c r="BV309" s="141"/>
      <c r="BW309" s="141"/>
      <c r="BX309" s="335"/>
      <c r="BY309" s="12"/>
      <c r="BZ309" s="395">
        <f>IF(MIN($V309:$BW309)&lt;0, 1, 0)</f>
        <v>0</v>
      </c>
      <c r="CA309" s="12"/>
      <c r="CB309" s="335"/>
      <c r="CC309" s="335"/>
      <c r="CD309" s="335"/>
      <c r="CE309" s="335"/>
      <c r="CF309" s="335"/>
      <c r="CG309" s="335"/>
      <c r="CH309" s="335"/>
      <c r="CI309" s="335"/>
      <c r="CJ309" s="335"/>
      <c r="CK309" s="335"/>
      <c r="CL309" s="335"/>
      <c r="CM309" s="7">
        <f>IF(ROUND(W309-SUMIFS($AA309:$BJ309, $AA$3:$BJ$3, W$3), rounding)=0, 0, 1)</f>
        <v>0</v>
      </c>
      <c r="CN309" s="7">
        <f>IF(ROUND(X309-SUMIFS($AA309:$BJ309, $AA$3:$BJ$3, X$3), rounding)=0, 0, 1)</f>
        <v>0</v>
      </c>
      <c r="CO309" s="7">
        <f>IF(ROUND(Y309-SUMIFS($AA309:$BJ309, $AA$3:$BJ$3, Y$3), rounding)=0, 0, 1)</f>
        <v>0</v>
      </c>
      <c r="CP309" s="7">
        <f>IF(ROUND(V309-BL309, rounding)=0, 0, 1)*'BS Forecasts'!$V$10</f>
        <v>0</v>
      </c>
      <c r="CQ309" s="335"/>
      <c r="CR309" s="12"/>
      <c r="CS309" s="93">
        <f t="shared" si="320"/>
        <v>0</v>
      </c>
      <c r="CT309" s="93">
        <v>1</v>
      </c>
      <c r="CU309" s="93">
        <v>1</v>
      </c>
      <c r="EX309" s="13" t="str">
        <f>IF(C309="", "", CONCATENATE(D294, " ",D309))</f>
        <v>Loan 14 Early Repayment Fee</v>
      </c>
    </row>
    <row r="310" spans="1:154" s="335" customFormat="1" ht="6.6" customHeight="1" x14ac:dyDescent="0.25">
      <c r="C310" s="380"/>
      <c r="D310" s="1"/>
      <c r="T310" s="25"/>
      <c r="U310" s="25"/>
      <c r="V310" s="93"/>
      <c r="BM310" s="6"/>
      <c r="BY310" s="42"/>
      <c r="CA310" s="42"/>
      <c r="CR310" s="42"/>
      <c r="CS310" s="93">
        <f t="shared" si="320"/>
        <v>0</v>
      </c>
      <c r="CT310" s="93">
        <v>0</v>
      </c>
      <c r="CU310" s="93">
        <v>0</v>
      </c>
      <c r="EX310" s="13" t="str">
        <f>IF(C310="", "", CONCATENATE(D294, " ",D310))</f>
        <v/>
      </c>
    </row>
    <row r="311" spans="1:154" s="335" customFormat="1" ht="15.75" x14ac:dyDescent="0.3">
      <c r="A311" s="362" cm="1">
        <f t="array" aca="1" ref="A311" ca="1">HYPERLINK(CONCATENATE("#",CELL("address",IF(SUM($CA311:$CR311)=0,A311,INDEX($CA311:$CR311,MATCH(1,$CA311:$CR311,0))))),SUM($CA311:$CR311))</f>
        <v>0</v>
      </c>
      <c r="B311" s="105" t="s">
        <v>335</v>
      </c>
      <c r="D311" s="51" t="s">
        <v>1630</v>
      </c>
      <c r="E311" s="220" t="str">
        <f>IF(I$26="", "", I$26)</f>
        <v/>
      </c>
      <c r="F311" s="220" t="str">
        <f>IF(J$26="", "", J$26)</f>
        <v/>
      </c>
      <c r="T311" s="25"/>
      <c r="U311" s="25"/>
      <c r="V311" s="230">
        <f>IF(AND(OR( V$5&gt;$F311, Timeline!V$8&lt;Loans!$E311), Loans!V309&lt;&gt;0), 1, 0)</f>
        <v>0</v>
      </c>
      <c r="W311" s="230">
        <f>IF(AND(OR( W$5&gt;$F311, Timeline!W$8&lt;Loans!$E311), Loans!W309&lt;&gt;0), 1, 0)</f>
        <v>0</v>
      </c>
      <c r="X311" s="230">
        <f>IF(AND(OR( X$5&gt;$F311, Timeline!X$8&lt;Loans!$E311), Loans!X309&lt;&gt;0), 1, 0)</f>
        <v>0</v>
      </c>
      <c r="Y311" s="230">
        <f>IF(AND(OR( Y$5&gt;$F311, Timeline!Y$8&lt;Loans!$E311), Loans!Y309&lt;&gt;0), 1, 0)</f>
        <v>0</v>
      </c>
      <c r="AA311" s="230">
        <f>IF(AND(OR( AA$5&gt;$F311, Timeline!AA$8&lt;Loans!$E311), Loans!AA309&lt;&gt;0), 1, 0)</f>
        <v>0</v>
      </c>
      <c r="AB311" s="230">
        <f>IF(AND(OR( AB$5&gt;$F311, Timeline!AB$8&lt;Loans!$E311), Loans!AB309&lt;&gt;0), 1, 0)</f>
        <v>0</v>
      </c>
      <c r="AC311" s="230">
        <f>IF(AND(OR( AC$5&gt;$F311, Timeline!AC$8&lt;Loans!$E311), Loans!AC309&lt;&gt;0), 1, 0)</f>
        <v>0</v>
      </c>
      <c r="AD311" s="230">
        <f>IF(AND(OR( AD$5&gt;$F311, Timeline!AD$8&lt;Loans!$E311), Loans!AD309&lt;&gt;0), 1, 0)</f>
        <v>0</v>
      </c>
      <c r="AE311" s="230">
        <f>IF(AND(OR( AE$5&gt;$F311, Timeline!AE$8&lt;Loans!$E311), Loans!AE309&lt;&gt;0), 1, 0)</f>
        <v>0</v>
      </c>
      <c r="AF311" s="230">
        <f>IF(AND(OR( AF$5&gt;$F311, Timeline!AF$8&lt;Loans!$E311), Loans!AF309&lt;&gt;0), 1, 0)</f>
        <v>0</v>
      </c>
      <c r="AG311" s="230">
        <f>IF(AND(OR( AG$5&gt;$F311, Timeline!AG$8&lt;Loans!$E311), Loans!AG309&lt;&gt;0), 1, 0)</f>
        <v>0</v>
      </c>
      <c r="AH311" s="230">
        <f>IF(AND(OR( AH$5&gt;$F311, Timeline!AH$8&lt;Loans!$E311), Loans!AH309&lt;&gt;0), 1, 0)</f>
        <v>0</v>
      </c>
      <c r="AI311" s="230">
        <f>IF(AND(OR( AI$5&gt;$F311, Timeline!AI$8&lt;Loans!$E311), Loans!AI309&lt;&gt;0), 1, 0)</f>
        <v>0</v>
      </c>
      <c r="AJ311" s="230">
        <f>IF(AND(OR( AJ$5&gt;$F311, Timeline!AJ$8&lt;Loans!$E311), Loans!AJ309&lt;&gt;0), 1, 0)</f>
        <v>0</v>
      </c>
      <c r="AK311" s="230">
        <f>IF(AND(OR( AK$5&gt;$F311, Timeline!AK$8&lt;Loans!$E311), Loans!AK309&lt;&gt;0), 1, 0)</f>
        <v>0</v>
      </c>
      <c r="AL311" s="230">
        <f>IF(AND(OR( AL$5&gt;$F311, Timeline!AL$8&lt;Loans!$E311), Loans!AL309&lt;&gt;0), 1, 0)</f>
        <v>0</v>
      </c>
      <c r="AM311" s="230">
        <f>IF(AND(OR( AM$5&gt;$F311, Timeline!AM$8&lt;Loans!$E311), Loans!AM309&lt;&gt;0), 1, 0)</f>
        <v>0</v>
      </c>
      <c r="AN311" s="230">
        <f>IF(AND(OR( AN$5&gt;$F311, Timeline!AN$8&lt;Loans!$E311), Loans!AN309&lt;&gt;0), 1, 0)</f>
        <v>0</v>
      </c>
      <c r="AO311" s="230">
        <f>IF(AND(OR( AO$5&gt;$F311, Timeline!AO$8&lt;Loans!$E311), Loans!AO309&lt;&gt;0), 1, 0)</f>
        <v>0</v>
      </c>
      <c r="AP311" s="230">
        <f>IF(AND(OR( AP$5&gt;$F311, Timeline!AP$8&lt;Loans!$E311), Loans!AP309&lt;&gt;0), 1, 0)</f>
        <v>0</v>
      </c>
      <c r="AQ311" s="230">
        <f>IF(AND(OR( AQ$5&gt;$F311, Timeline!AQ$8&lt;Loans!$E311), Loans!AQ309&lt;&gt;0), 1, 0)</f>
        <v>0</v>
      </c>
      <c r="AR311" s="230">
        <f>IF(AND(OR( AR$5&gt;$F311, Timeline!AR$8&lt;Loans!$E311), Loans!AR309&lt;&gt;0), 1, 0)</f>
        <v>0</v>
      </c>
      <c r="AS311" s="230">
        <f>IF(AND(OR( AS$5&gt;$F311, Timeline!AS$8&lt;Loans!$E311), Loans!AS309&lt;&gt;0), 1, 0)</f>
        <v>0</v>
      </c>
      <c r="AT311" s="230">
        <f>IF(AND(OR( AT$5&gt;$F311, Timeline!AT$8&lt;Loans!$E311), Loans!AT309&lt;&gt;0), 1, 0)</f>
        <v>0</v>
      </c>
      <c r="AU311" s="230">
        <f>IF(AND(OR( AU$5&gt;$F311, Timeline!AU$8&lt;Loans!$E311), Loans!AU309&lt;&gt;0), 1, 0)</f>
        <v>0</v>
      </c>
      <c r="AV311" s="230">
        <f>IF(AND(OR( AV$5&gt;$F311, Timeline!AV$8&lt;Loans!$E311), Loans!AV309&lt;&gt;0), 1, 0)</f>
        <v>0</v>
      </c>
      <c r="AW311" s="230">
        <f>IF(AND(OR( AW$5&gt;$F311, Timeline!AW$8&lt;Loans!$E311), Loans!AW309&lt;&gt;0), 1, 0)</f>
        <v>0</v>
      </c>
      <c r="AX311" s="230">
        <f>IF(AND(OR( AX$5&gt;$F311, Timeline!AX$8&lt;Loans!$E311), Loans!AX309&lt;&gt;0), 1, 0)</f>
        <v>0</v>
      </c>
      <c r="AY311" s="230">
        <f>IF(AND(OR( AY$5&gt;$F311, Timeline!AY$8&lt;Loans!$E311), Loans!AY309&lt;&gt;0), 1, 0)</f>
        <v>0</v>
      </c>
      <c r="AZ311" s="230">
        <f>IF(AND(OR( AZ$5&gt;$F311, Timeline!AZ$8&lt;Loans!$E311), Loans!AZ309&lt;&gt;0), 1, 0)</f>
        <v>0</v>
      </c>
      <c r="BA311" s="230">
        <f>IF(AND(OR( BA$5&gt;$F311, Timeline!BA$8&lt;Loans!$E311), Loans!BA309&lt;&gt;0), 1, 0)</f>
        <v>0</v>
      </c>
      <c r="BB311" s="230">
        <f>IF(AND(OR( BB$5&gt;$F311, Timeline!BB$8&lt;Loans!$E311), Loans!BB309&lt;&gt;0), 1, 0)</f>
        <v>0</v>
      </c>
      <c r="BC311" s="230">
        <f>IF(AND(OR( BC$5&gt;$F311, Timeline!BC$8&lt;Loans!$E311), Loans!BC309&lt;&gt;0), 1, 0)</f>
        <v>0</v>
      </c>
      <c r="BD311" s="230">
        <f>IF(AND(OR( BD$5&gt;$F311, Timeline!BD$8&lt;Loans!$E311), Loans!BD309&lt;&gt;0), 1, 0)</f>
        <v>0</v>
      </c>
      <c r="BE311" s="230">
        <f>IF(AND(OR( BE$5&gt;$F311, Timeline!BE$8&lt;Loans!$E311), Loans!BE309&lt;&gt;0), 1, 0)</f>
        <v>0</v>
      </c>
      <c r="BF311" s="230">
        <f>IF(AND(OR( BF$5&gt;$F311, Timeline!BF$8&lt;Loans!$E311), Loans!BF309&lt;&gt;0), 1, 0)</f>
        <v>0</v>
      </c>
      <c r="BG311" s="230">
        <f>IF(AND(OR( BG$5&gt;$F311, Timeline!BG$8&lt;Loans!$E311), Loans!BG309&lt;&gt;0), 1, 0)</f>
        <v>0</v>
      </c>
      <c r="BH311" s="230">
        <f>IF(AND(OR( BH$5&gt;$F311, Timeline!BH$8&lt;Loans!$E311), Loans!BH309&lt;&gt;0), 1, 0)</f>
        <v>0</v>
      </c>
      <c r="BI311" s="230">
        <f>IF(AND(OR( BI$5&gt;$F311, Timeline!BI$8&lt;Loans!$E311), Loans!BI309&lt;&gt;0), 1, 0)</f>
        <v>0</v>
      </c>
      <c r="BJ311" s="230">
        <f>IF(AND(OR( BJ$5&gt;$F311, Timeline!BJ$8&lt;Loans!$E311), Loans!BJ309&lt;&gt;0), 1, 0)</f>
        <v>0</v>
      </c>
      <c r="BL311" s="230">
        <f>IF(AND(OR( BL$5&gt;$F311, Timeline!BL$8&lt;Loans!$E311), Loans!BL309&lt;&gt;0), 1, 0)</f>
        <v>0</v>
      </c>
      <c r="BM311" s="230">
        <f>IF(AND(OR( BM$5&gt;$F311, Timeline!BM$8&lt;Loans!$E311), Loans!BM309&lt;&gt;0), 1, 0)</f>
        <v>0</v>
      </c>
      <c r="BN311" s="230">
        <f>IF(AND(OR( BN$5&gt;$F311, Timeline!BN$8&lt;Loans!$E311), Loans!BN309&lt;&gt;0), 1, 0)</f>
        <v>0</v>
      </c>
      <c r="BO311" s="230">
        <f>IF(AND(OR( BO$5&gt;$F311, Timeline!BO$8&lt;Loans!$E311), Loans!BO309&lt;&gt;0), 1, 0)</f>
        <v>0</v>
      </c>
      <c r="BP311" s="230">
        <f>IF(AND(OR( BP$5&gt;$F311, Timeline!BP$8&lt;Loans!$E311), Loans!BP309&lt;&gt;0), 1, 0)</f>
        <v>0</v>
      </c>
      <c r="BQ311" s="230">
        <f>IF(AND(OR( BQ$5&gt;$F311, Timeline!BQ$8&lt;Loans!$E311), Loans!BQ309&lt;&gt;0), 1, 0)</f>
        <v>0</v>
      </c>
      <c r="BR311" s="230">
        <f>IF(AND(OR( BR$5&gt;$F311, Timeline!BR$8&lt;Loans!$E311), Loans!BR309&lt;&gt;0), 1, 0)</f>
        <v>0</v>
      </c>
      <c r="BS311" s="230">
        <f>IF(AND(OR( BS$5&gt;$F311, Timeline!BS$8&lt;Loans!$E311), Loans!BS309&lt;&gt;0), 1, 0)</f>
        <v>0</v>
      </c>
      <c r="BT311" s="230">
        <f>IF(AND(OR( BT$5&gt;$F311, Timeline!BT$8&lt;Loans!$E311), Loans!BT309&lt;&gt;0), 1, 0)</f>
        <v>0</v>
      </c>
      <c r="BU311" s="230">
        <f>IF(AND(OR( BU$5&gt;$F311, Timeline!BU$8&lt;Loans!$E311), Loans!BU309&lt;&gt;0), 1, 0)</f>
        <v>0</v>
      </c>
      <c r="BV311" s="230">
        <f>IF(AND(OR( BV$5&gt;$F311, Timeline!BV$8&lt;Loans!$E311), Loans!BV309&lt;&gt;0), 1, 0)</f>
        <v>0</v>
      </c>
      <c r="BW311" s="230">
        <f>IF(AND(OR( BW$5&gt;$F311, Timeline!BW$8&lt;Loans!$E311), Loans!BW309&lt;&gt;0), 1, 0)</f>
        <v>0</v>
      </c>
      <c r="BY311" s="12"/>
      <c r="CA311" s="12"/>
      <c r="CL311" s="7">
        <f>IF(MAX($V311:$BW311)&gt;0, 1, 0)</f>
        <v>0</v>
      </c>
      <c r="CR311" s="12"/>
      <c r="CS311" s="93">
        <f t="shared" si="320"/>
        <v>1</v>
      </c>
      <c r="CT311" s="93">
        <v>0</v>
      </c>
      <c r="CU311" s="93">
        <v>0</v>
      </c>
      <c r="EX311" s="13" t="str">
        <f>IF(C311="", "", CONCATENATE(D294, " ",D311))</f>
        <v/>
      </c>
    </row>
    <row r="312" spans="1:154" s="335" customFormat="1" ht="6.6" customHeight="1" x14ac:dyDescent="0.25">
      <c r="C312" s="380"/>
      <c r="D312" s="1"/>
      <c r="T312" s="25"/>
      <c r="U312" s="25"/>
      <c r="V312" s="93"/>
      <c r="BM312" s="6"/>
      <c r="BY312" s="42"/>
      <c r="CA312" s="42"/>
      <c r="CR312" s="42"/>
      <c r="CS312" s="93">
        <f t="shared" si="320"/>
        <v>0</v>
      </c>
      <c r="CT312" s="93">
        <v>0</v>
      </c>
      <c r="CU312" s="93">
        <v>0</v>
      </c>
      <c r="EX312" s="10" t="str">
        <f t="shared" ref="EX312" si="325">IF($C312="","",$D312)</f>
        <v/>
      </c>
    </row>
    <row r="313" spans="1:154" s="67" customFormat="1" x14ac:dyDescent="0.25">
      <c r="A313" s="64"/>
      <c r="C313" s="380"/>
      <c r="D313" s="64" t="s">
        <v>204</v>
      </c>
      <c r="E313" s="64"/>
      <c r="F313" s="64"/>
      <c r="G313" s="64"/>
      <c r="H313" s="64"/>
      <c r="I313" s="64"/>
      <c r="L313" s="64"/>
      <c r="M313" s="64"/>
      <c r="N313" s="64"/>
      <c r="O313" s="64"/>
      <c r="P313" s="64"/>
      <c r="Q313" s="64"/>
      <c r="S313" s="335"/>
      <c r="T313" s="25"/>
      <c r="U313" s="25"/>
      <c r="V313" s="229"/>
      <c r="W313" s="25"/>
      <c r="X313" s="25"/>
      <c r="Y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L313" s="25"/>
      <c r="BM313" s="25"/>
      <c r="BN313" s="25"/>
      <c r="BO313" s="25"/>
      <c r="BP313" s="25"/>
      <c r="BQ313" s="25"/>
      <c r="BR313" s="25"/>
      <c r="BS313" s="25"/>
      <c r="BT313" s="25"/>
      <c r="BU313" s="25"/>
      <c r="BV313" s="25"/>
      <c r="BW313" s="25"/>
      <c r="BY313" s="12"/>
      <c r="BZ313" s="335"/>
      <c r="CA313" s="12"/>
      <c r="CB313" s="335"/>
      <c r="CC313" s="335"/>
      <c r="CD313" s="335"/>
      <c r="CE313" s="335"/>
      <c r="CM313" s="335"/>
      <c r="CN313" s="335"/>
      <c r="CO313" s="335"/>
      <c r="CP313" s="335"/>
      <c r="CR313" s="12"/>
      <c r="CS313" s="93">
        <f t="shared" si="320"/>
        <v>0</v>
      </c>
      <c r="CT313" s="93">
        <v>0</v>
      </c>
      <c r="CU313" s="93">
        <v>0</v>
      </c>
      <c r="EW313" s="335"/>
      <c r="EX313" s="10" t="str">
        <f t="shared" si="306"/>
        <v/>
      </c>
    </row>
    <row r="314" spans="1:154" s="67" customFormat="1" ht="15.75" x14ac:dyDescent="0.3">
      <c r="B314" s="105" t="s">
        <v>335</v>
      </c>
      <c r="C314" s="340" t="s">
        <v>1387</v>
      </c>
      <c r="D314" s="51" t="s">
        <v>230</v>
      </c>
      <c r="E314" s="1"/>
      <c r="G314" s="9" t="s">
        <v>413</v>
      </c>
      <c r="H314" s="50" t="s">
        <v>8</v>
      </c>
      <c r="S314" s="335"/>
      <c r="T314" s="25"/>
      <c r="U314" s="25"/>
      <c r="V314" s="210"/>
      <c r="W314" s="201">
        <f>V318</f>
        <v>0</v>
      </c>
      <c r="X314" s="201">
        <f>W318</f>
        <v>0</v>
      </c>
      <c r="Y314" s="10">
        <f>X318</f>
        <v>0</v>
      </c>
      <c r="AA314" s="13">
        <f>W314</f>
        <v>0</v>
      </c>
      <c r="AB314" s="10">
        <f t="shared" ref="AB314:BJ314" si="326">AA318</f>
        <v>0</v>
      </c>
      <c r="AC314" s="10">
        <f t="shared" si="326"/>
        <v>0</v>
      </c>
      <c r="AD314" s="10">
        <f t="shared" si="326"/>
        <v>0</v>
      </c>
      <c r="AE314" s="10">
        <f t="shared" si="326"/>
        <v>0</v>
      </c>
      <c r="AF314" s="10">
        <f t="shared" si="326"/>
        <v>0</v>
      </c>
      <c r="AG314" s="10">
        <f t="shared" si="326"/>
        <v>0</v>
      </c>
      <c r="AH314" s="10">
        <f t="shared" si="326"/>
        <v>0</v>
      </c>
      <c r="AI314" s="10">
        <f t="shared" si="326"/>
        <v>0</v>
      </c>
      <c r="AJ314" s="10">
        <f t="shared" si="326"/>
        <v>0</v>
      </c>
      <c r="AK314" s="10">
        <f t="shared" si="326"/>
        <v>0</v>
      </c>
      <c r="AL314" s="10">
        <f t="shared" si="326"/>
        <v>0</v>
      </c>
      <c r="AM314" s="10">
        <f t="shared" si="326"/>
        <v>0</v>
      </c>
      <c r="AN314" s="10">
        <f t="shared" si="326"/>
        <v>0</v>
      </c>
      <c r="AO314" s="10">
        <f t="shared" si="326"/>
        <v>0</v>
      </c>
      <c r="AP314" s="10">
        <f t="shared" si="326"/>
        <v>0</v>
      </c>
      <c r="AQ314" s="10">
        <f t="shared" si="326"/>
        <v>0</v>
      </c>
      <c r="AR314" s="10">
        <f t="shared" si="326"/>
        <v>0</v>
      </c>
      <c r="AS314" s="10">
        <f t="shared" si="326"/>
        <v>0</v>
      </c>
      <c r="AT314" s="10">
        <f t="shared" si="326"/>
        <v>0</v>
      </c>
      <c r="AU314" s="10">
        <f t="shared" si="326"/>
        <v>0</v>
      </c>
      <c r="AV314" s="10">
        <f t="shared" si="326"/>
        <v>0</v>
      </c>
      <c r="AW314" s="10">
        <f t="shared" si="326"/>
        <v>0</v>
      </c>
      <c r="AX314" s="10">
        <f t="shared" si="326"/>
        <v>0</v>
      </c>
      <c r="AY314" s="10">
        <f t="shared" si="326"/>
        <v>0</v>
      </c>
      <c r="AZ314" s="10">
        <f t="shared" si="326"/>
        <v>0</v>
      </c>
      <c r="BA314" s="10">
        <f t="shared" si="326"/>
        <v>0</v>
      </c>
      <c r="BB314" s="10">
        <f t="shared" si="326"/>
        <v>0</v>
      </c>
      <c r="BC314" s="10">
        <f t="shared" si="326"/>
        <v>0</v>
      </c>
      <c r="BD314" s="10">
        <f t="shared" si="326"/>
        <v>0</v>
      </c>
      <c r="BE314" s="10">
        <f t="shared" si="326"/>
        <v>0</v>
      </c>
      <c r="BF314" s="10">
        <f t="shared" si="326"/>
        <v>0</v>
      </c>
      <c r="BG314" s="10">
        <f t="shared" si="326"/>
        <v>0</v>
      </c>
      <c r="BH314" s="10">
        <f t="shared" si="326"/>
        <v>0</v>
      </c>
      <c r="BI314" s="10">
        <f t="shared" si="326"/>
        <v>0</v>
      </c>
      <c r="BJ314" s="10">
        <f t="shared" si="326"/>
        <v>0</v>
      </c>
      <c r="BL314" s="13">
        <f t="shared" ref="BL314:BO318" si="327">V314</f>
        <v>0</v>
      </c>
      <c r="BM314" s="13">
        <f t="shared" si="327"/>
        <v>0</v>
      </c>
      <c r="BN314" s="13">
        <f t="shared" si="327"/>
        <v>0</v>
      </c>
      <c r="BO314" s="13">
        <f t="shared" si="327"/>
        <v>0</v>
      </c>
      <c r="BP314" s="10">
        <f t="shared" ref="BP314:BW314" si="328">BO318</f>
        <v>0</v>
      </c>
      <c r="BQ314" s="10">
        <f t="shared" si="328"/>
        <v>0</v>
      </c>
      <c r="BR314" s="10">
        <f t="shared" si="328"/>
        <v>0</v>
      </c>
      <c r="BS314" s="10">
        <f t="shared" si="328"/>
        <v>0</v>
      </c>
      <c r="BT314" s="10">
        <f t="shared" si="328"/>
        <v>0</v>
      </c>
      <c r="BU314" s="10">
        <f t="shared" si="328"/>
        <v>0</v>
      </c>
      <c r="BV314" s="10">
        <f t="shared" si="328"/>
        <v>0</v>
      </c>
      <c r="BW314" s="10">
        <f t="shared" si="328"/>
        <v>0</v>
      </c>
      <c r="BY314" s="12"/>
      <c r="BZ314" s="335"/>
      <c r="CA314" s="12"/>
      <c r="CB314" s="335"/>
      <c r="CC314" s="335"/>
      <c r="CD314" s="335"/>
      <c r="CE314" s="335"/>
      <c r="CM314" s="335"/>
      <c r="CN314" s="335"/>
      <c r="CO314" s="335"/>
      <c r="CP314" s="335"/>
      <c r="CR314" s="12"/>
      <c r="CS314" s="93">
        <f t="shared" si="320"/>
        <v>0</v>
      </c>
      <c r="CT314" s="93">
        <v>1</v>
      </c>
      <c r="CU314" s="93">
        <v>0</v>
      </c>
      <c r="EW314" s="335"/>
      <c r="EX314" s="13" t="str">
        <f>IF(C314="", "", CONCATENATE(D313, " ",D314))</f>
        <v>Loan 15 Opening Loan Balance</v>
      </c>
    </row>
    <row r="315" spans="1:154" s="5" customFormat="1" ht="15.75" x14ac:dyDescent="0.3">
      <c r="A315" s="362" cm="1">
        <f t="array" aca="1" ref="A315" ca="1">HYPERLINK(CONCATENATE("#",CELL("address",IF(SUM($CA315:$CR315)=0,A315,INDEX($CA315:$CR315,MATCH(1,$CA315:$CR315,0))))),SUM($CA315:$CR315))</f>
        <v>0</v>
      </c>
      <c r="B315" s="105" t="s">
        <v>335</v>
      </c>
      <c r="C315" s="340" t="s">
        <v>1247</v>
      </c>
      <c r="D315" s="51" t="s">
        <v>219</v>
      </c>
      <c r="E315" s="1"/>
      <c r="F315" s="25"/>
      <c r="G315" s="9" t="s">
        <v>413</v>
      </c>
      <c r="H315" s="50" t="s">
        <v>125</v>
      </c>
      <c r="I315" s="67"/>
      <c r="J315" s="67"/>
      <c r="K315" s="67"/>
      <c r="L315" s="67"/>
      <c r="M315" s="67"/>
      <c r="N315" s="67"/>
      <c r="O315" s="67"/>
      <c r="P315" s="67"/>
      <c r="Q315" s="67"/>
      <c r="R315" s="67"/>
      <c r="S315" s="335"/>
      <c r="T315" s="25"/>
      <c r="U315" s="25"/>
      <c r="V315" s="222"/>
      <c r="W315" s="215">
        <f t="shared" ref="W315:Y317" si="329" xml:space="preserve"> SUMIFS($AA315:$BJ315, $AA$3:$BJ$3, W$3)</f>
        <v>0</v>
      </c>
      <c r="X315" s="215">
        <f t="shared" si="329"/>
        <v>0</v>
      </c>
      <c r="Y315" s="215">
        <f t="shared" si="329"/>
        <v>0</v>
      </c>
      <c r="Z315" s="67"/>
      <c r="AA315" s="147"/>
      <c r="AB315" s="147"/>
      <c r="AC315" s="147"/>
      <c r="AD315" s="147"/>
      <c r="AE315" s="147"/>
      <c r="AF315" s="147"/>
      <c r="AG315" s="147"/>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c r="BI315" s="147"/>
      <c r="BJ315" s="147"/>
      <c r="BK315" s="67"/>
      <c r="BL315" s="152">
        <f t="shared" si="327"/>
        <v>0</v>
      </c>
      <c r="BM315" s="152">
        <f t="shared" si="327"/>
        <v>0</v>
      </c>
      <c r="BN315" s="152">
        <f t="shared" si="327"/>
        <v>0</v>
      </c>
      <c r="BO315" s="152">
        <f t="shared" si="327"/>
        <v>0</v>
      </c>
      <c r="BP315" s="156"/>
      <c r="BQ315" s="156"/>
      <c r="BR315" s="156"/>
      <c r="BS315" s="156"/>
      <c r="BT315" s="156"/>
      <c r="BU315" s="156"/>
      <c r="BV315" s="156"/>
      <c r="BW315" s="156"/>
      <c r="BX315" s="67"/>
      <c r="BY315" s="12"/>
      <c r="BZ315" s="395">
        <f>IF(MIN($V315:$BW315)&lt;0, 1, 0)</f>
        <v>0</v>
      </c>
      <c r="CA315" s="12"/>
      <c r="CB315" s="335"/>
      <c r="CC315" s="335"/>
      <c r="CD315" s="335"/>
      <c r="CE315" s="335"/>
      <c r="CF315" s="67"/>
      <c r="CG315" s="67"/>
      <c r="CH315" s="67"/>
      <c r="CI315" s="67"/>
      <c r="CJ315" s="67"/>
      <c r="CK315" s="67"/>
      <c r="CL315" s="67"/>
      <c r="CM315" s="7">
        <f t="shared" ref="CM315:CO317" si="330">IF(ROUND(W315-SUMIFS($AA315:$BJ315, $AA$3:$BJ$3, W$3), rounding)=0, 0, 1)</f>
        <v>0</v>
      </c>
      <c r="CN315" s="7">
        <f t="shared" si="330"/>
        <v>0</v>
      </c>
      <c r="CO315" s="7">
        <f t="shared" si="330"/>
        <v>0</v>
      </c>
      <c r="CP315" s="7">
        <f>IF(ROUND(V315-BL315, rounding)=0, 0, 1)*'BS Forecasts'!$V$10</f>
        <v>0</v>
      </c>
      <c r="CQ315" s="67"/>
      <c r="CR315" s="12"/>
      <c r="CS315" s="93">
        <f t="shared" si="320"/>
        <v>0</v>
      </c>
      <c r="CT315" s="93">
        <v>1</v>
      </c>
      <c r="CU315" s="93">
        <v>1</v>
      </c>
      <c r="EX315" s="13" t="str">
        <f>IF(C315="", "", CONCATENATE(D313, " ",D315))</f>
        <v>Loan 15 Drawdowns</v>
      </c>
    </row>
    <row r="316" spans="1:154" s="67" customFormat="1" x14ac:dyDescent="0.25">
      <c r="A316" s="362" cm="1">
        <f t="array" aca="1" ref="A316" ca="1">HYPERLINK(CONCATENATE("#",CELL("address",IF(SUM($CA316:$CR316)=0,A316,INDEX($CA316:$CR316,MATCH(1,$CA316:$CR316,0))))),SUM($CA316:$CR316))</f>
        <v>0</v>
      </c>
      <c r="C316" s="340" t="s">
        <v>1248</v>
      </c>
      <c r="D316" s="41" t="s">
        <v>1570</v>
      </c>
      <c r="E316" s="1"/>
      <c r="G316" s="9" t="s">
        <v>413</v>
      </c>
      <c r="H316" s="50" t="s">
        <v>157</v>
      </c>
      <c r="S316" s="335"/>
      <c r="T316" s="25"/>
      <c r="U316" s="25"/>
      <c r="V316" s="222"/>
      <c r="W316" s="215">
        <f t="shared" si="329"/>
        <v>0</v>
      </c>
      <c r="X316" s="215">
        <f t="shared" si="329"/>
        <v>0</v>
      </c>
      <c r="Y316" s="215">
        <f t="shared" si="329"/>
        <v>0</v>
      </c>
      <c r="AA316" s="147"/>
      <c r="AB316" s="147"/>
      <c r="AC316" s="147"/>
      <c r="AD316" s="147"/>
      <c r="AE316" s="147"/>
      <c r="AF316" s="147"/>
      <c r="AG316" s="147"/>
      <c r="AH316" s="147"/>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c r="BI316" s="147"/>
      <c r="BJ316" s="147"/>
      <c r="BL316" s="152">
        <f t="shared" si="327"/>
        <v>0</v>
      </c>
      <c r="BM316" s="152">
        <f t="shared" si="327"/>
        <v>0</v>
      </c>
      <c r="BN316" s="152">
        <f t="shared" si="327"/>
        <v>0</v>
      </c>
      <c r="BO316" s="152">
        <f t="shared" si="327"/>
        <v>0</v>
      </c>
      <c r="BP316" s="156"/>
      <c r="BQ316" s="156"/>
      <c r="BR316" s="156"/>
      <c r="BS316" s="156"/>
      <c r="BT316" s="156"/>
      <c r="BU316" s="156"/>
      <c r="BV316" s="156"/>
      <c r="BW316" s="156"/>
      <c r="BY316" s="12"/>
      <c r="BZ316" s="395">
        <f>IF(MAX($V316:$BW316)&gt;0, 1, 0)</f>
        <v>0</v>
      </c>
      <c r="CA316" s="12"/>
      <c r="CB316" s="335"/>
      <c r="CC316" s="335"/>
      <c r="CD316" s="335"/>
      <c r="CE316" s="335"/>
      <c r="CM316" s="7">
        <f t="shared" si="330"/>
        <v>0</v>
      </c>
      <c r="CN316" s="7">
        <f t="shared" si="330"/>
        <v>0</v>
      </c>
      <c r="CO316" s="7">
        <f t="shared" si="330"/>
        <v>0</v>
      </c>
      <c r="CP316" s="7">
        <f>IF(ROUND(V316-BL316, rounding)=0, 0, 1)*'BS Forecasts'!$V$10</f>
        <v>0</v>
      </c>
      <c r="CR316" s="12"/>
      <c r="CS316" s="93">
        <f t="shared" si="320"/>
        <v>0</v>
      </c>
      <c r="CT316" s="93">
        <v>1</v>
      </c>
      <c r="CU316" s="93">
        <v>1</v>
      </c>
      <c r="EW316" s="335"/>
      <c r="EX316" s="13" t="str">
        <f>IF(C316="", "", CONCATENATE(D313, " ",D316))</f>
        <v>Loan 15 Loan Capital Repayment (as per loan agreement)</v>
      </c>
    </row>
    <row r="317" spans="1:154" s="335" customFormat="1" x14ac:dyDescent="0.25">
      <c r="A317" s="362" cm="1">
        <f t="array" aca="1" ref="A317" ca="1">HYPERLINK(CONCATENATE("#",CELL("address",IF(SUM($CA317:$CR317)=0,A317,INDEX($CA317:$CR317,MATCH(1,$CA317:$CR317,0))))),SUM($CA317:$CR317))</f>
        <v>0</v>
      </c>
      <c r="C317" s="340" t="s">
        <v>1578</v>
      </c>
      <c r="D317" s="41" t="s">
        <v>1571</v>
      </c>
      <c r="E317" s="1"/>
      <c r="G317" s="9" t="s">
        <v>413</v>
      </c>
      <c r="H317" s="50" t="s">
        <v>157</v>
      </c>
      <c r="T317" s="25"/>
      <c r="U317" s="25"/>
      <c r="V317" s="210"/>
      <c r="W317" s="215">
        <f t="shared" si="329"/>
        <v>0</v>
      </c>
      <c r="X317" s="215">
        <f t="shared" si="329"/>
        <v>0</v>
      </c>
      <c r="Y317" s="215">
        <f t="shared" si="329"/>
        <v>0</v>
      </c>
      <c r="AA317" s="147"/>
      <c r="AB317" s="147"/>
      <c r="AC317" s="147"/>
      <c r="AD317" s="147"/>
      <c r="AE317" s="147"/>
      <c r="AF317" s="147"/>
      <c r="AG317" s="147"/>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c r="BI317" s="147"/>
      <c r="BJ317" s="147"/>
      <c r="BL317" s="13">
        <f t="shared" si="327"/>
        <v>0</v>
      </c>
      <c r="BM317" s="13">
        <f t="shared" si="327"/>
        <v>0</v>
      </c>
      <c r="BN317" s="13">
        <f t="shared" si="327"/>
        <v>0</v>
      </c>
      <c r="BO317" s="13">
        <f t="shared" si="327"/>
        <v>0</v>
      </c>
      <c r="BP317" s="141"/>
      <c r="BQ317" s="141"/>
      <c r="BR317" s="141"/>
      <c r="BS317" s="141"/>
      <c r="BT317" s="141"/>
      <c r="BU317" s="141"/>
      <c r="BV317" s="141"/>
      <c r="BW317" s="141"/>
      <c r="BY317" s="12"/>
      <c r="BZ317" s="395">
        <f>IF(MAX($V317:$BW317)&gt;0, 1, 0)</f>
        <v>0</v>
      </c>
      <c r="CA317" s="12"/>
      <c r="CM317" s="7">
        <f t="shared" si="330"/>
        <v>0</v>
      </c>
      <c r="CN317" s="7">
        <f t="shared" si="330"/>
        <v>0</v>
      </c>
      <c r="CO317" s="7">
        <f t="shared" si="330"/>
        <v>0</v>
      </c>
      <c r="CP317" s="7">
        <f>IF(ROUND(V317-BL317, rounding)=0, 0, 1)*'BS Forecasts'!$V$10</f>
        <v>0</v>
      </c>
      <c r="CR317" s="12"/>
      <c r="CS317" s="93">
        <f t="shared" si="320"/>
        <v>0</v>
      </c>
      <c r="CT317" s="93">
        <v>1</v>
      </c>
      <c r="CU317" s="93">
        <v>1</v>
      </c>
      <c r="EX317" s="13" t="str">
        <f>IF(C317="", "", CONCATENATE(D313, " ",D317))</f>
        <v xml:space="preserve">Loan 15 Early Repayment </v>
      </c>
    </row>
    <row r="318" spans="1:154" s="67" customFormat="1" x14ac:dyDescent="0.25">
      <c r="C318" s="340" t="s">
        <v>1367</v>
      </c>
      <c r="D318" s="51" t="s">
        <v>231</v>
      </c>
      <c r="E318" s="1"/>
      <c r="G318" s="9" t="s">
        <v>413</v>
      </c>
      <c r="H318" s="50" t="s">
        <v>8</v>
      </c>
      <c r="S318" s="335"/>
      <c r="T318" s="25"/>
      <c r="U318" s="25"/>
      <c r="V318" s="13">
        <f>$G$27</f>
        <v>0</v>
      </c>
      <c r="W318" s="10">
        <f>SUM(W314:W317)</f>
        <v>0</v>
      </c>
      <c r="X318" s="10">
        <f t="shared" ref="X318:BI318" si="331">SUM(X314:X317)</f>
        <v>0</v>
      </c>
      <c r="Y318" s="10">
        <f t="shared" si="331"/>
        <v>0</v>
      </c>
      <c r="Z318" s="335"/>
      <c r="AA318" s="10">
        <f t="shared" si="331"/>
        <v>0</v>
      </c>
      <c r="AB318" s="10">
        <f t="shared" si="331"/>
        <v>0</v>
      </c>
      <c r="AC318" s="10">
        <f t="shared" si="331"/>
        <v>0</v>
      </c>
      <c r="AD318" s="10">
        <f t="shared" si="331"/>
        <v>0</v>
      </c>
      <c r="AE318" s="10">
        <f t="shared" si="331"/>
        <v>0</v>
      </c>
      <c r="AF318" s="10">
        <f t="shared" si="331"/>
        <v>0</v>
      </c>
      <c r="AG318" s="10">
        <f t="shared" si="331"/>
        <v>0</v>
      </c>
      <c r="AH318" s="10">
        <f t="shared" si="331"/>
        <v>0</v>
      </c>
      <c r="AI318" s="10">
        <f t="shared" si="331"/>
        <v>0</v>
      </c>
      <c r="AJ318" s="10">
        <f t="shared" si="331"/>
        <v>0</v>
      </c>
      <c r="AK318" s="10">
        <f t="shared" si="331"/>
        <v>0</v>
      </c>
      <c r="AL318" s="10">
        <f t="shared" si="331"/>
        <v>0</v>
      </c>
      <c r="AM318" s="10">
        <f t="shared" si="331"/>
        <v>0</v>
      </c>
      <c r="AN318" s="10">
        <f t="shared" si="331"/>
        <v>0</v>
      </c>
      <c r="AO318" s="10">
        <f t="shared" si="331"/>
        <v>0</v>
      </c>
      <c r="AP318" s="10">
        <f t="shared" si="331"/>
        <v>0</v>
      </c>
      <c r="AQ318" s="10">
        <f t="shared" si="331"/>
        <v>0</v>
      </c>
      <c r="AR318" s="10">
        <f t="shared" si="331"/>
        <v>0</v>
      </c>
      <c r="AS318" s="10">
        <f t="shared" si="331"/>
        <v>0</v>
      </c>
      <c r="AT318" s="10">
        <f t="shared" si="331"/>
        <v>0</v>
      </c>
      <c r="AU318" s="10">
        <f t="shared" si="331"/>
        <v>0</v>
      </c>
      <c r="AV318" s="10">
        <f t="shared" si="331"/>
        <v>0</v>
      </c>
      <c r="AW318" s="10">
        <f t="shared" si="331"/>
        <v>0</v>
      </c>
      <c r="AX318" s="10">
        <f t="shared" si="331"/>
        <v>0</v>
      </c>
      <c r="AY318" s="10">
        <f t="shared" si="331"/>
        <v>0</v>
      </c>
      <c r="AZ318" s="10">
        <f t="shared" si="331"/>
        <v>0</v>
      </c>
      <c r="BA318" s="10">
        <f t="shared" si="331"/>
        <v>0</v>
      </c>
      <c r="BB318" s="10">
        <f t="shared" si="331"/>
        <v>0</v>
      </c>
      <c r="BC318" s="10">
        <f t="shared" si="331"/>
        <v>0</v>
      </c>
      <c r="BD318" s="10">
        <f t="shared" si="331"/>
        <v>0</v>
      </c>
      <c r="BE318" s="10">
        <f t="shared" si="331"/>
        <v>0</v>
      </c>
      <c r="BF318" s="10">
        <f t="shared" si="331"/>
        <v>0</v>
      </c>
      <c r="BG318" s="10">
        <f t="shared" si="331"/>
        <v>0</v>
      </c>
      <c r="BH318" s="10">
        <f t="shared" si="331"/>
        <v>0</v>
      </c>
      <c r="BI318" s="10">
        <f t="shared" si="331"/>
        <v>0</v>
      </c>
      <c r="BJ318" s="10">
        <f>SUM(BJ314:BJ317)</f>
        <v>0</v>
      </c>
      <c r="BL318" s="152">
        <f t="shared" si="327"/>
        <v>0</v>
      </c>
      <c r="BM318" s="152">
        <f t="shared" si="327"/>
        <v>0</v>
      </c>
      <c r="BN318" s="152">
        <f t="shared" si="327"/>
        <v>0</v>
      </c>
      <c r="BO318" s="152">
        <f t="shared" si="327"/>
        <v>0</v>
      </c>
      <c r="BP318" s="10">
        <f t="shared" ref="BP318:BW318" si="332">SUM(BP314:BP317)</f>
        <v>0</v>
      </c>
      <c r="BQ318" s="10">
        <f>SUM(BQ314:BQ317)</f>
        <v>0</v>
      </c>
      <c r="BR318" s="10">
        <f t="shared" si="332"/>
        <v>0</v>
      </c>
      <c r="BS318" s="10">
        <f t="shared" si="332"/>
        <v>0</v>
      </c>
      <c r="BT318" s="10">
        <f t="shared" si="332"/>
        <v>0</v>
      </c>
      <c r="BU318" s="10">
        <f t="shared" si="332"/>
        <v>0</v>
      </c>
      <c r="BV318" s="10">
        <f t="shared" si="332"/>
        <v>0</v>
      </c>
      <c r="BW318" s="10">
        <f t="shared" si="332"/>
        <v>0</v>
      </c>
      <c r="BY318" s="12"/>
      <c r="BZ318" s="335"/>
      <c r="CA318" s="12"/>
      <c r="CB318" s="335"/>
      <c r="CC318" s="335"/>
      <c r="CD318" s="335"/>
      <c r="CE318" s="335"/>
      <c r="CM318" s="335"/>
      <c r="CN318" s="335"/>
      <c r="CO318" s="335"/>
      <c r="CP318" s="335"/>
      <c r="CR318" s="12"/>
      <c r="CS318" s="93">
        <f t="shared" si="320"/>
        <v>0</v>
      </c>
      <c r="CT318" s="93">
        <v>0</v>
      </c>
      <c r="CU318" s="93">
        <v>0</v>
      </c>
      <c r="EW318" s="335"/>
      <c r="EX318" s="13" t="str">
        <f>IF(C318="", "", CONCATENATE(D313, " ",D318))</f>
        <v>Loan 15 Closing Loan Balance</v>
      </c>
    </row>
    <row r="319" spans="1:154" s="67" customFormat="1" ht="6.6" customHeight="1" x14ac:dyDescent="0.25">
      <c r="C319" s="380"/>
      <c r="D319" s="1"/>
      <c r="S319" s="335"/>
      <c r="T319" s="25"/>
      <c r="U319" s="25"/>
      <c r="V319" s="93"/>
      <c r="BM319" s="6"/>
      <c r="BY319" s="42"/>
      <c r="BZ319" s="335"/>
      <c r="CA319" s="42"/>
      <c r="CB319" s="335"/>
      <c r="CC319" s="335"/>
      <c r="CD319" s="335"/>
      <c r="CE319" s="335"/>
      <c r="CM319" s="335"/>
      <c r="CN319" s="335"/>
      <c r="CO319" s="335"/>
      <c r="CP319" s="335"/>
      <c r="CR319" s="42"/>
      <c r="CS319" s="93">
        <f t="shared" si="320"/>
        <v>0</v>
      </c>
      <c r="CT319" s="93">
        <v>0</v>
      </c>
      <c r="CU319" s="93">
        <v>0</v>
      </c>
      <c r="EW319" s="335"/>
      <c r="EX319" s="13" t="str">
        <f>IF(C319="", "", CONCATENATE(D313, " ",D319))</f>
        <v/>
      </c>
    </row>
    <row r="320" spans="1:154" s="67" customFormat="1" x14ac:dyDescent="0.25">
      <c r="A320" s="362" cm="1">
        <f t="array" aca="1" ref="A320" ca="1">HYPERLINK(CONCATENATE("#",CELL("address",IF(SUM($CA320:$CR320)=0,A320,INDEX($CA320:$CR320,MATCH(1,$CA320:$CR320,0))))),SUM($CA320:$CR320))</f>
        <v>0</v>
      </c>
      <c r="C320" s="380"/>
      <c r="D320" s="51" t="s">
        <v>526</v>
      </c>
      <c r="E320" s="160" t="s">
        <v>523</v>
      </c>
      <c r="F320" s="153">
        <f>$F$27</f>
        <v>0</v>
      </c>
      <c r="S320" s="335"/>
      <c r="T320" s="25"/>
      <c r="U320" s="25"/>
      <c r="V320" s="188">
        <f>IF(OR(V318&gt;$F320, V318&lt;0), 1, 0)</f>
        <v>0</v>
      </c>
      <c r="W320" s="7">
        <f>IF(OR(W318&gt;$F320, W318&lt;0), 1, 0)</f>
        <v>0</v>
      </c>
      <c r="X320" s="7">
        <f>IF(OR(X318&gt;$F320, X318&lt;0), 1, 0)</f>
        <v>0</v>
      </c>
      <c r="Y320" s="7">
        <f>IF(OR(Y318&gt;$F320, Y318&lt;0), 1, 0)</f>
        <v>0</v>
      </c>
      <c r="AA320" s="7">
        <f t="shared" ref="AA320:BJ320" si="333">IF(OR(AA318&gt;$F320, AA318&lt;0), 1, 0)</f>
        <v>0</v>
      </c>
      <c r="AB320" s="7">
        <f t="shared" si="333"/>
        <v>0</v>
      </c>
      <c r="AC320" s="7">
        <f t="shared" si="333"/>
        <v>0</v>
      </c>
      <c r="AD320" s="7">
        <f t="shared" si="333"/>
        <v>0</v>
      </c>
      <c r="AE320" s="7">
        <f t="shared" si="333"/>
        <v>0</v>
      </c>
      <c r="AF320" s="7">
        <f t="shared" si="333"/>
        <v>0</v>
      </c>
      <c r="AG320" s="7">
        <f t="shared" si="333"/>
        <v>0</v>
      </c>
      <c r="AH320" s="7">
        <f t="shared" si="333"/>
        <v>0</v>
      </c>
      <c r="AI320" s="7">
        <f t="shared" si="333"/>
        <v>0</v>
      </c>
      <c r="AJ320" s="7">
        <f t="shared" si="333"/>
        <v>0</v>
      </c>
      <c r="AK320" s="7">
        <f t="shared" si="333"/>
        <v>0</v>
      </c>
      <c r="AL320" s="7">
        <f t="shared" si="333"/>
        <v>0</v>
      </c>
      <c r="AM320" s="7">
        <f t="shared" si="333"/>
        <v>0</v>
      </c>
      <c r="AN320" s="7">
        <f t="shared" si="333"/>
        <v>0</v>
      </c>
      <c r="AO320" s="7">
        <f t="shared" si="333"/>
        <v>0</v>
      </c>
      <c r="AP320" s="7">
        <f t="shared" si="333"/>
        <v>0</v>
      </c>
      <c r="AQ320" s="7">
        <f t="shared" si="333"/>
        <v>0</v>
      </c>
      <c r="AR320" s="7">
        <f t="shared" si="333"/>
        <v>0</v>
      </c>
      <c r="AS320" s="7">
        <f t="shared" si="333"/>
        <v>0</v>
      </c>
      <c r="AT320" s="7">
        <f t="shared" si="333"/>
        <v>0</v>
      </c>
      <c r="AU320" s="7">
        <f t="shared" si="333"/>
        <v>0</v>
      </c>
      <c r="AV320" s="7">
        <f t="shared" si="333"/>
        <v>0</v>
      </c>
      <c r="AW320" s="7">
        <f t="shared" si="333"/>
        <v>0</v>
      </c>
      <c r="AX320" s="7">
        <f t="shared" si="333"/>
        <v>0</v>
      </c>
      <c r="AY320" s="7">
        <f t="shared" si="333"/>
        <v>0</v>
      </c>
      <c r="AZ320" s="7">
        <f t="shared" si="333"/>
        <v>0</v>
      </c>
      <c r="BA320" s="7">
        <f t="shared" si="333"/>
        <v>0</v>
      </c>
      <c r="BB320" s="7">
        <f t="shared" si="333"/>
        <v>0</v>
      </c>
      <c r="BC320" s="7">
        <f t="shared" si="333"/>
        <v>0</v>
      </c>
      <c r="BD320" s="7">
        <f t="shared" si="333"/>
        <v>0</v>
      </c>
      <c r="BE320" s="7">
        <f t="shared" si="333"/>
        <v>0</v>
      </c>
      <c r="BF320" s="7">
        <f t="shared" si="333"/>
        <v>0</v>
      </c>
      <c r="BG320" s="7">
        <f t="shared" si="333"/>
        <v>0</v>
      </c>
      <c r="BH320" s="7">
        <f t="shared" si="333"/>
        <v>0</v>
      </c>
      <c r="BI320" s="7">
        <f t="shared" si="333"/>
        <v>0</v>
      </c>
      <c r="BJ320" s="7">
        <f t="shared" si="333"/>
        <v>0</v>
      </c>
      <c r="BL320" s="7">
        <f t="shared" ref="BL320" si="334">IF(OR(BL318&gt;$F320, BL318&lt;0), 1, 0)</f>
        <v>0</v>
      </c>
      <c r="BM320" s="7">
        <f t="shared" ref="BM320:BW320" si="335">IF(OR(BM318&gt;$F320, BM318&lt;0), 1, 0)</f>
        <v>0</v>
      </c>
      <c r="BN320" s="7">
        <f t="shared" si="335"/>
        <v>0</v>
      </c>
      <c r="BO320" s="7">
        <f t="shared" si="335"/>
        <v>0</v>
      </c>
      <c r="BP320" s="7">
        <f t="shared" si="335"/>
        <v>0</v>
      </c>
      <c r="BQ320" s="7">
        <f t="shared" si="335"/>
        <v>0</v>
      </c>
      <c r="BR320" s="7">
        <f t="shared" si="335"/>
        <v>0</v>
      </c>
      <c r="BS320" s="7">
        <f t="shared" si="335"/>
        <v>0</v>
      </c>
      <c r="BT320" s="7">
        <f t="shared" si="335"/>
        <v>0</v>
      </c>
      <c r="BU320" s="7">
        <f t="shared" si="335"/>
        <v>0</v>
      </c>
      <c r="BV320" s="7">
        <f t="shared" si="335"/>
        <v>0</v>
      </c>
      <c r="BW320" s="7">
        <f t="shared" si="335"/>
        <v>0</v>
      </c>
      <c r="BY320" s="12"/>
      <c r="BZ320" s="335"/>
      <c r="CA320" s="12"/>
      <c r="CB320" s="335"/>
      <c r="CC320" s="335"/>
      <c r="CD320" s="335"/>
      <c r="CE320" s="335"/>
      <c r="CL320" s="7">
        <f>IF(MAX(V320:BW320)&gt;0, 1, 0)</f>
        <v>0</v>
      </c>
      <c r="CM320" s="335"/>
      <c r="CN320" s="335"/>
      <c r="CO320" s="335"/>
      <c r="CP320" s="335"/>
      <c r="CR320" s="12"/>
      <c r="CS320" s="93">
        <f t="shared" si="320"/>
        <v>1</v>
      </c>
      <c r="CT320" s="93">
        <v>0</v>
      </c>
      <c r="CU320" s="93">
        <v>0</v>
      </c>
      <c r="EW320" s="335"/>
      <c r="EX320" s="13" t="str">
        <f>IF(C320="", "", CONCATENATE(D313, " ",D320))</f>
        <v/>
      </c>
    </row>
    <row r="321" spans="1:154" s="67" customFormat="1" x14ac:dyDescent="0.25">
      <c r="A321" s="362" cm="1">
        <f t="array" aca="1" ref="A321" ca="1">HYPERLINK(CONCATENATE("#",CELL("address",IF(SUM($CA321:$CR321)=0,A321,INDEX($CA321:$CR321,MATCH(1,$CA321:$CR321,0))))),SUM($CA321:$CR321))</f>
        <v>0</v>
      </c>
      <c r="C321" s="380"/>
      <c r="D321" s="51" t="s">
        <v>220</v>
      </c>
      <c r="E321" s="160" t="s">
        <v>524</v>
      </c>
      <c r="F321" s="173" t="str">
        <f>IF($J$27="", "", $J$27)</f>
        <v/>
      </c>
      <c r="S321" s="335"/>
      <c r="T321" s="25"/>
      <c r="U321" s="25"/>
      <c r="V321" s="230">
        <f>IF(AND(V$5&gt;=$F321,SUM(V318:$Y318)&lt;&gt;0),1,0)</f>
        <v>0</v>
      </c>
      <c r="W321" s="230">
        <f>IF(AND(W$5&gt;=$F321,SUM(W318:$Y318)&lt;&gt;0),1,0)</f>
        <v>0</v>
      </c>
      <c r="X321" s="230">
        <f>IF(AND(X$5&gt;=$F321,SUM(X318:$Y318)&lt;&gt;0),1,0)</f>
        <v>0</v>
      </c>
      <c r="Y321" s="230">
        <f>IF(AND(Y$5&gt;=$F321,SUM(Y318:$Y318)&lt;&gt;0),1,0)</f>
        <v>0</v>
      </c>
      <c r="AA321" s="154">
        <f>IF(AND(AA$5&gt;=$F321,SUM(AA318:$BJ318)&lt;&gt;0),1,0)</f>
        <v>0</v>
      </c>
      <c r="AB321" s="154">
        <f>IF(AND(AB$5&gt;=$F321,SUM(AB318:$BJ318)&lt;&gt;0),1,0)</f>
        <v>0</v>
      </c>
      <c r="AC321" s="154">
        <f>IF(AND(AC$5&gt;=$F321,SUM(AC318:$BJ318)&lt;&gt;0),1,0)</f>
        <v>0</v>
      </c>
      <c r="AD321" s="154">
        <f>IF(AND(AD$5&gt;=$F321,SUM(AD318:$BJ318)&lt;&gt;0),1,0)</f>
        <v>0</v>
      </c>
      <c r="AE321" s="154">
        <f>IF(AND(AE$5&gt;=$F321,SUM(AE318:$BJ318)&lt;&gt;0),1,0)</f>
        <v>0</v>
      </c>
      <c r="AF321" s="154">
        <f>IF(AND(AF$5&gt;=$F321,SUM(AF318:$BJ318)&lt;&gt;0),1,0)</f>
        <v>0</v>
      </c>
      <c r="AG321" s="154">
        <f>IF(AND(AG$5&gt;=$F321,SUM(AG318:$BJ318)&lt;&gt;0),1,0)</f>
        <v>0</v>
      </c>
      <c r="AH321" s="154">
        <f>IF(AND(AH$5&gt;=$F321,SUM(AH318:$BJ318)&lt;&gt;0),1,0)</f>
        <v>0</v>
      </c>
      <c r="AI321" s="154">
        <f>IF(AND(AI$5&gt;=$F321,SUM(AI318:$BJ318)&lt;&gt;0),1,0)</f>
        <v>0</v>
      </c>
      <c r="AJ321" s="154">
        <f>IF(AND(AJ$5&gt;=$F321,SUM(AJ318:$BJ318)&lt;&gt;0),1,0)</f>
        <v>0</v>
      </c>
      <c r="AK321" s="154">
        <f>IF(AND(AK$5&gt;=$F321,SUM(AK318:$BJ318)&lt;&gt;0),1,0)</f>
        <v>0</v>
      </c>
      <c r="AL321" s="154">
        <f>IF(AND(AL$5&gt;=$F321,SUM(AL318:$BJ318)&lt;&gt;0),1,0)</f>
        <v>0</v>
      </c>
      <c r="AM321" s="154">
        <f>IF(AND(AM$5&gt;=$F321,SUM(AM318:$BJ318)&lt;&gt;0),1,0)</f>
        <v>0</v>
      </c>
      <c r="AN321" s="154">
        <f>IF(AND(AN$5&gt;=$F321,SUM(AN318:$BJ318)&lt;&gt;0),1,0)</f>
        <v>0</v>
      </c>
      <c r="AO321" s="154">
        <f>IF(AND(AO$5&gt;=$F321,SUM(AO318:$BJ318)&lt;&gt;0),1,0)</f>
        <v>0</v>
      </c>
      <c r="AP321" s="154">
        <f>IF(AND(AP$5&gt;=$F321,SUM(AP318:$BJ318)&lt;&gt;0),1,0)</f>
        <v>0</v>
      </c>
      <c r="AQ321" s="154">
        <f>IF(AND(AQ$5&gt;=$F321,SUM(AQ318:$BJ318)&lt;&gt;0),1,0)</f>
        <v>0</v>
      </c>
      <c r="AR321" s="154">
        <f>IF(AND(AR$5&gt;=$F321,SUM(AR318:$BJ318)&lt;&gt;0),1,0)</f>
        <v>0</v>
      </c>
      <c r="AS321" s="154">
        <f>IF(AND(AS$5&gt;=$F321,SUM(AS318:$BJ318)&lt;&gt;0),1,0)</f>
        <v>0</v>
      </c>
      <c r="AT321" s="154">
        <f>IF(AND(AT$5&gt;=$F321,SUM(AT318:$BJ318)&lt;&gt;0),1,0)</f>
        <v>0</v>
      </c>
      <c r="AU321" s="154">
        <f>IF(AND(AU$5&gt;=$F321,SUM(AU318:$BJ318)&lt;&gt;0),1,0)</f>
        <v>0</v>
      </c>
      <c r="AV321" s="154">
        <f>IF(AND(AV$5&gt;=$F321,SUM(AV318:$BJ318)&lt;&gt;0),1,0)</f>
        <v>0</v>
      </c>
      <c r="AW321" s="154">
        <f>IF(AND(AW$5&gt;=$F321,SUM(AW318:$BJ318)&lt;&gt;0),1,0)</f>
        <v>0</v>
      </c>
      <c r="AX321" s="154">
        <f>IF(AND(AX$5&gt;=$F321,SUM(AX318:$BJ318)&lt;&gt;0),1,0)</f>
        <v>0</v>
      </c>
      <c r="AY321" s="154">
        <f>IF(AND(AY$5&gt;=$F321,SUM(AY318:$BJ318)&lt;&gt;0),1,0)</f>
        <v>0</v>
      </c>
      <c r="AZ321" s="154">
        <f>IF(AND(AZ$5&gt;=$F321,SUM(AZ318:$BJ318)&lt;&gt;0),1,0)</f>
        <v>0</v>
      </c>
      <c r="BA321" s="154">
        <f>IF(AND(BA$5&gt;=$F321,SUM(BA318:$BJ318)&lt;&gt;0),1,0)</f>
        <v>0</v>
      </c>
      <c r="BB321" s="154">
        <f>IF(AND(BB$5&gt;=$F321,SUM(BB318:$BJ318)&lt;&gt;0),1,0)</f>
        <v>0</v>
      </c>
      <c r="BC321" s="154">
        <f>IF(AND(BC$5&gt;=$F321,SUM(BC318:$BJ318)&lt;&gt;0),1,0)</f>
        <v>0</v>
      </c>
      <c r="BD321" s="154">
        <f>IF(AND(BD$5&gt;=$F321,SUM(BD318:$BJ318)&lt;&gt;0),1,0)</f>
        <v>0</v>
      </c>
      <c r="BE321" s="154">
        <f>IF(AND(BE$5&gt;=$F321,SUM(BE318:$BJ318)&lt;&gt;0),1,0)</f>
        <v>0</v>
      </c>
      <c r="BF321" s="154">
        <f>IF(AND(BF$5&gt;=$F321,SUM(BF318:$BJ318)&lt;&gt;0),1,0)</f>
        <v>0</v>
      </c>
      <c r="BG321" s="154">
        <f>IF(AND(BG$5&gt;=$F321,SUM(BG318:$BJ318)&lt;&gt;0),1,0)</f>
        <v>0</v>
      </c>
      <c r="BH321" s="154">
        <f>IF(AND(BH$5&gt;=$F321,SUM(BH318:$BJ318)&lt;&gt;0),1,0)</f>
        <v>0</v>
      </c>
      <c r="BI321" s="154">
        <f>IF(AND(BI$5&gt;=$F321,SUM(BI318:$BJ318)&lt;&gt;0),1,0)</f>
        <v>0</v>
      </c>
      <c r="BJ321" s="154">
        <f>IF(AND(BJ$5&gt;=$F321,SUM(BJ318:$BJ318)&lt;&gt;0),1,0)</f>
        <v>0</v>
      </c>
      <c r="BL321" s="154">
        <f>IF(AND(BL$5&gt;=$F321,SUM(BL318:$BW318)&lt;&gt;0),1,0)*BL$1150</f>
        <v>0</v>
      </c>
      <c r="BM321" s="154">
        <f>IF(AND(BM$5&gt;=$F321,SUM(BM318:$BW318)&lt;&gt;0),1,0)*BM$1150</f>
        <v>0</v>
      </c>
      <c r="BN321" s="154">
        <f>IF(AND(BN$5&gt;=$F321,SUM(BN318:$BW318)&lt;&gt;0),1,0)*BN$1150</f>
        <v>0</v>
      </c>
      <c r="BO321" s="154">
        <f>IF(AND(BO$5&gt;=$F321,SUM(BO318:$BW318)&lt;&gt;0),1,0)*BO$1150</f>
        <v>0</v>
      </c>
      <c r="BP321" s="154">
        <f>IF(AND(BP$5&gt;=$F321,SUM(BP318:$BW318)&lt;&gt;0),1,0)*BP$1150</f>
        <v>0</v>
      </c>
      <c r="BQ321" s="154">
        <f>IF(AND(BQ$5&gt;=$F321,SUM(BQ318:$BW318)&lt;&gt;0),1,0)*BQ$1150</f>
        <v>0</v>
      </c>
      <c r="BR321" s="154">
        <f>IF(AND(BR$5&gt;=$F321,SUM(BR318:$BW318)&lt;&gt;0),1,0)*BR$1150</f>
        <v>0</v>
      </c>
      <c r="BS321" s="154">
        <f>IF(AND(BS$5&gt;=$F321,SUM(BS318:$BW318)&lt;&gt;0),1,0)*BS$1150</f>
        <v>0</v>
      </c>
      <c r="BT321" s="154">
        <f>IF(AND(BT$5&gt;=$F321,SUM(BT318:$BW318)&lt;&gt;0),1,0)*BT$1150</f>
        <v>0</v>
      </c>
      <c r="BU321" s="154">
        <f>IF(AND(BU$5&gt;=$F321,SUM(BU318:$BW318)&lt;&gt;0),1,0)*BU$1150</f>
        <v>0</v>
      </c>
      <c r="BV321" s="154">
        <f>IF(AND(BV$5&gt;=$F321,SUM(BV318:$BW318)&lt;&gt;0),1,0)*BV$1150</f>
        <v>0</v>
      </c>
      <c r="BW321" s="154">
        <f>IF(AND(BW$5&gt;=$F321,SUM(BW318:$BW318)&lt;&gt;0),1,0)*BW$1150</f>
        <v>0</v>
      </c>
      <c r="BY321" s="12"/>
      <c r="BZ321" s="335"/>
      <c r="CA321" s="12"/>
      <c r="CB321" s="335"/>
      <c r="CC321" s="335"/>
      <c r="CD321" s="335"/>
      <c r="CE321" s="335"/>
      <c r="CL321" s="7">
        <f>IF(MAX($V321:$BW321)&gt;0, 1, 0)</f>
        <v>0</v>
      </c>
      <c r="CM321" s="335"/>
      <c r="CN321" s="335"/>
      <c r="CO321" s="335"/>
      <c r="CP321" s="335"/>
      <c r="CR321" s="12"/>
      <c r="CS321" s="93">
        <f t="shared" si="320"/>
        <v>1</v>
      </c>
      <c r="CT321" s="93">
        <v>0</v>
      </c>
      <c r="CU321" s="93">
        <v>0</v>
      </c>
      <c r="EW321" s="335"/>
      <c r="EX321" s="13" t="str">
        <f>IF(C321="", "", CONCATENATE(D313, " ",D321))</f>
        <v/>
      </c>
    </row>
    <row r="322" spans="1:154" s="67" customFormat="1" ht="6.6" customHeight="1" x14ac:dyDescent="0.25">
      <c r="C322" s="380"/>
      <c r="D322" s="1"/>
      <c r="S322" s="335"/>
      <c r="T322" s="25"/>
      <c r="U322" s="25"/>
      <c r="V322" s="229"/>
      <c r="W322" s="25"/>
      <c r="X322" s="25"/>
      <c r="Y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L322" s="25"/>
      <c r="BM322" s="155"/>
      <c r="BN322" s="25"/>
      <c r="BO322" s="25"/>
      <c r="BP322" s="25"/>
      <c r="BQ322" s="25"/>
      <c r="BR322" s="25"/>
      <c r="BS322" s="25"/>
      <c r="BT322" s="25"/>
      <c r="BU322" s="25"/>
      <c r="BV322" s="25"/>
      <c r="BW322" s="25"/>
      <c r="BY322" s="42"/>
      <c r="BZ322" s="335"/>
      <c r="CA322" s="42"/>
      <c r="CB322" s="335"/>
      <c r="CC322" s="335"/>
      <c r="CD322" s="335"/>
      <c r="CE322" s="335"/>
      <c r="CM322" s="335"/>
      <c r="CN322" s="335"/>
      <c r="CO322" s="335"/>
      <c r="CP322" s="335"/>
      <c r="CR322" s="42"/>
      <c r="CS322" s="93">
        <f t="shared" si="320"/>
        <v>0</v>
      </c>
      <c r="CT322" s="93">
        <v>0</v>
      </c>
      <c r="CU322" s="93">
        <v>0</v>
      </c>
      <c r="EW322" s="335"/>
      <c r="EX322" s="13" t="str">
        <f>IF(C322="", "", CONCATENATE(D313, " ",D322))</f>
        <v/>
      </c>
    </row>
    <row r="323" spans="1:154" s="67" customFormat="1" x14ac:dyDescent="0.25">
      <c r="C323" s="380"/>
      <c r="D323" s="51" t="s">
        <v>223</v>
      </c>
      <c r="E323" s="1"/>
      <c r="G323" s="9" t="s">
        <v>413</v>
      </c>
      <c r="H323" s="50" t="s">
        <v>8</v>
      </c>
      <c r="S323" s="335"/>
      <c r="T323" s="25"/>
      <c r="U323" s="25"/>
      <c r="V323" s="210"/>
      <c r="W323" s="201">
        <f>V326</f>
        <v>0</v>
      </c>
      <c r="X323" s="201">
        <f>W326</f>
        <v>0</v>
      </c>
      <c r="Y323" s="10">
        <f>X326</f>
        <v>0</v>
      </c>
      <c r="AA323" s="13">
        <f>W323</f>
        <v>0</v>
      </c>
      <c r="AB323" s="10">
        <f t="shared" ref="AB323:BJ323" si="336">AA326</f>
        <v>0</v>
      </c>
      <c r="AC323" s="10">
        <f t="shared" si="336"/>
        <v>0</v>
      </c>
      <c r="AD323" s="10">
        <f t="shared" si="336"/>
        <v>0</v>
      </c>
      <c r="AE323" s="10">
        <f t="shared" si="336"/>
        <v>0</v>
      </c>
      <c r="AF323" s="10">
        <f t="shared" si="336"/>
        <v>0</v>
      </c>
      <c r="AG323" s="10">
        <f t="shared" si="336"/>
        <v>0</v>
      </c>
      <c r="AH323" s="10">
        <f t="shared" si="336"/>
        <v>0</v>
      </c>
      <c r="AI323" s="10">
        <f t="shared" si="336"/>
        <v>0</v>
      </c>
      <c r="AJ323" s="10">
        <f t="shared" si="336"/>
        <v>0</v>
      </c>
      <c r="AK323" s="10">
        <f t="shared" si="336"/>
        <v>0</v>
      </c>
      <c r="AL323" s="10">
        <f t="shared" si="336"/>
        <v>0</v>
      </c>
      <c r="AM323" s="10">
        <f t="shared" si="336"/>
        <v>0</v>
      </c>
      <c r="AN323" s="10">
        <f t="shared" si="336"/>
        <v>0</v>
      </c>
      <c r="AO323" s="10">
        <f t="shared" si="336"/>
        <v>0</v>
      </c>
      <c r="AP323" s="10">
        <f t="shared" si="336"/>
        <v>0</v>
      </c>
      <c r="AQ323" s="10">
        <f t="shared" si="336"/>
        <v>0</v>
      </c>
      <c r="AR323" s="10">
        <f t="shared" si="336"/>
        <v>0</v>
      </c>
      <c r="AS323" s="10">
        <f t="shared" si="336"/>
        <v>0</v>
      </c>
      <c r="AT323" s="10">
        <f t="shared" si="336"/>
        <v>0</v>
      </c>
      <c r="AU323" s="10">
        <f t="shared" si="336"/>
        <v>0</v>
      </c>
      <c r="AV323" s="10">
        <f t="shared" si="336"/>
        <v>0</v>
      </c>
      <c r="AW323" s="10">
        <f t="shared" si="336"/>
        <v>0</v>
      </c>
      <c r="AX323" s="10">
        <f t="shared" si="336"/>
        <v>0</v>
      </c>
      <c r="AY323" s="10">
        <f t="shared" si="336"/>
        <v>0</v>
      </c>
      <c r="AZ323" s="10">
        <f t="shared" si="336"/>
        <v>0</v>
      </c>
      <c r="BA323" s="10">
        <f t="shared" si="336"/>
        <v>0</v>
      </c>
      <c r="BB323" s="10">
        <f t="shared" si="336"/>
        <v>0</v>
      </c>
      <c r="BC323" s="10">
        <f t="shared" si="336"/>
        <v>0</v>
      </c>
      <c r="BD323" s="10">
        <f t="shared" si="336"/>
        <v>0</v>
      </c>
      <c r="BE323" s="10">
        <f t="shared" si="336"/>
        <v>0</v>
      </c>
      <c r="BF323" s="10">
        <f t="shared" si="336"/>
        <v>0</v>
      </c>
      <c r="BG323" s="10">
        <f t="shared" si="336"/>
        <v>0</v>
      </c>
      <c r="BH323" s="10">
        <f t="shared" si="336"/>
        <v>0</v>
      </c>
      <c r="BI323" s="10">
        <f t="shared" si="336"/>
        <v>0</v>
      </c>
      <c r="BJ323" s="10">
        <f t="shared" si="336"/>
        <v>0</v>
      </c>
      <c r="BL323" s="13">
        <f t="shared" ref="BL323:BO326" si="337">V323</f>
        <v>0</v>
      </c>
      <c r="BM323" s="13">
        <f t="shared" si="337"/>
        <v>0</v>
      </c>
      <c r="BN323" s="13">
        <f t="shared" si="337"/>
        <v>0</v>
      </c>
      <c r="BO323" s="13">
        <f t="shared" si="337"/>
        <v>0</v>
      </c>
      <c r="BP323" s="10">
        <f t="shared" ref="BP323:BW323" si="338">BO326</f>
        <v>0</v>
      </c>
      <c r="BQ323" s="10">
        <f t="shared" si="338"/>
        <v>0</v>
      </c>
      <c r="BR323" s="10">
        <f t="shared" si="338"/>
        <v>0</v>
      </c>
      <c r="BS323" s="10">
        <f t="shared" si="338"/>
        <v>0</v>
      </c>
      <c r="BT323" s="10">
        <f t="shared" si="338"/>
        <v>0</v>
      </c>
      <c r="BU323" s="10">
        <f t="shared" si="338"/>
        <v>0</v>
      </c>
      <c r="BV323" s="10">
        <f t="shared" si="338"/>
        <v>0</v>
      </c>
      <c r="BW323" s="10">
        <f t="shared" si="338"/>
        <v>0</v>
      </c>
      <c r="BY323" s="12"/>
      <c r="BZ323" s="335"/>
      <c r="CA323" s="12"/>
      <c r="CB323" s="335"/>
      <c r="CC323" s="335"/>
      <c r="CD323" s="335"/>
      <c r="CE323" s="335"/>
      <c r="CM323" s="335"/>
      <c r="CN323" s="335"/>
      <c r="CO323" s="335"/>
      <c r="CP323" s="335"/>
      <c r="CR323" s="12"/>
      <c r="CS323" s="93">
        <f t="shared" si="320"/>
        <v>0</v>
      </c>
      <c r="CT323" s="93">
        <v>1</v>
      </c>
      <c r="CU323" s="93">
        <v>0</v>
      </c>
      <c r="EW323" s="335"/>
      <c r="EX323" s="13" t="str">
        <f>IF(C323="", "", CONCATENATE(D313, " ",D323))</f>
        <v/>
      </c>
    </row>
    <row r="324" spans="1:154" s="5" customFormat="1" ht="15.75" x14ac:dyDescent="0.3">
      <c r="A324" s="362" cm="1">
        <f t="array" aca="1" ref="A324" ca="1">HYPERLINK(CONCATENATE("#",CELL("address",IF(SUM($CA324:$CR324)=0,A324,INDEX($CA324:$CR324,MATCH(1,$CA324:$CR324,0))))),SUM($CA324:$CR324))</f>
        <v>0</v>
      </c>
      <c r="B324" s="105" t="s">
        <v>335</v>
      </c>
      <c r="C324" s="380"/>
      <c r="D324" s="51" t="s">
        <v>234</v>
      </c>
      <c r="E324" s="1"/>
      <c r="F324" s="67"/>
      <c r="G324" s="9" t="s">
        <v>413</v>
      </c>
      <c r="H324" s="50" t="s">
        <v>125</v>
      </c>
      <c r="I324" s="67"/>
      <c r="J324" s="67"/>
      <c r="K324" s="67"/>
      <c r="L324" s="67"/>
      <c r="M324" s="67"/>
      <c r="N324" s="67"/>
      <c r="O324" s="67"/>
      <c r="P324" s="67"/>
      <c r="Q324" s="67"/>
      <c r="R324" s="67"/>
      <c r="S324" s="335"/>
      <c r="T324" s="25"/>
      <c r="U324" s="25"/>
      <c r="V324" s="210"/>
      <c r="W324" s="215">
        <f t="shared" ref="W324:Y325" si="339" xml:space="preserve"> SUMIFS($AA324:$BJ324, $AA$3:$BJ$3, W$3)</f>
        <v>0</v>
      </c>
      <c r="X324" s="215">
        <f t="shared" si="339"/>
        <v>0</v>
      </c>
      <c r="Y324" s="215">
        <f t="shared" si="339"/>
        <v>0</v>
      </c>
      <c r="Z324" s="67"/>
      <c r="AA324" s="147"/>
      <c r="AB324" s="147"/>
      <c r="AC324" s="147"/>
      <c r="AD324" s="147"/>
      <c r="AE324" s="147"/>
      <c r="AF324" s="147"/>
      <c r="AG324" s="147"/>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c r="BI324" s="147"/>
      <c r="BJ324" s="147"/>
      <c r="BK324" s="67"/>
      <c r="BL324" s="13">
        <f t="shared" si="337"/>
        <v>0</v>
      </c>
      <c r="BM324" s="13">
        <f t="shared" si="337"/>
        <v>0</v>
      </c>
      <c r="BN324" s="13">
        <f t="shared" si="337"/>
        <v>0</v>
      </c>
      <c r="BO324" s="13">
        <f t="shared" si="337"/>
        <v>0</v>
      </c>
      <c r="BP324" s="141"/>
      <c r="BQ324" s="141"/>
      <c r="BR324" s="141"/>
      <c r="BS324" s="141"/>
      <c r="BT324" s="141"/>
      <c r="BU324" s="141"/>
      <c r="BV324" s="141"/>
      <c r="BW324" s="141"/>
      <c r="BX324" s="67"/>
      <c r="BY324" s="12"/>
      <c r="BZ324" s="395">
        <f>IF(MIN($V324:$BW324)&lt;0, 1, 0)</f>
        <v>0</v>
      </c>
      <c r="CA324" s="12"/>
      <c r="CB324" s="335"/>
      <c r="CC324" s="335"/>
      <c r="CD324" s="335"/>
      <c r="CE324" s="335"/>
      <c r="CF324" s="67"/>
      <c r="CG324" s="67"/>
      <c r="CH324" s="67"/>
      <c r="CI324" s="67"/>
      <c r="CJ324" s="67"/>
      <c r="CK324" s="67"/>
      <c r="CL324" s="67"/>
      <c r="CM324" s="7">
        <f t="shared" ref="CM324:CO325" si="340">IF(ROUND(W324-SUMIFS($AA324:$BJ324, $AA$3:$BJ$3, W$3), rounding)=0, 0, 1)</f>
        <v>0</v>
      </c>
      <c r="CN324" s="7">
        <f t="shared" si="340"/>
        <v>0</v>
      </c>
      <c r="CO324" s="7">
        <f t="shared" si="340"/>
        <v>0</v>
      </c>
      <c r="CP324" s="7">
        <f>IF(ROUND(V324-BL324, rounding)=0, 0, 1)*'BS Forecasts'!$V$10</f>
        <v>0</v>
      </c>
      <c r="CQ324" s="67"/>
      <c r="CR324" s="12"/>
      <c r="CS324" s="93">
        <f t="shared" si="320"/>
        <v>0</v>
      </c>
      <c r="CT324" s="93">
        <v>1</v>
      </c>
      <c r="CU324" s="93">
        <v>1</v>
      </c>
      <c r="EX324" s="13" t="str">
        <f>IF(C324="", "", CONCATENATE(D313, " ",D324))</f>
        <v/>
      </c>
    </row>
    <row r="325" spans="1:154" s="67" customFormat="1" ht="15.75" x14ac:dyDescent="0.3">
      <c r="A325" s="362" cm="1">
        <f t="array" aca="1" ref="A325" ca="1">HYPERLINK(CONCATENATE("#",CELL("address",IF(SUM($CA325:$CR325)=0,A325,INDEX($CA325:$CR325,MATCH(1,$CA325:$CR325,0))))),SUM($CA325:$CR325))</f>
        <v>0</v>
      </c>
      <c r="B325" s="105" t="s">
        <v>335</v>
      </c>
      <c r="C325" s="380"/>
      <c r="D325" s="51" t="s">
        <v>222</v>
      </c>
      <c r="E325" s="1"/>
      <c r="G325" s="9" t="s">
        <v>413</v>
      </c>
      <c r="H325" s="50" t="s">
        <v>157</v>
      </c>
      <c r="S325" s="335"/>
      <c r="T325" s="25"/>
      <c r="U325" s="25"/>
      <c r="V325" s="210"/>
      <c r="W325" s="215">
        <f t="shared" si="339"/>
        <v>0</v>
      </c>
      <c r="X325" s="215">
        <f t="shared" si="339"/>
        <v>0</v>
      </c>
      <c r="Y325" s="215">
        <f t="shared" si="339"/>
        <v>0</v>
      </c>
      <c r="AA325" s="147"/>
      <c r="AB325" s="147"/>
      <c r="AC325" s="147"/>
      <c r="AD325" s="147"/>
      <c r="AE325" s="147"/>
      <c r="AF325" s="147"/>
      <c r="AG325" s="147"/>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c r="BI325" s="147"/>
      <c r="BJ325" s="147"/>
      <c r="BL325" s="13">
        <f t="shared" si="337"/>
        <v>0</v>
      </c>
      <c r="BM325" s="13">
        <f t="shared" si="337"/>
        <v>0</v>
      </c>
      <c r="BN325" s="13">
        <f t="shared" si="337"/>
        <v>0</v>
      </c>
      <c r="BO325" s="13">
        <f t="shared" si="337"/>
        <v>0</v>
      </c>
      <c r="BP325" s="141"/>
      <c r="BQ325" s="141"/>
      <c r="BR325" s="141"/>
      <c r="BS325" s="141"/>
      <c r="BT325" s="141"/>
      <c r="BU325" s="141"/>
      <c r="BV325" s="141"/>
      <c r="BW325" s="141"/>
      <c r="BY325" s="12"/>
      <c r="BZ325" s="395">
        <f>IF(MAX($V325:$BW325)&gt;0, 1, 0)</f>
        <v>0</v>
      </c>
      <c r="CA325" s="12"/>
      <c r="CB325" s="335"/>
      <c r="CC325" s="335"/>
      <c r="CD325" s="335"/>
      <c r="CE325" s="335"/>
      <c r="CM325" s="7">
        <f t="shared" si="340"/>
        <v>0</v>
      </c>
      <c r="CN325" s="7">
        <f t="shared" si="340"/>
        <v>0</v>
      </c>
      <c r="CO325" s="7">
        <f t="shared" si="340"/>
        <v>0</v>
      </c>
      <c r="CP325" s="7">
        <f>IF(ROUND(V325-BL325, rounding)=0, 0, 1)*'BS Forecasts'!$V$10</f>
        <v>0</v>
      </c>
      <c r="CR325" s="12"/>
      <c r="CS325" s="93">
        <f t="shared" si="320"/>
        <v>0</v>
      </c>
      <c r="CT325" s="93">
        <v>1</v>
      </c>
      <c r="CU325" s="93">
        <v>1</v>
      </c>
      <c r="EW325" s="335"/>
      <c r="EX325" s="13" t="str">
        <f>IF(C325="", "", CONCATENATE(D313, " ",D325))</f>
        <v/>
      </c>
    </row>
    <row r="326" spans="1:154" s="67" customFormat="1" x14ac:dyDescent="0.25">
      <c r="C326" s="380"/>
      <c r="D326" s="51" t="s">
        <v>224</v>
      </c>
      <c r="E326" s="1"/>
      <c r="G326" s="9" t="s">
        <v>413</v>
      </c>
      <c r="H326" s="50" t="s">
        <v>8</v>
      </c>
      <c r="S326" s="335"/>
      <c r="T326" s="25"/>
      <c r="U326" s="25"/>
      <c r="V326" s="13">
        <f>$H$27</f>
        <v>0</v>
      </c>
      <c r="W326" s="10">
        <f>SUM(W323:W325)</f>
        <v>0</v>
      </c>
      <c r="X326" s="10">
        <f>SUM(X323:X325)</f>
        <v>0</v>
      </c>
      <c r="Y326" s="10">
        <f>SUM(Y323:Y325)</f>
        <v>0</v>
      </c>
      <c r="AA326" s="10">
        <f t="shared" ref="AA326:BJ326" si="341">SUM(AA323:AA325)</f>
        <v>0</v>
      </c>
      <c r="AB326" s="10">
        <f t="shared" si="341"/>
        <v>0</v>
      </c>
      <c r="AC326" s="10">
        <f t="shared" si="341"/>
        <v>0</v>
      </c>
      <c r="AD326" s="10">
        <f t="shared" si="341"/>
        <v>0</v>
      </c>
      <c r="AE326" s="10">
        <f t="shared" si="341"/>
        <v>0</v>
      </c>
      <c r="AF326" s="10">
        <f t="shared" si="341"/>
        <v>0</v>
      </c>
      <c r="AG326" s="10">
        <f t="shared" si="341"/>
        <v>0</v>
      </c>
      <c r="AH326" s="10">
        <f t="shared" si="341"/>
        <v>0</v>
      </c>
      <c r="AI326" s="10">
        <f t="shared" si="341"/>
        <v>0</v>
      </c>
      <c r="AJ326" s="10">
        <f t="shared" si="341"/>
        <v>0</v>
      </c>
      <c r="AK326" s="10">
        <f t="shared" si="341"/>
        <v>0</v>
      </c>
      <c r="AL326" s="10">
        <f t="shared" si="341"/>
        <v>0</v>
      </c>
      <c r="AM326" s="10">
        <f t="shared" si="341"/>
        <v>0</v>
      </c>
      <c r="AN326" s="10">
        <f t="shared" si="341"/>
        <v>0</v>
      </c>
      <c r="AO326" s="10">
        <f t="shared" si="341"/>
        <v>0</v>
      </c>
      <c r="AP326" s="10">
        <f t="shared" si="341"/>
        <v>0</v>
      </c>
      <c r="AQ326" s="10">
        <f t="shared" si="341"/>
        <v>0</v>
      </c>
      <c r="AR326" s="10">
        <f t="shared" si="341"/>
        <v>0</v>
      </c>
      <c r="AS326" s="10">
        <f t="shared" si="341"/>
        <v>0</v>
      </c>
      <c r="AT326" s="10">
        <f t="shared" si="341"/>
        <v>0</v>
      </c>
      <c r="AU326" s="10">
        <f t="shared" si="341"/>
        <v>0</v>
      </c>
      <c r="AV326" s="10">
        <f t="shared" si="341"/>
        <v>0</v>
      </c>
      <c r="AW326" s="10">
        <f t="shared" si="341"/>
        <v>0</v>
      </c>
      <c r="AX326" s="10">
        <f t="shared" si="341"/>
        <v>0</v>
      </c>
      <c r="AY326" s="10">
        <f t="shared" si="341"/>
        <v>0</v>
      </c>
      <c r="AZ326" s="10">
        <f t="shared" si="341"/>
        <v>0</v>
      </c>
      <c r="BA326" s="10">
        <f t="shared" si="341"/>
        <v>0</v>
      </c>
      <c r="BB326" s="10">
        <f t="shared" si="341"/>
        <v>0</v>
      </c>
      <c r="BC326" s="10">
        <f t="shared" si="341"/>
        <v>0</v>
      </c>
      <c r="BD326" s="10">
        <f t="shared" si="341"/>
        <v>0</v>
      </c>
      <c r="BE326" s="10">
        <f t="shared" si="341"/>
        <v>0</v>
      </c>
      <c r="BF326" s="10">
        <f t="shared" si="341"/>
        <v>0</v>
      </c>
      <c r="BG326" s="10">
        <f t="shared" si="341"/>
        <v>0</v>
      </c>
      <c r="BH326" s="10">
        <f t="shared" si="341"/>
        <v>0</v>
      </c>
      <c r="BI326" s="10">
        <f t="shared" si="341"/>
        <v>0</v>
      </c>
      <c r="BJ326" s="10">
        <f t="shared" si="341"/>
        <v>0</v>
      </c>
      <c r="BL326" s="152">
        <f t="shared" si="337"/>
        <v>0</v>
      </c>
      <c r="BM326" s="152">
        <f t="shared" si="337"/>
        <v>0</v>
      </c>
      <c r="BN326" s="152">
        <f t="shared" si="337"/>
        <v>0</v>
      </c>
      <c r="BO326" s="152">
        <f t="shared" si="337"/>
        <v>0</v>
      </c>
      <c r="BP326" s="10">
        <f t="shared" ref="BP326:BW326" si="342">SUM(BP323:BP325)</f>
        <v>0</v>
      </c>
      <c r="BQ326" s="10">
        <f t="shared" si="342"/>
        <v>0</v>
      </c>
      <c r="BR326" s="10">
        <f t="shared" si="342"/>
        <v>0</v>
      </c>
      <c r="BS326" s="10">
        <f t="shared" si="342"/>
        <v>0</v>
      </c>
      <c r="BT326" s="10">
        <f t="shared" si="342"/>
        <v>0</v>
      </c>
      <c r="BU326" s="10">
        <f t="shared" si="342"/>
        <v>0</v>
      </c>
      <c r="BV326" s="10">
        <f t="shared" si="342"/>
        <v>0</v>
      </c>
      <c r="BW326" s="10">
        <f t="shared" si="342"/>
        <v>0</v>
      </c>
      <c r="BY326" s="12"/>
      <c r="BZ326" s="335"/>
      <c r="CA326" s="12"/>
      <c r="CB326" s="335"/>
      <c r="CC326" s="335"/>
      <c r="CD326" s="335"/>
      <c r="CE326" s="335"/>
      <c r="CM326" s="335"/>
      <c r="CN326" s="335"/>
      <c r="CO326" s="335"/>
      <c r="CP326" s="335"/>
      <c r="CR326" s="12"/>
      <c r="CS326" s="93">
        <f t="shared" si="320"/>
        <v>0</v>
      </c>
      <c r="CT326" s="93">
        <v>0</v>
      </c>
      <c r="CU326" s="93">
        <v>0</v>
      </c>
      <c r="EW326" s="335"/>
      <c r="EX326" s="13" t="str">
        <f>IF(C326="", "", CONCATENATE(D313, " ",D326))</f>
        <v/>
      </c>
    </row>
    <row r="327" spans="1:154" s="67" customFormat="1" ht="6.6" customHeight="1" x14ac:dyDescent="0.25">
      <c r="C327" s="380"/>
      <c r="D327" s="1"/>
      <c r="S327" s="335"/>
      <c r="T327" s="25"/>
      <c r="U327" s="25"/>
      <c r="V327" s="93"/>
      <c r="BM327" s="6"/>
      <c r="BY327" s="42"/>
      <c r="BZ327" s="335"/>
      <c r="CA327" s="42"/>
      <c r="CB327" s="335"/>
      <c r="CC327" s="335"/>
      <c r="CD327" s="335"/>
      <c r="CE327" s="335"/>
      <c r="CM327" s="335"/>
      <c r="CN327" s="335"/>
      <c r="CO327" s="335"/>
      <c r="CP327" s="335"/>
      <c r="CR327" s="42"/>
      <c r="CS327" s="93">
        <f t="shared" si="320"/>
        <v>0</v>
      </c>
      <c r="CT327" s="93">
        <v>0</v>
      </c>
      <c r="CU327" s="93">
        <v>0</v>
      </c>
      <c r="EW327" s="335"/>
      <c r="EX327" s="13" t="str">
        <f>IF(C327="", "", CONCATENATE(D313, " ",D327))</f>
        <v/>
      </c>
    </row>
    <row r="328" spans="1:154" s="5" customFormat="1" x14ac:dyDescent="0.25">
      <c r="A328" s="362" cm="1">
        <f t="array" aca="1" ref="A328" ca="1">HYPERLINK(CONCATENATE("#",CELL("address",IF(SUM($CA328:$CR328)=0,A328,INDEX($CA328:$CR328,MATCH(1,$CA328:$CR328,0))))),SUM($CA328:$CR328))</f>
        <v>0</v>
      </c>
      <c r="B328" s="335"/>
      <c r="C328" s="340" t="s">
        <v>1287</v>
      </c>
      <c r="D328" s="41" t="s">
        <v>1569</v>
      </c>
      <c r="E328" s="35"/>
      <c r="F328" s="25"/>
      <c r="G328" s="174" t="s">
        <v>413</v>
      </c>
      <c r="H328" s="171" t="s">
        <v>125</v>
      </c>
      <c r="I328" s="25"/>
      <c r="J328" s="25"/>
      <c r="K328" s="25"/>
      <c r="L328" s="25"/>
      <c r="M328" s="25"/>
      <c r="N328" s="25"/>
      <c r="O328" s="25"/>
      <c r="P328" s="25"/>
      <c r="Q328" s="25"/>
      <c r="R328" s="25"/>
      <c r="S328" s="335"/>
      <c r="T328" s="25"/>
      <c r="U328" s="25"/>
      <c r="V328" s="222"/>
      <c r="W328" s="215">
        <f xml:space="preserve"> SUMIFS($AA328:$BJ328, $AA$3:$BJ$3, W$3)</f>
        <v>0</v>
      </c>
      <c r="X328" s="215">
        <f xml:space="preserve"> SUMIFS($AA328:$BJ328, $AA$3:$BJ$3, X$3)</f>
        <v>0</v>
      </c>
      <c r="Y328" s="215">
        <f xml:space="preserve"> SUMIFS($AA328:$BJ328, $AA$3:$BJ$3, Y$3)</f>
        <v>0</v>
      </c>
      <c r="Z328" s="335"/>
      <c r="AA328" s="147"/>
      <c r="AB328" s="147"/>
      <c r="AC328" s="147"/>
      <c r="AD328" s="147"/>
      <c r="AE328" s="147"/>
      <c r="AF328" s="147"/>
      <c r="AG328" s="147"/>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c r="BI328" s="147"/>
      <c r="BJ328" s="147"/>
      <c r="BK328" s="335"/>
      <c r="BL328" s="152">
        <f>V328</f>
        <v>0</v>
      </c>
      <c r="BM328" s="152">
        <f>W328</f>
        <v>0</v>
      </c>
      <c r="BN328" s="152">
        <f>X328</f>
        <v>0</v>
      </c>
      <c r="BO328" s="152">
        <f>Y328</f>
        <v>0</v>
      </c>
      <c r="BP328" s="141"/>
      <c r="BQ328" s="141"/>
      <c r="BR328" s="141"/>
      <c r="BS328" s="141"/>
      <c r="BT328" s="141"/>
      <c r="BU328" s="141"/>
      <c r="BV328" s="141"/>
      <c r="BW328" s="141"/>
      <c r="BX328" s="335"/>
      <c r="BY328" s="12"/>
      <c r="BZ328" s="395">
        <f>IF(MIN($V328:$BW328)&lt;0, 1, 0)</f>
        <v>0</v>
      </c>
      <c r="CA328" s="12"/>
      <c r="CB328" s="335"/>
      <c r="CC328" s="335"/>
      <c r="CD328" s="335"/>
      <c r="CE328" s="335"/>
      <c r="CF328" s="335"/>
      <c r="CG328" s="335"/>
      <c r="CH328" s="335"/>
      <c r="CI328" s="335"/>
      <c r="CJ328" s="335"/>
      <c r="CK328" s="335"/>
      <c r="CL328" s="335"/>
      <c r="CM328" s="7">
        <f>IF(ROUND(W328-SUMIFS($AA328:$BJ328, $AA$3:$BJ$3, W$3), rounding)=0, 0, 1)</f>
        <v>0</v>
      </c>
      <c r="CN328" s="7">
        <f>IF(ROUND(X328-SUMIFS($AA328:$BJ328, $AA$3:$BJ$3, X$3), rounding)=0, 0, 1)</f>
        <v>0</v>
      </c>
      <c r="CO328" s="7">
        <f>IF(ROUND(Y328-SUMIFS($AA328:$BJ328, $AA$3:$BJ$3, Y$3), rounding)=0, 0, 1)</f>
        <v>0</v>
      </c>
      <c r="CP328" s="7">
        <f>IF(ROUND(V328-BL328, rounding)=0, 0, 1)*'BS Forecasts'!$V$10</f>
        <v>0</v>
      </c>
      <c r="CQ328" s="335"/>
      <c r="CR328" s="12"/>
      <c r="CS328" s="93">
        <f t="shared" si="320"/>
        <v>0</v>
      </c>
      <c r="CT328" s="93">
        <v>1</v>
      </c>
      <c r="CU328" s="93">
        <v>1</v>
      </c>
      <c r="EX328" s="13" t="str">
        <f>IF(C328="", "", CONCATENATE(D313, " ",D328))</f>
        <v>Loan 15 Early Repayment Fee</v>
      </c>
    </row>
    <row r="329" spans="1:154" s="335" customFormat="1" ht="6.6" customHeight="1" x14ac:dyDescent="0.25">
      <c r="C329" s="380"/>
      <c r="D329" s="1"/>
      <c r="T329" s="25"/>
      <c r="U329" s="25"/>
      <c r="V329" s="93"/>
      <c r="BM329" s="6"/>
      <c r="BY329" s="42"/>
      <c r="CA329" s="42"/>
      <c r="CR329" s="42"/>
      <c r="CS329" s="93">
        <f t="shared" si="320"/>
        <v>0</v>
      </c>
      <c r="CT329" s="93">
        <v>0</v>
      </c>
      <c r="CU329" s="93">
        <v>0</v>
      </c>
      <c r="EX329" s="13" t="str">
        <f>IF(C329="", "", CONCATENATE(D313, " ",D329))</f>
        <v/>
      </c>
    </row>
    <row r="330" spans="1:154" s="335" customFormat="1" ht="15.75" x14ac:dyDescent="0.3">
      <c r="A330" s="362" cm="1">
        <f t="array" aca="1" ref="A330" ca="1">HYPERLINK(CONCATENATE("#",CELL("address",IF(SUM($CA330:$CR330)=0,A330,INDEX($CA330:$CR330,MATCH(1,$CA330:$CR330,0))))),SUM($CA330:$CR330))</f>
        <v>0</v>
      </c>
      <c r="B330" s="105" t="s">
        <v>335</v>
      </c>
      <c r="D330" s="51" t="s">
        <v>1630</v>
      </c>
      <c r="E330" s="220" t="str">
        <f>IF(I$27="", "", I$27)</f>
        <v/>
      </c>
      <c r="F330" s="220" t="str">
        <f>IF(J$27="", "", J$27)</f>
        <v/>
      </c>
      <c r="T330" s="25"/>
      <c r="U330" s="25"/>
      <c r="V330" s="230">
        <f>IF(AND(OR( V$5&gt;$F330, Timeline!V$8&lt;Loans!$E330), Loans!V328&lt;&gt;0), 1, 0)</f>
        <v>0</v>
      </c>
      <c r="W330" s="230">
        <f>IF(AND(OR( W$5&gt;$F330, Timeline!W$8&lt;Loans!$E330), Loans!W328&lt;&gt;0), 1, 0)</f>
        <v>0</v>
      </c>
      <c r="X330" s="230">
        <f>IF(AND(OR( X$5&gt;$F330, Timeline!X$8&lt;Loans!$E330), Loans!X328&lt;&gt;0), 1, 0)</f>
        <v>0</v>
      </c>
      <c r="Y330" s="230">
        <f>IF(AND(OR( Y$5&gt;$F330, Timeline!Y$8&lt;Loans!$E330), Loans!Y328&lt;&gt;0), 1, 0)</f>
        <v>0</v>
      </c>
      <c r="AA330" s="230">
        <f>IF(AND(OR( AA$5&gt;$F330, Timeline!AA$8&lt;Loans!$E330), Loans!AA328&lt;&gt;0), 1, 0)</f>
        <v>0</v>
      </c>
      <c r="AB330" s="230">
        <f>IF(AND(OR( AB$5&gt;$F330, Timeline!AB$8&lt;Loans!$E330), Loans!AB328&lt;&gt;0), 1, 0)</f>
        <v>0</v>
      </c>
      <c r="AC330" s="230">
        <f>IF(AND(OR( AC$5&gt;$F330, Timeline!AC$8&lt;Loans!$E330), Loans!AC328&lt;&gt;0), 1, 0)</f>
        <v>0</v>
      </c>
      <c r="AD330" s="230">
        <f>IF(AND(OR( AD$5&gt;$F330, Timeline!AD$8&lt;Loans!$E330), Loans!AD328&lt;&gt;0), 1, 0)</f>
        <v>0</v>
      </c>
      <c r="AE330" s="230">
        <f>IF(AND(OR( AE$5&gt;$F330, Timeline!AE$8&lt;Loans!$E330), Loans!AE328&lt;&gt;0), 1, 0)</f>
        <v>0</v>
      </c>
      <c r="AF330" s="230">
        <f>IF(AND(OR( AF$5&gt;$F330, Timeline!AF$8&lt;Loans!$E330), Loans!AF328&lt;&gt;0), 1, 0)</f>
        <v>0</v>
      </c>
      <c r="AG330" s="230">
        <f>IF(AND(OR( AG$5&gt;$F330, Timeline!AG$8&lt;Loans!$E330), Loans!AG328&lt;&gt;0), 1, 0)</f>
        <v>0</v>
      </c>
      <c r="AH330" s="230">
        <f>IF(AND(OR( AH$5&gt;$F330, Timeline!AH$8&lt;Loans!$E330), Loans!AH328&lt;&gt;0), 1, 0)</f>
        <v>0</v>
      </c>
      <c r="AI330" s="230">
        <f>IF(AND(OR( AI$5&gt;$F330, Timeline!AI$8&lt;Loans!$E330), Loans!AI328&lt;&gt;0), 1, 0)</f>
        <v>0</v>
      </c>
      <c r="AJ330" s="230">
        <f>IF(AND(OR( AJ$5&gt;$F330, Timeline!AJ$8&lt;Loans!$E330), Loans!AJ328&lt;&gt;0), 1, 0)</f>
        <v>0</v>
      </c>
      <c r="AK330" s="230">
        <f>IF(AND(OR( AK$5&gt;$F330, Timeline!AK$8&lt;Loans!$E330), Loans!AK328&lt;&gt;0), 1, 0)</f>
        <v>0</v>
      </c>
      <c r="AL330" s="230">
        <f>IF(AND(OR( AL$5&gt;$F330, Timeline!AL$8&lt;Loans!$E330), Loans!AL328&lt;&gt;0), 1, 0)</f>
        <v>0</v>
      </c>
      <c r="AM330" s="230">
        <f>IF(AND(OR( AM$5&gt;$F330, Timeline!AM$8&lt;Loans!$E330), Loans!AM328&lt;&gt;0), 1, 0)</f>
        <v>0</v>
      </c>
      <c r="AN330" s="230">
        <f>IF(AND(OR( AN$5&gt;$F330, Timeline!AN$8&lt;Loans!$E330), Loans!AN328&lt;&gt;0), 1, 0)</f>
        <v>0</v>
      </c>
      <c r="AO330" s="230">
        <f>IF(AND(OR( AO$5&gt;$F330, Timeline!AO$8&lt;Loans!$E330), Loans!AO328&lt;&gt;0), 1, 0)</f>
        <v>0</v>
      </c>
      <c r="AP330" s="230">
        <f>IF(AND(OR( AP$5&gt;$F330, Timeline!AP$8&lt;Loans!$E330), Loans!AP328&lt;&gt;0), 1, 0)</f>
        <v>0</v>
      </c>
      <c r="AQ330" s="230">
        <f>IF(AND(OR( AQ$5&gt;$F330, Timeline!AQ$8&lt;Loans!$E330), Loans!AQ328&lt;&gt;0), 1, 0)</f>
        <v>0</v>
      </c>
      <c r="AR330" s="230">
        <f>IF(AND(OR( AR$5&gt;$F330, Timeline!AR$8&lt;Loans!$E330), Loans!AR328&lt;&gt;0), 1, 0)</f>
        <v>0</v>
      </c>
      <c r="AS330" s="230">
        <f>IF(AND(OR( AS$5&gt;$F330, Timeline!AS$8&lt;Loans!$E330), Loans!AS328&lt;&gt;0), 1, 0)</f>
        <v>0</v>
      </c>
      <c r="AT330" s="230">
        <f>IF(AND(OR( AT$5&gt;$F330, Timeline!AT$8&lt;Loans!$E330), Loans!AT328&lt;&gt;0), 1, 0)</f>
        <v>0</v>
      </c>
      <c r="AU330" s="230">
        <f>IF(AND(OR( AU$5&gt;$F330, Timeline!AU$8&lt;Loans!$E330), Loans!AU328&lt;&gt;0), 1, 0)</f>
        <v>0</v>
      </c>
      <c r="AV330" s="230">
        <f>IF(AND(OR( AV$5&gt;$F330, Timeline!AV$8&lt;Loans!$E330), Loans!AV328&lt;&gt;0), 1, 0)</f>
        <v>0</v>
      </c>
      <c r="AW330" s="230">
        <f>IF(AND(OR( AW$5&gt;$F330, Timeline!AW$8&lt;Loans!$E330), Loans!AW328&lt;&gt;0), 1, 0)</f>
        <v>0</v>
      </c>
      <c r="AX330" s="230">
        <f>IF(AND(OR( AX$5&gt;$F330, Timeline!AX$8&lt;Loans!$E330), Loans!AX328&lt;&gt;0), 1, 0)</f>
        <v>0</v>
      </c>
      <c r="AY330" s="230">
        <f>IF(AND(OR( AY$5&gt;$F330, Timeline!AY$8&lt;Loans!$E330), Loans!AY328&lt;&gt;0), 1, 0)</f>
        <v>0</v>
      </c>
      <c r="AZ330" s="230">
        <f>IF(AND(OR( AZ$5&gt;$F330, Timeline!AZ$8&lt;Loans!$E330), Loans!AZ328&lt;&gt;0), 1, 0)</f>
        <v>0</v>
      </c>
      <c r="BA330" s="230">
        <f>IF(AND(OR( BA$5&gt;$F330, Timeline!BA$8&lt;Loans!$E330), Loans!BA328&lt;&gt;0), 1, 0)</f>
        <v>0</v>
      </c>
      <c r="BB330" s="230">
        <f>IF(AND(OR( BB$5&gt;$F330, Timeline!BB$8&lt;Loans!$E330), Loans!BB328&lt;&gt;0), 1, 0)</f>
        <v>0</v>
      </c>
      <c r="BC330" s="230">
        <f>IF(AND(OR( BC$5&gt;$F330, Timeline!BC$8&lt;Loans!$E330), Loans!BC328&lt;&gt;0), 1, 0)</f>
        <v>0</v>
      </c>
      <c r="BD330" s="230">
        <f>IF(AND(OR( BD$5&gt;$F330, Timeline!BD$8&lt;Loans!$E330), Loans!BD328&lt;&gt;0), 1, 0)</f>
        <v>0</v>
      </c>
      <c r="BE330" s="230">
        <f>IF(AND(OR( BE$5&gt;$F330, Timeline!BE$8&lt;Loans!$E330), Loans!BE328&lt;&gt;0), 1, 0)</f>
        <v>0</v>
      </c>
      <c r="BF330" s="230">
        <f>IF(AND(OR( BF$5&gt;$F330, Timeline!BF$8&lt;Loans!$E330), Loans!BF328&lt;&gt;0), 1, 0)</f>
        <v>0</v>
      </c>
      <c r="BG330" s="230">
        <f>IF(AND(OR( BG$5&gt;$F330, Timeline!BG$8&lt;Loans!$E330), Loans!BG328&lt;&gt;0), 1, 0)</f>
        <v>0</v>
      </c>
      <c r="BH330" s="230">
        <f>IF(AND(OR( BH$5&gt;$F330, Timeline!BH$8&lt;Loans!$E330), Loans!BH328&lt;&gt;0), 1, 0)</f>
        <v>0</v>
      </c>
      <c r="BI330" s="230">
        <f>IF(AND(OR( BI$5&gt;$F330, Timeline!BI$8&lt;Loans!$E330), Loans!BI328&lt;&gt;0), 1, 0)</f>
        <v>0</v>
      </c>
      <c r="BJ330" s="230">
        <f>IF(AND(OR( BJ$5&gt;$F330, Timeline!BJ$8&lt;Loans!$E330), Loans!BJ328&lt;&gt;0), 1, 0)</f>
        <v>0</v>
      </c>
      <c r="BL330" s="230">
        <f>IF(AND(OR( BL$5&gt;$F330, Timeline!BL$8&lt;Loans!$E330), Loans!BL328&lt;&gt;0), 1, 0)</f>
        <v>0</v>
      </c>
      <c r="BM330" s="230">
        <f>IF(AND(OR( BM$5&gt;$F330, Timeline!BM$8&lt;Loans!$E330), Loans!BM328&lt;&gt;0), 1, 0)</f>
        <v>0</v>
      </c>
      <c r="BN330" s="230">
        <f>IF(AND(OR( BN$5&gt;$F330, Timeline!BN$8&lt;Loans!$E330), Loans!BN328&lt;&gt;0), 1, 0)</f>
        <v>0</v>
      </c>
      <c r="BO330" s="230">
        <f>IF(AND(OR( BO$5&gt;$F330, Timeline!BO$8&lt;Loans!$E330), Loans!BO328&lt;&gt;0), 1, 0)</f>
        <v>0</v>
      </c>
      <c r="BP330" s="230">
        <f>IF(AND(OR( BP$5&gt;$F330, Timeline!BP$8&lt;Loans!$E330), Loans!BP328&lt;&gt;0), 1, 0)</f>
        <v>0</v>
      </c>
      <c r="BQ330" s="230">
        <f>IF(AND(OR( BQ$5&gt;$F330, Timeline!BQ$8&lt;Loans!$E330), Loans!BQ328&lt;&gt;0), 1, 0)</f>
        <v>0</v>
      </c>
      <c r="BR330" s="230">
        <f>IF(AND(OR( BR$5&gt;$F330, Timeline!BR$8&lt;Loans!$E330), Loans!BR328&lt;&gt;0), 1, 0)</f>
        <v>0</v>
      </c>
      <c r="BS330" s="230">
        <f>IF(AND(OR( BS$5&gt;$F330, Timeline!BS$8&lt;Loans!$E330), Loans!BS328&lt;&gt;0), 1, 0)</f>
        <v>0</v>
      </c>
      <c r="BT330" s="230">
        <f>IF(AND(OR( BT$5&gt;$F330, Timeline!BT$8&lt;Loans!$E330), Loans!BT328&lt;&gt;0), 1, 0)</f>
        <v>0</v>
      </c>
      <c r="BU330" s="230">
        <f>IF(AND(OR( BU$5&gt;$F330, Timeline!BU$8&lt;Loans!$E330), Loans!BU328&lt;&gt;0), 1, 0)</f>
        <v>0</v>
      </c>
      <c r="BV330" s="230">
        <f>IF(AND(OR( BV$5&gt;$F330, Timeline!BV$8&lt;Loans!$E330), Loans!BV328&lt;&gt;0), 1, 0)</f>
        <v>0</v>
      </c>
      <c r="BW330" s="230">
        <f>IF(AND(OR( BW$5&gt;$F330, Timeline!BW$8&lt;Loans!$E330), Loans!BW328&lt;&gt;0), 1, 0)</f>
        <v>0</v>
      </c>
      <c r="BY330" s="12"/>
      <c r="CA330" s="12"/>
      <c r="CL330" s="7">
        <f>IF(MAX($V330:$BW330)&gt;0, 1, 0)</f>
        <v>0</v>
      </c>
      <c r="CR330" s="12"/>
      <c r="CS330" s="93">
        <f t="shared" si="320"/>
        <v>1</v>
      </c>
      <c r="CT330" s="93">
        <v>0</v>
      </c>
      <c r="CU330" s="93">
        <v>0</v>
      </c>
      <c r="EX330" s="13" t="str">
        <f>IF(C330="", "", CONCATENATE(D313, " ",D330))</f>
        <v/>
      </c>
    </row>
    <row r="331" spans="1:154" s="335" customFormat="1" ht="6.6" customHeight="1" x14ac:dyDescent="0.25">
      <c r="C331" s="380"/>
      <c r="D331" s="1"/>
      <c r="T331" s="25"/>
      <c r="U331" s="25"/>
      <c r="V331" s="93"/>
      <c r="BM331" s="6"/>
      <c r="BY331" s="42"/>
      <c r="CA331" s="42"/>
      <c r="CR331" s="42"/>
      <c r="CS331" s="93">
        <f t="shared" si="320"/>
        <v>0</v>
      </c>
      <c r="CT331" s="93">
        <v>0</v>
      </c>
      <c r="CU331" s="93">
        <v>0</v>
      </c>
      <c r="EX331" s="10" t="str">
        <f t="shared" ref="EX331" si="343">IF($C331="","",$D331)</f>
        <v/>
      </c>
    </row>
    <row r="332" spans="1:154" s="67" customFormat="1" x14ac:dyDescent="0.25">
      <c r="A332" s="64"/>
      <c r="C332" s="380"/>
      <c r="D332" s="64" t="s">
        <v>205</v>
      </c>
      <c r="E332" s="64"/>
      <c r="F332" s="172"/>
      <c r="G332" s="64"/>
      <c r="H332" s="64"/>
      <c r="I332" s="64"/>
      <c r="L332" s="64"/>
      <c r="M332" s="64"/>
      <c r="N332" s="64"/>
      <c r="O332" s="64"/>
      <c r="P332" s="64"/>
      <c r="Q332" s="64"/>
      <c r="S332" s="335"/>
      <c r="T332" s="25"/>
      <c r="U332" s="25"/>
      <c r="V332" s="93"/>
      <c r="BY332" s="12"/>
      <c r="BZ332" s="335"/>
      <c r="CA332" s="12"/>
      <c r="CB332" s="335"/>
      <c r="CC332" s="335"/>
      <c r="CD332" s="335"/>
      <c r="CE332" s="335"/>
      <c r="CM332" s="335"/>
      <c r="CN332" s="335"/>
      <c r="CO332" s="335"/>
      <c r="CP332" s="335"/>
      <c r="CR332" s="12"/>
      <c r="CS332" s="93">
        <f t="shared" si="320"/>
        <v>0</v>
      </c>
      <c r="CT332" s="93">
        <v>0</v>
      </c>
      <c r="CU332" s="93">
        <v>0</v>
      </c>
      <c r="EW332" s="335"/>
      <c r="EX332" s="10" t="str">
        <f t="shared" si="306"/>
        <v/>
      </c>
    </row>
    <row r="333" spans="1:154" s="67" customFormat="1" x14ac:dyDescent="0.25">
      <c r="C333" s="340" t="s">
        <v>1388</v>
      </c>
      <c r="D333" s="51" t="s">
        <v>230</v>
      </c>
      <c r="E333" s="1"/>
      <c r="F333" s="25"/>
      <c r="G333" s="9" t="s">
        <v>413</v>
      </c>
      <c r="H333" s="50" t="s">
        <v>8</v>
      </c>
      <c r="S333" s="335"/>
      <c r="T333" s="25"/>
      <c r="U333" s="25"/>
      <c r="V333" s="222"/>
      <c r="W333" s="201">
        <f>V337</f>
        <v>0</v>
      </c>
      <c r="X333" s="201">
        <f>W337</f>
        <v>0</v>
      </c>
      <c r="Y333" s="10">
        <f>X337</f>
        <v>0</v>
      </c>
      <c r="AA333" s="13">
        <f>W333</f>
        <v>0</v>
      </c>
      <c r="AB333" s="153">
        <f t="shared" ref="AB333:BJ333" si="344">AA337</f>
        <v>0</v>
      </c>
      <c r="AC333" s="153">
        <f t="shared" si="344"/>
        <v>0</v>
      </c>
      <c r="AD333" s="153">
        <f t="shared" si="344"/>
        <v>0</v>
      </c>
      <c r="AE333" s="153">
        <f t="shared" si="344"/>
        <v>0</v>
      </c>
      <c r="AF333" s="153">
        <f t="shared" si="344"/>
        <v>0</v>
      </c>
      <c r="AG333" s="153">
        <f t="shared" si="344"/>
        <v>0</v>
      </c>
      <c r="AH333" s="153">
        <f t="shared" si="344"/>
        <v>0</v>
      </c>
      <c r="AI333" s="153">
        <f t="shared" si="344"/>
        <v>0</v>
      </c>
      <c r="AJ333" s="153">
        <f t="shared" si="344"/>
        <v>0</v>
      </c>
      <c r="AK333" s="153">
        <f t="shared" si="344"/>
        <v>0</v>
      </c>
      <c r="AL333" s="153">
        <f t="shared" si="344"/>
        <v>0</v>
      </c>
      <c r="AM333" s="153">
        <f t="shared" si="344"/>
        <v>0</v>
      </c>
      <c r="AN333" s="153">
        <f t="shared" si="344"/>
        <v>0</v>
      </c>
      <c r="AO333" s="153">
        <f t="shared" si="344"/>
        <v>0</v>
      </c>
      <c r="AP333" s="153">
        <f t="shared" si="344"/>
        <v>0</v>
      </c>
      <c r="AQ333" s="153">
        <f t="shared" si="344"/>
        <v>0</v>
      </c>
      <c r="AR333" s="153">
        <f t="shared" si="344"/>
        <v>0</v>
      </c>
      <c r="AS333" s="153">
        <f t="shared" si="344"/>
        <v>0</v>
      </c>
      <c r="AT333" s="153">
        <f t="shared" si="344"/>
        <v>0</v>
      </c>
      <c r="AU333" s="153">
        <f t="shared" si="344"/>
        <v>0</v>
      </c>
      <c r="AV333" s="153">
        <f t="shared" si="344"/>
        <v>0</v>
      </c>
      <c r="AW333" s="153">
        <f t="shared" si="344"/>
        <v>0</v>
      </c>
      <c r="AX333" s="153">
        <f t="shared" si="344"/>
        <v>0</v>
      </c>
      <c r="AY333" s="153">
        <f t="shared" si="344"/>
        <v>0</v>
      </c>
      <c r="AZ333" s="153">
        <f t="shared" si="344"/>
        <v>0</v>
      </c>
      <c r="BA333" s="153">
        <f t="shared" si="344"/>
        <v>0</v>
      </c>
      <c r="BB333" s="153">
        <f t="shared" si="344"/>
        <v>0</v>
      </c>
      <c r="BC333" s="153">
        <f t="shared" si="344"/>
        <v>0</v>
      </c>
      <c r="BD333" s="153">
        <f t="shared" si="344"/>
        <v>0</v>
      </c>
      <c r="BE333" s="153">
        <f t="shared" si="344"/>
        <v>0</v>
      </c>
      <c r="BF333" s="153">
        <f t="shared" si="344"/>
        <v>0</v>
      </c>
      <c r="BG333" s="153">
        <f t="shared" si="344"/>
        <v>0</v>
      </c>
      <c r="BH333" s="153">
        <f t="shared" si="344"/>
        <v>0</v>
      </c>
      <c r="BI333" s="153">
        <f t="shared" si="344"/>
        <v>0</v>
      </c>
      <c r="BJ333" s="153">
        <f t="shared" si="344"/>
        <v>0</v>
      </c>
      <c r="BL333" s="152">
        <f t="shared" ref="BL333:BO337" si="345">V333</f>
        <v>0</v>
      </c>
      <c r="BM333" s="152">
        <f t="shared" si="345"/>
        <v>0</v>
      </c>
      <c r="BN333" s="152">
        <f t="shared" si="345"/>
        <v>0</v>
      </c>
      <c r="BO333" s="152">
        <f t="shared" si="345"/>
        <v>0</v>
      </c>
      <c r="BP333" s="153">
        <f t="shared" ref="BP333:BW333" si="346">BO337</f>
        <v>0</v>
      </c>
      <c r="BQ333" s="153">
        <f t="shared" si="346"/>
        <v>0</v>
      </c>
      <c r="BR333" s="153">
        <f t="shared" si="346"/>
        <v>0</v>
      </c>
      <c r="BS333" s="153">
        <f t="shared" si="346"/>
        <v>0</v>
      </c>
      <c r="BT333" s="153">
        <f t="shared" si="346"/>
        <v>0</v>
      </c>
      <c r="BU333" s="153">
        <f t="shared" si="346"/>
        <v>0</v>
      </c>
      <c r="BV333" s="153">
        <f t="shared" si="346"/>
        <v>0</v>
      </c>
      <c r="BW333" s="153">
        <f t="shared" si="346"/>
        <v>0</v>
      </c>
      <c r="BY333" s="12"/>
      <c r="BZ333" s="335"/>
      <c r="CA333" s="12"/>
      <c r="CB333" s="335"/>
      <c r="CC333" s="335"/>
      <c r="CD333" s="335"/>
      <c r="CE333" s="335"/>
      <c r="CM333" s="335"/>
      <c r="CN333" s="335"/>
      <c r="CO333" s="335"/>
      <c r="CP333" s="335"/>
      <c r="CR333" s="12"/>
      <c r="CS333" s="93">
        <f t="shared" si="320"/>
        <v>0</v>
      </c>
      <c r="CT333" s="93">
        <v>1</v>
      </c>
      <c r="CU333" s="93">
        <v>0</v>
      </c>
      <c r="EW333" s="335"/>
      <c r="EX333" s="13" t="str">
        <f>IF(C333="", "", CONCATENATE(D332, " ",D333))</f>
        <v>Loan 16 Opening Loan Balance</v>
      </c>
    </row>
    <row r="334" spans="1:154" s="5" customFormat="1" x14ac:dyDescent="0.25">
      <c r="A334" s="362" cm="1">
        <f t="array" aca="1" ref="A334" ca="1">HYPERLINK(CONCATENATE("#",CELL("address",IF(SUM($CA334:$CR334)=0,A334,INDEX($CA334:$CR334,MATCH(1,$CA334:$CR334,0))))),SUM($CA334:$CR334))</f>
        <v>0</v>
      </c>
      <c r="B334" s="67"/>
      <c r="C334" s="340" t="s">
        <v>1245</v>
      </c>
      <c r="D334" s="51" t="s">
        <v>219</v>
      </c>
      <c r="E334" s="1"/>
      <c r="F334" s="67"/>
      <c r="G334" s="9" t="s">
        <v>413</v>
      </c>
      <c r="H334" s="50" t="s">
        <v>125</v>
      </c>
      <c r="I334" s="67"/>
      <c r="J334" s="67"/>
      <c r="K334" s="67"/>
      <c r="L334" s="67"/>
      <c r="M334" s="67"/>
      <c r="N334" s="67"/>
      <c r="O334" s="67"/>
      <c r="P334" s="67"/>
      <c r="Q334" s="67"/>
      <c r="R334" s="67"/>
      <c r="S334" s="335"/>
      <c r="T334" s="25"/>
      <c r="U334" s="25"/>
      <c r="V334" s="210"/>
      <c r="W334" s="215">
        <f t="shared" ref="W334:Y336" si="347" xml:space="preserve"> SUMIFS($AA334:$BJ334, $AA$3:$BJ$3, W$3)</f>
        <v>0</v>
      </c>
      <c r="X334" s="215">
        <f t="shared" si="347"/>
        <v>0</v>
      </c>
      <c r="Y334" s="215">
        <f t="shared" si="347"/>
        <v>0</v>
      </c>
      <c r="Z334" s="67"/>
      <c r="AA334" s="147"/>
      <c r="AB334" s="147"/>
      <c r="AC334" s="147"/>
      <c r="AD334" s="147"/>
      <c r="AE334" s="147"/>
      <c r="AF334" s="147"/>
      <c r="AG334" s="147"/>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c r="BI334" s="147"/>
      <c r="BJ334" s="147"/>
      <c r="BK334" s="67"/>
      <c r="BL334" s="13">
        <f t="shared" si="345"/>
        <v>0</v>
      </c>
      <c r="BM334" s="13">
        <f t="shared" si="345"/>
        <v>0</v>
      </c>
      <c r="BN334" s="13">
        <f t="shared" si="345"/>
        <v>0</v>
      </c>
      <c r="BO334" s="13">
        <f t="shared" si="345"/>
        <v>0</v>
      </c>
      <c r="BP334" s="141"/>
      <c r="BQ334" s="141"/>
      <c r="BR334" s="141"/>
      <c r="BS334" s="141"/>
      <c r="BT334" s="141"/>
      <c r="BU334" s="141"/>
      <c r="BV334" s="141"/>
      <c r="BW334" s="141"/>
      <c r="BX334" s="67"/>
      <c r="BY334" s="12"/>
      <c r="BZ334" s="395">
        <f>IF(MIN($V334:$BW334)&lt;0, 1, 0)</f>
        <v>0</v>
      </c>
      <c r="CA334" s="12"/>
      <c r="CB334" s="335"/>
      <c r="CC334" s="335"/>
      <c r="CD334" s="335"/>
      <c r="CE334" s="335"/>
      <c r="CF334" s="67"/>
      <c r="CG334" s="67"/>
      <c r="CH334" s="67"/>
      <c r="CI334" s="67"/>
      <c r="CJ334" s="67"/>
      <c r="CK334" s="67"/>
      <c r="CL334" s="67"/>
      <c r="CM334" s="7">
        <f t="shared" ref="CM334:CO336" si="348">IF(ROUND(W334-SUMIFS($AA334:$BJ334, $AA$3:$BJ$3, W$3), rounding)=0, 0, 1)</f>
        <v>0</v>
      </c>
      <c r="CN334" s="7">
        <f t="shared" si="348"/>
        <v>0</v>
      </c>
      <c r="CO334" s="7">
        <f t="shared" si="348"/>
        <v>0</v>
      </c>
      <c r="CP334" s="7">
        <f>IF(ROUND(V334-BL334, rounding)=0, 0, 1)*'BS Forecasts'!$V$10</f>
        <v>0</v>
      </c>
      <c r="CQ334" s="67"/>
      <c r="CR334" s="12"/>
      <c r="CS334" s="93">
        <f t="shared" si="320"/>
        <v>0</v>
      </c>
      <c r="CT334" s="93">
        <v>1</v>
      </c>
      <c r="CU334" s="93">
        <v>1</v>
      </c>
      <c r="EX334" s="13" t="str">
        <f>IF(C334="", "", CONCATENATE(D332, " ",D334))</f>
        <v>Loan 16 Drawdowns</v>
      </c>
    </row>
    <row r="335" spans="1:154" s="67" customFormat="1" x14ac:dyDescent="0.25">
      <c r="A335" s="362" cm="1">
        <f t="array" aca="1" ref="A335" ca="1">HYPERLINK(CONCATENATE("#",CELL("address",IF(SUM($CA335:$CR335)=0,A335,INDEX($CA335:$CR335,MATCH(1,$CA335:$CR335,0))))),SUM($CA335:$CR335))</f>
        <v>0</v>
      </c>
      <c r="C335" s="340" t="s">
        <v>1246</v>
      </c>
      <c r="D335" s="41" t="s">
        <v>1570</v>
      </c>
      <c r="E335" s="1"/>
      <c r="G335" s="9" t="s">
        <v>413</v>
      </c>
      <c r="H335" s="50" t="s">
        <v>157</v>
      </c>
      <c r="S335" s="335"/>
      <c r="T335" s="25"/>
      <c r="U335" s="25"/>
      <c r="V335" s="210"/>
      <c r="W335" s="215">
        <f t="shared" si="347"/>
        <v>0</v>
      </c>
      <c r="X335" s="215">
        <f t="shared" si="347"/>
        <v>0</v>
      </c>
      <c r="Y335" s="215">
        <f t="shared" si="347"/>
        <v>0</v>
      </c>
      <c r="AA335" s="147"/>
      <c r="AB335" s="147"/>
      <c r="AC335" s="147"/>
      <c r="AD335" s="147"/>
      <c r="AE335" s="147"/>
      <c r="AF335" s="147"/>
      <c r="AG335" s="147"/>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c r="BI335" s="147"/>
      <c r="BJ335" s="147"/>
      <c r="BL335" s="13">
        <f t="shared" si="345"/>
        <v>0</v>
      </c>
      <c r="BM335" s="13">
        <f t="shared" si="345"/>
        <v>0</v>
      </c>
      <c r="BN335" s="13">
        <f t="shared" si="345"/>
        <v>0</v>
      </c>
      <c r="BO335" s="13">
        <f t="shared" si="345"/>
        <v>0</v>
      </c>
      <c r="BP335" s="141"/>
      <c r="BQ335" s="141"/>
      <c r="BR335" s="141"/>
      <c r="BS335" s="141"/>
      <c r="BT335" s="141"/>
      <c r="BU335" s="141"/>
      <c r="BV335" s="141"/>
      <c r="BW335" s="141"/>
      <c r="BY335" s="12"/>
      <c r="BZ335" s="395">
        <f>IF(MAX($V335:$BW335)&gt;0, 1, 0)</f>
        <v>0</v>
      </c>
      <c r="CA335" s="12"/>
      <c r="CB335" s="335"/>
      <c r="CC335" s="335"/>
      <c r="CD335" s="335"/>
      <c r="CE335" s="335"/>
      <c r="CM335" s="7">
        <f t="shared" si="348"/>
        <v>0</v>
      </c>
      <c r="CN335" s="7">
        <f t="shared" si="348"/>
        <v>0</v>
      </c>
      <c r="CO335" s="7">
        <f t="shared" si="348"/>
        <v>0</v>
      </c>
      <c r="CP335" s="7">
        <f>IF(ROUND(V335-BL335, rounding)=0, 0, 1)*'BS Forecasts'!$V$10</f>
        <v>0</v>
      </c>
      <c r="CR335" s="12"/>
      <c r="CS335" s="93">
        <f t="shared" si="320"/>
        <v>0</v>
      </c>
      <c r="CT335" s="93">
        <v>1</v>
      </c>
      <c r="CU335" s="93">
        <v>1</v>
      </c>
      <c r="EW335" s="335"/>
      <c r="EX335" s="13" t="str">
        <f>IF(C335="", "", CONCATENATE(D332, " ",D335))</f>
        <v>Loan 16 Loan Capital Repayment (as per loan agreement)</v>
      </c>
    </row>
    <row r="336" spans="1:154" s="335" customFormat="1" x14ac:dyDescent="0.25">
      <c r="A336" s="362" cm="1">
        <f t="array" aca="1" ref="A336" ca="1">HYPERLINK(CONCATENATE("#",CELL("address",IF(SUM($CA336:$CR336)=0,A336,INDEX($CA336:$CR336,MATCH(1,$CA336:$CR336,0))))),SUM($CA336:$CR336))</f>
        <v>0</v>
      </c>
      <c r="C336" s="340" t="s">
        <v>1577</v>
      </c>
      <c r="D336" s="41" t="s">
        <v>1571</v>
      </c>
      <c r="E336" s="1"/>
      <c r="G336" s="9" t="s">
        <v>413</v>
      </c>
      <c r="H336" s="50" t="s">
        <v>157</v>
      </c>
      <c r="T336" s="25"/>
      <c r="U336" s="25"/>
      <c r="V336" s="210"/>
      <c r="W336" s="215">
        <f t="shared" si="347"/>
        <v>0</v>
      </c>
      <c r="X336" s="215">
        <f t="shared" si="347"/>
        <v>0</v>
      </c>
      <c r="Y336" s="215">
        <f t="shared" si="347"/>
        <v>0</v>
      </c>
      <c r="AA336" s="147"/>
      <c r="AB336" s="147"/>
      <c r="AC336" s="147"/>
      <c r="AD336" s="147"/>
      <c r="AE336" s="147"/>
      <c r="AF336" s="147"/>
      <c r="AG336" s="147"/>
      <c r="AH336" s="147"/>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c r="BI336" s="147"/>
      <c r="BJ336" s="147"/>
      <c r="BL336" s="13">
        <f t="shared" si="345"/>
        <v>0</v>
      </c>
      <c r="BM336" s="13">
        <f t="shared" si="345"/>
        <v>0</v>
      </c>
      <c r="BN336" s="13">
        <f t="shared" si="345"/>
        <v>0</v>
      </c>
      <c r="BO336" s="13">
        <f t="shared" si="345"/>
        <v>0</v>
      </c>
      <c r="BP336" s="141"/>
      <c r="BQ336" s="141"/>
      <c r="BR336" s="141"/>
      <c r="BS336" s="141"/>
      <c r="BT336" s="141"/>
      <c r="BU336" s="141"/>
      <c r="BV336" s="141"/>
      <c r="BW336" s="141"/>
      <c r="BY336" s="12"/>
      <c r="BZ336" s="395">
        <f>IF(MAX($V336:$BW336)&gt;0, 1, 0)</f>
        <v>0</v>
      </c>
      <c r="CA336" s="12"/>
      <c r="CM336" s="7">
        <f t="shared" si="348"/>
        <v>0</v>
      </c>
      <c r="CN336" s="7">
        <f t="shared" si="348"/>
        <v>0</v>
      </c>
      <c r="CO336" s="7">
        <f t="shared" si="348"/>
        <v>0</v>
      </c>
      <c r="CP336" s="7">
        <f>IF(ROUND(V336-BL336, rounding)=0, 0, 1)*'BS Forecasts'!$V$10</f>
        <v>0</v>
      </c>
      <c r="CR336" s="12"/>
      <c r="CS336" s="93">
        <f t="shared" si="320"/>
        <v>0</v>
      </c>
      <c r="CT336" s="93">
        <v>1</v>
      </c>
      <c r="CU336" s="93">
        <v>1</v>
      </c>
      <c r="EX336" s="13" t="str">
        <f>IF(C336="", "", CONCATENATE(D332, " ",D336))</f>
        <v xml:space="preserve">Loan 16 Early Repayment </v>
      </c>
    </row>
    <row r="337" spans="1:154" s="67" customFormat="1" x14ac:dyDescent="0.25">
      <c r="C337" s="340" t="s">
        <v>1368</v>
      </c>
      <c r="D337" s="51" t="s">
        <v>231</v>
      </c>
      <c r="E337" s="1"/>
      <c r="G337" s="9" t="s">
        <v>413</v>
      </c>
      <c r="H337" s="50" t="s">
        <v>8</v>
      </c>
      <c r="S337" s="335"/>
      <c r="T337" s="25"/>
      <c r="U337" s="25"/>
      <c r="V337" s="13">
        <f>$G$28</f>
        <v>0</v>
      </c>
      <c r="W337" s="153">
        <f>SUM(W333:W336)</f>
        <v>0</v>
      </c>
      <c r="X337" s="153">
        <f t="shared" ref="X337:BJ337" si="349">SUM(X333:X336)</f>
        <v>0</v>
      </c>
      <c r="Y337" s="153">
        <f t="shared" si="349"/>
        <v>0</v>
      </c>
      <c r="Z337" s="335"/>
      <c r="AA337" s="153">
        <f t="shared" si="349"/>
        <v>0</v>
      </c>
      <c r="AB337" s="153">
        <f t="shared" si="349"/>
        <v>0</v>
      </c>
      <c r="AC337" s="153">
        <f t="shared" si="349"/>
        <v>0</v>
      </c>
      <c r="AD337" s="153">
        <f t="shared" si="349"/>
        <v>0</v>
      </c>
      <c r="AE337" s="153">
        <f t="shared" si="349"/>
        <v>0</v>
      </c>
      <c r="AF337" s="153">
        <f t="shared" si="349"/>
        <v>0</v>
      </c>
      <c r="AG337" s="153">
        <f t="shared" si="349"/>
        <v>0</v>
      </c>
      <c r="AH337" s="153">
        <f t="shared" si="349"/>
        <v>0</v>
      </c>
      <c r="AI337" s="153">
        <f t="shared" si="349"/>
        <v>0</v>
      </c>
      <c r="AJ337" s="153">
        <f t="shared" si="349"/>
        <v>0</v>
      </c>
      <c r="AK337" s="153">
        <f t="shared" si="349"/>
        <v>0</v>
      </c>
      <c r="AL337" s="153">
        <f t="shared" si="349"/>
        <v>0</v>
      </c>
      <c r="AM337" s="153">
        <f t="shared" si="349"/>
        <v>0</v>
      </c>
      <c r="AN337" s="153">
        <f t="shared" si="349"/>
        <v>0</v>
      </c>
      <c r="AO337" s="153">
        <f t="shared" si="349"/>
        <v>0</v>
      </c>
      <c r="AP337" s="153">
        <f t="shared" si="349"/>
        <v>0</v>
      </c>
      <c r="AQ337" s="153">
        <f t="shared" si="349"/>
        <v>0</v>
      </c>
      <c r="AR337" s="153">
        <f t="shared" si="349"/>
        <v>0</v>
      </c>
      <c r="AS337" s="153">
        <f t="shared" si="349"/>
        <v>0</v>
      </c>
      <c r="AT337" s="153">
        <f t="shared" si="349"/>
        <v>0</v>
      </c>
      <c r="AU337" s="153">
        <f t="shared" si="349"/>
        <v>0</v>
      </c>
      <c r="AV337" s="153">
        <f t="shared" si="349"/>
        <v>0</v>
      </c>
      <c r="AW337" s="153">
        <f t="shared" si="349"/>
        <v>0</v>
      </c>
      <c r="AX337" s="153">
        <f t="shared" si="349"/>
        <v>0</v>
      </c>
      <c r="AY337" s="153">
        <f t="shared" si="349"/>
        <v>0</v>
      </c>
      <c r="AZ337" s="153">
        <f t="shared" si="349"/>
        <v>0</v>
      </c>
      <c r="BA337" s="153">
        <f t="shared" si="349"/>
        <v>0</v>
      </c>
      <c r="BB337" s="153">
        <f t="shared" si="349"/>
        <v>0</v>
      </c>
      <c r="BC337" s="153">
        <f t="shared" si="349"/>
        <v>0</v>
      </c>
      <c r="BD337" s="153">
        <f t="shared" si="349"/>
        <v>0</v>
      </c>
      <c r="BE337" s="153">
        <f t="shared" si="349"/>
        <v>0</v>
      </c>
      <c r="BF337" s="153">
        <f t="shared" si="349"/>
        <v>0</v>
      </c>
      <c r="BG337" s="153">
        <f t="shared" si="349"/>
        <v>0</v>
      </c>
      <c r="BH337" s="153">
        <f t="shared" si="349"/>
        <v>0</v>
      </c>
      <c r="BI337" s="153">
        <f t="shared" si="349"/>
        <v>0</v>
      </c>
      <c r="BJ337" s="153">
        <f t="shared" si="349"/>
        <v>0</v>
      </c>
      <c r="BL337" s="152">
        <f t="shared" si="345"/>
        <v>0</v>
      </c>
      <c r="BM337" s="152">
        <f t="shared" si="345"/>
        <v>0</v>
      </c>
      <c r="BN337" s="152">
        <f t="shared" si="345"/>
        <v>0</v>
      </c>
      <c r="BO337" s="152">
        <f t="shared" si="345"/>
        <v>0</v>
      </c>
      <c r="BP337" s="153">
        <f t="shared" ref="BP337" si="350">SUM(BP333:BP336)</f>
        <v>0</v>
      </c>
      <c r="BQ337" s="153">
        <f t="shared" ref="BQ337" si="351">SUM(BQ333:BQ336)</f>
        <v>0</v>
      </c>
      <c r="BR337" s="153">
        <f t="shared" ref="BR337" si="352">SUM(BR333:BR336)</f>
        <v>0</v>
      </c>
      <c r="BS337" s="153">
        <f t="shared" ref="BS337" si="353">SUM(BS333:BS336)</f>
        <v>0</v>
      </c>
      <c r="BT337" s="153">
        <f t="shared" ref="BT337" si="354">SUM(BT333:BT336)</f>
        <v>0</v>
      </c>
      <c r="BU337" s="153">
        <f t="shared" ref="BU337" si="355">SUM(BU333:BU336)</f>
        <v>0</v>
      </c>
      <c r="BV337" s="153">
        <f t="shared" ref="BV337" si="356">SUM(BV333:BV336)</f>
        <v>0</v>
      </c>
      <c r="BW337" s="153">
        <f t="shared" ref="BW337" si="357">SUM(BW333:BW336)</f>
        <v>0</v>
      </c>
      <c r="BY337" s="12"/>
      <c r="BZ337" s="335"/>
      <c r="CA337" s="12"/>
      <c r="CB337" s="335"/>
      <c r="CC337" s="335"/>
      <c r="CD337" s="335"/>
      <c r="CE337" s="335"/>
      <c r="CM337" s="335"/>
      <c r="CN337" s="335"/>
      <c r="CO337" s="335"/>
      <c r="CP337" s="335"/>
      <c r="CR337" s="12"/>
      <c r="CS337" s="93">
        <f t="shared" si="320"/>
        <v>0</v>
      </c>
      <c r="CT337" s="93">
        <v>0</v>
      </c>
      <c r="CU337" s="93">
        <v>0</v>
      </c>
      <c r="EW337" s="335"/>
      <c r="EX337" s="13" t="str">
        <f>IF(C337="", "", CONCATENATE(D332, " ",D337))</f>
        <v>Loan 16 Closing Loan Balance</v>
      </c>
    </row>
    <row r="338" spans="1:154" s="67" customFormat="1" ht="6.6" customHeight="1" x14ac:dyDescent="0.25">
      <c r="C338" s="380"/>
      <c r="D338" s="1"/>
      <c r="S338" s="335"/>
      <c r="T338" s="25"/>
      <c r="U338" s="25"/>
      <c r="V338" s="229"/>
      <c r="W338" s="25"/>
      <c r="X338" s="25"/>
      <c r="Y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L338" s="25"/>
      <c r="BM338" s="155"/>
      <c r="BN338" s="25"/>
      <c r="BO338" s="25"/>
      <c r="BP338" s="25"/>
      <c r="BQ338" s="25"/>
      <c r="BR338" s="25"/>
      <c r="BS338" s="25"/>
      <c r="BT338" s="25"/>
      <c r="BU338" s="25"/>
      <c r="BV338" s="25"/>
      <c r="BW338" s="25"/>
      <c r="BY338" s="42"/>
      <c r="BZ338" s="335"/>
      <c r="CA338" s="42"/>
      <c r="CB338" s="335"/>
      <c r="CC338" s="335"/>
      <c r="CD338" s="335"/>
      <c r="CE338" s="335"/>
      <c r="CM338" s="335"/>
      <c r="CN338" s="335"/>
      <c r="CO338" s="335"/>
      <c r="CP338" s="335"/>
      <c r="CR338" s="42"/>
      <c r="CS338" s="93">
        <f t="shared" si="320"/>
        <v>0</v>
      </c>
      <c r="CT338" s="93">
        <v>0</v>
      </c>
      <c r="CU338" s="93">
        <v>0</v>
      </c>
      <c r="EW338" s="335"/>
      <c r="EX338" s="13" t="str">
        <f>IF(C338="", "", CONCATENATE(D332, " ",D338))</f>
        <v/>
      </c>
    </row>
    <row r="339" spans="1:154" s="67" customFormat="1" x14ac:dyDescent="0.25">
      <c r="A339" s="362" cm="1">
        <f t="array" aca="1" ref="A339" ca="1">HYPERLINK(CONCATENATE("#",CELL("address",IF(SUM($CA339:$CR339)=0,A339,INDEX($CA339:$CR339,MATCH(1,$CA339:$CR339,0))))),SUM($CA339:$CR339))</f>
        <v>0</v>
      </c>
      <c r="C339" s="380"/>
      <c r="D339" s="51" t="s">
        <v>526</v>
      </c>
      <c r="E339" s="160" t="s">
        <v>523</v>
      </c>
      <c r="F339" s="153">
        <f>$F$28</f>
        <v>0</v>
      </c>
      <c r="S339" s="335"/>
      <c r="T339" s="25"/>
      <c r="U339" s="25"/>
      <c r="V339" s="230">
        <f>IF(OR(V337&gt;$F339, V337&lt;0), 1, 0)</f>
        <v>0</v>
      </c>
      <c r="W339" s="154">
        <f>IF(OR(W337&gt;$F339, W337&lt;0), 1, 0)</f>
        <v>0</v>
      </c>
      <c r="X339" s="154">
        <f>IF(OR(X337&gt;$F339, X337&lt;0), 1, 0)</f>
        <v>0</v>
      </c>
      <c r="Y339" s="154">
        <f>IF(OR(Y337&gt;$F339, Y337&lt;0), 1, 0)</f>
        <v>0</v>
      </c>
      <c r="AA339" s="154">
        <f t="shared" ref="AA339:BJ339" si="358">IF(OR(AA337&gt;$F339, AA337&lt;0), 1, 0)</f>
        <v>0</v>
      </c>
      <c r="AB339" s="154">
        <f t="shared" si="358"/>
        <v>0</v>
      </c>
      <c r="AC339" s="154">
        <f t="shared" si="358"/>
        <v>0</v>
      </c>
      <c r="AD339" s="154">
        <f t="shared" si="358"/>
        <v>0</v>
      </c>
      <c r="AE339" s="154">
        <f t="shared" si="358"/>
        <v>0</v>
      </c>
      <c r="AF339" s="154">
        <f t="shared" si="358"/>
        <v>0</v>
      </c>
      <c r="AG339" s="154">
        <f t="shared" si="358"/>
        <v>0</v>
      </c>
      <c r="AH339" s="154">
        <f t="shared" si="358"/>
        <v>0</v>
      </c>
      <c r="AI339" s="154">
        <f t="shared" si="358"/>
        <v>0</v>
      </c>
      <c r="AJ339" s="154">
        <f t="shared" si="358"/>
        <v>0</v>
      </c>
      <c r="AK339" s="154">
        <f t="shared" si="358"/>
        <v>0</v>
      </c>
      <c r="AL339" s="154">
        <f t="shared" si="358"/>
        <v>0</v>
      </c>
      <c r="AM339" s="154">
        <f t="shared" si="358"/>
        <v>0</v>
      </c>
      <c r="AN339" s="154">
        <f t="shared" si="358"/>
        <v>0</v>
      </c>
      <c r="AO339" s="154">
        <f t="shared" si="358"/>
        <v>0</v>
      </c>
      <c r="AP339" s="154">
        <f t="shared" si="358"/>
        <v>0</v>
      </c>
      <c r="AQ339" s="154">
        <f t="shared" si="358"/>
        <v>0</v>
      </c>
      <c r="AR339" s="154">
        <f t="shared" si="358"/>
        <v>0</v>
      </c>
      <c r="AS339" s="154">
        <f t="shared" si="358"/>
        <v>0</v>
      </c>
      <c r="AT339" s="154">
        <f t="shared" si="358"/>
        <v>0</v>
      </c>
      <c r="AU339" s="154">
        <f t="shared" si="358"/>
        <v>0</v>
      </c>
      <c r="AV339" s="154">
        <f t="shared" si="358"/>
        <v>0</v>
      </c>
      <c r="AW339" s="154">
        <f t="shared" si="358"/>
        <v>0</v>
      </c>
      <c r="AX339" s="154">
        <f t="shared" si="358"/>
        <v>0</v>
      </c>
      <c r="AY339" s="154">
        <f t="shared" si="358"/>
        <v>0</v>
      </c>
      <c r="AZ339" s="154">
        <f t="shared" si="358"/>
        <v>0</v>
      </c>
      <c r="BA339" s="154">
        <f t="shared" si="358"/>
        <v>0</v>
      </c>
      <c r="BB339" s="154">
        <f t="shared" si="358"/>
        <v>0</v>
      </c>
      <c r="BC339" s="154">
        <f t="shared" si="358"/>
        <v>0</v>
      </c>
      <c r="BD339" s="154">
        <f t="shared" si="358"/>
        <v>0</v>
      </c>
      <c r="BE339" s="154">
        <f t="shared" si="358"/>
        <v>0</v>
      </c>
      <c r="BF339" s="154">
        <f t="shared" si="358"/>
        <v>0</v>
      </c>
      <c r="BG339" s="154">
        <f t="shared" si="358"/>
        <v>0</v>
      </c>
      <c r="BH339" s="154">
        <f t="shared" si="358"/>
        <v>0</v>
      </c>
      <c r="BI339" s="154">
        <f t="shared" si="358"/>
        <v>0</v>
      </c>
      <c r="BJ339" s="154">
        <f t="shared" si="358"/>
        <v>0</v>
      </c>
      <c r="BL339" s="154">
        <f t="shared" ref="BL339" si="359">IF(OR(BL337&gt;$F339, BL337&lt;0), 1, 0)</f>
        <v>0</v>
      </c>
      <c r="BM339" s="154">
        <f t="shared" ref="BM339:BW339" si="360">IF(OR(BM337&gt;$F339, BM337&lt;0), 1, 0)</f>
        <v>0</v>
      </c>
      <c r="BN339" s="154">
        <f t="shared" si="360"/>
        <v>0</v>
      </c>
      <c r="BO339" s="154">
        <f t="shared" si="360"/>
        <v>0</v>
      </c>
      <c r="BP339" s="154">
        <f t="shared" si="360"/>
        <v>0</v>
      </c>
      <c r="BQ339" s="154">
        <f t="shared" si="360"/>
        <v>0</v>
      </c>
      <c r="BR339" s="154">
        <f t="shared" si="360"/>
        <v>0</v>
      </c>
      <c r="BS339" s="154">
        <f t="shared" si="360"/>
        <v>0</v>
      </c>
      <c r="BT339" s="154">
        <f t="shared" si="360"/>
        <v>0</v>
      </c>
      <c r="BU339" s="154">
        <f t="shared" si="360"/>
        <v>0</v>
      </c>
      <c r="BV339" s="154">
        <f t="shared" si="360"/>
        <v>0</v>
      </c>
      <c r="BW339" s="154">
        <f t="shared" si="360"/>
        <v>0</v>
      </c>
      <c r="BY339" s="12"/>
      <c r="BZ339" s="335"/>
      <c r="CA339" s="12"/>
      <c r="CB339" s="335"/>
      <c r="CC339" s="335"/>
      <c r="CD339" s="335"/>
      <c r="CE339" s="335"/>
      <c r="CL339" s="7">
        <f>IF(MAX(V339:BW339)&gt;0, 1, 0)</f>
        <v>0</v>
      </c>
      <c r="CM339" s="335"/>
      <c r="CN339" s="335"/>
      <c r="CO339" s="335"/>
      <c r="CP339" s="335"/>
      <c r="CR339" s="12"/>
      <c r="CS339" s="93">
        <f t="shared" si="320"/>
        <v>1</v>
      </c>
      <c r="CT339" s="93">
        <v>0</v>
      </c>
      <c r="CU339" s="93">
        <v>0</v>
      </c>
      <c r="EW339" s="335"/>
      <c r="EX339" s="13" t="str">
        <f>IF(C339="", "", CONCATENATE(D332, " ",D339))</f>
        <v/>
      </c>
    </row>
    <row r="340" spans="1:154" s="67" customFormat="1" x14ac:dyDescent="0.25">
      <c r="A340" s="362" cm="1">
        <f t="array" aca="1" ref="A340" ca="1">HYPERLINK(CONCATENATE("#",CELL("address",IF(SUM($CA340:$CR340)=0,A340,INDEX($CA340:$CR340,MATCH(1,$CA340:$CR340,0))))),SUM($CA340:$CR340))</f>
        <v>0</v>
      </c>
      <c r="C340" s="380"/>
      <c r="D340" s="51" t="s">
        <v>220</v>
      </c>
      <c r="E340" s="160" t="s">
        <v>524</v>
      </c>
      <c r="F340" s="173" t="str">
        <f>IF($J$28="", "", $J$28)</f>
        <v/>
      </c>
      <c r="S340" s="335"/>
      <c r="T340" s="25"/>
      <c r="U340" s="25"/>
      <c r="V340" s="230">
        <f>IF(AND(V$5&gt;=$F340,SUM(V337:$Y337)&lt;&gt;0),1,0)</f>
        <v>0</v>
      </c>
      <c r="W340" s="230">
        <f>IF(AND(W$5&gt;=$F340,SUM(W337:$Y337)&lt;&gt;0),1,0)</f>
        <v>0</v>
      </c>
      <c r="X340" s="230">
        <f>IF(AND(X$5&gt;=$F340,SUM(X337:$Y337)&lt;&gt;0),1,0)</f>
        <v>0</v>
      </c>
      <c r="Y340" s="230">
        <f>IF(AND(Y$5&gt;=$F340,SUM(Y337:$Y337)&lt;&gt;0),1,0)</f>
        <v>0</v>
      </c>
      <c r="AA340" s="154">
        <f>IF(AND(AA$5&gt;=$F340,SUM(AA337:$BJ337)&lt;&gt;0),1,0)</f>
        <v>0</v>
      </c>
      <c r="AB340" s="154">
        <f>IF(AND(AB$5&gt;=$F340,SUM(AB337:$BJ337)&lt;&gt;0),1,0)</f>
        <v>0</v>
      </c>
      <c r="AC340" s="154">
        <f>IF(AND(AC$5&gt;=$F340,SUM(AC337:$BJ337)&lt;&gt;0),1,0)</f>
        <v>0</v>
      </c>
      <c r="AD340" s="154">
        <f>IF(AND(AD$5&gt;=$F340,SUM(AD337:$BJ337)&lt;&gt;0),1,0)</f>
        <v>0</v>
      </c>
      <c r="AE340" s="154">
        <f>IF(AND(AE$5&gt;=$F340,SUM(AE337:$BJ337)&lt;&gt;0),1,0)</f>
        <v>0</v>
      </c>
      <c r="AF340" s="154">
        <f>IF(AND(AF$5&gt;=$F340,SUM(AF337:$BJ337)&lt;&gt;0),1,0)</f>
        <v>0</v>
      </c>
      <c r="AG340" s="154">
        <f>IF(AND(AG$5&gt;=$F340,SUM(AG337:$BJ337)&lt;&gt;0),1,0)</f>
        <v>0</v>
      </c>
      <c r="AH340" s="154">
        <f>IF(AND(AH$5&gt;=$F340,SUM(AH337:$BJ337)&lt;&gt;0),1,0)</f>
        <v>0</v>
      </c>
      <c r="AI340" s="154">
        <f>IF(AND(AI$5&gt;=$F340,SUM(AI337:$BJ337)&lt;&gt;0),1,0)</f>
        <v>0</v>
      </c>
      <c r="AJ340" s="154">
        <f>IF(AND(AJ$5&gt;=$F340,SUM(AJ337:$BJ337)&lt;&gt;0),1,0)</f>
        <v>0</v>
      </c>
      <c r="AK340" s="154">
        <f>IF(AND(AK$5&gt;=$F340,SUM(AK337:$BJ337)&lt;&gt;0),1,0)</f>
        <v>0</v>
      </c>
      <c r="AL340" s="154">
        <f>IF(AND(AL$5&gt;=$F340,SUM(AL337:$BJ337)&lt;&gt;0),1,0)</f>
        <v>0</v>
      </c>
      <c r="AM340" s="154">
        <f>IF(AND(AM$5&gt;=$F340,SUM(AM337:$BJ337)&lt;&gt;0),1,0)</f>
        <v>0</v>
      </c>
      <c r="AN340" s="154">
        <f>IF(AND(AN$5&gt;=$F340,SUM(AN337:$BJ337)&lt;&gt;0),1,0)</f>
        <v>0</v>
      </c>
      <c r="AO340" s="154">
        <f>IF(AND(AO$5&gt;=$F340,SUM(AO337:$BJ337)&lt;&gt;0),1,0)</f>
        <v>0</v>
      </c>
      <c r="AP340" s="154">
        <f>IF(AND(AP$5&gt;=$F340,SUM(AP337:$BJ337)&lt;&gt;0),1,0)</f>
        <v>0</v>
      </c>
      <c r="AQ340" s="154">
        <f>IF(AND(AQ$5&gt;=$F340,SUM(AQ337:$BJ337)&lt;&gt;0),1,0)</f>
        <v>0</v>
      </c>
      <c r="AR340" s="154">
        <f>IF(AND(AR$5&gt;=$F340,SUM(AR337:$BJ337)&lt;&gt;0),1,0)</f>
        <v>0</v>
      </c>
      <c r="AS340" s="154">
        <f>IF(AND(AS$5&gt;=$F340,SUM(AS337:$BJ337)&lt;&gt;0),1,0)</f>
        <v>0</v>
      </c>
      <c r="AT340" s="154">
        <f>IF(AND(AT$5&gt;=$F340,SUM(AT337:$BJ337)&lt;&gt;0),1,0)</f>
        <v>0</v>
      </c>
      <c r="AU340" s="154">
        <f>IF(AND(AU$5&gt;=$F340,SUM(AU337:$BJ337)&lt;&gt;0),1,0)</f>
        <v>0</v>
      </c>
      <c r="AV340" s="154">
        <f>IF(AND(AV$5&gt;=$F340,SUM(AV337:$BJ337)&lt;&gt;0),1,0)</f>
        <v>0</v>
      </c>
      <c r="AW340" s="154">
        <f>IF(AND(AW$5&gt;=$F340,SUM(AW337:$BJ337)&lt;&gt;0),1,0)</f>
        <v>0</v>
      </c>
      <c r="AX340" s="154">
        <f>IF(AND(AX$5&gt;=$F340,SUM(AX337:$BJ337)&lt;&gt;0),1,0)</f>
        <v>0</v>
      </c>
      <c r="AY340" s="154">
        <f>IF(AND(AY$5&gt;=$F340,SUM(AY337:$BJ337)&lt;&gt;0),1,0)</f>
        <v>0</v>
      </c>
      <c r="AZ340" s="154">
        <f>IF(AND(AZ$5&gt;=$F340,SUM(AZ337:$BJ337)&lt;&gt;0),1,0)</f>
        <v>0</v>
      </c>
      <c r="BA340" s="154">
        <f>IF(AND(BA$5&gt;=$F340,SUM(BA337:$BJ337)&lt;&gt;0),1,0)</f>
        <v>0</v>
      </c>
      <c r="BB340" s="154">
        <f>IF(AND(BB$5&gt;=$F340,SUM(BB337:$BJ337)&lt;&gt;0),1,0)</f>
        <v>0</v>
      </c>
      <c r="BC340" s="154">
        <f>IF(AND(BC$5&gt;=$F340,SUM(BC337:$BJ337)&lt;&gt;0),1,0)</f>
        <v>0</v>
      </c>
      <c r="BD340" s="154">
        <f>IF(AND(BD$5&gt;=$F340,SUM(BD337:$BJ337)&lt;&gt;0),1,0)</f>
        <v>0</v>
      </c>
      <c r="BE340" s="154">
        <f>IF(AND(BE$5&gt;=$F340,SUM(BE337:$BJ337)&lt;&gt;0),1,0)</f>
        <v>0</v>
      </c>
      <c r="BF340" s="154">
        <f>IF(AND(BF$5&gt;=$F340,SUM(BF337:$BJ337)&lt;&gt;0),1,0)</f>
        <v>0</v>
      </c>
      <c r="BG340" s="154">
        <f>IF(AND(BG$5&gt;=$F340,SUM(BG337:$BJ337)&lt;&gt;0),1,0)</f>
        <v>0</v>
      </c>
      <c r="BH340" s="154">
        <f>IF(AND(BH$5&gt;=$F340,SUM(BH337:$BJ337)&lt;&gt;0),1,0)</f>
        <v>0</v>
      </c>
      <c r="BI340" s="154">
        <f>IF(AND(BI$5&gt;=$F340,SUM(BI337:$BJ337)&lt;&gt;0),1,0)</f>
        <v>0</v>
      </c>
      <c r="BJ340" s="154">
        <f>IF(AND(BJ$5&gt;=$F340,SUM(BJ337:$BJ337)&lt;&gt;0),1,0)</f>
        <v>0</v>
      </c>
      <c r="BL340" s="154">
        <f>IF(AND(BL$5&gt;=$F340,SUM(BL337:$BW337)&lt;&gt;0),1,0)*BL$1150</f>
        <v>0</v>
      </c>
      <c r="BM340" s="154">
        <f>IF(AND(BM$5&gt;=$F340,SUM(BM337:$BW337)&lt;&gt;0),1,0)*BM$1150</f>
        <v>0</v>
      </c>
      <c r="BN340" s="154">
        <f>IF(AND(BN$5&gt;=$F340,SUM(BN337:$BW337)&lt;&gt;0),1,0)*BN$1150</f>
        <v>0</v>
      </c>
      <c r="BO340" s="154">
        <f>IF(AND(BO$5&gt;=$F340,SUM(BO337:$BW337)&lt;&gt;0),1,0)*BO$1150</f>
        <v>0</v>
      </c>
      <c r="BP340" s="154">
        <f>IF(AND(BP$5&gt;=$F340,SUM(BP337:$BW337)&lt;&gt;0),1,0)*BP$1150</f>
        <v>0</v>
      </c>
      <c r="BQ340" s="154">
        <f>IF(AND(BQ$5&gt;=$F340,SUM(BQ337:$BW337)&lt;&gt;0),1,0)*BQ$1150</f>
        <v>0</v>
      </c>
      <c r="BR340" s="154">
        <f>IF(AND(BR$5&gt;=$F340,SUM(BR337:$BW337)&lt;&gt;0),1,0)*BR$1150</f>
        <v>0</v>
      </c>
      <c r="BS340" s="154">
        <f>IF(AND(BS$5&gt;=$F340,SUM(BS337:$BW337)&lt;&gt;0),1,0)*BS$1150</f>
        <v>0</v>
      </c>
      <c r="BT340" s="154">
        <f>IF(AND(BT$5&gt;=$F340,SUM(BT337:$BW337)&lt;&gt;0),1,0)*BT$1150</f>
        <v>0</v>
      </c>
      <c r="BU340" s="154">
        <f>IF(AND(BU$5&gt;=$F340,SUM(BU337:$BW337)&lt;&gt;0),1,0)*BU$1150</f>
        <v>0</v>
      </c>
      <c r="BV340" s="154">
        <f>IF(AND(BV$5&gt;=$F340,SUM(BV337:$BW337)&lt;&gt;0),1,0)*BV$1150</f>
        <v>0</v>
      </c>
      <c r="BW340" s="154">
        <f>IF(AND(BW$5&gt;=$F340,SUM(BW337:$BW337)&lt;&gt;0),1,0)*BW$1150</f>
        <v>0</v>
      </c>
      <c r="BY340" s="12"/>
      <c r="BZ340" s="335"/>
      <c r="CA340" s="12"/>
      <c r="CB340" s="335"/>
      <c r="CC340" s="335"/>
      <c r="CD340" s="335"/>
      <c r="CE340" s="335"/>
      <c r="CL340" s="7">
        <f>IF(MAX($V340:$BW340)&gt;0, 1, 0)</f>
        <v>0</v>
      </c>
      <c r="CM340" s="335"/>
      <c r="CN340" s="335"/>
      <c r="CO340" s="335"/>
      <c r="CP340" s="335"/>
      <c r="CR340" s="12"/>
      <c r="CS340" s="93">
        <f t="shared" si="320"/>
        <v>1</v>
      </c>
      <c r="CT340" s="93">
        <v>0</v>
      </c>
      <c r="CU340" s="93">
        <v>0</v>
      </c>
      <c r="EW340" s="335"/>
      <c r="EX340" s="13" t="str">
        <f>IF(C340="", "", CONCATENATE(D332, " ",D340))</f>
        <v/>
      </c>
    </row>
    <row r="341" spans="1:154" s="67" customFormat="1" ht="6.6" customHeight="1" x14ac:dyDescent="0.25">
      <c r="C341" s="380"/>
      <c r="D341" s="1"/>
      <c r="S341" s="335"/>
      <c r="T341" s="25"/>
      <c r="U341" s="25"/>
      <c r="V341" s="229"/>
      <c r="W341" s="25"/>
      <c r="X341" s="25"/>
      <c r="Y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L341" s="25"/>
      <c r="BM341" s="155"/>
      <c r="BN341" s="25"/>
      <c r="BO341" s="25"/>
      <c r="BP341" s="25"/>
      <c r="BQ341" s="25"/>
      <c r="BR341" s="25"/>
      <c r="BS341" s="25"/>
      <c r="BT341" s="25"/>
      <c r="BU341" s="25"/>
      <c r="BV341" s="25"/>
      <c r="BW341" s="25"/>
      <c r="BY341" s="42"/>
      <c r="BZ341" s="335"/>
      <c r="CA341" s="42"/>
      <c r="CB341" s="335"/>
      <c r="CC341" s="335"/>
      <c r="CD341" s="335"/>
      <c r="CE341" s="335"/>
      <c r="CM341" s="335"/>
      <c r="CN341" s="335"/>
      <c r="CO341" s="335"/>
      <c r="CP341" s="335"/>
      <c r="CR341" s="42"/>
      <c r="CS341" s="93">
        <f t="shared" si="320"/>
        <v>0</v>
      </c>
      <c r="CT341" s="93">
        <v>0</v>
      </c>
      <c r="CU341" s="93">
        <v>0</v>
      </c>
      <c r="EW341" s="335"/>
      <c r="EX341" s="13" t="str">
        <f>IF(C341="", "", CONCATENATE(D332, " ",D341))</f>
        <v/>
      </c>
    </row>
    <row r="342" spans="1:154" s="67" customFormat="1" x14ac:dyDescent="0.25">
      <c r="C342" s="380"/>
      <c r="D342" s="51" t="s">
        <v>223</v>
      </c>
      <c r="E342" s="1"/>
      <c r="G342" s="9" t="s">
        <v>413</v>
      </c>
      <c r="H342" s="50" t="s">
        <v>8</v>
      </c>
      <c r="S342" s="335"/>
      <c r="T342" s="25"/>
      <c r="U342" s="25"/>
      <c r="V342" s="222"/>
      <c r="W342" s="201">
        <f>V345</f>
        <v>0</v>
      </c>
      <c r="X342" s="201">
        <f>W345</f>
        <v>0</v>
      </c>
      <c r="Y342" s="10">
        <f>X345</f>
        <v>0</v>
      </c>
      <c r="AA342" s="13">
        <f>W342</f>
        <v>0</v>
      </c>
      <c r="AB342" s="153">
        <f t="shared" ref="AB342:BJ342" si="361">AA345</f>
        <v>0</v>
      </c>
      <c r="AC342" s="153">
        <f t="shared" si="361"/>
        <v>0</v>
      </c>
      <c r="AD342" s="153">
        <f t="shared" si="361"/>
        <v>0</v>
      </c>
      <c r="AE342" s="153">
        <f t="shared" si="361"/>
        <v>0</v>
      </c>
      <c r="AF342" s="153">
        <f t="shared" si="361"/>
        <v>0</v>
      </c>
      <c r="AG342" s="153">
        <f t="shared" si="361"/>
        <v>0</v>
      </c>
      <c r="AH342" s="153">
        <f t="shared" si="361"/>
        <v>0</v>
      </c>
      <c r="AI342" s="153">
        <f t="shared" si="361"/>
        <v>0</v>
      </c>
      <c r="AJ342" s="153">
        <f t="shared" si="361"/>
        <v>0</v>
      </c>
      <c r="AK342" s="153">
        <f t="shared" si="361"/>
        <v>0</v>
      </c>
      <c r="AL342" s="153">
        <f t="shared" si="361"/>
        <v>0</v>
      </c>
      <c r="AM342" s="153">
        <f t="shared" si="361"/>
        <v>0</v>
      </c>
      <c r="AN342" s="153">
        <f t="shared" si="361"/>
        <v>0</v>
      </c>
      <c r="AO342" s="153">
        <f t="shared" si="361"/>
        <v>0</v>
      </c>
      <c r="AP342" s="153">
        <f t="shared" si="361"/>
        <v>0</v>
      </c>
      <c r="AQ342" s="153">
        <f t="shared" si="361"/>
        <v>0</v>
      </c>
      <c r="AR342" s="153">
        <f t="shared" si="361"/>
        <v>0</v>
      </c>
      <c r="AS342" s="153">
        <f t="shared" si="361"/>
        <v>0</v>
      </c>
      <c r="AT342" s="153">
        <f t="shared" si="361"/>
        <v>0</v>
      </c>
      <c r="AU342" s="153">
        <f t="shared" si="361"/>
        <v>0</v>
      </c>
      <c r="AV342" s="153">
        <f t="shared" si="361"/>
        <v>0</v>
      </c>
      <c r="AW342" s="153">
        <f t="shared" si="361"/>
        <v>0</v>
      </c>
      <c r="AX342" s="153">
        <f t="shared" si="361"/>
        <v>0</v>
      </c>
      <c r="AY342" s="153">
        <f t="shared" si="361"/>
        <v>0</v>
      </c>
      <c r="AZ342" s="153">
        <f t="shared" si="361"/>
        <v>0</v>
      </c>
      <c r="BA342" s="153">
        <f t="shared" si="361"/>
        <v>0</v>
      </c>
      <c r="BB342" s="153">
        <f t="shared" si="361"/>
        <v>0</v>
      </c>
      <c r="BC342" s="153">
        <f t="shared" si="361"/>
        <v>0</v>
      </c>
      <c r="BD342" s="153">
        <f t="shared" si="361"/>
        <v>0</v>
      </c>
      <c r="BE342" s="153">
        <f t="shared" si="361"/>
        <v>0</v>
      </c>
      <c r="BF342" s="153">
        <f t="shared" si="361"/>
        <v>0</v>
      </c>
      <c r="BG342" s="153">
        <f t="shared" si="361"/>
        <v>0</v>
      </c>
      <c r="BH342" s="153">
        <f t="shared" si="361"/>
        <v>0</v>
      </c>
      <c r="BI342" s="153">
        <f t="shared" si="361"/>
        <v>0</v>
      </c>
      <c r="BJ342" s="153">
        <f t="shared" si="361"/>
        <v>0</v>
      </c>
      <c r="BL342" s="152">
        <f t="shared" ref="BL342:BO345" si="362">V342</f>
        <v>0</v>
      </c>
      <c r="BM342" s="152">
        <f t="shared" si="362"/>
        <v>0</v>
      </c>
      <c r="BN342" s="152">
        <f t="shared" si="362"/>
        <v>0</v>
      </c>
      <c r="BO342" s="152">
        <f t="shared" si="362"/>
        <v>0</v>
      </c>
      <c r="BP342" s="153">
        <f t="shared" ref="BP342:BW342" si="363">BO345</f>
        <v>0</v>
      </c>
      <c r="BQ342" s="153">
        <f t="shared" si="363"/>
        <v>0</v>
      </c>
      <c r="BR342" s="153">
        <f t="shared" si="363"/>
        <v>0</v>
      </c>
      <c r="BS342" s="153">
        <f t="shared" si="363"/>
        <v>0</v>
      </c>
      <c r="BT342" s="153">
        <f t="shared" si="363"/>
        <v>0</v>
      </c>
      <c r="BU342" s="153">
        <f t="shared" si="363"/>
        <v>0</v>
      </c>
      <c r="BV342" s="153">
        <f t="shared" si="363"/>
        <v>0</v>
      </c>
      <c r="BW342" s="153">
        <f t="shared" si="363"/>
        <v>0</v>
      </c>
      <c r="BY342" s="12"/>
      <c r="BZ342" s="335"/>
      <c r="CA342" s="12"/>
      <c r="CB342" s="335"/>
      <c r="CC342" s="335"/>
      <c r="CD342" s="335"/>
      <c r="CE342" s="335"/>
      <c r="CM342" s="335"/>
      <c r="CN342" s="335"/>
      <c r="CO342" s="335"/>
      <c r="CP342" s="335"/>
      <c r="CR342" s="12"/>
      <c r="CS342" s="93">
        <f t="shared" si="320"/>
        <v>0</v>
      </c>
      <c r="CT342" s="93">
        <v>1</v>
      </c>
      <c r="CU342" s="93">
        <v>0</v>
      </c>
      <c r="EW342" s="335"/>
      <c r="EX342" s="13" t="str">
        <f>IF(C342="", "", CONCATENATE(D332, " ",D342))</f>
        <v/>
      </c>
    </row>
    <row r="343" spans="1:154" s="5" customFormat="1" ht="15.75" x14ac:dyDescent="0.3">
      <c r="A343" s="362" cm="1">
        <f t="array" aca="1" ref="A343" ca="1">HYPERLINK(CONCATENATE("#",CELL("address",IF(SUM($CA343:$CR343)=0,A343,INDEX($CA343:$CR343,MATCH(1,$CA343:$CR343,0))))),SUM($CA343:$CR343))</f>
        <v>0</v>
      </c>
      <c r="B343" s="105" t="s">
        <v>335</v>
      </c>
      <c r="C343" s="380"/>
      <c r="D343" s="51" t="s">
        <v>234</v>
      </c>
      <c r="E343" s="1"/>
      <c r="F343" s="67"/>
      <c r="G343" s="9" t="s">
        <v>413</v>
      </c>
      <c r="H343" s="50" t="s">
        <v>125</v>
      </c>
      <c r="I343" s="67"/>
      <c r="J343" s="67"/>
      <c r="K343" s="67"/>
      <c r="L343" s="67"/>
      <c r="M343" s="67"/>
      <c r="N343" s="67"/>
      <c r="O343" s="67"/>
      <c r="P343" s="67"/>
      <c r="Q343" s="67"/>
      <c r="R343" s="67"/>
      <c r="S343" s="335"/>
      <c r="T343" s="25"/>
      <c r="U343" s="25"/>
      <c r="V343" s="222"/>
      <c r="W343" s="215">
        <f t="shared" ref="W343:Y344" si="364" xml:space="preserve"> SUMIFS($AA343:$BJ343, $AA$3:$BJ$3, W$3)</f>
        <v>0</v>
      </c>
      <c r="X343" s="215">
        <f t="shared" si="364"/>
        <v>0</v>
      </c>
      <c r="Y343" s="215">
        <f t="shared" si="364"/>
        <v>0</v>
      </c>
      <c r="Z343" s="67"/>
      <c r="AA343" s="147"/>
      <c r="AB343" s="147"/>
      <c r="AC343" s="147"/>
      <c r="AD343" s="147"/>
      <c r="AE343" s="147"/>
      <c r="AF343" s="147"/>
      <c r="AG343" s="147"/>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c r="BI343" s="147"/>
      <c r="BJ343" s="147"/>
      <c r="BK343" s="67"/>
      <c r="BL343" s="152">
        <f t="shared" si="362"/>
        <v>0</v>
      </c>
      <c r="BM343" s="152">
        <f t="shared" si="362"/>
        <v>0</v>
      </c>
      <c r="BN343" s="152">
        <f t="shared" si="362"/>
        <v>0</v>
      </c>
      <c r="BO343" s="152">
        <f t="shared" si="362"/>
        <v>0</v>
      </c>
      <c r="BP343" s="156"/>
      <c r="BQ343" s="156"/>
      <c r="BR343" s="156"/>
      <c r="BS343" s="156"/>
      <c r="BT343" s="156"/>
      <c r="BU343" s="156"/>
      <c r="BV343" s="156"/>
      <c r="BW343" s="156"/>
      <c r="BX343" s="67"/>
      <c r="BY343" s="12"/>
      <c r="BZ343" s="395">
        <f>IF(MIN($V343:$BW343)&lt;0, 1, 0)</f>
        <v>0</v>
      </c>
      <c r="CA343" s="12"/>
      <c r="CB343" s="335"/>
      <c r="CC343" s="335"/>
      <c r="CD343" s="335"/>
      <c r="CE343" s="335"/>
      <c r="CF343" s="67"/>
      <c r="CG343" s="67"/>
      <c r="CH343" s="67"/>
      <c r="CI343" s="67"/>
      <c r="CJ343" s="67"/>
      <c r="CK343" s="67"/>
      <c r="CL343" s="67"/>
      <c r="CM343" s="7">
        <f t="shared" ref="CM343:CO344" si="365">IF(ROUND(W343-SUMIFS($AA343:$BJ343, $AA$3:$BJ$3, W$3), rounding)=0, 0, 1)</f>
        <v>0</v>
      </c>
      <c r="CN343" s="7">
        <f t="shared" si="365"/>
        <v>0</v>
      </c>
      <c r="CO343" s="7">
        <f t="shared" si="365"/>
        <v>0</v>
      </c>
      <c r="CP343" s="7">
        <f>IF(ROUND(V343-BL343, rounding)=0, 0, 1)*'BS Forecasts'!$V$10</f>
        <v>0</v>
      </c>
      <c r="CQ343" s="67"/>
      <c r="CR343" s="12"/>
      <c r="CS343" s="93">
        <f t="shared" si="320"/>
        <v>0</v>
      </c>
      <c r="CT343" s="93">
        <v>1</v>
      </c>
      <c r="CU343" s="93">
        <v>1</v>
      </c>
      <c r="EX343" s="13" t="str">
        <f>IF(C343="", "", CONCATENATE(D332, " ",D343))</f>
        <v/>
      </c>
    </row>
    <row r="344" spans="1:154" s="67" customFormat="1" ht="15.75" x14ac:dyDescent="0.3">
      <c r="A344" s="362" cm="1">
        <f t="array" aca="1" ref="A344" ca="1">HYPERLINK(CONCATENATE("#",CELL("address",IF(SUM($CA344:$CR344)=0,A344,INDEX($CA344:$CR344,MATCH(1,$CA344:$CR344,0))))),SUM($CA344:$CR344))</f>
        <v>0</v>
      </c>
      <c r="B344" s="105" t="s">
        <v>335</v>
      </c>
      <c r="C344" s="380"/>
      <c r="D344" s="51" t="s">
        <v>222</v>
      </c>
      <c r="E344" s="1"/>
      <c r="G344" s="9" t="s">
        <v>413</v>
      </c>
      <c r="H344" s="50" t="s">
        <v>157</v>
      </c>
      <c r="S344" s="335"/>
      <c r="T344" s="25"/>
      <c r="U344" s="25"/>
      <c r="V344" s="222"/>
      <c r="W344" s="215">
        <f t="shared" si="364"/>
        <v>0</v>
      </c>
      <c r="X344" s="215">
        <f t="shared" si="364"/>
        <v>0</v>
      </c>
      <c r="Y344" s="215">
        <f t="shared" si="364"/>
        <v>0</v>
      </c>
      <c r="AA344" s="147"/>
      <c r="AB344" s="147"/>
      <c r="AC344" s="147"/>
      <c r="AD344" s="147"/>
      <c r="AE344" s="147"/>
      <c r="AF344" s="147"/>
      <c r="AG344" s="147"/>
      <c r="AH344" s="147"/>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c r="BI344" s="147"/>
      <c r="BJ344" s="147"/>
      <c r="BL344" s="152">
        <f t="shared" si="362"/>
        <v>0</v>
      </c>
      <c r="BM344" s="152">
        <f t="shared" si="362"/>
        <v>0</v>
      </c>
      <c r="BN344" s="152">
        <f t="shared" si="362"/>
        <v>0</v>
      </c>
      <c r="BO344" s="152">
        <f t="shared" si="362"/>
        <v>0</v>
      </c>
      <c r="BP344" s="156"/>
      <c r="BQ344" s="156"/>
      <c r="BR344" s="156"/>
      <c r="BS344" s="156"/>
      <c r="BT344" s="156"/>
      <c r="BU344" s="156"/>
      <c r="BV344" s="156"/>
      <c r="BW344" s="156"/>
      <c r="BY344" s="12"/>
      <c r="BZ344" s="395">
        <f>IF(MAX($V344:$BW344)&gt;0, 1, 0)</f>
        <v>0</v>
      </c>
      <c r="CA344" s="12"/>
      <c r="CB344" s="335"/>
      <c r="CC344" s="335"/>
      <c r="CD344" s="335"/>
      <c r="CE344" s="335"/>
      <c r="CM344" s="7">
        <f t="shared" si="365"/>
        <v>0</v>
      </c>
      <c r="CN344" s="7">
        <f t="shared" si="365"/>
        <v>0</v>
      </c>
      <c r="CO344" s="7">
        <f t="shared" si="365"/>
        <v>0</v>
      </c>
      <c r="CP344" s="7">
        <f>IF(ROUND(V344-BL344, rounding)=0, 0, 1)*'BS Forecasts'!$V$10</f>
        <v>0</v>
      </c>
      <c r="CR344" s="12"/>
      <c r="CS344" s="93">
        <f t="shared" si="320"/>
        <v>0</v>
      </c>
      <c r="CT344" s="93">
        <v>1</v>
      </c>
      <c r="CU344" s="93">
        <v>1</v>
      </c>
      <c r="EW344" s="335"/>
      <c r="EX344" s="13" t="str">
        <f>IF(C344="", "", CONCATENATE(D332, " ",D344))</f>
        <v/>
      </c>
    </row>
    <row r="345" spans="1:154" s="67" customFormat="1" x14ac:dyDescent="0.25">
      <c r="C345" s="380"/>
      <c r="D345" s="51" t="s">
        <v>224</v>
      </c>
      <c r="E345" s="1"/>
      <c r="G345" s="9" t="s">
        <v>413</v>
      </c>
      <c r="H345" s="50" t="s">
        <v>8</v>
      </c>
      <c r="S345" s="335"/>
      <c r="T345" s="25"/>
      <c r="U345" s="25"/>
      <c r="V345" s="13">
        <f>$H$28</f>
        <v>0</v>
      </c>
      <c r="W345" s="153">
        <f>SUM(W342:W344)</f>
        <v>0</v>
      </c>
      <c r="X345" s="153">
        <f>SUM(X342:X344)</f>
        <v>0</v>
      </c>
      <c r="Y345" s="153">
        <f>SUM(Y342:Y344)</f>
        <v>0</v>
      </c>
      <c r="AA345" s="153">
        <f t="shared" ref="AA345:BJ345" si="366">SUM(AA342:AA344)</f>
        <v>0</v>
      </c>
      <c r="AB345" s="153">
        <f t="shared" si="366"/>
        <v>0</v>
      </c>
      <c r="AC345" s="153">
        <f t="shared" si="366"/>
        <v>0</v>
      </c>
      <c r="AD345" s="153">
        <f t="shared" si="366"/>
        <v>0</v>
      </c>
      <c r="AE345" s="153">
        <f t="shared" si="366"/>
        <v>0</v>
      </c>
      <c r="AF345" s="153">
        <f t="shared" si="366"/>
        <v>0</v>
      </c>
      <c r="AG345" s="153">
        <f t="shared" si="366"/>
        <v>0</v>
      </c>
      <c r="AH345" s="153">
        <f t="shared" si="366"/>
        <v>0</v>
      </c>
      <c r="AI345" s="153">
        <f t="shared" si="366"/>
        <v>0</v>
      </c>
      <c r="AJ345" s="153">
        <f t="shared" si="366"/>
        <v>0</v>
      </c>
      <c r="AK345" s="153">
        <f t="shared" si="366"/>
        <v>0</v>
      </c>
      <c r="AL345" s="153">
        <f t="shared" si="366"/>
        <v>0</v>
      </c>
      <c r="AM345" s="153">
        <f t="shared" si="366"/>
        <v>0</v>
      </c>
      <c r="AN345" s="153">
        <f t="shared" si="366"/>
        <v>0</v>
      </c>
      <c r="AO345" s="153">
        <f t="shared" si="366"/>
        <v>0</v>
      </c>
      <c r="AP345" s="153">
        <f t="shared" si="366"/>
        <v>0</v>
      </c>
      <c r="AQ345" s="153">
        <f t="shared" si="366"/>
        <v>0</v>
      </c>
      <c r="AR345" s="153">
        <f t="shared" si="366"/>
        <v>0</v>
      </c>
      <c r="AS345" s="153">
        <f t="shared" si="366"/>
        <v>0</v>
      </c>
      <c r="AT345" s="153">
        <f t="shared" si="366"/>
        <v>0</v>
      </c>
      <c r="AU345" s="153">
        <f t="shared" si="366"/>
        <v>0</v>
      </c>
      <c r="AV345" s="153">
        <f t="shared" si="366"/>
        <v>0</v>
      </c>
      <c r="AW345" s="153">
        <f t="shared" si="366"/>
        <v>0</v>
      </c>
      <c r="AX345" s="153">
        <f t="shared" si="366"/>
        <v>0</v>
      </c>
      <c r="AY345" s="153">
        <f t="shared" si="366"/>
        <v>0</v>
      </c>
      <c r="AZ345" s="153">
        <f t="shared" si="366"/>
        <v>0</v>
      </c>
      <c r="BA345" s="153">
        <f t="shared" si="366"/>
        <v>0</v>
      </c>
      <c r="BB345" s="153">
        <f t="shared" si="366"/>
        <v>0</v>
      </c>
      <c r="BC345" s="153">
        <f t="shared" si="366"/>
        <v>0</v>
      </c>
      <c r="BD345" s="153">
        <f t="shared" si="366"/>
        <v>0</v>
      </c>
      <c r="BE345" s="153">
        <f t="shared" si="366"/>
        <v>0</v>
      </c>
      <c r="BF345" s="153">
        <f t="shared" si="366"/>
        <v>0</v>
      </c>
      <c r="BG345" s="153">
        <f t="shared" si="366"/>
        <v>0</v>
      </c>
      <c r="BH345" s="153">
        <f t="shared" si="366"/>
        <v>0</v>
      </c>
      <c r="BI345" s="153">
        <f t="shared" si="366"/>
        <v>0</v>
      </c>
      <c r="BJ345" s="153">
        <f t="shared" si="366"/>
        <v>0</v>
      </c>
      <c r="BL345" s="152">
        <f t="shared" si="362"/>
        <v>0</v>
      </c>
      <c r="BM345" s="152">
        <f t="shared" si="362"/>
        <v>0</v>
      </c>
      <c r="BN345" s="152">
        <f t="shared" si="362"/>
        <v>0</v>
      </c>
      <c r="BO345" s="152">
        <f t="shared" si="362"/>
        <v>0</v>
      </c>
      <c r="BP345" s="153">
        <f t="shared" ref="BP345:BW345" si="367">SUM(BP342:BP344)</f>
        <v>0</v>
      </c>
      <c r="BQ345" s="153">
        <f t="shared" si="367"/>
        <v>0</v>
      </c>
      <c r="BR345" s="153">
        <f t="shared" si="367"/>
        <v>0</v>
      </c>
      <c r="BS345" s="153">
        <f t="shared" si="367"/>
        <v>0</v>
      </c>
      <c r="BT345" s="153">
        <f t="shared" si="367"/>
        <v>0</v>
      </c>
      <c r="BU345" s="153">
        <f t="shared" si="367"/>
        <v>0</v>
      </c>
      <c r="BV345" s="153">
        <f t="shared" si="367"/>
        <v>0</v>
      </c>
      <c r="BW345" s="153">
        <f t="shared" si="367"/>
        <v>0</v>
      </c>
      <c r="BY345" s="12"/>
      <c r="BZ345" s="335"/>
      <c r="CA345" s="12"/>
      <c r="CB345" s="335"/>
      <c r="CC345" s="335"/>
      <c r="CD345" s="335"/>
      <c r="CE345" s="335"/>
      <c r="CM345" s="335"/>
      <c r="CN345" s="335"/>
      <c r="CO345" s="335"/>
      <c r="CP345" s="335"/>
      <c r="CR345" s="12"/>
      <c r="CS345" s="93">
        <f t="shared" si="320"/>
        <v>0</v>
      </c>
      <c r="CT345" s="93">
        <v>0</v>
      </c>
      <c r="CU345" s="93">
        <v>0</v>
      </c>
      <c r="EW345" s="335"/>
      <c r="EX345" s="13" t="str">
        <f>IF(C345="", "", CONCATENATE(D332, " ",D345))</f>
        <v/>
      </c>
    </row>
    <row r="346" spans="1:154" s="67" customFormat="1" ht="6.6" customHeight="1" x14ac:dyDescent="0.25">
      <c r="C346" s="380"/>
      <c r="D346" s="1"/>
      <c r="S346" s="335"/>
      <c r="T346" s="25"/>
      <c r="U346" s="25"/>
      <c r="V346" s="229"/>
      <c r="W346" s="25"/>
      <c r="X346" s="25"/>
      <c r="Y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L346" s="25"/>
      <c r="BM346" s="155"/>
      <c r="BN346" s="25"/>
      <c r="BO346" s="25"/>
      <c r="BP346" s="25"/>
      <c r="BQ346" s="25"/>
      <c r="BR346" s="25"/>
      <c r="BS346" s="25"/>
      <c r="BT346" s="25"/>
      <c r="BU346" s="25"/>
      <c r="BV346" s="25"/>
      <c r="BW346" s="25"/>
      <c r="BY346" s="42"/>
      <c r="BZ346" s="335"/>
      <c r="CA346" s="42"/>
      <c r="CB346" s="335"/>
      <c r="CC346" s="335"/>
      <c r="CD346" s="335"/>
      <c r="CE346" s="335"/>
      <c r="CM346" s="335"/>
      <c r="CN346" s="335"/>
      <c r="CO346" s="335"/>
      <c r="CP346" s="335"/>
      <c r="CR346" s="42"/>
      <c r="CS346" s="93">
        <f t="shared" si="320"/>
        <v>0</v>
      </c>
      <c r="CT346" s="93">
        <v>0</v>
      </c>
      <c r="CU346" s="93">
        <v>0</v>
      </c>
      <c r="EW346" s="335"/>
      <c r="EX346" s="13" t="str">
        <f>IF(C346="", "", CONCATENATE(D332, " ",D346))</f>
        <v/>
      </c>
    </row>
    <row r="347" spans="1:154" s="5" customFormat="1" x14ac:dyDescent="0.25">
      <c r="A347" s="362" cm="1">
        <f t="array" aca="1" ref="A347" ca="1">HYPERLINK(CONCATENATE("#",CELL("address",IF(SUM($CA347:$CR347)=0,A347,INDEX($CA347:$CR347,MATCH(1,$CA347:$CR347,0))))),SUM($CA347:$CR347))</f>
        <v>0</v>
      </c>
      <c r="B347" s="335"/>
      <c r="C347" s="340" t="s">
        <v>1288</v>
      </c>
      <c r="D347" s="41" t="s">
        <v>1569</v>
      </c>
      <c r="E347" s="35"/>
      <c r="F347" s="25"/>
      <c r="G347" s="174" t="s">
        <v>413</v>
      </c>
      <c r="H347" s="171" t="s">
        <v>125</v>
      </c>
      <c r="I347" s="25"/>
      <c r="J347" s="25"/>
      <c r="K347" s="25"/>
      <c r="L347" s="25"/>
      <c r="M347" s="25"/>
      <c r="N347" s="25"/>
      <c r="O347" s="25"/>
      <c r="P347" s="25"/>
      <c r="Q347" s="25"/>
      <c r="R347" s="25"/>
      <c r="S347" s="335"/>
      <c r="T347" s="25"/>
      <c r="U347" s="25"/>
      <c r="V347" s="222"/>
      <c r="W347" s="215">
        <f xml:space="preserve"> SUMIFS($AA347:$BJ347, $AA$3:$BJ$3, W$3)</f>
        <v>0</v>
      </c>
      <c r="X347" s="215">
        <f xml:space="preserve"> SUMIFS($AA347:$BJ347, $AA$3:$BJ$3, X$3)</f>
        <v>0</v>
      </c>
      <c r="Y347" s="215">
        <f xml:space="preserve"> SUMIFS($AA347:$BJ347, $AA$3:$BJ$3, Y$3)</f>
        <v>0</v>
      </c>
      <c r="Z347" s="335"/>
      <c r="AA347" s="147"/>
      <c r="AB347" s="147"/>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c r="BI347" s="147"/>
      <c r="BJ347" s="147"/>
      <c r="BK347" s="335"/>
      <c r="BL347" s="152">
        <f>V347</f>
        <v>0</v>
      </c>
      <c r="BM347" s="152">
        <f>W347</f>
        <v>0</v>
      </c>
      <c r="BN347" s="152">
        <f>X347</f>
        <v>0</v>
      </c>
      <c r="BO347" s="152">
        <f>Y347</f>
        <v>0</v>
      </c>
      <c r="BP347" s="141"/>
      <c r="BQ347" s="141"/>
      <c r="BR347" s="141"/>
      <c r="BS347" s="141"/>
      <c r="BT347" s="141"/>
      <c r="BU347" s="141"/>
      <c r="BV347" s="141"/>
      <c r="BW347" s="141"/>
      <c r="BX347" s="335"/>
      <c r="BY347" s="12"/>
      <c r="BZ347" s="395">
        <f>IF(MIN($V347:$BW347)&lt;0, 1, 0)</f>
        <v>0</v>
      </c>
      <c r="CA347" s="12"/>
      <c r="CB347" s="335"/>
      <c r="CC347" s="335"/>
      <c r="CD347" s="335"/>
      <c r="CE347" s="335"/>
      <c r="CF347" s="335"/>
      <c r="CG347" s="335"/>
      <c r="CH347" s="335"/>
      <c r="CI347" s="335"/>
      <c r="CJ347" s="335"/>
      <c r="CK347" s="335"/>
      <c r="CL347" s="335"/>
      <c r="CM347" s="7">
        <f>IF(ROUND(W347-SUMIFS($AA347:$BJ347, $AA$3:$BJ$3, W$3), rounding)=0, 0, 1)</f>
        <v>0</v>
      </c>
      <c r="CN347" s="7">
        <f>IF(ROUND(X347-SUMIFS($AA347:$BJ347, $AA$3:$BJ$3, X$3), rounding)=0, 0, 1)</f>
        <v>0</v>
      </c>
      <c r="CO347" s="7">
        <f>IF(ROUND(Y347-SUMIFS($AA347:$BJ347, $AA$3:$BJ$3, Y$3), rounding)=0, 0, 1)</f>
        <v>0</v>
      </c>
      <c r="CP347" s="7">
        <f>IF(ROUND(V347-BL347, rounding)=0, 0, 1)*'BS Forecasts'!$V$10</f>
        <v>0</v>
      </c>
      <c r="CQ347" s="335"/>
      <c r="CR347" s="12"/>
      <c r="CS347" s="93">
        <f t="shared" si="320"/>
        <v>0</v>
      </c>
      <c r="CT347" s="93">
        <v>1</v>
      </c>
      <c r="CU347" s="93">
        <v>1</v>
      </c>
      <c r="EX347" s="13" t="str">
        <f>IF(C347="", "", CONCATENATE(D332, " ",D347))</f>
        <v>Loan 16 Early Repayment Fee</v>
      </c>
    </row>
    <row r="348" spans="1:154" s="335" customFormat="1" ht="6.6" customHeight="1" x14ac:dyDescent="0.25">
      <c r="C348" s="380"/>
      <c r="D348" s="1"/>
      <c r="T348" s="25"/>
      <c r="U348" s="25"/>
      <c r="V348" s="93"/>
      <c r="BM348" s="6"/>
      <c r="BY348" s="42"/>
      <c r="CA348" s="42"/>
      <c r="CR348" s="42"/>
      <c r="CS348" s="93">
        <f t="shared" si="320"/>
        <v>0</v>
      </c>
      <c r="CT348" s="93">
        <v>0</v>
      </c>
      <c r="CU348" s="93">
        <v>0</v>
      </c>
      <c r="EX348" s="13" t="str">
        <f>IF(C348="", "", CONCATENATE(D332, " ",D348))</f>
        <v/>
      </c>
    </row>
    <row r="349" spans="1:154" s="335" customFormat="1" ht="15.75" x14ac:dyDescent="0.3">
      <c r="A349" s="362" cm="1">
        <f t="array" aca="1" ref="A349" ca="1">HYPERLINK(CONCATENATE("#",CELL("address",IF(SUM($CA349:$CR349)=0,A349,INDEX($CA349:$CR349,MATCH(1,$CA349:$CR349,0))))),SUM($CA349:$CR349))</f>
        <v>0</v>
      </c>
      <c r="B349" s="105" t="s">
        <v>335</v>
      </c>
      <c r="D349" s="51" t="s">
        <v>1630</v>
      </c>
      <c r="E349" s="220" t="str">
        <f>IF(I$28="", "", I$28)</f>
        <v/>
      </c>
      <c r="F349" s="220" t="str">
        <f>IF(J$28="", "", J$28)</f>
        <v/>
      </c>
      <c r="T349" s="25"/>
      <c r="U349" s="25"/>
      <c r="V349" s="230">
        <f>IF(AND(OR( V$5&gt;$F349, Timeline!V$8&lt;Loans!$E349), Loans!V347&lt;&gt;0), 1, 0)</f>
        <v>0</v>
      </c>
      <c r="W349" s="230">
        <f>IF(AND(OR( W$5&gt;$F349, Timeline!W$8&lt;Loans!$E349), Loans!W347&lt;&gt;0), 1, 0)</f>
        <v>0</v>
      </c>
      <c r="X349" s="230">
        <f>IF(AND(OR( X$5&gt;$F349, Timeline!X$8&lt;Loans!$E349), Loans!X347&lt;&gt;0), 1, 0)</f>
        <v>0</v>
      </c>
      <c r="Y349" s="230">
        <f>IF(AND(OR( Y$5&gt;$F349, Timeline!Y$8&lt;Loans!$E349), Loans!Y347&lt;&gt;0), 1, 0)</f>
        <v>0</v>
      </c>
      <c r="AA349" s="230">
        <f>IF(AND(OR( AA$5&gt;$F349, Timeline!AA$8&lt;Loans!$E349), Loans!AA347&lt;&gt;0), 1, 0)</f>
        <v>0</v>
      </c>
      <c r="AB349" s="230">
        <f>IF(AND(OR( AB$5&gt;$F349, Timeline!AB$8&lt;Loans!$E349), Loans!AB347&lt;&gt;0), 1, 0)</f>
        <v>0</v>
      </c>
      <c r="AC349" s="230">
        <f>IF(AND(OR( AC$5&gt;$F349, Timeline!AC$8&lt;Loans!$E349), Loans!AC347&lt;&gt;0), 1, 0)</f>
        <v>0</v>
      </c>
      <c r="AD349" s="230">
        <f>IF(AND(OR( AD$5&gt;$F349, Timeline!AD$8&lt;Loans!$E349), Loans!AD347&lt;&gt;0), 1, 0)</f>
        <v>0</v>
      </c>
      <c r="AE349" s="230">
        <f>IF(AND(OR( AE$5&gt;$F349, Timeline!AE$8&lt;Loans!$E349), Loans!AE347&lt;&gt;0), 1, 0)</f>
        <v>0</v>
      </c>
      <c r="AF349" s="230">
        <f>IF(AND(OR( AF$5&gt;$F349, Timeline!AF$8&lt;Loans!$E349), Loans!AF347&lt;&gt;0), 1, 0)</f>
        <v>0</v>
      </c>
      <c r="AG349" s="230">
        <f>IF(AND(OR( AG$5&gt;$F349, Timeline!AG$8&lt;Loans!$E349), Loans!AG347&lt;&gt;0), 1, 0)</f>
        <v>0</v>
      </c>
      <c r="AH349" s="230">
        <f>IF(AND(OR( AH$5&gt;$F349, Timeline!AH$8&lt;Loans!$E349), Loans!AH347&lt;&gt;0), 1, 0)</f>
        <v>0</v>
      </c>
      <c r="AI349" s="230">
        <f>IF(AND(OR( AI$5&gt;$F349, Timeline!AI$8&lt;Loans!$E349), Loans!AI347&lt;&gt;0), 1, 0)</f>
        <v>0</v>
      </c>
      <c r="AJ349" s="230">
        <f>IF(AND(OR( AJ$5&gt;$F349, Timeline!AJ$8&lt;Loans!$E349), Loans!AJ347&lt;&gt;0), 1, 0)</f>
        <v>0</v>
      </c>
      <c r="AK349" s="230">
        <f>IF(AND(OR( AK$5&gt;$F349, Timeline!AK$8&lt;Loans!$E349), Loans!AK347&lt;&gt;0), 1, 0)</f>
        <v>0</v>
      </c>
      <c r="AL349" s="230">
        <f>IF(AND(OR( AL$5&gt;$F349, Timeline!AL$8&lt;Loans!$E349), Loans!AL347&lt;&gt;0), 1, 0)</f>
        <v>0</v>
      </c>
      <c r="AM349" s="230">
        <f>IF(AND(OR( AM$5&gt;$F349, Timeline!AM$8&lt;Loans!$E349), Loans!AM347&lt;&gt;0), 1, 0)</f>
        <v>0</v>
      </c>
      <c r="AN349" s="230">
        <f>IF(AND(OR( AN$5&gt;$F349, Timeline!AN$8&lt;Loans!$E349), Loans!AN347&lt;&gt;0), 1, 0)</f>
        <v>0</v>
      </c>
      <c r="AO349" s="230">
        <f>IF(AND(OR( AO$5&gt;$F349, Timeline!AO$8&lt;Loans!$E349), Loans!AO347&lt;&gt;0), 1, 0)</f>
        <v>0</v>
      </c>
      <c r="AP349" s="230">
        <f>IF(AND(OR( AP$5&gt;$F349, Timeline!AP$8&lt;Loans!$E349), Loans!AP347&lt;&gt;0), 1, 0)</f>
        <v>0</v>
      </c>
      <c r="AQ349" s="230">
        <f>IF(AND(OR( AQ$5&gt;$F349, Timeline!AQ$8&lt;Loans!$E349), Loans!AQ347&lt;&gt;0), 1, 0)</f>
        <v>0</v>
      </c>
      <c r="AR349" s="230">
        <f>IF(AND(OR( AR$5&gt;$F349, Timeline!AR$8&lt;Loans!$E349), Loans!AR347&lt;&gt;0), 1, 0)</f>
        <v>0</v>
      </c>
      <c r="AS349" s="230">
        <f>IF(AND(OR( AS$5&gt;$F349, Timeline!AS$8&lt;Loans!$E349), Loans!AS347&lt;&gt;0), 1, 0)</f>
        <v>0</v>
      </c>
      <c r="AT349" s="230">
        <f>IF(AND(OR( AT$5&gt;$F349, Timeline!AT$8&lt;Loans!$E349), Loans!AT347&lt;&gt;0), 1, 0)</f>
        <v>0</v>
      </c>
      <c r="AU349" s="230">
        <f>IF(AND(OR( AU$5&gt;$F349, Timeline!AU$8&lt;Loans!$E349), Loans!AU347&lt;&gt;0), 1, 0)</f>
        <v>0</v>
      </c>
      <c r="AV349" s="230">
        <f>IF(AND(OR( AV$5&gt;$F349, Timeline!AV$8&lt;Loans!$E349), Loans!AV347&lt;&gt;0), 1, 0)</f>
        <v>0</v>
      </c>
      <c r="AW349" s="230">
        <f>IF(AND(OR( AW$5&gt;$F349, Timeline!AW$8&lt;Loans!$E349), Loans!AW347&lt;&gt;0), 1, 0)</f>
        <v>0</v>
      </c>
      <c r="AX349" s="230">
        <f>IF(AND(OR( AX$5&gt;$F349, Timeline!AX$8&lt;Loans!$E349), Loans!AX347&lt;&gt;0), 1, 0)</f>
        <v>0</v>
      </c>
      <c r="AY349" s="230">
        <f>IF(AND(OR( AY$5&gt;$F349, Timeline!AY$8&lt;Loans!$E349), Loans!AY347&lt;&gt;0), 1, 0)</f>
        <v>0</v>
      </c>
      <c r="AZ349" s="230">
        <f>IF(AND(OR( AZ$5&gt;$F349, Timeline!AZ$8&lt;Loans!$E349), Loans!AZ347&lt;&gt;0), 1, 0)</f>
        <v>0</v>
      </c>
      <c r="BA349" s="230">
        <f>IF(AND(OR( BA$5&gt;$F349, Timeline!BA$8&lt;Loans!$E349), Loans!BA347&lt;&gt;0), 1, 0)</f>
        <v>0</v>
      </c>
      <c r="BB349" s="230">
        <f>IF(AND(OR( BB$5&gt;$F349, Timeline!BB$8&lt;Loans!$E349), Loans!BB347&lt;&gt;0), 1, 0)</f>
        <v>0</v>
      </c>
      <c r="BC349" s="230">
        <f>IF(AND(OR( BC$5&gt;$F349, Timeline!BC$8&lt;Loans!$E349), Loans!BC347&lt;&gt;0), 1, 0)</f>
        <v>0</v>
      </c>
      <c r="BD349" s="230">
        <f>IF(AND(OR( BD$5&gt;$F349, Timeline!BD$8&lt;Loans!$E349), Loans!BD347&lt;&gt;0), 1, 0)</f>
        <v>0</v>
      </c>
      <c r="BE349" s="230">
        <f>IF(AND(OR( BE$5&gt;$F349, Timeline!BE$8&lt;Loans!$E349), Loans!BE347&lt;&gt;0), 1, 0)</f>
        <v>0</v>
      </c>
      <c r="BF349" s="230">
        <f>IF(AND(OR( BF$5&gt;$F349, Timeline!BF$8&lt;Loans!$E349), Loans!BF347&lt;&gt;0), 1, 0)</f>
        <v>0</v>
      </c>
      <c r="BG349" s="230">
        <f>IF(AND(OR( BG$5&gt;$F349, Timeline!BG$8&lt;Loans!$E349), Loans!BG347&lt;&gt;0), 1, 0)</f>
        <v>0</v>
      </c>
      <c r="BH349" s="230">
        <f>IF(AND(OR( BH$5&gt;$F349, Timeline!BH$8&lt;Loans!$E349), Loans!BH347&lt;&gt;0), 1, 0)</f>
        <v>0</v>
      </c>
      <c r="BI349" s="230">
        <f>IF(AND(OR( BI$5&gt;$F349, Timeline!BI$8&lt;Loans!$E349), Loans!BI347&lt;&gt;0), 1, 0)</f>
        <v>0</v>
      </c>
      <c r="BJ349" s="230">
        <f>IF(AND(OR( BJ$5&gt;$F349, Timeline!BJ$8&lt;Loans!$E349), Loans!BJ347&lt;&gt;0), 1, 0)</f>
        <v>0</v>
      </c>
      <c r="BL349" s="230">
        <f>IF(AND(OR( BL$5&gt;$F349, Timeline!BL$8&lt;Loans!$E349), Loans!BL347&lt;&gt;0), 1, 0)</f>
        <v>0</v>
      </c>
      <c r="BM349" s="230">
        <f>IF(AND(OR( BM$5&gt;$F349, Timeline!BM$8&lt;Loans!$E349), Loans!BM347&lt;&gt;0), 1, 0)</f>
        <v>0</v>
      </c>
      <c r="BN349" s="230">
        <f>IF(AND(OR( BN$5&gt;$F349, Timeline!BN$8&lt;Loans!$E349), Loans!BN347&lt;&gt;0), 1, 0)</f>
        <v>0</v>
      </c>
      <c r="BO349" s="230">
        <f>IF(AND(OR( BO$5&gt;$F349, Timeline!BO$8&lt;Loans!$E349), Loans!BO347&lt;&gt;0), 1, 0)</f>
        <v>0</v>
      </c>
      <c r="BP349" s="230">
        <f>IF(AND(OR( BP$5&gt;$F349, Timeline!BP$8&lt;Loans!$E349), Loans!BP347&lt;&gt;0), 1, 0)</f>
        <v>0</v>
      </c>
      <c r="BQ349" s="230">
        <f>IF(AND(OR( BQ$5&gt;$F349, Timeline!BQ$8&lt;Loans!$E349), Loans!BQ347&lt;&gt;0), 1, 0)</f>
        <v>0</v>
      </c>
      <c r="BR349" s="230">
        <f>IF(AND(OR( BR$5&gt;$F349, Timeline!BR$8&lt;Loans!$E349), Loans!BR347&lt;&gt;0), 1, 0)</f>
        <v>0</v>
      </c>
      <c r="BS349" s="230">
        <f>IF(AND(OR( BS$5&gt;$F349, Timeline!BS$8&lt;Loans!$E349), Loans!BS347&lt;&gt;0), 1, 0)</f>
        <v>0</v>
      </c>
      <c r="BT349" s="230">
        <f>IF(AND(OR( BT$5&gt;$F349, Timeline!BT$8&lt;Loans!$E349), Loans!BT347&lt;&gt;0), 1, 0)</f>
        <v>0</v>
      </c>
      <c r="BU349" s="230">
        <f>IF(AND(OR( BU$5&gt;$F349, Timeline!BU$8&lt;Loans!$E349), Loans!BU347&lt;&gt;0), 1, 0)</f>
        <v>0</v>
      </c>
      <c r="BV349" s="230">
        <f>IF(AND(OR( BV$5&gt;$F349, Timeline!BV$8&lt;Loans!$E349), Loans!BV347&lt;&gt;0), 1, 0)</f>
        <v>0</v>
      </c>
      <c r="BW349" s="230">
        <f>IF(AND(OR( BW$5&gt;$F349, Timeline!BW$8&lt;Loans!$E349), Loans!BW347&lt;&gt;0), 1, 0)</f>
        <v>0</v>
      </c>
      <c r="BY349" s="12"/>
      <c r="CA349" s="12"/>
      <c r="CL349" s="7">
        <f>IF(MAX($V349:$BW349)&gt;0, 1, 0)</f>
        <v>0</v>
      </c>
      <c r="CR349" s="12"/>
      <c r="CS349" s="93">
        <f t="shared" si="320"/>
        <v>1</v>
      </c>
      <c r="CT349" s="93">
        <v>0</v>
      </c>
      <c r="CU349" s="93">
        <v>0</v>
      </c>
      <c r="EX349" s="13" t="str">
        <f>IF(C349="", "", CONCATENATE(D332, " ",D349))</f>
        <v/>
      </c>
    </row>
    <row r="350" spans="1:154" s="335" customFormat="1" ht="6.6" customHeight="1" x14ac:dyDescent="0.25">
      <c r="C350" s="380"/>
      <c r="D350" s="1"/>
      <c r="T350" s="25"/>
      <c r="U350" s="25"/>
      <c r="V350" s="93"/>
      <c r="BM350" s="6"/>
      <c r="BY350" s="42"/>
      <c r="CA350" s="42"/>
      <c r="CR350" s="42"/>
      <c r="CS350" s="93">
        <f t="shared" si="320"/>
        <v>0</v>
      </c>
      <c r="CT350" s="93">
        <v>0</v>
      </c>
      <c r="CU350" s="93">
        <v>0</v>
      </c>
      <c r="EX350" s="10" t="str">
        <f t="shared" ref="EX350" si="368">IF($C350="","",$D350)</f>
        <v/>
      </c>
    </row>
    <row r="351" spans="1:154" s="67" customFormat="1" x14ac:dyDescent="0.25">
      <c r="A351" s="64"/>
      <c r="C351" s="380"/>
      <c r="D351" s="64" t="s">
        <v>206</v>
      </c>
      <c r="E351" s="64"/>
      <c r="F351" s="64"/>
      <c r="G351" s="64"/>
      <c r="H351" s="64"/>
      <c r="I351" s="64"/>
      <c r="L351" s="64"/>
      <c r="M351" s="64"/>
      <c r="N351" s="64"/>
      <c r="O351" s="64"/>
      <c r="P351" s="64"/>
      <c r="Q351" s="64"/>
      <c r="S351" s="335"/>
      <c r="T351" s="25"/>
      <c r="U351" s="25"/>
      <c r="V351" s="229"/>
      <c r="W351" s="25"/>
      <c r="X351" s="25"/>
      <c r="Y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L351" s="25"/>
      <c r="BM351" s="25"/>
      <c r="BN351" s="25"/>
      <c r="BO351" s="25"/>
      <c r="BP351" s="25"/>
      <c r="BQ351" s="25"/>
      <c r="BR351" s="25"/>
      <c r="BS351" s="25"/>
      <c r="BT351" s="25"/>
      <c r="BU351" s="25"/>
      <c r="BV351" s="25"/>
      <c r="BW351" s="25"/>
      <c r="BY351" s="12"/>
      <c r="BZ351" s="335"/>
      <c r="CA351" s="12"/>
      <c r="CB351" s="335"/>
      <c r="CC351" s="335"/>
      <c r="CD351" s="335"/>
      <c r="CE351" s="335"/>
      <c r="CM351" s="335"/>
      <c r="CN351" s="335"/>
      <c r="CO351" s="335"/>
      <c r="CP351" s="335"/>
      <c r="CR351" s="12"/>
      <c r="CS351" s="93">
        <f t="shared" si="320"/>
        <v>0</v>
      </c>
      <c r="CT351" s="93">
        <v>0</v>
      </c>
      <c r="CU351" s="93">
        <v>0</v>
      </c>
      <c r="EW351" s="335"/>
      <c r="EX351" s="10" t="str">
        <f t="shared" si="306"/>
        <v/>
      </c>
    </row>
    <row r="352" spans="1:154" s="67" customFormat="1" x14ac:dyDescent="0.25">
      <c r="C352" s="340" t="s">
        <v>1389</v>
      </c>
      <c r="D352" s="51" t="s">
        <v>230</v>
      </c>
      <c r="E352" s="1"/>
      <c r="G352" s="9" t="s">
        <v>413</v>
      </c>
      <c r="H352" s="50" t="s">
        <v>8</v>
      </c>
      <c r="S352" s="335"/>
      <c r="T352" s="25"/>
      <c r="U352" s="25"/>
      <c r="V352" s="210"/>
      <c r="W352" s="201">
        <f>V356</f>
        <v>0</v>
      </c>
      <c r="X352" s="201">
        <f>W356</f>
        <v>0</v>
      </c>
      <c r="Y352" s="10">
        <f>X356</f>
        <v>0</v>
      </c>
      <c r="AA352" s="13">
        <f>W352</f>
        <v>0</v>
      </c>
      <c r="AB352" s="10">
        <f t="shared" ref="AB352:BJ352" si="369">AA356</f>
        <v>0</v>
      </c>
      <c r="AC352" s="10">
        <f t="shared" si="369"/>
        <v>0</v>
      </c>
      <c r="AD352" s="10">
        <f t="shared" si="369"/>
        <v>0</v>
      </c>
      <c r="AE352" s="10">
        <f t="shared" si="369"/>
        <v>0</v>
      </c>
      <c r="AF352" s="10">
        <f t="shared" si="369"/>
        <v>0</v>
      </c>
      <c r="AG352" s="10">
        <f t="shared" si="369"/>
        <v>0</v>
      </c>
      <c r="AH352" s="10">
        <f t="shared" si="369"/>
        <v>0</v>
      </c>
      <c r="AI352" s="10">
        <f t="shared" si="369"/>
        <v>0</v>
      </c>
      <c r="AJ352" s="10">
        <f t="shared" si="369"/>
        <v>0</v>
      </c>
      <c r="AK352" s="10">
        <f t="shared" si="369"/>
        <v>0</v>
      </c>
      <c r="AL352" s="10">
        <f t="shared" si="369"/>
        <v>0</v>
      </c>
      <c r="AM352" s="10">
        <f t="shared" si="369"/>
        <v>0</v>
      </c>
      <c r="AN352" s="10">
        <f t="shared" si="369"/>
        <v>0</v>
      </c>
      <c r="AO352" s="10">
        <f t="shared" si="369"/>
        <v>0</v>
      </c>
      <c r="AP352" s="10">
        <f t="shared" si="369"/>
        <v>0</v>
      </c>
      <c r="AQ352" s="10">
        <f t="shared" si="369"/>
        <v>0</v>
      </c>
      <c r="AR352" s="10">
        <f t="shared" si="369"/>
        <v>0</v>
      </c>
      <c r="AS352" s="10">
        <f t="shared" si="369"/>
        <v>0</v>
      </c>
      <c r="AT352" s="10">
        <f t="shared" si="369"/>
        <v>0</v>
      </c>
      <c r="AU352" s="10">
        <f t="shared" si="369"/>
        <v>0</v>
      </c>
      <c r="AV352" s="10">
        <f t="shared" si="369"/>
        <v>0</v>
      </c>
      <c r="AW352" s="10">
        <f t="shared" si="369"/>
        <v>0</v>
      </c>
      <c r="AX352" s="10">
        <f t="shared" si="369"/>
        <v>0</v>
      </c>
      <c r="AY352" s="10">
        <f t="shared" si="369"/>
        <v>0</v>
      </c>
      <c r="AZ352" s="10">
        <f t="shared" si="369"/>
        <v>0</v>
      </c>
      <c r="BA352" s="10">
        <f t="shared" si="369"/>
        <v>0</v>
      </c>
      <c r="BB352" s="10">
        <f t="shared" si="369"/>
        <v>0</v>
      </c>
      <c r="BC352" s="10">
        <f t="shared" si="369"/>
        <v>0</v>
      </c>
      <c r="BD352" s="10">
        <f t="shared" si="369"/>
        <v>0</v>
      </c>
      <c r="BE352" s="10">
        <f t="shared" si="369"/>
        <v>0</v>
      </c>
      <c r="BF352" s="10">
        <f t="shared" si="369"/>
        <v>0</v>
      </c>
      <c r="BG352" s="10">
        <f t="shared" si="369"/>
        <v>0</v>
      </c>
      <c r="BH352" s="10">
        <f t="shared" si="369"/>
        <v>0</v>
      </c>
      <c r="BI352" s="10">
        <f t="shared" si="369"/>
        <v>0</v>
      </c>
      <c r="BJ352" s="10">
        <f t="shared" si="369"/>
        <v>0</v>
      </c>
      <c r="BL352" s="13">
        <f t="shared" ref="BL352:BO356" si="370">V352</f>
        <v>0</v>
      </c>
      <c r="BM352" s="13">
        <f t="shared" si="370"/>
        <v>0</v>
      </c>
      <c r="BN352" s="13">
        <f t="shared" si="370"/>
        <v>0</v>
      </c>
      <c r="BO352" s="13">
        <f t="shared" si="370"/>
        <v>0</v>
      </c>
      <c r="BP352" s="10">
        <f t="shared" ref="BP352:BW352" si="371">BO356</f>
        <v>0</v>
      </c>
      <c r="BQ352" s="10">
        <f t="shared" si="371"/>
        <v>0</v>
      </c>
      <c r="BR352" s="10">
        <f t="shared" si="371"/>
        <v>0</v>
      </c>
      <c r="BS352" s="10">
        <f t="shared" si="371"/>
        <v>0</v>
      </c>
      <c r="BT352" s="10">
        <f t="shared" si="371"/>
        <v>0</v>
      </c>
      <c r="BU352" s="10">
        <f t="shared" si="371"/>
        <v>0</v>
      </c>
      <c r="BV352" s="10">
        <f t="shared" si="371"/>
        <v>0</v>
      </c>
      <c r="BW352" s="10">
        <f t="shared" si="371"/>
        <v>0</v>
      </c>
      <c r="BY352" s="12"/>
      <c r="BZ352" s="335"/>
      <c r="CA352" s="12"/>
      <c r="CB352" s="335"/>
      <c r="CC352" s="335"/>
      <c r="CD352" s="335"/>
      <c r="CE352" s="335"/>
      <c r="CM352" s="335"/>
      <c r="CN352" s="335"/>
      <c r="CO352" s="335"/>
      <c r="CP352" s="335"/>
      <c r="CR352" s="12"/>
      <c r="CS352" s="93">
        <f t="shared" si="320"/>
        <v>0</v>
      </c>
      <c r="CT352" s="93">
        <v>1</v>
      </c>
      <c r="CU352" s="93">
        <v>0</v>
      </c>
      <c r="EW352" s="335"/>
      <c r="EX352" s="13" t="str">
        <f>IF(C352="", "", CONCATENATE(D351, " ",D352))</f>
        <v>Loan 17 Opening Loan Balance</v>
      </c>
    </row>
    <row r="353" spans="1:154" s="5" customFormat="1" x14ac:dyDescent="0.25">
      <c r="A353" s="362" cm="1">
        <f t="array" aca="1" ref="A353" ca="1">HYPERLINK(CONCATENATE("#",CELL("address",IF(SUM($CA353:$CR353)=0,A353,INDEX($CA353:$CR353,MATCH(1,$CA353:$CR353,0))))),SUM($CA353:$CR353))</f>
        <v>0</v>
      </c>
      <c r="B353" s="67"/>
      <c r="C353" s="340" t="s">
        <v>1243</v>
      </c>
      <c r="D353" s="51" t="s">
        <v>219</v>
      </c>
      <c r="E353" s="1"/>
      <c r="F353" s="67"/>
      <c r="G353" s="9" t="s">
        <v>413</v>
      </c>
      <c r="H353" s="50" t="s">
        <v>125</v>
      </c>
      <c r="I353" s="67"/>
      <c r="J353" s="67"/>
      <c r="K353" s="67"/>
      <c r="L353" s="67"/>
      <c r="M353" s="67"/>
      <c r="N353" s="67"/>
      <c r="O353" s="67"/>
      <c r="P353" s="67"/>
      <c r="Q353" s="67"/>
      <c r="R353" s="67"/>
      <c r="S353" s="335"/>
      <c r="T353" s="25"/>
      <c r="U353" s="25"/>
      <c r="V353" s="210"/>
      <c r="W353" s="215">
        <f t="shared" ref="W353:Y355" si="372" xml:space="preserve"> SUMIFS($AA353:$BJ353, $AA$3:$BJ$3, W$3)</f>
        <v>0</v>
      </c>
      <c r="X353" s="215">
        <f t="shared" si="372"/>
        <v>0</v>
      </c>
      <c r="Y353" s="215">
        <f t="shared" si="372"/>
        <v>0</v>
      </c>
      <c r="Z353" s="67"/>
      <c r="AA353" s="147"/>
      <c r="AB353" s="147"/>
      <c r="AC353" s="147"/>
      <c r="AD353" s="147"/>
      <c r="AE353" s="147"/>
      <c r="AF353" s="147"/>
      <c r="AG353" s="147"/>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c r="BI353" s="147"/>
      <c r="BJ353" s="147"/>
      <c r="BK353" s="67"/>
      <c r="BL353" s="13">
        <f t="shared" si="370"/>
        <v>0</v>
      </c>
      <c r="BM353" s="13">
        <f t="shared" si="370"/>
        <v>0</v>
      </c>
      <c r="BN353" s="13">
        <f t="shared" si="370"/>
        <v>0</v>
      </c>
      <c r="BO353" s="13">
        <f t="shared" si="370"/>
        <v>0</v>
      </c>
      <c r="BP353" s="141"/>
      <c r="BQ353" s="141"/>
      <c r="BR353" s="141"/>
      <c r="BS353" s="141"/>
      <c r="BT353" s="141"/>
      <c r="BU353" s="141"/>
      <c r="BV353" s="141"/>
      <c r="BW353" s="141"/>
      <c r="BX353" s="67"/>
      <c r="BY353" s="12"/>
      <c r="BZ353" s="395">
        <f>IF(MIN($V353:$BW353)&lt;0, 1, 0)</f>
        <v>0</v>
      </c>
      <c r="CA353" s="12"/>
      <c r="CB353" s="335"/>
      <c r="CC353" s="335"/>
      <c r="CD353" s="335"/>
      <c r="CE353" s="335"/>
      <c r="CF353" s="67"/>
      <c r="CG353" s="67"/>
      <c r="CH353" s="67"/>
      <c r="CI353" s="67"/>
      <c r="CJ353" s="67"/>
      <c r="CK353" s="67"/>
      <c r="CL353" s="67"/>
      <c r="CM353" s="7">
        <f t="shared" ref="CM353:CO355" si="373">IF(ROUND(W353-SUMIFS($AA353:$BJ353, $AA$3:$BJ$3, W$3), rounding)=0, 0, 1)</f>
        <v>0</v>
      </c>
      <c r="CN353" s="7">
        <f t="shared" si="373"/>
        <v>0</v>
      </c>
      <c r="CO353" s="7">
        <f t="shared" si="373"/>
        <v>0</v>
      </c>
      <c r="CP353" s="7">
        <f>IF(ROUND(V353-BL353, rounding)=0, 0, 1)*'BS Forecasts'!$V$10</f>
        <v>0</v>
      </c>
      <c r="CQ353" s="67"/>
      <c r="CR353" s="12"/>
      <c r="CS353" s="93">
        <f t="shared" si="320"/>
        <v>0</v>
      </c>
      <c r="CT353" s="93">
        <v>1</v>
      </c>
      <c r="CU353" s="93">
        <v>1</v>
      </c>
      <c r="EX353" s="13" t="str">
        <f>IF(C353="", "", CONCATENATE(D351, " ",D353))</f>
        <v>Loan 17 Drawdowns</v>
      </c>
    </row>
    <row r="354" spans="1:154" s="67" customFormat="1" x14ac:dyDescent="0.25">
      <c r="A354" s="362" cm="1">
        <f t="array" aca="1" ref="A354" ca="1">HYPERLINK(CONCATENATE("#",CELL("address",IF(SUM($CA354:$CR354)=0,A354,INDEX($CA354:$CR354,MATCH(1,$CA354:$CR354,0))))),SUM($CA354:$CR354))</f>
        <v>0</v>
      </c>
      <c r="C354" s="340" t="s">
        <v>1244</v>
      </c>
      <c r="D354" s="41" t="s">
        <v>1570</v>
      </c>
      <c r="E354" s="1"/>
      <c r="G354" s="9" t="s">
        <v>413</v>
      </c>
      <c r="H354" s="50" t="s">
        <v>157</v>
      </c>
      <c r="S354" s="335"/>
      <c r="T354" s="25"/>
      <c r="U354" s="25"/>
      <c r="V354" s="210"/>
      <c r="W354" s="215">
        <f t="shared" si="372"/>
        <v>0</v>
      </c>
      <c r="X354" s="215">
        <f t="shared" si="372"/>
        <v>0</v>
      </c>
      <c r="Y354" s="215">
        <f t="shared" si="372"/>
        <v>0</v>
      </c>
      <c r="AA354" s="147"/>
      <c r="AB354" s="147"/>
      <c r="AC354" s="147"/>
      <c r="AD354" s="147"/>
      <c r="AE354" s="147"/>
      <c r="AF354" s="147"/>
      <c r="AG354" s="147"/>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c r="BI354" s="147"/>
      <c r="BJ354" s="147"/>
      <c r="BL354" s="13">
        <f t="shared" si="370"/>
        <v>0</v>
      </c>
      <c r="BM354" s="13">
        <f t="shared" si="370"/>
        <v>0</v>
      </c>
      <c r="BN354" s="13">
        <f t="shared" si="370"/>
        <v>0</v>
      </c>
      <c r="BO354" s="13">
        <f t="shared" si="370"/>
        <v>0</v>
      </c>
      <c r="BP354" s="141"/>
      <c r="BQ354" s="141"/>
      <c r="BR354" s="141"/>
      <c r="BS354" s="141"/>
      <c r="BT354" s="141"/>
      <c r="BU354" s="141"/>
      <c r="BV354" s="141"/>
      <c r="BW354" s="141"/>
      <c r="BY354" s="12"/>
      <c r="BZ354" s="395">
        <f>IF(MAX($V354:$BW354)&gt;0, 1, 0)</f>
        <v>0</v>
      </c>
      <c r="CA354" s="12"/>
      <c r="CB354" s="335"/>
      <c r="CC354" s="335"/>
      <c r="CD354" s="335"/>
      <c r="CE354" s="335"/>
      <c r="CM354" s="7">
        <f t="shared" si="373"/>
        <v>0</v>
      </c>
      <c r="CN354" s="7">
        <f t="shared" si="373"/>
        <v>0</v>
      </c>
      <c r="CO354" s="7">
        <f t="shared" si="373"/>
        <v>0</v>
      </c>
      <c r="CP354" s="7">
        <f>IF(ROUND(V354-BL354, rounding)=0, 0, 1)*'BS Forecasts'!$V$10</f>
        <v>0</v>
      </c>
      <c r="CR354" s="12"/>
      <c r="CS354" s="93">
        <f t="shared" si="320"/>
        <v>0</v>
      </c>
      <c r="CT354" s="93">
        <v>1</v>
      </c>
      <c r="CU354" s="93">
        <v>1</v>
      </c>
      <c r="EW354" s="335"/>
      <c r="EX354" s="13" t="str">
        <f>IF(C354="", "", CONCATENATE(D351, " ",D354))</f>
        <v>Loan 17 Loan Capital Repayment (as per loan agreement)</v>
      </c>
    </row>
    <row r="355" spans="1:154" s="335" customFormat="1" x14ac:dyDescent="0.25">
      <c r="A355" s="362" cm="1">
        <f t="array" aca="1" ref="A355" ca="1">HYPERLINK(CONCATENATE("#",CELL("address",IF(SUM($CA355:$CR355)=0,A355,INDEX($CA355:$CR355,MATCH(1,$CA355:$CR355,0))))),SUM($CA355:$CR355))</f>
        <v>0</v>
      </c>
      <c r="C355" s="340" t="s">
        <v>1576</v>
      </c>
      <c r="D355" s="41" t="s">
        <v>1571</v>
      </c>
      <c r="E355" s="1"/>
      <c r="G355" s="9" t="s">
        <v>413</v>
      </c>
      <c r="H355" s="50" t="s">
        <v>157</v>
      </c>
      <c r="T355" s="25"/>
      <c r="U355" s="25"/>
      <c r="V355" s="210"/>
      <c r="W355" s="215">
        <f t="shared" si="372"/>
        <v>0</v>
      </c>
      <c r="X355" s="215">
        <f t="shared" si="372"/>
        <v>0</v>
      </c>
      <c r="Y355" s="215">
        <f t="shared" si="372"/>
        <v>0</v>
      </c>
      <c r="AA355" s="147"/>
      <c r="AB355" s="147"/>
      <c r="AC355" s="147"/>
      <c r="AD355" s="147"/>
      <c r="AE355" s="147"/>
      <c r="AF355" s="147"/>
      <c r="AG355" s="147"/>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c r="BI355" s="147"/>
      <c r="BJ355" s="147"/>
      <c r="BL355" s="13">
        <f t="shared" si="370"/>
        <v>0</v>
      </c>
      <c r="BM355" s="13">
        <f t="shared" si="370"/>
        <v>0</v>
      </c>
      <c r="BN355" s="13">
        <f t="shared" si="370"/>
        <v>0</v>
      </c>
      <c r="BO355" s="13">
        <f t="shared" si="370"/>
        <v>0</v>
      </c>
      <c r="BP355" s="141"/>
      <c r="BQ355" s="141"/>
      <c r="BR355" s="141"/>
      <c r="BS355" s="141"/>
      <c r="BT355" s="141"/>
      <c r="BU355" s="141"/>
      <c r="BV355" s="141"/>
      <c r="BW355" s="141"/>
      <c r="BY355" s="12"/>
      <c r="BZ355" s="395">
        <f>IF(MAX($V355:$BW355)&gt;0, 1, 0)</f>
        <v>0</v>
      </c>
      <c r="CA355" s="12"/>
      <c r="CM355" s="7">
        <f t="shared" si="373"/>
        <v>0</v>
      </c>
      <c r="CN355" s="7">
        <f t="shared" si="373"/>
        <v>0</v>
      </c>
      <c r="CO355" s="7">
        <f t="shared" si="373"/>
        <v>0</v>
      </c>
      <c r="CP355" s="7">
        <f>IF(ROUND(V355-BL355, rounding)=0, 0, 1)*'BS Forecasts'!$V$10</f>
        <v>0</v>
      </c>
      <c r="CR355" s="12"/>
      <c r="CS355" s="93">
        <f t="shared" si="320"/>
        <v>0</v>
      </c>
      <c r="CT355" s="93">
        <v>1</v>
      </c>
      <c r="CU355" s="93">
        <v>1</v>
      </c>
      <c r="EX355" s="13" t="str">
        <f>IF(C355="", "", CONCATENATE(D351, " ",D355))</f>
        <v xml:space="preserve">Loan 17 Early Repayment </v>
      </c>
    </row>
    <row r="356" spans="1:154" s="67" customFormat="1" x14ac:dyDescent="0.25">
      <c r="C356" s="340" t="s">
        <v>1369</v>
      </c>
      <c r="D356" s="51" t="s">
        <v>231</v>
      </c>
      <c r="E356" s="1"/>
      <c r="G356" s="9" t="s">
        <v>413</v>
      </c>
      <c r="H356" s="50" t="s">
        <v>8</v>
      </c>
      <c r="S356" s="335"/>
      <c r="T356" s="25"/>
      <c r="U356" s="25"/>
      <c r="V356" s="13">
        <f>$G$29</f>
        <v>0</v>
      </c>
      <c r="W356" s="10">
        <f>SUM(W352:W355)</f>
        <v>0</v>
      </c>
      <c r="X356" s="10">
        <f t="shared" ref="X356:BI356" si="374">SUM(X352:X355)</f>
        <v>0</v>
      </c>
      <c r="Y356" s="10">
        <f t="shared" si="374"/>
        <v>0</v>
      </c>
      <c r="Z356" s="335"/>
      <c r="AA356" s="10">
        <f t="shared" si="374"/>
        <v>0</v>
      </c>
      <c r="AB356" s="10">
        <f t="shared" si="374"/>
        <v>0</v>
      </c>
      <c r="AC356" s="10">
        <f t="shared" si="374"/>
        <v>0</v>
      </c>
      <c r="AD356" s="10">
        <f t="shared" si="374"/>
        <v>0</v>
      </c>
      <c r="AE356" s="10">
        <f t="shared" si="374"/>
        <v>0</v>
      </c>
      <c r="AF356" s="10">
        <f t="shared" si="374"/>
        <v>0</v>
      </c>
      <c r="AG356" s="10">
        <f t="shared" si="374"/>
        <v>0</v>
      </c>
      <c r="AH356" s="10">
        <f t="shared" si="374"/>
        <v>0</v>
      </c>
      <c r="AI356" s="10">
        <f t="shared" si="374"/>
        <v>0</v>
      </c>
      <c r="AJ356" s="10">
        <f t="shared" si="374"/>
        <v>0</v>
      </c>
      <c r="AK356" s="10">
        <f t="shared" si="374"/>
        <v>0</v>
      </c>
      <c r="AL356" s="10">
        <f t="shared" si="374"/>
        <v>0</v>
      </c>
      <c r="AM356" s="10">
        <f t="shared" si="374"/>
        <v>0</v>
      </c>
      <c r="AN356" s="10">
        <f t="shared" si="374"/>
        <v>0</v>
      </c>
      <c r="AO356" s="10">
        <f t="shared" si="374"/>
        <v>0</v>
      </c>
      <c r="AP356" s="10">
        <f t="shared" si="374"/>
        <v>0</v>
      </c>
      <c r="AQ356" s="10">
        <f t="shared" si="374"/>
        <v>0</v>
      </c>
      <c r="AR356" s="10">
        <f t="shared" si="374"/>
        <v>0</v>
      </c>
      <c r="AS356" s="10">
        <f t="shared" si="374"/>
        <v>0</v>
      </c>
      <c r="AT356" s="10">
        <f t="shared" si="374"/>
        <v>0</v>
      </c>
      <c r="AU356" s="10">
        <f t="shared" si="374"/>
        <v>0</v>
      </c>
      <c r="AV356" s="10">
        <f t="shared" si="374"/>
        <v>0</v>
      </c>
      <c r="AW356" s="10">
        <f t="shared" si="374"/>
        <v>0</v>
      </c>
      <c r="AX356" s="10">
        <f t="shared" si="374"/>
        <v>0</v>
      </c>
      <c r="AY356" s="10">
        <f t="shared" si="374"/>
        <v>0</v>
      </c>
      <c r="AZ356" s="10">
        <f t="shared" si="374"/>
        <v>0</v>
      </c>
      <c r="BA356" s="10">
        <f t="shared" si="374"/>
        <v>0</v>
      </c>
      <c r="BB356" s="10">
        <f t="shared" si="374"/>
        <v>0</v>
      </c>
      <c r="BC356" s="10">
        <f t="shared" si="374"/>
        <v>0</v>
      </c>
      <c r="BD356" s="10">
        <f t="shared" si="374"/>
        <v>0</v>
      </c>
      <c r="BE356" s="10">
        <f t="shared" si="374"/>
        <v>0</v>
      </c>
      <c r="BF356" s="10">
        <f t="shared" si="374"/>
        <v>0</v>
      </c>
      <c r="BG356" s="10">
        <f t="shared" si="374"/>
        <v>0</v>
      </c>
      <c r="BH356" s="10">
        <f t="shared" si="374"/>
        <v>0</v>
      </c>
      <c r="BI356" s="10">
        <f t="shared" si="374"/>
        <v>0</v>
      </c>
      <c r="BJ356" s="10">
        <f>SUM(BJ352:BJ355)</f>
        <v>0</v>
      </c>
      <c r="BL356" s="152">
        <f t="shared" si="370"/>
        <v>0</v>
      </c>
      <c r="BM356" s="152">
        <f t="shared" si="370"/>
        <v>0</v>
      </c>
      <c r="BN356" s="152">
        <f t="shared" si="370"/>
        <v>0</v>
      </c>
      <c r="BO356" s="152">
        <f t="shared" si="370"/>
        <v>0</v>
      </c>
      <c r="BP356" s="10">
        <f t="shared" ref="BP356:BW356" si="375">SUM(BP352:BP355)</f>
        <v>0</v>
      </c>
      <c r="BQ356" s="10">
        <f t="shared" si="375"/>
        <v>0</v>
      </c>
      <c r="BR356" s="10">
        <f t="shared" si="375"/>
        <v>0</v>
      </c>
      <c r="BS356" s="10">
        <f t="shared" si="375"/>
        <v>0</v>
      </c>
      <c r="BT356" s="10">
        <f t="shared" si="375"/>
        <v>0</v>
      </c>
      <c r="BU356" s="10">
        <f t="shared" si="375"/>
        <v>0</v>
      </c>
      <c r="BV356" s="10">
        <f t="shared" si="375"/>
        <v>0</v>
      </c>
      <c r="BW356" s="10">
        <f t="shared" si="375"/>
        <v>0</v>
      </c>
      <c r="BY356" s="12"/>
      <c r="BZ356" s="335"/>
      <c r="CA356" s="12"/>
      <c r="CB356" s="335"/>
      <c r="CC356" s="335"/>
      <c r="CD356" s="335"/>
      <c r="CE356" s="335"/>
      <c r="CM356" s="335"/>
      <c r="CN356" s="335"/>
      <c r="CO356" s="335"/>
      <c r="CP356" s="335"/>
      <c r="CR356" s="12"/>
      <c r="CS356" s="93">
        <f t="shared" si="320"/>
        <v>0</v>
      </c>
      <c r="CT356" s="93">
        <v>0</v>
      </c>
      <c r="CU356" s="93">
        <v>0</v>
      </c>
      <c r="EW356" s="335"/>
      <c r="EX356" s="13" t="str">
        <f>IF(C356="", "", CONCATENATE(D351, " ",D356))</f>
        <v>Loan 17 Closing Loan Balance</v>
      </c>
    </row>
    <row r="357" spans="1:154" s="67" customFormat="1" ht="6.6" customHeight="1" x14ac:dyDescent="0.25">
      <c r="C357" s="380"/>
      <c r="D357" s="1"/>
      <c r="S357" s="335"/>
      <c r="T357" s="25"/>
      <c r="U357" s="25"/>
      <c r="V357" s="93"/>
      <c r="BM357" s="6"/>
      <c r="BY357" s="42"/>
      <c r="BZ357" s="335"/>
      <c r="CA357" s="42"/>
      <c r="CB357" s="335"/>
      <c r="CC357" s="335"/>
      <c r="CD357" s="335"/>
      <c r="CE357" s="335"/>
      <c r="CM357" s="335"/>
      <c r="CN357" s="335"/>
      <c r="CO357" s="335"/>
      <c r="CP357" s="335"/>
      <c r="CR357" s="42"/>
      <c r="CS357" s="93">
        <f t="shared" si="320"/>
        <v>0</v>
      </c>
      <c r="CT357" s="93">
        <v>0</v>
      </c>
      <c r="CU357" s="93">
        <v>0</v>
      </c>
      <c r="EW357" s="335"/>
      <c r="EX357" s="13" t="str">
        <f>IF(C357="", "", CONCATENATE(D351, " ",D357))</f>
        <v/>
      </c>
    </row>
    <row r="358" spans="1:154" s="67" customFormat="1" x14ac:dyDescent="0.25">
      <c r="A358" s="362" cm="1">
        <f t="array" aca="1" ref="A358" ca="1">HYPERLINK(CONCATENATE("#",CELL("address",IF(SUM($CA358:$CR358)=0,A358,INDEX($CA358:$CR358,MATCH(1,$CA358:$CR358,0))))),SUM($CA358:$CR358))</f>
        <v>0</v>
      </c>
      <c r="C358" s="380"/>
      <c r="D358" s="51" t="s">
        <v>526</v>
      </c>
      <c r="E358" s="160" t="s">
        <v>523</v>
      </c>
      <c r="F358" s="10">
        <f>$F$29</f>
        <v>0</v>
      </c>
      <c r="S358" s="335"/>
      <c r="T358" s="25"/>
      <c r="U358" s="25"/>
      <c r="V358" s="188">
        <f>IF(OR(V356&gt;$F358, V356&lt;0), 1, 0)</f>
        <v>0</v>
      </c>
      <c r="W358" s="7">
        <f>IF(OR(W356&gt;$F358, W356&lt;0), 1, 0)</f>
        <v>0</v>
      </c>
      <c r="X358" s="7">
        <f>IF(OR(X356&gt;$F358, X356&lt;0), 1, 0)</f>
        <v>0</v>
      </c>
      <c r="Y358" s="7">
        <f>IF(OR(Y356&gt;$F358, Y356&lt;0), 1, 0)</f>
        <v>0</v>
      </c>
      <c r="AA358" s="7">
        <f t="shared" ref="AA358:BJ358" si="376">IF(OR(AA356&gt;$F358, AA356&lt;0), 1, 0)</f>
        <v>0</v>
      </c>
      <c r="AB358" s="7">
        <f t="shared" si="376"/>
        <v>0</v>
      </c>
      <c r="AC358" s="7">
        <f t="shared" si="376"/>
        <v>0</v>
      </c>
      <c r="AD358" s="7">
        <f t="shared" si="376"/>
        <v>0</v>
      </c>
      <c r="AE358" s="7">
        <f t="shared" si="376"/>
        <v>0</v>
      </c>
      <c r="AF358" s="7">
        <f t="shared" si="376"/>
        <v>0</v>
      </c>
      <c r="AG358" s="7">
        <f t="shared" si="376"/>
        <v>0</v>
      </c>
      <c r="AH358" s="7">
        <f t="shared" si="376"/>
        <v>0</v>
      </c>
      <c r="AI358" s="7">
        <f t="shared" si="376"/>
        <v>0</v>
      </c>
      <c r="AJ358" s="7">
        <f t="shared" si="376"/>
        <v>0</v>
      </c>
      <c r="AK358" s="7">
        <f t="shared" si="376"/>
        <v>0</v>
      </c>
      <c r="AL358" s="7">
        <f t="shared" si="376"/>
        <v>0</v>
      </c>
      <c r="AM358" s="7">
        <f t="shared" si="376"/>
        <v>0</v>
      </c>
      <c r="AN358" s="7">
        <f t="shared" si="376"/>
        <v>0</v>
      </c>
      <c r="AO358" s="7">
        <f t="shared" si="376"/>
        <v>0</v>
      </c>
      <c r="AP358" s="7">
        <f t="shared" si="376"/>
        <v>0</v>
      </c>
      <c r="AQ358" s="7">
        <f t="shared" si="376"/>
        <v>0</v>
      </c>
      <c r="AR358" s="7">
        <f t="shared" si="376"/>
        <v>0</v>
      </c>
      <c r="AS358" s="7">
        <f t="shared" si="376"/>
        <v>0</v>
      </c>
      <c r="AT358" s="7">
        <f t="shared" si="376"/>
        <v>0</v>
      </c>
      <c r="AU358" s="7">
        <f t="shared" si="376"/>
        <v>0</v>
      </c>
      <c r="AV358" s="7">
        <f t="shared" si="376"/>
        <v>0</v>
      </c>
      <c r="AW358" s="7">
        <f t="shared" si="376"/>
        <v>0</v>
      </c>
      <c r="AX358" s="7">
        <f t="shared" si="376"/>
        <v>0</v>
      </c>
      <c r="AY358" s="7">
        <f t="shared" si="376"/>
        <v>0</v>
      </c>
      <c r="AZ358" s="7">
        <f t="shared" si="376"/>
        <v>0</v>
      </c>
      <c r="BA358" s="7">
        <f t="shared" si="376"/>
        <v>0</v>
      </c>
      <c r="BB358" s="7">
        <f t="shared" si="376"/>
        <v>0</v>
      </c>
      <c r="BC358" s="7">
        <f t="shared" si="376"/>
        <v>0</v>
      </c>
      <c r="BD358" s="7">
        <f t="shared" si="376"/>
        <v>0</v>
      </c>
      <c r="BE358" s="7">
        <f t="shared" si="376"/>
        <v>0</v>
      </c>
      <c r="BF358" s="7">
        <f t="shared" si="376"/>
        <v>0</v>
      </c>
      <c r="BG358" s="7">
        <f t="shared" si="376"/>
        <v>0</v>
      </c>
      <c r="BH358" s="7">
        <f t="shared" si="376"/>
        <v>0</v>
      </c>
      <c r="BI358" s="7">
        <f t="shared" si="376"/>
        <v>0</v>
      </c>
      <c r="BJ358" s="7">
        <f t="shared" si="376"/>
        <v>0</v>
      </c>
      <c r="BL358" s="7">
        <f t="shared" ref="BL358" si="377">IF(OR(BL356&gt;$F358, BL356&lt;0), 1, 0)</f>
        <v>0</v>
      </c>
      <c r="BM358" s="7">
        <f t="shared" ref="BM358:BW358" si="378">IF(OR(BM356&gt;$F358, BM356&lt;0), 1, 0)</f>
        <v>0</v>
      </c>
      <c r="BN358" s="7">
        <f t="shared" si="378"/>
        <v>0</v>
      </c>
      <c r="BO358" s="7">
        <f t="shared" si="378"/>
        <v>0</v>
      </c>
      <c r="BP358" s="7">
        <f t="shared" si="378"/>
        <v>0</v>
      </c>
      <c r="BQ358" s="7">
        <f t="shared" si="378"/>
        <v>0</v>
      </c>
      <c r="BR358" s="7">
        <f t="shared" si="378"/>
        <v>0</v>
      </c>
      <c r="BS358" s="7">
        <f t="shared" si="378"/>
        <v>0</v>
      </c>
      <c r="BT358" s="7">
        <f t="shared" si="378"/>
        <v>0</v>
      </c>
      <c r="BU358" s="7">
        <f t="shared" si="378"/>
        <v>0</v>
      </c>
      <c r="BV358" s="7">
        <f t="shared" si="378"/>
        <v>0</v>
      </c>
      <c r="BW358" s="7">
        <f t="shared" si="378"/>
        <v>0</v>
      </c>
      <c r="BY358" s="12"/>
      <c r="BZ358" s="335"/>
      <c r="CA358" s="12"/>
      <c r="CB358" s="335"/>
      <c r="CC358" s="335"/>
      <c r="CD358" s="335"/>
      <c r="CE358" s="335"/>
      <c r="CL358" s="7">
        <f>IF(MAX(V358:BW358)&gt;0, 1, 0)</f>
        <v>0</v>
      </c>
      <c r="CM358" s="335"/>
      <c r="CN358" s="335"/>
      <c r="CO358" s="335"/>
      <c r="CP358" s="335"/>
      <c r="CR358" s="12"/>
      <c r="CS358" s="93">
        <f t="shared" si="320"/>
        <v>1</v>
      </c>
      <c r="CT358" s="93">
        <v>0</v>
      </c>
      <c r="CU358" s="93">
        <v>0</v>
      </c>
      <c r="EW358" s="335"/>
      <c r="EX358" s="13" t="str">
        <f>IF(C358="", "", CONCATENATE(D351, " ",D358))</f>
        <v/>
      </c>
    </row>
    <row r="359" spans="1:154" s="67" customFormat="1" x14ac:dyDescent="0.25">
      <c r="A359" s="362" cm="1">
        <f t="array" aca="1" ref="A359" ca="1">HYPERLINK(CONCATENATE("#",CELL("address",IF(SUM($CA359:$CR359)=0,A359,INDEX($CA359:$CR359,MATCH(1,$CA359:$CR359,0))))),SUM($CA359:$CR359))</f>
        <v>0</v>
      </c>
      <c r="C359" s="380"/>
      <c r="D359" s="51" t="s">
        <v>220</v>
      </c>
      <c r="E359" s="160" t="s">
        <v>524</v>
      </c>
      <c r="F359" s="159" t="str">
        <f>IF($J$29="", "", $J$29)</f>
        <v/>
      </c>
      <c r="S359" s="335"/>
      <c r="T359" s="25"/>
      <c r="U359" s="25"/>
      <c r="V359" s="230">
        <f>IF(AND(V$5&gt;=$F359,SUM(V356:$Y356)&lt;&gt;0),1,0)</f>
        <v>0</v>
      </c>
      <c r="W359" s="230">
        <f>IF(AND(W$5&gt;=$F359,SUM(W356:$Y356)&lt;&gt;0),1,0)</f>
        <v>0</v>
      </c>
      <c r="X359" s="230">
        <f>IF(AND(X$5&gt;=$F359,SUM(X356:$Y356)&lt;&gt;0),1,0)</f>
        <v>0</v>
      </c>
      <c r="Y359" s="230">
        <f>IF(AND(Y$5&gt;=$F359,SUM(Y356:$Y356)&lt;&gt;0),1,0)</f>
        <v>0</v>
      </c>
      <c r="AA359" s="154">
        <f>IF(AND(AA$5&gt;=$F359,SUM(AA356:$BJ356)&lt;&gt;0),1,0)</f>
        <v>0</v>
      </c>
      <c r="AB359" s="154">
        <f>IF(AND(AB$5&gt;=$F359,SUM(AB356:$BJ356)&lt;&gt;0),1,0)</f>
        <v>0</v>
      </c>
      <c r="AC359" s="154">
        <f>IF(AND(AC$5&gt;=$F359,SUM(AC356:$BJ356)&lt;&gt;0),1,0)</f>
        <v>0</v>
      </c>
      <c r="AD359" s="154">
        <f>IF(AND(AD$5&gt;=$F359,SUM(AD356:$BJ356)&lt;&gt;0),1,0)</f>
        <v>0</v>
      </c>
      <c r="AE359" s="154">
        <f>IF(AND(AE$5&gt;=$F359,SUM(AE356:$BJ356)&lt;&gt;0),1,0)</f>
        <v>0</v>
      </c>
      <c r="AF359" s="154">
        <f>IF(AND(AF$5&gt;=$F359,SUM(AF356:$BJ356)&lt;&gt;0),1,0)</f>
        <v>0</v>
      </c>
      <c r="AG359" s="154">
        <f>IF(AND(AG$5&gt;=$F359,SUM(AG356:$BJ356)&lt;&gt;0),1,0)</f>
        <v>0</v>
      </c>
      <c r="AH359" s="154">
        <f>IF(AND(AH$5&gt;=$F359,SUM(AH356:$BJ356)&lt;&gt;0),1,0)</f>
        <v>0</v>
      </c>
      <c r="AI359" s="154">
        <f>IF(AND(AI$5&gt;=$F359,SUM(AI356:$BJ356)&lt;&gt;0),1,0)</f>
        <v>0</v>
      </c>
      <c r="AJ359" s="154">
        <f>IF(AND(AJ$5&gt;=$F359,SUM(AJ356:$BJ356)&lt;&gt;0),1,0)</f>
        <v>0</v>
      </c>
      <c r="AK359" s="154">
        <f>IF(AND(AK$5&gt;=$F359,SUM(AK356:$BJ356)&lt;&gt;0),1,0)</f>
        <v>0</v>
      </c>
      <c r="AL359" s="154">
        <f>IF(AND(AL$5&gt;=$F359,SUM(AL356:$BJ356)&lt;&gt;0),1,0)</f>
        <v>0</v>
      </c>
      <c r="AM359" s="154">
        <f>IF(AND(AM$5&gt;=$F359,SUM(AM356:$BJ356)&lt;&gt;0),1,0)</f>
        <v>0</v>
      </c>
      <c r="AN359" s="154">
        <f>IF(AND(AN$5&gt;=$F359,SUM(AN356:$BJ356)&lt;&gt;0),1,0)</f>
        <v>0</v>
      </c>
      <c r="AO359" s="154">
        <f>IF(AND(AO$5&gt;=$F359,SUM(AO356:$BJ356)&lt;&gt;0),1,0)</f>
        <v>0</v>
      </c>
      <c r="AP359" s="154">
        <f>IF(AND(AP$5&gt;=$F359,SUM(AP356:$BJ356)&lt;&gt;0),1,0)</f>
        <v>0</v>
      </c>
      <c r="AQ359" s="154">
        <f>IF(AND(AQ$5&gt;=$F359,SUM(AQ356:$BJ356)&lt;&gt;0),1,0)</f>
        <v>0</v>
      </c>
      <c r="AR359" s="154">
        <f>IF(AND(AR$5&gt;=$F359,SUM(AR356:$BJ356)&lt;&gt;0),1,0)</f>
        <v>0</v>
      </c>
      <c r="AS359" s="154">
        <f>IF(AND(AS$5&gt;=$F359,SUM(AS356:$BJ356)&lt;&gt;0),1,0)</f>
        <v>0</v>
      </c>
      <c r="AT359" s="154">
        <f>IF(AND(AT$5&gt;=$F359,SUM(AT356:$BJ356)&lt;&gt;0),1,0)</f>
        <v>0</v>
      </c>
      <c r="AU359" s="154">
        <f>IF(AND(AU$5&gt;=$F359,SUM(AU356:$BJ356)&lt;&gt;0),1,0)</f>
        <v>0</v>
      </c>
      <c r="AV359" s="154">
        <f>IF(AND(AV$5&gt;=$F359,SUM(AV356:$BJ356)&lt;&gt;0),1,0)</f>
        <v>0</v>
      </c>
      <c r="AW359" s="154">
        <f>IF(AND(AW$5&gt;=$F359,SUM(AW356:$BJ356)&lt;&gt;0),1,0)</f>
        <v>0</v>
      </c>
      <c r="AX359" s="154">
        <f>IF(AND(AX$5&gt;=$F359,SUM(AX356:$BJ356)&lt;&gt;0),1,0)</f>
        <v>0</v>
      </c>
      <c r="AY359" s="154">
        <f>IF(AND(AY$5&gt;=$F359,SUM(AY356:$BJ356)&lt;&gt;0),1,0)</f>
        <v>0</v>
      </c>
      <c r="AZ359" s="154">
        <f>IF(AND(AZ$5&gt;=$F359,SUM(AZ356:$BJ356)&lt;&gt;0),1,0)</f>
        <v>0</v>
      </c>
      <c r="BA359" s="154">
        <f>IF(AND(BA$5&gt;=$F359,SUM(BA356:$BJ356)&lt;&gt;0),1,0)</f>
        <v>0</v>
      </c>
      <c r="BB359" s="154">
        <f>IF(AND(BB$5&gt;=$F359,SUM(BB356:$BJ356)&lt;&gt;0),1,0)</f>
        <v>0</v>
      </c>
      <c r="BC359" s="154">
        <f>IF(AND(BC$5&gt;=$F359,SUM(BC356:$BJ356)&lt;&gt;0),1,0)</f>
        <v>0</v>
      </c>
      <c r="BD359" s="154">
        <f>IF(AND(BD$5&gt;=$F359,SUM(BD356:$BJ356)&lt;&gt;0),1,0)</f>
        <v>0</v>
      </c>
      <c r="BE359" s="154">
        <f>IF(AND(BE$5&gt;=$F359,SUM(BE356:$BJ356)&lt;&gt;0),1,0)</f>
        <v>0</v>
      </c>
      <c r="BF359" s="154">
        <f>IF(AND(BF$5&gt;=$F359,SUM(BF356:$BJ356)&lt;&gt;0),1,0)</f>
        <v>0</v>
      </c>
      <c r="BG359" s="154">
        <f>IF(AND(BG$5&gt;=$F359,SUM(BG356:$BJ356)&lt;&gt;0),1,0)</f>
        <v>0</v>
      </c>
      <c r="BH359" s="154">
        <f>IF(AND(BH$5&gt;=$F359,SUM(BH356:$BJ356)&lt;&gt;0),1,0)</f>
        <v>0</v>
      </c>
      <c r="BI359" s="154">
        <f>IF(AND(BI$5&gt;=$F359,SUM(BI356:$BJ356)&lt;&gt;0),1,0)</f>
        <v>0</v>
      </c>
      <c r="BJ359" s="154">
        <f>IF(AND(BJ$5&gt;=$F359,SUM(BJ356:$BJ356)&lt;&gt;0),1,0)</f>
        <v>0</v>
      </c>
      <c r="BL359" s="154">
        <f>IF(AND(BL$5&gt;=$F359,SUM(BL356:$BW356)&lt;&gt;0),1,0)*BL$1150</f>
        <v>0</v>
      </c>
      <c r="BM359" s="154">
        <f>IF(AND(BM$5&gt;=$F359,SUM(BM356:$BW356)&lt;&gt;0),1,0)*BM$1150</f>
        <v>0</v>
      </c>
      <c r="BN359" s="154">
        <f>IF(AND(BN$5&gt;=$F359,SUM(BN356:$BW356)&lt;&gt;0),1,0)*BN$1150</f>
        <v>0</v>
      </c>
      <c r="BO359" s="154">
        <f>IF(AND(BO$5&gt;=$F359,SUM(BO356:$BW356)&lt;&gt;0),1,0)*BO$1150</f>
        <v>0</v>
      </c>
      <c r="BP359" s="154">
        <f>IF(AND(BP$5&gt;=$F359,SUM(BP356:$BW356)&lt;&gt;0),1,0)*BP$1150</f>
        <v>0</v>
      </c>
      <c r="BQ359" s="154">
        <f>IF(AND(BQ$5&gt;=$F359,SUM(BQ356:$BW356)&lt;&gt;0),1,0)*BQ$1150</f>
        <v>0</v>
      </c>
      <c r="BR359" s="154">
        <f>IF(AND(BR$5&gt;=$F359,SUM(BR356:$BW356)&lt;&gt;0),1,0)*BR$1150</f>
        <v>0</v>
      </c>
      <c r="BS359" s="154">
        <f>IF(AND(BS$5&gt;=$F359,SUM(BS356:$BW356)&lt;&gt;0),1,0)*BS$1150</f>
        <v>0</v>
      </c>
      <c r="BT359" s="154">
        <f>IF(AND(BT$5&gt;=$F359,SUM(BT356:$BW356)&lt;&gt;0),1,0)*BT$1150</f>
        <v>0</v>
      </c>
      <c r="BU359" s="154">
        <f>IF(AND(BU$5&gt;=$F359,SUM(BU356:$BW356)&lt;&gt;0),1,0)*BU$1150</f>
        <v>0</v>
      </c>
      <c r="BV359" s="154">
        <f>IF(AND(BV$5&gt;=$F359,SUM(BV356:$BW356)&lt;&gt;0),1,0)*BV$1150</f>
        <v>0</v>
      </c>
      <c r="BW359" s="154">
        <f>IF(AND(BW$5&gt;=$F359,SUM(BW356:$BW356)&lt;&gt;0),1,0)*BW$1150</f>
        <v>0</v>
      </c>
      <c r="BY359" s="12"/>
      <c r="BZ359" s="335"/>
      <c r="CA359" s="12"/>
      <c r="CB359" s="335"/>
      <c r="CC359" s="335"/>
      <c r="CD359" s="335"/>
      <c r="CE359" s="335"/>
      <c r="CL359" s="7">
        <f>IF(MAX($V359:$BW359)&gt;0, 1, 0)</f>
        <v>0</v>
      </c>
      <c r="CM359" s="335"/>
      <c r="CN359" s="335"/>
      <c r="CO359" s="335"/>
      <c r="CP359" s="335"/>
      <c r="CR359" s="12"/>
      <c r="CS359" s="93">
        <f t="shared" si="320"/>
        <v>1</v>
      </c>
      <c r="CT359" s="93">
        <v>0</v>
      </c>
      <c r="CU359" s="93">
        <v>0</v>
      </c>
      <c r="EW359" s="335"/>
      <c r="EX359" s="13" t="str">
        <f>IF(C359="", "", CONCATENATE(D351, " ",D359))</f>
        <v/>
      </c>
    </row>
    <row r="360" spans="1:154" s="67" customFormat="1" ht="6.6" customHeight="1" x14ac:dyDescent="0.25">
      <c r="C360" s="380"/>
      <c r="D360" s="1"/>
      <c r="S360" s="335"/>
      <c r="T360" s="25"/>
      <c r="U360" s="25"/>
      <c r="V360" s="93"/>
      <c r="BM360" s="6"/>
      <c r="BY360" s="42"/>
      <c r="BZ360" s="335"/>
      <c r="CA360" s="42"/>
      <c r="CB360" s="335"/>
      <c r="CC360" s="335"/>
      <c r="CD360" s="335"/>
      <c r="CE360" s="335"/>
      <c r="CM360" s="335"/>
      <c r="CN360" s="335"/>
      <c r="CO360" s="335"/>
      <c r="CP360" s="335"/>
      <c r="CR360" s="42"/>
      <c r="CS360" s="93">
        <f t="shared" si="320"/>
        <v>0</v>
      </c>
      <c r="CT360" s="93">
        <v>0</v>
      </c>
      <c r="CU360" s="93">
        <v>0</v>
      </c>
      <c r="EW360" s="335"/>
      <c r="EX360" s="13" t="str">
        <f>IF(C360="", "", CONCATENATE(D351, " ",D360))</f>
        <v/>
      </c>
    </row>
    <row r="361" spans="1:154" s="67" customFormat="1" x14ac:dyDescent="0.25">
      <c r="C361" s="380"/>
      <c r="D361" s="51" t="s">
        <v>223</v>
      </c>
      <c r="E361" s="1"/>
      <c r="G361" s="9" t="s">
        <v>413</v>
      </c>
      <c r="H361" s="50" t="s">
        <v>8</v>
      </c>
      <c r="S361" s="335"/>
      <c r="T361" s="25"/>
      <c r="U361" s="25"/>
      <c r="V361" s="210"/>
      <c r="W361" s="201">
        <f>V364</f>
        <v>0</v>
      </c>
      <c r="X361" s="201">
        <f>W364</f>
        <v>0</v>
      </c>
      <c r="Y361" s="10">
        <f>X364</f>
        <v>0</v>
      </c>
      <c r="AA361" s="13">
        <f>W361</f>
        <v>0</v>
      </c>
      <c r="AB361" s="10">
        <f t="shared" ref="AB361:BJ361" si="379">AA364</f>
        <v>0</v>
      </c>
      <c r="AC361" s="10">
        <f t="shared" si="379"/>
        <v>0</v>
      </c>
      <c r="AD361" s="10">
        <f t="shared" si="379"/>
        <v>0</v>
      </c>
      <c r="AE361" s="10">
        <f t="shared" si="379"/>
        <v>0</v>
      </c>
      <c r="AF361" s="10">
        <f t="shared" si="379"/>
        <v>0</v>
      </c>
      <c r="AG361" s="10">
        <f t="shared" si="379"/>
        <v>0</v>
      </c>
      <c r="AH361" s="10">
        <f t="shared" si="379"/>
        <v>0</v>
      </c>
      <c r="AI361" s="10">
        <f t="shared" si="379"/>
        <v>0</v>
      </c>
      <c r="AJ361" s="10">
        <f t="shared" si="379"/>
        <v>0</v>
      </c>
      <c r="AK361" s="10">
        <f t="shared" si="379"/>
        <v>0</v>
      </c>
      <c r="AL361" s="10">
        <f t="shared" si="379"/>
        <v>0</v>
      </c>
      <c r="AM361" s="10">
        <f t="shared" si="379"/>
        <v>0</v>
      </c>
      <c r="AN361" s="10">
        <f t="shared" si="379"/>
        <v>0</v>
      </c>
      <c r="AO361" s="10">
        <f t="shared" si="379"/>
        <v>0</v>
      </c>
      <c r="AP361" s="10">
        <f t="shared" si="379"/>
        <v>0</v>
      </c>
      <c r="AQ361" s="10">
        <f t="shared" si="379"/>
        <v>0</v>
      </c>
      <c r="AR361" s="10">
        <f t="shared" si="379"/>
        <v>0</v>
      </c>
      <c r="AS361" s="10">
        <f t="shared" si="379"/>
        <v>0</v>
      </c>
      <c r="AT361" s="10">
        <f t="shared" si="379"/>
        <v>0</v>
      </c>
      <c r="AU361" s="10">
        <f t="shared" si="379"/>
        <v>0</v>
      </c>
      <c r="AV361" s="10">
        <f t="shared" si="379"/>
        <v>0</v>
      </c>
      <c r="AW361" s="10">
        <f t="shared" si="379"/>
        <v>0</v>
      </c>
      <c r="AX361" s="10">
        <f t="shared" si="379"/>
        <v>0</v>
      </c>
      <c r="AY361" s="10">
        <f t="shared" si="379"/>
        <v>0</v>
      </c>
      <c r="AZ361" s="10">
        <f t="shared" si="379"/>
        <v>0</v>
      </c>
      <c r="BA361" s="10">
        <f t="shared" si="379"/>
        <v>0</v>
      </c>
      <c r="BB361" s="10">
        <f t="shared" si="379"/>
        <v>0</v>
      </c>
      <c r="BC361" s="10">
        <f t="shared" si="379"/>
        <v>0</v>
      </c>
      <c r="BD361" s="10">
        <f t="shared" si="379"/>
        <v>0</v>
      </c>
      <c r="BE361" s="10">
        <f t="shared" si="379"/>
        <v>0</v>
      </c>
      <c r="BF361" s="10">
        <f t="shared" si="379"/>
        <v>0</v>
      </c>
      <c r="BG361" s="10">
        <f t="shared" si="379"/>
        <v>0</v>
      </c>
      <c r="BH361" s="10">
        <f t="shared" si="379"/>
        <v>0</v>
      </c>
      <c r="BI361" s="10">
        <f t="shared" si="379"/>
        <v>0</v>
      </c>
      <c r="BJ361" s="10">
        <f t="shared" si="379"/>
        <v>0</v>
      </c>
      <c r="BL361" s="13">
        <f t="shared" ref="BL361:BO364" si="380">V361</f>
        <v>0</v>
      </c>
      <c r="BM361" s="13">
        <f t="shared" si="380"/>
        <v>0</v>
      </c>
      <c r="BN361" s="13">
        <f t="shared" si="380"/>
        <v>0</v>
      </c>
      <c r="BO361" s="13">
        <f t="shared" si="380"/>
        <v>0</v>
      </c>
      <c r="BP361" s="10">
        <f t="shared" ref="BP361:BW361" si="381">BO364</f>
        <v>0</v>
      </c>
      <c r="BQ361" s="10">
        <f t="shared" si="381"/>
        <v>0</v>
      </c>
      <c r="BR361" s="10">
        <f t="shared" si="381"/>
        <v>0</v>
      </c>
      <c r="BS361" s="10">
        <f t="shared" si="381"/>
        <v>0</v>
      </c>
      <c r="BT361" s="10">
        <f t="shared" si="381"/>
        <v>0</v>
      </c>
      <c r="BU361" s="10">
        <f t="shared" si="381"/>
        <v>0</v>
      </c>
      <c r="BV361" s="10">
        <f t="shared" si="381"/>
        <v>0</v>
      </c>
      <c r="BW361" s="10">
        <f t="shared" si="381"/>
        <v>0</v>
      </c>
      <c r="BY361" s="12"/>
      <c r="BZ361" s="335"/>
      <c r="CA361" s="12"/>
      <c r="CB361" s="335"/>
      <c r="CC361" s="335"/>
      <c r="CD361" s="335"/>
      <c r="CE361" s="335"/>
      <c r="CM361" s="335"/>
      <c r="CN361" s="335"/>
      <c r="CO361" s="335"/>
      <c r="CP361" s="335"/>
      <c r="CR361" s="12"/>
      <c r="CS361" s="93">
        <f t="shared" si="320"/>
        <v>0</v>
      </c>
      <c r="CT361" s="93">
        <v>1</v>
      </c>
      <c r="CU361" s="93">
        <v>0</v>
      </c>
      <c r="EW361" s="335"/>
      <c r="EX361" s="13" t="str">
        <f>IF(C361="", "", CONCATENATE(D351, " ",D361))</f>
        <v/>
      </c>
    </row>
    <row r="362" spans="1:154" s="5" customFormat="1" ht="15.75" x14ac:dyDescent="0.3">
      <c r="A362" s="362" cm="1">
        <f t="array" aca="1" ref="A362" ca="1">HYPERLINK(CONCATENATE("#",CELL("address",IF(SUM($CA362:$CR362)=0,A362,INDEX($CA362:$CR362,MATCH(1,$CA362:$CR362,0))))),SUM($CA362:$CR362))</f>
        <v>0</v>
      </c>
      <c r="B362" s="105" t="s">
        <v>335</v>
      </c>
      <c r="C362" s="380"/>
      <c r="D362" s="51" t="s">
        <v>234</v>
      </c>
      <c r="E362" s="1"/>
      <c r="F362" s="67"/>
      <c r="G362" s="9" t="s">
        <v>413</v>
      </c>
      <c r="H362" s="50" t="s">
        <v>125</v>
      </c>
      <c r="I362" s="67"/>
      <c r="J362" s="67"/>
      <c r="K362" s="67"/>
      <c r="L362" s="67"/>
      <c r="M362" s="67"/>
      <c r="N362" s="67"/>
      <c r="O362" s="67"/>
      <c r="P362" s="67"/>
      <c r="Q362" s="67"/>
      <c r="R362" s="67"/>
      <c r="S362" s="335"/>
      <c r="T362" s="25"/>
      <c r="U362" s="25"/>
      <c r="V362" s="210"/>
      <c r="W362" s="215">
        <f t="shared" ref="W362:Y363" si="382" xml:space="preserve"> SUMIFS($AA362:$BJ362, $AA$3:$BJ$3, W$3)</f>
        <v>0</v>
      </c>
      <c r="X362" s="215">
        <f t="shared" si="382"/>
        <v>0</v>
      </c>
      <c r="Y362" s="215">
        <f t="shared" si="382"/>
        <v>0</v>
      </c>
      <c r="Z362" s="67"/>
      <c r="AA362" s="147"/>
      <c r="AB362" s="147"/>
      <c r="AC362" s="147"/>
      <c r="AD362" s="147"/>
      <c r="AE362" s="147"/>
      <c r="AF362" s="147"/>
      <c r="AG362" s="147"/>
      <c r="AH362" s="147"/>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c r="BI362" s="147"/>
      <c r="BJ362" s="147"/>
      <c r="BK362" s="67"/>
      <c r="BL362" s="13">
        <f t="shared" si="380"/>
        <v>0</v>
      </c>
      <c r="BM362" s="13">
        <f t="shared" si="380"/>
        <v>0</v>
      </c>
      <c r="BN362" s="13">
        <f t="shared" si="380"/>
        <v>0</v>
      </c>
      <c r="BO362" s="13">
        <f t="shared" si="380"/>
        <v>0</v>
      </c>
      <c r="BP362" s="141"/>
      <c r="BQ362" s="141"/>
      <c r="BR362" s="141"/>
      <c r="BS362" s="141"/>
      <c r="BT362" s="141"/>
      <c r="BU362" s="141"/>
      <c r="BV362" s="141"/>
      <c r="BW362" s="141"/>
      <c r="BX362" s="67"/>
      <c r="BY362" s="12"/>
      <c r="BZ362" s="395">
        <f>IF(MIN($V362:$BW362)&lt;0, 1, 0)</f>
        <v>0</v>
      </c>
      <c r="CA362" s="12"/>
      <c r="CB362" s="335"/>
      <c r="CC362" s="335"/>
      <c r="CD362" s="335"/>
      <c r="CE362" s="335"/>
      <c r="CF362" s="67"/>
      <c r="CG362" s="67"/>
      <c r="CH362" s="67"/>
      <c r="CI362" s="67"/>
      <c r="CJ362" s="67"/>
      <c r="CK362" s="67"/>
      <c r="CL362" s="67"/>
      <c r="CM362" s="7">
        <f t="shared" ref="CM362:CO363" si="383">IF(ROUND(W362-SUMIFS($AA362:$BJ362, $AA$3:$BJ$3, W$3), rounding)=0, 0, 1)</f>
        <v>0</v>
      </c>
      <c r="CN362" s="7">
        <f t="shared" si="383"/>
        <v>0</v>
      </c>
      <c r="CO362" s="7">
        <f t="shared" si="383"/>
        <v>0</v>
      </c>
      <c r="CP362" s="7">
        <f>IF(ROUND(V362-BL362, rounding)=0, 0, 1)*'BS Forecasts'!$V$10</f>
        <v>0</v>
      </c>
      <c r="CQ362" s="67"/>
      <c r="CR362" s="12"/>
      <c r="CS362" s="93">
        <f t="shared" si="320"/>
        <v>0</v>
      </c>
      <c r="CT362" s="93">
        <v>1</v>
      </c>
      <c r="CU362" s="93">
        <v>1</v>
      </c>
      <c r="EX362" s="13" t="str">
        <f>IF(C362="", "", CONCATENATE(D351, " ",D362))</f>
        <v/>
      </c>
    </row>
    <row r="363" spans="1:154" s="67" customFormat="1" ht="15.75" x14ac:dyDescent="0.3">
      <c r="A363" s="362" cm="1">
        <f t="array" aca="1" ref="A363" ca="1">HYPERLINK(CONCATENATE("#",CELL("address",IF(SUM($CA363:$CR363)=0,A363,INDEX($CA363:$CR363,MATCH(1,$CA363:$CR363,0))))),SUM($CA363:$CR363))</f>
        <v>0</v>
      </c>
      <c r="B363" s="105" t="s">
        <v>335</v>
      </c>
      <c r="C363" s="380"/>
      <c r="D363" s="51" t="s">
        <v>222</v>
      </c>
      <c r="E363" s="1"/>
      <c r="G363" s="9" t="s">
        <v>413</v>
      </c>
      <c r="H363" s="50" t="s">
        <v>157</v>
      </c>
      <c r="S363" s="335"/>
      <c r="T363" s="25"/>
      <c r="U363" s="25"/>
      <c r="V363" s="210"/>
      <c r="W363" s="215">
        <f t="shared" si="382"/>
        <v>0</v>
      </c>
      <c r="X363" s="215">
        <f t="shared" si="382"/>
        <v>0</v>
      </c>
      <c r="Y363" s="215">
        <f t="shared" si="382"/>
        <v>0</v>
      </c>
      <c r="AA363" s="147"/>
      <c r="AB363" s="147"/>
      <c r="AC363" s="147"/>
      <c r="AD363" s="147"/>
      <c r="AE363" s="147"/>
      <c r="AF363" s="147"/>
      <c r="AG363" s="147"/>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c r="BI363" s="147"/>
      <c r="BJ363" s="147"/>
      <c r="BL363" s="13">
        <f t="shared" si="380"/>
        <v>0</v>
      </c>
      <c r="BM363" s="13">
        <f t="shared" si="380"/>
        <v>0</v>
      </c>
      <c r="BN363" s="13">
        <f t="shared" si="380"/>
        <v>0</v>
      </c>
      <c r="BO363" s="13">
        <f t="shared" si="380"/>
        <v>0</v>
      </c>
      <c r="BP363" s="141"/>
      <c r="BQ363" s="141"/>
      <c r="BR363" s="141"/>
      <c r="BS363" s="141"/>
      <c r="BT363" s="141"/>
      <c r="BU363" s="141"/>
      <c r="BV363" s="141"/>
      <c r="BW363" s="141"/>
      <c r="BY363" s="12"/>
      <c r="BZ363" s="395">
        <f>IF(MAX($V363:$BW363)&gt;0, 1, 0)</f>
        <v>0</v>
      </c>
      <c r="CA363" s="12"/>
      <c r="CB363" s="335"/>
      <c r="CC363" s="335"/>
      <c r="CD363" s="335"/>
      <c r="CE363" s="335"/>
      <c r="CM363" s="7">
        <f t="shared" si="383"/>
        <v>0</v>
      </c>
      <c r="CN363" s="7">
        <f t="shared" si="383"/>
        <v>0</v>
      </c>
      <c r="CO363" s="7">
        <f t="shared" si="383"/>
        <v>0</v>
      </c>
      <c r="CP363" s="7">
        <f>IF(ROUND(V363-BL363, rounding)=0, 0, 1)*'BS Forecasts'!$V$10</f>
        <v>0</v>
      </c>
      <c r="CR363" s="12"/>
      <c r="CS363" s="93">
        <f t="shared" si="320"/>
        <v>0</v>
      </c>
      <c r="CT363" s="93">
        <v>1</v>
      </c>
      <c r="CU363" s="93">
        <v>1</v>
      </c>
      <c r="EW363" s="335"/>
      <c r="EX363" s="13" t="str">
        <f>IF(C363="", "", CONCATENATE(D351, " ",D363))</f>
        <v/>
      </c>
    </row>
    <row r="364" spans="1:154" s="67" customFormat="1" x14ac:dyDescent="0.25">
      <c r="C364" s="380"/>
      <c r="D364" s="51" t="s">
        <v>224</v>
      </c>
      <c r="E364" s="1"/>
      <c r="G364" s="9" t="s">
        <v>413</v>
      </c>
      <c r="H364" s="50" t="s">
        <v>8</v>
      </c>
      <c r="S364" s="335"/>
      <c r="T364" s="25"/>
      <c r="U364" s="25"/>
      <c r="V364" s="13">
        <f>$H$29</f>
        <v>0</v>
      </c>
      <c r="W364" s="10">
        <f>SUM(W361:W363)</f>
        <v>0</v>
      </c>
      <c r="X364" s="10">
        <f>SUM(X361:X363)</f>
        <v>0</v>
      </c>
      <c r="Y364" s="10">
        <f>SUM(Y361:Y363)</f>
        <v>0</v>
      </c>
      <c r="AA364" s="10">
        <f t="shared" ref="AA364:BJ364" si="384">SUM(AA361:AA363)</f>
        <v>0</v>
      </c>
      <c r="AB364" s="10">
        <f t="shared" si="384"/>
        <v>0</v>
      </c>
      <c r="AC364" s="10">
        <f t="shared" si="384"/>
        <v>0</v>
      </c>
      <c r="AD364" s="10">
        <f t="shared" si="384"/>
        <v>0</v>
      </c>
      <c r="AE364" s="10">
        <f t="shared" si="384"/>
        <v>0</v>
      </c>
      <c r="AF364" s="10">
        <f t="shared" si="384"/>
        <v>0</v>
      </c>
      <c r="AG364" s="10">
        <f t="shared" si="384"/>
        <v>0</v>
      </c>
      <c r="AH364" s="10">
        <f t="shared" si="384"/>
        <v>0</v>
      </c>
      <c r="AI364" s="10">
        <f t="shared" si="384"/>
        <v>0</v>
      </c>
      <c r="AJ364" s="10">
        <f t="shared" si="384"/>
        <v>0</v>
      </c>
      <c r="AK364" s="10">
        <f t="shared" si="384"/>
        <v>0</v>
      </c>
      <c r="AL364" s="10">
        <f t="shared" si="384"/>
        <v>0</v>
      </c>
      <c r="AM364" s="10">
        <f t="shared" si="384"/>
        <v>0</v>
      </c>
      <c r="AN364" s="10">
        <f t="shared" si="384"/>
        <v>0</v>
      </c>
      <c r="AO364" s="10">
        <f t="shared" si="384"/>
        <v>0</v>
      </c>
      <c r="AP364" s="10">
        <f t="shared" si="384"/>
        <v>0</v>
      </c>
      <c r="AQ364" s="10">
        <f t="shared" si="384"/>
        <v>0</v>
      </c>
      <c r="AR364" s="10">
        <f t="shared" si="384"/>
        <v>0</v>
      </c>
      <c r="AS364" s="10">
        <f t="shared" si="384"/>
        <v>0</v>
      </c>
      <c r="AT364" s="10">
        <f t="shared" si="384"/>
        <v>0</v>
      </c>
      <c r="AU364" s="10">
        <f t="shared" si="384"/>
        <v>0</v>
      </c>
      <c r="AV364" s="10">
        <f t="shared" si="384"/>
        <v>0</v>
      </c>
      <c r="AW364" s="10">
        <f t="shared" si="384"/>
        <v>0</v>
      </c>
      <c r="AX364" s="10">
        <f t="shared" si="384"/>
        <v>0</v>
      </c>
      <c r="AY364" s="10">
        <f t="shared" si="384"/>
        <v>0</v>
      </c>
      <c r="AZ364" s="10">
        <f t="shared" si="384"/>
        <v>0</v>
      </c>
      <c r="BA364" s="10">
        <f t="shared" si="384"/>
        <v>0</v>
      </c>
      <c r="BB364" s="10">
        <f t="shared" si="384"/>
        <v>0</v>
      </c>
      <c r="BC364" s="10">
        <f t="shared" si="384"/>
        <v>0</v>
      </c>
      <c r="BD364" s="10">
        <f t="shared" si="384"/>
        <v>0</v>
      </c>
      <c r="BE364" s="10">
        <f t="shared" si="384"/>
        <v>0</v>
      </c>
      <c r="BF364" s="10">
        <f t="shared" si="384"/>
        <v>0</v>
      </c>
      <c r="BG364" s="10">
        <f t="shared" si="384"/>
        <v>0</v>
      </c>
      <c r="BH364" s="10">
        <f t="shared" si="384"/>
        <v>0</v>
      </c>
      <c r="BI364" s="10">
        <f t="shared" si="384"/>
        <v>0</v>
      </c>
      <c r="BJ364" s="10">
        <f t="shared" si="384"/>
        <v>0</v>
      </c>
      <c r="BL364" s="152">
        <f t="shared" si="380"/>
        <v>0</v>
      </c>
      <c r="BM364" s="152">
        <f t="shared" si="380"/>
        <v>0</v>
      </c>
      <c r="BN364" s="152">
        <f t="shared" si="380"/>
        <v>0</v>
      </c>
      <c r="BO364" s="152">
        <f t="shared" si="380"/>
        <v>0</v>
      </c>
      <c r="BP364" s="10">
        <f t="shared" ref="BP364:BW364" si="385">SUM(BP361:BP363)</f>
        <v>0</v>
      </c>
      <c r="BQ364" s="10">
        <f t="shared" si="385"/>
        <v>0</v>
      </c>
      <c r="BR364" s="10">
        <f t="shared" si="385"/>
        <v>0</v>
      </c>
      <c r="BS364" s="10">
        <f t="shared" si="385"/>
        <v>0</v>
      </c>
      <c r="BT364" s="10">
        <f t="shared" si="385"/>
        <v>0</v>
      </c>
      <c r="BU364" s="10">
        <f t="shared" si="385"/>
        <v>0</v>
      </c>
      <c r="BV364" s="10">
        <f t="shared" si="385"/>
        <v>0</v>
      </c>
      <c r="BW364" s="10">
        <f t="shared" si="385"/>
        <v>0</v>
      </c>
      <c r="BY364" s="12"/>
      <c r="BZ364" s="335"/>
      <c r="CA364" s="12"/>
      <c r="CB364" s="335"/>
      <c r="CC364" s="335"/>
      <c r="CD364" s="335"/>
      <c r="CE364" s="335"/>
      <c r="CM364" s="335"/>
      <c r="CN364" s="335"/>
      <c r="CO364" s="335"/>
      <c r="CP364" s="335"/>
      <c r="CR364" s="12"/>
      <c r="CS364" s="93">
        <f t="shared" si="320"/>
        <v>0</v>
      </c>
      <c r="CT364" s="93">
        <v>0</v>
      </c>
      <c r="CU364" s="93">
        <v>0</v>
      </c>
      <c r="EW364" s="335"/>
      <c r="EX364" s="13" t="str">
        <f>IF(C364="", "", CONCATENATE(D351, " ",D364))</f>
        <v/>
      </c>
    </row>
    <row r="365" spans="1:154" s="67" customFormat="1" ht="6.6" customHeight="1" x14ac:dyDescent="0.25">
      <c r="C365" s="380"/>
      <c r="D365" s="1"/>
      <c r="S365" s="335"/>
      <c r="T365" s="25"/>
      <c r="U365" s="25"/>
      <c r="V365" s="229"/>
      <c r="W365" s="25"/>
      <c r="X365" s="25"/>
      <c r="Y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L365" s="25"/>
      <c r="BM365" s="155"/>
      <c r="BN365" s="25"/>
      <c r="BO365" s="25"/>
      <c r="BP365" s="25"/>
      <c r="BQ365" s="25"/>
      <c r="BR365" s="25"/>
      <c r="BS365" s="25"/>
      <c r="BT365" s="25"/>
      <c r="BU365" s="25"/>
      <c r="BV365" s="25"/>
      <c r="BW365" s="25"/>
      <c r="BY365" s="42"/>
      <c r="BZ365" s="335"/>
      <c r="CA365" s="42"/>
      <c r="CB365" s="335"/>
      <c r="CC365" s="335"/>
      <c r="CD365" s="335"/>
      <c r="CE365" s="335"/>
      <c r="CM365" s="335"/>
      <c r="CN365" s="335"/>
      <c r="CO365" s="335"/>
      <c r="CP365" s="335"/>
      <c r="CR365" s="42"/>
      <c r="CS365" s="93">
        <f t="shared" si="320"/>
        <v>0</v>
      </c>
      <c r="CT365" s="93">
        <v>0</v>
      </c>
      <c r="CU365" s="93">
        <v>0</v>
      </c>
      <c r="EW365" s="335"/>
      <c r="EX365" s="13" t="str">
        <f>IF(C365="", "", CONCATENATE(D351, " ",D365))</f>
        <v/>
      </c>
    </row>
    <row r="366" spans="1:154" s="5" customFormat="1" x14ac:dyDescent="0.25">
      <c r="A366" s="362" cm="1">
        <f t="array" aca="1" ref="A366" ca="1">HYPERLINK(CONCATENATE("#",CELL("address",IF(SUM($CA366:$CR366)=0,A366,INDEX($CA366:$CR366,MATCH(1,$CA366:$CR366,0))))),SUM($CA366:$CR366))</f>
        <v>0</v>
      </c>
      <c r="B366" s="335"/>
      <c r="C366" s="340" t="s">
        <v>1289</v>
      </c>
      <c r="D366" s="41" t="s">
        <v>1569</v>
      </c>
      <c r="E366" s="35"/>
      <c r="F366" s="25"/>
      <c r="G366" s="174" t="s">
        <v>413</v>
      </c>
      <c r="H366" s="171" t="s">
        <v>125</v>
      </c>
      <c r="I366" s="25"/>
      <c r="J366" s="25"/>
      <c r="K366" s="25"/>
      <c r="L366" s="25"/>
      <c r="M366" s="25"/>
      <c r="N366" s="25"/>
      <c r="O366" s="25"/>
      <c r="P366" s="25"/>
      <c r="Q366" s="25"/>
      <c r="R366" s="25"/>
      <c r="S366" s="335"/>
      <c r="T366" s="25"/>
      <c r="U366" s="25"/>
      <c r="V366" s="222"/>
      <c r="W366" s="215">
        <f xml:space="preserve"> SUMIFS($AA366:$BJ366, $AA$3:$BJ$3, W$3)</f>
        <v>0</v>
      </c>
      <c r="X366" s="215">
        <f xml:space="preserve"> SUMIFS($AA366:$BJ366, $AA$3:$BJ$3, X$3)</f>
        <v>0</v>
      </c>
      <c r="Y366" s="215">
        <f xml:space="preserve"> SUMIFS($AA366:$BJ366, $AA$3:$BJ$3, Y$3)</f>
        <v>0</v>
      </c>
      <c r="Z366" s="335"/>
      <c r="AA366" s="147"/>
      <c r="AB366" s="147"/>
      <c r="AC366" s="147"/>
      <c r="AD366" s="147"/>
      <c r="AE366" s="147"/>
      <c r="AF366" s="147"/>
      <c r="AG366" s="147"/>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c r="BI366" s="147"/>
      <c r="BJ366" s="147"/>
      <c r="BK366" s="335"/>
      <c r="BL366" s="152">
        <f>V366</f>
        <v>0</v>
      </c>
      <c r="BM366" s="152">
        <f>W366</f>
        <v>0</v>
      </c>
      <c r="BN366" s="152">
        <f>X366</f>
        <v>0</v>
      </c>
      <c r="BO366" s="152">
        <f>Y366</f>
        <v>0</v>
      </c>
      <c r="BP366" s="141"/>
      <c r="BQ366" s="141"/>
      <c r="BR366" s="141"/>
      <c r="BS366" s="141"/>
      <c r="BT366" s="141"/>
      <c r="BU366" s="141"/>
      <c r="BV366" s="141"/>
      <c r="BW366" s="141"/>
      <c r="BX366" s="335"/>
      <c r="BY366" s="12"/>
      <c r="BZ366" s="395">
        <f>IF(MIN($V366:$BW366)&lt;0, 1, 0)</f>
        <v>0</v>
      </c>
      <c r="CA366" s="12"/>
      <c r="CB366" s="335"/>
      <c r="CC366" s="335"/>
      <c r="CD366" s="335"/>
      <c r="CE366" s="335"/>
      <c r="CF366" s="335"/>
      <c r="CG366" s="335"/>
      <c r="CH366" s="335"/>
      <c r="CI366" s="335"/>
      <c r="CJ366" s="335"/>
      <c r="CK366" s="335"/>
      <c r="CL366" s="335"/>
      <c r="CM366" s="7">
        <f>IF(ROUND(W366-SUMIFS($AA366:$BJ366, $AA$3:$BJ$3, W$3), rounding)=0, 0, 1)</f>
        <v>0</v>
      </c>
      <c r="CN366" s="7">
        <f>IF(ROUND(X366-SUMIFS($AA366:$BJ366, $AA$3:$BJ$3, X$3), rounding)=0, 0, 1)</f>
        <v>0</v>
      </c>
      <c r="CO366" s="7">
        <f>IF(ROUND(Y366-SUMIFS($AA366:$BJ366, $AA$3:$BJ$3, Y$3), rounding)=0, 0, 1)</f>
        <v>0</v>
      </c>
      <c r="CP366" s="7">
        <f>IF(ROUND(V366-BL366, rounding)=0, 0, 1)*'BS Forecasts'!$V$10</f>
        <v>0</v>
      </c>
      <c r="CQ366" s="335"/>
      <c r="CR366" s="12"/>
      <c r="CS366" s="93">
        <f t="shared" si="320"/>
        <v>0</v>
      </c>
      <c r="CT366" s="93">
        <v>1</v>
      </c>
      <c r="CU366" s="93">
        <v>1</v>
      </c>
      <c r="EX366" s="13" t="str">
        <f>IF(C366="", "", CONCATENATE(D351, " ",D366))</f>
        <v>Loan 17 Early Repayment Fee</v>
      </c>
    </row>
    <row r="367" spans="1:154" s="335" customFormat="1" ht="6.6" customHeight="1" x14ac:dyDescent="0.25">
      <c r="C367" s="380"/>
      <c r="D367" s="1"/>
      <c r="T367" s="25"/>
      <c r="U367" s="25"/>
      <c r="V367" s="93"/>
      <c r="BM367" s="6"/>
      <c r="BY367" s="42"/>
      <c r="CA367" s="42"/>
      <c r="CR367" s="42"/>
      <c r="CS367" s="93">
        <f t="shared" si="320"/>
        <v>0</v>
      </c>
      <c r="CT367" s="93">
        <v>0</v>
      </c>
      <c r="CU367" s="93">
        <v>0</v>
      </c>
      <c r="EX367" s="13" t="str">
        <f>IF(C367="", "", CONCATENATE(D351, " ",D367))</f>
        <v/>
      </c>
    </row>
    <row r="368" spans="1:154" s="335" customFormat="1" ht="15.75" x14ac:dyDescent="0.3">
      <c r="A368" s="362" cm="1">
        <f t="array" aca="1" ref="A368" ca="1">HYPERLINK(CONCATENATE("#",CELL("address",IF(SUM($CA368:$CR368)=0,A368,INDEX($CA368:$CR368,MATCH(1,$CA368:$CR368,0))))),SUM($CA368:$CR368))</f>
        <v>0</v>
      </c>
      <c r="B368" s="105" t="s">
        <v>335</v>
      </c>
      <c r="D368" s="51" t="s">
        <v>1630</v>
      </c>
      <c r="E368" s="220" t="str">
        <f>IF(I$29="", "", I$29)</f>
        <v/>
      </c>
      <c r="F368" s="220" t="str">
        <f>IF(J$29="", "", J$29)</f>
        <v/>
      </c>
      <c r="T368" s="25"/>
      <c r="U368" s="25"/>
      <c r="V368" s="230">
        <f>IF(AND(OR( V$5&gt;$F368, Timeline!V$8&lt;Loans!$E368), Loans!V366&lt;&gt;0), 1, 0)</f>
        <v>0</v>
      </c>
      <c r="W368" s="230">
        <f>IF(AND(OR( W$5&gt;$F368, Timeline!W$8&lt;Loans!$E368), Loans!W366&lt;&gt;0), 1, 0)</f>
        <v>0</v>
      </c>
      <c r="X368" s="230">
        <f>IF(AND(OR( X$5&gt;$F368, Timeline!X$8&lt;Loans!$E368), Loans!X366&lt;&gt;0), 1, 0)</f>
        <v>0</v>
      </c>
      <c r="Y368" s="230">
        <f>IF(AND(OR( Y$5&gt;$F368, Timeline!Y$8&lt;Loans!$E368), Loans!Y366&lt;&gt;0), 1, 0)</f>
        <v>0</v>
      </c>
      <c r="AA368" s="230">
        <f>IF(AND(OR( AA$5&gt;$F368, Timeline!AA$8&lt;Loans!$E368), Loans!AA366&lt;&gt;0), 1, 0)</f>
        <v>0</v>
      </c>
      <c r="AB368" s="230">
        <f>IF(AND(OR( AB$5&gt;$F368, Timeline!AB$8&lt;Loans!$E368), Loans!AB366&lt;&gt;0), 1, 0)</f>
        <v>0</v>
      </c>
      <c r="AC368" s="230">
        <f>IF(AND(OR( AC$5&gt;$F368, Timeline!AC$8&lt;Loans!$E368), Loans!AC366&lt;&gt;0), 1, 0)</f>
        <v>0</v>
      </c>
      <c r="AD368" s="230">
        <f>IF(AND(OR( AD$5&gt;$F368, Timeline!AD$8&lt;Loans!$E368), Loans!AD366&lt;&gt;0), 1, 0)</f>
        <v>0</v>
      </c>
      <c r="AE368" s="230">
        <f>IF(AND(OR( AE$5&gt;$F368, Timeline!AE$8&lt;Loans!$E368), Loans!AE366&lt;&gt;0), 1, 0)</f>
        <v>0</v>
      </c>
      <c r="AF368" s="230">
        <f>IF(AND(OR( AF$5&gt;$F368, Timeline!AF$8&lt;Loans!$E368), Loans!AF366&lt;&gt;0), 1, 0)</f>
        <v>0</v>
      </c>
      <c r="AG368" s="230">
        <f>IF(AND(OR( AG$5&gt;$F368, Timeline!AG$8&lt;Loans!$E368), Loans!AG366&lt;&gt;0), 1, 0)</f>
        <v>0</v>
      </c>
      <c r="AH368" s="230">
        <f>IF(AND(OR( AH$5&gt;$F368, Timeline!AH$8&lt;Loans!$E368), Loans!AH366&lt;&gt;0), 1, 0)</f>
        <v>0</v>
      </c>
      <c r="AI368" s="230">
        <f>IF(AND(OR( AI$5&gt;$F368, Timeline!AI$8&lt;Loans!$E368), Loans!AI366&lt;&gt;0), 1, 0)</f>
        <v>0</v>
      </c>
      <c r="AJ368" s="230">
        <f>IF(AND(OR( AJ$5&gt;$F368, Timeline!AJ$8&lt;Loans!$E368), Loans!AJ366&lt;&gt;0), 1, 0)</f>
        <v>0</v>
      </c>
      <c r="AK368" s="230">
        <f>IF(AND(OR( AK$5&gt;$F368, Timeline!AK$8&lt;Loans!$E368), Loans!AK366&lt;&gt;0), 1, 0)</f>
        <v>0</v>
      </c>
      <c r="AL368" s="230">
        <f>IF(AND(OR( AL$5&gt;$F368, Timeline!AL$8&lt;Loans!$E368), Loans!AL366&lt;&gt;0), 1, 0)</f>
        <v>0</v>
      </c>
      <c r="AM368" s="230">
        <f>IF(AND(OR( AM$5&gt;$F368, Timeline!AM$8&lt;Loans!$E368), Loans!AM366&lt;&gt;0), 1, 0)</f>
        <v>0</v>
      </c>
      <c r="AN368" s="230">
        <f>IF(AND(OR( AN$5&gt;$F368, Timeline!AN$8&lt;Loans!$E368), Loans!AN366&lt;&gt;0), 1, 0)</f>
        <v>0</v>
      </c>
      <c r="AO368" s="230">
        <f>IF(AND(OR( AO$5&gt;$F368, Timeline!AO$8&lt;Loans!$E368), Loans!AO366&lt;&gt;0), 1, 0)</f>
        <v>0</v>
      </c>
      <c r="AP368" s="230">
        <f>IF(AND(OR( AP$5&gt;$F368, Timeline!AP$8&lt;Loans!$E368), Loans!AP366&lt;&gt;0), 1, 0)</f>
        <v>0</v>
      </c>
      <c r="AQ368" s="230">
        <f>IF(AND(OR( AQ$5&gt;$F368, Timeline!AQ$8&lt;Loans!$E368), Loans!AQ366&lt;&gt;0), 1, 0)</f>
        <v>0</v>
      </c>
      <c r="AR368" s="230">
        <f>IF(AND(OR( AR$5&gt;$F368, Timeline!AR$8&lt;Loans!$E368), Loans!AR366&lt;&gt;0), 1, 0)</f>
        <v>0</v>
      </c>
      <c r="AS368" s="230">
        <f>IF(AND(OR( AS$5&gt;$F368, Timeline!AS$8&lt;Loans!$E368), Loans!AS366&lt;&gt;0), 1, 0)</f>
        <v>0</v>
      </c>
      <c r="AT368" s="230">
        <f>IF(AND(OR( AT$5&gt;$F368, Timeline!AT$8&lt;Loans!$E368), Loans!AT366&lt;&gt;0), 1, 0)</f>
        <v>0</v>
      </c>
      <c r="AU368" s="230">
        <f>IF(AND(OR( AU$5&gt;$F368, Timeline!AU$8&lt;Loans!$E368), Loans!AU366&lt;&gt;0), 1, 0)</f>
        <v>0</v>
      </c>
      <c r="AV368" s="230">
        <f>IF(AND(OR( AV$5&gt;$F368, Timeline!AV$8&lt;Loans!$E368), Loans!AV366&lt;&gt;0), 1, 0)</f>
        <v>0</v>
      </c>
      <c r="AW368" s="230">
        <f>IF(AND(OR( AW$5&gt;$F368, Timeline!AW$8&lt;Loans!$E368), Loans!AW366&lt;&gt;0), 1, 0)</f>
        <v>0</v>
      </c>
      <c r="AX368" s="230">
        <f>IF(AND(OR( AX$5&gt;$F368, Timeline!AX$8&lt;Loans!$E368), Loans!AX366&lt;&gt;0), 1, 0)</f>
        <v>0</v>
      </c>
      <c r="AY368" s="230">
        <f>IF(AND(OR( AY$5&gt;$F368, Timeline!AY$8&lt;Loans!$E368), Loans!AY366&lt;&gt;0), 1, 0)</f>
        <v>0</v>
      </c>
      <c r="AZ368" s="230">
        <f>IF(AND(OR( AZ$5&gt;$F368, Timeline!AZ$8&lt;Loans!$E368), Loans!AZ366&lt;&gt;0), 1, 0)</f>
        <v>0</v>
      </c>
      <c r="BA368" s="230">
        <f>IF(AND(OR( BA$5&gt;$F368, Timeline!BA$8&lt;Loans!$E368), Loans!BA366&lt;&gt;0), 1, 0)</f>
        <v>0</v>
      </c>
      <c r="BB368" s="230">
        <f>IF(AND(OR( BB$5&gt;$F368, Timeline!BB$8&lt;Loans!$E368), Loans!BB366&lt;&gt;0), 1, 0)</f>
        <v>0</v>
      </c>
      <c r="BC368" s="230">
        <f>IF(AND(OR( BC$5&gt;$F368, Timeline!BC$8&lt;Loans!$E368), Loans!BC366&lt;&gt;0), 1, 0)</f>
        <v>0</v>
      </c>
      <c r="BD368" s="230">
        <f>IF(AND(OR( BD$5&gt;$F368, Timeline!BD$8&lt;Loans!$E368), Loans!BD366&lt;&gt;0), 1, 0)</f>
        <v>0</v>
      </c>
      <c r="BE368" s="230">
        <f>IF(AND(OR( BE$5&gt;$F368, Timeline!BE$8&lt;Loans!$E368), Loans!BE366&lt;&gt;0), 1, 0)</f>
        <v>0</v>
      </c>
      <c r="BF368" s="230">
        <f>IF(AND(OR( BF$5&gt;$F368, Timeline!BF$8&lt;Loans!$E368), Loans!BF366&lt;&gt;0), 1, 0)</f>
        <v>0</v>
      </c>
      <c r="BG368" s="230">
        <f>IF(AND(OR( BG$5&gt;$F368, Timeline!BG$8&lt;Loans!$E368), Loans!BG366&lt;&gt;0), 1, 0)</f>
        <v>0</v>
      </c>
      <c r="BH368" s="230">
        <f>IF(AND(OR( BH$5&gt;$F368, Timeline!BH$8&lt;Loans!$E368), Loans!BH366&lt;&gt;0), 1, 0)</f>
        <v>0</v>
      </c>
      <c r="BI368" s="230">
        <f>IF(AND(OR( BI$5&gt;$F368, Timeline!BI$8&lt;Loans!$E368), Loans!BI366&lt;&gt;0), 1, 0)</f>
        <v>0</v>
      </c>
      <c r="BJ368" s="230">
        <f>IF(AND(OR( BJ$5&gt;$F368, Timeline!BJ$8&lt;Loans!$E368), Loans!BJ366&lt;&gt;0), 1, 0)</f>
        <v>0</v>
      </c>
      <c r="BL368" s="230">
        <f>IF(AND(OR( BL$5&gt;$F368, Timeline!BL$8&lt;Loans!$E368), Loans!BL366&lt;&gt;0), 1, 0)</f>
        <v>0</v>
      </c>
      <c r="BM368" s="230">
        <f>IF(AND(OR( BM$5&gt;$F368, Timeline!BM$8&lt;Loans!$E368), Loans!BM366&lt;&gt;0), 1, 0)</f>
        <v>0</v>
      </c>
      <c r="BN368" s="230">
        <f>IF(AND(OR( BN$5&gt;$F368, Timeline!BN$8&lt;Loans!$E368), Loans!BN366&lt;&gt;0), 1, 0)</f>
        <v>0</v>
      </c>
      <c r="BO368" s="230">
        <f>IF(AND(OR( BO$5&gt;$F368, Timeline!BO$8&lt;Loans!$E368), Loans!BO366&lt;&gt;0), 1, 0)</f>
        <v>0</v>
      </c>
      <c r="BP368" s="230">
        <f>IF(AND(OR( BP$5&gt;$F368, Timeline!BP$8&lt;Loans!$E368), Loans!BP366&lt;&gt;0), 1, 0)</f>
        <v>0</v>
      </c>
      <c r="BQ368" s="230">
        <f>IF(AND(OR( BQ$5&gt;$F368, Timeline!BQ$8&lt;Loans!$E368), Loans!BQ366&lt;&gt;0), 1, 0)</f>
        <v>0</v>
      </c>
      <c r="BR368" s="230">
        <f>IF(AND(OR( BR$5&gt;$F368, Timeline!BR$8&lt;Loans!$E368), Loans!BR366&lt;&gt;0), 1, 0)</f>
        <v>0</v>
      </c>
      <c r="BS368" s="230">
        <f>IF(AND(OR( BS$5&gt;$F368, Timeline!BS$8&lt;Loans!$E368), Loans!BS366&lt;&gt;0), 1, 0)</f>
        <v>0</v>
      </c>
      <c r="BT368" s="230">
        <f>IF(AND(OR( BT$5&gt;$F368, Timeline!BT$8&lt;Loans!$E368), Loans!BT366&lt;&gt;0), 1, 0)</f>
        <v>0</v>
      </c>
      <c r="BU368" s="230">
        <f>IF(AND(OR( BU$5&gt;$F368, Timeline!BU$8&lt;Loans!$E368), Loans!BU366&lt;&gt;0), 1, 0)</f>
        <v>0</v>
      </c>
      <c r="BV368" s="230">
        <f>IF(AND(OR( BV$5&gt;$F368, Timeline!BV$8&lt;Loans!$E368), Loans!BV366&lt;&gt;0), 1, 0)</f>
        <v>0</v>
      </c>
      <c r="BW368" s="230">
        <f>IF(AND(OR( BW$5&gt;$F368, Timeline!BW$8&lt;Loans!$E368), Loans!BW366&lt;&gt;0), 1, 0)</f>
        <v>0</v>
      </c>
      <c r="BY368" s="12"/>
      <c r="CA368" s="12"/>
      <c r="CL368" s="7">
        <f>IF(MAX($V368:$BW368)&gt;0, 1, 0)</f>
        <v>0</v>
      </c>
      <c r="CR368" s="12"/>
      <c r="CS368" s="93">
        <f t="shared" ref="CS368:CS421" si="386">IF(IFERROR(FIND("check", D368), 0)=0, 0, 1)</f>
        <v>1</v>
      </c>
      <c r="CT368" s="93">
        <v>0</v>
      </c>
      <c r="CU368" s="93">
        <v>0</v>
      </c>
      <c r="EX368" s="13" t="str">
        <f>IF(C368="", "", CONCATENATE(D351, " ",D368))</f>
        <v/>
      </c>
    </row>
    <row r="369" spans="1:154" s="335" customFormat="1" ht="6.6" customHeight="1" x14ac:dyDescent="0.25">
      <c r="C369" s="380"/>
      <c r="D369" s="1"/>
      <c r="T369" s="25"/>
      <c r="U369" s="25"/>
      <c r="V369" s="93"/>
      <c r="BM369" s="6"/>
      <c r="BY369" s="42"/>
      <c r="CA369" s="42"/>
      <c r="CR369" s="42"/>
      <c r="CS369" s="93">
        <f t="shared" si="386"/>
        <v>0</v>
      </c>
      <c r="CT369" s="93">
        <v>0</v>
      </c>
      <c r="CU369" s="93">
        <v>0</v>
      </c>
      <c r="EX369" s="10" t="str">
        <f t="shared" ref="EX369" si="387">IF($C369="","",$D369)</f>
        <v/>
      </c>
    </row>
    <row r="370" spans="1:154" s="67" customFormat="1" x14ac:dyDescent="0.25">
      <c r="A370" s="64"/>
      <c r="C370" s="380"/>
      <c r="D370" s="64" t="s">
        <v>207</v>
      </c>
      <c r="E370" s="64"/>
      <c r="F370" s="64"/>
      <c r="G370" s="64"/>
      <c r="H370" s="64"/>
      <c r="I370" s="64"/>
      <c r="L370" s="64"/>
      <c r="M370" s="64"/>
      <c r="N370" s="64"/>
      <c r="O370" s="64"/>
      <c r="P370" s="64"/>
      <c r="Q370" s="64"/>
      <c r="S370" s="335"/>
      <c r="T370" s="25"/>
      <c r="U370" s="25"/>
      <c r="V370" s="229"/>
      <c r="W370" s="25"/>
      <c r="X370" s="25"/>
      <c r="Y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L370" s="25"/>
      <c r="BM370" s="25"/>
      <c r="BN370" s="25"/>
      <c r="BO370" s="25"/>
      <c r="BP370" s="25"/>
      <c r="BQ370" s="25"/>
      <c r="BR370" s="25"/>
      <c r="BS370" s="25"/>
      <c r="BT370" s="25"/>
      <c r="BU370" s="25"/>
      <c r="BV370" s="25"/>
      <c r="BW370" s="25"/>
      <c r="BY370" s="12"/>
      <c r="BZ370" s="335"/>
      <c r="CA370" s="12"/>
      <c r="CB370" s="335"/>
      <c r="CC370" s="335"/>
      <c r="CD370" s="335"/>
      <c r="CE370" s="335"/>
      <c r="CM370" s="335"/>
      <c r="CN370" s="335"/>
      <c r="CO370" s="335"/>
      <c r="CP370" s="335"/>
      <c r="CR370" s="12"/>
      <c r="CS370" s="93">
        <f t="shared" si="386"/>
        <v>0</v>
      </c>
      <c r="CT370" s="93">
        <v>0</v>
      </c>
      <c r="CU370" s="93">
        <v>0</v>
      </c>
      <c r="EW370" s="335"/>
      <c r="EX370" s="10" t="str">
        <f t="shared" si="306"/>
        <v/>
      </c>
    </row>
    <row r="371" spans="1:154" s="67" customFormat="1" x14ac:dyDescent="0.25">
      <c r="C371" s="340" t="s">
        <v>1390</v>
      </c>
      <c r="D371" s="51" t="s">
        <v>230</v>
      </c>
      <c r="E371" s="1"/>
      <c r="G371" s="9" t="s">
        <v>413</v>
      </c>
      <c r="H371" s="50" t="s">
        <v>8</v>
      </c>
      <c r="S371" s="335"/>
      <c r="T371" s="25"/>
      <c r="U371" s="25"/>
      <c r="V371" s="222"/>
      <c r="W371" s="201">
        <f>V375</f>
        <v>0</v>
      </c>
      <c r="X371" s="201">
        <f>W375</f>
        <v>0</v>
      </c>
      <c r="Y371" s="10">
        <f>X375</f>
        <v>0</v>
      </c>
      <c r="AA371" s="13">
        <f>W371</f>
        <v>0</v>
      </c>
      <c r="AB371" s="153">
        <f t="shared" ref="AB371:BJ371" si="388">AA375</f>
        <v>0</v>
      </c>
      <c r="AC371" s="153">
        <f t="shared" si="388"/>
        <v>0</v>
      </c>
      <c r="AD371" s="153">
        <f t="shared" si="388"/>
        <v>0</v>
      </c>
      <c r="AE371" s="153">
        <f t="shared" si="388"/>
        <v>0</v>
      </c>
      <c r="AF371" s="153">
        <f t="shared" si="388"/>
        <v>0</v>
      </c>
      <c r="AG371" s="153">
        <f t="shared" si="388"/>
        <v>0</v>
      </c>
      <c r="AH371" s="153">
        <f t="shared" si="388"/>
        <v>0</v>
      </c>
      <c r="AI371" s="153">
        <f t="shared" si="388"/>
        <v>0</v>
      </c>
      <c r="AJ371" s="153">
        <f t="shared" si="388"/>
        <v>0</v>
      </c>
      <c r="AK371" s="153">
        <f t="shared" si="388"/>
        <v>0</v>
      </c>
      <c r="AL371" s="153">
        <f t="shared" si="388"/>
        <v>0</v>
      </c>
      <c r="AM371" s="153">
        <f t="shared" si="388"/>
        <v>0</v>
      </c>
      <c r="AN371" s="153">
        <f t="shared" si="388"/>
        <v>0</v>
      </c>
      <c r="AO371" s="153">
        <f t="shared" si="388"/>
        <v>0</v>
      </c>
      <c r="AP371" s="153">
        <f t="shared" si="388"/>
        <v>0</v>
      </c>
      <c r="AQ371" s="153">
        <f t="shared" si="388"/>
        <v>0</v>
      </c>
      <c r="AR371" s="153">
        <f t="shared" si="388"/>
        <v>0</v>
      </c>
      <c r="AS371" s="153">
        <f t="shared" si="388"/>
        <v>0</v>
      </c>
      <c r="AT371" s="153">
        <f t="shared" si="388"/>
        <v>0</v>
      </c>
      <c r="AU371" s="153">
        <f t="shared" si="388"/>
        <v>0</v>
      </c>
      <c r="AV371" s="153">
        <f t="shared" si="388"/>
        <v>0</v>
      </c>
      <c r="AW371" s="153">
        <f t="shared" si="388"/>
        <v>0</v>
      </c>
      <c r="AX371" s="153">
        <f t="shared" si="388"/>
        <v>0</v>
      </c>
      <c r="AY371" s="153">
        <f t="shared" si="388"/>
        <v>0</v>
      </c>
      <c r="AZ371" s="153">
        <f t="shared" si="388"/>
        <v>0</v>
      </c>
      <c r="BA371" s="153">
        <f t="shared" si="388"/>
        <v>0</v>
      </c>
      <c r="BB371" s="153">
        <f t="shared" si="388"/>
        <v>0</v>
      </c>
      <c r="BC371" s="153">
        <f t="shared" si="388"/>
        <v>0</v>
      </c>
      <c r="BD371" s="153">
        <f t="shared" si="388"/>
        <v>0</v>
      </c>
      <c r="BE371" s="153">
        <f t="shared" si="388"/>
        <v>0</v>
      </c>
      <c r="BF371" s="153">
        <f t="shared" si="388"/>
        <v>0</v>
      </c>
      <c r="BG371" s="153">
        <f t="shared" si="388"/>
        <v>0</v>
      </c>
      <c r="BH371" s="153">
        <f t="shared" si="388"/>
        <v>0</v>
      </c>
      <c r="BI371" s="153">
        <f t="shared" si="388"/>
        <v>0</v>
      </c>
      <c r="BJ371" s="153">
        <f t="shared" si="388"/>
        <v>0</v>
      </c>
      <c r="BL371" s="152">
        <f t="shared" ref="BL371:BO375" si="389">V371</f>
        <v>0</v>
      </c>
      <c r="BM371" s="152">
        <f t="shared" si="389"/>
        <v>0</v>
      </c>
      <c r="BN371" s="152">
        <f t="shared" si="389"/>
        <v>0</v>
      </c>
      <c r="BO371" s="152">
        <f t="shared" si="389"/>
        <v>0</v>
      </c>
      <c r="BP371" s="153">
        <f t="shared" ref="BP371:BW371" si="390">BO375</f>
        <v>0</v>
      </c>
      <c r="BQ371" s="153">
        <f t="shared" si="390"/>
        <v>0</v>
      </c>
      <c r="BR371" s="153">
        <f t="shared" si="390"/>
        <v>0</v>
      </c>
      <c r="BS371" s="153">
        <f t="shared" si="390"/>
        <v>0</v>
      </c>
      <c r="BT371" s="153">
        <f t="shared" si="390"/>
        <v>0</v>
      </c>
      <c r="BU371" s="153">
        <f t="shared" si="390"/>
        <v>0</v>
      </c>
      <c r="BV371" s="153">
        <f t="shared" si="390"/>
        <v>0</v>
      </c>
      <c r="BW371" s="153">
        <f t="shared" si="390"/>
        <v>0</v>
      </c>
      <c r="BY371" s="12"/>
      <c r="BZ371" s="335"/>
      <c r="CA371" s="12"/>
      <c r="CB371" s="335"/>
      <c r="CC371" s="335"/>
      <c r="CD371" s="335"/>
      <c r="CE371" s="335"/>
      <c r="CM371" s="335"/>
      <c r="CN371" s="335"/>
      <c r="CO371" s="335"/>
      <c r="CP371" s="335"/>
      <c r="CR371" s="12"/>
      <c r="CS371" s="93">
        <f t="shared" si="386"/>
        <v>0</v>
      </c>
      <c r="CT371" s="93">
        <v>1</v>
      </c>
      <c r="CU371" s="93">
        <v>0</v>
      </c>
      <c r="EW371" s="335"/>
      <c r="EX371" s="13" t="str">
        <f>IF(C371="", "", CONCATENATE(D370, " ",D371))</f>
        <v>Loan 18 Opening Loan Balance</v>
      </c>
    </row>
    <row r="372" spans="1:154" s="5" customFormat="1" x14ac:dyDescent="0.25">
      <c r="A372" s="362" cm="1">
        <f t="array" aca="1" ref="A372" ca="1">HYPERLINK(CONCATENATE("#",CELL("address",IF(SUM($CA372:$CR372)=0,A372,INDEX($CA372:$CR372,MATCH(1,$CA372:$CR372,0))))),SUM($CA372:$CR372))</f>
        <v>0</v>
      </c>
      <c r="B372" s="67"/>
      <c r="C372" s="340" t="s">
        <v>1241</v>
      </c>
      <c r="D372" s="51" t="s">
        <v>219</v>
      </c>
      <c r="E372" s="1"/>
      <c r="F372" s="67"/>
      <c r="G372" s="9" t="s">
        <v>413</v>
      </c>
      <c r="H372" s="50" t="s">
        <v>125</v>
      </c>
      <c r="I372" s="67"/>
      <c r="J372" s="67"/>
      <c r="K372" s="67"/>
      <c r="L372" s="67"/>
      <c r="M372" s="67"/>
      <c r="N372" s="67"/>
      <c r="O372" s="67"/>
      <c r="P372" s="67"/>
      <c r="Q372" s="67"/>
      <c r="R372" s="67"/>
      <c r="S372" s="335"/>
      <c r="T372" s="25"/>
      <c r="U372" s="25"/>
      <c r="V372" s="222"/>
      <c r="W372" s="215">
        <f t="shared" ref="W372:Y374" si="391" xml:space="preserve"> SUMIFS($AA372:$BJ372, $AA$3:$BJ$3, W$3)</f>
        <v>0</v>
      </c>
      <c r="X372" s="215">
        <f t="shared" si="391"/>
        <v>0</v>
      </c>
      <c r="Y372" s="215">
        <f t="shared" si="391"/>
        <v>0</v>
      </c>
      <c r="Z372" s="67"/>
      <c r="AA372" s="147"/>
      <c r="AB372" s="147"/>
      <c r="AC372" s="147"/>
      <c r="AD372" s="147"/>
      <c r="AE372" s="147"/>
      <c r="AF372" s="147"/>
      <c r="AG372" s="147"/>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c r="BI372" s="147"/>
      <c r="BJ372" s="147"/>
      <c r="BK372" s="67"/>
      <c r="BL372" s="152">
        <f t="shared" si="389"/>
        <v>0</v>
      </c>
      <c r="BM372" s="152">
        <f t="shared" si="389"/>
        <v>0</v>
      </c>
      <c r="BN372" s="152">
        <f t="shared" si="389"/>
        <v>0</v>
      </c>
      <c r="BO372" s="152">
        <f t="shared" si="389"/>
        <v>0</v>
      </c>
      <c r="BP372" s="156"/>
      <c r="BQ372" s="156"/>
      <c r="BR372" s="156"/>
      <c r="BS372" s="156"/>
      <c r="BT372" s="156"/>
      <c r="BU372" s="156"/>
      <c r="BV372" s="156"/>
      <c r="BW372" s="156"/>
      <c r="BX372" s="67"/>
      <c r="BY372" s="12"/>
      <c r="BZ372" s="395">
        <f>IF(MIN($V372:$BW372)&lt;0, 1, 0)</f>
        <v>0</v>
      </c>
      <c r="CA372" s="12"/>
      <c r="CB372" s="335"/>
      <c r="CC372" s="335"/>
      <c r="CD372" s="335"/>
      <c r="CE372" s="335"/>
      <c r="CF372" s="67"/>
      <c r="CG372" s="67"/>
      <c r="CH372" s="67"/>
      <c r="CI372" s="67"/>
      <c r="CJ372" s="67"/>
      <c r="CK372" s="67"/>
      <c r="CL372" s="67"/>
      <c r="CM372" s="7">
        <f t="shared" ref="CM372:CO374" si="392">IF(ROUND(W372-SUMIFS($AA372:$BJ372, $AA$3:$BJ$3, W$3), rounding)=0, 0, 1)</f>
        <v>0</v>
      </c>
      <c r="CN372" s="7">
        <f t="shared" si="392"/>
        <v>0</v>
      </c>
      <c r="CO372" s="7">
        <f t="shared" si="392"/>
        <v>0</v>
      </c>
      <c r="CP372" s="7">
        <f>IF(ROUND(V372-BL372, rounding)=0, 0, 1)*'BS Forecasts'!$V$10</f>
        <v>0</v>
      </c>
      <c r="CQ372" s="67"/>
      <c r="CR372" s="12"/>
      <c r="CS372" s="93">
        <f t="shared" si="386"/>
        <v>0</v>
      </c>
      <c r="CT372" s="93">
        <v>1</v>
      </c>
      <c r="CU372" s="93">
        <v>1</v>
      </c>
      <c r="EX372" s="13" t="str">
        <f>IF(C372="", "", CONCATENATE(D370, " ",D372))</f>
        <v>Loan 18 Drawdowns</v>
      </c>
    </row>
    <row r="373" spans="1:154" s="67" customFormat="1" x14ac:dyDescent="0.25">
      <c r="A373" s="362" cm="1">
        <f t="array" aca="1" ref="A373" ca="1">HYPERLINK(CONCATENATE("#",CELL("address",IF(SUM($CA373:$CR373)=0,A373,INDEX($CA373:$CR373,MATCH(1,$CA373:$CR373,0))))),SUM($CA373:$CR373))</f>
        <v>0</v>
      </c>
      <c r="C373" s="340" t="s">
        <v>1242</v>
      </c>
      <c r="D373" s="41" t="s">
        <v>1570</v>
      </c>
      <c r="E373" s="1"/>
      <c r="F373" s="25"/>
      <c r="G373" s="9" t="s">
        <v>413</v>
      </c>
      <c r="H373" s="50" t="s">
        <v>157</v>
      </c>
      <c r="S373" s="335"/>
      <c r="T373" s="25"/>
      <c r="U373" s="25"/>
      <c r="V373" s="222"/>
      <c r="W373" s="215">
        <f t="shared" si="391"/>
        <v>0</v>
      </c>
      <c r="X373" s="215">
        <f t="shared" si="391"/>
        <v>0</v>
      </c>
      <c r="Y373" s="215">
        <f t="shared" si="391"/>
        <v>0</v>
      </c>
      <c r="AA373" s="147"/>
      <c r="AB373" s="147"/>
      <c r="AC373" s="147"/>
      <c r="AD373" s="147"/>
      <c r="AE373" s="147"/>
      <c r="AF373" s="147"/>
      <c r="AG373" s="147"/>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c r="BI373" s="147"/>
      <c r="BJ373" s="147"/>
      <c r="BL373" s="152">
        <f t="shared" si="389"/>
        <v>0</v>
      </c>
      <c r="BM373" s="152">
        <f t="shared" si="389"/>
        <v>0</v>
      </c>
      <c r="BN373" s="152">
        <f t="shared" si="389"/>
        <v>0</v>
      </c>
      <c r="BO373" s="152">
        <f t="shared" si="389"/>
        <v>0</v>
      </c>
      <c r="BP373" s="156"/>
      <c r="BQ373" s="156"/>
      <c r="BR373" s="156"/>
      <c r="BS373" s="156"/>
      <c r="BT373" s="156"/>
      <c r="BU373" s="156"/>
      <c r="BV373" s="156"/>
      <c r="BW373" s="156"/>
      <c r="BY373" s="12"/>
      <c r="BZ373" s="395">
        <f>IF(MAX($V373:$BW373)&gt;0, 1, 0)</f>
        <v>0</v>
      </c>
      <c r="CA373" s="12"/>
      <c r="CB373" s="335"/>
      <c r="CC373" s="335"/>
      <c r="CD373" s="335"/>
      <c r="CE373" s="335"/>
      <c r="CM373" s="7">
        <f t="shared" si="392"/>
        <v>0</v>
      </c>
      <c r="CN373" s="7">
        <f t="shared" si="392"/>
        <v>0</v>
      </c>
      <c r="CO373" s="7">
        <f t="shared" si="392"/>
        <v>0</v>
      </c>
      <c r="CP373" s="7">
        <f>IF(ROUND(V373-BL373, rounding)=0, 0, 1)*'BS Forecasts'!$V$10</f>
        <v>0</v>
      </c>
      <c r="CR373" s="12"/>
      <c r="CS373" s="93">
        <f t="shared" si="386"/>
        <v>0</v>
      </c>
      <c r="CT373" s="93">
        <v>1</v>
      </c>
      <c r="CU373" s="93">
        <v>1</v>
      </c>
      <c r="EW373" s="335"/>
      <c r="EX373" s="13" t="str">
        <f>IF(C373="", "", CONCATENATE(D370, " ",D373))</f>
        <v>Loan 18 Loan Capital Repayment (as per loan agreement)</v>
      </c>
    </row>
    <row r="374" spans="1:154" s="335" customFormat="1" x14ac:dyDescent="0.25">
      <c r="A374" s="362" cm="1">
        <f t="array" aca="1" ref="A374" ca="1">HYPERLINK(CONCATENATE("#",CELL("address",IF(SUM($CA374:$CR374)=0,A374,INDEX($CA374:$CR374,MATCH(1,$CA374:$CR374,0))))),SUM($CA374:$CR374))</f>
        <v>0</v>
      </c>
      <c r="C374" s="340" t="s">
        <v>1575</v>
      </c>
      <c r="D374" s="41" t="s">
        <v>1571</v>
      </c>
      <c r="E374" s="1"/>
      <c r="G374" s="9" t="s">
        <v>413</v>
      </c>
      <c r="H374" s="50" t="s">
        <v>157</v>
      </c>
      <c r="T374" s="25"/>
      <c r="U374" s="25"/>
      <c r="V374" s="210"/>
      <c r="W374" s="215">
        <f t="shared" si="391"/>
        <v>0</v>
      </c>
      <c r="X374" s="215">
        <f t="shared" si="391"/>
        <v>0</v>
      </c>
      <c r="Y374" s="215">
        <f t="shared" si="391"/>
        <v>0</v>
      </c>
      <c r="AA374" s="147"/>
      <c r="AB374" s="147"/>
      <c r="AC374" s="147"/>
      <c r="AD374" s="147"/>
      <c r="AE374" s="147"/>
      <c r="AF374" s="147"/>
      <c r="AG374" s="147"/>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c r="BI374" s="147"/>
      <c r="BJ374" s="147"/>
      <c r="BL374" s="13">
        <f t="shared" si="389"/>
        <v>0</v>
      </c>
      <c r="BM374" s="13">
        <f t="shared" si="389"/>
        <v>0</v>
      </c>
      <c r="BN374" s="13">
        <f t="shared" si="389"/>
        <v>0</v>
      </c>
      <c r="BO374" s="13">
        <f t="shared" si="389"/>
        <v>0</v>
      </c>
      <c r="BP374" s="141"/>
      <c r="BQ374" s="141"/>
      <c r="BR374" s="141"/>
      <c r="BS374" s="141"/>
      <c r="BT374" s="141"/>
      <c r="BU374" s="141"/>
      <c r="BV374" s="141"/>
      <c r="BW374" s="141"/>
      <c r="BY374" s="12"/>
      <c r="BZ374" s="395">
        <f>IF(MAX($V374:$BW374)&gt;0, 1, 0)</f>
        <v>0</v>
      </c>
      <c r="CA374" s="12"/>
      <c r="CM374" s="7">
        <f t="shared" si="392"/>
        <v>0</v>
      </c>
      <c r="CN374" s="7">
        <f t="shared" si="392"/>
        <v>0</v>
      </c>
      <c r="CO374" s="7">
        <f t="shared" si="392"/>
        <v>0</v>
      </c>
      <c r="CP374" s="7">
        <f>IF(ROUND(V374-BL374, rounding)=0, 0, 1)*'BS Forecasts'!$V$10</f>
        <v>0</v>
      </c>
      <c r="CR374" s="12"/>
      <c r="CS374" s="93">
        <f t="shared" si="386"/>
        <v>0</v>
      </c>
      <c r="CT374" s="93">
        <v>1</v>
      </c>
      <c r="CU374" s="93">
        <v>1</v>
      </c>
      <c r="EX374" s="13" t="str">
        <f>IF(C374="", "", CONCATENATE(D370, " ",D374))</f>
        <v xml:space="preserve">Loan 18 Early Repayment </v>
      </c>
    </row>
    <row r="375" spans="1:154" s="67" customFormat="1" x14ac:dyDescent="0.25">
      <c r="C375" s="340" t="s">
        <v>1370</v>
      </c>
      <c r="D375" s="51" t="s">
        <v>231</v>
      </c>
      <c r="E375" s="1"/>
      <c r="G375" s="9" t="s">
        <v>413</v>
      </c>
      <c r="H375" s="50" t="s">
        <v>8</v>
      </c>
      <c r="S375" s="335"/>
      <c r="T375" s="25"/>
      <c r="U375" s="25"/>
      <c r="V375" s="13">
        <f>$G$30</f>
        <v>0</v>
      </c>
      <c r="W375" s="153">
        <f>SUM(W371:W374)</f>
        <v>0</v>
      </c>
      <c r="X375" s="153">
        <f t="shared" ref="X375:BJ375" si="393">SUM(X371:X374)</f>
        <v>0</v>
      </c>
      <c r="Y375" s="153">
        <f t="shared" si="393"/>
        <v>0</v>
      </c>
      <c r="Z375" s="335"/>
      <c r="AA375" s="153">
        <f t="shared" si="393"/>
        <v>0</v>
      </c>
      <c r="AB375" s="153">
        <f t="shared" si="393"/>
        <v>0</v>
      </c>
      <c r="AC375" s="153">
        <f t="shared" si="393"/>
        <v>0</v>
      </c>
      <c r="AD375" s="153">
        <f t="shared" si="393"/>
        <v>0</v>
      </c>
      <c r="AE375" s="153">
        <f t="shared" si="393"/>
        <v>0</v>
      </c>
      <c r="AF375" s="153">
        <f t="shared" si="393"/>
        <v>0</v>
      </c>
      <c r="AG375" s="153">
        <f t="shared" si="393"/>
        <v>0</v>
      </c>
      <c r="AH375" s="153">
        <f t="shared" si="393"/>
        <v>0</v>
      </c>
      <c r="AI375" s="153">
        <f t="shared" si="393"/>
        <v>0</v>
      </c>
      <c r="AJ375" s="153">
        <f t="shared" si="393"/>
        <v>0</v>
      </c>
      <c r="AK375" s="153">
        <f t="shared" si="393"/>
        <v>0</v>
      </c>
      <c r="AL375" s="153">
        <f t="shared" si="393"/>
        <v>0</v>
      </c>
      <c r="AM375" s="153">
        <f t="shared" si="393"/>
        <v>0</v>
      </c>
      <c r="AN375" s="153">
        <f t="shared" si="393"/>
        <v>0</v>
      </c>
      <c r="AO375" s="153">
        <f t="shared" si="393"/>
        <v>0</v>
      </c>
      <c r="AP375" s="153">
        <f t="shared" si="393"/>
        <v>0</v>
      </c>
      <c r="AQ375" s="153">
        <f t="shared" si="393"/>
        <v>0</v>
      </c>
      <c r="AR375" s="153">
        <f t="shared" si="393"/>
        <v>0</v>
      </c>
      <c r="AS375" s="153">
        <f t="shared" si="393"/>
        <v>0</v>
      </c>
      <c r="AT375" s="153">
        <f t="shared" si="393"/>
        <v>0</v>
      </c>
      <c r="AU375" s="153">
        <f t="shared" si="393"/>
        <v>0</v>
      </c>
      <c r="AV375" s="153">
        <f t="shared" si="393"/>
        <v>0</v>
      </c>
      <c r="AW375" s="153">
        <f t="shared" si="393"/>
        <v>0</v>
      </c>
      <c r="AX375" s="153">
        <f t="shared" si="393"/>
        <v>0</v>
      </c>
      <c r="AY375" s="153">
        <f t="shared" si="393"/>
        <v>0</v>
      </c>
      <c r="AZ375" s="153">
        <f t="shared" si="393"/>
        <v>0</v>
      </c>
      <c r="BA375" s="153">
        <f t="shared" si="393"/>
        <v>0</v>
      </c>
      <c r="BB375" s="153">
        <f t="shared" si="393"/>
        <v>0</v>
      </c>
      <c r="BC375" s="153">
        <f t="shared" si="393"/>
        <v>0</v>
      </c>
      <c r="BD375" s="153">
        <f t="shared" si="393"/>
        <v>0</v>
      </c>
      <c r="BE375" s="153">
        <f t="shared" si="393"/>
        <v>0</v>
      </c>
      <c r="BF375" s="153">
        <f t="shared" si="393"/>
        <v>0</v>
      </c>
      <c r="BG375" s="153">
        <f t="shared" si="393"/>
        <v>0</v>
      </c>
      <c r="BH375" s="153">
        <f t="shared" si="393"/>
        <v>0</v>
      </c>
      <c r="BI375" s="153">
        <f t="shared" si="393"/>
        <v>0</v>
      </c>
      <c r="BJ375" s="153">
        <f t="shared" si="393"/>
        <v>0</v>
      </c>
      <c r="BL375" s="152">
        <f t="shared" si="389"/>
        <v>0</v>
      </c>
      <c r="BM375" s="152">
        <f t="shared" si="389"/>
        <v>0</v>
      </c>
      <c r="BN375" s="152">
        <f t="shared" si="389"/>
        <v>0</v>
      </c>
      <c r="BO375" s="152">
        <f t="shared" si="389"/>
        <v>0</v>
      </c>
      <c r="BP375" s="153">
        <f t="shared" ref="BP375" si="394">SUM(BP371:BP374)</f>
        <v>0</v>
      </c>
      <c r="BQ375" s="153">
        <f t="shared" ref="BQ375" si="395">SUM(BQ371:BQ374)</f>
        <v>0</v>
      </c>
      <c r="BR375" s="153">
        <f t="shared" ref="BR375" si="396">SUM(BR371:BR374)</f>
        <v>0</v>
      </c>
      <c r="BS375" s="153">
        <f t="shared" ref="BS375" si="397">SUM(BS371:BS374)</f>
        <v>0</v>
      </c>
      <c r="BT375" s="153">
        <f t="shared" ref="BT375" si="398">SUM(BT371:BT374)</f>
        <v>0</v>
      </c>
      <c r="BU375" s="153">
        <f t="shared" ref="BU375" si="399">SUM(BU371:BU374)</f>
        <v>0</v>
      </c>
      <c r="BV375" s="153">
        <f t="shared" ref="BV375" si="400">SUM(BV371:BV374)</f>
        <v>0</v>
      </c>
      <c r="BW375" s="153">
        <f t="shared" ref="BW375" si="401">SUM(BW371:BW374)</f>
        <v>0</v>
      </c>
      <c r="BY375" s="12"/>
      <c r="BZ375" s="335"/>
      <c r="CA375" s="12"/>
      <c r="CB375" s="335"/>
      <c r="CC375" s="335"/>
      <c r="CD375" s="335"/>
      <c r="CE375" s="335"/>
      <c r="CM375" s="335"/>
      <c r="CN375" s="335"/>
      <c r="CO375" s="335"/>
      <c r="CP375" s="335"/>
      <c r="CR375" s="12"/>
      <c r="CS375" s="93">
        <f t="shared" si="386"/>
        <v>0</v>
      </c>
      <c r="CT375" s="93">
        <v>0</v>
      </c>
      <c r="CU375" s="93">
        <v>0</v>
      </c>
      <c r="EW375" s="335"/>
      <c r="EX375" s="13" t="str">
        <f>IF(C375="", "", CONCATENATE(D370, " ",D375))</f>
        <v>Loan 18 Closing Loan Balance</v>
      </c>
    </row>
    <row r="376" spans="1:154" s="67" customFormat="1" ht="6.6" customHeight="1" x14ac:dyDescent="0.25">
      <c r="C376" s="380"/>
      <c r="D376" s="1"/>
      <c r="S376" s="335"/>
      <c r="T376" s="25"/>
      <c r="U376" s="25"/>
      <c r="V376" s="229"/>
      <c r="W376" s="25"/>
      <c r="X376" s="25"/>
      <c r="Y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L376" s="25"/>
      <c r="BM376" s="155"/>
      <c r="BN376" s="25"/>
      <c r="BO376" s="25"/>
      <c r="BP376" s="25"/>
      <c r="BQ376" s="25"/>
      <c r="BR376" s="25"/>
      <c r="BS376" s="25"/>
      <c r="BT376" s="25"/>
      <c r="BU376" s="25"/>
      <c r="BV376" s="25"/>
      <c r="BW376" s="25"/>
      <c r="BY376" s="42"/>
      <c r="BZ376" s="335"/>
      <c r="CA376" s="42"/>
      <c r="CB376" s="335"/>
      <c r="CC376" s="335"/>
      <c r="CD376" s="335"/>
      <c r="CE376" s="335"/>
      <c r="CM376" s="335"/>
      <c r="CN376" s="335"/>
      <c r="CO376" s="335"/>
      <c r="CP376" s="335"/>
      <c r="CR376" s="42"/>
      <c r="CS376" s="93">
        <f t="shared" si="386"/>
        <v>0</v>
      </c>
      <c r="CT376" s="93">
        <v>0</v>
      </c>
      <c r="CU376" s="93">
        <v>0</v>
      </c>
      <c r="EW376" s="335"/>
      <c r="EX376" s="13" t="str">
        <f>IF(C376="", "", CONCATENATE(D370, " ",D376))</f>
        <v/>
      </c>
    </row>
    <row r="377" spans="1:154" s="67" customFormat="1" x14ac:dyDescent="0.25">
      <c r="A377" s="362" cm="1">
        <f t="array" aca="1" ref="A377" ca="1">HYPERLINK(CONCATENATE("#",CELL("address",IF(SUM($CA377:$CR377)=0,A377,INDEX($CA377:$CR377,MATCH(1,$CA377:$CR377,0))))),SUM($CA377:$CR377))</f>
        <v>0</v>
      </c>
      <c r="C377" s="380"/>
      <c r="D377" s="51" t="s">
        <v>526</v>
      </c>
      <c r="E377" s="160" t="s">
        <v>523</v>
      </c>
      <c r="F377" s="153">
        <f>$F$30</f>
        <v>0</v>
      </c>
      <c r="S377" s="335"/>
      <c r="T377" s="25"/>
      <c r="U377" s="25"/>
      <c r="V377" s="230">
        <f>IF(OR(V375&gt;$F377, V375&lt;0), 1, 0)</f>
        <v>0</v>
      </c>
      <c r="W377" s="154">
        <f>IF(OR(W375&gt;$F377, W375&lt;0), 1, 0)</f>
        <v>0</v>
      </c>
      <c r="X377" s="154">
        <f>IF(OR(X375&gt;$F377, X375&lt;0), 1, 0)</f>
        <v>0</v>
      </c>
      <c r="Y377" s="154">
        <f>IF(OR(Y375&gt;$F377, Y375&lt;0), 1, 0)</f>
        <v>0</v>
      </c>
      <c r="AA377" s="154">
        <f t="shared" ref="AA377:BJ377" si="402">IF(OR(AA375&gt;$F377, AA375&lt;0), 1, 0)</f>
        <v>0</v>
      </c>
      <c r="AB377" s="154">
        <f t="shared" si="402"/>
        <v>0</v>
      </c>
      <c r="AC377" s="154">
        <f t="shared" si="402"/>
        <v>0</v>
      </c>
      <c r="AD377" s="154">
        <f t="shared" si="402"/>
        <v>0</v>
      </c>
      <c r="AE377" s="154">
        <f t="shared" si="402"/>
        <v>0</v>
      </c>
      <c r="AF377" s="154">
        <f t="shared" si="402"/>
        <v>0</v>
      </c>
      <c r="AG377" s="154">
        <f t="shared" si="402"/>
        <v>0</v>
      </c>
      <c r="AH377" s="154">
        <f t="shared" si="402"/>
        <v>0</v>
      </c>
      <c r="AI377" s="154">
        <f t="shared" si="402"/>
        <v>0</v>
      </c>
      <c r="AJ377" s="154">
        <f t="shared" si="402"/>
        <v>0</v>
      </c>
      <c r="AK377" s="154">
        <f t="shared" si="402"/>
        <v>0</v>
      </c>
      <c r="AL377" s="154">
        <f t="shared" si="402"/>
        <v>0</v>
      </c>
      <c r="AM377" s="154">
        <f t="shared" si="402"/>
        <v>0</v>
      </c>
      <c r="AN377" s="154">
        <f t="shared" si="402"/>
        <v>0</v>
      </c>
      <c r="AO377" s="154">
        <f t="shared" si="402"/>
        <v>0</v>
      </c>
      <c r="AP377" s="154">
        <f t="shared" si="402"/>
        <v>0</v>
      </c>
      <c r="AQ377" s="154">
        <f t="shared" si="402"/>
        <v>0</v>
      </c>
      <c r="AR377" s="154">
        <f t="shared" si="402"/>
        <v>0</v>
      </c>
      <c r="AS377" s="154">
        <f t="shared" si="402"/>
        <v>0</v>
      </c>
      <c r="AT377" s="154">
        <f t="shared" si="402"/>
        <v>0</v>
      </c>
      <c r="AU377" s="154">
        <f t="shared" si="402"/>
        <v>0</v>
      </c>
      <c r="AV377" s="154">
        <f t="shared" si="402"/>
        <v>0</v>
      </c>
      <c r="AW377" s="154">
        <f t="shared" si="402"/>
        <v>0</v>
      </c>
      <c r="AX377" s="154">
        <f t="shared" si="402"/>
        <v>0</v>
      </c>
      <c r="AY377" s="154">
        <f t="shared" si="402"/>
        <v>0</v>
      </c>
      <c r="AZ377" s="154">
        <f t="shared" si="402"/>
        <v>0</v>
      </c>
      <c r="BA377" s="154">
        <f t="shared" si="402"/>
        <v>0</v>
      </c>
      <c r="BB377" s="154">
        <f t="shared" si="402"/>
        <v>0</v>
      </c>
      <c r="BC377" s="154">
        <f t="shared" si="402"/>
        <v>0</v>
      </c>
      <c r="BD377" s="154">
        <f t="shared" si="402"/>
        <v>0</v>
      </c>
      <c r="BE377" s="154">
        <f t="shared" si="402"/>
        <v>0</v>
      </c>
      <c r="BF377" s="154">
        <f t="shared" si="402"/>
        <v>0</v>
      </c>
      <c r="BG377" s="154">
        <f t="shared" si="402"/>
        <v>0</v>
      </c>
      <c r="BH377" s="154">
        <f t="shared" si="402"/>
        <v>0</v>
      </c>
      <c r="BI377" s="154">
        <f t="shared" si="402"/>
        <v>0</v>
      </c>
      <c r="BJ377" s="154">
        <f t="shared" si="402"/>
        <v>0</v>
      </c>
      <c r="BL377" s="154">
        <f t="shared" ref="BL377" si="403">IF(OR(BL375&gt;$F377, BL375&lt;0), 1, 0)</f>
        <v>0</v>
      </c>
      <c r="BM377" s="154">
        <f t="shared" ref="BM377:BW377" si="404">IF(OR(BM375&gt;$F377, BM375&lt;0), 1, 0)</f>
        <v>0</v>
      </c>
      <c r="BN377" s="154">
        <f t="shared" si="404"/>
        <v>0</v>
      </c>
      <c r="BO377" s="154">
        <f t="shared" si="404"/>
        <v>0</v>
      </c>
      <c r="BP377" s="154">
        <f t="shared" si="404"/>
        <v>0</v>
      </c>
      <c r="BQ377" s="154">
        <f t="shared" si="404"/>
        <v>0</v>
      </c>
      <c r="BR377" s="154">
        <f t="shared" si="404"/>
        <v>0</v>
      </c>
      <c r="BS377" s="154">
        <f t="shared" si="404"/>
        <v>0</v>
      </c>
      <c r="BT377" s="154">
        <f t="shared" si="404"/>
        <v>0</v>
      </c>
      <c r="BU377" s="154">
        <f t="shared" si="404"/>
        <v>0</v>
      </c>
      <c r="BV377" s="154">
        <f t="shared" si="404"/>
        <v>0</v>
      </c>
      <c r="BW377" s="154">
        <f t="shared" si="404"/>
        <v>0</v>
      </c>
      <c r="BY377" s="12"/>
      <c r="BZ377" s="335"/>
      <c r="CA377" s="12"/>
      <c r="CB377" s="335"/>
      <c r="CC377" s="335"/>
      <c r="CD377" s="335"/>
      <c r="CE377" s="335"/>
      <c r="CL377" s="7">
        <f>IF(MAX(V377:BW377)&gt;0, 1, 0)</f>
        <v>0</v>
      </c>
      <c r="CM377" s="335"/>
      <c r="CN377" s="335"/>
      <c r="CO377" s="335"/>
      <c r="CP377" s="335"/>
      <c r="CR377" s="12"/>
      <c r="CS377" s="93">
        <f t="shared" si="386"/>
        <v>1</v>
      </c>
      <c r="CT377" s="93">
        <v>0</v>
      </c>
      <c r="CU377" s="93">
        <v>0</v>
      </c>
      <c r="EW377" s="335"/>
      <c r="EX377" s="13" t="str">
        <f>IF(C377="", "", CONCATENATE(D370, " ",D377))</f>
        <v/>
      </c>
    </row>
    <row r="378" spans="1:154" s="67" customFormat="1" x14ac:dyDescent="0.25">
      <c r="A378" s="362" cm="1">
        <f t="array" aca="1" ref="A378" ca="1">HYPERLINK(CONCATENATE("#",CELL("address",IF(SUM($CA378:$CR378)=0,A378,INDEX($CA378:$CR378,MATCH(1,$CA378:$CR378,0))))),SUM($CA378:$CR378))</f>
        <v>0</v>
      </c>
      <c r="C378" s="380"/>
      <c r="D378" s="51" t="s">
        <v>220</v>
      </c>
      <c r="E378" s="160" t="s">
        <v>524</v>
      </c>
      <c r="F378" s="173" t="str">
        <f>IF($J$30="", "", $J$30)</f>
        <v/>
      </c>
      <c r="S378" s="335"/>
      <c r="T378" s="25"/>
      <c r="U378" s="25"/>
      <c r="V378" s="230">
        <f>IF(AND(V$5&gt;=$F378,SUM(V375:$Y375)&lt;&gt;0),1,0)</f>
        <v>0</v>
      </c>
      <c r="W378" s="230">
        <f>IF(AND(W$5&gt;=$F378,SUM(W375:$Y375)&lt;&gt;0),1,0)</f>
        <v>0</v>
      </c>
      <c r="X378" s="230">
        <f>IF(AND(X$5&gt;=$F378,SUM(X375:$Y375)&lt;&gt;0),1,0)</f>
        <v>0</v>
      </c>
      <c r="Y378" s="230">
        <f>IF(AND(Y$5&gt;=$F378,SUM(Y375:$Y375)&lt;&gt;0),1,0)</f>
        <v>0</v>
      </c>
      <c r="AA378" s="154">
        <f>IF(AND(AA$5&gt;=$F378,SUM(AA375:$BJ375)&lt;&gt;0),1,0)</f>
        <v>0</v>
      </c>
      <c r="AB378" s="154">
        <f>IF(AND(AB$5&gt;=$F378,SUM(AB375:$BJ375)&lt;&gt;0),1,0)</f>
        <v>0</v>
      </c>
      <c r="AC378" s="154">
        <f>IF(AND(AC$5&gt;=$F378,SUM(AC375:$BJ375)&lt;&gt;0),1,0)</f>
        <v>0</v>
      </c>
      <c r="AD378" s="154">
        <f>IF(AND(AD$5&gt;=$F378,SUM(AD375:$BJ375)&lt;&gt;0),1,0)</f>
        <v>0</v>
      </c>
      <c r="AE378" s="154">
        <f>IF(AND(AE$5&gt;=$F378,SUM(AE375:$BJ375)&lt;&gt;0),1,0)</f>
        <v>0</v>
      </c>
      <c r="AF378" s="154">
        <f>IF(AND(AF$5&gt;=$F378,SUM(AF375:$BJ375)&lt;&gt;0),1,0)</f>
        <v>0</v>
      </c>
      <c r="AG378" s="154">
        <f>IF(AND(AG$5&gt;=$F378,SUM(AG375:$BJ375)&lt;&gt;0),1,0)</f>
        <v>0</v>
      </c>
      <c r="AH378" s="154">
        <f>IF(AND(AH$5&gt;=$F378,SUM(AH375:$BJ375)&lt;&gt;0),1,0)</f>
        <v>0</v>
      </c>
      <c r="AI378" s="154">
        <f>IF(AND(AI$5&gt;=$F378,SUM(AI375:$BJ375)&lt;&gt;0),1,0)</f>
        <v>0</v>
      </c>
      <c r="AJ378" s="154">
        <f>IF(AND(AJ$5&gt;=$F378,SUM(AJ375:$BJ375)&lt;&gt;0),1,0)</f>
        <v>0</v>
      </c>
      <c r="AK378" s="154">
        <f>IF(AND(AK$5&gt;=$F378,SUM(AK375:$BJ375)&lt;&gt;0),1,0)</f>
        <v>0</v>
      </c>
      <c r="AL378" s="154">
        <f>IF(AND(AL$5&gt;=$F378,SUM(AL375:$BJ375)&lt;&gt;0),1,0)</f>
        <v>0</v>
      </c>
      <c r="AM378" s="154">
        <f>IF(AND(AM$5&gt;=$F378,SUM(AM375:$BJ375)&lt;&gt;0),1,0)</f>
        <v>0</v>
      </c>
      <c r="AN378" s="154">
        <f>IF(AND(AN$5&gt;=$F378,SUM(AN375:$BJ375)&lt;&gt;0),1,0)</f>
        <v>0</v>
      </c>
      <c r="AO378" s="154">
        <f>IF(AND(AO$5&gt;=$F378,SUM(AO375:$BJ375)&lt;&gt;0),1,0)</f>
        <v>0</v>
      </c>
      <c r="AP378" s="154">
        <f>IF(AND(AP$5&gt;=$F378,SUM(AP375:$BJ375)&lt;&gt;0),1,0)</f>
        <v>0</v>
      </c>
      <c r="AQ378" s="154">
        <f>IF(AND(AQ$5&gt;=$F378,SUM(AQ375:$BJ375)&lt;&gt;0),1,0)</f>
        <v>0</v>
      </c>
      <c r="AR378" s="154">
        <f>IF(AND(AR$5&gt;=$F378,SUM(AR375:$BJ375)&lt;&gt;0),1,0)</f>
        <v>0</v>
      </c>
      <c r="AS378" s="154">
        <f>IF(AND(AS$5&gt;=$F378,SUM(AS375:$BJ375)&lt;&gt;0),1,0)</f>
        <v>0</v>
      </c>
      <c r="AT378" s="154">
        <f>IF(AND(AT$5&gt;=$F378,SUM(AT375:$BJ375)&lt;&gt;0),1,0)</f>
        <v>0</v>
      </c>
      <c r="AU378" s="154">
        <f>IF(AND(AU$5&gt;=$F378,SUM(AU375:$BJ375)&lt;&gt;0),1,0)</f>
        <v>0</v>
      </c>
      <c r="AV378" s="154">
        <f>IF(AND(AV$5&gt;=$F378,SUM(AV375:$BJ375)&lt;&gt;0),1,0)</f>
        <v>0</v>
      </c>
      <c r="AW378" s="154">
        <f>IF(AND(AW$5&gt;=$F378,SUM(AW375:$BJ375)&lt;&gt;0),1,0)</f>
        <v>0</v>
      </c>
      <c r="AX378" s="154">
        <f>IF(AND(AX$5&gt;=$F378,SUM(AX375:$BJ375)&lt;&gt;0),1,0)</f>
        <v>0</v>
      </c>
      <c r="AY378" s="154">
        <f>IF(AND(AY$5&gt;=$F378,SUM(AY375:$BJ375)&lt;&gt;0),1,0)</f>
        <v>0</v>
      </c>
      <c r="AZ378" s="154">
        <f>IF(AND(AZ$5&gt;=$F378,SUM(AZ375:$BJ375)&lt;&gt;0),1,0)</f>
        <v>0</v>
      </c>
      <c r="BA378" s="154">
        <f>IF(AND(BA$5&gt;=$F378,SUM(BA375:$BJ375)&lt;&gt;0),1,0)</f>
        <v>0</v>
      </c>
      <c r="BB378" s="154">
        <f>IF(AND(BB$5&gt;=$F378,SUM(BB375:$BJ375)&lt;&gt;0),1,0)</f>
        <v>0</v>
      </c>
      <c r="BC378" s="154">
        <f>IF(AND(BC$5&gt;=$F378,SUM(BC375:$BJ375)&lt;&gt;0),1,0)</f>
        <v>0</v>
      </c>
      <c r="BD378" s="154">
        <f>IF(AND(BD$5&gt;=$F378,SUM(BD375:$BJ375)&lt;&gt;0),1,0)</f>
        <v>0</v>
      </c>
      <c r="BE378" s="154">
        <f>IF(AND(BE$5&gt;=$F378,SUM(BE375:$BJ375)&lt;&gt;0),1,0)</f>
        <v>0</v>
      </c>
      <c r="BF378" s="154">
        <f>IF(AND(BF$5&gt;=$F378,SUM(BF375:$BJ375)&lt;&gt;0),1,0)</f>
        <v>0</v>
      </c>
      <c r="BG378" s="154">
        <f>IF(AND(BG$5&gt;=$F378,SUM(BG375:$BJ375)&lt;&gt;0),1,0)</f>
        <v>0</v>
      </c>
      <c r="BH378" s="154">
        <f>IF(AND(BH$5&gt;=$F378,SUM(BH375:$BJ375)&lt;&gt;0),1,0)</f>
        <v>0</v>
      </c>
      <c r="BI378" s="154">
        <f>IF(AND(BI$5&gt;=$F378,SUM(BI375:$BJ375)&lt;&gt;0),1,0)</f>
        <v>0</v>
      </c>
      <c r="BJ378" s="154">
        <f>IF(AND(BJ$5&gt;=$F378,SUM(BJ375:$BJ375)&lt;&gt;0),1,0)</f>
        <v>0</v>
      </c>
      <c r="BL378" s="154">
        <f>IF(AND(BL$5&gt;=$F378,SUM(BL375:$BW375)&lt;&gt;0),1,0)*BL$1150</f>
        <v>0</v>
      </c>
      <c r="BM378" s="154">
        <f>IF(AND(BM$5&gt;=$F378,SUM(BM375:$BW375)&lt;&gt;0),1,0)*BM$1150</f>
        <v>0</v>
      </c>
      <c r="BN378" s="154">
        <f>IF(AND(BN$5&gt;=$F378,SUM(BN375:$BW375)&lt;&gt;0),1,0)*BN$1150</f>
        <v>0</v>
      </c>
      <c r="BO378" s="154">
        <f>IF(AND(BO$5&gt;=$F378,SUM(BO375:$BW375)&lt;&gt;0),1,0)*BO$1150</f>
        <v>0</v>
      </c>
      <c r="BP378" s="154">
        <f>IF(AND(BP$5&gt;=$F378,SUM(BP375:$BW375)&lt;&gt;0),1,0)*BP$1150</f>
        <v>0</v>
      </c>
      <c r="BQ378" s="154">
        <f>IF(AND(BQ$5&gt;=$F378,SUM(BQ375:$BW375)&lt;&gt;0),1,0)*BQ$1150</f>
        <v>0</v>
      </c>
      <c r="BR378" s="154">
        <f>IF(AND(BR$5&gt;=$F378,SUM(BR375:$BW375)&lt;&gt;0),1,0)*BR$1150</f>
        <v>0</v>
      </c>
      <c r="BS378" s="154">
        <f>IF(AND(BS$5&gt;=$F378,SUM(BS375:$BW375)&lt;&gt;0),1,0)*BS$1150</f>
        <v>0</v>
      </c>
      <c r="BT378" s="154">
        <f>IF(AND(BT$5&gt;=$F378,SUM(BT375:$BW375)&lt;&gt;0),1,0)*BT$1150</f>
        <v>0</v>
      </c>
      <c r="BU378" s="154">
        <f>IF(AND(BU$5&gt;=$F378,SUM(BU375:$BW375)&lt;&gt;0),1,0)*BU$1150</f>
        <v>0</v>
      </c>
      <c r="BV378" s="154">
        <f>IF(AND(BV$5&gt;=$F378,SUM(BV375:$BW375)&lt;&gt;0),1,0)*BV$1150</f>
        <v>0</v>
      </c>
      <c r="BW378" s="154">
        <f>IF(AND(BW$5&gt;=$F378,SUM(BW375:$BW375)&lt;&gt;0),1,0)*BW$1150</f>
        <v>0</v>
      </c>
      <c r="BY378" s="12"/>
      <c r="BZ378" s="335"/>
      <c r="CA378" s="12"/>
      <c r="CB378" s="335"/>
      <c r="CC378" s="335"/>
      <c r="CD378" s="335"/>
      <c r="CE378" s="335"/>
      <c r="CL378" s="7">
        <f>IF(MAX($V378:$BW378)&gt;0, 1, 0)</f>
        <v>0</v>
      </c>
      <c r="CM378" s="335"/>
      <c r="CN378" s="335"/>
      <c r="CO378" s="335"/>
      <c r="CP378" s="335"/>
      <c r="CR378" s="12"/>
      <c r="CS378" s="93">
        <f t="shared" si="386"/>
        <v>1</v>
      </c>
      <c r="CT378" s="93">
        <v>0</v>
      </c>
      <c r="CU378" s="93">
        <v>0</v>
      </c>
      <c r="EW378" s="335"/>
      <c r="EX378" s="13" t="str">
        <f>IF(C378="", "", CONCATENATE(D370, " ",D378))</f>
        <v/>
      </c>
    </row>
    <row r="379" spans="1:154" s="67" customFormat="1" ht="6.6" customHeight="1" x14ac:dyDescent="0.25">
      <c r="C379" s="380"/>
      <c r="D379" s="1"/>
      <c r="S379" s="335"/>
      <c r="T379" s="25"/>
      <c r="U379" s="25"/>
      <c r="V379" s="229"/>
      <c r="W379" s="25"/>
      <c r="X379" s="25"/>
      <c r="Y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L379" s="25"/>
      <c r="BM379" s="155"/>
      <c r="BN379" s="25"/>
      <c r="BO379" s="25"/>
      <c r="BP379" s="25"/>
      <c r="BQ379" s="25"/>
      <c r="BR379" s="25"/>
      <c r="BS379" s="25"/>
      <c r="BT379" s="25"/>
      <c r="BU379" s="25"/>
      <c r="BV379" s="25"/>
      <c r="BW379" s="25"/>
      <c r="BY379" s="42"/>
      <c r="BZ379" s="335"/>
      <c r="CA379" s="42"/>
      <c r="CB379" s="335"/>
      <c r="CC379" s="335"/>
      <c r="CD379" s="335"/>
      <c r="CE379" s="335"/>
      <c r="CM379" s="335"/>
      <c r="CN379" s="335"/>
      <c r="CO379" s="335"/>
      <c r="CP379" s="335"/>
      <c r="CR379" s="42"/>
      <c r="CS379" s="93">
        <f t="shared" si="386"/>
        <v>0</v>
      </c>
      <c r="CT379" s="93">
        <v>0</v>
      </c>
      <c r="CU379" s="93">
        <v>0</v>
      </c>
      <c r="EW379" s="335"/>
      <c r="EX379" s="13" t="str">
        <f>IF(C379="", "", CONCATENATE(D370, " ",D379))</f>
        <v/>
      </c>
    </row>
    <row r="380" spans="1:154" s="67" customFormat="1" x14ac:dyDescent="0.25">
      <c r="C380" s="380"/>
      <c r="D380" s="51" t="s">
        <v>223</v>
      </c>
      <c r="E380" s="1"/>
      <c r="G380" s="9" t="s">
        <v>413</v>
      </c>
      <c r="H380" s="50" t="s">
        <v>8</v>
      </c>
      <c r="S380" s="335"/>
      <c r="T380" s="25"/>
      <c r="U380" s="25"/>
      <c r="V380" s="222"/>
      <c r="W380" s="201">
        <f>V383</f>
        <v>0</v>
      </c>
      <c r="X380" s="201">
        <f>W383</f>
        <v>0</v>
      </c>
      <c r="Y380" s="10">
        <f>X383</f>
        <v>0</v>
      </c>
      <c r="AA380" s="13">
        <f>W380</f>
        <v>0</v>
      </c>
      <c r="AB380" s="153">
        <f t="shared" ref="AB380:BJ380" si="405">AA383</f>
        <v>0</v>
      </c>
      <c r="AC380" s="153">
        <f t="shared" si="405"/>
        <v>0</v>
      </c>
      <c r="AD380" s="153">
        <f t="shared" si="405"/>
        <v>0</v>
      </c>
      <c r="AE380" s="153">
        <f t="shared" si="405"/>
        <v>0</v>
      </c>
      <c r="AF380" s="153">
        <f t="shared" si="405"/>
        <v>0</v>
      </c>
      <c r="AG380" s="153">
        <f t="shared" si="405"/>
        <v>0</v>
      </c>
      <c r="AH380" s="153">
        <f t="shared" si="405"/>
        <v>0</v>
      </c>
      <c r="AI380" s="153">
        <f t="shared" si="405"/>
        <v>0</v>
      </c>
      <c r="AJ380" s="153">
        <f t="shared" si="405"/>
        <v>0</v>
      </c>
      <c r="AK380" s="153">
        <f t="shared" si="405"/>
        <v>0</v>
      </c>
      <c r="AL380" s="153">
        <f t="shared" si="405"/>
        <v>0</v>
      </c>
      <c r="AM380" s="153">
        <f t="shared" si="405"/>
        <v>0</v>
      </c>
      <c r="AN380" s="153">
        <f t="shared" si="405"/>
        <v>0</v>
      </c>
      <c r="AO380" s="153">
        <f t="shared" si="405"/>
        <v>0</v>
      </c>
      <c r="AP380" s="153">
        <f t="shared" si="405"/>
        <v>0</v>
      </c>
      <c r="AQ380" s="153">
        <f t="shared" si="405"/>
        <v>0</v>
      </c>
      <c r="AR380" s="153">
        <f t="shared" si="405"/>
        <v>0</v>
      </c>
      <c r="AS380" s="153">
        <f t="shared" si="405"/>
        <v>0</v>
      </c>
      <c r="AT380" s="153">
        <f t="shared" si="405"/>
        <v>0</v>
      </c>
      <c r="AU380" s="153">
        <f t="shared" si="405"/>
        <v>0</v>
      </c>
      <c r="AV380" s="153">
        <f t="shared" si="405"/>
        <v>0</v>
      </c>
      <c r="AW380" s="153">
        <f t="shared" si="405"/>
        <v>0</v>
      </c>
      <c r="AX380" s="153">
        <f t="shared" si="405"/>
        <v>0</v>
      </c>
      <c r="AY380" s="153">
        <f t="shared" si="405"/>
        <v>0</v>
      </c>
      <c r="AZ380" s="153">
        <f t="shared" si="405"/>
        <v>0</v>
      </c>
      <c r="BA380" s="153">
        <f t="shared" si="405"/>
        <v>0</v>
      </c>
      <c r="BB380" s="153">
        <f t="shared" si="405"/>
        <v>0</v>
      </c>
      <c r="BC380" s="153">
        <f t="shared" si="405"/>
        <v>0</v>
      </c>
      <c r="BD380" s="153">
        <f t="shared" si="405"/>
        <v>0</v>
      </c>
      <c r="BE380" s="153">
        <f t="shared" si="405"/>
        <v>0</v>
      </c>
      <c r="BF380" s="153">
        <f t="shared" si="405"/>
        <v>0</v>
      </c>
      <c r="BG380" s="153">
        <f t="shared" si="405"/>
        <v>0</v>
      </c>
      <c r="BH380" s="153">
        <f t="shared" si="405"/>
        <v>0</v>
      </c>
      <c r="BI380" s="153">
        <f t="shared" si="405"/>
        <v>0</v>
      </c>
      <c r="BJ380" s="153">
        <f t="shared" si="405"/>
        <v>0</v>
      </c>
      <c r="BL380" s="152">
        <f t="shared" ref="BL380:BO383" si="406">V380</f>
        <v>0</v>
      </c>
      <c r="BM380" s="152">
        <f t="shared" si="406"/>
        <v>0</v>
      </c>
      <c r="BN380" s="152">
        <f t="shared" si="406"/>
        <v>0</v>
      </c>
      <c r="BO380" s="152">
        <f t="shared" si="406"/>
        <v>0</v>
      </c>
      <c r="BP380" s="153">
        <f t="shared" ref="BP380:BW380" si="407">BO383</f>
        <v>0</v>
      </c>
      <c r="BQ380" s="153">
        <f t="shared" si="407"/>
        <v>0</v>
      </c>
      <c r="BR380" s="153">
        <f t="shared" si="407"/>
        <v>0</v>
      </c>
      <c r="BS380" s="153">
        <f t="shared" si="407"/>
        <v>0</v>
      </c>
      <c r="BT380" s="153">
        <f t="shared" si="407"/>
        <v>0</v>
      </c>
      <c r="BU380" s="153">
        <f t="shared" si="407"/>
        <v>0</v>
      </c>
      <c r="BV380" s="153">
        <f t="shared" si="407"/>
        <v>0</v>
      </c>
      <c r="BW380" s="153">
        <f t="shared" si="407"/>
        <v>0</v>
      </c>
      <c r="BY380" s="12"/>
      <c r="BZ380" s="335"/>
      <c r="CA380" s="12"/>
      <c r="CB380" s="335"/>
      <c r="CC380" s="335"/>
      <c r="CD380" s="335"/>
      <c r="CE380" s="335"/>
      <c r="CM380" s="335"/>
      <c r="CN380" s="335"/>
      <c r="CO380" s="335"/>
      <c r="CP380" s="335"/>
      <c r="CR380" s="12"/>
      <c r="CS380" s="93">
        <f t="shared" si="386"/>
        <v>0</v>
      </c>
      <c r="CT380" s="93">
        <v>1</v>
      </c>
      <c r="CU380" s="93">
        <v>0</v>
      </c>
      <c r="EW380" s="335"/>
      <c r="EX380" s="13" t="str">
        <f>IF(C380="", "", CONCATENATE(D370, " ",D380))</f>
        <v/>
      </c>
    </row>
    <row r="381" spans="1:154" s="5" customFormat="1" ht="15.75" x14ac:dyDescent="0.3">
      <c r="A381" s="362" cm="1">
        <f t="array" aca="1" ref="A381" ca="1">HYPERLINK(CONCATENATE("#",CELL("address",IF(SUM($CA381:$CR381)=0,A381,INDEX($CA381:$CR381,MATCH(1,$CA381:$CR381,0))))),SUM($CA381:$CR381))</f>
        <v>0</v>
      </c>
      <c r="B381" s="105" t="s">
        <v>335</v>
      </c>
      <c r="C381" s="380"/>
      <c r="D381" s="51" t="s">
        <v>234</v>
      </c>
      <c r="E381" s="1"/>
      <c r="F381" s="25"/>
      <c r="G381" s="9" t="s">
        <v>413</v>
      </c>
      <c r="H381" s="50" t="s">
        <v>125</v>
      </c>
      <c r="I381" s="67"/>
      <c r="J381" s="67"/>
      <c r="K381" s="67"/>
      <c r="L381" s="67"/>
      <c r="M381" s="67"/>
      <c r="N381" s="67"/>
      <c r="O381" s="67"/>
      <c r="P381" s="67"/>
      <c r="Q381" s="67"/>
      <c r="R381" s="67"/>
      <c r="S381" s="335"/>
      <c r="T381" s="25"/>
      <c r="U381" s="25"/>
      <c r="V381" s="222"/>
      <c r="W381" s="215">
        <f t="shared" ref="W381:Y382" si="408" xml:space="preserve"> SUMIFS($AA381:$BJ381, $AA$3:$BJ$3, W$3)</f>
        <v>0</v>
      </c>
      <c r="X381" s="215">
        <f t="shared" si="408"/>
        <v>0</v>
      </c>
      <c r="Y381" s="215">
        <f t="shared" si="408"/>
        <v>0</v>
      </c>
      <c r="Z381" s="67"/>
      <c r="AA381" s="147"/>
      <c r="AB381" s="147"/>
      <c r="AC381" s="147"/>
      <c r="AD381" s="147"/>
      <c r="AE381" s="147"/>
      <c r="AF381" s="147"/>
      <c r="AG381" s="147"/>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c r="BI381" s="147"/>
      <c r="BJ381" s="147"/>
      <c r="BK381" s="67"/>
      <c r="BL381" s="152">
        <f t="shared" si="406"/>
        <v>0</v>
      </c>
      <c r="BM381" s="152">
        <f t="shared" si="406"/>
        <v>0</v>
      </c>
      <c r="BN381" s="152">
        <f t="shared" si="406"/>
        <v>0</v>
      </c>
      <c r="BO381" s="152">
        <f t="shared" si="406"/>
        <v>0</v>
      </c>
      <c r="BP381" s="156"/>
      <c r="BQ381" s="156"/>
      <c r="BR381" s="156"/>
      <c r="BS381" s="156"/>
      <c r="BT381" s="156"/>
      <c r="BU381" s="156"/>
      <c r="BV381" s="156"/>
      <c r="BW381" s="156"/>
      <c r="BX381" s="67"/>
      <c r="BY381" s="12"/>
      <c r="BZ381" s="395">
        <f>IF(MIN($V381:$BW381)&lt;0, 1, 0)</f>
        <v>0</v>
      </c>
      <c r="CA381" s="12"/>
      <c r="CB381" s="335"/>
      <c r="CC381" s="335"/>
      <c r="CD381" s="335"/>
      <c r="CE381" s="335"/>
      <c r="CF381" s="67"/>
      <c r="CG381" s="67"/>
      <c r="CH381" s="67"/>
      <c r="CI381" s="67"/>
      <c r="CJ381" s="67"/>
      <c r="CK381" s="67"/>
      <c r="CL381" s="67"/>
      <c r="CM381" s="7">
        <f t="shared" ref="CM381:CO382" si="409">IF(ROUND(W381-SUMIFS($AA381:$BJ381, $AA$3:$BJ$3, W$3), rounding)=0, 0, 1)</f>
        <v>0</v>
      </c>
      <c r="CN381" s="7">
        <f t="shared" si="409"/>
        <v>0</v>
      </c>
      <c r="CO381" s="7">
        <f t="shared" si="409"/>
        <v>0</v>
      </c>
      <c r="CP381" s="7">
        <f>IF(ROUND(V381-BL381, rounding)=0, 0, 1)*'BS Forecasts'!$V$10</f>
        <v>0</v>
      </c>
      <c r="CQ381" s="67"/>
      <c r="CR381" s="12"/>
      <c r="CS381" s="93">
        <f t="shared" si="386"/>
        <v>0</v>
      </c>
      <c r="CT381" s="93">
        <v>1</v>
      </c>
      <c r="CU381" s="93">
        <v>1</v>
      </c>
      <c r="EX381" s="13" t="str">
        <f>IF(C381="", "", CONCATENATE(D370, " ",D381))</f>
        <v/>
      </c>
    </row>
    <row r="382" spans="1:154" s="67" customFormat="1" ht="15.75" x14ac:dyDescent="0.3">
      <c r="A382" s="362" cm="1">
        <f t="array" aca="1" ref="A382" ca="1">HYPERLINK(CONCATENATE("#",CELL("address",IF(SUM($CA382:$CR382)=0,A382,INDEX($CA382:$CR382,MATCH(1,$CA382:$CR382,0))))),SUM($CA382:$CR382))</f>
        <v>0</v>
      </c>
      <c r="B382" s="105" t="s">
        <v>335</v>
      </c>
      <c r="C382" s="380"/>
      <c r="D382" s="51" t="s">
        <v>222</v>
      </c>
      <c r="E382" s="1"/>
      <c r="G382" s="9" t="s">
        <v>413</v>
      </c>
      <c r="H382" s="50" t="s">
        <v>157</v>
      </c>
      <c r="S382" s="335"/>
      <c r="T382" s="25"/>
      <c r="U382" s="25"/>
      <c r="V382" s="222"/>
      <c r="W382" s="215">
        <f t="shared" si="408"/>
        <v>0</v>
      </c>
      <c r="X382" s="215">
        <f t="shared" si="408"/>
        <v>0</v>
      </c>
      <c r="Y382" s="215">
        <f t="shared" si="408"/>
        <v>0</v>
      </c>
      <c r="AA382" s="147"/>
      <c r="AB382" s="147"/>
      <c r="AC382" s="147"/>
      <c r="AD382" s="147"/>
      <c r="AE382" s="147"/>
      <c r="AF382" s="147"/>
      <c r="AG382" s="147"/>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c r="BI382" s="147"/>
      <c r="BJ382" s="147"/>
      <c r="BL382" s="152">
        <f t="shared" si="406"/>
        <v>0</v>
      </c>
      <c r="BM382" s="152">
        <f t="shared" si="406"/>
        <v>0</v>
      </c>
      <c r="BN382" s="152">
        <f t="shared" si="406"/>
        <v>0</v>
      </c>
      <c r="BO382" s="152">
        <f t="shared" si="406"/>
        <v>0</v>
      </c>
      <c r="BP382" s="156"/>
      <c r="BQ382" s="156"/>
      <c r="BR382" s="156"/>
      <c r="BS382" s="156"/>
      <c r="BT382" s="156"/>
      <c r="BU382" s="156"/>
      <c r="BV382" s="156"/>
      <c r="BW382" s="156"/>
      <c r="BY382" s="12"/>
      <c r="BZ382" s="395">
        <f>IF(MAX($V382:$BW382)&gt;0, 1, 0)</f>
        <v>0</v>
      </c>
      <c r="CA382" s="12"/>
      <c r="CB382" s="335"/>
      <c r="CC382" s="335"/>
      <c r="CD382" s="335"/>
      <c r="CE382" s="335"/>
      <c r="CM382" s="7">
        <f t="shared" si="409"/>
        <v>0</v>
      </c>
      <c r="CN382" s="7">
        <f t="shared" si="409"/>
        <v>0</v>
      </c>
      <c r="CO382" s="7">
        <f t="shared" si="409"/>
        <v>0</v>
      </c>
      <c r="CP382" s="7">
        <f>IF(ROUND(V382-BL382, rounding)=0, 0, 1)*'BS Forecasts'!$V$10</f>
        <v>0</v>
      </c>
      <c r="CR382" s="12"/>
      <c r="CS382" s="93">
        <f t="shared" si="386"/>
        <v>0</v>
      </c>
      <c r="CT382" s="93">
        <v>1</v>
      </c>
      <c r="CU382" s="93">
        <v>1</v>
      </c>
      <c r="EW382" s="335"/>
      <c r="EX382" s="13" t="str">
        <f>IF(C382="", "", CONCATENATE(D370, " ",D382))</f>
        <v/>
      </c>
    </row>
    <row r="383" spans="1:154" s="67" customFormat="1" x14ac:dyDescent="0.25">
      <c r="C383" s="380"/>
      <c r="D383" s="51" t="s">
        <v>224</v>
      </c>
      <c r="E383" s="1"/>
      <c r="F383" s="25"/>
      <c r="G383" s="9" t="s">
        <v>413</v>
      </c>
      <c r="H383" s="50" t="s">
        <v>8</v>
      </c>
      <c r="S383" s="335"/>
      <c r="T383" s="25"/>
      <c r="U383" s="25"/>
      <c r="V383" s="13">
        <f>$H$30</f>
        <v>0</v>
      </c>
      <c r="W383" s="153">
        <f>SUM(W380:W382)</f>
        <v>0</v>
      </c>
      <c r="X383" s="153">
        <f>SUM(X380:X382)</f>
        <v>0</v>
      </c>
      <c r="Y383" s="153">
        <f>SUM(Y380:Y382)</f>
        <v>0</v>
      </c>
      <c r="AA383" s="153">
        <f t="shared" ref="AA383:BJ383" si="410">SUM(AA380:AA382)</f>
        <v>0</v>
      </c>
      <c r="AB383" s="153">
        <f t="shared" si="410"/>
        <v>0</v>
      </c>
      <c r="AC383" s="153">
        <f t="shared" si="410"/>
        <v>0</v>
      </c>
      <c r="AD383" s="153">
        <f t="shared" si="410"/>
        <v>0</v>
      </c>
      <c r="AE383" s="153">
        <f t="shared" si="410"/>
        <v>0</v>
      </c>
      <c r="AF383" s="153">
        <f t="shared" si="410"/>
        <v>0</v>
      </c>
      <c r="AG383" s="153">
        <f t="shared" si="410"/>
        <v>0</v>
      </c>
      <c r="AH383" s="153">
        <f t="shared" si="410"/>
        <v>0</v>
      </c>
      <c r="AI383" s="153">
        <f t="shared" si="410"/>
        <v>0</v>
      </c>
      <c r="AJ383" s="153">
        <f t="shared" si="410"/>
        <v>0</v>
      </c>
      <c r="AK383" s="153">
        <f t="shared" si="410"/>
        <v>0</v>
      </c>
      <c r="AL383" s="153">
        <f t="shared" si="410"/>
        <v>0</v>
      </c>
      <c r="AM383" s="153">
        <f t="shared" si="410"/>
        <v>0</v>
      </c>
      <c r="AN383" s="153">
        <f t="shared" si="410"/>
        <v>0</v>
      </c>
      <c r="AO383" s="153">
        <f t="shared" si="410"/>
        <v>0</v>
      </c>
      <c r="AP383" s="153">
        <f t="shared" si="410"/>
        <v>0</v>
      </c>
      <c r="AQ383" s="153">
        <f t="shared" si="410"/>
        <v>0</v>
      </c>
      <c r="AR383" s="153">
        <f t="shared" si="410"/>
        <v>0</v>
      </c>
      <c r="AS383" s="153">
        <f t="shared" si="410"/>
        <v>0</v>
      </c>
      <c r="AT383" s="153">
        <f t="shared" si="410"/>
        <v>0</v>
      </c>
      <c r="AU383" s="153">
        <f t="shared" si="410"/>
        <v>0</v>
      </c>
      <c r="AV383" s="153">
        <f t="shared" si="410"/>
        <v>0</v>
      </c>
      <c r="AW383" s="153">
        <f t="shared" si="410"/>
        <v>0</v>
      </c>
      <c r="AX383" s="153">
        <f t="shared" si="410"/>
        <v>0</v>
      </c>
      <c r="AY383" s="153">
        <f t="shared" si="410"/>
        <v>0</v>
      </c>
      <c r="AZ383" s="153">
        <f t="shared" si="410"/>
        <v>0</v>
      </c>
      <c r="BA383" s="153">
        <f t="shared" si="410"/>
        <v>0</v>
      </c>
      <c r="BB383" s="153">
        <f t="shared" si="410"/>
        <v>0</v>
      </c>
      <c r="BC383" s="153">
        <f t="shared" si="410"/>
        <v>0</v>
      </c>
      <c r="BD383" s="153">
        <f t="shared" si="410"/>
        <v>0</v>
      </c>
      <c r="BE383" s="153">
        <f t="shared" si="410"/>
        <v>0</v>
      </c>
      <c r="BF383" s="153">
        <f t="shared" si="410"/>
        <v>0</v>
      </c>
      <c r="BG383" s="153">
        <f t="shared" si="410"/>
        <v>0</v>
      </c>
      <c r="BH383" s="153">
        <f t="shared" si="410"/>
        <v>0</v>
      </c>
      <c r="BI383" s="153">
        <f t="shared" si="410"/>
        <v>0</v>
      </c>
      <c r="BJ383" s="153">
        <f t="shared" si="410"/>
        <v>0</v>
      </c>
      <c r="BL383" s="152">
        <f t="shared" si="406"/>
        <v>0</v>
      </c>
      <c r="BM383" s="152">
        <f t="shared" si="406"/>
        <v>0</v>
      </c>
      <c r="BN383" s="152">
        <f t="shared" si="406"/>
        <v>0</v>
      </c>
      <c r="BO383" s="152">
        <f t="shared" si="406"/>
        <v>0</v>
      </c>
      <c r="BP383" s="153">
        <f t="shared" ref="BP383:BW383" si="411">SUM(BP380:BP382)</f>
        <v>0</v>
      </c>
      <c r="BQ383" s="153">
        <f t="shared" si="411"/>
        <v>0</v>
      </c>
      <c r="BR383" s="153">
        <f t="shared" si="411"/>
        <v>0</v>
      </c>
      <c r="BS383" s="153">
        <f t="shared" si="411"/>
        <v>0</v>
      </c>
      <c r="BT383" s="153">
        <f t="shared" si="411"/>
        <v>0</v>
      </c>
      <c r="BU383" s="153">
        <f t="shared" si="411"/>
        <v>0</v>
      </c>
      <c r="BV383" s="153">
        <f t="shared" si="411"/>
        <v>0</v>
      </c>
      <c r="BW383" s="153">
        <f t="shared" si="411"/>
        <v>0</v>
      </c>
      <c r="BY383" s="12"/>
      <c r="BZ383" s="335"/>
      <c r="CA383" s="12"/>
      <c r="CB383" s="335"/>
      <c r="CC383" s="335"/>
      <c r="CD383" s="335"/>
      <c r="CE383" s="335"/>
      <c r="CM383" s="335"/>
      <c r="CN383" s="335"/>
      <c r="CO383" s="335"/>
      <c r="CP383" s="335"/>
      <c r="CR383" s="12"/>
      <c r="CS383" s="93">
        <f t="shared" si="386"/>
        <v>0</v>
      </c>
      <c r="CT383" s="93">
        <v>0</v>
      </c>
      <c r="CU383" s="93">
        <v>0</v>
      </c>
      <c r="EW383" s="335"/>
      <c r="EX383" s="13" t="str">
        <f>IF(C383="", "", CONCATENATE(D370, " ",D383))</f>
        <v/>
      </c>
    </row>
    <row r="384" spans="1:154" s="67" customFormat="1" ht="6.6" customHeight="1" x14ac:dyDescent="0.25">
      <c r="C384" s="380"/>
      <c r="D384" s="1"/>
      <c r="F384" s="25"/>
      <c r="S384" s="335"/>
      <c r="T384" s="25"/>
      <c r="U384" s="25"/>
      <c r="V384" s="93"/>
      <c r="BM384" s="6"/>
      <c r="BY384" s="42"/>
      <c r="BZ384" s="335"/>
      <c r="CA384" s="42"/>
      <c r="CB384" s="335"/>
      <c r="CC384" s="335"/>
      <c r="CD384" s="335"/>
      <c r="CE384" s="335"/>
      <c r="CM384" s="335"/>
      <c r="CN384" s="335"/>
      <c r="CO384" s="335"/>
      <c r="CP384" s="335"/>
      <c r="CR384" s="42"/>
      <c r="CS384" s="93">
        <f t="shared" si="386"/>
        <v>0</v>
      </c>
      <c r="CT384" s="93">
        <v>0</v>
      </c>
      <c r="CU384" s="93">
        <v>0</v>
      </c>
      <c r="EW384" s="335"/>
      <c r="EX384" s="13" t="str">
        <f>IF(C384="", "", CONCATENATE(D370, " ",D384))</f>
        <v/>
      </c>
    </row>
    <row r="385" spans="1:154" s="5" customFormat="1" x14ac:dyDescent="0.25">
      <c r="A385" s="362" cm="1">
        <f t="array" aca="1" ref="A385" ca="1">HYPERLINK(CONCATENATE("#",CELL("address",IF(SUM($CA385:$CR385)=0,A385,INDEX($CA385:$CR385,MATCH(1,$CA385:$CR385,0))))),SUM($CA385:$CR385))</f>
        <v>0</v>
      </c>
      <c r="B385" s="335"/>
      <c r="C385" s="340" t="s">
        <v>1290</v>
      </c>
      <c r="D385" s="41" t="s">
        <v>1569</v>
      </c>
      <c r="E385" s="35"/>
      <c r="F385" s="25"/>
      <c r="G385" s="174" t="s">
        <v>413</v>
      </c>
      <c r="H385" s="171" t="s">
        <v>125</v>
      </c>
      <c r="I385" s="25"/>
      <c r="J385" s="25"/>
      <c r="K385" s="25"/>
      <c r="L385" s="25"/>
      <c r="M385" s="25"/>
      <c r="N385" s="25"/>
      <c r="O385" s="25"/>
      <c r="P385" s="25"/>
      <c r="Q385" s="25"/>
      <c r="R385" s="25"/>
      <c r="S385" s="335"/>
      <c r="T385" s="25"/>
      <c r="U385" s="25"/>
      <c r="V385" s="222"/>
      <c r="W385" s="215">
        <f xml:space="preserve"> SUMIFS($AA385:$BJ385, $AA$3:$BJ$3, W$3)</f>
        <v>0</v>
      </c>
      <c r="X385" s="215">
        <f xml:space="preserve"> SUMIFS($AA385:$BJ385, $AA$3:$BJ$3, X$3)</f>
        <v>0</v>
      </c>
      <c r="Y385" s="215">
        <f xml:space="preserve"> SUMIFS($AA385:$BJ385, $AA$3:$BJ$3, Y$3)</f>
        <v>0</v>
      </c>
      <c r="Z385" s="335"/>
      <c r="AA385" s="147"/>
      <c r="AB385" s="147"/>
      <c r="AC385" s="147"/>
      <c r="AD385" s="147"/>
      <c r="AE385" s="147"/>
      <c r="AF385" s="147"/>
      <c r="AG385" s="147"/>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c r="BI385" s="147"/>
      <c r="BJ385" s="147"/>
      <c r="BK385" s="335"/>
      <c r="BL385" s="152">
        <f>V385</f>
        <v>0</v>
      </c>
      <c r="BM385" s="152">
        <f>W385</f>
        <v>0</v>
      </c>
      <c r="BN385" s="152">
        <f>X385</f>
        <v>0</v>
      </c>
      <c r="BO385" s="152">
        <f>Y385</f>
        <v>0</v>
      </c>
      <c r="BP385" s="141"/>
      <c r="BQ385" s="141"/>
      <c r="BR385" s="141"/>
      <c r="BS385" s="141"/>
      <c r="BT385" s="141"/>
      <c r="BU385" s="141"/>
      <c r="BV385" s="141"/>
      <c r="BW385" s="141"/>
      <c r="BX385" s="335"/>
      <c r="BY385" s="12"/>
      <c r="BZ385" s="395">
        <f>IF(MIN($V385:$BW385)&lt;0, 1, 0)</f>
        <v>0</v>
      </c>
      <c r="CA385" s="12"/>
      <c r="CB385" s="335"/>
      <c r="CC385" s="335"/>
      <c r="CD385" s="335"/>
      <c r="CE385" s="335"/>
      <c r="CF385" s="335"/>
      <c r="CG385" s="335"/>
      <c r="CH385" s="335"/>
      <c r="CI385" s="335"/>
      <c r="CJ385" s="335"/>
      <c r="CK385" s="335"/>
      <c r="CL385" s="335"/>
      <c r="CM385" s="7">
        <f>IF(ROUND(W385-SUMIFS($AA385:$BJ385, $AA$3:$BJ$3, W$3), rounding)=0, 0, 1)</f>
        <v>0</v>
      </c>
      <c r="CN385" s="7">
        <f>IF(ROUND(X385-SUMIFS($AA385:$BJ385, $AA$3:$BJ$3, X$3), rounding)=0, 0, 1)</f>
        <v>0</v>
      </c>
      <c r="CO385" s="7">
        <f>IF(ROUND(Y385-SUMIFS($AA385:$BJ385, $AA$3:$BJ$3, Y$3), rounding)=0, 0, 1)</f>
        <v>0</v>
      </c>
      <c r="CP385" s="7">
        <f>IF(ROUND(V385-BL385, rounding)=0, 0, 1)*'BS Forecasts'!$V$10</f>
        <v>0</v>
      </c>
      <c r="CQ385" s="335"/>
      <c r="CR385" s="12"/>
      <c r="CS385" s="93">
        <f t="shared" si="386"/>
        <v>0</v>
      </c>
      <c r="CT385" s="93">
        <v>1</v>
      </c>
      <c r="CU385" s="93">
        <v>1</v>
      </c>
      <c r="EX385" s="13" t="str">
        <f>IF(C385="", "", CONCATENATE(D370, " ",D385))</f>
        <v>Loan 18 Early Repayment Fee</v>
      </c>
    </row>
    <row r="386" spans="1:154" s="335" customFormat="1" ht="6.6" customHeight="1" x14ac:dyDescent="0.25">
      <c r="C386" s="380"/>
      <c r="D386" s="1"/>
      <c r="T386" s="25"/>
      <c r="U386" s="25"/>
      <c r="V386" s="93"/>
      <c r="BM386" s="6"/>
      <c r="BY386" s="42"/>
      <c r="CA386" s="42"/>
      <c r="CR386" s="42"/>
      <c r="CS386" s="93">
        <f t="shared" si="386"/>
        <v>0</v>
      </c>
      <c r="CT386" s="93">
        <v>0</v>
      </c>
      <c r="CU386" s="93">
        <v>0</v>
      </c>
      <c r="EX386" s="13" t="str">
        <f>IF(C386="", "", CONCATENATE(D370, " ",D386))</f>
        <v/>
      </c>
    </row>
    <row r="387" spans="1:154" s="335" customFormat="1" ht="15.75" x14ac:dyDescent="0.3">
      <c r="A387" s="362" cm="1">
        <f t="array" aca="1" ref="A387" ca="1">HYPERLINK(CONCATENATE("#",CELL("address",IF(SUM($CA387:$CR387)=0,A387,INDEX($CA387:$CR387,MATCH(1,$CA387:$CR387,0))))),SUM($CA387:$CR387))</f>
        <v>0</v>
      </c>
      <c r="B387" s="105" t="s">
        <v>335</v>
      </c>
      <c r="D387" s="51" t="s">
        <v>1630</v>
      </c>
      <c r="E387" s="220" t="str">
        <f>IF(I$30="", "", I$30)</f>
        <v/>
      </c>
      <c r="F387" s="220" t="str">
        <f>IF(J$30="", "", J$30)</f>
        <v/>
      </c>
      <c r="T387" s="25"/>
      <c r="U387" s="25"/>
      <c r="V387" s="230">
        <f>IF(AND(OR( V$5&gt;$F387, Timeline!V$8&lt;Loans!$E387), Loans!V385&lt;&gt;0), 1, 0)</f>
        <v>0</v>
      </c>
      <c r="W387" s="230">
        <f>IF(AND(OR( W$5&gt;$F387, Timeline!W$8&lt;Loans!$E387), Loans!W385&lt;&gt;0), 1, 0)</f>
        <v>0</v>
      </c>
      <c r="X387" s="230">
        <f>IF(AND(OR( X$5&gt;$F387, Timeline!X$8&lt;Loans!$E387), Loans!X385&lt;&gt;0), 1, 0)</f>
        <v>0</v>
      </c>
      <c r="Y387" s="230">
        <f>IF(AND(OR( Y$5&gt;$F387, Timeline!Y$8&lt;Loans!$E387), Loans!Y385&lt;&gt;0), 1, 0)</f>
        <v>0</v>
      </c>
      <c r="AA387" s="230">
        <f>IF(AND(OR( AA$5&gt;$F387, Timeline!AA$8&lt;Loans!$E387), Loans!AA385&lt;&gt;0), 1, 0)</f>
        <v>0</v>
      </c>
      <c r="AB387" s="230">
        <f>IF(AND(OR( AB$5&gt;$F387, Timeline!AB$8&lt;Loans!$E387), Loans!AB385&lt;&gt;0), 1, 0)</f>
        <v>0</v>
      </c>
      <c r="AC387" s="230">
        <f>IF(AND(OR( AC$5&gt;$F387, Timeline!AC$8&lt;Loans!$E387), Loans!AC385&lt;&gt;0), 1, 0)</f>
        <v>0</v>
      </c>
      <c r="AD387" s="230">
        <f>IF(AND(OR( AD$5&gt;$F387, Timeline!AD$8&lt;Loans!$E387), Loans!AD385&lt;&gt;0), 1, 0)</f>
        <v>0</v>
      </c>
      <c r="AE387" s="230">
        <f>IF(AND(OR( AE$5&gt;$F387, Timeline!AE$8&lt;Loans!$E387), Loans!AE385&lt;&gt;0), 1, 0)</f>
        <v>0</v>
      </c>
      <c r="AF387" s="230">
        <f>IF(AND(OR( AF$5&gt;$F387, Timeline!AF$8&lt;Loans!$E387), Loans!AF385&lt;&gt;0), 1, 0)</f>
        <v>0</v>
      </c>
      <c r="AG387" s="230">
        <f>IF(AND(OR( AG$5&gt;$F387, Timeline!AG$8&lt;Loans!$E387), Loans!AG385&lt;&gt;0), 1, 0)</f>
        <v>0</v>
      </c>
      <c r="AH387" s="230">
        <f>IF(AND(OR( AH$5&gt;$F387, Timeline!AH$8&lt;Loans!$E387), Loans!AH385&lt;&gt;0), 1, 0)</f>
        <v>0</v>
      </c>
      <c r="AI387" s="230">
        <f>IF(AND(OR( AI$5&gt;$F387, Timeline!AI$8&lt;Loans!$E387), Loans!AI385&lt;&gt;0), 1, 0)</f>
        <v>0</v>
      </c>
      <c r="AJ387" s="230">
        <f>IF(AND(OR( AJ$5&gt;$F387, Timeline!AJ$8&lt;Loans!$E387), Loans!AJ385&lt;&gt;0), 1, 0)</f>
        <v>0</v>
      </c>
      <c r="AK387" s="230">
        <f>IF(AND(OR( AK$5&gt;$F387, Timeline!AK$8&lt;Loans!$E387), Loans!AK385&lt;&gt;0), 1, 0)</f>
        <v>0</v>
      </c>
      <c r="AL387" s="230">
        <f>IF(AND(OR( AL$5&gt;$F387, Timeline!AL$8&lt;Loans!$E387), Loans!AL385&lt;&gt;0), 1, 0)</f>
        <v>0</v>
      </c>
      <c r="AM387" s="230">
        <f>IF(AND(OR( AM$5&gt;$F387, Timeline!AM$8&lt;Loans!$E387), Loans!AM385&lt;&gt;0), 1, 0)</f>
        <v>0</v>
      </c>
      <c r="AN387" s="230">
        <f>IF(AND(OR( AN$5&gt;$F387, Timeline!AN$8&lt;Loans!$E387), Loans!AN385&lt;&gt;0), 1, 0)</f>
        <v>0</v>
      </c>
      <c r="AO387" s="230">
        <f>IF(AND(OR( AO$5&gt;$F387, Timeline!AO$8&lt;Loans!$E387), Loans!AO385&lt;&gt;0), 1, 0)</f>
        <v>0</v>
      </c>
      <c r="AP387" s="230">
        <f>IF(AND(OR( AP$5&gt;$F387, Timeline!AP$8&lt;Loans!$E387), Loans!AP385&lt;&gt;0), 1, 0)</f>
        <v>0</v>
      </c>
      <c r="AQ387" s="230">
        <f>IF(AND(OR( AQ$5&gt;$F387, Timeline!AQ$8&lt;Loans!$E387), Loans!AQ385&lt;&gt;0), 1, 0)</f>
        <v>0</v>
      </c>
      <c r="AR387" s="230">
        <f>IF(AND(OR( AR$5&gt;$F387, Timeline!AR$8&lt;Loans!$E387), Loans!AR385&lt;&gt;0), 1, 0)</f>
        <v>0</v>
      </c>
      <c r="AS387" s="230">
        <f>IF(AND(OR( AS$5&gt;$F387, Timeline!AS$8&lt;Loans!$E387), Loans!AS385&lt;&gt;0), 1, 0)</f>
        <v>0</v>
      </c>
      <c r="AT387" s="230">
        <f>IF(AND(OR( AT$5&gt;$F387, Timeline!AT$8&lt;Loans!$E387), Loans!AT385&lt;&gt;0), 1, 0)</f>
        <v>0</v>
      </c>
      <c r="AU387" s="230">
        <f>IF(AND(OR( AU$5&gt;$F387, Timeline!AU$8&lt;Loans!$E387), Loans!AU385&lt;&gt;0), 1, 0)</f>
        <v>0</v>
      </c>
      <c r="AV387" s="230">
        <f>IF(AND(OR( AV$5&gt;$F387, Timeline!AV$8&lt;Loans!$E387), Loans!AV385&lt;&gt;0), 1, 0)</f>
        <v>0</v>
      </c>
      <c r="AW387" s="230">
        <f>IF(AND(OR( AW$5&gt;$F387, Timeline!AW$8&lt;Loans!$E387), Loans!AW385&lt;&gt;0), 1, 0)</f>
        <v>0</v>
      </c>
      <c r="AX387" s="230">
        <f>IF(AND(OR( AX$5&gt;$F387, Timeline!AX$8&lt;Loans!$E387), Loans!AX385&lt;&gt;0), 1, 0)</f>
        <v>0</v>
      </c>
      <c r="AY387" s="230">
        <f>IF(AND(OR( AY$5&gt;$F387, Timeline!AY$8&lt;Loans!$E387), Loans!AY385&lt;&gt;0), 1, 0)</f>
        <v>0</v>
      </c>
      <c r="AZ387" s="230">
        <f>IF(AND(OR( AZ$5&gt;$F387, Timeline!AZ$8&lt;Loans!$E387), Loans!AZ385&lt;&gt;0), 1, 0)</f>
        <v>0</v>
      </c>
      <c r="BA387" s="230">
        <f>IF(AND(OR( BA$5&gt;$F387, Timeline!BA$8&lt;Loans!$E387), Loans!BA385&lt;&gt;0), 1, 0)</f>
        <v>0</v>
      </c>
      <c r="BB387" s="230">
        <f>IF(AND(OR( BB$5&gt;$F387, Timeline!BB$8&lt;Loans!$E387), Loans!BB385&lt;&gt;0), 1, 0)</f>
        <v>0</v>
      </c>
      <c r="BC387" s="230">
        <f>IF(AND(OR( BC$5&gt;$F387, Timeline!BC$8&lt;Loans!$E387), Loans!BC385&lt;&gt;0), 1, 0)</f>
        <v>0</v>
      </c>
      <c r="BD387" s="230">
        <f>IF(AND(OR( BD$5&gt;$F387, Timeline!BD$8&lt;Loans!$E387), Loans!BD385&lt;&gt;0), 1, 0)</f>
        <v>0</v>
      </c>
      <c r="BE387" s="230">
        <f>IF(AND(OR( BE$5&gt;$F387, Timeline!BE$8&lt;Loans!$E387), Loans!BE385&lt;&gt;0), 1, 0)</f>
        <v>0</v>
      </c>
      <c r="BF387" s="230">
        <f>IF(AND(OR( BF$5&gt;$F387, Timeline!BF$8&lt;Loans!$E387), Loans!BF385&lt;&gt;0), 1, 0)</f>
        <v>0</v>
      </c>
      <c r="BG387" s="230">
        <f>IF(AND(OR( BG$5&gt;$F387, Timeline!BG$8&lt;Loans!$E387), Loans!BG385&lt;&gt;0), 1, 0)</f>
        <v>0</v>
      </c>
      <c r="BH387" s="230">
        <f>IF(AND(OR( BH$5&gt;$F387, Timeline!BH$8&lt;Loans!$E387), Loans!BH385&lt;&gt;0), 1, 0)</f>
        <v>0</v>
      </c>
      <c r="BI387" s="230">
        <f>IF(AND(OR( BI$5&gt;$F387, Timeline!BI$8&lt;Loans!$E387), Loans!BI385&lt;&gt;0), 1, 0)</f>
        <v>0</v>
      </c>
      <c r="BJ387" s="230">
        <f>IF(AND(OR( BJ$5&gt;$F387, Timeline!BJ$8&lt;Loans!$E387), Loans!BJ385&lt;&gt;0), 1, 0)</f>
        <v>0</v>
      </c>
      <c r="BL387" s="230">
        <f>IF(AND(OR( BL$5&gt;$F387, Timeline!BL$8&lt;Loans!$E387), Loans!BL385&lt;&gt;0), 1, 0)</f>
        <v>0</v>
      </c>
      <c r="BM387" s="230">
        <f>IF(AND(OR( BM$5&gt;$F387, Timeline!BM$8&lt;Loans!$E387), Loans!BM385&lt;&gt;0), 1, 0)</f>
        <v>0</v>
      </c>
      <c r="BN387" s="230">
        <f>IF(AND(OR( BN$5&gt;$F387, Timeline!BN$8&lt;Loans!$E387), Loans!BN385&lt;&gt;0), 1, 0)</f>
        <v>0</v>
      </c>
      <c r="BO387" s="230">
        <f>IF(AND(OR( BO$5&gt;$F387, Timeline!BO$8&lt;Loans!$E387), Loans!BO385&lt;&gt;0), 1, 0)</f>
        <v>0</v>
      </c>
      <c r="BP387" s="230">
        <f>IF(AND(OR( BP$5&gt;$F387, Timeline!BP$8&lt;Loans!$E387), Loans!BP385&lt;&gt;0), 1, 0)</f>
        <v>0</v>
      </c>
      <c r="BQ387" s="230">
        <f>IF(AND(OR( BQ$5&gt;$F387, Timeline!BQ$8&lt;Loans!$E387), Loans!BQ385&lt;&gt;0), 1, 0)</f>
        <v>0</v>
      </c>
      <c r="BR387" s="230">
        <f>IF(AND(OR( BR$5&gt;$F387, Timeline!BR$8&lt;Loans!$E387), Loans!BR385&lt;&gt;0), 1, 0)</f>
        <v>0</v>
      </c>
      <c r="BS387" s="230">
        <f>IF(AND(OR( BS$5&gt;$F387, Timeline!BS$8&lt;Loans!$E387), Loans!BS385&lt;&gt;0), 1, 0)</f>
        <v>0</v>
      </c>
      <c r="BT387" s="230">
        <f>IF(AND(OR( BT$5&gt;$F387, Timeline!BT$8&lt;Loans!$E387), Loans!BT385&lt;&gt;0), 1, 0)</f>
        <v>0</v>
      </c>
      <c r="BU387" s="230">
        <f>IF(AND(OR( BU$5&gt;$F387, Timeline!BU$8&lt;Loans!$E387), Loans!BU385&lt;&gt;0), 1, 0)</f>
        <v>0</v>
      </c>
      <c r="BV387" s="230">
        <f>IF(AND(OR( BV$5&gt;$F387, Timeline!BV$8&lt;Loans!$E387), Loans!BV385&lt;&gt;0), 1, 0)</f>
        <v>0</v>
      </c>
      <c r="BW387" s="230">
        <f>IF(AND(OR( BW$5&gt;$F387, Timeline!BW$8&lt;Loans!$E387), Loans!BW385&lt;&gt;0), 1, 0)</f>
        <v>0</v>
      </c>
      <c r="BY387" s="12"/>
      <c r="CA387" s="12"/>
      <c r="CL387" s="7">
        <f>IF(MAX($V387:$BW387)&gt;0, 1, 0)</f>
        <v>0</v>
      </c>
      <c r="CR387" s="12"/>
      <c r="CS387" s="93">
        <f t="shared" si="386"/>
        <v>1</v>
      </c>
      <c r="CT387" s="93">
        <v>0</v>
      </c>
      <c r="CU387" s="93">
        <v>0</v>
      </c>
      <c r="EX387" s="13" t="str">
        <f>IF(C387="", "", CONCATENATE(D370, " ",D387))</f>
        <v/>
      </c>
    </row>
    <row r="388" spans="1:154" s="335" customFormat="1" ht="6.6" customHeight="1" x14ac:dyDescent="0.25">
      <c r="C388" s="380"/>
      <c r="D388" s="1"/>
      <c r="T388" s="25"/>
      <c r="U388" s="25"/>
      <c r="V388" s="93"/>
      <c r="BM388" s="6"/>
      <c r="BY388" s="42"/>
      <c r="CA388" s="42"/>
      <c r="CR388" s="42"/>
      <c r="CS388" s="93">
        <f t="shared" si="386"/>
        <v>0</v>
      </c>
      <c r="CT388" s="93">
        <v>0</v>
      </c>
      <c r="CU388" s="93">
        <v>0</v>
      </c>
      <c r="EX388" s="10" t="str">
        <f t="shared" ref="EX388" si="412">IF($C388="","",$D388)</f>
        <v/>
      </c>
    </row>
    <row r="389" spans="1:154" s="67" customFormat="1" x14ac:dyDescent="0.25">
      <c r="A389" s="64"/>
      <c r="C389" s="380"/>
      <c r="D389" s="64" t="s">
        <v>208</v>
      </c>
      <c r="E389" s="64"/>
      <c r="F389" s="64"/>
      <c r="G389" s="64"/>
      <c r="H389" s="64"/>
      <c r="I389" s="64"/>
      <c r="L389" s="64"/>
      <c r="M389" s="64"/>
      <c r="N389" s="64"/>
      <c r="O389" s="64"/>
      <c r="P389" s="64"/>
      <c r="Q389" s="64"/>
      <c r="S389" s="335"/>
      <c r="T389" s="25"/>
      <c r="U389" s="25"/>
      <c r="V389" s="93"/>
      <c r="BY389" s="12"/>
      <c r="BZ389" s="335"/>
      <c r="CA389" s="12"/>
      <c r="CB389" s="335"/>
      <c r="CC389" s="335"/>
      <c r="CD389" s="335"/>
      <c r="CE389" s="335"/>
      <c r="CM389" s="335"/>
      <c r="CN389" s="335"/>
      <c r="CO389" s="335"/>
      <c r="CP389" s="335"/>
      <c r="CR389" s="12"/>
      <c r="CS389" s="93">
        <f t="shared" si="386"/>
        <v>0</v>
      </c>
      <c r="CT389" s="93">
        <v>0</v>
      </c>
      <c r="CU389" s="93">
        <v>0</v>
      </c>
      <c r="EW389" s="335"/>
      <c r="EX389" s="10" t="str">
        <f t="shared" ref="EX389:EX452" si="413">IF($C389="","",$D389)</f>
        <v/>
      </c>
    </row>
    <row r="390" spans="1:154" s="67" customFormat="1" x14ac:dyDescent="0.25">
      <c r="C390" s="340" t="s">
        <v>1391</v>
      </c>
      <c r="D390" s="51" t="s">
        <v>230</v>
      </c>
      <c r="E390" s="1"/>
      <c r="G390" s="9" t="s">
        <v>413</v>
      </c>
      <c r="H390" s="50" t="s">
        <v>8</v>
      </c>
      <c r="S390" s="335"/>
      <c r="T390" s="25"/>
      <c r="U390" s="25"/>
      <c r="V390" s="210"/>
      <c r="W390" s="201">
        <f>V394</f>
        <v>0</v>
      </c>
      <c r="X390" s="201">
        <f>W394</f>
        <v>0</v>
      </c>
      <c r="Y390" s="10">
        <f>X394</f>
        <v>0</v>
      </c>
      <c r="AA390" s="13">
        <f>W390</f>
        <v>0</v>
      </c>
      <c r="AB390" s="10">
        <f t="shared" ref="AB390:BJ390" si="414">AA394</f>
        <v>0</v>
      </c>
      <c r="AC390" s="10">
        <f t="shared" si="414"/>
        <v>0</v>
      </c>
      <c r="AD390" s="10">
        <f t="shared" si="414"/>
        <v>0</v>
      </c>
      <c r="AE390" s="10">
        <f t="shared" si="414"/>
        <v>0</v>
      </c>
      <c r="AF390" s="10">
        <f t="shared" si="414"/>
        <v>0</v>
      </c>
      <c r="AG390" s="10">
        <f t="shared" si="414"/>
        <v>0</v>
      </c>
      <c r="AH390" s="10">
        <f t="shared" si="414"/>
        <v>0</v>
      </c>
      <c r="AI390" s="10">
        <f t="shared" si="414"/>
        <v>0</v>
      </c>
      <c r="AJ390" s="10">
        <f t="shared" si="414"/>
        <v>0</v>
      </c>
      <c r="AK390" s="10">
        <f t="shared" si="414"/>
        <v>0</v>
      </c>
      <c r="AL390" s="10">
        <f t="shared" si="414"/>
        <v>0</v>
      </c>
      <c r="AM390" s="10">
        <f t="shared" si="414"/>
        <v>0</v>
      </c>
      <c r="AN390" s="10">
        <f t="shared" si="414"/>
        <v>0</v>
      </c>
      <c r="AO390" s="10">
        <f t="shared" si="414"/>
        <v>0</v>
      </c>
      <c r="AP390" s="10">
        <f t="shared" si="414"/>
        <v>0</v>
      </c>
      <c r="AQ390" s="10">
        <f t="shared" si="414"/>
        <v>0</v>
      </c>
      <c r="AR390" s="10">
        <f t="shared" si="414"/>
        <v>0</v>
      </c>
      <c r="AS390" s="10">
        <f t="shared" si="414"/>
        <v>0</v>
      </c>
      <c r="AT390" s="10">
        <f t="shared" si="414"/>
        <v>0</v>
      </c>
      <c r="AU390" s="10">
        <f t="shared" si="414"/>
        <v>0</v>
      </c>
      <c r="AV390" s="10">
        <f t="shared" si="414"/>
        <v>0</v>
      </c>
      <c r="AW390" s="10">
        <f t="shared" si="414"/>
        <v>0</v>
      </c>
      <c r="AX390" s="10">
        <f t="shared" si="414"/>
        <v>0</v>
      </c>
      <c r="AY390" s="10">
        <f t="shared" si="414"/>
        <v>0</v>
      </c>
      <c r="AZ390" s="10">
        <f t="shared" si="414"/>
        <v>0</v>
      </c>
      <c r="BA390" s="10">
        <f t="shared" si="414"/>
        <v>0</v>
      </c>
      <c r="BB390" s="10">
        <f t="shared" si="414"/>
        <v>0</v>
      </c>
      <c r="BC390" s="10">
        <f t="shared" si="414"/>
        <v>0</v>
      </c>
      <c r="BD390" s="10">
        <f t="shared" si="414"/>
        <v>0</v>
      </c>
      <c r="BE390" s="10">
        <f t="shared" si="414"/>
        <v>0</v>
      </c>
      <c r="BF390" s="10">
        <f t="shared" si="414"/>
        <v>0</v>
      </c>
      <c r="BG390" s="10">
        <f t="shared" si="414"/>
        <v>0</v>
      </c>
      <c r="BH390" s="10">
        <f t="shared" si="414"/>
        <v>0</v>
      </c>
      <c r="BI390" s="10">
        <f t="shared" si="414"/>
        <v>0</v>
      </c>
      <c r="BJ390" s="10">
        <f t="shared" si="414"/>
        <v>0</v>
      </c>
      <c r="BL390" s="13">
        <f t="shared" ref="BL390:BO394" si="415">V390</f>
        <v>0</v>
      </c>
      <c r="BM390" s="13">
        <f t="shared" si="415"/>
        <v>0</v>
      </c>
      <c r="BN390" s="13">
        <f t="shared" si="415"/>
        <v>0</v>
      </c>
      <c r="BO390" s="13">
        <f t="shared" si="415"/>
        <v>0</v>
      </c>
      <c r="BP390" s="10">
        <f t="shared" ref="BP390:BW390" si="416">BO394</f>
        <v>0</v>
      </c>
      <c r="BQ390" s="10">
        <f t="shared" si="416"/>
        <v>0</v>
      </c>
      <c r="BR390" s="10">
        <f t="shared" si="416"/>
        <v>0</v>
      </c>
      <c r="BS390" s="10">
        <f t="shared" si="416"/>
        <v>0</v>
      </c>
      <c r="BT390" s="10">
        <f t="shared" si="416"/>
        <v>0</v>
      </c>
      <c r="BU390" s="10">
        <f t="shared" si="416"/>
        <v>0</v>
      </c>
      <c r="BV390" s="10">
        <f t="shared" si="416"/>
        <v>0</v>
      </c>
      <c r="BW390" s="10">
        <f t="shared" si="416"/>
        <v>0</v>
      </c>
      <c r="BY390" s="12"/>
      <c r="BZ390" s="335"/>
      <c r="CA390" s="12"/>
      <c r="CB390" s="335"/>
      <c r="CC390" s="335"/>
      <c r="CD390" s="335"/>
      <c r="CE390" s="335"/>
      <c r="CM390" s="335"/>
      <c r="CN390" s="335"/>
      <c r="CO390" s="335"/>
      <c r="CP390" s="335"/>
      <c r="CR390" s="12"/>
      <c r="CS390" s="93">
        <f t="shared" si="386"/>
        <v>0</v>
      </c>
      <c r="CT390" s="93">
        <v>1</v>
      </c>
      <c r="CU390" s="93">
        <v>0</v>
      </c>
      <c r="EW390" s="335"/>
      <c r="EX390" s="13" t="str">
        <f>IF(C390="", "", CONCATENATE(D389, " ",D390))</f>
        <v>Loan 19 Opening Loan Balance</v>
      </c>
    </row>
    <row r="391" spans="1:154" s="5" customFormat="1" x14ac:dyDescent="0.25">
      <c r="A391" s="362" cm="1">
        <f t="array" aca="1" ref="A391" ca="1">HYPERLINK(CONCATENATE("#",CELL("address",IF(SUM($CA391:$CR391)=0,A391,INDEX($CA391:$CR391,MATCH(1,$CA391:$CR391,0))))),SUM($CA391:$CR391))</f>
        <v>0</v>
      </c>
      <c r="B391" s="67"/>
      <c r="C391" s="340" t="s">
        <v>1239</v>
      </c>
      <c r="D391" s="51" t="s">
        <v>219</v>
      </c>
      <c r="E391" s="1"/>
      <c r="F391" s="67"/>
      <c r="G391" s="9" t="s">
        <v>413</v>
      </c>
      <c r="H391" s="50" t="s">
        <v>125</v>
      </c>
      <c r="I391" s="67"/>
      <c r="J391" s="67"/>
      <c r="K391" s="67"/>
      <c r="L391" s="67"/>
      <c r="M391" s="67"/>
      <c r="N391" s="67"/>
      <c r="O391" s="67"/>
      <c r="P391" s="67"/>
      <c r="Q391" s="67"/>
      <c r="R391" s="67"/>
      <c r="S391" s="335"/>
      <c r="T391" s="25"/>
      <c r="U391" s="25"/>
      <c r="V391" s="210"/>
      <c r="W391" s="215">
        <f t="shared" ref="W391:Y393" si="417" xml:space="preserve"> SUMIFS($AA391:$BJ391, $AA$3:$BJ$3, W$3)</f>
        <v>0</v>
      </c>
      <c r="X391" s="215">
        <f t="shared" si="417"/>
        <v>0</v>
      </c>
      <c r="Y391" s="215">
        <f t="shared" si="417"/>
        <v>0</v>
      </c>
      <c r="Z391" s="67"/>
      <c r="AA391" s="147"/>
      <c r="AB391" s="147"/>
      <c r="AC391" s="147"/>
      <c r="AD391" s="147"/>
      <c r="AE391" s="147"/>
      <c r="AF391" s="147"/>
      <c r="AG391" s="147"/>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c r="BI391" s="147"/>
      <c r="BJ391" s="147"/>
      <c r="BK391" s="67"/>
      <c r="BL391" s="13">
        <f t="shared" si="415"/>
        <v>0</v>
      </c>
      <c r="BM391" s="13">
        <f t="shared" si="415"/>
        <v>0</v>
      </c>
      <c r="BN391" s="13">
        <f t="shared" si="415"/>
        <v>0</v>
      </c>
      <c r="BO391" s="13">
        <f t="shared" si="415"/>
        <v>0</v>
      </c>
      <c r="BP391" s="141"/>
      <c r="BQ391" s="141"/>
      <c r="BR391" s="141"/>
      <c r="BS391" s="141"/>
      <c r="BT391" s="141"/>
      <c r="BU391" s="141"/>
      <c r="BV391" s="141"/>
      <c r="BW391" s="141"/>
      <c r="BX391" s="67"/>
      <c r="BY391" s="12"/>
      <c r="BZ391" s="395">
        <f>IF(MIN($V391:$BW391)&lt;0, 1, 0)</f>
        <v>0</v>
      </c>
      <c r="CA391" s="12"/>
      <c r="CB391" s="335"/>
      <c r="CC391" s="335"/>
      <c r="CD391" s="335"/>
      <c r="CE391" s="335"/>
      <c r="CF391" s="67"/>
      <c r="CG391" s="67"/>
      <c r="CH391" s="67"/>
      <c r="CI391" s="67"/>
      <c r="CJ391" s="67"/>
      <c r="CK391" s="67"/>
      <c r="CL391" s="67"/>
      <c r="CM391" s="7">
        <f t="shared" ref="CM391:CO393" si="418">IF(ROUND(W391-SUMIFS($AA391:$BJ391, $AA$3:$BJ$3, W$3), rounding)=0, 0, 1)</f>
        <v>0</v>
      </c>
      <c r="CN391" s="7">
        <f t="shared" si="418"/>
        <v>0</v>
      </c>
      <c r="CO391" s="7">
        <f t="shared" si="418"/>
        <v>0</v>
      </c>
      <c r="CP391" s="7">
        <f>IF(ROUND(V391-BL391, rounding)=0, 0, 1)*'BS Forecasts'!$V$10</f>
        <v>0</v>
      </c>
      <c r="CQ391" s="67"/>
      <c r="CR391" s="12"/>
      <c r="CS391" s="93">
        <f t="shared" si="386"/>
        <v>0</v>
      </c>
      <c r="CT391" s="93">
        <v>1</v>
      </c>
      <c r="CU391" s="93">
        <v>1</v>
      </c>
      <c r="EX391" s="13" t="str">
        <f>IF(C391="", "", CONCATENATE(D389, " ",D391))</f>
        <v>Loan 19 Drawdowns</v>
      </c>
    </row>
    <row r="392" spans="1:154" s="67" customFormat="1" x14ac:dyDescent="0.25">
      <c r="A392" s="362" cm="1">
        <f t="array" aca="1" ref="A392" ca="1">HYPERLINK(CONCATENATE("#",CELL("address",IF(SUM($CA392:$CR392)=0,A392,INDEX($CA392:$CR392,MATCH(1,$CA392:$CR392,0))))),SUM($CA392:$CR392))</f>
        <v>0</v>
      </c>
      <c r="C392" s="340" t="s">
        <v>1240</v>
      </c>
      <c r="D392" s="41" t="s">
        <v>1570</v>
      </c>
      <c r="E392" s="1"/>
      <c r="G392" s="9" t="s">
        <v>413</v>
      </c>
      <c r="H392" s="50" t="s">
        <v>157</v>
      </c>
      <c r="S392" s="335"/>
      <c r="T392" s="25"/>
      <c r="U392" s="25"/>
      <c r="V392" s="210"/>
      <c r="W392" s="215">
        <f t="shared" si="417"/>
        <v>0</v>
      </c>
      <c r="X392" s="215">
        <f t="shared" si="417"/>
        <v>0</v>
      </c>
      <c r="Y392" s="215">
        <f t="shared" si="417"/>
        <v>0</v>
      </c>
      <c r="AA392" s="147"/>
      <c r="AB392" s="147"/>
      <c r="AC392" s="147"/>
      <c r="AD392" s="147"/>
      <c r="AE392" s="147"/>
      <c r="AF392" s="147"/>
      <c r="AG392" s="147"/>
      <c r="AH392" s="147"/>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c r="BI392" s="147"/>
      <c r="BJ392" s="147"/>
      <c r="BL392" s="13">
        <f t="shared" si="415"/>
        <v>0</v>
      </c>
      <c r="BM392" s="13">
        <f t="shared" si="415"/>
        <v>0</v>
      </c>
      <c r="BN392" s="13">
        <f t="shared" si="415"/>
        <v>0</v>
      </c>
      <c r="BO392" s="13">
        <f t="shared" si="415"/>
        <v>0</v>
      </c>
      <c r="BP392" s="141"/>
      <c r="BQ392" s="141"/>
      <c r="BR392" s="141"/>
      <c r="BS392" s="141"/>
      <c r="BT392" s="141"/>
      <c r="BU392" s="141"/>
      <c r="BV392" s="141"/>
      <c r="BW392" s="141"/>
      <c r="BY392" s="12"/>
      <c r="BZ392" s="395">
        <f>IF(MAX($V392:$BW392)&gt;0, 1, 0)</f>
        <v>0</v>
      </c>
      <c r="CA392" s="12"/>
      <c r="CB392" s="335"/>
      <c r="CC392" s="335"/>
      <c r="CD392" s="335"/>
      <c r="CE392" s="335"/>
      <c r="CM392" s="7">
        <f t="shared" si="418"/>
        <v>0</v>
      </c>
      <c r="CN392" s="7">
        <f t="shared" si="418"/>
        <v>0</v>
      </c>
      <c r="CO392" s="7">
        <f t="shared" si="418"/>
        <v>0</v>
      </c>
      <c r="CP392" s="7">
        <f>IF(ROUND(V392-BL392, rounding)=0, 0, 1)*'BS Forecasts'!$V$10</f>
        <v>0</v>
      </c>
      <c r="CR392" s="12"/>
      <c r="CS392" s="93">
        <f t="shared" si="386"/>
        <v>0</v>
      </c>
      <c r="CT392" s="93">
        <v>1</v>
      </c>
      <c r="CU392" s="93">
        <v>1</v>
      </c>
      <c r="EW392" s="335"/>
      <c r="EX392" s="13" t="str">
        <f>IF(C392="", "", CONCATENATE(D389, " ",D392))</f>
        <v>Loan 19 Loan Capital Repayment (as per loan agreement)</v>
      </c>
    </row>
    <row r="393" spans="1:154" s="335" customFormat="1" x14ac:dyDescent="0.25">
      <c r="A393" s="362" cm="1">
        <f t="array" aca="1" ref="A393" ca="1">HYPERLINK(CONCATENATE("#",CELL("address",IF(SUM($CA393:$CR393)=0,A393,INDEX($CA393:$CR393,MATCH(1,$CA393:$CR393,0))))),SUM($CA393:$CR393))</f>
        <v>0</v>
      </c>
      <c r="C393" s="340" t="s">
        <v>1574</v>
      </c>
      <c r="D393" s="41" t="s">
        <v>1571</v>
      </c>
      <c r="E393" s="1"/>
      <c r="G393" s="9" t="s">
        <v>413</v>
      </c>
      <c r="H393" s="50" t="s">
        <v>157</v>
      </c>
      <c r="T393" s="25"/>
      <c r="U393" s="25"/>
      <c r="V393" s="210"/>
      <c r="W393" s="215">
        <f t="shared" si="417"/>
        <v>0</v>
      </c>
      <c r="X393" s="215">
        <f t="shared" si="417"/>
        <v>0</v>
      </c>
      <c r="Y393" s="215">
        <f t="shared" si="417"/>
        <v>0</v>
      </c>
      <c r="AA393" s="147"/>
      <c r="AB393" s="147"/>
      <c r="AC393" s="147"/>
      <c r="AD393" s="147"/>
      <c r="AE393" s="147"/>
      <c r="AF393" s="147"/>
      <c r="AG393" s="147"/>
      <c r="AH393" s="147"/>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c r="BI393" s="147"/>
      <c r="BJ393" s="147"/>
      <c r="BL393" s="13">
        <f t="shared" si="415"/>
        <v>0</v>
      </c>
      <c r="BM393" s="13">
        <f t="shared" si="415"/>
        <v>0</v>
      </c>
      <c r="BN393" s="13">
        <f t="shared" si="415"/>
        <v>0</v>
      </c>
      <c r="BO393" s="13">
        <f t="shared" si="415"/>
        <v>0</v>
      </c>
      <c r="BP393" s="141"/>
      <c r="BQ393" s="141"/>
      <c r="BR393" s="141"/>
      <c r="BS393" s="141"/>
      <c r="BT393" s="141"/>
      <c r="BU393" s="141"/>
      <c r="BV393" s="141"/>
      <c r="BW393" s="141"/>
      <c r="BY393" s="12"/>
      <c r="BZ393" s="395">
        <f>IF(MAX($V393:$BW393)&gt;0, 1, 0)</f>
        <v>0</v>
      </c>
      <c r="CA393" s="12"/>
      <c r="CM393" s="7">
        <f t="shared" si="418"/>
        <v>0</v>
      </c>
      <c r="CN393" s="7">
        <f t="shared" si="418"/>
        <v>0</v>
      </c>
      <c r="CO393" s="7">
        <f t="shared" si="418"/>
        <v>0</v>
      </c>
      <c r="CP393" s="7">
        <f>IF(ROUND(V393-BL393, rounding)=0, 0, 1)*'BS Forecasts'!$V$10</f>
        <v>0</v>
      </c>
      <c r="CR393" s="12"/>
      <c r="CS393" s="93">
        <f t="shared" si="386"/>
        <v>0</v>
      </c>
      <c r="CT393" s="93">
        <v>1</v>
      </c>
      <c r="CU393" s="93">
        <v>1</v>
      </c>
      <c r="EX393" s="13" t="str">
        <f>IF(C393="", "", CONCATENATE(D389, " ",D393))</f>
        <v xml:space="preserve">Loan 19 Early Repayment </v>
      </c>
    </row>
    <row r="394" spans="1:154" s="67" customFormat="1" x14ac:dyDescent="0.25">
      <c r="C394" s="340" t="s">
        <v>1371</v>
      </c>
      <c r="D394" s="51" t="s">
        <v>231</v>
      </c>
      <c r="E394" s="1"/>
      <c r="G394" s="9" t="s">
        <v>413</v>
      </c>
      <c r="H394" s="50" t="s">
        <v>8</v>
      </c>
      <c r="S394" s="335"/>
      <c r="T394" s="25"/>
      <c r="U394" s="25"/>
      <c r="V394" s="13">
        <f>$G$31</f>
        <v>0</v>
      </c>
      <c r="W394" s="10">
        <f>SUM(W390:W393)</f>
        <v>0</v>
      </c>
      <c r="X394" s="10">
        <f t="shared" ref="X394:BJ394" si="419">SUM(X390:X393)</f>
        <v>0</v>
      </c>
      <c r="Y394" s="10">
        <f t="shared" si="419"/>
        <v>0</v>
      </c>
      <c r="Z394" s="335"/>
      <c r="AA394" s="10">
        <f t="shared" si="419"/>
        <v>0</v>
      </c>
      <c r="AB394" s="10">
        <f t="shared" si="419"/>
        <v>0</v>
      </c>
      <c r="AC394" s="10">
        <f t="shared" si="419"/>
        <v>0</v>
      </c>
      <c r="AD394" s="10">
        <f t="shared" si="419"/>
        <v>0</v>
      </c>
      <c r="AE394" s="10">
        <f t="shared" si="419"/>
        <v>0</v>
      </c>
      <c r="AF394" s="10">
        <f t="shared" si="419"/>
        <v>0</v>
      </c>
      <c r="AG394" s="10">
        <f t="shared" si="419"/>
        <v>0</v>
      </c>
      <c r="AH394" s="10">
        <f t="shared" si="419"/>
        <v>0</v>
      </c>
      <c r="AI394" s="10">
        <f t="shared" si="419"/>
        <v>0</v>
      </c>
      <c r="AJ394" s="10">
        <f t="shared" si="419"/>
        <v>0</v>
      </c>
      <c r="AK394" s="10">
        <f t="shared" si="419"/>
        <v>0</v>
      </c>
      <c r="AL394" s="10">
        <f t="shared" si="419"/>
        <v>0</v>
      </c>
      <c r="AM394" s="10">
        <f t="shared" si="419"/>
        <v>0</v>
      </c>
      <c r="AN394" s="10">
        <f t="shared" si="419"/>
        <v>0</v>
      </c>
      <c r="AO394" s="10">
        <f t="shared" si="419"/>
        <v>0</v>
      </c>
      <c r="AP394" s="10">
        <f t="shared" si="419"/>
        <v>0</v>
      </c>
      <c r="AQ394" s="10">
        <f t="shared" si="419"/>
        <v>0</v>
      </c>
      <c r="AR394" s="10">
        <f t="shared" si="419"/>
        <v>0</v>
      </c>
      <c r="AS394" s="10">
        <f t="shared" si="419"/>
        <v>0</v>
      </c>
      <c r="AT394" s="10">
        <f t="shared" si="419"/>
        <v>0</v>
      </c>
      <c r="AU394" s="10">
        <f t="shared" si="419"/>
        <v>0</v>
      </c>
      <c r="AV394" s="10">
        <f t="shared" si="419"/>
        <v>0</v>
      </c>
      <c r="AW394" s="10">
        <f t="shared" si="419"/>
        <v>0</v>
      </c>
      <c r="AX394" s="10">
        <f t="shared" si="419"/>
        <v>0</v>
      </c>
      <c r="AY394" s="10">
        <f t="shared" si="419"/>
        <v>0</v>
      </c>
      <c r="AZ394" s="10">
        <f t="shared" si="419"/>
        <v>0</v>
      </c>
      <c r="BA394" s="10">
        <f t="shared" si="419"/>
        <v>0</v>
      </c>
      <c r="BB394" s="10">
        <f t="shared" si="419"/>
        <v>0</v>
      </c>
      <c r="BC394" s="10">
        <f t="shared" si="419"/>
        <v>0</v>
      </c>
      <c r="BD394" s="10">
        <f t="shared" si="419"/>
        <v>0</v>
      </c>
      <c r="BE394" s="10">
        <f t="shared" si="419"/>
        <v>0</v>
      </c>
      <c r="BF394" s="10">
        <f t="shared" si="419"/>
        <v>0</v>
      </c>
      <c r="BG394" s="10">
        <f t="shared" si="419"/>
        <v>0</v>
      </c>
      <c r="BH394" s="10">
        <f t="shared" si="419"/>
        <v>0</v>
      </c>
      <c r="BI394" s="10">
        <f t="shared" si="419"/>
        <v>0</v>
      </c>
      <c r="BJ394" s="10">
        <f t="shared" si="419"/>
        <v>0</v>
      </c>
      <c r="BL394" s="152">
        <f t="shared" si="415"/>
        <v>0</v>
      </c>
      <c r="BM394" s="152">
        <f t="shared" si="415"/>
        <v>0</v>
      </c>
      <c r="BN394" s="152">
        <f t="shared" si="415"/>
        <v>0</v>
      </c>
      <c r="BO394" s="152">
        <f t="shared" si="415"/>
        <v>0</v>
      </c>
      <c r="BP394" s="10">
        <f t="shared" ref="BP394" si="420">SUM(BP390:BP393)</f>
        <v>0</v>
      </c>
      <c r="BQ394" s="10">
        <f t="shared" ref="BQ394" si="421">SUM(BQ390:BQ393)</f>
        <v>0</v>
      </c>
      <c r="BR394" s="10">
        <f t="shared" ref="BR394" si="422">SUM(BR390:BR393)</f>
        <v>0</v>
      </c>
      <c r="BS394" s="10">
        <f t="shared" ref="BS394" si="423">SUM(BS390:BS393)</f>
        <v>0</v>
      </c>
      <c r="BT394" s="10">
        <f t="shared" ref="BT394" si="424">SUM(BT390:BT393)</f>
        <v>0</v>
      </c>
      <c r="BU394" s="10">
        <f t="shared" ref="BU394" si="425">SUM(BU390:BU393)</f>
        <v>0</v>
      </c>
      <c r="BV394" s="10">
        <f t="shared" ref="BV394" si="426">SUM(BV390:BV393)</f>
        <v>0</v>
      </c>
      <c r="BW394" s="10">
        <f t="shared" ref="BW394" si="427">SUM(BW390:BW393)</f>
        <v>0</v>
      </c>
      <c r="BY394" s="12"/>
      <c r="BZ394" s="335"/>
      <c r="CA394" s="12"/>
      <c r="CB394" s="335"/>
      <c r="CC394" s="335"/>
      <c r="CD394" s="335"/>
      <c r="CE394" s="335"/>
      <c r="CM394" s="335"/>
      <c r="CN394" s="335"/>
      <c r="CO394" s="335"/>
      <c r="CP394" s="335"/>
      <c r="CR394" s="12"/>
      <c r="CS394" s="93">
        <f t="shared" si="386"/>
        <v>0</v>
      </c>
      <c r="CT394" s="93">
        <v>0</v>
      </c>
      <c r="CU394" s="93">
        <v>0</v>
      </c>
      <c r="EW394" s="335"/>
      <c r="EX394" s="13" t="str">
        <f>IF(C394="", "", CONCATENATE(D389, " ",D394))</f>
        <v>Loan 19 Closing Loan Balance</v>
      </c>
    </row>
    <row r="395" spans="1:154" s="67" customFormat="1" ht="6.6" customHeight="1" x14ac:dyDescent="0.25">
      <c r="C395" s="380"/>
      <c r="D395" s="1"/>
      <c r="S395" s="335"/>
      <c r="T395" s="25"/>
      <c r="U395" s="25"/>
      <c r="V395" s="229"/>
      <c r="W395" s="25"/>
      <c r="X395" s="25"/>
      <c r="Y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L395" s="25"/>
      <c r="BM395" s="155"/>
      <c r="BN395" s="25"/>
      <c r="BO395" s="25"/>
      <c r="BP395" s="25"/>
      <c r="BQ395" s="25"/>
      <c r="BR395" s="25"/>
      <c r="BS395" s="25"/>
      <c r="BT395" s="25"/>
      <c r="BU395" s="25"/>
      <c r="BV395" s="25"/>
      <c r="BW395" s="25"/>
      <c r="BY395" s="42"/>
      <c r="BZ395" s="335"/>
      <c r="CA395" s="42"/>
      <c r="CB395" s="335"/>
      <c r="CC395" s="335"/>
      <c r="CD395" s="335"/>
      <c r="CE395" s="335"/>
      <c r="CM395" s="335"/>
      <c r="CN395" s="335"/>
      <c r="CO395" s="335"/>
      <c r="CP395" s="335"/>
      <c r="CR395" s="42"/>
      <c r="CS395" s="93">
        <f t="shared" si="386"/>
        <v>0</v>
      </c>
      <c r="CT395" s="93">
        <v>0</v>
      </c>
      <c r="CU395" s="93">
        <v>0</v>
      </c>
      <c r="EW395" s="335"/>
      <c r="EX395" s="13" t="str">
        <f>IF(C395="", "", CONCATENATE(D389, " ",D395))</f>
        <v/>
      </c>
    </row>
    <row r="396" spans="1:154" s="67" customFormat="1" x14ac:dyDescent="0.25">
      <c r="A396" s="362" cm="1">
        <f t="array" aca="1" ref="A396" ca="1">HYPERLINK(CONCATENATE("#",CELL("address",IF(SUM($CA396:$CR396)=0,A396,INDEX($CA396:$CR396,MATCH(1,$CA396:$CR396,0))))),SUM($CA396:$CR396))</f>
        <v>0</v>
      </c>
      <c r="C396" s="380"/>
      <c r="D396" s="51" t="s">
        <v>526</v>
      </c>
      <c r="E396" s="160" t="s">
        <v>523</v>
      </c>
      <c r="F396" s="153">
        <f>$F$31</f>
        <v>0</v>
      </c>
      <c r="S396" s="335"/>
      <c r="T396" s="25"/>
      <c r="U396" s="25"/>
      <c r="V396" s="230">
        <f>IF(OR(V394&gt;$F396, V394&lt;0), 1, 0)</f>
        <v>0</v>
      </c>
      <c r="W396" s="154">
        <f>IF(OR(W394&gt;$F396, W394&lt;0), 1, 0)</f>
        <v>0</v>
      </c>
      <c r="X396" s="154">
        <f>IF(OR(X394&gt;$F396, X394&lt;0), 1, 0)</f>
        <v>0</v>
      </c>
      <c r="Y396" s="154">
        <f>IF(OR(Y394&gt;$F396, Y394&lt;0), 1, 0)</f>
        <v>0</v>
      </c>
      <c r="AA396" s="154">
        <f t="shared" ref="AA396:BJ396" si="428">IF(OR(AA394&gt;$F396, AA394&lt;0), 1, 0)</f>
        <v>0</v>
      </c>
      <c r="AB396" s="154">
        <f t="shared" si="428"/>
        <v>0</v>
      </c>
      <c r="AC396" s="154">
        <f t="shared" si="428"/>
        <v>0</v>
      </c>
      <c r="AD396" s="154">
        <f t="shared" si="428"/>
        <v>0</v>
      </c>
      <c r="AE396" s="154">
        <f t="shared" si="428"/>
        <v>0</v>
      </c>
      <c r="AF396" s="154">
        <f t="shared" si="428"/>
        <v>0</v>
      </c>
      <c r="AG396" s="154">
        <f t="shared" si="428"/>
        <v>0</v>
      </c>
      <c r="AH396" s="154">
        <f t="shared" si="428"/>
        <v>0</v>
      </c>
      <c r="AI396" s="154">
        <f t="shared" si="428"/>
        <v>0</v>
      </c>
      <c r="AJ396" s="154">
        <f t="shared" si="428"/>
        <v>0</v>
      </c>
      <c r="AK396" s="154">
        <f t="shared" si="428"/>
        <v>0</v>
      </c>
      <c r="AL396" s="154">
        <f t="shared" si="428"/>
        <v>0</v>
      </c>
      <c r="AM396" s="154">
        <f t="shared" si="428"/>
        <v>0</v>
      </c>
      <c r="AN396" s="154">
        <f t="shared" si="428"/>
        <v>0</v>
      </c>
      <c r="AO396" s="154">
        <f t="shared" si="428"/>
        <v>0</v>
      </c>
      <c r="AP396" s="154">
        <f t="shared" si="428"/>
        <v>0</v>
      </c>
      <c r="AQ396" s="154">
        <f t="shared" si="428"/>
        <v>0</v>
      </c>
      <c r="AR396" s="154">
        <f t="shared" si="428"/>
        <v>0</v>
      </c>
      <c r="AS396" s="154">
        <f t="shared" si="428"/>
        <v>0</v>
      </c>
      <c r="AT396" s="154">
        <f t="shared" si="428"/>
        <v>0</v>
      </c>
      <c r="AU396" s="154">
        <f t="shared" si="428"/>
        <v>0</v>
      </c>
      <c r="AV396" s="154">
        <f t="shared" si="428"/>
        <v>0</v>
      </c>
      <c r="AW396" s="154">
        <f t="shared" si="428"/>
        <v>0</v>
      </c>
      <c r="AX396" s="154">
        <f t="shared" si="428"/>
        <v>0</v>
      </c>
      <c r="AY396" s="154">
        <f t="shared" si="428"/>
        <v>0</v>
      </c>
      <c r="AZ396" s="154">
        <f>IF(OR(AZ394&gt;$F396, AZ394&lt;0), 1, 0)</f>
        <v>0</v>
      </c>
      <c r="BA396" s="154">
        <f t="shared" si="428"/>
        <v>0</v>
      </c>
      <c r="BB396" s="154">
        <f t="shared" si="428"/>
        <v>0</v>
      </c>
      <c r="BC396" s="154">
        <f t="shared" si="428"/>
        <v>0</v>
      </c>
      <c r="BD396" s="154">
        <f t="shared" si="428"/>
        <v>0</v>
      </c>
      <c r="BE396" s="154">
        <f t="shared" si="428"/>
        <v>0</v>
      </c>
      <c r="BF396" s="154">
        <f t="shared" si="428"/>
        <v>0</v>
      </c>
      <c r="BG396" s="154">
        <f t="shared" si="428"/>
        <v>0</v>
      </c>
      <c r="BH396" s="154">
        <f t="shared" si="428"/>
        <v>0</v>
      </c>
      <c r="BI396" s="154">
        <f t="shared" si="428"/>
        <v>0</v>
      </c>
      <c r="BJ396" s="154">
        <f t="shared" si="428"/>
        <v>0</v>
      </c>
      <c r="BL396" s="154">
        <f t="shared" ref="BL396" si="429">IF(OR(BL394&gt;$F396, BL394&lt;0), 1, 0)</f>
        <v>0</v>
      </c>
      <c r="BM396" s="154">
        <f t="shared" ref="BM396:BW396" si="430">IF(OR(BM394&gt;$F396, BM394&lt;0), 1, 0)</f>
        <v>0</v>
      </c>
      <c r="BN396" s="154">
        <f t="shared" si="430"/>
        <v>0</v>
      </c>
      <c r="BO396" s="154">
        <f t="shared" si="430"/>
        <v>0</v>
      </c>
      <c r="BP396" s="154">
        <f t="shared" si="430"/>
        <v>0</v>
      </c>
      <c r="BQ396" s="154">
        <f t="shared" si="430"/>
        <v>0</v>
      </c>
      <c r="BR396" s="154">
        <f t="shared" si="430"/>
        <v>0</v>
      </c>
      <c r="BS396" s="154">
        <f t="shared" si="430"/>
        <v>0</v>
      </c>
      <c r="BT396" s="154">
        <f>IF(OR(BT394&gt;$F396, BT394&lt;0), 1, 0)</f>
        <v>0</v>
      </c>
      <c r="BU396" s="154">
        <f t="shared" si="430"/>
        <v>0</v>
      </c>
      <c r="BV396" s="154">
        <f t="shared" si="430"/>
        <v>0</v>
      </c>
      <c r="BW396" s="154">
        <f t="shared" si="430"/>
        <v>0</v>
      </c>
      <c r="BY396" s="12"/>
      <c r="BZ396" s="335"/>
      <c r="CA396" s="12"/>
      <c r="CB396" s="335"/>
      <c r="CC396" s="335"/>
      <c r="CD396" s="335"/>
      <c r="CE396" s="335"/>
      <c r="CL396" s="7">
        <f>IF(MAX(V396:BW396)&gt;0, 1, 0)</f>
        <v>0</v>
      </c>
      <c r="CM396" s="335"/>
      <c r="CN396" s="335"/>
      <c r="CO396" s="335"/>
      <c r="CP396" s="335"/>
      <c r="CR396" s="12"/>
      <c r="CS396" s="93">
        <f t="shared" si="386"/>
        <v>1</v>
      </c>
      <c r="CT396" s="93">
        <v>0</v>
      </c>
      <c r="CU396" s="93">
        <v>0</v>
      </c>
      <c r="EW396" s="335"/>
      <c r="EX396" s="13" t="str">
        <f>IF(C396="", "", CONCATENATE(D389, " ",D396))</f>
        <v/>
      </c>
    </row>
    <row r="397" spans="1:154" s="67" customFormat="1" x14ac:dyDescent="0.25">
      <c r="A397" s="362" cm="1">
        <f t="array" aca="1" ref="A397" ca="1">HYPERLINK(CONCATENATE("#",CELL("address",IF(SUM($CA397:$CR397)=0,A397,INDEX($CA397:$CR397,MATCH(1,$CA397:$CR397,0))))),SUM($CA397:$CR397))</f>
        <v>0</v>
      </c>
      <c r="C397" s="380"/>
      <c r="D397" s="51" t="s">
        <v>220</v>
      </c>
      <c r="E397" s="160" t="s">
        <v>524</v>
      </c>
      <c r="F397" s="173" t="str">
        <f>IF($J$31="", "", $J$31)</f>
        <v/>
      </c>
      <c r="S397" s="335"/>
      <c r="T397" s="25"/>
      <c r="U397" s="25"/>
      <c r="V397" s="230">
        <f>IF(AND(V$5&gt;=$F397,SUM(V394:$Y394)&lt;&gt;0),1,0)</f>
        <v>0</v>
      </c>
      <c r="W397" s="230">
        <f>IF(AND(W$5&gt;=$F397,SUM(W394:$Y394)&lt;&gt;0),1,0)</f>
        <v>0</v>
      </c>
      <c r="X397" s="230">
        <f>IF(AND(X$5&gt;=$F397,SUM(X394:$Y394)&lt;&gt;0),1,0)</f>
        <v>0</v>
      </c>
      <c r="Y397" s="230">
        <f>IF(AND(Y$5&gt;=$F397,SUM(Y394:$Y394)&lt;&gt;0),1,0)</f>
        <v>0</v>
      </c>
      <c r="AA397" s="154">
        <f>IF(AND(AA$5&gt;=$F397,SUM(AA394:$BJ394)&lt;&gt;0),1,0)</f>
        <v>0</v>
      </c>
      <c r="AB397" s="154">
        <f>IF(AND(AB$5&gt;=$F397,SUM(AB394:$BJ394)&lt;&gt;0),1,0)</f>
        <v>0</v>
      </c>
      <c r="AC397" s="154">
        <f>IF(AND(AC$5&gt;=$F397,SUM(AC394:$BJ394)&lt;&gt;0),1,0)</f>
        <v>0</v>
      </c>
      <c r="AD397" s="154">
        <f>IF(AND(AD$5&gt;=$F397,SUM(AD394:$BJ394)&lt;&gt;0),1,0)</f>
        <v>0</v>
      </c>
      <c r="AE397" s="154">
        <f>IF(AND(AE$5&gt;=$F397,SUM(AE394:$BJ394)&lt;&gt;0),1,0)</f>
        <v>0</v>
      </c>
      <c r="AF397" s="154">
        <f>IF(AND(AF$5&gt;=$F397,SUM(AF394:$BJ394)&lt;&gt;0),1,0)</f>
        <v>0</v>
      </c>
      <c r="AG397" s="154">
        <f>IF(AND(AG$5&gt;=$F397,SUM(AG394:$BJ394)&lt;&gt;0),1,0)</f>
        <v>0</v>
      </c>
      <c r="AH397" s="154">
        <f>IF(AND(AH$5&gt;=$F397,SUM(AH394:$BJ394)&lt;&gt;0),1,0)</f>
        <v>0</v>
      </c>
      <c r="AI397" s="154">
        <f>IF(AND(AI$5&gt;=$F397,SUM(AI394:$BJ394)&lt;&gt;0),1,0)</f>
        <v>0</v>
      </c>
      <c r="AJ397" s="154">
        <f>IF(AND(AJ$5&gt;=$F397,SUM(AJ394:$BJ394)&lt;&gt;0),1,0)</f>
        <v>0</v>
      </c>
      <c r="AK397" s="154">
        <f>IF(AND(AK$5&gt;=$F397,SUM(AK394:$BJ394)&lt;&gt;0),1,0)</f>
        <v>0</v>
      </c>
      <c r="AL397" s="154">
        <f>IF(AND(AL$5&gt;=$F397,SUM(AL394:$BJ394)&lt;&gt;0),1,0)</f>
        <v>0</v>
      </c>
      <c r="AM397" s="154">
        <f>IF(AND(AM$5&gt;=$F397,SUM(AM394:$BJ394)&lt;&gt;0),1,0)</f>
        <v>0</v>
      </c>
      <c r="AN397" s="154">
        <f>IF(AND(AN$5&gt;=$F397,SUM(AN394:$BJ394)&lt;&gt;0),1,0)</f>
        <v>0</v>
      </c>
      <c r="AO397" s="154">
        <f>IF(AND(AO$5&gt;=$F397,SUM(AO394:$BJ394)&lt;&gt;0),1,0)</f>
        <v>0</v>
      </c>
      <c r="AP397" s="154">
        <f>IF(AND(AP$5&gt;=$F397,SUM(AP394:$BJ394)&lt;&gt;0),1,0)</f>
        <v>0</v>
      </c>
      <c r="AQ397" s="154">
        <f>IF(AND(AQ$5&gt;=$F397,SUM(AQ394:$BJ394)&lt;&gt;0),1,0)</f>
        <v>0</v>
      </c>
      <c r="AR397" s="154">
        <f>IF(AND(AR$5&gt;=$F397,SUM(AR394:$BJ394)&lt;&gt;0),1,0)</f>
        <v>0</v>
      </c>
      <c r="AS397" s="154">
        <f>IF(AND(AS$5&gt;=$F397,SUM(AS394:$BJ394)&lt;&gt;0),1,0)</f>
        <v>0</v>
      </c>
      <c r="AT397" s="154">
        <f>IF(AND(AT$5&gt;=$F397,SUM(AT394:$BJ394)&lt;&gt;0),1,0)</f>
        <v>0</v>
      </c>
      <c r="AU397" s="154">
        <f>IF(AND(AU$5&gt;=$F397,SUM(AU394:$BJ394)&lt;&gt;0),1,0)</f>
        <v>0</v>
      </c>
      <c r="AV397" s="154">
        <f>IF(AND(AV$5&gt;=$F397,SUM(AV394:$BJ394)&lt;&gt;0),1,0)</f>
        <v>0</v>
      </c>
      <c r="AW397" s="154">
        <f>IF(AND(AW$5&gt;=$F397,SUM(AW394:$BJ394)&lt;&gt;0),1,0)</f>
        <v>0</v>
      </c>
      <c r="AX397" s="154">
        <f>IF(AND(AX$5&gt;=$F397,SUM(AX394:$BJ394)&lt;&gt;0),1,0)</f>
        <v>0</v>
      </c>
      <c r="AY397" s="154">
        <f>IF(AND(AY$5&gt;=$F397,SUM(AY394:$BJ394)&lt;&gt;0),1,0)</f>
        <v>0</v>
      </c>
      <c r="AZ397" s="154">
        <f>IF(AND(AZ$5&gt;=$F397,SUM(AZ394:$BJ394)&lt;&gt;0),1,0)</f>
        <v>0</v>
      </c>
      <c r="BA397" s="154">
        <f>IF(AND(BA$5&gt;=$F397,SUM(BA394:$BJ394)&lt;&gt;0),1,0)</f>
        <v>0</v>
      </c>
      <c r="BB397" s="154">
        <f>IF(AND(BB$5&gt;=$F397,SUM(BB394:$BJ394)&lt;&gt;0),1,0)</f>
        <v>0</v>
      </c>
      <c r="BC397" s="154">
        <f>IF(AND(BC$5&gt;=$F397,SUM(BC394:$BJ394)&lt;&gt;0),1,0)</f>
        <v>0</v>
      </c>
      <c r="BD397" s="154">
        <f>IF(AND(BD$5&gt;=$F397,SUM(BD394:$BJ394)&lt;&gt;0),1,0)</f>
        <v>0</v>
      </c>
      <c r="BE397" s="154">
        <f>IF(AND(BE$5&gt;=$F397,SUM(BE394:$BJ394)&lt;&gt;0),1,0)</f>
        <v>0</v>
      </c>
      <c r="BF397" s="154">
        <f>IF(AND(BF$5&gt;=$F397,SUM(BF394:$BJ394)&lt;&gt;0),1,0)</f>
        <v>0</v>
      </c>
      <c r="BG397" s="154">
        <f>IF(AND(BG$5&gt;=$F397,SUM(BG394:$BJ394)&lt;&gt;0),1,0)</f>
        <v>0</v>
      </c>
      <c r="BH397" s="154">
        <f>IF(AND(BH$5&gt;=$F397,SUM(BH394:$BJ394)&lt;&gt;0),1,0)</f>
        <v>0</v>
      </c>
      <c r="BI397" s="154">
        <f>IF(AND(BI$5&gt;=$F397,SUM(BI394:$BJ394)&lt;&gt;0),1,0)</f>
        <v>0</v>
      </c>
      <c r="BJ397" s="154">
        <f>IF(AND(BJ$5&gt;=$F397,SUM(BJ394:$BJ394)&lt;&gt;0),1,0)</f>
        <v>0</v>
      </c>
      <c r="BL397" s="154">
        <f>IF(AND(BL$5&gt;=$F397,SUM(BL394:$BW394)&lt;&gt;0),1,0)*BL$1150</f>
        <v>0</v>
      </c>
      <c r="BM397" s="154">
        <f>IF(AND(BM$5&gt;=$F397,SUM(BM394:$BW394)&lt;&gt;0),1,0)*BM$1150</f>
        <v>0</v>
      </c>
      <c r="BN397" s="154">
        <f>IF(AND(BN$5&gt;=$F397,SUM(BN394:$BW394)&lt;&gt;0),1,0)*BN$1150</f>
        <v>0</v>
      </c>
      <c r="BO397" s="154">
        <f>IF(AND(BO$5&gt;=$F397,SUM(BO394:$BW394)&lt;&gt;0),1,0)*BO$1150</f>
        <v>0</v>
      </c>
      <c r="BP397" s="154">
        <f>IF(AND(BP$5&gt;=$F397,SUM(BP394:$BW394)&lt;&gt;0),1,0)*BP$1150</f>
        <v>0</v>
      </c>
      <c r="BQ397" s="154">
        <f>IF(AND(BQ$5&gt;=$F397,SUM(BQ394:$BW394)&lt;&gt;0),1,0)*BQ$1150</f>
        <v>0</v>
      </c>
      <c r="BR397" s="154">
        <f>IF(AND(BR$5&gt;=$F397,SUM(BR394:$BW394)&lt;&gt;0),1,0)*BR$1150</f>
        <v>0</v>
      </c>
      <c r="BS397" s="154">
        <f>IF(AND(BS$5&gt;=$F397,SUM(BS394:$BW394)&lt;&gt;0),1,0)*BS$1150</f>
        <v>0</v>
      </c>
      <c r="BT397" s="154">
        <f>IF(AND(BT$5&gt;=$F397,SUM(BT394:$BW394)&lt;&gt;0),1,0)*BT$1150</f>
        <v>0</v>
      </c>
      <c r="BU397" s="154">
        <f>IF(AND(BU$5&gt;=$F397,SUM(BU394:$BW394)&lt;&gt;0),1,0)*BU$1150</f>
        <v>0</v>
      </c>
      <c r="BV397" s="154">
        <f>IF(AND(BV$5&gt;=$F397,SUM(BV394:$BW394)&lt;&gt;0),1,0)*BV$1150</f>
        <v>0</v>
      </c>
      <c r="BW397" s="154">
        <f>IF(AND(BW$5&gt;=$F397,SUM(BW394:$BW394)&lt;&gt;0),1,0)*BW$1150</f>
        <v>0</v>
      </c>
      <c r="BY397" s="12"/>
      <c r="BZ397" s="335"/>
      <c r="CA397" s="12"/>
      <c r="CB397" s="335"/>
      <c r="CC397" s="335"/>
      <c r="CD397" s="335"/>
      <c r="CE397" s="335"/>
      <c r="CL397" s="7">
        <f>IF(MAX($V397:$BW397)&gt;0, 1, 0)</f>
        <v>0</v>
      </c>
      <c r="CM397" s="335"/>
      <c r="CN397" s="335"/>
      <c r="CO397" s="335"/>
      <c r="CP397" s="335"/>
      <c r="CR397" s="12"/>
      <c r="CS397" s="93">
        <f t="shared" si="386"/>
        <v>1</v>
      </c>
      <c r="CT397" s="93">
        <v>0</v>
      </c>
      <c r="CU397" s="93">
        <v>0</v>
      </c>
      <c r="EW397" s="335"/>
      <c r="EX397" s="13" t="str">
        <f>IF(C397="", "", CONCATENATE(D389, " ",D397))</f>
        <v/>
      </c>
    </row>
    <row r="398" spans="1:154" s="67" customFormat="1" ht="6.6" customHeight="1" x14ac:dyDescent="0.25">
      <c r="C398" s="380"/>
      <c r="D398" s="1"/>
      <c r="S398" s="335"/>
      <c r="T398" s="25"/>
      <c r="U398" s="25"/>
      <c r="V398" s="93"/>
      <c r="BM398" s="6"/>
      <c r="BY398" s="42"/>
      <c r="BZ398" s="335"/>
      <c r="CA398" s="42"/>
      <c r="CB398" s="335"/>
      <c r="CC398" s="335"/>
      <c r="CD398" s="335"/>
      <c r="CE398" s="335"/>
      <c r="CM398" s="335"/>
      <c r="CN398" s="335"/>
      <c r="CO398" s="335"/>
      <c r="CP398" s="335"/>
      <c r="CR398" s="42"/>
      <c r="CS398" s="93">
        <f t="shared" si="386"/>
        <v>0</v>
      </c>
      <c r="CT398" s="93">
        <v>0</v>
      </c>
      <c r="CU398" s="93">
        <v>0</v>
      </c>
      <c r="EW398" s="335"/>
      <c r="EX398" s="13" t="str">
        <f>IF(C398="", "", CONCATENATE(D389, " ",D398))</f>
        <v/>
      </c>
    </row>
    <row r="399" spans="1:154" s="67" customFormat="1" x14ac:dyDescent="0.25">
      <c r="C399" s="380"/>
      <c r="D399" s="51" t="s">
        <v>223</v>
      </c>
      <c r="E399" s="1"/>
      <c r="G399" s="9" t="s">
        <v>413</v>
      </c>
      <c r="H399" s="50" t="s">
        <v>8</v>
      </c>
      <c r="S399" s="335"/>
      <c r="T399" s="25"/>
      <c r="U399" s="25"/>
      <c r="V399" s="210"/>
      <c r="W399" s="201">
        <f>V402</f>
        <v>0</v>
      </c>
      <c r="X399" s="201">
        <f>W402</f>
        <v>0</v>
      </c>
      <c r="Y399" s="10">
        <f>X402</f>
        <v>0</v>
      </c>
      <c r="AA399" s="13">
        <f>W399</f>
        <v>0</v>
      </c>
      <c r="AB399" s="10">
        <f t="shared" ref="AB399:BJ399" si="431">AA402</f>
        <v>0</v>
      </c>
      <c r="AC399" s="10">
        <f t="shared" si="431"/>
        <v>0</v>
      </c>
      <c r="AD399" s="10">
        <f t="shared" si="431"/>
        <v>0</v>
      </c>
      <c r="AE399" s="10">
        <f t="shared" si="431"/>
        <v>0</v>
      </c>
      <c r="AF399" s="10">
        <f t="shared" si="431"/>
        <v>0</v>
      </c>
      <c r="AG399" s="10">
        <f t="shared" si="431"/>
        <v>0</v>
      </c>
      <c r="AH399" s="10">
        <f t="shared" si="431"/>
        <v>0</v>
      </c>
      <c r="AI399" s="10">
        <f t="shared" si="431"/>
        <v>0</v>
      </c>
      <c r="AJ399" s="10">
        <f t="shared" si="431"/>
        <v>0</v>
      </c>
      <c r="AK399" s="10">
        <f t="shared" si="431"/>
        <v>0</v>
      </c>
      <c r="AL399" s="10">
        <f t="shared" si="431"/>
        <v>0</v>
      </c>
      <c r="AM399" s="10">
        <f t="shared" si="431"/>
        <v>0</v>
      </c>
      <c r="AN399" s="10">
        <f t="shared" si="431"/>
        <v>0</v>
      </c>
      <c r="AO399" s="10">
        <f t="shared" si="431"/>
        <v>0</v>
      </c>
      <c r="AP399" s="10">
        <f t="shared" si="431"/>
        <v>0</v>
      </c>
      <c r="AQ399" s="10">
        <f t="shared" si="431"/>
        <v>0</v>
      </c>
      <c r="AR399" s="10">
        <f t="shared" si="431"/>
        <v>0</v>
      </c>
      <c r="AS399" s="10">
        <f t="shared" si="431"/>
        <v>0</v>
      </c>
      <c r="AT399" s="10">
        <f t="shared" si="431"/>
        <v>0</v>
      </c>
      <c r="AU399" s="10">
        <f t="shared" si="431"/>
        <v>0</v>
      </c>
      <c r="AV399" s="10">
        <f t="shared" si="431"/>
        <v>0</v>
      </c>
      <c r="AW399" s="10">
        <f t="shared" si="431"/>
        <v>0</v>
      </c>
      <c r="AX399" s="10">
        <f t="shared" si="431"/>
        <v>0</v>
      </c>
      <c r="AY399" s="10">
        <f t="shared" si="431"/>
        <v>0</v>
      </c>
      <c r="AZ399" s="10">
        <f t="shared" si="431"/>
        <v>0</v>
      </c>
      <c r="BA399" s="10">
        <f t="shared" si="431"/>
        <v>0</v>
      </c>
      <c r="BB399" s="10">
        <f t="shared" si="431"/>
        <v>0</v>
      </c>
      <c r="BC399" s="10">
        <f t="shared" si="431"/>
        <v>0</v>
      </c>
      <c r="BD399" s="10">
        <f t="shared" si="431"/>
        <v>0</v>
      </c>
      <c r="BE399" s="10">
        <f t="shared" si="431"/>
        <v>0</v>
      </c>
      <c r="BF399" s="10">
        <f t="shared" si="431"/>
        <v>0</v>
      </c>
      <c r="BG399" s="10">
        <f t="shared" si="431"/>
        <v>0</v>
      </c>
      <c r="BH399" s="10">
        <f t="shared" si="431"/>
        <v>0</v>
      </c>
      <c r="BI399" s="10">
        <f t="shared" si="431"/>
        <v>0</v>
      </c>
      <c r="BJ399" s="10">
        <f t="shared" si="431"/>
        <v>0</v>
      </c>
      <c r="BL399" s="13">
        <f t="shared" ref="BL399:BO402" si="432">V399</f>
        <v>0</v>
      </c>
      <c r="BM399" s="13">
        <f t="shared" si="432"/>
        <v>0</v>
      </c>
      <c r="BN399" s="13">
        <f t="shared" si="432"/>
        <v>0</v>
      </c>
      <c r="BO399" s="13">
        <f t="shared" si="432"/>
        <v>0</v>
      </c>
      <c r="BP399" s="10">
        <f t="shared" ref="BP399:BW399" si="433">BO402</f>
        <v>0</v>
      </c>
      <c r="BQ399" s="10">
        <f t="shared" si="433"/>
        <v>0</v>
      </c>
      <c r="BR399" s="10">
        <f t="shared" si="433"/>
        <v>0</v>
      </c>
      <c r="BS399" s="10">
        <f t="shared" si="433"/>
        <v>0</v>
      </c>
      <c r="BT399" s="10">
        <f t="shared" si="433"/>
        <v>0</v>
      </c>
      <c r="BU399" s="10">
        <f t="shared" si="433"/>
        <v>0</v>
      </c>
      <c r="BV399" s="10">
        <f t="shared" si="433"/>
        <v>0</v>
      </c>
      <c r="BW399" s="10">
        <f t="shared" si="433"/>
        <v>0</v>
      </c>
      <c r="BY399" s="12"/>
      <c r="BZ399" s="335"/>
      <c r="CA399" s="12"/>
      <c r="CB399" s="335"/>
      <c r="CC399" s="335"/>
      <c r="CD399" s="335"/>
      <c r="CE399" s="335"/>
      <c r="CM399" s="335"/>
      <c r="CN399" s="335"/>
      <c r="CO399" s="335"/>
      <c r="CP399" s="335"/>
      <c r="CR399" s="12"/>
      <c r="CS399" s="93">
        <f t="shared" si="386"/>
        <v>0</v>
      </c>
      <c r="CT399" s="93">
        <v>1</v>
      </c>
      <c r="CU399" s="93">
        <v>0</v>
      </c>
      <c r="EW399" s="335"/>
      <c r="EX399" s="13" t="str">
        <f>IF(C399="", "", CONCATENATE(D389, " ",D399))</f>
        <v/>
      </c>
    </row>
    <row r="400" spans="1:154" s="5" customFormat="1" ht="15.75" x14ac:dyDescent="0.3">
      <c r="A400" s="362" cm="1">
        <f t="array" aca="1" ref="A400" ca="1">HYPERLINK(CONCATENATE("#",CELL("address",IF(SUM($CA400:$CR400)=0,A400,INDEX($CA400:$CR400,MATCH(1,$CA400:$CR400,0))))),SUM($CA400:$CR400))</f>
        <v>0</v>
      </c>
      <c r="B400" s="105" t="s">
        <v>335</v>
      </c>
      <c r="C400" s="380"/>
      <c r="D400" s="51" t="s">
        <v>234</v>
      </c>
      <c r="E400" s="1"/>
      <c r="F400" s="67"/>
      <c r="G400" s="9" t="s">
        <v>413</v>
      </c>
      <c r="H400" s="50" t="s">
        <v>125</v>
      </c>
      <c r="I400" s="67"/>
      <c r="J400" s="67"/>
      <c r="K400" s="67"/>
      <c r="L400" s="67"/>
      <c r="M400" s="67"/>
      <c r="N400" s="67"/>
      <c r="O400" s="67"/>
      <c r="P400" s="67"/>
      <c r="Q400" s="67"/>
      <c r="R400" s="67"/>
      <c r="S400" s="335"/>
      <c r="T400" s="25"/>
      <c r="U400" s="25"/>
      <c r="V400" s="210"/>
      <c r="W400" s="215">
        <f t="shared" ref="W400:Y401" si="434" xml:space="preserve"> SUMIFS($AA400:$BJ400, $AA$3:$BJ$3, W$3)</f>
        <v>0</v>
      </c>
      <c r="X400" s="215">
        <f t="shared" si="434"/>
        <v>0</v>
      </c>
      <c r="Y400" s="215">
        <f t="shared" si="434"/>
        <v>0</v>
      </c>
      <c r="Z400" s="67"/>
      <c r="AA400" s="147"/>
      <c r="AB400" s="147"/>
      <c r="AC400" s="147"/>
      <c r="AD400" s="147"/>
      <c r="AE400" s="147"/>
      <c r="AF400" s="147"/>
      <c r="AG400" s="147"/>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c r="BI400" s="147"/>
      <c r="BJ400" s="147"/>
      <c r="BK400" s="67"/>
      <c r="BL400" s="13">
        <f t="shared" si="432"/>
        <v>0</v>
      </c>
      <c r="BM400" s="13">
        <f t="shared" si="432"/>
        <v>0</v>
      </c>
      <c r="BN400" s="13">
        <f t="shared" si="432"/>
        <v>0</v>
      </c>
      <c r="BO400" s="13">
        <f t="shared" si="432"/>
        <v>0</v>
      </c>
      <c r="BP400" s="141"/>
      <c r="BQ400" s="141"/>
      <c r="BR400" s="141"/>
      <c r="BS400" s="141"/>
      <c r="BT400" s="141"/>
      <c r="BU400" s="141"/>
      <c r="BV400" s="141"/>
      <c r="BW400" s="141"/>
      <c r="BX400" s="67"/>
      <c r="BY400" s="12"/>
      <c r="BZ400" s="395">
        <f>IF(MIN($V400:$BW400)&lt;0, 1, 0)</f>
        <v>0</v>
      </c>
      <c r="CA400" s="12"/>
      <c r="CB400" s="335"/>
      <c r="CC400" s="335"/>
      <c r="CD400" s="335"/>
      <c r="CE400" s="335"/>
      <c r="CF400" s="67"/>
      <c r="CG400" s="67"/>
      <c r="CH400" s="67"/>
      <c r="CI400" s="67"/>
      <c r="CJ400" s="67"/>
      <c r="CK400" s="67"/>
      <c r="CL400" s="67"/>
      <c r="CM400" s="7">
        <f t="shared" ref="CM400:CO401" si="435">IF(ROUND(W400-SUMIFS($AA400:$BJ400, $AA$3:$BJ$3, W$3), rounding)=0, 0, 1)</f>
        <v>0</v>
      </c>
      <c r="CN400" s="7">
        <f t="shared" si="435"/>
        <v>0</v>
      </c>
      <c r="CO400" s="7">
        <f t="shared" si="435"/>
        <v>0</v>
      </c>
      <c r="CP400" s="7">
        <f>IF(ROUND(V400-BL400, rounding)=0, 0, 1)*'BS Forecasts'!$V$10</f>
        <v>0</v>
      </c>
      <c r="CQ400" s="67"/>
      <c r="CR400" s="12"/>
      <c r="CS400" s="93">
        <f t="shared" si="386"/>
        <v>0</v>
      </c>
      <c r="CT400" s="93">
        <v>1</v>
      </c>
      <c r="CU400" s="93">
        <v>1</v>
      </c>
      <c r="EX400" s="13" t="str">
        <f>IF(C400="", "", CONCATENATE(D389, " ",D400))</f>
        <v/>
      </c>
    </row>
    <row r="401" spans="1:154" s="67" customFormat="1" ht="15.75" x14ac:dyDescent="0.3">
      <c r="A401" s="362" cm="1">
        <f t="array" aca="1" ref="A401" ca="1">HYPERLINK(CONCATENATE("#",CELL("address",IF(SUM($CA401:$CR401)=0,A401,INDEX($CA401:$CR401,MATCH(1,$CA401:$CR401,0))))),SUM($CA401:$CR401))</f>
        <v>0</v>
      </c>
      <c r="B401" s="105" t="s">
        <v>335</v>
      </c>
      <c r="C401" s="380"/>
      <c r="D401" s="51" t="s">
        <v>222</v>
      </c>
      <c r="E401" s="1"/>
      <c r="G401" s="9" t="s">
        <v>413</v>
      </c>
      <c r="H401" s="50" t="s">
        <v>157</v>
      </c>
      <c r="S401" s="335"/>
      <c r="T401" s="25"/>
      <c r="U401" s="25"/>
      <c r="V401" s="210"/>
      <c r="W401" s="215">
        <f t="shared" si="434"/>
        <v>0</v>
      </c>
      <c r="X401" s="215">
        <f t="shared" si="434"/>
        <v>0</v>
      </c>
      <c r="Y401" s="215">
        <f t="shared" si="434"/>
        <v>0</v>
      </c>
      <c r="AA401" s="147"/>
      <c r="AB401" s="147"/>
      <c r="AC401" s="147"/>
      <c r="AD401" s="147"/>
      <c r="AE401" s="147"/>
      <c r="AF401" s="147"/>
      <c r="AG401" s="147"/>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c r="BI401" s="147"/>
      <c r="BJ401" s="147"/>
      <c r="BL401" s="13">
        <f t="shared" si="432"/>
        <v>0</v>
      </c>
      <c r="BM401" s="13">
        <f t="shared" si="432"/>
        <v>0</v>
      </c>
      <c r="BN401" s="13">
        <f t="shared" si="432"/>
        <v>0</v>
      </c>
      <c r="BO401" s="13">
        <f t="shared" si="432"/>
        <v>0</v>
      </c>
      <c r="BP401" s="141"/>
      <c r="BQ401" s="141"/>
      <c r="BR401" s="141"/>
      <c r="BS401" s="141"/>
      <c r="BT401" s="141"/>
      <c r="BU401" s="141"/>
      <c r="BV401" s="141"/>
      <c r="BW401" s="141"/>
      <c r="BY401" s="12"/>
      <c r="BZ401" s="395">
        <f>IF(MAX($V401:$BW401)&gt;0, 1, 0)</f>
        <v>0</v>
      </c>
      <c r="CA401" s="12"/>
      <c r="CB401" s="335"/>
      <c r="CC401" s="335"/>
      <c r="CD401" s="335"/>
      <c r="CE401" s="335"/>
      <c r="CM401" s="7">
        <f t="shared" si="435"/>
        <v>0</v>
      </c>
      <c r="CN401" s="7">
        <f t="shared" si="435"/>
        <v>0</v>
      </c>
      <c r="CO401" s="7">
        <f t="shared" si="435"/>
        <v>0</v>
      </c>
      <c r="CP401" s="7">
        <f>IF(ROUND(V401-BL401, rounding)=0, 0, 1)*'BS Forecasts'!$V$10</f>
        <v>0</v>
      </c>
      <c r="CR401" s="12"/>
      <c r="CS401" s="93">
        <f t="shared" si="386"/>
        <v>0</v>
      </c>
      <c r="CT401" s="93">
        <v>1</v>
      </c>
      <c r="CU401" s="93">
        <v>1</v>
      </c>
      <c r="EW401" s="335"/>
      <c r="EX401" s="13" t="str">
        <f>IF(C401="", "", CONCATENATE(D389, " ",D401))</f>
        <v/>
      </c>
    </row>
    <row r="402" spans="1:154" s="67" customFormat="1" x14ac:dyDescent="0.25">
      <c r="C402" s="380"/>
      <c r="D402" s="51" t="s">
        <v>224</v>
      </c>
      <c r="E402" s="1"/>
      <c r="G402" s="9" t="s">
        <v>413</v>
      </c>
      <c r="H402" s="50" t="s">
        <v>8</v>
      </c>
      <c r="S402" s="335"/>
      <c r="T402" s="25"/>
      <c r="U402" s="25"/>
      <c r="V402" s="13">
        <f>$H$31</f>
        <v>0</v>
      </c>
      <c r="W402" s="10">
        <f>SUM(W399:W401)</f>
        <v>0</v>
      </c>
      <c r="X402" s="10">
        <f>SUM(X399:X401)</f>
        <v>0</v>
      </c>
      <c r="Y402" s="10">
        <f>SUM(Y399:Y401)</f>
        <v>0</v>
      </c>
      <c r="AA402" s="10">
        <f t="shared" ref="AA402:BJ402" si="436">SUM(AA399:AA401)</f>
        <v>0</v>
      </c>
      <c r="AB402" s="10">
        <f t="shared" si="436"/>
        <v>0</v>
      </c>
      <c r="AC402" s="10">
        <f t="shared" si="436"/>
        <v>0</v>
      </c>
      <c r="AD402" s="10">
        <f t="shared" si="436"/>
        <v>0</v>
      </c>
      <c r="AE402" s="10">
        <f t="shared" si="436"/>
        <v>0</v>
      </c>
      <c r="AF402" s="10">
        <f t="shared" si="436"/>
        <v>0</v>
      </c>
      <c r="AG402" s="10">
        <f t="shared" si="436"/>
        <v>0</v>
      </c>
      <c r="AH402" s="10">
        <f t="shared" si="436"/>
        <v>0</v>
      </c>
      <c r="AI402" s="10">
        <f t="shared" si="436"/>
        <v>0</v>
      </c>
      <c r="AJ402" s="10">
        <f t="shared" si="436"/>
        <v>0</v>
      </c>
      <c r="AK402" s="10">
        <f t="shared" si="436"/>
        <v>0</v>
      </c>
      <c r="AL402" s="10">
        <f t="shared" si="436"/>
        <v>0</v>
      </c>
      <c r="AM402" s="10">
        <f t="shared" si="436"/>
        <v>0</v>
      </c>
      <c r="AN402" s="10">
        <f t="shared" si="436"/>
        <v>0</v>
      </c>
      <c r="AO402" s="10">
        <f t="shared" si="436"/>
        <v>0</v>
      </c>
      <c r="AP402" s="10">
        <f t="shared" si="436"/>
        <v>0</v>
      </c>
      <c r="AQ402" s="10">
        <f t="shared" si="436"/>
        <v>0</v>
      </c>
      <c r="AR402" s="10">
        <f t="shared" si="436"/>
        <v>0</v>
      </c>
      <c r="AS402" s="10">
        <f t="shared" si="436"/>
        <v>0</v>
      </c>
      <c r="AT402" s="10">
        <f t="shared" si="436"/>
        <v>0</v>
      </c>
      <c r="AU402" s="10">
        <f t="shared" si="436"/>
        <v>0</v>
      </c>
      <c r="AV402" s="10">
        <f t="shared" si="436"/>
        <v>0</v>
      </c>
      <c r="AW402" s="10">
        <f t="shared" si="436"/>
        <v>0</v>
      </c>
      <c r="AX402" s="10">
        <f t="shared" si="436"/>
        <v>0</v>
      </c>
      <c r="AY402" s="10">
        <f t="shared" si="436"/>
        <v>0</v>
      </c>
      <c r="AZ402" s="10">
        <f t="shared" si="436"/>
        <v>0</v>
      </c>
      <c r="BA402" s="10">
        <f t="shared" si="436"/>
        <v>0</v>
      </c>
      <c r="BB402" s="10">
        <f t="shared" si="436"/>
        <v>0</v>
      </c>
      <c r="BC402" s="10">
        <f t="shared" si="436"/>
        <v>0</v>
      </c>
      <c r="BD402" s="10">
        <f t="shared" si="436"/>
        <v>0</v>
      </c>
      <c r="BE402" s="10">
        <f t="shared" si="436"/>
        <v>0</v>
      </c>
      <c r="BF402" s="10">
        <f t="shared" si="436"/>
        <v>0</v>
      </c>
      <c r="BG402" s="10">
        <f t="shared" si="436"/>
        <v>0</v>
      </c>
      <c r="BH402" s="10">
        <f t="shared" si="436"/>
        <v>0</v>
      </c>
      <c r="BI402" s="10">
        <f t="shared" si="436"/>
        <v>0</v>
      </c>
      <c r="BJ402" s="10">
        <f t="shared" si="436"/>
        <v>0</v>
      </c>
      <c r="BL402" s="152">
        <f t="shared" si="432"/>
        <v>0</v>
      </c>
      <c r="BM402" s="152">
        <f t="shared" si="432"/>
        <v>0</v>
      </c>
      <c r="BN402" s="152">
        <f t="shared" si="432"/>
        <v>0</v>
      </c>
      <c r="BO402" s="152">
        <f t="shared" si="432"/>
        <v>0</v>
      </c>
      <c r="BP402" s="10">
        <f t="shared" ref="BP402:BW402" si="437">SUM(BP399:BP401)</f>
        <v>0</v>
      </c>
      <c r="BQ402" s="10">
        <f t="shared" si="437"/>
        <v>0</v>
      </c>
      <c r="BR402" s="10">
        <f t="shared" si="437"/>
        <v>0</v>
      </c>
      <c r="BS402" s="10">
        <f t="shared" si="437"/>
        <v>0</v>
      </c>
      <c r="BT402" s="10">
        <f t="shared" si="437"/>
        <v>0</v>
      </c>
      <c r="BU402" s="10">
        <f t="shared" si="437"/>
        <v>0</v>
      </c>
      <c r="BV402" s="10">
        <f t="shared" si="437"/>
        <v>0</v>
      </c>
      <c r="BW402" s="10">
        <f t="shared" si="437"/>
        <v>0</v>
      </c>
      <c r="BY402" s="12"/>
      <c r="BZ402" s="335"/>
      <c r="CA402" s="12"/>
      <c r="CB402" s="335"/>
      <c r="CC402" s="335"/>
      <c r="CD402" s="335"/>
      <c r="CE402" s="335"/>
      <c r="CM402" s="335"/>
      <c r="CN402" s="335"/>
      <c r="CO402" s="335"/>
      <c r="CP402" s="335"/>
      <c r="CR402" s="12"/>
      <c r="CS402" s="93">
        <f t="shared" si="386"/>
        <v>0</v>
      </c>
      <c r="CT402" s="93">
        <v>0</v>
      </c>
      <c r="CU402" s="93">
        <v>0</v>
      </c>
      <c r="EW402" s="335"/>
      <c r="EX402" s="13" t="str">
        <f>IF(C402="", "", CONCATENATE(D389, " ",D402))</f>
        <v/>
      </c>
    </row>
    <row r="403" spans="1:154" s="67" customFormat="1" ht="6.6" customHeight="1" x14ac:dyDescent="0.25">
      <c r="C403" s="380"/>
      <c r="D403" s="1"/>
      <c r="S403" s="335"/>
      <c r="T403" s="25"/>
      <c r="U403" s="25"/>
      <c r="V403" s="229"/>
      <c r="W403" s="25"/>
      <c r="X403" s="25"/>
      <c r="Y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L403" s="25"/>
      <c r="BM403" s="155"/>
      <c r="BN403" s="25"/>
      <c r="BO403" s="25"/>
      <c r="BP403" s="25"/>
      <c r="BQ403" s="25"/>
      <c r="BR403" s="25"/>
      <c r="BS403" s="25"/>
      <c r="BT403" s="25"/>
      <c r="BU403" s="25"/>
      <c r="BV403" s="25"/>
      <c r="BW403" s="25"/>
      <c r="BY403" s="42"/>
      <c r="BZ403" s="335"/>
      <c r="CA403" s="42"/>
      <c r="CB403" s="335"/>
      <c r="CC403" s="335"/>
      <c r="CD403" s="335"/>
      <c r="CE403" s="335"/>
      <c r="CM403" s="335"/>
      <c r="CN403" s="335"/>
      <c r="CO403" s="335"/>
      <c r="CP403" s="335"/>
      <c r="CR403" s="42"/>
      <c r="CS403" s="93">
        <f t="shared" si="386"/>
        <v>0</v>
      </c>
      <c r="CT403" s="93">
        <v>0</v>
      </c>
      <c r="CU403" s="93">
        <v>0</v>
      </c>
      <c r="EW403" s="335"/>
      <c r="EX403" s="13" t="str">
        <f>IF(C403="", "", CONCATENATE(D389, " ",D403))</f>
        <v/>
      </c>
    </row>
    <row r="404" spans="1:154" s="5" customFormat="1" x14ac:dyDescent="0.25">
      <c r="A404" s="362" cm="1">
        <f t="array" aca="1" ref="A404" ca="1">HYPERLINK(CONCATENATE("#",CELL("address",IF(SUM($CA404:$CR404)=0,A404,INDEX($CA404:$CR404,MATCH(1,$CA404:$CR404,0))))),SUM($CA404:$CR404))</f>
        <v>0</v>
      </c>
      <c r="B404" s="335"/>
      <c r="C404" s="340" t="s">
        <v>1291</v>
      </c>
      <c r="D404" s="41" t="s">
        <v>1569</v>
      </c>
      <c r="E404" s="35"/>
      <c r="F404" s="25"/>
      <c r="G404" s="174" t="s">
        <v>413</v>
      </c>
      <c r="H404" s="171" t="s">
        <v>125</v>
      </c>
      <c r="I404" s="25"/>
      <c r="J404" s="25"/>
      <c r="K404" s="25"/>
      <c r="L404" s="25"/>
      <c r="M404" s="25"/>
      <c r="N404" s="25"/>
      <c r="O404" s="25"/>
      <c r="P404" s="25"/>
      <c r="Q404" s="25"/>
      <c r="R404" s="25"/>
      <c r="S404" s="335"/>
      <c r="T404" s="25"/>
      <c r="U404" s="25"/>
      <c r="V404" s="222"/>
      <c r="W404" s="215">
        <f xml:space="preserve"> SUMIFS($AA404:$BJ404, $AA$3:$BJ$3, W$3)</f>
        <v>0</v>
      </c>
      <c r="X404" s="215">
        <f xml:space="preserve"> SUMIFS($AA404:$BJ404, $AA$3:$BJ$3, X$3)</f>
        <v>0</v>
      </c>
      <c r="Y404" s="215">
        <f xml:space="preserve"> SUMIFS($AA404:$BJ404, $AA$3:$BJ$3, Y$3)</f>
        <v>0</v>
      </c>
      <c r="Z404" s="335"/>
      <c r="AA404" s="147"/>
      <c r="AB404" s="147"/>
      <c r="AC404" s="147"/>
      <c r="AD404" s="147"/>
      <c r="AE404" s="147"/>
      <c r="AF404" s="147"/>
      <c r="AG404" s="147"/>
      <c r="AH404" s="147"/>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c r="BI404" s="147"/>
      <c r="BJ404" s="147"/>
      <c r="BK404" s="335"/>
      <c r="BL404" s="152">
        <f>V404</f>
        <v>0</v>
      </c>
      <c r="BM404" s="152">
        <f>W404</f>
        <v>0</v>
      </c>
      <c r="BN404" s="152">
        <f>X404</f>
        <v>0</v>
      </c>
      <c r="BO404" s="152">
        <f>Y404</f>
        <v>0</v>
      </c>
      <c r="BP404" s="141"/>
      <c r="BQ404" s="141"/>
      <c r="BR404" s="141"/>
      <c r="BS404" s="141"/>
      <c r="BT404" s="141"/>
      <c r="BU404" s="141"/>
      <c r="BV404" s="141"/>
      <c r="BW404" s="141"/>
      <c r="BX404" s="335"/>
      <c r="BY404" s="12"/>
      <c r="BZ404" s="395">
        <f>IF(MIN($V404:$BW404)&lt;0, 1, 0)</f>
        <v>0</v>
      </c>
      <c r="CA404" s="12"/>
      <c r="CB404" s="335"/>
      <c r="CC404" s="335"/>
      <c r="CD404" s="335"/>
      <c r="CE404" s="335"/>
      <c r="CF404" s="335"/>
      <c r="CG404" s="335"/>
      <c r="CH404" s="335"/>
      <c r="CI404" s="335"/>
      <c r="CJ404" s="335"/>
      <c r="CK404" s="335"/>
      <c r="CL404" s="335"/>
      <c r="CM404" s="7">
        <f>IF(ROUND(W404-SUMIFS($AA404:$BJ404, $AA$3:$BJ$3, W$3), rounding)=0, 0, 1)</f>
        <v>0</v>
      </c>
      <c r="CN404" s="7">
        <f>IF(ROUND(X404-SUMIFS($AA404:$BJ404, $AA$3:$BJ$3, X$3), rounding)=0, 0, 1)</f>
        <v>0</v>
      </c>
      <c r="CO404" s="7">
        <f>IF(ROUND(Y404-SUMIFS($AA404:$BJ404, $AA$3:$BJ$3, Y$3), rounding)=0, 0, 1)</f>
        <v>0</v>
      </c>
      <c r="CP404" s="7">
        <f>IF(ROUND(V404-BL404, rounding)=0, 0, 1)*'BS Forecasts'!$V$10</f>
        <v>0</v>
      </c>
      <c r="CQ404" s="335"/>
      <c r="CR404" s="12"/>
      <c r="CS404" s="93">
        <f t="shared" si="386"/>
        <v>0</v>
      </c>
      <c r="CT404" s="93">
        <v>1</v>
      </c>
      <c r="CU404" s="93">
        <v>1</v>
      </c>
      <c r="EX404" s="13" t="str">
        <f>IF(C404="", "", CONCATENATE(D389, " ",D404))</f>
        <v>Loan 19 Early Repayment Fee</v>
      </c>
    </row>
    <row r="405" spans="1:154" s="335" customFormat="1" ht="6.6" customHeight="1" x14ac:dyDescent="0.25">
      <c r="C405" s="380"/>
      <c r="D405" s="1"/>
      <c r="T405" s="25"/>
      <c r="U405" s="25"/>
      <c r="V405" s="93"/>
      <c r="BM405" s="6"/>
      <c r="BY405" s="42"/>
      <c r="CA405" s="42"/>
      <c r="CR405" s="42"/>
      <c r="CS405" s="93">
        <f t="shared" si="386"/>
        <v>0</v>
      </c>
      <c r="CT405" s="93">
        <v>0</v>
      </c>
      <c r="CU405" s="93">
        <v>0</v>
      </c>
      <c r="EX405" s="13" t="str">
        <f>IF(C405="", "", CONCATENATE(D389, " ",D405))</f>
        <v/>
      </c>
    </row>
    <row r="406" spans="1:154" s="335" customFormat="1" ht="15.75" x14ac:dyDescent="0.3">
      <c r="A406" s="362" cm="1">
        <f t="array" aca="1" ref="A406" ca="1">HYPERLINK(CONCATENATE("#",CELL("address",IF(SUM($CA406:$CR406)=0,A406,INDEX($CA406:$CR406,MATCH(1,$CA406:$CR406,0))))),SUM($CA406:$CR406))</f>
        <v>0</v>
      </c>
      <c r="B406" s="105" t="s">
        <v>335</v>
      </c>
      <c r="D406" s="51" t="s">
        <v>1630</v>
      </c>
      <c r="E406" s="220" t="str">
        <f>IF(I$31="", "", I$31)</f>
        <v/>
      </c>
      <c r="F406" s="220" t="str">
        <f>IF(J$31="", "", J$31)</f>
        <v/>
      </c>
      <c r="T406" s="25"/>
      <c r="U406" s="25"/>
      <c r="V406" s="230">
        <f>IF(AND(OR( V$5&gt;$F406, Timeline!V$8&lt;Loans!$E406), Loans!V404&lt;&gt;0), 1, 0)</f>
        <v>0</v>
      </c>
      <c r="W406" s="230">
        <f>IF(AND(OR( W$5&gt;$F406, Timeline!W$8&lt;Loans!$E406), Loans!W404&lt;&gt;0), 1, 0)</f>
        <v>0</v>
      </c>
      <c r="X406" s="230">
        <f>IF(AND(OR( X$5&gt;$F406, Timeline!X$8&lt;Loans!$E406), Loans!X404&lt;&gt;0), 1, 0)</f>
        <v>0</v>
      </c>
      <c r="Y406" s="230">
        <f>IF(AND(OR( Y$5&gt;$F406, Timeline!Y$8&lt;Loans!$E406), Loans!Y404&lt;&gt;0), 1, 0)</f>
        <v>0</v>
      </c>
      <c r="AA406" s="230">
        <f>IF(AND(OR( AA$5&gt;$F406, Timeline!AA$8&lt;Loans!$E406), Loans!AA404&lt;&gt;0), 1, 0)</f>
        <v>0</v>
      </c>
      <c r="AB406" s="230">
        <f>IF(AND(OR( AB$5&gt;$F406, Timeline!AB$8&lt;Loans!$E406), Loans!AB404&lt;&gt;0), 1, 0)</f>
        <v>0</v>
      </c>
      <c r="AC406" s="230">
        <f>IF(AND(OR( AC$5&gt;$F406, Timeline!AC$8&lt;Loans!$E406), Loans!AC404&lt;&gt;0), 1, 0)</f>
        <v>0</v>
      </c>
      <c r="AD406" s="230">
        <f>IF(AND(OR( AD$5&gt;$F406, Timeline!AD$8&lt;Loans!$E406), Loans!AD404&lt;&gt;0), 1, 0)</f>
        <v>0</v>
      </c>
      <c r="AE406" s="230">
        <f>IF(AND(OR( AE$5&gt;$F406, Timeline!AE$8&lt;Loans!$E406), Loans!AE404&lt;&gt;0), 1, 0)</f>
        <v>0</v>
      </c>
      <c r="AF406" s="230">
        <f>IF(AND(OR( AF$5&gt;$F406, Timeline!AF$8&lt;Loans!$E406), Loans!AF404&lt;&gt;0), 1, 0)</f>
        <v>0</v>
      </c>
      <c r="AG406" s="230">
        <f>IF(AND(OR( AG$5&gt;$F406, Timeline!AG$8&lt;Loans!$E406), Loans!AG404&lt;&gt;0), 1, 0)</f>
        <v>0</v>
      </c>
      <c r="AH406" s="230">
        <f>IF(AND(OR( AH$5&gt;$F406, Timeline!AH$8&lt;Loans!$E406), Loans!AH404&lt;&gt;0), 1, 0)</f>
        <v>0</v>
      </c>
      <c r="AI406" s="230">
        <f>IF(AND(OR( AI$5&gt;$F406, Timeline!AI$8&lt;Loans!$E406), Loans!AI404&lt;&gt;0), 1, 0)</f>
        <v>0</v>
      </c>
      <c r="AJ406" s="230">
        <f>IF(AND(OR( AJ$5&gt;$F406, Timeline!AJ$8&lt;Loans!$E406), Loans!AJ404&lt;&gt;0), 1, 0)</f>
        <v>0</v>
      </c>
      <c r="AK406" s="230">
        <f>IF(AND(OR( AK$5&gt;$F406, Timeline!AK$8&lt;Loans!$E406), Loans!AK404&lt;&gt;0), 1, 0)</f>
        <v>0</v>
      </c>
      <c r="AL406" s="230">
        <f>IF(AND(OR( AL$5&gt;$F406, Timeline!AL$8&lt;Loans!$E406), Loans!AL404&lt;&gt;0), 1, 0)</f>
        <v>0</v>
      </c>
      <c r="AM406" s="230">
        <f>IF(AND(OR( AM$5&gt;$F406, Timeline!AM$8&lt;Loans!$E406), Loans!AM404&lt;&gt;0), 1, 0)</f>
        <v>0</v>
      </c>
      <c r="AN406" s="230">
        <f>IF(AND(OR( AN$5&gt;$F406, Timeline!AN$8&lt;Loans!$E406), Loans!AN404&lt;&gt;0), 1, 0)</f>
        <v>0</v>
      </c>
      <c r="AO406" s="230">
        <f>IF(AND(OR( AO$5&gt;$F406, Timeline!AO$8&lt;Loans!$E406), Loans!AO404&lt;&gt;0), 1, 0)</f>
        <v>0</v>
      </c>
      <c r="AP406" s="230">
        <f>IF(AND(OR( AP$5&gt;$F406, Timeline!AP$8&lt;Loans!$E406), Loans!AP404&lt;&gt;0), 1, 0)</f>
        <v>0</v>
      </c>
      <c r="AQ406" s="230">
        <f>IF(AND(OR( AQ$5&gt;$F406, Timeline!AQ$8&lt;Loans!$E406), Loans!AQ404&lt;&gt;0), 1, 0)</f>
        <v>0</v>
      </c>
      <c r="AR406" s="230">
        <f>IF(AND(OR( AR$5&gt;$F406, Timeline!AR$8&lt;Loans!$E406), Loans!AR404&lt;&gt;0), 1, 0)</f>
        <v>0</v>
      </c>
      <c r="AS406" s="230">
        <f>IF(AND(OR( AS$5&gt;$F406, Timeline!AS$8&lt;Loans!$E406), Loans!AS404&lt;&gt;0), 1, 0)</f>
        <v>0</v>
      </c>
      <c r="AT406" s="230">
        <f>IF(AND(OR( AT$5&gt;$F406, Timeline!AT$8&lt;Loans!$E406), Loans!AT404&lt;&gt;0), 1, 0)</f>
        <v>0</v>
      </c>
      <c r="AU406" s="230">
        <f>IF(AND(OR( AU$5&gt;$F406, Timeline!AU$8&lt;Loans!$E406), Loans!AU404&lt;&gt;0), 1, 0)</f>
        <v>0</v>
      </c>
      <c r="AV406" s="230">
        <f>IF(AND(OR( AV$5&gt;$F406, Timeline!AV$8&lt;Loans!$E406), Loans!AV404&lt;&gt;0), 1, 0)</f>
        <v>0</v>
      </c>
      <c r="AW406" s="230">
        <f>IF(AND(OR( AW$5&gt;$F406, Timeline!AW$8&lt;Loans!$E406), Loans!AW404&lt;&gt;0), 1, 0)</f>
        <v>0</v>
      </c>
      <c r="AX406" s="230">
        <f>IF(AND(OR( AX$5&gt;$F406, Timeline!AX$8&lt;Loans!$E406), Loans!AX404&lt;&gt;0), 1, 0)</f>
        <v>0</v>
      </c>
      <c r="AY406" s="230">
        <f>IF(AND(OR( AY$5&gt;$F406, Timeline!AY$8&lt;Loans!$E406), Loans!AY404&lt;&gt;0), 1, 0)</f>
        <v>0</v>
      </c>
      <c r="AZ406" s="230">
        <f>IF(AND(OR( AZ$5&gt;$F406, Timeline!AZ$8&lt;Loans!$E406), Loans!AZ404&lt;&gt;0), 1, 0)</f>
        <v>0</v>
      </c>
      <c r="BA406" s="230">
        <f>IF(AND(OR( BA$5&gt;$F406, Timeline!BA$8&lt;Loans!$E406), Loans!BA404&lt;&gt;0), 1, 0)</f>
        <v>0</v>
      </c>
      <c r="BB406" s="230">
        <f>IF(AND(OR( BB$5&gt;$F406, Timeline!BB$8&lt;Loans!$E406), Loans!BB404&lt;&gt;0), 1, 0)</f>
        <v>0</v>
      </c>
      <c r="BC406" s="230">
        <f>IF(AND(OR( BC$5&gt;$F406, Timeline!BC$8&lt;Loans!$E406), Loans!BC404&lt;&gt;0), 1, 0)</f>
        <v>0</v>
      </c>
      <c r="BD406" s="230">
        <f>IF(AND(OR( BD$5&gt;$F406, Timeline!BD$8&lt;Loans!$E406), Loans!BD404&lt;&gt;0), 1, 0)</f>
        <v>0</v>
      </c>
      <c r="BE406" s="230">
        <f>IF(AND(OR( BE$5&gt;$F406, Timeline!BE$8&lt;Loans!$E406), Loans!BE404&lt;&gt;0), 1, 0)</f>
        <v>0</v>
      </c>
      <c r="BF406" s="230">
        <f>IF(AND(OR( BF$5&gt;$F406, Timeline!BF$8&lt;Loans!$E406), Loans!BF404&lt;&gt;0), 1, 0)</f>
        <v>0</v>
      </c>
      <c r="BG406" s="230">
        <f>IF(AND(OR( BG$5&gt;$F406, Timeline!BG$8&lt;Loans!$E406), Loans!BG404&lt;&gt;0), 1, 0)</f>
        <v>0</v>
      </c>
      <c r="BH406" s="230">
        <f>IF(AND(OR( BH$5&gt;$F406, Timeline!BH$8&lt;Loans!$E406), Loans!BH404&lt;&gt;0), 1, 0)</f>
        <v>0</v>
      </c>
      <c r="BI406" s="230">
        <f>IF(AND(OR( BI$5&gt;$F406, Timeline!BI$8&lt;Loans!$E406), Loans!BI404&lt;&gt;0), 1, 0)</f>
        <v>0</v>
      </c>
      <c r="BJ406" s="230">
        <f>IF(AND(OR( BJ$5&gt;$F406, Timeline!BJ$8&lt;Loans!$E406), Loans!BJ404&lt;&gt;0), 1, 0)</f>
        <v>0</v>
      </c>
      <c r="BL406" s="230">
        <f>IF(AND(OR( BL$5&gt;$F406, Timeline!BL$8&lt;Loans!$E406), Loans!BL404&lt;&gt;0), 1, 0)</f>
        <v>0</v>
      </c>
      <c r="BM406" s="230">
        <f>IF(AND(OR( BM$5&gt;$F406, Timeline!BM$8&lt;Loans!$E406), Loans!BM404&lt;&gt;0), 1, 0)</f>
        <v>0</v>
      </c>
      <c r="BN406" s="230">
        <f>IF(AND(OR( BN$5&gt;$F406, Timeline!BN$8&lt;Loans!$E406), Loans!BN404&lt;&gt;0), 1, 0)</f>
        <v>0</v>
      </c>
      <c r="BO406" s="230">
        <f>IF(AND(OR( BO$5&gt;$F406, Timeline!BO$8&lt;Loans!$E406), Loans!BO404&lt;&gt;0), 1, 0)</f>
        <v>0</v>
      </c>
      <c r="BP406" s="230">
        <f>IF(AND(OR( BP$5&gt;$F406, Timeline!BP$8&lt;Loans!$E406), Loans!BP404&lt;&gt;0), 1, 0)</f>
        <v>0</v>
      </c>
      <c r="BQ406" s="230">
        <f>IF(AND(OR( BQ$5&gt;$F406, Timeline!BQ$8&lt;Loans!$E406), Loans!BQ404&lt;&gt;0), 1, 0)</f>
        <v>0</v>
      </c>
      <c r="BR406" s="230">
        <f>IF(AND(OR( BR$5&gt;$F406, Timeline!BR$8&lt;Loans!$E406), Loans!BR404&lt;&gt;0), 1, 0)</f>
        <v>0</v>
      </c>
      <c r="BS406" s="230">
        <f>IF(AND(OR( BS$5&gt;$F406, Timeline!BS$8&lt;Loans!$E406), Loans!BS404&lt;&gt;0), 1, 0)</f>
        <v>0</v>
      </c>
      <c r="BT406" s="230">
        <f>IF(AND(OR( BT$5&gt;$F406, Timeline!BT$8&lt;Loans!$E406), Loans!BT404&lt;&gt;0), 1, 0)</f>
        <v>0</v>
      </c>
      <c r="BU406" s="230">
        <f>IF(AND(OR( BU$5&gt;$F406, Timeline!BU$8&lt;Loans!$E406), Loans!BU404&lt;&gt;0), 1, 0)</f>
        <v>0</v>
      </c>
      <c r="BV406" s="230">
        <f>IF(AND(OR( BV$5&gt;$F406, Timeline!BV$8&lt;Loans!$E406), Loans!BV404&lt;&gt;0), 1, 0)</f>
        <v>0</v>
      </c>
      <c r="BW406" s="230">
        <f>IF(AND(OR( BW$5&gt;$F406, Timeline!BW$8&lt;Loans!$E406), Loans!BW404&lt;&gt;0), 1, 0)</f>
        <v>0</v>
      </c>
      <c r="BY406" s="12"/>
      <c r="CA406" s="12"/>
      <c r="CL406" s="7">
        <f>IF(MAX($V406:$BW406)&gt;0, 1, 0)</f>
        <v>0</v>
      </c>
      <c r="CR406" s="12"/>
      <c r="CS406" s="93">
        <f t="shared" si="386"/>
        <v>1</v>
      </c>
      <c r="CT406" s="93">
        <v>0</v>
      </c>
      <c r="CU406" s="93">
        <v>0</v>
      </c>
      <c r="EX406" s="13" t="str">
        <f>IF(C406="", "", CONCATENATE(D389, " ",D406))</f>
        <v/>
      </c>
    </row>
    <row r="407" spans="1:154" s="335" customFormat="1" ht="6.6" customHeight="1" x14ac:dyDescent="0.25">
      <c r="C407" s="380"/>
      <c r="D407" s="1"/>
      <c r="T407" s="25"/>
      <c r="U407" s="25"/>
      <c r="V407" s="93"/>
      <c r="BM407" s="6"/>
      <c r="BY407" s="42"/>
      <c r="CA407" s="42"/>
      <c r="CR407" s="42"/>
      <c r="CS407" s="93">
        <f t="shared" si="386"/>
        <v>0</v>
      </c>
      <c r="CT407" s="93">
        <v>0</v>
      </c>
      <c r="CU407" s="93">
        <v>0</v>
      </c>
      <c r="EX407" s="10" t="str">
        <f t="shared" ref="EX407" si="438">IF($C407="","",$D407)</f>
        <v/>
      </c>
    </row>
    <row r="408" spans="1:154" s="67" customFormat="1" x14ac:dyDescent="0.25">
      <c r="A408" s="64"/>
      <c r="C408" s="380"/>
      <c r="D408" s="64" t="s">
        <v>209</v>
      </c>
      <c r="E408" s="64"/>
      <c r="F408" s="64"/>
      <c r="G408" s="64"/>
      <c r="H408" s="64"/>
      <c r="I408" s="64"/>
      <c r="L408" s="64"/>
      <c r="M408" s="64"/>
      <c r="N408" s="64"/>
      <c r="O408" s="64"/>
      <c r="P408" s="64"/>
      <c r="Q408" s="64"/>
      <c r="S408" s="335"/>
      <c r="T408" s="25"/>
      <c r="U408" s="25"/>
      <c r="V408" s="229"/>
      <c r="W408" s="25"/>
      <c r="X408" s="25"/>
      <c r="Y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L408" s="25"/>
      <c r="BM408" s="25"/>
      <c r="BN408" s="25"/>
      <c r="BO408" s="25"/>
      <c r="BP408" s="25"/>
      <c r="BQ408" s="25"/>
      <c r="BR408" s="25"/>
      <c r="BS408" s="25"/>
      <c r="BT408" s="25"/>
      <c r="BU408" s="25"/>
      <c r="BV408" s="25"/>
      <c r="BW408" s="25"/>
      <c r="BY408" s="12"/>
      <c r="BZ408" s="335"/>
      <c r="CA408" s="12"/>
      <c r="CB408" s="335"/>
      <c r="CC408" s="335"/>
      <c r="CD408" s="335"/>
      <c r="CE408" s="335"/>
      <c r="CM408" s="335"/>
      <c r="CN408" s="335"/>
      <c r="CO408" s="335"/>
      <c r="CP408" s="335"/>
      <c r="CR408" s="12"/>
      <c r="CS408" s="93">
        <f t="shared" si="386"/>
        <v>0</v>
      </c>
      <c r="CT408" s="93">
        <v>0</v>
      </c>
      <c r="CU408" s="93">
        <v>0</v>
      </c>
      <c r="EW408" s="335"/>
      <c r="EX408" s="10" t="str">
        <f t="shared" si="413"/>
        <v/>
      </c>
    </row>
    <row r="409" spans="1:154" s="67" customFormat="1" x14ac:dyDescent="0.25">
      <c r="C409" s="340" t="s">
        <v>1392</v>
      </c>
      <c r="D409" s="51" t="s">
        <v>230</v>
      </c>
      <c r="E409" s="1"/>
      <c r="G409" s="9" t="s">
        <v>413</v>
      </c>
      <c r="H409" s="50" t="s">
        <v>8</v>
      </c>
      <c r="S409" s="335"/>
      <c r="T409" s="25"/>
      <c r="U409" s="25"/>
      <c r="V409" s="222"/>
      <c r="W409" s="201">
        <f>V413</f>
        <v>0</v>
      </c>
      <c r="X409" s="201">
        <f>W413</f>
        <v>0</v>
      </c>
      <c r="Y409" s="10">
        <f>X413</f>
        <v>0</v>
      </c>
      <c r="AA409" s="13">
        <f>W409</f>
        <v>0</v>
      </c>
      <c r="AB409" s="153">
        <f t="shared" ref="AB409:BJ409" si="439">AA413</f>
        <v>0</v>
      </c>
      <c r="AC409" s="153">
        <f t="shared" si="439"/>
        <v>0</v>
      </c>
      <c r="AD409" s="153">
        <f t="shared" si="439"/>
        <v>0</v>
      </c>
      <c r="AE409" s="153">
        <f t="shared" si="439"/>
        <v>0</v>
      </c>
      <c r="AF409" s="153">
        <f t="shared" si="439"/>
        <v>0</v>
      </c>
      <c r="AG409" s="153">
        <f t="shared" si="439"/>
        <v>0</v>
      </c>
      <c r="AH409" s="153">
        <f t="shared" si="439"/>
        <v>0</v>
      </c>
      <c r="AI409" s="153">
        <f t="shared" si="439"/>
        <v>0</v>
      </c>
      <c r="AJ409" s="153">
        <f t="shared" si="439"/>
        <v>0</v>
      </c>
      <c r="AK409" s="153">
        <f t="shared" si="439"/>
        <v>0</v>
      </c>
      <c r="AL409" s="153">
        <f t="shared" si="439"/>
        <v>0</v>
      </c>
      <c r="AM409" s="153">
        <f t="shared" si="439"/>
        <v>0</v>
      </c>
      <c r="AN409" s="153">
        <f t="shared" si="439"/>
        <v>0</v>
      </c>
      <c r="AO409" s="153">
        <f t="shared" si="439"/>
        <v>0</v>
      </c>
      <c r="AP409" s="153">
        <f t="shared" si="439"/>
        <v>0</v>
      </c>
      <c r="AQ409" s="153">
        <f t="shared" si="439"/>
        <v>0</v>
      </c>
      <c r="AR409" s="153">
        <f t="shared" si="439"/>
        <v>0</v>
      </c>
      <c r="AS409" s="153">
        <f t="shared" si="439"/>
        <v>0</v>
      </c>
      <c r="AT409" s="153">
        <f t="shared" si="439"/>
        <v>0</v>
      </c>
      <c r="AU409" s="153">
        <f t="shared" si="439"/>
        <v>0</v>
      </c>
      <c r="AV409" s="153">
        <f t="shared" si="439"/>
        <v>0</v>
      </c>
      <c r="AW409" s="153">
        <f t="shared" si="439"/>
        <v>0</v>
      </c>
      <c r="AX409" s="153">
        <f t="shared" si="439"/>
        <v>0</v>
      </c>
      <c r="AY409" s="153">
        <f t="shared" si="439"/>
        <v>0</v>
      </c>
      <c r="AZ409" s="153">
        <f t="shared" si="439"/>
        <v>0</v>
      </c>
      <c r="BA409" s="153">
        <f t="shared" si="439"/>
        <v>0</v>
      </c>
      <c r="BB409" s="153">
        <f t="shared" si="439"/>
        <v>0</v>
      </c>
      <c r="BC409" s="153">
        <f t="shared" si="439"/>
        <v>0</v>
      </c>
      <c r="BD409" s="153">
        <f t="shared" si="439"/>
        <v>0</v>
      </c>
      <c r="BE409" s="153">
        <f t="shared" si="439"/>
        <v>0</v>
      </c>
      <c r="BF409" s="153">
        <f t="shared" si="439"/>
        <v>0</v>
      </c>
      <c r="BG409" s="153">
        <f t="shared" si="439"/>
        <v>0</v>
      </c>
      <c r="BH409" s="153">
        <f t="shared" si="439"/>
        <v>0</v>
      </c>
      <c r="BI409" s="153">
        <f t="shared" si="439"/>
        <v>0</v>
      </c>
      <c r="BJ409" s="153">
        <f t="shared" si="439"/>
        <v>0</v>
      </c>
      <c r="BL409" s="152">
        <f t="shared" ref="BL409:BO413" si="440">V409</f>
        <v>0</v>
      </c>
      <c r="BM409" s="152">
        <f t="shared" si="440"/>
        <v>0</v>
      </c>
      <c r="BN409" s="152">
        <f t="shared" si="440"/>
        <v>0</v>
      </c>
      <c r="BO409" s="152">
        <f t="shared" si="440"/>
        <v>0</v>
      </c>
      <c r="BP409" s="153">
        <f t="shared" ref="BP409:BW409" si="441">BO413</f>
        <v>0</v>
      </c>
      <c r="BQ409" s="153">
        <f t="shared" si="441"/>
        <v>0</v>
      </c>
      <c r="BR409" s="153">
        <f t="shared" si="441"/>
        <v>0</v>
      </c>
      <c r="BS409" s="153">
        <f t="shared" si="441"/>
        <v>0</v>
      </c>
      <c r="BT409" s="153">
        <f t="shared" si="441"/>
        <v>0</v>
      </c>
      <c r="BU409" s="153">
        <f t="shared" si="441"/>
        <v>0</v>
      </c>
      <c r="BV409" s="153">
        <f t="shared" si="441"/>
        <v>0</v>
      </c>
      <c r="BW409" s="153">
        <f t="shared" si="441"/>
        <v>0</v>
      </c>
      <c r="BY409" s="12"/>
      <c r="BZ409" s="335"/>
      <c r="CA409" s="12"/>
      <c r="CB409" s="335"/>
      <c r="CC409" s="335"/>
      <c r="CD409" s="335"/>
      <c r="CE409" s="335"/>
      <c r="CM409" s="335"/>
      <c r="CN409" s="335"/>
      <c r="CO409" s="335"/>
      <c r="CP409" s="335"/>
      <c r="CR409" s="12"/>
      <c r="CS409" s="93">
        <f t="shared" si="386"/>
        <v>0</v>
      </c>
      <c r="CT409" s="93">
        <v>1</v>
      </c>
      <c r="CU409" s="93">
        <v>0</v>
      </c>
      <c r="EW409" s="335"/>
      <c r="EX409" s="13" t="str">
        <f>IF(C409="", "", CONCATENATE(D408, " ",D409))</f>
        <v>Loan 20 Opening Loan Balance</v>
      </c>
    </row>
    <row r="410" spans="1:154" s="5" customFormat="1" x14ac:dyDescent="0.25">
      <c r="A410" s="362" cm="1">
        <f t="array" aca="1" ref="A410" ca="1">HYPERLINK(CONCATENATE("#",CELL("address",IF(SUM($CA410:$CR410)=0,A410,INDEX($CA410:$CR410,MATCH(1,$CA410:$CR410,0))))),SUM($CA410:$CR410))</f>
        <v>0</v>
      </c>
      <c r="B410" s="67"/>
      <c r="C410" s="340" t="s">
        <v>1237</v>
      </c>
      <c r="D410" s="51" t="s">
        <v>219</v>
      </c>
      <c r="E410" s="1"/>
      <c r="F410" s="67"/>
      <c r="G410" s="9" t="s">
        <v>413</v>
      </c>
      <c r="H410" s="50" t="s">
        <v>125</v>
      </c>
      <c r="I410" s="67"/>
      <c r="J410" s="67"/>
      <c r="K410" s="67"/>
      <c r="L410" s="67"/>
      <c r="M410" s="67"/>
      <c r="N410" s="67"/>
      <c r="O410" s="67"/>
      <c r="P410" s="67"/>
      <c r="Q410" s="67"/>
      <c r="R410" s="67"/>
      <c r="S410" s="335"/>
      <c r="T410" s="25"/>
      <c r="U410" s="25"/>
      <c r="V410" s="222"/>
      <c r="W410" s="215">
        <f t="shared" ref="W410:Y412" si="442" xml:space="preserve"> SUMIFS($AA410:$BJ410, $AA$3:$BJ$3, W$3)</f>
        <v>0</v>
      </c>
      <c r="X410" s="215">
        <f t="shared" si="442"/>
        <v>0</v>
      </c>
      <c r="Y410" s="215">
        <f t="shared" si="442"/>
        <v>0</v>
      </c>
      <c r="Z410" s="67"/>
      <c r="AA410" s="147"/>
      <c r="AB410" s="147"/>
      <c r="AC410" s="147"/>
      <c r="AD410" s="147"/>
      <c r="AE410" s="147"/>
      <c r="AF410" s="147"/>
      <c r="AG410" s="147"/>
      <c r="AH410" s="147"/>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c r="BI410" s="147"/>
      <c r="BJ410" s="147"/>
      <c r="BK410" s="67"/>
      <c r="BL410" s="152">
        <f t="shared" si="440"/>
        <v>0</v>
      </c>
      <c r="BM410" s="152">
        <f t="shared" si="440"/>
        <v>0</v>
      </c>
      <c r="BN410" s="152">
        <f t="shared" si="440"/>
        <v>0</v>
      </c>
      <c r="BO410" s="152">
        <f t="shared" si="440"/>
        <v>0</v>
      </c>
      <c r="BP410" s="156"/>
      <c r="BQ410" s="156"/>
      <c r="BR410" s="156"/>
      <c r="BS410" s="156"/>
      <c r="BT410" s="156"/>
      <c r="BU410" s="156"/>
      <c r="BV410" s="156"/>
      <c r="BW410" s="156"/>
      <c r="BX410" s="67"/>
      <c r="BY410" s="12"/>
      <c r="BZ410" s="395">
        <f>IF(MIN($V410:$BW410)&lt;0, 1, 0)</f>
        <v>0</v>
      </c>
      <c r="CA410" s="12"/>
      <c r="CB410" s="335"/>
      <c r="CC410" s="335"/>
      <c r="CD410" s="335"/>
      <c r="CE410" s="335"/>
      <c r="CF410" s="67"/>
      <c r="CG410" s="67"/>
      <c r="CH410" s="67"/>
      <c r="CI410" s="67"/>
      <c r="CJ410" s="67"/>
      <c r="CK410" s="67"/>
      <c r="CL410" s="67"/>
      <c r="CM410" s="7">
        <f t="shared" ref="CM410:CO412" si="443">IF(ROUND(W410-SUMIFS($AA410:$BJ410, $AA$3:$BJ$3, W$3), rounding)=0, 0, 1)</f>
        <v>0</v>
      </c>
      <c r="CN410" s="7">
        <f t="shared" si="443"/>
        <v>0</v>
      </c>
      <c r="CO410" s="7">
        <f t="shared" si="443"/>
        <v>0</v>
      </c>
      <c r="CP410" s="7">
        <f>IF(ROUND(V410-BL410, rounding)=0, 0, 1)*'BS Forecasts'!$V$10</f>
        <v>0</v>
      </c>
      <c r="CQ410" s="67"/>
      <c r="CR410" s="12"/>
      <c r="CS410" s="93">
        <f t="shared" si="386"/>
        <v>0</v>
      </c>
      <c r="CT410" s="93">
        <v>1</v>
      </c>
      <c r="CU410" s="93">
        <v>1</v>
      </c>
      <c r="EX410" s="13" t="str">
        <f>IF(C410="", "", CONCATENATE(D408, " ",D410))</f>
        <v>Loan 20 Drawdowns</v>
      </c>
    </row>
    <row r="411" spans="1:154" s="67" customFormat="1" x14ac:dyDescent="0.25">
      <c r="A411" s="362" cm="1">
        <f t="array" aca="1" ref="A411" ca="1">HYPERLINK(CONCATENATE("#",CELL("address",IF(SUM($CA411:$CR411)=0,A411,INDEX($CA411:$CR411,MATCH(1,$CA411:$CR411,0))))),SUM($CA411:$CR411))</f>
        <v>0</v>
      </c>
      <c r="C411" s="340" t="s">
        <v>1238</v>
      </c>
      <c r="D411" s="41" t="s">
        <v>1570</v>
      </c>
      <c r="E411" s="1"/>
      <c r="G411" s="9" t="s">
        <v>413</v>
      </c>
      <c r="H411" s="50" t="s">
        <v>157</v>
      </c>
      <c r="S411" s="335"/>
      <c r="T411" s="25"/>
      <c r="U411" s="25"/>
      <c r="V411" s="222"/>
      <c r="W411" s="215">
        <f t="shared" si="442"/>
        <v>0</v>
      </c>
      <c r="X411" s="215">
        <f t="shared" si="442"/>
        <v>0</v>
      </c>
      <c r="Y411" s="215">
        <f t="shared" si="442"/>
        <v>0</v>
      </c>
      <c r="AA411" s="147"/>
      <c r="AB411" s="147"/>
      <c r="AC411" s="147"/>
      <c r="AD411" s="147"/>
      <c r="AE411" s="147"/>
      <c r="AF411" s="147"/>
      <c r="AG411" s="147"/>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c r="BI411" s="147"/>
      <c r="BJ411" s="147"/>
      <c r="BL411" s="152">
        <f t="shared" si="440"/>
        <v>0</v>
      </c>
      <c r="BM411" s="152">
        <f t="shared" si="440"/>
        <v>0</v>
      </c>
      <c r="BN411" s="152">
        <f t="shared" si="440"/>
        <v>0</v>
      </c>
      <c r="BO411" s="152">
        <f t="shared" si="440"/>
        <v>0</v>
      </c>
      <c r="BP411" s="156"/>
      <c r="BQ411" s="156"/>
      <c r="BR411" s="156"/>
      <c r="BS411" s="156"/>
      <c r="BT411" s="156"/>
      <c r="BU411" s="156"/>
      <c r="BV411" s="156"/>
      <c r="BW411" s="156"/>
      <c r="BY411" s="12"/>
      <c r="BZ411" s="395">
        <f>IF(MAX($V411:$BW411)&gt;0, 1, 0)</f>
        <v>0</v>
      </c>
      <c r="CA411" s="12"/>
      <c r="CB411" s="335"/>
      <c r="CC411" s="335"/>
      <c r="CD411" s="335"/>
      <c r="CE411" s="335"/>
      <c r="CM411" s="7">
        <f t="shared" si="443"/>
        <v>0</v>
      </c>
      <c r="CN411" s="7">
        <f t="shared" si="443"/>
        <v>0</v>
      </c>
      <c r="CO411" s="7">
        <f t="shared" si="443"/>
        <v>0</v>
      </c>
      <c r="CP411" s="7">
        <f>IF(ROUND(V411-BL411, rounding)=0, 0, 1)*'BS Forecasts'!$V$10</f>
        <v>0</v>
      </c>
      <c r="CR411" s="12"/>
      <c r="CS411" s="93">
        <f t="shared" si="386"/>
        <v>0</v>
      </c>
      <c r="CT411" s="93">
        <v>1</v>
      </c>
      <c r="CU411" s="93">
        <v>1</v>
      </c>
      <c r="EW411" s="335"/>
      <c r="EX411" s="13" t="str">
        <f>IF(C411="", "", CONCATENATE(D408, " ",D411))</f>
        <v>Loan 20 Loan Capital Repayment (as per loan agreement)</v>
      </c>
    </row>
    <row r="412" spans="1:154" s="335" customFormat="1" x14ac:dyDescent="0.25">
      <c r="A412" s="362" cm="1">
        <f t="array" aca="1" ref="A412" ca="1">HYPERLINK(CONCATENATE("#",CELL("address",IF(SUM($CA412:$CR412)=0,A412,INDEX($CA412:$CR412,MATCH(1,$CA412:$CR412,0))))),SUM($CA412:$CR412))</f>
        <v>0</v>
      </c>
      <c r="C412" s="340" t="s">
        <v>1573</v>
      </c>
      <c r="D412" s="41" t="s">
        <v>1571</v>
      </c>
      <c r="E412" s="1"/>
      <c r="G412" s="9" t="s">
        <v>413</v>
      </c>
      <c r="H412" s="50" t="s">
        <v>157</v>
      </c>
      <c r="T412" s="25"/>
      <c r="U412" s="25"/>
      <c r="V412" s="210"/>
      <c r="W412" s="215">
        <f t="shared" si="442"/>
        <v>0</v>
      </c>
      <c r="X412" s="215">
        <f t="shared" si="442"/>
        <v>0</v>
      </c>
      <c r="Y412" s="215">
        <f t="shared" si="442"/>
        <v>0</v>
      </c>
      <c r="AA412" s="147"/>
      <c r="AB412" s="147"/>
      <c r="AC412" s="147"/>
      <c r="AD412" s="147"/>
      <c r="AE412" s="147"/>
      <c r="AF412" s="147"/>
      <c r="AG412" s="147"/>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c r="BI412" s="147"/>
      <c r="BJ412" s="147"/>
      <c r="BL412" s="13">
        <f t="shared" si="440"/>
        <v>0</v>
      </c>
      <c r="BM412" s="13">
        <f t="shared" si="440"/>
        <v>0</v>
      </c>
      <c r="BN412" s="13">
        <f t="shared" si="440"/>
        <v>0</v>
      </c>
      <c r="BO412" s="13">
        <f t="shared" si="440"/>
        <v>0</v>
      </c>
      <c r="BP412" s="141"/>
      <c r="BQ412" s="141"/>
      <c r="BR412" s="141"/>
      <c r="BS412" s="141"/>
      <c r="BT412" s="141"/>
      <c r="BU412" s="141"/>
      <c r="BV412" s="141"/>
      <c r="BW412" s="141"/>
      <c r="BY412" s="12"/>
      <c r="BZ412" s="395">
        <f>IF(MAX($V412:$BW412)&gt;0, 1, 0)</f>
        <v>0</v>
      </c>
      <c r="CA412" s="12"/>
      <c r="CM412" s="7">
        <f t="shared" si="443"/>
        <v>0</v>
      </c>
      <c r="CN412" s="7">
        <f t="shared" si="443"/>
        <v>0</v>
      </c>
      <c r="CO412" s="7">
        <f t="shared" si="443"/>
        <v>0</v>
      </c>
      <c r="CP412" s="7">
        <f>IF(ROUND(V412-BL412, rounding)=0, 0, 1)*'BS Forecasts'!$V$10</f>
        <v>0</v>
      </c>
      <c r="CR412" s="12"/>
      <c r="CS412" s="93">
        <f t="shared" si="386"/>
        <v>0</v>
      </c>
      <c r="CT412" s="93">
        <v>1</v>
      </c>
      <c r="CU412" s="93">
        <v>1</v>
      </c>
      <c r="EX412" s="13" t="str">
        <f>IF(C412="", "", CONCATENATE(D408, " ",D412))</f>
        <v xml:space="preserve">Loan 20 Early Repayment </v>
      </c>
    </row>
    <row r="413" spans="1:154" s="67" customFormat="1" x14ac:dyDescent="0.25">
      <c r="C413" s="340" t="s">
        <v>1372</v>
      </c>
      <c r="D413" s="51" t="s">
        <v>231</v>
      </c>
      <c r="E413" s="1"/>
      <c r="F413" s="25"/>
      <c r="G413" s="9" t="s">
        <v>413</v>
      </c>
      <c r="H413" s="50" t="s">
        <v>8</v>
      </c>
      <c r="S413" s="335"/>
      <c r="T413" s="25"/>
      <c r="U413" s="25"/>
      <c r="V413" s="13">
        <f>$G$32</f>
        <v>0</v>
      </c>
      <c r="W413" s="153">
        <f>SUM(W409:W412)</f>
        <v>0</v>
      </c>
      <c r="X413" s="153">
        <f t="shared" ref="X413:BJ413" si="444">SUM(X409:X412)</f>
        <v>0</v>
      </c>
      <c r="Y413" s="153">
        <f t="shared" si="444"/>
        <v>0</v>
      </c>
      <c r="Z413" s="335"/>
      <c r="AA413" s="153">
        <f t="shared" si="444"/>
        <v>0</v>
      </c>
      <c r="AB413" s="153">
        <f t="shared" si="444"/>
        <v>0</v>
      </c>
      <c r="AC413" s="153">
        <f t="shared" si="444"/>
        <v>0</v>
      </c>
      <c r="AD413" s="153">
        <f t="shared" si="444"/>
        <v>0</v>
      </c>
      <c r="AE413" s="153">
        <f t="shared" si="444"/>
        <v>0</v>
      </c>
      <c r="AF413" s="153">
        <f t="shared" si="444"/>
        <v>0</v>
      </c>
      <c r="AG413" s="153">
        <f t="shared" si="444"/>
        <v>0</v>
      </c>
      <c r="AH413" s="153">
        <f t="shared" si="444"/>
        <v>0</v>
      </c>
      <c r="AI413" s="153">
        <f t="shared" si="444"/>
        <v>0</v>
      </c>
      <c r="AJ413" s="153">
        <f t="shared" si="444"/>
        <v>0</v>
      </c>
      <c r="AK413" s="153">
        <f t="shared" si="444"/>
        <v>0</v>
      </c>
      <c r="AL413" s="153">
        <f t="shared" si="444"/>
        <v>0</v>
      </c>
      <c r="AM413" s="153">
        <f t="shared" si="444"/>
        <v>0</v>
      </c>
      <c r="AN413" s="153">
        <f t="shared" si="444"/>
        <v>0</v>
      </c>
      <c r="AO413" s="153">
        <f t="shared" si="444"/>
        <v>0</v>
      </c>
      <c r="AP413" s="153">
        <f t="shared" si="444"/>
        <v>0</v>
      </c>
      <c r="AQ413" s="153">
        <f t="shared" si="444"/>
        <v>0</v>
      </c>
      <c r="AR413" s="153">
        <f t="shared" si="444"/>
        <v>0</v>
      </c>
      <c r="AS413" s="153">
        <f t="shared" si="444"/>
        <v>0</v>
      </c>
      <c r="AT413" s="153">
        <f t="shared" si="444"/>
        <v>0</v>
      </c>
      <c r="AU413" s="153">
        <f t="shared" si="444"/>
        <v>0</v>
      </c>
      <c r="AV413" s="153">
        <f t="shared" si="444"/>
        <v>0</v>
      </c>
      <c r="AW413" s="153">
        <f t="shared" si="444"/>
        <v>0</v>
      </c>
      <c r="AX413" s="153">
        <f t="shared" si="444"/>
        <v>0</v>
      </c>
      <c r="AY413" s="153">
        <f t="shared" si="444"/>
        <v>0</v>
      </c>
      <c r="AZ413" s="153">
        <f t="shared" si="444"/>
        <v>0</v>
      </c>
      <c r="BA413" s="153">
        <f t="shared" si="444"/>
        <v>0</v>
      </c>
      <c r="BB413" s="153">
        <f t="shared" si="444"/>
        <v>0</v>
      </c>
      <c r="BC413" s="153">
        <f t="shared" si="444"/>
        <v>0</v>
      </c>
      <c r="BD413" s="153">
        <f t="shared" si="444"/>
        <v>0</v>
      </c>
      <c r="BE413" s="153">
        <f t="shared" si="444"/>
        <v>0</v>
      </c>
      <c r="BF413" s="153">
        <f t="shared" si="444"/>
        <v>0</v>
      </c>
      <c r="BG413" s="153">
        <f t="shared" si="444"/>
        <v>0</v>
      </c>
      <c r="BH413" s="153">
        <f t="shared" si="444"/>
        <v>0</v>
      </c>
      <c r="BI413" s="153">
        <f t="shared" si="444"/>
        <v>0</v>
      </c>
      <c r="BJ413" s="153">
        <f t="shared" si="444"/>
        <v>0</v>
      </c>
      <c r="BL413" s="152">
        <f t="shared" si="440"/>
        <v>0</v>
      </c>
      <c r="BM413" s="152">
        <f t="shared" si="440"/>
        <v>0</v>
      </c>
      <c r="BN413" s="152">
        <f t="shared" si="440"/>
        <v>0</v>
      </c>
      <c r="BO413" s="152">
        <f t="shared" si="440"/>
        <v>0</v>
      </c>
      <c r="BP413" s="153">
        <f>SUM(BP409:BP412)</f>
        <v>0</v>
      </c>
      <c r="BQ413" s="153">
        <f t="shared" ref="BQ413" si="445">SUM(BQ409:BQ412)</f>
        <v>0</v>
      </c>
      <c r="BR413" s="153">
        <f t="shared" ref="BR413" si="446">SUM(BR409:BR412)</f>
        <v>0</v>
      </c>
      <c r="BS413" s="153">
        <f t="shared" ref="BS413" si="447">SUM(BS409:BS412)</f>
        <v>0</v>
      </c>
      <c r="BT413" s="153">
        <f t="shared" ref="BT413" si="448">SUM(BT409:BT412)</f>
        <v>0</v>
      </c>
      <c r="BU413" s="153">
        <f t="shared" ref="BU413" si="449">SUM(BU409:BU412)</f>
        <v>0</v>
      </c>
      <c r="BV413" s="153">
        <f t="shared" ref="BV413" si="450">SUM(BV409:BV412)</f>
        <v>0</v>
      </c>
      <c r="BW413" s="153">
        <f t="shared" ref="BW413" si="451">SUM(BW409:BW412)</f>
        <v>0</v>
      </c>
      <c r="BY413" s="12"/>
      <c r="BZ413" s="335"/>
      <c r="CA413" s="12"/>
      <c r="CB413" s="335"/>
      <c r="CC413" s="335"/>
      <c r="CD413" s="335"/>
      <c r="CE413" s="335"/>
      <c r="CM413" s="335"/>
      <c r="CN413" s="335"/>
      <c r="CO413" s="335"/>
      <c r="CP413" s="335"/>
      <c r="CR413" s="12"/>
      <c r="CS413" s="93">
        <f t="shared" si="386"/>
        <v>0</v>
      </c>
      <c r="CT413" s="93">
        <v>0</v>
      </c>
      <c r="CU413" s="93">
        <v>0</v>
      </c>
      <c r="EW413" s="335"/>
      <c r="EX413" s="13" t="str">
        <f>IF(C413="", "", CONCATENATE(D408, " ",D413))</f>
        <v>Loan 20 Closing Loan Balance</v>
      </c>
    </row>
    <row r="414" spans="1:154" s="67" customFormat="1" ht="6.6" customHeight="1" x14ac:dyDescent="0.25">
      <c r="C414" s="380"/>
      <c r="D414" s="1"/>
      <c r="F414" s="25"/>
      <c r="S414" s="335"/>
      <c r="T414" s="25"/>
      <c r="U414" s="25"/>
      <c r="V414" s="93"/>
      <c r="BM414" s="6"/>
      <c r="BY414" s="42"/>
      <c r="BZ414" s="335"/>
      <c r="CA414" s="42"/>
      <c r="CB414" s="335"/>
      <c r="CC414" s="335"/>
      <c r="CD414" s="335"/>
      <c r="CE414" s="335"/>
      <c r="CM414" s="335"/>
      <c r="CN414" s="335"/>
      <c r="CO414" s="335"/>
      <c r="CP414" s="335"/>
      <c r="CR414" s="42"/>
      <c r="CS414" s="93">
        <f t="shared" si="386"/>
        <v>0</v>
      </c>
      <c r="CT414" s="93">
        <v>0</v>
      </c>
      <c r="CU414" s="93">
        <v>0</v>
      </c>
      <c r="EW414" s="335"/>
      <c r="EX414" s="13" t="str">
        <f>IF(C414="", "", CONCATENATE(D408, " ",D414))</f>
        <v/>
      </c>
    </row>
    <row r="415" spans="1:154" s="67" customFormat="1" x14ac:dyDescent="0.25">
      <c r="A415" s="362" cm="1">
        <f t="array" aca="1" ref="A415" ca="1">HYPERLINK(CONCATENATE("#",CELL("address",IF(SUM($CA415:$CR415)=0,A415,INDEX($CA415:$CR415,MATCH(1,$CA415:$CR415,0))))),SUM($CA415:$CR415))</f>
        <v>0</v>
      </c>
      <c r="C415" s="380"/>
      <c r="D415" s="51" t="s">
        <v>526</v>
      </c>
      <c r="E415" s="160" t="s">
        <v>523</v>
      </c>
      <c r="F415" s="153">
        <f>$F$32</f>
        <v>0</v>
      </c>
      <c r="S415" s="335"/>
      <c r="T415" s="25"/>
      <c r="U415" s="25"/>
      <c r="V415" s="188">
        <f>IF(OR(V413&gt;$F415, V413&lt;0), 1, 0)</f>
        <v>0</v>
      </c>
      <c r="W415" s="7">
        <f>IF(OR(W413&gt;$F415, W413&lt;0), 1, 0)</f>
        <v>0</v>
      </c>
      <c r="X415" s="7">
        <f>IF(OR(X413&gt;$F415, X413&lt;0), 1, 0)</f>
        <v>0</v>
      </c>
      <c r="Y415" s="7">
        <f>IF(OR(Y413&gt;$F415, Y413&lt;0), 1, 0)</f>
        <v>0</v>
      </c>
      <c r="AA415" s="7">
        <f t="shared" ref="AA415:BJ415" si="452">IF(OR(AA413&gt;$F415, AA413&lt;0), 1, 0)</f>
        <v>0</v>
      </c>
      <c r="AB415" s="7">
        <f t="shared" si="452"/>
        <v>0</v>
      </c>
      <c r="AC415" s="7">
        <f t="shared" si="452"/>
        <v>0</v>
      </c>
      <c r="AD415" s="7">
        <f t="shared" si="452"/>
        <v>0</v>
      </c>
      <c r="AE415" s="7">
        <f t="shared" si="452"/>
        <v>0</v>
      </c>
      <c r="AF415" s="7">
        <f t="shared" si="452"/>
        <v>0</v>
      </c>
      <c r="AG415" s="7">
        <f t="shared" si="452"/>
        <v>0</v>
      </c>
      <c r="AH415" s="7">
        <f t="shared" si="452"/>
        <v>0</v>
      </c>
      <c r="AI415" s="7">
        <f t="shared" si="452"/>
        <v>0</v>
      </c>
      <c r="AJ415" s="7">
        <f t="shared" si="452"/>
        <v>0</v>
      </c>
      <c r="AK415" s="7">
        <f t="shared" si="452"/>
        <v>0</v>
      </c>
      <c r="AL415" s="7">
        <f t="shared" si="452"/>
        <v>0</v>
      </c>
      <c r="AM415" s="7">
        <f t="shared" si="452"/>
        <v>0</v>
      </c>
      <c r="AN415" s="7">
        <f t="shared" si="452"/>
        <v>0</v>
      </c>
      <c r="AO415" s="7">
        <f t="shared" si="452"/>
        <v>0</v>
      </c>
      <c r="AP415" s="7">
        <f t="shared" si="452"/>
        <v>0</v>
      </c>
      <c r="AQ415" s="7">
        <f t="shared" si="452"/>
        <v>0</v>
      </c>
      <c r="AR415" s="7">
        <f t="shared" si="452"/>
        <v>0</v>
      </c>
      <c r="AS415" s="7">
        <f t="shared" si="452"/>
        <v>0</v>
      </c>
      <c r="AT415" s="7">
        <f t="shared" si="452"/>
        <v>0</v>
      </c>
      <c r="AU415" s="7">
        <f t="shared" si="452"/>
        <v>0</v>
      </c>
      <c r="AV415" s="7">
        <f t="shared" si="452"/>
        <v>0</v>
      </c>
      <c r="AW415" s="7">
        <f t="shared" si="452"/>
        <v>0</v>
      </c>
      <c r="AX415" s="7">
        <f t="shared" si="452"/>
        <v>0</v>
      </c>
      <c r="AY415" s="7">
        <f t="shared" si="452"/>
        <v>0</v>
      </c>
      <c r="AZ415" s="7">
        <f t="shared" si="452"/>
        <v>0</v>
      </c>
      <c r="BA415" s="7">
        <f t="shared" si="452"/>
        <v>0</v>
      </c>
      <c r="BB415" s="7">
        <f t="shared" si="452"/>
        <v>0</v>
      </c>
      <c r="BC415" s="7">
        <f t="shared" si="452"/>
        <v>0</v>
      </c>
      <c r="BD415" s="7">
        <f t="shared" si="452"/>
        <v>0</v>
      </c>
      <c r="BE415" s="7">
        <f t="shared" si="452"/>
        <v>0</v>
      </c>
      <c r="BF415" s="7">
        <f t="shared" si="452"/>
        <v>0</v>
      </c>
      <c r="BG415" s="7">
        <f t="shared" si="452"/>
        <v>0</v>
      </c>
      <c r="BH415" s="7">
        <f t="shared" si="452"/>
        <v>0</v>
      </c>
      <c r="BI415" s="7">
        <f t="shared" si="452"/>
        <v>0</v>
      </c>
      <c r="BJ415" s="7">
        <f t="shared" si="452"/>
        <v>0</v>
      </c>
      <c r="BL415" s="7">
        <f t="shared" ref="BL415" si="453">IF(OR(BL413&gt;$F415, BL413&lt;0), 1, 0)</f>
        <v>0</v>
      </c>
      <c r="BM415" s="7">
        <f t="shared" ref="BM415:BW415" si="454">IF(OR(BM413&gt;$F415, BM413&lt;0), 1, 0)</f>
        <v>0</v>
      </c>
      <c r="BN415" s="7">
        <f t="shared" si="454"/>
        <v>0</v>
      </c>
      <c r="BO415" s="7">
        <f t="shared" si="454"/>
        <v>0</v>
      </c>
      <c r="BP415" s="7">
        <f t="shared" si="454"/>
        <v>0</v>
      </c>
      <c r="BQ415" s="7">
        <f t="shared" si="454"/>
        <v>0</v>
      </c>
      <c r="BR415" s="7">
        <f t="shared" si="454"/>
        <v>0</v>
      </c>
      <c r="BS415" s="7">
        <f t="shared" si="454"/>
        <v>0</v>
      </c>
      <c r="BT415" s="7">
        <f t="shared" si="454"/>
        <v>0</v>
      </c>
      <c r="BU415" s="7">
        <f t="shared" si="454"/>
        <v>0</v>
      </c>
      <c r="BV415" s="7">
        <f t="shared" si="454"/>
        <v>0</v>
      </c>
      <c r="BW415" s="7">
        <f t="shared" si="454"/>
        <v>0</v>
      </c>
      <c r="BY415" s="12"/>
      <c r="BZ415" s="335"/>
      <c r="CA415" s="12"/>
      <c r="CB415" s="335"/>
      <c r="CC415" s="335"/>
      <c r="CD415" s="335"/>
      <c r="CE415" s="335"/>
      <c r="CL415" s="7">
        <f>IF(MAX(V415:BW415)&gt;0, 1, 0)</f>
        <v>0</v>
      </c>
      <c r="CM415" s="335"/>
      <c r="CN415" s="335"/>
      <c r="CO415" s="335"/>
      <c r="CP415" s="335"/>
      <c r="CR415" s="12"/>
      <c r="CS415" s="93">
        <f t="shared" si="386"/>
        <v>1</v>
      </c>
      <c r="CT415" s="93">
        <v>0</v>
      </c>
      <c r="CU415" s="93">
        <v>0</v>
      </c>
      <c r="EW415" s="335"/>
      <c r="EX415" s="13" t="str">
        <f>IF(C415="", "", CONCATENATE(D408, " ",D415))</f>
        <v/>
      </c>
    </row>
    <row r="416" spans="1:154" s="67" customFormat="1" x14ac:dyDescent="0.25">
      <c r="A416" s="362" cm="1">
        <f t="array" aca="1" ref="A416" ca="1">HYPERLINK(CONCATENATE("#",CELL("address",IF(SUM($CA416:$CR416)=0,A416,INDEX($CA416:$CR416,MATCH(1,$CA416:$CR416,0))))),SUM($CA416:$CR416))</f>
        <v>0</v>
      </c>
      <c r="C416" s="380"/>
      <c r="D416" s="51" t="s">
        <v>220</v>
      </c>
      <c r="E416" s="160" t="s">
        <v>524</v>
      </c>
      <c r="F416" s="173" t="str">
        <f>IF($J$32="", "", $J$32)</f>
        <v/>
      </c>
      <c r="S416" s="335"/>
      <c r="T416" s="25"/>
      <c r="U416" s="25"/>
      <c r="V416" s="230">
        <f>IF(AND(V$5&gt;=$F416,SUM(V413:$Y413)&lt;&gt;0),1,0)</f>
        <v>0</v>
      </c>
      <c r="W416" s="230">
        <f>IF(AND(W$5&gt;=$F416,SUM(W413:$Y413)&lt;&gt;0),1,0)</f>
        <v>0</v>
      </c>
      <c r="X416" s="230">
        <f>IF(AND(X$5&gt;=$F416,SUM(X413:$Y413)&lt;&gt;0),1,0)</f>
        <v>0</v>
      </c>
      <c r="Y416" s="230">
        <f>IF(AND(Y$5&gt;=$F416,SUM(Y413:$Y413)&lt;&gt;0),1,0)</f>
        <v>0</v>
      </c>
      <c r="AA416" s="154">
        <f>IF(AND(AA$5&gt;=$F416,SUM(AA413:$BJ413)&lt;&gt;0),1,0)</f>
        <v>0</v>
      </c>
      <c r="AB416" s="154">
        <f>IF(AND(AB$5&gt;=$F416,SUM(AB413:$BJ413)&lt;&gt;0),1,0)</f>
        <v>0</v>
      </c>
      <c r="AC416" s="154">
        <f>IF(AND(AC$5&gt;=$F416,SUM(AC413:$BJ413)&lt;&gt;0),1,0)</f>
        <v>0</v>
      </c>
      <c r="AD416" s="154">
        <f>IF(AND(AD$5&gt;=$F416,SUM(AD413:$BJ413)&lt;&gt;0),1,0)</f>
        <v>0</v>
      </c>
      <c r="AE416" s="154">
        <f>IF(AND(AE$5&gt;=$F416,SUM(AE413:$BJ413)&lt;&gt;0),1,0)</f>
        <v>0</v>
      </c>
      <c r="AF416" s="154">
        <f>IF(AND(AF$5&gt;=$F416,SUM(AF413:$BJ413)&lt;&gt;0),1,0)</f>
        <v>0</v>
      </c>
      <c r="AG416" s="154">
        <f>IF(AND(AG$5&gt;=$F416,SUM(AG413:$BJ413)&lt;&gt;0),1,0)</f>
        <v>0</v>
      </c>
      <c r="AH416" s="154">
        <f>IF(AND(AH$5&gt;=$F416,SUM(AH413:$BJ413)&lt;&gt;0),1,0)</f>
        <v>0</v>
      </c>
      <c r="AI416" s="154">
        <f>IF(AND(AI$5&gt;=$F416,SUM(AI413:$BJ413)&lt;&gt;0),1,0)</f>
        <v>0</v>
      </c>
      <c r="AJ416" s="154">
        <f>IF(AND(AJ$5&gt;=$F416,SUM(AJ413:$BJ413)&lt;&gt;0),1,0)</f>
        <v>0</v>
      </c>
      <c r="AK416" s="154">
        <f>IF(AND(AK$5&gt;=$F416,SUM(AK413:$BJ413)&lt;&gt;0),1,0)</f>
        <v>0</v>
      </c>
      <c r="AL416" s="154">
        <f>IF(AND(AL$5&gt;=$F416,SUM(AL413:$BJ413)&lt;&gt;0),1,0)</f>
        <v>0</v>
      </c>
      <c r="AM416" s="154">
        <f>IF(AND(AM$5&gt;=$F416,SUM(AM413:$BJ413)&lt;&gt;0),1,0)</f>
        <v>0</v>
      </c>
      <c r="AN416" s="154">
        <f>IF(AND(AN$5&gt;=$F416,SUM(AN413:$BJ413)&lt;&gt;0),1,0)</f>
        <v>0</v>
      </c>
      <c r="AO416" s="154">
        <f>IF(AND(AO$5&gt;=$F416,SUM(AO413:$BJ413)&lt;&gt;0),1,0)</f>
        <v>0</v>
      </c>
      <c r="AP416" s="154">
        <f>IF(AND(AP$5&gt;=$F416,SUM(AP413:$BJ413)&lt;&gt;0),1,0)</f>
        <v>0</v>
      </c>
      <c r="AQ416" s="154">
        <f>IF(AND(AQ$5&gt;=$F416,SUM(AQ413:$BJ413)&lt;&gt;0),1,0)</f>
        <v>0</v>
      </c>
      <c r="AR416" s="154">
        <f>IF(AND(AR$5&gt;=$F416,SUM(AR413:$BJ413)&lt;&gt;0),1,0)</f>
        <v>0</v>
      </c>
      <c r="AS416" s="154">
        <f>IF(AND(AS$5&gt;=$F416,SUM(AS413:$BJ413)&lt;&gt;0),1,0)</f>
        <v>0</v>
      </c>
      <c r="AT416" s="154">
        <f>IF(AND(AT$5&gt;=$F416,SUM(AT413:$BJ413)&lt;&gt;0),1,0)</f>
        <v>0</v>
      </c>
      <c r="AU416" s="154">
        <f>IF(AND(AU$5&gt;=$F416,SUM(AU413:$BJ413)&lt;&gt;0),1,0)</f>
        <v>0</v>
      </c>
      <c r="AV416" s="154">
        <f>IF(AND(AV$5&gt;=$F416,SUM(AV413:$BJ413)&lt;&gt;0),1,0)</f>
        <v>0</v>
      </c>
      <c r="AW416" s="154">
        <f>IF(AND(AW$5&gt;=$F416,SUM(AW413:$BJ413)&lt;&gt;0),1,0)</f>
        <v>0</v>
      </c>
      <c r="AX416" s="154">
        <f>IF(AND(AX$5&gt;=$F416,SUM(AX413:$BJ413)&lt;&gt;0),1,0)</f>
        <v>0</v>
      </c>
      <c r="AY416" s="154">
        <f>IF(AND(AY$5&gt;=$F416,SUM(AY413:$BJ413)&lt;&gt;0),1,0)</f>
        <v>0</v>
      </c>
      <c r="AZ416" s="154">
        <f>IF(AND(AZ$5&gt;=$F416,SUM(AZ413:$BJ413)&lt;&gt;0),1,0)</f>
        <v>0</v>
      </c>
      <c r="BA416" s="154">
        <f>IF(AND(BA$5&gt;=$F416,SUM(BA413:$BJ413)&lt;&gt;0),1,0)</f>
        <v>0</v>
      </c>
      <c r="BB416" s="154">
        <f>IF(AND(BB$5&gt;=$F416,SUM(BB413:$BJ413)&lt;&gt;0),1,0)</f>
        <v>0</v>
      </c>
      <c r="BC416" s="154">
        <f>IF(AND(BC$5&gt;=$F416,SUM(BC413:$BJ413)&lt;&gt;0),1,0)</f>
        <v>0</v>
      </c>
      <c r="BD416" s="154">
        <f>IF(AND(BD$5&gt;=$F416,SUM(BD413:$BJ413)&lt;&gt;0),1,0)</f>
        <v>0</v>
      </c>
      <c r="BE416" s="154">
        <f>IF(AND(BE$5&gt;=$F416,SUM(BE413:$BJ413)&lt;&gt;0),1,0)</f>
        <v>0</v>
      </c>
      <c r="BF416" s="154">
        <f>IF(AND(BF$5&gt;=$F416,SUM(BF413:$BJ413)&lt;&gt;0),1,0)</f>
        <v>0</v>
      </c>
      <c r="BG416" s="154">
        <f>IF(AND(BG$5&gt;=$F416,SUM(BG413:$BJ413)&lt;&gt;0),1,0)</f>
        <v>0</v>
      </c>
      <c r="BH416" s="154">
        <f>IF(AND(BH$5&gt;=$F416,SUM(BH413:$BJ413)&lt;&gt;0),1,0)</f>
        <v>0</v>
      </c>
      <c r="BI416" s="154">
        <f>IF(AND(BI$5&gt;=$F416,SUM(BI413:$BJ413)&lt;&gt;0),1,0)</f>
        <v>0</v>
      </c>
      <c r="BJ416" s="154">
        <f>IF(AND(BJ$5&gt;=$F416,SUM(BJ413:$BJ413)&lt;&gt;0),1,0)</f>
        <v>0</v>
      </c>
      <c r="BL416" s="154">
        <f>IF(AND(BL$5&gt;=$F416,SUM(BL413:$BW413)&lt;&gt;0),1,0)*BL$1150</f>
        <v>0</v>
      </c>
      <c r="BM416" s="154">
        <f>IF(AND(BM$5&gt;=$F416,SUM(BM413:$BW413)&lt;&gt;0),1,0)*BM$1150</f>
        <v>0</v>
      </c>
      <c r="BN416" s="154">
        <f>IF(AND(BN$5&gt;=$F416,SUM(BN413:$BW413)&lt;&gt;0),1,0)*BN$1150</f>
        <v>0</v>
      </c>
      <c r="BO416" s="154">
        <f>IF(AND(BO$5&gt;=$F416,SUM(BO413:$BW413)&lt;&gt;0),1,0)*BO$1150</f>
        <v>0</v>
      </c>
      <c r="BP416" s="154">
        <f>IF(AND(BP$5&gt;=$F416,SUM(BP413:$BW413)&lt;&gt;0),1,0)*BP$1150</f>
        <v>0</v>
      </c>
      <c r="BQ416" s="154">
        <f>IF(AND(BQ$5&gt;=$F416,SUM(BQ413:$BW413)&lt;&gt;0),1,0)*BQ$1150</f>
        <v>0</v>
      </c>
      <c r="BR416" s="154">
        <f>IF(AND(BR$5&gt;=$F416,SUM(BR413:$BW413)&lt;&gt;0),1,0)*BR$1150</f>
        <v>0</v>
      </c>
      <c r="BS416" s="154">
        <f>IF(AND(BS$5&gt;=$F416,SUM(BS413:$BW413)&lt;&gt;0),1,0)*BS$1150</f>
        <v>0</v>
      </c>
      <c r="BT416" s="154">
        <f>IF(AND(BT$5&gt;=$F416,SUM(BT413:$BW413)&lt;&gt;0),1,0)*BT$1150</f>
        <v>0</v>
      </c>
      <c r="BU416" s="154">
        <f>IF(AND(BU$5&gt;=$F416,SUM(BU413:$BW413)&lt;&gt;0),1,0)*BU$1150</f>
        <v>0</v>
      </c>
      <c r="BV416" s="154">
        <f>IF(AND(BV$5&gt;=$F416,SUM(BV413:$BW413)&lt;&gt;0),1,0)*BV$1150</f>
        <v>0</v>
      </c>
      <c r="BW416" s="154">
        <f>IF(AND(BW$5&gt;=$F416,SUM(BW413:$BW413)&lt;&gt;0),1,0)*BW$1150</f>
        <v>0</v>
      </c>
      <c r="BY416" s="12"/>
      <c r="BZ416" s="335"/>
      <c r="CA416" s="12"/>
      <c r="CB416" s="335"/>
      <c r="CC416" s="335"/>
      <c r="CD416" s="335"/>
      <c r="CE416" s="335"/>
      <c r="CL416" s="7">
        <f>IF(MAX($V416:$BW416)&gt;0, 1, 0)</f>
        <v>0</v>
      </c>
      <c r="CM416" s="335"/>
      <c r="CN416" s="335"/>
      <c r="CO416" s="335"/>
      <c r="CP416" s="335"/>
      <c r="CR416" s="12"/>
      <c r="CS416" s="93">
        <f t="shared" si="386"/>
        <v>1</v>
      </c>
      <c r="CT416" s="93">
        <v>0</v>
      </c>
      <c r="CU416" s="93">
        <v>0</v>
      </c>
      <c r="EW416" s="335"/>
      <c r="EX416" s="13" t="str">
        <f>IF(C416="", "", CONCATENATE(D408, " ",D416))</f>
        <v/>
      </c>
    </row>
    <row r="417" spans="1:154" s="67" customFormat="1" ht="6.6" customHeight="1" x14ac:dyDescent="0.25">
      <c r="C417" s="380"/>
      <c r="D417" s="1"/>
      <c r="S417" s="335"/>
      <c r="T417" s="25"/>
      <c r="U417" s="25"/>
      <c r="V417" s="229"/>
      <c r="W417" s="25"/>
      <c r="X417" s="25"/>
      <c r="Y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L417" s="25"/>
      <c r="BM417" s="155"/>
      <c r="BN417" s="25"/>
      <c r="BO417" s="25"/>
      <c r="BP417" s="25"/>
      <c r="BQ417" s="25"/>
      <c r="BR417" s="25"/>
      <c r="BS417" s="25"/>
      <c r="BT417" s="25"/>
      <c r="BU417" s="25"/>
      <c r="BV417" s="25"/>
      <c r="BW417" s="25"/>
      <c r="BY417" s="42"/>
      <c r="BZ417" s="335"/>
      <c r="CA417" s="42"/>
      <c r="CB417" s="335"/>
      <c r="CC417" s="335"/>
      <c r="CD417" s="335"/>
      <c r="CE417" s="335"/>
      <c r="CM417" s="335"/>
      <c r="CN417" s="335"/>
      <c r="CO417" s="335"/>
      <c r="CP417" s="335"/>
      <c r="CR417" s="42"/>
      <c r="CS417" s="93">
        <f t="shared" si="386"/>
        <v>0</v>
      </c>
      <c r="CT417" s="93">
        <v>0</v>
      </c>
      <c r="CU417" s="93">
        <v>0</v>
      </c>
      <c r="EW417" s="335"/>
      <c r="EX417" s="13" t="str">
        <f>IF(C417="", "", CONCATENATE(D408, " ",D417))</f>
        <v/>
      </c>
    </row>
    <row r="418" spans="1:154" s="67" customFormat="1" x14ac:dyDescent="0.25">
      <c r="C418" s="380"/>
      <c r="D418" s="51" t="s">
        <v>223</v>
      </c>
      <c r="E418" s="1"/>
      <c r="G418" s="9" t="s">
        <v>413</v>
      </c>
      <c r="H418" s="50" t="s">
        <v>8</v>
      </c>
      <c r="S418" s="335"/>
      <c r="T418" s="25"/>
      <c r="U418" s="25"/>
      <c r="V418" s="210"/>
      <c r="W418" s="201">
        <f>V421</f>
        <v>0</v>
      </c>
      <c r="X418" s="201">
        <f>W421</f>
        <v>0</v>
      </c>
      <c r="Y418" s="10">
        <f>X421</f>
        <v>0</v>
      </c>
      <c r="AA418" s="13">
        <f>W418</f>
        <v>0</v>
      </c>
      <c r="AB418" s="10">
        <f t="shared" ref="AB418:BJ418" si="455">AA421</f>
        <v>0</v>
      </c>
      <c r="AC418" s="10">
        <f t="shared" si="455"/>
        <v>0</v>
      </c>
      <c r="AD418" s="10">
        <f t="shared" si="455"/>
        <v>0</v>
      </c>
      <c r="AE418" s="10">
        <f t="shared" si="455"/>
        <v>0</v>
      </c>
      <c r="AF418" s="10">
        <f t="shared" si="455"/>
        <v>0</v>
      </c>
      <c r="AG418" s="10">
        <f t="shared" si="455"/>
        <v>0</v>
      </c>
      <c r="AH418" s="10">
        <f t="shared" si="455"/>
        <v>0</v>
      </c>
      <c r="AI418" s="10">
        <f t="shared" si="455"/>
        <v>0</v>
      </c>
      <c r="AJ418" s="10">
        <f t="shared" si="455"/>
        <v>0</v>
      </c>
      <c r="AK418" s="10">
        <f t="shared" si="455"/>
        <v>0</v>
      </c>
      <c r="AL418" s="10">
        <f t="shared" si="455"/>
        <v>0</v>
      </c>
      <c r="AM418" s="10">
        <f t="shared" si="455"/>
        <v>0</v>
      </c>
      <c r="AN418" s="10">
        <f t="shared" si="455"/>
        <v>0</v>
      </c>
      <c r="AO418" s="10">
        <f t="shared" si="455"/>
        <v>0</v>
      </c>
      <c r="AP418" s="10">
        <f t="shared" si="455"/>
        <v>0</v>
      </c>
      <c r="AQ418" s="10">
        <f t="shared" si="455"/>
        <v>0</v>
      </c>
      <c r="AR418" s="10">
        <f t="shared" si="455"/>
        <v>0</v>
      </c>
      <c r="AS418" s="10">
        <f t="shared" si="455"/>
        <v>0</v>
      </c>
      <c r="AT418" s="10">
        <f t="shared" si="455"/>
        <v>0</v>
      </c>
      <c r="AU418" s="10">
        <f t="shared" si="455"/>
        <v>0</v>
      </c>
      <c r="AV418" s="10">
        <f t="shared" si="455"/>
        <v>0</v>
      </c>
      <c r="AW418" s="10">
        <f t="shared" si="455"/>
        <v>0</v>
      </c>
      <c r="AX418" s="10">
        <f t="shared" si="455"/>
        <v>0</v>
      </c>
      <c r="AY418" s="10">
        <f t="shared" si="455"/>
        <v>0</v>
      </c>
      <c r="AZ418" s="10">
        <f t="shared" si="455"/>
        <v>0</v>
      </c>
      <c r="BA418" s="10">
        <f t="shared" si="455"/>
        <v>0</v>
      </c>
      <c r="BB418" s="10">
        <f t="shared" si="455"/>
        <v>0</v>
      </c>
      <c r="BC418" s="10">
        <f t="shared" si="455"/>
        <v>0</v>
      </c>
      <c r="BD418" s="10">
        <f t="shared" si="455"/>
        <v>0</v>
      </c>
      <c r="BE418" s="10">
        <f t="shared" si="455"/>
        <v>0</v>
      </c>
      <c r="BF418" s="10">
        <f t="shared" si="455"/>
        <v>0</v>
      </c>
      <c r="BG418" s="10">
        <f t="shared" si="455"/>
        <v>0</v>
      </c>
      <c r="BH418" s="10">
        <f t="shared" si="455"/>
        <v>0</v>
      </c>
      <c r="BI418" s="10">
        <f t="shared" si="455"/>
        <v>0</v>
      </c>
      <c r="BJ418" s="10">
        <f t="shared" si="455"/>
        <v>0</v>
      </c>
      <c r="BL418" s="13">
        <f t="shared" ref="BL418:BO421" si="456">V418</f>
        <v>0</v>
      </c>
      <c r="BM418" s="13">
        <f t="shared" si="456"/>
        <v>0</v>
      </c>
      <c r="BN418" s="13">
        <f t="shared" si="456"/>
        <v>0</v>
      </c>
      <c r="BO418" s="13">
        <f t="shared" si="456"/>
        <v>0</v>
      </c>
      <c r="BP418" s="10">
        <f t="shared" ref="BP418:BW418" si="457">BO421</f>
        <v>0</v>
      </c>
      <c r="BQ418" s="10">
        <f t="shared" si="457"/>
        <v>0</v>
      </c>
      <c r="BR418" s="10">
        <f t="shared" si="457"/>
        <v>0</v>
      </c>
      <c r="BS418" s="10">
        <f t="shared" si="457"/>
        <v>0</v>
      </c>
      <c r="BT418" s="10">
        <f t="shared" si="457"/>
        <v>0</v>
      </c>
      <c r="BU418" s="10">
        <f t="shared" si="457"/>
        <v>0</v>
      </c>
      <c r="BV418" s="10">
        <f t="shared" si="457"/>
        <v>0</v>
      </c>
      <c r="BW418" s="10">
        <f t="shared" si="457"/>
        <v>0</v>
      </c>
      <c r="BY418" s="12"/>
      <c r="BZ418" s="335"/>
      <c r="CA418" s="12"/>
      <c r="CB418" s="335"/>
      <c r="CC418" s="335"/>
      <c r="CD418" s="335"/>
      <c r="CE418" s="335"/>
      <c r="CM418" s="335"/>
      <c r="CN418" s="335"/>
      <c r="CO418" s="335"/>
      <c r="CP418" s="335"/>
      <c r="CR418" s="12"/>
      <c r="CS418" s="93">
        <f t="shared" si="386"/>
        <v>0</v>
      </c>
      <c r="CT418" s="93">
        <v>1</v>
      </c>
      <c r="CU418" s="93">
        <v>0</v>
      </c>
      <c r="EW418" s="335"/>
      <c r="EX418" s="13" t="str">
        <f>IF(C418="", "", CONCATENATE(D408, " ",D418))</f>
        <v/>
      </c>
    </row>
    <row r="419" spans="1:154" s="5" customFormat="1" ht="15.75" x14ac:dyDescent="0.3">
      <c r="A419" s="362" cm="1">
        <f t="array" aca="1" ref="A419" ca="1">HYPERLINK(CONCATENATE("#",CELL("address",IF(SUM($CA419:$CR419)=0,A419,INDEX($CA419:$CR419,MATCH(1,$CA419:$CR419,0))))),SUM($CA419:$CR419))</f>
        <v>0</v>
      </c>
      <c r="B419" s="105" t="s">
        <v>335</v>
      </c>
      <c r="C419" s="380"/>
      <c r="D419" s="51" t="s">
        <v>234</v>
      </c>
      <c r="E419" s="1"/>
      <c r="F419" s="67"/>
      <c r="G419" s="9" t="s">
        <v>413</v>
      </c>
      <c r="H419" s="50" t="s">
        <v>125</v>
      </c>
      <c r="I419" s="67"/>
      <c r="J419" s="67"/>
      <c r="K419" s="67"/>
      <c r="L419" s="67"/>
      <c r="M419" s="67"/>
      <c r="N419" s="67"/>
      <c r="O419" s="67"/>
      <c r="P419" s="67"/>
      <c r="Q419" s="67"/>
      <c r="R419" s="67"/>
      <c r="S419" s="335"/>
      <c r="T419" s="25"/>
      <c r="U419" s="25"/>
      <c r="V419" s="210"/>
      <c r="W419" s="215">
        <f t="shared" ref="W419:Y420" si="458" xml:space="preserve"> SUMIFS($AA419:$BJ419, $AA$3:$BJ$3, W$3)</f>
        <v>0</v>
      </c>
      <c r="X419" s="215">
        <f t="shared" si="458"/>
        <v>0</v>
      </c>
      <c r="Y419" s="215">
        <f t="shared" si="458"/>
        <v>0</v>
      </c>
      <c r="Z419" s="67"/>
      <c r="AA419" s="147"/>
      <c r="AB419" s="147"/>
      <c r="AC419" s="147"/>
      <c r="AD419" s="147"/>
      <c r="AE419" s="147"/>
      <c r="AF419" s="147"/>
      <c r="AG419" s="147"/>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c r="BI419" s="147"/>
      <c r="BJ419" s="147"/>
      <c r="BK419" s="67"/>
      <c r="BL419" s="13">
        <f t="shared" si="456"/>
        <v>0</v>
      </c>
      <c r="BM419" s="13">
        <f t="shared" si="456"/>
        <v>0</v>
      </c>
      <c r="BN419" s="13">
        <f t="shared" si="456"/>
        <v>0</v>
      </c>
      <c r="BO419" s="13">
        <f t="shared" si="456"/>
        <v>0</v>
      </c>
      <c r="BP419" s="141"/>
      <c r="BQ419" s="141"/>
      <c r="BR419" s="141"/>
      <c r="BS419" s="141"/>
      <c r="BT419" s="141"/>
      <c r="BU419" s="141"/>
      <c r="BV419" s="141"/>
      <c r="BW419" s="141"/>
      <c r="BX419" s="67"/>
      <c r="BY419" s="12"/>
      <c r="BZ419" s="395">
        <f>IF(MIN($V419:$BW419)&lt;0, 1, 0)</f>
        <v>0</v>
      </c>
      <c r="CA419" s="12"/>
      <c r="CB419" s="335"/>
      <c r="CC419" s="335"/>
      <c r="CD419" s="335"/>
      <c r="CE419" s="335"/>
      <c r="CF419" s="67"/>
      <c r="CG419" s="67"/>
      <c r="CH419" s="67"/>
      <c r="CI419" s="67"/>
      <c r="CJ419" s="67"/>
      <c r="CK419" s="67"/>
      <c r="CL419" s="67"/>
      <c r="CM419" s="7">
        <f t="shared" ref="CM419:CO420" si="459">IF(ROUND(W419-SUMIFS($AA419:$BJ419, $AA$3:$BJ$3, W$3), rounding)=0, 0, 1)</f>
        <v>0</v>
      </c>
      <c r="CN419" s="7">
        <f t="shared" si="459"/>
        <v>0</v>
      </c>
      <c r="CO419" s="7">
        <f t="shared" si="459"/>
        <v>0</v>
      </c>
      <c r="CP419" s="7">
        <f>IF(ROUND(V419-BL419, rounding)=0, 0, 1)*'BS Forecasts'!$V$10</f>
        <v>0</v>
      </c>
      <c r="CQ419" s="67"/>
      <c r="CR419" s="12"/>
      <c r="CS419" s="93">
        <f t="shared" si="386"/>
        <v>0</v>
      </c>
      <c r="CT419" s="93">
        <v>1</v>
      </c>
      <c r="CU419" s="93">
        <v>1</v>
      </c>
      <c r="EX419" s="13" t="str">
        <f>IF(C419="", "", CONCATENATE(D408, " ",D419))</f>
        <v/>
      </c>
    </row>
    <row r="420" spans="1:154" s="67" customFormat="1" ht="15.75" x14ac:dyDescent="0.3">
      <c r="A420" s="362" cm="1">
        <f t="array" aca="1" ref="A420" ca="1">HYPERLINK(CONCATENATE("#",CELL("address",IF(SUM($CA420:$CR420)=0,A420,INDEX($CA420:$CR420,MATCH(1,$CA420:$CR420,0))))),SUM($CA420:$CR420))</f>
        <v>0</v>
      </c>
      <c r="B420" s="105" t="s">
        <v>335</v>
      </c>
      <c r="C420" s="380"/>
      <c r="D420" s="51" t="s">
        <v>222</v>
      </c>
      <c r="E420" s="1"/>
      <c r="G420" s="9" t="s">
        <v>413</v>
      </c>
      <c r="H420" s="50" t="s">
        <v>157</v>
      </c>
      <c r="S420" s="335"/>
      <c r="T420" s="25"/>
      <c r="U420" s="25"/>
      <c r="V420" s="210"/>
      <c r="W420" s="215">
        <f t="shared" si="458"/>
        <v>0</v>
      </c>
      <c r="X420" s="215">
        <f t="shared" si="458"/>
        <v>0</v>
      </c>
      <c r="Y420" s="215">
        <f t="shared" si="458"/>
        <v>0</v>
      </c>
      <c r="AA420" s="147"/>
      <c r="AB420" s="147"/>
      <c r="AC420" s="147"/>
      <c r="AD420" s="147"/>
      <c r="AE420" s="147"/>
      <c r="AF420" s="147"/>
      <c r="AG420" s="147"/>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c r="BI420" s="147"/>
      <c r="BJ420" s="147"/>
      <c r="BL420" s="13">
        <f t="shared" si="456"/>
        <v>0</v>
      </c>
      <c r="BM420" s="13">
        <f t="shared" si="456"/>
        <v>0</v>
      </c>
      <c r="BN420" s="13">
        <f t="shared" si="456"/>
        <v>0</v>
      </c>
      <c r="BO420" s="13">
        <f t="shared" si="456"/>
        <v>0</v>
      </c>
      <c r="BP420" s="141"/>
      <c r="BQ420" s="141"/>
      <c r="BR420" s="141"/>
      <c r="BS420" s="141"/>
      <c r="BT420" s="141"/>
      <c r="BU420" s="141"/>
      <c r="BV420" s="141"/>
      <c r="BW420" s="141"/>
      <c r="BY420" s="12"/>
      <c r="BZ420" s="395">
        <f>IF(MAX($V420:$BW420)&gt;0, 1, 0)</f>
        <v>0</v>
      </c>
      <c r="CA420" s="12"/>
      <c r="CB420" s="335"/>
      <c r="CC420" s="335"/>
      <c r="CD420" s="335"/>
      <c r="CE420" s="335"/>
      <c r="CM420" s="7">
        <f t="shared" si="459"/>
        <v>0</v>
      </c>
      <c r="CN420" s="7">
        <f t="shared" si="459"/>
        <v>0</v>
      </c>
      <c r="CO420" s="7">
        <f t="shared" si="459"/>
        <v>0</v>
      </c>
      <c r="CP420" s="7">
        <f>IF(ROUND(V420-BL420, rounding)=0, 0, 1)*'BS Forecasts'!$V$10</f>
        <v>0</v>
      </c>
      <c r="CR420" s="12"/>
      <c r="CS420" s="93">
        <f t="shared" si="386"/>
        <v>0</v>
      </c>
      <c r="CT420" s="93">
        <v>1</v>
      </c>
      <c r="CU420" s="93">
        <v>1</v>
      </c>
      <c r="EW420" s="335"/>
      <c r="EX420" s="13" t="str">
        <f>IF(C420="", "", CONCATENATE(D408, " ",D420))</f>
        <v/>
      </c>
    </row>
    <row r="421" spans="1:154" s="67" customFormat="1" x14ac:dyDescent="0.25">
      <c r="C421" s="380"/>
      <c r="D421" s="51" t="s">
        <v>224</v>
      </c>
      <c r="E421" s="1"/>
      <c r="G421" s="9" t="s">
        <v>413</v>
      </c>
      <c r="H421" s="50" t="s">
        <v>8</v>
      </c>
      <c r="S421" s="335"/>
      <c r="T421" s="25"/>
      <c r="U421" s="25"/>
      <c r="V421" s="13">
        <f>$H$32</f>
        <v>0</v>
      </c>
      <c r="W421" s="10">
        <f>SUM(W418:W420)</f>
        <v>0</v>
      </c>
      <c r="X421" s="10">
        <f>SUM(X418:X420)</f>
        <v>0</v>
      </c>
      <c r="Y421" s="10">
        <f>SUM(Y418:Y420)</f>
        <v>0</v>
      </c>
      <c r="AA421" s="10">
        <f t="shared" ref="AA421:BJ421" si="460">SUM(AA418:AA420)</f>
        <v>0</v>
      </c>
      <c r="AB421" s="10">
        <f t="shared" si="460"/>
        <v>0</v>
      </c>
      <c r="AC421" s="10">
        <f t="shared" si="460"/>
        <v>0</v>
      </c>
      <c r="AD421" s="10">
        <f t="shared" si="460"/>
        <v>0</v>
      </c>
      <c r="AE421" s="10">
        <f t="shared" si="460"/>
        <v>0</v>
      </c>
      <c r="AF421" s="10">
        <f t="shared" si="460"/>
        <v>0</v>
      </c>
      <c r="AG421" s="10">
        <f t="shared" si="460"/>
        <v>0</v>
      </c>
      <c r="AH421" s="10">
        <f t="shared" si="460"/>
        <v>0</v>
      </c>
      <c r="AI421" s="10">
        <f t="shared" si="460"/>
        <v>0</v>
      </c>
      <c r="AJ421" s="10">
        <f t="shared" si="460"/>
        <v>0</v>
      </c>
      <c r="AK421" s="10">
        <f t="shared" si="460"/>
        <v>0</v>
      </c>
      <c r="AL421" s="10">
        <f t="shared" si="460"/>
        <v>0</v>
      </c>
      <c r="AM421" s="10">
        <f t="shared" si="460"/>
        <v>0</v>
      </c>
      <c r="AN421" s="10">
        <f t="shared" si="460"/>
        <v>0</v>
      </c>
      <c r="AO421" s="10">
        <f t="shared" si="460"/>
        <v>0</v>
      </c>
      <c r="AP421" s="10">
        <f t="shared" si="460"/>
        <v>0</v>
      </c>
      <c r="AQ421" s="10">
        <f t="shared" si="460"/>
        <v>0</v>
      </c>
      <c r="AR421" s="10">
        <f t="shared" si="460"/>
        <v>0</v>
      </c>
      <c r="AS421" s="10">
        <f t="shared" si="460"/>
        <v>0</v>
      </c>
      <c r="AT421" s="10">
        <f t="shared" si="460"/>
        <v>0</v>
      </c>
      <c r="AU421" s="10">
        <f t="shared" si="460"/>
        <v>0</v>
      </c>
      <c r="AV421" s="10">
        <f t="shared" si="460"/>
        <v>0</v>
      </c>
      <c r="AW421" s="10">
        <f t="shared" si="460"/>
        <v>0</v>
      </c>
      <c r="AX421" s="10">
        <f t="shared" si="460"/>
        <v>0</v>
      </c>
      <c r="AY421" s="10">
        <f t="shared" si="460"/>
        <v>0</v>
      </c>
      <c r="AZ421" s="10">
        <f t="shared" si="460"/>
        <v>0</v>
      </c>
      <c r="BA421" s="10">
        <f t="shared" si="460"/>
        <v>0</v>
      </c>
      <c r="BB421" s="10">
        <f t="shared" si="460"/>
        <v>0</v>
      </c>
      <c r="BC421" s="10">
        <f t="shared" si="460"/>
        <v>0</v>
      </c>
      <c r="BD421" s="10">
        <f t="shared" si="460"/>
        <v>0</v>
      </c>
      <c r="BE421" s="10">
        <f t="shared" si="460"/>
        <v>0</v>
      </c>
      <c r="BF421" s="10">
        <f t="shared" si="460"/>
        <v>0</v>
      </c>
      <c r="BG421" s="10">
        <f t="shared" si="460"/>
        <v>0</v>
      </c>
      <c r="BH421" s="10">
        <f t="shared" si="460"/>
        <v>0</v>
      </c>
      <c r="BI421" s="10">
        <f t="shared" si="460"/>
        <v>0</v>
      </c>
      <c r="BJ421" s="10">
        <f t="shared" si="460"/>
        <v>0</v>
      </c>
      <c r="BL421" s="152">
        <f t="shared" si="456"/>
        <v>0</v>
      </c>
      <c r="BM421" s="152">
        <f t="shared" si="456"/>
        <v>0</v>
      </c>
      <c r="BN421" s="152">
        <f t="shared" si="456"/>
        <v>0</v>
      </c>
      <c r="BO421" s="152">
        <f t="shared" si="456"/>
        <v>0</v>
      </c>
      <c r="BP421" s="10">
        <f t="shared" ref="BP421:BW421" si="461">SUM(BP418:BP420)</f>
        <v>0</v>
      </c>
      <c r="BQ421" s="10">
        <f t="shared" si="461"/>
        <v>0</v>
      </c>
      <c r="BR421" s="10">
        <f t="shared" si="461"/>
        <v>0</v>
      </c>
      <c r="BS421" s="10">
        <f t="shared" si="461"/>
        <v>0</v>
      </c>
      <c r="BT421" s="10">
        <f t="shared" si="461"/>
        <v>0</v>
      </c>
      <c r="BU421" s="10">
        <f t="shared" si="461"/>
        <v>0</v>
      </c>
      <c r="BV421" s="10">
        <f t="shared" si="461"/>
        <v>0</v>
      </c>
      <c r="BW421" s="10">
        <f t="shared" si="461"/>
        <v>0</v>
      </c>
      <c r="BY421" s="12"/>
      <c r="BZ421" s="335"/>
      <c r="CA421" s="12"/>
      <c r="CB421" s="335"/>
      <c r="CC421" s="335"/>
      <c r="CD421" s="335"/>
      <c r="CE421" s="335"/>
      <c r="CM421" s="335"/>
      <c r="CN421" s="335"/>
      <c r="CO421" s="335"/>
      <c r="CP421" s="335"/>
      <c r="CR421" s="12"/>
      <c r="CS421" s="93">
        <f t="shared" si="386"/>
        <v>0</v>
      </c>
      <c r="CT421" s="93">
        <v>0</v>
      </c>
      <c r="CU421" s="93">
        <v>0</v>
      </c>
      <c r="EW421" s="335"/>
      <c r="EX421" s="13" t="str">
        <f>IF(C421="", "", CONCATENATE(D408, " ",D421))</f>
        <v/>
      </c>
    </row>
    <row r="422" spans="1:154" ht="6.6" customHeight="1" x14ac:dyDescent="0.25">
      <c r="C422" s="380"/>
      <c r="D422" s="1"/>
      <c r="E422" s="11"/>
      <c r="S422" s="335"/>
      <c r="T422" s="25"/>
      <c r="U422" s="25"/>
      <c r="BM422" s="6"/>
      <c r="BY422" s="42"/>
      <c r="CA422" s="42"/>
      <c r="CR422" s="42"/>
      <c r="CT422" s="335">
        <v>0</v>
      </c>
      <c r="CU422" s="335">
        <v>0</v>
      </c>
      <c r="EX422" s="13" t="str">
        <f>IF(C422="", "", CONCATENATE(D408, " ",D422))</f>
        <v/>
      </c>
    </row>
    <row r="423" spans="1:154" s="5" customFormat="1" x14ac:dyDescent="0.25">
      <c r="A423" s="362" cm="1">
        <f t="array" aca="1" ref="A423" ca="1">HYPERLINK(CONCATENATE("#",CELL("address",IF(SUM($CA423:$CR423)=0,A423,INDEX($CA423:$CR423,MATCH(1,$CA423:$CR423,0))))),SUM($CA423:$CR423))</f>
        <v>0</v>
      </c>
      <c r="B423" s="335"/>
      <c r="C423" s="340" t="s">
        <v>1292</v>
      </c>
      <c r="D423" s="41" t="s">
        <v>1569</v>
      </c>
      <c r="E423" s="35"/>
      <c r="F423" s="25"/>
      <c r="G423" s="174" t="s">
        <v>413</v>
      </c>
      <c r="H423" s="171" t="s">
        <v>125</v>
      </c>
      <c r="I423" s="25"/>
      <c r="J423" s="25"/>
      <c r="K423" s="25"/>
      <c r="L423" s="25"/>
      <c r="M423" s="25"/>
      <c r="N423" s="25"/>
      <c r="O423" s="25"/>
      <c r="P423" s="25"/>
      <c r="Q423" s="25"/>
      <c r="R423" s="25"/>
      <c r="S423" s="335"/>
      <c r="T423" s="25"/>
      <c r="U423" s="25"/>
      <c r="V423" s="222"/>
      <c r="W423" s="215">
        <f xml:space="preserve"> SUMIFS($AA423:$BJ423, $AA$3:$BJ$3, W$3)</f>
        <v>0</v>
      </c>
      <c r="X423" s="215">
        <f xml:space="preserve"> SUMIFS($AA423:$BJ423, $AA$3:$BJ$3, X$3)</f>
        <v>0</v>
      </c>
      <c r="Y423" s="215">
        <f xml:space="preserve"> SUMIFS($AA423:$BJ423, $AA$3:$BJ$3, Y$3)</f>
        <v>0</v>
      </c>
      <c r="Z423" s="335"/>
      <c r="AA423" s="147"/>
      <c r="AB423" s="147"/>
      <c r="AC423" s="147"/>
      <c r="AD423" s="147"/>
      <c r="AE423" s="147"/>
      <c r="AF423" s="147"/>
      <c r="AG423" s="147"/>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c r="BI423" s="147"/>
      <c r="BJ423" s="147"/>
      <c r="BK423" s="335"/>
      <c r="BL423" s="152">
        <f>V423</f>
        <v>0</v>
      </c>
      <c r="BM423" s="152">
        <f>W423</f>
        <v>0</v>
      </c>
      <c r="BN423" s="152">
        <f>X423</f>
        <v>0</v>
      </c>
      <c r="BO423" s="152">
        <f>Y423</f>
        <v>0</v>
      </c>
      <c r="BP423" s="141"/>
      <c r="BQ423" s="141"/>
      <c r="BR423" s="141"/>
      <c r="BS423" s="141"/>
      <c r="BT423" s="141"/>
      <c r="BU423" s="141"/>
      <c r="BV423" s="141"/>
      <c r="BW423" s="141"/>
      <c r="BX423" s="335"/>
      <c r="BY423" s="12"/>
      <c r="BZ423" s="395">
        <f>IF(MIN($V423:$BW423)&lt;0, 1, 0)</f>
        <v>0</v>
      </c>
      <c r="CA423" s="12"/>
      <c r="CB423" s="335"/>
      <c r="CC423" s="335"/>
      <c r="CD423" s="335"/>
      <c r="CE423" s="335"/>
      <c r="CF423" s="335"/>
      <c r="CG423" s="335"/>
      <c r="CH423" s="335"/>
      <c r="CI423" s="335"/>
      <c r="CJ423" s="335"/>
      <c r="CK423" s="335"/>
      <c r="CL423" s="335"/>
      <c r="CM423" s="7">
        <f>IF(ROUND(W423-SUMIFS($AA423:$BJ423, $AA$3:$BJ$3, W$3), rounding)=0, 0, 1)</f>
        <v>0</v>
      </c>
      <c r="CN423" s="7">
        <f>IF(ROUND(X423-SUMIFS($AA423:$BJ423, $AA$3:$BJ$3, X$3), rounding)=0, 0, 1)</f>
        <v>0</v>
      </c>
      <c r="CO423" s="7">
        <f>IF(ROUND(Y423-SUMIFS($AA423:$BJ423, $AA$3:$BJ$3, Y$3), rounding)=0, 0, 1)</f>
        <v>0</v>
      </c>
      <c r="CP423" s="7">
        <f>IF(ROUND(V423-BL423, rounding)=0, 0, 1)*'BS Forecasts'!$V$10</f>
        <v>0</v>
      </c>
      <c r="CQ423" s="335"/>
      <c r="CR423" s="12"/>
      <c r="CS423" s="93">
        <f>IF(IFERROR(FIND("check", D423), 0)=0, 0, 1)</f>
        <v>0</v>
      </c>
      <c r="CT423" s="93">
        <v>1</v>
      </c>
      <c r="CU423" s="93">
        <v>1</v>
      </c>
      <c r="EX423" s="13" t="str">
        <f>IF(C423="", "", CONCATENATE(D408, " ",D423))</f>
        <v>Loan 20 Early Repayment Fee</v>
      </c>
    </row>
    <row r="424" spans="1:154" s="335" customFormat="1" ht="6.6" customHeight="1" x14ac:dyDescent="0.25">
      <c r="C424" s="380"/>
      <c r="D424" s="1"/>
      <c r="T424" s="25"/>
      <c r="U424" s="25"/>
      <c r="V424" s="93"/>
      <c r="BM424" s="6"/>
      <c r="BY424" s="42"/>
      <c r="CA424" s="42"/>
      <c r="CR424" s="42"/>
      <c r="CS424" s="93">
        <f>IF(IFERROR(FIND("check", D424), 0)=0, 0, 1)</f>
        <v>0</v>
      </c>
      <c r="CT424" s="93">
        <v>0</v>
      </c>
      <c r="CU424" s="93">
        <v>0</v>
      </c>
      <c r="EX424" s="13" t="str">
        <f>IF(C424="", "", CONCATENATE(D408, " ",D424))</f>
        <v/>
      </c>
    </row>
    <row r="425" spans="1:154" s="335" customFormat="1" ht="15.75" x14ac:dyDescent="0.3">
      <c r="A425" s="362" cm="1">
        <f t="array" aca="1" ref="A425" ca="1">HYPERLINK(CONCATENATE("#",CELL("address",IF(SUM($CA425:$CR425)=0,A425,INDEX($CA425:$CR425,MATCH(1,$CA425:$CR425,0))))),SUM($CA425:$CR425))</f>
        <v>0</v>
      </c>
      <c r="B425" s="105" t="s">
        <v>335</v>
      </c>
      <c r="D425" s="51" t="s">
        <v>1630</v>
      </c>
      <c r="E425" s="220" t="str">
        <f>IF(I$32="", "", I$32)</f>
        <v/>
      </c>
      <c r="F425" s="220" t="str">
        <f>IF(J$32="", "", J$32)</f>
        <v/>
      </c>
      <c r="T425" s="25"/>
      <c r="U425" s="25"/>
      <c r="V425" s="230">
        <f>IF(AND(OR( V$5&gt;$F425, Timeline!V$8&lt;Loans!$E425), Loans!V423&lt;&gt;0), 1, 0)</f>
        <v>0</v>
      </c>
      <c r="W425" s="230">
        <f>IF(AND(OR( W$5&gt;$F425, Timeline!W$8&lt;Loans!$E425), Loans!W423&lt;&gt;0), 1, 0)</f>
        <v>0</v>
      </c>
      <c r="X425" s="230">
        <f>IF(AND(OR( X$5&gt;$F425, Timeline!X$8&lt;Loans!$E425), Loans!X423&lt;&gt;0), 1, 0)</f>
        <v>0</v>
      </c>
      <c r="Y425" s="230">
        <f>IF(AND(OR( Y$5&gt;$F425, Timeline!Y$8&lt;Loans!$E425), Loans!Y423&lt;&gt;0), 1, 0)</f>
        <v>0</v>
      </c>
      <c r="AA425" s="230">
        <f>IF(AND(OR( AA$5&gt;$F425, Timeline!AA$8&lt;Loans!$E425), Loans!AA423&lt;&gt;0), 1, 0)</f>
        <v>0</v>
      </c>
      <c r="AB425" s="230">
        <f>IF(AND(OR( AB$5&gt;$F425, Timeline!AB$8&lt;Loans!$E425), Loans!AB423&lt;&gt;0), 1, 0)</f>
        <v>0</v>
      </c>
      <c r="AC425" s="230">
        <f>IF(AND(OR( AC$5&gt;$F425, Timeline!AC$8&lt;Loans!$E425), Loans!AC423&lt;&gt;0), 1, 0)</f>
        <v>0</v>
      </c>
      <c r="AD425" s="230">
        <f>IF(AND(OR( AD$5&gt;$F425, Timeline!AD$8&lt;Loans!$E425), Loans!AD423&lt;&gt;0), 1, 0)</f>
        <v>0</v>
      </c>
      <c r="AE425" s="230">
        <f>IF(AND(OR( AE$5&gt;$F425, Timeline!AE$8&lt;Loans!$E425), Loans!AE423&lt;&gt;0), 1, 0)</f>
        <v>0</v>
      </c>
      <c r="AF425" s="230">
        <f>IF(AND(OR( AF$5&gt;$F425, Timeline!AF$8&lt;Loans!$E425), Loans!AF423&lt;&gt;0), 1, 0)</f>
        <v>0</v>
      </c>
      <c r="AG425" s="230">
        <f>IF(AND(OR( AG$5&gt;$F425, Timeline!AG$8&lt;Loans!$E425), Loans!AG423&lt;&gt;0), 1, 0)</f>
        <v>0</v>
      </c>
      <c r="AH425" s="230">
        <f>IF(AND(OR( AH$5&gt;$F425, Timeline!AH$8&lt;Loans!$E425), Loans!AH423&lt;&gt;0), 1, 0)</f>
        <v>0</v>
      </c>
      <c r="AI425" s="230">
        <f>IF(AND(OR( AI$5&gt;$F425, Timeline!AI$8&lt;Loans!$E425), Loans!AI423&lt;&gt;0), 1, 0)</f>
        <v>0</v>
      </c>
      <c r="AJ425" s="230">
        <f>IF(AND(OR( AJ$5&gt;$F425, Timeline!AJ$8&lt;Loans!$E425), Loans!AJ423&lt;&gt;0), 1, 0)</f>
        <v>0</v>
      </c>
      <c r="AK425" s="230">
        <f>IF(AND(OR( AK$5&gt;$F425, Timeline!AK$8&lt;Loans!$E425), Loans!AK423&lt;&gt;0), 1, 0)</f>
        <v>0</v>
      </c>
      <c r="AL425" s="230">
        <f>IF(AND(OR( AL$5&gt;$F425, Timeline!AL$8&lt;Loans!$E425), Loans!AL423&lt;&gt;0), 1, 0)</f>
        <v>0</v>
      </c>
      <c r="AM425" s="230">
        <f>IF(AND(OR( AM$5&gt;$F425, Timeline!AM$8&lt;Loans!$E425), Loans!AM423&lt;&gt;0), 1, 0)</f>
        <v>0</v>
      </c>
      <c r="AN425" s="230">
        <f>IF(AND(OR( AN$5&gt;$F425, Timeline!AN$8&lt;Loans!$E425), Loans!AN423&lt;&gt;0), 1, 0)</f>
        <v>0</v>
      </c>
      <c r="AO425" s="230">
        <f>IF(AND(OR( AO$5&gt;$F425, Timeline!AO$8&lt;Loans!$E425), Loans!AO423&lt;&gt;0), 1, 0)</f>
        <v>0</v>
      </c>
      <c r="AP425" s="230">
        <f>IF(AND(OR( AP$5&gt;$F425, Timeline!AP$8&lt;Loans!$E425), Loans!AP423&lt;&gt;0), 1, 0)</f>
        <v>0</v>
      </c>
      <c r="AQ425" s="230">
        <f>IF(AND(OR( AQ$5&gt;$F425, Timeline!AQ$8&lt;Loans!$E425), Loans!AQ423&lt;&gt;0), 1, 0)</f>
        <v>0</v>
      </c>
      <c r="AR425" s="230">
        <f>IF(AND(OR( AR$5&gt;$F425, Timeline!AR$8&lt;Loans!$E425), Loans!AR423&lt;&gt;0), 1, 0)</f>
        <v>0</v>
      </c>
      <c r="AS425" s="230">
        <f>IF(AND(OR( AS$5&gt;$F425, Timeline!AS$8&lt;Loans!$E425), Loans!AS423&lt;&gt;0), 1, 0)</f>
        <v>0</v>
      </c>
      <c r="AT425" s="230">
        <f>IF(AND(OR( AT$5&gt;$F425, Timeline!AT$8&lt;Loans!$E425), Loans!AT423&lt;&gt;0), 1, 0)</f>
        <v>0</v>
      </c>
      <c r="AU425" s="230">
        <f>IF(AND(OR( AU$5&gt;$F425, Timeline!AU$8&lt;Loans!$E425), Loans!AU423&lt;&gt;0), 1, 0)</f>
        <v>0</v>
      </c>
      <c r="AV425" s="230">
        <f>IF(AND(OR( AV$5&gt;$F425, Timeline!AV$8&lt;Loans!$E425), Loans!AV423&lt;&gt;0), 1, 0)</f>
        <v>0</v>
      </c>
      <c r="AW425" s="230">
        <f>IF(AND(OR( AW$5&gt;$F425, Timeline!AW$8&lt;Loans!$E425), Loans!AW423&lt;&gt;0), 1, 0)</f>
        <v>0</v>
      </c>
      <c r="AX425" s="230">
        <f>IF(AND(OR( AX$5&gt;$F425, Timeline!AX$8&lt;Loans!$E425), Loans!AX423&lt;&gt;0), 1, 0)</f>
        <v>0</v>
      </c>
      <c r="AY425" s="230">
        <f>IF(AND(OR( AY$5&gt;$F425, Timeline!AY$8&lt;Loans!$E425), Loans!AY423&lt;&gt;0), 1, 0)</f>
        <v>0</v>
      </c>
      <c r="AZ425" s="230">
        <f>IF(AND(OR( AZ$5&gt;$F425, Timeline!AZ$8&lt;Loans!$E425), Loans!AZ423&lt;&gt;0), 1, 0)</f>
        <v>0</v>
      </c>
      <c r="BA425" s="230">
        <f>IF(AND(OR( BA$5&gt;$F425, Timeline!BA$8&lt;Loans!$E425), Loans!BA423&lt;&gt;0), 1, 0)</f>
        <v>0</v>
      </c>
      <c r="BB425" s="230">
        <f>IF(AND(OR( BB$5&gt;$F425, Timeline!BB$8&lt;Loans!$E425), Loans!BB423&lt;&gt;0), 1, 0)</f>
        <v>0</v>
      </c>
      <c r="BC425" s="230">
        <f>IF(AND(OR( BC$5&gt;$F425, Timeline!BC$8&lt;Loans!$E425), Loans!BC423&lt;&gt;0), 1, 0)</f>
        <v>0</v>
      </c>
      <c r="BD425" s="230">
        <f>IF(AND(OR( BD$5&gt;$F425, Timeline!BD$8&lt;Loans!$E425), Loans!BD423&lt;&gt;0), 1, 0)</f>
        <v>0</v>
      </c>
      <c r="BE425" s="230">
        <f>IF(AND(OR( BE$5&gt;$F425, Timeline!BE$8&lt;Loans!$E425), Loans!BE423&lt;&gt;0), 1, 0)</f>
        <v>0</v>
      </c>
      <c r="BF425" s="230">
        <f>IF(AND(OR( BF$5&gt;$F425, Timeline!BF$8&lt;Loans!$E425), Loans!BF423&lt;&gt;0), 1, 0)</f>
        <v>0</v>
      </c>
      <c r="BG425" s="230">
        <f>IF(AND(OR( BG$5&gt;$F425, Timeline!BG$8&lt;Loans!$E425), Loans!BG423&lt;&gt;0), 1, 0)</f>
        <v>0</v>
      </c>
      <c r="BH425" s="230">
        <f>IF(AND(OR( BH$5&gt;$F425, Timeline!BH$8&lt;Loans!$E425), Loans!BH423&lt;&gt;0), 1, 0)</f>
        <v>0</v>
      </c>
      <c r="BI425" s="230">
        <f>IF(AND(OR( BI$5&gt;$F425, Timeline!BI$8&lt;Loans!$E425), Loans!BI423&lt;&gt;0), 1, 0)</f>
        <v>0</v>
      </c>
      <c r="BJ425" s="230">
        <f>IF(AND(OR( BJ$5&gt;$F425, Timeline!BJ$8&lt;Loans!$E425), Loans!BJ423&lt;&gt;0), 1, 0)</f>
        <v>0</v>
      </c>
      <c r="BL425" s="230">
        <f>IF(AND(OR( BL$5&gt;$F425, Timeline!BL$8&lt;Loans!$E425), Loans!BL423&lt;&gt;0), 1, 0)</f>
        <v>0</v>
      </c>
      <c r="BM425" s="230">
        <f>IF(AND(OR( BM$5&gt;$F425, Timeline!BM$8&lt;Loans!$E425), Loans!BM423&lt;&gt;0), 1, 0)</f>
        <v>0</v>
      </c>
      <c r="BN425" s="230">
        <f>IF(AND(OR( BN$5&gt;$F425, Timeline!BN$8&lt;Loans!$E425), Loans!BN423&lt;&gt;0), 1, 0)</f>
        <v>0</v>
      </c>
      <c r="BO425" s="230">
        <f>IF(AND(OR( BO$5&gt;$F425, Timeline!BO$8&lt;Loans!$E425), Loans!BO423&lt;&gt;0), 1, 0)</f>
        <v>0</v>
      </c>
      <c r="BP425" s="230">
        <f>IF(AND(OR( BP$5&gt;$F425, Timeline!BP$8&lt;Loans!$E425), Loans!BP423&lt;&gt;0), 1, 0)</f>
        <v>0</v>
      </c>
      <c r="BQ425" s="230">
        <f>IF(AND(OR( BQ$5&gt;$F425, Timeline!BQ$8&lt;Loans!$E425), Loans!BQ423&lt;&gt;0), 1, 0)</f>
        <v>0</v>
      </c>
      <c r="BR425" s="230">
        <f>IF(AND(OR( BR$5&gt;$F425, Timeline!BR$8&lt;Loans!$E425), Loans!BR423&lt;&gt;0), 1, 0)</f>
        <v>0</v>
      </c>
      <c r="BS425" s="230">
        <f>IF(AND(OR( BS$5&gt;$F425, Timeline!BS$8&lt;Loans!$E425), Loans!BS423&lt;&gt;0), 1, 0)</f>
        <v>0</v>
      </c>
      <c r="BT425" s="230">
        <f>IF(AND(OR( BT$5&gt;$F425, Timeline!BT$8&lt;Loans!$E425), Loans!BT423&lt;&gt;0), 1, 0)</f>
        <v>0</v>
      </c>
      <c r="BU425" s="230">
        <f>IF(AND(OR( BU$5&gt;$F425, Timeline!BU$8&lt;Loans!$E425), Loans!BU423&lt;&gt;0), 1, 0)</f>
        <v>0</v>
      </c>
      <c r="BV425" s="230">
        <f>IF(AND(OR( BV$5&gt;$F425, Timeline!BV$8&lt;Loans!$E425), Loans!BV423&lt;&gt;0), 1, 0)</f>
        <v>0</v>
      </c>
      <c r="BW425" s="230">
        <f>IF(AND(OR( BW$5&gt;$F425, Timeline!BW$8&lt;Loans!$E425), Loans!BW423&lt;&gt;0), 1, 0)</f>
        <v>0</v>
      </c>
      <c r="BY425" s="12"/>
      <c r="CA425" s="12"/>
      <c r="CL425" s="7">
        <f>IF(MAX($V425:$BW425)&gt;0, 1, 0)</f>
        <v>0</v>
      </c>
      <c r="CR425" s="12"/>
      <c r="CS425" s="93">
        <f>IF(IFERROR(FIND("check", D425), 0)=0, 0, 1)</f>
        <v>1</v>
      </c>
      <c r="CT425" s="93">
        <v>0</v>
      </c>
      <c r="CU425" s="93">
        <v>0</v>
      </c>
      <c r="EX425" s="13" t="str">
        <f>IF(B425="", "", CONCATENATE(D408, " ",D425))</f>
        <v>Loan 20 Early Repayment Fee check</v>
      </c>
    </row>
    <row r="426" spans="1:154" s="335" customFormat="1" ht="6.6" customHeight="1" x14ac:dyDescent="0.25">
      <c r="C426" s="380"/>
      <c r="D426" s="1"/>
      <c r="V426" s="93"/>
      <c r="BM426" s="6"/>
      <c r="BY426" s="42"/>
      <c r="CA426" s="42"/>
      <c r="CR426" s="42"/>
      <c r="CS426" s="93">
        <f>IF(IFERROR(FIND("check", D426), 0)=0, 0, 1)</f>
        <v>0</v>
      </c>
      <c r="CT426" s="93">
        <v>0</v>
      </c>
      <c r="CU426" s="93">
        <v>0</v>
      </c>
      <c r="EX426" s="10" t="str">
        <f t="shared" ref="EX426" si="462">IF($C426="","",$D426)</f>
        <v/>
      </c>
    </row>
    <row r="427" spans="1:154" x14ac:dyDescent="0.25">
      <c r="A427" s="40"/>
      <c r="B427" s="40"/>
      <c r="C427" s="414"/>
      <c r="D427" s="40" t="s">
        <v>530</v>
      </c>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12"/>
      <c r="CA427" s="12"/>
      <c r="CR427" s="12"/>
      <c r="EX427" s="10" t="str">
        <f t="shared" si="413"/>
        <v/>
      </c>
    </row>
    <row r="428" spans="1:154" ht="6.6" customHeight="1" x14ac:dyDescent="0.25">
      <c r="C428" s="380"/>
      <c r="D428" s="1"/>
      <c r="E428" s="11"/>
      <c r="S428" s="335"/>
      <c r="BM428" s="6"/>
      <c r="BY428" s="42"/>
      <c r="CA428" s="42"/>
      <c r="CR428" s="42"/>
      <c r="EX428" s="10" t="str">
        <f t="shared" si="413"/>
        <v/>
      </c>
    </row>
    <row r="429" spans="1:154" x14ac:dyDescent="0.25">
      <c r="C429" s="380"/>
      <c r="D429" s="61" t="str">
        <f>D48</f>
        <v>Opening Loan Balance</v>
      </c>
      <c r="E429" s="11"/>
      <c r="S429" s="335"/>
      <c r="BY429" s="12"/>
      <c r="CA429" s="12"/>
      <c r="CR429" s="12"/>
      <c r="EX429" s="10" t="str">
        <f t="shared" si="413"/>
        <v/>
      </c>
    </row>
    <row r="430" spans="1:154" x14ac:dyDescent="0.25">
      <c r="B430" s="138" t="s">
        <v>551</v>
      </c>
      <c r="C430" s="380"/>
      <c r="D430" s="5" t="str">
        <f>D$11</f>
        <v>Lender</v>
      </c>
      <c r="E430" s="5" t="str">
        <f>E$11</f>
        <v>Loan Category</v>
      </c>
      <c r="F430" s="67"/>
      <c r="S430" s="335"/>
      <c r="Z430" s="67"/>
      <c r="AA430" s="67"/>
      <c r="BY430" s="12"/>
      <c r="CA430" s="12"/>
      <c r="CR430" s="12"/>
      <c r="EX430" s="10" t="str">
        <f t="shared" si="413"/>
        <v/>
      </c>
    </row>
    <row r="431" spans="1:154" x14ac:dyDescent="0.25">
      <c r="A431" s="67"/>
      <c r="B431" s="84" t="str" cm="1">
        <f t="array" aca="1" ref="B431" ca="1">HYPERLINK(CONCATENATE("#",CELL("address",$D$47)),$D$47)</f>
        <v>Loan 1</v>
      </c>
      <c r="C431" s="380"/>
      <c r="D431" s="221" t="str">
        <f>D$13</f>
        <v>NatWest</v>
      </c>
      <c r="E431" s="221" t="str">
        <f>E$13</f>
        <v xml:space="preserve">Commercial </v>
      </c>
      <c r="F431" s="67"/>
      <c r="G431" s="9" t="s">
        <v>413</v>
      </c>
      <c r="H431" s="50" t="s">
        <v>125</v>
      </c>
      <c r="I431" s="65"/>
      <c r="S431" s="335"/>
      <c r="T431" s="335"/>
      <c r="U431" s="335"/>
      <c r="V431" s="201">
        <f>V$48</f>
        <v>0</v>
      </c>
      <c r="W431" s="201">
        <f>W$48</f>
        <v>57</v>
      </c>
      <c r="X431" s="10">
        <f>X$48</f>
        <v>0</v>
      </c>
      <c r="Y431" s="10">
        <f>Y$48</f>
        <v>0</v>
      </c>
      <c r="Z431" s="67"/>
      <c r="AA431" s="201">
        <f t="shared" ref="AA431:BJ431" si="463">AA$48</f>
        <v>57</v>
      </c>
      <c r="AB431" s="10">
        <f t="shared" si="463"/>
        <v>46</v>
      </c>
      <c r="AC431" s="10">
        <f t="shared" si="463"/>
        <v>35</v>
      </c>
      <c r="AD431" s="10">
        <f t="shared" si="463"/>
        <v>24</v>
      </c>
      <c r="AE431" s="10">
        <f t="shared" si="463"/>
        <v>13</v>
      </c>
      <c r="AF431" s="10">
        <f t="shared" si="463"/>
        <v>2</v>
      </c>
      <c r="AG431" s="10">
        <f t="shared" si="463"/>
        <v>0</v>
      </c>
      <c r="AH431" s="10">
        <f t="shared" si="463"/>
        <v>0</v>
      </c>
      <c r="AI431" s="201">
        <f t="shared" si="463"/>
        <v>0</v>
      </c>
      <c r="AJ431" s="10">
        <f t="shared" si="463"/>
        <v>0</v>
      </c>
      <c r="AK431" s="10">
        <f t="shared" si="463"/>
        <v>0</v>
      </c>
      <c r="AL431" s="10">
        <f t="shared" si="463"/>
        <v>0</v>
      </c>
      <c r="AM431" s="201">
        <f t="shared" si="463"/>
        <v>0</v>
      </c>
      <c r="AN431" s="10">
        <f t="shared" si="463"/>
        <v>0</v>
      </c>
      <c r="AO431" s="10">
        <f t="shared" si="463"/>
        <v>0</v>
      </c>
      <c r="AP431" s="10">
        <f t="shared" si="463"/>
        <v>0</v>
      </c>
      <c r="AQ431" s="10">
        <f t="shared" si="463"/>
        <v>0</v>
      </c>
      <c r="AR431" s="10">
        <f t="shared" si="463"/>
        <v>0</v>
      </c>
      <c r="AS431" s="10">
        <f t="shared" si="463"/>
        <v>0</v>
      </c>
      <c r="AT431" s="10">
        <f t="shared" si="463"/>
        <v>0</v>
      </c>
      <c r="AU431" s="10">
        <f t="shared" si="463"/>
        <v>0</v>
      </c>
      <c r="AV431" s="10">
        <f t="shared" si="463"/>
        <v>0</v>
      </c>
      <c r="AW431" s="10">
        <f t="shared" si="463"/>
        <v>0</v>
      </c>
      <c r="AX431" s="10">
        <f t="shared" si="463"/>
        <v>0</v>
      </c>
      <c r="AY431" s="10">
        <f t="shared" si="463"/>
        <v>0</v>
      </c>
      <c r="AZ431" s="10">
        <f t="shared" si="463"/>
        <v>0</v>
      </c>
      <c r="BA431" s="10">
        <f t="shared" si="463"/>
        <v>0</v>
      </c>
      <c r="BB431" s="10">
        <f t="shared" si="463"/>
        <v>0</v>
      </c>
      <c r="BC431" s="10">
        <f t="shared" si="463"/>
        <v>0</v>
      </c>
      <c r="BD431" s="10">
        <f t="shared" si="463"/>
        <v>0</v>
      </c>
      <c r="BE431" s="10">
        <f t="shared" si="463"/>
        <v>0</v>
      </c>
      <c r="BF431" s="10">
        <f t="shared" si="463"/>
        <v>0</v>
      </c>
      <c r="BG431" s="10">
        <f t="shared" si="463"/>
        <v>0</v>
      </c>
      <c r="BH431" s="10">
        <f t="shared" si="463"/>
        <v>0</v>
      </c>
      <c r="BI431" s="10">
        <f t="shared" si="463"/>
        <v>0</v>
      </c>
      <c r="BJ431" s="10">
        <f t="shared" si="463"/>
        <v>0</v>
      </c>
      <c r="BK431" s="67"/>
      <c r="BL431" s="10">
        <f t="shared" ref="BL431" si="464">BL$48</f>
        <v>0</v>
      </c>
      <c r="BM431" s="10">
        <f t="shared" ref="BM431:BW431" si="465">BM$48</f>
        <v>57</v>
      </c>
      <c r="BN431" s="10">
        <f t="shared" si="465"/>
        <v>0</v>
      </c>
      <c r="BO431" s="10">
        <f t="shared" si="465"/>
        <v>0</v>
      </c>
      <c r="BP431" s="10">
        <f t="shared" si="465"/>
        <v>0</v>
      </c>
      <c r="BQ431" s="10">
        <f t="shared" si="465"/>
        <v>0</v>
      </c>
      <c r="BR431" s="10">
        <f t="shared" si="465"/>
        <v>0</v>
      </c>
      <c r="BS431" s="10">
        <f t="shared" si="465"/>
        <v>0</v>
      </c>
      <c r="BT431" s="10">
        <f t="shared" si="465"/>
        <v>0</v>
      </c>
      <c r="BU431" s="10">
        <f t="shared" si="465"/>
        <v>0</v>
      </c>
      <c r="BV431" s="10">
        <f t="shared" si="465"/>
        <v>0</v>
      </c>
      <c r="BW431" s="10">
        <f t="shared" si="465"/>
        <v>0</v>
      </c>
      <c r="BY431" s="12"/>
      <c r="CA431" s="12"/>
      <c r="CR431" s="12"/>
      <c r="EX431" s="10" t="str">
        <f t="shared" si="413"/>
        <v/>
      </c>
    </row>
    <row r="432" spans="1:154" x14ac:dyDescent="0.25">
      <c r="A432" s="67"/>
      <c r="B432" s="84" t="str" cm="1">
        <f t="array" aca="1" ref="B432" ca="1">HYPERLINK(CONCATENATE("#",CELL("address",$D$66)),$D$66)</f>
        <v>Loan 2</v>
      </c>
      <c r="C432" s="380"/>
      <c r="D432" s="60" t="str">
        <f>D$14</f>
        <v>NatWest</v>
      </c>
      <c r="E432" s="221" t="str">
        <f>E$14</f>
        <v xml:space="preserve">Commercial </v>
      </c>
      <c r="F432" s="67"/>
      <c r="G432" s="9" t="s">
        <v>413</v>
      </c>
      <c r="H432" s="50" t="s">
        <v>125</v>
      </c>
      <c r="S432" s="335"/>
      <c r="T432" s="335"/>
      <c r="U432" s="335"/>
      <c r="V432" s="201">
        <f>V$67</f>
        <v>0</v>
      </c>
      <c r="W432" s="10">
        <f>W$67</f>
        <v>729</v>
      </c>
      <c r="X432" s="10">
        <f>X$67</f>
        <v>640</v>
      </c>
      <c r="Y432" s="10">
        <f>Y$67</f>
        <v>551</v>
      </c>
      <c r="Z432" s="67"/>
      <c r="AA432" s="10">
        <f t="shared" ref="AA432:BJ432" si="466">AA$67</f>
        <v>729</v>
      </c>
      <c r="AB432" s="10">
        <f t="shared" si="466"/>
        <v>721</v>
      </c>
      <c r="AC432" s="10">
        <f t="shared" si="466"/>
        <v>713</v>
      </c>
      <c r="AD432" s="10">
        <f t="shared" si="466"/>
        <v>705</v>
      </c>
      <c r="AE432" s="10">
        <f t="shared" si="466"/>
        <v>697</v>
      </c>
      <c r="AF432" s="10">
        <f t="shared" si="466"/>
        <v>689</v>
      </c>
      <c r="AG432" s="10">
        <f t="shared" si="466"/>
        <v>682</v>
      </c>
      <c r="AH432" s="10">
        <f t="shared" si="466"/>
        <v>675</v>
      </c>
      <c r="AI432" s="10">
        <f t="shared" si="466"/>
        <v>668</v>
      </c>
      <c r="AJ432" s="10">
        <f t="shared" si="466"/>
        <v>661</v>
      </c>
      <c r="AK432" s="10">
        <f t="shared" si="466"/>
        <v>654</v>
      </c>
      <c r="AL432" s="10">
        <f t="shared" si="466"/>
        <v>647</v>
      </c>
      <c r="AM432" s="10">
        <f t="shared" si="466"/>
        <v>640</v>
      </c>
      <c r="AN432" s="10">
        <f t="shared" si="466"/>
        <v>632</v>
      </c>
      <c r="AO432" s="10">
        <f t="shared" si="466"/>
        <v>624</v>
      </c>
      <c r="AP432" s="10">
        <f t="shared" si="466"/>
        <v>616</v>
      </c>
      <c r="AQ432" s="10">
        <f t="shared" si="466"/>
        <v>608</v>
      </c>
      <c r="AR432" s="10">
        <f t="shared" si="466"/>
        <v>600</v>
      </c>
      <c r="AS432" s="10">
        <f t="shared" si="466"/>
        <v>593</v>
      </c>
      <c r="AT432" s="10">
        <f t="shared" si="466"/>
        <v>586</v>
      </c>
      <c r="AU432" s="10">
        <f t="shared" si="466"/>
        <v>579</v>
      </c>
      <c r="AV432" s="10">
        <f t="shared" si="466"/>
        <v>572</v>
      </c>
      <c r="AW432" s="10">
        <f t="shared" si="466"/>
        <v>565</v>
      </c>
      <c r="AX432" s="10">
        <f t="shared" si="466"/>
        <v>558</v>
      </c>
      <c r="AY432" s="10">
        <f t="shared" si="466"/>
        <v>551</v>
      </c>
      <c r="AZ432" s="10">
        <f t="shared" si="466"/>
        <v>543</v>
      </c>
      <c r="BA432" s="10">
        <f t="shared" si="466"/>
        <v>535</v>
      </c>
      <c r="BB432" s="10">
        <f t="shared" si="466"/>
        <v>527</v>
      </c>
      <c r="BC432" s="10">
        <f t="shared" si="466"/>
        <v>519</v>
      </c>
      <c r="BD432" s="10">
        <f t="shared" si="466"/>
        <v>511</v>
      </c>
      <c r="BE432" s="10">
        <f t="shared" si="466"/>
        <v>504</v>
      </c>
      <c r="BF432" s="10">
        <f t="shared" si="466"/>
        <v>497</v>
      </c>
      <c r="BG432" s="10">
        <f t="shared" si="466"/>
        <v>490</v>
      </c>
      <c r="BH432" s="10">
        <f t="shared" si="466"/>
        <v>483</v>
      </c>
      <c r="BI432" s="10">
        <f t="shared" si="466"/>
        <v>476</v>
      </c>
      <c r="BJ432" s="10">
        <f t="shared" si="466"/>
        <v>469</v>
      </c>
      <c r="BK432" s="67"/>
      <c r="BL432" s="10">
        <f t="shared" ref="BL432" si="467">BL$67</f>
        <v>0</v>
      </c>
      <c r="BM432" s="10">
        <f t="shared" ref="BM432:BW432" si="468">BM$67</f>
        <v>729</v>
      </c>
      <c r="BN432" s="10">
        <f t="shared" si="468"/>
        <v>640</v>
      </c>
      <c r="BO432" s="10">
        <f t="shared" si="468"/>
        <v>551</v>
      </c>
      <c r="BP432" s="10">
        <f t="shared" si="468"/>
        <v>462</v>
      </c>
      <c r="BQ432" s="10">
        <f t="shared" si="468"/>
        <v>462</v>
      </c>
      <c r="BR432" s="10">
        <f t="shared" si="468"/>
        <v>462</v>
      </c>
      <c r="BS432" s="10">
        <f t="shared" si="468"/>
        <v>462</v>
      </c>
      <c r="BT432" s="10">
        <f t="shared" si="468"/>
        <v>462</v>
      </c>
      <c r="BU432" s="10">
        <f t="shared" si="468"/>
        <v>462</v>
      </c>
      <c r="BV432" s="10">
        <f t="shared" si="468"/>
        <v>462</v>
      </c>
      <c r="BW432" s="10">
        <f t="shared" si="468"/>
        <v>462</v>
      </c>
      <c r="BY432" s="12"/>
      <c r="CA432" s="12"/>
      <c r="CR432" s="12"/>
      <c r="EX432" s="10" t="str">
        <f t="shared" si="413"/>
        <v/>
      </c>
    </row>
    <row r="433" spans="1:154" x14ac:dyDescent="0.25">
      <c r="A433" s="67"/>
      <c r="B433" s="84" t="str" cm="1">
        <f t="array" aca="1" ref="B433" ca="1">HYPERLINK(CONCATENATE("#",CELL("address",$D$85)),$D$85)</f>
        <v>Loan 3</v>
      </c>
      <c r="C433" s="380"/>
      <c r="D433" s="60" t="str">
        <f>D$15</f>
        <v>NatWest</v>
      </c>
      <c r="E433" s="221" t="str">
        <f>E$15</f>
        <v xml:space="preserve">Commercial </v>
      </c>
      <c r="F433" s="67"/>
      <c r="G433" s="9" t="s">
        <v>413</v>
      </c>
      <c r="H433" s="50" t="s">
        <v>125</v>
      </c>
      <c r="S433" s="335"/>
      <c r="T433" s="335"/>
      <c r="U433" s="335"/>
      <c r="V433" s="201">
        <f>V$86</f>
        <v>0</v>
      </c>
      <c r="W433" s="10">
        <f>W$86</f>
        <v>712</v>
      </c>
      <c r="X433" s="10">
        <f>X$86</f>
        <v>643</v>
      </c>
      <c r="Y433" s="10">
        <f>Y$86</f>
        <v>574</v>
      </c>
      <c r="Z433" s="67"/>
      <c r="AA433" s="10">
        <f t="shared" ref="AA433:BJ433" si="469">AA$86</f>
        <v>712</v>
      </c>
      <c r="AB433" s="10">
        <f t="shared" si="469"/>
        <v>707</v>
      </c>
      <c r="AC433" s="10">
        <f t="shared" si="469"/>
        <v>702</v>
      </c>
      <c r="AD433" s="10">
        <f t="shared" si="469"/>
        <v>697</v>
      </c>
      <c r="AE433" s="10">
        <f t="shared" si="469"/>
        <v>691</v>
      </c>
      <c r="AF433" s="10">
        <f t="shared" si="469"/>
        <v>685</v>
      </c>
      <c r="AG433" s="10">
        <f t="shared" si="469"/>
        <v>679</v>
      </c>
      <c r="AH433" s="10">
        <f t="shared" si="469"/>
        <v>673</v>
      </c>
      <c r="AI433" s="10">
        <f t="shared" si="469"/>
        <v>667</v>
      </c>
      <c r="AJ433" s="10">
        <f t="shared" si="469"/>
        <v>661</v>
      </c>
      <c r="AK433" s="10">
        <f t="shared" si="469"/>
        <v>655</v>
      </c>
      <c r="AL433" s="10">
        <f t="shared" si="469"/>
        <v>649</v>
      </c>
      <c r="AM433" s="10">
        <f t="shared" si="469"/>
        <v>643</v>
      </c>
      <c r="AN433" s="10">
        <f t="shared" si="469"/>
        <v>638</v>
      </c>
      <c r="AO433" s="10">
        <f t="shared" si="469"/>
        <v>633</v>
      </c>
      <c r="AP433" s="10">
        <f t="shared" si="469"/>
        <v>628</v>
      </c>
      <c r="AQ433" s="10">
        <f t="shared" si="469"/>
        <v>622</v>
      </c>
      <c r="AR433" s="10">
        <f t="shared" si="469"/>
        <v>616</v>
      </c>
      <c r="AS433" s="10">
        <f t="shared" si="469"/>
        <v>610</v>
      </c>
      <c r="AT433" s="10">
        <f t="shared" si="469"/>
        <v>604</v>
      </c>
      <c r="AU433" s="10">
        <f t="shared" si="469"/>
        <v>598</v>
      </c>
      <c r="AV433" s="10">
        <f t="shared" si="469"/>
        <v>592</v>
      </c>
      <c r="AW433" s="10">
        <f t="shared" si="469"/>
        <v>586</v>
      </c>
      <c r="AX433" s="10">
        <f t="shared" si="469"/>
        <v>580</v>
      </c>
      <c r="AY433" s="10">
        <f t="shared" si="469"/>
        <v>574</v>
      </c>
      <c r="AZ433" s="10">
        <f t="shared" si="469"/>
        <v>569</v>
      </c>
      <c r="BA433" s="10">
        <f t="shared" si="469"/>
        <v>564</v>
      </c>
      <c r="BB433" s="10">
        <f t="shared" si="469"/>
        <v>559</v>
      </c>
      <c r="BC433" s="10">
        <f t="shared" si="469"/>
        <v>553</v>
      </c>
      <c r="BD433" s="10">
        <f t="shared" si="469"/>
        <v>547</v>
      </c>
      <c r="BE433" s="10">
        <f t="shared" si="469"/>
        <v>541</v>
      </c>
      <c r="BF433" s="10">
        <f t="shared" si="469"/>
        <v>535</v>
      </c>
      <c r="BG433" s="10">
        <f t="shared" si="469"/>
        <v>529</v>
      </c>
      <c r="BH433" s="10">
        <f t="shared" si="469"/>
        <v>523</v>
      </c>
      <c r="BI433" s="10">
        <f t="shared" si="469"/>
        <v>517</v>
      </c>
      <c r="BJ433" s="10">
        <f t="shared" si="469"/>
        <v>511</v>
      </c>
      <c r="BK433" s="67"/>
      <c r="BL433" s="10">
        <f t="shared" ref="BL433" si="470">BL$86</f>
        <v>0</v>
      </c>
      <c r="BM433" s="10">
        <f t="shared" ref="BM433:BW433" si="471">BM$86</f>
        <v>712</v>
      </c>
      <c r="BN433" s="10">
        <f t="shared" si="471"/>
        <v>643</v>
      </c>
      <c r="BO433" s="10">
        <f t="shared" si="471"/>
        <v>574</v>
      </c>
      <c r="BP433" s="10">
        <f t="shared" si="471"/>
        <v>505</v>
      </c>
      <c r="BQ433" s="10">
        <f t="shared" si="471"/>
        <v>505</v>
      </c>
      <c r="BR433" s="10">
        <f t="shared" si="471"/>
        <v>505</v>
      </c>
      <c r="BS433" s="10">
        <f t="shared" si="471"/>
        <v>505</v>
      </c>
      <c r="BT433" s="10">
        <f t="shared" si="471"/>
        <v>505</v>
      </c>
      <c r="BU433" s="10">
        <f t="shared" si="471"/>
        <v>505</v>
      </c>
      <c r="BV433" s="10">
        <f t="shared" si="471"/>
        <v>505</v>
      </c>
      <c r="BW433" s="10">
        <f t="shared" si="471"/>
        <v>505</v>
      </c>
      <c r="BY433" s="12"/>
      <c r="CA433" s="12"/>
      <c r="CR433" s="12"/>
      <c r="EX433" s="10" t="str">
        <f t="shared" si="413"/>
        <v/>
      </c>
    </row>
    <row r="434" spans="1:154" x14ac:dyDescent="0.25">
      <c r="A434" s="67"/>
      <c r="B434" s="84" t="str" cm="1">
        <f t="array" aca="1" ref="B434" ca="1">HYPERLINK(CONCATENATE("#",CELL("address",$D$104)),$D$104)</f>
        <v>Loan 4</v>
      </c>
      <c r="C434" s="380"/>
      <c r="D434" s="60" t="str">
        <f>D$16</f>
        <v>NatWest</v>
      </c>
      <c r="E434" s="221" t="str">
        <f>E$16</f>
        <v xml:space="preserve">Commercial </v>
      </c>
      <c r="F434" s="67"/>
      <c r="G434" s="9" t="s">
        <v>413</v>
      </c>
      <c r="H434" s="50" t="s">
        <v>125</v>
      </c>
      <c r="S434" s="335"/>
      <c r="T434" s="335"/>
      <c r="U434" s="335"/>
      <c r="V434" s="201">
        <f>V$105</f>
        <v>0</v>
      </c>
      <c r="W434" s="10">
        <f>W$105</f>
        <v>727</v>
      </c>
      <c r="X434" s="10">
        <f>X$105</f>
        <v>665</v>
      </c>
      <c r="Y434" s="10">
        <f>Y$105</f>
        <v>603</v>
      </c>
      <c r="Z434" s="67"/>
      <c r="AA434" s="10">
        <f t="shared" ref="AA434:BJ434" si="472">AA$105</f>
        <v>727</v>
      </c>
      <c r="AB434" s="10">
        <f t="shared" si="472"/>
        <v>712</v>
      </c>
      <c r="AC434" s="10">
        <f t="shared" si="472"/>
        <v>712</v>
      </c>
      <c r="AD434" s="10">
        <f t="shared" si="472"/>
        <v>712</v>
      </c>
      <c r="AE434" s="10">
        <f t="shared" si="472"/>
        <v>697</v>
      </c>
      <c r="AF434" s="10">
        <f t="shared" si="472"/>
        <v>697</v>
      </c>
      <c r="AG434" s="10">
        <f t="shared" si="472"/>
        <v>697</v>
      </c>
      <c r="AH434" s="10">
        <f t="shared" si="472"/>
        <v>681</v>
      </c>
      <c r="AI434" s="10">
        <f t="shared" si="472"/>
        <v>681</v>
      </c>
      <c r="AJ434" s="10">
        <f t="shared" si="472"/>
        <v>681</v>
      </c>
      <c r="AK434" s="10">
        <f t="shared" si="472"/>
        <v>665</v>
      </c>
      <c r="AL434" s="10">
        <f t="shared" si="472"/>
        <v>665</v>
      </c>
      <c r="AM434" s="10">
        <f t="shared" si="472"/>
        <v>665</v>
      </c>
      <c r="AN434" s="10">
        <f t="shared" si="472"/>
        <v>650</v>
      </c>
      <c r="AO434" s="10">
        <f t="shared" si="472"/>
        <v>650</v>
      </c>
      <c r="AP434" s="10">
        <f t="shared" si="472"/>
        <v>650</v>
      </c>
      <c r="AQ434" s="10">
        <f t="shared" si="472"/>
        <v>635</v>
      </c>
      <c r="AR434" s="10">
        <f t="shared" si="472"/>
        <v>635</v>
      </c>
      <c r="AS434" s="10">
        <f t="shared" si="472"/>
        <v>635</v>
      </c>
      <c r="AT434" s="10">
        <f t="shared" si="472"/>
        <v>619</v>
      </c>
      <c r="AU434" s="10">
        <f t="shared" si="472"/>
        <v>619</v>
      </c>
      <c r="AV434" s="10">
        <f t="shared" si="472"/>
        <v>619</v>
      </c>
      <c r="AW434" s="10">
        <f t="shared" si="472"/>
        <v>603</v>
      </c>
      <c r="AX434" s="10">
        <f t="shared" si="472"/>
        <v>603</v>
      </c>
      <c r="AY434" s="10">
        <f t="shared" si="472"/>
        <v>603</v>
      </c>
      <c r="AZ434" s="10">
        <f t="shared" si="472"/>
        <v>588</v>
      </c>
      <c r="BA434" s="10">
        <f t="shared" si="472"/>
        <v>588</v>
      </c>
      <c r="BB434" s="10">
        <f t="shared" si="472"/>
        <v>588</v>
      </c>
      <c r="BC434" s="10">
        <f t="shared" si="472"/>
        <v>573</v>
      </c>
      <c r="BD434" s="10">
        <f t="shared" si="472"/>
        <v>573</v>
      </c>
      <c r="BE434" s="10">
        <f t="shared" si="472"/>
        <v>573</v>
      </c>
      <c r="BF434" s="10">
        <f t="shared" si="472"/>
        <v>557</v>
      </c>
      <c r="BG434" s="10">
        <f t="shared" si="472"/>
        <v>557</v>
      </c>
      <c r="BH434" s="10">
        <f t="shared" si="472"/>
        <v>557</v>
      </c>
      <c r="BI434" s="10">
        <f t="shared" si="472"/>
        <v>541</v>
      </c>
      <c r="BJ434" s="10">
        <f t="shared" si="472"/>
        <v>541</v>
      </c>
      <c r="BK434" s="67"/>
      <c r="BL434" s="10">
        <f t="shared" ref="BL434" si="473">BL$105</f>
        <v>0</v>
      </c>
      <c r="BM434" s="10">
        <f t="shared" ref="BM434:BW434" si="474">BM$105</f>
        <v>727</v>
      </c>
      <c r="BN434" s="10">
        <f t="shared" si="474"/>
        <v>665</v>
      </c>
      <c r="BO434" s="10">
        <f t="shared" si="474"/>
        <v>603</v>
      </c>
      <c r="BP434" s="10">
        <f t="shared" si="474"/>
        <v>541</v>
      </c>
      <c r="BQ434" s="10">
        <f t="shared" si="474"/>
        <v>541</v>
      </c>
      <c r="BR434" s="10">
        <f t="shared" si="474"/>
        <v>541</v>
      </c>
      <c r="BS434" s="10">
        <f t="shared" si="474"/>
        <v>541</v>
      </c>
      <c r="BT434" s="10">
        <f t="shared" si="474"/>
        <v>541</v>
      </c>
      <c r="BU434" s="10">
        <f t="shared" si="474"/>
        <v>541</v>
      </c>
      <c r="BV434" s="10">
        <f t="shared" si="474"/>
        <v>541</v>
      </c>
      <c r="BW434" s="10">
        <f t="shared" si="474"/>
        <v>541</v>
      </c>
      <c r="BY434" s="12"/>
      <c r="CA434" s="12"/>
      <c r="CR434" s="12"/>
      <c r="EX434" s="10" t="str">
        <f t="shared" si="413"/>
        <v/>
      </c>
    </row>
    <row r="435" spans="1:154" x14ac:dyDescent="0.25">
      <c r="A435" s="67"/>
      <c r="B435" s="84" t="str" cm="1">
        <f t="array" aca="1" ref="B435" ca="1">HYPERLINK(CONCATENATE("#",CELL("address",$D$123)),$D$123)</f>
        <v>Loan 5</v>
      </c>
      <c r="C435" s="380"/>
      <c r="D435" s="60" t="str">
        <f>D$17</f>
        <v>NatWest</v>
      </c>
      <c r="E435" s="221" t="str">
        <f>E$17</f>
        <v xml:space="preserve">Commercial </v>
      </c>
      <c r="F435" s="67"/>
      <c r="G435" s="9" t="s">
        <v>413</v>
      </c>
      <c r="H435" s="50" t="s">
        <v>125</v>
      </c>
      <c r="S435" s="335"/>
      <c r="T435" s="335"/>
      <c r="U435" s="335"/>
      <c r="V435" s="201">
        <f>V$124</f>
        <v>0</v>
      </c>
      <c r="W435" s="10">
        <f>W$124</f>
        <v>817</v>
      </c>
      <c r="X435" s="10">
        <f>X$124</f>
        <v>753</v>
      </c>
      <c r="Y435" s="10">
        <f>Y$124</f>
        <v>689</v>
      </c>
      <c r="Z435" s="67"/>
      <c r="AA435" s="10">
        <f t="shared" ref="AA435:BJ435" si="475">AA$124</f>
        <v>817</v>
      </c>
      <c r="AB435" s="10">
        <f t="shared" si="475"/>
        <v>801</v>
      </c>
      <c r="AC435" s="10">
        <f t="shared" si="475"/>
        <v>801</v>
      </c>
      <c r="AD435" s="10">
        <f t="shared" si="475"/>
        <v>801</v>
      </c>
      <c r="AE435" s="10">
        <f t="shared" si="475"/>
        <v>785</v>
      </c>
      <c r="AF435" s="10">
        <f t="shared" si="475"/>
        <v>785</v>
      </c>
      <c r="AG435" s="10">
        <f t="shared" si="475"/>
        <v>785</v>
      </c>
      <c r="AH435" s="10">
        <f t="shared" si="475"/>
        <v>769</v>
      </c>
      <c r="AI435" s="10">
        <f t="shared" si="475"/>
        <v>769</v>
      </c>
      <c r="AJ435" s="10">
        <f t="shared" si="475"/>
        <v>769</v>
      </c>
      <c r="AK435" s="10">
        <f t="shared" si="475"/>
        <v>753</v>
      </c>
      <c r="AL435" s="10">
        <f t="shared" si="475"/>
        <v>753</v>
      </c>
      <c r="AM435" s="10">
        <f t="shared" si="475"/>
        <v>753</v>
      </c>
      <c r="AN435" s="10">
        <f t="shared" si="475"/>
        <v>737</v>
      </c>
      <c r="AO435" s="10">
        <f t="shared" si="475"/>
        <v>737</v>
      </c>
      <c r="AP435" s="10">
        <f t="shared" si="475"/>
        <v>737</v>
      </c>
      <c r="AQ435" s="10">
        <f t="shared" si="475"/>
        <v>721</v>
      </c>
      <c r="AR435" s="10">
        <f t="shared" si="475"/>
        <v>721</v>
      </c>
      <c r="AS435" s="10">
        <f t="shared" si="475"/>
        <v>721</v>
      </c>
      <c r="AT435" s="10">
        <f t="shared" si="475"/>
        <v>705</v>
      </c>
      <c r="AU435" s="10">
        <f t="shared" si="475"/>
        <v>705</v>
      </c>
      <c r="AV435" s="10">
        <f t="shared" si="475"/>
        <v>705</v>
      </c>
      <c r="AW435" s="10">
        <f t="shared" si="475"/>
        <v>689</v>
      </c>
      <c r="AX435" s="10">
        <f t="shared" si="475"/>
        <v>689</v>
      </c>
      <c r="AY435" s="10">
        <f t="shared" si="475"/>
        <v>689</v>
      </c>
      <c r="AZ435" s="10">
        <f t="shared" si="475"/>
        <v>673</v>
      </c>
      <c r="BA435" s="10">
        <f t="shared" si="475"/>
        <v>673</v>
      </c>
      <c r="BB435" s="10">
        <f t="shared" si="475"/>
        <v>673</v>
      </c>
      <c r="BC435" s="10">
        <f t="shared" si="475"/>
        <v>657</v>
      </c>
      <c r="BD435" s="10">
        <f t="shared" si="475"/>
        <v>657</v>
      </c>
      <c r="BE435" s="10">
        <f t="shared" si="475"/>
        <v>657</v>
      </c>
      <c r="BF435" s="10">
        <f t="shared" si="475"/>
        <v>641</v>
      </c>
      <c r="BG435" s="10">
        <f t="shared" si="475"/>
        <v>641</v>
      </c>
      <c r="BH435" s="10">
        <f t="shared" si="475"/>
        <v>641</v>
      </c>
      <c r="BI435" s="10">
        <f t="shared" si="475"/>
        <v>625</v>
      </c>
      <c r="BJ435" s="10">
        <f t="shared" si="475"/>
        <v>625</v>
      </c>
      <c r="BK435" s="67"/>
      <c r="BL435" s="10">
        <f t="shared" ref="BL435" si="476">BL$124</f>
        <v>0</v>
      </c>
      <c r="BM435" s="10">
        <f t="shared" ref="BM435:BW435" si="477">BM$124</f>
        <v>817</v>
      </c>
      <c r="BN435" s="10">
        <f t="shared" si="477"/>
        <v>753</v>
      </c>
      <c r="BO435" s="10">
        <f t="shared" si="477"/>
        <v>689</v>
      </c>
      <c r="BP435" s="10">
        <f t="shared" si="477"/>
        <v>625</v>
      </c>
      <c r="BQ435" s="10">
        <f t="shared" si="477"/>
        <v>625</v>
      </c>
      <c r="BR435" s="10">
        <f t="shared" si="477"/>
        <v>625</v>
      </c>
      <c r="BS435" s="10">
        <f t="shared" si="477"/>
        <v>625</v>
      </c>
      <c r="BT435" s="10">
        <f t="shared" si="477"/>
        <v>625</v>
      </c>
      <c r="BU435" s="10">
        <f t="shared" si="477"/>
        <v>625</v>
      </c>
      <c r="BV435" s="10">
        <f t="shared" si="477"/>
        <v>625</v>
      </c>
      <c r="BW435" s="10">
        <f t="shared" si="477"/>
        <v>625</v>
      </c>
      <c r="BY435" s="12"/>
      <c r="CA435" s="12"/>
      <c r="CR435" s="12"/>
      <c r="EX435" s="10" t="str">
        <f t="shared" si="413"/>
        <v/>
      </c>
    </row>
    <row r="436" spans="1:154" x14ac:dyDescent="0.25">
      <c r="A436" s="67"/>
      <c r="B436" s="84" t="str" cm="1">
        <f t="array" aca="1" ref="B436" ca="1">HYPERLINK(CONCATENATE("#",CELL("address",$D$142)),$D$142)</f>
        <v>Loan 6</v>
      </c>
      <c r="C436" s="380"/>
      <c r="D436" s="60">
        <f>D$18</f>
        <v>0</v>
      </c>
      <c r="E436" s="221">
        <f>E$18</f>
        <v>0</v>
      </c>
      <c r="F436" s="67"/>
      <c r="G436" s="9" t="s">
        <v>413</v>
      </c>
      <c r="H436" s="50" t="s">
        <v>125</v>
      </c>
      <c r="S436" s="335"/>
      <c r="T436" s="335"/>
      <c r="U436" s="335"/>
      <c r="V436" s="201">
        <f>V$143</f>
        <v>0</v>
      </c>
      <c r="W436" s="10">
        <f>W$143</f>
        <v>0</v>
      </c>
      <c r="X436" s="10">
        <f>X$143</f>
        <v>0</v>
      </c>
      <c r="Y436" s="10">
        <f>Y$143</f>
        <v>0</v>
      </c>
      <c r="Z436" s="67"/>
      <c r="AA436" s="10">
        <f t="shared" ref="AA436:BJ436" si="478">AA$143</f>
        <v>0</v>
      </c>
      <c r="AB436" s="10">
        <f t="shared" si="478"/>
        <v>0</v>
      </c>
      <c r="AC436" s="10">
        <f t="shared" si="478"/>
        <v>0</v>
      </c>
      <c r="AD436" s="10">
        <f t="shared" si="478"/>
        <v>0</v>
      </c>
      <c r="AE436" s="10">
        <f t="shared" si="478"/>
        <v>0</v>
      </c>
      <c r="AF436" s="10">
        <f t="shared" si="478"/>
        <v>0</v>
      </c>
      <c r="AG436" s="10">
        <f t="shared" si="478"/>
        <v>0</v>
      </c>
      <c r="AH436" s="10">
        <f t="shared" si="478"/>
        <v>0</v>
      </c>
      <c r="AI436" s="10">
        <f t="shared" si="478"/>
        <v>0</v>
      </c>
      <c r="AJ436" s="10">
        <f t="shared" si="478"/>
        <v>0</v>
      </c>
      <c r="AK436" s="10">
        <f t="shared" si="478"/>
        <v>0</v>
      </c>
      <c r="AL436" s="10">
        <f t="shared" si="478"/>
        <v>0</v>
      </c>
      <c r="AM436" s="10">
        <f t="shared" si="478"/>
        <v>0</v>
      </c>
      <c r="AN436" s="10">
        <f t="shared" si="478"/>
        <v>0</v>
      </c>
      <c r="AO436" s="10">
        <f t="shared" si="478"/>
        <v>0</v>
      </c>
      <c r="AP436" s="10">
        <f t="shared" si="478"/>
        <v>0</v>
      </c>
      <c r="AQ436" s="10">
        <f t="shared" si="478"/>
        <v>0</v>
      </c>
      <c r="AR436" s="10">
        <f t="shared" si="478"/>
        <v>0</v>
      </c>
      <c r="AS436" s="10">
        <f t="shared" si="478"/>
        <v>0</v>
      </c>
      <c r="AT436" s="10">
        <f t="shared" si="478"/>
        <v>0</v>
      </c>
      <c r="AU436" s="10">
        <f t="shared" si="478"/>
        <v>0</v>
      </c>
      <c r="AV436" s="10">
        <f t="shared" si="478"/>
        <v>0</v>
      </c>
      <c r="AW436" s="10">
        <f t="shared" si="478"/>
        <v>0</v>
      </c>
      <c r="AX436" s="10">
        <f t="shared" si="478"/>
        <v>0</v>
      </c>
      <c r="AY436" s="10">
        <f t="shared" si="478"/>
        <v>0</v>
      </c>
      <c r="AZ436" s="10">
        <f t="shared" si="478"/>
        <v>0</v>
      </c>
      <c r="BA436" s="10">
        <f t="shared" si="478"/>
        <v>0</v>
      </c>
      <c r="BB436" s="10">
        <f t="shared" si="478"/>
        <v>0</v>
      </c>
      <c r="BC436" s="10">
        <f t="shared" si="478"/>
        <v>0</v>
      </c>
      <c r="BD436" s="10">
        <f t="shared" si="478"/>
        <v>0</v>
      </c>
      <c r="BE436" s="10">
        <f t="shared" si="478"/>
        <v>0</v>
      </c>
      <c r="BF436" s="10">
        <f t="shared" si="478"/>
        <v>0</v>
      </c>
      <c r="BG436" s="10">
        <f t="shared" si="478"/>
        <v>0</v>
      </c>
      <c r="BH436" s="10">
        <f t="shared" si="478"/>
        <v>0</v>
      </c>
      <c r="BI436" s="10">
        <f t="shared" si="478"/>
        <v>0</v>
      </c>
      <c r="BJ436" s="10">
        <f t="shared" si="478"/>
        <v>0</v>
      </c>
      <c r="BK436" s="67"/>
      <c r="BL436" s="10">
        <f t="shared" ref="BL436" si="479">BL$143</f>
        <v>0</v>
      </c>
      <c r="BM436" s="10">
        <f t="shared" ref="BM436:BW436" si="480">BM$143</f>
        <v>0</v>
      </c>
      <c r="BN436" s="10">
        <f t="shared" si="480"/>
        <v>0</v>
      </c>
      <c r="BO436" s="10">
        <f t="shared" si="480"/>
        <v>0</v>
      </c>
      <c r="BP436" s="10">
        <f t="shared" si="480"/>
        <v>0</v>
      </c>
      <c r="BQ436" s="10">
        <f t="shared" si="480"/>
        <v>0</v>
      </c>
      <c r="BR436" s="10">
        <f t="shared" si="480"/>
        <v>0</v>
      </c>
      <c r="BS436" s="10">
        <f t="shared" si="480"/>
        <v>0</v>
      </c>
      <c r="BT436" s="10">
        <f t="shared" si="480"/>
        <v>0</v>
      </c>
      <c r="BU436" s="10">
        <f t="shared" si="480"/>
        <v>0</v>
      </c>
      <c r="BV436" s="10">
        <f t="shared" si="480"/>
        <v>0</v>
      </c>
      <c r="BW436" s="10">
        <f t="shared" si="480"/>
        <v>0</v>
      </c>
      <c r="BY436" s="12"/>
      <c r="CA436" s="12"/>
      <c r="CR436" s="12"/>
      <c r="EX436" s="10" t="str">
        <f t="shared" si="413"/>
        <v/>
      </c>
    </row>
    <row r="437" spans="1:154" x14ac:dyDescent="0.25">
      <c r="A437" s="67"/>
      <c r="B437" s="84" t="str" cm="1">
        <f t="array" aca="1" ref="B437" ca="1">HYPERLINK(CONCATENATE("#",CELL("address",$D$161)),$D$161)</f>
        <v>Loan 7</v>
      </c>
      <c r="C437" s="380"/>
      <c r="D437" s="60">
        <f>D$19</f>
        <v>0</v>
      </c>
      <c r="E437" s="221">
        <f>E$19</f>
        <v>0</v>
      </c>
      <c r="F437" s="67"/>
      <c r="G437" s="9" t="s">
        <v>413</v>
      </c>
      <c r="H437" s="50" t="s">
        <v>125</v>
      </c>
      <c r="S437" s="335"/>
      <c r="T437" s="335"/>
      <c r="U437" s="335"/>
      <c r="V437" s="201">
        <f>V$162</f>
        <v>0</v>
      </c>
      <c r="W437" s="10">
        <f>W$162</f>
        <v>0</v>
      </c>
      <c r="X437" s="10">
        <f>X$162</f>
        <v>0</v>
      </c>
      <c r="Y437" s="10">
        <f>Y$162</f>
        <v>0</v>
      </c>
      <c r="Z437" s="67"/>
      <c r="AA437" s="10">
        <f t="shared" ref="AA437:BJ437" si="481">AA$162</f>
        <v>0</v>
      </c>
      <c r="AB437" s="10">
        <f t="shared" si="481"/>
        <v>0</v>
      </c>
      <c r="AC437" s="10">
        <f t="shared" si="481"/>
        <v>0</v>
      </c>
      <c r="AD437" s="10">
        <f t="shared" si="481"/>
        <v>0</v>
      </c>
      <c r="AE437" s="10">
        <f t="shared" si="481"/>
        <v>0</v>
      </c>
      <c r="AF437" s="10">
        <f t="shared" si="481"/>
        <v>0</v>
      </c>
      <c r="AG437" s="10">
        <f t="shared" si="481"/>
        <v>0</v>
      </c>
      <c r="AH437" s="10">
        <f t="shared" si="481"/>
        <v>0</v>
      </c>
      <c r="AI437" s="10">
        <f t="shared" si="481"/>
        <v>0</v>
      </c>
      <c r="AJ437" s="10">
        <f t="shared" si="481"/>
        <v>0</v>
      </c>
      <c r="AK437" s="10">
        <f t="shared" si="481"/>
        <v>0</v>
      </c>
      <c r="AL437" s="10">
        <f t="shared" si="481"/>
        <v>0</v>
      </c>
      <c r="AM437" s="10">
        <f t="shared" si="481"/>
        <v>0</v>
      </c>
      <c r="AN437" s="10">
        <f t="shared" si="481"/>
        <v>0</v>
      </c>
      <c r="AO437" s="10">
        <f t="shared" si="481"/>
        <v>0</v>
      </c>
      <c r="AP437" s="10">
        <f t="shared" si="481"/>
        <v>0</v>
      </c>
      <c r="AQ437" s="10">
        <f t="shared" si="481"/>
        <v>0</v>
      </c>
      <c r="AR437" s="10">
        <f t="shared" si="481"/>
        <v>0</v>
      </c>
      <c r="AS437" s="10">
        <f t="shared" si="481"/>
        <v>0</v>
      </c>
      <c r="AT437" s="10">
        <f t="shared" si="481"/>
        <v>0</v>
      </c>
      <c r="AU437" s="10">
        <f t="shared" si="481"/>
        <v>0</v>
      </c>
      <c r="AV437" s="10">
        <f t="shared" si="481"/>
        <v>0</v>
      </c>
      <c r="AW437" s="10">
        <f t="shared" si="481"/>
        <v>0</v>
      </c>
      <c r="AX437" s="10">
        <f t="shared" si="481"/>
        <v>0</v>
      </c>
      <c r="AY437" s="10">
        <f t="shared" si="481"/>
        <v>0</v>
      </c>
      <c r="AZ437" s="10">
        <f t="shared" si="481"/>
        <v>0</v>
      </c>
      <c r="BA437" s="10">
        <f t="shared" si="481"/>
        <v>0</v>
      </c>
      <c r="BB437" s="10">
        <f t="shared" si="481"/>
        <v>0</v>
      </c>
      <c r="BC437" s="10">
        <f t="shared" si="481"/>
        <v>0</v>
      </c>
      <c r="BD437" s="10">
        <f t="shared" si="481"/>
        <v>0</v>
      </c>
      <c r="BE437" s="10">
        <f t="shared" si="481"/>
        <v>0</v>
      </c>
      <c r="BF437" s="10">
        <f t="shared" si="481"/>
        <v>0</v>
      </c>
      <c r="BG437" s="10">
        <f t="shared" si="481"/>
        <v>0</v>
      </c>
      <c r="BH437" s="10">
        <f t="shared" si="481"/>
        <v>0</v>
      </c>
      <c r="BI437" s="10">
        <f t="shared" si="481"/>
        <v>0</v>
      </c>
      <c r="BJ437" s="10">
        <f t="shared" si="481"/>
        <v>0</v>
      </c>
      <c r="BK437" s="67"/>
      <c r="BL437" s="10">
        <f t="shared" ref="BL437" si="482">BL$162</f>
        <v>0</v>
      </c>
      <c r="BM437" s="10">
        <f t="shared" ref="BM437:BW437" si="483">BM$162</f>
        <v>0</v>
      </c>
      <c r="BN437" s="10">
        <f t="shared" si="483"/>
        <v>0</v>
      </c>
      <c r="BO437" s="10">
        <f t="shared" si="483"/>
        <v>0</v>
      </c>
      <c r="BP437" s="10">
        <f t="shared" si="483"/>
        <v>0</v>
      </c>
      <c r="BQ437" s="10">
        <f t="shared" si="483"/>
        <v>0</v>
      </c>
      <c r="BR437" s="10">
        <f t="shared" si="483"/>
        <v>0</v>
      </c>
      <c r="BS437" s="10">
        <f t="shared" si="483"/>
        <v>0</v>
      </c>
      <c r="BT437" s="10">
        <f t="shared" si="483"/>
        <v>0</v>
      </c>
      <c r="BU437" s="10">
        <f t="shared" si="483"/>
        <v>0</v>
      </c>
      <c r="BV437" s="10">
        <f t="shared" si="483"/>
        <v>0</v>
      </c>
      <c r="BW437" s="10">
        <f t="shared" si="483"/>
        <v>0</v>
      </c>
      <c r="BY437" s="12"/>
      <c r="CA437" s="12"/>
      <c r="CR437" s="12"/>
      <c r="EX437" s="10" t="str">
        <f t="shared" si="413"/>
        <v/>
      </c>
    </row>
    <row r="438" spans="1:154" x14ac:dyDescent="0.25">
      <c r="A438" s="67"/>
      <c r="B438" s="84" t="str" cm="1">
        <f t="array" aca="1" ref="B438" ca="1">HYPERLINK(CONCATENATE("#",CELL("address",$D$180)),$D$180)</f>
        <v>Loan 8</v>
      </c>
      <c r="C438" s="380"/>
      <c r="D438" s="60">
        <f>D$20</f>
        <v>0</v>
      </c>
      <c r="E438" s="221">
        <f>E$20</f>
        <v>0</v>
      </c>
      <c r="F438" s="67"/>
      <c r="G438" s="9" t="s">
        <v>413</v>
      </c>
      <c r="H438" s="50" t="s">
        <v>125</v>
      </c>
      <c r="S438" s="335"/>
      <c r="T438" s="335"/>
      <c r="U438" s="335"/>
      <c r="V438" s="201">
        <f>V$181</f>
        <v>0</v>
      </c>
      <c r="W438" s="10">
        <f>W$181</f>
        <v>0</v>
      </c>
      <c r="X438" s="10">
        <f>X$181</f>
        <v>0</v>
      </c>
      <c r="Y438" s="10">
        <f>Y$181</f>
        <v>0</v>
      </c>
      <c r="Z438" s="67"/>
      <c r="AA438" s="10">
        <f t="shared" ref="AA438:BJ438" si="484">AA$181</f>
        <v>0</v>
      </c>
      <c r="AB438" s="10">
        <f t="shared" si="484"/>
        <v>0</v>
      </c>
      <c r="AC438" s="10">
        <f t="shared" si="484"/>
        <v>0</v>
      </c>
      <c r="AD438" s="10">
        <f t="shared" si="484"/>
        <v>0</v>
      </c>
      <c r="AE438" s="10">
        <f t="shared" si="484"/>
        <v>0</v>
      </c>
      <c r="AF438" s="10">
        <f t="shared" si="484"/>
        <v>0</v>
      </c>
      <c r="AG438" s="10">
        <f t="shared" si="484"/>
        <v>0</v>
      </c>
      <c r="AH438" s="10">
        <f t="shared" si="484"/>
        <v>0</v>
      </c>
      <c r="AI438" s="10">
        <f t="shared" si="484"/>
        <v>0</v>
      </c>
      <c r="AJ438" s="10">
        <f t="shared" si="484"/>
        <v>0</v>
      </c>
      <c r="AK438" s="10">
        <f t="shared" si="484"/>
        <v>0</v>
      </c>
      <c r="AL438" s="10">
        <f t="shared" si="484"/>
        <v>0</v>
      </c>
      <c r="AM438" s="10">
        <f t="shared" si="484"/>
        <v>0</v>
      </c>
      <c r="AN438" s="10">
        <f t="shared" si="484"/>
        <v>0</v>
      </c>
      <c r="AO438" s="10">
        <f t="shared" si="484"/>
        <v>0</v>
      </c>
      <c r="AP438" s="10">
        <f t="shared" si="484"/>
        <v>0</v>
      </c>
      <c r="AQ438" s="10">
        <f t="shared" si="484"/>
        <v>0</v>
      </c>
      <c r="AR438" s="10">
        <f t="shared" si="484"/>
        <v>0</v>
      </c>
      <c r="AS438" s="10">
        <f t="shared" si="484"/>
        <v>0</v>
      </c>
      <c r="AT438" s="10">
        <f t="shared" si="484"/>
        <v>0</v>
      </c>
      <c r="AU438" s="10">
        <f t="shared" si="484"/>
        <v>0</v>
      </c>
      <c r="AV438" s="10">
        <f t="shared" si="484"/>
        <v>0</v>
      </c>
      <c r="AW438" s="10">
        <f t="shared" si="484"/>
        <v>0</v>
      </c>
      <c r="AX438" s="10">
        <f t="shared" si="484"/>
        <v>0</v>
      </c>
      <c r="AY438" s="10">
        <f t="shared" si="484"/>
        <v>0</v>
      </c>
      <c r="AZ438" s="10">
        <f t="shared" si="484"/>
        <v>0</v>
      </c>
      <c r="BA438" s="10">
        <f t="shared" si="484"/>
        <v>0</v>
      </c>
      <c r="BB438" s="10">
        <f t="shared" si="484"/>
        <v>0</v>
      </c>
      <c r="BC438" s="10">
        <f t="shared" si="484"/>
        <v>0</v>
      </c>
      <c r="BD438" s="10">
        <f t="shared" si="484"/>
        <v>0</v>
      </c>
      <c r="BE438" s="10">
        <f t="shared" si="484"/>
        <v>0</v>
      </c>
      <c r="BF438" s="10">
        <f t="shared" si="484"/>
        <v>0</v>
      </c>
      <c r="BG438" s="10">
        <f t="shared" si="484"/>
        <v>0</v>
      </c>
      <c r="BH438" s="10">
        <f t="shared" si="484"/>
        <v>0</v>
      </c>
      <c r="BI438" s="10">
        <f t="shared" si="484"/>
        <v>0</v>
      </c>
      <c r="BJ438" s="10">
        <f t="shared" si="484"/>
        <v>0</v>
      </c>
      <c r="BK438" s="67"/>
      <c r="BL438" s="10">
        <f t="shared" ref="BL438" si="485">BL$181</f>
        <v>0</v>
      </c>
      <c r="BM438" s="10">
        <f t="shared" ref="BM438:BW438" si="486">BM$181</f>
        <v>0</v>
      </c>
      <c r="BN438" s="10">
        <f t="shared" si="486"/>
        <v>0</v>
      </c>
      <c r="BO438" s="10">
        <f t="shared" si="486"/>
        <v>0</v>
      </c>
      <c r="BP438" s="10">
        <f t="shared" si="486"/>
        <v>0</v>
      </c>
      <c r="BQ438" s="10">
        <f t="shared" si="486"/>
        <v>0</v>
      </c>
      <c r="BR438" s="10">
        <f t="shared" si="486"/>
        <v>0</v>
      </c>
      <c r="BS438" s="10">
        <f t="shared" si="486"/>
        <v>0</v>
      </c>
      <c r="BT438" s="10">
        <f t="shared" si="486"/>
        <v>0</v>
      </c>
      <c r="BU438" s="10">
        <f t="shared" si="486"/>
        <v>0</v>
      </c>
      <c r="BV438" s="10">
        <f t="shared" si="486"/>
        <v>0</v>
      </c>
      <c r="BW438" s="10">
        <f t="shared" si="486"/>
        <v>0</v>
      </c>
      <c r="BY438" s="12"/>
      <c r="CA438" s="12"/>
      <c r="CR438" s="12"/>
      <c r="EX438" s="10" t="str">
        <f t="shared" si="413"/>
        <v/>
      </c>
    </row>
    <row r="439" spans="1:154" x14ac:dyDescent="0.25">
      <c r="A439" s="67"/>
      <c r="B439" s="84" t="str" cm="1">
        <f t="array" aca="1" ref="B439" ca="1">HYPERLINK(CONCATENATE("#",CELL("address",$D$199)),$D$199)</f>
        <v>Loan 9</v>
      </c>
      <c r="C439" s="380"/>
      <c r="D439" s="60">
        <f>D$21</f>
        <v>0</v>
      </c>
      <c r="E439" s="221">
        <f>E$21</f>
        <v>0</v>
      </c>
      <c r="F439" s="67"/>
      <c r="G439" s="9" t="s">
        <v>413</v>
      </c>
      <c r="H439" s="50" t="s">
        <v>125</v>
      </c>
      <c r="S439" s="335"/>
      <c r="T439" s="335"/>
      <c r="U439" s="335"/>
      <c r="V439" s="201">
        <f>V$200</f>
        <v>0</v>
      </c>
      <c r="W439" s="10">
        <f>W$200</f>
        <v>0</v>
      </c>
      <c r="X439" s="10">
        <f>X$200</f>
        <v>0</v>
      </c>
      <c r="Y439" s="10">
        <f>Y$200</f>
        <v>0</v>
      </c>
      <c r="Z439" s="67"/>
      <c r="AA439" s="10">
        <f t="shared" ref="AA439:BJ439" si="487">AA$200</f>
        <v>0</v>
      </c>
      <c r="AB439" s="10">
        <f t="shared" si="487"/>
        <v>0</v>
      </c>
      <c r="AC439" s="10">
        <f t="shared" si="487"/>
        <v>0</v>
      </c>
      <c r="AD439" s="10">
        <f t="shared" si="487"/>
        <v>0</v>
      </c>
      <c r="AE439" s="10">
        <f t="shared" si="487"/>
        <v>0</v>
      </c>
      <c r="AF439" s="10">
        <f t="shared" si="487"/>
        <v>0</v>
      </c>
      <c r="AG439" s="10">
        <f t="shared" si="487"/>
        <v>0</v>
      </c>
      <c r="AH439" s="10">
        <f t="shared" si="487"/>
        <v>0</v>
      </c>
      <c r="AI439" s="10">
        <f t="shared" si="487"/>
        <v>0</v>
      </c>
      <c r="AJ439" s="10">
        <f t="shared" si="487"/>
        <v>0</v>
      </c>
      <c r="AK439" s="10">
        <f t="shared" si="487"/>
        <v>0</v>
      </c>
      <c r="AL439" s="10">
        <f t="shared" si="487"/>
        <v>0</v>
      </c>
      <c r="AM439" s="10">
        <f t="shared" si="487"/>
        <v>0</v>
      </c>
      <c r="AN439" s="10">
        <f t="shared" si="487"/>
        <v>0</v>
      </c>
      <c r="AO439" s="10">
        <f t="shared" si="487"/>
        <v>0</v>
      </c>
      <c r="AP439" s="10">
        <f t="shared" si="487"/>
        <v>0</v>
      </c>
      <c r="AQ439" s="10">
        <f t="shared" si="487"/>
        <v>0</v>
      </c>
      <c r="AR439" s="10">
        <f t="shared" si="487"/>
        <v>0</v>
      </c>
      <c r="AS439" s="10">
        <f t="shared" si="487"/>
        <v>0</v>
      </c>
      <c r="AT439" s="10">
        <f t="shared" si="487"/>
        <v>0</v>
      </c>
      <c r="AU439" s="10">
        <f t="shared" si="487"/>
        <v>0</v>
      </c>
      <c r="AV439" s="10">
        <f t="shared" si="487"/>
        <v>0</v>
      </c>
      <c r="AW439" s="10">
        <f t="shared" si="487"/>
        <v>0</v>
      </c>
      <c r="AX439" s="10">
        <f t="shared" si="487"/>
        <v>0</v>
      </c>
      <c r="AY439" s="10">
        <f t="shared" si="487"/>
        <v>0</v>
      </c>
      <c r="AZ439" s="10">
        <f t="shared" si="487"/>
        <v>0</v>
      </c>
      <c r="BA439" s="10">
        <f t="shared" si="487"/>
        <v>0</v>
      </c>
      <c r="BB439" s="10">
        <f t="shared" si="487"/>
        <v>0</v>
      </c>
      <c r="BC439" s="10">
        <f t="shared" si="487"/>
        <v>0</v>
      </c>
      <c r="BD439" s="10">
        <f t="shared" si="487"/>
        <v>0</v>
      </c>
      <c r="BE439" s="10">
        <f t="shared" si="487"/>
        <v>0</v>
      </c>
      <c r="BF439" s="10">
        <f t="shared" si="487"/>
        <v>0</v>
      </c>
      <c r="BG439" s="10">
        <f t="shared" si="487"/>
        <v>0</v>
      </c>
      <c r="BH439" s="10">
        <f t="shared" si="487"/>
        <v>0</v>
      </c>
      <c r="BI439" s="10">
        <f t="shared" si="487"/>
        <v>0</v>
      </c>
      <c r="BJ439" s="10">
        <f t="shared" si="487"/>
        <v>0</v>
      </c>
      <c r="BK439" s="67"/>
      <c r="BL439" s="10">
        <f t="shared" ref="BL439" si="488">BL$200</f>
        <v>0</v>
      </c>
      <c r="BM439" s="10">
        <f t="shared" ref="BM439:BW439" si="489">BM$200</f>
        <v>0</v>
      </c>
      <c r="BN439" s="10">
        <f t="shared" si="489"/>
        <v>0</v>
      </c>
      <c r="BO439" s="10">
        <f t="shared" si="489"/>
        <v>0</v>
      </c>
      <c r="BP439" s="10">
        <f t="shared" si="489"/>
        <v>0</v>
      </c>
      <c r="BQ439" s="10">
        <f t="shared" si="489"/>
        <v>0</v>
      </c>
      <c r="BR439" s="10">
        <f t="shared" si="489"/>
        <v>0</v>
      </c>
      <c r="BS439" s="10">
        <f t="shared" si="489"/>
        <v>0</v>
      </c>
      <c r="BT439" s="10">
        <f t="shared" si="489"/>
        <v>0</v>
      </c>
      <c r="BU439" s="10">
        <f t="shared" si="489"/>
        <v>0</v>
      </c>
      <c r="BV439" s="10">
        <f t="shared" si="489"/>
        <v>0</v>
      </c>
      <c r="BW439" s="10">
        <f t="shared" si="489"/>
        <v>0</v>
      </c>
      <c r="BY439" s="12"/>
      <c r="CA439" s="12"/>
      <c r="CR439" s="12"/>
      <c r="EX439" s="10" t="str">
        <f t="shared" si="413"/>
        <v/>
      </c>
    </row>
    <row r="440" spans="1:154" x14ac:dyDescent="0.25">
      <c r="A440" s="67"/>
      <c r="B440" s="84" t="str" cm="1">
        <f t="array" aca="1" ref="B440" ca="1">HYPERLINK(CONCATENATE("#",CELL("address",$D$218)),$D$218)</f>
        <v>Loan 10</v>
      </c>
      <c r="C440" s="380"/>
      <c r="D440" s="60">
        <f>D$22</f>
        <v>0</v>
      </c>
      <c r="E440" s="221">
        <f>E$22</f>
        <v>0</v>
      </c>
      <c r="F440" s="67"/>
      <c r="G440" s="9" t="s">
        <v>413</v>
      </c>
      <c r="H440" s="50" t="s">
        <v>125</v>
      </c>
      <c r="S440" s="335"/>
      <c r="T440" s="335"/>
      <c r="U440" s="335"/>
      <c r="V440" s="201">
        <f>V$219</f>
        <v>0</v>
      </c>
      <c r="W440" s="10">
        <f>W$219</f>
        <v>0</v>
      </c>
      <c r="X440" s="10">
        <f>X$219</f>
        <v>0</v>
      </c>
      <c r="Y440" s="10">
        <f>Y$219</f>
        <v>0</v>
      </c>
      <c r="Z440" s="67"/>
      <c r="AA440" s="10">
        <f t="shared" ref="AA440:BJ440" si="490">AA$219</f>
        <v>0</v>
      </c>
      <c r="AB440" s="10">
        <f t="shared" si="490"/>
        <v>0</v>
      </c>
      <c r="AC440" s="10">
        <f t="shared" si="490"/>
        <v>0</v>
      </c>
      <c r="AD440" s="10">
        <f t="shared" si="490"/>
        <v>0</v>
      </c>
      <c r="AE440" s="10">
        <f t="shared" si="490"/>
        <v>0</v>
      </c>
      <c r="AF440" s="10">
        <f t="shared" si="490"/>
        <v>0</v>
      </c>
      <c r="AG440" s="10">
        <f t="shared" si="490"/>
        <v>0</v>
      </c>
      <c r="AH440" s="10">
        <f t="shared" si="490"/>
        <v>0</v>
      </c>
      <c r="AI440" s="10">
        <f t="shared" si="490"/>
        <v>0</v>
      </c>
      <c r="AJ440" s="10">
        <f t="shared" si="490"/>
        <v>0</v>
      </c>
      <c r="AK440" s="10">
        <f t="shared" si="490"/>
        <v>0</v>
      </c>
      <c r="AL440" s="10">
        <f t="shared" si="490"/>
        <v>0</v>
      </c>
      <c r="AM440" s="10">
        <f t="shared" si="490"/>
        <v>0</v>
      </c>
      <c r="AN440" s="10">
        <f t="shared" si="490"/>
        <v>0</v>
      </c>
      <c r="AO440" s="10">
        <f t="shared" si="490"/>
        <v>0</v>
      </c>
      <c r="AP440" s="10">
        <f t="shared" si="490"/>
        <v>0</v>
      </c>
      <c r="AQ440" s="10">
        <f t="shared" si="490"/>
        <v>0</v>
      </c>
      <c r="AR440" s="10">
        <f t="shared" si="490"/>
        <v>0</v>
      </c>
      <c r="AS440" s="10">
        <f t="shared" si="490"/>
        <v>0</v>
      </c>
      <c r="AT440" s="10">
        <f t="shared" si="490"/>
        <v>0</v>
      </c>
      <c r="AU440" s="10">
        <f t="shared" si="490"/>
        <v>0</v>
      </c>
      <c r="AV440" s="10">
        <f t="shared" si="490"/>
        <v>0</v>
      </c>
      <c r="AW440" s="10">
        <f t="shared" si="490"/>
        <v>0</v>
      </c>
      <c r="AX440" s="10">
        <f t="shared" si="490"/>
        <v>0</v>
      </c>
      <c r="AY440" s="10">
        <f t="shared" si="490"/>
        <v>0</v>
      </c>
      <c r="AZ440" s="10">
        <f t="shared" si="490"/>
        <v>0</v>
      </c>
      <c r="BA440" s="10">
        <f t="shared" si="490"/>
        <v>0</v>
      </c>
      <c r="BB440" s="10">
        <f t="shared" si="490"/>
        <v>0</v>
      </c>
      <c r="BC440" s="10">
        <f t="shared" si="490"/>
        <v>0</v>
      </c>
      <c r="BD440" s="10">
        <f t="shared" si="490"/>
        <v>0</v>
      </c>
      <c r="BE440" s="10">
        <f t="shared" si="490"/>
        <v>0</v>
      </c>
      <c r="BF440" s="10">
        <f t="shared" si="490"/>
        <v>0</v>
      </c>
      <c r="BG440" s="10">
        <f t="shared" si="490"/>
        <v>0</v>
      </c>
      <c r="BH440" s="10">
        <f t="shared" si="490"/>
        <v>0</v>
      </c>
      <c r="BI440" s="10">
        <f t="shared" si="490"/>
        <v>0</v>
      </c>
      <c r="BJ440" s="10">
        <f t="shared" si="490"/>
        <v>0</v>
      </c>
      <c r="BK440" s="67"/>
      <c r="BL440" s="10">
        <f t="shared" ref="BL440" si="491">BL$219</f>
        <v>0</v>
      </c>
      <c r="BM440" s="10">
        <f t="shared" ref="BM440:BW440" si="492">BM$219</f>
        <v>0</v>
      </c>
      <c r="BN440" s="10">
        <f t="shared" si="492"/>
        <v>0</v>
      </c>
      <c r="BO440" s="10">
        <f t="shared" si="492"/>
        <v>0</v>
      </c>
      <c r="BP440" s="10">
        <f t="shared" si="492"/>
        <v>0</v>
      </c>
      <c r="BQ440" s="10">
        <f t="shared" si="492"/>
        <v>0</v>
      </c>
      <c r="BR440" s="10">
        <f t="shared" si="492"/>
        <v>0</v>
      </c>
      <c r="BS440" s="10">
        <f t="shared" si="492"/>
        <v>0</v>
      </c>
      <c r="BT440" s="10">
        <f t="shared" si="492"/>
        <v>0</v>
      </c>
      <c r="BU440" s="10">
        <f t="shared" si="492"/>
        <v>0</v>
      </c>
      <c r="BV440" s="10">
        <f t="shared" si="492"/>
        <v>0</v>
      </c>
      <c r="BW440" s="10">
        <f t="shared" si="492"/>
        <v>0</v>
      </c>
      <c r="BY440" s="12"/>
      <c r="CA440" s="12"/>
      <c r="CR440" s="12"/>
      <c r="EX440" s="10" t="str">
        <f t="shared" si="413"/>
        <v/>
      </c>
    </row>
    <row r="441" spans="1:154" x14ac:dyDescent="0.25">
      <c r="A441" s="67"/>
      <c r="B441" s="84" t="str" cm="1">
        <f t="array" aca="1" ref="B441" ca="1">HYPERLINK(CONCATENATE("#",CELL("address",$D$237)),$D$237)</f>
        <v>Loan 11</v>
      </c>
      <c r="C441" s="380"/>
      <c r="D441" s="60">
        <f>D$23</f>
        <v>0</v>
      </c>
      <c r="E441" s="221">
        <f>E$23</f>
        <v>0</v>
      </c>
      <c r="F441" s="67"/>
      <c r="G441" s="9" t="s">
        <v>413</v>
      </c>
      <c r="H441" s="50" t="s">
        <v>125</v>
      </c>
      <c r="S441" s="335"/>
      <c r="T441" s="335"/>
      <c r="U441" s="335"/>
      <c r="V441" s="201">
        <f>V$238</f>
        <v>0</v>
      </c>
      <c r="W441" s="10">
        <f>W$238</f>
        <v>0</v>
      </c>
      <c r="X441" s="10">
        <f>X$238</f>
        <v>0</v>
      </c>
      <c r="Y441" s="10">
        <f>Y$238</f>
        <v>0</v>
      </c>
      <c r="Z441" s="67"/>
      <c r="AA441" s="10">
        <f t="shared" ref="AA441:BJ441" si="493">AA$238</f>
        <v>0</v>
      </c>
      <c r="AB441" s="10">
        <f t="shared" si="493"/>
        <v>0</v>
      </c>
      <c r="AC441" s="10">
        <f t="shared" si="493"/>
        <v>0</v>
      </c>
      <c r="AD441" s="10">
        <f t="shared" si="493"/>
        <v>0</v>
      </c>
      <c r="AE441" s="10">
        <f t="shared" si="493"/>
        <v>0</v>
      </c>
      <c r="AF441" s="10">
        <f t="shared" si="493"/>
        <v>0</v>
      </c>
      <c r="AG441" s="10">
        <f t="shared" si="493"/>
        <v>0</v>
      </c>
      <c r="AH441" s="10">
        <f t="shared" si="493"/>
        <v>0</v>
      </c>
      <c r="AI441" s="10">
        <f t="shared" si="493"/>
        <v>0</v>
      </c>
      <c r="AJ441" s="10">
        <f t="shared" si="493"/>
        <v>0</v>
      </c>
      <c r="AK441" s="10">
        <f t="shared" si="493"/>
        <v>0</v>
      </c>
      <c r="AL441" s="10">
        <f t="shared" si="493"/>
        <v>0</v>
      </c>
      <c r="AM441" s="10">
        <f t="shared" si="493"/>
        <v>0</v>
      </c>
      <c r="AN441" s="10">
        <f t="shared" si="493"/>
        <v>0</v>
      </c>
      <c r="AO441" s="10">
        <f t="shared" si="493"/>
        <v>0</v>
      </c>
      <c r="AP441" s="10">
        <f t="shared" si="493"/>
        <v>0</v>
      </c>
      <c r="AQ441" s="10">
        <f t="shared" si="493"/>
        <v>0</v>
      </c>
      <c r="AR441" s="10">
        <f t="shared" si="493"/>
        <v>0</v>
      </c>
      <c r="AS441" s="10">
        <f t="shared" si="493"/>
        <v>0</v>
      </c>
      <c r="AT441" s="10">
        <f t="shared" si="493"/>
        <v>0</v>
      </c>
      <c r="AU441" s="10">
        <f t="shared" si="493"/>
        <v>0</v>
      </c>
      <c r="AV441" s="10">
        <f t="shared" si="493"/>
        <v>0</v>
      </c>
      <c r="AW441" s="10">
        <f t="shared" si="493"/>
        <v>0</v>
      </c>
      <c r="AX441" s="10">
        <f t="shared" si="493"/>
        <v>0</v>
      </c>
      <c r="AY441" s="10">
        <f t="shared" si="493"/>
        <v>0</v>
      </c>
      <c r="AZ441" s="10">
        <f t="shared" si="493"/>
        <v>0</v>
      </c>
      <c r="BA441" s="10">
        <f t="shared" si="493"/>
        <v>0</v>
      </c>
      <c r="BB441" s="10">
        <f t="shared" si="493"/>
        <v>0</v>
      </c>
      <c r="BC441" s="10">
        <f t="shared" si="493"/>
        <v>0</v>
      </c>
      <c r="BD441" s="10">
        <f t="shared" si="493"/>
        <v>0</v>
      </c>
      <c r="BE441" s="10">
        <f t="shared" si="493"/>
        <v>0</v>
      </c>
      <c r="BF441" s="10">
        <f t="shared" si="493"/>
        <v>0</v>
      </c>
      <c r="BG441" s="10">
        <f t="shared" si="493"/>
        <v>0</v>
      </c>
      <c r="BH441" s="10">
        <f t="shared" si="493"/>
        <v>0</v>
      </c>
      <c r="BI441" s="10">
        <f t="shared" si="493"/>
        <v>0</v>
      </c>
      <c r="BJ441" s="10">
        <f t="shared" si="493"/>
        <v>0</v>
      </c>
      <c r="BK441" s="67"/>
      <c r="BL441" s="10">
        <f t="shared" ref="BL441" si="494">BL$238</f>
        <v>0</v>
      </c>
      <c r="BM441" s="10">
        <f t="shared" ref="BM441:BW441" si="495">BM$238</f>
        <v>0</v>
      </c>
      <c r="BN441" s="10">
        <f t="shared" si="495"/>
        <v>0</v>
      </c>
      <c r="BO441" s="10">
        <f t="shared" si="495"/>
        <v>0</v>
      </c>
      <c r="BP441" s="10">
        <f t="shared" si="495"/>
        <v>0</v>
      </c>
      <c r="BQ441" s="10">
        <f t="shared" si="495"/>
        <v>0</v>
      </c>
      <c r="BR441" s="10">
        <f t="shared" si="495"/>
        <v>0</v>
      </c>
      <c r="BS441" s="10">
        <f t="shared" si="495"/>
        <v>0</v>
      </c>
      <c r="BT441" s="10">
        <f t="shared" si="495"/>
        <v>0</v>
      </c>
      <c r="BU441" s="10">
        <f t="shared" si="495"/>
        <v>0</v>
      </c>
      <c r="BV441" s="10">
        <f t="shared" si="495"/>
        <v>0</v>
      </c>
      <c r="BW441" s="10">
        <f t="shared" si="495"/>
        <v>0</v>
      </c>
      <c r="BY441" s="12"/>
      <c r="CA441" s="12"/>
      <c r="CR441" s="12"/>
      <c r="EX441" s="10" t="str">
        <f t="shared" si="413"/>
        <v/>
      </c>
    </row>
    <row r="442" spans="1:154" x14ac:dyDescent="0.25">
      <c r="A442" s="67"/>
      <c r="B442" s="84" t="str" cm="1">
        <f t="array" aca="1" ref="B442" ca="1">HYPERLINK(CONCATENATE("#",CELL("address",$D$256)),$D$256)</f>
        <v>Loan 12</v>
      </c>
      <c r="C442" s="380"/>
      <c r="D442" s="60">
        <f>D$24</f>
        <v>0</v>
      </c>
      <c r="E442" s="221">
        <f>E$24</f>
        <v>0</v>
      </c>
      <c r="F442" s="67"/>
      <c r="G442" s="9" t="s">
        <v>413</v>
      </c>
      <c r="H442" s="50" t="s">
        <v>125</v>
      </c>
      <c r="S442" s="335"/>
      <c r="T442" s="335"/>
      <c r="U442" s="335"/>
      <c r="V442" s="201">
        <f>V$257</f>
        <v>0</v>
      </c>
      <c r="W442" s="10">
        <f>W$257</f>
        <v>0</v>
      </c>
      <c r="X442" s="10">
        <f>X$257</f>
        <v>0</v>
      </c>
      <c r="Y442" s="10">
        <f>Y$257</f>
        <v>0</v>
      </c>
      <c r="Z442" s="67"/>
      <c r="AA442" s="10">
        <f t="shared" ref="AA442:BJ442" si="496">AA$257</f>
        <v>0</v>
      </c>
      <c r="AB442" s="10">
        <f t="shared" si="496"/>
        <v>0</v>
      </c>
      <c r="AC442" s="10">
        <f t="shared" si="496"/>
        <v>0</v>
      </c>
      <c r="AD442" s="10">
        <f t="shared" si="496"/>
        <v>0</v>
      </c>
      <c r="AE442" s="10">
        <f t="shared" si="496"/>
        <v>0</v>
      </c>
      <c r="AF442" s="10">
        <f t="shared" si="496"/>
        <v>0</v>
      </c>
      <c r="AG442" s="10">
        <f t="shared" si="496"/>
        <v>0</v>
      </c>
      <c r="AH442" s="10">
        <f t="shared" si="496"/>
        <v>0</v>
      </c>
      <c r="AI442" s="10">
        <f t="shared" si="496"/>
        <v>0</v>
      </c>
      <c r="AJ442" s="10">
        <f t="shared" si="496"/>
        <v>0</v>
      </c>
      <c r="AK442" s="10">
        <f t="shared" si="496"/>
        <v>0</v>
      </c>
      <c r="AL442" s="10">
        <f t="shared" si="496"/>
        <v>0</v>
      </c>
      <c r="AM442" s="10">
        <f t="shared" si="496"/>
        <v>0</v>
      </c>
      <c r="AN442" s="10">
        <f t="shared" si="496"/>
        <v>0</v>
      </c>
      <c r="AO442" s="10">
        <f t="shared" si="496"/>
        <v>0</v>
      </c>
      <c r="AP442" s="10">
        <f t="shared" si="496"/>
        <v>0</v>
      </c>
      <c r="AQ442" s="10">
        <f t="shared" si="496"/>
        <v>0</v>
      </c>
      <c r="AR442" s="10">
        <f t="shared" si="496"/>
        <v>0</v>
      </c>
      <c r="AS442" s="10">
        <f t="shared" si="496"/>
        <v>0</v>
      </c>
      <c r="AT442" s="10">
        <f t="shared" si="496"/>
        <v>0</v>
      </c>
      <c r="AU442" s="10">
        <f t="shared" si="496"/>
        <v>0</v>
      </c>
      <c r="AV442" s="10">
        <f t="shared" si="496"/>
        <v>0</v>
      </c>
      <c r="AW442" s="10">
        <f t="shared" si="496"/>
        <v>0</v>
      </c>
      <c r="AX442" s="10">
        <f t="shared" si="496"/>
        <v>0</v>
      </c>
      <c r="AY442" s="10">
        <f t="shared" si="496"/>
        <v>0</v>
      </c>
      <c r="AZ442" s="10">
        <f t="shared" si="496"/>
        <v>0</v>
      </c>
      <c r="BA442" s="10">
        <f t="shared" si="496"/>
        <v>0</v>
      </c>
      <c r="BB442" s="10">
        <f t="shared" si="496"/>
        <v>0</v>
      </c>
      <c r="BC442" s="10">
        <f t="shared" si="496"/>
        <v>0</v>
      </c>
      <c r="BD442" s="10">
        <f t="shared" si="496"/>
        <v>0</v>
      </c>
      <c r="BE442" s="10">
        <f t="shared" si="496"/>
        <v>0</v>
      </c>
      <c r="BF442" s="10">
        <f t="shared" si="496"/>
        <v>0</v>
      </c>
      <c r="BG442" s="10">
        <f t="shared" si="496"/>
        <v>0</v>
      </c>
      <c r="BH442" s="10">
        <f t="shared" si="496"/>
        <v>0</v>
      </c>
      <c r="BI442" s="10">
        <f t="shared" si="496"/>
        <v>0</v>
      </c>
      <c r="BJ442" s="10">
        <f t="shared" si="496"/>
        <v>0</v>
      </c>
      <c r="BK442" s="67"/>
      <c r="BL442" s="10">
        <f t="shared" ref="BL442" si="497">BL$257</f>
        <v>0</v>
      </c>
      <c r="BM442" s="10">
        <f t="shared" ref="BM442:BW442" si="498">BM$257</f>
        <v>0</v>
      </c>
      <c r="BN442" s="10">
        <f t="shared" si="498"/>
        <v>0</v>
      </c>
      <c r="BO442" s="10">
        <f t="shared" si="498"/>
        <v>0</v>
      </c>
      <c r="BP442" s="10">
        <f t="shared" si="498"/>
        <v>0</v>
      </c>
      <c r="BQ442" s="10">
        <f t="shared" si="498"/>
        <v>0</v>
      </c>
      <c r="BR442" s="10">
        <f t="shared" si="498"/>
        <v>0</v>
      </c>
      <c r="BS442" s="10">
        <f t="shared" si="498"/>
        <v>0</v>
      </c>
      <c r="BT442" s="10">
        <f t="shared" si="498"/>
        <v>0</v>
      </c>
      <c r="BU442" s="10">
        <f t="shared" si="498"/>
        <v>0</v>
      </c>
      <c r="BV442" s="10">
        <f t="shared" si="498"/>
        <v>0</v>
      </c>
      <c r="BW442" s="10">
        <f t="shared" si="498"/>
        <v>0</v>
      </c>
      <c r="BY442" s="12"/>
      <c r="CA442" s="12"/>
      <c r="CR442" s="12"/>
      <c r="EX442" s="10" t="str">
        <f t="shared" si="413"/>
        <v/>
      </c>
    </row>
    <row r="443" spans="1:154" x14ac:dyDescent="0.25">
      <c r="A443" s="67"/>
      <c r="B443" s="84" t="str" cm="1">
        <f t="array" aca="1" ref="B443" ca="1">HYPERLINK(CONCATENATE("#",CELL("address",$D$275)),$D$275)</f>
        <v>Loan 13</v>
      </c>
      <c r="C443" s="380"/>
      <c r="D443" s="60">
        <f>D$25</f>
        <v>0</v>
      </c>
      <c r="E443" s="221">
        <f>E$25</f>
        <v>0</v>
      </c>
      <c r="F443" s="67"/>
      <c r="G443" s="9" t="s">
        <v>413</v>
      </c>
      <c r="H443" s="50" t="s">
        <v>125</v>
      </c>
      <c r="S443" s="335"/>
      <c r="T443" s="335"/>
      <c r="U443" s="335"/>
      <c r="V443" s="201">
        <f>V$276</f>
        <v>0</v>
      </c>
      <c r="W443" s="10">
        <f>W$276</f>
        <v>0</v>
      </c>
      <c r="X443" s="10">
        <f>X$276</f>
        <v>0</v>
      </c>
      <c r="Y443" s="10">
        <f>Y$276</f>
        <v>0</v>
      </c>
      <c r="Z443" s="67"/>
      <c r="AA443" s="10">
        <f t="shared" ref="AA443:BJ443" si="499">AA$276</f>
        <v>0</v>
      </c>
      <c r="AB443" s="10">
        <f t="shared" si="499"/>
        <v>0</v>
      </c>
      <c r="AC443" s="10">
        <f t="shared" si="499"/>
        <v>0</v>
      </c>
      <c r="AD443" s="10">
        <f t="shared" si="499"/>
        <v>0</v>
      </c>
      <c r="AE443" s="10">
        <f t="shared" si="499"/>
        <v>0</v>
      </c>
      <c r="AF443" s="10">
        <f t="shared" si="499"/>
        <v>0</v>
      </c>
      <c r="AG443" s="10">
        <f t="shared" si="499"/>
        <v>0</v>
      </c>
      <c r="AH443" s="10">
        <f t="shared" si="499"/>
        <v>0</v>
      </c>
      <c r="AI443" s="10">
        <f t="shared" si="499"/>
        <v>0</v>
      </c>
      <c r="AJ443" s="10">
        <f t="shared" si="499"/>
        <v>0</v>
      </c>
      <c r="AK443" s="10">
        <f t="shared" si="499"/>
        <v>0</v>
      </c>
      <c r="AL443" s="10">
        <f t="shared" si="499"/>
        <v>0</v>
      </c>
      <c r="AM443" s="10">
        <f t="shared" si="499"/>
        <v>0</v>
      </c>
      <c r="AN443" s="10">
        <f t="shared" si="499"/>
        <v>0</v>
      </c>
      <c r="AO443" s="10">
        <f t="shared" si="499"/>
        <v>0</v>
      </c>
      <c r="AP443" s="10">
        <f t="shared" si="499"/>
        <v>0</v>
      </c>
      <c r="AQ443" s="10">
        <f t="shared" si="499"/>
        <v>0</v>
      </c>
      <c r="AR443" s="10">
        <f t="shared" si="499"/>
        <v>0</v>
      </c>
      <c r="AS443" s="10">
        <f t="shared" si="499"/>
        <v>0</v>
      </c>
      <c r="AT443" s="10">
        <f t="shared" si="499"/>
        <v>0</v>
      </c>
      <c r="AU443" s="10">
        <f t="shared" si="499"/>
        <v>0</v>
      </c>
      <c r="AV443" s="10">
        <f t="shared" si="499"/>
        <v>0</v>
      </c>
      <c r="AW443" s="10">
        <f t="shared" si="499"/>
        <v>0</v>
      </c>
      <c r="AX443" s="10">
        <f t="shared" si="499"/>
        <v>0</v>
      </c>
      <c r="AY443" s="10">
        <f t="shared" si="499"/>
        <v>0</v>
      </c>
      <c r="AZ443" s="10">
        <f t="shared" si="499"/>
        <v>0</v>
      </c>
      <c r="BA443" s="10">
        <f t="shared" si="499"/>
        <v>0</v>
      </c>
      <c r="BB443" s="10">
        <f t="shared" si="499"/>
        <v>0</v>
      </c>
      <c r="BC443" s="10">
        <f t="shared" si="499"/>
        <v>0</v>
      </c>
      <c r="BD443" s="10">
        <f t="shared" si="499"/>
        <v>0</v>
      </c>
      <c r="BE443" s="10">
        <f t="shared" si="499"/>
        <v>0</v>
      </c>
      <c r="BF443" s="10">
        <f t="shared" si="499"/>
        <v>0</v>
      </c>
      <c r="BG443" s="10">
        <f t="shared" si="499"/>
        <v>0</v>
      </c>
      <c r="BH443" s="10">
        <f t="shared" si="499"/>
        <v>0</v>
      </c>
      <c r="BI443" s="10">
        <f t="shared" si="499"/>
        <v>0</v>
      </c>
      <c r="BJ443" s="10">
        <f t="shared" si="499"/>
        <v>0</v>
      </c>
      <c r="BK443" s="67"/>
      <c r="BL443" s="10">
        <f t="shared" ref="BL443" si="500">BL$276</f>
        <v>0</v>
      </c>
      <c r="BM443" s="10">
        <f t="shared" ref="BM443:BW443" si="501">BM$276</f>
        <v>0</v>
      </c>
      <c r="BN443" s="10">
        <f t="shared" si="501"/>
        <v>0</v>
      </c>
      <c r="BO443" s="10">
        <f t="shared" si="501"/>
        <v>0</v>
      </c>
      <c r="BP443" s="10">
        <f t="shared" si="501"/>
        <v>0</v>
      </c>
      <c r="BQ443" s="10">
        <f t="shared" si="501"/>
        <v>0</v>
      </c>
      <c r="BR443" s="10">
        <f t="shared" si="501"/>
        <v>0</v>
      </c>
      <c r="BS443" s="10">
        <f t="shared" si="501"/>
        <v>0</v>
      </c>
      <c r="BT443" s="10">
        <f t="shared" si="501"/>
        <v>0</v>
      </c>
      <c r="BU443" s="10">
        <f t="shared" si="501"/>
        <v>0</v>
      </c>
      <c r="BV443" s="10">
        <f t="shared" si="501"/>
        <v>0</v>
      </c>
      <c r="BW443" s="10">
        <f t="shared" si="501"/>
        <v>0</v>
      </c>
      <c r="BY443" s="12"/>
      <c r="CA443" s="12"/>
      <c r="CR443" s="12"/>
      <c r="EX443" s="10" t="str">
        <f t="shared" si="413"/>
        <v/>
      </c>
    </row>
    <row r="444" spans="1:154" s="5" customFormat="1" x14ac:dyDescent="0.25">
      <c r="A444" s="67"/>
      <c r="B444" s="84" t="str" cm="1">
        <f t="array" aca="1" ref="B444" ca="1">HYPERLINK(CONCATENATE("#",CELL("address",$D$294)),$D$294)</f>
        <v>Loan 14</v>
      </c>
      <c r="C444" s="380"/>
      <c r="D444" s="60">
        <f>D$26</f>
        <v>0</v>
      </c>
      <c r="E444" s="221">
        <f>E$26</f>
        <v>0</v>
      </c>
      <c r="F444" s="67"/>
      <c r="G444" s="9" t="s">
        <v>413</v>
      </c>
      <c r="H444" s="50" t="s">
        <v>125</v>
      </c>
      <c r="I444" s="11"/>
      <c r="J444" s="11"/>
      <c r="K444" s="11"/>
      <c r="L444" s="11"/>
      <c r="M444" s="11"/>
      <c r="N444" s="11"/>
      <c r="O444" s="11"/>
      <c r="P444" s="11"/>
      <c r="Q444" s="11"/>
      <c r="R444" s="11"/>
      <c r="S444" s="335"/>
      <c r="T444" s="335"/>
      <c r="U444" s="335"/>
      <c r="V444" s="201">
        <f>V$295</f>
        <v>0</v>
      </c>
      <c r="W444" s="10">
        <f>W$295</f>
        <v>0</v>
      </c>
      <c r="X444" s="10">
        <f>X$295</f>
        <v>0</v>
      </c>
      <c r="Y444" s="10">
        <f>Y$295</f>
        <v>0</v>
      </c>
      <c r="Z444" s="67"/>
      <c r="AA444" s="10">
        <f t="shared" ref="AA444:BJ444" si="502">AA$295</f>
        <v>0</v>
      </c>
      <c r="AB444" s="10">
        <f t="shared" si="502"/>
        <v>0</v>
      </c>
      <c r="AC444" s="10">
        <f t="shared" si="502"/>
        <v>0</v>
      </c>
      <c r="AD444" s="10">
        <f t="shared" si="502"/>
        <v>0</v>
      </c>
      <c r="AE444" s="10">
        <f t="shared" si="502"/>
        <v>0</v>
      </c>
      <c r="AF444" s="10">
        <f t="shared" si="502"/>
        <v>0</v>
      </c>
      <c r="AG444" s="10">
        <f t="shared" si="502"/>
        <v>0</v>
      </c>
      <c r="AH444" s="10">
        <f t="shared" si="502"/>
        <v>0</v>
      </c>
      <c r="AI444" s="10">
        <f t="shared" si="502"/>
        <v>0</v>
      </c>
      <c r="AJ444" s="10">
        <f t="shared" si="502"/>
        <v>0</v>
      </c>
      <c r="AK444" s="10">
        <f t="shared" si="502"/>
        <v>0</v>
      </c>
      <c r="AL444" s="10">
        <f t="shared" si="502"/>
        <v>0</v>
      </c>
      <c r="AM444" s="10">
        <f t="shared" si="502"/>
        <v>0</v>
      </c>
      <c r="AN444" s="10">
        <f t="shared" si="502"/>
        <v>0</v>
      </c>
      <c r="AO444" s="10">
        <f t="shared" si="502"/>
        <v>0</v>
      </c>
      <c r="AP444" s="10">
        <f t="shared" si="502"/>
        <v>0</v>
      </c>
      <c r="AQ444" s="10">
        <f t="shared" si="502"/>
        <v>0</v>
      </c>
      <c r="AR444" s="10">
        <f t="shared" si="502"/>
        <v>0</v>
      </c>
      <c r="AS444" s="10">
        <f t="shared" si="502"/>
        <v>0</v>
      </c>
      <c r="AT444" s="10">
        <f t="shared" si="502"/>
        <v>0</v>
      </c>
      <c r="AU444" s="10">
        <f t="shared" si="502"/>
        <v>0</v>
      </c>
      <c r="AV444" s="10">
        <f t="shared" si="502"/>
        <v>0</v>
      </c>
      <c r="AW444" s="10">
        <f t="shared" si="502"/>
        <v>0</v>
      </c>
      <c r="AX444" s="10">
        <f t="shared" si="502"/>
        <v>0</v>
      </c>
      <c r="AY444" s="10">
        <f t="shared" si="502"/>
        <v>0</v>
      </c>
      <c r="AZ444" s="10">
        <f t="shared" si="502"/>
        <v>0</v>
      </c>
      <c r="BA444" s="10">
        <f t="shared" si="502"/>
        <v>0</v>
      </c>
      <c r="BB444" s="10">
        <f t="shared" si="502"/>
        <v>0</v>
      </c>
      <c r="BC444" s="10">
        <f t="shared" si="502"/>
        <v>0</v>
      </c>
      <c r="BD444" s="10">
        <f t="shared" si="502"/>
        <v>0</v>
      </c>
      <c r="BE444" s="10">
        <f t="shared" si="502"/>
        <v>0</v>
      </c>
      <c r="BF444" s="10">
        <f t="shared" si="502"/>
        <v>0</v>
      </c>
      <c r="BG444" s="10">
        <f t="shared" si="502"/>
        <v>0</v>
      </c>
      <c r="BH444" s="10">
        <f t="shared" si="502"/>
        <v>0</v>
      </c>
      <c r="BI444" s="10">
        <f t="shared" si="502"/>
        <v>0</v>
      </c>
      <c r="BJ444" s="10">
        <f t="shared" si="502"/>
        <v>0</v>
      </c>
      <c r="BK444" s="67"/>
      <c r="BL444" s="10">
        <f t="shared" ref="BL444" si="503">BL$295</f>
        <v>0</v>
      </c>
      <c r="BM444" s="10">
        <f t="shared" ref="BM444:BW444" si="504">BM$295</f>
        <v>0</v>
      </c>
      <c r="BN444" s="10">
        <f t="shared" si="504"/>
        <v>0</v>
      </c>
      <c r="BO444" s="10">
        <f t="shared" si="504"/>
        <v>0</v>
      </c>
      <c r="BP444" s="10">
        <f t="shared" si="504"/>
        <v>0</v>
      </c>
      <c r="BQ444" s="10">
        <f t="shared" si="504"/>
        <v>0</v>
      </c>
      <c r="BR444" s="10">
        <f t="shared" si="504"/>
        <v>0</v>
      </c>
      <c r="BS444" s="10">
        <f t="shared" si="504"/>
        <v>0</v>
      </c>
      <c r="BT444" s="10">
        <f t="shared" si="504"/>
        <v>0</v>
      </c>
      <c r="BU444" s="10">
        <f t="shared" si="504"/>
        <v>0</v>
      </c>
      <c r="BV444" s="10">
        <f t="shared" si="504"/>
        <v>0</v>
      </c>
      <c r="BW444" s="10">
        <f t="shared" si="504"/>
        <v>0</v>
      </c>
      <c r="BX444" s="11"/>
      <c r="BY444" s="12"/>
      <c r="BZ444" s="335"/>
      <c r="CA444" s="12"/>
      <c r="CB444" s="335"/>
      <c r="CC444" s="335"/>
      <c r="CD444" s="335"/>
      <c r="CE444" s="335"/>
      <c r="CF444" s="67"/>
      <c r="CG444" s="11"/>
      <c r="CH444" s="11"/>
      <c r="CI444" s="11"/>
      <c r="CJ444" s="67"/>
      <c r="CK444" s="11"/>
      <c r="CL444" s="11"/>
      <c r="CM444" s="335"/>
      <c r="CN444" s="335"/>
      <c r="CO444" s="335"/>
      <c r="CP444" s="335"/>
      <c r="CQ444" s="67"/>
      <c r="CR444" s="12"/>
      <c r="EX444" s="10" t="str">
        <f t="shared" si="413"/>
        <v/>
      </c>
    </row>
    <row r="445" spans="1:154" x14ac:dyDescent="0.25">
      <c r="A445" s="67"/>
      <c r="B445" s="84" t="str" cm="1">
        <f t="array" aca="1" ref="B445" ca="1">HYPERLINK(CONCATENATE("#",CELL("address",$D$313)),$D$313)</f>
        <v>Loan 15</v>
      </c>
      <c r="C445" s="380"/>
      <c r="D445" s="60">
        <f>D$27</f>
        <v>0</v>
      </c>
      <c r="E445" s="221">
        <f>E$27</f>
        <v>0</v>
      </c>
      <c r="F445" s="67"/>
      <c r="G445" s="9" t="s">
        <v>413</v>
      </c>
      <c r="H445" s="50" t="s">
        <v>125</v>
      </c>
      <c r="S445" s="335"/>
      <c r="T445" s="335"/>
      <c r="U445" s="335"/>
      <c r="V445" s="201">
        <f>V$314</f>
        <v>0</v>
      </c>
      <c r="W445" s="10">
        <f>W$314</f>
        <v>0</v>
      </c>
      <c r="X445" s="10">
        <f>X$314</f>
        <v>0</v>
      </c>
      <c r="Y445" s="10">
        <f>Y$314</f>
        <v>0</v>
      </c>
      <c r="Z445" s="67"/>
      <c r="AA445" s="10">
        <f t="shared" ref="AA445:BJ445" si="505">AA$314</f>
        <v>0</v>
      </c>
      <c r="AB445" s="10">
        <f t="shared" si="505"/>
        <v>0</v>
      </c>
      <c r="AC445" s="10">
        <f t="shared" si="505"/>
        <v>0</v>
      </c>
      <c r="AD445" s="10">
        <f t="shared" si="505"/>
        <v>0</v>
      </c>
      <c r="AE445" s="10">
        <f t="shared" si="505"/>
        <v>0</v>
      </c>
      <c r="AF445" s="10">
        <f t="shared" si="505"/>
        <v>0</v>
      </c>
      <c r="AG445" s="10">
        <f t="shared" si="505"/>
        <v>0</v>
      </c>
      <c r="AH445" s="10">
        <f t="shared" si="505"/>
        <v>0</v>
      </c>
      <c r="AI445" s="10">
        <f t="shared" si="505"/>
        <v>0</v>
      </c>
      <c r="AJ445" s="10">
        <f t="shared" si="505"/>
        <v>0</v>
      </c>
      <c r="AK445" s="10">
        <f t="shared" si="505"/>
        <v>0</v>
      </c>
      <c r="AL445" s="10">
        <f t="shared" si="505"/>
        <v>0</v>
      </c>
      <c r="AM445" s="10">
        <f t="shared" si="505"/>
        <v>0</v>
      </c>
      <c r="AN445" s="10">
        <f t="shared" si="505"/>
        <v>0</v>
      </c>
      <c r="AO445" s="10">
        <f t="shared" si="505"/>
        <v>0</v>
      </c>
      <c r="AP445" s="10">
        <f t="shared" si="505"/>
        <v>0</v>
      </c>
      <c r="AQ445" s="10">
        <f t="shared" si="505"/>
        <v>0</v>
      </c>
      <c r="AR445" s="10">
        <f t="shared" si="505"/>
        <v>0</v>
      </c>
      <c r="AS445" s="10">
        <f t="shared" si="505"/>
        <v>0</v>
      </c>
      <c r="AT445" s="10">
        <f t="shared" si="505"/>
        <v>0</v>
      </c>
      <c r="AU445" s="10">
        <f t="shared" si="505"/>
        <v>0</v>
      </c>
      <c r="AV445" s="10">
        <f t="shared" si="505"/>
        <v>0</v>
      </c>
      <c r="AW445" s="10">
        <f t="shared" si="505"/>
        <v>0</v>
      </c>
      <c r="AX445" s="10">
        <f t="shared" si="505"/>
        <v>0</v>
      </c>
      <c r="AY445" s="10">
        <f t="shared" si="505"/>
        <v>0</v>
      </c>
      <c r="AZ445" s="10">
        <f t="shared" si="505"/>
        <v>0</v>
      </c>
      <c r="BA445" s="10">
        <f t="shared" si="505"/>
        <v>0</v>
      </c>
      <c r="BB445" s="10">
        <f t="shared" si="505"/>
        <v>0</v>
      </c>
      <c r="BC445" s="10">
        <f t="shared" si="505"/>
        <v>0</v>
      </c>
      <c r="BD445" s="10">
        <f t="shared" si="505"/>
        <v>0</v>
      </c>
      <c r="BE445" s="10">
        <f t="shared" si="505"/>
        <v>0</v>
      </c>
      <c r="BF445" s="10">
        <f t="shared" si="505"/>
        <v>0</v>
      </c>
      <c r="BG445" s="10">
        <f t="shared" si="505"/>
        <v>0</v>
      </c>
      <c r="BH445" s="10">
        <f t="shared" si="505"/>
        <v>0</v>
      </c>
      <c r="BI445" s="10">
        <f t="shared" si="505"/>
        <v>0</v>
      </c>
      <c r="BJ445" s="10">
        <f t="shared" si="505"/>
        <v>0</v>
      </c>
      <c r="BK445" s="67"/>
      <c r="BL445" s="10">
        <f t="shared" ref="BL445" si="506">BL$314</f>
        <v>0</v>
      </c>
      <c r="BM445" s="10">
        <f t="shared" ref="BM445:BW445" si="507">BM$314</f>
        <v>0</v>
      </c>
      <c r="BN445" s="10">
        <f t="shared" si="507"/>
        <v>0</v>
      </c>
      <c r="BO445" s="10">
        <f t="shared" si="507"/>
        <v>0</v>
      </c>
      <c r="BP445" s="10">
        <f t="shared" si="507"/>
        <v>0</v>
      </c>
      <c r="BQ445" s="10">
        <f t="shared" si="507"/>
        <v>0</v>
      </c>
      <c r="BR445" s="10">
        <f t="shared" si="507"/>
        <v>0</v>
      </c>
      <c r="BS445" s="10">
        <f t="shared" si="507"/>
        <v>0</v>
      </c>
      <c r="BT445" s="10">
        <f t="shared" si="507"/>
        <v>0</v>
      </c>
      <c r="BU445" s="10">
        <f t="shared" si="507"/>
        <v>0</v>
      </c>
      <c r="BV445" s="10">
        <f t="shared" si="507"/>
        <v>0</v>
      </c>
      <c r="BW445" s="10">
        <f t="shared" si="507"/>
        <v>0</v>
      </c>
      <c r="BY445" s="12"/>
      <c r="CA445" s="12"/>
      <c r="CR445" s="12"/>
      <c r="EX445" s="10" t="str">
        <f t="shared" si="413"/>
        <v/>
      </c>
    </row>
    <row r="446" spans="1:154" x14ac:dyDescent="0.25">
      <c r="A446" s="67"/>
      <c r="B446" s="84" t="str" cm="1">
        <f t="array" aca="1" ref="B446" ca="1">HYPERLINK(CONCATENATE("#",CELL("address",$D$332)),$D$332)</f>
        <v>Loan 16</v>
      </c>
      <c r="C446" s="380"/>
      <c r="D446" s="60">
        <f>D$28</f>
        <v>0</v>
      </c>
      <c r="E446" s="221">
        <f>E$28</f>
        <v>0</v>
      </c>
      <c r="F446" s="67"/>
      <c r="G446" s="9" t="s">
        <v>413</v>
      </c>
      <c r="H446" s="50" t="s">
        <v>125</v>
      </c>
      <c r="S446" s="335"/>
      <c r="T446" s="335"/>
      <c r="U446" s="335"/>
      <c r="V446" s="201">
        <f>V$333</f>
        <v>0</v>
      </c>
      <c r="W446" s="10">
        <f>W$333</f>
        <v>0</v>
      </c>
      <c r="X446" s="10">
        <f>X$333</f>
        <v>0</v>
      </c>
      <c r="Y446" s="10">
        <f>Y$333</f>
        <v>0</v>
      </c>
      <c r="Z446" s="67"/>
      <c r="AA446" s="10">
        <f t="shared" ref="AA446:BJ446" si="508">AA$333</f>
        <v>0</v>
      </c>
      <c r="AB446" s="10">
        <f t="shared" si="508"/>
        <v>0</v>
      </c>
      <c r="AC446" s="10">
        <f t="shared" si="508"/>
        <v>0</v>
      </c>
      <c r="AD446" s="10">
        <f t="shared" si="508"/>
        <v>0</v>
      </c>
      <c r="AE446" s="10">
        <f t="shared" si="508"/>
        <v>0</v>
      </c>
      <c r="AF446" s="10">
        <f t="shared" si="508"/>
        <v>0</v>
      </c>
      <c r="AG446" s="10">
        <f t="shared" si="508"/>
        <v>0</v>
      </c>
      <c r="AH446" s="10">
        <f t="shared" si="508"/>
        <v>0</v>
      </c>
      <c r="AI446" s="10">
        <f t="shared" si="508"/>
        <v>0</v>
      </c>
      <c r="AJ446" s="10">
        <f t="shared" si="508"/>
        <v>0</v>
      </c>
      <c r="AK446" s="10">
        <f t="shared" si="508"/>
        <v>0</v>
      </c>
      <c r="AL446" s="10">
        <f t="shared" si="508"/>
        <v>0</v>
      </c>
      <c r="AM446" s="10">
        <f t="shared" si="508"/>
        <v>0</v>
      </c>
      <c r="AN446" s="10">
        <f t="shared" si="508"/>
        <v>0</v>
      </c>
      <c r="AO446" s="10">
        <f t="shared" si="508"/>
        <v>0</v>
      </c>
      <c r="AP446" s="10">
        <f t="shared" si="508"/>
        <v>0</v>
      </c>
      <c r="AQ446" s="10">
        <f t="shared" si="508"/>
        <v>0</v>
      </c>
      <c r="AR446" s="10">
        <f t="shared" si="508"/>
        <v>0</v>
      </c>
      <c r="AS446" s="10">
        <f t="shared" si="508"/>
        <v>0</v>
      </c>
      <c r="AT446" s="10">
        <f t="shared" si="508"/>
        <v>0</v>
      </c>
      <c r="AU446" s="10">
        <f t="shared" si="508"/>
        <v>0</v>
      </c>
      <c r="AV446" s="10">
        <f t="shared" si="508"/>
        <v>0</v>
      </c>
      <c r="AW446" s="10">
        <f t="shared" si="508"/>
        <v>0</v>
      </c>
      <c r="AX446" s="10">
        <f t="shared" si="508"/>
        <v>0</v>
      </c>
      <c r="AY446" s="10">
        <f t="shared" si="508"/>
        <v>0</v>
      </c>
      <c r="AZ446" s="10">
        <f t="shared" si="508"/>
        <v>0</v>
      </c>
      <c r="BA446" s="10">
        <f t="shared" si="508"/>
        <v>0</v>
      </c>
      <c r="BB446" s="10">
        <f t="shared" si="508"/>
        <v>0</v>
      </c>
      <c r="BC446" s="10">
        <f t="shared" si="508"/>
        <v>0</v>
      </c>
      <c r="BD446" s="10">
        <f t="shared" si="508"/>
        <v>0</v>
      </c>
      <c r="BE446" s="10">
        <f t="shared" si="508"/>
        <v>0</v>
      </c>
      <c r="BF446" s="10">
        <f t="shared" si="508"/>
        <v>0</v>
      </c>
      <c r="BG446" s="10">
        <f t="shared" si="508"/>
        <v>0</v>
      </c>
      <c r="BH446" s="10">
        <f t="shared" si="508"/>
        <v>0</v>
      </c>
      <c r="BI446" s="10">
        <f t="shared" si="508"/>
        <v>0</v>
      </c>
      <c r="BJ446" s="10">
        <f t="shared" si="508"/>
        <v>0</v>
      </c>
      <c r="BK446" s="67"/>
      <c r="BL446" s="10">
        <f t="shared" ref="BL446" si="509">BL$333</f>
        <v>0</v>
      </c>
      <c r="BM446" s="10">
        <f t="shared" ref="BM446:BW446" si="510">BM$333</f>
        <v>0</v>
      </c>
      <c r="BN446" s="10">
        <f t="shared" si="510"/>
        <v>0</v>
      </c>
      <c r="BO446" s="10">
        <f t="shared" si="510"/>
        <v>0</v>
      </c>
      <c r="BP446" s="10">
        <f t="shared" si="510"/>
        <v>0</v>
      </c>
      <c r="BQ446" s="10">
        <f t="shared" si="510"/>
        <v>0</v>
      </c>
      <c r="BR446" s="10">
        <f t="shared" si="510"/>
        <v>0</v>
      </c>
      <c r="BS446" s="10">
        <f t="shared" si="510"/>
        <v>0</v>
      </c>
      <c r="BT446" s="10">
        <f t="shared" si="510"/>
        <v>0</v>
      </c>
      <c r="BU446" s="10">
        <f t="shared" si="510"/>
        <v>0</v>
      </c>
      <c r="BV446" s="10">
        <f t="shared" si="510"/>
        <v>0</v>
      </c>
      <c r="BW446" s="10">
        <f t="shared" si="510"/>
        <v>0</v>
      </c>
      <c r="BY446" s="12"/>
      <c r="CA446" s="12"/>
      <c r="CR446" s="12"/>
      <c r="EX446" s="10" t="str">
        <f t="shared" si="413"/>
        <v/>
      </c>
    </row>
    <row r="447" spans="1:154" x14ac:dyDescent="0.25">
      <c r="A447" s="67"/>
      <c r="B447" s="84" t="str" cm="1">
        <f t="array" aca="1" ref="B447" ca="1">HYPERLINK(CONCATENATE("#",CELL("address",$D$351)),$D$351)</f>
        <v>Loan 17</v>
      </c>
      <c r="C447" s="380"/>
      <c r="D447" s="60">
        <f>D$29</f>
        <v>0</v>
      </c>
      <c r="E447" s="221">
        <f>E$29</f>
        <v>0</v>
      </c>
      <c r="F447" s="67"/>
      <c r="G447" s="9" t="s">
        <v>413</v>
      </c>
      <c r="H447" s="50" t="s">
        <v>125</v>
      </c>
      <c r="S447" s="335"/>
      <c r="T447" s="335"/>
      <c r="U447" s="335"/>
      <c r="V447" s="201">
        <f>V$352</f>
        <v>0</v>
      </c>
      <c r="W447" s="10">
        <f>W$352</f>
        <v>0</v>
      </c>
      <c r="X447" s="10">
        <f>X$352</f>
        <v>0</v>
      </c>
      <c r="Y447" s="10">
        <f>Y$352</f>
        <v>0</v>
      </c>
      <c r="Z447" s="67"/>
      <c r="AA447" s="10">
        <f t="shared" ref="AA447:BJ447" si="511">AA$352</f>
        <v>0</v>
      </c>
      <c r="AB447" s="10">
        <f t="shared" si="511"/>
        <v>0</v>
      </c>
      <c r="AC447" s="10">
        <f t="shared" si="511"/>
        <v>0</v>
      </c>
      <c r="AD447" s="10">
        <f t="shared" si="511"/>
        <v>0</v>
      </c>
      <c r="AE447" s="10">
        <f t="shared" si="511"/>
        <v>0</v>
      </c>
      <c r="AF447" s="10">
        <f t="shared" si="511"/>
        <v>0</v>
      </c>
      <c r="AG447" s="10">
        <f t="shared" si="511"/>
        <v>0</v>
      </c>
      <c r="AH447" s="10">
        <f t="shared" si="511"/>
        <v>0</v>
      </c>
      <c r="AI447" s="10">
        <f t="shared" si="511"/>
        <v>0</v>
      </c>
      <c r="AJ447" s="10">
        <f t="shared" si="511"/>
        <v>0</v>
      </c>
      <c r="AK447" s="10">
        <f t="shared" si="511"/>
        <v>0</v>
      </c>
      <c r="AL447" s="10">
        <f t="shared" si="511"/>
        <v>0</v>
      </c>
      <c r="AM447" s="10">
        <f t="shared" si="511"/>
        <v>0</v>
      </c>
      <c r="AN447" s="10">
        <f t="shared" si="511"/>
        <v>0</v>
      </c>
      <c r="AO447" s="10">
        <f t="shared" si="511"/>
        <v>0</v>
      </c>
      <c r="AP447" s="10">
        <f t="shared" si="511"/>
        <v>0</v>
      </c>
      <c r="AQ447" s="10">
        <f t="shared" si="511"/>
        <v>0</v>
      </c>
      <c r="AR447" s="10">
        <f t="shared" si="511"/>
        <v>0</v>
      </c>
      <c r="AS447" s="10">
        <f t="shared" si="511"/>
        <v>0</v>
      </c>
      <c r="AT447" s="10">
        <f t="shared" si="511"/>
        <v>0</v>
      </c>
      <c r="AU447" s="10">
        <f t="shared" si="511"/>
        <v>0</v>
      </c>
      <c r="AV447" s="10">
        <f t="shared" si="511"/>
        <v>0</v>
      </c>
      <c r="AW447" s="10">
        <f t="shared" si="511"/>
        <v>0</v>
      </c>
      <c r="AX447" s="10">
        <f t="shared" si="511"/>
        <v>0</v>
      </c>
      <c r="AY447" s="10">
        <f t="shared" si="511"/>
        <v>0</v>
      </c>
      <c r="AZ447" s="10">
        <f t="shared" si="511"/>
        <v>0</v>
      </c>
      <c r="BA447" s="10">
        <f t="shared" si="511"/>
        <v>0</v>
      </c>
      <c r="BB447" s="10">
        <f t="shared" si="511"/>
        <v>0</v>
      </c>
      <c r="BC447" s="10">
        <f t="shared" si="511"/>
        <v>0</v>
      </c>
      <c r="BD447" s="10">
        <f t="shared" si="511"/>
        <v>0</v>
      </c>
      <c r="BE447" s="10">
        <f t="shared" si="511"/>
        <v>0</v>
      </c>
      <c r="BF447" s="10">
        <f t="shared" si="511"/>
        <v>0</v>
      </c>
      <c r="BG447" s="10">
        <f t="shared" si="511"/>
        <v>0</v>
      </c>
      <c r="BH447" s="10">
        <f t="shared" si="511"/>
        <v>0</v>
      </c>
      <c r="BI447" s="10">
        <f t="shared" si="511"/>
        <v>0</v>
      </c>
      <c r="BJ447" s="10">
        <f t="shared" si="511"/>
        <v>0</v>
      </c>
      <c r="BK447" s="67"/>
      <c r="BL447" s="10">
        <f t="shared" ref="BL447" si="512">BL$352</f>
        <v>0</v>
      </c>
      <c r="BM447" s="10">
        <f t="shared" ref="BM447:BW447" si="513">BM$352</f>
        <v>0</v>
      </c>
      <c r="BN447" s="10">
        <f t="shared" si="513"/>
        <v>0</v>
      </c>
      <c r="BO447" s="10">
        <f t="shared" si="513"/>
        <v>0</v>
      </c>
      <c r="BP447" s="10">
        <f t="shared" si="513"/>
        <v>0</v>
      </c>
      <c r="BQ447" s="10">
        <f t="shared" si="513"/>
        <v>0</v>
      </c>
      <c r="BR447" s="10">
        <f t="shared" si="513"/>
        <v>0</v>
      </c>
      <c r="BS447" s="10">
        <f t="shared" si="513"/>
        <v>0</v>
      </c>
      <c r="BT447" s="10">
        <f t="shared" si="513"/>
        <v>0</v>
      </c>
      <c r="BU447" s="10">
        <f t="shared" si="513"/>
        <v>0</v>
      </c>
      <c r="BV447" s="10">
        <f t="shared" si="513"/>
        <v>0</v>
      </c>
      <c r="BW447" s="10">
        <f t="shared" si="513"/>
        <v>0</v>
      </c>
      <c r="BY447" s="12"/>
      <c r="CA447" s="12"/>
      <c r="CR447" s="12"/>
      <c r="EX447" s="10" t="str">
        <f t="shared" si="413"/>
        <v/>
      </c>
    </row>
    <row r="448" spans="1:154" x14ac:dyDescent="0.25">
      <c r="A448" s="67"/>
      <c r="B448" s="84" t="str" cm="1">
        <f t="array" aca="1" ref="B448" ca="1">HYPERLINK(CONCATENATE("#",CELL("address",$D$370)),$D$370)</f>
        <v>Loan 18</v>
      </c>
      <c r="C448" s="380"/>
      <c r="D448" s="60">
        <f>D$30</f>
        <v>0</v>
      </c>
      <c r="E448" s="221">
        <f>E$30</f>
        <v>0</v>
      </c>
      <c r="F448" s="67"/>
      <c r="G448" s="9" t="s">
        <v>413</v>
      </c>
      <c r="H448" s="50" t="s">
        <v>125</v>
      </c>
      <c r="S448" s="335"/>
      <c r="T448" s="335"/>
      <c r="U448" s="335"/>
      <c r="V448" s="201">
        <f>V$371</f>
        <v>0</v>
      </c>
      <c r="W448" s="10">
        <f>W$371</f>
        <v>0</v>
      </c>
      <c r="X448" s="10">
        <f>X$371</f>
        <v>0</v>
      </c>
      <c r="Y448" s="10">
        <f>Y$371</f>
        <v>0</v>
      </c>
      <c r="Z448" s="67"/>
      <c r="AA448" s="10">
        <f t="shared" ref="AA448:BJ448" si="514">AA$371</f>
        <v>0</v>
      </c>
      <c r="AB448" s="10">
        <f t="shared" si="514"/>
        <v>0</v>
      </c>
      <c r="AC448" s="10">
        <f t="shared" si="514"/>
        <v>0</v>
      </c>
      <c r="AD448" s="10">
        <f t="shared" si="514"/>
        <v>0</v>
      </c>
      <c r="AE448" s="10">
        <f t="shared" si="514"/>
        <v>0</v>
      </c>
      <c r="AF448" s="10">
        <f t="shared" si="514"/>
        <v>0</v>
      </c>
      <c r="AG448" s="10">
        <f t="shared" si="514"/>
        <v>0</v>
      </c>
      <c r="AH448" s="10">
        <f t="shared" si="514"/>
        <v>0</v>
      </c>
      <c r="AI448" s="10">
        <f t="shared" si="514"/>
        <v>0</v>
      </c>
      <c r="AJ448" s="10">
        <f t="shared" si="514"/>
        <v>0</v>
      </c>
      <c r="AK448" s="10">
        <f t="shared" si="514"/>
        <v>0</v>
      </c>
      <c r="AL448" s="10">
        <f t="shared" si="514"/>
        <v>0</v>
      </c>
      <c r="AM448" s="10">
        <f t="shared" si="514"/>
        <v>0</v>
      </c>
      <c r="AN448" s="10">
        <f t="shared" si="514"/>
        <v>0</v>
      </c>
      <c r="AO448" s="10">
        <f t="shared" si="514"/>
        <v>0</v>
      </c>
      <c r="AP448" s="10">
        <f t="shared" si="514"/>
        <v>0</v>
      </c>
      <c r="AQ448" s="10">
        <f t="shared" si="514"/>
        <v>0</v>
      </c>
      <c r="AR448" s="10">
        <f t="shared" si="514"/>
        <v>0</v>
      </c>
      <c r="AS448" s="10">
        <f t="shared" si="514"/>
        <v>0</v>
      </c>
      <c r="AT448" s="10">
        <f t="shared" si="514"/>
        <v>0</v>
      </c>
      <c r="AU448" s="10">
        <f t="shared" si="514"/>
        <v>0</v>
      </c>
      <c r="AV448" s="10">
        <f t="shared" si="514"/>
        <v>0</v>
      </c>
      <c r="AW448" s="10">
        <f t="shared" si="514"/>
        <v>0</v>
      </c>
      <c r="AX448" s="10">
        <f t="shared" si="514"/>
        <v>0</v>
      </c>
      <c r="AY448" s="10">
        <f t="shared" si="514"/>
        <v>0</v>
      </c>
      <c r="AZ448" s="10">
        <f t="shared" si="514"/>
        <v>0</v>
      </c>
      <c r="BA448" s="10">
        <f t="shared" si="514"/>
        <v>0</v>
      </c>
      <c r="BB448" s="10">
        <f t="shared" si="514"/>
        <v>0</v>
      </c>
      <c r="BC448" s="10">
        <f t="shared" si="514"/>
        <v>0</v>
      </c>
      <c r="BD448" s="10">
        <f t="shared" si="514"/>
        <v>0</v>
      </c>
      <c r="BE448" s="10">
        <f t="shared" si="514"/>
        <v>0</v>
      </c>
      <c r="BF448" s="10">
        <f t="shared" si="514"/>
        <v>0</v>
      </c>
      <c r="BG448" s="10">
        <f t="shared" si="514"/>
        <v>0</v>
      </c>
      <c r="BH448" s="10">
        <f t="shared" si="514"/>
        <v>0</v>
      </c>
      <c r="BI448" s="10">
        <f t="shared" si="514"/>
        <v>0</v>
      </c>
      <c r="BJ448" s="10">
        <f t="shared" si="514"/>
        <v>0</v>
      </c>
      <c r="BK448" s="67"/>
      <c r="BL448" s="10">
        <f t="shared" ref="BL448" si="515">BL$371</f>
        <v>0</v>
      </c>
      <c r="BM448" s="10">
        <f t="shared" ref="BM448:BW448" si="516">BM$371</f>
        <v>0</v>
      </c>
      <c r="BN448" s="10">
        <f t="shared" si="516"/>
        <v>0</v>
      </c>
      <c r="BO448" s="10">
        <f t="shared" si="516"/>
        <v>0</v>
      </c>
      <c r="BP448" s="10">
        <f t="shared" si="516"/>
        <v>0</v>
      </c>
      <c r="BQ448" s="10">
        <f t="shared" si="516"/>
        <v>0</v>
      </c>
      <c r="BR448" s="10">
        <f t="shared" si="516"/>
        <v>0</v>
      </c>
      <c r="BS448" s="10">
        <f t="shared" si="516"/>
        <v>0</v>
      </c>
      <c r="BT448" s="10">
        <f t="shared" si="516"/>
        <v>0</v>
      </c>
      <c r="BU448" s="10">
        <f t="shared" si="516"/>
        <v>0</v>
      </c>
      <c r="BV448" s="10">
        <f t="shared" si="516"/>
        <v>0</v>
      </c>
      <c r="BW448" s="10">
        <f t="shared" si="516"/>
        <v>0</v>
      </c>
      <c r="BY448" s="12"/>
      <c r="CA448" s="12"/>
      <c r="CR448" s="12"/>
      <c r="EX448" s="10" t="str">
        <f t="shared" si="413"/>
        <v/>
      </c>
    </row>
    <row r="449" spans="1:154" x14ac:dyDescent="0.25">
      <c r="A449" s="67"/>
      <c r="B449" s="84" t="str" cm="1">
        <f t="array" aca="1" ref="B449" ca="1">HYPERLINK(CONCATENATE("#",CELL("address",$D$389)),$D$389)</f>
        <v>Loan 19</v>
      </c>
      <c r="C449" s="380"/>
      <c r="D449" s="60">
        <f>D$31</f>
        <v>0</v>
      </c>
      <c r="E449" s="221">
        <f>E$31</f>
        <v>0</v>
      </c>
      <c r="F449" s="67"/>
      <c r="G449" s="9" t="s">
        <v>413</v>
      </c>
      <c r="H449" s="50" t="s">
        <v>125</v>
      </c>
      <c r="S449" s="335"/>
      <c r="T449" s="335"/>
      <c r="U449" s="335"/>
      <c r="V449" s="201">
        <f>V$390</f>
        <v>0</v>
      </c>
      <c r="W449" s="10">
        <f>W$390</f>
        <v>0</v>
      </c>
      <c r="X449" s="10">
        <f>X$390</f>
        <v>0</v>
      </c>
      <c r="Y449" s="10">
        <f>Y$390</f>
        <v>0</v>
      </c>
      <c r="Z449" s="67"/>
      <c r="AA449" s="10">
        <f t="shared" ref="AA449:BJ449" si="517">AA$390</f>
        <v>0</v>
      </c>
      <c r="AB449" s="10">
        <f t="shared" si="517"/>
        <v>0</v>
      </c>
      <c r="AC449" s="10">
        <f t="shared" si="517"/>
        <v>0</v>
      </c>
      <c r="AD449" s="10">
        <f t="shared" si="517"/>
        <v>0</v>
      </c>
      <c r="AE449" s="10">
        <f t="shared" si="517"/>
        <v>0</v>
      </c>
      <c r="AF449" s="10">
        <f t="shared" si="517"/>
        <v>0</v>
      </c>
      <c r="AG449" s="10">
        <f t="shared" si="517"/>
        <v>0</v>
      </c>
      <c r="AH449" s="10">
        <f t="shared" si="517"/>
        <v>0</v>
      </c>
      <c r="AI449" s="10">
        <f t="shared" si="517"/>
        <v>0</v>
      </c>
      <c r="AJ449" s="10">
        <f t="shared" si="517"/>
        <v>0</v>
      </c>
      <c r="AK449" s="10">
        <f t="shared" si="517"/>
        <v>0</v>
      </c>
      <c r="AL449" s="10">
        <f t="shared" si="517"/>
        <v>0</v>
      </c>
      <c r="AM449" s="10">
        <f t="shared" si="517"/>
        <v>0</v>
      </c>
      <c r="AN449" s="10">
        <f t="shared" si="517"/>
        <v>0</v>
      </c>
      <c r="AO449" s="10">
        <f t="shared" si="517"/>
        <v>0</v>
      </c>
      <c r="AP449" s="10">
        <f t="shared" si="517"/>
        <v>0</v>
      </c>
      <c r="AQ449" s="10">
        <f t="shared" si="517"/>
        <v>0</v>
      </c>
      <c r="AR449" s="10">
        <f t="shared" si="517"/>
        <v>0</v>
      </c>
      <c r="AS449" s="10">
        <f t="shared" si="517"/>
        <v>0</v>
      </c>
      <c r="AT449" s="10">
        <f t="shared" si="517"/>
        <v>0</v>
      </c>
      <c r="AU449" s="10">
        <f t="shared" si="517"/>
        <v>0</v>
      </c>
      <c r="AV449" s="10">
        <f t="shared" si="517"/>
        <v>0</v>
      </c>
      <c r="AW449" s="10">
        <f t="shared" si="517"/>
        <v>0</v>
      </c>
      <c r="AX449" s="10">
        <f t="shared" si="517"/>
        <v>0</v>
      </c>
      <c r="AY449" s="10">
        <f t="shared" si="517"/>
        <v>0</v>
      </c>
      <c r="AZ449" s="10">
        <f t="shared" si="517"/>
        <v>0</v>
      </c>
      <c r="BA449" s="10">
        <f t="shared" si="517"/>
        <v>0</v>
      </c>
      <c r="BB449" s="10">
        <f t="shared" si="517"/>
        <v>0</v>
      </c>
      <c r="BC449" s="10">
        <f t="shared" si="517"/>
        <v>0</v>
      </c>
      <c r="BD449" s="10">
        <f t="shared" si="517"/>
        <v>0</v>
      </c>
      <c r="BE449" s="10">
        <f t="shared" si="517"/>
        <v>0</v>
      </c>
      <c r="BF449" s="10">
        <f t="shared" si="517"/>
        <v>0</v>
      </c>
      <c r="BG449" s="10">
        <f t="shared" si="517"/>
        <v>0</v>
      </c>
      <c r="BH449" s="10">
        <f t="shared" si="517"/>
        <v>0</v>
      </c>
      <c r="BI449" s="10">
        <f t="shared" si="517"/>
        <v>0</v>
      </c>
      <c r="BJ449" s="10">
        <f t="shared" si="517"/>
        <v>0</v>
      </c>
      <c r="BK449" s="67"/>
      <c r="BL449" s="10">
        <f t="shared" ref="BL449" si="518">BL$390</f>
        <v>0</v>
      </c>
      <c r="BM449" s="10">
        <f t="shared" ref="BM449:BW449" si="519">BM$390</f>
        <v>0</v>
      </c>
      <c r="BN449" s="10">
        <f t="shared" si="519"/>
        <v>0</v>
      </c>
      <c r="BO449" s="10">
        <f t="shared" si="519"/>
        <v>0</v>
      </c>
      <c r="BP449" s="10">
        <f t="shared" si="519"/>
        <v>0</v>
      </c>
      <c r="BQ449" s="10">
        <f t="shared" si="519"/>
        <v>0</v>
      </c>
      <c r="BR449" s="10">
        <f t="shared" si="519"/>
        <v>0</v>
      </c>
      <c r="BS449" s="10">
        <f t="shared" si="519"/>
        <v>0</v>
      </c>
      <c r="BT449" s="10">
        <f t="shared" si="519"/>
        <v>0</v>
      </c>
      <c r="BU449" s="10">
        <f t="shared" si="519"/>
        <v>0</v>
      </c>
      <c r="BV449" s="10">
        <f t="shared" si="519"/>
        <v>0</v>
      </c>
      <c r="BW449" s="10">
        <f t="shared" si="519"/>
        <v>0</v>
      </c>
      <c r="BY449" s="12"/>
      <c r="CA449" s="12"/>
      <c r="CR449" s="12"/>
      <c r="EX449" s="10" t="str">
        <f t="shared" si="413"/>
        <v/>
      </c>
    </row>
    <row r="450" spans="1:154" x14ac:dyDescent="0.25">
      <c r="A450" s="67"/>
      <c r="B450" s="84" t="str" cm="1">
        <f t="array" aca="1" ref="B450" ca="1">HYPERLINK(CONCATENATE("#",CELL("address",$D$408)),$D$408)</f>
        <v>Loan 20</v>
      </c>
      <c r="C450" s="380"/>
      <c r="D450" s="60">
        <f>D$32</f>
        <v>0</v>
      </c>
      <c r="E450" s="221">
        <f>E$32</f>
        <v>0</v>
      </c>
      <c r="F450" s="67"/>
      <c r="G450" s="9" t="s">
        <v>413</v>
      </c>
      <c r="H450" s="50" t="s">
        <v>125</v>
      </c>
      <c r="S450" s="335"/>
      <c r="T450" s="335"/>
      <c r="U450" s="335"/>
      <c r="V450" s="201">
        <f>V$409</f>
        <v>0</v>
      </c>
      <c r="W450" s="10">
        <f>W$409</f>
        <v>0</v>
      </c>
      <c r="X450" s="10">
        <f>X$409</f>
        <v>0</v>
      </c>
      <c r="Y450" s="10">
        <f>Y$409</f>
        <v>0</v>
      </c>
      <c r="Z450" s="67"/>
      <c r="AA450" s="10">
        <f t="shared" ref="AA450:BJ450" si="520">AA$409</f>
        <v>0</v>
      </c>
      <c r="AB450" s="10">
        <f t="shared" si="520"/>
        <v>0</v>
      </c>
      <c r="AC450" s="10">
        <f t="shared" si="520"/>
        <v>0</v>
      </c>
      <c r="AD450" s="10">
        <f t="shared" si="520"/>
        <v>0</v>
      </c>
      <c r="AE450" s="10">
        <f t="shared" si="520"/>
        <v>0</v>
      </c>
      <c r="AF450" s="10">
        <f t="shared" si="520"/>
        <v>0</v>
      </c>
      <c r="AG450" s="10">
        <f t="shared" si="520"/>
        <v>0</v>
      </c>
      <c r="AH450" s="10">
        <f t="shared" si="520"/>
        <v>0</v>
      </c>
      <c r="AI450" s="10">
        <f t="shared" si="520"/>
        <v>0</v>
      </c>
      <c r="AJ450" s="10">
        <f t="shared" si="520"/>
        <v>0</v>
      </c>
      <c r="AK450" s="10">
        <f t="shared" si="520"/>
        <v>0</v>
      </c>
      <c r="AL450" s="10">
        <f t="shared" si="520"/>
        <v>0</v>
      </c>
      <c r="AM450" s="10">
        <f t="shared" si="520"/>
        <v>0</v>
      </c>
      <c r="AN450" s="10">
        <f t="shared" si="520"/>
        <v>0</v>
      </c>
      <c r="AO450" s="10">
        <f t="shared" si="520"/>
        <v>0</v>
      </c>
      <c r="AP450" s="10">
        <f t="shared" si="520"/>
        <v>0</v>
      </c>
      <c r="AQ450" s="10">
        <f t="shared" si="520"/>
        <v>0</v>
      </c>
      <c r="AR450" s="10">
        <f t="shared" si="520"/>
        <v>0</v>
      </c>
      <c r="AS450" s="10">
        <f t="shared" si="520"/>
        <v>0</v>
      </c>
      <c r="AT450" s="10">
        <f t="shared" si="520"/>
        <v>0</v>
      </c>
      <c r="AU450" s="10">
        <f t="shared" si="520"/>
        <v>0</v>
      </c>
      <c r="AV450" s="10">
        <f t="shared" si="520"/>
        <v>0</v>
      </c>
      <c r="AW450" s="10">
        <f t="shared" si="520"/>
        <v>0</v>
      </c>
      <c r="AX450" s="10">
        <f t="shared" si="520"/>
        <v>0</v>
      </c>
      <c r="AY450" s="10">
        <f t="shared" si="520"/>
        <v>0</v>
      </c>
      <c r="AZ450" s="10">
        <f t="shared" si="520"/>
        <v>0</v>
      </c>
      <c r="BA450" s="10">
        <f t="shared" si="520"/>
        <v>0</v>
      </c>
      <c r="BB450" s="10">
        <f t="shared" si="520"/>
        <v>0</v>
      </c>
      <c r="BC450" s="10">
        <f t="shared" si="520"/>
        <v>0</v>
      </c>
      <c r="BD450" s="10">
        <f t="shared" si="520"/>
        <v>0</v>
      </c>
      <c r="BE450" s="10">
        <f t="shared" si="520"/>
        <v>0</v>
      </c>
      <c r="BF450" s="10">
        <f t="shared" si="520"/>
        <v>0</v>
      </c>
      <c r="BG450" s="10">
        <f t="shared" si="520"/>
        <v>0</v>
      </c>
      <c r="BH450" s="10">
        <f t="shared" si="520"/>
        <v>0</v>
      </c>
      <c r="BI450" s="10">
        <f t="shared" si="520"/>
        <v>0</v>
      </c>
      <c r="BJ450" s="10">
        <f t="shared" si="520"/>
        <v>0</v>
      </c>
      <c r="BK450" s="67"/>
      <c r="BL450" s="10">
        <f t="shared" ref="BL450" si="521">BL$409</f>
        <v>0</v>
      </c>
      <c r="BM450" s="10">
        <f t="shared" ref="BM450:BW450" si="522">BM$409</f>
        <v>0</v>
      </c>
      <c r="BN450" s="10">
        <f t="shared" si="522"/>
        <v>0</v>
      </c>
      <c r="BO450" s="10">
        <f t="shared" si="522"/>
        <v>0</v>
      </c>
      <c r="BP450" s="10">
        <f t="shared" si="522"/>
        <v>0</v>
      </c>
      <c r="BQ450" s="10">
        <f t="shared" si="522"/>
        <v>0</v>
      </c>
      <c r="BR450" s="10">
        <f t="shared" si="522"/>
        <v>0</v>
      </c>
      <c r="BS450" s="10">
        <f t="shared" si="522"/>
        <v>0</v>
      </c>
      <c r="BT450" s="10">
        <f t="shared" si="522"/>
        <v>0</v>
      </c>
      <c r="BU450" s="10">
        <f t="shared" si="522"/>
        <v>0</v>
      </c>
      <c r="BV450" s="10">
        <f t="shared" si="522"/>
        <v>0</v>
      </c>
      <c r="BW450" s="10">
        <f t="shared" si="522"/>
        <v>0</v>
      </c>
      <c r="BY450" s="12"/>
      <c r="CA450" s="12"/>
      <c r="CR450" s="12"/>
      <c r="EX450" s="10" t="str">
        <f t="shared" si="413"/>
        <v/>
      </c>
    </row>
    <row r="451" spans="1:154" ht="6.6" customHeight="1" x14ac:dyDescent="0.25">
      <c r="A451" s="67"/>
      <c r="C451" s="380"/>
      <c r="D451" s="1"/>
      <c r="E451" s="11"/>
      <c r="S451" s="335"/>
      <c r="T451" s="335"/>
      <c r="U451" s="335"/>
      <c r="V451" s="93"/>
      <c r="BM451" s="6"/>
      <c r="BY451" s="42"/>
      <c r="CA451" s="42"/>
      <c r="CR451" s="42"/>
      <c r="EX451" s="10" t="str">
        <f t="shared" si="413"/>
        <v/>
      </c>
    </row>
    <row r="452" spans="1:154" x14ac:dyDescent="0.25">
      <c r="A452" s="67"/>
      <c r="C452" s="380"/>
      <c r="D452" s="61" t="str">
        <f>$D$49</f>
        <v>Drawdowns</v>
      </c>
      <c r="E452" s="11"/>
      <c r="S452" s="335"/>
      <c r="T452" s="335"/>
      <c r="U452" s="335"/>
      <c r="V452" s="93"/>
      <c r="BY452" s="12"/>
      <c r="CA452" s="12"/>
      <c r="CR452" s="12"/>
      <c r="EX452" s="10" t="str">
        <f t="shared" si="413"/>
        <v/>
      </c>
    </row>
    <row r="453" spans="1:154" x14ac:dyDescent="0.25">
      <c r="A453" s="67"/>
      <c r="B453" s="138" t="s">
        <v>551</v>
      </c>
      <c r="C453" s="380"/>
      <c r="D453" s="5" t="str">
        <f>D$11</f>
        <v>Lender</v>
      </c>
      <c r="E453" s="5" t="str">
        <f>E$11</f>
        <v>Loan Category</v>
      </c>
      <c r="F453" s="67"/>
      <c r="S453" s="335"/>
      <c r="T453" s="335"/>
      <c r="U453" s="335"/>
      <c r="V453" s="93"/>
      <c r="BY453" s="12"/>
      <c r="CA453" s="12"/>
      <c r="CR453" s="12"/>
      <c r="EX453" s="10" t="str">
        <f t="shared" ref="EX453:EX516" si="523">IF($C453="","",$D453)</f>
        <v/>
      </c>
    </row>
    <row r="454" spans="1:154" x14ac:dyDescent="0.25">
      <c r="A454" s="67"/>
      <c r="B454" s="84" t="str" cm="1">
        <f t="array" aca="1" ref="B454" ca="1">HYPERLINK(CONCATENATE("#",CELL("address",$D$47)),$D$47)</f>
        <v>Loan 1</v>
      </c>
      <c r="C454" s="380"/>
      <c r="D454" s="60" t="str">
        <f>D$13</f>
        <v>NatWest</v>
      </c>
      <c r="E454" s="221" t="str">
        <f>E$13</f>
        <v xml:space="preserve">Commercial </v>
      </c>
      <c r="F454" s="67"/>
      <c r="G454" s="9" t="s">
        <v>413</v>
      </c>
      <c r="H454" s="50" t="s">
        <v>125</v>
      </c>
      <c r="I454" s="65"/>
      <c r="S454" s="335"/>
      <c r="T454" s="335"/>
      <c r="U454" s="335"/>
      <c r="V454" s="201">
        <f>V$49</f>
        <v>0</v>
      </c>
      <c r="W454" s="10">
        <f>W$49</f>
        <v>0</v>
      </c>
      <c r="X454" s="10">
        <f>X$49</f>
        <v>0</v>
      </c>
      <c r="Y454" s="10">
        <f>Y$49</f>
        <v>0</v>
      </c>
      <c r="Z454" s="67"/>
      <c r="AA454" s="201">
        <f t="shared" ref="AA454:BJ454" si="524">AA$49</f>
        <v>0</v>
      </c>
      <c r="AB454" s="10">
        <f t="shared" si="524"/>
        <v>0</v>
      </c>
      <c r="AC454" s="10">
        <f t="shared" si="524"/>
        <v>0</v>
      </c>
      <c r="AD454" s="10">
        <f t="shared" si="524"/>
        <v>0</v>
      </c>
      <c r="AE454" s="10">
        <f t="shared" si="524"/>
        <v>0</v>
      </c>
      <c r="AF454" s="10">
        <f t="shared" si="524"/>
        <v>0</v>
      </c>
      <c r="AG454" s="10">
        <f t="shared" si="524"/>
        <v>0</v>
      </c>
      <c r="AH454" s="10">
        <f t="shared" si="524"/>
        <v>0</v>
      </c>
      <c r="AI454" s="201">
        <f t="shared" si="524"/>
        <v>0</v>
      </c>
      <c r="AJ454" s="10">
        <f t="shared" si="524"/>
        <v>0</v>
      </c>
      <c r="AK454" s="10">
        <f t="shared" si="524"/>
        <v>0</v>
      </c>
      <c r="AL454" s="10">
        <f t="shared" si="524"/>
        <v>0</v>
      </c>
      <c r="AM454" s="201">
        <f t="shared" si="524"/>
        <v>0</v>
      </c>
      <c r="AN454" s="10">
        <f t="shared" si="524"/>
        <v>0</v>
      </c>
      <c r="AO454" s="10">
        <f t="shared" si="524"/>
        <v>0</v>
      </c>
      <c r="AP454" s="10">
        <f t="shared" si="524"/>
        <v>0</v>
      </c>
      <c r="AQ454" s="10">
        <f t="shared" si="524"/>
        <v>0</v>
      </c>
      <c r="AR454" s="10">
        <f t="shared" si="524"/>
        <v>0</v>
      </c>
      <c r="AS454" s="10">
        <f t="shared" si="524"/>
        <v>0</v>
      </c>
      <c r="AT454" s="10">
        <f t="shared" si="524"/>
        <v>0</v>
      </c>
      <c r="AU454" s="10">
        <f t="shared" si="524"/>
        <v>0</v>
      </c>
      <c r="AV454" s="10">
        <f t="shared" si="524"/>
        <v>0</v>
      </c>
      <c r="AW454" s="10">
        <f t="shared" si="524"/>
        <v>0</v>
      </c>
      <c r="AX454" s="10">
        <f t="shared" si="524"/>
        <v>0</v>
      </c>
      <c r="AY454" s="10">
        <f t="shared" si="524"/>
        <v>0</v>
      </c>
      <c r="AZ454" s="10">
        <f t="shared" si="524"/>
        <v>0</v>
      </c>
      <c r="BA454" s="10">
        <f t="shared" si="524"/>
        <v>0</v>
      </c>
      <c r="BB454" s="10">
        <f t="shared" si="524"/>
        <v>0</v>
      </c>
      <c r="BC454" s="10">
        <f t="shared" si="524"/>
        <v>0</v>
      </c>
      <c r="BD454" s="10">
        <f t="shared" si="524"/>
        <v>0</v>
      </c>
      <c r="BE454" s="10">
        <f t="shared" si="524"/>
        <v>0</v>
      </c>
      <c r="BF454" s="10">
        <f t="shared" si="524"/>
        <v>0</v>
      </c>
      <c r="BG454" s="10">
        <f t="shared" si="524"/>
        <v>0</v>
      </c>
      <c r="BH454" s="10">
        <f t="shared" si="524"/>
        <v>0</v>
      </c>
      <c r="BI454" s="10">
        <f t="shared" si="524"/>
        <v>0</v>
      </c>
      <c r="BJ454" s="10">
        <f t="shared" si="524"/>
        <v>0</v>
      </c>
      <c r="BK454" s="67"/>
      <c r="BL454" s="10">
        <f t="shared" ref="BL454:BW454" si="525">BL$49</f>
        <v>0</v>
      </c>
      <c r="BM454" s="10">
        <f t="shared" si="525"/>
        <v>0</v>
      </c>
      <c r="BN454" s="10">
        <f t="shared" si="525"/>
        <v>0</v>
      </c>
      <c r="BO454" s="10">
        <f t="shared" si="525"/>
        <v>0</v>
      </c>
      <c r="BP454" s="10">
        <f t="shared" si="525"/>
        <v>0</v>
      </c>
      <c r="BQ454" s="10">
        <f t="shared" si="525"/>
        <v>0</v>
      </c>
      <c r="BR454" s="10">
        <f t="shared" si="525"/>
        <v>0</v>
      </c>
      <c r="BS454" s="10">
        <f t="shared" si="525"/>
        <v>0</v>
      </c>
      <c r="BT454" s="10">
        <f t="shared" si="525"/>
        <v>0</v>
      </c>
      <c r="BU454" s="10">
        <f t="shared" si="525"/>
        <v>0</v>
      </c>
      <c r="BV454" s="10">
        <f t="shared" si="525"/>
        <v>0</v>
      </c>
      <c r="BW454" s="10">
        <f t="shared" si="525"/>
        <v>0</v>
      </c>
      <c r="BY454" s="12"/>
      <c r="CA454" s="12"/>
      <c r="CR454" s="12"/>
      <c r="EX454" s="10" t="str">
        <f t="shared" si="523"/>
        <v/>
      </c>
    </row>
    <row r="455" spans="1:154" x14ac:dyDescent="0.25">
      <c r="A455" s="67"/>
      <c r="B455" s="84" t="str" cm="1">
        <f t="array" aca="1" ref="B455" ca="1">HYPERLINK(CONCATENATE("#",CELL("address",$D$66)),$D$66)</f>
        <v>Loan 2</v>
      </c>
      <c r="C455" s="380"/>
      <c r="D455" s="60" t="str">
        <f>D$14</f>
        <v>NatWest</v>
      </c>
      <c r="E455" s="221" t="str">
        <f>E$14</f>
        <v xml:space="preserve">Commercial </v>
      </c>
      <c r="F455" s="67"/>
      <c r="G455" s="9" t="s">
        <v>413</v>
      </c>
      <c r="H455" s="50" t="s">
        <v>125</v>
      </c>
      <c r="S455" s="335"/>
      <c r="T455" s="335"/>
      <c r="U455" s="335"/>
      <c r="V455" s="201">
        <f>V$68</f>
        <v>0</v>
      </c>
      <c r="W455" s="10">
        <f>W$68</f>
        <v>0</v>
      </c>
      <c r="X455" s="10">
        <f>X$68</f>
        <v>0</v>
      </c>
      <c r="Y455" s="10">
        <f>Y$68</f>
        <v>0</v>
      </c>
      <c r="Z455" s="67"/>
      <c r="AA455" s="10">
        <f t="shared" ref="AA455:BJ455" si="526">AA$68</f>
        <v>0</v>
      </c>
      <c r="AB455" s="10">
        <f t="shared" si="526"/>
        <v>0</v>
      </c>
      <c r="AC455" s="10">
        <f t="shared" si="526"/>
        <v>0</v>
      </c>
      <c r="AD455" s="10">
        <f t="shared" si="526"/>
        <v>0</v>
      </c>
      <c r="AE455" s="10">
        <f t="shared" si="526"/>
        <v>0</v>
      </c>
      <c r="AF455" s="10">
        <f t="shared" si="526"/>
        <v>0</v>
      </c>
      <c r="AG455" s="10">
        <f t="shared" si="526"/>
        <v>0</v>
      </c>
      <c r="AH455" s="10">
        <f t="shared" si="526"/>
        <v>0</v>
      </c>
      <c r="AI455" s="10">
        <f t="shared" si="526"/>
        <v>0</v>
      </c>
      <c r="AJ455" s="10">
        <f t="shared" si="526"/>
        <v>0</v>
      </c>
      <c r="AK455" s="10">
        <f t="shared" si="526"/>
        <v>0</v>
      </c>
      <c r="AL455" s="10">
        <f t="shared" si="526"/>
        <v>0</v>
      </c>
      <c r="AM455" s="10">
        <f t="shared" si="526"/>
        <v>0</v>
      </c>
      <c r="AN455" s="10">
        <f t="shared" si="526"/>
        <v>0</v>
      </c>
      <c r="AO455" s="10">
        <f t="shared" si="526"/>
        <v>0</v>
      </c>
      <c r="AP455" s="10">
        <f t="shared" si="526"/>
        <v>0</v>
      </c>
      <c r="AQ455" s="10">
        <f t="shared" si="526"/>
        <v>0</v>
      </c>
      <c r="AR455" s="10">
        <f t="shared" si="526"/>
        <v>0</v>
      </c>
      <c r="AS455" s="10">
        <f t="shared" si="526"/>
        <v>0</v>
      </c>
      <c r="AT455" s="10">
        <f t="shared" si="526"/>
        <v>0</v>
      </c>
      <c r="AU455" s="10">
        <f t="shared" si="526"/>
        <v>0</v>
      </c>
      <c r="AV455" s="10">
        <f t="shared" si="526"/>
        <v>0</v>
      </c>
      <c r="AW455" s="10">
        <f t="shared" si="526"/>
        <v>0</v>
      </c>
      <c r="AX455" s="10">
        <f t="shared" si="526"/>
        <v>0</v>
      </c>
      <c r="AY455" s="10">
        <f t="shared" si="526"/>
        <v>0</v>
      </c>
      <c r="AZ455" s="10">
        <f t="shared" si="526"/>
        <v>0</v>
      </c>
      <c r="BA455" s="10">
        <f t="shared" si="526"/>
        <v>0</v>
      </c>
      <c r="BB455" s="10">
        <f t="shared" si="526"/>
        <v>0</v>
      </c>
      <c r="BC455" s="10">
        <f t="shared" si="526"/>
        <v>0</v>
      </c>
      <c r="BD455" s="10">
        <f t="shared" si="526"/>
        <v>0</v>
      </c>
      <c r="BE455" s="10">
        <f t="shared" si="526"/>
        <v>0</v>
      </c>
      <c r="BF455" s="10">
        <f t="shared" si="526"/>
        <v>0</v>
      </c>
      <c r="BG455" s="10">
        <f t="shared" si="526"/>
        <v>0</v>
      </c>
      <c r="BH455" s="10">
        <f t="shared" si="526"/>
        <v>0</v>
      </c>
      <c r="BI455" s="10">
        <f t="shared" si="526"/>
        <v>0</v>
      </c>
      <c r="BJ455" s="10">
        <f t="shared" si="526"/>
        <v>0</v>
      </c>
      <c r="BK455" s="67"/>
      <c r="BL455" s="10">
        <f t="shared" ref="BL455:BW455" si="527">BL$68</f>
        <v>0</v>
      </c>
      <c r="BM455" s="10">
        <f t="shared" si="527"/>
        <v>0</v>
      </c>
      <c r="BN455" s="10">
        <f t="shared" si="527"/>
        <v>0</v>
      </c>
      <c r="BO455" s="10">
        <f t="shared" si="527"/>
        <v>0</v>
      </c>
      <c r="BP455" s="10">
        <f t="shared" si="527"/>
        <v>0</v>
      </c>
      <c r="BQ455" s="10">
        <f t="shared" si="527"/>
        <v>0</v>
      </c>
      <c r="BR455" s="10">
        <f t="shared" si="527"/>
        <v>0</v>
      </c>
      <c r="BS455" s="10">
        <f t="shared" si="527"/>
        <v>0</v>
      </c>
      <c r="BT455" s="10">
        <f t="shared" si="527"/>
        <v>0</v>
      </c>
      <c r="BU455" s="10">
        <f t="shared" si="527"/>
        <v>0</v>
      </c>
      <c r="BV455" s="10">
        <f t="shared" si="527"/>
        <v>0</v>
      </c>
      <c r="BW455" s="10">
        <f t="shared" si="527"/>
        <v>0</v>
      </c>
      <c r="BY455" s="12"/>
      <c r="CA455" s="12"/>
      <c r="CR455" s="12"/>
      <c r="EX455" s="10" t="str">
        <f t="shared" si="523"/>
        <v/>
      </c>
    </row>
    <row r="456" spans="1:154" x14ac:dyDescent="0.25">
      <c r="A456" s="67"/>
      <c r="B456" s="84" t="str" cm="1">
        <f t="array" aca="1" ref="B456" ca="1">HYPERLINK(CONCATENATE("#",CELL("address",$D$85)),$D$85)</f>
        <v>Loan 3</v>
      </c>
      <c r="C456" s="380"/>
      <c r="D456" s="60" t="str">
        <f>D$15</f>
        <v>NatWest</v>
      </c>
      <c r="E456" s="221" t="str">
        <f>E$15</f>
        <v xml:space="preserve">Commercial </v>
      </c>
      <c r="F456" s="67"/>
      <c r="G456" s="9" t="s">
        <v>413</v>
      </c>
      <c r="H456" s="50" t="s">
        <v>125</v>
      </c>
      <c r="S456" s="335"/>
      <c r="T456" s="335"/>
      <c r="U456" s="335"/>
      <c r="V456" s="201">
        <f>V$87</f>
        <v>0</v>
      </c>
      <c r="W456" s="10">
        <f>W$87</f>
        <v>0</v>
      </c>
      <c r="X456" s="10">
        <f>X$87</f>
        <v>0</v>
      </c>
      <c r="Y456" s="10">
        <f>Y$87</f>
        <v>0</v>
      </c>
      <c r="Z456" s="67"/>
      <c r="AA456" s="10">
        <f t="shared" ref="AA456:BJ456" si="528">AA$87</f>
        <v>0</v>
      </c>
      <c r="AB456" s="10">
        <f t="shared" si="528"/>
        <v>0</v>
      </c>
      <c r="AC456" s="10">
        <f t="shared" si="528"/>
        <v>0</v>
      </c>
      <c r="AD456" s="10">
        <f t="shared" si="528"/>
        <v>0</v>
      </c>
      <c r="AE456" s="10">
        <f t="shared" si="528"/>
        <v>0</v>
      </c>
      <c r="AF456" s="10">
        <f t="shared" si="528"/>
        <v>0</v>
      </c>
      <c r="AG456" s="10">
        <f t="shared" si="528"/>
        <v>0</v>
      </c>
      <c r="AH456" s="10">
        <f t="shared" si="528"/>
        <v>0</v>
      </c>
      <c r="AI456" s="10">
        <f t="shared" si="528"/>
        <v>0</v>
      </c>
      <c r="AJ456" s="10">
        <f t="shared" si="528"/>
        <v>0</v>
      </c>
      <c r="AK456" s="10">
        <f t="shared" si="528"/>
        <v>0</v>
      </c>
      <c r="AL456" s="10">
        <f t="shared" si="528"/>
        <v>0</v>
      </c>
      <c r="AM456" s="10">
        <f t="shared" si="528"/>
        <v>0</v>
      </c>
      <c r="AN456" s="10">
        <f t="shared" si="528"/>
        <v>0</v>
      </c>
      <c r="AO456" s="10">
        <f t="shared" si="528"/>
        <v>0</v>
      </c>
      <c r="AP456" s="10">
        <f t="shared" si="528"/>
        <v>0</v>
      </c>
      <c r="AQ456" s="10">
        <f t="shared" si="528"/>
        <v>0</v>
      </c>
      <c r="AR456" s="10">
        <f t="shared" si="528"/>
        <v>0</v>
      </c>
      <c r="AS456" s="10">
        <f t="shared" si="528"/>
        <v>0</v>
      </c>
      <c r="AT456" s="10">
        <f t="shared" si="528"/>
        <v>0</v>
      </c>
      <c r="AU456" s="10">
        <f t="shared" si="528"/>
        <v>0</v>
      </c>
      <c r="AV456" s="10">
        <f t="shared" si="528"/>
        <v>0</v>
      </c>
      <c r="AW456" s="10">
        <f t="shared" si="528"/>
        <v>0</v>
      </c>
      <c r="AX456" s="10">
        <f t="shared" si="528"/>
        <v>0</v>
      </c>
      <c r="AY456" s="10">
        <f t="shared" si="528"/>
        <v>0</v>
      </c>
      <c r="AZ456" s="10">
        <f t="shared" si="528"/>
        <v>0</v>
      </c>
      <c r="BA456" s="10">
        <f t="shared" si="528"/>
        <v>0</v>
      </c>
      <c r="BB456" s="10">
        <f t="shared" si="528"/>
        <v>0</v>
      </c>
      <c r="BC456" s="10">
        <f t="shared" si="528"/>
        <v>0</v>
      </c>
      <c r="BD456" s="10">
        <f t="shared" si="528"/>
        <v>0</v>
      </c>
      <c r="BE456" s="10">
        <f t="shared" si="528"/>
        <v>0</v>
      </c>
      <c r="BF456" s="10">
        <f t="shared" si="528"/>
        <v>0</v>
      </c>
      <c r="BG456" s="10">
        <f t="shared" si="528"/>
        <v>0</v>
      </c>
      <c r="BH456" s="10">
        <f t="shared" si="528"/>
        <v>0</v>
      </c>
      <c r="BI456" s="10">
        <f t="shared" si="528"/>
        <v>0</v>
      </c>
      <c r="BJ456" s="10">
        <f t="shared" si="528"/>
        <v>0</v>
      </c>
      <c r="BK456" s="67"/>
      <c r="BL456" s="10">
        <f t="shared" ref="BL456:BW456" si="529">BL$87</f>
        <v>0</v>
      </c>
      <c r="BM456" s="10">
        <f t="shared" si="529"/>
        <v>0</v>
      </c>
      <c r="BN456" s="10">
        <f t="shared" si="529"/>
        <v>0</v>
      </c>
      <c r="BO456" s="10">
        <f t="shared" si="529"/>
        <v>0</v>
      </c>
      <c r="BP456" s="10">
        <f t="shared" si="529"/>
        <v>0</v>
      </c>
      <c r="BQ456" s="10">
        <f t="shared" si="529"/>
        <v>0</v>
      </c>
      <c r="BR456" s="10">
        <f t="shared" si="529"/>
        <v>0</v>
      </c>
      <c r="BS456" s="10">
        <f t="shared" si="529"/>
        <v>0</v>
      </c>
      <c r="BT456" s="10">
        <f t="shared" si="529"/>
        <v>0</v>
      </c>
      <c r="BU456" s="10">
        <f t="shared" si="529"/>
        <v>0</v>
      </c>
      <c r="BV456" s="10">
        <f t="shared" si="529"/>
        <v>0</v>
      </c>
      <c r="BW456" s="10">
        <f t="shared" si="529"/>
        <v>0</v>
      </c>
      <c r="BY456" s="12"/>
      <c r="CA456" s="12"/>
      <c r="CR456" s="12"/>
      <c r="EX456" s="10" t="str">
        <f t="shared" si="523"/>
        <v/>
      </c>
    </row>
    <row r="457" spans="1:154" x14ac:dyDescent="0.25">
      <c r="A457" s="67"/>
      <c r="B457" s="84" t="str" cm="1">
        <f t="array" aca="1" ref="B457" ca="1">HYPERLINK(CONCATENATE("#",CELL("address",$D$104)),$D$104)</f>
        <v>Loan 4</v>
      </c>
      <c r="C457" s="380"/>
      <c r="D457" s="60" t="str">
        <f>D$16</f>
        <v>NatWest</v>
      </c>
      <c r="E457" s="221" t="str">
        <f>E$16</f>
        <v xml:space="preserve">Commercial </v>
      </c>
      <c r="F457" s="67"/>
      <c r="G457" s="9" t="s">
        <v>413</v>
      </c>
      <c r="H457" s="50" t="s">
        <v>125</v>
      </c>
      <c r="S457" s="335"/>
      <c r="T457" s="335"/>
      <c r="U457" s="335"/>
      <c r="V457" s="201">
        <f>V$106</f>
        <v>0</v>
      </c>
      <c r="W457" s="10">
        <f>W$106</f>
        <v>0</v>
      </c>
      <c r="X457" s="10">
        <f>X$106</f>
        <v>0</v>
      </c>
      <c r="Y457" s="10">
        <f>Y$106</f>
        <v>0</v>
      </c>
      <c r="Z457" s="67"/>
      <c r="AA457" s="10">
        <f t="shared" ref="AA457:BJ457" si="530">AA$106</f>
        <v>0</v>
      </c>
      <c r="AB457" s="10">
        <f t="shared" si="530"/>
        <v>0</v>
      </c>
      <c r="AC457" s="10">
        <f t="shared" si="530"/>
        <v>0</v>
      </c>
      <c r="AD457" s="10">
        <f t="shared" si="530"/>
        <v>0</v>
      </c>
      <c r="AE457" s="10">
        <f t="shared" si="530"/>
        <v>0</v>
      </c>
      <c r="AF457" s="10">
        <f t="shared" si="530"/>
        <v>0</v>
      </c>
      <c r="AG457" s="10">
        <f t="shared" si="530"/>
        <v>0</v>
      </c>
      <c r="AH457" s="10">
        <f t="shared" si="530"/>
        <v>0</v>
      </c>
      <c r="AI457" s="10">
        <f t="shared" si="530"/>
        <v>0</v>
      </c>
      <c r="AJ457" s="10">
        <f t="shared" si="530"/>
        <v>0</v>
      </c>
      <c r="AK457" s="10">
        <f t="shared" si="530"/>
        <v>0</v>
      </c>
      <c r="AL457" s="10">
        <f t="shared" si="530"/>
        <v>0</v>
      </c>
      <c r="AM457" s="10">
        <f t="shared" si="530"/>
        <v>0</v>
      </c>
      <c r="AN457" s="10">
        <f t="shared" si="530"/>
        <v>0</v>
      </c>
      <c r="AO457" s="10">
        <f t="shared" si="530"/>
        <v>0</v>
      </c>
      <c r="AP457" s="10">
        <f t="shared" si="530"/>
        <v>0</v>
      </c>
      <c r="AQ457" s="10">
        <f t="shared" si="530"/>
        <v>0</v>
      </c>
      <c r="AR457" s="10">
        <f t="shared" si="530"/>
        <v>0</v>
      </c>
      <c r="AS457" s="10">
        <f t="shared" si="530"/>
        <v>0</v>
      </c>
      <c r="AT457" s="10">
        <f t="shared" si="530"/>
        <v>0</v>
      </c>
      <c r="AU457" s="10">
        <f t="shared" si="530"/>
        <v>0</v>
      </c>
      <c r="AV457" s="10">
        <f t="shared" si="530"/>
        <v>0</v>
      </c>
      <c r="AW457" s="10">
        <f t="shared" si="530"/>
        <v>0</v>
      </c>
      <c r="AX457" s="10">
        <f t="shared" si="530"/>
        <v>0</v>
      </c>
      <c r="AY457" s="10">
        <f t="shared" si="530"/>
        <v>0</v>
      </c>
      <c r="AZ457" s="10">
        <f t="shared" si="530"/>
        <v>0</v>
      </c>
      <c r="BA457" s="10">
        <f t="shared" si="530"/>
        <v>0</v>
      </c>
      <c r="BB457" s="10">
        <f t="shared" si="530"/>
        <v>0</v>
      </c>
      <c r="BC457" s="10">
        <f t="shared" si="530"/>
        <v>0</v>
      </c>
      <c r="BD457" s="10">
        <f t="shared" si="530"/>
        <v>0</v>
      </c>
      <c r="BE457" s="10">
        <f t="shared" si="530"/>
        <v>0</v>
      </c>
      <c r="BF457" s="10">
        <f t="shared" si="530"/>
        <v>0</v>
      </c>
      <c r="BG457" s="10">
        <f t="shared" si="530"/>
        <v>0</v>
      </c>
      <c r="BH457" s="10">
        <f t="shared" si="530"/>
        <v>0</v>
      </c>
      <c r="BI457" s="10">
        <f t="shared" si="530"/>
        <v>0</v>
      </c>
      <c r="BJ457" s="10">
        <f t="shared" si="530"/>
        <v>0</v>
      </c>
      <c r="BK457" s="67"/>
      <c r="BL457" s="10">
        <f t="shared" ref="BL457:BW457" si="531">BL$106</f>
        <v>0</v>
      </c>
      <c r="BM457" s="10">
        <f t="shared" si="531"/>
        <v>0</v>
      </c>
      <c r="BN457" s="10">
        <f t="shared" si="531"/>
        <v>0</v>
      </c>
      <c r="BO457" s="10">
        <f t="shared" si="531"/>
        <v>0</v>
      </c>
      <c r="BP457" s="10">
        <f t="shared" si="531"/>
        <v>0</v>
      </c>
      <c r="BQ457" s="10">
        <f t="shared" si="531"/>
        <v>0</v>
      </c>
      <c r="BR457" s="10">
        <f t="shared" si="531"/>
        <v>0</v>
      </c>
      <c r="BS457" s="10">
        <f t="shared" si="531"/>
        <v>0</v>
      </c>
      <c r="BT457" s="10">
        <f t="shared" si="531"/>
        <v>0</v>
      </c>
      <c r="BU457" s="10">
        <f t="shared" si="531"/>
        <v>0</v>
      </c>
      <c r="BV457" s="10">
        <f t="shared" si="531"/>
        <v>0</v>
      </c>
      <c r="BW457" s="10">
        <f t="shared" si="531"/>
        <v>0</v>
      </c>
      <c r="BY457" s="12"/>
      <c r="CA457" s="12"/>
      <c r="CR457" s="12"/>
      <c r="EX457" s="10" t="str">
        <f t="shared" si="523"/>
        <v/>
      </c>
    </row>
    <row r="458" spans="1:154" x14ac:dyDescent="0.25">
      <c r="A458" s="67"/>
      <c r="B458" s="84" t="str" cm="1">
        <f t="array" aca="1" ref="B458" ca="1">HYPERLINK(CONCATENATE("#",CELL("address",$D$123)),$D$123)</f>
        <v>Loan 5</v>
      </c>
      <c r="C458" s="380"/>
      <c r="D458" s="60" t="str">
        <f>D$17</f>
        <v>NatWest</v>
      </c>
      <c r="E458" s="221" t="str">
        <f>E$17</f>
        <v xml:space="preserve">Commercial </v>
      </c>
      <c r="F458" s="67"/>
      <c r="G458" s="9" t="s">
        <v>413</v>
      </c>
      <c r="H458" s="50" t="s">
        <v>125</v>
      </c>
      <c r="S458" s="335"/>
      <c r="T458" s="335"/>
      <c r="U458" s="335"/>
      <c r="V458" s="201">
        <f>V$125</f>
        <v>0</v>
      </c>
      <c r="W458" s="10">
        <f>W$125</f>
        <v>0</v>
      </c>
      <c r="X458" s="10">
        <f>X$125</f>
        <v>0</v>
      </c>
      <c r="Y458" s="10">
        <f>Y$125</f>
        <v>0</v>
      </c>
      <c r="Z458" s="67"/>
      <c r="AA458" s="10">
        <f t="shared" ref="AA458:BJ458" si="532">AA$125</f>
        <v>0</v>
      </c>
      <c r="AB458" s="10">
        <f t="shared" si="532"/>
        <v>0</v>
      </c>
      <c r="AC458" s="10">
        <f t="shared" si="532"/>
        <v>0</v>
      </c>
      <c r="AD458" s="10">
        <f t="shared" si="532"/>
        <v>0</v>
      </c>
      <c r="AE458" s="10">
        <f t="shared" si="532"/>
        <v>0</v>
      </c>
      <c r="AF458" s="10">
        <f t="shared" si="532"/>
        <v>0</v>
      </c>
      <c r="AG458" s="10">
        <f t="shared" si="532"/>
        <v>0</v>
      </c>
      <c r="AH458" s="10">
        <f t="shared" si="532"/>
        <v>0</v>
      </c>
      <c r="AI458" s="10">
        <f t="shared" si="532"/>
        <v>0</v>
      </c>
      <c r="AJ458" s="10">
        <f t="shared" si="532"/>
        <v>0</v>
      </c>
      <c r="AK458" s="10">
        <f t="shared" si="532"/>
        <v>0</v>
      </c>
      <c r="AL458" s="10">
        <f t="shared" si="532"/>
        <v>0</v>
      </c>
      <c r="AM458" s="10">
        <f t="shared" si="532"/>
        <v>0</v>
      </c>
      <c r="AN458" s="10">
        <f t="shared" si="532"/>
        <v>0</v>
      </c>
      <c r="AO458" s="10">
        <f t="shared" si="532"/>
        <v>0</v>
      </c>
      <c r="AP458" s="10">
        <f t="shared" si="532"/>
        <v>0</v>
      </c>
      <c r="AQ458" s="10">
        <f t="shared" si="532"/>
        <v>0</v>
      </c>
      <c r="AR458" s="10">
        <f t="shared" si="532"/>
        <v>0</v>
      </c>
      <c r="AS458" s="10">
        <f t="shared" si="532"/>
        <v>0</v>
      </c>
      <c r="AT458" s="10">
        <f t="shared" si="532"/>
        <v>0</v>
      </c>
      <c r="AU458" s="10">
        <f t="shared" si="532"/>
        <v>0</v>
      </c>
      <c r="AV458" s="10">
        <f t="shared" si="532"/>
        <v>0</v>
      </c>
      <c r="AW458" s="10">
        <f t="shared" si="532"/>
        <v>0</v>
      </c>
      <c r="AX458" s="10">
        <f t="shared" si="532"/>
        <v>0</v>
      </c>
      <c r="AY458" s="10">
        <f t="shared" si="532"/>
        <v>0</v>
      </c>
      <c r="AZ458" s="10">
        <f t="shared" si="532"/>
        <v>0</v>
      </c>
      <c r="BA458" s="10">
        <f t="shared" si="532"/>
        <v>0</v>
      </c>
      <c r="BB458" s="10">
        <f t="shared" si="532"/>
        <v>0</v>
      </c>
      <c r="BC458" s="10">
        <f t="shared" si="532"/>
        <v>0</v>
      </c>
      <c r="BD458" s="10">
        <f t="shared" si="532"/>
        <v>0</v>
      </c>
      <c r="BE458" s="10">
        <f t="shared" si="532"/>
        <v>0</v>
      </c>
      <c r="BF458" s="10">
        <f t="shared" si="532"/>
        <v>0</v>
      </c>
      <c r="BG458" s="10">
        <f t="shared" si="532"/>
        <v>0</v>
      </c>
      <c r="BH458" s="10">
        <f t="shared" si="532"/>
        <v>0</v>
      </c>
      <c r="BI458" s="10">
        <f t="shared" si="532"/>
        <v>0</v>
      </c>
      <c r="BJ458" s="10">
        <f t="shared" si="532"/>
        <v>0</v>
      </c>
      <c r="BK458" s="67"/>
      <c r="BL458" s="10">
        <f t="shared" ref="BL458:BW458" si="533">BL$125</f>
        <v>0</v>
      </c>
      <c r="BM458" s="10">
        <f t="shared" si="533"/>
        <v>0</v>
      </c>
      <c r="BN458" s="10">
        <f t="shared" si="533"/>
        <v>0</v>
      </c>
      <c r="BO458" s="10">
        <f t="shared" si="533"/>
        <v>0</v>
      </c>
      <c r="BP458" s="10">
        <f t="shared" si="533"/>
        <v>0</v>
      </c>
      <c r="BQ458" s="10">
        <f t="shared" si="533"/>
        <v>0</v>
      </c>
      <c r="BR458" s="10">
        <f t="shared" si="533"/>
        <v>0</v>
      </c>
      <c r="BS458" s="10">
        <f t="shared" si="533"/>
        <v>0</v>
      </c>
      <c r="BT458" s="10">
        <f t="shared" si="533"/>
        <v>0</v>
      </c>
      <c r="BU458" s="10">
        <f t="shared" si="533"/>
        <v>0</v>
      </c>
      <c r="BV458" s="10">
        <f t="shared" si="533"/>
        <v>0</v>
      </c>
      <c r="BW458" s="10">
        <f t="shared" si="533"/>
        <v>0</v>
      </c>
      <c r="BY458" s="12"/>
      <c r="CA458" s="12"/>
      <c r="CR458" s="12"/>
      <c r="EX458" s="10" t="str">
        <f t="shared" si="523"/>
        <v/>
      </c>
    </row>
    <row r="459" spans="1:154" x14ac:dyDescent="0.25">
      <c r="A459" s="67"/>
      <c r="B459" s="84" t="str" cm="1">
        <f t="array" aca="1" ref="B459" ca="1">HYPERLINK(CONCATENATE("#",CELL("address",$D$142)),$D$142)</f>
        <v>Loan 6</v>
      </c>
      <c r="C459" s="380"/>
      <c r="D459" s="60">
        <f>D$18</f>
        <v>0</v>
      </c>
      <c r="E459" s="221">
        <f>E$18</f>
        <v>0</v>
      </c>
      <c r="F459" s="67"/>
      <c r="G459" s="9" t="s">
        <v>413</v>
      </c>
      <c r="H459" s="50" t="s">
        <v>125</v>
      </c>
      <c r="S459" s="335"/>
      <c r="T459" s="335"/>
      <c r="U459" s="335"/>
      <c r="V459" s="201">
        <f>V$144</f>
        <v>0</v>
      </c>
      <c r="W459" s="10">
        <f>W$144</f>
        <v>0</v>
      </c>
      <c r="X459" s="10">
        <f>X$144</f>
        <v>0</v>
      </c>
      <c r="Y459" s="10">
        <f>Y$144</f>
        <v>0</v>
      </c>
      <c r="Z459" s="67"/>
      <c r="AA459" s="10">
        <f t="shared" ref="AA459:BJ459" si="534">AA$144</f>
        <v>0</v>
      </c>
      <c r="AB459" s="10">
        <f t="shared" si="534"/>
        <v>0</v>
      </c>
      <c r="AC459" s="10">
        <f t="shared" si="534"/>
        <v>0</v>
      </c>
      <c r="AD459" s="10">
        <f t="shared" si="534"/>
        <v>0</v>
      </c>
      <c r="AE459" s="10">
        <f t="shared" si="534"/>
        <v>0</v>
      </c>
      <c r="AF459" s="10">
        <f t="shared" si="534"/>
        <v>0</v>
      </c>
      <c r="AG459" s="10">
        <f t="shared" si="534"/>
        <v>0</v>
      </c>
      <c r="AH459" s="10">
        <f t="shared" si="534"/>
        <v>0</v>
      </c>
      <c r="AI459" s="10">
        <f t="shared" si="534"/>
        <v>0</v>
      </c>
      <c r="AJ459" s="10">
        <f t="shared" si="534"/>
        <v>0</v>
      </c>
      <c r="AK459" s="10">
        <f t="shared" si="534"/>
        <v>0</v>
      </c>
      <c r="AL459" s="10">
        <f t="shared" si="534"/>
        <v>0</v>
      </c>
      <c r="AM459" s="10">
        <f t="shared" si="534"/>
        <v>0</v>
      </c>
      <c r="AN459" s="10">
        <f t="shared" si="534"/>
        <v>0</v>
      </c>
      <c r="AO459" s="10">
        <f t="shared" si="534"/>
        <v>0</v>
      </c>
      <c r="AP459" s="10">
        <f t="shared" si="534"/>
        <v>0</v>
      </c>
      <c r="AQ459" s="10">
        <f t="shared" si="534"/>
        <v>0</v>
      </c>
      <c r="AR459" s="10">
        <f t="shared" si="534"/>
        <v>0</v>
      </c>
      <c r="AS459" s="10">
        <f t="shared" si="534"/>
        <v>0</v>
      </c>
      <c r="AT459" s="10">
        <f t="shared" si="534"/>
        <v>0</v>
      </c>
      <c r="AU459" s="10">
        <f t="shared" si="534"/>
        <v>0</v>
      </c>
      <c r="AV459" s="10">
        <f t="shared" si="534"/>
        <v>0</v>
      </c>
      <c r="AW459" s="10">
        <f t="shared" si="534"/>
        <v>0</v>
      </c>
      <c r="AX459" s="10">
        <f t="shared" si="534"/>
        <v>0</v>
      </c>
      <c r="AY459" s="10">
        <f t="shared" si="534"/>
        <v>0</v>
      </c>
      <c r="AZ459" s="10">
        <f t="shared" si="534"/>
        <v>0</v>
      </c>
      <c r="BA459" s="10">
        <f t="shared" si="534"/>
        <v>0</v>
      </c>
      <c r="BB459" s="10">
        <f t="shared" si="534"/>
        <v>0</v>
      </c>
      <c r="BC459" s="10">
        <f t="shared" si="534"/>
        <v>0</v>
      </c>
      <c r="BD459" s="10">
        <f t="shared" si="534"/>
        <v>0</v>
      </c>
      <c r="BE459" s="10">
        <f t="shared" si="534"/>
        <v>0</v>
      </c>
      <c r="BF459" s="10">
        <f t="shared" si="534"/>
        <v>0</v>
      </c>
      <c r="BG459" s="10">
        <f t="shared" si="534"/>
        <v>0</v>
      </c>
      <c r="BH459" s="10">
        <f t="shared" si="534"/>
        <v>0</v>
      </c>
      <c r="BI459" s="10">
        <f t="shared" si="534"/>
        <v>0</v>
      </c>
      <c r="BJ459" s="10">
        <f t="shared" si="534"/>
        <v>0</v>
      </c>
      <c r="BK459" s="67"/>
      <c r="BL459" s="10">
        <f t="shared" ref="BL459:BW459" si="535">BL$144</f>
        <v>0</v>
      </c>
      <c r="BM459" s="10">
        <f t="shared" si="535"/>
        <v>0</v>
      </c>
      <c r="BN459" s="10">
        <f t="shared" si="535"/>
        <v>0</v>
      </c>
      <c r="BO459" s="10">
        <f t="shared" si="535"/>
        <v>0</v>
      </c>
      <c r="BP459" s="10">
        <f t="shared" si="535"/>
        <v>0</v>
      </c>
      <c r="BQ459" s="10">
        <f t="shared" si="535"/>
        <v>0</v>
      </c>
      <c r="BR459" s="10">
        <f t="shared" si="535"/>
        <v>0</v>
      </c>
      <c r="BS459" s="10">
        <f t="shared" si="535"/>
        <v>0</v>
      </c>
      <c r="BT459" s="10">
        <f t="shared" si="535"/>
        <v>0</v>
      </c>
      <c r="BU459" s="10">
        <f t="shared" si="535"/>
        <v>0</v>
      </c>
      <c r="BV459" s="10">
        <f t="shared" si="535"/>
        <v>0</v>
      </c>
      <c r="BW459" s="10">
        <f t="shared" si="535"/>
        <v>0</v>
      </c>
      <c r="BY459" s="12"/>
      <c r="CA459" s="12"/>
      <c r="CR459" s="12"/>
      <c r="EX459" s="10" t="str">
        <f t="shared" si="523"/>
        <v/>
      </c>
    </row>
    <row r="460" spans="1:154" x14ac:dyDescent="0.25">
      <c r="A460" s="67"/>
      <c r="B460" s="84" t="str" cm="1">
        <f t="array" aca="1" ref="B460" ca="1">HYPERLINK(CONCATENATE("#",CELL("address",$D$161)),$D$161)</f>
        <v>Loan 7</v>
      </c>
      <c r="C460" s="380"/>
      <c r="D460" s="60">
        <f>D$19</f>
        <v>0</v>
      </c>
      <c r="E460" s="221">
        <f>E$19</f>
        <v>0</v>
      </c>
      <c r="F460" s="67"/>
      <c r="G460" s="9" t="s">
        <v>413</v>
      </c>
      <c r="H460" s="50" t="s">
        <v>125</v>
      </c>
      <c r="S460" s="335"/>
      <c r="T460" s="335"/>
      <c r="U460" s="335"/>
      <c r="V460" s="201">
        <f>V$163</f>
        <v>0</v>
      </c>
      <c r="W460" s="10">
        <f>W$163</f>
        <v>0</v>
      </c>
      <c r="X460" s="10">
        <f>X$163</f>
        <v>0</v>
      </c>
      <c r="Y460" s="10">
        <f>Y$163</f>
        <v>0</v>
      </c>
      <c r="Z460" s="67"/>
      <c r="AA460" s="10">
        <f t="shared" ref="AA460:BJ460" si="536">AA$163</f>
        <v>0</v>
      </c>
      <c r="AB460" s="10">
        <f t="shared" si="536"/>
        <v>0</v>
      </c>
      <c r="AC460" s="10">
        <f t="shared" si="536"/>
        <v>0</v>
      </c>
      <c r="AD460" s="10">
        <f t="shared" si="536"/>
        <v>0</v>
      </c>
      <c r="AE460" s="10">
        <f t="shared" si="536"/>
        <v>0</v>
      </c>
      <c r="AF460" s="10">
        <f t="shared" si="536"/>
        <v>0</v>
      </c>
      <c r="AG460" s="10">
        <f t="shared" si="536"/>
        <v>0</v>
      </c>
      <c r="AH460" s="10">
        <f t="shared" si="536"/>
        <v>0</v>
      </c>
      <c r="AI460" s="10">
        <f t="shared" si="536"/>
        <v>0</v>
      </c>
      <c r="AJ460" s="10">
        <f t="shared" si="536"/>
        <v>0</v>
      </c>
      <c r="AK460" s="10">
        <f t="shared" si="536"/>
        <v>0</v>
      </c>
      <c r="AL460" s="10">
        <f t="shared" si="536"/>
        <v>0</v>
      </c>
      <c r="AM460" s="10">
        <f t="shared" si="536"/>
        <v>0</v>
      </c>
      <c r="AN460" s="10">
        <f t="shared" si="536"/>
        <v>0</v>
      </c>
      <c r="AO460" s="10">
        <f t="shared" si="536"/>
        <v>0</v>
      </c>
      <c r="AP460" s="10">
        <f t="shared" si="536"/>
        <v>0</v>
      </c>
      <c r="AQ460" s="10">
        <f t="shared" si="536"/>
        <v>0</v>
      </c>
      <c r="AR460" s="10">
        <f t="shared" si="536"/>
        <v>0</v>
      </c>
      <c r="AS460" s="10">
        <f t="shared" si="536"/>
        <v>0</v>
      </c>
      <c r="AT460" s="10">
        <f t="shared" si="536"/>
        <v>0</v>
      </c>
      <c r="AU460" s="10">
        <f t="shared" si="536"/>
        <v>0</v>
      </c>
      <c r="AV460" s="10">
        <f t="shared" si="536"/>
        <v>0</v>
      </c>
      <c r="AW460" s="10">
        <f t="shared" si="536"/>
        <v>0</v>
      </c>
      <c r="AX460" s="10">
        <f t="shared" si="536"/>
        <v>0</v>
      </c>
      <c r="AY460" s="10">
        <f t="shared" si="536"/>
        <v>0</v>
      </c>
      <c r="AZ460" s="10">
        <f t="shared" si="536"/>
        <v>0</v>
      </c>
      <c r="BA460" s="10">
        <f t="shared" si="536"/>
        <v>0</v>
      </c>
      <c r="BB460" s="10">
        <f t="shared" si="536"/>
        <v>0</v>
      </c>
      <c r="BC460" s="10">
        <f t="shared" si="536"/>
        <v>0</v>
      </c>
      <c r="BD460" s="10">
        <f t="shared" si="536"/>
        <v>0</v>
      </c>
      <c r="BE460" s="10">
        <f t="shared" si="536"/>
        <v>0</v>
      </c>
      <c r="BF460" s="10">
        <f t="shared" si="536"/>
        <v>0</v>
      </c>
      <c r="BG460" s="10">
        <f t="shared" si="536"/>
        <v>0</v>
      </c>
      <c r="BH460" s="10">
        <f t="shared" si="536"/>
        <v>0</v>
      </c>
      <c r="BI460" s="10">
        <f t="shared" si="536"/>
        <v>0</v>
      </c>
      <c r="BJ460" s="10">
        <f t="shared" si="536"/>
        <v>0</v>
      </c>
      <c r="BK460" s="67"/>
      <c r="BL460" s="10">
        <f t="shared" ref="BL460:BW460" si="537">BL$163</f>
        <v>0</v>
      </c>
      <c r="BM460" s="10">
        <f t="shared" si="537"/>
        <v>0</v>
      </c>
      <c r="BN460" s="10">
        <f t="shared" si="537"/>
        <v>0</v>
      </c>
      <c r="BO460" s="10">
        <f t="shared" si="537"/>
        <v>0</v>
      </c>
      <c r="BP460" s="10">
        <f t="shared" si="537"/>
        <v>0</v>
      </c>
      <c r="BQ460" s="10">
        <f t="shared" si="537"/>
        <v>0</v>
      </c>
      <c r="BR460" s="10">
        <f t="shared" si="537"/>
        <v>0</v>
      </c>
      <c r="BS460" s="10">
        <f t="shared" si="537"/>
        <v>0</v>
      </c>
      <c r="BT460" s="10">
        <f t="shared" si="537"/>
        <v>0</v>
      </c>
      <c r="BU460" s="10">
        <f t="shared" si="537"/>
        <v>0</v>
      </c>
      <c r="BV460" s="10">
        <f t="shared" si="537"/>
        <v>0</v>
      </c>
      <c r="BW460" s="10">
        <f t="shared" si="537"/>
        <v>0</v>
      </c>
      <c r="BY460" s="12"/>
      <c r="CA460" s="12"/>
      <c r="CR460" s="12"/>
      <c r="EX460" s="10" t="str">
        <f t="shared" si="523"/>
        <v/>
      </c>
    </row>
    <row r="461" spans="1:154" x14ac:dyDescent="0.25">
      <c r="A461" s="67"/>
      <c r="B461" s="84" t="str" cm="1">
        <f t="array" aca="1" ref="B461" ca="1">HYPERLINK(CONCATENATE("#",CELL("address",$D$180)),$D$180)</f>
        <v>Loan 8</v>
      </c>
      <c r="C461" s="380"/>
      <c r="D461" s="60">
        <f>D$20</f>
        <v>0</v>
      </c>
      <c r="E461" s="221">
        <f>E$20</f>
        <v>0</v>
      </c>
      <c r="F461" s="67"/>
      <c r="G461" s="9" t="s">
        <v>413</v>
      </c>
      <c r="H461" s="50" t="s">
        <v>125</v>
      </c>
      <c r="S461" s="335"/>
      <c r="T461" s="335"/>
      <c r="U461" s="335"/>
      <c r="V461" s="201">
        <f>V$182</f>
        <v>0</v>
      </c>
      <c r="W461" s="10">
        <f>W$182</f>
        <v>0</v>
      </c>
      <c r="X461" s="10">
        <f>X$182</f>
        <v>0</v>
      </c>
      <c r="Y461" s="10">
        <f>Y$182</f>
        <v>0</v>
      </c>
      <c r="Z461" s="67"/>
      <c r="AA461" s="10">
        <f t="shared" ref="AA461:BJ461" si="538">AA$182</f>
        <v>0</v>
      </c>
      <c r="AB461" s="10">
        <f t="shared" si="538"/>
        <v>0</v>
      </c>
      <c r="AC461" s="10">
        <f t="shared" si="538"/>
        <v>0</v>
      </c>
      <c r="AD461" s="10">
        <f t="shared" si="538"/>
        <v>0</v>
      </c>
      <c r="AE461" s="10">
        <f t="shared" si="538"/>
        <v>0</v>
      </c>
      <c r="AF461" s="10">
        <f t="shared" si="538"/>
        <v>0</v>
      </c>
      <c r="AG461" s="10">
        <f t="shared" si="538"/>
        <v>0</v>
      </c>
      <c r="AH461" s="10">
        <f t="shared" si="538"/>
        <v>0</v>
      </c>
      <c r="AI461" s="10">
        <f t="shared" si="538"/>
        <v>0</v>
      </c>
      <c r="AJ461" s="10">
        <f t="shared" si="538"/>
        <v>0</v>
      </c>
      <c r="AK461" s="10">
        <f t="shared" si="538"/>
        <v>0</v>
      </c>
      <c r="AL461" s="10">
        <f t="shared" si="538"/>
        <v>0</v>
      </c>
      <c r="AM461" s="10">
        <f t="shared" si="538"/>
        <v>0</v>
      </c>
      <c r="AN461" s="10">
        <f t="shared" si="538"/>
        <v>0</v>
      </c>
      <c r="AO461" s="10">
        <f t="shared" si="538"/>
        <v>0</v>
      </c>
      <c r="AP461" s="10">
        <f t="shared" si="538"/>
        <v>0</v>
      </c>
      <c r="AQ461" s="10">
        <f t="shared" si="538"/>
        <v>0</v>
      </c>
      <c r="AR461" s="10">
        <f t="shared" si="538"/>
        <v>0</v>
      </c>
      <c r="AS461" s="10">
        <f t="shared" si="538"/>
        <v>0</v>
      </c>
      <c r="AT461" s="10">
        <f t="shared" si="538"/>
        <v>0</v>
      </c>
      <c r="AU461" s="10">
        <f t="shared" si="538"/>
        <v>0</v>
      </c>
      <c r="AV461" s="10">
        <f t="shared" si="538"/>
        <v>0</v>
      </c>
      <c r="AW461" s="10">
        <f t="shared" si="538"/>
        <v>0</v>
      </c>
      <c r="AX461" s="10">
        <f t="shared" si="538"/>
        <v>0</v>
      </c>
      <c r="AY461" s="10">
        <f t="shared" si="538"/>
        <v>0</v>
      </c>
      <c r="AZ461" s="10">
        <f t="shared" si="538"/>
        <v>0</v>
      </c>
      <c r="BA461" s="10">
        <f t="shared" si="538"/>
        <v>0</v>
      </c>
      <c r="BB461" s="10">
        <f t="shared" si="538"/>
        <v>0</v>
      </c>
      <c r="BC461" s="10">
        <f t="shared" si="538"/>
        <v>0</v>
      </c>
      <c r="BD461" s="10">
        <f t="shared" si="538"/>
        <v>0</v>
      </c>
      <c r="BE461" s="10">
        <f t="shared" si="538"/>
        <v>0</v>
      </c>
      <c r="BF461" s="10">
        <f t="shared" si="538"/>
        <v>0</v>
      </c>
      <c r="BG461" s="10">
        <f t="shared" si="538"/>
        <v>0</v>
      </c>
      <c r="BH461" s="10">
        <f t="shared" si="538"/>
        <v>0</v>
      </c>
      <c r="BI461" s="10">
        <f t="shared" si="538"/>
        <v>0</v>
      </c>
      <c r="BJ461" s="10">
        <f t="shared" si="538"/>
        <v>0</v>
      </c>
      <c r="BK461" s="67"/>
      <c r="BL461" s="10">
        <f t="shared" ref="BL461:BW461" si="539">BL$182</f>
        <v>0</v>
      </c>
      <c r="BM461" s="10">
        <f t="shared" si="539"/>
        <v>0</v>
      </c>
      <c r="BN461" s="10">
        <f t="shared" si="539"/>
        <v>0</v>
      </c>
      <c r="BO461" s="10">
        <f t="shared" si="539"/>
        <v>0</v>
      </c>
      <c r="BP461" s="10">
        <f t="shared" si="539"/>
        <v>0</v>
      </c>
      <c r="BQ461" s="10">
        <f t="shared" si="539"/>
        <v>0</v>
      </c>
      <c r="BR461" s="10">
        <f t="shared" si="539"/>
        <v>0</v>
      </c>
      <c r="BS461" s="10">
        <f t="shared" si="539"/>
        <v>0</v>
      </c>
      <c r="BT461" s="10">
        <f t="shared" si="539"/>
        <v>0</v>
      </c>
      <c r="BU461" s="10">
        <f t="shared" si="539"/>
        <v>0</v>
      </c>
      <c r="BV461" s="10">
        <f t="shared" si="539"/>
        <v>0</v>
      </c>
      <c r="BW461" s="10">
        <f t="shared" si="539"/>
        <v>0</v>
      </c>
      <c r="BY461" s="12"/>
      <c r="CA461" s="12"/>
      <c r="CR461" s="12"/>
      <c r="EX461" s="10" t="str">
        <f t="shared" si="523"/>
        <v/>
      </c>
    </row>
    <row r="462" spans="1:154" x14ac:dyDescent="0.25">
      <c r="A462" s="67"/>
      <c r="B462" s="84" t="str" cm="1">
        <f t="array" aca="1" ref="B462" ca="1">HYPERLINK(CONCATENATE("#",CELL("address",$D$199)),$D$199)</f>
        <v>Loan 9</v>
      </c>
      <c r="C462" s="380"/>
      <c r="D462" s="60">
        <f>D$21</f>
        <v>0</v>
      </c>
      <c r="E462" s="221">
        <f>E$21</f>
        <v>0</v>
      </c>
      <c r="F462" s="67"/>
      <c r="G462" s="9" t="s">
        <v>413</v>
      </c>
      <c r="H462" s="50" t="s">
        <v>125</v>
      </c>
      <c r="S462" s="335"/>
      <c r="T462" s="335"/>
      <c r="U462" s="335"/>
      <c r="V462" s="201">
        <f>V$201</f>
        <v>0</v>
      </c>
      <c r="W462" s="10">
        <f>W$201</f>
        <v>0</v>
      </c>
      <c r="X462" s="10">
        <f>X$201</f>
        <v>0</v>
      </c>
      <c r="Y462" s="10">
        <f>Y$201</f>
        <v>0</v>
      </c>
      <c r="Z462" s="67"/>
      <c r="AA462" s="10">
        <f t="shared" ref="AA462:BJ462" si="540">AA$201</f>
        <v>0</v>
      </c>
      <c r="AB462" s="10">
        <f t="shared" si="540"/>
        <v>0</v>
      </c>
      <c r="AC462" s="10">
        <f t="shared" si="540"/>
        <v>0</v>
      </c>
      <c r="AD462" s="10">
        <f t="shared" si="540"/>
        <v>0</v>
      </c>
      <c r="AE462" s="10">
        <f t="shared" si="540"/>
        <v>0</v>
      </c>
      <c r="AF462" s="10">
        <f t="shared" si="540"/>
        <v>0</v>
      </c>
      <c r="AG462" s="10">
        <f t="shared" si="540"/>
        <v>0</v>
      </c>
      <c r="AH462" s="10">
        <f t="shared" si="540"/>
        <v>0</v>
      </c>
      <c r="AI462" s="10">
        <f t="shared" si="540"/>
        <v>0</v>
      </c>
      <c r="AJ462" s="10">
        <f t="shared" si="540"/>
        <v>0</v>
      </c>
      <c r="AK462" s="10">
        <f t="shared" si="540"/>
        <v>0</v>
      </c>
      <c r="AL462" s="10">
        <f t="shared" si="540"/>
        <v>0</v>
      </c>
      <c r="AM462" s="10">
        <f t="shared" si="540"/>
        <v>0</v>
      </c>
      <c r="AN462" s="10">
        <f t="shared" si="540"/>
        <v>0</v>
      </c>
      <c r="AO462" s="10">
        <f t="shared" si="540"/>
        <v>0</v>
      </c>
      <c r="AP462" s="10">
        <f t="shared" si="540"/>
        <v>0</v>
      </c>
      <c r="AQ462" s="10">
        <f t="shared" si="540"/>
        <v>0</v>
      </c>
      <c r="AR462" s="10">
        <f t="shared" si="540"/>
        <v>0</v>
      </c>
      <c r="AS462" s="10">
        <f t="shared" si="540"/>
        <v>0</v>
      </c>
      <c r="AT462" s="10">
        <f t="shared" si="540"/>
        <v>0</v>
      </c>
      <c r="AU462" s="10">
        <f t="shared" si="540"/>
        <v>0</v>
      </c>
      <c r="AV462" s="10">
        <f t="shared" si="540"/>
        <v>0</v>
      </c>
      <c r="AW462" s="10">
        <f t="shared" si="540"/>
        <v>0</v>
      </c>
      <c r="AX462" s="10">
        <f t="shared" si="540"/>
        <v>0</v>
      </c>
      <c r="AY462" s="10">
        <f t="shared" si="540"/>
        <v>0</v>
      </c>
      <c r="AZ462" s="10">
        <f t="shared" si="540"/>
        <v>0</v>
      </c>
      <c r="BA462" s="10">
        <f t="shared" si="540"/>
        <v>0</v>
      </c>
      <c r="BB462" s="10">
        <f t="shared" si="540"/>
        <v>0</v>
      </c>
      <c r="BC462" s="10">
        <f t="shared" si="540"/>
        <v>0</v>
      </c>
      <c r="BD462" s="10">
        <f t="shared" si="540"/>
        <v>0</v>
      </c>
      <c r="BE462" s="10">
        <f t="shared" si="540"/>
        <v>0</v>
      </c>
      <c r="BF462" s="10">
        <f t="shared" si="540"/>
        <v>0</v>
      </c>
      <c r="BG462" s="10">
        <f t="shared" si="540"/>
        <v>0</v>
      </c>
      <c r="BH462" s="10">
        <f t="shared" si="540"/>
        <v>0</v>
      </c>
      <c r="BI462" s="10">
        <f t="shared" si="540"/>
        <v>0</v>
      </c>
      <c r="BJ462" s="10">
        <f t="shared" si="540"/>
        <v>0</v>
      </c>
      <c r="BK462" s="67"/>
      <c r="BL462" s="10">
        <f t="shared" ref="BL462:BW462" si="541">BL$201</f>
        <v>0</v>
      </c>
      <c r="BM462" s="10">
        <f t="shared" si="541"/>
        <v>0</v>
      </c>
      <c r="BN462" s="10">
        <f t="shared" si="541"/>
        <v>0</v>
      </c>
      <c r="BO462" s="10">
        <f t="shared" si="541"/>
        <v>0</v>
      </c>
      <c r="BP462" s="10">
        <f t="shared" si="541"/>
        <v>0</v>
      </c>
      <c r="BQ462" s="10">
        <f t="shared" si="541"/>
        <v>0</v>
      </c>
      <c r="BR462" s="10">
        <f t="shared" si="541"/>
        <v>0</v>
      </c>
      <c r="BS462" s="10">
        <f t="shared" si="541"/>
        <v>0</v>
      </c>
      <c r="BT462" s="10">
        <f t="shared" si="541"/>
        <v>0</v>
      </c>
      <c r="BU462" s="10">
        <f t="shared" si="541"/>
        <v>0</v>
      </c>
      <c r="BV462" s="10">
        <f t="shared" si="541"/>
        <v>0</v>
      </c>
      <c r="BW462" s="10">
        <f t="shared" si="541"/>
        <v>0</v>
      </c>
      <c r="BY462" s="12"/>
      <c r="CA462" s="12"/>
      <c r="CR462" s="12"/>
      <c r="EX462" s="10" t="str">
        <f t="shared" si="523"/>
        <v/>
      </c>
    </row>
    <row r="463" spans="1:154" x14ac:dyDescent="0.25">
      <c r="A463" s="67"/>
      <c r="B463" s="84" t="str" cm="1">
        <f t="array" aca="1" ref="B463" ca="1">HYPERLINK(CONCATENATE("#",CELL("address",$D$218)),$D$218)</f>
        <v>Loan 10</v>
      </c>
      <c r="C463" s="380"/>
      <c r="D463" s="60">
        <f>D$22</f>
        <v>0</v>
      </c>
      <c r="E463" s="221">
        <f>E$22</f>
        <v>0</v>
      </c>
      <c r="F463" s="67"/>
      <c r="G463" s="9" t="s">
        <v>413</v>
      </c>
      <c r="H463" s="50" t="s">
        <v>125</v>
      </c>
      <c r="S463" s="335"/>
      <c r="T463" s="335"/>
      <c r="U463" s="335"/>
      <c r="V463" s="201">
        <f>V$220</f>
        <v>0</v>
      </c>
      <c r="W463" s="10">
        <f>W$220</f>
        <v>0</v>
      </c>
      <c r="X463" s="10">
        <f>X$220</f>
        <v>0</v>
      </c>
      <c r="Y463" s="10">
        <f>Y$220</f>
        <v>0</v>
      </c>
      <c r="Z463" s="67"/>
      <c r="AA463" s="10">
        <f t="shared" ref="AA463:BJ463" si="542">AA$220</f>
        <v>0</v>
      </c>
      <c r="AB463" s="10">
        <f t="shared" si="542"/>
        <v>0</v>
      </c>
      <c r="AC463" s="10">
        <f t="shared" si="542"/>
        <v>0</v>
      </c>
      <c r="AD463" s="10">
        <f t="shared" si="542"/>
        <v>0</v>
      </c>
      <c r="AE463" s="10">
        <f t="shared" si="542"/>
        <v>0</v>
      </c>
      <c r="AF463" s="10">
        <f t="shared" si="542"/>
        <v>0</v>
      </c>
      <c r="AG463" s="10">
        <f t="shared" si="542"/>
        <v>0</v>
      </c>
      <c r="AH463" s="10">
        <f t="shared" si="542"/>
        <v>0</v>
      </c>
      <c r="AI463" s="10">
        <f t="shared" si="542"/>
        <v>0</v>
      </c>
      <c r="AJ463" s="10">
        <f t="shared" si="542"/>
        <v>0</v>
      </c>
      <c r="AK463" s="10">
        <f t="shared" si="542"/>
        <v>0</v>
      </c>
      <c r="AL463" s="10">
        <f t="shared" si="542"/>
        <v>0</v>
      </c>
      <c r="AM463" s="10">
        <f t="shared" si="542"/>
        <v>0</v>
      </c>
      <c r="AN463" s="10">
        <f t="shared" si="542"/>
        <v>0</v>
      </c>
      <c r="AO463" s="10">
        <f t="shared" si="542"/>
        <v>0</v>
      </c>
      <c r="AP463" s="10">
        <f t="shared" si="542"/>
        <v>0</v>
      </c>
      <c r="AQ463" s="10">
        <f t="shared" si="542"/>
        <v>0</v>
      </c>
      <c r="AR463" s="10">
        <f t="shared" si="542"/>
        <v>0</v>
      </c>
      <c r="AS463" s="10">
        <f t="shared" si="542"/>
        <v>0</v>
      </c>
      <c r="AT463" s="10">
        <f t="shared" si="542"/>
        <v>0</v>
      </c>
      <c r="AU463" s="10">
        <f t="shared" si="542"/>
        <v>0</v>
      </c>
      <c r="AV463" s="10">
        <f t="shared" si="542"/>
        <v>0</v>
      </c>
      <c r="AW463" s="10">
        <f t="shared" si="542"/>
        <v>0</v>
      </c>
      <c r="AX463" s="10">
        <f t="shared" si="542"/>
        <v>0</v>
      </c>
      <c r="AY463" s="10">
        <f t="shared" si="542"/>
        <v>0</v>
      </c>
      <c r="AZ463" s="10">
        <f t="shared" si="542"/>
        <v>0</v>
      </c>
      <c r="BA463" s="10">
        <f t="shared" si="542"/>
        <v>0</v>
      </c>
      <c r="BB463" s="10">
        <f t="shared" si="542"/>
        <v>0</v>
      </c>
      <c r="BC463" s="10">
        <f t="shared" si="542"/>
        <v>0</v>
      </c>
      <c r="BD463" s="10">
        <f t="shared" si="542"/>
        <v>0</v>
      </c>
      <c r="BE463" s="10">
        <f t="shared" si="542"/>
        <v>0</v>
      </c>
      <c r="BF463" s="10">
        <f t="shared" si="542"/>
        <v>0</v>
      </c>
      <c r="BG463" s="10">
        <f t="shared" si="542"/>
        <v>0</v>
      </c>
      <c r="BH463" s="10">
        <f t="shared" si="542"/>
        <v>0</v>
      </c>
      <c r="BI463" s="10">
        <f t="shared" si="542"/>
        <v>0</v>
      </c>
      <c r="BJ463" s="10">
        <f t="shared" si="542"/>
        <v>0</v>
      </c>
      <c r="BK463" s="67"/>
      <c r="BL463" s="10">
        <f t="shared" ref="BL463:BW463" si="543">BL$220</f>
        <v>0</v>
      </c>
      <c r="BM463" s="10">
        <f t="shared" si="543"/>
        <v>0</v>
      </c>
      <c r="BN463" s="10">
        <f t="shared" si="543"/>
        <v>0</v>
      </c>
      <c r="BO463" s="10">
        <f t="shared" si="543"/>
        <v>0</v>
      </c>
      <c r="BP463" s="10">
        <f t="shared" si="543"/>
        <v>0</v>
      </c>
      <c r="BQ463" s="10">
        <f t="shared" si="543"/>
        <v>0</v>
      </c>
      <c r="BR463" s="10">
        <f t="shared" si="543"/>
        <v>0</v>
      </c>
      <c r="BS463" s="10">
        <f t="shared" si="543"/>
        <v>0</v>
      </c>
      <c r="BT463" s="10">
        <f t="shared" si="543"/>
        <v>0</v>
      </c>
      <c r="BU463" s="10">
        <f t="shared" si="543"/>
        <v>0</v>
      </c>
      <c r="BV463" s="10">
        <f t="shared" si="543"/>
        <v>0</v>
      </c>
      <c r="BW463" s="10">
        <f t="shared" si="543"/>
        <v>0</v>
      </c>
      <c r="BY463" s="12"/>
      <c r="CA463" s="12"/>
      <c r="CR463" s="12"/>
      <c r="EX463" s="10" t="str">
        <f t="shared" si="523"/>
        <v/>
      </c>
    </row>
    <row r="464" spans="1:154" x14ac:dyDescent="0.25">
      <c r="A464" s="67"/>
      <c r="B464" s="84" t="str" cm="1">
        <f t="array" aca="1" ref="B464" ca="1">HYPERLINK(CONCATENATE("#",CELL("address",$D$237)),$D$237)</f>
        <v>Loan 11</v>
      </c>
      <c r="C464" s="380"/>
      <c r="D464" s="60">
        <f>D$23</f>
        <v>0</v>
      </c>
      <c r="E464" s="221">
        <f>E$23</f>
        <v>0</v>
      </c>
      <c r="F464" s="67"/>
      <c r="G464" s="9" t="s">
        <v>413</v>
      </c>
      <c r="H464" s="50" t="s">
        <v>125</v>
      </c>
      <c r="S464" s="335"/>
      <c r="T464" s="335"/>
      <c r="U464" s="335"/>
      <c r="V464" s="201">
        <f>V$239</f>
        <v>0</v>
      </c>
      <c r="W464" s="10">
        <f>W$239</f>
        <v>0</v>
      </c>
      <c r="X464" s="10">
        <f>X$239</f>
        <v>0</v>
      </c>
      <c r="Y464" s="10">
        <f>Y$239</f>
        <v>0</v>
      </c>
      <c r="Z464" s="67"/>
      <c r="AA464" s="10">
        <f t="shared" ref="AA464:BJ464" si="544">AA$239</f>
        <v>0</v>
      </c>
      <c r="AB464" s="10">
        <f t="shared" si="544"/>
        <v>0</v>
      </c>
      <c r="AC464" s="10">
        <f t="shared" si="544"/>
        <v>0</v>
      </c>
      <c r="AD464" s="10">
        <f t="shared" si="544"/>
        <v>0</v>
      </c>
      <c r="AE464" s="10">
        <f t="shared" si="544"/>
        <v>0</v>
      </c>
      <c r="AF464" s="10">
        <f t="shared" si="544"/>
        <v>0</v>
      </c>
      <c r="AG464" s="10">
        <f t="shared" si="544"/>
        <v>0</v>
      </c>
      <c r="AH464" s="10">
        <f t="shared" si="544"/>
        <v>0</v>
      </c>
      <c r="AI464" s="10">
        <f t="shared" si="544"/>
        <v>0</v>
      </c>
      <c r="AJ464" s="10">
        <f t="shared" si="544"/>
        <v>0</v>
      </c>
      <c r="AK464" s="10">
        <f t="shared" si="544"/>
        <v>0</v>
      </c>
      <c r="AL464" s="10">
        <f t="shared" si="544"/>
        <v>0</v>
      </c>
      <c r="AM464" s="10">
        <f t="shared" si="544"/>
        <v>0</v>
      </c>
      <c r="AN464" s="10">
        <f t="shared" si="544"/>
        <v>0</v>
      </c>
      <c r="AO464" s="10">
        <f t="shared" si="544"/>
        <v>0</v>
      </c>
      <c r="AP464" s="10">
        <f t="shared" si="544"/>
        <v>0</v>
      </c>
      <c r="AQ464" s="10">
        <f t="shared" si="544"/>
        <v>0</v>
      </c>
      <c r="AR464" s="10">
        <f t="shared" si="544"/>
        <v>0</v>
      </c>
      <c r="AS464" s="10">
        <f t="shared" si="544"/>
        <v>0</v>
      </c>
      <c r="AT464" s="10">
        <f t="shared" si="544"/>
        <v>0</v>
      </c>
      <c r="AU464" s="10">
        <f t="shared" si="544"/>
        <v>0</v>
      </c>
      <c r="AV464" s="10">
        <f t="shared" si="544"/>
        <v>0</v>
      </c>
      <c r="AW464" s="10">
        <f t="shared" si="544"/>
        <v>0</v>
      </c>
      <c r="AX464" s="10">
        <f t="shared" si="544"/>
        <v>0</v>
      </c>
      <c r="AY464" s="10">
        <f t="shared" si="544"/>
        <v>0</v>
      </c>
      <c r="AZ464" s="10">
        <f t="shared" si="544"/>
        <v>0</v>
      </c>
      <c r="BA464" s="10">
        <f t="shared" si="544"/>
        <v>0</v>
      </c>
      <c r="BB464" s="10">
        <f t="shared" si="544"/>
        <v>0</v>
      </c>
      <c r="BC464" s="10">
        <f t="shared" si="544"/>
        <v>0</v>
      </c>
      <c r="BD464" s="10">
        <f t="shared" si="544"/>
        <v>0</v>
      </c>
      <c r="BE464" s="10">
        <f t="shared" si="544"/>
        <v>0</v>
      </c>
      <c r="BF464" s="10">
        <f t="shared" si="544"/>
        <v>0</v>
      </c>
      <c r="BG464" s="10">
        <f t="shared" si="544"/>
        <v>0</v>
      </c>
      <c r="BH464" s="10">
        <f t="shared" si="544"/>
        <v>0</v>
      </c>
      <c r="BI464" s="10">
        <f t="shared" si="544"/>
        <v>0</v>
      </c>
      <c r="BJ464" s="10">
        <f t="shared" si="544"/>
        <v>0</v>
      </c>
      <c r="BK464" s="67"/>
      <c r="BL464" s="10">
        <f t="shared" ref="BL464:BW464" si="545">BL$239</f>
        <v>0</v>
      </c>
      <c r="BM464" s="10">
        <f t="shared" si="545"/>
        <v>0</v>
      </c>
      <c r="BN464" s="10">
        <f t="shared" si="545"/>
        <v>0</v>
      </c>
      <c r="BO464" s="10">
        <f t="shared" si="545"/>
        <v>0</v>
      </c>
      <c r="BP464" s="10">
        <f t="shared" si="545"/>
        <v>0</v>
      </c>
      <c r="BQ464" s="10">
        <f t="shared" si="545"/>
        <v>0</v>
      </c>
      <c r="BR464" s="10">
        <f t="shared" si="545"/>
        <v>0</v>
      </c>
      <c r="BS464" s="10">
        <f t="shared" si="545"/>
        <v>0</v>
      </c>
      <c r="BT464" s="10">
        <f t="shared" si="545"/>
        <v>0</v>
      </c>
      <c r="BU464" s="10">
        <f t="shared" si="545"/>
        <v>0</v>
      </c>
      <c r="BV464" s="10">
        <f t="shared" si="545"/>
        <v>0</v>
      </c>
      <c r="BW464" s="10">
        <f t="shared" si="545"/>
        <v>0</v>
      </c>
      <c r="BY464" s="12"/>
      <c r="CA464" s="12"/>
      <c r="CR464" s="12"/>
      <c r="EX464" s="10" t="str">
        <f t="shared" si="523"/>
        <v/>
      </c>
    </row>
    <row r="465" spans="1:154" x14ac:dyDescent="0.25">
      <c r="A465" s="67"/>
      <c r="B465" s="84" t="str" cm="1">
        <f t="array" aca="1" ref="B465" ca="1">HYPERLINK(CONCATENATE("#",CELL("address",$D$256)),$D$256)</f>
        <v>Loan 12</v>
      </c>
      <c r="C465" s="380"/>
      <c r="D465" s="60">
        <f>D$24</f>
        <v>0</v>
      </c>
      <c r="E465" s="221">
        <f>E$24</f>
        <v>0</v>
      </c>
      <c r="F465" s="67"/>
      <c r="G465" s="9" t="s">
        <v>413</v>
      </c>
      <c r="H465" s="50" t="s">
        <v>125</v>
      </c>
      <c r="S465" s="335"/>
      <c r="T465" s="335"/>
      <c r="U465" s="335"/>
      <c r="V465" s="201">
        <f>V$258</f>
        <v>0</v>
      </c>
      <c r="W465" s="10">
        <f>W$258</f>
        <v>0</v>
      </c>
      <c r="X465" s="10">
        <f>X$258</f>
        <v>0</v>
      </c>
      <c r="Y465" s="10">
        <f>Y$258</f>
        <v>0</v>
      </c>
      <c r="Z465" s="67"/>
      <c r="AA465" s="10">
        <f t="shared" ref="AA465:BJ465" si="546">AA$258</f>
        <v>0</v>
      </c>
      <c r="AB465" s="10">
        <f t="shared" si="546"/>
        <v>0</v>
      </c>
      <c r="AC465" s="10">
        <f t="shared" si="546"/>
        <v>0</v>
      </c>
      <c r="AD465" s="10">
        <f t="shared" si="546"/>
        <v>0</v>
      </c>
      <c r="AE465" s="10">
        <f t="shared" si="546"/>
        <v>0</v>
      </c>
      <c r="AF465" s="10">
        <f t="shared" si="546"/>
        <v>0</v>
      </c>
      <c r="AG465" s="10">
        <f t="shared" si="546"/>
        <v>0</v>
      </c>
      <c r="AH465" s="10">
        <f t="shared" si="546"/>
        <v>0</v>
      </c>
      <c r="AI465" s="10">
        <f t="shared" si="546"/>
        <v>0</v>
      </c>
      <c r="AJ465" s="10">
        <f t="shared" si="546"/>
        <v>0</v>
      </c>
      <c r="AK465" s="10">
        <f t="shared" si="546"/>
        <v>0</v>
      </c>
      <c r="AL465" s="10">
        <f t="shared" si="546"/>
        <v>0</v>
      </c>
      <c r="AM465" s="10">
        <f t="shared" si="546"/>
        <v>0</v>
      </c>
      <c r="AN465" s="10">
        <f t="shared" si="546"/>
        <v>0</v>
      </c>
      <c r="AO465" s="10">
        <f t="shared" si="546"/>
        <v>0</v>
      </c>
      <c r="AP465" s="10">
        <f t="shared" si="546"/>
        <v>0</v>
      </c>
      <c r="AQ465" s="10">
        <f t="shared" si="546"/>
        <v>0</v>
      </c>
      <c r="AR465" s="10">
        <f t="shared" si="546"/>
        <v>0</v>
      </c>
      <c r="AS465" s="10">
        <f t="shared" si="546"/>
        <v>0</v>
      </c>
      <c r="AT465" s="10">
        <f t="shared" si="546"/>
        <v>0</v>
      </c>
      <c r="AU465" s="10">
        <f t="shared" si="546"/>
        <v>0</v>
      </c>
      <c r="AV465" s="10">
        <f t="shared" si="546"/>
        <v>0</v>
      </c>
      <c r="AW465" s="10">
        <f t="shared" si="546"/>
        <v>0</v>
      </c>
      <c r="AX465" s="10">
        <f t="shared" si="546"/>
        <v>0</v>
      </c>
      <c r="AY465" s="10">
        <f t="shared" si="546"/>
        <v>0</v>
      </c>
      <c r="AZ465" s="10">
        <f t="shared" si="546"/>
        <v>0</v>
      </c>
      <c r="BA465" s="10">
        <f t="shared" si="546"/>
        <v>0</v>
      </c>
      <c r="BB465" s="10">
        <f t="shared" si="546"/>
        <v>0</v>
      </c>
      <c r="BC465" s="10">
        <f t="shared" si="546"/>
        <v>0</v>
      </c>
      <c r="BD465" s="10">
        <f t="shared" si="546"/>
        <v>0</v>
      </c>
      <c r="BE465" s="10">
        <f t="shared" si="546"/>
        <v>0</v>
      </c>
      <c r="BF465" s="10">
        <f t="shared" si="546"/>
        <v>0</v>
      </c>
      <c r="BG465" s="10">
        <f t="shared" si="546"/>
        <v>0</v>
      </c>
      <c r="BH465" s="10">
        <f t="shared" si="546"/>
        <v>0</v>
      </c>
      <c r="BI465" s="10">
        <f t="shared" si="546"/>
        <v>0</v>
      </c>
      <c r="BJ465" s="10">
        <f t="shared" si="546"/>
        <v>0</v>
      </c>
      <c r="BK465" s="67"/>
      <c r="BL465" s="10">
        <f t="shared" ref="BL465:BW465" si="547">BL$258</f>
        <v>0</v>
      </c>
      <c r="BM465" s="10">
        <f t="shared" si="547"/>
        <v>0</v>
      </c>
      <c r="BN465" s="10">
        <f t="shared" si="547"/>
        <v>0</v>
      </c>
      <c r="BO465" s="10">
        <f t="shared" si="547"/>
        <v>0</v>
      </c>
      <c r="BP465" s="10">
        <f t="shared" si="547"/>
        <v>0</v>
      </c>
      <c r="BQ465" s="10">
        <f t="shared" si="547"/>
        <v>0</v>
      </c>
      <c r="BR465" s="10">
        <f t="shared" si="547"/>
        <v>0</v>
      </c>
      <c r="BS465" s="10">
        <f t="shared" si="547"/>
        <v>0</v>
      </c>
      <c r="BT465" s="10">
        <f t="shared" si="547"/>
        <v>0</v>
      </c>
      <c r="BU465" s="10">
        <f t="shared" si="547"/>
        <v>0</v>
      </c>
      <c r="BV465" s="10">
        <f t="shared" si="547"/>
        <v>0</v>
      </c>
      <c r="BW465" s="10">
        <f t="shared" si="547"/>
        <v>0</v>
      </c>
      <c r="BY465" s="12"/>
      <c r="CA465" s="12"/>
      <c r="CR465" s="12"/>
      <c r="EX465" s="10" t="str">
        <f t="shared" si="523"/>
        <v/>
      </c>
    </row>
    <row r="466" spans="1:154" x14ac:dyDescent="0.25">
      <c r="A466" s="67"/>
      <c r="B466" s="84" t="str" cm="1">
        <f t="array" aca="1" ref="B466" ca="1">HYPERLINK(CONCATENATE("#",CELL("address",$D$275)),$D$275)</f>
        <v>Loan 13</v>
      </c>
      <c r="C466" s="380"/>
      <c r="D466" s="60">
        <f>D$25</f>
        <v>0</v>
      </c>
      <c r="E466" s="221">
        <f>E$25</f>
        <v>0</v>
      </c>
      <c r="F466" s="67"/>
      <c r="G466" s="9" t="s">
        <v>413</v>
      </c>
      <c r="H466" s="50" t="s">
        <v>125</v>
      </c>
      <c r="S466" s="335"/>
      <c r="T466" s="335"/>
      <c r="U466" s="335"/>
      <c r="V466" s="201">
        <f>V$277</f>
        <v>0</v>
      </c>
      <c r="W466" s="10">
        <f>W$277</f>
        <v>0</v>
      </c>
      <c r="X466" s="10">
        <f>X$277</f>
        <v>0</v>
      </c>
      <c r="Y466" s="10">
        <f>Y$277</f>
        <v>0</v>
      </c>
      <c r="Z466" s="67"/>
      <c r="AA466" s="10">
        <f t="shared" ref="AA466:BJ466" si="548">AA$277</f>
        <v>0</v>
      </c>
      <c r="AB466" s="10">
        <f t="shared" si="548"/>
        <v>0</v>
      </c>
      <c r="AC466" s="10">
        <f t="shared" si="548"/>
        <v>0</v>
      </c>
      <c r="AD466" s="10">
        <f t="shared" si="548"/>
        <v>0</v>
      </c>
      <c r="AE466" s="10">
        <f t="shared" si="548"/>
        <v>0</v>
      </c>
      <c r="AF466" s="10">
        <f t="shared" si="548"/>
        <v>0</v>
      </c>
      <c r="AG466" s="10">
        <f t="shared" si="548"/>
        <v>0</v>
      </c>
      <c r="AH466" s="10">
        <f t="shared" si="548"/>
        <v>0</v>
      </c>
      <c r="AI466" s="10">
        <f t="shared" si="548"/>
        <v>0</v>
      </c>
      <c r="AJ466" s="10">
        <f t="shared" si="548"/>
        <v>0</v>
      </c>
      <c r="AK466" s="10">
        <f t="shared" si="548"/>
        <v>0</v>
      </c>
      <c r="AL466" s="10">
        <f t="shared" si="548"/>
        <v>0</v>
      </c>
      <c r="AM466" s="10">
        <f t="shared" si="548"/>
        <v>0</v>
      </c>
      <c r="AN466" s="10">
        <f t="shared" si="548"/>
        <v>0</v>
      </c>
      <c r="AO466" s="10">
        <f t="shared" si="548"/>
        <v>0</v>
      </c>
      <c r="AP466" s="10">
        <f t="shared" si="548"/>
        <v>0</v>
      </c>
      <c r="AQ466" s="10">
        <f t="shared" si="548"/>
        <v>0</v>
      </c>
      <c r="AR466" s="10">
        <f t="shared" si="548"/>
        <v>0</v>
      </c>
      <c r="AS466" s="10">
        <f t="shared" si="548"/>
        <v>0</v>
      </c>
      <c r="AT466" s="10">
        <f t="shared" si="548"/>
        <v>0</v>
      </c>
      <c r="AU466" s="10">
        <f t="shared" si="548"/>
        <v>0</v>
      </c>
      <c r="AV466" s="10">
        <f t="shared" si="548"/>
        <v>0</v>
      </c>
      <c r="AW466" s="10">
        <f t="shared" si="548"/>
        <v>0</v>
      </c>
      <c r="AX466" s="10">
        <f t="shared" si="548"/>
        <v>0</v>
      </c>
      <c r="AY466" s="10">
        <f t="shared" si="548"/>
        <v>0</v>
      </c>
      <c r="AZ466" s="10">
        <f t="shared" si="548"/>
        <v>0</v>
      </c>
      <c r="BA466" s="10">
        <f t="shared" si="548"/>
        <v>0</v>
      </c>
      <c r="BB466" s="10">
        <f t="shared" si="548"/>
        <v>0</v>
      </c>
      <c r="BC466" s="10">
        <f t="shared" si="548"/>
        <v>0</v>
      </c>
      <c r="BD466" s="10">
        <f t="shared" si="548"/>
        <v>0</v>
      </c>
      <c r="BE466" s="10">
        <f t="shared" si="548"/>
        <v>0</v>
      </c>
      <c r="BF466" s="10">
        <f t="shared" si="548"/>
        <v>0</v>
      </c>
      <c r="BG466" s="10">
        <f t="shared" si="548"/>
        <v>0</v>
      </c>
      <c r="BH466" s="10">
        <f t="shared" si="548"/>
        <v>0</v>
      </c>
      <c r="BI466" s="10">
        <f t="shared" si="548"/>
        <v>0</v>
      </c>
      <c r="BJ466" s="10">
        <f t="shared" si="548"/>
        <v>0</v>
      </c>
      <c r="BK466" s="67"/>
      <c r="BL466" s="10">
        <f t="shared" ref="BL466:BW466" si="549">BL$277</f>
        <v>0</v>
      </c>
      <c r="BM466" s="10">
        <f t="shared" si="549"/>
        <v>0</v>
      </c>
      <c r="BN466" s="10">
        <f t="shared" si="549"/>
        <v>0</v>
      </c>
      <c r="BO466" s="10">
        <f t="shared" si="549"/>
        <v>0</v>
      </c>
      <c r="BP466" s="10">
        <f t="shared" si="549"/>
        <v>0</v>
      </c>
      <c r="BQ466" s="10">
        <f t="shared" si="549"/>
        <v>0</v>
      </c>
      <c r="BR466" s="10">
        <f t="shared" si="549"/>
        <v>0</v>
      </c>
      <c r="BS466" s="10">
        <f t="shared" si="549"/>
        <v>0</v>
      </c>
      <c r="BT466" s="10">
        <f t="shared" si="549"/>
        <v>0</v>
      </c>
      <c r="BU466" s="10">
        <f t="shared" si="549"/>
        <v>0</v>
      </c>
      <c r="BV466" s="10">
        <f t="shared" si="549"/>
        <v>0</v>
      </c>
      <c r="BW466" s="10">
        <f t="shared" si="549"/>
        <v>0</v>
      </c>
      <c r="BY466" s="12"/>
      <c r="CA466" s="12"/>
      <c r="CR466" s="12"/>
      <c r="EX466" s="10" t="str">
        <f t="shared" si="523"/>
        <v/>
      </c>
    </row>
    <row r="467" spans="1:154" s="5" customFormat="1" x14ac:dyDescent="0.25">
      <c r="A467" s="67"/>
      <c r="B467" s="84" t="str" cm="1">
        <f t="array" aca="1" ref="B467" ca="1">HYPERLINK(CONCATENATE("#",CELL("address",$D$294)),$D$294)</f>
        <v>Loan 14</v>
      </c>
      <c r="C467" s="380"/>
      <c r="D467" s="60">
        <f>D$26</f>
        <v>0</v>
      </c>
      <c r="E467" s="221">
        <f>E$26</f>
        <v>0</v>
      </c>
      <c r="F467" s="67"/>
      <c r="G467" s="9" t="s">
        <v>413</v>
      </c>
      <c r="H467" s="50" t="s">
        <v>125</v>
      </c>
      <c r="I467" s="11"/>
      <c r="J467" s="11"/>
      <c r="K467" s="11"/>
      <c r="L467" s="11"/>
      <c r="M467" s="11"/>
      <c r="N467" s="11"/>
      <c r="O467" s="11"/>
      <c r="P467" s="11"/>
      <c r="Q467" s="11"/>
      <c r="R467" s="11"/>
      <c r="S467" s="335"/>
      <c r="T467" s="335"/>
      <c r="U467" s="335"/>
      <c r="V467" s="201">
        <f>V$296</f>
        <v>0</v>
      </c>
      <c r="W467" s="10">
        <f>W$296</f>
        <v>0</v>
      </c>
      <c r="X467" s="10">
        <f>X$296</f>
        <v>0</v>
      </c>
      <c r="Y467" s="10">
        <f>Y$296</f>
        <v>0</v>
      </c>
      <c r="Z467" s="67"/>
      <c r="AA467" s="10">
        <f t="shared" ref="AA467:BJ467" si="550">AA$296</f>
        <v>0</v>
      </c>
      <c r="AB467" s="10">
        <f t="shared" si="550"/>
        <v>0</v>
      </c>
      <c r="AC467" s="10">
        <f t="shared" si="550"/>
        <v>0</v>
      </c>
      <c r="AD467" s="10">
        <f t="shared" si="550"/>
        <v>0</v>
      </c>
      <c r="AE467" s="10">
        <f t="shared" si="550"/>
        <v>0</v>
      </c>
      <c r="AF467" s="10">
        <f t="shared" si="550"/>
        <v>0</v>
      </c>
      <c r="AG467" s="10">
        <f t="shared" si="550"/>
        <v>0</v>
      </c>
      <c r="AH467" s="10">
        <f t="shared" si="550"/>
        <v>0</v>
      </c>
      <c r="AI467" s="10">
        <f t="shared" si="550"/>
        <v>0</v>
      </c>
      <c r="AJ467" s="10">
        <f t="shared" si="550"/>
        <v>0</v>
      </c>
      <c r="AK467" s="10">
        <f t="shared" si="550"/>
        <v>0</v>
      </c>
      <c r="AL467" s="10">
        <f t="shared" si="550"/>
        <v>0</v>
      </c>
      <c r="AM467" s="10">
        <f t="shared" si="550"/>
        <v>0</v>
      </c>
      <c r="AN467" s="10">
        <f t="shared" si="550"/>
        <v>0</v>
      </c>
      <c r="AO467" s="10">
        <f t="shared" si="550"/>
        <v>0</v>
      </c>
      <c r="AP467" s="10">
        <f t="shared" si="550"/>
        <v>0</v>
      </c>
      <c r="AQ467" s="10">
        <f t="shared" si="550"/>
        <v>0</v>
      </c>
      <c r="AR467" s="10">
        <f t="shared" si="550"/>
        <v>0</v>
      </c>
      <c r="AS467" s="10">
        <f t="shared" si="550"/>
        <v>0</v>
      </c>
      <c r="AT467" s="10">
        <f t="shared" si="550"/>
        <v>0</v>
      </c>
      <c r="AU467" s="10">
        <f t="shared" si="550"/>
        <v>0</v>
      </c>
      <c r="AV467" s="10">
        <f t="shared" si="550"/>
        <v>0</v>
      </c>
      <c r="AW467" s="10">
        <f t="shared" si="550"/>
        <v>0</v>
      </c>
      <c r="AX467" s="10">
        <f t="shared" si="550"/>
        <v>0</v>
      </c>
      <c r="AY467" s="10">
        <f t="shared" si="550"/>
        <v>0</v>
      </c>
      <c r="AZ467" s="10">
        <f t="shared" si="550"/>
        <v>0</v>
      </c>
      <c r="BA467" s="10">
        <f t="shared" si="550"/>
        <v>0</v>
      </c>
      <c r="BB467" s="10">
        <f t="shared" si="550"/>
        <v>0</v>
      </c>
      <c r="BC467" s="10">
        <f t="shared" si="550"/>
        <v>0</v>
      </c>
      <c r="BD467" s="10">
        <f t="shared" si="550"/>
        <v>0</v>
      </c>
      <c r="BE467" s="10">
        <f t="shared" si="550"/>
        <v>0</v>
      </c>
      <c r="BF467" s="10">
        <f t="shared" si="550"/>
        <v>0</v>
      </c>
      <c r="BG467" s="10">
        <f t="shared" si="550"/>
        <v>0</v>
      </c>
      <c r="BH467" s="10">
        <f t="shared" si="550"/>
        <v>0</v>
      </c>
      <c r="BI467" s="10">
        <f t="shared" si="550"/>
        <v>0</v>
      </c>
      <c r="BJ467" s="10">
        <f t="shared" si="550"/>
        <v>0</v>
      </c>
      <c r="BK467" s="67"/>
      <c r="BL467" s="10">
        <f t="shared" ref="BL467:BW467" si="551">BL$296</f>
        <v>0</v>
      </c>
      <c r="BM467" s="10">
        <f t="shared" si="551"/>
        <v>0</v>
      </c>
      <c r="BN467" s="10">
        <f t="shared" si="551"/>
        <v>0</v>
      </c>
      <c r="BO467" s="10">
        <f t="shared" si="551"/>
        <v>0</v>
      </c>
      <c r="BP467" s="10">
        <f t="shared" si="551"/>
        <v>0</v>
      </c>
      <c r="BQ467" s="10">
        <f t="shared" si="551"/>
        <v>0</v>
      </c>
      <c r="BR467" s="10">
        <f t="shared" si="551"/>
        <v>0</v>
      </c>
      <c r="BS467" s="10">
        <f t="shared" si="551"/>
        <v>0</v>
      </c>
      <c r="BT467" s="10">
        <f t="shared" si="551"/>
        <v>0</v>
      </c>
      <c r="BU467" s="10">
        <f t="shared" si="551"/>
        <v>0</v>
      </c>
      <c r="BV467" s="10">
        <f t="shared" si="551"/>
        <v>0</v>
      </c>
      <c r="BW467" s="10">
        <f t="shared" si="551"/>
        <v>0</v>
      </c>
      <c r="BX467" s="11"/>
      <c r="BY467" s="12"/>
      <c r="BZ467" s="335"/>
      <c r="CA467" s="12"/>
      <c r="CB467" s="335"/>
      <c r="CC467" s="335"/>
      <c r="CD467" s="335"/>
      <c r="CE467" s="335"/>
      <c r="CF467" s="67"/>
      <c r="CG467" s="11"/>
      <c r="CH467" s="11"/>
      <c r="CI467" s="11"/>
      <c r="CJ467" s="67"/>
      <c r="CK467" s="11"/>
      <c r="CL467" s="11"/>
      <c r="CM467" s="335"/>
      <c r="CN467" s="335"/>
      <c r="CO467" s="335"/>
      <c r="CP467" s="335"/>
      <c r="CQ467" s="67"/>
      <c r="CR467" s="12"/>
      <c r="EX467" s="10" t="str">
        <f t="shared" si="523"/>
        <v/>
      </c>
    </row>
    <row r="468" spans="1:154" x14ac:dyDescent="0.25">
      <c r="A468" s="67"/>
      <c r="B468" s="84" t="str" cm="1">
        <f t="array" aca="1" ref="B468" ca="1">HYPERLINK(CONCATENATE("#",CELL("address",$D$313)),$D$313)</f>
        <v>Loan 15</v>
      </c>
      <c r="C468" s="380"/>
      <c r="D468" s="60">
        <f>D$27</f>
        <v>0</v>
      </c>
      <c r="E468" s="221">
        <f>E$27</f>
        <v>0</v>
      </c>
      <c r="F468" s="67"/>
      <c r="G468" s="9" t="s">
        <v>413</v>
      </c>
      <c r="H468" s="50" t="s">
        <v>125</v>
      </c>
      <c r="S468" s="335"/>
      <c r="T468" s="335"/>
      <c r="U468" s="335"/>
      <c r="V468" s="201">
        <f>V$315</f>
        <v>0</v>
      </c>
      <c r="W468" s="10">
        <f>W$315</f>
        <v>0</v>
      </c>
      <c r="X468" s="10">
        <f>X$315</f>
        <v>0</v>
      </c>
      <c r="Y468" s="10">
        <f>Y$315</f>
        <v>0</v>
      </c>
      <c r="Z468" s="67"/>
      <c r="AA468" s="10">
        <f t="shared" ref="AA468:BJ468" si="552">AA$315</f>
        <v>0</v>
      </c>
      <c r="AB468" s="10">
        <f t="shared" si="552"/>
        <v>0</v>
      </c>
      <c r="AC468" s="10">
        <f t="shared" si="552"/>
        <v>0</v>
      </c>
      <c r="AD468" s="10">
        <f t="shared" si="552"/>
        <v>0</v>
      </c>
      <c r="AE468" s="10">
        <f t="shared" si="552"/>
        <v>0</v>
      </c>
      <c r="AF468" s="10">
        <f t="shared" si="552"/>
        <v>0</v>
      </c>
      <c r="AG468" s="10">
        <f t="shared" si="552"/>
        <v>0</v>
      </c>
      <c r="AH468" s="10">
        <f t="shared" si="552"/>
        <v>0</v>
      </c>
      <c r="AI468" s="10">
        <f t="shared" si="552"/>
        <v>0</v>
      </c>
      <c r="AJ468" s="10">
        <f t="shared" si="552"/>
        <v>0</v>
      </c>
      <c r="AK468" s="10">
        <f t="shared" si="552"/>
        <v>0</v>
      </c>
      <c r="AL468" s="10">
        <f t="shared" si="552"/>
        <v>0</v>
      </c>
      <c r="AM468" s="10">
        <f t="shared" si="552"/>
        <v>0</v>
      </c>
      <c r="AN468" s="10">
        <f t="shared" si="552"/>
        <v>0</v>
      </c>
      <c r="AO468" s="10">
        <f t="shared" si="552"/>
        <v>0</v>
      </c>
      <c r="AP468" s="10">
        <f t="shared" si="552"/>
        <v>0</v>
      </c>
      <c r="AQ468" s="10">
        <f t="shared" si="552"/>
        <v>0</v>
      </c>
      <c r="AR468" s="10">
        <f t="shared" si="552"/>
        <v>0</v>
      </c>
      <c r="AS468" s="10">
        <f t="shared" si="552"/>
        <v>0</v>
      </c>
      <c r="AT468" s="10">
        <f t="shared" si="552"/>
        <v>0</v>
      </c>
      <c r="AU468" s="10">
        <f t="shared" si="552"/>
        <v>0</v>
      </c>
      <c r="AV468" s="10">
        <f t="shared" si="552"/>
        <v>0</v>
      </c>
      <c r="AW468" s="10">
        <f t="shared" si="552"/>
        <v>0</v>
      </c>
      <c r="AX468" s="10">
        <f t="shared" si="552"/>
        <v>0</v>
      </c>
      <c r="AY468" s="10">
        <f t="shared" si="552"/>
        <v>0</v>
      </c>
      <c r="AZ468" s="10">
        <f t="shared" si="552"/>
        <v>0</v>
      </c>
      <c r="BA468" s="10">
        <f t="shared" si="552"/>
        <v>0</v>
      </c>
      <c r="BB468" s="10">
        <f t="shared" si="552"/>
        <v>0</v>
      </c>
      <c r="BC468" s="10">
        <f t="shared" si="552"/>
        <v>0</v>
      </c>
      <c r="BD468" s="10">
        <f t="shared" si="552"/>
        <v>0</v>
      </c>
      <c r="BE468" s="10">
        <f t="shared" si="552"/>
        <v>0</v>
      </c>
      <c r="BF468" s="10">
        <f t="shared" si="552"/>
        <v>0</v>
      </c>
      <c r="BG468" s="10">
        <f t="shared" si="552"/>
        <v>0</v>
      </c>
      <c r="BH468" s="10">
        <f t="shared" si="552"/>
        <v>0</v>
      </c>
      <c r="BI468" s="10">
        <f t="shared" si="552"/>
        <v>0</v>
      </c>
      <c r="BJ468" s="10">
        <f t="shared" si="552"/>
        <v>0</v>
      </c>
      <c r="BK468" s="67"/>
      <c r="BL468" s="10">
        <f t="shared" ref="BL468:BW468" si="553">BL$315</f>
        <v>0</v>
      </c>
      <c r="BM468" s="10">
        <f t="shared" si="553"/>
        <v>0</v>
      </c>
      <c r="BN468" s="10">
        <f t="shared" si="553"/>
        <v>0</v>
      </c>
      <c r="BO468" s="10">
        <f t="shared" si="553"/>
        <v>0</v>
      </c>
      <c r="BP468" s="10">
        <f t="shared" si="553"/>
        <v>0</v>
      </c>
      <c r="BQ468" s="10">
        <f t="shared" si="553"/>
        <v>0</v>
      </c>
      <c r="BR468" s="10">
        <f t="shared" si="553"/>
        <v>0</v>
      </c>
      <c r="BS468" s="10">
        <f t="shared" si="553"/>
        <v>0</v>
      </c>
      <c r="BT468" s="10">
        <f t="shared" si="553"/>
        <v>0</v>
      </c>
      <c r="BU468" s="10">
        <f t="shared" si="553"/>
        <v>0</v>
      </c>
      <c r="BV468" s="10">
        <f t="shared" si="553"/>
        <v>0</v>
      </c>
      <c r="BW468" s="10">
        <f t="shared" si="553"/>
        <v>0</v>
      </c>
      <c r="BY468" s="12"/>
      <c r="CA468" s="12"/>
      <c r="CR468" s="12"/>
      <c r="EX468" s="10" t="str">
        <f t="shared" si="523"/>
        <v/>
      </c>
    </row>
    <row r="469" spans="1:154" x14ac:dyDescent="0.25">
      <c r="A469" s="67"/>
      <c r="B469" s="84" t="str" cm="1">
        <f t="array" aca="1" ref="B469" ca="1">HYPERLINK(CONCATENATE("#",CELL("address",$D$332)),$D$332)</f>
        <v>Loan 16</v>
      </c>
      <c r="C469" s="380"/>
      <c r="D469" s="60">
        <f>D$28</f>
        <v>0</v>
      </c>
      <c r="E469" s="221">
        <f>E$28</f>
        <v>0</v>
      </c>
      <c r="F469" s="67"/>
      <c r="G469" s="9" t="s">
        <v>413</v>
      </c>
      <c r="H469" s="50" t="s">
        <v>125</v>
      </c>
      <c r="S469" s="335"/>
      <c r="T469" s="335"/>
      <c r="U469" s="335"/>
      <c r="V469" s="201">
        <f>V$334</f>
        <v>0</v>
      </c>
      <c r="W469" s="10">
        <f>W$334</f>
        <v>0</v>
      </c>
      <c r="X469" s="10">
        <f>X$334</f>
        <v>0</v>
      </c>
      <c r="Y469" s="10">
        <f>Y$334</f>
        <v>0</v>
      </c>
      <c r="Z469" s="67"/>
      <c r="AA469" s="10">
        <f t="shared" ref="AA469:BJ469" si="554">AA$334</f>
        <v>0</v>
      </c>
      <c r="AB469" s="10">
        <f t="shared" si="554"/>
        <v>0</v>
      </c>
      <c r="AC469" s="10">
        <f t="shared" si="554"/>
        <v>0</v>
      </c>
      <c r="AD469" s="10">
        <f t="shared" si="554"/>
        <v>0</v>
      </c>
      <c r="AE469" s="10">
        <f t="shared" si="554"/>
        <v>0</v>
      </c>
      <c r="AF469" s="10">
        <f t="shared" si="554"/>
        <v>0</v>
      </c>
      <c r="AG469" s="10">
        <f t="shared" si="554"/>
        <v>0</v>
      </c>
      <c r="AH469" s="10">
        <f t="shared" si="554"/>
        <v>0</v>
      </c>
      <c r="AI469" s="10">
        <f t="shared" si="554"/>
        <v>0</v>
      </c>
      <c r="AJ469" s="10">
        <f t="shared" si="554"/>
        <v>0</v>
      </c>
      <c r="AK469" s="10">
        <f t="shared" si="554"/>
        <v>0</v>
      </c>
      <c r="AL469" s="10">
        <f t="shared" si="554"/>
        <v>0</v>
      </c>
      <c r="AM469" s="10">
        <f t="shared" si="554"/>
        <v>0</v>
      </c>
      <c r="AN469" s="10">
        <f t="shared" si="554"/>
        <v>0</v>
      </c>
      <c r="AO469" s="10">
        <f t="shared" si="554"/>
        <v>0</v>
      </c>
      <c r="AP469" s="10">
        <f t="shared" si="554"/>
        <v>0</v>
      </c>
      <c r="AQ469" s="10">
        <f t="shared" si="554"/>
        <v>0</v>
      </c>
      <c r="AR469" s="10">
        <f t="shared" si="554"/>
        <v>0</v>
      </c>
      <c r="AS469" s="10">
        <f t="shared" si="554"/>
        <v>0</v>
      </c>
      <c r="AT469" s="10">
        <f t="shared" si="554"/>
        <v>0</v>
      </c>
      <c r="AU469" s="10">
        <f t="shared" si="554"/>
        <v>0</v>
      </c>
      <c r="AV469" s="10">
        <f t="shared" si="554"/>
        <v>0</v>
      </c>
      <c r="AW469" s="10">
        <f t="shared" si="554"/>
        <v>0</v>
      </c>
      <c r="AX469" s="10">
        <f t="shared" si="554"/>
        <v>0</v>
      </c>
      <c r="AY469" s="10">
        <f t="shared" si="554"/>
        <v>0</v>
      </c>
      <c r="AZ469" s="10">
        <f t="shared" si="554"/>
        <v>0</v>
      </c>
      <c r="BA469" s="10">
        <f t="shared" si="554"/>
        <v>0</v>
      </c>
      <c r="BB469" s="10">
        <f t="shared" si="554"/>
        <v>0</v>
      </c>
      <c r="BC469" s="10">
        <f t="shared" si="554"/>
        <v>0</v>
      </c>
      <c r="BD469" s="10">
        <f t="shared" si="554"/>
        <v>0</v>
      </c>
      <c r="BE469" s="10">
        <f t="shared" si="554"/>
        <v>0</v>
      </c>
      <c r="BF469" s="10">
        <f t="shared" si="554"/>
        <v>0</v>
      </c>
      <c r="BG469" s="10">
        <f t="shared" si="554"/>
        <v>0</v>
      </c>
      <c r="BH469" s="10">
        <f t="shared" si="554"/>
        <v>0</v>
      </c>
      <c r="BI469" s="10">
        <f t="shared" si="554"/>
        <v>0</v>
      </c>
      <c r="BJ469" s="10">
        <f t="shared" si="554"/>
        <v>0</v>
      </c>
      <c r="BK469" s="67"/>
      <c r="BL469" s="10">
        <f t="shared" ref="BL469:BW469" si="555">BL$334</f>
        <v>0</v>
      </c>
      <c r="BM469" s="10">
        <f t="shared" si="555"/>
        <v>0</v>
      </c>
      <c r="BN469" s="10">
        <f t="shared" si="555"/>
        <v>0</v>
      </c>
      <c r="BO469" s="10">
        <f t="shared" si="555"/>
        <v>0</v>
      </c>
      <c r="BP469" s="10">
        <f t="shared" si="555"/>
        <v>0</v>
      </c>
      <c r="BQ469" s="10">
        <f t="shared" si="555"/>
        <v>0</v>
      </c>
      <c r="BR469" s="10">
        <f t="shared" si="555"/>
        <v>0</v>
      </c>
      <c r="BS469" s="10">
        <f t="shared" si="555"/>
        <v>0</v>
      </c>
      <c r="BT469" s="10">
        <f t="shared" si="555"/>
        <v>0</v>
      </c>
      <c r="BU469" s="10">
        <f t="shared" si="555"/>
        <v>0</v>
      </c>
      <c r="BV469" s="10">
        <f t="shared" si="555"/>
        <v>0</v>
      </c>
      <c r="BW469" s="10">
        <f t="shared" si="555"/>
        <v>0</v>
      </c>
      <c r="BY469" s="12"/>
      <c r="CA469" s="12"/>
      <c r="CR469" s="12"/>
      <c r="EX469" s="10" t="str">
        <f t="shared" si="523"/>
        <v/>
      </c>
    </row>
    <row r="470" spans="1:154" x14ac:dyDescent="0.25">
      <c r="A470" s="67"/>
      <c r="B470" s="84" t="str" cm="1">
        <f t="array" aca="1" ref="B470" ca="1">HYPERLINK(CONCATENATE("#",CELL("address",$D$351)),$D$351)</f>
        <v>Loan 17</v>
      </c>
      <c r="C470" s="380"/>
      <c r="D470" s="60">
        <f>D$29</f>
        <v>0</v>
      </c>
      <c r="E470" s="221">
        <f>E$29</f>
        <v>0</v>
      </c>
      <c r="F470" s="67"/>
      <c r="G470" s="9" t="s">
        <v>413</v>
      </c>
      <c r="H470" s="50" t="s">
        <v>125</v>
      </c>
      <c r="S470" s="335"/>
      <c r="T470" s="335"/>
      <c r="U470" s="335"/>
      <c r="V470" s="201">
        <f>V$353</f>
        <v>0</v>
      </c>
      <c r="W470" s="10">
        <f>W$353</f>
        <v>0</v>
      </c>
      <c r="X470" s="10">
        <f>X$353</f>
        <v>0</v>
      </c>
      <c r="Y470" s="10">
        <f>Y$353</f>
        <v>0</v>
      </c>
      <c r="Z470" s="67"/>
      <c r="AA470" s="10">
        <f t="shared" ref="AA470:BJ470" si="556">AA$353</f>
        <v>0</v>
      </c>
      <c r="AB470" s="10">
        <f t="shared" si="556"/>
        <v>0</v>
      </c>
      <c r="AC470" s="10">
        <f t="shared" si="556"/>
        <v>0</v>
      </c>
      <c r="AD470" s="10">
        <f t="shared" si="556"/>
        <v>0</v>
      </c>
      <c r="AE470" s="10">
        <f t="shared" si="556"/>
        <v>0</v>
      </c>
      <c r="AF470" s="10">
        <f t="shared" si="556"/>
        <v>0</v>
      </c>
      <c r="AG470" s="10">
        <f t="shared" si="556"/>
        <v>0</v>
      </c>
      <c r="AH470" s="10">
        <f t="shared" si="556"/>
        <v>0</v>
      </c>
      <c r="AI470" s="10">
        <f t="shared" si="556"/>
        <v>0</v>
      </c>
      <c r="AJ470" s="10">
        <f t="shared" si="556"/>
        <v>0</v>
      </c>
      <c r="AK470" s="10">
        <f t="shared" si="556"/>
        <v>0</v>
      </c>
      <c r="AL470" s="10">
        <f t="shared" si="556"/>
        <v>0</v>
      </c>
      <c r="AM470" s="10">
        <f t="shared" si="556"/>
        <v>0</v>
      </c>
      <c r="AN470" s="10">
        <f t="shared" si="556"/>
        <v>0</v>
      </c>
      <c r="AO470" s="10">
        <f t="shared" si="556"/>
        <v>0</v>
      </c>
      <c r="AP470" s="10">
        <f t="shared" si="556"/>
        <v>0</v>
      </c>
      <c r="AQ470" s="10">
        <f t="shared" si="556"/>
        <v>0</v>
      </c>
      <c r="AR470" s="10">
        <f t="shared" si="556"/>
        <v>0</v>
      </c>
      <c r="AS470" s="10">
        <f t="shared" si="556"/>
        <v>0</v>
      </c>
      <c r="AT470" s="10">
        <f t="shared" si="556"/>
        <v>0</v>
      </c>
      <c r="AU470" s="10">
        <f t="shared" si="556"/>
        <v>0</v>
      </c>
      <c r="AV470" s="10">
        <f t="shared" si="556"/>
        <v>0</v>
      </c>
      <c r="AW470" s="10">
        <f t="shared" si="556"/>
        <v>0</v>
      </c>
      <c r="AX470" s="10">
        <f t="shared" si="556"/>
        <v>0</v>
      </c>
      <c r="AY470" s="10">
        <f t="shared" si="556"/>
        <v>0</v>
      </c>
      <c r="AZ470" s="10">
        <f t="shared" si="556"/>
        <v>0</v>
      </c>
      <c r="BA470" s="10">
        <f t="shared" si="556"/>
        <v>0</v>
      </c>
      <c r="BB470" s="10">
        <f t="shared" si="556"/>
        <v>0</v>
      </c>
      <c r="BC470" s="10">
        <f t="shared" si="556"/>
        <v>0</v>
      </c>
      <c r="BD470" s="10">
        <f t="shared" si="556"/>
        <v>0</v>
      </c>
      <c r="BE470" s="10">
        <f t="shared" si="556"/>
        <v>0</v>
      </c>
      <c r="BF470" s="10">
        <f t="shared" si="556"/>
        <v>0</v>
      </c>
      <c r="BG470" s="10">
        <f t="shared" si="556"/>
        <v>0</v>
      </c>
      <c r="BH470" s="10">
        <f t="shared" si="556"/>
        <v>0</v>
      </c>
      <c r="BI470" s="10">
        <f t="shared" si="556"/>
        <v>0</v>
      </c>
      <c r="BJ470" s="10">
        <f t="shared" si="556"/>
        <v>0</v>
      </c>
      <c r="BK470" s="67"/>
      <c r="BL470" s="10">
        <f t="shared" ref="BL470:BW470" si="557">BL$353</f>
        <v>0</v>
      </c>
      <c r="BM470" s="10">
        <f t="shared" si="557"/>
        <v>0</v>
      </c>
      <c r="BN470" s="10">
        <f t="shared" si="557"/>
        <v>0</v>
      </c>
      <c r="BO470" s="10">
        <f t="shared" si="557"/>
        <v>0</v>
      </c>
      <c r="BP470" s="10">
        <f t="shared" si="557"/>
        <v>0</v>
      </c>
      <c r="BQ470" s="10">
        <f t="shared" si="557"/>
        <v>0</v>
      </c>
      <c r="BR470" s="10">
        <f t="shared" si="557"/>
        <v>0</v>
      </c>
      <c r="BS470" s="10">
        <f t="shared" si="557"/>
        <v>0</v>
      </c>
      <c r="BT470" s="10">
        <f t="shared" si="557"/>
        <v>0</v>
      </c>
      <c r="BU470" s="10">
        <f t="shared" si="557"/>
        <v>0</v>
      </c>
      <c r="BV470" s="10">
        <f t="shared" si="557"/>
        <v>0</v>
      </c>
      <c r="BW470" s="10">
        <f t="shared" si="557"/>
        <v>0</v>
      </c>
      <c r="BY470" s="12"/>
      <c r="CA470" s="12"/>
      <c r="CR470" s="12"/>
      <c r="EX470" s="10" t="str">
        <f t="shared" si="523"/>
        <v/>
      </c>
    </row>
    <row r="471" spans="1:154" x14ac:dyDescent="0.25">
      <c r="A471" s="67"/>
      <c r="B471" s="84" t="str" cm="1">
        <f t="array" aca="1" ref="B471" ca="1">HYPERLINK(CONCATENATE("#",CELL("address",$D$370)),$D$370)</f>
        <v>Loan 18</v>
      </c>
      <c r="C471" s="380"/>
      <c r="D471" s="60">
        <f>D$30</f>
        <v>0</v>
      </c>
      <c r="E471" s="221">
        <f>E$30</f>
        <v>0</v>
      </c>
      <c r="F471" s="67"/>
      <c r="G471" s="9" t="s">
        <v>413</v>
      </c>
      <c r="H471" s="50" t="s">
        <v>125</v>
      </c>
      <c r="S471" s="335"/>
      <c r="T471" s="335"/>
      <c r="U471" s="335"/>
      <c r="V471" s="201">
        <f>V$372</f>
        <v>0</v>
      </c>
      <c r="W471" s="10">
        <f>W$372</f>
        <v>0</v>
      </c>
      <c r="X471" s="10">
        <f>X$372</f>
        <v>0</v>
      </c>
      <c r="Y471" s="10">
        <f>Y$372</f>
        <v>0</v>
      </c>
      <c r="Z471" s="67"/>
      <c r="AA471" s="10">
        <f t="shared" ref="AA471:BJ471" si="558">AA$372</f>
        <v>0</v>
      </c>
      <c r="AB471" s="10">
        <f t="shared" si="558"/>
        <v>0</v>
      </c>
      <c r="AC471" s="10">
        <f t="shared" si="558"/>
        <v>0</v>
      </c>
      <c r="AD471" s="10">
        <f t="shared" si="558"/>
        <v>0</v>
      </c>
      <c r="AE471" s="10">
        <f t="shared" si="558"/>
        <v>0</v>
      </c>
      <c r="AF471" s="10">
        <f t="shared" si="558"/>
        <v>0</v>
      </c>
      <c r="AG471" s="10">
        <f t="shared" si="558"/>
        <v>0</v>
      </c>
      <c r="AH471" s="10">
        <f t="shared" si="558"/>
        <v>0</v>
      </c>
      <c r="AI471" s="10">
        <f t="shared" si="558"/>
        <v>0</v>
      </c>
      <c r="AJ471" s="10">
        <f t="shared" si="558"/>
        <v>0</v>
      </c>
      <c r="AK471" s="10">
        <f t="shared" si="558"/>
        <v>0</v>
      </c>
      <c r="AL471" s="10">
        <f t="shared" si="558"/>
        <v>0</v>
      </c>
      <c r="AM471" s="10">
        <f t="shared" si="558"/>
        <v>0</v>
      </c>
      <c r="AN471" s="10">
        <f t="shared" si="558"/>
        <v>0</v>
      </c>
      <c r="AO471" s="10">
        <f t="shared" si="558"/>
        <v>0</v>
      </c>
      <c r="AP471" s="10">
        <f t="shared" si="558"/>
        <v>0</v>
      </c>
      <c r="AQ471" s="10">
        <f t="shared" si="558"/>
        <v>0</v>
      </c>
      <c r="AR471" s="10">
        <f t="shared" si="558"/>
        <v>0</v>
      </c>
      <c r="AS471" s="10">
        <f t="shared" si="558"/>
        <v>0</v>
      </c>
      <c r="AT471" s="10">
        <f t="shared" si="558"/>
        <v>0</v>
      </c>
      <c r="AU471" s="10">
        <f t="shared" si="558"/>
        <v>0</v>
      </c>
      <c r="AV471" s="10">
        <f t="shared" si="558"/>
        <v>0</v>
      </c>
      <c r="AW471" s="10">
        <f t="shared" si="558"/>
        <v>0</v>
      </c>
      <c r="AX471" s="10">
        <f t="shared" si="558"/>
        <v>0</v>
      </c>
      <c r="AY471" s="10">
        <f t="shared" si="558"/>
        <v>0</v>
      </c>
      <c r="AZ471" s="10">
        <f t="shared" si="558"/>
        <v>0</v>
      </c>
      <c r="BA471" s="10">
        <f t="shared" si="558"/>
        <v>0</v>
      </c>
      <c r="BB471" s="10">
        <f t="shared" si="558"/>
        <v>0</v>
      </c>
      <c r="BC471" s="10">
        <f t="shared" si="558"/>
        <v>0</v>
      </c>
      <c r="BD471" s="10">
        <f t="shared" si="558"/>
        <v>0</v>
      </c>
      <c r="BE471" s="10">
        <f t="shared" si="558"/>
        <v>0</v>
      </c>
      <c r="BF471" s="10">
        <f t="shared" si="558"/>
        <v>0</v>
      </c>
      <c r="BG471" s="10">
        <f t="shared" si="558"/>
        <v>0</v>
      </c>
      <c r="BH471" s="10">
        <f t="shared" si="558"/>
        <v>0</v>
      </c>
      <c r="BI471" s="10">
        <f t="shared" si="558"/>
        <v>0</v>
      </c>
      <c r="BJ471" s="10">
        <f t="shared" si="558"/>
        <v>0</v>
      </c>
      <c r="BK471" s="67"/>
      <c r="BL471" s="10">
        <f t="shared" ref="BL471:BW471" si="559">BL$372</f>
        <v>0</v>
      </c>
      <c r="BM471" s="10">
        <f t="shared" si="559"/>
        <v>0</v>
      </c>
      <c r="BN471" s="10">
        <f t="shared" si="559"/>
        <v>0</v>
      </c>
      <c r="BO471" s="10">
        <f t="shared" si="559"/>
        <v>0</v>
      </c>
      <c r="BP471" s="10">
        <f t="shared" si="559"/>
        <v>0</v>
      </c>
      <c r="BQ471" s="10">
        <f t="shared" si="559"/>
        <v>0</v>
      </c>
      <c r="BR471" s="10">
        <f t="shared" si="559"/>
        <v>0</v>
      </c>
      <c r="BS471" s="10">
        <f t="shared" si="559"/>
        <v>0</v>
      </c>
      <c r="BT471" s="10">
        <f t="shared" si="559"/>
        <v>0</v>
      </c>
      <c r="BU471" s="10">
        <f t="shared" si="559"/>
        <v>0</v>
      </c>
      <c r="BV471" s="10">
        <f t="shared" si="559"/>
        <v>0</v>
      </c>
      <c r="BW471" s="10">
        <f t="shared" si="559"/>
        <v>0</v>
      </c>
      <c r="BY471" s="12"/>
      <c r="CA471" s="12"/>
      <c r="CR471" s="12"/>
      <c r="EX471" s="10" t="str">
        <f t="shared" si="523"/>
        <v/>
      </c>
    </row>
    <row r="472" spans="1:154" x14ac:dyDescent="0.25">
      <c r="A472" s="67"/>
      <c r="B472" s="84" t="str" cm="1">
        <f t="array" aca="1" ref="B472" ca="1">HYPERLINK(CONCATENATE("#",CELL("address",$D$389)),$D$389)</f>
        <v>Loan 19</v>
      </c>
      <c r="C472" s="380"/>
      <c r="D472" s="60">
        <f>D$31</f>
        <v>0</v>
      </c>
      <c r="E472" s="221">
        <f>E$31</f>
        <v>0</v>
      </c>
      <c r="F472" s="67"/>
      <c r="G472" s="9" t="s">
        <v>413</v>
      </c>
      <c r="H472" s="50" t="s">
        <v>125</v>
      </c>
      <c r="S472" s="335"/>
      <c r="T472" s="335"/>
      <c r="U472" s="335"/>
      <c r="V472" s="201">
        <f>V$391</f>
        <v>0</v>
      </c>
      <c r="W472" s="10">
        <f>W$391</f>
        <v>0</v>
      </c>
      <c r="X472" s="10">
        <f>X$391</f>
        <v>0</v>
      </c>
      <c r="Y472" s="10">
        <f>Y$391</f>
        <v>0</v>
      </c>
      <c r="Z472" s="67"/>
      <c r="AA472" s="10">
        <f t="shared" ref="AA472:BJ472" si="560">AA$391</f>
        <v>0</v>
      </c>
      <c r="AB472" s="10">
        <f t="shared" si="560"/>
        <v>0</v>
      </c>
      <c r="AC472" s="10">
        <f t="shared" si="560"/>
        <v>0</v>
      </c>
      <c r="AD472" s="10">
        <f t="shared" si="560"/>
        <v>0</v>
      </c>
      <c r="AE472" s="10">
        <f t="shared" si="560"/>
        <v>0</v>
      </c>
      <c r="AF472" s="10">
        <f t="shared" si="560"/>
        <v>0</v>
      </c>
      <c r="AG472" s="10">
        <f t="shared" si="560"/>
        <v>0</v>
      </c>
      <c r="AH472" s="10">
        <f t="shared" si="560"/>
        <v>0</v>
      </c>
      <c r="AI472" s="10">
        <f t="shared" si="560"/>
        <v>0</v>
      </c>
      <c r="AJ472" s="10">
        <f t="shared" si="560"/>
        <v>0</v>
      </c>
      <c r="AK472" s="10">
        <f t="shared" si="560"/>
        <v>0</v>
      </c>
      <c r="AL472" s="10">
        <f t="shared" si="560"/>
        <v>0</v>
      </c>
      <c r="AM472" s="10">
        <f t="shared" si="560"/>
        <v>0</v>
      </c>
      <c r="AN472" s="10">
        <f t="shared" si="560"/>
        <v>0</v>
      </c>
      <c r="AO472" s="10">
        <f t="shared" si="560"/>
        <v>0</v>
      </c>
      <c r="AP472" s="10">
        <f t="shared" si="560"/>
        <v>0</v>
      </c>
      <c r="AQ472" s="10">
        <f t="shared" si="560"/>
        <v>0</v>
      </c>
      <c r="AR472" s="10">
        <f t="shared" si="560"/>
        <v>0</v>
      </c>
      <c r="AS472" s="10">
        <f t="shared" si="560"/>
        <v>0</v>
      </c>
      <c r="AT472" s="10">
        <f t="shared" si="560"/>
        <v>0</v>
      </c>
      <c r="AU472" s="10">
        <f t="shared" si="560"/>
        <v>0</v>
      </c>
      <c r="AV472" s="10">
        <f t="shared" si="560"/>
        <v>0</v>
      </c>
      <c r="AW472" s="10">
        <f t="shared" si="560"/>
        <v>0</v>
      </c>
      <c r="AX472" s="10">
        <f t="shared" si="560"/>
        <v>0</v>
      </c>
      <c r="AY472" s="10">
        <f t="shared" si="560"/>
        <v>0</v>
      </c>
      <c r="AZ472" s="10">
        <f t="shared" si="560"/>
        <v>0</v>
      </c>
      <c r="BA472" s="10">
        <f t="shared" si="560"/>
        <v>0</v>
      </c>
      <c r="BB472" s="10">
        <f t="shared" si="560"/>
        <v>0</v>
      </c>
      <c r="BC472" s="10">
        <f t="shared" si="560"/>
        <v>0</v>
      </c>
      <c r="BD472" s="10">
        <f t="shared" si="560"/>
        <v>0</v>
      </c>
      <c r="BE472" s="10">
        <f t="shared" si="560"/>
        <v>0</v>
      </c>
      <c r="BF472" s="10">
        <f t="shared" si="560"/>
        <v>0</v>
      </c>
      <c r="BG472" s="10">
        <f t="shared" si="560"/>
        <v>0</v>
      </c>
      <c r="BH472" s="10">
        <f t="shared" si="560"/>
        <v>0</v>
      </c>
      <c r="BI472" s="10">
        <f t="shared" si="560"/>
        <v>0</v>
      </c>
      <c r="BJ472" s="10">
        <f t="shared" si="560"/>
        <v>0</v>
      </c>
      <c r="BK472" s="67"/>
      <c r="BL472" s="10">
        <f t="shared" ref="BL472:BW472" si="561">BL$391</f>
        <v>0</v>
      </c>
      <c r="BM472" s="10">
        <f t="shared" si="561"/>
        <v>0</v>
      </c>
      <c r="BN472" s="10">
        <f t="shared" si="561"/>
        <v>0</v>
      </c>
      <c r="BO472" s="10">
        <f t="shared" si="561"/>
        <v>0</v>
      </c>
      <c r="BP472" s="10">
        <f t="shared" si="561"/>
        <v>0</v>
      </c>
      <c r="BQ472" s="10">
        <f t="shared" si="561"/>
        <v>0</v>
      </c>
      <c r="BR472" s="10">
        <f t="shared" si="561"/>
        <v>0</v>
      </c>
      <c r="BS472" s="10">
        <f t="shared" si="561"/>
        <v>0</v>
      </c>
      <c r="BT472" s="10">
        <f t="shared" si="561"/>
        <v>0</v>
      </c>
      <c r="BU472" s="10">
        <f t="shared" si="561"/>
        <v>0</v>
      </c>
      <c r="BV472" s="10">
        <f t="shared" si="561"/>
        <v>0</v>
      </c>
      <c r="BW472" s="10">
        <f t="shared" si="561"/>
        <v>0</v>
      </c>
      <c r="BY472" s="12"/>
      <c r="CA472" s="12"/>
      <c r="CR472" s="12"/>
      <c r="EX472" s="10" t="str">
        <f t="shared" si="523"/>
        <v/>
      </c>
    </row>
    <row r="473" spans="1:154" x14ac:dyDescent="0.25">
      <c r="A473" s="67"/>
      <c r="B473" s="84" t="str" cm="1">
        <f t="array" aca="1" ref="B473" ca="1">HYPERLINK(CONCATENATE("#",CELL("address",$D$408)),$D$408)</f>
        <v>Loan 20</v>
      </c>
      <c r="C473" s="380"/>
      <c r="D473" s="60">
        <f>D$32</f>
        <v>0</v>
      </c>
      <c r="E473" s="221">
        <f>E$32</f>
        <v>0</v>
      </c>
      <c r="F473" s="67"/>
      <c r="G473" s="9" t="s">
        <v>413</v>
      </c>
      <c r="H473" s="50" t="s">
        <v>125</v>
      </c>
      <c r="S473" s="335"/>
      <c r="T473" s="335"/>
      <c r="U473" s="335"/>
      <c r="V473" s="201">
        <f>V$410</f>
        <v>0</v>
      </c>
      <c r="W473" s="10">
        <f>W$410</f>
        <v>0</v>
      </c>
      <c r="X473" s="10">
        <f>X$410</f>
        <v>0</v>
      </c>
      <c r="Y473" s="10">
        <f>Y$410</f>
        <v>0</v>
      </c>
      <c r="Z473" s="67"/>
      <c r="AA473" s="10">
        <f t="shared" ref="AA473:BJ473" si="562">AA$410</f>
        <v>0</v>
      </c>
      <c r="AB473" s="10">
        <f t="shared" si="562"/>
        <v>0</v>
      </c>
      <c r="AC473" s="10">
        <f t="shared" si="562"/>
        <v>0</v>
      </c>
      <c r="AD473" s="10">
        <f t="shared" si="562"/>
        <v>0</v>
      </c>
      <c r="AE473" s="10">
        <f t="shared" si="562"/>
        <v>0</v>
      </c>
      <c r="AF473" s="10">
        <f t="shared" si="562"/>
        <v>0</v>
      </c>
      <c r="AG473" s="10">
        <f t="shared" si="562"/>
        <v>0</v>
      </c>
      <c r="AH473" s="10">
        <f t="shared" si="562"/>
        <v>0</v>
      </c>
      <c r="AI473" s="10">
        <f t="shared" si="562"/>
        <v>0</v>
      </c>
      <c r="AJ473" s="10">
        <f t="shared" si="562"/>
        <v>0</v>
      </c>
      <c r="AK473" s="10">
        <f t="shared" si="562"/>
        <v>0</v>
      </c>
      <c r="AL473" s="10">
        <f t="shared" si="562"/>
        <v>0</v>
      </c>
      <c r="AM473" s="10">
        <f t="shared" si="562"/>
        <v>0</v>
      </c>
      <c r="AN473" s="10">
        <f t="shared" si="562"/>
        <v>0</v>
      </c>
      <c r="AO473" s="10">
        <f t="shared" si="562"/>
        <v>0</v>
      </c>
      <c r="AP473" s="10">
        <f t="shared" si="562"/>
        <v>0</v>
      </c>
      <c r="AQ473" s="10">
        <f t="shared" si="562"/>
        <v>0</v>
      </c>
      <c r="AR473" s="10">
        <f t="shared" si="562"/>
        <v>0</v>
      </c>
      <c r="AS473" s="10">
        <f t="shared" si="562"/>
        <v>0</v>
      </c>
      <c r="AT473" s="10">
        <f t="shared" si="562"/>
        <v>0</v>
      </c>
      <c r="AU473" s="10">
        <f t="shared" si="562"/>
        <v>0</v>
      </c>
      <c r="AV473" s="10">
        <f t="shared" si="562"/>
        <v>0</v>
      </c>
      <c r="AW473" s="10">
        <f t="shared" si="562"/>
        <v>0</v>
      </c>
      <c r="AX473" s="10">
        <f t="shared" si="562"/>
        <v>0</v>
      </c>
      <c r="AY473" s="10">
        <f t="shared" si="562"/>
        <v>0</v>
      </c>
      <c r="AZ473" s="10">
        <f t="shared" si="562"/>
        <v>0</v>
      </c>
      <c r="BA473" s="10">
        <f t="shared" si="562"/>
        <v>0</v>
      </c>
      <c r="BB473" s="10">
        <f t="shared" si="562"/>
        <v>0</v>
      </c>
      <c r="BC473" s="10">
        <f t="shared" si="562"/>
        <v>0</v>
      </c>
      <c r="BD473" s="10">
        <f t="shared" si="562"/>
        <v>0</v>
      </c>
      <c r="BE473" s="10">
        <f t="shared" si="562"/>
        <v>0</v>
      </c>
      <c r="BF473" s="10">
        <f t="shared" si="562"/>
        <v>0</v>
      </c>
      <c r="BG473" s="10">
        <f t="shared" si="562"/>
        <v>0</v>
      </c>
      <c r="BH473" s="10">
        <f t="shared" si="562"/>
        <v>0</v>
      </c>
      <c r="BI473" s="10">
        <f t="shared" si="562"/>
        <v>0</v>
      </c>
      <c r="BJ473" s="10">
        <f t="shared" si="562"/>
        <v>0</v>
      </c>
      <c r="BK473" s="67"/>
      <c r="BL473" s="10">
        <f t="shared" ref="BL473:BW473" si="563">BL$410</f>
        <v>0</v>
      </c>
      <c r="BM473" s="10">
        <f t="shared" si="563"/>
        <v>0</v>
      </c>
      <c r="BN473" s="10">
        <f t="shared" si="563"/>
        <v>0</v>
      </c>
      <c r="BO473" s="10">
        <f t="shared" si="563"/>
        <v>0</v>
      </c>
      <c r="BP473" s="10">
        <f t="shared" si="563"/>
        <v>0</v>
      </c>
      <c r="BQ473" s="10">
        <f t="shared" si="563"/>
        <v>0</v>
      </c>
      <c r="BR473" s="10">
        <f t="shared" si="563"/>
        <v>0</v>
      </c>
      <c r="BS473" s="10">
        <f t="shared" si="563"/>
        <v>0</v>
      </c>
      <c r="BT473" s="10">
        <f t="shared" si="563"/>
        <v>0</v>
      </c>
      <c r="BU473" s="10">
        <f t="shared" si="563"/>
        <v>0</v>
      </c>
      <c r="BV473" s="10">
        <f t="shared" si="563"/>
        <v>0</v>
      </c>
      <c r="BW473" s="10">
        <f t="shared" si="563"/>
        <v>0</v>
      </c>
      <c r="BY473" s="12"/>
      <c r="CA473" s="12"/>
      <c r="CR473" s="12"/>
      <c r="EX473" s="10" t="str">
        <f t="shared" si="523"/>
        <v/>
      </c>
    </row>
    <row r="474" spans="1:154" ht="6.6" customHeight="1" x14ac:dyDescent="0.25">
      <c r="C474" s="380"/>
      <c r="D474" s="1"/>
      <c r="E474" s="11"/>
      <c r="S474" s="335"/>
      <c r="T474" s="335"/>
      <c r="U474" s="335"/>
      <c r="V474" s="93"/>
      <c r="Z474" s="67"/>
      <c r="BM474" s="6"/>
      <c r="BY474" s="42"/>
      <c r="CA474" s="42"/>
      <c r="CR474" s="42"/>
      <c r="EX474" s="10" t="str">
        <f t="shared" si="523"/>
        <v/>
      </c>
    </row>
    <row r="475" spans="1:154" x14ac:dyDescent="0.25">
      <c r="C475" s="380"/>
      <c r="D475" s="404" t="s">
        <v>1592</v>
      </c>
      <c r="E475" s="11"/>
      <c r="S475" s="335"/>
      <c r="T475" s="335"/>
      <c r="U475" s="335"/>
      <c r="V475" s="93"/>
      <c r="BY475" s="12"/>
      <c r="CA475" s="12"/>
      <c r="CR475" s="12"/>
      <c r="EX475" s="10" t="str">
        <f t="shared" si="523"/>
        <v/>
      </c>
    </row>
    <row r="476" spans="1:154" x14ac:dyDescent="0.25">
      <c r="B476" s="138" t="s">
        <v>551</v>
      </c>
      <c r="C476" s="380"/>
      <c r="D476" s="5" t="str">
        <f>D$11</f>
        <v>Lender</v>
      </c>
      <c r="E476" s="5" t="str">
        <f>E$11</f>
        <v>Loan Category</v>
      </c>
      <c r="F476" s="67"/>
      <c r="S476" s="335"/>
      <c r="T476" s="335"/>
      <c r="U476" s="335"/>
      <c r="V476" s="93"/>
      <c r="BY476" s="12"/>
      <c r="CA476" s="12"/>
      <c r="CR476" s="12"/>
      <c r="EX476" s="10" t="str">
        <f t="shared" si="523"/>
        <v/>
      </c>
    </row>
    <row r="477" spans="1:154" x14ac:dyDescent="0.25">
      <c r="A477" s="67"/>
      <c r="B477" s="84" t="str" cm="1">
        <f t="array" aca="1" ref="B477" ca="1">HYPERLINK(CONCATENATE("#",CELL("address",$D$47)),$D$47)</f>
        <v>Loan 1</v>
      </c>
      <c r="C477" s="380"/>
      <c r="D477" s="60" t="str">
        <f>D$13</f>
        <v>NatWest</v>
      </c>
      <c r="E477" s="221" t="str">
        <f>E$13</f>
        <v xml:space="preserve">Commercial </v>
      </c>
      <c r="F477" s="67"/>
      <c r="G477" s="9" t="s">
        <v>413</v>
      </c>
      <c r="H477" s="50" t="s">
        <v>157</v>
      </c>
      <c r="I477" s="65"/>
      <c r="S477" s="335"/>
      <c r="T477" s="335"/>
      <c r="U477" s="335"/>
      <c r="V477" s="201">
        <f>V$50+V$51</f>
        <v>0</v>
      </c>
      <c r="W477" s="201">
        <f t="shared" ref="W477:BW477" si="564">W$50+W$51</f>
        <v>-57</v>
      </c>
      <c r="X477" s="201">
        <f t="shared" si="564"/>
        <v>0</v>
      </c>
      <c r="Y477" s="201">
        <f t="shared" si="564"/>
        <v>0</v>
      </c>
      <c r="Z477" s="335"/>
      <c r="AA477" s="201">
        <f t="shared" si="564"/>
        <v>-11</v>
      </c>
      <c r="AB477" s="201">
        <f t="shared" si="564"/>
        <v>-11</v>
      </c>
      <c r="AC477" s="201">
        <f t="shared" si="564"/>
        <v>-11</v>
      </c>
      <c r="AD477" s="201">
        <f t="shared" si="564"/>
        <v>-11</v>
      </c>
      <c r="AE477" s="201">
        <f t="shared" si="564"/>
        <v>-11</v>
      </c>
      <c r="AF477" s="201">
        <f t="shared" si="564"/>
        <v>-2</v>
      </c>
      <c r="AG477" s="201">
        <f t="shared" si="564"/>
        <v>0</v>
      </c>
      <c r="AH477" s="201">
        <f t="shared" si="564"/>
        <v>0</v>
      </c>
      <c r="AI477" s="201">
        <f t="shared" si="564"/>
        <v>0</v>
      </c>
      <c r="AJ477" s="201">
        <f t="shared" si="564"/>
        <v>0</v>
      </c>
      <c r="AK477" s="201">
        <f t="shared" si="564"/>
        <v>0</v>
      </c>
      <c r="AL477" s="201">
        <f t="shared" si="564"/>
        <v>0</v>
      </c>
      <c r="AM477" s="201">
        <f t="shared" si="564"/>
        <v>0</v>
      </c>
      <c r="AN477" s="201">
        <f t="shared" si="564"/>
        <v>0</v>
      </c>
      <c r="AO477" s="201">
        <f t="shared" si="564"/>
        <v>0</v>
      </c>
      <c r="AP477" s="201">
        <f t="shared" si="564"/>
        <v>0</v>
      </c>
      <c r="AQ477" s="201">
        <f t="shared" si="564"/>
        <v>0</v>
      </c>
      <c r="AR477" s="201">
        <f t="shared" si="564"/>
        <v>0</v>
      </c>
      <c r="AS477" s="201">
        <f t="shared" si="564"/>
        <v>0</v>
      </c>
      <c r="AT477" s="201">
        <f t="shared" si="564"/>
        <v>0</v>
      </c>
      <c r="AU477" s="201">
        <f t="shared" si="564"/>
        <v>0</v>
      </c>
      <c r="AV477" s="201">
        <f t="shared" si="564"/>
        <v>0</v>
      </c>
      <c r="AW477" s="201">
        <f t="shared" si="564"/>
        <v>0</v>
      </c>
      <c r="AX477" s="201">
        <f t="shared" si="564"/>
        <v>0</v>
      </c>
      <c r="AY477" s="201">
        <f t="shared" si="564"/>
        <v>0</v>
      </c>
      <c r="AZ477" s="201">
        <f t="shared" si="564"/>
        <v>0</v>
      </c>
      <c r="BA477" s="201">
        <f t="shared" si="564"/>
        <v>0</v>
      </c>
      <c r="BB477" s="201">
        <f t="shared" si="564"/>
        <v>0</v>
      </c>
      <c r="BC477" s="201">
        <f t="shared" si="564"/>
        <v>0</v>
      </c>
      <c r="BD477" s="201">
        <f t="shared" si="564"/>
        <v>0</v>
      </c>
      <c r="BE477" s="201">
        <f t="shared" si="564"/>
        <v>0</v>
      </c>
      <c r="BF477" s="201">
        <f t="shared" si="564"/>
        <v>0</v>
      </c>
      <c r="BG477" s="201">
        <f t="shared" si="564"/>
        <v>0</v>
      </c>
      <c r="BH477" s="201">
        <f t="shared" si="564"/>
        <v>0</v>
      </c>
      <c r="BI477" s="201">
        <f t="shared" si="564"/>
        <v>0</v>
      </c>
      <c r="BJ477" s="201">
        <f t="shared" si="564"/>
        <v>0</v>
      </c>
      <c r="BK477" s="335"/>
      <c r="BL477" s="201">
        <f t="shared" si="564"/>
        <v>0</v>
      </c>
      <c r="BM477" s="201">
        <f t="shared" si="564"/>
        <v>-57</v>
      </c>
      <c r="BN477" s="201">
        <f t="shared" si="564"/>
        <v>0</v>
      </c>
      <c r="BO477" s="201">
        <f t="shared" si="564"/>
        <v>0</v>
      </c>
      <c r="BP477" s="201">
        <f t="shared" si="564"/>
        <v>0</v>
      </c>
      <c r="BQ477" s="201">
        <f t="shared" si="564"/>
        <v>0</v>
      </c>
      <c r="BR477" s="201">
        <f t="shared" si="564"/>
        <v>0</v>
      </c>
      <c r="BS477" s="201">
        <f t="shared" si="564"/>
        <v>0</v>
      </c>
      <c r="BT477" s="201">
        <f t="shared" si="564"/>
        <v>0</v>
      </c>
      <c r="BU477" s="201">
        <f t="shared" si="564"/>
        <v>0</v>
      </c>
      <c r="BV477" s="201">
        <f t="shared" si="564"/>
        <v>0</v>
      </c>
      <c r="BW477" s="201">
        <f t="shared" si="564"/>
        <v>0</v>
      </c>
      <c r="BY477" s="12"/>
      <c r="CA477" s="12"/>
      <c r="CR477" s="12"/>
      <c r="EX477" s="10" t="str">
        <f t="shared" si="523"/>
        <v/>
      </c>
    </row>
    <row r="478" spans="1:154" x14ac:dyDescent="0.25">
      <c r="A478" s="67"/>
      <c r="B478" s="84" t="str" cm="1">
        <f t="array" aca="1" ref="B478" ca="1">HYPERLINK(CONCATENATE("#",CELL("address",$D$66)),$D$66)</f>
        <v>Loan 2</v>
      </c>
      <c r="C478" s="380"/>
      <c r="D478" s="60" t="str">
        <f>D$14</f>
        <v>NatWest</v>
      </c>
      <c r="E478" s="221" t="str">
        <f>E$14</f>
        <v xml:space="preserve">Commercial </v>
      </c>
      <c r="F478" s="67"/>
      <c r="G478" s="9" t="s">
        <v>413</v>
      </c>
      <c r="H478" s="50" t="s">
        <v>157</v>
      </c>
      <c r="S478" s="335"/>
      <c r="T478" s="335"/>
      <c r="U478" s="335"/>
      <c r="V478" s="201">
        <f>V$69+V$70</f>
        <v>0</v>
      </c>
      <c r="W478" s="201">
        <f t="shared" ref="W478:BW478" si="565">W$69+W$70</f>
        <v>-89</v>
      </c>
      <c r="X478" s="201">
        <f t="shared" si="565"/>
        <v>-89</v>
      </c>
      <c r="Y478" s="201">
        <f t="shared" si="565"/>
        <v>-89</v>
      </c>
      <c r="Z478" s="335"/>
      <c r="AA478" s="201">
        <f t="shared" si="565"/>
        <v>-8</v>
      </c>
      <c r="AB478" s="201">
        <f t="shared" si="565"/>
        <v>-8</v>
      </c>
      <c r="AC478" s="201">
        <f t="shared" si="565"/>
        <v>-8</v>
      </c>
      <c r="AD478" s="201">
        <f t="shared" si="565"/>
        <v>-8</v>
      </c>
      <c r="AE478" s="201">
        <f t="shared" si="565"/>
        <v>-8</v>
      </c>
      <c r="AF478" s="201">
        <f t="shared" si="565"/>
        <v>-7</v>
      </c>
      <c r="AG478" s="201">
        <f t="shared" si="565"/>
        <v>-7</v>
      </c>
      <c r="AH478" s="201">
        <f t="shared" si="565"/>
        <v>-7</v>
      </c>
      <c r="AI478" s="201">
        <f t="shared" si="565"/>
        <v>-7</v>
      </c>
      <c r="AJ478" s="201">
        <f t="shared" si="565"/>
        <v>-7</v>
      </c>
      <c r="AK478" s="201">
        <f t="shared" si="565"/>
        <v>-7</v>
      </c>
      <c r="AL478" s="201">
        <f t="shared" si="565"/>
        <v>-7</v>
      </c>
      <c r="AM478" s="201">
        <f t="shared" si="565"/>
        <v>-8</v>
      </c>
      <c r="AN478" s="201">
        <f t="shared" si="565"/>
        <v>-8</v>
      </c>
      <c r="AO478" s="201">
        <f t="shared" si="565"/>
        <v>-8</v>
      </c>
      <c r="AP478" s="201">
        <f t="shared" si="565"/>
        <v>-8</v>
      </c>
      <c r="AQ478" s="201">
        <f t="shared" si="565"/>
        <v>-8</v>
      </c>
      <c r="AR478" s="201">
        <f t="shared" si="565"/>
        <v>-7</v>
      </c>
      <c r="AS478" s="201">
        <f t="shared" si="565"/>
        <v>-7</v>
      </c>
      <c r="AT478" s="201">
        <f t="shared" si="565"/>
        <v>-7</v>
      </c>
      <c r="AU478" s="201">
        <f t="shared" si="565"/>
        <v>-7</v>
      </c>
      <c r="AV478" s="201">
        <f t="shared" si="565"/>
        <v>-7</v>
      </c>
      <c r="AW478" s="201">
        <f t="shared" si="565"/>
        <v>-7</v>
      </c>
      <c r="AX478" s="201">
        <f t="shared" si="565"/>
        <v>-7</v>
      </c>
      <c r="AY478" s="201">
        <f t="shared" si="565"/>
        <v>-8</v>
      </c>
      <c r="AZ478" s="201">
        <f t="shared" si="565"/>
        <v>-8</v>
      </c>
      <c r="BA478" s="201">
        <f t="shared" si="565"/>
        <v>-8</v>
      </c>
      <c r="BB478" s="201">
        <f t="shared" si="565"/>
        <v>-8</v>
      </c>
      <c r="BC478" s="201">
        <f t="shared" si="565"/>
        <v>-8</v>
      </c>
      <c r="BD478" s="201">
        <f t="shared" si="565"/>
        <v>-7</v>
      </c>
      <c r="BE478" s="201">
        <f t="shared" si="565"/>
        <v>-7</v>
      </c>
      <c r="BF478" s="201">
        <f t="shared" si="565"/>
        <v>-7</v>
      </c>
      <c r="BG478" s="201">
        <f t="shared" si="565"/>
        <v>-7</v>
      </c>
      <c r="BH478" s="201">
        <f t="shared" si="565"/>
        <v>-7</v>
      </c>
      <c r="BI478" s="201">
        <f t="shared" si="565"/>
        <v>-7</v>
      </c>
      <c r="BJ478" s="201">
        <f t="shared" si="565"/>
        <v>-7</v>
      </c>
      <c r="BK478" s="335"/>
      <c r="BL478" s="201">
        <f t="shared" si="565"/>
        <v>0</v>
      </c>
      <c r="BM478" s="201">
        <f t="shared" si="565"/>
        <v>-89</v>
      </c>
      <c r="BN478" s="201">
        <f t="shared" si="565"/>
        <v>-89</v>
      </c>
      <c r="BO478" s="201">
        <f t="shared" si="565"/>
        <v>-89</v>
      </c>
      <c r="BP478" s="201">
        <f t="shared" si="565"/>
        <v>0</v>
      </c>
      <c r="BQ478" s="201">
        <f t="shared" si="565"/>
        <v>0</v>
      </c>
      <c r="BR478" s="201">
        <f t="shared" si="565"/>
        <v>0</v>
      </c>
      <c r="BS478" s="201">
        <f t="shared" si="565"/>
        <v>0</v>
      </c>
      <c r="BT478" s="201">
        <f t="shared" si="565"/>
        <v>0</v>
      </c>
      <c r="BU478" s="201">
        <f t="shared" si="565"/>
        <v>0</v>
      </c>
      <c r="BV478" s="201">
        <f t="shared" si="565"/>
        <v>0</v>
      </c>
      <c r="BW478" s="201">
        <f t="shared" si="565"/>
        <v>0</v>
      </c>
      <c r="BY478" s="12"/>
      <c r="CA478" s="12"/>
      <c r="CR478" s="12"/>
      <c r="EX478" s="10" t="str">
        <f t="shared" si="523"/>
        <v/>
      </c>
    </row>
    <row r="479" spans="1:154" x14ac:dyDescent="0.25">
      <c r="A479" s="67"/>
      <c r="B479" s="84" t="str" cm="1">
        <f t="array" aca="1" ref="B479" ca="1">HYPERLINK(CONCATENATE("#",CELL("address",$D$85)),$D$85)</f>
        <v>Loan 3</v>
      </c>
      <c r="C479" s="380"/>
      <c r="D479" s="60" t="str">
        <f>D$15</f>
        <v>NatWest</v>
      </c>
      <c r="E479" s="221" t="str">
        <f>E$15</f>
        <v xml:space="preserve">Commercial </v>
      </c>
      <c r="F479" s="67"/>
      <c r="G479" s="9" t="s">
        <v>413</v>
      </c>
      <c r="H479" s="50" t="s">
        <v>157</v>
      </c>
      <c r="S479" s="335"/>
      <c r="T479" s="335"/>
      <c r="U479" s="335"/>
      <c r="V479" s="201">
        <f>V$88+V$89</f>
        <v>0</v>
      </c>
      <c r="W479" s="201">
        <f t="shared" ref="W479:BW479" si="566">W$88+W$89</f>
        <v>-69</v>
      </c>
      <c r="X479" s="201">
        <f t="shared" si="566"/>
        <v>-69</v>
      </c>
      <c r="Y479" s="201">
        <f t="shared" si="566"/>
        <v>-69</v>
      </c>
      <c r="Z479" s="335"/>
      <c r="AA479" s="201">
        <f t="shared" si="566"/>
        <v>-5</v>
      </c>
      <c r="AB479" s="201">
        <f t="shared" si="566"/>
        <v>-5</v>
      </c>
      <c r="AC479" s="201">
        <f t="shared" si="566"/>
        <v>-5</v>
      </c>
      <c r="AD479" s="201">
        <f t="shared" si="566"/>
        <v>-6</v>
      </c>
      <c r="AE479" s="201">
        <f t="shared" si="566"/>
        <v>-6</v>
      </c>
      <c r="AF479" s="201">
        <f t="shared" si="566"/>
        <v>-6</v>
      </c>
      <c r="AG479" s="201">
        <f t="shared" si="566"/>
        <v>-6</v>
      </c>
      <c r="AH479" s="201">
        <f t="shared" si="566"/>
        <v>-6</v>
      </c>
      <c r="AI479" s="201">
        <f t="shared" si="566"/>
        <v>-6</v>
      </c>
      <c r="AJ479" s="201">
        <f t="shared" si="566"/>
        <v>-6</v>
      </c>
      <c r="AK479" s="201">
        <f t="shared" si="566"/>
        <v>-6</v>
      </c>
      <c r="AL479" s="201">
        <f t="shared" si="566"/>
        <v>-6</v>
      </c>
      <c r="AM479" s="201">
        <f t="shared" si="566"/>
        <v>-5</v>
      </c>
      <c r="AN479" s="201">
        <f t="shared" si="566"/>
        <v>-5</v>
      </c>
      <c r="AO479" s="201">
        <f t="shared" si="566"/>
        <v>-5</v>
      </c>
      <c r="AP479" s="201">
        <f t="shared" si="566"/>
        <v>-6</v>
      </c>
      <c r="AQ479" s="201">
        <f t="shared" si="566"/>
        <v>-6</v>
      </c>
      <c r="AR479" s="201">
        <f t="shared" si="566"/>
        <v>-6</v>
      </c>
      <c r="AS479" s="201">
        <f t="shared" si="566"/>
        <v>-6</v>
      </c>
      <c r="AT479" s="201">
        <f t="shared" si="566"/>
        <v>-6</v>
      </c>
      <c r="AU479" s="201">
        <f t="shared" si="566"/>
        <v>-6</v>
      </c>
      <c r="AV479" s="201">
        <f t="shared" si="566"/>
        <v>-6</v>
      </c>
      <c r="AW479" s="201">
        <f t="shared" si="566"/>
        <v>-6</v>
      </c>
      <c r="AX479" s="201">
        <f t="shared" si="566"/>
        <v>-6</v>
      </c>
      <c r="AY479" s="201">
        <f t="shared" si="566"/>
        <v>-5</v>
      </c>
      <c r="AZ479" s="201">
        <f t="shared" si="566"/>
        <v>-5</v>
      </c>
      <c r="BA479" s="201">
        <f t="shared" si="566"/>
        <v>-5</v>
      </c>
      <c r="BB479" s="201">
        <f t="shared" si="566"/>
        <v>-6</v>
      </c>
      <c r="BC479" s="201">
        <f t="shared" si="566"/>
        <v>-6</v>
      </c>
      <c r="BD479" s="201">
        <f t="shared" si="566"/>
        <v>-6</v>
      </c>
      <c r="BE479" s="201">
        <f t="shared" si="566"/>
        <v>-6</v>
      </c>
      <c r="BF479" s="201">
        <f t="shared" si="566"/>
        <v>-6</v>
      </c>
      <c r="BG479" s="201">
        <f t="shared" si="566"/>
        <v>-6</v>
      </c>
      <c r="BH479" s="201">
        <f t="shared" si="566"/>
        <v>-6</v>
      </c>
      <c r="BI479" s="201">
        <f t="shared" si="566"/>
        <v>-6</v>
      </c>
      <c r="BJ479" s="201">
        <f t="shared" si="566"/>
        <v>-6</v>
      </c>
      <c r="BK479" s="335"/>
      <c r="BL479" s="201">
        <f t="shared" si="566"/>
        <v>0</v>
      </c>
      <c r="BM479" s="201">
        <f t="shared" si="566"/>
        <v>-69</v>
      </c>
      <c r="BN479" s="201">
        <f t="shared" si="566"/>
        <v>-69</v>
      </c>
      <c r="BO479" s="201">
        <f t="shared" si="566"/>
        <v>-69</v>
      </c>
      <c r="BP479" s="201">
        <f t="shared" si="566"/>
        <v>0</v>
      </c>
      <c r="BQ479" s="201">
        <f t="shared" si="566"/>
        <v>0</v>
      </c>
      <c r="BR479" s="201">
        <f t="shared" si="566"/>
        <v>0</v>
      </c>
      <c r="BS479" s="201">
        <f t="shared" si="566"/>
        <v>0</v>
      </c>
      <c r="BT479" s="201">
        <f t="shared" si="566"/>
        <v>0</v>
      </c>
      <c r="BU479" s="201">
        <f t="shared" si="566"/>
        <v>0</v>
      </c>
      <c r="BV479" s="201">
        <f t="shared" si="566"/>
        <v>0</v>
      </c>
      <c r="BW479" s="201">
        <f t="shared" si="566"/>
        <v>0</v>
      </c>
      <c r="BY479" s="12"/>
      <c r="CA479" s="12"/>
      <c r="CR479" s="12"/>
      <c r="EX479" s="10" t="str">
        <f t="shared" si="523"/>
        <v/>
      </c>
    </row>
    <row r="480" spans="1:154" x14ac:dyDescent="0.25">
      <c r="A480" s="67"/>
      <c r="B480" s="84" t="str" cm="1">
        <f t="array" aca="1" ref="B480" ca="1">HYPERLINK(CONCATENATE("#",CELL("address",$D$104)),$D$104)</f>
        <v>Loan 4</v>
      </c>
      <c r="C480" s="380"/>
      <c r="D480" s="60" t="str">
        <f>D$16</f>
        <v>NatWest</v>
      </c>
      <c r="E480" s="221" t="str">
        <f>E$16</f>
        <v xml:space="preserve">Commercial </v>
      </c>
      <c r="F480" s="67"/>
      <c r="G480" s="9" t="s">
        <v>413</v>
      </c>
      <c r="H480" s="50" t="s">
        <v>157</v>
      </c>
      <c r="S480" s="335"/>
      <c r="T480" s="335"/>
      <c r="U480" s="335"/>
      <c r="V480" s="201">
        <f>V$107+V$108</f>
        <v>0</v>
      </c>
      <c r="W480" s="201">
        <f t="shared" ref="W480:BW480" si="567">W$107+W$108</f>
        <v>-62</v>
      </c>
      <c r="X480" s="201">
        <f t="shared" si="567"/>
        <v>-62</v>
      </c>
      <c r="Y480" s="201">
        <f t="shared" si="567"/>
        <v>-62</v>
      </c>
      <c r="Z480" s="335"/>
      <c r="AA480" s="201">
        <f t="shared" si="567"/>
        <v>-15</v>
      </c>
      <c r="AB480" s="201">
        <f t="shared" si="567"/>
        <v>0</v>
      </c>
      <c r="AC480" s="201">
        <f t="shared" si="567"/>
        <v>0</v>
      </c>
      <c r="AD480" s="201">
        <f t="shared" si="567"/>
        <v>-15</v>
      </c>
      <c r="AE480" s="201">
        <f t="shared" si="567"/>
        <v>0</v>
      </c>
      <c r="AF480" s="201">
        <f t="shared" si="567"/>
        <v>0</v>
      </c>
      <c r="AG480" s="201">
        <f t="shared" si="567"/>
        <v>-16</v>
      </c>
      <c r="AH480" s="201">
        <f t="shared" si="567"/>
        <v>0</v>
      </c>
      <c r="AI480" s="201">
        <f t="shared" si="567"/>
        <v>0</v>
      </c>
      <c r="AJ480" s="201">
        <f t="shared" si="567"/>
        <v>-16</v>
      </c>
      <c r="AK480" s="201">
        <f t="shared" si="567"/>
        <v>0</v>
      </c>
      <c r="AL480" s="201">
        <f t="shared" si="567"/>
        <v>0</v>
      </c>
      <c r="AM480" s="201">
        <f t="shared" si="567"/>
        <v>-15</v>
      </c>
      <c r="AN480" s="201">
        <f t="shared" si="567"/>
        <v>0</v>
      </c>
      <c r="AO480" s="201">
        <f t="shared" si="567"/>
        <v>0</v>
      </c>
      <c r="AP480" s="201">
        <f t="shared" si="567"/>
        <v>-15</v>
      </c>
      <c r="AQ480" s="201">
        <f t="shared" si="567"/>
        <v>0</v>
      </c>
      <c r="AR480" s="201">
        <f t="shared" si="567"/>
        <v>0</v>
      </c>
      <c r="AS480" s="201">
        <f t="shared" si="567"/>
        <v>-16</v>
      </c>
      <c r="AT480" s="201">
        <f t="shared" si="567"/>
        <v>0</v>
      </c>
      <c r="AU480" s="201">
        <f t="shared" si="567"/>
        <v>0</v>
      </c>
      <c r="AV480" s="201">
        <f t="shared" si="567"/>
        <v>-16</v>
      </c>
      <c r="AW480" s="201">
        <f t="shared" si="567"/>
        <v>0</v>
      </c>
      <c r="AX480" s="201">
        <f t="shared" si="567"/>
        <v>0</v>
      </c>
      <c r="AY480" s="201">
        <f t="shared" si="567"/>
        <v>-15</v>
      </c>
      <c r="AZ480" s="201">
        <f t="shared" si="567"/>
        <v>0</v>
      </c>
      <c r="BA480" s="201">
        <f t="shared" si="567"/>
        <v>0</v>
      </c>
      <c r="BB480" s="201">
        <f t="shared" si="567"/>
        <v>-15</v>
      </c>
      <c r="BC480" s="201">
        <f t="shared" si="567"/>
        <v>0</v>
      </c>
      <c r="BD480" s="201">
        <f t="shared" si="567"/>
        <v>0</v>
      </c>
      <c r="BE480" s="201">
        <f t="shared" si="567"/>
        <v>-16</v>
      </c>
      <c r="BF480" s="201">
        <f t="shared" si="567"/>
        <v>0</v>
      </c>
      <c r="BG480" s="201">
        <f t="shared" si="567"/>
        <v>0</v>
      </c>
      <c r="BH480" s="201">
        <f t="shared" si="567"/>
        <v>-16</v>
      </c>
      <c r="BI480" s="201">
        <f t="shared" si="567"/>
        <v>0</v>
      </c>
      <c r="BJ480" s="201">
        <f t="shared" si="567"/>
        <v>0</v>
      </c>
      <c r="BK480" s="335"/>
      <c r="BL480" s="201">
        <f t="shared" si="567"/>
        <v>0</v>
      </c>
      <c r="BM480" s="201">
        <f t="shared" si="567"/>
        <v>-62</v>
      </c>
      <c r="BN480" s="201">
        <f t="shared" si="567"/>
        <v>-62</v>
      </c>
      <c r="BO480" s="201">
        <f t="shared" si="567"/>
        <v>-62</v>
      </c>
      <c r="BP480" s="201">
        <f t="shared" si="567"/>
        <v>0</v>
      </c>
      <c r="BQ480" s="201">
        <f t="shared" si="567"/>
        <v>0</v>
      </c>
      <c r="BR480" s="201">
        <f t="shared" si="567"/>
        <v>0</v>
      </c>
      <c r="BS480" s="201">
        <f t="shared" si="567"/>
        <v>0</v>
      </c>
      <c r="BT480" s="201">
        <f t="shared" si="567"/>
        <v>0</v>
      </c>
      <c r="BU480" s="201">
        <f t="shared" si="567"/>
        <v>0</v>
      </c>
      <c r="BV480" s="201">
        <f t="shared" si="567"/>
        <v>0</v>
      </c>
      <c r="BW480" s="201">
        <f t="shared" si="567"/>
        <v>0</v>
      </c>
      <c r="BY480" s="12"/>
      <c r="CA480" s="12"/>
      <c r="CR480" s="12"/>
      <c r="EX480" s="10" t="str">
        <f t="shared" si="523"/>
        <v/>
      </c>
    </row>
    <row r="481" spans="1:154" x14ac:dyDescent="0.25">
      <c r="A481" s="67"/>
      <c r="B481" s="84" t="str" cm="1">
        <f t="array" aca="1" ref="B481" ca="1">HYPERLINK(CONCATENATE("#",CELL("address",$D$123)),$D$123)</f>
        <v>Loan 5</v>
      </c>
      <c r="C481" s="380"/>
      <c r="D481" s="60" t="str">
        <f>D$17</f>
        <v>NatWest</v>
      </c>
      <c r="E481" s="221" t="str">
        <f>E$17</f>
        <v xml:space="preserve">Commercial </v>
      </c>
      <c r="F481" s="67"/>
      <c r="G481" s="9" t="s">
        <v>413</v>
      </c>
      <c r="H481" s="50" t="s">
        <v>157</v>
      </c>
      <c r="S481" s="335"/>
      <c r="T481" s="335"/>
      <c r="U481" s="335"/>
      <c r="V481" s="201">
        <f>V$126+V$127</f>
        <v>0</v>
      </c>
      <c r="W481" s="201">
        <f t="shared" ref="W481:BW481" si="568">W$126+W$127</f>
        <v>-64</v>
      </c>
      <c r="X481" s="201">
        <f t="shared" si="568"/>
        <v>-64</v>
      </c>
      <c r="Y481" s="201">
        <f t="shared" si="568"/>
        <v>-64</v>
      </c>
      <c r="Z481" s="335"/>
      <c r="AA481" s="201">
        <f t="shared" si="568"/>
        <v>-16</v>
      </c>
      <c r="AB481" s="201">
        <f t="shared" si="568"/>
        <v>0</v>
      </c>
      <c r="AC481" s="201">
        <f t="shared" si="568"/>
        <v>0</v>
      </c>
      <c r="AD481" s="201">
        <f t="shared" si="568"/>
        <v>-16</v>
      </c>
      <c r="AE481" s="201">
        <f t="shared" si="568"/>
        <v>0</v>
      </c>
      <c r="AF481" s="201">
        <f t="shared" si="568"/>
        <v>0</v>
      </c>
      <c r="AG481" s="201">
        <f t="shared" si="568"/>
        <v>-16</v>
      </c>
      <c r="AH481" s="201">
        <f t="shared" si="568"/>
        <v>0</v>
      </c>
      <c r="AI481" s="201">
        <f t="shared" si="568"/>
        <v>0</v>
      </c>
      <c r="AJ481" s="201">
        <f t="shared" si="568"/>
        <v>-16</v>
      </c>
      <c r="AK481" s="201">
        <f t="shared" si="568"/>
        <v>0</v>
      </c>
      <c r="AL481" s="201">
        <f t="shared" si="568"/>
        <v>0</v>
      </c>
      <c r="AM481" s="201">
        <f t="shared" si="568"/>
        <v>-16</v>
      </c>
      <c r="AN481" s="201">
        <f t="shared" si="568"/>
        <v>0</v>
      </c>
      <c r="AO481" s="201">
        <f t="shared" si="568"/>
        <v>0</v>
      </c>
      <c r="AP481" s="201">
        <f t="shared" si="568"/>
        <v>-16</v>
      </c>
      <c r="AQ481" s="201">
        <f t="shared" si="568"/>
        <v>0</v>
      </c>
      <c r="AR481" s="201">
        <f t="shared" si="568"/>
        <v>0</v>
      </c>
      <c r="AS481" s="201">
        <f t="shared" si="568"/>
        <v>-16</v>
      </c>
      <c r="AT481" s="201">
        <f t="shared" si="568"/>
        <v>0</v>
      </c>
      <c r="AU481" s="201">
        <f t="shared" si="568"/>
        <v>0</v>
      </c>
      <c r="AV481" s="201">
        <f t="shared" si="568"/>
        <v>-16</v>
      </c>
      <c r="AW481" s="201">
        <f t="shared" si="568"/>
        <v>0</v>
      </c>
      <c r="AX481" s="201">
        <f t="shared" si="568"/>
        <v>0</v>
      </c>
      <c r="AY481" s="201">
        <f t="shared" si="568"/>
        <v>-16</v>
      </c>
      <c r="AZ481" s="201">
        <f t="shared" si="568"/>
        <v>0</v>
      </c>
      <c r="BA481" s="201">
        <f t="shared" si="568"/>
        <v>0</v>
      </c>
      <c r="BB481" s="201">
        <f t="shared" si="568"/>
        <v>-16</v>
      </c>
      <c r="BC481" s="201">
        <f t="shared" si="568"/>
        <v>0</v>
      </c>
      <c r="BD481" s="201">
        <f t="shared" si="568"/>
        <v>0</v>
      </c>
      <c r="BE481" s="201">
        <f t="shared" si="568"/>
        <v>-16</v>
      </c>
      <c r="BF481" s="201">
        <f t="shared" si="568"/>
        <v>0</v>
      </c>
      <c r="BG481" s="201">
        <f t="shared" si="568"/>
        <v>0</v>
      </c>
      <c r="BH481" s="201">
        <f t="shared" si="568"/>
        <v>-16</v>
      </c>
      <c r="BI481" s="201">
        <f t="shared" si="568"/>
        <v>0</v>
      </c>
      <c r="BJ481" s="201">
        <f t="shared" si="568"/>
        <v>0</v>
      </c>
      <c r="BK481" s="335"/>
      <c r="BL481" s="201">
        <f t="shared" si="568"/>
        <v>0</v>
      </c>
      <c r="BM481" s="201">
        <f t="shared" si="568"/>
        <v>-64</v>
      </c>
      <c r="BN481" s="201">
        <f t="shared" si="568"/>
        <v>-64</v>
      </c>
      <c r="BO481" s="201">
        <f t="shared" si="568"/>
        <v>-64</v>
      </c>
      <c r="BP481" s="201">
        <f t="shared" si="568"/>
        <v>0</v>
      </c>
      <c r="BQ481" s="201">
        <f t="shared" si="568"/>
        <v>0</v>
      </c>
      <c r="BR481" s="201">
        <f t="shared" si="568"/>
        <v>0</v>
      </c>
      <c r="BS481" s="201">
        <f t="shared" si="568"/>
        <v>0</v>
      </c>
      <c r="BT481" s="201">
        <f t="shared" si="568"/>
        <v>0</v>
      </c>
      <c r="BU481" s="201">
        <f t="shared" si="568"/>
        <v>0</v>
      </c>
      <c r="BV481" s="201">
        <f t="shared" si="568"/>
        <v>0</v>
      </c>
      <c r="BW481" s="201">
        <f t="shared" si="568"/>
        <v>0</v>
      </c>
      <c r="BY481" s="12"/>
      <c r="CA481" s="12"/>
      <c r="CR481" s="12"/>
      <c r="EX481" s="10" t="str">
        <f t="shared" si="523"/>
        <v/>
      </c>
    </row>
    <row r="482" spans="1:154" x14ac:dyDescent="0.25">
      <c r="A482" s="67"/>
      <c r="B482" s="84" t="str" cm="1">
        <f t="array" aca="1" ref="B482" ca="1">HYPERLINK(CONCATENATE("#",CELL("address",$D$142)),$D$142)</f>
        <v>Loan 6</v>
      </c>
      <c r="C482" s="380"/>
      <c r="D482" s="60">
        <f>D$18</f>
        <v>0</v>
      </c>
      <c r="E482" s="221">
        <f>E$18</f>
        <v>0</v>
      </c>
      <c r="F482" s="67"/>
      <c r="G482" s="9" t="s">
        <v>413</v>
      </c>
      <c r="H482" s="50" t="s">
        <v>157</v>
      </c>
      <c r="S482" s="335"/>
      <c r="T482" s="335"/>
      <c r="U482" s="335"/>
      <c r="V482" s="201">
        <f>V$145+V$146</f>
        <v>0</v>
      </c>
      <c r="W482" s="201">
        <f t="shared" ref="W482:BW482" si="569">W$145+W$146</f>
        <v>0</v>
      </c>
      <c r="X482" s="201">
        <f t="shared" si="569"/>
        <v>0</v>
      </c>
      <c r="Y482" s="201">
        <f t="shared" si="569"/>
        <v>0</v>
      </c>
      <c r="Z482" s="335"/>
      <c r="AA482" s="201">
        <f t="shared" si="569"/>
        <v>0</v>
      </c>
      <c r="AB482" s="201">
        <f t="shared" si="569"/>
        <v>0</v>
      </c>
      <c r="AC482" s="201">
        <f t="shared" si="569"/>
        <v>0</v>
      </c>
      <c r="AD482" s="201">
        <f t="shared" si="569"/>
        <v>0</v>
      </c>
      <c r="AE482" s="201">
        <f t="shared" si="569"/>
        <v>0</v>
      </c>
      <c r="AF482" s="201">
        <f t="shared" si="569"/>
        <v>0</v>
      </c>
      <c r="AG482" s="201">
        <f t="shared" si="569"/>
        <v>0</v>
      </c>
      <c r="AH482" s="201">
        <f t="shared" si="569"/>
        <v>0</v>
      </c>
      <c r="AI482" s="201">
        <f t="shared" si="569"/>
        <v>0</v>
      </c>
      <c r="AJ482" s="201">
        <f t="shared" si="569"/>
        <v>0</v>
      </c>
      <c r="AK482" s="201">
        <f t="shared" si="569"/>
        <v>0</v>
      </c>
      <c r="AL482" s="201">
        <f t="shared" si="569"/>
        <v>0</v>
      </c>
      <c r="AM482" s="201">
        <f t="shared" si="569"/>
        <v>0</v>
      </c>
      <c r="AN482" s="201">
        <f t="shared" si="569"/>
        <v>0</v>
      </c>
      <c r="AO482" s="201">
        <f t="shared" si="569"/>
        <v>0</v>
      </c>
      <c r="AP482" s="201">
        <f t="shared" si="569"/>
        <v>0</v>
      </c>
      <c r="AQ482" s="201">
        <f t="shared" si="569"/>
        <v>0</v>
      </c>
      <c r="AR482" s="201">
        <f t="shared" si="569"/>
        <v>0</v>
      </c>
      <c r="AS482" s="201">
        <f t="shared" si="569"/>
        <v>0</v>
      </c>
      <c r="AT482" s="201">
        <f t="shared" si="569"/>
        <v>0</v>
      </c>
      <c r="AU482" s="201">
        <f t="shared" si="569"/>
        <v>0</v>
      </c>
      <c r="AV482" s="201">
        <f t="shared" si="569"/>
        <v>0</v>
      </c>
      <c r="AW482" s="201">
        <f t="shared" si="569"/>
        <v>0</v>
      </c>
      <c r="AX482" s="201">
        <f t="shared" si="569"/>
        <v>0</v>
      </c>
      <c r="AY482" s="201">
        <f t="shared" si="569"/>
        <v>0</v>
      </c>
      <c r="AZ482" s="201">
        <f t="shared" si="569"/>
        <v>0</v>
      </c>
      <c r="BA482" s="201">
        <f t="shared" si="569"/>
        <v>0</v>
      </c>
      <c r="BB482" s="201">
        <f t="shared" si="569"/>
        <v>0</v>
      </c>
      <c r="BC482" s="201">
        <f t="shared" si="569"/>
        <v>0</v>
      </c>
      <c r="BD482" s="201">
        <f t="shared" si="569"/>
        <v>0</v>
      </c>
      <c r="BE482" s="201">
        <f t="shared" si="569"/>
        <v>0</v>
      </c>
      <c r="BF482" s="201">
        <f t="shared" si="569"/>
        <v>0</v>
      </c>
      <c r="BG482" s="201">
        <f t="shared" si="569"/>
        <v>0</v>
      </c>
      <c r="BH482" s="201">
        <f t="shared" si="569"/>
        <v>0</v>
      </c>
      <c r="BI482" s="201">
        <f t="shared" si="569"/>
        <v>0</v>
      </c>
      <c r="BJ482" s="201">
        <f t="shared" si="569"/>
        <v>0</v>
      </c>
      <c r="BK482" s="335"/>
      <c r="BL482" s="201">
        <f t="shared" si="569"/>
        <v>0</v>
      </c>
      <c r="BM482" s="201">
        <f t="shared" si="569"/>
        <v>0</v>
      </c>
      <c r="BN482" s="201">
        <f t="shared" si="569"/>
        <v>0</v>
      </c>
      <c r="BO482" s="201">
        <f t="shared" si="569"/>
        <v>0</v>
      </c>
      <c r="BP482" s="201">
        <f t="shared" si="569"/>
        <v>0</v>
      </c>
      <c r="BQ482" s="201">
        <f t="shared" si="569"/>
        <v>0</v>
      </c>
      <c r="BR482" s="201">
        <f t="shared" si="569"/>
        <v>0</v>
      </c>
      <c r="BS482" s="201">
        <f t="shared" si="569"/>
        <v>0</v>
      </c>
      <c r="BT482" s="201">
        <f t="shared" si="569"/>
        <v>0</v>
      </c>
      <c r="BU482" s="201">
        <f t="shared" si="569"/>
        <v>0</v>
      </c>
      <c r="BV482" s="201">
        <f t="shared" si="569"/>
        <v>0</v>
      </c>
      <c r="BW482" s="201">
        <f t="shared" si="569"/>
        <v>0</v>
      </c>
      <c r="BY482" s="12"/>
      <c r="CA482" s="12"/>
      <c r="CR482" s="12"/>
      <c r="EX482" s="10" t="str">
        <f t="shared" si="523"/>
        <v/>
      </c>
    </row>
    <row r="483" spans="1:154" x14ac:dyDescent="0.25">
      <c r="A483" s="67"/>
      <c r="B483" s="84" t="str" cm="1">
        <f t="array" aca="1" ref="B483" ca="1">HYPERLINK(CONCATENATE("#",CELL("address",$D$161)),$D$161)</f>
        <v>Loan 7</v>
      </c>
      <c r="C483" s="380"/>
      <c r="D483" s="60">
        <f>D$19</f>
        <v>0</v>
      </c>
      <c r="E483" s="221">
        <f>E$19</f>
        <v>0</v>
      </c>
      <c r="F483" s="67"/>
      <c r="G483" s="9" t="s">
        <v>413</v>
      </c>
      <c r="H483" s="50" t="s">
        <v>157</v>
      </c>
      <c r="S483" s="335"/>
      <c r="T483" s="335"/>
      <c r="U483" s="335"/>
      <c r="V483" s="201">
        <f>V$164+V$165</f>
        <v>0</v>
      </c>
      <c r="W483" s="201">
        <f t="shared" ref="W483:BW483" si="570">W$164+W$165</f>
        <v>0</v>
      </c>
      <c r="X483" s="201">
        <f t="shared" si="570"/>
        <v>0</v>
      </c>
      <c r="Y483" s="201">
        <f t="shared" si="570"/>
        <v>0</v>
      </c>
      <c r="Z483" s="335"/>
      <c r="AA483" s="201">
        <f t="shared" si="570"/>
        <v>0</v>
      </c>
      <c r="AB483" s="201">
        <f t="shared" si="570"/>
        <v>0</v>
      </c>
      <c r="AC483" s="201">
        <f t="shared" si="570"/>
        <v>0</v>
      </c>
      <c r="AD483" s="201">
        <f t="shared" si="570"/>
        <v>0</v>
      </c>
      <c r="AE483" s="201">
        <f t="shared" si="570"/>
        <v>0</v>
      </c>
      <c r="AF483" s="201">
        <f t="shared" si="570"/>
        <v>0</v>
      </c>
      <c r="AG483" s="201">
        <f t="shared" si="570"/>
        <v>0</v>
      </c>
      <c r="AH483" s="201">
        <f t="shared" si="570"/>
        <v>0</v>
      </c>
      <c r="AI483" s="201">
        <f t="shared" si="570"/>
        <v>0</v>
      </c>
      <c r="AJ483" s="201">
        <f t="shared" si="570"/>
        <v>0</v>
      </c>
      <c r="AK483" s="201">
        <f t="shared" si="570"/>
        <v>0</v>
      </c>
      <c r="AL483" s="201">
        <f t="shared" si="570"/>
        <v>0</v>
      </c>
      <c r="AM483" s="201">
        <f t="shared" si="570"/>
        <v>0</v>
      </c>
      <c r="AN483" s="201">
        <f t="shared" si="570"/>
        <v>0</v>
      </c>
      <c r="AO483" s="201">
        <f t="shared" si="570"/>
        <v>0</v>
      </c>
      <c r="AP483" s="201">
        <f t="shared" si="570"/>
        <v>0</v>
      </c>
      <c r="AQ483" s="201">
        <f t="shared" si="570"/>
        <v>0</v>
      </c>
      <c r="AR483" s="201">
        <f t="shared" si="570"/>
        <v>0</v>
      </c>
      <c r="AS483" s="201">
        <f t="shared" si="570"/>
        <v>0</v>
      </c>
      <c r="AT483" s="201">
        <f t="shared" si="570"/>
        <v>0</v>
      </c>
      <c r="AU483" s="201">
        <f t="shared" si="570"/>
        <v>0</v>
      </c>
      <c r="AV483" s="201">
        <f t="shared" si="570"/>
        <v>0</v>
      </c>
      <c r="AW483" s="201">
        <f t="shared" si="570"/>
        <v>0</v>
      </c>
      <c r="AX483" s="201">
        <f t="shared" si="570"/>
        <v>0</v>
      </c>
      <c r="AY483" s="201">
        <f t="shared" si="570"/>
        <v>0</v>
      </c>
      <c r="AZ483" s="201">
        <f t="shared" si="570"/>
        <v>0</v>
      </c>
      <c r="BA483" s="201">
        <f t="shared" si="570"/>
        <v>0</v>
      </c>
      <c r="BB483" s="201">
        <f t="shared" si="570"/>
        <v>0</v>
      </c>
      <c r="BC483" s="201">
        <f t="shared" si="570"/>
        <v>0</v>
      </c>
      <c r="BD483" s="201">
        <f t="shared" si="570"/>
        <v>0</v>
      </c>
      <c r="BE483" s="201">
        <f t="shared" si="570"/>
        <v>0</v>
      </c>
      <c r="BF483" s="201">
        <f t="shared" si="570"/>
        <v>0</v>
      </c>
      <c r="BG483" s="201">
        <f t="shared" si="570"/>
        <v>0</v>
      </c>
      <c r="BH483" s="201">
        <f t="shared" si="570"/>
        <v>0</v>
      </c>
      <c r="BI483" s="201">
        <f t="shared" si="570"/>
        <v>0</v>
      </c>
      <c r="BJ483" s="201">
        <f t="shared" si="570"/>
        <v>0</v>
      </c>
      <c r="BK483" s="335"/>
      <c r="BL483" s="201">
        <f t="shared" si="570"/>
        <v>0</v>
      </c>
      <c r="BM483" s="201">
        <f t="shared" si="570"/>
        <v>0</v>
      </c>
      <c r="BN483" s="201">
        <f t="shared" si="570"/>
        <v>0</v>
      </c>
      <c r="BO483" s="201">
        <f t="shared" si="570"/>
        <v>0</v>
      </c>
      <c r="BP483" s="201">
        <f t="shared" si="570"/>
        <v>0</v>
      </c>
      <c r="BQ483" s="201">
        <f t="shared" si="570"/>
        <v>0</v>
      </c>
      <c r="BR483" s="201">
        <f t="shared" si="570"/>
        <v>0</v>
      </c>
      <c r="BS483" s="201">
        <f t="shared" si="570"/>
        <v>0</v>
      </c>
      <c r="BT483" s="201">
        <f t="shared" si="570"/>
        <v>0</v>
      </c>
      <c r="BU483" s="201">
        <f t="shared" si="570"/>
        <v>0</v>
      </c>
      <c r="BV483" s="201">
        <f t="shared" si="570"/>
        <v>0</v>
      </c>
      <c r="BW483" s="201">
        <f t="shared" si="570"/>
        <v>0</v>
      </c>
      <c r="BY483" s="12"/>
      <c r="CA483" s="12"/>
      <c r="CR483" s="12"/>
      <c r="EX483" s="10" t="str">
        <f t="shared" si="523"/>
        <v/>
      </c>
    </row>
    <row r="484" spans="1:154" x14ac:dyDescent="0.25">
      <c r="A484" s="67"/>
      <c r="B484" s="84" t="str" cm="1">
        <f t="array" aca="1" ref="B484" ca="1">HYPERLINK(CONCATENATE("#",CELL("address",$D$180)),$D$180)</f>
        <v>Loan 8</v>
      </c>
      <c r="C484" s="380"/>
      <c r="D484" s="60">
        <f>D$20</f>
        <v>0</v>
      </c>
      <c r="E484" s="221">
        <f>E$20</f>
        <v>0</v>
      </c>
      <c r="F484" s="67"/>
      <c r="G484" s="9" t="s">
        <v>413</v>
      </c>
      <c r="H484" s="50" t="s">
        <v>157</v>
      </c>
      <c r="S484" s="335"/>
      <c r="T484" s="335"/>
      <c r="U484" s="335"/>
      <c r="V484" s="201">
        <f>V$183+V$184</f>
        <v>0</v>
      </c>
      <c r="W484" s="201">
        <f t="shared" ref="W484:BW484" si="571">W$183+W$184</f>
        <v>0</v>
      </c>
      <c r="X484" s="201">
        <f t="shared" si="571"/>
        <v>0</v>
      </c>
      <c r="Y484" s="201">
        <f t="shared" si="571"/>
        <v>0</v>
      </c>
      <c r="Z484" s="335"/>
      <c r="AA484" s="201">
        <f t="shared" si="571"/>
        <v>0</v>
      </c>
      <c r="AB484" s="201">
        <f t="shared" si="571"/>
        <v>0</v>
      </c>
      <c r="AC484" s="201">
        <f t="shared" si="571"/>
        <v>0</v>
      </c>
      <c r="AD484" s="201">
        <f t="shared" si="571"/>
        <v>0</v>
      </c>
      <c r="AE484" s="201">
        <f t="shared" si="571"/>
        <v>0</v>
      </c>
      <c r="AF484" s="201">
        <f t="shared" si="571"/>
        <v>0</v>
      </c>
      <c r="AG484" s="201">
        <f t="shared" si="571"/>
        <v>0</v>
      </c>
      <c r="AH484" s="201">
        <f t="shared" si="571"/>
        <v>0</v>
      </c>
      <c r="AI484" s="201">
        <f t="shared" si="571"/>
        <v>0</v>
      </c>
      <c r="AJ484" s="201">
        <f t="shared" si="571"/>
        <v>0</v>
      </c>
      <c r="AK484" s="201">
        <f t="shared" si="571"/>
        <v>0</v>
      </c>
      <c r="AL484" s="201">
        <f t="shared" si="571"/>
        <v>0</v>
      </c>
      <c r="AM484" s="201">
        <f t="shared" si="571"/>
        <v>0</v>
      </c>
      <c r="AN484" s="201">
        <f t="shared" si="571"/>
        <v>0</v>
      </c>
      <c r="AO484" s="201">
        <f t="shared" si="571"/>
        <v>0</v>
      </c>
      <c r="AP484" s="201">
        <f t="shared" si="571"/>
        <v>0</v>
      </c>
      <c r="AQ484" s="201">
        <f t="shared" si="571"/>
        <v>0</v>
      </c>
      <c r="AR484" s="201">
        <f t="shared" si="571"/>
        <v>0</v>
      </c>
      <c r="AS484" s="201">
        <f t="shared" si="571"/>
        <v>0</v>
      </c>
      <c r="AT484" s="201">
        <f t="shared" si="571"/>
        <v>0</v>
      </c>
      <c r="AU484" s="201">
        <f t="shared" si="571"/>
        <v>0</v>
      </c>
      <c r="AV484" s="201">
        <f t="shared" si="571"/>
        <v>0</v>
      </c>
      <c r="AW484" s="201">
        <f t="shared" si="571"/>
        <v>0</v>
      </c>
      <c r="AX484" s="201">
        <f t="shared" si="571"/>
        <v>0</v>
      </c>
      <c r="AY484" s="201">
        <f t="shared" si="571"/>
        <v>0</v>
      </c>
      <c r="AZ484" s="201">
        <f t="shared" si="571"/>
        <v>0</v>
      </c>
      <c r="BA484" s="201">
        <f t="shared" si="571"/>
        <v>0</v>
      </c>
      <c r="BB484" s="201">
        <f t="shared" si="571"/>
        <v>0</v>
      </c>
      <c r="BC484" s="201">
        <f t="shared" si="571"/>
        <v>0</v>
      </c>
      <c r="BD484" s="201">
        <f t="shared" si="571"/>
        <v>0</v>
      </c>
      <c r="BE484" s="201">
        <f t="shared" si="571"/>
        <v>0</v>
      </c>
      <c r="BF484" s="201">
        <f t="shared" si="571"/>
        <v>0</v>
      </c>
      <c r="BG484" s="201">
        <f t="shared" si="571"/>
        <v>0</v>
      </c>
      <c r="BH484" s="201">
        <f t="shared" si="571"/>
        <v>0</v>
      </c>
      <c r="BI484" s="201">
        <f t="shared" si="571"/>
        <v>0</v>
      </c>
      <c r="BJ484" s="201">
        <f t="shared" si="571"/>
        <v>0</v>
      </c>
      <c r="BK484" s="335"/>
      <c r="BL484" s="201">
        <f t="shared" si="571"/>
        <v>0</v>
      </c>
      <c r="BM484" s="201">
        <f t="shared" si="571"/>
        <v>0</v>
      </c>
      <c r="BN484" s="201">
        <f t="shared" si="571"/>
        <v>0</v>
      </c>
      <c r="BO484" s="201">
        <f t="shared" si="571"/>
        <v>0</v>
      </c>
      <c r="BP484" s="201">
        <f t="shared" si="571"/>
        <v>0</v>
      </c>
      <c r="BQ484" s="201">
        <f t="shared" si="571"/>
        <v>0</v>
      </c>
      <c r="BR484" s="201">
        <f t="shared" si="571"/>
        <v>0</v>
      </c>
      <c r="BS484" s="201">
        <f t="shared" si="571"/>
        <v>0</v>
      </c>
      <c r="BT484" s="201">
        <f t="shared" si="571"/>
        <v>0</v>
      </c>
      <c r="BU484" s="201">
        <f t="shared" si="571"/>
        <v>0</v>
      </c>
      <c r="BV484" s="201">
        <f t="shared" si="571"/>
        <v>0</v>
      </c>
      <c r="BW484" s="201">
        <f t="shared" si="571"/>
        <v>0</v>
      </c>
      <c r="BY484" s="12"/>
      <c r="CA484" s="12"/>
      <c r="CR484" s="12"/>
      <c r="EX484" s="10" t="str">
        <f t="shared" si="523"/>
        <v/>
      </c>
    </row>
    <row r="485" spans="1:154" x14ac:dyDescent="0.25">
      <c r="A485" s="67"/>
      <c r="B485" s="84" t="str" cm="1">
        <f t="array" aca="1" ref="B485" ca="1">HYPERLINK(CONCATENATE("#",CELL("address",$D$199)),$D$199)</f>
        <v>Loan 9</v>
      </c>
      <c r="C485" s="380"/>
      <c r="D485" s="60">
        <f>D$21</f>
        <v>0</v>
      </c>
      <c r="E485" s="221">
        <f>E$21</f>
        <v>0</v>
      </c>
      <c r="F485" s="67"/>
      <c r="G485" s="9" t="s">
        <v>413</v>
      </c>
      <c r="H485" s="50" t="s">
        <v>157</v>
      </c>
      <c r="S485" s="335"/>
      <c r="T485" s="335"/>
      <c r="U485" s="335"/>
      <c r="V485" s="201">
        <f>V$202+V$203</f>
        <v>0</v>
      </c>
      <c r="W485" s="201">
        <f t="shared" ref="W485:BW485" si="572">W$202+W$203</f>
        <v>0</v>
      </c>
      <c r="X485" s="201">
        <f t="shared" si="572"/>
        <v>0</v>
      </c>
      <c r="Y485" s="201">
        <f t="shared" si="572"/>
        <v>0</v>
      </c>
      <c r="Z485" s="335"/>
      <c r="AA485" s="201">
        <f t="shared" si="572"/>
        <v>0</v>
      </c>
      <c r="AB485" s="201">
        <f t="shared" si="572"/>
        <v>0</v>
      </c>
      <c r="AC485" s="201">
        <f t="shared" si="572"/>
        <v>0</v>
      </c>
      <c r="AD485" s="201">
        <f t="shared" si="572"/>
        <v>0</v>
      </c>
      <c r="AE485" s="201">
        <f t="shared" si="572"/>
        <v>0</v>
      </c>
      <c r="AF485" s="201">
        <f t="shared" si="572"/>
        <v>0</v>
      </c>
      <c r="AG485" s="201">
        <f t="shared" si="572"/>
        <v>0</v>
      </c>
      <c r="AH485" s="201">
        <f t="shared" si="572"/>
        <v>0</v>
      </c>
      <c r="AI485" s="201">
        <f t="shared" si="572"/>
        <v>0</v>
      </c>
      <c r="AJ485" s="201">
        <f t="shared" si="572"/>
        <v>0</v>
      </c>
      <c r="AK485" s="201">
        <f t="shared" si="572"/>
        <v>0</v>
      </c>
      <c r="AL485" s="201">
        <f t="shared" si="572"/>
        <v>0</v>
      </c>
      <c r="AM485" s="201">
        <f t="shared" si="572"/>
        <v>0</v>
      </c>
      <c r="AN485" s="201">
        <f t="shared" si="572"/>
        <v>0</v>
      </c>
      <c r="AO485" s="201">
        <f t="shared" si="572"/>
        <v>0</v>
      </c>
      <c r="AP485" s="201">
        <f t="shared" si="572"/>
        <v>0</v>
      </c>
      <c r="AQ485" s="201">
        <f t="shared" si="572"/>
        <v>0</v>
      </c>
      <c r="AR485" s="201">
        <f t="shared" si="572"/>
        <v>0</v>
      </c>
      <c r="AS485" s="201">
        <f t="shared" si="572"/>
        <v>0</v>
      </c>
      <c r="AT485" s="201">
        <f t="shared" si="572"/>
        <v>0</v>
      </c>
      <c r="AU485" s="201">
        <f t="shared" si="572"/>
        <v>0</v>
      </c>
      <c r="AV485" s="201">
        <f t="shared" si="572"/>
        <v>0</v>
      </c>
      <c r="AW485" s="201">
        <f t="shared" si="572"/>
        <v>0</v>
      </c>
      <c r="AX485" s="201">
        <f t="shared" si="572"/>
        <v>0</v>
      </c>
      <c r="AY485" s="201">
        <f t="shared" si="572"/>
        <v>0</v>
      </c>
      <c r="AZ485" s="201">
        <f t="shared" si="572"/>
        <v>0</v>
      </c>
      <c r="BA485" s="201">
        <f t="shared" si="572"/>
        <v>0</v>
      </c>
      <c r="BB485" s="201">
        <f t="shared" si="572"/>
        <v>0</v>
      </c>
      <c r="BC485" s="201">
        <f t="shared" si="572"/>
        <v>0</v>
      </c>
      <c r="BD485" s="201">
        <f t="shared" si="572"/>
        <v>0</v>
      </c>
      <c r="BE485" s="201">
        <f t="shared" si="572"/>
        <v>0</v>
      </c>
      <c r="BF485" s="201">
        <f t="shared" si="572"/>
        <v>0</v>
      </c>
      <c r="BG485" s="201">
        <f t="shared" si="572"/>
        <v>0</v>
      </c>
      <c r="BH485" s="201">
        <f t="shared" si="572"/>
        <v>0</v>
      </c>
      <c r="BI485" s="201">
        <f t="shared" si="572"/>
        <v>0</v>
      </c>
      <c r="BJ485" s="201">
        <f t="shared" si="572"/>
        <v>0</v>
      </c>
      <c r="BK485" s="335"/>
      <c r="BL485" s="201">
        <f t="shared" si="572"/>
        <v>0</v>
      </c>
      <c r="BM485" s="201">
        <f t="shared" si="572"/>
        <v>0</v>
      </c>
      <c r="BN485" s="201">
        <f t="shared" si="572"/>
        <v>0</v>
      </c>
      <c r="BO485" s="201">
        <f t="shared" si="572"/>
        <v>0</v>
      </c>
      <c r="BP485" s="201">
        <f t="shared" si="572"/>
        <v>0</v>
      </c>
      <c r="BQ485" s="201">
        <f t="shared" si="572"/>
        <v>0</v>
      </c>
      <c r="BR485" s="201">
        <f t="shared" si="572"/>
        <v>0</v>
      </c>
      <c r="BS485" s="201">
        <f t="shared" si="572"/>
        <v>0</v>
      </c>
      <c r="BT485" s="201">
        <f t="shared" si="572"/>
        <v>0</v>
      </c>
      <c r="BU485" s="201">
        <f t="shared" si="572"/>
        <v>0</v>
      </c>
      <c r="BV485" s="201">
        <f t="shared" si="572"/>
        <v>0</v>
      </c>
      <c r="BW485" s="201">
        <f t="shared" si="572"/>
        <v>0</v>
      </c>
      <c r="BY485" s="12"/>
      <c r="CA485" s="12"/>
      <c r="CR485" s="12"/>
      <c r="EX485" s="10" t="str">
        <f t="shared" si="523"/>
        <v/>
      </c>
    </row>
    <row r="486" spans="1:154" x14ac:dyDescent="0.25">
      <c r="A486" s="67"/>
      <c r="B486" s="84" t="str" cm="1">
        <f t="array" aca="1" ref="B486" ca="1">HYPERLINK(CONCATENATE("#",CELL("address",$D$218)),$D$218)</f>
        <v>Loan 10</v>
      </c>
      <c r="C486" s="380"/>
      <c r="D486" s="60">
        <f>D$22</f>
        <v>0</v>
      </c>
      <c r="E486" s="221">
        <f>E$22</f>
        <v>0</v>
      </c>
      <c r="F486" s="67"/>
      <c r="G486" s="9" t="s">
        <v>413</v>
      </c>
      <c r="H486" s="50" t="s">
        <v>157</v>
      </c>
      <c r="S486" s="335"/>
      <c r="T486" s="335"/>
      <c r="U486" s="335"/>
      <c r="V486" s="201">
        <f>V$221+V$222</f>
        <v>0</v>
      </c>
      <c r="W486" s="201">
        <f t="shared" ref="W486:BW486" si="573">W$221+W$222</f>
        <v>0</v>
      </c>
      <c r="X486" s="201">
        <f t="shared" si="573"/>
        <v>0</v>
      </c>
      <c r="Y486" s="201">
        <f t="shared" si="573"/>
        <v>0</v>
      </c>
      <c r="Z486" s="335"/>
      <c r="AA486" s="201">
        <f t="shared" si="573"/>
        <v>0</v>
      </c>
      <c r="AB486" s="201">
        <f t="shared" si="573"/>
        <v>0</v>
      </c>
      <c r="AC486" s="201">
        <f t="shared" si="573"/>
        <v>0</v>
      </c>
      <c r="AD486" s="201">
        <f t="shared" si="573"/>
        <v>0</v>
      </c>
      <c r="AE486" s="201">
        <f t="shared" si="573"/>
        <v>0</v>
      </c>
      <c r="AF486" s="201">
        <f t="shared" si="573"/>
        <v>0</v>
      </c>
      <c r="AG486" s="201">
        <f t="shared" si="573"/>
        <v>0</v>
      </c>
      <c r="AH486" s="201">
        <f t="shared" si="573"/>
        <v>0</v>
      </c>
      <c r="AI486" s="201">
        <f t="shared" si="573"/>
        <v>0</v>
      </c>
      <c r="AJ486" s="201">
        <f t="shared" si="573"/>
        <v>0</v>
      </c>
      <c r="AK486" s="201">
        <f t="shared" si="573"/>
        <v>0</v>
      </c>
      <c r="AL486" s="201">
        <f t="shared" si="573"/>
        <v>0</v>
      </c>
      <c r="AM486" s="201">
        <f t="shared" si="573"/>
        <v>0</v>
      </c>
      <c r="AN486" s="201">
        <f t="shared" si="573"/>
        <v>0</v>
      </c>
      <c r="AO486" s="201">
        <f t="shared" si="573"/>
        <v>0</v>
      </c>
      <c r="AP486" s="201">
        <f t="shared" si="573"/>
        <v>0</v>
      </c>
      <c r="AQ486" s="201">
        <f t="shared" si="573"/>
        <v>0</v>
      </c>
      <c r="AR486" s="201">
        <f t="shared" si="573"/>
        <v>0</v>
      </c>
      <c r="AS486" s="201">
        <f t="shared" si="573"/>
        <v>0</v>
      </c>
      <c r="AT486" s="201">
        <f t="shared" si="573"/>
        <v>0</v>
      </c>
      <c r="AU486" s="201">
        <f t="shared" si="573"/>
        <v>0</v>
      </c>
      <c r="AV486" s="201">
        <f t="shared" si="573"/>
        <v>0</v>
      </c>
      <c r="AW486" s="201">
        <f t="shared" si="573"/>
        <v>0</v>
      </c>
      <c r="AX486" s="201">
        <f t="shared" si="573"/>
        <v>0</v>
      </c>
      <c r="AY486" s="201">
        <f t="shared" si="573"/>
        <v>0</v>
      </c>
      <c r="AZ486" s="201">
        <f t="shared" si="573"/>
        <v>0</v>
      </c>
      <c r="BA486" s="201">
        <f t="shared" si="573"/>
        <v>0</v>
      </c>
      <c r="BB486" s="201">
        <f t="shared" si="573"/>
        <v>0</v>
      </c>
      <c r="BC486" s="201">
        <f t="shared" si="573"/>
        <v>0</v>
      </c>
      <c r="BD486" s="201">
        <f t="shared" si="573"/>
        <v>0</v>
      </c>
      <c r="BE486" s="201">
        <f t="shared" si="573"/>
        <v>0</v>
      </c>
      <c r="BF486" s="201">
        <f t="shared" si="573"/>
        <v>0</v>
      </c>
      <c r="BG486" s="201">
        <f t="shared" si="573"/>
        <v>0</v>
      </c>
      <c r="BH486" s="201">
        <f t="shared" si="573"/>
        <v>0</v>
      </c>
      <c r="BI486" s="201">
        <f t="shared" si="573"/>
        <v>0</v>
      </c>
      <c r="BJ486" s="201">
        <f t="shared" si="573"/>
        <v>0</v>
      </c>
      <c r="BK486" s="335"/>
      <c r="BL486" s="201">
        <f t="shared" si="573"/>
        <v>0</v>
      </c>
      <c r="BM486" s="201">
        <f t="shared" si="573"/>
        <v>0</v>
      </c>
      <c r="BN486" s="201">
        <f t="shared" si="573"/>
        <v>0</v>
      </c>
      <c r="BO486" s="201">
        <f t="shared" si="573"/>
        <v>0</v>
      </c>
      <c r="BP486" s="201">
        <f t="shared" si="573"/>
        <v>0</v>
      </c>
      <c r="BQ486" s="201">
        <f t="shared" si="573"/>
        <v>0</v>
      </c>
      <c r="BR486" s="201">
        <f t="shared" si="573"/>
        <v>0</v>
      </c>
      <c r="BS486" s="201">
        <f t="shared" si="573"/>
        <v>0</v>
      </c>
      <c r="BT486" s="201">
        <f t="shared" si="573"/>
        <v>0</v>
      </c>
      <c r="BU486" s="201">
        <f t="shared" si="573"/>
        <v>0</v>
      </c>
      <c r="BV486" s="201">
        <f t="shared" si="573"/>
        <v>0</v>
      </c>
      <c r="BW486" s="201">
        <f t="shared" si="573"/>
        <v>0</v>
      </c>
      <c r="BY486" s="12"/>
      <c r="CA486" s="12"/>
      <c r="CR486" s="12"/>
      <c r="EX486" s="10" t="str">
        <f t="shared" si="523"/>
        <v/>
      </c>
    </row>
    <row r="487" spans="1:154" x14ac:dyDescent="0.25">
      <c r="A487" s="67"/>
      <c r="B487" s="84" t="str" cm="1">
        <f t="array" aca="1" ref="B487" ca="1">HYPERLINK(CONCATENATE("#",CELL("address",$D$237)),$D$237)</f>
        <v>Loan 11</v>
      </c>
      <c r="C487" s="380"/>
      <c r="D487" s="60">
        <f>D$23</f>
        <v>0</v>
      </c>
      <c r="E487" s="221">
        <f>E$23</f>
        <v>0</v>
      </c>
      <c r="F487" s="67"/>
      <c r="G487" s="9" t="s">
        <v>413</v>
      </c>
      <c r="H487" s="50" t="s">
        <v>157</v>
      </c>
      <c r="S487" s="335"/>
      <c r="T487" s="335"/>
      <c r="U487" s="335"/>
      <c r="V487" s="201">
        <f>V$240+V$241</f>
        <v>0</v>
      </c>
      <c r="W487" s="201">
        <f t="shared" ref="W487:BW487" si="574">W$240+W$241</f>
        <v>0</v>
      </c>
      <c r="X487" s="201">
        <f t="shared" si="574"/>
        <v>0</v>
      </c>
      <c r="Y487" s="201">
        <f t="shared" si="574"/>
        <v>0</v>
      </c>
      <c r="Z487" s="335"/>
      <c r="AA487" s="201">
        <f t="shared" si="574"/>
        <v>0</v>
      </c>
      <c r="AB487" s="201">
        <f t="shared" si="574"/>
        <v>0</v>
      </c>
      <c r="AC487" s="201">
        <f t="shared" si="574"/>
        <v>0</v>
      </c>
      <c r="AD487" s="201">
        <f t="shared" si="574"/>
        <v>0</v>
      </c>
      <c r="AE487" s="201">
        <f t="shared" si="574"/>
        <v>0</v>
      </c>
      <c r="AF487" s="201">
        <f t="shared" si="574"/>
        <v>0</v>
      </c>
      <c r="AG487" s="201">
        <f t="shared" si="574"/>
        <v>0</v>
      </c>
      <c r="AH487" s="201">
        <f t="shared" si="574"/>
        <v>0</v>
      </c>
      <c r="AI487" s="201">
        <f t="shared" si="574"/>
        <v>0</v>
      </c>
      <c r="AJ487" s="201">
        <f t="shared" si="574"/>
        <v>0</v>
      </c>
      <c r="AK487" s="201">
        <f t="shared" si="574"/>
        <v>0</v>
      </c>
      <c r="AL487" s="201">
        <f t="shared" si="574"/>
        <v>0</v>
      </c>
      <c r="AM487" s="201">
        <f t="shared" si="574"/>
        <v>0</v>
      </c>
      <c r="AN487" s="201">
        <f t="shared" si="574"/>
        <v>0</v>
      </c>
      <c r="AO487" s="201">
        <f t="shared" si="574"/>
        <v>0</v>
      </c>
      <c r="AP487" s="201">
        <f t="shared" si="574"/>
        <v>0</v>
      </c>
      <c r="AQ487" s="201">
        <f t="shared" si="574"/>
        <v>0</v>
      </c>
      <c r="AR487" s="201">
        <f t="shared" si="574"/>
        <v>0</v>
      </c>
      <c r="AS487" s="201">
        <f t="shared" si="574"/>
        <v>0</v>
      </c>
      <c r="AT487" s="201">
        <f t="shared" si="574"/>
        <v>0</v>
      </c>
      <c r="AU487" s="201">
        <f t="shared" si="574"/>
        <v>0</v>
      </c>
      <c r="AV487" s="201">
        <f t="shared" si="574"/>
        <v>0</v>
      </c>
      <c r="AW487" s="201">
        <f t="shared" si="574"/>
        <v>0</v>
      </c>
      <c r="AX487" s="201">
        <f t="shared" si="574"/>
        <v>0</v>
      </c>
      <c r="AY487" s="201">
        <f t="shared" si="574"/>
        <v>0</v>
      </c>
      <c r="AZ487" s="201">
        <f t="shared" si="574"/>
        <v>0</v>
      </c>
      <c r="BA487" s="201">
        <f t="shared" si="574"/>
        <v>0</v>
      </c>
      <c r="BB487" s="201">
        <f t="shared" si="574"/>
        <v>0</v>
      </c>
      <c r="BC487" s="201">
        <f t="shared" si="574"/>
        <v>0</v>
      </c>
      <c r="BD487" s="201">
        <f t="shared" si="574"/>
        <v>0</v>
      </c>
      <c r="BE487" s="201">
        <f t="shared" si="574"/>
        <v>0</v>
      </c>
      <c r="BF487" s="201">
        <f t="shared" si="574"/>
        <v>0</v>
      </c>
      <c r="BG487" s="201">
        <f t="shared" si="574"/>
        <v>0</v>
      </c>
      <c r="BH487" s="201">
        <f t="shared" si="574"/>
        <v>0</v>
      </c>
      <c r="BI487" s="201">
        <f t="shared" si="574"/>
        <v>0</v>
      </c>
      <c r="BJ487" s="201">
        <f t="shared" si="574"/>
        <v>0</v>
      </c>
      <c r="BK487" s="335"/>
      <c r="BL487" s="201">
        <f t="shared" si="574"/>
        <v>0</v>
      </c>
      <c r="BM487" s="201">
        <f t="shared" si="574"/>
        <v>0</v>
      </c>
      <c r="BN487" s="201">
        <f t="shared" si="574"/>
        <v>0</v>
      </c>
      <c r="BO487" s="201">
        <f t="shared" si="574"/>
        <v>0</v>
      </c>
      <c r="BP487" s="201">
        <f t="shared" si="574"/>
        <v>0</v>
      </c>
      <c r="BQ487" s="201">
        <f t="shared" si="574"/>
        <v>0</v>
      </c>
      <c r="BR487" s="201">
        <f t="shared" si="574"/>
        <v>0</v>
      </c>
      <c r="BS487" s="201">
        <f t="shared" si="574"/>
        <v>0</v>
      </c>
      <c r="BT487" s="201">
        <f t="shared" si="574"/>
        <v>0</v>
      </c>
      <c r="BU487" s="201">
        <f t="shared" si="574"/>
        <v>0</v>
      </c>
      <c r="BV487" s="201">
        <f t="shared" si="574"/>
        <v>0</v>
      </c>
      <c r="BW487" s="201">
        <f t="shared" si="574"/>
        <v>0</v>
      </c>
      <c r="BY487" s="12"/>
      <c r="CA487" s="12"/>
      <c r="CR487" s="12"/>
      <c r="EX487" s="10" t="str">
        <f t="shared" si="523"/>
        <v/>
      </c>
    </row>
    <row r="488" spans="1:154" x14ac:dyDescent="0.25">
      <c r="A488" s="67"/>
      <c r="B488" s="84" t="str" cm="1">
        <f t="array" aca="1" ref="B488" ca="1">HYPERLINK(CONCATENATE("#",CELL("address",$D$256)),$D$256)</f>
        <v>Loan 12</v>
      </c>
      <c r="C488" s="380"/>
      <c r="D488" s="60">
        <f>D$24</f>
        <v>0</v>
      </c>
      <c r="E488" s="221">
        <f>E$24</f>
        <v>0</v>
      </c>
      <c r="F488" s="67"/>
      <c r="G488" s="9" t="s">
        <v>413</v>
      </c>
      <c r="H488" s="50" t="s">
        <v>157</v>
      </c>
      <c r="S488" s="335"/>
      <c r="T488" s="335"/>
      <c r="U488" s="335"/>
      <c r="V488" s="201">
        <f>V$259+V$260</f>
        <v>0</v>
      </c>
      <c r="W488" s="201">
        <f t="shared" ref="W488:BW488" si="575">W$259+W$260</f>
        <v>0</v>
      </c>
      <c r="X488" s="201">
        <f t="shared" si="575"/>
        <v>0</v>
      </c>
      <c r="Y488" s="201">
        <f t="shared" si="575"/>
        <v>0</v>
      </c>
      <c r="Z488" s="335"/>
      <c r="AA488" s="201">
        <f t="shared" si="575"/>
        <v>0</v>
      </c>
      <c r="AB488" s="201">
        <f t="shared" si="575"/>
        <v>0</v>
      </c>
      <c r="AC488" s="201">
        <f t="shared" si="575"/>
        <v>0</v>
      </c>
      <c r="AD488" s="201">
        <f t="shared" si="575"/>
        <v>0</v>
      </c>
      <c r="AE488" s="201">
        <f t="shared" si="575"/>
        <v>0</v>
      </c>
      <c r="AF488" s="201">
        <f t="shared" si="575"/>
        <v>0</v>
      </c>
      <c r="AG488" s="201">
        <f t="shared" si="575"/>
        <v>0</v>
      </c>
      <c r="AH488" s="201">
        <f t="shared" si="575"/>
        <v>0</v>
      </c>
      <c r="AI488" s="201">
        <f t="shared" si="575"/>
        <v>0</v>
      </c>
      <c r="AJ488" s="201">
        <f t="shared" si="575"/>
        <v>0</v>
      </c>
      <c r="AK488" s="201">
        <f t="shared" si="575"/>
        <v>0</v>
      </c>
      <c r="AL488" s="201">
        <f t="shared" si="575"/>
        <v>0</v>
      </c>
      <c r="AM488" s="201">
        <f t="shared" si="575"/>
        <v>0</v>
      </c>
      <c r="AN488" s="201">
        <f t="shared" si="575"/>
        <v>0</v>
      </c>
      <c r="AO488" s="201">
        <f t="shared" si="575"/>
        <v>0</v>
      </c>
      <c r="AP488" s="201">
        <f t="shared" si="575"/>
        <v>0</v>
      </c>
      <c r="AQ488" s="201">
        <f t="shared" si="575"/>
        <v>0</v>
      </c>
      <c r="AR488" s="201">
        <f t="shared" si="575"/>
        <v>0</v>
      </c>
      <c r="AS488" s="201">
        <f t="shared" si="575"/>
        <v>0</v>
      </c>
      <c r="AT488" s="201">
        <f t="shared" si="575"/>
        <v>0</v>
      </c>
      <c r="AU488" s="201">
        <f t="shared" si="575"/>
        <v>0</v>
      </c>
      <c r="AV488" s="201">
        <f t="shared" si="575"/>
        <v>0</v>
      </c>
      <c r="AW488" s="201">
        <f t="shared" si="575"/>
        <v>0</v>
      </c>
      <c r="AX488" s="201">
        <f t="shared" si="575"/>
        <v>0</v>
      </c>
      <c r="AY488" s="201">
        <f t="shared" si="575"/>
        <v>0</v>
      </c>
      <c r="AZ488" s="201">
        <f t="shared" si="575"/>
        <v>0</v>
      </c>
      <c r="BA488" s="201">
        <f t="shared" si="575"/>
        <v>0</v>
      </c>
      <c r="BB488" s="201">
        <f t="shared" si="575"/>
        <v>0</v>
      </c>
      <c r="BC488" s="201">
        <f t="shared" si="575"/>
        <v>0</v>
      </c>
      <c r="BD488" s="201">
        <f t="shared" si="575"/>
        <v>0</v>
      </c>
      <c r="BE488" s="201">
        <f t="shared" si="575"/>
        <v>0</v>
      </c>
      <c r="BF488" s="201">
        <f t="shared" si="575"/>
        <v>0</v>
      </c>
      <c r="BG488" s="201">
        <f t="shared" si="575"/>
        <v>0</v>
      </c>
      <c r="BH488" s="201">
        <f t="shared" si="575"/>
        <v>0</v>
      </c>
      <c r="BI488" s="201">
        <f t="shared" si="575"/>
        <v>0</v>
      </c>
      <c r="BJ488" s="201">
        <f t="shared" si="575"/>
        <v>0</v>
      </c>
      <c r="BK488" s="335"/>
      <c r="BL488" s="201">
        <f t="shared" si="575"/>
        <v>0</v>
      </c>
      <c r="BM488" s="201">
        <f t="shared" si="575"/>
        <v>0</v>
      </c>
      <c r="BN488" s="201">
        <f t="shared" si="575"/>
        <v>0</v>
      </c>
      <c r="BO488" s="201">
        <f t="shared" si="575"/>
        <v>0</v>
      </c>
      <c r="BP488" s="201">
        <f t="shared" si="575"/>
        <v>0</v>
      </c>
      <c r="BQ488" s="201">
        <f t="shared" si="575"/>
        <v>0</v>
      </c>
      <c r="BR488" s="201">
        <f t="shared" si="575"/>
        <v>0</v>
      </c>
      <c r="BS488" s="201">
        <f t="shared" si="575"/>
        <v>0</v>
      </c>
      <c r="BT488" s="201">
        <f t="shared" si="575"/>
        <v>0</v>
      </c>
      <c r="BU488" s="201">
        <f t="shared" si="575"/>
        <v>0</v>
      </c>
      <c r="BV488" s="201">
        <f t="shared" si="575"/>
        <v>0</v>
      </c>
      <c r="BW488" s="201">
        <f t="shared" si="575"/>
        <v>0</v>
      </c>
      <c r="BY488" s="12"/>
      <c r="CA488" s="12"/>
      <c r="CR488" s="12"/>
      <c r="EX488" s="10" t="str">
        <f t="shared" si="523"/>
        <v/>
      </c>
    </row>
    <row r="489" spans="1:154" x14ac:dyDescent="0.25">
      <c r="A489" s="67"/>
      <c r="B489" s="84" t="str" cm="1">
        <f t="array" aca="1" ref="B489" ca="1">HYPERLINK(CONCATENATE("#",CELL("address",$D$275)),$D$275)</f>
        <v>Loan 13</v>
      </c>
      <c r="C489" s="380"/>
      <c r="D489" s="60">
        <f>D$25</f>
        <v>0</v>
      </c>
      <c r="E489" s="221">
        <f>E$25</f>
        <v>0</v>
      </c>
      <c r="F489" s="67"/>
      <c r="G489" s="9" t="s">
        <v>413</v>
      </c>
      <c r="H489" s="50" t="s">
        <v>157</v>
      </c>
      <c r="S489" s="335"/>
      <c r="T489" s="335"/>
      <c r="U489" s="335"/>
      <c r="V489" s="201">
        <f>V$278+V$279</f>
        <v>0</v>
      </c>
      <c r="W489" s="201">
        <f t="shared" ref="W489:BW489" si="576">W$278+W$279</f>
        <v>0</v>
      </c>
      <c r="X489" s="201">
        <f t="shared" si="576"/>
        <v>0</v>
      </c>
      <c r="Y489" s="201">
        <f t="shared" si="576"/>
        <v>0</v>
      </c>
      <c r="Z489" s="335"/>
      <c r="AA489" s="201">
        <f t="shared" si="576"/>
        <v>0</v>
      </c>
      <c r="AB489" s="201">
        <f t="shared" si="576"/>
        <v>0</v>
      </c>
      <c r="AC489" s="201">
        <f t="shared" si="576"/>
        <v>0</v>
      </c>
      <c r="AD489" s="201">
        <f t="shared" si="576"/>
        <v>0</v>
      </c>
      <c r="AE489" s="201">
        <f t="shared" si="576"/>
        <v>0</v>
      </c>
      <c r="AF489" s="201">
        <f t="shared" si="576"/>
        <v>0</v>
      </c>
      <c r="AG489" s="201">
        <f t="shared" si="576"/>
        <v>0</v>
      </c>
      <c r="AH489" s="201">
        <f t="shared" si="576"/>
        <v>0</v>
      </c>
      <c r="AI489" s="201">
        <f t="shared" si="576"/>
        <v>0</v>
      </c>
      <c r="AJ489" s="201">
        <f t="shared" si="576"/>
        <v>0</v>
      </c>
      <c r="AK489" s="201">
        <f t="shared" si="576"/>
        <v>0</v>
      </c>
      <c r="AL489" s="201">
        <f t="shared" si="576"/>
        <v>0</v>
      </c>
      <c r="AM489" s="201">
        <f t="shared" si="576"/>
        <v>0</v>
      </c>
      <c r="AN489" s="201">
        <f t="shared" si="576"/>
        <v>0</v>
      </c>
      <c r="AO489" s="201">
        <f t="shared" si="576"/>
        <v>0</v>
      </c>
      <c r="AP489" s="201">
        <f t="shared" si="576"/>
        <v>0</v>
      </c>
      <c r="AQ489" s="201">
        <f t="shared" si="576"/>
        <v>0</v>
      </c>
      <c r="AR489" s="201">
        <f t="shared" si="576"/>
        <v>0</v>
      </c>
      <c r="AS489" s="201">
        <f t="shared" si="576"/>
        <v>0</v>
      </c>
      <c r="AT489" s="201">
        <f t="shared" si="576"/>
        <v>0</v>
      </c>
      <c r="AU489" s="201">
        <f t="shared" si="576"/>
        <v>0</v>
      </c>
      <c r="AV489" s="201">
        <f t="shared" si="576"/>
        <v>0</v>
      </c>
      <c r="AW489" s="201">
        <f t="shared" si="576"/>
        <v>0</v>
      </c>
      <c r="AX489" s="201">
        <f t="shared" si="576"/>
        <v>0</v>
      </c>
      <c r="AY489" s="201">
        <f t="shared" si="576"/>
        <v>0</v>
      </c>
      <c r="AZ489" s="201">
        <f t="shared" si="576"/>
        <v>0</v>
      </c>
      <c r="BA489" s="201">
        <f t="shared" si="576"/>
        <v>0</v>
      </c>
      <c r="BB489" s="201">
        <f t="shared" si="576"/>
        <v>0</v>
      </c>
      <c r="BC489" s="201">
        <f t="shared" si="576"/>
        <v>0</v>
      </c>
      <c r="BD489" s="201">
        <f t="shared" si="576"/>
        <v>0</v>
      </c>
      <c r="BE489" s="201">
        <f t="shared" si="576"/>
        <v>0</v>
      </c>
      <c r="BF489" s="201">
        <f t="shared" si="576"/>
        <v>0</v>
      </c>
      <c r="BG489" s="201">
        <f t="shared" si="576"/>
        <v>0</v>
      </c>
      <c r="BH489" s="201">
        <f t="shared" si="576"/>
        <v>0</v>
      </c>
      <c r="BI489" s="201">
        <f t="shared" si="576"/>
        <v>0</v>
      </c>
      <c r="BJ489" s="201">
        <f t="shared" si="576"/>
        <v>0</v>
      </c>
      <c r="BK489" s="335"/>
      <c r="BL489" s="201">
        <f t="shared" si="576"/>
        <v>0</v>
      </c>
      <c r="BM489" s="201">
        <f t="shared" si="576"/>
        <v>0</v>
      </c>
      <c r="BN489" s="201">
        <f t="shared" si="576"/>
        <v>0</v>
      </c>
      <c r="BO489" s="201">
        <f t="shared" si="576"/>
        <v>0</v>
      </c>
      <c r="BP489" s="201">
        <f t="shared" si="576"/>
        <v>0</v>
      </c>
      <c r="BQ489" s="201">
        <f t="shared" si="576"/>
        <v>0</v>
      </c>
      <c r="BR489" s="201">
        <f t="shared" si="576"/>
        <v>0</v>
      </c>
      <c r="BS489" s="201">
        <f t="shared" si="576"/>
        <v>0</v>
      </c>
      <c r="BT489" s="201">
        <f t="shared" si="576"/>
        <v>0</v>
      </c>
      <c r="BU489" s="201">
        <f t="shared" si="576"/>
        <v>0</v>
      </c>
      <c r="BV489" s="201">
        <f t="shared" si="576"/>
        <v>0</v>
      </c>
      <c r="BW489" s="201">
        <f t="shared" si="576"/>
        <v>0</v>
      </c>
      <c r="BY489" s="12"/>
      <c r="CA489" s="12"/>
      <c r="CR489" s="12"/>
      <c r="EX489" s="10" t="str">
        <f t="shared" si="523"/>
        <v/>
      </c>
    </row>
    <row r="490" spans="1:154" s="5" customFormat="1" x14ac:dyDescent="0.25">
      <c r="A490" s="67"/>
      <c r="B490" s="84" t="str" cm="1">
        <f t="array" aca="1" ref="B490" ca="1">HYPERLINK(CONCATENATE("#",CELL("address",$D$294)),$D$294)</f>
        <v>Loan 14</v>
      </c>
      <c r="C490" s="380"/>
      <c r="D490" s="60">
        <f>D$26</f>
        <v>0</v>
      </c>
      <c r="E490" s="221">
        <f>E$26</f>
        <v>0</v>
      </c>
      <c r="F490" s="67"/>
      <c r="G490" s="9" t="s">
        <v>413</v>
      </c>
      <c r="H490" s="50" t="s">
        <v>157</v>
      </c>
      <c r="I490" s="11"/>
      <c r="J490" s="11"/>
      <c r="K490" s="11"/>
      <c r="L490" s="11"/>
      <c r="M490" s="11"/>
      <c r="N490" s="11"/>
      <c r="O490" s="11"/>
      <c r="P490" s="11"/>
      <c r="Q490" s="11"/>
      <c r="R490" s="11"/>
      <c r="S490" s="335"/>
      <c r="T490" s="335"/>
      <c r="U490" s="335"/>
      <c r="V490" s="201">
        <f>V$297+V$298</f>
        <v>0</v>
      </c>
      <c r="W490" s="201">
        <f t="shared" ref="W490:BW490" si="577">W$297+W$298</f>
        <v>0</v>
      </c>
      <c r="X490" s="201">
        <f t="shared" si="577"/>
        <v>0</v>
      </c>
      <c r="Y490" s="201">
        <f t="shared" si="577"/>
        <v>0</v>
      </c>
      <c r="Z490" s="335"/>
      <c r="AA490" s="201">
        <f t="shared" si="577"/>
        <v>0</v>
      </c>
      <c r="AB490" s="201">
        <f t="shared" si="577"/>
        <v>0</v>
      </c>
      <c r="AC490" s="201">
        <f t="shared" si="577"/>
        <v>0</v>
      </c>
      <c r="AD490" s="201">
        <f t="shared" si="577"/>
        <v>0</v>
      </c>
      <c r="AE490" s="201">
        <f t="shared" si="577"/>
        <v>0</v>
      </c>
      <c r="AF490" s="201">
        <f t="shared" si="577"/>
        <v>0</v>
      </c>
      <c r="AG490" s="201">
        <f t="shared" si="577"/>
        <v>0</v>
      </c>
      <c r="AH490" s="201">
        <f t="shared" si="577"/>
        <v>0</v>
      </c>
      <c r="AI490" s="201">
        <f t="shared" si="577"/>
        <v>0</v>
      </c>
      <c r="AJ490" s="201">
        <f t="shared" si="577"/>
        <v>0</v>
      </c>
      <c r="AK490" s="201">
        <f t="shared" si="577"/>
        <v>0</v>
      </c>
      <c r="AL490" s="201">
        <f t="shared" si="577"/>
        <v>0</v>
      </c>
      <c r="AM490" s="201">
        <f t="shared" si="577"/>
        <v>0</v>
      </c>
      <c r="AN490" s="201">
        <f t="shared" si="577"/>
        <v>0</v>
      </c>
      <c r="AO490" s="201">
        <f t="shared" si="577"/>
        <v>0</v>
      </c>
      <c r="AP490" s="201">
        <f t="shared" si="577"/>
        <v>0</v>
      </c>
      <c r="AQ490" s="201">
        <f t="shared" si="577"/>
        <v>0</v>
      </c>
      <c r="AR490" s="201">
        <f t="shared" si="577"/>
        <v>0</v>
      </c>
      <c r="AS490" s="201">
        <f t="shared" si="577"/>
        <v>0</v>
      </c>
      <c r="AT490" s="201">
        <f t="shared" si="577"/>
        <v>0</v>
      </c>
      <c r="AU490" s="201">
        <f t="shared" si="577"/>
        <v>0</v>
      </c>
      <c r="AV490" s="201">
        <f t="shared" si="577"/>
        <v>0</v>
      </c>
      <c r="AW490" s="201">
        <f t="shared" si="577"/>
        <v>0</v>
      </c>
      <c r="AX490" s="201">
        <f t="shared" si="577"/>
        <v>0</v>
      </c>
      <c r="AY490" s="201">
        <f t="shared" si="577"/>
        <v>0</v>
      </c>
      <c r="AZ490" s="201">
        <f t="shared" si="577"/>
        <v>0</v>
      </c>
      <c r="BA490" s="201">
        <f t="shared" si="577"/>
        <v>0</v>
      </c>
      <c r="BB490" s="201">
        <f t="shared" si="577"/>
        <v>0</v>
      </c>
      <c r="BC490" s="201">
        <f t="shared" si="577"/>
        <v>0</v>
      </c>
      <c r="BD490" s="201">
        <f t="shared" si="577"/>
        <v>0</v>
      </c>
      <c r="BE490" s="201">
        <f t="shared" si="577"/>
        <v>0</v>
      </c>
      <c r="BF490" s="201">
        <f t="shared" si="577"/>
        <v>0</v>
      </c>
      <c r="BG490" s="201">
        <f t="shared" si="577"/>
        <v>0</v>
      </c>
      <c r="BH490" s="201">
        <f t="shared" si="577"/>
        <v>0</v>
      </c>
      <c r="BI490" s="201">
        <f t="shared" si="577"/>
        <v>0</v>
      </c>
      <c r="BJ490" s="201">
        <f t="shared" si="577"/>
        <v>0</v>
      </c>
      <c r="BK490" s="335"/>
      <c r="BL490" s="201">
        <f t="shared" si="577"/>
        <v>0</v>
      </c>
      <c r="BM490" s="201">
        <f t="shared" si="577"/>
        <v>0</v>
      </c>
      <c r="BN490" s="201">
        <f t="shared" si="577"/>
        <v>0</v>
      </c>
      <c r="BO490" s="201">
        <f t="shared" si="577"/>
        <v>0</v>
      </c>
      <c r="BP490" s="201">
        <f t="shared" si="577"/>
        <v>0</v>
      </c>
      <c r="BQ490" s="201">
        <f t="shared" si="577"/>
        <v>0</v>
      </c>
      <c r="BR490" s="201">
        <f t="shared" si="577"/>
        <v>0</v>
      </c>
      <c r="BS490" s="201">
        <f t="shared" si="577"/>
        <v>0</v>
      </c>
      <c r="BT490" s="201">
        <f t="shared" si="577"/>
        <v>0</v>
      </c>
      <c r="BU490" s="201">
        <f t="shared" si="577"/>
        <v>0</v>
      </c>
      <c r="BV490" s="201">
        <f t="shared" si="577"/>
        <v>0</v>
      </c>
      <c r="BW490" s="201">
        <f t="shared" si="577"/>
        <v>0</v>
      </c>
      <c r="BX490" s="11"/>
      <c r="BY490" s="12"/>
      <c r="BZ490" s="335"/>
      <c r="CA490" s="12"/>
      <c r="CB490" s="335"/>
      <c r="CC490" s="335"/>
      <c r="CD490" s="335"/>
      <c r="CE490" s="335"/>
      <c r="CF490" s="67"/>
      <c r="CG490" s="11"/>
      <c r="CH490" s="11"/>
      <c r="CI490" s="11"/>
      <c r="CJ490" s="67"/>
      <c r="CK490" s="11"/>
      <c r="CL490" s="11"/>
      <c r="CM490" s="335"/>
      <c r="CN490" s="335"/>
      <c r="CO490" s="335"/>
      <c r="CP490" s="335"/>
      <c r="CQ490" s="67"/>
      <c r="CR490" s="12"/>
      <c r="EX490" s="10" t="str">
        <f t="shared" si="523"/>
        <v/>
      </c>
    </row>
    <row r="491" spans="1:154" x14ac:dyDescent="0.25">
      <c r="A491" s="67"/>
      <c r="B491" s="84" t="str" cm="1">
        <f t="array" aca="1" ref="B491" ca="1">HYPERLINK(CONCATENATE("#",CELL("address",$D$313)),$D$313)</f>
        <v>Loan 15</v>
      </c>
      <c r="C491" s="380"/>
      <c r="D491" s="60">
        <f>D$27</f>
        <v>0</v>
      </c>
      <c r="E491" s="221">
        <f>E$27</f>
        <v>0</v>
      </c>
      <c r="F491" s="67"/>
      <c r="G491" s="9" t="s">
        <v>413</v>
      </c>
      <c r="H491" s="50" t="s">
        <v>157</v>
      </c>
      <c r="S491" s="335"/>
      <c r="T491" s="335"/>
      <c r="U491" s="335"/>
      <c r="V491" s="201">
        <f>V$316+V$317</f>
        <v>0</v>
      </c>
      <c r="W491" s="201">
        <f t="shared" ref="W491:BW491" si="578">W$316+W$317</f>
        <v>0</v>
      </c>
      <c r="X491" s="201">
        <f t="shared" si="578"/>
        <v>0</v>
      </c>
      <c r="Y491" s="201">
        <f t="shared" si="578"/>
        <v>0</v>
      </c>
      <c r="Z491" s="335"/>
      <c r="AA491" s="201">
        <f t="shared" si="578"/>
        <v>0</v>
      </c>
      <c r="AB491" s="201">
        <f t="shared" si="578"/>
        <v>0</v>
      </c>
      <c r="AC491" s="201">
        <f t="shared" si="578"/>
        <v>0</v>
      </c>
      <c r="AD491" s="201">
        <f t="shared" si="578"/>
        <v>0</v>
      </c>
      <c r="AE491" s="201">
        <f t="shared" si="578"/>
        <v>0</v>
      </c>
      <c r="AF491" s="201">
        <f t="shared" si="578"/>
        <v>0</v>
      </c>
      <c r="AG491" s="201">
        <f t="shared" si="578"/>
        <v>0</v>
      </c>
      <c r="AH491" s="201">
        <f t="shared" si="578"/>
        <v>0</v>
      </c>
      <c r="AI491" s="201">
        <f t="shared" si="578"/>
        <v>0</v>
      </c>
      <c r="AJ491" s="201">
        <f t="shared" si="578"/>
        <v>0</v>
      </c>
      <c r="AK491" s="201">
        <f t="shared" si="578"/>
        <v>0</v>
      </c>
      <c r="AL491" s="201">
        <f t="shared" si="578"/>
        <v>0</v>
      </c>
      <c r="AM491" s="201">
        <f t="shared" si="578"/>
        <v>0</v>
      </c>
      <c r="AN491" s="201">
        <f t="shared" si="578"/>
        <v>0</v>
      </c>
      <c r="AO491" s="201">
        <f t="shared" si="578"/>
        <v>0</v>
      </c>
      <c r="AP491" s="201">
        <f t="shared" si="578"/>
        <v>0</v>
      </c>
      <c r="AQ491" s="201">
        <f t="shared" si="578"/>
        <v>0</v>
      </c>
      <c r="AR491" s="201">
        <f t="shared" si="578"/>
        <v>0</v>
      </c>
      <c r="AS491" s="201">
        <f t="shared" si="578"/>
        <v>0</v>
      </c>
      <c r="AT491" s="201">
        <f t="shared" si="578"/>
        <v>0</v>
      </c>
      <c r="AU491" s="201">
        <f t="shared" si="578"/>
        <v>0</v>
      </c>
      <c r="AV491" s="201">
        <f t="shared" si="578"/>
        <v>0</v>
      </c>
      <c r="AW491" s="201">
        <f t="shared" si="578"/>
        <v>0</v>
      </c>
      <c r="AX491" s="201">
        <f t="shared" si="578"/>
        <v>0</v>
      </c>
      <c r="AY491" s="201">
        <f t="shared" si="578"/>
        <v>0</v>
      </c>
      <c r="AZ491" s="201">
        <f t="shared" si="578"/>
        <v>0</v>
      </c>
      <c r="BA491" s="201">
        <f t="shared" si="578"/>
        <v>0</v>
      </c>
      <c r="BB491" s="201">
        <f t="shared" si="578"/>
        <v>0</v>
      </c>
      <c r="BC491" s="201">
        <f t="shared" si="578"/>
        <v>0</v>
      </c>
      <c r="BD491" s="201">
        <f t="shared" si="578"/>
        <v>0</v>
      </c>
      <c r="BE491" s="201">
        <f t="shared" si="578"/>
        <v>0</v>
      </c>
      <c r="BF491" s="201">
        <f t="shared" si="578"/>
        <v>0</v>
      </c>
      <c r="BG491" s="201">
        <f t="shared" si="578"/>
        <v>0</v>
      </c>
      <c r="BH491" s="201">
        <f t="shared" si="578"/>
        <v>0</v>
      </c>
      <c r="BI491" s="201">
        <f t="shared" si="578"/>
        <v>0</v>
      </c>
      <c r="BJ491" s="201">
        <f t="shared" si="578"/>
        <v>0</v>
      </c>
      <c r="BK491" s="335"/>
      <c r="BL491" s="201">
        <f t="shared" si="578"/>
        <v>0</v>
      </c>
      <c r="BM491" s="201">
        <f t="shared" si="578"/>
        <v>0</v>
      </c>
      <c r="BN491" s="201">
        <f t="shared" si="578"/>
        <v>0</v>
      </c>
      <c r="BO491" s="201">
        <f t="shared" si="578"/>
        <v>0</v>
      </c>
      <c r="BP491" s="201">
        <f t="shared" si="578"/>
        <v>0</v>
      </c>
      <c r="BQ491" s="201">
        <f t="shared" si="578"/>
        <v>0</v>
      </c>
      <c r="BR491" s="201">
        <f t="shared" si="578"/>
        <v>0</v>
      </c>
      <c r="BS491" s="201">
        <f t="shared" si="578"/>
        <v>0</v>
      </c>
      <c r="BT491" s="201">
        <f t="shared" si="578"/>
        <v>0</v>
      </c>
      <c r="BU491" s="201">
        <f t="shared" si="578"/>
        <v>0</v>
      </c>
      <c r="BV491" s="201">
        <f t="shared" si="578"/>
        <v>0</v>
      </c>
      <c r="BW491" s="201">
        <f t="shared" si="578"/>
        <v>0</v>
      </c>
      <c r="BY491" s="12"/>
      <c r="CA491" s="12"/>
      <c r="CR491" s="12"/>
      <c r="EX491" s="10" t="str">
        <f t="shared" si="523"/>
        <v/>
      </c>
    </row>
    <row r="492" spans="1:154" x14ac:dyDescent="0.25">
      <c r="A492" s="67"/>
      <c r="B492" s="84" t="str" cm="1">
        <f t="array" aca="1" ref="B492" ca="1">HYPERLINK(CONCATENATE("#",CELL("address",$D$332)),$D$332)</f>
        <v>Loan 16</v>
      </c>
      <c r="C492" s="380"/>
      <c r="D492" s="60">
        <f>D$28</f>
        <v>0</v>
      </c>
      <c r="E492" s="221">
        <f>E$28</f>
        <v>0</v>
      </c>
      <c r="F492" s="67"/>
      <c r="G492" s="9" t="s">
        <v>413</v>
      </c>
      <c r="H492" s="50" t="s">
        <v>157</v>
      </c>
      <c r="S492" s="335"/>
      <c r="T492" s="335"/>
      <c r="U492" s="335"/>
      <c r="V492" s="201">
        <f>V$335+V$336</f>
        <v>0</v>
      </c>
      <c r="W492" s="201">
        <f t="shared" ref="W492:BW492" si="579">W$335+W$336</f>
        <v>0</v>
      </c>
      <c r="X492" s="201">
        <f t="shared" si="579"/>
        <v>0</v>
      </c>
      <c r="Y492" s="201">
        <f t="shared" si="579"/>
        <v>0</v>
      </c>
      <c r="Z492" s="335"/>
      <c r="AA492" s="201">
        <f t="shared" si="579"/>
        <v>0</v>
      </c>
      <c r="AB492" s="201">
        <f t="shared" si="579"/>
        <v>0</v>
      </c>
      <c r="AC492" s="201">
        <f t="shared" si="579"/>
        <v>0</v>
      </c>
      <c r="AD492" s="201">
        <f t="shared" si="579"/>
        <v>0</v>
      </c>
      <c r="AE492" s="201">
        <f t="shared" si="579"/>
        <v>0</v>
      </c>
      <c r="AF492" s="201">
        <f t="shared" si="579"/>
        <v>0</v>
      </c>
      <c r="AG492" s="201">
        <f t="shared" si="579"/>
        <v>0</v>
      </c>
      <c r="AH492" s="201">
        <f t="shared" si="579"/>
        <v>0</v>
      </c>
      <c r="AI492" s="201">
        <f t="shared" si="579"/>
        <v>0</v>
      </c>
      <c r="AJ492" s="201">
        <f t="shared" si="579"/>
        <v>0</v>
      </c>
      <c r="AK492" s="201">
        <f t="shared" si="579"/>
        <v>0</v>
      </c>
      <c r="AL492" s="201">
        <f t="shared" si="579"/>
        <v>0</v>
      </c>
      <c r="AM492" s="201">
        <f t="shared" si="579"/>
        <v>0</v>
      </c>
      <c r="AN492" s="201">
        <f t="shared" si="579"/>
        <v>0</v>
      </c>
      <c r="AO492" s="201">
        <f t="shared" si="579"/>
        <v>0</v>
      </c>
      <c r="AP492" s="201">
        <f t="shared" si="579"/>
        <v>0</v>
      </c>
      <c r="AQ492" s="201">
        <f t="shared" si="579"/>
        <v>0</v>
      </c>
      <c r="AR492" s="201">
        <f t="shared" si="579"/>
        <v>0</v>
      </c>
      <c r="AS492" s="201">
        <f t="shared" si="579"/>
        <v>0</v>
      </c>
      <c r="AT492" s="201">
        <f t="shared" si="579"/>
        <v>0</v>
      </c>
      <c r="AU492" s="201">
        <f t="shared" si="579"/>
        <v>0</v>
      </c>
      <c r="AV492" s="201">
        <f t="shared" si="579"/>
        <v>0</v>
      </c>
      <c r="AW492" s="201">
        <f t="shared" si="579"/>
        <v>0</v>
      </c>
      <c r="AX492" s="201">
        <f t="shared" si="579"/>
        <v>0</v>
      </c>
      <c r="AY492" s="201">
        <f t="shared" si="579"/>
        <v>0</v>
      </c>
      <c r="AZ492" s="201">
        <f t="shared" si="579"/>
        <v>0</v>
      </c>
      <c r="BA492" s="201">
        <f t="shared" si="579"/>
        <v>0</v>
      </c>
      <c r="BB492" s="201">
        <f t="shared" si="579"/>
        <v>0</v>
      </c>
      <c r="BC492" s="201">
        <f t="shared" si="579"/>
        <v>0</v>
      </c>
      <c r="BD492" s="201">
        <f t="shared" si="579"/>
        <v>0</v>
      </c>
      <c r="BE492" s="201">
        <f t="shared" si="579"/>
        <v>0</v>
      </c>
      <c r="BF492" s="201">
        <f t="shared" si="579"/>
        <v>0</v>
      </c>
      <c r="BG492" s="201">
        <f t="shared" si="579"/>
        <v>0</v>
      </c>
      <c r="BH492" s="201">
        <f t="shared" si="579"/>
        <v>0</v>
      </c>
      <c r="BI492" s="201">
        <f t="shared" si="579"/>
        <v>0</v>
      </c>
      <c r="BJ492" s="201">
        <f t="shared" si="579"/>
        <v>0</v>
      </c>
      <c r="BK492" s="335"/>
      <c r="BL492" s="201">
        <f t="shared" si="579"/>
        <v>0</v>
      </c>
      <c r="BM492" s="201">
        <f t="shared" si="579"/>
        <v>0</v>
      </c>
      <c r="BN492" s="201">
        <f t="shared" si="579"/>
        <v>0</v>
      </c>
      <c r="BO492" s="201">
        <f t="shared" si="579"/>
        <v>0</v>
      </c>
      <c r="BP492" s="201">
        <f t="shared" si="579"/>
        <v>0</v>
      </c>
      <c r="BQ492" s="201">
        <f t="shared" si="579"/>
        <v>0</v>
      </c>
      <c r="BR492" s="201">
        <f t="shared" si="579"/>
        <v>0</v>
      </c>
      <c r="BS492" s="201">
        <f t="shared" si="579"/>
        <v>0</v>
      </c>
      <c r="BT492" s="201">
        <f t="shared" si="579"/>
        <v>0</v>
      </c>
      <c r="BU492" s="201">
        <f t="shared" si="579"/>
        <v>0</v>
      </c>
      <c r="BV492" s="201">
        <f t="shared" si="579"/>
        <v>0</v>
      </c>
      <c r="BW492" s="201">
        <f t="shared" si="579"/>
        <v>0</v>
      </c>
      <c r="BY492" s="12"/>
      <c r="CA492" s="12"/>
      <c r="CR492" s="12"/>
      <c r="EX492" s="10" t="str">
        <f t="shared" si="523"/>
        <v/>
      </c>
    </row>
    <row r="493" spans="1:154" x14ac:dyDescent="0.25">
      <c r="A493" s="67"/>
      <c r="B493" s="84" t="str" cm="1">
        <f t="array" aca="1" ref="B493" ca="1">HYPERLINK(CONCATENATE("#",CELL("address",$D$351)),$D$351)</f>
        <v>Loan 17</v>
      </c>
      <c r="C493" s="380"/>
      <c r="D493" s="60">
        <f>D$29</f>
        <v>0</v>
      </c>
      <c r="E493" s="221">
        <f>E$29</f>
        <v>0</v>
      </c>
      <c r="F493" s="67"/>
      <c r="G493" s="9" t="s">
        <v>413</v>
      </c>
      <c r="H493" s="50" t="s">
        <v>157</v>
      </c>
      <c r="S493" s="335"/>
      <c r="T493" s="335"/>
      <c r="U493" s="335"/>
      <c r="V493" s="201">
        <f>V$354+V$355</f>
        <v>0</v>
      </c>
      <c r="W493" s="201">
        <f t="shared" ref="W493:BW493" si="580">W$354+W$355</f>
        <v>0</v>
      </c>
      <c r="X493" s="201">
        <f t="shared" si="580"/>
        <v>0</v>
      </c>
      <c r="Y493" s="201">
        <f t="shared" si="580"/>
        <v>0</v>
      </c>
      <c r="Z493" s="335"/>
      <c r="AA493" s="201">
        <f t="shared" si="580"/>
        <v>0</v>
      </c>
      <c r="AB493" s="201">
        <f t="shared" si="580"/>
        <v>0</v>
      </c>
      <c r="AC493" s="201">
        <f t="shared" si="580"/>
        <v>0</v>
      </c>
      <c r="AD493" s="201">
        <f t="shared" si="580"/>
        <v>0</v>
      </c>
      <c r="AE493" s="201">
        <f t="shared" si="580"/>
        <v>0</v>
      </c>
      <c r="AF493" s="201">
        <f t="shared" si="580"/>
        <v>0</v>
      </c>
      <c r="AG493" s="201">
        <f t="shared" si="580"/>
        <v>0</v>
      </c>
      <c r="AH493" s="201">
        <f t="shared" si="580"/>
        <v>0</v>
      </c>
      <c r="AI493" s="201">
        <f t="shared" si="580"/>
        <v>0</v>
      </c>
      <c r="AJ493" s="201">
        <f t="shared" si="580"/>
        <v>0</v>
      </c>
      <c r="AK493" s="201">
        <f t="shared" si="580"/>
        <v>0</v>
      </c>
      <c r="AL493" s="201">
        <f t="shared" si="580"/>
        <v>0</v>
      </c>
      <c r="AM493" s="201">
        <f t="shared" si="580"/>
        <v>0</v>
      </c>
      <c r="AN493" s="201">
        <f t="shared" si="580"/>
        <v>0</v>
      </c>
      <c r="AO493" s="201">
        <f t="shared" si="580"/>
        <v>0</v>
      </c>
      <c r="AP493" s="201">
        <f t="shared" si="580"/>
        <v>0</v>
      </c>
      <c r="AQ493" s="201">
        <f t="shared" si="580"/>
        <v>0</v>
      </c>
      <c r="AR493" s="201">
        <f t="shared" si="580"/>
        <v>0</v>
      </c>
      <c r="AS493" s="201">
        <f t="shared" si="580"/>
        <v>0</v>
      </c>
      <c r="AT493" s="201">
        <f t="shared" si="580"/>
        <v>0</v>
      </c>
      <c r="AU493" s="201">
        <f t="shared" si="580"/>
        <v>0</v>
      </c>
      <c r="AV493" s="201">
        <f t="shared" si="580"/>
        <v>0</v>
      </c>
      <c r="AW493" s="201">
        <f t="shared" si="580"/>
        <v>0</v>
      </c>
      <c r="AX493" s="201">
        <f t="shared" si="580"/>
        <v>0</v>
      </c>
      <c r="AY493" s="201">
        <f t="shared" si="580"/>
        <v>0</v>
      </c>
      <c r="AZ493" s="201">
        <f t="shared" si="580"/>
        <v>0</v>
      </c>
      <c r="BA493" s="201">
        <f t="shared" si="580"/>
        <v>0</v>
      </c>
      <c r="BB493" s="201">
        <f t="shared" si="580"/>
        <v>0</v>
      </c>
      <c r="BC493" s="201">
        <f t="shared" si="580"/>
        <v>0</v>
      </c>
      <c r="BD493" s="201">
        <f t="shared" si="580"/>
        <v>0</v>
      </c>
      <c r="BE493" s="201">
        <f t="shared" si="580"/>
        <v>0</v>
      </c>
      <c r="BF493" s="201">
        <f t="shared" si="580"/>
        <v>0</v>
      </c>
      <c r="BG493" s="201">
        <f t="shared" si="580"/>
        <v>0</v>
      </c>
      <c r="BH493" s="201">
        <f t="shared" si="580"/>
        <v>0</v>
      </c>
      <c r="BI493" s="201">
        <f t="shared" si="580"/>
        <v>0</v>
      </c>
      <c r="BJ493" s="201">
        <f t="shared" si="580"/>
        <v>0</v>
      </c>
      <c r="BK493" s="335"/>
      <c r="BL493" s="201">
        <f t="shared" si="580"/>
        <v>0</v>
      </c>
      <c r="BM493" s="201">
        <f t="shared" si="580"/>
        <v>0</v>
      </c>
      <c r="BN493" s="201">
        <f t="shared" si="580"/>
        <v>0</v>
      </c>
      <c r="BO493" s="201">
        <f t="shared" si="580"/>
        <v>0</v>
      </c>
      <c r="BP493" s="201">
        <f t="shared" si="580"/>
        <v>0</v>
      </c>
      <c r="BQ493" s="201">
        <f t="shared" si="580"/>
        <v>0</v>
      </c>
      <c r="BR493" s="201">
        <f t="shared" si="580"/>
        <v>0</v>
      </c>
      <c r="BS493" s="201">
        <f t="shared" si="580"/>
        <v>0</v>
      </c>
      <c r="BT493" s="201">
        <f t="shared" si="580"/>
        <v>0</v>
      </c>
      <c r="BU493" s="201">
        <f t="shared" si="580"/>
        <v>0</v>
      </c>
      <c r="BV493" s="201">
        <f t="shared" si="580"/>
        <v>0</v>
      </c>
      <c r="BW493" s="201">
        <f t="shared" si="580"/>
        <v>0</v>
      </c>
      <c r="BY493" s="12"/>
      <c r="CA493" s="12"/>
      <c r="CR493" s="12"/>
      <c r="EX493" s="10" t="str">
        <f t="shared" si="523"/>
        <v/>
      </c>
    </row>
    <row r="494" spans="1:154" x14ac:dyDescent="0.25">
      <c r="A494" s="67"/>
      <c r="B494" s="84" t="str" cm="1">
        <f t="array" aca="1" ref="B494" ca="1">HYPERLINK(CONCATENATE("#",CELL("address",$D$370)),$D$370)</f>
        <v>Loan 18</v>
      </c>
      <c r="C494" s="380"/>
      <c r="D494" s="60">
        <f>D$30</f>
        <v>0</v>
      </c>
      <c r="E494" s="221">
        <f>E$30</f>
        <v>0</v>
      </c>
      <c r="F494" s="67"/>
      <c r="G494" s="9" t="s">
        <v>413</v>
      </c>
      <c r="H494" s="50" t="s">
        <v>157</v>
      </c>
      <c r="S494" s="335"/>
      <c r="T494" s="335"/>
      <c r="U494" s="335"/>
      <c r="V494" s="201">
        <f>V$373+V$374</f>
        <v>0</v>
      </c>
      <c r="W494" s="201">
        <f t="shared" ref="W494:BW494" si="581">W$373+W$374</f>
        <v>0</v>
      </c>
      <c r="X494" s="201">
        <f t="shared" si="581"/>
        <v>0</v>
      </c>
      <c r="Y494" s="201">
        <f t="shared" si="581"/>
        <v>0</v>
      </c>
      <c r="Z494" s="335"/>
      <c r="AA494" s="201">
        <f t="shared" si="581"/>
        <v>0</v>
      </c>
      <c r="AB494" s="201">
        <f t="shared" si="581"/>
        <v>0</v>
      </c>
      <c r="AC494" s="201">
        <f t="shared" si="581"/>
        <v>0</v>
      </c>
      <c r="AD494" s="201">
        <f t="shared" si="581"/>
        <v>0</v>
      </c>
      <c r="AE494" s="201">
        <f t="shared" si="581"/>
        <v>0</v>
      </c>
      <c r="AF494" s="201">
        <f t="shared" si="581"/>
        <v>0</v>
      </c>
      <c r="AG494" s="201">
        <f t="shared" si="581"/>
        <v>0</v>
      </c>
      <c r="AH494" s="201">
        <f t="shared" si="581"/>
        <v>0</v>
      </c>
      <c r="AI494" s="201">
        <f t="shared" si="581"/>
        <v>0</v>
      </c>
      <c r="AJ494" s="201">
        <f t="shared" si="581"/>
        <v>0</v>
      </c>
      <c r="AK494" s="201">
        <f t="shared" si="581"/>
        <v>0</v>
      </c>
      <c r="AL494" s="201">
        <f t="shared" si="581"/>
        <v>0</v>
      </c>
      <c r="AM494" s="201">
        <f t="shared" si="581"/>
        <v>0</v>
      </c>
      <c r="AN494" s="201">
        <f t="shared" si="581"/>
        <v>0</v>
      </c>
      <c r="AO494" s="201">
        <f t="shared" si="581"/>
        <v>0</v>
      </c>
      <c r="AP494" s="201">
        <f t="shared" si="581"/>
        <v>0</v>
      </c>
      <c r="AQ494" s="201">
        <f t="shared" si="581"/>
        <v>0</v>
      </c>
      <c r="AR494" s="201">
        <f t="shared" si="581"/>
        <v>0</v>
      </c>
      <c r="AS494" s="201">
        <f t="shared" si="581"/>
        <v>0</v>
      </c>
      <c r="AT494" s="201">
        <f t="shared" si="581"/>
        <v>0</v>
      </c>
      <c r="AU494" s="201">
        <f t="shared" si="581"/>
        <v>0</v>
      </c>
      <c r="AV494" s="201">
        <f t="shared" si="581"/>
        <v>0</v>
      </c>
      <c r="AW494" s="201">
        <f t="shared" si="581"/>
        <v>0</v>
      </c>
      <c r="AX494" s="201">
        <f t="shared" si="581"/>
        <v>0</v>
      </c>
      <c r="AY494" s="201">
        <f t="shared" si="581"/>
        <v>0</v>
      </c>
      <c r="AZ494" s="201">
        <f t="shared" si="581"/>
        <v>0</v>
      </c>
      <c r="BA494" s="201">
        <f t="shared" si="581"/>
        <v>0</v>
      </c>
      <c r="BB494" s="201">
        <f t="shared" si="581"/>
        <v>0</v>
      </c>
      <c r="BC494" s="201">
        <f t="shared" si="581"/>
        <v>0</v>
      </c>
      <c r="BD494" s="201">
        <f t="shared" si="581"/>
        <v>0</v>
      </c>
      <c r="BE494" s="201">
        <f t="shared" si="581"/>
        <v>0</v>
      </c>
      <c r="BF494" s="201">
        <f t="shared" si="581"/>
        <v>0</v>
      </c>
      <c r="BG494" s="201">
        <f t="shared" si="581"/>
        <v>0</v>
      </c>
      <c r="BH494" s="201">
        <f t="shared" si="581"/>
        <v>0</v>
      </c>
      <c r="BI494" s="201">
        <f t="shared" si="581"/>
        <v>0</v>
      </c>
      <c r="BJ494" s="201">
        <f t="shared" si="581"/>
        <v>0</v>
      </c>
      <c r="BK494" s="335"/>
      <c r="BL494" s="201">
        <f t="shared" si="581"/>
        <v>0</v>
      </c>
      <c r="BM494" s="201">
        <f t="shared" si="581"/>
        <v>0</v>
      </c>
      <c r="BN494" s="201">
        <f t="shared" si="581"/>
        <v>0</v>
      </c>
      <c r="BO494" s="201">
        <f t="shared" si="581"/>
        <v>0</v>
      </c>
      <c r="BP494" s="201">
        <f t="shared" si="581"/>
        <v>0</v>
      </c>
      <c r="BQ494" s="201">
        <f t="shared" si="581"/>
        <v>0</v>
      </c>
      <c r="BR494" s="201">
        <f t="shared" si="581"/>
        <v>0</v>
      </c>
      <c r="BS494" s="201">
        <f t="shared" si="581"/>
        <v>0</v>
      </c>
      <c r="BT494" s="201">
        <f t="shared" si="581"/>
        <v>0</v>
      </c>
      <c r="BU494" s="201">
        <f t="shared" si="581"/>
        <v>0</v>
      </c>
      <c r="BV494" s="201">
        <f t="shared" si="581"/>
        <v>0</v>
      </c>
      <c r="BW494" s="201">
        <f t="shared" si="581"/>
        <v>0</v>
      </c>
      <c r="BY494" s="12"/>
      <c r="CA494" s="12"/>
      <c r="CR494" s="12"/>
      <c r="EX494" s="10" t="str">
        <f t="shared" si="523"/>
        <v/>
      </c>
    </row>
    <row r="495" spans="1:154" x14ac:dyDescent="0.25">
      <c r="A495" s="67"/>
      <c r="B495" s="84" t="str" cm="1">
        <f t="array" aca="1" ref="B495" ca="1">HYPERLINK(CONCATENATE("#",CELL("address",$D$389)),$D$389)</f>
        <v>Loan 19</v>
      </c>
      <c r="C495" s="380"/>
      <c r="D495" s="60">
        <f>D$31</f>
        <v>0</v>
      </c>
      <c r="E495" s="221">
        <f>E$31</f>
        <v>0</v>
      </c>
      <c r="F495" s="67"/>
      <c r="G495" s="9" t="s">
        <v>413</v>
      </c>
      <c r="H495" s="50" t="s">
        <v>157</v>
      </c>
      <c r="S495" s="335"/>
      <c r="T495" s="335"/>
      <c r="U495" s="335"/>
      <c r="V495" s="201">
        <f>V$392+V$393</f>
        <v>0</v>
      </c>
      <c r="W495" s="201">
        <f t="shared" ref="W495:BW495" si="582">W$392+W$393</f>
        <v>0</v>
      </c>
      <c r="X495" s="201">
        <f t="shared" si="582"/>
        <v>0</v>
      </c>
      <c r="Y495" s="201">
        <f t="shared" si="582"/>
        <v>0</v>
      </c>
      <c r="Z495" s="335"/>
      <c r="AA495" s="201">
        <f t="shared" si="582"/>
        <v>0</v>
      </c>
      <c r="AB495" s="201">
        <f t="shared" si="582"/>
        <v>0</v>
      </c>
      <c r="AC495" s="201">
        <f t="shared" si="582"/>
        <v>0</v>
      </c>
      <c r="AD495" s="201">
        <f t="shared" si="582"/>
        <v>0</v>
      </c>
      <c r="AE495" s="201">
        <f t="shared" si="582"/>
        <v>0</v>
      </c>
      <c r="AF495" s="201">
        <f t="shared" si="582"/>
        <v>0</v>
      </c>
      <c r="AG495" s="201">
        <f t="shared" si="582"/>
        <v>0</v>
      </c>
      <c r="AH495" s="201">
        <f t="shared" si="582"/>
        <v>0</v>
      </c>
      <c r="AI495" s="201">
        <f t="shared" si="582"/>
        <v>0</v>
      </c>
      <c r="AJ495" s="201">
        <f t="shared" si="582"/>
        <v>0</v>
      </c>
      <c r="AK495" s="201">
        <f t="shared" si="582"/>
        <v>0</v>
      </c>
      <c r="AL495" s="201">
        <f t="shared" si="582"/>
        <v>0</v>
      </c>
      <c r="AM495" s="201">
        <f t="shared" si="582"/>
        <v>0</v>
      </c>
      <c r="AN495" s="201">
        <f t="shared" si="582"/>
        <v>0</v>
      </c>
      <c r="AO495" s="201">
        <f t="shared" si="582"/>
        <v>0</v>
      </c>
      <c r="AP495" s="201">
        <f t="shared" si="582"/>
        <v>0</v>
      </c>
      <c r="AQ495" s="201">
        <f t="shared" si="582"/>
        <v>0</v>
      </c>
      <c r="AR495" s="201">
        <f t="shared" si="582"/>
        <v>0</v>
      </c>
      <c r="AS495" s="201">
        <f t="shared" si="582"/>
        <v>0</v>
      </c>
      <c r="AT495" s="201">
        <f t="shared" si="582"/>
        <v>0</v>
      </c>
      <c r="AU495" s="201">
        <f t="shared" si="582"/>
        <v>0</v>
      </c>
      <c r="AV495" s="201">
        <f t="shared" si="582"/>
        <v>0</v>
      </c>
      <c r="AW495" s="201">
        <f t="shared" si="582"/>
        <v>0</v>
      </c>
      <c r="AX495" s="201">
        <f t="shared" si="582"/>
        <v>0</v>
      </c>
      <c r="AY495" s="201">
        <f t="shared" si="582"/>
        <v>0</v>
      </c>
      <c r="AZ495" s="201">
        <f t="shared" si="582"/>
        <v>0</v>
      </c>
      <c r="BA495" s="201">
        <f t="shared" si="582"/>
        <v>0</v>
      </c>
      <c r="BB495" s="201">
        <f t="shared" si="582"/>
        <v>0</v>
      </c>
      <c r="BC495" s="201">
        <f t="shared" si="582"/>
        <v>0</v>
      </c>
      <c r="BD495" s="201">
        <f t="shared" si="582"/>
        <v>0</v>
      </c>
      <c r="BE495" s="201">
        <f t="shared" si="582"/>
        <v>0</v>
      </c>
      <c r="BF495" s="201">
        <f t="shared" si="582"/>
        <v>0</v>
      </c>
      <c r="BG495" s="201">
        <f t="shared" si="582"/>
        <v>0</v>
      </c>
      <c r="BH495" s="201">
        <f t="shared" si="582"/>
        <v>0</v>
      </c>
      <c r="BI495" s="201">
        <f t="shared" si="582"/>
        <v>0</v>
      </c>
      <c r="BJ495" s="201">
        <f t="shared" si="582"/>
        <v>0</v>
      </c>
      <c r="BK495" s="335"/>
      <c r="BL495" s="201">
        <f t="shared" si="582"/>
        <v>0</v>
      </c>
      <c r="BM495" s="201">
        <f t="shared" si="582"/>
        <v>0</v>
      </c>
      <c r="BN495" s="201">
        <f t="shared" si="582"/>
        <v>0</v>
      </c>
      <c r="BO495" s="201">
        <f t="shared" si="582"/>
        <v>0</v>
      </c>
      <c r="BP495" s="201">
        <f t="shared" si="582"/>
        <v>0</v>
      </c>
      <c r="BQ495" s="201">
        <f t="shared" si="582"/>
        <v>0</v>
      </c>
      <c r="BR495" s="201">
        <f t="shared" si="582"/>
        <v>0</v>
      </c>
      <c r="BS495" s="201">
        <f t="shared" si="582"/>
        <v>0</v>
      </c>
      <c r="BT495" s="201">
        <f t="shared" si="582"/>
        <v>0</v>
      </c>
      <c r="BU495" s="201">
        <f t="shared" si="582"/>
        <v>0</v>
      </c>
      <c r="BV495" s="201">
        <f t="shared" si="582"/>
        <v>0</v>
      </c>
      <c r="BW495" s="201">
        <f t="shared" si="582"/>
        <v>0</v>
      </c>
      <c r="BY495" s="12"/>
      <c r="CA495" s="12"/>
      <c r="CR495" s="12"/>
      <c r="EX495" s="10" t="str">
        <f t="shared" si="523"/>
        <v/>
      </c>
    </row>
    <row r="496" spans="1:154" x14ac:dyDescent="0.25">
      <c r="A496" s="67"/>
      <c r="B496" s="84" t="str" cm="1">
        <f t="array" aca="1" ref="B496" ca="1">HYPERLINK(CONCATENATE("#",CELL("address",$D$408)),$D$408)</f>
        <v>Loan 20</v>
      </c>
      <c r="C496" s="380"/>
      <c r="D496" s="60">
        <f>D$32</f>
        <v>0</v>
      </c>
      <c r="E496" s="221">
        <f>E$32</f>
        <v>0</v>
      </c>
      <c r="F496" s="67"/>
      <c r="G496" s="9" t="s">
        <v>413</v>
      </c>
      <c r="H496" s="50" t="s">
        <v>157</v>
      </c>
      <c r="S496" s="335"/>
      <c r="T496" s="335"/>
      <c r="U496" s="335"/>
      <c r="V496" s="201">
        <f>V$411+V$412</f>
        <v>0</v>
      </c>
      <c r="W496" s="201">
        <f t="shared" ref="W496:BW496" si="583">W$411+W$412</f>
        <v>0</v>
      </c>
      <c r="X496" s="201">
        <f t="shared" si="583"/>
        <v>0</v>
      </c>
      <c r="Y496" s="201">
        <f t="shared" si="583"/>
        <v>0</v>
      </c>
      <c r="Z496" s="335"/>
      <c r="AA496" s="201">
        <f t="shared" si="583"/>
        <v>0</v>
      </c>
      <c r="AB496" s="201">
        <f t="shared" si="583"/>
        <v>0</v>
      </c>
      <c r="AC496" s="201">
        <f t="shared" si="583"/>
        <v>0</v>
      </c>
      <c r="AD496" s="201">
        <f t="shared" si="583"/>
        <v>0</v>
      </c>
      <c r="AE496" s="201">
        <f t="shared" si="583"/>
        <v>0</v>
      </c>
      <c r="AF496" s="201">
        <f t="shared" si="583"/>
        <v>0</v>
      </c>
      <c r="AG496" s="201">
        <f t="shared" si="583"/>
        <v>0</v>
      </c>
      <c r="AH496" s="201">
        <f t="shared" si="583"/>
        <v>0</v>
      </c>
      <c r="AI496" s="201">
        <f t="shared" si="583"/>
        <v>0</v>
      </c>
      <c r="AJ496" s="201">
        <f t="shared" si="583"/>
        <v>0</v>
      </c>
      <c r="AK496" s="201">
        <f t="shared" si="583"/>
        <v>0</v>
      </c>
      <c r="AL496" s="201">
        <f t="shared" si="583"/>
        <v>0</v>
      </c>
      <c r="AM496" s="201">
        <f t="shared" si="583"/>
        <v>0</v>
      </c>
      <c r="AN496" s="201">
        <f t="shared" si="583"/>
        <v>0</v>
      </c>
      <c r="AO496" s="201">
        <f t="shared" si="583"/>
        <v>0</v>
      </c>
      <c r="AP496" s="201">
        <f t="shared" si="583"/>
        <v>0</v>
      </c>
      <c r="AQ496" s="201">
        <f t="shared" si="583"/>
        <v>0</v>
      </c>
      <c r="AR496" s="201">
        <f t="shared" si="583"/>
        <v>0</v>
      </c>
      <c r="AS496" s="201">
        <f t="shared" si="583"/>
        <v>0</v>
      </c>
      <c r="AT496" s="201">
        <f t="shared" si="583"/>
        <v>0</v>
      </c>
      <c r="AU496" s="201">
        <f t="shared" si="583"/>
        <v>0</v>
      </c>
      <c r="AV496" s="201">
        <f t="shared" si="583"/>
        <v>0</v>
      </c>
      <c r="AW496" s="201">
        <f t="shared" si="583"/>
        <v>0</v>
      </c>
      <c r="AX496" s="201">
        <f t="shared" si="583"/>
        <v>0</v>
      </c>
      <c r="AY496" s="201">
        <f t="shared" si="583"/>
        <v>0</v>
      </c>
      <c r="AZ496" s="201">
        <f t="shared" si="583"/>
        <v>0</v>
      </c>
      <c r="BA496" s="201">
        <f t="shared" si="583"/>
        <v>0</v>
      </c>
      <c r="BB496" s="201">
        <f t="shared" si="583"/>
        <v>0</v>
      </c>
      <c r="BC496" s="201">
        <f t="shared" si="583"/>
        <v>0</v>
      </c>
      <c r="BD496" s="201">
        <f t="shared" si="583"/>
        <v>0</v>
      </c>
      <c r="BE496" s="201">
        <f t="shared" si="583"/>
        <v>0</v>
      </c>
      <c r="BF496" s="201">
        <f t="shared" si="583"/>
        <v>0</v>
      </c>
      <c r="BG496" s="201">
        <f t="shared" si="583"/>
        <v>0</v>
      </c>
      <c r="BH496" s="201">
        <f t="shared" si="583"/>
        <v>0</v>
      </c>
      <c r="BI496" s="201">
        <f t="shared" si="583"/>
        <v>0</v>
      </c>
      <c r="BJ496" s="201">
        <f t="shared" si="583"/>
        <v>0</v>
      </c>
      <c r="BK496" s="335"/>
      <c r="BL496" s="201">
        <f t="shared" si="583"/>
        <v>0</v>
      </c>
      <c r="BM496" s="201">
        <f t="shared" si="583"/>
        <v>0</v>
      </c>
      <c r="BN496" s="201">
        <f t="shared" si="583"/>
        <v>0</v>
      </c>
      <c r="BO496" s="201">
        <f t="shared" si="583"/>
        <v>0</v>
      </c>
      <c r="BP496" s="201">
        <f t="shared" si="583"/>
        <v>0</v>
      </c>
      <c r="BQ496" s="201">
        <f t="shared" si="583"/>
        <v>0</v>
      </c>
      <c r="BR496" s="201">
        <f t="shared" si="583"/>
        <v>0</v>
      </c>
      <c r="BS496" s="201">
        <f t="shared" si="583"/>
        <v>0</v>
      </c>
      <c r="BT496" s="201">
        <f t="shared" si="583"/>
        <v>0</v>
      </c>
      <c r="BU496" s="201">
        <f t="shared" si="583"/>
        <v>0</v>
      </c>
      <c r="BV496" s="201">
        <f t="shared" si="583"/>
        <v>0</v>
      </c>
      <c r="BW496" s="201">
        <f t="shared" si="583"/>
        <v>0</v>
      </c>
      <c r="BY496" s="12"/>
      <c r="CA496" s="12"/>
      <c r="CR496" s="12"/>
      <c r="EX496" s="10" t="str">
        <f t="shared" si="523"/>
        <v/>
      </c>
    </row>
    <row r="497" spans="2:154" s="67" customFormat="1" ht="6.6" customHeight="1" x14ac:dyDescent="0.25">
      <c r="C497" s="380"/>
      <c r="D497" s="1"/>
      <c r="S497" s="335"/>
      <c r="T497" s="335"/>
      <c r="U497" s="335"/>
      <c r="V497" s="93"/>
      <c r="Z497" s="335"/>
      <c r="BM497" s="6"/>
      <c r="BY497" s="42"/>
      <c r="BZ497" s="335"/>
      <c r="CA497" s="42"/>
      <c r="CB497" s="335"/>
      <c r="CC497" s="335"/>
      <c r="CD497" s="335"/>
      <c r="CE497" s="335"/>
      <c r="CM497" s="335"/>
      <c r="CN497" s="335"/>
      <c r="CO497" s="335"/>
      <c r="CP497" s="335"/>
      <c r="CR497" s="42"/>
      <c r="CT497" s="335"/>
      <c r="CU497" s="335"/>
      <c r="EW497" s="335"/>
      <c r="EX497" s="10" t="str">
        <f t="shared" si="523"/>
        <v/>
      </c>
    </row>
    <row r="498" spans="2:154" s="67" customFormat="1" x14ac:dyDescent="0.25">
      <c r="C498" s="380"/>
      <c r="D498" s="61" t="str">
        <f>$D$52</f>
        <v>Closing Loan Balance</v>
      </c>
      <c r="S498" s="335"/>
      <c r="T498" s="335"/>
      <c r="U498" s="335"/>
      <c r="V498" s="93"/>
      <c r="BY498" s="12"/>
      <c r="BZ498" s="335"/>
      <c r="CA498" s="12"/>
      <c r="CB498" s="335"/>
      <c r="CC498" s="335"/>
      <c r="CD498" s="335"/>
      <c r="CE498" s="335"/>
      <c r="CM498" s="335"/>
      <c r="CN498" s="335"/>
      <c r="CO498" s="335"/>
      <c r="CP498" s="335"/>
      <c r="CR498" s="12"/>
      <c r="CT498" s="335"/>
      <c r="CU498" s="335"/>
      <c r="EW498" s="335"/>
      <c r="EX498" s="10" t="str">
        <f t="shared" si="523"/>
        <v/>
      </c>
    </row>
    <row r="499" spans="2:154" s="67" customFormat="1" x14ac:dyDescent="0.25">
      <c r="B499" s="138" t="s">
        <v>551</v>
      </c>
      <c r="C499" s="380"/>
      <c r="D499" s="5" t="str">
        <f>D$11</f>
        <v>Lender</v>
      </c>
      <c r="E499" s="5" t="str">
        <f>E$11</f>
        <v>Loan Category</v>
      </c>
      <c r="S499" s="335"/>
      <c r="T499" s="335"/>
      <c r="U499" s="335"/>
      <c r="V499" s="93"/>
      <c r="BY499" s="12"/>
      <c r="BZ499" s="335"/>
      <c r="CA499" s="12"/>
      <c r="CB499" s="335"/>
      <c r="CC499" s="335"/>
      <c r="CD499" s="335"/>
      <c r="CE499" s="335"/>
      <c r="CM499" s="335"/>
      <c r="CN499" s="335"/>
      <c r="CO499" s="335"/>
      <c r="CP499" s="335"/>
      <c r="CR499" s="12"/>
      <c r="CT499" s="335"/>
      <c r="CU499" s="335"/>
      <c r="EW499" s="335"/>
      <c r="EX499" s="10" t="str">
        <f t="shared" si="523"/>
        <v/>
      </c>
    </row>
    <row r="500" spans="2:154" s="67" customFormat="1" x14ac:dyDescent="0.25">
      <c r="B500" s="84" t="str" cm="1">
        <f t="array" aca="1" ref="B500" ca="1">HYPERLINK(CONCATENATE("#",CELL("address",$D$47)),$D$47)</f>
        <v>Loan 1</v>
      </c>
      <c r="C500" s="380"/>
      <c r="D500" s="60" t="str">
        <f>D$13</f>
        <v>NatWest</v>
      </c>
      <c r="E500" s="221" t="str">
        <f>E$13</f>
        <v xml:space="preserve">Commercial </v>
      </c>
      <c r="G500" s="9" t="s">
        <v>413</v>
      </c>
      <c r="H500" s="50" t="s">
        <v>157</v>
      </c>
      <c r="I500" s="65"/>
      <c r="S500" s="335"/>
      <c r="T500" s="335"/>
      <c r="U500" s="335"/>
      <c r="V500" s="201">
        <f>V$52</f>
        <v>57</v>
      </c>
      <c r="W500" s="10">
        <f>W$52</f>
        <v>0</v>
      </c>
      <c r="X500" s="10">
        <f>X$52</f>
        <v>0</v>
      </c>
      <c r="Y500" s="10">
        <f>Y$52</f>
        <v>0</v>
      </c>
      <c r="AA500" s="10">
        <f t="shared" ref="AA500:BJ500" si="584">AA$52</f>
        <v>46</v>
      </c>
      <c r="AB500" s="10">
        <f t="shared" si="584"/>
        <v>35</v>
      </c>
      <c r="AC500" s="10">
        <f t="shared" si="584"/>
        <v>24</v>
      </c>
      <c r="AD500" s="10">
        <f t="shared" si="584"/>
        <v>13</v>
      </c>
      <c r="AE500" s="10">
        <f t="shared" si="584"/>
        <v>2</v>
      </c>
      <c r="AF500" s="10">
        <f t="shared" si="584"/>
        <v>0</v>
      </c>
      <c r="AG500" s="10">
        <f t="shared" si="584"/>
        <v>0</v>
      </c>
      <c r="AH500" s="10">
        <f t="shared" si="584"/>
        <v>0</v>
      </c>
      <c r="AI500" s="10">
        <f t="shared" si="584"/>
        <v>0</v>
      </c>
      <c r="AJ500" s="10">
        <f t="shared" si="584"/>
        <v>0</v>
      </c>
      <c r="AK500" s="10">
        <f t="shared" si="584"/>
        <v>0</v>
      </c>
      <c r="AL500" s="10">
        <f t="shared" si="584"/>
        <v>0</v>
      </c>
      <c r="AM500" s="10">
        <f t="shared" si="584"/>
        <v>0</v>
      </c>
      <c r="AN500" s="10">
        <f t="shared" si="584"/>
        <v>0</v>
      </c>
      <c r="AO500" s="10">
        <f t="shared" si="584"/>
        <v>0</v>
      </c>
      <c r="AP500" s="10">
        <f t="shared" si="584"/>
        <v>0</v>
      </c>
      <c r="AQ500" s="10">
        <f t="shared" si="584"/>
        <v>0</v>
      </c>
      <c r="AR500" s="10">
        <f t="shared" si="584"/>
        <v>0</v>
      </c>
      <c r="AS500" s="10">
        <f t="shared" si="584"/>
        <v>0</v>
      </c>
      <c r="AT500" s="10">
        <f t="shared" si="584"/>
        <v>0</v>
      </c>
      <c r="AU500" s="10">
        <f t="shared" si="584"/>
        <v>0</v>
      </c>
      <c r="AV500" s="10">
        <f t="shared" si="584"/>
        <v>0</v>
      </c>
      <c r="AW500" s="10">
        <f t="shared" si="584"/>
        <v>0</v>
      </c>
      <c r="AX500" s="10">
        <f t="shared" si="584"/>
        <v>0</v>
      </c>
      <c r="AY500" s="10">
        <f t="shared" si="584"/>
        <v>0</v>
      </c>
      <c r="AZ500" s="10">
        <f t="shared" si="584"/>
        <v>0</v>
      </c>
      <c r="BA500" s="10">
        <f t="shared" si="584"/>
        <v>0</v>
      </c>
      <c r="BB500" s="10">
        <f t="shared" si="584"/>
        <v>0</v>
      </c>
      <c r="BC500" s="10">
        <f t="shared" si="584"/>
        <v>0</v>
      </c>
      <c r="BD500" s="10">
        <f t="shared" si="584"/>
        <v>0</v>
      </c>
      <c r="BE500" s="10">
        <f t="shared" si="584"/>
        <v>0</v>
      </c>
      <c r="BF500" s="10">
        <f t="shared" si="584"/>
        <v>0</v>
      </c>
      <c r="BG500" s="10">
        <f t="shared" si="584"/>
        <v>0</v>
      </c>
      <c r="BH500" s="10">
        <f t="shared" si="584"/>
        <v>0</v>
      </c>
      <c r="BI500" s="10">
        <f t="shared" si="584"/>
        <v>0</v>
      </c>
      <c r="BJ500" s="10">
        <f t="shared" si="584"/>
        <v>0</v>
      </c>
      <c r="BL500" s="10">
        <f t="shared" ref="BL500" si="585">BL$52</f>
        <v>57</v>
      </c>
      <c r="BM500" s="10">
        <f t="shared" ref="BM500:BW500" si="586">BM$52</f>
        <v>0</v>
      </c>
      <c r="BN500" s="10">
        <f t="shared" si="586"/>
        <v>0</v>
      </c>
      <c r="BO500" s="10">
        <f t="shared" si="586"/>
        <v>0</v>
      </c>
      <c r="BP500" s="10">
        <f t="shared" si="586"/>
        <v>0</v>
      </c>
      <c r="BQ500" s="10">
        <f t="shared" si="586"/>
        <v>0</v>
      </c>
      <c r="BR500" s="10">
        <f t="shared" si="586"/>
        <v>0</v>
      </c>
      <c r="BS500" s="10">
        <f t="shared" si="586"/>
        <v>0</v>
      </c>
      <c r="BT500" s="10">
        <f t="shared" si="586"/>
        <v>0</v>
      </c>
      <c r="BU500" s="10">
        <f t="shared" si="586"/>
        <v>0</v>
      </c>
      <c r="BV500" s="10">
        <f t="shared" si="586"/>
        <v>0</v>
      </c>
      <c r="BW500" s="10">
        <f t="shared" si="586"/>
        <v>0</v>
      </c>
      <c r="BY500" s="12"/>
      <c r="BZ500" s="335"/>
      <c r="CA500" s="12"/>
      <c r="CB500" s="335"/>
      <c r="CC500" s="335"/>
      <c r="CD500" s="335"/>
      <c r="CE500" s="335"/>
      <c r="CM500" s="335"/>
      <c r="CN500" s="335"/>
      <c r="CO500" s="335"/>
      <c r="CP500" s="335"/>
      <c r="CR500" s="12"/>
      <c r="CT500" s="335"/>
      <c r="CU500" s="335"/>
      <c r="EW500" s="335"/>
      <c r="EX500" s="10" t="str">
        <f t="shared" si="523"/>
        <v/>
      </c>
    </row>
    <row r="501" spans="2:154" s="67" customFormat="1" x14ac:dyDescent="0.25">
      <c r="B501" s="84" t="str" cm="1">
        <f t="array" aca="1" ref="B501" ca="1">HYPERLINK(CONCATENATE("#",CELL("address",$D$66)),$D$66)</f>
        <v>Loan 2</v>
      </c>
      <c r="C501" s="380"/>
      <c r="D501" s="60" t="str">
        <f>D$14</f>
        <v>NatWest</v>
      </c>
      <c r="E501" s="221" t="str">
        <f>E$14</f>
        <v xml:space="preserve">Commercial </v>
      </c>
      <c r="G501" s="9" t="s">
        <v>413</v>
      </c>
      <c r="H501" s="50" t="s">
        <v>157</v>
      </c>
      <c r="S501" s="335"/>
      <c r="T501" s="335"/>
      <c r="U501" s="335"/>
      <c r="V501" s="201">
        <f>V$71</f>
        <v>729</v>
      </c>
      <c r="W501" s="10">
        <f>W$71</f>
        <v>640</v>
      </c>
      <c r="X501" s="10">
        <f>X$71</f>
        <v>551</v>
      </c>
      <c r="Y501" s="10">
        <f>Y$71</f>
        <v>462</v>
      </c>
      <c r="AA501" s="10">
        <f t="shared" ref="AA501:BJ501" si="587">AA$71</f>
        <v>721</v>
      </c>
      <c r="AB501" s="10">
        <f t="shared" si="587"/>
        <v>713</v>
      </c>
      <c r="AC501" s="10">
        <f t="shared" si="587"/>
        <v>705</v>
      </c>
      <c r="AD501" s="10">
        <f t="shared" si="587"/>
        <v>697</v>
      </c>
      <c r="AE501" s="10">
        <f t="shared" si="587"/>
        <v>689</v>
      </c>
      <c r="AF501" s="10">
        <f t="shared" si="587"/>
        <v>682</v>
      </c>
      <c r="AG501" s="10">
        <f t="shared" si="587"/>
        <v>675</v>
      </c>
      <c r="AH501" s="10">
        <f t="shared" si="587"/>
        <v>668</v>
      </c>
      <c r="AI501" s="10">
        <f t="shared" si="587"/>
        <v>661</v>
      </c>
      <c r="AJ501" s="10">
        <f t="shared" si="587"/>
        <v>654</v>
      </c>
      <c r="AK501" s="10">
        <f t="shared" si="587"/>
        <v>647</v>
      </c>
      <c r="AL501" s="10">
        <f t="shared" si="587"/>
        <v>640</v>
      </c>
      <c r="AM501" s="10">
        <f t="shared" si="587"/>
        <v>632</v>
      </c>
      <c r="AN501" s="10">
        <f t="shared" si="587"/>
        <v>624</v>
      </c>
      <c r="AO501" s="10">
        <f t="shared" si="587"/>
        <v>616</v>
      </c>
      <c r="AP501" s="10">
        <f t="shared" si="587"/>
        <v>608</v>
      </c>
      <c r="AQ501" s="10">
        <f t="shared" si="587"/>
        <v>600</v>
      </c>
      <c r="AR501" s="10">
        <f t="shared" si="587"/>
        <v>593</v>
      </c>
      <c r="AS501" s="10">
        <f t="shared" si="587"/>
        <v>586</v>
      </c>
      <c r="AT501" s="10">
        <f t="shared" si="587"/>
        <v>579</v>
      </c>
      <c r="AU501" s="10">
        <f t="shared" si="587"/>
        <v>572</v>
      </c>
      <c r="AV501" s="10">
        <f t="shared" si="587"/>
        <v>565</v>
      </c>
      <c r="AW501" s="10">
        <f t="shared" si="587"/>
        <v>558</v>
      </c>
      <c r="AX501" s="10">
        <f t="shared" si="587"/>
        <v>551</v>
      </c>
      <c r="AY501" s="10">
        <f t="shared" si="587"/>
        <v>543</v>
      </c>
      <c r="AZ501" s="10">
        <f t="shared" si="587"/>
        <v>535</v>
      </c>
      <c r="BA501" s="10">
        <f t="shared" si="587"/>
        <v>527</v>
      </c>
      <c r="BB501" s="10">
        <f t="shared" si="587"/>
        <v>519</v>
      </c>
      <c r="BC501" s="10">
        <f t="shared" si="587"/>
        <v>511</v>
      </c>
      <c r="BD501" s="10">
        <f t="shared" si="587"/>
        <v>504</v>
      </c>
      <c r="BE501" s="10">
        <f t="shared" si="587"/>
        <v>497</v>
      </c>
      <c r="BF501" s="10">
        <f t="shared" si="587"/>
        <v>490</v>
      </c>
      <c r="BG501" s="10">
        <f t="shared" si="587"/>
        <v>483</v>
      </c>
      <c r="BH501" s="10">
        <f t="shared" si="587"/>
        <v>476</v>
      </c>
      <c r="BI501" s="10">
        <f t="shared" si="587"/>
        <v>469</v>
      </c>
      <c r="BJ501" s="10">
        <f t="shared" si="587"/>
        <v>462</v>
      </c>
      <c r="BL501" s="10">
        <f t="shared" ref="BL501" si="588">BL$71</f>
        <v>729</v>
      </c>
      <c r="BM501" s="10">
        <f t="shared" ref="BM501:BW501" si="589">BM$71</f>
        <v>640</v>
      </c>
      <c r="BN501" s="10">
        <f t="shared" si="589"/>
        <v>551</v>
      </c>
      <c r="BO501" s="10">
        <f t="shared" si="589"/>
        <v>462</v>
      </c>
      <c r="BP501" s="10">
        <f t="shared" si="589"/>
        <v>462</v>
      </c>
      <c r="BQ501" s="10">
        <f t="shared" si="589"/>
        <v>462</v>
      </c>
      <c r="BR501" s="10">
        <f t="shared" si="589"/>
        <v>462</v>
      </c>
      <c r="BS501" s="10">
        <f t="shared" si="589"/>
        <v>462</v>
      </c>
      <c r="BT501" s="10">
        <f t="shared" si="589"/>
        <v>462</v>
      </c>
      <c r="BU501" s="10">
        <f t="shared" si="589"/>
        <v>462</v>
      </c>
      <c r="BV501" s="10">
        <f t="shared" si="589"/>
        <v>462</v>
      </c>
      <c r="BW501" s="10">
        <f t="shared" si="589"/>
        <v>462</v>
      </c>
      <c r="BY501" s="12"/>
      <c r="BZ501" s="335"/>
      <c r="CA501" s="12"/>
      <c r="CB501" s="335"/>
      <c r="CC501" s="335"/>
      <c r="CD501" s="335"/>
      <c r="CE501" s="335"/>
      <c r="CM501" s="335"/>
      <c r="CN501" s="335"/>
      <c r="CO501" s="335"/>
      <c r="CP501" s="335"/>
      <c r="CR501" s="12"/>
      <c r="CT501" s="335"/>
      <c r="CU501" s="335"/>
      <c r="EW501" s="335"/>
      <c r="EX501" s="10" t="str">
        <f t="shared" si="523"/>
        <v/>
      </c>
    </row>
    <row r="502" spans="2:154" s="67" customFormat="1" x14ac:dyDescent="0.25">
      <c r="B502" s="84" t="str" cm="1">
        <f t="array" aca="1" ref="B502" ca="1">HYPERLINK(CONCATENATE("#",CELL("address",$D$85)),$D$85)</f>
        <v>Loan 3</v>
      </c>
      <c r="C502" s="380"/>
      <c r="D502" s="60" t="str">
        <f>D$15</f>
        <v>NatWest</v>
      </c>
      <c r="E502" s="221" t="str">
        <f>E$15</f>
        <v xml:space="preserve">Commercial </v>
      </c>
      <c r="G502" s="9" t="s">
        <v>413</v>
      </c>
      <c r="H502" s="50" t="s">
        <v>157</v>
      </c>
      <c r="S502" s="335"/>
      <c r="T502" s="335"/>
      <c r="U502" s="335"/>
      <c r="V502" s="201">
        <f>V$90</f>
        <v>712</v>
      </c>
      <c r="W502" s="10">
        <f>W$90</f>
        <v>643</v>
      </c>
      <c r="X502" s="10">
        <f>X$90</f>
        <v>574</v>
      </c>
      <c r="Y502" s="10">
        <f>Y$90</f>
        <v>505</v>
      </c>
      <c r="AA502" s="10">
        <f t="shared" ref="AA502:BJ502" si="590">AA$90</f>
        <v>707</v>
      </c>
      <c r="AB502" s="10">
        <f t="shared" si="590"/>
        <v>702</v>
      </c>
      <c r="AC502" s="10">
        <f t="shared" si="590"/>
        <v>697</v>
      </c>
      <c r="AD502" s="10">
        <f t="shared" si="590"/>
        <v>691</v>
      </c>
      <c r="AE502" s="10">
        <f t="shared" si="590"/>
        <v>685</v>
      </c>
      <c r="AF502" s="10">
        <f t="shared" si="590"/>
        <v>679</v>
      </c>
      <c r="AG502" s="10">
        <f t="shared" si="590"/>
        <v>673</v>
      </c>
      <c r="AH502" s="10">
        <f t="shared" si="590"/>
        <v>667</v>
      </c>
      <c r="AI502" s="10">
        <f t="shared" si="590"/>
        <v>661</v>
      </c>
      <c r="AJ502" s="10">
        <f t="shared" si="590"/>
        <v>655</v>
      </c>
      <c r="AK502" s="10">
        <f t="shared" si="590"/>
        <v>649</v>
      </c>
      <c r="AL502" s="10">
        <f t="shared" si="590"/>
        <v>643</v>
      </c>
      <c r="AM502" s="10">
        <f t="shared" si="590"/>
        <v>638</v>
      </c>
      <c r="AN502" s="10">
        <f t="shared" si="590"/>
        <v>633</v>
      </c>
      <c r="AO502" s="10">
        <f t="shared" si="590"/>
        <v>628</v>
      </c>
      <c r="AP502" s="10">
        <f t="shared" si="590"/>
        <v>622</v>
      </c>
      <c r="AQ502" s="10">
        <f t="shared" si="590"/>
        <v>616</v>
      </c>
      <c r="AR502" s="10">
        <f t="shared" si="590"/>
        <v>610</v>
      </c>
      <c r="AS502" s="10">
        <f t="shared" si="590"/>
        <v>604</v>
      </c>
      <c r="AT502" s="10">
        <f t="shared" si="590"/>
        <v>598</v>
      </c>
      <c r="AU502" s="10">
        <f t="shared" si="590"/>
        <v>592</v>
      </c>
      <c r="AV502" s="10">
        <f t="shared" si="590"/>
        <v>586</v>
      </c>
      <c r="AW502" s="10">
        <f t="shared" si="590"/>
        <v>580</v>
      </c>
      <c r="AX502" s="10">
        <f t="shared" si="590"/>
        <v>574</v>
      </c>
      <c r="AY502" s="10">
        <f t="shared" si="590"/>
        <v>569</v>
      </c>
      <c r="AZ502" s="10">
        <f t="shared" si="590"/>
        <v>564</v>
      </c>
      <c r="BA502" s="10">
        <f t="shared" si="590"/>
        <v>559</v>
      </c>
      <c r="BB502" s="10">
        <f t="shared" si="590"/>
        <v>553</v>
      </c>
      <c r="BC502" s="10">
        <f t="shared" si="590"/>
        <v>547</v>
      </c>
      <c r="BD502" s="10">
        <f t="shared" si="590"/>
        <v>541</v>
      </c>
      <c r="BE502" s="10">
        <f t="shared" si="590"/>
        <v>535</v>
      </c>
      <c r="BF502" s="10">
        <f t="shared" si="590"/>
        <v>529</v>
      </c>
      <c r="BG502" s="10">
        <f t="shared" si="590"/>
        <v>523</v>
      </c>
      <c r="BH502" s="10">
        <f t="shared" si="590"/>
        <v>517</v>
      </c>
      <c r="BI502" s="10">
        <f t="shared" si="590"/>
        <v>511</v>
      </c>
      <c r="BJ502" s="10">
        <f t="shared" si="590"/>
        <v>505</v>
      </c>
      <c r="BL502" s="10">
        <f t="shared" ref="BL502" si="591">BL$90</f>
        <v>712</v>
      </c>
      <c r="BM502" s="10">
        <f t="shared" ref="BM502:BW502" si="592">BM$90</f>
        <v>643</v>
      </c>
      <c r="BN502" s="10">
        <f t="shared" si="592"/>
        <v>574</v>
      </c>
      <c r="BO502" s="10">
        <f t="shared" si="592"/>
        <v>505</v>
      </c>
      <c r="BP502" s="10">
        <f t="shared" si="592"/>
        <v>505</v>
      </c>
      <c r="BQ502" s="10">
        <f t="shared" si="592"/>
        <v>505</v>
      </c>
      <c r="BR502" s="10">
        <f t="shared" si="592"/>
        <v>505</v>
      </c>
      <c r="BS502" s="10">
        <f t="shared" si="592"/>
        <v>505</v>
      </c>
      <c r="BT502" s="10">
        <f t="shared" si="592"/>
        <v>505</v>
      </c>
      <c r="BU502" s="10">
        <f t="shared" si="592"/>
        <v>505</v>
      </c>
      <c r="BV502" s="10">
        <f t="shared" si="592"/>
        <v>505</v>
      </c>
      <c r="BW502" s="10">
        <f t="shared" si="592"/>
        <v>505</v>
      </c>
      <c r="BY502" s="12"/>
      <c r="BZ502" s="335"/>
      <c r="CA502" s="12"/>
      <c r="CB502" s="335"/>
      <c r="CC502" s="335"/>
      <c r="CD502" s="335"/>
      <c r="CE502" s="335"/>
      <c r="CM502" s="335"/>
      <c r="CN502" s="335"/>
      <c r="CO502" s="335"/>
      <c r="CP502" s="335"/>
      <c r="CR502" s="12"/>
      <c r="CT502" s="335"/>
      <c r="CU502" s="335"/>
      <c r="EW502" s="335"/>
      <c r="EX502" s="10" t="str">
        <f t="shared" si="523"/>
        <v/>
      </c>
    </row>
    <row r="503" spans="2:154" s="67" customFormat="1" x14ac:dyDescent="0.25">
      <c r="B503" s="84" t="str" cm="1">
        <f t="array" aca="1" ref="B503" ca="1">HYPERLINK(CONCATENATE("#",CELL("address",$D$104)),$D$104)</f>
        <v>Loan 4</v>
      </c>
      <c r="C503" s="380"/>
      <c r="D503" s="60" t="str">
        <f>D$16</f>
        <v>NatWest</v>
      </c>
      <c r="E503" s="221" t="str">
        <f>E$16</f>
        <v xml:space="preserve">Commercial </v>
      </c>
      <c r="G503" s="9" t="s">
        <v>413</v>
      </c>
      <c r="H503" s="50" t="s">
        <v>157</v>
      </c>
      <c r="S503" s="335"/>
      <c r="T503" s="335"/>
      <c r="U503" s="335"/>
      <c r="V503" s="201">
        <f>V$109</f>
        <v>727</v>
      </c>
      <c r="W503" s="10">
        <f>W$109</f>
        <v>665</v>
      </c>
      <c r="X503" s="10">
        <f>X$109</f>
        <v>603</v>
      </c>
      <c r="Y503" s="10">
        <f>Y$109</f>
        <v>541</v>
      </c>
      <c r="AA503" s="10">
        <f t="shared" ref="AA503:BJ503" si="593">AA$109</f>
        <v>712</v>
      </c>
      <c r="AB503" s="10">
        <f t="shared" si="593"/>
        <v>712</v>
      </c>
      <c r="AC503" s="10">
        <f t="shared" si="593"/>
        <v>712</v>
      </c>
      <c r="AD503" s="10">
        <f t="shared" si="593"/>
        <v>697</v>
      </c>
      <c r="AE503" s="10">
        <f t="shared" si="593"/>
        <v>697</v>
      </c>
      <c r="AF503" s="10">
        <f t="shared" si="593"/>
        <v>697</v>
      </c>
      <c r="AG503" s="10">
        <f t="shared" si="593"/>
        <v>681</v>
      </c>
      <c r="AH503" s="10">
        <f t="shared" si="593"/>
        <v>681</v>
      </c>
      <c r="AI503" s="10">
        <f t="shared" si="593"/>
        <v>681</v>
      </c>
      <c r="AJ503" s="10">
        <f t="shared" si="593"/>
        <v>665</v>
      </c>
      <c r="AK503" s="10">
        <f t="shared" si="593"/>
        <v>665</v>
      </c>
      <c r="AL503" s="10">
        <f t="shared" si="593"/>
        <v>665</v>
      </c>
      <c r="AM503" s="10">
        <f t="shared" si="593"/>
        <v>650</v>
      </c>
      <c r="AN503" s="10">
        <f t="shared" si="593"/>
        <v>650</v>
      </c>
      <c r="AO503" s="10">
        <f t="shared" si="593"/>
        <v>650</v>
      </c>
      <c r="AP503" s="10">
        <f t="shared" si="593"/>
        <v>635</v>
      </c>
      <c r="AQ503" s="10">
        <f t="shared" si="593"/>
        <v>635</v>
      </c>
      <c r="AR503" s="10">
        <f t="shared" si="593"/>
        <v>635</v>
      </c>
      <c r="AS503" s="10">
        <f t="shared" si="593"/>
        <v>619</v>
      </c>
      <c r="AT503" s="10">
        <f t="shared" si="593"/>
        <v>619</v>
      </c>
      <c r="AU503" s="10">
        <f t="shared" si="593"/>
        <v>619</v>
      </c>
      <c r="AV503" s="10">
        <f t="shared" si="593"/>
        <v>603</v>
      </c>
      <c r="AW503" s="10">
        <f t="shared" si="593"/>
        <v>603</v>
      </c>
      <c r="AX503" s="10">
        <f t="shared" si="593"/>
        <v>603</v>
      </c>
      <c r="AY503" s="10">
        <f t="shared" si="593"/>
        <v>588</v>
      </c>
      <c r="AZ503" s="10">
        <f t="shared" si="593"/>
        <v>588</v>
      </c>
      <c r="BA503" s="10">
        <f t="shared" si="593"/>
        <v>588</v>
      </c>
      <c r="BB503" s="10">
        <f t="shared" si="593"/>
        <v>573</v>
      </c>
      <c r="BC503" s="10">
        <f t="shared" si="593"/>
        <v>573</v>
      </c>
      <c r="BD503" s="10">
        <f t="shared" si="593"/>
        <v>573</v>
      </c>
      <c r="BE503" s="10">
        <f t="shared" si="593"/>
        <v>557</v>
      </c>
      <c r="BF503" s="10">
        <f t="shared" si="593"/>
        <v>557</v>
      </c>
      <c r="BG503" s="10">
        <f t="shared" si="593"/>
        <v>557</v>
      </c>
      <c r="BH503" s="10">
        <f t="shared" si="593"/>
        <v>541</v>
      </c>
      <c r="BI503" s="10">
        <f t="shared" si="593"/>
        <v>541</v>
      </c>
      <c r="BJ503" s="10">
        <f t="shared" si="593"/>
        <v>541</v>
      </c>
      <c r="BL503" s="10">
        <f t="shared" ref="BL503" si="594">BL$109</f>
        <v>727</v>
      </c>
      <c r="BM503" s="10">
        <f t="shared" ref="BM503:BW503" si="595">BM$109</f>
        <v>665</v>
      </c>
      <c r="BN503" s="10">
        <f t="shared" si="595"/>
        <v>603</v>
      </c>
      <c r="BO503" s="10">
        <f t="shared" si="595"/>
        <v>541</v>
      </c>
      <c r="BP503" s="10">
        <f t="shared" si="595"/>
        <v>541</v>
      </c>
      <c r="BQ503" s="10">
        <f t="shared" si="595"/>
        <v>541</v>
      </c>
      <c r="BR503" s="10">
        <f t="shared" si="595"/>
        <v>541</v>
      </c>
      <c r="BS503" s="10">
        <f t="shared" si="595"/>
        <v>541</v>
      </c>
      <c r="BT503" s="10">
        <f t="shared" si="595"/>
        <v>541</v>
      </c>
      <c r="BU503" s="10">
        <f t="shared" si="595"/>
        <v>541</v>
      </c>
      <c r="BV503" s="10">
        <f t="shared" si="595"/>
        <v>541</v>
      </c>
      <c r="BW503" s="10">
        <f t="shared" si="595"/>
        <v>541</v>
      </c>
      <c r="BY503" s="12"/>
      <c r="BZ503" s="335"/>
      <c r="CA503" s="12"/>
      <c r="CB503" s="335"/>
      <c r="CC503" s="335"/>
      <c r="CD503" s="335"/>
      <c r="CE503" s="335"/>
      <c r="CM503" s="335"/>
      <c r="CN503" s="335"/>
      <c r="CO503" s="335"/>
      <c r="CP503" s="335"/>
      <c r="CR503" s="12"/>
      <c r="CT503" s="335"/>
      <c r="CU503" s="335"/>
      <c r="EW503" s="335"/>
      <c r="EX503" s="10" t="str">
        <f t="shared" si="523"/>
        <v/>
      </c>
    </row>
    <row r="504" spans="2:154" s="67" customFormat="1" x14ac:dyDescent="0.25">
      <c r="B504" s="84" t="str" cm="1">
        <f t="array" aca="1" ref="B504" ca="1">HYPERLINK(CONCATENATE("#",CELL("address",$D$123)),$D$123)</f>
        <v>Loan 5</v>
      </c>
      <c r="C504" s="380"/>
      <c r="D504" s="60" t="str">
        <f>D$17</f>
        <v>NatWest</v>
      </c>
      <c r="E504" s="221" t="str">
        <f>E$17</f>
        <v xml:space="preserve">Commercial </v>
      </c>
      <c r="G504" s="9" t="s">
        <v>413</v>
      </c>
      <c r="H504" s="50" t="s">
        <v>157</v>
      </c>
      <c r="S504" s="335"/>
      <c r="T504" s="335"/>
      <c r="U504" s="335"/>
      <c r="V504" s="201">
        <f>V$128</f>
        <v>817</v>
      </c>
      <c r="W504" s="10">
        <f>W$128</f>
        <v>753</v>
      </c>
      <c r="X504" s="10">
        <f>X$128</f>
        <v>689</v>
      </c>
      <c r="Y504" s="10">
        <f>Y$128</f>
        <v>625</v>
      </c>
      <c r="AA504" s="10">
        <f t="shared" ref="AA504:BJ504" si="596">AA$128</f>
        <v>801</v>
      </c>
      <c r="AB504" s="10">
        <f t="shared" si="596"/>
        <v>801</v>
      </c>
      <c r="AC504" s="10">
        <f t="shared" si="596"/>
        <v>801</v>
      </c>
      <c r="AD504" s="10">
        <f t="shared" si="596"/>
        <v>785</v>
      </c>
      <c r="AE504" s="10">
        <f t="shared" si="596"/>
        <v>785</v>
      </c>
      <c r="AF504" s="10">
        <f t="shared" si="596"/>
        <v>785</v>
      </c>
      <c r="AG504" s="10">
        <f t="shared" si="596"/>
        <v>769</v>
      </c>
      <c r="AH504" s="10">
        <f t="shared" si="596"/>
        <v>769</v>
      </c>
      <c r="AI504" s="10">
        <f t="shared" si="596"/>
        <v>769</v>
      </c>
      <c r="AJ504" s="10">
        <f t="shared" si="596"/>
        <v>753</v>
      </c>
      <c r="AK504" s="10">
        <f t="shared" si="596"/>
        <v>753</v>
      </c>
      <c r="AL504" s="10">
        <f t="shared" si="596"/>
        <v>753</v>
      </c>
      <c r="AM504" s="10">
        <f t="shared" si="596"/>
        <v>737</v>
      </c>
      <c r="AN504" s="10">
        <f t="shared" si="596"/>
        <v>737</v>
      </c>
      <c r="AO504" s="10">
        <f t="shared" si="596"/>
        <v>737</v>
      </c>
      <c r="AP504" s="10">
        <f t="shared" si="596"/>
        <v>721</v>
      </c>
      <c r="AQ504" s="10">
        <f t="shared" si="596"/>
        <v>721</v>
      </c>
      <c r="AR504" s="10">
        <f t="shared" si="596"/>
        <v>721</v>
      </c>
      <c r="AS504" s="10">
        <f t="shared" si="596"/>
        <v>705</v>
      </c>
      <c r="AT504" s="10">
        <f t="shared" si="596"/>
        <v>705</v>
      </c>
      <c r="AU504" s="10">
        <f t="shared" si="596"/>
        <v>705</v>
      </c>
      <c r="AV504" s="10">
        <f t="shared" si="596"/>
        <v>689</v>
      </c>
      <c r="AW504" s="10">
        <f t="shared" si="596"/>
        <v>689</v>
      </c>
      <c r="AX504" s="10">
        <f t="shared" si="596"/>
        <v>689</v>
      </c>
      <c r="AY504" s="10">
        <f t="shared" si="596"/>
        <v>673</v>
      </c>
      <c r="AZ504" s="10">
        <f t="shared" si="596"/>
        <v>673</v>
      </c>
      <c r="BA504" s="10">
        <f t="shared" si="596"/>
        <v>673</v>
      </c>
      <c r="BB504" s="10">
        <f t="shared" si="596"/>
        <v>657</v>
      </c>
      <c r="BC504" s="10">
        <f t="shared" si="596"/>
        <v>657</v>
      </c>
      <c r="BD504" s="10">
        <f t="shared" si="596"/>
        <v>657</v>
      </c>
      <c r="BE504" s="10">
        <f t="shared" si="596"/>
        <v>641</v>
      </c>
      <c r="BF504" s="10">
        <f t="shared" si="596"/>
        <v>641</v>
      </c>
      <c r="BG504" s="10">
        <f t="shared" si="596"/>
        <v>641</v>
      </c>
      <c r="BH504" s="10">
        <f t="shared" si="596"/>
        <v>625</v>
      </c>
      <c r="BI504" s="10">
        <f t="shared" si="596"/>
        <v>625</v>
      </c>
      <c r="BJ504" s="10">
        <f t="shared" si="596"/>
        <v>625</v>
      </c>
      <c r="BL504" s="10">
        <f t="shared" ref="BL504" si="597">BL$128</f>
        <v>817</v>
      </c>
      <c r="BM504" s="10">
        <f t="shared" ref="BM504:BW504" si="598">BM$128</f>
        <v>753</v>
      </c>
      <c r="BN504" s="10">
        <f t="shared" si="598"/>
        <v>689</v>
      </c>
      <c r="BO504" s="10">
        <f t="shared" si="598"/>
        <v>625</v>
      </c>
      <c r="BP504" s="10">
        <f t="shared" si="598"/>
        <v>625</v>
      </c>
      <c r="BQ504" s="10">
        <f t="shared" si="598"/>
        <v>625</v>
      </c>
      <c r="BR504" s="10">
        <f t="shared" si="598"/>
        <v>625</v>
      </c>
      <c r="BS504" s="10">
        <f t="shared" si="598"/>
        <v>625</v>
      </c>
      <c r="BT504" s="10">
        <f t="shared" si="598"/>
        <v>625</v>
      </c>
      <c r="BU504" s="10">
        <f t="shared" si="598"/>
        <v>625</v>
      </c>
      <c r="BV504" s="10">
        <f t="shared" si="598"/>
        <v>625</v>
      </c>
      <c r="BW504" s="10">
        <f t="shared" si="598"/>
        <v>625</v>
      </c>
      <c r="BY504" s="12"/>
      <c r="BZ504" s="335"/>
      <c r="CA504" s="12"/>
      <c r="CB504" s="335"/>
      <c r="CC504" s="335"/>
      <c r="CD504" s="335"/>
      <c r="CE504" s="335"/>
      <c r="CM504" s="335"/>
      <c r="CN504" s="335"/>
      <c r="CO504" s="335"/>
      <c r="CP504" s="335"/>
      <c r="CR504" s="12"/>
      <c r="CT504" s="335"/>
      <c r="CU504" s="335"/>
      <c r="EW504" s="335"/>
      <c r="EX504" s="10" t="str">
        <f t="shared" si="523"/>
        <v/>
      </c>
    </row>
    <row r="505" spans="2:154" s="67" customFormat="1" x14ac:dyDescent="0.25">
      <c r="B505" s="84" t="str" cm="1">
        <f t="array" aca="1" ref="B505" ca="1">HYPERLINK(CONCATENATE("#",CELL("address",$D$142)),$D$142)</f>
        <v>Loan 6</v>
      </c>
      <c r="C505" s="380"/>
      <c r="D505" s="60">
        <f>D$18</f>
        <v>0</v>
      </c>
      <c r="E505" s="221">
        <f>E$18</f>
        <v>0</v>
      </c>
      <c r="G505" s="9" t="s">
        <v>413</v>
      </c>
      <c r="H505" s="50" t="s">
        <v>157</v>
      </c>
      <c r="S505" s="335"/>
      <c r="T505" s="335"/>
      <c r="U505" s="335"/>
      <c r="V505" s="201">
        <f>V$147</f>
        <v>0</v>
      </c>
      <c r="W505" s="10">
        <f>W$147</f>
        <v>0</v>
      </c>
      <c r="X505" s="10">
        <f>X$147</f>
        <v>0</v>
      </c>
      <c r="Y505" s="10">
        <f>Y$147</f>
        <v>0</v>
      </c>
      <c r="AA505" s="10">
        <f t="shared" ref="AA505:BJ505" si="599">AA$147</f>
        <v>0</v>
      </c>
      <c r="AB505" s="10">
        <f t="shared" si="599"/>
        <v>0</v>
      </c>
      <c r="AC505" s="10">
        <f t="shared" si="599"/>
        <v>0</v>
      </c>
      <c r="AD505" s="10">
        <f t="shared" si="599"/>
        <v>0</v>
      </c>
      <c r="AE505" s="10">
        <f t="shared" si="599"/>
        <v>0</v>
      </c>
      <c r="AF505" s="10">
        <f t="shared" si="599"/>
        <v>0</v>
      </c>
      <c r="AG505" s="10">
        <f t="shared" si="599"/>
        <v>0</v>
      </c>
      <c r="AH505" s="10">
        <f t="shared" si="599"/>
        <v>0</v>
      </c>
      <c r="AI505" s="10">
        <f t="shared" si="599"/>
        <v>0</v>
      </c>
      <c r="AJ505" s="10">
        <f t="shared" si="599"/>
        <v>0</v>
      </c>
      <c r="AK505" s="10">
        <f t="shared" si="599"/>
        <v>0</v>
      </c>
      <c r="AL505" s="10">
        <f t="shared" si="599"/>
        <v>0</v>
      </c>
      <c r="AM505" s="10">
        <f t="shared" si="599"/>
        <v>0</v>
      </c>
      <c r="AN505" s="10">
        <f t="shared" si="599"/>
        <v>0</v>
      </c>
      <c r="AO505" s="10">
        <f t="shared" si="599"/>
        <v>0</v>
      </c>
      <c r="AP505" s="10">
        <f t="shared" si="599"/>
        <v>0</v>
      </c>
      <c r="AQ505" s="10">
        <f t="shared" si="599"/>
        <v>0</v>
      </c>
      <c r="AR505" s="10">
        <f t="shared" si="599"/>
        <v>0</v>
      </c>
      <c r="AS505" s="10">
        <f t="shared" si="599"/>
        <v>0</v>
      </c>
      <c r="AT505" s="10">
        <f t="shared" si="599"/>
        <v>0</v>
      </c>
      <c r="AU505" s="10">
        <f t="shared" si="599"/>
        <v>0</v>
      </c>
      <c r="AV505" s="10">
        <f t="shared" si="599"/>
        <v>0</v>
      </c>
      <c r="AW505" s="10">
        <f t="shared" si="599"/>
        <v>0</v>
      </c>
      <c r="AX505" s="10">
        <f t="shared" si="599"/>
        <v>0</v>
      </c>
      <c r="AY505" s="10">
        <f t="shared" si="599"/>
        <v>0</v>
      </c>
      <c r="AZ505" s="10">
        <f t="shared" si="599"/>
        <v>0</v>
      </c>
      <c r="BA505" s="10">
        <f t="shared" si="599"/>
        <v>0</v>
      </c>
      <c r="BB505" s="10">
        <f t="shared" si="599"/>
        <v>0</v>
      </c>
      <c r="BC505" s="10">
        <f t="shared" si="599"/>
        <v>0</v>
      </c>
      <c r="BD505" s="10">
        <f t="shared" si="599"/>
        <v>0</v>
      </c>
      <c r="BE505" s="10">
        <f t="shared" si="599"/>
        <v>0</v>
      </c>
      <c r="BF505" s="10">
        <f t="shared" si="599"/>
        <v>0</v>
      </c>
      <c r="BG505" s="10">
        <f t="shared" si="599"/>
        <v>0</v>
      </c>
      <c r="BH505" s="10">
        <f t="shared" si="599"/>
        <v>0</v>
      </c>
      <c r="BI505" s="10">
        <f t="shared" si="599"/>
        <v>0</v>
      </c>
      <c r="BJ505" s="10">
        <f t="shared" si="599"/>
        <v>0</v>
      </c>
      <c r="BL505" s="10">
        <f t="shared" ref="BL505" si="600">BL$147</f>
        <v>0</v>
      </c>
      <c r="BM505" s="10">
        <f t="shared" ref="BM505:BW505" si="601">BM$147</f>
        <v>0</v>
      </c>
      <c r="BN505" s="10">
        <f t="shared" si="601"/>
        <v>0</v>
      </c>
      <c r="BO505" s="10">
        <f t="shared" si="601"/>
        <v>0</v>
      </c>
      <c r="BP505" s="10">
        <f t="shared" si="601"/>
        <v>0</v>
      </c>
      <c r="BQ505" s="10">
        <f t="shared" si="601"/>
        <v>0</v>
      </c>
      <c r="BR505" s="10">
        <f t="shared" si="601"/>
        <v>0</v>
      </c>
      <c r="BS505" s="10">
        <f t="shared" si="601"/>
        <v>0</v>
      </c>
      <c r="BT505" s="10">
        <f t="shared" si="601"/>
        <v>0</v>
      </c>
      <c r="BU505" s="10">
        <f t="shared" si="601"/>
        <v>0</v>
      </c>
      <c r="BV505" s="10">
        <f t="shared" si="601"/>
        <v>0</v>
      </c>
      <c r="BW505" s="10">
        <f t="shared" si="601"/>
        <v>0</v>
      </c>
      <c r="BY505" s="12"/>
      <c r="BZ505" s="335"/>
      <c r="CA505" s="12"/>
      <c r="CB505" s="335"/>
      <c r="CC505" s="335"/>
      <c r="CD505" s="335"/>
      <c r="CE505" s="335"/>
      <c r="CM505" s="335"/>
      <c r="CN505" s="335"/>
      <c r="CO505" s="335"/>
      <c r="CP505" s="335"/>
      <c r="CR505" s="12"/>
      <c r="CT505" s="335"/>
      <c r="CU505" s="335"/>
      <c r="EW505" s="335"/>
      <c r="EX505" s="10" t="str">
        <f t="shared" si="523"/>
        <v/>
      </c>
    </row>
    <row r="506" spans="2:154" s="67" customFormat="1" x14ac:dyDescent="0.25">
      <c r="B506" s="84" t="str" cm="1">
        <f t="array" aca="1" ref="B506" ca="1">HYPERLINK(CONCATENATE("#",CELL("address",$D$161)),$D$161)</f>
        <v>Loan 7</v>
      </c>
      <c r="C506" s="380"/>
      <c r="D506" s="60">
        <f>D$19</f>
        <v>0</v>
      </c>
      <c r="E506" s="221">
        <f>E$19</f>
        <v>0</v>
      </c>
      <c r="G506" s="9" t="s">
        <v>413</v>
      </c>
      <c r="H506" s="50" t="s">
        <v>157</v>
      </c>
      <c r="S506" s="335"/>
      <c r="T506" s="335"/>
      <c r="U506" s="335"/>
      <c r="V506" s="201">
        <f>V$166</f>
        <v>0</v>
      </c>
      <c r="W506" s="10">
        <f>W$166</f>
        <v>0</v>
      </c>
      <c r="X506" s="10">
        <f>X$166</f>
        <v>0</v>
      </c>
      <c r="Y506" s="10">
        <f>Y$166</f>
        <v>0</v>
      </c>
      <c r="AA506" s="10">
        <f t="shared" ref="AA506:BJ506" si="602">AA$166</f>
        <v>0</v>
      </c>
      <c r="AB506" s="10">
        <f t="shared" si="602"/>
        <v>0</v>
      </c>
      <c r="AC506" s="10">
        <f t="shared" si="602"/>
        <v>0</v>
      </c>
      <c r="AD506" s="10">
        <f t="shared" si="602"/>
        <v>0</v>
      </c>
      <c r="AE506" s="10">
        <f t="shared" si="602"/>
        <v>0</v>
      </c>
      <c r="AF506" s="10">
        <f t="shared" si="602"/>
        <v>0</v>
      </c>
      <c r="AG506" s="10">
        <f t="shared" si="602"/>
        <v>0</v>
      </c>
      <c r="AH506" s="10">
        <f t="shared" si="602"/>
        <v>0</v>
      </c>
      <c r="AI506" s="10">
        <f t="shared" si="602"/>
        <v>0</v>
      </c>
      <c r="AJ506" s="10">
        <f t="shared" si="602"/>
        <v>0</v>
      </c>
      <c r="AK506" s="10">
        <f t="shared" si="602"/>
        <v>0</v>
      </c>
      <c r="AL506" s="10">
        <f t="shared" si="602"/>
        <v>0</v>
      </c>
      <c r="AM506" s="10">
        <f t="shared" si="602"/>
        <v>0</v>
      </c>
      <c r="AN506" s="10">
        <f t="shared" si="602"/>
        <v>0</v>
      </c>
      <c r="AO506" s="10">
        <f t="shared" si="602"/>
        <v>0</v>
      </c>
      <c r="AP506" s="10">
        <f t="shared" si="602"/>
        <v>0</v>
      </c>
      <c r="AQ506" s="10">
        <f t="shared" si="602"/>
        <v>0</v>
      </c>
      <c r="AR506" s="10">
        <f t="shared" si="602"/>
        <v>0</v>
      </c>
      <c r="AS506" s="10">
        <f t="shared" si="602"/>
        <v>0</v>
      </c>
      <c r="AT506" s="10">
        <f t="shared" si="602"/>
        <v>0</v>
      </c>
      <c r="AU506" s="10">
        <f t="shared" si="602"/>
        <v>0</v>
      </c>
      <c r="AV506" s="10">
        <f t="shared" si="602"/>
        <v>0</v>
      </c>
      <c r="AW506" s="10">
        <f t="shared" si="602"/>
        <v>0</v>
      </c>
      <c r="AX506" s="10">
        <f t="shared" si="602"/>
        <v>0</v>
      </c>
      <c r="AY506" s="10">
        <f t="shared" si="602"/>
        <v>0</v>
      </c>
      <c r="AZ506" s="10">
        <f t="shared" si="602"/>
        <v>0</v>
      </c>
      <c r="BA506" s="10">
        <f t="shared" si="602"/>
        <v>0</v>
      </c>
      <c r="BB506" s="10">
        <f t="shared" si="602"/>
        <v>0</v>
      </c>
      <c r="BC506" s="10">
        <f t="shared" si="602"/>
        <v>0</v>
      </c>
      <c r="BD506" s="10">
        <f t="shared" si="602"/>
        <v>0</v>
      </c>
      <c r="BE506" s="10">
        <f t="shared" si="602"/>
        <v>0</v>
      </c>
      <c r="BF506" s="10">
        <f t="shared" si="602"/>
        <v>0</v>
      </c>
      <c r="BG506" s="10">
        <f t="shared" si="602"/>
        <v>0</v>
      </c>
      <c r="BH506" s="10">
        <f t="shared" si="602"/>
        <v>0</v>
      </c>
      <c r="BI506" s="10">
        <f t="shared" si="602"/>
        <v>0</v>
      </c>
      <c r="BJ506" s="10">
        <f t="shared" si="602"/>
        <v>0</v>
      </c>
      <c r="BL506" s="10">
        <f t="shared" ref="BL506" si="603">BL$166</f>
        <v>0</v>
      </c>
      <c r="BM506" s="10">
        <f t="shared" ref="BM506:BW506" si="604">BM$166</f>
        <v>0</v>
      </c>
      <c r="BN506" s="10">
        <f t="shared" si="604"/>
        <v>0</v>
      </c>
      <c r="BO506" s="10">
        <f t="shared" si="604"/>
        <v>0</v>
      </c>
      <c r="BP506" s="10">
        <f t="shared" si="604"/>
        <v>0</v>
      </c>
      <c r="BQ506" s="10">
        <f t="shared" si="604"/>
        <v>0</v>
      </c>
      <c r="BR506" s="10">
        <f t="shared" si="604"/>
        <v>0</v>
      </c>
      <c r="BS506" s="10">
        <f t="shared" si="604"/>
        <v>0</v>
      </c>
      <c r="BT506" s="10">
        <f t="shared" si="604"/>
        <v>0</v>
      </c>
      <c r="BU506" s="10">
        <f t="shared" si="604"/>
        <v>0</v>
      </c>
      <c r="BV506" s="10">
        <f t="shared" si="604"/>
        <v>0</v>
      </c>
      <c r="BW506" s="10">
        <f t="shared" si="604"/>
        <v>0</v>
      </c>
      <c r="BY506" s="12"/>
      <c r="BZ506" s="335"/>
      <c r="CA506" s="12"/>
      <c r="CB506" s="335"/>
      <c r="CC506" s="335"/>
      <c r="CD506" s="335"/>
      <c r="CE506" s="335"/>
      <c r="CM506" s="335"/>
      <c r="CN506" s="335"/>
      <c r="CO506" s="335"/>
      <c r="CP506" s="335"/>
      <c r="CR506" s="12"/>
      <c r="CT506" s="335"/>
      <c r="CU506" s="335"/>
      <c r="EW506" s="335"/>
      <c r="EX506" s="10" t="str">
        <f t="shared" si="523"/>
        <v/>
      </c>
    </row>
    <row r="507" spans="2:154" s="67" customFormat="1" x14ac:dyDescent="0.25">
      <c r="B507" s="84" t="str" cm="1">
        <f t="array" aca="1" ref="B507" ca="1">HYPERLINK(CONCATENATE("#",CELL("address",$D$180)),$D$180)</f>
        <v>Loan 8</v>
      </c>
      <c r="C507" s="380"/>
      <c r="D507" s="60">
        <f>D$20</f>
        <v>0</v>
      </c>
      <c r="E507" s="221">
        <f>E$20</f>
        <v>0</v>
      </c>
      <c r="G507" s="9" t="s">
        <v>413</v>
      </c>
      <c r="H507" s="50" t="s">
        <v>157</v>
      </c>
      <c r="S507" s="335"/>
      <c r="T507" s="335"/>
      <c r="U507" s="335"/>
      <c r="V507" s="201">
        <f>V$185</f>
        <v>0</v>
      </c>
      <c r="W507" s="10">
        <f>W$185</f>
        <v>0</v>
      </c>
      <c r="X507" s="10">
        <f>X$185</f>
        <v>0</v>
      </c>
      <c r="Y507" s="10">
        <f>Y$185</f>
        <v>0</v>
      </c>
      <c r="AA507" s="10">
        <f t="shared" ref="AA507:BJ507" si="605">AA$185</f>
        <v>0</v>
      </c>
      <c r="AB507" s="10">
        <f t="shared" si="605"/>
        <v>0</v>
      </c>
      <c r="AC507" s="10">
        <f t="shared" si="605"/>
        <v>0</v>
      </c>
      <c r="AD507" s="10">
        <f t="shared" si="605"/>
        <v>0</v>
      </c>
      <c r="AE507" s="10">
        <f t="shared" si="605"/>
        <v>0</v>
      </c>
      <c r="AF507" s="10">
        <f t="shared" si="605"/>
        <v>0</v>
      </c>
      <c r="AG507" s="10">
        <f t="shared" si="605"/>
        <v>0</v>
      </c>
      <c r="AH507" s="10">
        <f t="shared" si="605"/>
        <v>0</v>
      </c>
      <c r="AI507" s="10">
        <f t="shared" si="605"/>
        <v>0</v>
      </c>
      <c r="AJ507" s="10">
        <f t="shared" si="605"/>
        <v>0</v>
      </c>
      <c r="AK507" s="10">
        <f t="shared" si="605"/>
        <v>0</v>
      </c>
      <c r="AL507" s="10">
        <f t="shared" si="605"/>
        <v>0</v>
      </c>
      <c r="AM507" s="10">
        <f t="shared" si="605"/>
        <v>0</v>
      </c>
      <c r="AN507" s="10">
        <f t="shared" si="605"/>
        <v>0</v>
      </c>
      <c r="AO507" s="10">
        <f t="shared" si="605"/>
        <v>0</v>
      </c>
      <c r="AP507" s="10">
        <f t="shared" si="605"/>
        <v>0</v>
      </c>
      <c r="AQ507" s="10">
        <f t="shared" si="605"/>
        <v>0</v>
      </c>
      <c r="AR507" s="10">
        <f t="shared" si="605"/>
        <v>0</v>
      </c>
      <c r="AS507" s="10">
        <f t="shared" si="605"/>
        <v>0</v>
      </c>
      <c r="AT507" s="10">
        <f t="shared" si="605"/>
        <v>0</v>
      </c>
      <c r="AU507" s="10">
        <f t="shared" si="605"/>
        <v>0</v>
      </c>
      <c r="AV507" s="10">
        <f t="shared" si="605"/>
        <v>0</v>
      </c>
      <c r="AW507" s="10">
        <f t="shared" si="605"/>
        <v>0</v>
      </c>
      <c r="AX507" s="10">
        <f t="shared" si="605"/>
        <v>0</v>
      </c>
      <c r="AY507" s="10">
        <f t="shared" si="605"/>
        <v>0</v>
      </c>
      <c r="AZ507" s="10">
        <f t="shared" si="605"/>
        <v>0</v>
      </c>
      <c r="BA507" s="10">
        <f t="shared" si="605"/>
        <v>0</v>
      </c>
      <c r="BB507" s="10">
        <f t="shared" si="605"/>
        <v>0</v>
      </c>
      <c r="BC507" s="10">
        <f t="shared" si="605"/>
        <v>0</v>
      </c>
      <c r="BD507" s="10">
        <f t="shared" si="605"/>
        <v>0</v>
      </c>
      <c r="BE507" s="10">
        <f t="shared" si="605"/>
        <v>0</v>
      </c>
      <c r="BF507" s="10">
        <f t="shared" si="605"/>
        <v>0</v>
      </c>
      <c r="BG507" s="10">
        <f t="shared" si="605"/>
        <v>0</v>
      </c>
      <c r="BH507" s="10">
        <f t="shared" si="605"/>
        <v>0</v>
      </c>
      <c r="BI507" s="10">
        <f t="shared" si="605"/>
        <v>0</v>
      </c>
      <c r="BJ507" s="10">
        <f t="shared" si="605"/>
        <v>0</v>
      </c>
      <c r="BL507" s="10">
        <f t="shared" ref="BL507" si="606">BL$185</f>
        <v>0</v>
      </c>
      <c r="BM507" s="10">
        <f t="shared" ref="BM507:BW507" si="607">BM$185</f>
        <v>0</v>
      </c>
      <c r="BN507" s="10">
        <f t="shared" si="607"/>
        <v>0</v>
      </c>
      <c r="BO507" s="10">
        <f t="shared" si="607"/>
        <v>0</v>
      </c>
      <c r="BP507" s="10">
        <f t="shared" si="607"/>
        <v>0</v>
      </c>
      <c r="BQ507" s="10">
        <f t="shared" si="607"/>
        <v>0</v>
      </c>
      <c r="BR507" s="10">
        <f t="shared" si="607"/>
        <v>0</v>
      </c>
      <c r="BS507" s="10">
        <f t="shared" si="607"/>
        <v>0</v>
      </c>
      <c r="BT507" s="10">
        <f t="shared" si="607"/>
        <v>0</v>
      </c>
      <c r="BU507" s="10">
        <f t="shared" si="607"/>
        <v>0</v>
      </c>
      <c r="BV507" s="10">
        <f t="shared" si="607"/>
        <v>0</v>
      </c>
      <c r="BW507" s="10">
        <f t="shared" si="607"/>
        <v>0</v>
      </c>
      <c r="BY507" s="12"/>
      <c r="BZ507" s="335"/>
      <c r="CA507" s="12"/>
      <c r="CB507" s="335"/>
      <c r="CC507" s="335"/>
      <c r="CD507" s="335"/>
      <c r="CE507" s="335"/>
      <c r="CM507" s="335"/>
      <c r="CN507" s="335"/>
      <c r="CO507" s="335"/>
      <c r="CP507" s="335"/>
      <c r="CR507" s="12"/>
      <c r="CT507" s="335"/>
      <c r="CU507" s="335"/>
      <c r="EW507" s="335"/>
      <c r="EX507" s="10" t="str">
        <f t="shared" si="523"/>
        <v/>
      </c>
    </row>
    <row r="508" spans="2:154" s="67" customFormat="1" x14ac:dyDescent="0.25">
      <c r="B508" s="84" t="str" cm="1">
        <f t="array" aca="1" ref="B508" ca="1">HYPERLINK(CONCATENATE("#",CELL("address",$D$199)),$D$199)</f>
        <v>Loan 9</v>
      </c>
      <c r="C508" s="380"/>
      <c r="D508" s="60">
        <f>D$21</f>
        <v>0</v>
      </c>
      <c r="E508" s="221">
        <f>E$21</f>
        <v>0</v>
      </c>
      <c r="G508" s="9" t="s">
        <v>413</v>
      </c>
      <c r="H508" s="50" t="s">
        <v>157</v>
      </c>
      <c r="S508" s="335"/>
      <c r="T508" s="335"/>
      <c r="U508" s="335"/>
      <c r="V508" s="201">
        <f>V$204</f>
        <v>0</v>
      </c>
      <c r="W508" s="10">
        <f>W$204</f>
        <v>0</v>
      </c>
      <c r="X508" s="10">
        <f>X$204</f>
        <v>0</v>
      </c>
      <c r="Y508" s="10">
        <f>Y$204</f>
        <v>0</v>
      </c>
      <c r="AA508" s="10">
        <f t="shared" ref="AA508:BJ508" si="608">AA$204</f>
        <v>0</v>
      </c>
      <c r="AB508" s="10">
        <f t="shared" si="608"/>
        <v>0</v>
      </c>
      <c r="AC508" s="10">
        <f t="shared" si="608"/>
        <v>0</v>
      </c>
      <c r="AD508" s="10">
        <f t="shared" si="608"/>
        <v>0</v>
      </c>
      <c r="AE508" s="10">
        <f t="shared" si="608"/>
        <v>0</v>
      </c>
      <c r="AF508" s="10">
        <f t="shared" si="608"/>
        <v>0</v>
      </c>
      <c r="AG508" s="10">
        <f t="shared" si="608"/>
        <v>0</v>
      </c>
      <c r="AH508" s="10">
        <f t="shared" si="608"/>
        <v>0</v>
      </c>
      <c r="AI508" s="10">
        <f t="shared" si="608"/>
        <v>0</v>
      </c>
      <c r="AJ508" s="10">
        <f t="shared" si="608"/>
        <v>0</v>
      </c>
      <c r="AK508" s="10">
        <f t="shared" si="608"/>
        <v>0</v>
      </c>
      <c r="AL508" s="10">
        <f t="shared" si="608"/>
        <v>0</v>
      </c>
      <c r="AM508" s="10">
        <f t="shared" si="608"/>
        <v>0</v>
      </c>
      <c r="AN508" s="10">
        <f t="shared" si="608"/>
        <v>0</v>
      </c>
      <c r="AO508" s="10">
        <f t="shared" si="608"/>
        <v>0</v>
      </c>
      <c r="AP508" s="10">
        <f t="shared" si="608"/>
        <v>0</v>
      </c>
      <c r="AQ508" s="10">
        <f t="shared" si="608"/>
        <v>0</v>
      </c>
      <c r="AR508" s="10">
        <f t="shared" si="608"/>
        <v>0</v>
      </c>
      <c r="AS508" s="10">
        <f t="shared" si="608"/>
        <v>0</v>
      </c>
      <c r="AT508" s="10">
        <f t="shared" si="608"/>
        <v>0</v>
      </c>
      <c r="AU508" s="10">
        <f t="shared" si="608"/>
        <v>0</v>
      </c>
      <c r="AV508" s="10">
        <f t="shared" si="608"/>
        <v>0</v>
      </c>
      <c r="AW508" s="10">
        <f t="shared" si="608"/>
        <v>0</v>
      </c>
      <c r="AX508" s="10">
        <f t="shared" si="608"/>
        <v>0</v>
      </c>
      <c r="AY508" s="10">
        <f t="shared" si="608"/>
        <v>0</v>
      </c>
      <c r="AZ508" s="10">
        <f t="shared" si="608"/>
        <v>0</v>
      </c>
      <c r="BA508" s="10">
        <f t="shared" si="608"/>
        <v>0</v>
      </c>
      <c r="BB508" s="10">
        <f t="shared" si="608"/>
        <v>0</v>
      </c>
      <c r="BC508" s="10">
        <f t="shared" si="608"/>
        <v>0</v>
      </c>
      <c r="BD508" s="10">
        <f t="shared" si="608"/>
        <v>0</v>
      </c>
      <c r="BE508" s="10">
        <f t="shared" si="608"/>
        <v>0</v>
      </c>
      <c r="BF508" s="10">
        <f t="shared" si="608"/>
        <v>0</v>
      </c>
      <c r="BG508" s="10">
        <f t="shared" si="608"/>
        <v>0</v>
      </c>
      <c r="BH508" s="10">
        <f t="shared" si="608"/>
        <v>0</v>
      </c>
      <c r="BI508" s="10">
        <f t="shared" si="608"/>
        <v>0</v>
      </c>
      <c r="BJ508" s="10">
        <f t="shared" si="608"/>
        <v>0</v>
      </c>
      <c r="BL508" s="10">
        <f t="shared" ref="BL508" si="609">BL$204</f>
        <v>0</v>
      </c>
      <c r="BM508" s="10">
        <f t="shared" ref="BM508:BW508" si="610">BM$204</f>
        <v>0</v>
      </c>
      <c r="BN508" s="10">
        <f t="shared" si="610"/>
        <v>0</v>
      </c>
      <c r="BO508" s="10">
        <f t="shared" si="610"/>
        <v>0</v>
      </c>
      <c r="BP508" s="10">
        <f t="shared" si="610"/>
        <v>0</v>
      </c>
      <c r="BQ508" s="10">
        <f t="shared" si="610"/>
        <v>0</v>
      </c>
      <c r="BR508" s="10">
        <f t="shared" si="610"/>
        <v>0</v>
      </c>
      <c r="BS508" s="10">
        <f t="shared" si="610"/>
        <v>0</v>
      </c>
      <c r="BT508" s="10">
        <f t="shared" si="610"/>
        <v>0</v>
      </c>
      <c r="BU508" s="10">
        <f t="shared" si="610"/>
        <v>0</v>
      </c>
      <c r="BV508" s="10">
        <f t="shared" si="610"/>
        <v>0</v>
      </c>
      <c r="BW508" s="10">
        <f t="shared" si="610"/>
        <v>0</v>
      </c>
      <c r="BY508" s="12"/>
      <c r="BZ508" s="335"/>
      <c r="CA508" s="12"/>
      <c r="CB508" s="335"/>
      <c r="CC508" s="335"/>
      <c r="CD508" s="335"/>
      <c r="CE508" s="335"/>
      <c r="CM508" s="335"/>
      <c r="CN508" s="335"/>
      <c r="CO508" s="335"/>
      <c r="CP508" s="335"/>
      <c r="CR508" s="12"/>
      <c r="CT508" s="335"/>
      <c r="CU508" s="335"/>
      <c r="EW508" s="335"/>
      <c r="EX508" s="10" t="str">
        <f t="shared" si="523"/>
        <v/>
      </c>
    </row>
    <row r="509" spans="2:154" s="67" customFormat="1" x14ac:dyDescent="0.25">
      <c r="B509" s="84" t="str" cm="1">
        <f t="array" aca="1" ref="B509" ca="1">HYPERLINK(CONCATENATE("#",CELL("address",$D$218)),$D$218)</f>
        <v>Loan 10</v>
      </c>
      <c r="C509" s="380"/>
      <c r="D509" s="60">
        <f>D$22</f>
        <v>0</v>
      </c>
      <c r="E509" s="221">
        <f>E$22</f>
        <v>0</v>
      </c>
      <c r="G509" s="9" t="s">
        <v>413</v>
      </c>
      <c r="H509" s="50" t="s">
        <v>157</v>
      </c>
      <c r="S509" s="335"/>
      <c r="T509" s="335"/>
      <c r="U509" s="335"/>
      <c r="V509" s="201">
        <f>V$223</f>
        <v>0</v>
      </c>
      <c r="W509" s="10">
        <f>W$223</f>
        <v>0</v>
      </c>
      <c r="X509" s="10">
        <f>X$223</f>
        <v>0</v>
      </c>
      <c r="Y509" s="10">
        <f>Y$223</f>
        <v>0</v>
      </c>
      <c r="AA509" s="10">
        <f t="shared" ref="AA509:BJ509" si="611">AA$223</f>
        <v>0</v>
      </c>
      <c r="AB509" s="10">
        <f t="shared" si="611"/>
        <v>0</v>
      </c>
      <c r="AC509" s="10">
        <f t="shared" si="611"/>
        <v>0</v>
      </c>
      <c r="AD509" s="10">
        <f t="shared" si="611"/>
        <v>0</v>
      </c>
      <c r="AE509" s="10">
        <f t="shared" si="611"/>
        <v>0</v>
      </c>
      <c r="AF509" s="10">
        <f t="shared" si="611"/>
        <v>0</v>
      </c>
      <c r="AG509" s="10">
        <f t="shared" si="611"/>
        <v>0</v>
      </c>
      <c r="AH509" s="10">
        <f t="shared" si="611"/>
        <v>0</v>
      </c>
      <c r="AI509" s="10">
        <f t="shared" si="611"/>
        <v>0</v>
      </c>
      <c r="AJ509" s="10">
        <f t="shared" si="611"/>
        <v>0</v>
      </c>
      <c r="AK509" s="10">
        <f t="shared" si="611"/>
        <v>0</v>
      </c>
      <c r="AL509" s="10">
        <f t="shared" si="611"/>
        <v>0</v>
      </c>
      <c r="AM509" s="10">
        <f t="shared" si="611"/>
        <v>0</v>
      </c>
      <c r="AN509" s="10">
        <f t="shared" si="611"/>
        <v>0</v>
      </c>
      <c r="AO509" s="10">
        <f t="shared" si="611"/>
        <v>0</v>
      </c>
      <c r="AP509" s="10">
        <f t="shared" si="611"/>
        <v>0</v>
      </c>
      <c r="AQ509" s="10">
        <f t="shared" si="611"/>
        <v>0</v>
      </c>
      <c r="AR509" s="10">
        <f t="shared" si="611"/>
        <v>0</v>
      </c>
      <c r="AS509" s="10">
        <f t="shared" si="611"/>
        <v>0</v>
      </c>
      <c r="AT509" s="10">
        <f t="shared" si="611"/>
        <v>0</v>
      </c>
      <c r="AU509" s="10">
        <f t="shared" si="611"/>
        <v>0</v>
      </c>
      <c r="AV509" s="10">
        <f t="shared" si="611"/>
        <v>0</v>
      </c>
      <c r="AW509" s="10">
        <f t="shared" si="611"/>
        <v>0</v>
      </c>
      <c r="AX509" s="10">
        <f t="shared" si="611"/>
        <v>0</v>
      </c>
      <c r="AY509" s="10">
        <f t="shared" si="611"/>
        <v>0</v>
      </c>
      <c r="AZ509" s="10">
        <f t="shared" si="611"/>
        <v>0</v>
      </c>
      <c r="BA509" s="10">
        <f t="shared" si="611"/>
        <v>0</v>
      </c>
      <c r="BB509" s="10">
        <f t="shared" si="611"/>
        <v>0</v>
      </c>
      <c r="BC509" s="10">
        <f t="shared" si="611"/>
        <v>0</v>
      </c>
      <c r="BD509" s="10">
        <f t="shared" si="611"/>
        <v>0</v>
      </c>
      <c r="BE509" s="10">
        <f t="shared" si="611"/>
        <v>0</v>
      </c>
      <c r="BF509" s="10">
        <f t="shared" si="611"/>
        <v>0</v>
      </c>
      <c r="BG509" s="10">
        <f t="shared" si="611"/>
        <v>0</v>
      </c>
      <c r="BH509" s="10">
        <f t="shared" si="611"/>
        <v>0</v>
      </c>
      <c r="BI509" s="10">
        <f t="shared" si="611"/>
        <v>0</v>
      </c>
      <c r="BJ509" s="10">
        <f t="shared" si="611"/>
        <v>0</v>
      </c>
      <c r="BL509" s="10">
        <f t="shared" ref="BL509" si="612">BL$223</f>
        <v>0</v>
      </c>
      <c r="BM509" s="10">
        <f t="shared" ref="BM509:BW509" si="613">BM$223</f>
        <v>0</v>
      </c>
      <c r="BN509" s="10">
        <f t="shared" si="613"/>
        <v>0</v>
      </c>
      <c r="BO509" s="10">
        <f t="shared" si="613"/>
        <v>0</v>
      </c>
      <c r="BP509" s="10">
        <f t="shared" si="613"/>
        <v>0</v>
      </c>
      <c r="BQ509" s="10">
        <f t="shared" si="613"/>
        <v>0</v>
      </c>
      <c r="BR509" s="10">
        <f t="shared" si="613"/>
        <v>0</v>
      </c>
      <c r="BS509" s="10">
        <f t="shared" si="613"/>
        <v>0</v>
      </c>
      <c r="BT509" s="10">
        <f t="shared" si="613"/>
        <v>0</v>
      </c>
      <c r="BU509" s="10">
        <f t="shared" si="613"/>
        <v>0</v>
      </c>
      <c r="BV509" s="10">
        <f t="shared" si="613"/>
        <v>0</v>
      </c>
      <c r="BW509" s="10">
        <f t="shared" si="613"/>
        <v>0</v>
      </c>
      <c r="BY509" s="12"/>
      <c r="BZ509" s="335"/>
      <c r="CA509" s="12"/>
      <c r="CB509" s="335"/>
      <c r="CC509" s="335"/>
      <c r="CD509" s="335"/>
      <c r="CE509" s="335"/>
      <c r="CM509" s="335"/>
      <c r="CN509" s="335"/>
      <c r="CO509" s="335"/>
      <c r="CP509" s="335"/>
      <c r="CR509" s="12"/>
      <c r="CT509" s="335"/>
      <c r="CU509" s="335"/>
      <c r="EW509" s="335"/>
      <c r="EX509" s="10" t="str">
        <f t="shared" si="523"/>
        <v/>
      </c>
    </row>
    <row r="510" spans="2:154" s="67" customFormat="1" x14ac:dyDescent="0.25">
      <c r="B510" s="84" t="str" cm="1">
        <f t="array" aca="1" ref="B510" ca="1">HYPERLINK(CONCATENATE("#",CELL("address",$D$237)),$D$237)</f>
        <v>Loan 11</v>
      </c>
      <c r="C510" s="380"/>
      <c r="D510" s="60">
        <f>D$23</f>
        <v>0</v>
      </c>
      <c r="E510" s="221">
        <f>E$23</f>
        <v>0</v>
      </c>
      <c r="G510" s="9" t="s">
        <v>413</v>
      </c>
      <c r="H510" s="50" t="s">
        <v>157</v>
      </c>
      <c r="S510" s="335"/>
      <c r="T510" s="335"/>
      <c r="U510" s="335"/>
      <c r="V510" s="201">
        <f>V$242</f>
        <v>0</v>
      </c>
      <c r="W510" s="10">
        <f>W$242</f>
        <v>0</v>
      </c>
      <c r="X510" s="10">
        <f>X$242</f>
        <v>0</v>
      </c>
      <c r="Y510" s="10">
        <f>Y$242</f>
        <v>0</v>
      </c>
      <c r="AA510" s="10">
        <f t="shared" ref="AA510:BJ510" si="614">AA$242</f>
        <v>0</v>
      </c>
      <c r="AB510" s="10">
        <f t="shared" si="614"/>
        <v>0</v>
      </c>
      <c r="AC510" s="10">
        <f t="shared" si="614"/>
        <v>0</v>
      </c>
      <c r="AD510" s="10">
        <f t="shared" si="614"/>
        <v>0</v>
      </c>
      <c r="AE510" s="10">
        <f t="shared" si="614"/>
        <v>0</v>
      </c>
      <c r="AF510" s="10">
        <f t="shared" si="614"/>
        <v>0</v>
      </c>
      <c r="AG510" s="10">
        <f t="shared" si="614"/>
        <v>0</v>
      </c>
      <c r="AH510" s="10">
        <f t="shared" si="614"/>
        <v>0</v>
      </c>
      <c r="AI510" s="10">
        <f t="shared" si="614"/>
        <v>0</v>
      </c>
      <c r="AJ510" s="10">
        <f t="shared" si="614"/>
        <v>0</v>
      </c>
      <c r="AK510" s="10">
        <f t="shared" si="614"/>
        <v>0</v>
      </c>
      <c r="AL510" s="10">
        <f t="shared" si="614"/>
        <v>0</v>
      </c>
      <c r="AM510" s="10">
        <f t="shared" si="614"/>
        <v>0</v>
      </c>
      <c r="AN510" s="10">
        <f t="shared" si="614"/>
        <v>0</v>
      </c>
      <c r="AO510" s="10">
        <f t="shared" si="614"/>
        <v>0</v>
      </c>
      <c r="AP510" s="10">
        <f t="shared" si="614"/>
        <v>0</v>
      </c>
      <c r="AQ510" s="10">
        <f t="shared" si="614"/>
        <v>0</v>
      </c>
      <c r="AR510" s="10">
        <f t="shared" si="614"/>
        <v>0</v>
      </c>
      <c r="AS510" s="10">
        <f t="shared" si="614"/>
        <v>0</v>
      </c>
      <c r="AT510" s="10">
        <f t="shared" si="614"/>
        <v>0</v>
      </c>
      <c r="AU510" s="10">
        <f t="shared" si="614"/>
        <v>0</v>
      </c>
      <c r="AV510" s="10">
        <f t="shared" si="614"/>
        <v>0</v>
      </c>
      <c r="AW510" s="10">
        <f t="shared" si="614"/>
        <v>0</v>
      </c>
      <c r="AX510" s="10">
        <f t="shared" si="614"/>
        <v>0</v>
      </c>
      <c r="AY510" s="10">
        <f t="shared" si="614"/>
        <v>0</v>
      </c>
      <c r="AZ510" s="10">
        <f t="shared" si="614"/>
        <v>0</v>
      </c>
      <c r="BA510" s="10">
        <f t="shared" si="614"/>
        <v>0</v>
      </c>
      <c r="BB510" s="10">
        <f t="shared" si="614"/>
        <v>0</v>
      </c>
      <c r="BC510" s="10">
        <f t="shared" si="614"/>
        <v>0</v>
      </c>
      <c r="BD510" s="10">
        <f t="shared" si="614"/>
        <v>0</v>
      </c>
      <c r="BE510" s="10">
        <f t="shared" si="614"/>
        <v>0</v>
      </c>
      <c r="BF510" s="10">
        <f t="shared" si="614"/>
        <v>0</v>
      </c>
      <c r="BG510" s="10">
        <f t="shared" si="614"/>
        <v>0</v>
      </c>
      <c r="BH510" s="10">
        <f t="shared" si="614"/>
        <v>0</v>
      </c>
      <c r="BI510" s="10">
        <f t="shared" si="614"/>
        <v>0</v>
      </c>
      <c r="BJ510" s="10">
        <f t="shared" si="614"/>
        <v>0</v>
      </c>
      <c r="BL510" s="10">
        <f t="shared" ref="BL510" si="615">BL$242</f>
        <v>0</v>
      </c>
      <c r="BM510" s="10">
        <f t="shared" ref="BM510:BW510" si="616">BM$242</f>
        <v>0</v>
      </c>
      <c r="BN510" s="10">
        <f t="shared" si="616"/>
        <v>0</v>
      </c>
      <c r="BO510" s="10">
        <f t="shared" si="616"/>
        <v>0</v>
      </c>
      <c r="BP510" s="10">
        <f t="shared" si="616"/>
        <v>0</v>
      </c>
      <c r="BQ510" s="10">
        <f t="shared" si="616"/>
        <v>0</v>
      </c>
      <c r="BR510" s="10">
        <f t="shared" si="616"/>
        <v>0</v>
      </c>
      <c r="BS510" s="10">
        <f t="shared" si="616"/>
        <v>0</v>
      </c>
      <c r="BT510" s="10">
        <f t="shared" si="616"/>
        <v>0</v>
      </c>
      <c r="BU510" s="10">
        <f t="shared" si="616"/>
        <v>0</v>
      </c>
      <c r="BV510" s="10">
        <f t="shared" si="616"/>
        <v>0</v>
      </c>
      <c r="BW510" s="10">
        <f t="shared" si="616"/>
        <v>0</v>
      </c>
      <c r="BY510" s="12"/>
      <c r="BZ510" s="335"/>
      <c r="CA510" s="12"/>
      <c r="CB510" s="335"/>
      <c r="CC510" s="335"/>
      <c r="CD510" s="335"/>
      <c r="CE510" s="335"/>
      <c r="CM510" s="335"/>
      <c r="CN510" s="335"/>
      <c r="CO510" s="335"/>
      <c r="CP510" s="335"/>
      <c r="CR510" s="12"/>
      <c r="CT510" s="335"/>
      <c r="CU510" s="335"/>
      <c r="EW510" s="335"/>
      <c r="EX510" s="10" t="str">
        <f t="shared" si="523"/>
        <v/>
      </c>
    </row>
    <row r="511" spans="2:154" s="67" customFormat="1" x14ac:dyDescent="0.25">
      <c r="B511" s="84" t="str" cm="1">
        <f t="array" aca="1" ref="B511" ca="1">HYPERLINK(CONCATENATE("#",CELL("address",$D$256)),$D$256)</f>
        <v>Loan 12</v>
      </c>
      <c r="C511" s="380"/>
      <c r="D511" s="60">
        <f>D$24</f>
        <v>0</v>
      </c>
      <c r="E511" s="221">
        <f>E$24</f>
        <v>0</v>
      </c>
      <c r="G511" s="9" t="s">
        <v>413</v>
      </c>
      <c r="H511" s="50" t="s">
        <v>157</v>
      </c>
      <c r="S511" s="335"/>
      <c r="T511" s="335"/>
      <c r="U511" s="335"/>
      <c r="V511" s="201">
        <f>V$261</f>
        <v>0</v>
      </c>
      <c r="W511" s="10">
        <f>W$261</f>
        <v>0</v>
      </c>
      <c r="X511" s="10">
        <f>X$261</f>
        <v>0</v>
      </c>
      <c r="Y511" s="10">
        <f>Y$261</f>
        <v>0</v>
      </c>
      <c r="AA511" s="10">
        <f t="shared" ref="AA511:BJ511" si="617">AA$261</f>
        <v>0</v>
      </c>
      <c r="AB511" s="10">
        <f t="shared" si="617"/>
        <v>0</v>
      </c>
      <c r="AC511" s="10">
        <f t="shared" si="617"/>
        <v>0</v>
      </c>
      <c r="AD511" s="10">
        <f t="shared" si="617"/>
        <v>0</v>
      </c>
      <c r="AE511" s="10">
        <f t="shared" si="617"/>
        <v>0</v>
      </c>
      <c r="AF511" s="10">
        <f t="shared" si="617"/>
        <v>0</v>
      </c>
      <c r="AG511" s="10">
        <f t="shared" si="617"/>
        <v>0</v>
      </c>
      <c r="AH511" s="10">
        <f t="shared" si="617"/>
        <v>0</v>
      </c>
      <c r="AI511" s="10">
        <f t="shared" si="617"/>
        <v>0</v>
      </c>
      <c r="AJ511" s="10">
        <f t="shared" si="617"/>
        <v>0</v>
      </c>
      <c r="AK511" s="10">
        <f t="shared" si="617"/>
        <v>0</v>
      </c>
      <c r="AL511" s="10">
        <f t="shared" si="617"/>
        <v>0</v>
      </c>
      <c r="AM511" s="10">
        <f t="shared" si="617"/>
        <v>0</v>
      </c>
      <c r="AN511" s="10">
        <f t="shared" si="617"/>
        <v>0</v>
      </c>
      <c r="AO511" s="10">
        <f t="shared" si="617"/>
        <v>0</v>
      </c>
      <c r="AP511" s="10">
        <f t="shared" si="617"/>
        <v>0</v>
      </c>
      <c r="AQ511" s="10">
        <f t="shared" si="617"/>
        <v>0</v>
      </c>
      <c r="AR511" s="10">
        <f t="shared" si="617"/>
        <v>0</v>
      </c>
      <c r="AS511" s="10">
        <f t="shared" si="617"/>
        <v>0</v>
      </c>
      <c r="AT511" s="10">
        <f t="shared" si="617"/>
        <v>0</v>
      </c>
      <c r="AU511" s="10">
        <f t="shared" si="617"/>
        <v>0</v>
      </c>
      <c r="AV511" s="10">
        <f t="shared" si="617"/>
        <v>0</v>
      </c>
      <c r="AW511" s="10">
        <f t="shared" si="617"/>
        <v>0</v>
      </c>
      <c r="AX511" s="10">
        <f t="shared" si="617"/>
        <v>0</v>
      </c>
      <c r="AY511" s="10">
        <f t="shared" si="617"/>
        <v>0</v>
      </c>
      <c r="AZ511" s="10">
        <f t="shared" si="617"/>
        <v>0</v>
      </c>
      <c r="BA511" s="10">
        <f t="shared" si="617"/>
        <v>0</v>
      </c>
      <c r="BB511" s="10">
        <f t="shared" si="617"/>
        <v>0</v>
      </c>
      <c r="BC511" s="10">
        <f t="shared" si="617"/>
        <v>0</v>
      </c>
      <c r="BD511" s="10">
        <f t="shared" si="617"/>
        <v>0</v>
      </c>
      <c r="BE511" s="10">
        <f t="shared" si="617"/>
        <v>0</v>
      </c>
      <c r="BF511" s="10">
        <f t="shared" si="617"/>
        <v>0</v>
      </c>
      <c r="BG511" s="10">
        <f t="shared" si="617"/>
        <v>0</v>
      </c>
      <c r="BH511" s="10">
        <f t="shared" si="617"/>
        <v>0</v>
      </c>
      <c r="BI511" s="10">
        <f t="shared" si="617"/>
        <v>0</v>
      </c>
      <c r="BJ511" s="10">
        <f t="shared" si="617"/>
        <v>0</v>
      </c>
      <c r="BL511" s="10">
        <f t="shared" ref="BL511" si="618">BL$261</f>
        <v>0</v>
      </c>
      <c r="BM511" s="10">
        <f t="shared" ref="BM511:BW511" si="619">BM$261</f>
        <v>0</v>
      </c>
      <c r="BN511" s="10">
        <f t="shared" si="619"/>
        <v>0</v>
      </c>
      <c r="BO511" s="10">
        <f t="shared" si="619"/>
        <v>0</v>
      </c>
      <c r="BP511" s="10">
        <f t="shared" si="619"/>
        <v>0</v>
      </c>
      <c r="BQ511" s="10">
        <f t="shared" si="619"/>
        <v>0</v>
      </c>
      <c r="BR511" s="10">
        <f t="shared" si="619"/>
        <v>0</v>
      </c>
      <c r="BS511" s="10">
        <f t="shared" si="619"/>
        <v>0</v>
      </c>
      <c r="BT511" s="10">
        <f t="shared" si="619"/>
        <v>0</v>
      </c>
      <c r="BU511" s="10">
        <f t="shared" si="619"/>
        <v>0</v>
      </c>
      <c r="BV511" s="10">
        <f t="shared" si="619"/>
        <v>0</v>
      </c>
      <c r="BW511" s="10">
        <f t="shared" si="619"/>
        <v>0</v>
      </c>
      <c r="BY511" s="12"/>
      <c r="BZ511" s="335"/>
      <c r="CA511" s="12"/>
      <c r="CB511" s="335"/>
      <c r="CC511" s="335"/>
      <c r="CD511" s="335"/>
      <c r="CE511" s="335"/>
      <c r="CM511" s="335"/>
      <c r="CN511" s="335"/>
      <c r="CO511" s="335"/>
      <c r="CP511" s="335"/>
      <c r="CR511" s="12"/>
      <c r="CT511" s="335"/>
      <c r="CU511" s="335"/>
      <c r="EW511" s="335"/>
      <c r="EX511" s="10" t="str">
        <f t="shared" si="523"/>
        <v/>
      </c>
    </row>
    <row r="512" spans="2:154" s="67" customFormat="1" x14ac:dyDescent="0.25">
      <c r="B512" s="84" t="str" cm="1">
        <f t="array" aca="1" ref="B512" ca="1">HYPERLINK(CONCATENATE("#",CELL("address",$D$275)),$D$275)</f>
        <v>Loan 13</v>
      </c>
      <c r="C512" s="380"/>
      <c r="D512" s="60">
        <f>D$25</f>
        <v>0</v>
      </c>
      <c r="E512" s="221">
        <f>E$25</f>
        <v>0</v>
      </c>
      <c r="G512" s="9" t="s">
        <v>413</v>
      </c>
      <c r="H512" s="50" t="s">
        <v>157</v>
      </c>
      <c r="S512" s="335"/>
      <c r="T512" s="335"/>
      <c r="U512" s="335"/>
      <c r="V512" s="201">
        <f>V$280</f>
        <v>0</v>
      </c>
      <c r="W512" s="10">
        <f>W$280</f>
        <v>0</v>
      </c>
      <c r="X512" s="10">
        <f>X$280</f>
        <v>0</v>
      </c>
      <c r="Y512" s="10">
        <f>Y$280</f>
        <v>0</v>
      </c>
      <c r="AA512" s="10">
        <f t="shared" ref="AA512:BJ512" si="620">AA$280</f>
        <v>0</v>
      </c>
      <c r="AB512" s="10">
        <f t="shared" si="620"/>
        <v>0</v>
      </c>
      <c r="AC512" s="10">
        <f t="shared" si="620"/>
        <v>0</v>
      </c>
      <c r="AD512" s="10">
        <f t="shared" si="620"/>
        <v>0</v>
      </c>
      <c r="AE512" s="10">
        <f t="shared" si="620"/>
        <v>0</v>
      </c>
      <c r="AF512" s="10">
        <f t="shared" si="620"/>
        <v>0</v>
      </c>
      <c r="AG512" s="10">
        <f t="shared" si="620"/>
        <v>0</v>
      </c>
      <c r="AH512" s="10">
        <f t="shared" si="620"/>
        <v>0</v>
      </c>
      <c r="AI512" s="10">
        <f t="shared" si="620"/>
        <v>0</v>
      </c>
      <c r="AJ512" s="10">
        <f t="shared" si="620"/>
        <v>0</v>
      </c>
      <c r="AK512" s="10">
        <f t="shared" si="620"/>
        <v>0</v>
      </c>
      <c r="AL512" s="10">
        <f t="shared" si="620"/>
        <v>0</v>
      </c>
      <c r="AM512" s="10">
        <f t="shared" si="620"/>
        <v>0</v>
      </c>
      <c r="AN512" s="10">
        <f t="shared" si="620"/>
        <v>0</v>
      </c>
      <c r="AO512" s="10">
        <f t="shared" si="620"/>
        <v>0</v>
      </c>
      <c r="AP512" s="10">
        <f t="shared" si="620"/>
        <v>0</v>
      </c>
      <c r="AQ512" s="10">
        <f t="shared" si="620"/>
        <v>0</v>
      </c>
      <c r="AR512" s="10">
        <f t="shared" si="620"/>
        <v>0</v>
      </c>
      <c r="AS512" s="10">
        <f t="shared" si="620"/>
        <v>0</v>
      </c>
      <c r="AT512" s="10">
        <f t="shared" si="620"/>
        <v>0</v>
      </c>
      <c r="AU512" s="10">
        <f t="shared" si="620"/>
        <v>0</v>
      </c>
      <c r="AV512" s="10">
        <f t="shared" si="620"/>
        <v>0</v>
      </c>
      <c r="AW512" s="10">
        <f t="shared" si="620"/>
        <v>0</v>
      </c>
      <c r="AX512" s="10">
        <f t="shared" si="620"/>
        <v>0</v>
      </c>
      <c r="AY512" s="10">
        <f t="shared" si="620"/>
        <v>0</v>
      </c>
      <c r="AZ512" s="10">
        <f t="shared" si="620"/>
        <v>0</v>
      </c>
      <c r="BA512" s="10">
        <f t="shared" si="620"/>
        <v>0</v>
      </c>
      <c r="BB512" s="10">
        <f t="shared" si="620"/>
        <v>0</v>
      </c>
      <c r="BC512" s="10">
        <f t="shared" si="620"/>
        <v>0</v>
      </c>
      <c r="BD512" s="10">
        <f t="shared" si="620"/>
        <v>0</v>
      </c>
      <c r="BE512" s="10">
        <f t="shared" si="620"/>
        <v>0</v>
      </c>
      <c r="BF512" s="10">
        <f t="shared" si="620"/>
        <v>0</v>
      </c>
      <c r="BG512" s="10">
        <f t="shared" si="620"/>
        <v>0</v>
      </c>
      <c r="BH512" s="10">
        <f t="shared" si="620"/>
        <v>0</v>
      </c>
      <c r="BI512" s="10">
        <f t="shared" si="620"/>
        <v>0</v>
      </c>
      <c r="BJ512" s="10">
        <f t="shared" si="620"/>
        <v>0</v>
      </c>
      <c r="BL512" s="10">
        <f t="shared" ref="BL512" si="621">BL$280</f>
        <v>0</v>
      </c>
      <c r="BM512" s="10">
        <f t="shared" ref="BM512:BW512" si="622">BM$280</f>
        <v>0</v>
      </c>
      <c r="BN512" s="10">
        <f t="shared" si="622"/>
        <v>0</v>
      </c>
      <c r="BO512" s="10">
        <f t="shared" si="622"/>
        <v>0</v>
      </c>
      <c r="BP512" s="10">
        <f t="shared" si="622"/>
        <v>0</v>
      </c>
      <c r="BQ512" s="10">
        <f t="shared" si="622"/>
        <v>0</v>
      </c>
      <c r="BR512" s="10">
        <f t="shared" si="622"/>
        <v>0</v>
      </c>
      <c r="BS512" s="10">
        <f t="shared" si="622"/>
        <v>0</v>
      </c>
      <c r="BT512" s="10">
        <f t="shared" si="622"/>
        <v>0</v>
      </c>
      <c r="BU512" s="10">
        <f t="shared" si="622"/>
        <v>0</v>
      </c>
      <c r="BV512" s="10">
        <f t="shared" si="622"/>
        <v>0</v>
      </c>
      <c r="BW512" s="10">
        <f t="shared" si="622"/>
        <v>0</v>
      </c>
      <c r="BY512" s="12"/>
      <c r="BZ512" s="335"/>
      <c r="CA512" s="12"/>
      <c r="CB512" s="335"/>
      <c r="CC512" s="335"/>
      <c r="CD512" s="335"/>
      <c r="CE512" s="335"/>
      <c r="CM512" s="335"/>
      <c r="CN512" s="335"/>
      <c r="CO512" s="335"/>
      <c r="CP512" s="335"/>
      <c r="CR512" s="12"/>
      <c r="CT512" s="335"/>
      <c r="CU512" s="335"/>
      <c r="EW512" s="335"/>
      <c r="EX512" s="10" t="str">
        <f t="shared" si="523"/>
        <v/>
      </c>
    </row>
    <row r="513" spans="1:154" s="5" customFormat="1" x14ac:dyDescent="0.25">
      <c r="A513" s="67"/>
      <c r="B513" s="84" t="str" cm="1">
        <f t="array" aca="1" ref="B513" ca="1">HYPERLINK(CONCATENATE("#",CELL("address",$D$294)),$D$294)</f>
        <v>Loan 14</v>
      </c>
      <c r="C513" s="380"/>
      <c r="D513" s="60">
        <f>D$26</f>
        <v>0</v>
      </c>
      <c r="E513" s="221">
        <f>E$26</f>
        <v>0</v>
      </c>
      <c r="F513" s="67"/>
      <c r="G513" s="9" t="s">
        <v>413</v>
      </c>
      <c r="H513" s="50" t="s">
        <v>157</v>
      </c>
      <c r="I513" s="67"/>
      <c r="J513" s="67"/>
      <c r="K513" s="67"/>
      <c r="L513" s="67"/>
      <c r="M513" s="67"/>
      <c r="N513" s="67"/>
      <c r="O513" s="67"/>
      <c r="P513" s="67"/>
      <c r="Q513" s="67"/>
      <c r="R513" s="67"/>
      <c r="S513" s="335"/>
      <c r="T513" s="335"/>
      <c r="U513" s="335"/>
      <c r="V513" s="201">
        <f>V$299</f>
        <v>0</v>
      </c>
      <c r="W513" s="10">
        <f>W$299</f>
        <v>0</v>
      </c>
      <c r="X513" s="10">
        <f>X$299</f>
        <v>0</v>
      </c>
      <c r="Y513" s="10">
        <f>Y$299</f>
        <v>0</v>
      </c>
      <c r="Z513" s="67"/>
      <c r="AA513" s="10">
        <f t="shared" ref="AA513:BJ513" si="623">AA$299</f>
        <v>0</v>
      </c>
      <c r="AB513" s="10">
        <f t="shared" si="623"/>
        <v>0</v>
      </c>
      <c r="AC513" s="10">
        <f t="shared" si="623"/>
        <v>0</v>
      </c>
      <c r="AD513" s="10">
        <f t="shared" si="623"/>
        <v>0</v>
      </c>
      <c r="AE513" s="10">
        <f t="shared" si="623"/>
        <v>0</v>
      </c>
      <c r="AF513" s="10">
        <f t="shared" si="623"/>
        <v>0</v>
      </c>
      <c r="AG513" s="10">
        <f t="shared" si="623"/>
        <v>0</v>
      </c>
      <c r="AH513" s="10">
        <f t="shared" si="623"/>
        <v>0</v>
      </c>
      <c r="AI513" s="10">
        <f t="shared" si="623"/>
        <v>0</v>
      </c>
      <c r="AJ513" s="10">
        <f t="shared" si="623"/>
        <v>0</v>
      </c>
      <c r="AK513" s="10">
        <f t="shared" si="623"/>
        <v>0</v>
      </c>
      <c r="AL513" s="10">
        <f t="shared" si="623"/>
        <v>0</v>
      </c>
      <c r="AM513" s="10">
        <f t="shared" si="623"/>
        <v>0</v>
      </c>
      <c r="AN513" s="10">
        <f t="shared" si="623"/>
        <v>0</v>
      </c>
      <c r="AO513" s="10">
        <f t="shared" si="623"/>
        <v>0</v>
      </c>
      <c r="AP513" s="10">
        <f t="shared" si="623"/>
        <v>0</v>
      </c>
      <c r="AQ513" s="10">
        <f t="shared" si="623"/>
        <v>0</v>
      </c>
      <c r="AR513" s="10">
        <f t="shared" si="623"/>
        <v>0</v>
      </c>
      <c r="AS513" s="10">
        <f t="shared" si="623"/>
        <v>0</v>
      </c>
      <c r="AT513" s="10">
        <f t="shared" si="623"/>
        <v>0</v>
      </c>
      <c r="AU513" s="10">
        <f t="shared" si="623"/>
        <v>0</v>
      </c>
      <c r="AV513" s="10">
        <f t="shared" si="623"/>
        <v>0</v>
      </c>
      <c r="AW513" s="10">
        <f t="shared" si="623"/>
        <v>0</v>
      </c>
      <c r="AX513" s="10">
        <f t="shared" si="623"/>
        <v>0</v>
      </c>
      <c r="AY513" s="10">
        <f t="shared" si="623"/>
        <v>0</v>
      </c>
      <c r="AZ513" s="10">
        <f t="shared" si="623"/>
        <v>0</v>
      </c>
      <c r="BA513" s="10">
        <f t="shared" si="623"/>
        <v>0</v>
      </c>
      <c r="BB513" s="10">
        <f t="shared" si="623"/>
        <v>0</v>
      </c>
      <c r="BC513" s="10">
        <f t="shared" si="623"/>
        <v>0</v>
      </c>
      <c r="BD513" s="10">
        <f t="shared" si="623"/>
        <v>0</v>
      </c>
      <c r="BE513" s="10">
        <f t="shared" si="623"/>
        <v>0</v>
      </c>
      <c r="BF513" s="10">
        <f t="shared" si="623"/>
        <v>0</v>
      </c>
      <c r="BG513" s="10">
        <f t="shared" si="623"/>
        <v>0</v>
      </c>
      <c r="BH513" s="10">
        <f t="shared" si="623"/>
        <v>0</v>
      </c>
      <c r="BI513" s="10">
        <f t="shared" si="623"/>
        <v>0</v>
      </c>
      <c r="BJ513" s="10">
        <f t="shared" si="623"/>
        <v>0</v>
      </c>
      <c r="BK513" s="67"/>
      <c r="BL513" s="10">
        <f t="shared" ref="BL513" si="624">BL$299</f>
        <v>0</v>
      </c>
      <c r="BM513" s="10">
        <f t="shared" ref="BM513:BW513" si="625">BM$299</f>
        <v>0</v>
      </c>
      <c r="BN513" s="10">
        <f t="shared" si="625"/>
        <v>0</v>
      </c>
      <c r="BO513" s="10">
        <f t="shared" si="625"/>
        <v>0</v>
      </c>
      <c r="BP513" s="10">
        <f t="shared" si="625"/>
        <v>0</v>
      </c>
      <c r="BQ513" s="10">
        <f t="shared" si="625"/>
        <v>0</v>
      </c>
      <c r="BR513" s="10">
        <f t="shared" si="625"/>
        <v>0</v>
      </c>
      <c r="BS513" s="10">
        <f t="shared" si="625"/>
        <v>0</v>
      </c>
      <c r="BT513" s="10">
        <f t="shared" si="625"/>
        <v>0</v>
      </c>
      <c r="BU513" s="10">
        <f t="shared" si="625"/>
        <v>0</v>
      </c>
      <c r="BV513" s="10">
        <f t="shared" si="625"/>
        <v>0</v>
      </c>
      <c r="BW513" s="10">
        <f t="shared" si="625"/>
        <v>0</v>
      </c>
      <c r="BX513" s="67"/>
      <c r="BY513" s="12"/>
      <c r="BZ513" s="335"/>
      <c r="CA513" s="12"/>
      <c r="CB513" s="335"/>
      <c r="CC513" s="335"/>
      <c r="CD513" s="335"/>
      <c r="CE513" s="335"/>
      <c r="CF513" s="67"/>
      <c r="CG513" s="67"/>
      <c r="CH513" s="67"/>
      <c r="CI513" s="67"/>
      <c r="CJ513" s="67"/>
      <c r="CK513" s="67"/>
      <c r="CL513" s="67"/>
      <c r="CM513" s="335"/>
      <c r="CN513" s="335"/>
      <c r="CO513" s="335"/>
      <c r="CP513" s="335"/>
      <c r="CQ513" s="67"/>
      <c r="CR513" s="12"/>
      <c r="EX513" s="10" t="str">
        <f t="shared" si="523"/>
        <v/>
      </c>
    </row>
    <row r="514" spans="1:154" s="67" customFormat="1" x14ac:dyDescent="0.25">
      <c r="B514" s="84" t="str" cm="1">
        <f t="array" aca="1" ref="B514" ca="1">HYPERLINK(CONCATENATE("#",CELL("address",$D$313)),$D$313)</f>
        <v>Loan 15</v>
      </c>
      <c r="C514" s="380"/>
      <c r="D514" s="60">
        <f>D$27</f>
        <v>0</v>
      </c>
      <c r="E514" s="221">
        <f>E$27</f>
        <v>0</v>
      </c>
      <c r="G514" s="9" t="s">
        <v>413</v>
      </c>
      <c r="H514" s="50" t="s">
        <v>157</v>
      </c>
      <c r="S514" s="335"/>
      <c r="T514" s="335"/>
      <c r="U514" s="335"/>
      <c r="V514" s="201">
        <f>V$318</f>
        <v>0</v>
      </c>
      <c r="W514" s="10">
        <f>W$318</f>
        <v>0</v>
      </c>
      <c r="X514" s="10">
        <f>X$318</f>
        <v>0</v>
      </c>
      <c r="Y514" s="10">
        <f>Y$318</f>
        <v>0</v>
      </c>
      <c r="AA514" s="10">
        <f t="shared" ref="AA514:BJ514" si="626">AA$318</f>
        <v>0</v>
      </c>
      <c r="AB514" s="10">
        <f t="shared" si="626"/>
        <v>0</v>
      </c>
      <c r="AC514" s="10">
        <f t="shared" si="626"/>
        <v>0</v>
      </c>
      <c r="AD514" s="10">
        <f t="shared" si="626"/>
        <v>0</v>
      </c>
      <c r="AE514" s="10">
        <f t="shared" si="626"/>
        <v>0</v>
      </c>
      <c r="AF514" s="10">
        <f t="shared" si="626"/>
        <v>0</v>
      </c>
      <c r="AG514" s="10">
        <f t="shared" si="626"/>
        <v>0</v>
      </c>
      <c r="AH514" s="10">
        <f t="shared" si="626"/>
        <v>0</v>
      </c>
      <c r="AI514" s="10">
        <f t="shared" si="626"/>
        <v>0</v>
      </c>
      <c r="AJ514" s="10">
        <f t="shared" si="626"/>
        <v>0</v>
      </c>
      <c r="AK514" s="10">
        <f t="shared" si="626"/>
        <v>0</v>
      </c>
      <c r="AL514" s="10">
        <f t="shared" si="626"/>
        <v>0</v>
      </c>
      <c r="AM514" s="10">
        <f t="shared" si="626"/>
        <v>0</v>
      </c>
      <c r="AN514" s="10">
        <f t="shared" si="626"/>
        <v>0</v>
      </c>
      <c r="AO514" s="10">
        <f t="shared" si="626"/>
        <v>0</v>
      </c>
      <c r="AP514" s="10">
        <f t="shared" si="626"/>
        <v>0</v>
      </c>
      <c r="AQ514" s="10">
        <f t="shared" si="626"/>
        <v>0</v>
      </c>
      <c r="AR514" s="10">
        <f t="shared" si="626"/>
        <v>0</v>
      </c>
      <c r="AS514" s="10">
        <f t="shared" si="626"/>
        <v>0</v>
      </c>
      <c r="AT514" s="10">
        <f t="shared" si="626"/>
        <v>0</v>
      </c>
      <c r="AU514" s="10">
        <f t="shared" si="626"/>
        <v>0</v>
      </c>
      <c r="AV514" s="10">
        <f t="shared" si="626"/>
        <v>0</v>
      </c>
      <c r="AW514" s="10">
        <f t="shared" si="626"/>
        <v>0</v>
      </c>
      <c r="AX514" s="10">
        <f t="shared" si="626"/>
        <v>0</v>
      </c>
      <c r="AY514" s="10">
        <f t="shared" si="626"/>
        <v>0</v>
      </c>
      <c r="AZ514" s="10">
        <f t="shared" si="626"/>
        <v>0</v>
      </c>
      <c r="BA514" s="10">
        <f t="shared" si="626"/>
        <v>0</v>
      </c>
      <c r="BB514" s="10">
        <f t="shared" si="626"/>
        <v>0</v>
      </c>
      <c r="BC514" s="10">
        <f t="shared" si="626"/>
        <v>0</v>
      </c>
      <c r="BD514" s="10">
        <f t="shared" si="626"/>
        <v>0</v>
      </c>
      <c r="BE514" s="10">
        <f t="shared" si="626"/>
        <v>0</v>
      </c>
      <c r="BF514" s="10">
        <f t="shared" si="626"/>
        <v>0</v>
      </c>
      <c r="BG514" s="10">
        <f t="shared" si="626"/>
        <v>0</v>
      </c>
      <c r="BH514" s="10">
        <f t="shared" si="626"/>
        <v>0</v>
      </c>
      <c r="BI514" s="10">
        <f t="shared" si="626"/>
        <v>0</v>
      </c>
      <c r="BJ514" s="10">
        <f t="shared" si="626"/>
        <v>0</v>
      </c>
      <c r="BL514" s="10">
        <f t="shared" ref="BL514" si="627">BL$318</f>
        <v>0</v>
      </c>
      <c r="BM514" s="10">
        <f t="shared" ref="BM514:BW514" si="628">BM$318</f>
        <v>0</v>
      </c>
      <c r="BN514" s="10">
        <f t="shared" si="628"/>
        <v>0</v>
      </c>
      <c r="BO514" s="10">
        <f t="shared" si="628"/>
        <v>0</v>
      </c>
      <c r="BP514" s="10">
        <f t="shared" si="628"/>
        <v>0</v>
      </c>
      <c r="BQ514" s="10">
        <f t="shared" si="628"/>
        <v>0</v>
      </c>
      <c r="BR514" s="10">
        <f t="shared" si="628"/>
        <v>0</v>
      </c>
      <c r="BS514" s="10">
        <f t="shared" si="628"/>
        <v>0</v>
      </c>
      <c r="BT514" s="10">
        <f t="shared" si="628"/>
        <v>0</v>
      </c>
      <c r="BU514" s="10">
        <f t="shared" si="628"/>
        <v>0</v>
      </c>
      <c r="BV514" s="10">
        <f t="shared" si="628"/>
        <v>0</v>
      </c>
      <c r="BW514" s="10">
        <f t="shared" si="628"/>
        <v>0</v>
      </c>
      <c r="BY514" s="12"/>
      <c r="BZ514" s="335"/>
      <c r="CA514" s="12"/>
      <c r="CB514" s="335"/>
      <c r="CC514" s="335"/>
      <c r="CD514" s="335"/>
      <c r="CE514" s="335"/>
      <c r="CM514" s="335"/>
      <c r="CN514" s="335"/>
      <c r="CO514" s="335"/>
      <c r="CP514" s="335"/>
      <c r="CR514" s="12"/>
      <c r="CT514" s="335"/>
      <c r="CU514" s="335"/>
      <c r="EW514" s="335"/>
      <c r="EX514" s="10" t="str">
        <f t="shared" si="523"/>
        <v/>
      </c>
    </row>
    <row r="515" spans="1:154" s="67" customFormat="1" x14ac:dyDescent="0.25">
      <c r="B515" s="84" t="str" cm="1">
        <f t="array" aca="1" ref="B515" ca="1">HYPERLINK(CONCATENATE("#",CELL("address",$D$332)),$D$332)</f>
        <v>Loan 16</v>
      </c>
      <c r="C515" s="380"/>
      <c r="D515" s="60">
        <f>D$28</f>
        <v>0</v>
      </c>
      <c r="E515" s="221">
        <f>E$28</f>
        <v>0</v>
      </c>
      <c r="G515" s="9" t="s">
        <v>413</v>
      </c>
      <c r="H515" s="50" t="s">
        <v>157</v>
      </c>
      <c r="S515" s="335"/>
      <c r="T515" s="335"/>
      <c r="U515" s="335"/>
      <c r="V515" s="201">
        <f>V$337</f>
        <v>0</v>
      </c>
      <c r="W515" s="10">
        <f>W$337</f>
        <v>0</v>
      </c>
      <c r="X515" s="10">
        <f>X$337</f>
        <v>0</v>
      </c>
      <c r="Y515" s="10">
        <f>Y$337</f>
        <v>0</v>
      </c>
      <c r="AA515" s="10">
        <f t="shared" ref="AA515:BJ515" si="629">AA$337</f>
        <v>0</v>
      </c>
      <c r="AB515" s="10">
        <f t="shared" si="629"/>
        <v>0</v>
      </c>
      <c r="AC515" s="10">
        <f t="shared" si="629"/>
        <v>0</v>
      </c>
      <c r="AD515" s="10">
        <f t="shared" si="629"/>
        <v>0</v>
      </c>
      <c r="AE515" s="10">
        <f t="shared" si="629"/>
        <v>0</v>
      </c>
      <c r="AF515" s="10">
        <f t="shared" si="629"/>
        <v>0</v>
      </c>
      <c r="AG515" s="10">
        <f t="shared" si="629"/>
        <v>0</v>
      </c>
      <c r="AH515" s="10">
        <f t="shared" si="629"/>
        <v>0</v>
      </c>
      <c r="AI515" s="10">
        <f t="shared" si="629"/>
        <v>0</v>
      </c>
      <c r="AJ515" s="10">
        <f t="shared" si="629"/>
        <v>0</v>
      </c>
      <c r="AK515" s="10">
        <f t="shared" si="629"/>
        <v>0</v>
      </c>
      <c r="AL515" s="10">
        <f t="shared" si="629"/>
        <v>0</v>
      </c>
      <c r="AM515" s="10">
        <f t="shared" si="629"/>
        <v>0</v>
      </c>
      <c r="AN515" s="10">
        <f t="shared" si="629"/>
        <v>0</v>
      </c>
      <c r="AO515" s="10">
        <f t="shared" si="629"/>
        <v>0</v>
      </c>
      <c r="AP515" s="10">
        <f t="shared" si="629"/>
        <v>0</v>
      </c>
      <c r="AQ515" s="10">
        <f t="shared" si="629"/>
        <v>0</v>
      </c>
      <c r="AR515" s="10">
        <f t="shared" si="629"/>
        <v>0</v>
      </c>
      <c r="AS515" s="10">
        <f t="shared" si="629"/>
        <v>0</v>
      </c>
      <c r="AT515" s="10">
        <f t="shared" si="629"/>
        <v>0</v>
      </c>
      <c r="AU515" s="10">
        <f t="shared" si="629"/>
        <v>0</v>
      </c>
      <c r="AV515" s="10">
        <f t="shared" si="629"/>
        <v>0</v>
      </c>
      <c r="AW515" s="10">
        <f t="shared" si="629"/>
        <v>0</v>
      </c>
      <c r="AX515" s="10">
        <f t="shared" si="629"/>
        <v>0</v>
      </c>
      <c r="AY515" s="10">
        <f t="shared" si="629"/>
        <v>0</v>
      </c>
      <c r="AZ515" s="10">
        <f t="shared" si="629"/>
        <v>0</v>
      </c>
      <c r="BA515" s="10">
        <f t="shared" si="629"/>
        <v>0</v>
      </c>
      <c r="BB515" s="10">
        <f t="shared" si="629"/>
        <v>0</v>
      </c>
      <c r="BC515" s="10">
        <f t="shared" si="629"/>
        <v>0</v>
      </c>
      <c r="BD515" s="10">
        <f t="shared" si="629"/>
        <v>0</v>
      </c>
      <c r="BE515" s="10">
        <f t="shared" si="629"/>
        <v>0</v>
      </c>
      <c r="BF515" s="10">
        <f t="shared" si="629"/>
        <v>0</v>
      </c>
      <c r="BG515" s="10">
        <f t="shared" si="629"/>
        <v>0</v>
      </c>
      <c r="BH515" s="10">
        <f t="shared" si="629"/>
        <v>0</v>
      </c>
      <c r="BI515" s="10">
        <f t="shared" si="629"/>
        <v>0</v>
      </c>
      <c r="BJ515" s="10">
        <f t="shared" si="629"/>
        <v>0</v>
      </c>
      <c r="BL515" s="10">
        <f t="shared" ref="BL515" si="630">BL$337</f>
        <v>0</v>
      </c>
      <c r="BM515" s="10">
        <f t="shared" ref="BM515:BW515" si="631">BM$337</f>
        <v>0</v>
      </c>
      <c r="BN515" s="10">
        <f t="shared" si="631"/>
        <v>0</v>
      </c>
      <c r="BO515" s="10">
        <f t="shared" si="631"/>
        <v>0</v>
      </c>
      <c r="BP515" s="10">
        <f t="shared" si="631"/>
        <v>0</v>
      </c>
      <c r="BQ515" s="10">
        <f t="shared" si="631"/>
        <v>0</v>
      </c>
      <c r="BR515" s="10">
        <f t="shared" si="631"/>
        <v>0</v>
      </c>
      <c r="BS515" s="10">
        <f t="shared" si="631"/>
        <v>0</v>
      </c>
      <c r="BT515" s="10">
        <f t="shared" si="631"/>
        <v>0</v>
      </c>
      <c r="BU515" s="10">
        <f t="shared" si="631"/>
        <v>0</v>
      </c>
      <c r="BV515" s="10">
        <f t="shared" si="631"/>
        <v>0</v>
      </c>
      <c r="BW515" s="10">
        <f t="shared" si="631"/>
        <v>0</v>
      </c>
      <c r="BY515" s="12"/>
      <c r="BZ515" s="335"/>
      <c r="CA515" s="12"/>
      <c r="CB515" s="335"/>
      <c r="CC515" s="335"/>
      <c r="CD515" s="335"/>
      <c r="CE515" s="335"/>
      <c r="CM515" s="335"/>
      <c r="CN515" s="335"/>
      <c r="CO515" s="335"/>
      <c r="CP515" s="335"/>
      <c r="CR515" s="12"/>
      <c r="CT515" s="335"/>
      <c r="CU515" s="335"/>
      <c r="EW515" s="335"/>
      <c r="EX515" s="10" t="str">
        <f t="shared" si="523"/>
        <v/>
      </c>
    </row>
    <row r="516" spans="1:154" s="67" customFormat="1" x14ac:dyDescent="0.25">
      <c r="B516" s="84" t="str" cm="1">
        <f t="array" aca="1" ref="B516" ca="1">HYPERLINK(CONCATENATE("#",CELL("address",$D$351)),$D$351)</f>
        <v>Loan 17</v>
      </c>
      <c r="C516" s="380"/>
      <c r="D516" s="60">
        <f>D$29</f>
        <v>0</v>
      </c>
      <c r="E516" s="221">
        <f>E$29</f>
        <v>0</v>
      </c>
      <c r="G516" s="9" t="s">
        <v>413</v>
      </c>
      <c r="H516" s="50" t="s">
        <v>157</v>
      </c>
      <c r="S516" s="335"/>
      <c r="T516" s="335"/>
      <c r="U516" s="335"/>
      <c r="V516" s="201">
        <f>V$356</f>
        <v>0</v>
      </c>
      <c r="W516" s="10">
        <f>W$356</f>
        <v>0</v>
      </c>
      <c r="X516" s="10">
        <f>X$356</f>
        <v>0</v>
      </c>
      <c r="Y516" s="10">
        <f>Y$356</f>
        <v>0</v>
      </c>
      <c r="AA516" s="10">
        <f t="shared" ref="AA516:BJ516" si="632">AA$356</f>
        <v>0</v>
      </c>
      <c r="AB516" s="10">
        <f t="shared" si="632"/>
        <v>0</v>
      </c>
      <c r="AC516" s="10">
        <f t="shared" si="632"/>
        <v>0</v>
      </c>
      <c r="AD516" s="10">
        <f t="shared" si="632"/>
        <v>0</v>
      </c>
      <c r="AE516" s="10">
        <f t="shared" si="632"/>
        <v>0</v>
      </c>
      <c r="AF516" s="10">
        <f t="shared" si="632"/>
        <v>0</v>
      </c>
      <c r="AG516" s="10">
        <f t="shared" si="632"/>
        <v>0</v>
      </c>
      <c r="AH516" s="10">
        <f t="shared" si="632"/>
        <v>0</v>
      </c>
      <c r="AI516" s="10">
        <f t="shared" si="632"/>
        <v>0</v>
      </c>
      <c r="AJ516" s="10">
        <f t="shared" si="632"/>
        <v>0</v>
      </c>
      <c r="AK516" s="10">
        <f t="shared" si="632"/>
        <v>0</v>
      </c>
      <c r="AL516" s="10">
        <f t="shared" si="632"/>
        <v>0</v>
      </c>
      <c r="AM516" s="10">
        <f t="shared" si="632"/>
        <v>0</v>
      </c>
      <c r="AN516" s="10">
        <f t="shared" si="632"/>
        <v>0</v>
      </c>
      <c r="AO516" s="10">
        <f t="shared" si="632"/>
        <v>0</v>
      </c>
      <c r="AP516" s="10">
        <f t="shared" si="632"/>
        <v>0</v>
      </c>
      <c r="AQ516" s="10">
        <f t="shared" si="632"/>
        <v>0</v>
      </c>
      <c r="AR516" s="10">
        <f t="shared" si="632"/>
        <v>0</v>
      </c>
      <c r="AS516" s="10">
        <f t="shared" si="632"/>
        <v>0</v>
      </c>
      <c r="AT516" s="10">
        <f t="shared" si="632"/>
        <v>0</v>
      </c>
      <c r="AU516" s="10">
        <f t="shared" si="632"/>
        <v>0</v>
      </c>
      <c r="AV516" s="10">
        <f t="shared" si="632"/>
        <v>0</v>
      </c>
      <c r="AW516" s="10">
        <f t="shared" si="632"/>
        <v>0</v>
      </c>
      <c r="AX516" s="10">
        <f t="shared" si="632"/>
        <v>0</v>
      </c>
      <c r="AY516" s="10">
        <f t="shared" si="632"/>
        <v>0</v>
      </c>
      <c r="AZ516" s="10">
        <f t="shared" si="632"/>
        <v>0</v>
      </c>
      <c r="BA516" s="10">
        <f t="shared" si="632"/>
        <v>0</v>
      </c>
      <c r="BB516" s="10">
        <f t="shared" si="632"/>
        <v>0</v>
      </c>
      <c r="BC516" s="10">
        <f t="shared" si="632"/>
        <v>0</v>
      </c>
      <c r="BD516" s="10">
        <f t="shared" si="632"/>
        <v>0</v>
      </c>
      <c r="BE516" s="10">
        <f t="shared" si="632"/>
        <v>0</v>
      </c>
      <c r="BF516" s="10">
        <f t="shared" si="632"/>
        <v>0</v>
      </c>
      <c r="BG516" s="10">
        <f t="shared" si="632"/>
        <v>0</v>
      </c>
      <c r="BH516" s="10">
        <f t="shared" si="632"/>
        <v>0</v>
      </c>
      <c r="BI516" s="10">
        <f t="shared" si="632"/>
        <v>0</v>
      </c>
      <c r="BJ516" s="10">
        <f t="shared" si="632"/>
        <v>0</v>
      </c>
      <c r="BL516" s="10">
        <f t="shared" ref="BL516" si="633">BL$356</f>
        <v>0</v>
      </c>
      <c r="BM516" s="10">
        <f t="shared" ref="BM516:BW516" si="634">BM$356</f>
        <v>0</v>
      </c>
      <c r="BN516" s="10">
        <f t="shared" si="634"/>
        <v>0</v>
      </c>
      <c r="BO516" s="10">
        <f t="shared" si="634"/>
        <v>0</v>
      </c>
      <c r="BP516" s="10">
        <f t="shared" si="634"/>
        <v>0</v>
      </c>
      <c r="BQ516" s="10">
        <f t="shared" si="634"/>
        <v>0</v>
      </c>
      <c r="BR516" s="10">
        <f t="shared" si="634"/>
        <v>0</v>
      </c>
      <c r="BS516" s="10">
        <f t="shared" si="634"/>
        <v>0</v>
      </c>
      <c r="BT516" s="10">
        <f t="shared" si="634"/>
        <v>0</v>
      </c>
      <c r="BU516" s="10">
        <f t="shared" si="634"/>
        <v>0</v>
      </c>
      <c r="BV516" s="10">
        <f t="shared" si="634"/>
        <v>0</v>
      </c>
      <c r="BW516" s="10">
        <f t="shared" si="634"/>
        <v>0</v>
      </c>
      <c r="BY516" s="12"/>
      <c r="BZ516" s="335"/>
      <c r="CA516" s="12"/>
      <c r="CB516" s="335"/>
      <c r="CC516" s="335"/>
      <c r="CD516" s="335"/>
      <c r="CE516" s="335"/>
      <c r="CM516" s="335"/>
      <c r="CN516" s="335"/>
      <c r="CO516" s="335"/>
      <c r="CP516" s="335"/>
      <c r="CR516" s="12"/>
      <c r="CT516" s="335"/>
      <c r="CU516" s="335"/>
      <c r="EW516" s="335"/>
      <c r="EX516" s="10" t="str">
        <f t="shared" si="523"/>
        <v/>
      </c>
    </row>
    <row r="517" spans="1:154" s="67" customFormat="1" x14ac:dyDescent="0.25">
      <c r="B517" s="84" t="str" cm="1">
        <f t="array" aca="1" ref="B517" ca="1">HYPERLINK(CONCATENATE("#",CELL("address",$D$370)),$D$370)</f>
        <v>Loan 18</v>
      </c>
      <c r="C517" s="380"/>
      <c r="D517" s="60">
        <f>D$30</f>
        <v>0</v>
      </c>
      <c r="E517" s="221">
        <f>E$30</f>
        <v>0</v>
      </c>
      <c r="G517" s="9" t="s">
        <v>413</v>
      </c>
      <c r="H517" s="50" t="s">
        <v>157</v>
      </c>
      <c r="S517" s="335"/>
      <c r="T517" s="335"/>
      <c r="U517" s="335"/>
      <c r="V517" s="201">
        <f>V$375</f>
        <v>0</v>
      </c>
      <c r="W517" s="10">
        <f>W$375</f>
        <v>0</v>
      </c>
      <c r="X517" s="10">
        <f>X$375</f>
        <v>0</v>
      </c>
      <c r="Y517" s="10">
        <f>Y$375</f>
        <v>0</v>
      </c>
      <c r="AA517" s="10">
        <f t="shared" ref="AA517:BJ517" si="635">AA$375</f>
        <v>0</v>
      </c>
      <c r="AB517" s="10">
        <f t="shared" si="635"/>
        <v>0</v>
      </c>
      <c r="AC517" s="10">
        <f t="shared" si="635"/>
        <v>0</v>
      </c>
      <c r="AD517" s="10">
        <f t="shared" si="635"/>
        <v>0</v>
      </c>
      <c r="AE517" s="10">
        <f t="shared" si="635"/>
        <v>0</v>
      </c>
      <c r="AF517" s="10">
        <f t="shared" si="635"/>
        <v>0</v>
      </c>
      <c r="AG517" s="10">
        <f t="shared" si="635"/>
        <v>0</v>
      </c>
      <c r="AH517" s="10">
        <f t="shared" si="635"/>
        <v>0</v>
      </c>
      <c r="AI517" s="10">
        <f t="shared" si="635"/>
        <v>0</v>
      </c>
      <c r="AJ517" s="10">
        <f t="shared" si="635"/>
        <v>0</v>
      </c>
      <c r="AK517" s="10">
        <f t="shared" si="635"/>
        <v>0</v>
      </c>
      <c r="AL517" s="10">
        <f t="shared" si="635"/>
        <v>0</v>
      </c>
      <c r="AM517" s="10">
        <f t="shared" si="635"/>
        <v>0</v>
      </c>
      <c r="AN517" s="10">
        <f t="shared" si="635"/>
        <v>0</v>
      </c>
      <c r="AO517" s="10">
        <f t="shared" si="635"/>
        <v>0</v>
      </c>
      <c r="AP517" s="10">
        <f t="shared" si="635"/>
        <v>0</v>
      </c>
      <c r="AQ517" s="10">
        <f t="shared" si="635"/>
        <v>0</v>
      </c>
      <c r="AR517" s="10">
        <f t="shared" si="635"/>
        <v>0</v>
      </c>
      <c r="AS517" s="10">
        <f t="shared" si="635"/>
        <v>0</v>
      </c>
      <c r="AT517" s="10">
        <f t="shared" si="635"/>
        <v>0</v>
      </c>
      <c r="AU517" s="10">
        <f t="shared" si="635"/>
        <v>0</v>
      </c>
      <c r="AV517" s="10">
        <f t="shared" si="635"/>
        <v>0</v>
      </c>
      <c r="AW517" s="10">
        <f t="shared" si="635"/>
        <v>0</v>
      </c>
      <c r="AX517" s="10">
        <f t="shared" si="635"/>
        <v>0</v>
      </c>
      <c r="AY517" s="10">
        <f t="shared" si="635"/>
        <v>0</v>
      </c>
      <c r="AZ517" s="10">
        <f t="shared" si="635"/>
        <v>0</v>
      </c>
      <c r="BA517" s="10">
        <f t="shared" si="635"/>
        <v>0</v>
      </c>
      <c r="BB517" s="10">
        <f t="shared" si="635"/>
        <v>0</v>
      </c>
      <c r="BC517" s="10">
        <f t="shared" si="635"/>
        <v>0</v>
      </c>
      <c r="BD517" s="10">
        <f t="shared" si="635"/>
        <v>0</v>
      </c>
      <c r="BE517" s="10">
        <f t="shared" si="635"/>
        <v>0</v>
      </c>
      <c r="BF517" s="10">
        <f t="shared" si="635"/>
        <v>0</v>
      </c>
      <c r="BG517" s="10">
        <f t="shared" si="635"/>
        <v>0</v>
      </c>
      <c r="BH517" s="10">
        <f t="shared" si="635"/>
        <v>0</v>
      </c>
      <c r="BI517" s="10">
        <f t="shared" si="635"/>
        <v>0</v>
      </c>
      <c r="BJ517" s="10">
        <f t="shared" si="635"/>
        <v>0</v>
      </c>
      <c r="BL517" s="10">
        <f t="shared" ref="BL517" si="636">BL$375</f>
        <v>0</v>
      </c>
      <c r="BM517" s="10">
        <f t="shared" ref="BM517:BW517" si="637">BM$375</f>
        <v>0</v>
      </c>
      <c r="BN517" s="10">
        <f t="shared" si="637"/>
        <v>0</v>
      </c>
      <c r="BO517" s="10">
        <f t="shared" si="637"/>
        <v>0</v>
      </c>
      <c r="BP517" s="10">
        <f t="shared" si="637"/>
        <v>0</v>
      </c>
      <c r="BQ517" s="10">
        <f t="shared" si="637"/>
        <v>0</v>
      </c>
      <c r="BR517" s="10">
        <f t="shared" si="637"/>
        <v>0</v>
      </c>
      <c r="BS517" s="10">
        <f t="shared" si="637"/>
        <v>0</v>
      </c>
      <c r="BT517" s="10">
        <f t="shared" si="637"/>
        <v>0</v>
      </c>
      <c r="BU517" s="10">
        <f t="shared" si="637"/>
        <v>0</v>
      </c>
      <c r="BV517" s="10">
        <f t="shared" si="637"/>
        <v>0</v>
      </c>
      <c r="BW517" s="10">
        <f t="shared" si="637"/>
        <v>0</v>
      </c>
      <c r="BY517" s="12"/>
      <c r="BZ517" s="335"/>
      <c r="CA517" s="12"/>
      <c r="CB517" s="335"/>
      <c r="CC517" s="335"/>
      <c r="CD517" s="335"/>
      <c r="CE517" s="335"/>
      <c r="CM517" s="335"/>
      <c r="CN517" s="335"/>
      <c r="CO517" s="335"/>
      <c r="CP517" s="335"/>
      <c r="CR517" s="12"/>
      <c r="CT517" s="335"/>
      <c r="CU517" s="335"/>
      <c r="EW517" s="335"/>
      <c r="EX517" s="10" t="str">
        <f t="shared" ref="EX517:EX580" si="638">IF($C517="","",$D517)</f>
        <v/>
      </c>
    </row>
    <row r="518" spans="1:154" s="67" customFormat="1" x14ac:dyDescent="0.25">
      <c r="B518" s="84" t="str" cm="1">
        <f t="array" aca="1" ref="B518" ca="1">HYPERLINK(CONCATENATE("#",CELL("address",$D$389)),$D$389)</f>
        <v>Loan 19</v>
      </c>
      <c r="C518" s="380"/>
      <c r="D518" s="60">
        <f>D$31</f>
        <v>0</v>
      </c>
      <c r="E518" s="221">
        <f>E$31</f>
        <v>0</v>
      </c>
      <c r="G518" s="9" t="s">
        <v>413</v>
      </c>
      <c r="H518" s="50" t="s">
        <v>157</v>
      </c>
      <c r="S518" s="335"/>
      <c r="T518" s="335"/>
      <c r="U518" s="335"/>
      <c r="V518" s="201">
        <f>V$394</f>
        <v>0</v>
      </c>
      <c r="W518" s="10">
        <f>W$394</f>
        <v>0</v>
      </c>
      <c r="X518" s="10">
        <f>X$394</f>
        <v>0</v>
      </c>
      <c r="Y518" s="10">
        <f>Y$394</f>
        <v>0</v>
      </c>
      <c r="AA518" s="10">
        <f t="shared" ref="AA518:BJ518" si="639">AA$394</f>
        <v>0</v>
      </c>
      <c r="AB518" s="10">
        <f t="shared" si="639"/>
        <v>0</v>
      </c>
      <c r="AC518" s="10">
        <f t="shared" si="639"/>
        <v>0</v>
      </c>
      <c r="AD518" s="10">
        <f t="shared" si="639"/>
        <v>0</v>
      </c>
      <c r="AE518" s="10">
        <f t="shared" si="639"/>
        <v>0</v>
      </c>
      <c r="AF518" s="10">
        <f t="shared" si="639"/>
        <v>0</v>
      </c>
      <c r="AG518" s="10">
        <f t="shared" si="639"/>
        <v>0</v>
      </c>
      <c r="AH518" s="10">
        <f t="shared" si="639"/>
        <v>0</v>
      </c>
      <c r="AI518" s="10">
        <f t="shared" si="639"/>
        <v>0</v>
      </c>
      <c r="AJ518" s="10">
        <f t="shared" si="639"/>
        <v>0</v>
      </c>
      <c r="AK518" s="10">
        <f t="shared" si="639"/>
        <v>0</v>
      </c>
      <c r="AL518" s="10">
        <f t="shared" si="639"/>
        <v>0</v>
      </c>
      <c r="AM518" s="10">
        <f t="shared" si="639"/>
        <v>0</v>
      </c>
      <c r="AN518" s="10">
        <f t="shared" si="639"/>
        <v>0</v>
      </c>
      <c r="AO518" s="10">
        <f t="shared" si="639"/>
        <v>0</v>
      </c>
      <c r="AP518" s="10">
        <f t="shared" si="639"/>
        <v>0</v>
      </c>
      <c r="AQ518" s="10">
        <f t="shared" si="639"/>
        <v>0</v>
      </c>
      <c r="AR518" s="10">
        <f t="shared" si="639"/>
        <v>0</v>
      </c>
      <c r="AS518" s="10">
        <f t="shared" si="639"/>
        <v>0</v>
      </c>
      <c r="AT518" s="10">
        <f t="shared" si="639"/>
        <v>0</v>
      </c>
      <c r="AU518" s="10">
        <f t="shared" si="639"/>
        <v>0</v>
      </c>
      <c r="AV518" s="10">
        <f t="shared" si="639"/>
        <v>0</v>
      </c>
      <c r="AW518" s="10">
        <f t="shared" si="639"/>
        <v>0</v>
      </c>
      <c r="AX518" s="10">
        <f t="shared" si="639"/>
        <v>0</v>
      </c>
      <c r="AY518" s="10">
        <f t="shared" si="639"/>
        <v>0</v>
      </c>
      <c r="AZ518" s="10">
        <f t="shared" si="639"/>
        <v>0</v>
      </c>
      <c r="BA518" s="10">
        <f t="shared" si="639"/>
        <v>0</v>
      </c>
      <c r="BB518" s="10">
        <f t="shared" si="639"/>
        <v>0</v>
      </c>
      <c r="BC518" s="10">
        <f t="shared" si="639"/>
        <v>0</v>
      </c>
      <c r="BD518" s="10">
        <f t="shared" si="639"/>
        <v>0</v>
      </c>
      <c r="BE518" s="10">
        <f t="shared" si="639"/>
        <v>0</v>
      </c>
      <c r="BF518" s="10">
        <f t="shared" si="639"/>
        <v>0</v>
      </c>
      <c r="BG518" s="10">
        <f t="shared" si="639"/>
        <v>0</v>
      </c>
      <c r="BH518" s="10">
        <f t="shared" si="639"/>
        <v>0</v>
      </c>
      <c r="BI518" s="10">
        <f t="shared" si="639"/>
        <v>0</v>
      </c>
      <c r="BJ518" s="10">
        <f t="shared" si="639"/>
        <v>0</v>
      </c>
      <c r="BL518" s="10">
        <f t="shared" ref="BL518" si="640">BL$394</f>
        <v>0</v>
      </c>
      <c r="BM518" s="10">
        <f t="shared" ref="BM518:BW518" si="641">BM$394</f>
        <v>0</v>
      </c>
      <c r="BN518" s="10">
        <f t="shared" si="641"/>
        <v>0</v>
      </c>
      <c r="BO518" s="10">
        <f t="shared" si="641"/>
        <v>0</v>
      </c>
      <c r="BP518" s="10">
        <f t="shared" si="641"/>
        <v>0</v>
      </c>
      <c r="BQ518" s="10">
        <f t="shared" si="641"/>
        <v>0</v>
      </c>
      <c r="BR518" s="10">
        <f t="shared" si="641"/>
        <v>0</v>
      </c>
      <c r="BS518" s="10">
        <f t="shared" si="641"/>
        <v>0</v>
      </c>
      <c r="BT518" s="10">
        <f t="shared" si="641"/>
        <v>0</v>
      </c>
      <c r="BU518" s="10">
        <f t="shared" si="641"/>
        <v>0</v>
      </c>
      <c r="BV518" s="10">
        <f t="shared" si="641"/>
        <v>0</v>
      </c>
      <c r="BW518" s="10">
        <f t="shared" si="641"/>
        <v>0</v>
      </c>
      <c r="BY518" s="12"/>
      <c r="BZ518" s="335"/>
      <c r="CA518" s="12"/>
      <c r="CB518" s="335"/>
      <c r="CC518" s="335"/>
      <c r="CD518" s="335"/>
      <c r="CE518" s="335"/>
      <c r="CM518" s="335"/>
      <c r="CN518" s="335"/>
      <c r="CO518" s="335"/>
      <c r="CP518" s="335"/>
      <c r="CR518" s="12"/>
      <c r="CT518" s="335"/>
      <c r="CU518" s="335"/>
      <c r="EW518" s="335"/>
      <c r="EX518" s="10" t="str">
        <f t="shared" si="638"/>
        <v/>
      </c>
    </row>
    <row r="519" spans="1:154" s="67" customFormat="1" x14ac:dyDescent="0.25">
      <c r="B519" s="84" t="str" cm="1">
        <f t="array" aca="1" ref="B519" ca="1">HYPERLINK(CONCATENATE("#",CELL("address",$D$408)),$D$408)</f>
        <v>Loan 20</v>
      </c>
      <c r="C519" s="380"/>
      <c r="D519" s="60">
        <f>D$32</f>
        <v>0</v>
      </c>
      <c r="E519" s="221">
        <f>E$32</f>
        <v>0</v>
      </c>
      <c r="G519" s="9" t="s">
        <v>413</v>
      </c>
      <c r="H519" s="50" t="s">
        <v>157</v>
      </c>
      <c r="S519" s="335"/>
      <c r="T519" s="335"/>
      <c r="U519" s="335"/>
      <c r="V519" s="201">
        <f>V$413</f>
        <v>0</v>
      </c>
      <c r="W519" s="10">
        <f>W$413</f>
        <v>0</v>
      </c>
      <c r="X519" s="10">
        <f>X$413</f>
        <v>0</v>
      </c>
      <c r="Y519" s="10">
        <f>Y$413</f>
        <v>0</v>
      </c>
      <c r="AA519" s="10">
        <f t="shared" ref="AA519:BJ519" si="642">AA$413</f>
        <v>0</v>
      </c>
      <c r="AB519" s="10">
        <f t="shared" si="642"/>
        <v>0</v>
      </c>
      <c r="AC519" s="10">
        <f t="shared" si="642"/>
        <v>0</v>
      </c>
      <c r="AD519" s="10">
        <f t="shared" si="642"/>
        <v>0</v>
      </c>
      <c r="AE519" s="10">
        <f t="shared" si="642"/>
        <v>0</v>
      </c>
      <c r="AF519" s="10">
        <f t="shared" si="642"/>
        <v>0</v>
      </c>
      <c r="AG519" s="10">
        <f t="shared" si="642"/>
        <v>0</v>
      </c>
      <c r="AH519" s="10">
        <f t="shared" si="642"/>
        <v>0</v>
      </c>
      <c r="AI519" s="10">
        <f t="shared" si="642"/>
        <v>0</v>
      </c>
      <c r="AJ519" s="10">
        <f t="shared" si="642"/>
        <v>0</v>
      </c>
      <c r="AK519" s="10">
        <f t="shared" si="642"/>
        <v>0</v>
      </c>
      <c r="AL519" s="10">
        <f t="shared" si="642"/>
        <v>0</v>
      </c>
      <c r="AM519" s="10">
        <f t="shared" si="642"/>
        <v>0</v>
      </c>
      <c r="AN519" s="10">
        <f t="shared" si="642"/>
        <v>0</v>
      </c>
      <c r="AO519" s="10">
        <f t="shared" si="642"/>
        <v>0</v>
      </c>
      <c r="AP519" s="10">
        <f t="shared" si="642"/>
        <v>0</v>
      </c>
      <c r="AQ519" s="10">
        <f t="shared" si="642"/>
        <v>0</v>
      </c>
      <c r="AR519" s="10">
        <f t="shared" si="642"/>
        <v>0</v>
      </c>
      <c r="AS519" s="10">
        <f t="shared" si="642"/>
        <v>0</v>
      </c>
      <c r="AT519" s="10">
        <f t="shared" si="642"/>
        <v>0</v>
      </c>
      <c r="AU519" s="10">
        <f t="shared" si="642"/>
        <v>0</v>
      </c>
      <c r="AV519" s="10">
        <f t="shared" si="642"/>
        <v>0</v>
      </c>
      <c r="AW519" s="10">
        <f t="shared" si="642"/>
        <v>0</v>
      </c>
      <c r="AX519" s="10">
        <f t="shared" si="642"/>
        <v>0</v>
      </c>
      <c r="AY519" s="10">
        <f t="shared" si="642"/>
        <v>0</v>
      </c>
      <c r="AZ519" s="10">
        <f t="shared" si="642"/>
        <v>0</v>
      </c>
      <c r="BA519" s="10">
        <f t="shared" si="642"/>
        <v>0</v>
      </c>
      <c r="BB519" s="10">
        <f t="shared" si="642"/>
        <v>0</v>
      </c>
      <c r="BC519" s="10">
        <f t="shared" si="642"/>
        <v>0</v>
      </c>
      <c r="BD519" s="10">
        <f t="shared" si="642"/>
        <v>0</v>
      </c>
      <c r="BE519" s="10">
        <f t="shared" si="642"/>
        <v>0</v>
      </c>
      <c r="BF519" s="10">
        <f t="shared" si="642"/>
        <v>0</v>
      </c>
      <c r="BG519" s="10">
        <f t="shared" si="642"/>
        <v>0</v>
      </c>
      <c r="BH519" s="10">
        <f t="shared" si="642"/>
        <v>0</v>
      </c>
      <c r="BI519" s="10">
        <f t="shared" si="642"/>
        <v>0</v>
      </c>
      <c r="BJ519" s="10">
        <f t="shared" si="642"/>
        <v>0</v>
      </c>
      <c r="BL519" s="10">
        <f t="shared" ref="BL519" si="643">BL$413</f>
        <v>0</v>
      </c>
      <c r="BM519" s="10">
        <f t="shared" ref="BM519:BW519" si="644">BM$413</f>
        <v>0</v>
      </c>
      <c r="BN519" s="10">
        <f t="shared" si="644"/>
        <v>0</v>
      </c>
      <c r="BO519" s="10">
        <f t="shared" si="644"/>
        <v>0</v>
      </c>
      <c r="BP519" s="10">
        <f t="shared" si="644"/>
        <v>0</v>
      </c>
      <c r="BQ519" s="10">
        <f t="shared" si="644"/>
        <v>0</v>
      </c>
      <c r="BR519" s="10">
        <f t="shared" si="644"/>
        <v>0</v>
      </c>
      <c r="BS519" s="10">
        <f t="shared" si="644"/>
        <v>0</v>
      </c>
      <c r="BT519" s="10">
        <f t="shared" si="644"/>
        <v>0</v>
      </c>
      <c r="BU519" s="10">
        <f t="shared" si="644"/>
        <v>0</v>
      </c>
      <c r="BV519" s="10">
        <f t="shared" si="644"/>
        <v>0</v>
      </c>
      <c r="BW519" s="10">
        <f t="shared" si="644"/>
        <v>0</v>
      </c>
      <c r="BY519" s="12"/>
      <c r="BZ519" s="335"/>
      <c r="CA519" s="12"/>
      <c r="CB519" s="335"/>
      <c r="CC519" s="335"/>
      <c r="CD519" s="335"/>
      <c r="CE519" s="335"/>
      <c r="CM519" s="335"/>
      <c r="CN519" s="335"/>
      <c r="CO519" s="335"/>
      <c r="CP519" s="335"/>
      <c r="CR519" s="12"/>
      <c r="CT519" s="335"/>
      <c r="CU519" s="335"/>
      <c r="EW519" s="335"/>
      <c r="EX519" s="10" t="str">
        <f t="shared" si="638"/>
        <v/>
      </c>
    </row>
    <row r="520" spans="1:154" ht="6.6" customHeight="1" x14ac:dyDescent="0.25">
      <c r="C520" s="380"/>
      <c r="D520" s="1"/>
      <c r="E520" s="11"/>
      <c r="F520" s="67"/>
      <c r="S520" s="335"/>
      <c r="T520" s="335"/>
      <c r="U520" s="335"/>
      <c r="V520" s="93"/>
      <c r="BK520" s="67"/>
      <c r="BM520" s="6"/>
      <c r="BY520" s="42"/>
      <c r="CA520" s="42"/>
      <c r="CR520" s="42"/>
      <c r="EX520" s="10" t="str">
        <f t="shared" si="638"/>
        <v/>
      </c>
    </row>
    <row r="521" spans="1:154" x14ac:dyDescent="0.25">
      <c r="A521" s="67"/>
      <c r="B521" s="67"/>
      <c r="C521" s="380"/>
      <c r="D521" s="61" t="str">
        <f>$D$57</f>
        <v>Interest Payable Opening Balance</v>
      </c>
      <c r="E521" s="67"/>
      <c r="F521" s="67"/>
      <c r="G521" s="67"/>
      <c r="H521" s="67"/>
      <c r="I521" s="67"/>
      <c r="J521" s="67"/>
      <c r="K521" s="67"/>
      <c r="L521" s="67"/>
      <c r="M521" s="67"/>
      <c r="N521" s="67"/>
      <c r="O521" s="67"/>
      <c r="P521" s="67"/>
      <c r="Q521" s="67"/>
      <c r="R521" s="67"/>
      <c r="S521" s="335"/>
      <c r="T521" s="335"/>
      <c r="U521" s="335"/>
      <c r="V521" s="93"/>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c r="BY521" s="12"/>
      <c r="CA521" s="12"/>
      <c r="CG521" s="67"/>
      <c r="CH521" s="67"/>
      <c r="CI521" s="67"/>
      <c r="CK521" s="67"/>
      <c r="CL521" s="67"/>
      <c r="CR521" s="12"/>
      <c r="EX521" s="10" t="str">
        <f t="shared" si="638"/>
        <v/>
      </c>
    </row>
    <row r="522" spans="1:154" x14ac:dyDescent="0.25">
      <c r="A522" s="67"/>
      <c r="B522" s="138" t="s">
        <v>551</v>
      </c>
      <c r="C522" s="380"/>
      <c r="D522" s="5" t="str">
        <f>D$11</f>
        <v>Lender</v>
      </c>
      <c r="E522" s="5" t="str">
        <f>E$11</f>
        <v>Loan Category</v>
      </c>
      <c r="F522" s="67"/>
      <c r="G522" s="67"/>
      <c r="H522" s="67"/>
      <c r="I522" s="67"/>
      <c r="J522" s="67"/>
      <c r="K522" s="67"/>
      <c r="L522" s="67"/>
      <c r="M522" s="67"/>
      <c r="N522" s="67"/>
      <c r="O522" s="67"/>
      <c r="P522" s="67"/>
      <c r="Q522" s="67"/>
      <c r="R522" s="67"/>
      <c r="S522" s="335"/>
      <c r="T522" s="335"/>
      <c r="U522" s="335"/>
      <c r="V522" s="93"/>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c r="BY522" s="12"/>
      <c r="CA522" s="12"/>
      <c r="CG522" s="67"/>
      <c r="CH522" s="67"/>
      <c r="CI522" s="67"/>
      <c r="CK522" s="67"/>
      <c r="CL522" s="67"/>
      <c r="CR522" s="12"/>
      <c r="EX522" s="10" t="str">
        <f t="shared" si="638"/>
        <v/>
      </c>
    </row>
    <row r="523" spans="1:154" x14ac:dyDescent="0.25">
      <c r="A523" s="67"/>
      <c r="B523" s="84" t="str" cm="1">
        <f t="array" aca="1" ref="B523" ca="1">HYPERLINK(CONCATENATE("#",CELL("address",$D$47)),$D$47)</f>
        <v>Loan 1</v>
      </c>
      <c r="C523" s="380"/>
      <c r="D523" s="221" t="str">
        <f>D$13</f>
        <v>NatWest</v>
      </c>
      <c r="E523" s="60" t="str">
        <f>E$13</f>
        <v xml:space="preserve">Commercial </v>
      </c>
      <c r="F523" s="67"/>
      <c r="G523" s="9" t="s">
        <v>413</v>
      </c>
      <c r="H523" s="50" t="s">
        <v>125</v>
      </c>
      <c r="I523" s="65"/>
      <c r="J523" s="67"/>
      <c r="K523" s="67"/>
      <c r="L523" s="67"/>
      <c r="M523" s="67"/>
      <c r="N523" s="67"/>
      <c r="O523" s="67"/>
      <c r="P523" s="67"/>
      <c r="Q523" s="67"/>
      <c r="R523" s="67"/>
      <c r="S523" s="335"/>
      <c r="T523" s="335"/>
      <c r="U523" s="335"/>
      <c r="V523" s="201">
        <f>V$57</f>
        <v>0</v>
      </c>
      <c r="W523" s="10">
        <f>W$57</f>
        <v>0</v>
      </c>
      <c r="X523" s="10">
        <f>X$57</f>
        <v>0</v>
      </c>
      <c r="Y523" s="10">
        <f>Y$57</f>
        <v>0</v>
      </c>
      <c r="Z523" s="67"/>
      <c r="AA523" s="10">
        <f t="shared" ref="AA523:BJ523" si="645">AA$57</f>
        <v>0</v>
      </c>
      <c r="AB523" s="10">
        <f t="shared" si="645"/>
        <v>0</v>
      </c>
      <c r="AC523" s="10">
        <f t="shared" si="645"/>
        <v>0</v>
      </c>
      <c r="AD523" s="10">
        <f t="shared" si="645"/>
        <v>0</v>
      </c>
      <c r="AE523" s="10">
        <f t="shared" si="645"/>
        <v>0</v>
      </c>
      <c r="AF523" s="10">
        <f t="shared" si="645"/>
        <v>0</v>
      </c>
      <c r="AG523" s="10">
        <f t="shared" si="645"/>
        <v>0</v>
      </c>
      <c r="AH523" s="10">
        <f t="shared" si="645"/>
        <v>0</v>
      </c>
      <c r="AI523" s="10">
        <f t="shared" si="645"/>
        <v>0</v>
      </c>
      <c r="AJ523" s="10">
        <f t="shared" si="645"/>
        <v>0</v>
      </c>
      <c r="AK523" s="10">
        <f t="shared" si="645"/>
        <v>0</v>
      </c>
      <c r="AL523" s="10">
        <f t="shared" si="645"/>
        <v>0</v>
      </c>
      <c r="AM523" s="10">
        <f t="shared" si="645"/>
        <v>0</v>
      </c>
      <c r="AN523" s="10">
        <f t="shared" si="645"/>
        <v>0</v>
      </c>
      <c r="AO523" s="10">
        <f t="shared" si="645"/>
        <v>0</v>
      </c>
      <c r="AP523" s="10">
        <f t="shared" si="645"/>
        <v>0</v>
      </c>
      <c r="AQ523" s="10">
        <f t="shared" si="645"/>
        <v>0</v>
      </c>
      <c r="AR523" s="10">
        <f t="shared" si="645"/>
        <v>0</v>
      </c>
      <c r="AS523" s="10">
        <f t="shared" si="645"/>
        <v>0</v>
      </c>
      <c r="AT523" s="10">
        <f t="shared" si="645"/>
        <v>0</v>
      </c>
      <c r="AU523" s="10">
        <f t="shared" si="645"/>
        <v>0</v>
      </c>
      <c r="AV523" s="10">
        <f t="shared" si="645"/>
        <v>0</v>
      </c>
      <c r="AW523" s="10">
        <f t="shared" si="645"/>
        <v>0</v>
      </c>
      <c r="AX523" s="10">
        <f t="shared" si="645"/>
        <v>0</v>
      </c>
      <c r="AY523" s="10">
        <f t="shared" si="645"/>
        <v>0</v>
      </c>
      <c r="AZ523" s="10">
        <f t="shared" si="645"/>
        <v>0</v>
      </c>
      <c r="BA523" s="10">
        <f t="shared" si="645"/>
        <v>0</v>
      </c>
      <c r="BB523" s="10">
        <f t="shared" si="645"/>
        <v>0</v>
      </c>
      <c r="BC523" s="10">
        <f t="shared" si="645"/>
        <v>0</v>
      </c>
      <c r="BD523" s="10">
        <f t="shared" si="645"/>
        <v>0</v>
      </c>
      <c r="BE523" s="10">
        <f t="shared" si="645"/>
        <v>0</v>
      </c>
      <c r="BF523" s="10">
        <f t="shared" si="645"/>
        <v>0</v>
      </c>
      <c r="BG523" s="10">
        <f t="shared" si="645"/>
        <v>0</v>
      </c>
      <c r="BH523" s="10">
        <f t="shared" si="645"/>
        <v>0</v>
      </c>
      <c r="BI523" s="10">
        <f t="shared" si="645"/>
        <v>0</v>
      </c>
      <c r="BJ523" s="10">
        <f t="shared" si="645"/>
        <v>0</v>
      </c>
      <c r="BK523" s="67"/>
      <c r="BL523" s="10">
        <f t="shared" ref="BL523" si="646">BL$57</f>
        <v>0</v>
      </c>
      <c r="BM523" s="10">
        <f t="shared" ref="BM523:BW523" si="647">BM$57</f>
        <v>0</v>
      </c>
      <c r="BN523" s="10">
        <f t="shared" si="647"/>
        <v>0</v>
      </c>
      <c r="BO523" s="10">
        <f t="shared" si="647"/>
        <v>0</v>
      </c>
      <c r="BP523" s="10">
        <f t="shared" si="647"/>
        <v>0</v>
      </c>
      <c r="BQ523" s="10">
        <f t="shared" si="647"/>
        <v>0</v>
      </c>
      <c r="BR523" s="10">
        <f t="shared" si="647"/>
        <v>0</v>
      </c>
      <c r="BS523" s="10">
        <f t="shared" si="647"/>
        <v>0</v>
      </c>
      <c r="BT523" s="10">
        <f t="shared" si="647"/>
        <v>0</v>
      </c>
      <c r="BU523" s="10">
        <f t="shared" si="647"/>
        <v>0</v>
      </c>
      <c r="BV523" s="10">
        <f t="shared" si="647"/>
        <v>0</v>
      </c>
      <c r="BW523" s="10">
        <f t="shared" si="647"/>
        <v>0</v>
      </c>
      <c r="BX523" s="67"/>
      <c r="BY523" s="12"/>
      <c r="CA523" s="12"/>
      <c r="CG523" s="67"/>
      <c r="CH523" s="67"/>
      <c r="CI523" s="67"/>
      <c r="CK523" s="67"/>
      <c r="CL523" s="67"/>
      <c r="CR523" s="12"/>
      <c r="EX523" s="10" t="str">
        <f t="shared" si="638"/>
        <v/>
      </c>
    </row>
    <row r="524" spans="1:154" x14ac:dyDescent="0.25">
      <c r="A524" s="67"/>
      <c r="B524" s="84" t="str" cm="1">
        <f t="array" aca="1" ref="B524" ca="1">HYPERLINK(CONCATENATE("#",CELL("address",$D$66)),$D$66)</f>
        <v>Loan 2</v>
      </c>
      <c r="C524" s="380"/>
      <c r="D524" s="60" t="str">
        <f>D$14</f>
        <v>NatWest</v>
      </c>
      <c r="E524" s="60" t="str">
        <f>E$14</f>
        <v xml:space="preserve">Commercial </v>
      </c>
      <c r="F524" s="67"/>
      <c r="G524" s="9" t="s">
        <v>413</v>
      </c>
      <c r="H524" s="50" t="s">
        <v>125</v>
      </c>
      <c r="I524" s="67"/>
      <c r="J524" s="67"/>
      <c r="K524" s="67"/>
      <c r="L524" s="67"/>
      <c r="M524" s="67"/>
      <c r="N524" s="67"/>
      <c r="O524" s="67"/>
      <c r="P524" s="67"/>
      <c r="Q524" s="67"/>
      <c r="R524" s="67"/>
      <c r="S524" s="335"/>
      <c r="T524" s="335"/>
      <c r="U524" s="335"/>
      <c r="V524" s="201">
        <f>V$76</f>
        <v>0</v>
      </c>
      <c r="W524" s="10">
        <f>W$76</f>
        <v>0</v>
      </c>
      <c r="X524" s="10">
        <f>X$76</f>
        <v>0</v>
      </c>
      <c r="Y524" s="10">
        <f>Y$76</f>
        <v>0</v>
      </c>
      <c r="Z524" s="67"/>
      <c r="AA524" s="10">
        <f t="shared" ref="AA524:BJ524" si="648">AA$76</f>
        <v>0</v>
      </c>
      <c r="AB524" s="10">
        <f t="shared" si="648"/>
        <v>0</v>
      </c>
      <c r="AC524" s="10">
        <f t="shared" si="648"/>
        <v>0</v>
      </c>
      <c r="AD524" s="10">
        <f t="shared" si="648"/>
        <v>0</v>
      </c>
      <c r="AE524" s="10">
        <f t="shared" si="648"/>
        <v>0</v>
      </c>
      <c r="AF524" s="10">
        <f t="shared" si="648"/>
        <v>0</v>
      </c>
      <c r="AG524" s="10">
        <f t="shared" si="648"/>
        <v>0</v>
      </c>
      <c r="AH524" s="10">
        <f t="shared" si="648"/>
        <v>0</v>
      </c>
      <c r="AI524" s="10">
        <f t="shared" si="648"/>
        <v>0</v>
      </c>
      <c r="AJ524" s="10">
        <f t="shared" si="648"/>
        <v>0</v>
      </c>
      <c r="AK524" s="10">
        <f t="shared" si="648"/>
        <v>0</v>
      </c>
      <c r="AL524" s="10">
        <f t="shared" si="648"/>
        <v>0</v>
      </c>
      <c r="AM524" s="10">
        <f t="shared" si="648"/>
        <v>0</v>
      </c>
      <c r="AN524" s="10">
        <f t="shared" si="648"/>
        <v>0</v>
      </c>
      <c r="AO524" s="10">
        <f t="shared" si="648"/>
        <v>0</v>
      </c>
      <c r="AP524" s="10">
        <f t="shared" si="648"/>
        <v>0</v>
      </c>
      <c r="AQ524" s="10">
        <f t="shared" si="648"/>
        <v>0</v>
      </c>
      <c r="AR524" s="10">
        <f t="shared" si="648"/>
        <v>0</v>
      </c>
      <c r="AS524" s="10">
        <f t="shared" si="648"/>
        <v>0</v>
      </c>
      <c r="AT524" s="10">
        <f t="shared" si="648"/>
        <v>0</v>
      </c>
      <c r="AU524" s="10">
        <f t="shared" si="648"/>
        <v>0</v>
      </c>
      <c r="AV524" s="10">
        <f t="shared" si="648"/>
        <v>0</v>
      </c>
      <c r="AW524" s="10">
        <f t="shared" si="648"/>
        <v>0</v>
      </c>
      <c r="AX524" s="10">
        <f t="shared" si="648"/>
        <v>0</v>
      </c>
      <c r="AY524" s="10">
        <f t="shared" si="648"/>
        <v>0</v>
      </c>
      <c r="AZ524" s="10">
        <f t="shared" si="648"/>
        <v>0</v>
      </c>
      <c r="BA524" s="10">
        <f t="shared" si="648"/>
        <v>0</v>
      </c>
      <c r="BB524" s="10">
        <f t="shared" si="648"/>
        <v>0</v>
      </c>
      <c r="BC524" s="10">
        <f t="shared" si="648"/>
        <v>0</v>
      </c>
      <c r="BD524" s="10">
        <f t="shared" si="648"/>
        <v>0</v>
      </c>
      <c r="BE524" s="10">
        <f t="shared" si="648"/>
        <v>0</v>
      </c>
      <c r="BF524" s="10">
        <f t="shared" si="648"/>
        <v>0</v>
      </c>
      <c r="BG524" s="10">
        <f t="shared" si="648"/>
        <v>0</v>
      </c>
      <c r="BH524" s="10">
        <f t="shared" si="648"/>
        <v>0</v>
      </c>
      <c r="BI524" s="10">
        <f t="shared" si="648"/>
        <v>0</v>
      </c>
      <c r="BJ524" s="10">
        <f t="shared" si="648"/>
        <v>0</v>
      </c>
      <c r="BK524" s="67"/>
      <c r="BL524" s="10">
        <f t="shared" ref="BL524" si="649">BL$76</f>
        <v>0</v>
      </c>
      <c r="BM524" s="10">
        <f t="shared" ref="BM524:BW524" si="650">BM$76</f>
        <v>0</v>
      </c>
      <c r="BN524" s="10">
        <f t="shared" si="650"/>
        <v>0</v>
      </c>
      <c r="BO524" s="10">
        <f t="shared" si="650"/>
        <v>0</v>
      </c>
      <c r="BP524" s="10">
        <f t="shared" si="650"/>
        <v>0</v>
      </c>
      <c r="BQ524" s="10">
        <f t="shared" si="650"/>
        <v>0</v>
      </c>
      <c r="BR524" s="10">
        <f t="shared" si="650"/>
        <v>0</v>
      </c>
      <c r="BS524" s="10">
        <f t="shared" si="650"/>
        <v>0</v>
      </c>
      <c r="BT524" s="10">
        <f t="shared" si="650"/>
        <v>0</v>
      </c>
      <c r="BU524" s="10">
        <f t="shared" si="650"/>
        <v>0</v>
      </c>
      <c r="BV524" s="10">
        <f t="shared" si="650"/>
        <v>0</v>
      </c>
      <c r="BW524" s="10">
        <f t="shared" si="650"/>
        <v>0</v>
      </c>
      <c r="BX524" s="67"/>
      <c r="BY524" s="12"/>
      <c r="CA524" s="12"/>
      <c r="CG524" s="67"/>
      <c r="CH524" s="67"/>
      <c r="CI524" s="67"/>
      <c r="CK524" s="67"/>
      <c r="CL524" s="67"/>
      <c r="CR524" s="12"/>
      <c r="EX524" s="10" t="str">
        <f t="shared" si="638"/>
        <v/>
      </c>
    </row>
    <row r="525" spans="1:154" x14ac:dyDescent="0.25">
      <c r="A525" s="67"/>
      <c r="B525" s="84" t="str" cm="1">
        <f t="array" aca="1" ref="B525" ca="1">HYPERLINK(CONCATENATE("#",CELL("address",$D$85)),$D$85)</f>
        <v>Loan 3</v>
      </c>
      <c r="C525" s="380"/>
      <c r="D525" s="60" t="str">
        <f>D$15</f>
        <v>NatWest</v>
      </c>
      <c r="E525" s="60" t="str">
        <f>E$15</f>
        <v xml:space="preserve">Commercial </v>
      </c>
      <c r="F525" s="67"/>
      <c r="G525" s="9" t="s">
        <v>413</v>
      </c>
      <c r="H525" s="50" t="s">
        <v>125</v>
      </c>
      <c r="I525" s="67"/>
      <c r="J525" s="67"/>
      <c r="K525" s="67"/>
      <c r="L525" s="67"/>
      <c r="M525" s="67"/>
      <c r="N525" s="67"/>
      <c r="O525" s="67"/>
      <c r="P525" s="67"/>
      <c r="Q525" s="67"/>
      <c r="R525" s="67"/>
      <c r="S525" s="335"/>
      <c r="T525" s="335"/>
      <c r="U525" s="335"/>
      <c r="V525" s="201">
        <f>V$95</f>
        <v>0</v>
      </c>
      <c r="W525" s="10">
        <f>W$95</f>
        <v>0</v>
      </c>
      <c r="X525" s="10">
        <f>X$95</f>
        <v>0</v>
      </c>
      <c r="Y525" s="10">
        <f>Y$95</f>
        <v>0</v>
      </c>
      <c r="Z525" s="67"/>
      <c r="AA525" s="10">
        <f t="shared" ref="AA525:BJ525" si="651">AA$95</f>
        <v>0</v>
      </c>
      <c r="AB525" s="10">
        <f t="shared" si="651"/>
        <v>0</v>
      </c>
      <c r="AC525" s="10">
        <f t="shared" si="651"/>
        <v>0</v>
      </c>
      <c r="AD525" s="10">
        <f t="shared" si="651"/>
        <v>0</v>
      </c>
      <c r="AE525" s="10">
        <f t="shared" si="651"/>
        <v>0</v>
      </c>
      <c r="AF525" s="10">
        <f t="shared" si="651"/>
        <v>0</v>
      </c>
      <c r="AG525" s="10">
        <f t="shared" si="651"/>
        <v>0</v>
      </c>
      <c r="AH525" s="10">
        <f t="shared" si="651"/>
        <v>0</v>
      </c>
      <c r="AI525" s="10">
        <f t="shared" si="651"/>
        <v>0</v>
      </c>
      <c r="AJ525" s="10">
        <f t="shared" si="651"/>
        <v>0</v>
      </c>
      <c r="AK525" s="10">
        <f t="shared" si="651"/>
        <v>0</v>
      </c>
      <c r="AL525" s="10">
        <f t="shared" si="651"/>
        <v>0</v>
      </c>
      <c r="AM525" s="10">
        <f t="shared" si="651"/>
        <v>0</v>
      </c>
      <c r="AN525" s="10">
        <f t="shared" si="651"/>
        <v>0</v>
      </c>
      <c r="AO525" s="10">
        <f t="shared" si="651"/>
        <v>0</v>
      </c>
      <c r="AP525" s="10">
        <f t="shared" si="651"/>
        <v>0</v>
      </c>
      <c r="AQ525" s="10">
        <f t="shared" si="651"/>
        <v>0</v>
      </c>
      <c r="AR525" s="10">
        <f t="shared" si="651"/>
        <v>0</v>
      </c>
      <c r="AS525" s="10">
        <f t="shared" si="651"/>
        <v>0</v>
      </c>
      <c r="AT525" s="10">
        <f t="shared" si="651"/>
        <v>0</v>
      </c>
      <c r="AU525" s="10">
        <f t="shared" si="651"/>
        <v>0</v>
      </c>
      <c r="AV525" s="10">
        <f t="shared" si="651"/>
        <v>0</v>
      </c>
      <c r="AW525" s="10">
        <f t="shared" si="651"/>
        <v>0</v>
      </c>
      <c r="AX525" s="10">
        <f t="shared" si="651"/>
        <v>0</v>
      </c>
      <c r="AY525" s="10">
        <f t="shared" si="651"/>
        <v>0</v>
      </c>
      <c r="AZ525" s="10">
        <f t="shared" si="651"/>
        <v>0</v>
      </c>
      <c r="BA525" s="10">
        <f t="shared" si="651"/>
        <v>0</v>
      </c>
      <c r="BB525" s="10">
        <f t="shared" si="651"/>
        <v>0</v>
      </c>
      <c r="BC525" s="10">
        <f t="shared" si="651"/>
        <v>0</v>
      </c>
      <c r="BD525" s="10">
        <f t="shared" si="651"/>
        <v>0</v>
      </c>
      <c r="BE525" s="10">
        <f t="shared" si="651"/>
        <v>0</v>
      </c>
      <c r="BF525" s="10">
        <f t="shared" si="651"/>
        <v>0</v>
      </c>
      <c r="BG525" s="10">
        <f t="shared" si="651"/>
        <v>0</v>
      </c>
      <c r="BH525" s="10">
        <f t="shared" si="651"/>
        <v>0</v>
      </c>
      <c r="BI525" s="10">
        <f t="shared" si="651"/>
        <v>0</v>
      </c>
      <c r="BJ525" s="10">
        <f t="shared" si="651"/>
        <v>0</v>
      </c>
      <c r="BK525" s="67"/>
      <c r="BL525" s="10">
        <f t="shared" ref="BL525" si="652">BL$95</f>
        <v>0</v>
      </c>
      <c r="BM525" s="10">
        <f t="shared" ref="BM525:BW525" si="653">BM$95</f>
        <v>0</v>
      </c>
      <c r="BN525" s="10">
        <f t="shared" si="653"/>
        <v>0</v>
      </c>
      <c r="BO525" s="10">
        <f t="shared" si="653"/>
        <v>0</v>
      </c>
      <c r="BP525" s="10">
        <f t="shared" si="653"/>
        <v>0</v>
      </c>
      <c r="BQ525" s="10">
        <f t="shared" si="653"/>
        <v>0</v>
      </c>
      <c r="BR525" s="10">
        <f t="shared" si="653"/>
        <v>0</v>
      </c>
      <c r="BS525" s="10">
        <f t="shared" si="653"/>
        <v>0</v>
      </c>
      <c r="BT525" s="10">
        <f t="shared" si="653"/>
        <v>0</v>
      </c>
      <c r="BU525" s="10">
        <f t="shared" si="653"/>
        <v>0</v>
      </c>
      <c r="BV525" s="10">
        <f t="shared" si="653"/>
        <v>0</v>
      </c>
      <c r="BW525" s="10">
        <f t="shared" si="653"/>
        <v>0</v>
      </c>
      <c r="BX525" s="67"/>
      <c r="BY525" s="12"/>
      <c r="CA525" s="12"/>
      <c r="CG525" s="67"/>
      <c r="CH525" s="67"/>
      <c r="CI525" s="67"/>
      <c r="CK525" s="67"/>
      <c r="CL525" s="67"/>
      <c r="CR525" s="12"/>
      <c r="EX525" s="10" t="str">
        <f t="shared" si="638"/>
        <v/>
      </c>
    </row>
    <row r="526" spans="1:154" x14ac:dyDescent="0.25">
      <c r="A526" s="67"/>
      <c r="B526" s="84" t="str" cm="1">
        <f t="array" aca="1" ref="B526" ca="1">HYPERLINK(CONCATENATE("#",CELL("address",$D$104)),$D$104)</f>
        <v>Loan 4</v>
      </c>
      <c r="C526" s="380"/>
      <c r="D526" s="60" t="str">
        <f>D$16</f>
        <v>NatWest</v>
      </c>
      <c r="E526" s="60" t="str">
        <f>E$16</f>
        <v xml:space="preserve">Commercial </v>
      </c>
      <c r="F526" s="67"/>
      <c r="G526" s="9" t="s">
        <v>413</v>
      </c>
      <c r="H526" s="50" t="s">
        <v>125</v>
      </c>
      <c r="I526" s="67"/>
      <c r="J526" s="67"/>
      <c r="K526" s="67"/>
      <c r="L526" s="67"/>
      <c r="M526" s="67"/>
      <c r="N526" s="67"/>
      <c r="O526" s="67"/>
      <c r="P526" s="67"/>
      <c r="Q526" s="67"/>
      <c r="R526" s="67"/>
      <c r="S526" s="335"/>
      <c r="T526" s="335"/>
      <c r="U526" s="335"/>
      <c r="V526" s="201">
        <f>V$114</f>
        <v>0</v>
      </c>
      <c r="W526" s="10">
        <f>W$114</f>
        <v>0</v>
      </c>
      <c r="X526" s="10">
        <f>X$114</f>
        <v>0</v>
      </c>
      <c r="Y526" s="10">
        <f>Y$114</f>
        <v>0</v>
      </c>
      <c r="Z526" s="67"/>
      <c r="AA526" s="10">
        <f t="shared" ref="AA526:BJ526" si="654">AA$114</f>
        <v>0</v>
      </c>
      <c r="AB526" s="10">
        <f t="shared" si="654"/>
        <v>0</v>
      </c>
      <c r="AC526" s="10">
        <f t="shared" si="654"/>
        <v>0</v>
      </c>
      <c r="AD526" s="10">
        <f t="shared" si="654"/>
        <v>0</v>
      </c>
      <c r="AE526" s="10">
        <f t="shared" si="654"/>
        <v>0</v>
      </c>
      <c r="AF526" s="10">
        <f t="shared" si="654"/>
        <v>0</v>
      </c>
      <c r="AG526" s="10">
        <f t="shared" si="654"/>
        <v>0</v>
      </c>
      <c r="AH526" s="10">
        <f t="shared" si="654"/>
        <v>0</v>
      </c>
      <c r="AI526" s="10">
        <f t="shared" si="654"/>
        <v>0</v>
      </c>
      <c r="AJ526" s="10">
        <f t="shared" si="654"/>
        <v>0</v>
      </c>
      <c r="AK526" s="10">
        <f t="shared" si="654"/>
        <v>0</v>
      </c>
      <c r="AL526" s="10">
        <f t="shared" si="654"/>
        <v>0</v>
      </c>
      <c r="AM526" s="10">
        <f t="shared" si="654"/>
        <v>0</v>
      </c>
      <c r="AN526" s="10">
        <f t="shared" si="654"/>
        <v>0</v>
      </c>
      <c r="AO526" s="10">
        <f t="shared" si="654"/>
        <v>0</v>
      </c>
      <c r="AP526" s="10">
        <f t="shared" si="654"/>
        <v>0</v>
      </c>
      <c r="AQ526" s="10">
        <f t="shared" si="654"/>
        <v>0</v>
      </c>
      <c r="AR526" s="10">
        <f t="shared" si="654"/>
        <v>0</v>
      </c>
      <c r="AS526" s="10">
        <f t="shared" si="654"/>
        <v>0</v>
      </c>
      <c r="AT526" s="10">
        <f t="shared" si="654"/>
        <v>0</v>
      </c>
      <c r="AU526" s="10">
        <f t="shared" si="654"/>
        <v>0</v>
      </c>
      <c r="AV526" s="10">
        <f t="shared" si="654"/>
        <v>0</v>
      </c>
      <c r="AW526" s="10">
        <f t="shared" si="654"/>
        <v>0</v>
      </c>
      <c r="AX526" s="10">
        <f t="shared" si="654"/>
        <v>0</v>
      </c>
      <c r="AY526" s="10">
        <f t="shared" si="654"/>
        <v>0</v>
      </c>
      <c r="AZ526" s="10">
        <f t="shared" si="654"/>
        <v>0</v>
      </c>
      <c r="BA526" s="10">
        <f t="shared" si="654"/>
        <v>0</v>
      </c>
      <c r="BB526" s="10">
        <f t="shared" si="654"/>
        <v>0</v>
      </c>
      <c r="BC526" s="10">
        <f t="shared" si="654"/>
        <v>0</v>
      </c>
      <c r="BD526" s="10">
        <f t="shared" si="654"/>
        <v>0</v>
      </c>
      <c r="BE526" s="10">
        <f t="shared" si="654"/>
        <v>0</v>
      </c>
      <c r="BF526" s="10">
        <f t="shared" si="654"/>
        <v>0</v>
      </c>
      <c r="BG526" s="10">
        <f t="shared" si="654"/>
        <v>0</v>
      </c>
      <c r="BH526" s="10">
        <f t="shared" si="654"/>
        <v>0</v>
      </c>
      <c r="BI526" s="10">
        <f t="shared" si="654"/>
        <v>0</v>
      </c>
      <c r="BJ526" s="10">
        <f t="shared" si="654"/>
        <v>0</v>
      </c>
      <c r="BK526" s="67"/>
      <c r="BL526" s="10">
        <f t="shared" ref="BL526" si="655">BL$114</f>
        <v>0</v>
      </c>
      <c r="BM526" s="10">
        <f t="shared" ref="BM526:BW526" si="656">BM$114</f>
        <v>0</v>
      </c>
      <c r="BN526" s="10">
        <f t="shared" si="656"/>
        <v>0</v>
      </c>
      <c r="BO526" s="10">
        <f t="shared" si="656"/>
        <v>0</v>
      </c>
      <c r="BP526" s="10">
        <f t="shared" si="656"/>
        <v>0</v>
      </c>
      <c r="BQ526" s="10">
        <f t="shared" si="656"/>
        <v>0</v>
      </c>
      <c r="BR526" s="10">
        <f t="shared" si="656"/>
        <v>0</v>
      </c>
      <c r="BS526" s="10">
        <f t="shared" si="656"/>
        <v>0</v>
      </c>
      <c r="BT526" s="10">
        <f t="shared" si="656"/>
        <v>0</v>
      </c>
      <c r="BU526" s="10">
        <f t="shared" si="656"/>
        <v>0</v>
      </c>
      <c r="BV526" s="10">
        <f t="shared" si="656"/>
        <v>0</v>
      </c>
      <c r="BW526" s="10">
        <f t="shared" si="656"/>
        <v>0</v>
      </c>
      <c r="BX526" s="67"/>
      <c r="BY526" s="12"/>
      <c r="CA526" s="12"/>
      <c r="CG526" s="67"/>
      <c r="CH526" s="67"/>
      <c r="CI526" s="67"/>
      <c r="CK526" s="67"/>
      <c r="CL526" s="67"/>
      <c r="CR526" s="12"/>
      <c r="EX526" s="10" t="str">
        <f t="shared" si="638"/>
        <v/>
      </c>
    </row>
    <row r="527" spans="1:154" x14ac:dyDescent="0.25">
      <c r="A527" s="67"/>
      <c r="B527" s="84" t="str" cm="1">
        <f t="array" aca="1" ref="B527" ca="1">HYPERLINK(CONCATENATE("#",CELL("address",$D$123)),$D$123)</f>
        <v>Loan 5</v>
      </c>
      <c r="C527" s="380"/>
      <c r="D527" s="60" t="str">
        <f>D$17</f>
        <v>NatWest</v>
      </c>
      <c r="E527" s="60" t="str">
        <f>E$17</f>
        <v xml:space="preserve">Commercial </v>
      </c>
      <c r="F527" s="67"/>
      <c r="G527" s="9" t="s">
        <v>413</v>
      </c>
      <c r="H527" s="50" t="s">
        <v>125</v>
      </c>
      <c r="I527" s="67"/>
      <c r="J527" s="67"/>
      <c r="K527" s="67"/>
      <c r="L527" s="67"/>
      <c r="M527" s="67"/>
      <c r="N527" s="67"/>
      <c r="O527" s="67"/>
      <c r="P527" s="67"/>
      <c r="Q527" s="67"/>
      <c r="R527" s="67"/>
      <c r="S527" s="335"/>
      <c r="T527" s="335"/>
      <c r="U527" s="335"/>
      <c r="V527" s="201">
        <f>V$133</f>
        <v>0</v>
      </c>
      <c r="W527" s="10">
        <f>W$133</f>
        <v>0</v>
      </c>
      <c r="X527" s="10">
        <f>X$133</f>
        <v>0</v>
      </c>
      <c r="Y527" s="10">
        <f>Y$133</f>
        <v>0</v>
      </c>
      <c r="Z527" s="67"/>
      <c r="AA527" s="10">
        <f t="shared" ref="AA527:BJ527" si="657">AA$133</f>
        <v>0</v>
      </c>
      <c r="AB527" s="10">
        <f t="shared" si="657"/>
        <v>0</v>
      </c>
      <c r="AC527" s="10">
        <f t="shared" si="657"/>
        <v>0</v>
      </c>
      <c r="AD527" s="10">
        <f t="shared" si="657"/>
        <v>0</v>
      </c>
      <c r="AE527" s="10">
        <f t="shared" si="657"/>
        <v>0</v>
      </c>
      <c r="AF527" s="10">
        <f t="shared" si="657"/>
        <v>0</v>
      </c>
      <c r="AG527" s="10">
        <f t="shared" si="657"/>
        <v>0</v>
      </c>
      <c r="AH527" s="10">
        <f t="shared" si="657"/>
        <v>0</v>
      </c>
      <c r="AI527" s="10">
        <f t="shared" si="657"/>
        <v>0</v>
      </c>
      <c r="AJ527" s="10">
        <f t="shared" si="657"/>
        <v>0</v>
      </c>
      <c r="AK527" s="10">
        <f t="shared" si="657"/>
        <v>0</v>
      </c>
      <c r="AL527" s="10">
        <f t="shared" si="657"/>
        <v>0</v>
      </c>
      <c r="AM527" s="10">
        <f t="shared" si="657"/>
        <v>0</v>
      </c>
      <c r="AN527" s="10">
        <f t="shared" si="657"/>
        <v>0</v>
      </c>
      <c r="AO527" s="10">
        <f t="shared" si="657"/>
        <v>0</v>
      </c>
      <c r="AP527" s="10">
        <f t="shared" si="657"/>
        <v>0</v>
      </c>
      <c r="AQ527" s="10">
        <f t="shared" si="657"/>
        <v>0</v>
      </c>
      <c r="AR527" s="10">
        <f t="shared" si="657"/>
        <v>0</v>
      </c>
      <c r="AS527" s="10">
        <f t="shared" si="657"/>
        <v>0</v>
      </c>
      <c r="AT527" s="10">
        <f t="shared" si="657"/>
        <v>0</v>
      </c>
      <c r="AU527" s="10">
        <f t="shared" si="657"/>
        <v>0</v>
      </c>
      <c r="AV527" s="10">
        <f t="shared" si="657"/>
        <v>0</v>
      </c>
      <c r="AW527" s="10">
        <f t="shared" si="657"/>
        <v>0</v>
      </c>
      <c r="AX527" s="10">
        <f t="shared" si="657"/>
        <v>0</v>
      </c>
      <c r="AY527" s="10">
        <f t="shared" si="657"/>
        <v>0</v>
      </c>
      <c r="AZ527" s="10">
        <f t="shared" si="657"/>
        <v>0</v>
      </c>
      <c r="BA527" s="10">
        <f t="shared" si="657"/>
        <v>0</v>
      </c>
      <c r="BB527" s="10">
        <f t="shared" si="657"/>
        <v>0</v>
      </c>
      <c r="BC527" s="10">
        <f t="shared" si="657"/>
        <v>0</v>
      </c>
      <c r="BD527" s="10">
        <f t="shared" si="657"/>
        <v>0</v>
      </c>
      <c r="BE527" s="10">
        <f t="shared" si="657"/>
        <v>0</v>
      </c>
      <c r="BF527" s="10">
        <f t="shared" si="657"/>
        <v>0</v>
      </c>
      <c r="BG527" s="10">
        <f t="shared" si="657"/>
        <v>0</v>
      </c>
      <c r="BH527" s="10">
        <f t="shared" si="657"/>
        <v>0</v>
      </c>
      <c r="BI527" s="10">
        <f t="shared" si="657"/>
        <v>0</v>
      </c>
      <c r="BJ527" s="10">
        <f t="shared" si="657"/>
        <v>0</v>
      </c>
      <c r="BK527" s="67"/>
      <c r="BL527" s="10">
        <f t="shared" ref="BL527" si="658">BL$133</f>
        <v>0</v>
      </c>
      <c r="BM527" s="10">
        <f t="shared" ref="BM527:BW527" si="659">BM$133</f>
        <v>0</v>
      </c>
      <c r="BN527" s="10">
        <f t="shared" si="659"/>
        <v>0</v>
      </c>
      <c r="BO527" s="10">
        <f t="shared" si="659"/>
        <v>0</v>
      </c>
      <c r="BP527" s="10">
        <f t="shared" si="659"/>
        <v>0</v>
      </c>
      <c r="BQ527" s="10">
        <f t="shared" si="659"/>
        <v>0</v>
      </c>
      <c r="BR527" s="10">
        <f t="shared" si="659"/>
        <v>0</v>
      </c>
      <c r="BS527" s="10">
        <f t="shared" si="659"/>
        <v>0</v>
      </c>
      <c r="BT527" s="10">
        <f t="shared" si="659"/>
        <v>0</v>
      </c>
      <c r="BU527" s="10">
        <f t="shared" si="659"/>
        <v>0</v>
      </c>
      <c r="BV527" s="10">
        <f t="shared" si="659"/>
        <v>0</v>
      </c>
      <c r="BW527" s="10">
        <f t="shared" si="659"/>
        <v>0</v>
      </c>
      <c r="BX527" s="67"/>
      <c r="BY527" s="12"/>
      <c r="CA527" s="12"/>
      <c r="CG527" s="67"/>
      <c r="CH527" s="67"/>
      <c r="CI527" s="67"/>
      <c r="CK527" s="67"/>
      <c r="CL527" s="67"/>
      <c r="CR527" s="12"/>
      <c r="EX527" s="10" t="str">
        <f t="shared" si="638"/>
        <v/>
      </c>
    </row>
    <row r="528" spans="1:154" x14ac:dyDescent="0.25">
      <c r="A528" s="67"/>
      <c r="B528" s="84" t="str" cm="1">
        <f t="array" aca="1" ref="B528" ca="1">HYPERLINK(CONCATENATE("#",CELL("address",$D$142)),$D$142)</f>
        <v>Loan 6</v>
      </c>
      <c r="C528" s="380"/>
      <c r="D528" s="60">
        <f>D$18</f>
        <v>0</v>
      </c>
      <c r="E528" s="60">
        <f>E$18</f>
        <v>0</v>
      </c>
      <c r="F528" s="67"/>
      <c r="G528" s="9" t="s">
        <v>413</v>
      </c>
      <c r="H528" s="50" t="s">
        <v>125</v>
      </c>
      <c r="I528" s="67"/>
      <c r="J528" s="67"/>
      <c r="K528" s="67"/>
      <c r="L528" s="67"/>
      <c r="M528" s="67"/>
      <c r="N528" s="67"/>
      <c r="O528" s="67"/>
      <c r="P528" s="67"/>
      <c r="Q528" s="67"/>
      <c r="R528" s="67"/>
      <c r="S528" s="335"/>
      <c r="T528" s="335"/>
      <c r="U528" s="335"/>
      <c r="V528" s="201">
        <f>V$152</f>
        <v>0</v>
      </c>
      <c r="W528" s="10">
        <f>W$152</f>
        <v>0</v>
      </c>
      <c r="X528" s="10">
        <f>X$152</f>
        <v>0</v>
      </c>
      <c r="Y528" s="10">
        <f>Y$152</f>
        <v>0</v>
      </c>
      <c r="Z528" s="67"/>
      <c r="AA528" s="10">
        <f t="shared" ref="AA528:BJ528" si="660">AA$152</f>
        <v>0</v>
      </c>
      <c r="AB528" s="10">
        <f t="shared" si="660"/>
        <v>0</v>
      </c>
      <c r="AC528" s="10">
        <f t="shared" si="660"/>
        <v>0</v>
      </c>
      <c r="AD528" s="10">
        <f t="shared" si="660"/>
        <v>0</v>
      </c>
      <c r="AE528" s="10">
        <f t="shared" si="660"/>
        <v>0</v>
      </c>
      <c r="AF528" s="10">
        <f t="shared" si="660"/>
        <v>0</v>
      </c>
      <c r="AG528" s="10">
        <f t="shared" si="660"/>
        <v>0</v>
      </c>
      <c r="AH528" s="10">
        <f t="shared" si="660"/>
        <v>0</v>
      </c>
      <c r="AI528" s="10">
        <f t="shared" si="660"/>
        <v>0</v>
      </c>
      <c r="AJ528" s="10">
        <f t="shared" si="660"/>
        <v>0</v>
      </c>
      <c r="AK528" s="10">
        <f t="shared" si="660"/>
        <v>0</v>
      </c>
      <c r="AL528" s="10">
        <f t="shared" si="660"/>
        <v>0</v>
      </c>
      <c r="AM528" s="10">
        <f t="shared" si="660"/>
        <v>0</v>
      </c>
      <c r="AN528" s="10">
        <f t="shared" si="660"/>
        <v>0</v>
      </c>
      <c r="AO528" s="10">
        <f t="shared" si="660"/>
        <v>0</v>
      </c>
      <c r="AP528" s="10">
        <f t="shared" si="660"/>
        <v>0</v>
      </c>
      <c r="AQ528" s="10">
        <f t="shared" si="660"/>
        <v>0</v>
      </c>
      <c r="AR528" s="10">
        <f t="shared" si="660"/>
        <v>0</v>
      </c>
      <c r="AS528" s="10">
        <f t="shared" si="660"/>
        <v>0</v>
      </c>
      <c r="AT528" s="10">
        <f t="shared" si="660"/>
        <v>0</v>
      </c>
      <c r="AU528" s="10">
        <f t="shared" si="660"/>
        <v>0</v>
      </c>
      <c r="AV528" s="10">
        <f t="shared" si="660"/>
        <v>0</v>
      </c>
      <c r="AW528" s="10">
        <f t="shared" si="660"/>
        <v>0</v>
      </c>
      <c r="AX528" s="10">
        <f t="shared" si="660"/>
        <v>0</v>
      </c>
      <c r="AY528" s="10">
        <f t="shared" si="660"/>
        <v>0</v>
      </c>
      <c r="AZ528" s="10">
        <f t="shared" si="660"/>
        <v>0</v>
      </c>
      <c r="BA528" s="10">
        <f t="shared" si="660"/>
        <v>0</v>
      </c>
      <c r="BB528" s="10">
        <f t="shared" si="660"/>
        <v>0</v>
      </c>
      <c r="BC528" s="10">
        <f t="shared" si="660"/>
        <v>0</v>
      </c>
      <c r="BD528" s="10">
        <f t="shared" si="660"/>
        <v>0</v>
      </c>
      <c r="BE528" s="10">
        <f t="shared" si="660"/>
        <v>0</v>
      </c>
      <c r="BF528" s="10">
        <f t="shared" si="660"/>
        <v>0</v>
      </c>
      <c r="BG528" s="10">
        <f t="shared" si="660"/>
        <v>0</v>
      </c>
      <c r="BH528" s="10">
        <f t="shared" si="660"/>
        <v>0</v>
      </c>
      <c r="BI528" s="10">
        <f t="shared" si="660"/>
        <v>0</v>
      </c>
      <c r="BJ528" s="10">
        <f t="shared" si="660"/>
        <v>0</v>
      </c>
      <c r="BK528" s="67"/>
      <c r="BL528" s="10">
        <f t="shared" ref="BL528" si="661">BL$152</f>
        <v>0</v>
      </c>
      <c r="BM528" s="10">
        <f t="shared" ref="BM528:BW528" si="662">BM$152</f>
        <v>0</v>
      </c>
      <c r="BN528" s="10">
        <f t="shared" si="662"/>
        <v>0</v>
      </c>
      <c r="BO528" s="10">
        <f t="shared" si="662"/>
        <v>0</v>
      </c>
      <c r="BP528" s="10">
        <f t="shared" si="662"/>
        <v>0</v>
      </c>
      <c r="BQ528" s="10">
        <f t="shared" si="662"/>
        <v>0</v>
      </c>
      <c r="BR528" s="10">
        <f t="shared" si="662"/>
        <v>0</v>
      </c>
      <c r="BS528" s="10">
        <f t="shared" si="662"/>
        <v>0</v>
      </c>
      <c r="BT528" s="10">
        <f t="shared" si="662"/>
        <v>0</v>
      </c>
      <c r="BU528" s="10">
        <f t="shared" si="662"/>
        <v>0</v>
      </c>
      <c r="BV528" s="10">
        <f t="shared" si="662"/>
        <v>0</v>
      </c>
      <c r="BW528" s="10">
        <f t="shared" si="662"/>
        <v>0</v>
      </c>
      <c r="BX528" s="67"/>
      <c r="BY528" s="12"/>
      <c r="CA528" s="12"/>
      <c r="CG528" s="67"/>
      <c r="CH528" s="67"/>
      <c r="CI528" s="67"/>
      <c r="CK528" s="67"/>
      <c r="CL528" s="67"/>
      <c r="CR528" s="12"/>
      <c r="EX528" s="10" t="str">
        <f t="shared" si="638"/>
        <v/>
      </c>
    </row>
    <row r="529" spans="1:154" x14ac:dyDescent="0.25">
      <c r="A529" s="67"/>
      <c r="B529" s="84" t="str" cm="1">
        <f t="array" aca="1" ref="B529" ca="1">HYPERLINK(CONCATENATE("#",CELL("address",$D$161)),$D$161)</f>
        <v>Loan 7</v>
      </c>
      <c r="C529" s="380"/>
      <c r="D529" s="60">
        <f>D$19</f>
        <v>0</v>
      </c>
      <c r="E529" s="60">
        <f>E$19</f>
        <v>0</v>
      </c>
      <c r="F529" s="67"/>
      <c r="G529" s="9" t="s">
        <v>413</v>
      </c>
      <c r="H529" s="50" t="s">
        <v>125</v>
      </c>
      <c r="I529" s="67"/>
      <c r="J529" s="67"/>
      <c r="K529" s="67"/>
      <c r="L529" s="67"/>
      <c r="M529" s="67"/>
      <c r="N529" s="67"/>
      <c r="O529" s="67"/>
      <c r="P529" s="67"/>
      <c r="Q529" s="67"/>
      <c r="R529" s="67"/>
      <c r="S529" s="335"/>
      <c r="T529" s="335"/>
      <c r="U529" s="335"/>
      <c r="V529" s="201">
        <f>V$171</f>
        <v>0</v>
      </c>
      <c r="W529" s="10">
        <f>W$171</f>
        <v>0</v>
      </c>
      <c r="X529" s="10">
        <f>X$171</f>
        <v>0</v>
      </c>
      <c r="Y529" s="10">
        <f>Y$171</f>
        <v>0</v>
      </c>
      <c r="Z529" s="67"/>
      <c r="AA529" s="10">
        <f t="shared" ref="AA529:BJ529" si="663">AA$171</f>
        <v>0</v>
      </c>
      <c r="AB529" s="10">
        <f t="shared" si="663"/>
        <v>0</v>
      </c>
      <c r="AC529" s="10">
        <f t="shared" si="663"/>
        <v>0</v>
      </c>
      <c r="AD529" s="10">
        <f t="shared" si="663"/>
        <v>0</v>
      </c>
      <c r="AE529" s="10">
        <f t="shared" si="663"/>
        <v>0</v>
      </c>
      <c r="AF529" s="10">
        <f t="shared" si="663"/>
        <v>0</v>
      </c>
      <c r="AG529" s="10">
        <f t="shared" si="663"/>
        <v>0</v>
      </c>
      <c r="AH529" s="10">
        <f t="shared" si="663"/>
        <v>0</v>
      </c>
      <c r="AI529" s="10">
        <f t="shared" si="663"/>
        <v>0</v>
      </c>
      <c r="AJ529" s="10">
        <f t="shared" si="663"/>
        <v>0</v>
      </c>
      <c r="AK529" s="10">
        <f t="shared" si="663"/>
        <v>0</v>
      </c>
      <c r="AL529" s="10">
        <f t="shared" si="663"/>
        <v>0</v>
      </c>
      <c r="AM529" s="10">
        <f t="shared" si="663"/>
        <v>0</v>
      </c>
      <c r="AN529" s="10">
        <f t="shared" si="663"/>
        <v>0</v>
      </c>
      <c r="AO529" s="10">
        <f t="shared" si="663"/>
        <v>0</v>
      </c>
      <c r="AP529" s="10">
        <f t="shared" si="663"/>
        <v>0</v>
      </c>
      <c r="AQ529" s="10">
        <f t="shared" si="663"/>
        <v>0</v>
      </c>
      <c r="AR529" s="10">
        <f t="shared" si="663"/>
        <v>0</v>
      </c>
      <c r="AS529" s="10">
        <f t="shared" si="663"/>
        <v>0</v>
      </c>
      <c r="AT529" s="10">
        <f t="shared" si="663"/>
        <v>0</v>
      </c>
      <c r="AU529" s="10">
        <f t="shared" si="663"/>
        <v>0</v>
      </c>
      <c r="AV529" s="10">
        <f t="shared" si="663"/>
        <v>0</v>
      </c>
      <c r="AW529" s="10">
        <f t="shared" si="663"/>
        <v>0</v>
      </c>
      <c r="AX529" s="10">
        <f t="shared" si="663"/>
        <v>0</v>
      </c>
      <c r="AY529" s="10">
        <f t="shared" si="663"/>
        <v>0</v>
      </c>
      <c r="AZ529" s="10">
        <f t="shared" si="663"/>
        <v>0</v>
      </c>
      <c r="BA529" s="10">
        <f t="shared" si="663"/>
        <v>0</v>
      </c>
      <c r="BB529" s="10">
        <f t="shared" si="663"/>
        <v>0</v>
      </c>
      <c r="BC529" s="10">
        <f t="shared" si="663"/>
        <v>0</v>
      </c>
      <c r="BD529" s="10">
        <f t="shared" si="663"/>
        <v>0</v>
      </c>
      <c r="BE529" s="10">
        <f t="shared" si="663"/>
        <v>0</v>
      </c>
      <c r="BF529" s="10">
        <f t="shared" si="663"/>
        <v>0</v>
      </c>
      <c r="BG529" s="10">
        <f t="shared" si="663"/>
        <v>0</v>
      </c>
      <c r="BH529" s="10">
        <f t="shared" si="663"/>
        <v>0</v>
      </c>
      <c r="BI529" s="10">
        <f t="shared" si="663"/>
        <v>0</v>
      </c>
      <c r="BJ529" s="10">
        <f t="shared" si="663"/>
        <v>0</v>
      </c>
      <c r="BK529" s="67"/>
      <c r="BL529" s="10">
        <f t="shared" ref="BL529" si="664">BL$171</f>
        <v>0</v>
      </c>
      <c r="BM529" s="10">
        <f t="shared" ref="BM529:BW529" si="665">BM$171</f>
        <v>0</v>
      </c>
      <c r="BN529" s="10">
        <f t="shared" si="665"/>
        <v>0</v>
      </c>
      <c r="BO529" s="10">
        <f t="shared" si="665"/>
        <v>0</v>
      </c>
      <c r="BP529" s="10">
        <f t="shared" si="665"/>
        <v>0</v>
      </c>
      <c r="BQ529" s="10">
        <f t="shared" si="665"/>
        <v>0</v>
      </c>
      <c r="BR529" s="10">
        <f t="shared" si="665"/>
        <v>0</v>
      </c>
      <c r="BS529" s="10">
        <f t="shared" si="665"/>
        <v>0</v>
      </c>
      <c r="BT529" s="10">
        <f t="shared" si="665"/>
        <v>0</v>
      </c>
      <c r="BU529" s="10">
        <f t="shared" si="665"/>
        <v>0</v>
      </c>
      <c r="BV529" s="10">
        <f t="shared" si="665"/>
        <v>0</v>
      </c>
      <c r="BW529" s="10">
        <f t="shared" si="665"/>
        <v>0</v>
      </c>
      <c r="BX529" s="67"/>
      <c r="BY529" s="12"/>
      <c r="CA529" s="12"/>
      <c r="CG529" s="67"/>
      <c r="CH529" s="67"/>
      <c r="CI529" s="67"/>
      <c r="CK529" s="67"/>
      <c r="CL529" s="67"/>
      <c r="CR529" s="12"/>
      <c r="EX529" s="10" t="str">
        <f t="shared" si="638"/>
        <v/>
      </c>
    </row>
    <row r="530" spans="1:154" x14ac:dyDescent="0.25">
      <c r="A530" s="67"/>
      <c r="B530" s="84" t="str" cm="1">
        <f t="array" aca="1" ref="B530" ca="1">HYPERLINK(CONCATENATE("#",CELL("address",$D$180)),$D$180)</f>
        <v>Loan 8</v>
      </c>
      <c r="C530" s="380"/>
      <c r="D530" s="60">
        <f>D$20</f>
        <v>0</v>
      </c>
      <c r="E530" s="60">
        <f>E$20</f>
        <v>0</v>
      </c>
      <c r="F530" s="67"/>
      <c r="G530" s="9" t="s">
        <v>413</v>
      </c>
      <c r="H530" s="50" t="s">
        <v>125</v>
      </c>
      <c r="I530" s="67"/>
      <c r="J530" s="67"/>
      <c r="K530" s="67"/>
      <c r="L530" s="67"/>
      <c r="M530" s="67"/>
      <c r="N530" s="67"/>
      <c r="O530" s="67"/>
      <c r="P530" s="67"/>
      <c r="Q530" s="67"/>
      <c r="R530" s="67"/>
      <c r="S530" s="335"/>
      <c r="T530" s="335"/>
      <c r="U530" s="335"/>
      <c r="V530" s="201">
        <f>V$190</f>
        <v>0</v>
      </c>
      <c r="W530" s="10">
        <f>W$190</f>
        <v>0</v>
      </c>
      <c r="X530" s="10">
        <f>X$190</f>
        <v>0</v>
      </c>
      <c r="Y530" s="10">
        <f>Y$190</f>
        <v>0</v>
      </c>
      <c r="Z530" s="67"/>
      <c r="AA530" s="10">
        <f t="shared" ref="AA530:BJ530" si="666">AA$190</f>
        <v>0</v>
      </c>
      <c r="AB530" s="10">
        <f t="shared" si="666"/>
        <v>0</v>
      </c>
      <c r="AC530" s="10">
        <f t="shared" si="666"/>
        <v>0</v>
      </c>
      <c r="AD530" s="10">
        <f t="shared" si="666"/>
        <v>0</v>
      </c>
      <c r="AE530" s="10">
        <f t="shared" si="666"/>
        <v>0</v>
      </c>
      <c r="AF530" s="10">
        <f t="shared" si="666"/>
        <v>0</v>
      </c>
      <c r="AG530" s="10">
        <f t="shared" si="666"/>
        <v>0</v>
      </c>
      <c r="AH530" s="10">
        <f t="shared" si="666"/>
        <v>0</v>
      </c>
      <c r="AI530" s="10">
        <f t="shared" si="666"/>
        <v>0</v>
      </c>
      <c r="AJ530" s="10">
        <f t="shared" si="666"/>
        <v>0</v>
      </c>
      <c r="AK530" s="10">
        <f t="shared" si="666"/>
        <v>0</v>
      </c>
      <c r="AL530" s="10">
        <f t="shared" si="666"/>
        <v>0</v>
      </c>
      <c r="AM530" s="10">
        <f t="shared" si="666"/>
        <v>0</v>
      </c>
      <c r="AN530" s="10">
        <f t="shared" si="666"/>
        <v>0</v>
      </c>
      <c r="AO530" s="10">
        <f t="shared" si="666"/>
        <v>0</v>
      </c>
      <c r="AP530" s="10">
        <f t="shared" si="666"/>
        <v>0</v>
      </c>
      <c r="AQ530" s="10">
        <f t="shared" si="666"/>
        <v>0</v>
      </c>
      <c r="AR530" s="10">
        <f t="shared" si="666"/>
        <v>0</v>
      </c>
      <c r="AS530" s="10">
        <f t="shared" si="666"/>
        <v>0</v>
      </c>
      <c r="AT530" s="10">
        <f t="shared" si="666"/>
        <v>0</v>
      </c>
      <c r="AU530" s="10">
        <f t="shared" si="666"/>
        <v>0</v>
      </c>
      <c r="AV530" s="10">
        <f t="shared" si="666"/>
        <v>0</v>
      </c>
      <c r="AW530" s="10">
        <f t="shared" si="666"/>
        <v>0</v>
      </c>
      <c r="AX530" s="10">
        <f t="shared" si="666"/>
        <v>0</v>
      </c>
      <c r="AY530" s="10">
        <f t="shared" si="666"/>
        <v>0</v>
      </c>
      <c r="AZ530" s="10">
        <f t="shared" si="666"/>
        <v>0</v>
      </c>
      <c r="BA530" s="10">
        <f t="shared" si="666"/>
        <v>0</v>
      </c>
      <c r="BB530" s="10">
        <f t="shared" si="666"/>
        <v>0</v>
      </c>
      <c r="BC530" s="10">
        <f t="shared" si="666"/>
        <v>0</v>
      </c>
      <c r="BD530" s="10">
        <f t="shared" si="666"/>
        <v>0</v>
      </c>
      <c r="BE530" s="10">
        <f t="shared" si="666"/>
        <v>0</v>
      </c>
      <c r="BF530" s="10">
        <f t="shared" si="666"/>
        <v>0</v>
      </c>
      <c r="BG530" s="10">
        <f t="shared" si="666"/>
        <v>0</v>
      </c>
      <c r="BH530" s="10">
        <f t="shared" si="666"/>
        <v>0</v>
      </c>
      <c r="BI530" s="10">
        <f t="shared" si="666"/>
        <v>0</v>
      </c>
      <c r="BJ530" s="10">
        <f t="shared" si="666"/>
        <v>0</v>
      </c>
      <c r="BK530" s="67"/>
      <c r="BL530" s="10">
        <f t="shared" ref="BL530" si="667">BL$190</f>
        <v>0</v>
      </c>
      <c r="BM530" s="10">
        <f t="shared" ref="BM530:BW530" si="668">BM$190</f>
        <v>0</v>
      </c>
      <c r="BN530" s="10">
        <f t="shared" si="668"/>
        <v>0</v>
      </c>
      <c r="BO530" s="10">
        <f t="shared" si="668"/>
        <v>0</v>
      </c>
      <c r="BP530" s="10">
        <f t="shared" si="668"/>
        <v>0</v>
      </c>
      <c r="BQ530" s="10">
        <f t="shared" si="668"/>
        <v>0</v>
      </c>
      <c r="BR530" s="10">
        <f t="shared" si="668"/>
        <v>0</v>
      </c>
      <c r="BS530" s="10">
        <f t="shared" si="668"/>
        <v>0</v>
      </c>
      <c r="BT530" s="10">
        <f t="shared" si="668"/>
        <v>0</v>
      </c>
      <c r="BU530" s="10">
        <f t="shared" si="668"/>
        <v>0</v>
      </c>
      <c r="BV530" s="10">
        <f t="shared" si="668"/>
        <v>0</v>
      </c>
      <c r="BW530" s="10">
        <f t="shared" si="668"/>
        <v>0</v>
      </c>
      <c r="BX530" s="67"/>
      <c r="BY530" s="12"/>
      <c r="CA530" s="12"/>
      <c r="CG530" s="67"/>
      <c r="CH530" s="67"/>
      <c r="CI530" s="67"/>
      <c r="CK530" s="67"/>
      <c r="CL530" s="67"/>
      <c r="CR530" s="12"/>
      <c r="EX530" s="10" t="str">
        <f t="shared" si="638"/>
        <v/>
      </c>
    </row>
    <row r="531" spans="1:154" x14ac:dyDescent="0.25">
      <c r="A531" s="67"/>
      <c r="B531" s="84" t="str" cm="1">
        <f t="array" aca="1" ref="B531" ca="1">HYPERLINK(CONCATENATE("#",CELL("address",$D$199)),$D$199)</f>
        <v>Loan 9</v>
      </c>
      <c r="C531" s="380"/>
      <c r="D531" s="60">
        <f>D$21</f>
        <v>0</v>
      </c>
      <c r="E531" s="60">
        <f>E$21</f>
        <v>0</v>
      </c>
      <c r="F531" s="67"/>
      <c r="G531" s="9" t="s">
        <v>413</v>
      </c>
      <c r="H531" s="50" t="s">
        <v>125</v>
      </c>
      <c r="I531" s="67"/>
      <c r="J531" s="67"/>
      <c r="K531" s="67"/>
      <c r="L531" s="67"/>
      <c r="M531" s="67"/>
      <c r="N531" s="67"/>
      <c r="O531" s="67"/>
      <c r="P531" s="67"/>
      <c r="Q531" s="67"/>
      <c r="R531" s="67"/>
      <c r="S531" s="335"/>
      <c r="T531" s="335"/>
      <c r="U531" s="335"/>
      <c r="V531" s="201">
        <f>V$209</f>
        <v>0</v>
      </c>
      <c r="W531" s="10">
        <f>W$209</f>
        <v>0</v>
      </c>
      <c r="X531" s="10">
        <f>X$209</f>
        <v>0</v>
      </c>
      <c r="Y531" s="10">
        <f>Y$209</f>
        <v>0</v>
      </c>
      <c r="Z531" s="67"/>
      <c r="AA531" s="10">
        <f t="shared" ref="AA531:BJ531" si="669">AA$209</f>
        <v>0</v>
      </c>
      <c r="AB531" s="10">
        <f t="shared" si="669"/>
        <v>0</v>
      </c>
      <c r="AC531" s="10">
        <f t="shared" si="669"/>
        <v>0</v>
      </c>
      <c r="AD531" s="10">
        <f t="shared" si="669"/>
        <v>0</v>
      </c>
      <c r="AE531" s="10">
        <f t="shared" si="669"/>
        <v>0</v>
      </c>
      <c r="AF531" s="10">
        <f t="shared" si="669"/>
        <v>0</v>
      </c>
      <c r="AG531" s="10">
        <f t="shared" si="669"/>
        <v>0</v>
      </c>
      <c r="AH531" s="10">
        <f t="shared" si="669"/>
        <v>0</v>
      </c>
      <c r="AI531" s="10">
        <f t="shared" si="669"/>
        <v>0</v>
      </c>
      <c r="AJ531" s="10">
        <f t="shared" si="669"/>
        <v>0</v>
      </c>
      <c r="AK531" s="10">
        <f t="shared" si="669"/>
        <v>0</v>
      </c>
      <c r="AL531" s="10">
        <f t="shared" si="669"/>
        <v>0</v>
      </c>
      <c r="AM531" s="10">
        <f t="shared" si="669"/>
        <v>0</v>
      </c>
      <c r="AN531" s="10">
        <f t="shared" si="669"/>
        <v>0</v>
      </c>
      <c r="AO531" s="10">
        <f t="shared" si="669"/>
        <v>0</v>
      </c>
      <c r="AP531" s="10">
        <f t="shared" si="669"/>
        <v>0</v>
      </c>
      <c r="AQ531" s="10">
        <f t="shared" si="669"/>
        <v>0</v>
      </c>
      <c r="AR531" s="10">
        <f t="shared" si="669"/>
        <v>0</v>
      </c>
      <c r="AS531" s="10">
        <f t="shared" si="669"/>
        <v>0</v>
      </c>
      <c r="AT531" s="10">
        <f t="shared" si="669"/>
        <v>0</v>
      </c>
      <c r="AU531" s="10">
        <f t="shared" si="669"/>
        <v>0</v>
      </c>
      <c r="AV531" s="10">
        <f t="shared" si="669"/>
        <v>0</v>
      </c>
      <c r="AW531" s="10">
        <f t="shared" si="669"/>
        <v>0</v>
      </c>
      <c r="AX531" s="10">
        <f t="shared" si="669"/>
        <v>0</v>
      </c>
      <c r="AY531" s="10">
        <f t="shared" si="669"/>
        <v>0</v>
      </c>
      <c r="AZ531" s="10">
        <f t="shared" si="669"/>
        <v>0</v>
      </c>
      <c r="BA531" s="10">
        <f t="shared" si="669"/>
        <v>0</v>
      </c>
      <c r="BB531" s="10">
        <f t="shared" si="669"/>
        <v>0</v>
      </c>
      <c r="BC531" s="10">
        <f t="shared" si="669"/>
        <v>0</v>
      </c>
      <c r="BD531" s="10">
        <f t="shared" si="669"/>
        <v>0</v>
      </c>
      <c r="BE531" s="10">
        <f t="shared" si="669"/>
        <v>0</v>
      </c>
      <c r="BF531" s="10">
        <f t="shared" si="669"/>
        <v>0</v>
      </c>
      <c r="BG531" s="10">
        <f t="shared" si="669"/>
        <v>0</v>
      </c>
      <c r="BH531" s="10">
        <f t="shared" si="669"/>
        <v>0</v>
      </c>
      <c r="BI531" s="10">
        <f t="shared" si="669"/>
        <v>0</v>
      </c>
      <c r="BJ531" s="10">
        <f t="shared" si="669"/>
        <v>0</v>
      </c>
      <c r="BK531" s="67"/>
      <c r="BL531" s="10">
        <f t="shared" ref="BL531" si="670">BL$209</f>
        <v>0</v>
      </c>
      <c r="BM531" s="10">
        <f t="shared" ref="BM531:BW531" si="671">BM$209</f>
        <v>0</v>
      </c>
      <c r="BN531" s="10">
        <f t="shared" si="671"/>
        <v>0</v>
      </c>
      <c r="BO531" s="10">
        <f t="shared" si="671"/>
        <v>0</v>
      </c>
      <c r="BP531" s="10">
        <f t="shared" si="671"/>
        <v>0</v>
      </c>
      <c r="BQ531" s="10">
        <f t="shared" si="671"/>
        <v>0</v>
      </c>
      <c r="BR531" s="10">
        <f t="shared" si="671"/>
        <v>0</v>
      </c>
      <c r="BS531" s="10">
        <f t="shared" si="671"/>
        <v>0</v>
      </c>
      <c r="BT531" s="10">
        <f t="shared" si="671"/>
        <v>0</v>
      </c>
      <c r="BU531" s="10">
        <f t="shared" si="671"/>
        <v>0</v>
      </c>
      <c r="BV531" s="10">
        <f t="shared" si="671"/>
        <v>0</v>
      </c>
      <c r="BW531" s="10">
        <f t="shared" si="671"/>
        <v>0</v>
      </c>
      <c r="BX531" s="67"/>
      <c r="BY531" s="12"/>
      <c r="CA531" s="12"/>
      <c r="CG531" s="67"/>
      <c r="CH531" s="67"/>
      <c r="CI531" s="67"/>
      <c r="CK531" s="67"/>
      <c r="CL531" s="67"/>
      <c r="CR531" s="12"/>
      <c r="EX531" s="10" t="str">
        <f t="shared" si="638"/>
        <v/>
      </c>
    </row>
    <row r="532" spans="1:154" x14ac:dyDescent="0.25">
      <c r="A532" s="67"/>
      <c r="B532" s="84" t="str" cm="1">
        <f t="array" aca="1" ref="B532" ca="1">HYPERLINK(CONCATENATE("#",CELL("address",$D$218)),$D$218)</f>
        <v>Loan 10</v>
      </c>
      <c r="C532" s="380"/>
      <c r="D532" s="60">
        <f>D$22</f>
        <v>0</v>
      </c>
      <c r="E532" s="60">
        <f>E$22</f>
        <v>0</v>
      </c>
      <c r="F532" s="67"/>
      <c r="G532" s="9" t="s">
        <v>413</v>
      </c>
      <c r="H532" s="50" t="s">
        <v>125</v>
      </c>
      <c r="I532" s="67"/>
      <c r="J532" s="67"/>
      <c r="K532" s="67"/>
      <c r="L532" s="67"/>
      <c r="M532" s="67"/>
      <c r="N532" s="67"/>
      <c r="O532" s="67"/>
      <c r="P532" s="67"/>
      <c r="Q532" s="67"/>
      <c r="R532" s="67"/>
      <c r="S532" s="335"/>
      <c r="T532" s="335"/>
      <c r="U532" s="335"/>
      <c r="V532" s="201">
        <f>V$228</f>
        <v>0</v>
      </c>
      <c r="W532" s="10">
        <f>W$228</f>
        <v>0</v>
      </c>
      <c r="X532" s="10">
        <f>X$228</f>
        <v>0</v>
      </c>
      <c r="Y532" s="10">
        <f>Y$228</f>
        <v>0</v>
      </c>
      <c r="Z532" s="67"/>
      <c r="AA532" s="10">
        <f t="shared" ref="AA532:BJ532" si="672">AA$228</f>
        <v>0</v>
      </c>
      <c r="AB532" s="10">
        <f t="shared" si="672"/>
        <v>0</v>
      </c>
      <c r="AC532" s="10">
        <f t="shared" si="672"/>
        <v>0</v>
      </c>
      <c r="AD532" s="10">
        <f t="shared" si="672"/>
        <v>0</v>
      </c>
      <c r="AE532" s="10">
        <f t="shared" si="672"/>
        <v>0</v>
      </c>
      <c r="AF532" s="10">
        <f t="shared" si="672"/>
        <v>0</v>
      </c>
      <c r="AG532" s="10">
        <f t="shared" si="672"/>
        <v>0</v>
      </c>
      <c r="AH532" s="10">
        <f t="shared" si="672"/>
        <v>0</v>
      </c>
      <c r="AI532" s="10">
        <f t="shared" si="672"/>
        <v>0</v>
      </c>
      <c r="AJ532" s="10">
        <f t="shared" si="672"/>
        <v>0</v>
      </c>
      <c r="AK532" s="10">
        <f t="shared" si="672"/>
        <v>0</v>
      </c>
      <c r="AL532" s="10">
        <f t="shared" si="672"/>
        <v>0</v>
      </c>
      <c r="AM532" s="10">
        <f t="shared" si="672"/>
        <v>0</v>
      </c>
      <c r="AN532" s="10">
        <f t="shared" si="672"/>
        <v>0</v>
      </c>
      <c r="AO532" s="10">
        <f t="shared" si="672"/>
        <v>0</v>
      </c>
      <c r="AP532" s="10">
        <f t="shared" si="672"/>
        <v>0</v>
      </c>
      <c r="AQ532" s="10">
        <f t="shared" si="672"/>
        <v>0</v>
      </c>
      <c r="AR532" s="10">
        <f t="shared" si="672"/>
        <v>0</v>
      </c>
      <c r="AS532" s="10">
        <f t="shared" si="672"/>
        <v>0</v>
      </c>
      <c r="AT532" s="10">
        <f t="shared" si="672"/>
        <v>0</v>
      </c>
      <c r="AU532" s="10">
        <f t="shared" si="672"/>
        <v>0</v>
      </c>
      <c r="AV532" s="10">
        <f t="shared" si="672"/>
        <v>0</v>
      </c>
      <c r="AW532" s="10">
        <f t="shared" si="672"/>
        <v>0</v>
      </c>
      <c r="AX532" s="10">
        <f t="shared" si="672"/>
        <v>0</v>
      </c>
      <c r="AY532" s="10">
        <f t="shared" si="672"/>
        <v>0</v>
      </c>
      <c r="AZ532" s="10">
        <f t="shared" si="672"/>
        <v>0</v>
      </c>
      <c r="BA532" s="10">
        <f t="shared" si="672"/>
        <v>0</v>
      </c>
      <c r="BB532" s="10">
        <f t="shared" si="672"/>
        <v>0</v>
      </c>
      <c r="BC532" s="10">
        <f t="shared" si="672"/>
        <v>0</v>
      </c>
      <c r="BD532" s="10">
        <f t="shared" si="672"/>
        <v>0</v>
      </c>
      <c r="BE532" s="10">
        <f t="shared" si="672"/>
        <v>0</v>
      </c>
      <c r="BF532" s="10">
        <f t="shared" si="672"/>
        <v>0</v>
      </c>
      <c r="BG532" s="10">
        <f t="shared" si="672"/>
        <v>0</v>
      </c>
      <c r="BH532" s="10">
        <f t="shared" si="672"/>
        <v>0</v>
      </c>
      <c r="BI532" s="10">
        <f t="shared" si="672"/>
        <v>0</v>
      </c>
      <c r="BJ532" s="10">
        <f t="shared" si="672"/>
        <v>0</v>
      </c>
      <c r="BK532" s="67"/>
      <c r="BL532" s="10">
        <f t="shared" ref="BL532" si="673">BL$228</f>
        <v>0</v>
      </c>
      <c r="BM532" s="10">
        <f t="shared" ref="BM532:BW532" si="674">BM$228</f>
        <v>0</v>
      </c>
      <c r="BN532" s="10">
        <f t="shared" si="674"/>
        <v>0</v>
      </c>
      <c r="BO532" s="10">
        <f t="shared" si="674"/>
        <v>0</v>
      </c>
      <c r="BP532" s="10">
        <f t="shared" si="674"/>
        <v>0</v>
      </c>
      <c r="BQ532" s="10">
        <f t="shared" si="674"/>
        <v>0</v>
      </c>
      <c r="BR532" s="10">
        <f t="shared" si="674"/>
        <v>0</v>
      </c>
      <c r="BS532" s="10">
        <f t="shared" si="674"/>
        <v>0</v>
      </c>
      <c r="BT532" s="10">
        <f t="shared" si="674"/>
        <v>0</v>
      </c>
      <c r="BU532" s="10">
        <f t="shared" si="674"/>
        <v>0</v>
      </c>
      <c r="BV532" s="10">
        <f t="shared" si="674"/>
        <v>0</v>
      </c>
      <c r="BW532" s="10">
        <f t="shared" si="674"/>
        <v>0</v>
      </c>
      <c r="BX532" s="67"/>
      <c r="BY532" s="12"/>
      <c r="CA532" s="12"/>
      <c r="CG532" s="67"/>
      <c r="CH532" s="67"/>
      <c r="CI532" s="67"/>
      <c r="CK532" s="67"/>
      <c r="CL532" s="67"/>
      <c r="CR532" s="12"/>
      <c r="EX532" s="10" t="str">
        <f t="shared" si="638"/>
        <v/>
      </c>
    </row>
    <row r="533" spans="1:154" x14ac:dyDescent="0.25">
      <c r="A533" s="67"/>
      <c r="B533" s="84" t="str" cm="1">
        <f t="array" aca="1" ref="B533" ca="1">HYPERLINK(CONCATENATE("#",CELL("address",$D$237)),$D$237)</f>
        <v>Loan 11</v>
      </c>
      <c r="C533" s="380"/>
      <c r="D533" s="60">
        <f>D$23</f>
        <v>0</v>
      </c>
      <c r="E533" s="60">
        <f>E$23</f>
        <v>0</v>
      </c>
      <c r="F533" s="67"/>
      <c r="G533" s="9" t="s">
        <v>413</v>
      </c>
      <c r="H533" s="50" t="s">
        <v>125</v>
      </c>
      <c r="I533" s="67"/>
      <c r="J533" s="67"/>
      <c r="K533" s="67"/>
      <c r="L533" s="67"/>
      <c r="M533" s="67"/>
      <c r="N533" s="67"/>
      <c r="O533" s="67"/>
      <c r="P533" s="67"/>
      <c r="Q533" s="67"/>
      <c r="R533" s="67"/>
      <c r="S533" s="335"/>
      <c r="T533" s="335"/>
      <c r="U533" s="335"/>
      <c r="V533" s="201">
        <f>V$247</f>
        <v>0</v>
      </c>
      <c r="W533" s="10">
        <f>W$247</f>
        <v>0</v>
      </c>
      <c r="X533" s="10">
        <f>X$247</f>
        <v>0</v>
      </c>
      <c r="Y533" s="10">
        <f>Y$247</f>
        <v>0</v>
      </c>
      <c r="Z533" s="67"/>
      <c r="AA533" s="10">
        <f t="shared" ref="AA533:BJ533" si="675">AA$247</f>
        <v>0</v>
      </c>
      <c r="AB533" s="10">
        <f t="shared" si="675"/>
        <v>0</v>
      </c>
      <c r="AC533" s="10">
        <f t="shared" si="675"/>
        <v>0</v>
      </c>
      <c r="AD533" s="10">
        <f t="shared" si="675"/>
        <v>0</v>
      </c>
      <c r="AE533" s="10">
        <f t="shared" si="675"/>
        <v>0</v>
      </c>
      <c r="AF533" s="10">
        <f t="shared" si="675"/>
        <v>0</v>
      </c>
      <c r="AG533" s="10">
        <f t="shared" si="675"/>
        <v>0</v>
      </c>
      <c r="AH533" s="10">
        <f t="shared" si="675"/>
        <v>0</v>
      </c>
      <c r="AI533" s="10">
        <f t="shared" si="675"/>
        <v>0</v>
      </c>
      <c r="AJ533" s="10">
        <f t="shared" si="675"/>
        <v>0</v>
      </c>
      <c r="AK533" s="10">
        <f t="shared" si="675"/>
        <v>0</v>
      </c>
      <c r="AL533" s="10">
        <f t="shared" si="675"/>
        <v>0</v>
      </c>
      <c r="AM533" s="10">
        <f t="shared" si="675"/>
        <v>0</v>
      </c>
      <c r="AN533" s="10">
        <f t="shared" si="675"/>
        <v>0</v>
      </c>
      <c r="AO533" s="10">
        <f t="shared" si="675"/>
        <v>0</v>
      </c>
      <c r="AP533" s="10">
        <f t="shared" si="675"/>
        <v>0</v>
      </c>
      <c r="AQ533" s="10">
        <f t="shared" si="675"/>
        <v>0</v>
      </c>
      <c r="AR533" s="10">
        <f t="shared" si="675"/>
        <v>0</v>
      </c>
      <c r="AS533" s="10">
        <f t="shared" si="675"/>
        <v>0</v>
      </c>
      <c r="AT533" s="10">
        <f t="shared" si="675"/>
        <v>0</v>
      </c>
      <c r="AU533" s="10">
        <f t="shared" si="675"/>
        <v>0</v>
      </c>
      <c r="AV533" s="10">
        <f t="shared" si="675"/>
        <v>0</v>
      </c>
      <c r="AW533" s="10">
        <f t="shared" si="675"/>
        <v>0</v>
      </c>
      <c r="AX533" s="10">
        <f t="shared" si="675"/>
        <v>0</v>
      </c>
      <c r="AY533" s="10">
        <f t="shared" si="675"/>
        <v>0</v>
      </c>
      <c r="AZ533" s="10">
        <f t="shared" si="675"/>
        <v>0</v>
      </c>
      <c r="BA533" s="10">
        <f t="shared" si="675"/>
        <v>0</v>
      </c>
      <c r="BB533" s="10">
        <f t="shared" si="675"/>
        <v>0</v>
      </c>
      <c r="BC533" s="10">
        <f t="shared" si="675"/>
        <v>0</v>
      </c>
      <c r="BD533" s="10">
        <f t="shared" si="675"/>
        <v>0</v>
      </c>
      <c r="BE533" s="10">
        <f t="shared" si="675"/>
        <v>0</v>
      </c>
      <c r="BF533" s="10">
        <f t="shared" si="675"/>
        <v>0</v>
      </c>
      <c r="BG533" s="10">
        <f t="shared" si="675"/>
        <v>0</v>
      </c>
      <c r="BH533" s="10">
        <f t="shared" si="675"/>
        <v>0</v>
      </c>
      <c r="BI533" s="10">
        <f t="shared" si="675"/>
        <v>0</v>
      </c>
      <c r="BJ533" s="10">
        <f t="shared" si="675"/>
        <v>0</v>
      </c>
      <c r="BK533" s="67"/>
      <c r="BL533" s="10">
        <f t="shared" ref="BL533" si="676">BL$247</f>
        <v>0</v>
      </c>
      <c r="BM533" s="10">
        <f t="shared" ref="BM533:BW533" si="677">BM$247</f>
        <v>0</v>
      </c>
      <c r="BN533" s="10">
        <f t="shared" si="677"/>
        <v>0</v>
      </c>
      <c r="BO533" s="10">
        <f t="shared" si="677"/>
        <v>0</v>
      </c>
      <c r="BP533" s="10">
        <f t="shared" si="677"/>
        <v>0</v>
      </c>
      <c r="BQ533" s="10">
        <f t="shared" si="677"/>
        <v>0</v>
      </c>
      <c r="BR533" s="10">
        <f t="shared" si="677"/>
        <v>0</v>
      </c>
      <c r="BS533" s="10">
        <f t="shared" si="677"/>
        <v>0</v>
      </c>
      <c r="BT533" s="10">
        <f t="shared" si="677"/>
        <v>0</v>
      </c>
      <c r="BU533" s="10">
        <f t="shared" si="677"/>
        <v>0</v>
      </c>
      <c r="BV533" s="10">
        <f t="shared" si="677"/>
        <v>0</v>
      </c>
      <c r="BW533" s="10">
        <f t="shared" si="677"/>
        <v>0</v>
      </c>
      <c r="BX533" s="67"/>
      <c r="BY533" s="12"/>
      <c r="CA533" s="12"/>
      <c r="CG533" s="67"/>
      <c r="CH533" s="67"/>
      <c r="CI533" s="67"/>
      <c r="CK533" s="67"/>
      <c r="CL533" s="67"/>
      <c r="CR533" s="12"/>
      <c r="EX533" s="10" t="str">
        <f t="shared" si="638"/>
        <v/>
      </c>
    </row>
    <row r="534" spans="1:154" x14ac:dyDescent="0.25">
      <c r="A534" s="67"/>
      <c r="B534" s="84" t="str" cm="1">
        <f t="array" aca="1" ref="B534" ca="1">HYPERLINK(CONCATENATE("#",CELL("address",$D$256)),$D$256)</f>
        <v>Loan 12</v>
      </c>
      <c r="C534" s="380"/>
      <c r="D534" s="60">
        <f>D$24</f>
        <v>0</v>
      </c>
      <c r="E534" s="60">
        <f>E$24</f>
        <v>0</v>
      </c>
      <c r="F534" s="67"/>
      <c r="G534" s="9" t="s">
        <v>413</v>
      </c>
      <c r="H534" s="50" t="s">
        <v>125</v>
      </c>
      <c r="I534" s="67"/>
      <c r="J534" s="67"/>
      <c r="K534" s="67"/>
      <c r="L534" s="67"/>
      <c r="M534" s="67"/>
      <c r="N534" s="67"/>
      <c r="O534" s="67"/>
      <c r="P534" s="67"/>
      <c r="Q534" s="67"/>
      <c r="R534" s="67"/>
      <c r="S534" s="335"/>
      <c r="T534" s="335"/>
      <c r="U534" s="335"/>
      <c r="V534" s="201">
        <f>V$266</f>
        <v>0</v>
      </c>
      <c r="W534" s="10">
        <f>W$266</f>
        <v>0</v>
      </c>
      <c r="X534" s="10">
        <f>X$266</f>
        <v>0</v>
      </c>
      <c r="Y534" s="10">
        <f>Y$266</f>
        <v>0</v>
      </c>
      <c r="Z534" s="67"/>
      <c r="AA534" s="10">
        <f t="shared" ref="AA534:BJ534" si="678">AA$266</f>
        <v>0</v>
      </c>
      <c r="AB534" s="10">
        <f t="shared" si="678"/>
        <v>0</v>
      </c>
      <c r="AC534" s="10">
        <f t="shared" si="678"/>
        <v>0</v>
      </c>
      <c r="AD534" s="10">
        <f t="shared" si="678"/>
        <v>0</v>
      </c>
      <c r="AE534" s="10">
        <f t="shared" si="678"/>
        <v>0</v>
      </c>
      <c r="AF534" s="10">
        <f t="shared" si="678"/>
        <v>0</v>
      </c>
      <c r="AG534" s="10">
        <f t="shared" si="678"/>
        <v>0</v>
      </c>
      <c r="AH534" s="10">
        <f t="shared" si="678"/>
        <v>0</v>
      </c>
      <c r="AI534" s="10">
        <f t="shared" si="678"/>
        <v>0</v>
      </c>
      <c r="AJ534" s="10">
        <f t="shared" si="678"/>
        <v>0</v>
      </c>
      <c r="AK534" s="10">
        <f t="shared" si="678"/>
        <v>0</v>
      </c>
      <c r="AL534" s="10">
        <f t="shared" si="678"/>
        <v>0</v>
      </c>
      <c r="AM534" s="10">
        <f t="shared" si="678"/>
        <v>0</v>
      </c>
      <c r="AN534" s="10">
        <f t="shared" si="678"/>
        <v>0</v>
      </c>
      <c r="AO534" s="10">
        <f t="shared" si="678"/>
        <v>0</v>
      </c>
      <c r="AP534" s="10">
        <f t="shared" si="678"/>
        <v>0</v>
      </c>
      <c r="AQ534" s="10">
        <f t="shared" si="678"/>
        <v>0</v>
      </c>
      <c r="AR534" s="10">
        <f t="shared" si="678"/>
        <v>0</v>
      </c>
      <c r="AS534" s="10">
        <f t="shared" si="678"/>
        <v>0</v>
      </c>
      <c r="AT534" s="10">
        <f t="shared" si="678"/>
        <v>0</v>
      </c>
      <c r="AU534" s="10">
        <f t="shared" si="678"/>
        <v>0</v>
      </c>
      <c r="AV534" s="10">
        <f t="shared" si="678"/>
        <v>0</v>
      </c>
      <c r="AW534" s="10">
        <f t="shared" si="678"/>
        <v>0</v>
      </c>
      <c r="AX534" s="10">
        <f t="shared" si="678"/>
        <v>0</v>
      </c>
      <c r="AY534" s="10">
        <f t="shared" si="678"/>
        <v>0</v>
      </c>
      <c r="AZ534" s="10">
        <f t="shared" si="678"/>
        <v>0</v>
      </c>
      <c r="BA534" s="10">
        <f t="shared" si="678"/>
        <v>0</v>
      </c>
      <c r="BB534" s="10">
        <f t="shared" si="678"/>
        <v>0</v>
      </c>
      <c r="BC534" s="10">
        <f t="shared" si="678"/>
        <v>0</v>
      </c>
      <c r="BD534" s="10">
        <f t="shared" si="678"/>
        <v>0</v>
      </c>
      <c r="BE534" s="10">
        <f t="shared" si="678"/>
        <v>0</v>
      </c>
      <c r="BF534" s="10">
        <f t="shared" si="678"/>
        <v>0</v>
      </c>
      <c r="BG534" s="10">
        <f t="shared" si="678"/>
        <v>0</v>
      </c>
      <c r="BH534" s="10">
        <f t="shared" si="678"/>
        <v>0</v>
      </c>
      <c r="BI534" s="10">
        <f t="shared" si="678"/>
        <v>0</v>
      </c>
      <c r="BJ534" s="10">
        <f t="shared" si="678"/>
        <v>0</v>
      </c>
      <c r="BK534" s="67"/>
      <c r="BL534" s="10">
        <f t="shared" ref="BL534" si="679">BL$266</f>
        <v>0</v>
      </c>
      <c r="BM534" s="10">
        <f t="shared" ref="BM534:BW534" si="680">BM$266</f>
        <v>0</v>
      </c>
      <c r="BN534" s="10">
        <f t="shared" si="680"/>
        <v>0</v>
      </c>
      <c r="BO534" s="10">
        <f t="shared" si="680"/>
        <v>0</v>
      </c>
      <c r="BP534" s="10">
        <f t="shared" si="680"/>
        <v>0</v>
      </c>
      <c r="BQ534" s="10">
        <f t="shared" si="680"/>
        <v>0</v>
      </c>
      <c r="BR534" s="10">
        <f t="shared" si="680"/>
        <v>0</v>
      </c>
      <c r="BS534" s="10">
        <f t="shared" si="680"/>
        <v>0</v>
      </c>
      <c r="BT534" s="10">
        <f t="shared" si="680"/>
        <v>0</v>
      </c>
      <c r="BU534" s="10">
        <f t="shared" si="680"/>
        <v>0</v>
      </c>
      <c r="BV534" s="10">
        <f t="shared" si="680"/>
        <v>0</v>
      </c>
      <c r="BW534" s="10">
        <f t="shared" si="680"/>
        <v>0</v>
      </c>
      <c r="BX534" s="67"/>
      <c r="BY534" s="12"/>
      <c r="CA534" s="12"/>
      <c r="CG534" s="67"/>
      <c r="CH534" s="67"/>
      <c r="CI534" s="67"/>
      <c r="CK534" s="67"/>
      <c r="CL534" s="67"/>
      <c r="CR534" s="12"/>
      <c r="EX534" s="10" t="str">
        <f t="shared" si="638"/>
        <v/>
      </c>
    </row>
    <row r="535" spans="1:154" x14ac:dyDescent="0.25">
      <c r="A535" s="67"/>
      <c r="B535" s="84" t="str" cm="1">
        <f t="array" aca="1" ref="B535" ca="1">HYPERLINK(CONCATENATE("#",CELL("address",$D$275)),$D$275)</f>
        <v>Loan 13</v>
      </c>
      <c r="C535" s="380"/>
      <c r="D535" s="60">
        <f>D$25</f>
        <v>0</v>
      </c>
      <c r="E535" s="60">
        <f>E$25</f>
        <v>0</v>
      </c>
      <c r="F535" s="67"/>
      <c r="G535" s="9" t="s">
        <v>413</v>
      </c>
      <c r="H535" s="50" t="s">
        <v>125</v>
      </c>
      <c r="I535" s="67"/>
      <c r="J535" s="67"/>
      <c r="K535" s="67"/>
      <c r="L535" s="67"/>
      <c r="M535" s="67"/>
      <c r="N535" s="67"/>
      <c r="O535" s="67"/>
      <c r="P535" s="67"/>
      <c r="Q535" s="67"/>
      <c r="R535" s="67"/>
      <c r="S535" s="335"/>
      <c r="T535" s="335"/>
      <c r="U535" s="335"/>
      <c r="V535" s="201">
        <f>V$285</f>
        <v>0</v>
      </c>
      <c r="W535" s="10">
        <f>W$285</f>
        <v>0</v>
      </c>
      <c r="X535" s="10">
        <f>X$285</f>
        <v>0</v>
      </c>
      <c r="Y535" s="10">
        <f>Y$285</f>
        <v>0</v>
      </c>
      <c r="Z535" s="67"/>
      <c r="AA535" s="10">
        <f t="shared" ref="AA535:BJ535" si="681">AA$285</f>
        <v>0</v>
      </c>
      <c r="AB535" s="10">
        <f t="shared" si="681"/>
        <v>0</v>
      </c>
      <c r="AC535" s="10">
        <f t="shared" si="681"/>
        <v>0</v>
      </c>
      <c r="AD535" s="10">
        <f t="shared" si="681"/>
        <v>0</v>
      </c>
      <c r="AE535" s="10">
        <f t="shared" si="681"/>
        <v>0</v>
      </c>
      <c r="AF535" s="10">
        <f t="shared" si="681"/>
        <v>0</v>
      </c>
      <c r="AG535" s="10">
        <f t="shared" si="681"/>
        <v>0</v>
      </c>
      <c r="AH535" s="10">
        <f t="shared" si="681"/>
        <v>0</v>
      </c>
      <c r="AI535" s="10">
        <f t="shared" si="681"/>
        <v>0</v>
      </c>
      <c r="AJ535" s="10">
        <f t="shared" si="681"/>
        <v>0</v>
      </c>
      <c r="AK535" s="10">
        <f t="shared" si="681"/>
        <v>0</v>
      </c>
      <c r="AL535" s="10">
        <f t="shared" si="681"/>
        <v>0</v>
      </c>
      <c r="AM535" s="10">
        <f t="shared" si="681"/>
        <v>0</v>
      </c>
      <c r="AN535" s="10">
        <f t="shared" si="681"/>
        <v>0</v>
      </c>
      <c r="AO535" s="10">
        <f t="shared" si="681"/>
        <v>0</v>
      </c>
      <c r="AP535" s="10">
        <f t="shared" si="681"/>
        <v>0</v>
      </c>
      <c r="AQ535" s="10">
        <f t="shared" si="681"/>
        <v>0</v>
      </c>
      <c r="AR535" s="10">
        <f t="shared" si="681"/>
        <v>0</v>
      </c>
      <c r="AS535" s="10">
        <f t="shared" si="681"/>
        <v>0</v>
      </c>
      <c r="AT535" s="10">
        <f t="shared" si="681"/>
        <v>0</v>
      </c>
      <c r="AU535" s="10">
        <f t="shared" si="681"/>
        <v>0</v>
      </c>
      <c r="AV535" s="10">
        <f t="shared" si="681"/>
        <v>0</v>
      </c>
      <c r="AW535" s="10">
        <f t="shared" si="681"/>
        <v>0</v>
      </c>
      <c r="AX535" s="10">
        <f t="shared" si="681"/>
        <v>0</v>
      </c>
      <c r="AY535" s="10">
        <f t="shared" si="681"/>
        <v>0</v>
      </c>
      <c r="AZ535" s="10">
        <f t="shared" si="681"/>
        <v>0</v>
      </c>
      <c r="BA535" s="10">
        <f t="shared" si="681"/>
        <v>0</v>
      </c>
      <c r="BB535" s="10">
        <f t="shared" si="681"/>
        <v>0</v>
      </c>
      <c r="BC535" s="10">
        <f t="shared" si="681"/>
        <v>0</v>
      </c>
      <c r="BD535" s="10">
        <f t="shared" si="681"/>
        <v>0</v>
      </c>
      <c r="BE535" s="10">
        <f t="shared" si="681"/>
        <v>0</v>
      </c>
      <c r="BF535" s="10">
        <f t="shared" si="681"/>
        <v>0</v>
      </c>
      <c r="BG535" s="10">
        <f t="shared" si="681"/>
        <v>0</v>
      </c>
      <c r="BH535" s="10">
        <f t="shared" si="681"/>
        <v>0</v>
      </c>
      <c r="BI535" s="10">
        <f t="shared" si="681"/>
        <v>0</v>
      </c>
      <c r="BJ535" s="10">
        <f t="shared" si="681"/>
        <v>0</v>
      </c>
      <c r="BK535" s="67"/>
      <c r="BL535" s="10">
        <f t="shared" ref="BL535" si="682">BL$285</f>
        <v>0</v>
      </c>
      <c r="BM535" s="10">
        <f t="shared" ref="BM535:BW535" si="683">BM$285</f>
        <v>0</v>
      </c>
      <c r="BN535" s="10">
        <f t="shared" si="683"/>
        <v>0</v>
      </c>
      <c r="BO535" s="10">
        <f t="shared" si="683"/>
        <v>0</v>
      </c>
      <c r="BP535" s="10">
        <f t="shared" si="683"/>
        <v>0</v>
      </c>
      <c r="BQ535" s="10">
        <f t="shared" si="683"/>
        <v>0</v>
      </c>
      <c r="BR535" s="10">
        <f t="shared" si="683"/>
        <v>0</v>
      </c>
      <c r="BS535" s="10">
        <f t="shared" si="683"/>
        <v>0</v>
      </c>
      <c r="BT535" s="10">
        <f t="shared" si="683"/>
        <v>0</v>
      </c>
      <c r="BU535" s="10">
        <f t="shared" si="683"/>
        <v>0</v>
      </c>
      <c r="BV535" s="10">
        <f t="shared" si="683"/>
        <v>0</v>
      </c>
      <c r="BW535" s="10">
        <f t="shared" si="683"/>
        <v>0</v>
      </c>
      <c r="BX535" s="67"/>
      <c r="BY535" s="12"/>
      <c r="CA535" s="12"/>
      <c r="CG535" s="67"/>
      <c r="CH535" s="67"/>
      <c r="CI535" s="67"/>
      <c r="CK535" s="67"/>
      <c r="CL535" s="67"/>
      <c r="CR535" s="12"/>
      <c r="EX535" s="10" t="str">
        <f t="shared" si="638"/>
        <v/>
      </c>
    </row>
    <row r="536" spans="1:154" s="5" customFormat="1" x14ac:dyDescent="0.25">
      <c r="A536" s="67"/>
      <c r="B536" s="84" t="str" cm="1">
        <f t="array" aca="1" ref="B536" ca="1">HYPERLINK(CONCATENATE("#",CELL("address",$D$294)),$D$294)</f>
        <v>Loan 14</v>
      </c>
      <c r="C536" s="380"/>
      <c r="D536" s="60">
        <f>D$26</f>
        <v>0</v>
      </c>
      <c r="E536" s="60">
        <f>E$26</f>
        <v>0</v>
      </c>
      <c r="F536" s="67"/>
      <c r="G536" s="9" t="s">
        <v>413</v>
      </c>
      <c r="H536" s="50" t="s">
        <v>125</v>
      </c>
      <c r="I536" s="67"/>
      <c r="J536" s="67"/>
      <c r="K536" s="67"/>
      <c r="L536" s="67"/>
      <c r="M536" s="67"/>
      <c r="N536" s="67"/>
      <c r="O536" s="67"/>
      <c r="P536" s="67"/>
      <c r="Q536" s="67"/>
      <c r="R536" s="67"/>
      <c r="S536" s="335"/>
      <c r="T536" s="335"/>
      <c r="U536" s="335"/>
      <c r="V536" s="201">
        <f>V$304</f>
        <v>0</v>
      </c>
      <c r="W536" s="10">
        <f>W$304</f>
        <v>0</v>
      </c>
      <c r="X536" s="10">
        <f>X$304</f>
        <v>0</v>
      </c>
      <c r="Y536" s="10">
        <f>Y$304</f>
        <v>0</v>
      </c>
      <c r="Z536" s="67"/>
      <c r="AA536" s="10">
        <f t="shared" ref="AA536:BJ536" si="684">AA$304</f>
        <v>0</v>
      </c>
      <c r="AB536" s="10">
        <f t="shared" si="684"/>
        <v>0</v>
      </c>
      <c r="AC536" s="10">
        <f t="shared" si="684"/>
        <v>0</v>
      </c>
      <c r="AD536" s="10">
        <f t="shared" si="684"/>
        <v>0</v>
      </c>
      <c r="AE536" s="10">
        <f t="shared" si="684"/>
        <v>0</v>
      </c>
      <c r="AF536" s="10">
        <f t="shared" si="684"/>
        <v>0</v>
      </c>
      <c r="AG536" s="10">
        <f t="shared" si="684"/>
        <v>0</v>
      </c>
      <c r="AH536" s="10">
        <f t="shared" si="684"/>
        <v>0</v>
      </c>
      <c r="AI536" s="10">
        <f t="shared" si="684"/>
        <v>0</v>
      </c>
      <c r="AJ536" s="10">
        <f t="shared" si="684"/>
        <v>0</v>
      </c>
      <c r="AK536" s="10">
        <f t="shared" si="684"/>
        <v>0</v>
      </c>
      <c r="AL536" s="10">
        <f t="shared" si="684"/>
        <v>0</v>
      </c>
      <c r="AM536" s="10">
        <f t="shared" si="684"/>
        <v>0</v>
      </c>
      <c r="AN536" s="10">
        <f t="shared" si="684"/>
        <v>0</v>
      </c>
      <c r="AO536" s="10">
        <f t="shared" si="684"/>
        <v>0</v>
      </c>
      <c r="AP536" s="10">
        <f t="shared" si="684"/>
        <v>0</v>
      </c>
      <c r="AQ536" s="10">
        <f t="shared" si="684"/>
        <v>0</v>
      </c>
      <c r="AR536" s="10">
        <f t="shared" si="684"/>
        <v>0</v>
      </c>
      <c r="AS536" s="10">
        <f t="shared" si="684"/>
        <v>0</v>
      </c>
      <c r="AT536" s="10">
        <f t="shared" si="684"/>
        <v>0</v>
      </c>
      <c r="AU536" s="10">
        <f t="shared" si="684"/>
        <v>0</v>
      </c>
      <c r="AV536" s="10">
        <f t="shared" si="684"/>
        <v>0</v>
      </c>
      <c r="AW536" s="10">
        <f t="shared" si="684"/>
        <v>0</v>
      </c>
      <c r="AX536" s="10">
        <f t="shared" si="684"/>
        <v>0</v>
      </c>
      <c r="AY536" s="10">
        <f t="shared" si="684"/>
        <v>0</v>
      </c>
      <c r="AZ536" s="10">
        <f t="shared" si="684"/>
        <v>0</v>
      </c>
      <c r="BA536" s="10">
        <f t="shared" si="684"/>
        <v>0</v>
      </c>
      <c r="BB536" s="10">
        <f t="shared" si="684"/>
        <v>0</v>
      </c>
      <c r="BC536" s="10">
        <f t="shared" si="684"/>
        <v>0</v>
      </c>
      <c r="BD536" s="10">
        <f t="shared" si="684"/>
        <v>0</v>
      </c>
      <c r="BE536" s="10">
        <f t="shared" si="684"/>
        <v>0</v>
      </c>
      <c r="BF536" s="10">
        <f t="shared" si="684"/>
        <v>0</v>
      </c>
      <c r="BG536" s="10">
        <f t="shared" si="684"/>
        <v>0</v>
      </c>
      <c r="BH536" s="10">
        <f t="shared" si="684"/>
        <v>0</v>
      </c>
      <c r="BI536" s="10">
        <f t="shared" si="684"/>
        <v>0</v>
      </c>
      <c r="BJ536" s="10">
        <f t="shared" si="684"/>
        <v>0</v>
      </c>
      <c r="BK536" s="67"/>
      <c r="BL536" s="10">
        <f t="shared" ref="BL536" si="685">BL$304</f>
        <v>0</v>
      </c>
      <c r="BM536" s="10">
        <f t="shared" ref="BM536:BW536" si="686">BM$304</f>
        <v>0</v>
      </c>
      <c r="BN536" s="10">
        <f t="shared" si="686"/>
        <v>0</v>
      </c>
      <c r="BO536" s="10">
        <f t="shared" si="686"/>
        <v>0</v>
      </c>
      <c r="BP536" s="10">
        <f t="shared" si="686"/>
        <v>0</v>
      </c>
      <c r="BQ536" s="10">
        <f t="shared" si="686"/>
        <v>0</v>
      </c>
      <c r="BR536" s="10">
        <f t="shared" si="686"/>
        <v>0</v>
      </c>
      <c r="BS536" s="10">
        <f t="shared" si="686"/>
        <v>0</v>
      </c>
      <c r="BT536" s="10">
        <f t="shared" si="686"/>
        <v>0</v>
      </c>
      <c r="BU536" s="10">
        <f t="shared" si="686"/>
        <v>0</v>
      </c>
      <c r="BV536" s="10">
        <f t="shared" si="686"/>
        <v>0</v>
      </c>
      <c r="BW536" s="10">
        <f t="shared" si="686"/>
        <v>0</v>
      </c>
      <c r="BX536" s="67"/>
      <c r="BY536" s="12"/>
      <c r="BZ536" s="335"/>
      <c r="CA536" s="12"/>
      <c r="CB536" s="335"/>
      <c r="CC536" s="335"/>
      <c r="CD536" s="335"/>
      <c r="CE536" s="335"/>
      <c r="CF536" s="67"/>
      <c r="CG536" s="67"/>
      <c r="CH536" s="67"/>
      <c r="CI536" s="67"/>
      <c r="CJ536" s="67"/>
      <c r="CK536" s="67"/>
      <c r="CL536" s="67"/>
      <c r="CM536" s="335"/>
      <c r="CN536" s="335"/>
      <c r="CO536" s="335"/>
      <c r="CP536" s="335"/>
      <c r="CQ536" s="67"/>
      <c r="CR536" s="12"/>
      <c r="EX536" s="10" t="str">
        <f t="shared" si="638"/>
        <v/>
      </c>
    </row>
    <row r="537" spans="1:154" x14ac:dyDescent="0.25">
      <c r="A537" s="67"/>
      <c r="B537" s="84" t="str" cm="1">
        <f t="array" aca="1" ref="B537" ca="1">HYPERLINK(CONCATENATE("#",CELL("address",$D$313)),$D$313)</f>
        <v>Loan 15</v>
      </c>
      <c r="C537" s="380"/>
      <c r="D537" s="60">
        <f>D$27</f>
        <v>0</v>
      </c>
      <c r="E537" s="60">
        <f>E$27</f>
        <v>0</v>
      </c>
      <c r="F537" s="67"/>
      <c r="G537" s="9" t="s">
        <v>413</v>
      </c>
      <c r="H537" s="50" t="s">
        <v>125</v>
      </c>
      <c r="I537" s="67"/>
      <c r="J537" s="67"/>
      <c r="K537" s="67"/>
      <c r="L537" s="67"/>
      <c r="M537" s="67"/>
      <c r="N537" s="67"/>
      <c r="O537" s="67"/>
      <c r="P537" s="67"/>
      <c r="Q537" s="67"/>
      <c r="R537" s="67"/>
      <c r="S537" s="335"/>
      <c r="T537" s="335"/>
      <c r="U537" s="335"/>
      <c r="V537" s="201">
        <f>V$323</f>
        <v>0</v>
      </c>
      <c r="W537" s="10">
        <f>W$323</f>
        <v>0</v>
      </c>
      <c r="X537" s="10">
        <f>X$323</f>
        <v>0</v>
      </c>
      <c r="Y537" s="10">
        <f>Y$323</f>
        <v>0</v>
      </c>
      <c r="Z537" s="67"/>
      <c r="AA537" s="10">
        <f t="shared" ref="AA537:BJ537" si="687">AA$323</f>
        <v>0</v>
      </c>
      <c r="AB537" s="10">
        <f t="shared" si="687"/>
        <v>0</v>
      </c>
      <c r="AC537" s="10">
        <f t="shared" si="687"/>
        <v>0</v>
      </c>
      <c r="AD537" s="10">
        <f t="shared" si="687"/>
        <v>0</v>
      </c>
      <c r="AE537" s="10">
        <f t="shared" si="687"/>
        <v>0</v>
      </c>
      <c r="AF537" s="10">
        <f t="shared" si="687"/>
        <v>0</v>
      </c>
      <c r="AG537" s="10">
        <f t="shared" si="687"/>
        <v>0</v>
      </c>
      <c r="AH537" s="10">
        <f t="shared" si="687"/>
        <v>0</v>
      </c>
      <c r="AI537" s="10">
        <f t="shared" si="687"/>
        <v>0</v>
      </c>
      <c r="AJ537" s="10">
        <f t="shared" si="687"/>
        <v>0</v>
      </c>
      <c r="AK537" s="10">
        <f t="shared" si="687"/>
        <v>0</v>
      </c>
      <c r="AL537" s="10">
        <f t="shared" si="687"/>
        <v>0</v>
      </c>
      <c r="AM537" s="10">
        <f t="shared" si="687"/>
        <v>0</v>
      </c>
      <c r="AN537" s="10">
        <f t="shared" si="687"/>
        <v>0</v>
      </c>
      <c r="AO537" s="10">
        <f t="shared" si="687"/>
        <v>0</v>
      </c>
      <c r="AP537" s="10">
        <f t="shared" si="687"/>
        <v>0</v>
      </c>
      <c r="AQ537" s="10">
        <f t="shared" si="687"/>
        <v>0</v>
      </c>
      <c r="AR537" s="10">
        <f t="shared" si="687"/>
        <v>0</v>
      </c>
      <c r="AS537" s="10">
        <f t="shared" si="687"/>
        <v>0</v>
      </c>
      <c r="AT537" s="10">
        <f t="shared" si="687"/>
        <v>0</v>
      </c>
      <c r="AU537" s="10">
        <f t="shared" si="687"/>
        <v>0</v>
      </c>
      <c r="AV537" s="10">
        <f t="shared" si="687"/>
        <v>0</v>
      </c>
      <c r="AW537" s="10">
        <f t="shared" si="687"/>
        <v>0</v>
      </c>
      <c r="AX537" s="10">
        <f t="shared" si="687"/>
        <v>0</v>
      </c>
      <c r="AY537" s="10">
        <f t="shared" si="687"/>
        <v>0</v>
      </c>
      <c r="AZ537" s="10">
        <f t="shared" si="687"/>
        <v>0</v>
      </c>
      <c r="BA537" s="10">
        <f t="shared" si="687"/>
        <v>0</v>
      </c>
      <c r="BB537" s="10">
        <f t="shared" si="687"/>
        <v>0</v>
      </c>
      <c r="BC537" s="10">
        <f t="shared" si="687"/>
        <v>0</v>
      </c>
      <c r="BD537" s="10">
        <f t="shared" si="687"/>
        <v>0</v>
      </c>
      <c r="BE537" s="10">
        <f t="shared" si="687"/>
        <v>0</v>
      </c>
      <c r="BF537" s="10">
        <f t="shared" si="687"/>
        <v>0</v>
      </c>
      <c r="BG537" s="10">
        <f t="shared" si="687"/>
        <v>0</v>
      </c>
      <c r="BH537" s="10">
        <f t="shared" si="687"/>
        <v>0</v>
      </c>
      <c r="BI537" s="10">
        <f t="shared" si="687"/>
        <v>0</v>
      </c>
      <c r="BJ537" s="10">
        <f t="shared" si="687"/>
        <v>0</v>
      </c>
      <c r="BK537" s="67"/>
      <c r="BL537" s="10">
        <f t="shared" ref="BL537" si="688">BL$323</f>
        <v>0</v>
      </c>
      <c r="BM537" s="10">
        <f t="shared" ref="BM537:BW537" si="689">BM$323</f>
        <v>0</v>
      </c>
      <c r="BN537" s="10">
        <f t="shared" si="689"/>
        <v>0</v>
      </c>
      <c r="BO537" s="10">
        <f t="shared" si="689"/>
        <v>0</v>
      </c>
      <c r="BP537" s="10">
        <f t="shared" si="689"/>
        <v>0</v>
      </c>
      <c r="BQ537" s="10">
        <f t="shared" si="689"/>
        <v>0</v>
      </c>
      <c r="BR537" s="10">
        <f t="shared" si="689"/>
        <v>0</v>
      </c>
      <c r="BS537" s="10">
        <f t="shared" si="689"/>
        <v>0</v>
      </c>
      <c r="BT537" s="10">
        <f t="shared" si="689"/>
        <v>0</v>
      </c>
      <c r="BU537" s="10">
        <f t="shared" si="689"/>
        <v>0</v>
      </c>
      <c r="BV537" s="10">
        <f t="shared" si="689"/>
        <v>0</v>
      </c>
      <c r="BW537" s="10">
        <f t="shared" si="689"/>
        <v>0</v>
      </c>
      <c r="BX537" s="67"/>
      <c r="BY537" s="12"/>
      <c r="CA537" s="12"/>
      <c r="CG537" s="67"/>
      <c r="CH537" s="67"/>
      <c r="CI537" s="67"/>
      <c r="CK537" s="67"/>
      <c r="CL537" s="67"/>
      <c r="CR537" s="12"/>
      <c r="EX537" s="10" t="str">
        <f t="shared" si="638"/>
        <v/>
      </c>
    </row>
    <row r="538" spans="1:154" x14ac:dyDescent="0.25">
      <c r="A538" s="67"/>
      <c r="B538" s="84" t="str" cm="1">
        <f t="array" aca="1" ref="B538" ca="1">HYPERLINK(CONCATENATE("#",CELL("address",$D$332)),$D$332)</f>
        <v>Loan 16</v>
      </c>
      <c r="C538" s="380"/>
      <c r="D538" s="60">
        <f>D$28</f>
        <v>0</v>
      </c>
      <c r="E538" s="60">
        <f>E$28</f>
        <v>0</v>
      </c>
      <c r="F538" s="67"/>
      <c r="G538" s="9" t="s">
        <v>413</v>
      </c>
      <c r="H538" s="50" t="s">
        <v>125</v>
      </c>
      <c r="I538" s="67"/>
      <c r="J538" s="67"/>
      <c r="K538" s="67"/>
      <c r="L538" s="67"/>
      <c r="M538" s="67"/>
      <c r="N538" s="67"/>
      <c r="O538" s="67"/>
      <c r="P538" s="67"/>
      <c r="Q538" s="67"/>
      <c r="R538" s="67"/>
      <c r="S538" s="335"/>
      <c r="T538" s="335"/>
      <c r="U538" s="335"/>
      <c r="V538" s="201">
        <f>V$342</f>
        <v>0</v>
      </c>
      <c r="W538" s="10">
        <f>W$342</f>
        <v>0</v>
      </c>
      <c r="X538" s="10">
        <f>X$342</f>
        <v>0</v>
      </c>
      <c r="Y538" s="10">
        <f>Y$342</f>
        <v>0</v>
      </c>
      <c r="Z538" s="67"/>
      <c r="AA538" s="10">
        <f t="shared" ref="AA538:BJ538" si="690">AA$342</f>
        <v>0</v>
      </c>
      <c r="AB538" s="10">
        <f t="shared" si="690"/>
        <v>0</v>
      </c>
      <c r="AC538" s="10">
        <f t="shared" si="690"/>
        <v>0</v>
      </c>
      <c r="AD538" s="10">
        <f t="shared" si="690"/>
        <v>0</v>
      </c>
      <c r="AE538" s="10">
        <f t="shared" si="690"/>
        <v>0</v>
      </c>
      <c r="AF538" s="10">
        <f t="shared" si="690"/>
        <v>0</v>
      </c>
      <c r="AG538" s="10">
        <f t="shared" si="690"/>
        <v>0</v>
      </c>
      <c r="AH538" s="10">
        <f t="shared" si="690"/>
        <v>0</v>
      </c>
      <c r="AI538" s="10">
        <f t="shared" si="690"/>
        <v>0</v>
      </c>
      <c r="AJ538" s="10">
        <f t="shared" si="690"/>
        <v>0</v>
      </c>
      <c r="AK538" s="10">
        <f t="shared" si="690"/>
        <v>0</v>
      </c>
      <c r="AL538" s="10">
        <f t="shared" si="690"/>
        <v>0</v>
      </c>
      <c r="AM538" s="10">
        <f t="shared" si="690"/>
        <v>0</v>
      </c>
      <c r="AN538" s="10">
        <f t="shared" si="690"/>
        <v>0</v>
      </c>
      <c r="AO538" s="10">
        <f t="shared" si="690"/>
        <v>0</v>
      </c>
      <c r="AP538" s="10">
        <f t="shared" si="690"/>
        <v>0</v>
      </c>
      <c r="AQ538" s="10">
        <f t="shared" si="690"/>
        <v>0</v>
      </c>
      <c r="AR538" s="10">
        <f t="shared" si="690"/>
        <v>0</v>
      </c>
      <c r="AS538" s="10">
        <f t="shared" si="690"/>
        <v>0</v>
      </c>
      <c r="AT538" s="10">
        <f t="shared" si="690"/>
        <v>0</v>
      </c>
      <c r="AU538" s="10">
        <f t="shared" si="690"/>
        <v>0</v>
      </c>
      <c r="AV538" s="10">
        <f t="shared" si="690"/>
        <v>0</v>
      </c>
      <c r="AW538" s="10">
        <f t="shared" si="690"/>
        <v>0</v>
      </c>
      <c r="AX538" s="10">
        <f t="shared" si="690"/>
        <v>0</v>
      </c>
      <c r="AY538" s="10">
        <f t="shared" si="690"/>
        <v>0</v>
      </c>
      <c r="AZ538" s="10">
        <f t="shared" si="690"/>
        <v>0</v>
      </c>
      <c r="BA538" s="10">
        <f t="shared" si="690"/>
        <v>0</v>
      </c>
      <c r="BB538" s="10">
        <f t="shared" si="690"/>
        <v>0</v>
      </c>
      <c r="BC538" s="10">
        <f t="shared" si="690"/>
        <v>0</v>
      </c>
      <c r="BD538" s="10">
        <f t="shared" si="690"/>
        <v>0</v>
      </c>
      <c r="BE538" s="10">
        <f t="shared" si="690"/>
        <v>0</v>
      </c>
      <c r="BF538" s="10">
        <f t="shared" si="690"/>
        <v>0</v>
      </c>
      <c r="BG538" s="10">
        <f t="shared" si="690"/>
        <v>0</v>
      </c>
      <c r="BH538" s="10">
        <f t="shared" si="690"/>
        <v>0</v>
      </c>
      <c r="BI538" s="10">
        <f t="shared" si="690"/>
        <v>0</v>
      </c>
      <c r="BJ538" s="10">
        <f t="shared" si="690"/>
        <v>0</v>
      </c>
      <c r="BK538" s="67"/>
      <c r="BL538" s="10">
        <f t="shared" ref="BL538" si="691">BL$342</f>
        <v>0</v>
      </c>
      <c r="BM538" s="10">
        <f t="shared" ref="BM538:BW538" si="692">BM$342</f>
        <v>0</v>
      </c>
      <c r="BN538" s="10">
        <f t="shared" si="692"/>
        <v>0</v>
      </c>
      <c r="BO538" s="10">
        <f t="shared" si="692"/>
        <v>0</v>
      </c>
      <c r="BP538" s="10">
        <f t="shared" si="692"/>
        <v>0</v>
      </c>
      <c r="BQ538" s="10">
        <f t="shared" si="692"/>
        <v>0</v>
      </c>
      <c r="BR538" s="10">
        <f t="shared" si="692"/>
        <v>0</v>
      </c>
      <c r="BS538" s="10">
        <f t="shared" si="692"/>
        <v>0</v>
      </c>
      <c r="BT538" s="10">
        <f t="shared" si="692"/>
        <v>0</v>
      </c>
      <c r="BU538" s="10">
        <f t="shared" si="692"/>
        <v>0</v>
      </c>
      <c r="BV538" s="10">
        <f t="shared" si="692"/>
        <v>0</v>
      </c>
      <c r="BW538" s="10">
        <f t="shared" si="692"/>
        <v>0</v>
      </c>
      <c r="BX538" s="67"/>
      <c r="BY538" s="12"/>
      <c r="CA538" s="12"/>
      <c r="CG538" s="67"/>
      <c r="CH538" s="67"/>
      <c r="CI538" s="67"/>
      <c r="CK538" s="67"/>
      <c r="CL538" s="67"/>
      <c r="CR538" s="12"/>
      <c r="EX538" s="10" t="str">
        <f t="shared" si="638"/>
        <v/>
      </c>
    </row>
    <row r="539" spans="1:154" x14ac:dyDescent="0.25">
      <c r="A539" s="67"/>
      <c r="B539" s="84" t="str" cm="1">
        <f t="array" aca="1" ref="B539" ca="1">HYPERLINK(CONCATENATE("#",CELL("address",$D$351)),$D$351)</f>
        <v>Loan 17</v>
      </c>
      <c r="C539" s="380"/>
      <c r="D539" s="60">
        <f>D$29</f>
        <v>0</v>
      </c>
      <c r="E539" s="60">
        <f>E$29</f>
        <v>0</v>
      </c>
      <c r="F539" s="67"/>
      <c r="G539" s="9" t="s">
        <v>413</v>
      </c>
      <c r="H539" s="50" t="s">
        <v>125</v>
      </c>
      <c r="I539" s="67"/>
      <c r="J539" s="67"/>
      <c r="K539" s="67"/>
      <c r="L539" s="67"/>
      <c r="M539" s="67"/>
      <c r="N539" s="67"/>
      <c r="O539" s="67"/>
      <c r="P539" s="67"/>
      <c r="Q539" s="67"/>
      <c r="R539" s="67"/>
      <c r="S539" s="335"/>
      <c r="T539" s="335"/>
      <c r="U539" s="335"/>
      <c r="V539" s="201">
        <f>V$361</f>
        <v>0</v>
      </c>
      <c r="W539" s="10">
        <f>W$361</f>
        <v>0</v>
      </c>
      <c r="X539" s="10">
        <f>X$361</f>
        <v>0</v>
      </c>
      <c r="Y539" s="10">
        <f>Y$361</f>
        <v>0</v>
      </c>
      <c r="Z539" s="67"/>
      <c r="AA539" s="10">
        <f t="shared" ref="AA539:BJ539" si="693">AA$361</f>
        <v>0</v>
      </c>
      <c r="AB539" s="10">
        <f t="shared" si="693"/>
        <v>0</v>
      </c>
      <c r="AC539" s="10">
        <f t="shared" si="693"/>
        <v>0</v>
      </c>
      <c r="AD539" s="10">
        <f t="shared" si="693"/>
        <v>0</v>
      </c>
      <c r="AE539" s="10">
        <f t="shared" si="693"/>
        <v>0</v>
      </c>
      <c r="AF539" s="10">
        <f t="shared" si="693"/>
        <v>0</v>
      </c>
      <c r="AG539" s="10">
        <f t="shared" si="693"/>
        <v>0</v>
      </c>
      <c r="AH539" s="10">
        <f t="shared" si="693"/>
        <v>0</v>
      </c>
      <c r="AI539" s="10">
        <f t="shared" si="693"/>
        <v>0</v>
      </c>
      <c r="AJ539" s="10">
        <f t="shared" si="693"/>
        <v>0</v>
      </c>
      <c r="AK539" s="10">
        <f t="shared" si="693"/>
        <v>0</v>
      </c>
      <c r="AL539" s="10">
        <f t="shared" si="693"/>
        <v>0</v>
      </c>
      <c r="AM539" s="10">
        <f t="shared" si="693"/>
        <v>0</v>
      </c>
      <c r="AN539" s="10">
        <f t="shared" si="693"/>
        <v>0</v>
      </c>
      <c r="AO539" s="10">
        <f t="shared" si="693"/>
        <v>0</v>
      </c>
      <c r="AP539" s="10">
        <f t="shared" si="693"/>
        <v>0</v>
      </c>
      <c r="AQ539" s="10">
        <f t="shared" si="693"/>
        <v>0</v>
      </c>
      <c r="AR539" s="10">
        <f t="shared" si="693"/>
        <v>0</v>
      </c>
      <c r="AS539" s="10">
        <f t="shared" si="693"/>
        <v>0</v>
      </c>
      <c r="AT539" s="10">
        <f t="shared" si="693"/>
        <v>0</v>
      </c>
      <c r="AU539" s="10">
        <f t="shared" si="693"/>
        <v>0</v>
      </c>
      <c r="AV539" s="10">
        <f t="shared" si="693"/>
        <v>0</v>
      </c>
      <c r="AW539" s="10">
        <f t="shared" si="693"/>
        <v>0</v>
      </c>
      <c r="AX539" s="10">
        <f t="shared" si="693"/>
        <v>0</v>
      </c>
      <c r="AY539" s="10">
        <f t="shared" si="693"/>
        <v>0</v>
      </c>
      <c r="AZ539" s="10">
        <f t="shared" si="693"/>
        <v>0</v>
      </c>
      <c r="BA539" s="10">
        <f t="shared" si="693"/>
        <v>0</v>
      </c>
      <c r="BB539" s="10">
        <f t="shared" si="693"/>
        <v>0</v>
      </c>
      <c r="BC539" s="10">
        <f t="shared" si="693"/>
        <v>0</v>
      </c>
      <c r="BD539" s="10">
        <f t="shared" si="693"/>
        <v>0</v>
      </c>
      <c r="BE539" s="10">
        <f t="shared" si="693"/>
        <v>0</v>
      </c>
      <c r="BF539" s="10">
        <f t="shared" si="693"/>
        <v>0</v>
      </c>
      <c r="BG539" s="10">
        <f t="shared" si="693"/>
        <v>0</v>
      </c>
      <c r="BH539" s="10">
        <f t="shared" si="693"/>
        <v>0</v>
      </c>
      <c r="BI539" s="10">
        <f t="shared" si="693"/>
        <v>0</v>
      </c>
      <c r="BJ539" s="10">
        <f t="shared" si="693"/>
        <v>0</v>
      </c>
      <c r="BK539" s="67"/>
      <c r="BL539" s="10">
        <f t="shared" ref="BL539" si="694">BL$361</f>
        <v>0</v>
      </c>
      <c r="BM539" s="10">
        <f t="shared" ref="BM539:BW539" si="695">BM$361</f>
        <v>0</v>
      </c>
      <c r="BN539" s="10">
        <f t="shared" si="695"/>
        <v>0</v>
      </c>
      <c r="BO539" s="10">
        <f t="shared" si="695"/>
        <v>0</v>
      </c>
      <c r="BP539" s="10">
        <f t="shared" si="695"/>
        <v>0</v>
      </c>
      <c r="BQ539" s="10">
        <f t="shared" si="695"/>
        <v>0</v>
      </c>
      <c r="BR539" s="10">
        <f t="shared" si="695"/>
        <v>0</v>
      </c>
      <c r="BS539" s="10">
        <f t="shared" si="695"/>
        <v>0</v>
      </c>
      <c r="BT539" s="10">
        <f t="shared" si="695"/>
        <v>0</v>
      </c>
      <c r="BU539" s="10">
        <f t="shared" si="695"/>
        <v>0</v>
      </c>
      <c r="BV539" s="10">
        <f t="shared" si="695"/>
        <v>0</v>
      </c>
      <c r="BW539" s="10">
        <f t="shared" si="695"/>
        <v>0</v>
      </c>
      <c r="BX539" s="67"/>
      <c r="BY539" s="12"/>
      <c r="CA539" s="12"/>
      <c r="CG539" s="67"/>
      <c r="CH539" s="67"/>
      <c r="CI539" s="67"/>
      <c r="CK539" s="67"/>
      <c r="CL539" s="67"/>
      <c r="CR539" s="12"/>
      <c r="EX539" s="10" t="str">
        <f t="shared" si="638"/>
        <v/>
      </c>
    </row>
    <row r="540" spans="1:154" x14ac:dyDescent="0.25">
      <c r="A540" s="67"/>
      <c r="B540" s="84" t="str" cm="1">
        <f t="array" aca="1" ref="B540" ca="1">HYPERLINK(CONCATENATE("#",CELL("address",$D$370)),$D$370)</f>
        <v>Loan 18</v>
      </c>
      <c r="C540" s="380"/>
      <c r="D540" s="60">
        <f>D$30</f>
        <v>0</v>
      </c>
      <c r="E540" s="60">
        <f>E$30</f>
        <v>0</v>
      </c>
      <c r="F540" s="67"/>
      <c r="G540" s="9" t="s">
        <v>413</v>
      </c>
      <c r="H540" s="50" t="s">
        <v>125</v>
      </c>
      <c r="I540" s="67"/>
      <c r="J540" s="67"/>
      <c r="K540" s="67"/>
      <c r="L540" s="67"/>
      <c r="M540" s="67"/>
      <c r="N540" s="67"/>
      <c r="O540" s="67"/>
      <c r="P540" s="67"/>
      <c r="Q540" s="67"/>
      <c r="R540" s="67"/>
      <c r="S540" s="335"/>
      <c r="T540" s="335"/>
      <c r="U540" s="335"/>
      <c r="V540" s="201">
        <f>V$380</f>
        <v>0</v>
      </c>
      <c r="W540" s="10">
        <f>W$380</f>
        <v>0</v>
      </c>
      <c r="X540" s="10">
        <f>X$380</f>
        <v>0</v>
      </c>
      <c r="Y540" s="10">
        <f>Y$380</f>
        <v>0</v>
      </c>
      <c r="Z540" s="67"/>
      <c r="AA540" s="10">
        <f t="shared" ref="AA540:BJ540" si="696">AA$380</f>
        <v>0</v>
      </c>
      <c r="AB540" s="10">
        <f t="shared" si="696"/>
        <v>0</v>
      </c>
      <c r="AC540" s="10">
        <f t="shared" si="696"/>
        <v>0</v>
      </c>
      <c r="AD540" s="10">
        <f t="shared" si="696"/>
        <v>0</v>
      </c>
      <c r="AE540" s="10">
        <f t="shared" si="696"/>
        <v>0</v>
      </c>
      <c r="AF540" s="10">
        <f t="shared" si="696"/>
        <v>0</v>
      </c>
      <c r="AG540" s="10">
        <f t="shared" si="696"/>
        <v>0</v>
      </c>
      <c r="AH540" s="10">
        <f t="shared" si="696"/>
        <v>0</v>
      </c>
      <c r="AI540" s="10">
        <f t="shared" si="696"/>
        <v>0</v>
      </c>
      <c r="AJ540" s="10">
        <f t="shared" si="696"/>
        <v>0</v>
      </c>
      <c r="AK540" s="10">
        <f t="shared" si="696"/>
        <v>0</v>
      </c>
      <c r="AL540" s="10">
        <f t="shared" si="696"/>
        <v>0</v>
      </c>
      <c r="AM540" s="10">
        <f t="shared" si="696"/>
        <v>0</v>
      </c>
      <c r="AN540" s="10">
        <f t="shared" si="696"/>
        <v>0</v>
      </c>
      <c r="AO540" s="10">
        <f t="shared" si="696"/>
        <v>0</v>
      </c>
      <c r="AP540" s="10">
        <f t="shared" si="696"/>
        <v>0</v>
      </c>
      <c r="AQ540" s="10">
        <f t="shared" si="696"/>
        <v>0</v>
      </c>
      <c r="AR540" s="10">
        <f t="shared" si="696"/>
        <v>0</v>
      </c>
      <c r="AS540" s="10">
        <f t="shared" si="696"/>
        <v>0</v>
      </c>
      <c r="AT540" s="10">
        <f t="shared" si="696"/>
        <v>0</v>
      </c>
      <c r="AU540" s="10">
        <f t="shared" si="696"/>
        <v>0</v>
      </c>
      <c r="AV540" s="10">
        <f t="shared" si="696"/>
        <v>0</v>
      </c>
      <c r="AW540" s="10">
        <f t="shared" si="696"/>
        <v>0</v>
      </c>
      <c r="AX540" s="10">
        <f t="shared" si="696"/>
        <v>0</v>
      </c>
      <c r="AY540" s="10">
        <f t="shared" si="696"/>
        <v>0</v>
      </c>
      <c r="AZ540" s="10">
        <f t="shared" si="696"/>
        <v>0</v>
      </c>
      <c r="BA540" s="10">
        <f t="shared" si="696"/>
        <v>0</v>
      </c>
      <c r="BB540" s="10">
        <f t="shared" si="696"/>
        <v>0</v>
      </c>
      <c r="BC540" s="10">
        <f t="shared" si="696"/>
        <v>0</v>
      </c>
      <c r="BD540" s="10">
        <f t="shared" si="696"/>
        <v>0</v>
      </c>
      <c r="BE540" s="10">
        <f t="shared" si="696"/>
        <v>0</v>
      </c>
      <c r="BF540" s="10">
        <f t="shared" si="696"/>
        <v>0</v>
      </c>
      <c r="BG540" s="10">
        <f t="shared" si="696"/>
        <v>0</v>
      </c>
      <c r="BH540" s="10">
        <f t="shared" si="696"/>
        <v>0</v>
      </c>
      <c r="BI540" s="10">
        <f t="shared" si="696"/>
        <v>0</v>
      </c>
      <c r="BJ540" s="10">
        <f t="shared" si="696"/>
        <v>0</v>
      </c>
      <c r="BK540" s="67"/>
      <c r="BL540" s="10">
        <f t="shared" ref="BL540" si="697">BL$380</f>
        <v>0</v>
      </c>
      <c r="BM540" s="10">
        <f t="shared" ref="BM540:BW540" si="698">BM$380</f>
        <v>0</v>
      </c>
      <c r="BN540" s="10">
        <f t="shared" si="698"/>
        <v>0</v>
      </c>
      <c r="BO540" s="10">
        <f t="shared" si="698"/>
        <v>0</v>
      </c>
      <c r="BP540" s="10">
        <f t="shared" si="698"/>
        <v>0</v>
      </c>
      <c r="BQ540" s="10">
        <f t="shared" si="698"/>
        <v>0</v>
      </c>
      <c r="BR540" s="10">
        <f t="shared" si="698"/>
        <v>0</v>
      </c>
      <c r="BS540" s="10">
        <f t="shared" si="698"/>
        <v>0</v>
      </c>
      <c r="BT540" s="10">
        <f t="shared" si="698"/>
        <v>0</v>
      </c>
      <c r="BU540" s="10">
        <f t="shared" si="698"/>
        <v>0</v>
      </c>
      <c r="BV540" s="10">
        <f t="shared" si="698"/>
        <v>0</v>
      </c>
      <c r="BW540" s="10">
        <f t="shared" si="698"/>
        <v>0</v>
      </c>
      <c r="BX540" s="67"/>
      <c r="BY540" s="12"/>
      <c r="CA540" s="12"/>
      <c r="CG540" s="67"/>
      <c r="CH540" s="67"/>
      <c r="CI540" s="67"/>
      <c r="CK540" s="67"/>
      <c r="CL540" s="67"/>
      <c r="CR540" s="12"/>
      <c r="EX540" s="10" t="str">
        <f t="shared" si="638"/>
        <v/>
      </c>
    </row>
    <row r="541" spans="1:154" x14ac:dyDescent="0.25">
      <c r="A541" s="67"/>
      <c r="B541" s="84" t="str" cm="1">
        <f t="array" aca="1" ref="B541" ca="1">HYPERLINK(CONCATENATE("#",CELL("address",$D$389)),$D$389)</f>
        <v>Loan 19</v>
      </c>
      <c r="C541" s="380"/>
      <c r="D541" s="60">
        <f>D$31</f>
        <v>0</v>
      </c>
      <c r="E541" s="60">
        <f>E$31</f>
        <v>0</v>
      </c>
      <c r="F541" s="67"/>
      <c r="G541" s="9" t="s">
        <v>413</v>
      </c>
      <c r="H541" s="50" t="s">
        <v>125</v>
      </c>
      <c r="I541" s="67"/>
      <c r="J541" s="67"/>
      <c r="K541" s="67"/>
      <c r="L541" s="67"/>
      <c r="M541" s="67"/>
      <c r="N541" s="67"/>
      <c r="O541" s="67"/>
      <c r="P541" s="67"/>
      <c r="Q541" s="67"/>
      <c r="R541" s="67"/>
      <c r="S541" s="335"/>
      <c r="T541" s="335"/>
      <c r="U541" s="335"/>
      <c r="V541" s="201">
        <f>V$399</f>
        <v>0</v>
      </c>
      <c r="W541" s="10">
        <f>W$399</f>
        <v>0</v>
      </c>
      <c r="X541" s="10">
        <f>X$399</f>
        <v>0</v>
      </c>
      <c r="Y541" s="10">
        <f>Y$399</f>
        <v>0</v>
      </c>
      <c r="Z541" s="67"/>
      <c r="AA541" s="10">
        <f t="shared" ref="AA541:BJ541" si="699">AA$399</f>
        <v>0</v>
      </c>
      <c r="AB541" s="10">
        <f t="shared" si="699"/>
        <v>0</v>
      </c>
      <c r="AC541" s="10">
        <f t="shared" si="699"/>
        <v>0</v>
      </c>
      <c r="AD541" s="10">
        <f t="shared" si="699"/>
        <v>0</v>
      </c>
      <c r="AE541" s="10">
        <f t="shared" si="699"/>
        <v>0</v>
      </c>
      <c r="AF541" s="10">
        <f t="shared" si="699"/>
        <v>0</v>
      </c>
      <c r="AG541" s="10">
        <f t="shared" si="699"/>
        <v>0</v>
      </c>
      <c r="AH541" s="10">
        <f t="shared" si="699"/>
        <v>0</v>
      </c>
      <c r="AI541" s="10">
        <f t="shared" si="699"/>
        <v>0</v>
      </c>
      <c r="AJ541" s="10">
        <f t="shared" si="699"/>
        <v>0</v>
      </c>
      <c r="AK541" s="10">
        <f t="shared" si="699"/>
        <v>0</v>
      </c>
      <c r="AL541" s="10">
        <f t="shared" si="699"/>
        <v>0</v>
      </c>
      <c r="AM541" s="10">
        <f t="shared" si="699"/>
        <v>0</v>
      </c>
      <c r="AN541" s="10">
        <f t="shared" si="699"/>
        <v>0</v>
      </c>
      <c r="AO541" s="10">
        <f t="shared" si="699"/>
        <v>0</v>
      </c>
      <c r="AP541" s="10">
        <f t="shared" si="699"/>
        <v>0</v>
      </c>
      <c r="AQ541" s="10">
        <f t="shared" si="699"/>
        <v>0</v>
      </c>
      <c r="AR541" s="10">
        <f t="shared" si="699"/>
        <v>0</v>
      </c>
      <c r="AS541" s="10">
        <f t="shared" si="699"/>
        <v>0</v>
      </c>
      <c r="AT541" s="10">
        <f t="shared" si="699"/>
        <v>0</v>
      </c>
      <c r="AU541" s="10">
        <f t="shared" si="699"/>
        <v>0</v>
      </c>
      <c r="AV541" s="10">
        <f t="shared" si="699"/>
        <v>0</v>
      </c>
      <c r="AW541" s="10">
        <f t="shared" si="699"/>
        <v>0</v>
      </c>
      <c r="AX541" s="10">
        <f t="shared" si="699"/>
        <v>0</v>
      </c>
      <c r="AY541" s="10">
        <f t="shared" si="699"/>
        <v>0</v>
      </c>
      <c r="AZ541" s="10">
        <f t="shared" si="699"/>
        <v>0</v>
      </c>
      <c r="BA541" s="10">
        <f t="shared" si="699"/>
        <v>0</v>
      </c>
      <c r="BB541" s="10">
        <f t="shared" si="699"/>
        <v>0</v>
      </c>
      <c r="BC541" s="10">
        <f t="shared" si="699"/>
        <v>0</v>
      </c>
      <c r="BD541" s="10">
        <f t="shared" si="699"/>
        <v>0</v>
      </c>
      <c r="BE541" s="10">
        <f t="shared" si="699"/>
        <v>0</v>
      </c>
      <c r="BF541" s="10">
        <f t="shared" si="699"/>
        <v>0</v>
      </c>
      <c r="BG541" s="10">
        <f t="shared" si="699"/>
        <v>0</v>
      </c>
      <c r="BH541" s="10">
        <f t="shared" si="699"/>
        <v>0</v>
      </c>
      <c r="BI541" s="10">
        <f t="shared" si="699"/>
        <v>0</v>
      </c>
      <c r="BJ541" s="10">
        <f t="shared" si="699"/>
        <v>0</v>
      </c>
      <c r="BK541" s="67"/>
      <c r="BL541" s="10">
        <f t="shared" ref="BL541" si="700">BL$399</f>
        <v>0</v>
      </c>
      <c r="BM541" s="10">
        <f t="shared" ref="BM541:BW541" si="701">BM$399</f>
        <v>0</v>
      </c>
      <c r="BN541" s="10">
        <f t="shared" si="701"/>
        <v>0</v>
      </c>
      <c r="BO541" s="10">
        <f t="shared" si="701"/>
        <v>0</v>
      </c>
      <c r="BP541" s="10">
        <f t="shared" si="701"/>
        <v>0</v>
      </c>
      <c r="BQ541" s="10">
        <f t="shared" si="701"/>
        <v>0</v>
      </c>
      <c r="BR541" s="10">
        <f t="shared" si="701"/>
        <v>0</v>
      </c>
      <c r="BS541" s="10">
        <f t="shared" si="701"/>
        <v>0</v>
      </c>
      <c r="BT541" s="10">
        <f t="shared" si="701"/>
        <v>0</v>
      </c>
      <c r="BU541" s="10">
        <f t="shared" si="701"/>
        <v>0</v>
      </c>
      <c r="BV541" s="10">
        <f t="shared" si="701"/>
        <v>0</v>
      </c>
      <c r="BW541" s="10">
        <f t="shared" si="701"/>
        <v>0</v>
      </c>
      <c r="BX541" s="67"/>
      <c r="BY541" s="12"/>
      <c r="CA541" s="12"/>
      <c r="CG541" s="67"/>
      <c r="CH541" s="67"/>
      <c r="CI541" s="67"/>
      <c r="CK541" s="67"/>
      <c r="CL541" s="67"/>
      <c r="CR541" s="12"/>
      <c r="EX541" s="10" t="str">
        <f t="shared" si="638"/>
        <v/>
      </c>
    </row>
    <row r="542" spans="1:154" x14ac:dyDescent="0.25">
      <c r="A542" s="67"/>
      <c r="B542" s="84" t="str" cm="1">
        <f t="array" aca="1" ref="B542" ca="1">HYPERLINK(CONCATENATE("#",CELL("address",$D$408)),$D$408)</f>
        <v>Loan 20</v>
      </c>
      <c r="C542" s="380"/>
      <c r="D542" s="60">
        <f>D$32</f>
        <v>0</v>
      </c>
      <c r="E542" s="60">
        <f>E$32</f>
        <v>0</v>
      </c>
      <c r="F542" s="67"/>
      <c r="G542" s="9" t="s">
        <v>413</v>
      </c>
      <c r="H542" s="50" t="s">
        <v>125</v>
      </c>
      <c r="I542" s="67"/>
      <c r="J542" s="67"/>
      <c r="K542" s="67"/>
      <c r="L542" s="67"/>
      <c r="M542" s="67"/>
      <c r="N542" s="67"/>
      <c r="O542" s="67"/>
      <c r="P542" s="67"/>
      <c r="Q542" s="67"/>
      <c r="R542" s="67"/>
      <c r="S542" s="335"/>
      <c r="T542" s="335"/>
      <c r="U542" s="335"/>
      <c r="V542" s="201">
        <f>V$418</f>
        <v>0</v>
      </c>
      <c r="W542" s="10">
        <f>W$418</f>
        <v>0</v>
      </c>
      <c r="X542" s="10">
        <f>X$418</f>
        <v>0</v>
      </c>
      <c r="Y542" s="10">
        <f>Y$418</f>
        <v>0</v>
      </c>
      <c r="Z542" s="67"/>
      <c r="AA542" s="10">
        <f t="shared" ref="AA542:BJ542" si="702">AA$418</f>
        <v>0</v>
      </c>
      <c r="AB542" s="10">
        <f t="shared" si="702"/>
        <v>0</v>
      </c>
      <c r="AC542" s="10">
        <f t="shared" si="702"/>
        <v>0</v>
      </c>
      <c r="AD542" s="10">
        <f t="shared" si="702"/>
        <v>0</v>
      </c>
      <c r="AE542" s="10">
        <f t="shared" si="702"/>
        <v>0</v>
      </c>
      <c r="AF542" s="10">
        <f t="shared" si="702"/>
        <v>0</v>
      </c>
      <c r="AG542" s="10">
        <f t="shared" si="702"/>
        <v>0</v>
      </c>
      <c r="AH542" s="10">
        <f t="shared" si="702"/>
        <v>0</v>
      </c>
      <c r="AI542" s="10">
        <f t="shared" si="702"/>
        <v>0</v>
      </c>
      <c r="AJ542" s="10">
        <f t="shared" si="702"/>
        <v>0</v>
      </c>
      <c r="AK542" s="10">
        <f t="shared" si="702"/>
        <v>0</v>
      </c>
      <c r="AL542" s="10">
        <f t="shared" si="702"/>
        <v>0</v>
      </c>
      <c r="AM542" s="10">
        <f t="shared" si="702"/>
        <v>0</v>
      </c>
      <c r="AN542" s="10">
        <f t="shared" si="702"/>
        <v>0</v>
      </c>
      <c r="AO542" s="10">
        <f t="shared" si="702"/>
        <v>0</v>
      </c>
      <c r="AP542" s="10">
        <f t="shared" si="702"/>
        <v>0</v>
      </c>
      <c r="AQ542" s="10">
        <f t="shared" si="702"/>
        <v>0</v>
      </c>
      <c r="AR542" s="10">
        <f t="shared" si="702"/>
        <v>0</v>
      </c>
      <c r="AS542" s="10">
        <f t="shared" si="702"/>
        <v>0</v>
      </c>
      <c r="AT542" s="10">
        <f t="shared" si="702"/>
        <v>0</v>
      </c>
      <c r="AU542" s="10">
        <f t="shared" si="702"/>
        <v>0</v>
      </c>
      <c r="AV542" s="10">
        <f t="shared" si="702"/>
        <v>0</v>
      </c>
      <c r="AW542" s="10">
        <f t="shared" si="702"/>
        <v>0</v>
      </c>
      <c r="AX542" s="10">
        <f t="shared" si="702"/>
        <v>0</v>
      </c>
      <c r="AY542" s="10">
        <f t="shared" si="702"/>
        <v>0</v>
      </c>
      <c r="AZ542" s="10">
        <f t="shared" si="702"/>
        <v>0</v>
      </c>
      <c r="BA542" s="10">
        <f t="shared" si="702"/>
        <v>0</v>
      </c>
      <c r="BB542" s="10">
        <f t="shared" si="702"/>
        <v>0</v>
      </c>
      <c r="BC542" s="10">
        <f t="shared" si="702"/>
        <v>0</v>
      </c>
      <c r="BD542" s="10">
        <f t="shared" si="702"/>
        <v>0</v>
      </c>
      <c r="BE542" s="10">
        <f t="shared" si="702"/>
        <v>0</v>
      </c>
      <c r="BF542" s="10">
        <f t="shared" si="702"/>
        <v>0</v>
      </c>
      <c r="BG542" s="10">
        <f t="shared" si="702"/>
        <v>0</v>
      </c>
      <c r="BH542" s="10">
        <f t="shared" si="702"/>
        <v>0</v>
      </c>
      <c r="BI542" s="10">
        <f t="shared" si="702"/>
        <v>0</v>
      </c>
      <c r="BJ542" s="10">
        <f t="shared" si="702"/>
        <v>0</v>
      </c>
      <c r="BK542" s="67"/>
      <c r="BL542" s="10">
        <f t="shared" ref="BL542" si="703">BL$418</f>
        <v>0</v>
      </c>
      <c r="BM542" s="10">
        <f t="shared" ref="BM542:BW542" si="704">BM$418</f>
        <v>0</v>
      </c>
      <c r="BN542" s="10">
        <f t="shared" si="704"/>
        <v>0</v>
      </c>
      <c r="BO542" s="10">
        <f t="shared" si="704"/>
        <v>0</v>
      </c>
      <c r="BP542" s="10">
        <f t="shared" si="704"/>
        <v>0</v>
      </c>
      <c r="BQ542" s="10">
        <f t="shared" si="704"/>
        <v>0</v>
      </c>
      <c r="BR542" s="10">
        <f t="shared" si="704"/>
        <v>0</v>
      </c>
      <c r="BS542" s="10">
        <f t="shared" si="704"/>
        <v>0</v>
      </c>
      <c r="BT542" s="10">
        <f t="shared" si="704"/>
        <v>0</v>
      </c>
      <c r="BU542" s="10">
        <f t="shared" si="704"/>
        <v>0</v>
      </c>
      <c r="BV542" s="10">
        <f t="shared" si="704"/>
        <v>0</v>
      </c>
      <c r="BW542" s="10">
        <f t="shared" si="704"/>
        <v>0</v>
      </c>
      <c r="BX542" s="67"/>
      <c r="BY542" s="12"/>
      <c r="CA542" s="12"/>
      <c r="CG542" s="67"/>
      <c r="CH542" s="67"/>
      <c r="CI542" s="67"/>
      <c r="CK542" s="67"/>
      <c r="CL542" s="67"/>
      <c r="CR542" s="12"/>
      <c r="EX542" s="10" t="str">
        <f t="shared" si="638"/>
        <v/>
      </c>
    </row>
    <row r="543" spans="1:154" ht="6.6" customHeight="1" x14ac:dyDescent="0.25">
      <c r="A543" s="67"/>
      <c r="B543" s="67"/>
      <c r="C543" s="380"/>
      <c r="D543" s="1"/>
      <c r="E543" s="67"/>
      <c r="F543" s="67"/>
      <c r="G543" s="67"/>
      <c r="H543" s="67"/>
      <c r="I543" s="67"/>
      <c r="J543" s="67"/>
      <c r="K543" s="67"/>
      <c r="L543" s="67"/>
      <c r="M543" s="67"/>
      <c r="N543" s="67"/>
      <c r="O543" s="67"/>
      <c r="P543" s="67"/>
      <c r="Q543" s="67"/>
      <c r="R543" s="67"/>
      <c r="S543" s="335"/>
      <c r="T543" s="335"/>
      <c r="U543" s="335"/>
      <c r="V543" s="93"/>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
      <c r="BN543" s="67"/>
      <c r="BO543" s="67"/>
      <c r="BP543" s="67"/>
      <c r="BQ543" s="67"/>
      <c r="BR543" s="67"/>
      <c r="BS543" s="67"/>
      <c r="BT543" s="67"/>
      <c r="BU543" s="67"/>
      <c r="BV543" s="67"/>
      <c r="BW543" s="67"/>
      <c r="BX543" s="67"/>
      <c r="BY543" s="42"/>
      <c r="CA543" s="42"/>
      <c r="CG543" s="67"/>
      <c r="CH543" s="67"/>
      <c r="CI543" s="67"/>
      <c r="CK543" s="67"/>
      <c r="CL543" s="67"/>
      <c r="CR543" s="42"/>
      <c r="EX543" s="10" t="str">
        <f t="shared" si="638"/>
        <v/>
      </c>
    </row>
    <row r="544" spans="1:154" x14ac:dyDescent="0.25">
      <c r="A544" s="67"/>
      <c r="B544" s="67"/>
      <c r="C544" s="380"/>
      <c r="D544" s="61" t="str">
        <f>$D$58</f>
        <v>Accrued Interest Expense</v>
      </c>
      <c r="E544" s="67"/>
      <c r="F544" s="67"/>
      <c r="G544" s="67"/>
      <c r="H544" s="67"/>
      <c r="I544" s="67"/>
      <c r="J544" s="67"/>
      <c r="K544" s="67"/>
      <c r="L544" s="67"/>
      <c r="M544" s="67"/>
      <c r="N544" s="67"/>
      <c r="O544" s="67"/>
      <c r="P544" s="67"/>
      <c r="Q544" s="67"/>
      <c r="R544" s="67"/>
      <c r="S544" s="335"/>
      <c r="T544" s="335"/>
      <c r="U544" s="335"/>
      <c r="V544" s="93"/>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c r="BY544" s="12"/>
      <c r="CA544" s="12"/>
      <c r="CG544" s="67"/>
      <c r="CH544" s="67"/>
      <c r="CI544" s="67"/>
      <c r="CK544" s="67"/>
      <c r="CL544" s="67"/>
      <c r="CR544" s="12"/>
      <c r="EX544" s="10" t="str">
        <f t="shared" si="638"/>
        <v/>
      </c>
    </row>
    <row r="545" spans="1:154" x14ac:dyDescent="0.25">
      <c r="A545" s="67"/>
      <c r="B545" s="138" t="s">
        <v>551</v>
      </c>
      <c r="C545" s="380"/>
      <c r="D545" s="5" t="str">
        <f>D$11</f>
        <v>Lender</v>
      </c>
      <c r="E545" s="5" t="str">
        <f>E$11</f>
        <v>Loan Category</v>
      </c>
      <c r="F545" s="67"/>
      <c r="G545" s="67"/>
      <c r="H545" s="67"/>
      <c r="I545" s="67"/>
      <c r="J545" s="67"/>
      <c r="K545" s="67"/>
      <c r="L545" s="67"/>
      <c r="M545" s="67"/>
      <c r="N545" s="67"/>
      <c r="O545" s="67"/>
      <c r="P545" s="67"/>
      <c r="Q545" s="67"/>
      <c r="R545" s="67"/>
      <c r="S545" s="335"/>
      <c r="T545" s="335"/>
      <c r="U545" s="335"/>
      <c r="V545" s="93"/>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c r="BY545" s="12"/>
      <c r="CA545" s="12"/>
      <c r="CG545" s="67"/>
      <c r="CH545" s="67"/>
      <c r="CI545" s="67"/>
      <c r="CK545" s="67"/>
      <c r="CL545" s="67"/>
      <c r="CR545" s="12"/>
      <c r="EX545" s="10" t="str">
        <f t="shared" si="638"/>
        <v/>
      </c>
    </row>
    <row r="546" spans="1:154" x14ac:dyDescent="0.25">
      <c r="A546" s="67"/>
      <c r="B546" s="84" t="str" cm="1">
        <f t="array" aca="1" ref="B546" ca="1">HYPERLINK(CONCATENATE("#",CELL("address",$D$47)),$D$47)</f>
        <v>Loan 1</v>
      </c>
      <c r="C546" s="380"/>
      <c r="D546" s="221" t="str">
        <f>D$13</f>
        <v>NatWest</v>
      </c>
      <c r="E546" s="60" t="str">
        <f>E$13</f>
        <v xml:space="preserve">Commercial </v>
      </c>
      <c r="F546" s="67"/>
      <c r="G546" s="9" t="s">
        <v>413</v>
      </c>
      <c r="H546" s="50" t="s">
        <v>125</v>
      </c>
      <c r="I546" s="65"/>
      <c r="J546" s="67"/>
      <c r="K546" s="67"/>
      <c r="L546" s="67"/>
      <c r="M546" s="67"/>
      <c r="N546" s="67"/>
      <c r="O546" s="67"/>
      <c r="P546" s="67"/>
      <c r="Q546" s="67"/>
      <c r="R546" s="67"/>
      <c r="S546" s="335"/>
      <c r="T546" s="335"/>
      <c r="U546" s="335"/>
      <c r="V546" s="201">
        <f>V$58</f>
        <v>0</v>
      </c>
      <c r="W546" s="201">
        <f>W$58</f>
        <v>0</v>
      </c>
      <c r="X546" s="201">
        <f>X$58</f>
        <v>0</v>
      </c>
      <c r="Y546" s="10">
        <f>Y$58</f>
        <v>0</v>
      </c>
      <c r="Z546" s="67"/>
      <c r="AA546" s="201">
        <f t="shared" ref="AA546:BJ546" si="705">AA$58</f>
        <v>0</v>
      </c>
      <c r="AB546" s="10">
        <f t="shared" si="705"/>
        <v>0</v>
      </c>
      <c r="AC546" s="10">
        <f t="shared" si="705"/>
        <v>0</v>
      </c>
      <c r="AD546" s="10">
        <f t="shared" si="705"/>
        <v>0</v>
      </c>
      <c r="AE546" s="10">
        <f t="shared" si="705"/>
        <v>0</v>
      </c>
      <c r="AF546" s="10">
        <f t="shared" si="705"/>
        <v>0</v>
      </c>
      <c r="AG546" s="10">
        <f t="shared" si="705"/>
        <v>0</v>
      </c>
      <c r="AH546" s="10">
        <f t="shared" si="705"/>
        <v>0</v>
      </c>
      <c r="AI546" s="201">
        <f t="shared" si="705"/>
        <v>0</v>
      </c>
      <c r="AJ546" s="10">
        <f t="shared" si="705"/>
        <v>0</v>
      </c>
      <c r="AK546" s="10">
        <f t="shared" si="705"/>
        <v>0</v>
      </c>
      <c r="AL546" s="10">
        <f t="shared" si="705"/>
        <v>0</v>
      </c>
      <c r="AM546" s="201">
        <f t="shared" si="705"/>
        <v>0</v>
      </c>
      <c r="AN546" s="10">
        <f t="shared" si="705"/>
        <v>0</v>
      </c>
      <c r="AO546" s="10">
        <f t="shared" si="705"/>
        <v>0</v>
      </c>
      <c r="AP546" s="10">
        <f t="shared" si="705"/>
        <v>0</v>
      </c>
      <c r="AQ546" s="10">
        <f t="shared" si="705"/>
        <v>0</v>
      </c>
      <c r="AR546" s="10">
        <f t="shared" si="705"/>
        <v>0</v>
      </c>
      <c r="AS546" s="10">
        <f t="shared" si="705"/>
        <v>0</v>
      </c>
      <c r="AT546" s="10">
        <f t="shared" si="705"/>
        <v>0</v>
      </c>
      <c r="AU546" s="10">
        <f t="shared" si="705"/>
        <v>0</v>
      </c>
      <c r="AV546" s="10">
        <f t="shared" si="705"/>
        <v>0</v>
      </c>
      <c r="AW546" s="10">
        <f t="shared" si="705"/>
        <v>0</v>
      </c>
      <c r="AX546" s="10">
        <f t="shared" si="705"/>
        <v>0</v>
      </c>
      <c r="AY546" s="10">
        <f t="shared" si="705"/>
        <v>0</v>
      </c>
      <c r="AZ546" s="10">
        <f t="shared" si="705"/>
        <v>0</v>
      </c>
      <c r="BA546" s="10">
        <f t="shared" si="705"/>
        <v>0</v>
      </c>
      <c r="BB546" s="10">
        <f t="shared" si="705"/>
        <v>0</v>
      </c>
      <c r="BC546" s="10">
        <f t="shared" si="705"/>
        <v>0</v>
      </c>
      <c r="BD546" s="10">
        <f t="shared" si="705"/>
        <v>0</v>
      </c>
      <c r="BE546" s="10">
        <f t="shared" si="705"/>
        <v>0</v>
      </c>
      <c r="BF546" s="10">
        <f t="shared" si="705"/>
        <v>0</v>
      </c>
      <c r="BG546" s="10">
        <f t="shared" si="705"/>
        <v>0</v>
      </c>
      <c r="BH546" s="10">
        <f t="shared" si="705"/>
        <v>0</v>
      </c>
      <c r="BI546" s="10">
        <f t="shared" si="705"/>
        <v>0</v>
      </c>
      <c r="BJ546" s="10">
        <f t="shared" si="705"/>
        <v>0</v>
      </c>
      <c r="BK546" s="67"/>
      <c r="BL546" s="10">
        <f t="shared" ref="BL546:BW546" si="706">BL$58</f>
        <v>0</v>
      </c>
      <c r="BM546" s="10">
        <f t="shared" si="706"/>
        <v>0</v>
      </c>
      <c r="BN546" s="10">
        <f t="shared" si="706"/>
        <v>0</v>
      </c>
      <c r="BO546" s="10">
        <f t="shared" si="706"/>
        <v>0</v>
      </c>
      <c r="BP546" s="10">
        <f t="shared" si="706"/>
        <v>0</v>
      </c>
      <c r="BQ546" s="10">
        <f t="shared" si="706"/>
        <v>0</v>
      </c>
      <c r="BR546" s="10">
        <f t="shared" si="706"/>
        <v>0</v>
      </c>
      <c r="BS546" s="10">
        <f t="shared" si="706"/>
        <v>0</v>
      </c>
      <c r="BT546" s="10">
        <f t="shared" si="706"/>
        <v>0</v>
      </c>
      <c r="BU546" s="10">
        <f t="shared" si="706"/>
        <v>0</v>
      </c>
      <c r="BV546" s="10">
        <f t="shared" si="706"/>
        <v>0</v>
      </c>
      <c r="BW546" s="10">
        <f t="shared" si="706"/>
        <v>0</v>
      </c>
      <c r="BX546" s="67"/>
      <c r="BY546" s="12"/>
      <c r="CA546" s="12"/>
      <c r="CG546" s="67"/>
      <c r="CH546" s="67"/>
      <c r="CI546" s="67"/>
      <c r="CK546" s="67"/>
      <c r="CL546" s="67"/>
      <c r="CR546" s="12"/>
      <c r="EX546" s="10" t="str">
        <f t="shared" si="638"/>
        <v/>
      </c>
    </row>
    <row r="547" spans="1:154" x14ac:dyDescent="0.25">
      <c r="A547" s="67"/>
      <c r="B547" s="84" t="str" cm="1">
        <f t="array" aca="1" ref="B547" ca="1">HYPERLINK(CONCATENATE("#",CELL("address",$D$66)),$D$66)</f>
        <v>Loan 2</v>
      </c>
      <c r="C547" s="380"/>
      <c r="D547" s="60" t="str">
        <f>D$14</f>
        <v>NatWest</v>
      </c>
      <c r="E547" s="60" t="str">
        <f>E$14</f>
        <v xml:space="preserve">Commercial </v>
      </c>
      <c r="F547" s="67"/>
      <c r="G547" s="9" t="s">
        <v>413</v>
      </c>
      <c r="H547" s="50" t="s">
        <v>125</v>
      </c>
      <c r="I547" s="67"/>
      <c r="J547" s="67"/>
      <c r="K547" s="67"/>
      <c r="L547" s="67"/>
      <c r="M547" s="67"/>
      <c r="N547" s="67"/>
      <c r="O547" s="67"/>
      <c r="P547" s="67"/>
      <c r="Q547" s="67"/>
      <c r="R547" s="67"/>
      <c r="S547" s="335"/>
      <c r="T547" s="335"/>
      <c r="U547" s="335"/>
      <c r="V547" s="201">
        <f>V$77</f>
        <v>0</v>
      </c>
      <c r="W547" s="10">
        <f>W$77</f>
        <v>37</v>
      </c>
      <c r="X547" s="10">
        <f>X$77</f>
        <v>37</v>
      </c>
      <c r="Y547" s="10">
        <f>Y$77</f>
        <v>37</v>
      </c>
      <c r="Z547" s="67"/>
      <c r="AA547" s="10">
        <f t="shared" ref="AA547:BJ547" si="707">AA$77</f>
        <v>4</v>
      </c>
      <c r="AB547" s="10">
        <f t="shared" si="707"/>
        <v>3</v>
      </c>
      <c r="AC547" s="10">
        <f t="shared" si="707"/>
        <v>3</v>
      </c>
      <c r="AD547" s="10">
        <f t="shared" si="707"/>
        <v>3</v>
      </c>
      <c r="AE547" s="10">
        <f t="shared" si="707"/>
        <v>3</v>
      </c>
      <c r="AF547" s="10">
        <f t="shared" si="707"/>
        <v>3</v>
      </c>
      <c r="AG547" s="10">
        <f t="shared" si="707"/>
        <v>3</v>
      </c>
      <c r="AH547" s="10">
        <f t="shared" si="707"/>
        <v>3</v>
      </c>
      <c r="AI547" s="10">
        <f t="shared" si="707"/>
        <v>3</v>
      </c>
      <c r="AJ547" s="10">
        <f t="shared" si="707"/>
        <v>3</v>
      </c>
      <c r="AK547" s="10">
        <f t="shared" si="707"/>
        <v>3</v>
      </c>
      <c r="AL547" s="10">
        <f t="shared" si="707"/>
        <v>3</v>
      </c>
      <c r="AM547" s="10">
        <f t="shared" si="707"/>
        <v>4</v>
      </c>
      <c r="AN547" s="10">
        <f t="shared" si="707"/>
        <v>3</v>
      </c>
      <c r="AO547" s="10">
        <f t="shared" si="707"/>
        <v>3</v>
      </c>
      <c r="AP547" s="10">
        <f t="shared" si="707"/>
        <v>3</v>
      </c>
      <c r="AQ547" s="10">
        <f t="shared" si="707"/>
        <v>3</v>
      </c>
      <c r="AR547" s="10">
        <f t="shared" si="707"/>
        <v>3</v>
      </c>
      <c r="AS547" s="10">
        <f t="shared" si="707"/>
        <v>3</v>
      </c>
      <c r="AT547" s="10">
        <f t="shared" si="707"/>
        <v>3</v>
      </c>
      <c r="AU547" s="10">
        <f t="shared" si="707"/>
        <v>3</v>
      </c>
      <c r="AV547" s="10">
        <f t="shared" si="707"/>
        <v>3</v>
      </c>
      <c r="AW547" s="10">
        <f t="shared" si="707"/>
        <v>3</v>
      </c>
      <c r="AX547" s="10">
        <f t="shared" si="707"/>
        <v>3</v>
      </c>
      <c r="AY547" s="10">
        <f t="shared" si="707"/>
        <v>4</v>
      </c>
      <c r="AZ547" s="10">
        <f t="shared" si="707"/>
        <v>3</v>
      </c>
      <c r="BA547" s="10">
        <f t="shared" si="707"/>
        <v>3</v>
      </c>
      <c r="BB547" s="10">
        <f t="shared" si="707"/>
        <v>3</v>
      </c>
      <c r="BC547" s="10">
        <f t="shared" si="707"/>
        <v>3</v>
      </c>
      <c r="BD547" s="10">
        <f t="shared" si="707"/>
        <v>3</v>
      </c>
      <c r="BE547" s="10">
        <f t="shared" si="707"/>
        <v>3</v>
      </c>
      <c r="BF547" s="10">
        <f t="shared" si="707"/>
        <v>3</v>
      </c>
      <c r="BG547" s="10">
        <f t="shared" si="707"/>
        <v>3</v>
      </c>
      <c r="BH547" s="10">
        <f t="shared" si="707"/>
        <v>3</v>
      </c>
      <c r="BI547" s="10">
        <f t="shared" si="707"/>
        <v>3</v>
      </c>
      <c r="BJ547" s="10">
        <f t="shared" si="707"/>
        <v>3</v>
      </c>
      <c r="BK547" s="67"/>
      <c r="BL547" s="10">
        <f t="shared" ref="BL547:BW547" si="708">BL$77</f>
        <v>0</v>
      </c>
      <c r="BM547" s="10">
        <f t="shared" si="708"/>
        <v>37</v>
      </c>
      <c r="BN547" s="10">
        <f t="shared" si="708"/>
        <v>37</v>
      </c>
      <c r="BO547" s="10">
        <f t="shared" si="708"/>
        <v>37</v>
      </c>
      <c r="BP547" s="10">
        <f t="shared" si="708"/>
        <v>0</v>
      </c>
      <c r="BQ547" s="10">
        <f t="shared" si="708"/>
        <v>0</v>
      </c>
      <c r="BR547" s="10">
        <f t="shared" si="708"/>
        <v>0</v>
      </c>
      <c r="BS547" s="10">
        <f t="shared" si="708"/>
        <v>0</v>
      </c>
      <c r="BT547" s="10">
        <f t="shared" si="708"/>
        <v>0</v>
      </c>
      <c r="BU547" s="10">
        <f t="shared" si="708"/>
        <v>0</v>
      </c>
      <c r="BV547" s="10">
        <f t="shared" si="708"/>
        <v>0</v>
      </c>
      <c r="BW547" s="10">
        <f t="shared" si="708"/>
        <v>0</v>
      </c>
      <c r="BX547" s="67"/>
      <c r="BY547" s="12"/>
      <c r="CA547" s="12"/>
      <c r="CG547" s="67"/>
      <c r="CH547" s="67"/>
      <c r="CI547" s="67"/>
      <c r="CK547" s="67"/>
      <c r="CL547" s="67"/>
      <c r="CR547" s="12"/>
      <c r="EX547" s="10" t="str">
        <f t="shared" si="638"/>
        <v/>
      </c>
    </row>
    <row r="548" spans="1:154" x14ac:dyDescent="0.25">
      <c r="A548" s="67"/>
      <c r="B548" s="84" t="str" cm="1">
        <f t="array" aca="1" ref="B548" ca="1">HYPERLINK(CONCATENATE("#",CELL("address",$D$85)),$D$85)</f>
        <v>Loan 3</v>
      </c>
      <c r="C548" s="380"/>
      <c r="D548" s="60" t="str">
        <f>D$15</f>
        <v>NatWest</v>
      </c>
      <c r="E548" s="60" t="str">
        <f>E$15</f>
        <v xml:space="preserve">Commercial </v>
      </c>
      <c r="F548" s="67"/>
      <c r="G548" s="9" t="s">
        <v>413</v>
      </c>
      <c r="H548" s="50" t="s">
        <v>125</v>
      </c>
      <c r="I548" s="67"/>
      <c r="J548" s="67"/>
      <c r="K548" s="67"/>
      <c r="L548" s="67"/>
      <c r="M548" s="67"/>
      <c r="N548" s="67"/>
      <c r="O548" s="67"/>
      <c r="P548" s="67"/>
      <c r="Q548" s="67"/>
      <c r="R548" s="67"/>
      <c r="S548" s="335"/>
      <c r="T548" s="335"/>
      <c r="U548" s="335"/>
      <c r="V548" s="201">
        <f>V$96</f>
        <v>0</v>
      </c>
      <c r="W548" s="10">
        <f>W$96</f>
        <v>36</v>
      </c>
      <c r="X548" s="10">
        <f>X$96</f>
        <v>36</v>
      </c>
      <c r="Y548" s="10">
        <f>Y$96</f>
        <v>36</v>
      </c>
      <c r="Z548" s="67"/>
      <c r="AA548" s="10">
        <f t="shared" ref="AA548:BJ548" si="709">AA$96</f>
        <v>3</v>
      </c>
      <c r="AB548" s="10">
        <f t="shared" si="709"/>
        <v>3</v>
      </c>
      <c r="AC548" s="10">
        <f t="shared" si="709"/>
        <v>3</v>
      </c>
      <c r="AD548" s="10">
        <f t="shared" si="709"/>
        <v>3</v>
      </c>
      <c r="AE548" s="10">
        <f t="shared" si="709"/>
        <v>3</v>
      </c>
      <c r="AF548" s="10">
        <f t="shared" si="709"/>
        <v>3</v>
      </c>
      <c r="AG548" s="10">
        <f t="shared" si="709"/>
        <v>3</v>
      </c>
      <c r="AH548" s="10">
        <f t="shared" si="709"/>
        <v>3</v>
      </c>
      <c r="AI548" s="10">
        <f t="shared" si="709"/>
        <v>3</v>
      </c>
      <c r="AJ548" s="10">
        <f t="shared" si="709"/>
        <v>3</v>
      </c>
      <c r="AK548" s="10">
        <f t="shared" si="709"/>
        <v>3</v>
      </c>
      <c r="AL548" s="10">
        <f t="shared" si="709"/>
        <v>3</v>
      </c>
      <c r="AM548" s="10">
        <f t="shared" si="709"/>
        <v>3</v>
      </c>
      <c r="AN548" s="10">
        <f t="shared" si="709"/>
        <v>3</v>
      </c>
      <c r="AO548" s="10">
        <f t="shared" si="709"/>
        <v>3</v>
      </c>
      <c r="AP548" s="10">
        <f t="shared" si="709"/>
        <v>3</v>
      </c>
      <c r="AQ548" s="10">
        <f t="shared" si="709"/>
        <v>3</v>
      </c>
      <c r="AR548" s="10">
        <f t="shared" si="709"/>
        <v>3</v>
      </c>
      <c r="AS548" s="10">
        <f t="shared" si="709"/>
        <v>3</v>
      </c>
      <c r="AT548" s="10">
        <f t="shared" si="709"/>
        <v>3</v>
      </c>
      <c r="AU548" s="10">
        <f t="shared" si="709"/>
        <v>3</v>
      </c>
      <c r="AV548" s="10">
        <f t="shared" si="709"/>
        <v>3</v>
      </c>
      <c r="AW548" s="10">
        <f t="shared" si="709"/>
        <v>3</v>
      </c>
      <c r="AX548" s="10">
        <f t="shared" si="709"/>
        <v>3</v>
      </c>
      <c r="AY548" s="10">
        <f t="shared" si="709"/>
        <v>3</v>
      </c>
      <c r="AZ548" s="10">
        <f t="shared" si="709"/>
        <v>3</v>
      </c>
      <c r="BA548" s="10">
        <f t="shared" si="709"/>
        <v>3</v>
      </c>
      <c r="BB548" s="10">
        <f t="shared" si="709"/>
        <v>3</v>
      </c>
      <c r="BC548" s="10">
        <f t="shared" si="709"/>
        <v>3</v>
      </c>
      <c r="BD548" s="10">
        <f t="shared" si="709"/>
        <v>3</v>
      </c>
      <c r="BE548" s="10">
        <f t="shared" si="709"/>
        <v>3</v>
      </c>
      <c r="BF548" s="10">
        <f t="shared" si="709"/>
        <v>3</v>
      </c>
      <c r="BG548" s="10">
        <f t="shared" si="709"/>
        <v>3</v>
      </c>
      <c r="BH548" s="10">
        <f t="shared" si="709"/>
        <v>3</v>
      </c>
      <c r="BI548" s="10">
        <f t="shared" si="709"/>
        <v>3</v>
      </c>
      <c r="BJ548" s="10">
        <f t="shared" si="709"/>
        <v>3</v>
      </c>
      <c r="BK548" s="67"/>
      <c r="BL548" s="10">
        <f t="shared" ref="BL548:BW548" si="710">BL$96</f>
        <v>0</v>
      </c>
      <c r="BM548" s="10">
        <f t="shared" si="710"/>
        <v>36</v>
      </c>
      <c r="BN548" s="10">
        <f t="shared" si="710"/>
        <v>36</v>
      </c>
      <c r="BO548" s="10">
        <f t="shared" si="710"/>
        <v>36</v>
      </c>
      <c r="BP548" s="10">
        <f t="shared" si="710"/>
        <v>0</v>
      </c>
      <c r="BQ548" s="10">
        <f t="shared" si="710"/>
        <v>0</v>
      </c>
      <c r="BR548" s="10">
        <f t="shared" si="710"/>
        <v>0</v>
      </c>
      <c r="BS548" s="10">
        <f t="shared" si="710"/>
        <v>0</v>
      </c>
      <c r="BT548" s="10">
        <f t="shared" si="710"/>
        <v>0</v>
      </c>
      <c r="BU548" s="10">
        <f t="shared" si="710"/>
        <v>0</v>
      </c>
      <c r="BV548" s="10">
        <f t="shared" si="710"/>
        <v>0</v>
      </c>
      <c r="BW548" s="10">
        <f t="shared" si="710"/>
        <v>0</v>
      </c>
      <c r="BX548" s="67"/>
      <c r="BY548" s="12"/>
      <c r="CA548" s="12"/>
      <c r="CG548" s="67"/>
      <c r="CH548" s="67"/>
      <c r="CI548" s="67"/>
      <c r="CK548" s="67"/>
      <c r="CL548" s="67"/>
      <c r="CR548" s="12"/>
      <c r="EX548" s="10" t="str">
        <f t="shared" si="638"/>
        <v/>
      </c>
    </row>
    <row r="549" spans="1:154" x14ac:dyDescent="0.25">
      <c r="A549" s="67"/>
      <c r="B549" s="84" t="str" cm="1">
        <f t="array" aca="1" ref="B549" ca="1">HYPERLINK(CONCATENATE("#",CELL("address",$D$104)),$D$104)</f>
        <v>Loan 4</v>
      </c>
      <c r="C549" s="380"/>
      <c r="D549" s="60" t="str">
        <f>D$16</f>
        <v>NatWest</v>
      </c>
      <c r="E549" s="60" t="str">
        <f>E$16</f>
        <v xml:space="preserve">Commercial </v>
      </c>
      <c r="F549" s="67"/>
      <c r="G549" s="9" t="s">
        <v>413</v>
      </c>
      <c r="H549" s="50" t="s">
        <v>125</v>
      </c>
      <c r="I549" s="67"/>
      <c r="J549" s="67"/>
      <c r="K549" s="67"/>
      <c r="L549" s="67"/>
      <c r="M549" s="67"/>
      <c r="N549" s="67"/>
      <c r="O549" s="67"/>
      <c r="P549" s="67"/>
      <c r="Q549" s="67"/>
      <c r="R549" s="67"/>
      <c r="S549" s="335"/>
      <c r="T549" s="335"/>
      <c r="U549" s="335"/>
      <c r="V549" s="201">
        <f>V$115</f>
        <v>0</v>
      </c>
      <c r="W549" s="10">
        <f>W$115</f>
        <v>36</v>
      </c>
      <c r="X549" s="10">
        <f>X$115</f>
        <v>36</v>
      </c>
      <c r="Y549" s="10">
        <f>Y$115</f>
        <v>36</v>
      </c>
      <c r="Z549" s="67"/>
      <c r="AA549" s="10">
        <f t="shared" ref="AA549:BJ549" si="711">AA$115</f>
        <v>9</v>
      </c>
      <c r="AB549" s="10">
        <f t="shared" si="711"/>
        <v>0</v>
      </c>
      <c r="AC549" s="10">
        <f t="shared" si="711"/>
        <v>0</v>
      </c>
      <c r="AD549" s="10">
        <f t="shared" si="711"/>
        <v>9</v>
      </c>
      <c r="AE549" s="10">
        <f t="shared" si="711"/>
        <v>0</v>
      </c>
      <c r="AF549" s="10">
        <f t="shared" si="711"/>
        <v>0</v>
      </c>
      <c r="AG549" s="10">
        <f t="shared" si="711"/>
        <v>9</v>
      </c>
      <c r="AH549" s="10">
        <f t="shared" si="711"/>
        <v>0</v>
      </c>
      <c r="AI549" s="10">
        <f t="shared" si="711"/>
        <v>0</v>
      </c>
      <c r="AJ549" s="10">
        <f t="shared" si="711"/>
        <v>9</v>
      </c>
      <c r="AK549" s="10">
        <f t="shared" si="711"/>
        <v>0</v>
      </c>
      <c r="AL549" s="10">
        <f t="shared" si="711"/>
        <v>0</v>
      </c>
      <c r="AM549" s="10">
        <f t="shared" si="711"/>
        <v>9</v>
      </c>
      <c r="AN549" s="10">
        <f t="shared" si="711"/>
        <v>0</v>
      </c>
      <c r="AO549" s="10">
        <f t="shared" si="711"/>
        <v>0</v>
      </c>
      <c r="AP549" s="10">
        <f t="shared" si="711"/>
        <v>9</v>
      </c>
      <c r="AQ549" s="10">
        <f t="shared" si="711"/>
        <v>0</v>
      </c>
      <c r="AR549" s="10">
        <f t="shared" si="711"/>
        <v>0</v>
      </c>
      <c r="AS549" s="10">
        <f t="shared" si="711"/>
        <v>9</v>
      </c>
      <c r="AT549" s="10">
        <f t="shared" si="711"/>
        <v>0</v>
      </c>
      <c r="AU549" s="10">
        <f t="shared" si="711"/>
        <v>0</v>
      </c>
      <c r="AV549" s="10">
        <f t="shared" si="711"/>
        <v>9</v>
      </c>
      <c r="AW549" s="10">
        <f t="shared" si="711"/>
        <v>0</v>
      </c>
      <c r="AX549" s="10">
        <f t="shared" si="711"/>
        <v>0</v>
      </c>
      <c r="AY549" s="10">
        <f t="shared" si="711"/>
        <v>9</v>
      </c>
      <c r="AZ549" s="10">
        <f t="shared" si="711"/>
        <v>0</v>
      </c>
      <c r="BA549" s="10">
        <f t="shared" si="711"/>
        <v>0</v>
      </c>
      <c r="BB549" s="10">
        <f t="shared" si="711"/>
        <v>9</v>
      </c>
      <c r="BC549" s="10">
        <f t="shared" si="711"/>
        <v>0</v>
      </c>
      <c r="BD549" s="10">
        <f t="shared" si="711"/>
        <v>0</v>
      </c>
      <c r="BE549" s="10">
        <f t="shared" si="711"/>
        <v>9</v>
      </c>
      <c r="BF549" s="10">
        <f t="shared" si="711"/>
        <v>0</v>
      </c>
      <c r="BG549" s="10">
        <f t="shared" si="711"/>
        <v>0</v>
      </c>
      <c r="BH549" s="10">
        <f t="shared" si="711"/>
        <v>9</v>
      </c>
      <c r="BI549" s="10">
        <f t="shared" si="711"/>
        <v>0</v>
      </c>
      <c r="BJ549" s="10">
        <f t="shared" si="711"/>
        <v>0</v>
      </c>
      <c r="BK549" s="67"/>
      <c r="BL549" s="10">
        <f t="shared" ref="BL549:BW549" si="712">BL$115</f>
        <v>0</v>
      </c>
      <c r="BM549" s="10">
        <f t="shared" si="712"/>
        <v>36</v>
      </c>
      <c r="BN549" s="10">
        <f t="shared" si="712"/>
        <v>36</v>
      </c>
      <c r="BO549" s="10">
        <f t="shared" si="712"/>
        <v>36</v>
      </c>
      <c r="BP549" s="10">
        <f t="shared" si="712"/>
        <v>0</v>
      </c>
      <c r="BQ549" s="10">
        <f t="shared" si="712"/>
        <v>0</v>
      </c>
      <c r="BR549" s="10">
        <f t="shared" si="712"/>
        <v>0</v>
      </c>
      <c r="BS549" s="10">
        <f t="shared" si="712"/>
        <v>0</v>
      </c>
      <c r="BT549" s="10">
        <f t="shared" si="712"/>
        <v>0</v>
      </c>
      <c r="BU549" s="10">
        <f t="shared" si="712"/>
        <v>0</v>
      </c>
      <c r="BV549" s="10">
        <f t="shared" si="712"/>
        <v>0</v>
      </c>
      <c r="BW549" s="10">
        <f t="shared" si="712"/>
        <v>0</v>
      </c>
      <c r="BX549" s="67"/>
      <c r="BY549" s="12"/>
      <c r="CA549" s="12"/>
      <c r="CG549" s="67"/>
      <c r="CH549" s="67"/>
      <c r="CI549" s="67"/>
      <c r="CK549" s="67"/>
      <c r="CL549" s="67"/>
      <c r="CR549" s="12"/>
      <c r="EX549" s="10" t="str">
        <f t="shared" si="638"/>
        <v/>
      </c>
    </row>
    <row r="550" spans="1:154" x14ac:dyDescent="0.25">
      <c r="A550" s="67"/>
      <c r="B550" s="84" t="str" cm="1">
        <f t="array" aca="1" ref="B550" ca="1">HYPERLINK(CONCATENATE("#",CELL("address",$D$123)),$D$123)</f>
        <v>Loan 5</v>
      </c>
      <c r="C550" s="380"/>
      <c r="D550" s="60" t="str">
        <f>D$17</f>
        <v>NatWest</v>
      </c>
      <c r="E550" s="60" t="str">
        <f>E$17</f>
        <v xml:space="preserve">Commercial </v>
      </c>
      <c r="F550" s="67"/>
      <c r="G550" s="9" t="s">
        <v>413</v>
      </c>
      <c r="H550" s="50" t="s">
        <v>125</v>
      </c>
      <c r="I550" s="67"/>
      <c r="J550" s="67"/>
      <c r="K550" s="67"/>
      <c r="L550" s="67"/>
      <c r="M550" s="67"/>
      <c r="N550" s="67"/>
      <c r="O550" s="67"/>
      <c r="P550" s="67"/>
      <c r="Q550" s="67"/>
      <c r="R550" s="67"/>
      <c r="S550" s="335"/>
      <c r="T550" s="335"/>
      <c r="U550" s="335"/>
      <c r="V550" s="201">
        <f>V$134</f>
        <v>0</v>
      </c>
      <c r="W550" s="10">
        <f>W$134</f>
        <v>36</v>
      </c>
      <c r="X550" s="10">
        <f>X$134</f>
        <v>36</v>
      </c>
      <c r="Y550" s="10">
        <f>Y$134</f>
        <v>36</v>
      </c>
      <c r="Z550" s="67"/>
      <c r="AA550" s="10">
        <f t="shared" ref="AA550:BJ550" si="713">AA$134</f>
        <v>9</v>
      </c>
      <c r="AB550" s="10">
        <f t="shared" si="713"/>
        <v>0</v>
      </c>
      <c r="AC550" s="10">
        <f t="shared" si="713"/>
        <v>0</v>
      </c>
      <c r="AD550" s="10">
        <f t="shared" si="713"/>
        <v>9</v>
      </c>
      <c r="AE550" s="10">
        <f t="shared" si="713"/>
        <v>0</v>
      </c>
      <c r="AF550" s="10">
        <f t="shared" si="713"/>
        <v>0</v>
      </c>
      <c r="AG550" s="10">
        <f t="shared" si="713"/>
        <v>9</v>
      </c>
      <c r="AH550" s="10">
        <f t="shared" si="713"/>
        <v>0</v>
      </c>
      <c r="AI550" s="10">
        <f t="shared" si="713"/>
        <v>0</v>
      </c>
      <c r="AJ550" s="10">
        <f t="shared" si="713"/>
        <v>9</v>
      </c>
      <c r="AK550" s="10">
        <f t="shared" si="713"/>
        <v>0</v>
      </c>
      <c r="AL550" s="10">
        <f t="shared" si="713"/>
        <v>0</v>
      </c>
      <c r="AM550" s="10">
        <f t="shared" si="713"/>
        <v>9</v>
      </c>
      <c r="AN550" s="10">
        <f t="shared" si="713"/>
        <v>0</v>
      </c>
      <c r="AO550" s="10">
        <f t="shared" si="713"/>
        <v>0</v>
      </c>
      <c r="AP550" s="10">
        <f t="shared" si="713"/>
        <v>9</v>
      </c>
      <c r="AQ550" s="10">
        <f t="shared" si="713"/>
        <v>0</v>
      </c>
      <c r="AR550" s="10">
        <f t="shared" si="713"/>
        <v>0</v>
      </c>
      <c r="AS550" s="10">
        <f t="shared" si="713"/>
        <v>9</v>
      </c>
      <c r="AT550" s="10">
        <f t="shared" si="713"/>
        <v>0</v>
      </c>
      <c r="AU550" s="10">
        <f t="shared" si="713"/>
        <v>0</v>
      </c>
      <c r="AV550" s="10">
        <f t="shared" si="713"/>
        <v>9</v>
      </c>
      <c r="AW550" s="10">
        <f t="shared" si="713"/>
        <v>0</v>
      </c>
      <c r="AX550" s="10">
        <f t="shared" si="713"/>
        <v>0</v>
      </c>
      <c r="AY550" s="10">
        <f t="shared" si="713"/>
        <v>9</v>
      </c>
      <c r="AZ550" s="10">
        <f t="shared" si="713"/>
        <v>0</v>
      </c>
      <c r="BA550" s="10">
        <f t="shared" si="713"/>
        <v>0</v>
      </c>
      <c r="BB550" s="10">
        <f t="shared" si="713"/>
        <v>9</v>
      </c>
      <c r="BC550" s="10">
        <f t="shared" si="713"/>
        <v>0</v>
      </c>
      <c r="BD550" s="10">
        <f t="shared" si="713"/>
        <v>0</v>
      </c>
      <c r="BE550" s="10">
        <f t="shared" si="713"/>
        <v>9</v>
      </c>
      <c r="BF550" s="10">
        <f t="shared" si="713"/>
        <v>0</v>
      </c>
      <c r="BG550" s="10">
        <f t="shared" si="713"/>
        <v>0</v>
      </c>
      <c r="BH550" s="10">
        <f t="shared" si="713"/>
        <v>9</v>
      </c>
      <c r="BI550" s="10">
        <f t="shared" si="713"/>
        <v>0</v>
      </c>
      <c r="BJ550" s="10">
        <f t="shared" si="713"/>
        <v>0</v>
      </c>
      <c r="BK550" s="67"/>
      <c r="BL550" s="10">
        <f t="shared" ref="BL550:BW550" si="714">BL$134</f>
        <v>0</v>
      </c>
      <c r="BM550" s="10">
        <f t="shared" si="714"/>
        <v>36</v>
      </c>
      <c r="BN550" s="10">
        <f t="shared" si="714"/>
        <v>36</v>
      </c>
      <c r="BO550" s="10">
        <f t="shared" si="714"/>
        <v>36</v>
      </c>
      <c r="BP550" s="10">
        <f t="shared" si="714"/>
        <v>0</v>
      </c>
      <c r="BQ550" s="10">
        <f t="shared" si="714"/>
        <v>0</v>
      </c>
      <c r="BR550" s="10">
        <f t="shared" si="714"/>
        <v>0</v>
      </c>
      <c r="BS550" s="10">
        <f t="shared" si="714"/>
        <v>0</v>
      </c>
      <c r="BT550" s="10">
        <f t="shared" si="714"/>
        <v>0</v>
      </c>
      <c r="BU550" s="10">
        <f t="shared" si="714"/>
        <v>0</v>
      </c>
      <c r="BV550" s="10">
        <f t="shared" si="714"/>
        <v>0</v>
      </c>
      <c r="BW550" s="10">
        <f t="shared" si="714"/>
        <v>0</v>
      </c>
      <c r="BX550" s="67"/>
      <c r="BY550" s="12"/>
      <c r="CA550" s="12"/>
      <c r="CG550" s="67"/>
      <c r="CH550" s="67"/>
      <c r="CI550" s="67"/>
      <c r="CK550" s="67"/>
      <c r="CL550" s="67"/>
      <c r="CR550" s="12"/>
      <c r="EX550" s="10" t="str">
        <f t="shared" si="638"/>
        <v/>
      </c>
    </row>
    <row r="551" spans="1:154" x14ac:dyDescent="0.25">
      <c r="A551" s="67"/>
      <c r="B551" s="84" t="str" cm="1">
        <f t="array" aca="1" ref="B551" ca="1">HYPERLINK(CONCATENATE("#",CELL("address",$D$142)),$D$142)</f>
        <v>Loan 6</v>
      </c>
      <c r="C551" s="380"/>
      <c r="D551" s="60">
        <f>D$18</f>
        <v>0</v>
      </c>
      <c r="E551" s="60">
        <f>E$18</f>
        <v>0</v>
      </c>
      <c r="F551" s="67"/>
      <c r="G551" s="9" t="s">
        <v>413</v>
      </c>
      <c r="H551" s="50" t="s">
        <v>125</v>
      </c>
      <c r="I551" s="67"/>
      <c r="J551" s="67"/>
      <c r="K551" s="67"/>
      <c r="L551" s="67"/>
      <c r="M551" s="67"/>
      <c r="N551" s="67"/>
      <c r="O551" s="67"/>
      <c r="P551" s="67"/>
      <c r="Q551" s="67"/>
      <c r="R551" s="67"/>
      <c r="S551" s="335"/>
      <c r="T551" s="335"/>
      <c r="U551" s="335"/>
      <c r="V551" s="201">
        <f>V$153</f>
        <v>0</v>
      </c>
      <c r="W551" s="10">
        <f>W$153</f>
        <v>0</v>
      </c>
      <c r="X551" s="10">
        <f>X$153</f>
        <v>0</v>
      </c>
      <c r="Y551" s="10">
        <f>Y$153</f>
        <v>0</v>
      </c>
      <c r="Z551" s="67"/>
      <c r="AA551" s="10">
        <f t="shared" ref="AA551:BJ551" si="715">AA$153</f>
        <v>0</v>
      </c>
      <c r="AB551" s="10">
        <f t="shared" si="715"/>
        <v>0</v>
      </c>
      <c r="AC551" s="10">
        <f t="shared" si="715"/>
        <v>0</v>
      </c>
      <c r="AD551" s="10">
        <f t="shared" si="715"/>
        <v>0</v>
      </c>
      <c r="AE551" s="10">
        <f t="shared" si="715"/>
        <v>0</v>
      </c>
      <c r="AF551" s="10">
        <f t="shared" si="715"/>
        <v>0</v>
      </c>
      <c r="AG551" s="10">
        <f t="shared" si="715"/>
        <v>0</v>
      </c>
      <c r="AH551" s="10">
        <f t="shared" si="715"/>
        <v>0</v>
      </c>
      <c r="AI551" s="10">
        <f t="shared" si="715"/>
        <v>0</v>
      </c>
      <c r="AJ551" s="10">
        <f t="shared" si="715"/>
        <v>0</v>
      </c>
      <c r="AK551" s="10">
        <f t="shared" si="715"/>
        <v>0</v>
      </c>
      <c r="AL551" s="10">
        <f t="shared" si="715"/>
        <v>0</v>
      </c>
      <c r="AM551" s="10">
        <f t="shared" si="715"/>
        <v>0</v>
      </c>
      <c r="AN551" s="10">
        <f t="shared" si="715"/>
        <v>0</v>
      </c>
      <c r="AO551" s="10">
        <f t="shared" si="715"/>
        <v>0</v>
      </c>
      <c r="AP551" s="10">
        <f t="shared" si="715"/>
        <v>0</v>
      </c>
      <c r="AQ551" s="10">
        <f t="shared" si="715"/>
        <v>0</v>
      </c>
      <c r="AR551" s="10">
        <f t="shared" si="715"/>
        <v>0</v>
      </c>
      <c r="AS551" s="10">
        <f t="shared" si="715"/>
        <v>0</v>
      </c>
      <c r="AT551" s="10">
        <f t="shared" si="715"/>
        <v>0</v>
      </c>
      <c r="AU551" s="10">
        <f t="shared" si="715"/>
        <v>0</v>
      </c>
      <c r="AV551" s="10">
        <f t="shared" si="715"/>
        <v>0</v>
      </c>
      <c r="AW551" s="10">
        <f t="shared" si="715"/>
        <v>0</v>
      </c>
      <c r="AX551" s="10">
        <f t="shared" si="715"/>
        <v>0</v>
      </c>
      <c r="AY551" s="10">
        <f t="shared" si="715"/>
        <v>0</v>
      </c>
      <c r="AZ551" s="10">
        <f t="shared" si="715"/>
        <v>0</v>
      </c>
      <c r="BA551" s="10">
        <f t="shared" si="715"/>
        <v>0</v>
      </c>
      <c r="BB551" s="10">
        <f t="shared" si="715"/>
        <v>0</v>
      </c>
      <c r="BC551" s="10">
        <f t="shared" si="715"/>
        <v>0</v>
      </c>
      <c r="BD551" s="10">
        <f t="shared" si="715"/>
        <v>0</v>
      </c>
      <c r="BE551" s="10">
        <f t="shared" si="715"/>
        <v>0</v>
      </c>
      <c r="BF551" s="10">
        <f t="shared" si="715"/>
        <v>0</v>
      </c>
      <c r="BG551" s="10">
        <f t="shared" si="715"/>
        <v>0</v>
      </c>
      <c r="BH551" s="10">
        <f t="shared" si="715"/>
        <v>0</v>
      </c>
      <c r="BI551" s="10">
        <f t="shared" si="715"/>
        <v>0</v>
      </c>
      <c r="BJ551" s="10">
        <f t="shared" si="715"/>
        <v>0</v>
      </c>
      <c r="BK551" s="67"/>
      <c r="BL551" s="10">
        <f t="shared" ref="BL551:BW551" si="716">BL$153</f>
        <v>0</v>
      </c>
      <c r="BM551" s="10">
        <f t="shared" si="716"/>
        <v>0</v>
      </c>
      <c r="BN551" s="10">
        <f t="shared" si="716"/>
        <v>0</v>
      </c>
      <c r="BO551" s="10">
        <f t="shared" si="716"/>
        <v>0</v>
      </c>
      <c r="BP551" s="10">
        <f t="shared" si="716"/>
        <v>0</v>
      </c>
      <c r="BQ551" s="10">
        <f t="shared" si="716"/>
        <v>0</v>
      </c>
      <c r="BR551" s="10">
        <f t="shared" si="716"/>
        <v>0</v>
      </c>
      <c r="BS551" s="10">
        <f t="shared" si="716"/>
        <v>0</v>
      </c>
      <c r="BT551" s="10">
        <f t="shared" si="716"/>
        <v>0</v>
      </c>
      <c r="BU551" s="10">
        <f t="shared" si="716"/>
        <v>0</v>
      </c>
      <c r="BV551" s="10">
        <f t="shared" si="716"/>
        <v>0</v>
      </c>
      <c r="BW551" s="10">
        <f t="shared" si="716"/>
        <v>0</v>
      </c>
      <c r="BX551" s="67"/>
      <c r="BY551" s="12"/>
      <c r="CA551" s="12"/>
      <c r="CG551" s="67"/>
      <c r="CH551" s="67"/>
      <c r="CI551" s="67"/>
      <c r="CK551" s="67"/>
      <c r="CL551" s="67"/>
      <c r="CR551" s="12"/>
      <c r="EX551" s="10" t="str">
        <f t="shared" si="638"/>
        <v/>
      </c>
    </row>
    <row r="552" spans="1:154" x14ac:dyDescent="0.25">
      <c r="A552" s="67"/>
      <c r="B552" s="84" t="str" cm="1">
        <f t="array" aca="1" ref="B552" ca="1">HYPERLINK(CONCATENATE("#",CELL("address",$D$161)),$D$161)</f>
        <v>Loan 7</v>
      </c>
      <c r="C552" s="380"/>
      <c r="D552" s="60">
        <f>D$19</f>
        <v>0</v>
      </c>
      <c r="E552" s="60">
        <f>E$19</f>
        <v>0</v>
      </c>
      <c r="F552" s="67"/>
      <c r="G552" s="9" t="s">
        <v>413</v>
      </c>
      <c r="H552" s="50" t="s">
        <v>125</v>
      </c>
      <c r="I552" s="67"/>
      <c r="J552" s="67"/>
      <c r="K552" s="67"/>
      <c r="L552" s="67"/>
      <c r="M552" s="67"/>
      <c r="N552" s="67"/>
      <c r="O552" s="67"/>
      <c r="P552" s="67"/>
      <c r="Q552" s="67"/>
      <c r="R552" s="67"/>
      <c r="S552" s="335"/>
      <c r="T552" s="335"/>
      <c r="U552" s="335"/>
      <c r="V552" s="201">
        <f>V$172</f>
        <v>0</v>
      </c>
      <c r="W552" s="10">
        <f>W$172</f>
        <v>0</v>
      </c>
      <c r="X552" s="10">
        <f>X$172</f>
        <v>0</v>
      </c>
      <c r="Y552" s="10">
        <f>Y$172</f>
        <v>0</v>
      </c>
      <c r="Z552" s="67"/>
      <c r="AA552" s="10">
        <f t="shared" ref="AA552:BJ552" si="717">AA$172</f>
        <v>0</v>
      </c>
      <c r="AB552" s="10">
        <f t="shared" si="717"/>
        <v>0</v>
      </c>
      <c r="AC552" s="10">
        <f t="shared" si="717"/>
        <v>0</v>
      </c>
      <c r="AD552" s="10">
        <f t="shared" si="717"/>
        <v>0</v>
      </c>
      <c r="AE552" s="10">
        <f t="shared" si="717"/>
        <v>0</v>
      </c>
      <c r="AF552" s="10">
        <f t="shared" si="717"/>
        <v>0</v>
      </c>
      <c r="AG552" s="10">
        <f t="shared" si="717"/>
        <v>0</v>
      </c>
      <c r="AH552" s="10">
        <f t="shared" si="717"/>
        <v>0</v>
      </c>
      <c r="AI552" s="10">
        <f t="shared" si="717"/>
        <v>0</v>
      </c>
      <c r="AJ552" s="10">
        <f t="shared" si="717"/>
        <v>0</v>
      </c>
      <c r="AK552" s="10">
        <f t="shared" si="717"/>
        <v>0</v>
      </c>
      <c r="AL552" s="10">
        <f t="shared" si="717"/>
        <v>0</v>
      </c>
      <c r="AM552" s="10">
        <f t="shared" si="717"/>
        <v>0</v>
      </c>
      <c r="AN552" s="10">
        <f t="shared" si="717"/>
        <v>0</v>
      </c>
      <c r="AO552" s="10">
        <f t="shared" si="717"/>
        <v>0</v>
      </c>
      <c r="AP552" s="10">
        <f t="shared" si="717"/>
        <v>0</v>
      </c>
      <c r="AQ552" s="10">
        <f t="shared" si="717"/>
        <v>0</v>
      </c>
      <c r="AR552" s="10">
        <f t="shared" si="717"/>
        <v>0</v>
      </c>
      <c r="AS552" s="10">
        <f t="shared" si="717"/>
        <v>0</v>
      </c>
      <c r="AT552" s="10">
        <f t="shared" si="717"/>
        <v>0</v>
      </c>
      <c r="AU552" s="10">
        <f t="shared" si="717"/>
        <v>0</v>
      </c>
      <c r="AV552" s="10">
        <f t="shared" si="717"/>
        <v>0</v>
      </c>
      <c r="AW552" s="10">
        <f t="shared" si="717"/>
        <v>0</v>
      </c>
      <c r="AX552" s="10">
        <f t="shared" si="717"/>
        <v>0</v>
      </c>
      <c r="AY552" s="10">
        <f t="shared" si="717"/>
        <v>0</v>
      </c>
      <c r="AZ552" s="10">
        <f t="shared" si="717"/>
        <v>0</v>
      </c>
      <c r="BA552" s="10">
        <f t="shared" si="717"/>
        <v>0</v>
      </c>
      <c r="BB552" s="10">
        <f t="shared" si="717"/>
        <v>0</v>
      </c>
      <c r="BC552" s="10">
        <f t="shared" si="717"/>
        <v>0</v>
      </c>
      <c r="BD552" s="10">
        <f t="shared" si="717"/>
        <v>0</v>
      </c>
      <c r="BE552" s="10">
        <f t="shared" si="717"/>
        <v>0</v>
      </c>
      <c r="BF552" s="10">
        <f t="shared" si="717"/>
        <v>0</v>
      </c>
      <c r="BG552" s="10">
        <f t="shared" si="717"/>
        <v>0</v>
      </c>
      <c r="BH552" s="10">
        <f t="shared" si="717"/>
        <v>0</v>
      </c>
      <c r="BI552" s="10">
        <f t="shared" si="717"/>
        <v>0</v>
      </c>
      <c r="BJ552" s="10">
        <f t="shared" si="717"/>
        <v>0</v>
      </c>
      <c r="BK552" s="67"/>
      <c r="BL552" s="10">
        <f t="shared" ref="BL552:BW552" si="718">BL$172</f>
        <v>0</v>
      </c>
      <c r="BM552" s="10">
        <f t="shared" si="718"/>
        <v>0</v>
      </c>
      <c r="BN552" s="10">
        <f t="shared" si="718"/>
        <v>0</v>
      </c>
      <c r="BO552" s="10">
        <f t="shared" si="718"/>
        <v>0</v>
      </c>
      <c r="BP552" s="10">
        <f t="shared" si="718"/>
        <v>0</v>
      </c>
      <c r="BQ552" s="10">
        <f t="shared" si="718"/>
        <v>0</v>
      </c>
      <c r="BR552" s="10">
        <f t="shared" si="718"/>
        <v>0</v>
      </c>
      <c r="BS552" s="10">
        <f t="shared" si="718"/>
        <v>0</v>
      </c>
      <c r="BT552" s="10">
        <f t="shared" si="718"/>
        <v>0</v>
      </c>
      <c r="BU552" s="10">
        <f t="shared" si="718"/>
        <v>0</v>
      </c>
      <c r="BV552" s="10">
        <f t="shared" si="718"/>
        <v>0</v>
      </c>
      <c r="BW552" s="10">
        <f t="shared" si="718"/>
        <v>0</v>
      </c>
      <c r="BX552" s="67"/>
      <c r="BY552" s="12"/>
      <c r="CA552" s="12"/>
      <c r="CG552" s="67"/>
      <c r="CH552" s="67"/>
      <c r="CI552" s="67"/>
      <c r="CK552" s="67"/>
      <c r="CL552" s="67"/>
      <c r="CR552" s="12"/>
      <c r="EX552" s="10" t="str">
        <f t="shared" si="638"/>
        <v/>
      </c>
    </row>
    <row r="553" spans="1:154" x14ac:dyDescent="0.25">
      <c r="A553" s="67"/>
      <c r="B553" s="84" t="str" cm="1">
        <f t="array" aca="1" ref="B553" ca="1">HYPERLINK(CONCATENATE("#",CELL("address",$D$180)),$D$180)</f>
        <v>Loan 8</v>
      </c>
      <c r="C553" s="380"/>
      <c r="D553" s="60">
        <f>D$20</f>
        <v>0</v>
      </c>
      <c r="E553" s="60">
        <f>E$20</f>
        <v>0</v>
      </c>
      <c r="F553" s="67"/>
      <c r="G553" s="9" t="s">
        <v>413</v>
      </c>
      <c r="H553" s="50" t="s">
        <v>125</v>
      </c>
      <c r="I553" s="67"/>
      <c r="J553" s="67"/>
      <c r="K553" s="67"/>
      <c r="L553" s="67"/>
      <c r="M553" s="67"/>
      <c r="N553" s="67"/>
      <c r="O553" s="67"/>
      <c r="P553" s="67"/>
      <c r="Q553" s="67"/>
      <c r="R553" s="67"/>
      <c r="S553" s="335"/>
      <c r="T553" s="335"/>
      <c r="U553" s="335"/>
      <c r="V553" s="201">
        <f>V$191</f>
        <v>0</v>
      </c>
      <c r="W553" s="10">
        <f>W$191</f>
        <v>0</v>
      </c>
      <c r="X553" s="10">
        <f>X$191</f>
        <v>0</v>
      </c>
      <c r="Y553" s="10">
        <f>Y$191</f>
        <v>0</v>
      </c>
      <c r="Z553" s="67"/>
      <c r="AA553" s="10">
        <f t="shared" ref="AA553:BJ553" si="719">AA$191</f>
        <v>0</v>
      </c>
      <c r="AB553" s="10">
        <f t="shared" si="719"/>
        <v>0</v>
      </c>
      <c r="AC553" s="10">
        <f t="shared" si="719"/>
        <v>0</v>
      </c>
      <c r="AD553" s="10">
        <f t="shared" si="719"/>
        <v>0</v>
      </c>
      <c r="AE553" s="10">
        <f t="shared" si="719"/>
        <v>0</v>
      </c>
      <c r="AF553" s="10">
        <f t="shared" si="719"/>
        <v>0</v>
      </c>
      <c r="AG553" s="10">
        <f t="shared" si="719"/>
        <v>0</v>
      </c>
      <c r="AH553" s="10">
        <f t="shared" si="719"/>
        <v>0</v>
      </c>
      <c r="AI553" s="10">
        <f t="shared" si="719"/>
        <v>0</v>
      </c>
      <c r="AJ553" s="10">
        <f t="shared" si="719"/>
        <v>0</v>
      </c>
      <c r="AK553" s="10">
        <f t="shared" si="719"/>
        <v>0</v>
      </c>
      <c r="AL553" s="10">
        <f t="shared" si="719"/>
        <v>0</v>
      </c>
      <c r="AM553" s="10">
        <f t="shared" si="719"/>
        <v>0</v>
      </c>
      <c r="AN553" s="10">
        <f t="shared" si="719"/>
        <v>0</v>
      </c>
      <c r="AO553" s="10">
        <f t="shared" si="719"/>
        <v>0</v>
      </c>
      <c r="AP553" s="10">
        <f t="shared" si="719"/>
        <v>0</v>
      </c>
      <c r="AQ553" s="10">
        <f t="shared" si="719"/>
        <v>0</v>
      </c>
      <c r="AR553" s="10">
        <f t="shared" si="719"/>
        <v>0</v>
      </c>
      <c r="AS553" s="10">
        <f t="shared" si="719"/>
        <v>0</v>
      </c>
      <c r="AT553" s="10">
        <f t="shared" si="719"/>
        <v>0</v>
      </c>
      <c r="AU553" s="10">
        <f t="shared" si="719"/>
        <v>0</v>
      </c>
      <c r="AV553" s="10">
        <f t="shared" si="719"/>
        <v>0</v>
      </c>
      <c r="AW553" s="10">
        <f t="shared" si="719"/>
        <v>0</v>
      </c>
      <c r="AX553" s="10">
        <f t="shared" si="719"/>
        <v>0</v>
      </c>
      <c r="AY553" s="10">
        <f t="shared" si="719"/>
        <v>0</v>
      </c>
      <c r="AZ553" s="10">
        <f t="shared" si="719"/>
        <v>0</v>
      </c>
      <c r="BA553" s="10">
        <f t="shared" si="719"/>
        <v>0</v>
      </c>
      <c r="BB553" s="10">
        <f t="shared" si="719"/>
        <v>0</v>
      </c>
      <c r="BC553" s="10">
        <f t="shared" si="719"/>
        <v>0</v>
      </c>
      <c r="BD553" s="10">
        <f t="shared" si="719"/>
        <v>0</v>
      </c>
      <c r="BE553" s="10">
        <f t="shared" si="719"/>
        <v>0</v>
      </c>
      <c r="BF553" s="10">
        <f t="shared" si="719"/>
        <v>0</v>
      </c>
      <c r="BG553" s="10">
        <f t="shared" si="719"/>
        <v>0</v>
      </c>
      <c r="BH553" s="10">
        <f t="shared" si="719"/>
        <v>0</v>
      </c>
      <c r="BI553" s="10">
        <f t="shared" si="719"/>
        <v>0</v>
      </c>
      <c r="BJ553" s="10">
        <f t="shared" si="719"/>
        <v>0</v>
      </c>
      <c r="BK553" s="67"/>
      <c r="BL553" s="10">
        <f t="shared" ref="BL553:BW553" si="720">BL$191</f>
        <v>0</v>
      </c>
      <c r="BM553" s="10">
        <f t="shared" si="720"/>
        <v>0</v>
      </c>
      <c r="BN553" s="10">
        <f t="shared" si="720"/>
        <v>0</v>
      </c>
      <c r="BO553" s="10">
        <f t="shared" si="720"/>
        <v>0</v>
      </c>
      <c r="BP553" s="10">
        <f t="shared" si="720"/>
        <v>0</v>
      </c>
      <c r="BQ553" s="10">
        <f t="shared" si="720"/>
        <v>0</v>
      </c>
      <c r="BR553" s="10">
        <f t="shared" si="720"/>
        <v>0</v>
      </c>
      <c r="BS553" s="10">
        <f t="shared" si="720"/>
        <v>0</v>
      </c>
      <c r="BT553" s="10">
        <f t="shared" si="720"/>
        <v>0</v>
      </c>
      <c r="BU553" s="10">
        <f t="shared" si="720"/>
        <v>0</v>
      </c>
      <c r="BV553" s="10">
        <f t="shared" si="720"/>
        <v>0</v>
      </c>
      <c r="BW553" s="10">
        <f t="shared" si="720"/>
        <v>0</v>
      </c>
      <c r="BX553" s="67"/>
      <c r="BY553" s="12"/>
      <c r="CA553" s="12"/>
      <c r="CG553" s="67"/>
      <c r="CH553" s="67"/>
      <c r="CI553" s="67"/>
      <c r="CK553" s="67"/>
      <c r="CL553" s="67"/>
      <c r="CR553" s="12"/>
      <c r="EX553" s="10" t="str">
        <f t="shared" si="638"/>
        <v/>
      </c>
    </row>
    <row r="554" spans="1:154" x14ac:dyDescent="0.25">
      <c r="A554" s="67"/>
      <c r="B554" s="84" t="str" cm="1">
        <f t="array" aca="1" ref="B554" ca="1">HYPERLINK(CONCATENATE("#",CELL("address",$D$199)),$D$199)</f>
        <v>Loan 9</v>
      </c>
      <c r="C554" s="380"/>
      <c r="D554" s="60">
        <f>D$21</f>
        <v>0</v>
      </c>
      <c r="E554" s="60">
        <f>E$21</f>
        <v>0</v>
      </c>
      <c r="F554" s="67"/>
      <c r="G554" s="9" t="s">
        <v>413</v>
      </c>
      <c r="H554" s="50" t="s">
        <v>125</v>
      </c>
      <c r="I554" s="67"/>
      <c r="J554" s="67"/>
      <c r="K554" s="67"/>
      <c r="L554" s="67"/>
      <c r="M554" s="67"/>
      <c r="N554" s="67"/>
      <c r="O554" s="67"/>
      <c r="P554" s="67"/>
      <c r="Q554" s="67"/>
      <c r="R554" s="67"/>
      <c r="S554" s="335"/>
      <c r="T554" s="335"/>
      <c r="U554" s="335"/>
      <c r="V554" s="201">
        <f>V$210</f>
        <v>0</v>
      </c>
      <c r="W554" s="10">
        <f>W$210</f>
        <v>0</v>
      </c>
      <c r="X554" s="10">
        <f>X$210</f>
        <v>0</v>
      </c>
      <c r="Y554" s="10">
        <f>Y$210</f>
        <v>0</v>
      </c>
      <c r="Z554" s="67"/>
      <c r="AA554" s="10">
        <f t="shared" ref="AA554:BJ554" si="721">AA$210</f>
        <v>0</v>
      </c>
      <c r="AB554" s="10">
        <f t="shared" si="721"/>
        <v>0</v>
      </c>
      <c r="AC554" s="10">
        <f t="shared" si="721"/>
        <v>0</v>
      </c>
      <c r="AD554" s="10">
        <f t="shared" si="721"/>
        <v>0</v>
      </c>
      <c r="AE554" s="10">
        <f t="shared" si="721"/>
        <v>0</v>
      </c>
      <c r="AF554" s="10">
        <f t="shared" si="721"/>
        <v>0</v>
      </c>
      <c r="AG554" s="10">
        <f t="shared" si="721"/>
        <v>0</v>
      </c>
      <c r="AH554" s="10">
        <f t="shared" si="721"/>
        <v>0</v>
      </c>
      <c r="AI554" s="10">
        <f t="shared" si="721"/>
        <v>0</v>
      </c>
      <c r="AJ554" s="10">
        <f t="shared" si="721"/>
        <v>0</v>
      </c>
      <c r="AK554" s="10">
        <f t="shared" si="721"/>
        <v>0</v>
      </c>
      <c r="AL554" s="10">
        <f t="shared" si="721"/>
        <v>0</v>
      </c>
      <c r="AM554" s="10">
        <f t="shared" si="721"/>
        <v>0</v>
      </c>
      <c r="AN554" s="10">
        <f t="shared" si="721"/>
        <v>0</v>
      </c>
      <c r="AO554" s="10">
        <f t="shared" si="721"/>
        <v>0</v>
      </c>
      <c r="AP554" s="10">
        <f t="shared" si="721"/>
        <v>0</v>
      </c>
      <c r="AQ554" s="10">
        <f t="shared" si="721"/>
        <v>0</v>
      </c>
      <c r="AR554" s="10">
        <f t="shared" si="721"/>
        <v>0</v>
      </c>
      <c r="AS554" s="10">
        <f t="shared" si="721"/>
        <v>0</v>
      </c>
      <c r="AT554" s="10">
        <f t="shared" si="721"/>
        <v>0</v>
      </c>
      <c r="AU554" s="10">
        <f t="shared" si="721"/>
        <v>0</v>
      </c>
      <c r="AV554" s="10">
        <f t="shared" si="721"/>
        <v>0</v>
      </c>
      <c r="AW554" s="10">
        <f t="shared" si="721"/>
        <v>0</v>
      </c>
      <c r="AX554" s="10">
        <f t="shared" si="721"/>
        <v>0</v>
      </c>
      <c r="AY554" s="10">
        <f t="shared" si="721"/>
        <v>0</v>
      </c>
      <c r="AZ554" s="10">
        <f t="shared" si="721"/>
        <v>0</v>
      </c>
      <c r="BA554" s="10">
        <f t="shared" si="721"/>
        <v>0</v>
      </c>
      <c r="BB554" s="10">
        <f t="shared" si="721"/>
        <v>0</v>
      </c>
      <c r="BC554" s="10">
        <f t="shared" si="721"/>
        <v>0</v>
      </c>
      <c r="BD554" s="10">
        <f t="shared" si="721"/>
        <v>0</v>
      </c>
      <c r="BE554" s="10">
        <f t="shared" si="721"/>
        <v>0</v>
      </c>
      <c r="BF554" s="10">
        <f t="shared" si="721"/>
        <v>0</v>
      </c>
      <c r="BG554" s="10">
        <f t="shared" si="721"/>
        <v>0</v>
      </c>
      <c r="BH554" s="10">
        <f t="shared" si="721"/>
        <v>0</v>
      </c>
      <c r="BI554" s="10">
        <f t="shared" si="721"/>
        <v>0</v>
      </c>
      <c r="BJ554" s="10">
        <f t="shared" si="721"/>
        <v>0</v>
      </c>
      <c r="BK554" s="67"/>
      <c r="BL554" s="10">
        <f t="shared" ref="BL554:BW554" si="722">BL$210</f>
        <v>0</v>
      </c>
      <c r="BM554" s="10">
        <f t="shared" si="722"/>
        <v>0</v>
      </c>
      <c r="BN554" s="10">
        <f t="shared" si="722"/>
        <v>0</v>
      </c>
      <c r="BO554" s="10">
        <f t="shared" si="722"/>
        <v>0</v>
      </c>
      <c r="BP554" s="10">
        <f t="shared" si="722"/>
        <v>0</v>
      </c>
      <c r="BQ554" s="10">
        <f t="shared" si="722"/>
        <v>0</v>
      </c>
      <c r="BR554" s="10">
        <f t="shared" si="722"/>
        <v>0</v>
      </c>
      <c r="BS554" s="10">
        <f t="shared" si="722"/>
        <v>0</v>
      </c>
      <c r="BT554" s="10">
        <f t="shared" si="722"/>
        <v>0</v>
      </c>
      <c r="BU554" s="10">
        <f t="shared" si="722"/>
        <v>0</v>
      </c>
      <c r="BV554" s="10">
        <f t="shared" si="722"/>
        <v>0</v>
      </c>
      <c r="BW554" s="10">
        <f t="shared" si="722"/>
        <v>0</v>
      </c>
      <c r="BX554" s="67"/>
      <c r="BY554" s="12"/>
      <c r="CA554" s="12"/>
      <c r="CG554" s="67"/>
      <c r="CH554" s="67"/>
      <c r="CI554" s="67"/>
      <c r="CK554" s="67"/>
      <c r="CL554" s="67"/>
      <c r="CR554" s="12"/>
      <c r="EX554" s="10" t="str">
        <f t="shared" si="638"/>
        <v/>
      </c>
    </row>
    <row r="555" spans="1:154" x14ac:dyDescent="0.25">
      <c r="A555" s="67"/>
      <c r="B555" s="84" t="str" cm="1">
        <f t="array" aca="1" ref="B555" ca="1">HYPERLINK(CONCATENATE("#",CELL("address",$D$218)),$D$218)</f>
        <v>Loan 10</v>
      </c>
      <c r="C555" s="380"/>
      <c r="D555" s="60">
        <f>D$22</f>
        <v>0</v>
      </c>
      <c r="E555" s="60">
        <f>E$22</f>
        <v>0</v>
      </c>
      <c r="F555" s="67"/>
      <c r="G555" s="9" t="s">
        <v>413</v>
      </c>
      <c r="H555" s="50" t="s">
        <v>125</v>
      </c>
      <c r="I555" s="67"/>
      <c r="J555" s="67"/>
      <c r="K555" s="67"/>
      <c r="L555" s="67"/>
      <c r="M555" s="67"/>
      <c r="N555" s="67"/>
      <c r="O555" s="67"/>
      <c r="P555" s="67"/>
      <c r="Q555" s="67"/>
      <c r="R555" s="67"/>
      <c r="S555" s="335"/>
      <c r="T555" s="335"/>
      <c r="U555" s="335"/>
      <c r="V555" s="201">
        <f>V$229</f>
        <v>0</v>
      </c>
      <c r="W555" s="10">
        <f>W$229</f>
        <v>0</v>
      </c>
      <c r="X555" s="10">
        <f>X$229</f>
        <v>0</v>
      </c>
      <c r="Y555" s="10">
        <f>Y$229</f>
        <v>0</v>
      </c>
      <c r="Z555" s="67"/>
      <c r="AA555" s="10">
        <f t="shared" ref="AA555:BJ555" si="723">AA$229</f>
        <v>0</v>
      </c>
      <c r="AB555" s="10">
        <f t="shared" si="723"/>
        <v>0</v>
      </c>
      <c r="AC555" s="10">
        <f t="shared" si="723"/>
        <v>0</v>
      </c>
      <c r="AD555" s="10">
        <f t="shared" si="723"/>
        <v>0</v>
      </c>
      <c r="AE555" s="10">
        <f t="shared" si="723"/>
        <v>0</v>
      </c>
      <c r="AF555" s="10">
        <f t="shared" si="723"/>
        <v>0</v>
      </c>
      <c r="AG555" s="10">
        <f t="shared" si="723"/>
        <v>0</v>
      </c>
      <c r="AH555" s="10">
        <f t="shared" si="723"/>
        <v>0</v>
      </c>
      <c r="AI555" s="10">
        <f t="shared" si="723"/>
        <v>0</v>
      </c>
      <c r="AJ555" s="10">
        <f t="shared" si="723"/>
        <v>0</v>
      </c>
      <c r="AK555" s="10">
        <f t="shared" si="723"/>
        <v>0</v>
      </c>
      <c r="AL555" s="10">
        <f t="shared" si="723"/>
        <v>0</v>
      </c>
      <c r="AM555" s="10">
        <f t="shared" si="723"/>
        <v>0</v>
      </c>
      <c r="AN555" s="10">
        <f t="shared" si="723"/>
        <v>0</v>
      </c>
      <c r="AO555" s="10">
        <f t="shared" si="723"/>
        <v>0</v>
      </c>
      <c r="AP555" s="10">
        <f t="shared" si="723"/>
        <v>0</v>
      </c>
      <c r="AQ555" s="10">
        <f t="shared" si="723"/>
        <v>0</v>
      </c>
      <c r="AR555" s="10">
        <f t="shared" si="723"/>
        <v>0</v>
      </c>
      <c r="AS555" s="10">
        <f t="shared" si="723"/>
        <v>0</v>
      </c>
      <c r="AT555" s="10">
        <f t="shared" si="723"/>
        <v>0</v>
      </c>
      <c r="AU555" s="10">
        <f t="shared" si="723"/>
        <v>0</v>
      </c>
      <c r="AV555" s="10">
        <f t="shared" si="723"/>
        <v>0</v>
      </c>
      <c r="AW555" s="10">
        <f t="shared" si="723"/>
        <v>0</v>
      </c>
      <c r="AX555" s="10">
        <f t="shared" si="723"/>
        <v>0</v>
      </c>
      <c r="AY555" s="10">
        <f t="shared" si="723"/>
        <v>0</v>
      </c>
      <c r="AZ555" s="10">
        <f t="shared" si="723"/>
        <v>0</v>
      </c>
      <c r="BA555" s="10">
        <f t="shared" si="723"/>
        <v>0</v>
      </c>
      <c r="BB555" s="10">
        <f t="shared" si="723"/>
        <v>0</v>
      </c>
      <c r="BC555" s="10">
        <f t="shared" si="723"/>
        <v>0</v>
      </c>
      <c r="BD555" s="10">
        <f t="shared" si="723"/>
        <v>0</v>
      </c>
      <c r="BE555" s="10">
        <f t="shared" si="723"/>
        <v>0</v>
      </c>
      <c r="BF555" s="10">
        <f t="shared" si="723"/>
        <v>0</v>
      </c>
      <c r="BG555" s="10">
        <f t="shared" si="723"/>
        <v>0</v>
      </c>
      <c r="BH555" s="10">
        <f t="shared" si="723"/>
        <v>0</v>
      </c>
      <c r="BI555" s="10">
        <f t="shared" si="723"/>
        <v>0</v>
      </c>
      <c r="BJ555" s="10">
        <f t="shared" si="723"/>
        <v>0</v>
      </c>
      <c r="BK555" s="67"/>
      <c r="BL555" s="10">
        <f t="shared" ref="BL555:BW555" si="724">BL$229</f>
        <v>0</v>
      </c>
      <c r="BM555" s="10">
        <f t="shared" si="724"/>
        <v>0</v>
      </c>
      <c r="BN555" s="10">
        <f t="shared" si="724"/>
        <v>0</v>
      </c>
      <c r="BO555" s="10">
        <f t="shared" si="724"/>
        <v>0</v>
      </c>
      <c r="BP555" s="10">
        <f t="shared" si="724"/>
        <v>0</v>
      </c>
      <c r="BQ555" s="10">
        <f t="shared" si="724"/>
        <v>0</v>
      </c>
      <c r="BR555" s="10">
        <f t="shared" si="724"/>
        <v>0</v>
      </c>
      <c r="BS555" s="10">
        <f t="shared" si="724"/>
        <v>0</v>
      </c>
      <c r="BT555" s="10">
        <f t="shared" si="724"/>
        <v>0</v>
      </c>
      <c r="BU555" s="10">
        <f t="shared" si="724"/>
        <v>0</v>
      </c>
      <c r="BV555" s="10">
        <f t="shared" si="724"/>
        <v>0</v>
      </c>
      <c r="BW555" s="10">
        <f t="shared" si="724"/>
        <v>0</v>
      </c>
      <c r="BX555" s="67"/>
      <c r="BY555" s="12"/>
      <c r="CA555" s="12"/>
      <c r="CG555" s="67"/>
      <c r="CH555" s="67"/>
      <c r="CI555" s="67"/>
      <c r="CK555" s="67"/>
      <c r="CL555" s="67"/>
      <c r="CR555" s="12"/>
      <c r="EX555" s="10" t="str">
        <f t="shared" si="638"/>
        <v/>
      </c>
    </row>
    <row r="556" spans="1:154" x14ac:dyDescent="0.25">
      <c r="A556" s="67"/>
      <c r="B556" s="84" t="str" cm="1">
        <f t="array" aca="1" ref="B556" ca="1">HYPERLINK(CONCATENATE("#",CELL("address",$D$237)),$D$237)</f>
        <v>Loan 11</v>
      </c>
      <c r="C556" s="380"/>
      <c r="D556" s="60">
        <f>D$23</f>
        <v>0</v>
      </c>
      <c r="E556" s="60">
        <f>E$23</f>
        <v>0</v>
      </c>
      <c r="F556" s="67"/>
      <c r="G556" s="9" t="s">
        <v>413</v>
      </c>
      <c r="H556" s="50" t="s">
        <v>125</v>
      </c>
      <c r="I556" s="67"/>
      <c r="J556" s="67"/>
      <c r="K556" s="67"/>
      <c r="L556" s="67"/>
      <c r="M556" s="67"/>
      <c r="N556" s="67"/>
      <c r="O556" s="67"/>
      <c r="P556" s="67"/>
      <c r="Q556" s="67"/>
      <c r="R556" s="67"/>
      <c r="S556" s="335"/>
      <c r="T556" s="335"/>
      <c r="U556" s="335"/>
      <c r="V556" s="201">
        <f>V$248</f>
        <v>0</v>
      </c>
      <c r="W556" s="10">
        <f>W$248</f>
        <v>0</v>
      </c>
      <c r="X556" s="10">
        <f>X$248</f>
        <v>0</v>
      </c>
      <c r="Y556" s="10">
        <f>Y$248</f>
        <v>0</v>
      </c>
      <c r="Z556" s="67"/>
      <c r="AA556" s="10">
        <f t="shared" ref="AA556:BJ556" si="725">AA$248</f>
        <v>0</v>
      </c>
      <c r="AB556" s="10">
        <f t="shared" si="725"/>
        <v>0</v>
      </c>
      <c r="AC556" s="10">
        <f t="shared" si="725"/>
        <v>0</v>
      </c>
      <c r="AD556" s="10">
        <f t="shared" si="725"/>
        <v>0</v>
      </c>
      <c r="AE556" s="10">
        <f t="shared" si="725"/>
        <v>0</v>
      </c>
      <c r="AF556" s="10">
        <f t="shared" si="725"/>
        <v>0</v>
      </c>
      <c r="AG556" s="10">
        <f t="shared" si="725"/>
        <v>0</v>
      </c>
      <c r="AH556" s="10">
        <f t="shared" si="725"/>
        <v>0</v>
      </c>
      <c r="AI556" s="10">
        <f t="shared" si="725"/>
        <v>0</v>
      </c>
      <c r="AJ556" s="10">
        <f t="shared" si="725"/>
        <v>0</v>
      </c>
      <c r="AK556" s="10">
        <f t="shared" si="725"/>
        <v>0</v>
      </c>
      <c r="AL556" s="10">
        <f t="shared" si="725"/>
        <v>0</v>
      </c>
      <c r="AM556" s="10">
        <f t="shared" si="725"/>
        <v>0</v>
      </c>
      <c r="AN556" s="10">
        <f t="shared" si="725"/>
        <v>0</v>
      </c>
      <c r="AO556" s="10">
        <f t="shared" si="725"/>
        <v>0</v>
      </c>
      <c r="AP556" s="10">
        <f t="shared" si="725"/>
        <v>0</v>
      </c>
      <c r="AQ556" s="10">
        <f t="shared" si="725"/>
        <v>0</v>
      </c>
      <c r="AR556" s="10">
        <f t="shared" si="725"/>
        <v>0</v>
      </c>
      <c r="AS556" s="10">
        <f t="shared" si="725"/>
        <v>0</v>
      </c>
      <c r="AT556" s="10">
        <f t="shared" si="725"/>
        <v>0</v>
      </c>
      <c r="AU556" s="10">
        <f t="shared" si="725"/>
        <v>0</v>
      </c>
      <c r="AV556" s="10">
        <f t="shared" si="725"/>
        <v>0</v>
      </c>
      <c r="AW556" s="10">
        <f t="shared" si="725"/>
        <v>0</v>
      </c>
      <c r="AX556" s="10">
        <f t="shared" si="725"/>
        <v>0</v>
      </c>
      <c r="AY556" s="10">
        <f t="shared" si="725"/>
        <v>0</v>
      </c>
      <c r="AZ556" s="10">
        <f t="shared" si="725"/>
        <v>0</v>
      </c>
      <c r="BA556" s="10">
        <f t="shared" si="725"/>
        <v>0</v>
      </c>
      <c r="BB556" s="10">
        <f t="shared" si="725"/>
        <v>0</v>
      </c>
      <c r="BC556" s="10">
        <f t="shared" si="725"/>
        <v>0</v>
      </c>
      <c r="BD556" s="10">
        <f t="shared" si="725"/>
        <v>0</v>
      </c>
      <c r="BE556" s="10">
        <f t="shared" si="725"/>
        <v>0</v>
      </c>
      <c r="BF556" s="10">
        <f t="shared" si="725"/>
        <v>0</v>
      </c>
      <c r="BG556" s="10">
        <f t="shared" si="725"/>
        <v>0</v>
      </c>
      <c r="BH556" s="10">
        <f t="shared" si="725"/>
        <v>0</v>
      </c>
      <c r="BI556" s="10">
        <f t="shared" si="725"/>
        <v>0</v>
      </c>
      <c r="BJ556" s="10">
        <f t="shared" si="725"/>
        <v>0</v>
      </c>
      <c r="BK556" s="67"/>
      <c r="BL556" s="10">
        <f t="shared" ref="BL556:BW556" si="726">BL$248</f>
        <v>0</v>
      </c>
      <c r="BM556" s="10">
        <f t="shared" si="726"/>
        <v>0</v>
      </c>
      <c r="BN556" s="10">
        <f t="shared" si="726"/>
        <v>0</v>
      </c>
      <c r="BO556" s="10">
        <f t="shared" si="726"/>
        <v>0</v>
      </c>
      <c r="BP556" s="10">
        <f t="shared" si="726"/>
        <v>0</v>
      </c>
      <c r="BQ556" s="10">
        <f t="shared" si="726"/>
        <v>0</v>
      </c>
      <c r="BR556" s="10">
        <f t="shared" si="726"/>
        <v>0</v>
      </c>
      <c r="BS556" s="10">
        <f t="shared" si="726"/>
        <v>0</v>
      </c>
      <c r="BT556" s="10">
        <f t="shared" si="726"/>
        <v>0</v>
      </c>
      <c r="BU556" s="10">
        <f t="shared" si="726"/>
        <v>0</v>
      </c>
      <c r="BV556" s="10">
        <f t="shared" si="726"/>
        <v>0</v>
      </c>
      <c r="BW556" s="10">
        <f t="shared" si="726"/>
        <v>0</v>
      </c>
      <c r="BX556" s="67"/>
      <c r="BY556" s="12"/>
      <c r="CA556" s="12"/>
      <c r="CG556" s="67"/>
      <c r="CH556" s="67"/>
      <c r="CI556" s="67"/>
      <c r="CK556" s="67"/>
      <c r="CL556" s="67"/>
      <c r="CR556" s="12"/>
      <c r="EX556" s="10" t="str">
        <f t="shared" si="638"/>
        <v/>
      </c>
    </row>
    <row r="557" spans="1:154" x14ac:dyDescent="0.25">
      <c r="A557" s="67"/>
      <c r="B557" s="84" t="str" cm="1">
        <f t="array" aca="1" ref="B557" ca="1">HYPERLINK(CONCATENATE("#",CELL("address",$D$256)),$D$256)</f>
        <v>Loan 12</v>
      </c>
      <c r="C557" s="380"/>
      <c r="D557" s="60">
        <f>D$24</f>
        <v>0</v>
      </c>
      <c r="E557" s="60">
        <f>E$24</f>
        <v>0</v>
      </c>
      <c r="F557" s="67"/>
      <c r="G557" s="9" t="s">
        <v>413</v>
      </c>
      <c r="H557" s="50" t="s">
        <v>125</v>
      </c>
      <c r="I557" s="67"/>
      <c r="J557" s="67"/>
      <c r="K557" s="67"/>
      <c r="L557" s="67"/>
      <c r="M557" s="67"/>
      <c r="N557" s="67"/>
      <c r="O557" s="67"/>
      <c r="P557" s="67"/>
      <c r="Q557" s="67"/>
      <c r="R557" s="67"/>
      <c r="S557" s="335"/>
      <c r="T557" s="335"/>
      <c r="U557" s="335"/>
      <c r="V557" s="201">
        <f>V$267</f>
        <v>0</v>
      </c>
      <c r="W557" s="10">
        <f>W$267</f>
        <v>0</v>
      </c>
      <c r="X557" s="10">
        <f>X$267</f>
        <v>0</v>
      </c>
      <c r="Y557" s="10">
        <f>Y$267</f>
        <v>0</v>
      </c>
      <c r="Z557" s="67"/>
      <c r="AA557" s="10">
        <f t="shared" ref="AA557:BJ557" si="727">AA$267</f>
        <v>0</v>
      </c>
      <c r="AB557" s="10">
        <f t="shared" si="727"/>
        <v>0</v>
      </c>
      <c r="AC557" s="10">
        <f t="shared" si="727"/>
        <v>0</v>
      </c>
      <c r="AD557" s="10">
        <f t="shared" si="727"/>
        <v>0</v>
      </c>
      <c r="AE557" s="10">
        <f t="shared" si="727"/>
        <v>0</v>
      </c>
      <c r="AF557" s="10">
        <f t="shared" si="727"/>
        <v>0</v>
      </c>
      <c r="AG557" s="10">
        <f t="shared" si="727"/>
        <v>0</v>
      </c>
      <c r="AH557" s="10">
        <f t="shared" si="727"/>
        <v>0</v>
      </c>
      <c r="AI557" s="10">
        <f t="shared" si="727"/>
        <v>0</v>
      </c>
      <c r="AJ557" s="10">
        <f t="shared" si="727"/>
        <v>0</v>
      </c>
      <c r="AK557" s="10">
        <f t="shared" si="727"/>
        <v>0</v>
      </c>
      <c r="AL557" s="10">
        <f t="shared" si="727"/>
        <v>0</v>
      </c>
      <c r="AM557" s="10">
        <f t="shared" si="727"/>
        <v>0</v>
      </c>
      <c r="AN557" s="10">
        <f t="shared" si="727"/>
        <v>0</v>
      </c>
      <c r="AO557" s="10">
        <f t="shared" si="727"/>
        <v>0</v>
      </c>
      <c r="AP557" s="10">
        <f t="shared" si="727"/>
        <v>0</v>
      </c>
      <c r="AQ557" s="10">
        <f t="shared" si="727"/>
        <v>0</v>
      </c>
      <c r="AR557" s="10">
        <f t="shared" si="727"/>
        <v>0</v>
      </c>
      <c r="AS557" s="10">
        <f t="shared" si="727"/>
        <v>0</v>
      </c>
      <c r="AT557" s="10">
        <f t="shared" si="727"/>
        <v>0</v>
      </c>
      <c r="AU557" s="10">
        <f t="shared" si="727"/>
        <v>0</v>
      </c>
      <c r="AV557" s="10">
        <f t="shared" si="727"/>
        <v>0</v>
      </c>
      <c r="AW557" s="10">
        <f t="shared" si="727"/>
        <v>0</v>
      </c>
      <c r="AX557" s="10">
        <f t="shared" si="727"/>
        <v>0</v>
      </c>
      <c r="AY557" s="10">
        <f t="shared" si="727"/>
        <v>0</v>
      </c>
      <c r="AZ557" s="10">
        <f t="shared" si="727"/>
        <v>0</v>
      </c>
      <c r="BA557" s="10">
        <f t="shared" si="727"/>
        <v>0</v>
      </c>
      <c r="BB557" s="10">
        <f t="shared" si="727"/>
        <v>0</v>
      </c>
      <c r="BC557" s="10">
        <f t="shared" si="727"/>
        <v>0</v>
      </c>
      <c r="BD557" s="10">
        <f t="shared" si="727"/>
        <v>0</v>
      </c>
      <c r="BE557" s="10">
        <f t="shared" si="727"/>
        <v>0</v>
      </c>
      <c r="BF557" s="10">
        <f t="shared" si="727"/>
        <v>0</v>
      </c>
      <c r="BG557" s="10">
        <f t="shared" si="727"/>
        <v>0</v>
      </c>
      <c r="BH557" s="10">
        <f t="shared" si="727"/>
        <v>0</v>
      </c>
      <c r="BI557" s="10">
        <f t="shared" si="727"/>
        <v>0</v>
      </c>
      <c r="BJ557" s="10">
        <f t="shared" si="727"/>
        <v>0</v>
      </c>
      <c r="BK557" s="67"/>
      <c r="BL557" s="10">
        <f t="shared" ref="BL557:BW557" si="728">BL$267</f>
        <v>0</v>
      </c>
      <c r="BM557" s="10">
        <f t="shared" si="728"/>
        <v>0</v>
      </c>
      <c r="BN557" s="10">
        <f t="shared" si="728"/>
        <v>0</v>
      </c>
      <c r="BO557" s="10">
        <f t="shared" si="728"/>
        <v>0</v>
      </c>
      <c r="BP557" s="10">
        <f t="shared" si="728"/>
        <v>0</v>
      </c>
      <c r="BQ557" s="10">
        <f t="shared" si="728"/>
        <v>0</v>
      </c>
      <c r="BR557" s="10">
        <f t="shared" si="728"/>
        <v>0</v>
      </c>
      <c r="BS557" s="10">
        <f t="shared" si="728"/>
        <v>0</v>
      </c>
      <c r="BT557" s="10">
        <f t="shared" si="728"/>
        <v>0</v>
      </c>
      <c r="BU557" s="10">
        <f t="shared" si="728"/>
        <v>0</v>
      </c>
      <c r="BV557" s="10">
        <f t="shared" si="728"/>
        <v>0</v>
      </c>
      <c r="BW557" s="10">
        <f t="shared" si="728"/>
        <v>0</v>
      </c>
      <c r="BX557" s="67"/>
      <c r="BY557" s="12"/>
      <c r="CA557" s="12"/>
      <c r="CG557" s="67"/>
      <c r="CH557" s="67"/>
      <c r="CI557" s="67"/>
      <c r="CK557" s="67"/>
      <c r="CL557" s="67"/>
      <c r="CR557" s="12"/>
      <c r="EX557" s="10" t="str">
        <f t="shared" si="638"/>
        <v/>
      </c>
    </row>
    <row r="558" spans="1:154" x14ac:dyDescent="0.25">
      <c r="A558" s="67"/>
      <c r="B558" s="84" t="str" cm="1">
        <f t="array" aca="1" ref="B558" ca="1">HYPERLINK(CONCATENATE("#",CELL("address",$D$275)),$D$275)</f>
        <v>Loan 13</v>
      </c>
      <c r="C558" s="380"/>
      <c r="D558" s="60">
        <f>D$25</f>
        <v>0</v>
      </c>
      <c r="E558" s="60">
        <f>E$25</f>
        <v>0</v>
      </c>
      <c r="F558" s="67"/>
      <c r="G558" s="9" t="s">
        <v>413</v>
      </c>
      <c r="H558" s="50" t="s">
        <v>125</v>
      </c>
      <c r="I558" s="67"/>
      <c r="J558" s="67"/>
      <c r="K558" s="67"/>
      <c r="L558" s="67"/>
      <c r="M558" s="67"/>
      <c r="N558" s="67"/>
      <c r="O558" s="67"/>
      <c r="P558" s="67"/>
      <c r="Q558" s="67"/>
      <c r="R558" s="67"/>
      <c r="S558" s="335"/>
      <c r="T558" s="335"/>
      <c r="U558" s="335"/>
      <c r="V558" s="201">
        <f>V$286</f>
        <v>0</v>
      </c>
      <c r="W558" s="10">
        <f>W$286</f>
        <v>0</v>
      </c>
      <c r="X558" s="10">
        <f>X$286</f>
        <v>0</v>
      </c>
      <c r="Y558" s="10">
        <f>Y$286</f>
        <v>0</v>
      </c>
      <c r="Z558" s="67"/>
      <c r="AA558" s="10">
        <f t="shared" ref="AA558:BJ558" si="729">AA$286</f>
        <v>0</v>
      </c>
      <c r="AB558" s="10">
        <f t="shared" si="729"/>
        <v>0</v>
      </c>
      <c r="AC558" s="10">
        <f t="shared" si="729"/>
        <v>0</v>
      </c>
      <c r="AD558" s="10">
        <f t="shared" si="729"/>
        <v>0</v>
      </c>
      <c r="AE558" s="10">
        <f t="shared" si="729"/>
        <v>0</v>
      </c>
      <c r="AF558" s="10">
        <f t="shared" si="729"/>
        <v>0</v>
      </c>
      <c r="AG558" s="10">
        <f t="shared" si="729"/>
        <v>0</v>
      </c>
      <c r="AH558" s="10">
        <f t="shared" si="729"/>
        <v>0</v>
      </c>
      <c r="AI558" s="10">
        <f t="shared" si="729"/>
        <v>0</v>
      </c>
      <c r="AJ558" s="10">
        <f t="shared" si="729"/>
        <v>0</v>
      </c>
      <c r="AK558" s="10">
        <f t="shared" si="729"/>
        <v>0</v>
      </c>
      <c r="AL558" s="10">
        <f t="shared" si="729"/>
        <v>0</v>
      </c>
      <c r="AM558" s="10">
        <f t="shared" si="729"/>
        <v>0</v>
      </c>
      <c r="AN558" s="10">
        <f t="shared" si="729"/>
        <v>0</v>
      </c>
      <c r="AO558" s="10">
        <f t="shared" si="729"/>
        <v>0</v>
      </c>
      <c r="AP558" s="10">
        <f t="shared" si="729"/>
        <v>0</v>
      </c>
      <c r="AQ558" s="10">
        <f t="shared" si="729"/>
        <v>0</v>
      </c>
      <c r="AR558" s="10">
        <f t="shared" si="729"/>
        <v>0</v>
      </c>
      <c r="AS558" s="10">
        <f t="shared" si="729"/>
        <v>0</v>
      </c>
      <c r="AT558" s="10">
        <f t="shared" si="729"/>
        <v>0</v>
      </c>
      <c r="AU558" s="10">
        <f t="shared" si="729"/>
        <v>0</v>
      </c>
      <c r="AV558" s="10">
        <f t="shared" si="729"/>
        <v>0</v>
      </c>
      <c r="AW558" s="10">
        <f t="shared" si="729"/>
        <v>0</v>
      </c>
      <c r="AX558" s="10">
        <f t="shared" si="729"/>
        <v>0</v>
      </c>
      <c r="AY558" s="10">
        <f t="shared" si="729"/>
        <v>0</v>
      </c>
      <c r="AZ558" s="10">
        <f t="shared" si="729"/>
        <v>0</v>
      </c>
      <c r="BA558" s="10">
        <f t="shared" si="729"/>
        <v>0</v>
      </c>
      <c r="BB558" s="10">
        <f t="shared" si="729"/>
        <v>0</v>
      </c>
      <c r="BC558" s="10">
        <f t="shared" si="729"/>
        <v>0</v>
      </c>
      <c r="BD558" s="10">
        <f t="shared" si="729"/>
        <v>0</v>
      </c>
      <c r="BE558" s="10">
        <f t="shared" si="729"/>
        <v>0</v>
      </c>
      <c r="BF558" s="10">
        <f t="shared" si="729"/>
        <v>0</v>
      </c>
      <c r="BG558" s="10">
        <f t="shared" si="729"/>
        <v>0</v>
      </c>
      <c r="BH558" s="10">
        <f t="shared" si="729"/>
        <v>0</v>
      </c>
      <c r="BI558" s="10">
        <f t="shared" si="729"/>
        <v>0</v>
      </c>
      <c r="BJ558" s="10">
        <f t="shared" si="729"/>
        <v>0</v>
      </c>
      <c r="BK558" s="67"/>
      <c r="BL558" s="10">
        <f t="shared" ref="BL558:BW558" si="730">BL$286</f>
        <v>0</v>
      </c>
      <c r="BM558" s="10">
        <f t="shared" si="730"/>
        <v>0</v>
      </c>
      <c r="BN558" s="10">
        <f t="shared" si="730"/>
        <v>0</v>
      </c>
      <c r="BO558" s="10">
        <f t="shared" si="730"/>
        <v>0</v>
      </c>
      <c r="BP558" s="10">
        <f t="shared" si="730"/>
        <v>0</v>
      </c>
      <c r="BQ558" s="10">
        <f t="shared" si="730"/>
        <v>0</v>
      </c>
      <c r="BR558" s="10">
        <f t="shared" si="730"/>
        <v>0</v>
      </c>
      <c r="BS558" s="10">
        <f t="shared" si="730"/>
        <v>0</v>
      </c>
      <c r="BT558" s="10">
        <f t="shared" si="730"/>
        <v>0</v>
      </c>
      <c r="BU558" s="10">
        <f t="shared" si="730"/>
        <v>0</v>
      </c>
      <c r="BV558" s="10">
        <f t="shared" si="730"/>
        <v>0</v>
      </c>
      <c r="BW558" s="10">
        <f t="shared" si="730"/>
        <v>0</v>
      </c>
      <c r="BX558" s="67"/>
      <c r="BY558" s="12"/>
      <c r="CA558" s="12"/>
      <c r="CG558" s="67"/>
      <c r="CH558" s="67"/>
      <c r="CI558" s="67"/>
      <c r="CK558" s="67"/>
      <c r="CL558" s="67"/>
      <c r="CR558" s="12"/>
      <c r="EX558" s="10" t="str">
        <f t="shared" si="638"/>
        <v/>
      </c>
    </row>
    <row r="559" spans="1:154" s="5" customFormat="1" x14ac:dyDescent="0.25">
      <c r="A559" s="67"/>
      <c r="B559" s="84" t="str" cm="1">
        <f t="array" aca="1" ref="B559" ca="1">HYPERLINK(CONCATENATE("#",CELL("address",$D$294)),$D$294)</f>
        <v>Loan 14</v>
      </c>
      <c r="C559" s="380"/>
      <c r="D559" s="60">
        <f>D$26</f>
        <v>0</v>
      </c>
      <c r="E559" s="60">
        <f>E$26</f>
        <v>0</v>
      </c>
      <c r="F559" s="67"/>
      <c r="G559" s="9" t="s">
        <v>413</v>
      </c>
      <c r="H559" s="50" t="s">
        <v>125</v>
      </c>
      <c r="I559" s="67"/>
      <c r="J559" s="67"/>
      <c r="K559" s="67"/>
      <c r="L559" s="67"/>
      <c r="M559" s="67"/>
      <c r="N559" s="67"/>
      <c r="O559" s="67"/>
      <c r="P559" s="67"/>
      <c r="Q559" s="67"/>
      <c r="R559" s="67"/>
      <c r="S559" s="335"/>
      <c r="T559" s="335"/>
      <c r="U559" s="335"/>
      <c r="V559" s="201">
        <f>V$305</f>
        <v>0</v>
      </c>
      <c r="W559" s="10">
        <f>W$305</f>
        <v>0</v>
      </c>
      <c r="X559" s="10">
        <f>X$305</f>
        <v>0</v>
      </c>
      <c r="Y559" s="10">
        <f>Y$305</f>
        <v>0</v>
      </c>
      <c r="Z559" s="67"/>
      <c r="AA559" s="10">
        <f t="shared" ref="AA559:BJ559" si="731">AA$305</f>
        <v>0</v>
      </c>
      <c r="AB559" s="10">
        <f t="shared" si="731"/>
        <v>0</v>
      </c>
      <c r="AC559" s="10">
        <f t="shared" si="731"/>
        <v>0</v>
      </c>
      <c r="AD559" s="10">
        <f t="shared" si="731"/>
        <v>0</v>
      </c>
      <c r="AE559" s="10">
        <f t="shared" si="731"/>
        <v>0</v>
      </c>
      <c r="AF559" s="10">
        <f t="shared" si="731"/>
        <v>0</v>
      </c>
      <c r="AG559" s="10">
        <f t="shared" si="731"/>
        <v>0</v>
      </c>
      <c r="AH559" s="10">
        <f t="shared" si="731"/>
        <v>0</v>
      </c>
      <c r="AI559" s="10">
        <f t="shared" si="731"/>
        <v>0</v>
      </c>
      <c r="AJ559" s="10">
        <f t="shared" si="731"/>
        <v>0</v>
      </c>
      <c r="AK559" s="10">
        <f t="shared" si="731"/>
        <v>0</v>
      </c>
      <c r="AL559" s="10">
        <f t="shared" si="731"/>
        <v>0</v>
      </c>
      <c r="AM559" s="10">
        <f t="shared" si="731"/>
        <v>0</v>
      </c>
      <c r="AN559" s="10">
        <f t="shared" si="731"/>
        <v>0</v>
      </c>
      <c r="AO559" s="10">
        <f t="shared" si="731"/>
        <v>0</v>
      </c>
      <c r="AP559" s="10">
        <f t="shared" si="731"/>
        <v>0</v>
      </c>
      <c r="AQ559" s="10">
        <f t="shared" si="731"/>
        <v>0</v>
      </c>
      <c r="AR559" s="10">
        <f t="shared" si="731"/>
        <v>0</v>
      </c>
      <c r="AS559" s="10">
        <f t="shared" si="731"/>
        <v>0</v>
      </c>
      <c r="AT559" s="10">
        <f t="shared" si="731"/>
        <v>0</v>
      </c>
      <c r="AU559" s="10">
        <f t="shared" si="731"/>
        <v>0</v>
      </c>
      <c r="AV559" s="10">
        <f t="shared" si="731"/>
        <v>0</v>
      </c>
      <c r="AW559" s="10">
        <f t="shared" si="731"/>
        <v>0</v>
      </c>
      <c r="AX559" s="10">
        <f t="shared" si="731"/>
        <v>0</v>
      </c>
      <c r="AY559" s="10">
        <f t="shared" si="731"/>
        <v>0</v>
      </c>
      <c r="AZ559" s="10">
        <f t="shared" si="731"/>
        <v>0</v>
      </c>
      <c r="BA559" s="10">
        <f t="shared" si="731"/>
        <v>0</v>
      </c>
      <c r="BB559" s="10">
        <f t="shared" si="731"/>
        <v>0</v>
      </c>
      <c r="BC559" s="10">
        <f t="shared" si="731"/>
        <v>0</v>
      </c>
      <c r="BD559" s="10">
        <f t="shared" si="731"/>
        <v>0</v>
      </c>
      <c r="BE559" s="10">
        <f t="shared" si="731"/>
        <v>0</v>
      </c>
      <c r="BF559" s="10">
        <f t="shared" si="731"/>
        <v>0</v>
      </c>
      <c r="BG559" s="10">
        <f t="shared" si="731"/>
        <v>0</v>
      </c>
      <c r="BH559" s="10">
        <f t="shared" si="731"/>
        <v>0</v>
      </c>
      <c r="BI559" s="10">
        <f t="shared" si="731"/>
        <v>0</v>
      </c>
      <c r="BJ559" s="10">
        <f t="shared" si="731"/>
        <v>0</v>
      </c>
      <c r="BK559" s="67"/>
      <c r="BL559" s="10">
        <f t="shared" ref="BL559:BW559" si="732">BL$305</f>
        <v>0</v>
      </c>
      <c r="BM559" s="10">
        <f t="shared" si="732"/>
        <v>0</v>
      </c>
      <c r="BN559" s="10">
        <f t="shared" si="732"/>
        <v>0</v>
      </c>
      <c r="BO559" s="10">
        <f t="shared" si="732"/>
        <v>0</v>
      </c>
      <c r="BP559" s="10">
        <f t="shared" si="732"/>
        <v>0</v>
      </c>
      <c r="BQ559" s="10">
        <f t="shared" si="732"/>
        <v>0</v>
      </c>
      <c r="BR559" s="10">
        <f t="shared" si="732"/>
        <v>0</v>
      </c>
      <c r="BS559" s="10">
        <f t="shared" si="732"/>
        <v>0</v>
      </c>
      <c r="BT559" s="10">
        <f t="shared" si="732"/>
        <v>0</v>
      </c>
      <c r="BU559" s="10">
        <f t="shared" si="732"/>
        <v>0</v>
      </c>
      <c r="BV559" s="10">
        <f t="shared" si="732"/>
        <v>0</v>
      </c>
      <c r="BW559" s="10">
        <f t="shared" si="732"/>
        <v>0</v>
      </c>
      <c r="BX559" s="67"/>
      <c r="BY559" s="12"/>
      <c r="BZ559" s="335"/>
      <c r="CA559" s="12"/>
      <c r="CB559" s="335"/>
      <c r="CC559" s="335"/>
      <c r="CD559" s="335"/>
      <c r="CE559" s="335"/>
      <c r="CF559" s="67"/>
      <c r="CG559" s="67"/>
      <c r="CH559" s="67"/>
      <c r="CI559" s="67"/>
      <c r="CJ559" s="67"/>
      <c r="CK559" s="67"/>
      <c r="CL559" s="67"/>
      <c r="CM559" s="335"/>
      <c r="CN559" s="335"/>
      <c r="CO559" s="335"/>
      <c r="CP559" s="335"/>
      <c r="CQ559" s="67"/>
      <c r="CR559" s="12"/>
      <c r="EX559" s="10" t="str">
        <f t="shared" si="638"/>
        <v/>
      </c>
    </row>
    <row r="560" spans="1:154" x14ac:dyDescent="0.25">
      <c r="A560" s="67"/>
      <c r="B560" s="84" t="str" cm="1">
        <f t="array" aca="1" ref="B560" ca="1">HYPERLINK(CONCATENATE("#",CELL("address",$D$313)),$D$313)</f>
        <v>Loan 15</v>
      </c>
      <c r="C560" s="380"/>
      <c r="D560" s="60">
        <f>D$27</f>
        <v>0</v>
      </c>
      <c r="E560" s="60">
        <f>E$27</f>
        <v>0</v>
      </c>
      <c r="F560" s="67"/>
      <c r="G560" s="9" t="s">
        <v>413</v>
      </c>
      <c r="H560" s="50" t="s">
        <v>125</v>
      </c>
      <c r="I560" s="67"/>
      <c r="J560" s="67"/>
      <c r="K560" s="67"/>
      <c r="L560" s="67"/>
      <c r="M560" s="67"/>
      <c r="N560" s="67"/>
      <c r="O560" s="67"/>
      <c r="P560" s="67"/>
      <c r="Q560" s="67"/>
      <c r="R560" s="67"/>
      <c r="S560" s="335"/>
      <c r="T560" s="335"/>
      <c r="U560" s="335"/>
      <c r="V560" s="201">
        <f>V$324</f>
        <v>0</v>
      </c>
      <c r="W560" s="10">
        <f>W$324</f>
        <v>0</v>
      </c>
      <c r="X560" s="10">
        <f>X$324</f>
        <v>0</v>
      </c>
      <c r="Y560" s="10">
        <f>Y$324</f>
        <v>0</v>
      </c>
      <c r="Z560" s="67"/>
      <c r="AA560" s="10">
        <f t="shared" ref="AA560:BJ560" si="733">AA$324</f>
        <v>0</v>
      </c>
      <c r="AB560" s="10">
        <f t="shared" si="733"/>
        <v>0</v>
      </c>
      <c r="AC560" s="10">
        <f t="shared" si="733"/>
        <v>0</v>
      </c>
      <c r="AD560" s="10">
        <f t="shared" si="733"/>
        <v>0</v>
      </c>
      <c r="AE560" s="10">
        <f t="shared" si="733"/>
        <v>0</v>
      </c>
      <c r="AF560" s="10">
        <f t="shared" si="733"/>
        <v>0</v>
      </c>
      <c r="AG560" s="10">
        <f t="shared" si="733"/>
        <v>0</v>
      </c>
      <c r="AH560" s="10">
        <f t="shared" si="733"/>
        <v>0</v>
      </c>
      <c r="AI560" s="10">
        <f t="shared" si="733"/>
        <v>0</v>
      </c>
      <c r="AJ560" s="10">
        <f t="shared" si="733"/>
        <v>0</v>
      </c>
      <c r="AK560" s="10">
        <f t="shared" si="733"/>
        <v>0</v>
      </c>
      <c r="AL560" s="10">
        <f t="shared" si="733"/>
        <v>0</v>
      </c>
      <c r="AM560" s="10">
        <f t="shared" si="733"/>
        <v>0</v>
      </c>
      <c r="AN560" s="10">
        <f t="shared" si="733"/>
        <v>0</v>
      </c>
      <c r="AO560" s="10">
        <f t="shared" si="733"/>
        <v>0</v>
      </c>
      <c r="AP560" s="10">
        <f t="shared" si="733"/>
        <v>0</v>
      </c>
      <c r="AQ560" s="10">
        <f t="shared" si="733"/>
        <v>0</v>
      </c>
      <c r="AR560" s="10">
        <f t="shared" si="733"/>
        <v>0</v>
      </c>
      <c r="AS560" s="10">
        <f t="shared" si="733"/>
        <v>0</v>
      </c>
      <c r="AT560" s="10">
        <f t="shared" si="733"/>
        <v>0</v>
      </c>
      <c r="AU560" s="10">
        <f t="shared" si="733"/>
        <v>0</v>
      </c>
      <c r="AV560" s="10">
        <f t="shared" si="733"/>
        <v>0</v>
      </c>
      <c r="AW560" s="10">
        <f t="shared" si="733"/>
        <v>0</v>
      </c>
      <c r="AX560" s="10">
        <f t="shared" si="733"/>
        <v>0</v>
      </c>
      <c r="AY560" s="10">
        <f t="shared" si="733"/>
        <v>0</v>
      </c>
      <c r="AZ560" s="10">
        <f t="shared" si="733"/>
        <v>0</v>
      </c>
      <c r="BA560" s="10">
        <f t="shared" si="733"/>
        <v>0</v>
      </c>
      <c r="BB560" s="10">
        <f t="shared" si="733"/>
        <v>0</v>
      </c>
      <c r="BC560" s="10">
        <f t="shared" si="733"/>
        <v>0</v>
      </c>
      <c r="BD560" s="10">
        <f t="shared" si="733"/>
        <v>0</v>
      </c>
      <c r="BE560" s="10">
        <f t="shared" si="733"/>
        <v>0</v>
      </c>
      <c r="BF560" s="10">
        <f t="shared" si="733"/>
        <v>0</v>
      </c>
      <c r="BG560" s="10">
        <f t="shared" si="733"/>
        <v>0</v>
      </c>
      <c r="BH560" s="10">
        <f t="shared" si="733"/>
        <v>0</v>
      </c>
      <c r="BI560" s="10">
        <f t="shared" si="733"/>
        <v>0</v>
      </c>
      <c r="BJ560" s="10">
        <f t="shared" si="733"/>
        <v>0</v>
      </c>
      <c r="BK560" s="67"/>
      <c r="BL560" s="10">
        <f t="shared" ref="BL560:BW560" si="734">BL$324</f>
        <v>0</v>
      </c>
      <c r="BM560" s="10">
        <f t="shared" si="734"/>
        <v>0</v>
      </c>
      <c r="BN560" s="10">
        <f t="shared" si="734"/>
        <v>0</v>
      </c>
      <c r="BO560" s="10">
        <f t="shared" si="734"/>
        <v>0</v>
      </c>
      <c r="BP560" s="10">
        <f t="shared" si="734"/>
        <v>0</v>
      </c>
      <c r="BQ560" s="10">
        <f t="shared" si="734"/>
        <v>0</v>
      </c>
      <c r="BR560" s="10">
        <f t="shared" si="734"/>
        <v>0</v>
      </c>
      <c r="BS560" s="10">
        <f t="shared" si="734"/>
        <v>0</v>
      </c>
      <c r="BT560" s="10">
        <f t="shared" si="734"/>
        <v>0</v>
      </c>
      <c r="BU560" s="10">
        <f t="shared" si="734"/>
        <v>0</v>
      </c>
      <c r="BV560" s="10">
        <f t="shared" si="734"/>
        <v>0</v>
      </c>
      <c r="BW560" s="10">
        <f t="shared" si="734"/>
        <v>0</v>
      </c>
      <c r="BX560" s="67"/>
      <c r="BY560" s="12"/>
      <c r="CA560" s="12"/>
      <c r="CG560" s="67"/>
      <c r="CH560" s="67"/>
      <c r="CI560" s="67"/>
      <c r="CK560" s="67"/>
      <c r="CL560" s="67"/>
      <c r="CR560" s="12"/>
      <c r="EX560" s="10" t="str">
        <f t="shared" si="638"/>
        <v/>
      </c>
    </row>
    <row r="561" spans="1:154" x14ac:dyDescent="0.25">
      <c r="A561" s="67"/>
      <c r="B561" s="84" t="str" cm="1">
        <f t="array" aca="1" ref="B561" ca="1">HYPERLINK(CONCATENATE("#",CELL("address",$D$332)),$D$332)</f>
        <v>Loan 16</v>
      </c>
      <c r="C561" s="380"/>
      <c r="D561" s="60">
        <f>D$28</f>
        <v>0</v>
      </c>
      <c r="E561" s="60">
        <f>E$28</f>
        <v>0</v>
      </c>
      <c r="F561" s="67"/>
      <c r="G561" s="9" t="s">
        <v>413</v>
      </c>
      <c r="H561" s="50" t="s">
        <v>125</v>
      </c>
      <c r="I561" s="67"/>
      <c r="J561" s="67"/>
      <c r="K561" s="67"/>
      <c r="L561" s="67"/>
      <c r="M561" s="67"/>
      <c r="N561" s="67"/>
      <c r="O561" s="67"/>
      <c r="P561" s="67"/>
      <c r="Q561" s="67"/>
      <c r="R561" s="67"/>
      <c r="S561" s="335"/>
      <c r="T561" s="335"/>
      <c r="U561" s="335"/>
      <c r="V561" s="201">
        <f>V$343</f>
        <v>0</v>
      </c>
      <c r="W561" s="10">
        <f>W$343</f>
        <v>0</v>
      </c>
      <c r="X561" s="10">
        <f>X$343</f>
        <v>0</v>
      </c>
      <c r="Y561" s="10">
        <f>Y$343</f>
        <v>0</v>
      </c>
      <c r="Z561" s="67"/>
      <c r="AA561" s="10">
        <f t="shared" ref="AA561:BJ561" si="735">AA$343</f>
        <v>0</v>
      </c>
      <c r="AB561" s="10">
        <f t="shared" si="735"/>
        <v>0</v>
      </c>
      <c r="AC561" s="10">
        <f t="shared" si="735"/>
        <v>0</v>
      </c>
      <c r="AD561" s="10">
        <f t="shared" si="735"/>
        <v>0</v>
      </c>
      <c r="AE561" s="10">
        <f t="shared" si="735"/>
        <v>0</v>
      </c>
      <c r="AF561" s="10">
        <f t="shared" si="735"/>
        <v>0</v>
      </c>
      <c r="AG561" s="10">
        <f t="shared" si="735"/>
        <v>0</v>
      </c>
      <c r="AH561" s="10">
        <f t="shared" si="735"/>
        <v>0</v>
      </c>
      <c r="AI561" s="10">
        <f t="shared" si="735"/>
        <v>0</v>
      </c>
      <c r="AJ561" s="10">
        <f t="shared" si="735"/>
        <v>0</v>
      </c>
      <c r="AK561" s="10">
        <f t="shared" si="735"/>
        <v>0</v>
      </c>
      <c r="AL561" s="10">
        <f t="shared" si="735"/>
        <v>0</v>
      </c>
      <c r="AM561" s="10">
        <f t="shared" si="735"/>
        <v>0</v>
      </c>
      <c r="AN561" s="10">
        <f t="shared" si="735"/>
        <v>0</v>
      </c>
      <c r="AO561" s="10">
        <f t="shared" si="735"/>
        <v>0</v>
      </c>
      <c r="AP561" s="10">
        <f t="shared" si="735"/>
        <v>0</v>
      </c>
      <c r="AQ561" s="10">
        <f t="shared" si="735"/>
        <v>0</v>
      </c>
      <c r="AR561" s="10">
        <f t="shared" si="735"/>
        <v>0</v>
      </c>
      <c r="AS561" s="10">
        <f t="shared" si="735"/>
        <v>0</v>
      </c>
      <c r="AT561" s="10">
        <f t="shared" si="735"/>
        <v>0</v>
      </c>
      <c r="AU561" s="10">
        <f t="shared" si="735"/>
        <v>0</v>
      </c>
      <c r="AV561" s="10">
        <f t="shared" si="735"/>
        <v>0</v>
      </c>
      <c r="AW561" s="10">
        <f t="shared" si="735"/>
        <v>0</v>
      </c>
      <c r="AX561" s="10">
        <f t="shared" si="735"/>
        <v>0</v>
      </c>
      <c r="AY561" s="10">
        <f t="shared" si="735"/>
        <v>0</v>
      </c>
      <c r="AZ561" s="10">
        <f t="shared" si="735"/>
        <v>0</v>
      </c>
      <c r="BA561" s="10">
        <f t="shared" si="735"/>
        <v>0</v>
      </c>
      <c r="BB561" s="10">
        <f t="shared" si="735"/>
        <v>0</v>
      </c>
      <c r="BC561" s="10">
        <f t="shared" si="735"/>
        <v>0</v>
      </c>
      <c r="BD561" s="10">
        <f t="shared" si="735"/>
        <v>0</v>
      </c>
      <c r="BE561" s="10">
        <f t="shared" si="735"/>
        <v>0</v>
      </c>
      <c r="BF561" s="10">
        <f t="shared" si="735"/>
        <v>0</v>
      </c>
      <c r="BG561" s="10">
        <f t="shared" si="735"/>
        <v>0</v>
      </c>
      <c r="BH561" s="10">
        <f t="shared" si="735"/>
        <v>0</v>
      </c>
      <c r="BI561" s="10">
        <f t="shared" si="735"/>
        <v>0</v>
      </c>
      <c r="BJ561" s="10">
        <f t="shared" si="735"/>
        <v>0</v>
      </c>
      <c r="BK561" s="67"/>
      <c r="BL561" s="10">
        <f t="shared" ref="BL561:BW561" si="736">BL$343</f>
        <v>0</v>
      </c>
      <c r="BM561" s="10">
        <f t="shared" si="736"/>
        <v>0</v>
      </c>
      <c r="BN561" s="10">
        <f t="shared" si="736"/>
        <v>0</v>
      </c>
      <c r="BO561" s="10">
        <f t="shared" si="736"/>
        <v>0</v>
      </c>
      <c r="BP561" s="10">
        <f t="shared" si="736"/>
        <v>0</v>
      </c>
      <c r="BQ561" s="10">
        <f t="shared" si="736"/>
        <v>0</v>
      </c>
      <c r="BR561" s="10">
        <f t="shared" si="736"/>
        <v>0</v>
      </c>
      <c r="BS561" s="10">
        <f t="shared" si="736"/>
        <v>0</v>
      </c>
      <c r="BT561" s="10">
        <f t="shared" si="736"/>
        <v>0</v>
      </c>
      <c r="BU561" s="10">
        <f t="shared" si="736"/>
        <v>0</v>
      </c>
      <c r="BV561" s="10">
        <f t="shared" si="736"/>
        <v>0</v>
      </c>
      <c r="BW561" s="10">
        <f t="shared" si="736"/>
        <v>0</v>
      </c>
      <c r="BX561" s="67"/>
      <c r="BY561" s="12"/>
      <c r="CA561" s="12"/>
      <c r="CG561" s="67"/>
      <c r="CH561" s="67"/>
      <c r="CI561" s="67"/>
      <c r="CK561" s="67"/>
      <c r="CL561" s="67"/>
      <c r="CR561" s="12"/>
      <c r="EX561" s="10" t="str">
        <f t="shared" si="638"/>
        <v/>
      </c>
    </row>
    <row r="562" spans="1:154" x14ac:dyDescent="0.25">
      <c r="A562" s="67"/>
      <c r="B562" s="84" t="str" cm="1">
        <f t="array" aca="1" ref="B562" ca="1">HYPERLINK(CONCATENATE("#",CELL("address",$D$351)),$D$351)</f>
        <v>Loan 17</v>
      </c>
      <c r="C562" s="380"/>
      <c r="D562" s="60">
        <f>D$29</f>
        <v>0</v>
      </c>
      <c r="E562" s="60">
        <f>E$29</f>
        <v>0</v>
      </c>
      <c r="F562" s="67"/>
      <c r="G562" s="9" t="s">
        <v>413</v>
      </c>
      <c r="H562" s="50" t="s">
        <v>125</v>
      </c>
      <c r="I562" s="67"/>
      <c r="J562" s="67"/>
      <c r="K562" s="67"/>
      <c r="L562" s="67"/>
      <c r="M562" s="67"/>
      <c r="N562" s="67"/>
      <c r="O562" s="67"/>
      <c r="P562" s="67"/>
      <c r="Q562" s="67"/>
      <c r="R562" s="67"/>
      <c r="S562" s="335"/>
      <c r="T562" s="335"/>
      <c r="U562" s="335"/>
      <c r="V562" s="201">
        <f>V$362</f>
        <v>0</v>
      </c>
      <c r="W562" s="10">
        <f>W$362</f>
        <v>0</v>
      </c>
      <c r="X562" s="10">
        <f>X$362</f>
        <v>0</v>
      </c>
      <c r="Y562" s="10">
        <f>Y$362</f>
        <v>0</v>
      </c>
      <c r="Z562" s="67"/>
      <c r="AA562" s="10">
        <f t="shared" ref="AA562:BJ562" si="737">AA$362</f>
        <v>0</v>
      </c>
      <c r="AB562" s="10">
        <f t="shared" si="737"/>
        <v>0</v>
      </c>
      <c r="AC562" s="10">
        <f t="shared" si="737"/>
        <v>0</v>
      </c>
      <c r="AD562" s="10">
        <f t="shared" si="737"/>
        <v>0</v>
      </c>
      <c r="AE562" s="10">
        <f t="shared" si="737"/>
        <v>0</v>
      </c>
      <c r="AF562" s="10">
        <f t="shared" si="737"/>
        <v>0</v>
      </c>
      <c r="AG562" s="10">
        <f t="shared" si="737"/>
        <v>0</v>
      </c>
      <c r="AH562" s="10">
        <f t="shared" si="737"/>
        <v>0</v>
      </c>
      <c r="AI562" s="10">
        <f t="shared" si="737"/>
        <v>0</v>
      </c>
      <c r="AJ562" s="10">
        <f t="shared" si="737"/>
        <v>0</v>
      </c>
      <c r="AK562" s="10">
        <f t="shared" si="737"/>
        <v>0</v>
      </c>
      <c r="AL562" s="10">
        <f t="shared" si="737"/>
        <v>0</v>
      </c>
      <c r="AM562" s="10">
        <f t="shared" si="737"/>
        <v>0</v>
      </c>
      <c r="AN562" s="10">
        <f t="shared" si="737"/>
        <v>0</v>
      </c>
      <c r="AO562" s="10">
        <f t="shared" si="737"/>
        <v>0</v>
      </c>
      <c r="AP562" s="10">
        <f t="shared" si="737"/>
        <v>0</v>
      </c>
      <c r="AQ562" s="10">
        <f t="shared" si="737"/>
        <v>0</v>
      </c>
      <c r="AR562" s="10">
        <f t="shared" si="737"/>
        <v>0</v>
      </c>
      <c r="AS562" s="10">
        <f t="shared" si="737"/>
        <v>0</v>
      </c>
      <c r="AT562" s="10">
        <f t="shared" si="737"/>
        <v>0</v>
      </c>
      <c r="AU562" s="10">
        <f t="shared" si="737"/>
        <v>0</v>
      </c>
      <c r="AV562" s="10">
        <f t="shared" si="737"/>
        <v>0</v>
      </c>
      <c r="AW562" s="10">
        <f t="shared" si="737"/>
        <v>0</v>
      </c>
      <c r="AX562" s="10">
        <f t="shared" si="737"/>
        <v>0</v>
      </c>
      <c r="AY562" s="10">
        <f t="shared" si="737"/>
        <v>0</v>
      </c>
      <c r="AZ562" s="10">
        <f t="shared" si="737"/>
        <v>0</v>
      </c>
      <c r="BA562" s="10">
        <f t="shared" si="737"/>
        <v>0</v>
      </c>
      <c r="BB562" s="10">
        <f t="shared" si="737"/>
        <v>0</v>
      </c>
      <c r="BC562" s="10">
        <f t="shared" si="737"/>
        <v>0</v>
      </c>
      <c r="BD562" s="10">
        <f t="shared" si="737"/>
        <v>0</v>
      </c>
      <c r="BE562" s="10">
        <f t="shared" si="737"/>
        <v>0</v>
      </c>
      <c r="BF562" s="10">
        <f t="shared" si="737"/>
        <v>0</v>
      </c>
      <c r="BG562" s="10">
        <f t="shared" si="737"/>
        <v>0</v>
      </c>
      <c r="BH562" s="10">
        <f t="shared" si="737"/>
        <v>0</v>
      </c>
      <c r="BI562" s="10">
        <f t="shared" si="737"/>
        <v>0</v>
      </c>
      <c r="BJ562" s="10">
        <f t="shared" si="737"/>
        <v>0</v>
      </c>
      <c r="BK562" s="67"/>
      <c r="BL562" s="10">
        <f t="shared" ref="BL562:BW562" si="738">BL$362</f>
        <v>0</v>
      </c>
      <c r="BM562" s="10">
        <f t="shared" si="738"/>
        <v>0</v>
      </c>
      <c r="BN562" s="10">
        <f t="shared" si="738"/>
        <v>0</v>
      </c>
      <c r="BO562" s="10">
        <f t="shared" si="738"/>
        <v>0</v>
      </c>
      <c r="BP562" s="10">
        <f t="shared" si="738"/>
        <v>0</v>
      </c>
      <c r="BQ562" s="10">
        <f t="shared" si="738"/>
        <v>0</v>
      </c>
      <c r="BR562" s="10">
        <f t="shared" si="738"/>
        <v>0</v>
      </c>
      <c r="BS562" s="10">
        <f t="shared" si="738"/>
        <v>0</v>
      </c>
      <c r="BT562" s="10">
        <f t="shared" si="738"/>
        <v>0</v>
      </c>
      <c r="BU562" s="10">
        <f t="shared" si="738"/>
        <v>0</v>
      </c>
      <c r="BV562" s="10">
        <f t="shared" si="738"/>
        <v>0</v>
      </c>
      <c r="BW562" s="10">
        <f t="shared" si="738"/>
        <v>0</v>
      </c>
      <c r="BX562" s="67"/>
      <c r="BY562" s="12"/>
      <c r="CA562" s="12"/>
      <c r="CG562" s="67"/>
      <c r="CH562" s="67"/>
      <c r="CI562" s="67"/>
      <c r="CK562" s="67"/>
      <c r="CL562" s="67"/>
      <c r="CR562" s="12"/>
      <c r="EX562" s="10" t="str">
        <f t="shared" si="638"/>
        <v/>
      </c>
    </row>
    <row r="563" spans="1:154" x14ac:dyDescent="0.25">
      <c r="A563" s="67"/>
      <c r="B563" s="84" t="str" cm="1">
        <f t="array" aca="1" ref="B563" ca="1">HYPERLINK(CONCATENATE("#",CELL("address",$D$370)),$D$370)</f>
        <v>Loan 18</v>
      </c>
      <c r="C563" s="380"/>
      <c r="D563" s="60">
        <f>D$30</f>
        <v>0</v>
      </c>
      <c r="E563" s="60">
        <f>E$30</f>
        <v>0</v>
      </c>
      <c r="F563" s="67"/>
      <c r="G563" s="9" t="s">
        <v>413</v>
      </c>
      <c r="H563" s="50" t="s">
        <v>125</v>
      </c>
      <c r="I563" s="67"/>
      <c r="J563" s="67"/>
      <c r="K563" s="67"/>
      <c r="L563" s="67"/>
      <c r="M563" s="67"/>
      <c r="N563" s="67"/>
      <c r="O563" s="67"/>
      <c r="P563" s="67"/>
      <c r="Q563" s="67"/>
      <c r="R563" s="67"/>
      <c r="S563" s="335"/>
      <c r="T563" s="335"/>
      <c r="U563" s="335"/>
      <c r="V563" s="201">
        <f>V$381</f>
        <v>0</v>
      </c>
      <c r="W563" s="10">
        <f>W$381</f>
        <v>0</v>
      </c>
      <c r="X563" s="10">
        <f>X$381</f>
        <v>0</v>
      </c>
      <c r="Y563" s="10">
        <f>Y$381</f>
        <v>0</v>
      </c>
      <c r="Z563" s="67"/>
      <c r="AA563" s="10">
        <f t="shared" ref="AA563:BJ563" si="739">AA$381</f>
        <v>0</v>
      </c>
      <c r="AB563" s="10">
        <f t="shared" si="739"/>
        <v>0</v>
      </c>
      <c r="AC563" s="10">
        <f t="shared" si="739"/>
        <v>0</v>
      </c>
      <c r="AD563" s="10">
        <f t="shared" si="739"/>
        <v>0</v>
      </c>
      <c r="AE563" s="10">
        <f t="shared" si="739"/>
        <v>0</v>
      </c>
      <c r="AF563" s="10">
        <f t="shared" si="739"/>
        <v>0</v>
      </c>
      <c r="AG563" s="10">
        <f t="shared" si="739"/>
        <v>0</v>
      </c>
      <c r="AH563" s="10">
        <f t="shared" si="739"/>
        <v>0</v>
      </c>
      <c r="AI563" s="10">
        <f t="shared" si="739"/>
        <v>0</v>
      </c>
      <c r="AJ563" s="10">
        <f t="shared" si="739"/>
        <v>0</v>
      </c>
      <c r="AK563" s="10">
        <f t="shared" si="739"/>
        <v>0</v>
      </c>
      <c r="AL563" s="10">
        <f t="shared" si="739"/>
        <v>0</v>
      </c>
      <c r="AM563" s="10">
        <f t="shared" si="739"/>
        <v>0</v>
      </c>
      <c r="AN563" s="10">
        <f t="shared" si="739"/>
        <v>0</v>
      </c>
      <c r="AO563" s="10">
        <f t="shared" si="739"/>
        <v>0</v>
      </c>
      <c r="AP563" s="10">
        <f t="shared" si="739"/>
        <v>0</v>
      </c>
      <c r="AQ563" s="10">
        <f t="shared" si="739"/>
        <v>0</v>
      </c>
      <c r="AR563" s="10">
        <f t="shared" si="739"/>
        <v>0</v>
      </c>
      <c r="AS563" s="10">
        <f t="shared" si="739"/>
        <v>0</v>
      </c>
      <c r="AT563" s="10">
        <f t="shared" si="739"/>
        <v>0</v>
      </c>
      <c r="AU563" s="10">
        <f t="shared" si="739"/>
        <v>0</v>
      </c>
      <c r="AV563" s="10">
        <f t="shared" si="739"/>
        <v>0</v>
      </c>
      <c r="AW563" s="10">
        <f t="shared" si="739"/>
        <v>0</v>
      </c>
      <c r="AX563" s="10">
        <f t="shared" si="739"/>
        <v>0</v>
      </c>
      <c r="AY563" s="10">
        <f t="shared" si="739"/>
        <v>0</v>
      </c>
      <c r="AZ563" s="10">
        <f t="shared" si="739"/>
        <v>0</v>
      </c>
      <c r="BA563" s="10">
        <f t="shared" si="739"/>
        <v>0</v>
      </c>
      <c r="BB563" s="10">
        <f t="shared" si="739"/>
        <v>0</v>
      </c>
      <c r="BC563" s="10">
        <f t="shared" si="739"/>
        <v>0</v>
      </c>
      <c r="BD563" s="10">
        <f t="shared" si="739"/>
        <v>0</v>
      </c>
      <c r="BE563" s="10">
        <f t="shared" si="739"/>
        <v>0</v>
      </c>
      <c r="BF563" s="10">
        <f t="shared" si="739"/>
        <v>0</v>
      </c>
      <c r="BG563" s="10">
        <f t="shared" si="739"/>
        <v>0</v>
      </c>
      <c r="BH563" s="10">
        <f t="shared" si="739"/>
        <v>0</v>
      </c>
      <c r="BI563" s="10">
        <f t="shared" si="739"/>
        <v>0</v>
      </c>
      <c r="BJ563" s="10">
        <f t="shared" si="739"/>
        <v>0</v>
      </c>
      <c r="BK563" s="67"/>
      <c r="BL563" s="10">
        <f t="shared" ref="BL563:BW563" si="740">BL$381</f>
        <v>0</v>
      </c>
      <c r="BM563" s="10">
        <f t="shared" si="740"/>
        <v>0</v>
      </c>
      <c r="BN563" s="10">
        <f t="shared" si="740"/>
        <v>0</v>
      </c>
      <c r="BO563" s="10">
        <f t="shared" si="740"/>
        <v>0</v>
      </c>
      <c r="BP563" s="10">
        <f t="shared" si="740"/>
        <v>0</v>
      </c>
      <c r="BQ563" s="10">
        <f t="shared" si="740"/>
        <v>0</v>
      </c>
      <c r="BR563" s="10">
        <f t="shared" si="740"/>
        <v>0</v>
      </c>
      <c r="BS563" s="10">
        <f t="shared" si="740"/>
        <v>0</v>
      </c>
      <c r="BT563" s="10">
        <f t="shared" si="740"/>
        <v>0</v>
      </c>
      <c r="BU563" s="10">
        <f t="shared" si="740"/>
        <v>0</v>
      </c>
      <c r="BV563" s="10">
        <f t="shared" si="740"/>
        <v>0</v>
      </c>
      <c r="BW563" s="10">
        <f t="shared" si="740"/>
        <v>0</v>
      </c>
      <c r="BX563" s="67"/>
      <c r="BY563" s="12"/>
      <c r="CA563" s="12"/>
      <c r="CG563" s="67"/>
      <c r="CH563" s="67"/>
      <c r="CI563" s="67"/>
      <c r="CK563" s="67"/>
      <c r="CL563" s="67"/>
      <c r="CR563" s="12"/>
      <c r="EX563" s="10" t="str">
        <f t="shared" si="638"/>
        <v/>
      </c>
    </row>
    <row r="564" spans="1:154" x14ac:dyDescent="0.25">
      <c r="A564" s="67"/>
      <c r="B564" s="84" t="str" cm="1">
        <f t="array" aca="1" ref="B564" ca="1">HYPERLINK(CONCATENATE("#",CELL("address",$D$389)),$D$389)</f>
        <v>Loan 19</v>
      </c>
      <c r="C564" s="380"/>
      <c r="D564" s="60">
        <f>D$31</f>
        <v>0</v>
      </c>
      <c r="E564" s="60">
        <f>E$31</f>
        <v>0</v>
      </c>
      <c r="F564" s="67"/>
      <c r="G564" s="9" t="s">
        <v>413</v>
      </c>
      <c r="H564" s="50" t="s">
        <v>125</v>
      </c>
      <c r="I564" s="67"/>
      <c r="J564" s="67"/>
      <c r="K564" s="67"/>
      <c r="L564" s="67"/>
      <c r="M564" s="67"/>
      <c r="N564" s="67"/>
      <c r="O564" s="67"/>
      <c r="P564" s="67"/>
      <c r="Q564" s="67"/>
      <c r="R564" s="67"/>
      <c r="S564" s="335"/>
      <c r="T564" s="335"/>
      <c r="U564" s="335"/>
      <c r="V564" s="201">
        <f>V$400</f>
        <v>0</v>
      </c>
      <c r="W564" s="10">
        <f>W$400</f>
        <v>0</v>
      </c>
      <c r="X564" s="10">
        <f>X$400</f>
        <v>0</v>
      </c>
      <c r="Y564" s="10">
        <f>Y$400</f>
        <v>0</v>
      </c>
      <c r="Z564" s="67"/>
      <c r="AA564" s="10">
        <f t="shared" ref="AA564:BJ564" si="741">AA$400</f>
        <v>0</v>
      </c>
      <c r="AB564" s="10">
        <f t="shared" si="741"/>
        <v>0</v>
      </c>
      <c r="AC564" s="10">
        <f t="shared" si="741"/>
        <v>0</v>
      </c>
      <c r="AD564" s="10">
        <f t="shared" si="741"/>
        <v>0</v>
      </c>
      <c r="AE564" s="10">
        <f t="shared" si="741"/>
        <v>0</v>
      </c>
      <c r="AF564" s="10">
        <f t="shared" si="741"/>
        <v>0</v>
      </c>
      <c r="AG564" s="10">
        <f t="shared" si="741"/>
        <v>0</v>
      </c>
      <c r="AH564" s="10">
        <f t="shared" si="741"/>
        <v>0</v>
      </c>
      <c r="AI564" s="10">
        <f t="shared" si="741"/>
        <v>0</v>
      </c>
      <c r="AJ564" s="10">
        <f t="shared" si="741"/>
        <v>0</v>
      </c>
      <c r="AK564" s="10">
        <f t="shared" si="741"/>
        <v>0</v>
      </c>
      <c r="AL564" s="10">
        <f t="shared" si="741"/>
        <v>0</v>
      </c>
      <c r="AM564" s="10">
        <f t="shared" si="741"/>
        <v>0</v>
      </c>
      <c r="AN564" s="10">
        <f t="shared" si="741"/>
        <v>0</v>
      </c>
      <c r="AO564" s="10">
        <f t="shared" si="741"/>
        <v>0</v>
      </c>
      <c r="AP564" s="10">
        <f t="shared" si="741"/>
        <v>0</v>
      </c>
      <c r="AQ564" s="10">
        <f t="shared" si="741"/>
        <v>0</v>
      </c>
      <c r="AR564" s="10">
        <f t="shared" si="741"/>
        <v>0</v>
      </c>
      <c r="AS564" s="10">
        <f t="shared" si="741"/>
        <v>0</v>
      </c>
      <c r="AT564" s="10">
        <f t="shared" si="741"/>
        <v>0</v>
      </c>
      <c r="AU564" s="10">
        <f t="shared" si="741"/>
        <v>0</v>
      </c>
      <c r="AV564" s="10">
        <f t="shared" si="741"/>
        <v>0</v>
      </c>
      <c r="AW564" s="10">
        <f t="shared" si="741"/>
        <v>0</v>
      </c>
      <c r="AX564" s="10">
        <f t="shared" si="741"/>
        <v>0</v>
      </c>
      <c r="AY564" s="10">
        <f t="shared" si="741"/>
        <v>0</v>
      </c>
      <c r="AZ564" s="10">
        <f t="shared" si="741"/>
        <v>0</v>
      </c>
      <c r="BA564" s="10">
        <f t="shared" si="741"/>
        <v>0</v>
      </c>
      <c r="BB564" s="10">
        <f t="shared" si="741"/>
        <v>0</v>
      </c>
      <c r="BC564" s="10">
        <f t="shared" si="741"/>
        <v>0</v>
      </c>
      <c r="BD564" s="10">
        <f t="shared" si="741"/>
        <v>0</v>
      </c>
      <c r="BE564" s="10">
        <f t="shared" si="741"/>
        <v>0</v>
      </c>
      <c r="BF564" s="10">
        <f t="shared" si="741"/>
        <v>0</v>
      </c>
      <c r="BG564" s="10">
        <f t="shared" si="741"/>
        <v>0</v>
      </c>
      <c r="BH564" s="10">
        <f t="shared" si="741"/>
        <v>0</v>
      </c>
      <c r="BI564" s="10">
        <f t="shared" si="741"/>
        <v>0</v>
      </c>
      <c r="BJ564" s="10">
        <f t="shared" si="741"/>
        <v>0</v>
      </c>
      <c r="BK564" s="67"/>
      <c r="BL564" s="10">
        <f t="shared" ref="BL564:BW564" si="742">BL$400</f>
        <v>0</v>
      </c>
      <c r="BM564" s="10">
        <f t="shared" si="742"/>
        <v>0</v>
      </c>
      <c r="BN564" s="10">
        <f t="shared" si="742"/>
        <v>0</v>
      </c>
      <c r="BO564" s="10">
        <f t="shared" si="742"/>
        <v>0</v>
      </c>
      <c r="BP564" s="10">
        <f t="shared" si="742"/>
        <v>0</v>
      </c>
      <c r="BQ564" s="10">
        <f t="shared" si="742"/>
        <v>0</v>
      </c>
      <c r="BR564" s="10">
        <f t="shared" si="742"/>
        <v>0</v>
      </c>
      <c r="BS564" s="10">
        <f t="shared" si="742"/>
        <v>0</v>
      </c>
      <c r="BT564" s="10">
        <f t="shared" si="742"/>
        <v>0</v>
      </c>
      <c r="BU564" s="10">
        <f t="shared" si="742"/>
        <v>0</v>
      </c>
      <c r="BV564" s="10">
        <f t="shared" si="742"/>
        <v>0</v>
      </c>
      <c r="BW564" s="10">
        <f t="shared" si="742"/>
        <v>0</v>
      </c>
      <c r="BX564" s="67"/>
      <c r="BY564" s="12"/>
      <c r="CA564" s="12"/>
      <c r="CG564" s="67"/>
      <c r="CH564" s="67"/>
      <c r="CI564" s="67"/>
      <c r="CK564" s="67"/>
      <c r="CL564" s="67"/>
      <c r="CR564" s="12"/>
      <c r="EX564" s="10" t="str">
        <f t="shared" si="638"/>
        <v/>
      </c>
    </row>
    <row r="565" spans="1:154" x14ac:dyDescent="0.25">
      <c r="A565" s="67"/>
      <c r="B565" s="84" t="str" cm="1">
        <f t="array" aca="1" ref="B565" ca="1">HYPERLINK(CONCATENATE("#",CELL("address",$D$408)),$D$408)</f>
        <v>Loan 20</v>
      </c>
      <c r="C565" s="380"/>
      <c r="D565" s="60">
        <f>D$32</f>
        <v>0</v>
      </c>
      <c r="E565" s="60">
        <f>E$32</f>
        <v>0</v>
      </c>
      <c r="F565" s="67"/>
      <c r="G565" s="9" t="s">
        <v>413</v>
      </c>
      <c r="H565" s="50" t="s">
        <v>125</v>
      </c>
      <c r="I565" s="67"/>
      <c r="J565" s="67"/>
      <c r="K565" s="67"/>
      <c r="L565" s="67"/>
      <c r="M565" s="67"/>
      <c r="N565" s="67"/>
      <c r="O565" s="67"/>
      <c r="P565" s="67"/>
      <c r="Q565" s="67"/>
      <c r="R565" s="67"/>
      <c r="S565" s="335"/>
      <c r="T565" s="335"/>
      <c r="U565" s="335"/>
      <c r="V565" s="201">
        <f>V$419</f>
        <v>0</v>
      </c>
      <c r="W565" s="10">
        <f>W$419</f>
        <v>0</v>
      </c>
      <c r="X565" s="10">
        <f>X$419</f>
        <v>0</v>
      </c>
      <c r="Y565" s="10">
        <f>Y$419</f>
        <v>0</v>
      </c>
      <c r="Z565" s="67"/>
      <c r="AA565" s="10">
        <f t="shared" ref="AA565:BJ565" si="743">AA$419</f>
        <v>0</v>
      </c>
      <c r="AB565" s="10">
        <f t="shared" si="743"/>
        <v>0</v>
      </c>
      <c r="AC565" s="10">
        <f t="shared" si="743"/>
        <v>0</v>
      </c>
      <c r="AD565" s="10">
        <f t="shared" si="743"/>
        <v>0</v>
      </c>
      <c r="AE565" s="10">
        <f t="shared" si="743"/>
        <v>0</v>
      </c>
      <c r="AF565" s="10">
        <f t="shared" si="743"/>
        <v>0</v>
      </c>
      <c r="AG565" s="10">
        <f t="shared" si="743"/>
        <v>0</v>
      </c>
      <c r="AH565" s="10">
        <f t="shared" si="743"/>
        <v>0</v>
      </c>
      <c r="AI565" s="10">
        <f t="shared" si="743"/>
        <v>0</v>
      </c>
      <c r="AJ565" s="10">
        <f t="shared" si="743"/>
        <v>0</v>
      </c>
      <c r="AK565" s="10">
        <f t="shared" si="743"/>
        <v>0</v>
      </c>
      <c r="AL565" s="10">
        <f t="shared" si="743"/>
        <v>0</v>
      </c>
      <c r="AM565" s="10">
        <f t="shared" si="743"/>
        <v>0</v>
      </c>
      <c r="AN565" s="10">
        <f t="shared" si="743"/>
        <v>0</v>
      </c>
      <c r="AO565" s="10">
        <f t="shared" si="743"/>
        <v>0</v>
      </c>
      <c r="AP565" s="10">
        <f t="shared" si="743"/>
        <v>0</v>
      </c>
      <c r="AQ565" s="10">
        <f t="shared" si="743"/>
        <v>0</v>
      </c>
      <c r="AR565" s="10">
        <f t="shared" si="743"/>
        <v>0</v>
      </c>
      <c r="AS565" s="10">
        <f t="shared" si="743"/>
        <v>0</v>
      </c>
      <c r="AT565" s="10">
        <f t="shared" si="743"/>
        <v>0</v>
      </c>
      <c r="AU565" s="10">
        <f t="shared" si="743"/>
        <v>0</v>
      </c>
      <c r="AV565" s="10">
        <f t="shared" si="743"/>
        <v>0</v>
      </c>
      <c r="AW565" s="10">
        <f t="shared" si="743"/>
        <v>0</v>
      </c>
      <c r="AX565" s="10">
        <f t="shared" si="743"/>
        <v>0</v>
      </c>
      <c r="AY565" s="10">
        <f t="shared" si="743"/>
        <v>0</v>
      </c>
      <c r="AZ565" s="10">
        <f t="shared" si="743"/>
        <v>0</v>
      </c>
      <c r="BA565" s="10">
        <f t="shared" si="743"/>
        <v>0</v>
      </c>
      <c r="BB565" s="10">
        <f t="shared" si="743"/>
        <v>0</v>
      </c>
      <c r="BC565" s="10">
        <f t="shared" si="743"/>
        <v>0</v>
      </c>
      <c r="BD565" s="10">
        <f t="shared" si="743"/>
        <v>0</v>
      </c>
      <c r="BE565" s="10">
        <f t="shared" si="743"/>
        <v>0</v>
      </c>
      <c r="BF565" s="10">
        <f t="shared" si="743"/>
        <v>0</v>
      </c>
      <c r="BG565" s="10">
        <f t="shared" si="743"/>
        <v>0</v>
      </c>
      <c r="BH565" s="10">
        <f t="shared" si="743"/>
        <v>0</v>
      </c>
      <c r="BI565" s="10">
        <f t="shared" si="743"/>
        <v>0</v>
      </c>
      <c r="BJ565" s="10">
        <f t="shared" si="743"/>
        <v>0</v>
      </c>
      <c r="BK565" s="67"/>
      <c r="BL565" s="10">
        <f t="shared" ref="BL565:BW565" si="744">BL$419</f>
        <v>0</v>
      </c>
      <c r="BM565" s="10">
        <f t="shared" si="744"/>
        <v>0</v>
      </c>
      <c r="BN565" s="10">
        <f t="shared" si="744"/>
        <v>0</v>
      </c>
      <c r="BO565" s="10">
        <f t="shared" si="744"/>
        <v>0</v>
      </c>
      <c r="BP565" s="10">
        <f t="shared" si="744"/>
        <v>0</v>
      </c>
      <c r="BQ565" s="10">
        <f t="shared" si="744"/>
        <v>0</v>
      </c>
      <c r="BR565" s="10">
        <f t="shared" si="744"/>
        <v>0</v>
      </c>
      <c r="BS565" s="10">
        <f t="shared" si="744"/>
        <v>0</v>
      </c>
      <c r="BT565" s="10">
        <f t="shared" si="744"/>
        <v>0</v>
      </c>
      <c r="BU565" s="10">
        <f t="shared" si="744"/>
        <v>0</v>
      </c>
      <c r="BV565" s="10">
        <f t="shared" si="744"/>
        <v>0</v>
      </c>
      <c r="BW565" s="10">
        <f t="shared" si="744"/>
        <v>0</v>
      </c>
      <c r="BX565" s="67"/>
      <c r="BY565" s="12"/>
      <c r="CA565" s="12"/>
      <c r="CG565" s="67"/>
      <c r="CH565" s="67"/>
      <c r="CI565" s="67"/>
      <c r="CK565" s="67"/>
      <c r="CL565" s="67"/>
      <c r="CR565" s="12"/>
      <c r="EX565" s="10" t="str">
        <f t="shared" si="638"/>
        <v/>
      </c>
    </row>
    <row r="566" spans="1:154" ht="6.6" customHeight="1" x14ac:dyDescent="0.25">
      <c r="A566" s="67"/>
      <c r="B566" s="67"/>
      <c r="C566" s="380"/>
      <c r="D566" s="1"/>
      <c r="E566" s="67"/>
      <c r="F566" s="67"/>
      <c r="G566" s="67"/>
      <c r="H566" s="67"/>
      <c r="I566" s="67"/>
      <c r="J566" s="67"/>
      <c r="K566" s="67"/>
      <c r="L566" s="67"/>
      <c r="M566" s="67"/>
      <c r="N566" s="67"/>
      <c r="O566" s="67"/>
      <c r="P566" s="67"/>
      <c r="Q566" s="67"/>
      <c r="R566" s="67"/>
      <c r="S566" s="335"/>
      <c r="T566" s="335"/>
      <c r="U566" s="335"/>
      <c r="V566" s="93"/>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
      <c r="BN566" s="67"/>
      <c r="BO566" s="67"/>
      <c r="BP566" s="67"/>
      <c r="BQ566" s="67"/>
      <c r="BR566" s="67"/>
      <c r="BS566" s="67"/>
      <c r="BT566" s="67"/>
      <c r="BU566" s="67"/>
      <c r="BV566" s="67"/>
      <c r="BW566" s="67"/>
      <c r="BX566" s="67"/>
      <c r="BY566" s="42"/>
      <c r="CA566" s="42"/>
      <c r="CG566" s="67"/>
      <c r="CH566" s="67"/>
      <c r="CI566" s="67"/>
      <c r="CK566" s="67"/>
      <c r="CL566" s="67"/>
      <c r="CR566" s="42"/>
      <c r="EX566" s="10" t="str">
        <f t="shared" si="638"/>
        <v/>
      </c>
    </row>
    <row r="567" spans="1:154" x14ac:dyDescent="0.25">
      <c r="A567" s="67"/>
      <c r="B567" s="67"/>
      <c r="C567" s="380"/>
      <c r="D567" s="61" t="str">
        <f>$D$59</f>
        <v>Interest Payment</v>
      </c>
      <c r="E567" s="67"/>
      <c r="F567" s="67"/>
      <c r="G567" s="67"/>
      <c r="H567" s="67"/>
      <c r="I567" s="67"/>
      <c r="J567" s="67"/>
      <c r="K567" s="67"/>
      <c r="L567" s="67"/>
      <c r="M567" s="67"/>
      <c r="N567" s="67"/>
      <c r="O567" s="67"/>
      <c r="P567" s="67"/>
      <c r="Q567" s="67"/>
      <c r="R567" s="67"/>
      <c r="S567" s="335"/>
      <c r="T567" s="335"/>
      <c r="U567" s="335"/>
      <c r="V567" s="93"/>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c r="BY567" s="12"/>
      <c r="CA567" s="12"/>
      <c r="CG567" s="67"/>
      <c r="CH567" s="67"/>
      <c r="CI567" s="67"/>
      <c r="CK567" s="67"/>
      <c r="CL567" s="67"/>
      <c r="CR567" s="12"/>
      <c r="EX567" s="10" t="str">
        <f t="shared" si="638"/>
        <v/>
      </c>
    </row>
    <row r="568" spans="1:154" x14ac:dyDescent="0.25">
      <c r="A568" s="67"/>
      <c r="B568" s="138" t="s">
        <v>551</v>
      </c>
      <c r="C568" s="380"/>
      <c r="D568" s="5" t="str">
        <f>D$11</f>
        <v>Lender</v>
      </c>
      <c r="E568" s="5" t="str">
        <f>E$11</f>
        <v>Loan Category</v>
      </c>
      <c r="F568" s="67"/>
      <c r="G568" s="67"/>
      <c r="H568" s="67"/>
      <c r="I568" s="67"/>
      <c r="J568" s="67"/>
      <c r="K568" s="67"/>
      <c r="L568" s="67"/>
      <c r="M568" s="67"/>
      <c r="N568" s="67"/>
      <c r="O568" s="67"/>
      <c r="P568" s="67"/>
      <c r="Q568" s="67"/>
      <c r="R568" s="67"/>
      <c r="S568" s="335"/>
      <c r="T568" s="335"/>
      <c r="U568" s="335"/>
      <c r="V568" s="93"/>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c r="BY568" s="12"/>
      <c r="CA568" s="12"/>
      <c r="CG568" s="67"/>
      <c r="CH568" s="67"/>
      <c r="CI568" s="67"/>
      <c r="CK568" s="67"/>
      <c r="CL568" s="67"/>
      <c r="CR568" s="12"/>
      <c r="EX568" s="10" t="str">
        <f t="shared" si="638"/>
        <v/>
      </c>
    </row>
    <row r="569" spans="1:154" x14ac:dyDescent="0.25">
      <c r="A569" s="67"/>
      <c r="B569" s="84" t="str" cm="1">
        <f t="array" aca="1" ref="B569" ca="1">HYPERLINK(CONCATENATE("#",CELL("address",$D$47)),$D$47)</f>
        <v>Loan 1</v>
      </c>
      <c r="C569" s="380"/>
      <c r="D569" s="221" t="str">
        <f>D$13</f>
        <v>NatWest</v>
      </c>
      <c r="E569" s="60" t="str">
        <f>E$13</f>
        <v xml:space="preserve">Commercial </v>
      </c>
      <c r="F569" s="67"/>
      <c r="G569" s="9" t="s">
        <v>413</v>
      </c>
      <c r="H569" s="50" t="s">
        <v>157</v>
      </c>
      <c r="I569" s="65"/>
      <c r="J569" s="67"/>
      <c r="K569" s="67"/>
      <c r="L569" s="67"/>
      <c r="M569" s="67"/>
      <c r="N569" s="67"/>
      <c r="O569" s="67"/>
      <c r="P569" s="67"/>
      <c r="Q569" s="67"/>
      <c r="R569" s="67"/>
      <c r="S569" s="335"/>
      <c r="T569" s="335"/>
      <c r="U569" s="335"/>
      <c r="V569" s="201">
        <f>V$59</f>
        <v>0</v>
      </c>
      <c r="W569" s="10">
        <f>W$59</f>
        <v>0</v>
      </c>
      <c r="X569" s="10">
        <f>X$59</f>
        <v>0</v>
      </c>
      <c r="Y569" s="201">
        <f>Y$59</f>
        <v>0</v>
      </c>
      <c r="Z569" s="67"/>
      <c r="AA569" s="201">
        <f t="shared" ref="AA569:BJ569" si="745">AA$59</f>
        <v>0</v>
      </c>
      <c r="AB569" s="10">
        <f t="shared" si="745"/>
        <v>0</v>
      </c>
      <c r="AC569" s="10">
        <f t="shared" si="745"/>
        <v>0</v>
      </c>
      <c r="AD569" s="10">
        <f t="shared" si="745"/>
        <v>0</v>
      </c>
      <c r="AE569" s="10">
        <f t="shared" si="745"/>
        <v>0</v>
      </c>
      <c r="AF569" s="10">
        <f t="shared" si="745"/>
        <v>0</v>
      </c>
      <c r="AG569" s="10">
        <f t="shared" si="745"/>
        <v>0</v>
      </c>
      <c r="AH569" s="10">
        <f t="shared" si="745"/>
        <v>0</v>
      </c>
      <c r="AI569" s="10">
        <f t="shared" si="745"/>
        <v>0</v>
      </c>
      <c r="AJ569" s="201">
        <f t="shared" si="745"/>
        <v>0</v>
      </c>
      <c r="AK569" s="10">
        <f t="shared" si="745"/>
        <v>0</v>
      </c>
      <c r="AL569" s="10">
        <f t="shared" si="745"/>
        <v>0</v>
      </c>
      <c r="AM569" s="10">
        <f t="shared" si="745"/>
        <v>0</v>
      </c>
      <c r="AN569" s="10">
        <f t="shared" si="745"/>
        <v>0</v>
      </c>
      <c r="AO569" s="10">
        <f t="shared" si="745"/>
        <v>0</v>
      </c>
      <c r="AP569" s="10">
        <f t="shared" si="745"/>
        <v>0</v>
      </c>
      <c r="AQ569" s="10">
        <f t="shared" si="745"/>
        <v>0</v>
      </c>
      <c r="AR569" s="10">
        <f t="shared" si="745"/>
        <v>0</v>
      </c>
      <c r="AS569" s="10">
        <f t="shared" si="745"/>
        <v>0</v>
      </c>
      <c r="AT569" s="10">
        <f t="shared" si="745"/>
        <v>0</v>
      </c>
      <c r="AU569" s="10">
        <f t="shared" si="745"/>
        <v>0</v>
      </c>
      <c r="AV569" s="10">
        <f t="shared" si="745"/>
        <v>0</v>
      </c>
      <c r="AW569" s="10">
        <f t="shared" si="745"/>
        <v>0</v>
      </c>
      <c r="AX569" s="10">
        <f t="shared" si="745"/>
        <v>0</v>
      </c>
      <c r="AY569" s="10">
        <f t="shared" si="745"/>
        <v>0</v>
      </c>
      <c r="AZ569" s="10">
        <f t="shared" si="745"/>
        <v>0</v>
      </c>
      <c r="BA569" s="10">
        <f t="shared" si="745"/>
        <v>0</v>
      </c>
      <c r="BB569" s="10">
        <f t="shared" si="745"/>
        <v>0</v>
      </c>
      <c r="BC569" s="10">
        <f t="shared" si="745"/>
        <v>0</v>
      </c>
      <c r="BD569" s="10">
        <f t="shared" si="745"/>
        <v>0</v>
      </c>
      <c r="BE569" s="10">
        <f t="shared" si="745"/>
        <v>0</v>
      </c>
      <c r="BF569" s="10">
        <f t="shared" si="745"/>
        <v>0</v>
      </c>
      <c r="BG569" s="10">
        <f t="shared" si="745"/>
        <v>0</v>
      </c>
      <c r="BH569" s="10">
        <f t="shared" si="745"/>
        <v>0</v>
      </c>
      <c r="BI569" s="10">
        <f t="shared" si="745"/>
        <v>0</v>
      </c>
      <c r="BJ569" s="10">
        <f t="shared" si="745"/>
        <v>0</v>
      </c>
      <c r="BK569" s="67"/>
      <c r="BL569" s="10">
        <f t="shared" ref="BL569:BW569" si="746">BL$59</f>
        <v>0</v>
      </c>
      <c r="BM569" s="10">
        <f t="shared" si="746"/>
        <v>0</v>
      </c>
      <c r="BN569" s="10">
        <f t="shared" si="746"/>
        <v>0</v>
      </c>
      <c r="BO569" s="10">
        <f t="shared" si="746"/>
        <v>0</v>
      </c>
      <c r="BP569" s="10">
        <f t="shared" si="746"/>
        <v>0</v>
      </c>
      <c r="BQ569" s="10">
        <f t="shared" si="746"/>
        <v>0</v>
      </c>
      <c r="BR569" s="10">
        <f t="shared" si="746"/>
        <v>0</v>
      </c>
      <c r="BS569" s="10">
        <f t="shared" si="746"/>
        <v>0</v>
      </c>
      <c r="BT569" s="10">
        <f t="shared" si="746"/>
        <v>0</v>
      </c>
      <c r="BU569" s="10">
        <f t="shared" si="746"/>
        <v>0</v>
      </c>
      <c r="BV569" s="10">
        <f t="shared" si="746"/>
        <v>0</v>
      </c>
      <c r="BW569" s="10">
        <f t="shared" si="746"/>
        <v>0</v>
      </c>
      <c r="BX569" s="67"/>
      <c r="BY569" s="12"/>
      <c r="CA569" s="12"/>
      <c r="CG569" s="67"/>
      <c r="CH569" s="67"/>
      <c r="CI569" s="67"/>
      <c r="CK569" s="67"/>
      <c r="CL569" s="67"/>
      <c r="CR569" s="12"/>
      <c r="EX569" s="10" t="str">
        <f t="shared" si="638"/>
        <v/>
      </c>
    </row>
    <row r="570" spans="1:154" x14ac:dyDescent="0.25">
      <c r="A570" s="67"/>
      <c r="B570" s="84" t="str" cm="1">
        <f t="array" aca="1" ref="B570" ca="1">HYPERLINK(CONCATENATE("#",CELL("address",$D$66)),$D$66)</f>
        <v>Loan 2</v>
      </c>
      <c r="C570" s="380"/>
      <c r="D570" s="60" t="str">
        <f>D$14</f>
        <v>NatWest</v>
      </c>
      <c r="E570" s="60" t="str">
        <f>E$14</f>
        <v xml:space="preserve">Commercial </v>
      </c>
      <c r="F570" s="67"/>
      <c r="G570" s="9" t="s">
        <v>413</v>
      </c>
      <c r="H570" s="50" t="s">
        <v>157</v>
      </c>
      <c r="I570" s="67"/>
      <c r="J570" s="67"/>
      <c r="K570" s="67"/>
      <c r="L570" s="67"/>
      <c r="M570" s="67"/>
      <c r="N570" s="67"/>
      <c r="O570" s="67"/>
      <c r="P570" s="67"/>
      <c r="Q570" s="67"/>
      <c r="R570" s="67"/>
      <c r="S570" s="335"/>
      <c r="T570" s="335"/>
      <c r="U570" s="335"/>
      <c r="V570" s="201">
        <f>V$78</f>
        <v>0</v>
      </c>
      <c r="W570" s="10">
        <f>W$78</f>
        <v>-37</v>
      </c>
      <c r="X570" s="10">
        <f>X$78</f>
        <v>-37</v>
      </c>
      <c r="Y570" s="10">
        <f>Y$78</f>
        <v>-37</v>
      </c>
      <c r="Z570" s="67"/>
      <c r="AA570" s="10">
        <f t="shared" ref="AA570:BJ570" si="747">AA$78</f>
        <v>-4</v>
      </c>
      <c r="AB570" s="10">
        <f t="shared" si="747"/>
        <v>-3</v>
      </c>
      <c r="AC570" s="10">
        <f t="shared" si="747"/>
        <v>-3</v>
      </c>
      <c r="AD570" s="10">
        <f t="shared" si="747"/>
        <v>-3</v>
      </c>
      <c r="AE570" s="10">
        <f t="shared" si="747"/>
        <v>-3</v>
      </c>
      <c r="AF570" s="10">
        <f t="shared" si="747"/>
        <v>-3</v>
      </c>
      <c r="AG570" s="10">
        <f t="shared" si="747"/>
        <v>-3</v>
      </c>
      <c r="AH570" s="10">
        <f t="shared" si="747"/>
        <v>-3</v>
      </c>
      <c r="AI570" s="10">
        <f t="shared" si="747"/>
        <v>-3</v>
      </c>
      <c r="AJ570" s="10">
        <f t="shared" si="747"/>
        <v>-3</v>
      </c>
      <c r="AK570" s="10">
        <f t="shared" si="747"/>
        <v>-3</v>
      </c>
      <c r="AL570" s="10">
        <f t="shared" si="747"/>
        <v>-3</v>
      </c>
      <c r="AM570" s="10">
        <f t="shared" si="747"/>
        <v>-4</v>
      </c>
      <c r="AN570" s="10">
        <f t="shared" si="747"/>
        <v>-3</v>
      </c>
      <c r="AO570" s="10">
        <f t="shared" si="747"/>
        <v>-3</v>
      </c>
      <c r="AP570" s="10">
        <f t="shared" si="747"/>
        <v>-3</v>
      </c>
      <c r="AQ570" s="10">
        <f t="shared" si="747"/>
        <v>-3</v>
      </c>
      <c r="AR570" s="10">
        <f t="shared" si="747"/>
        <v>-3</v>
      </c>
      <c r="AS570" s="10">
        <f t="shared" si="747"/>
        <v>-3</v>
      </c>
      <c r="AT570" s="10">
        <f t="shared" si="747"/>
        <v>-3</v>
      </c>
      <c r="AU570" s="10">
        <f t="shared" si="747"/>
        <v>-3</v>
      </c>
      <c r="AV570" s="10">
        <f t="shared" si="747"/>
        <v>-3</v>
      </c>
      <c r="AW570" s="10">
        <f t="shared" si="747"/>
        <v>-3</v>
      </c>
      <c r="AX570" s="10">
        <f t="shared" si="747"/>
        <v>-3</v>
      </c>
      <c r="AY570" s="10">
        <f t="shared" si="747"/>
        <v>-4</v>
      </c>
      <c r="AZ570" s="10">
        <f t="shared" si="747"/>
        <v>-3</v>
      </c>
      <c r="BA570" s="10">
        <f t="shared" si="747"/>
        <v>-3</v>
      </c>
      <c r="BB570" s="10">
        <f t="shared" si="747"/>
        <v>-3</v>
      </c>
      <c r="BC570" s="10">
        <f t="shared" si="747"/>
        <v>-3</v>
      </c>
      <c r="BD570" s="10">
        <f t="shared" si="747"/>
        <v>-3</v>
      </c>
      <c r="BE570" s="10">
        <f t="shared" si="747"/>
        <v>-3</v>
      </c>
      <c r="BF570" s="10">
        <f t="shared" si="747"/>
        <v>-3</v>
      </c>
      <c r="BG570" s="10">
        <f t="shared" si="747"/>
        <v>-3</v>
      </c>
      <c r="BH570" s="10">
        <f t="shared" si="747"/>
        <v>-3</v>
      </c>
      <c r="BI570" s="10">
        <f t="shared" si="747"/>
        <v>-3</v>
      </c>
      <c r="BJ570" s="10">
        <f t="shared" si="747"/>
        <v>-3</v>
      </c>
      <c r="BK570" s="67"/>
      <c r="BL570" s="10">
        <f t="shared" ref="BL570:BW570" si="748">BL$78</f>
        <v>0</v>
      </c>
      <c r="BM570" s="10">
        <f t="shared" si="748"/>
        <v>-37</v>
      </c>
      <c r="BN570" s="10">
        <f t="shared" si="748"/>
        <v>-37</v>
      </c>
      <c r="BO570" s="10">
        <f t="shared" si="748"/>
        <v>-37</v>
      </c>
      <c r="BP570" s="10">
        <f t="shared" si="748"/>
        <v>0</v>
      </c>
      <c r="BQ570" s="10">
        <f t="shared" si="748"/>
        <v>0</v>
      </c>
      <c r="BR570" s="10">
        <f t="shared" si="748"/>
        <v>0</v>
      </c>
      <c r="BS570" s="10">
        <f t="shared" si="748"/>
        <v>0</v>
      </c>
      <c r="BT570" s="10">
        <f t="shared" si="748"/>
        <v>0</v>
      </c>
      <c r="BU570" s="10">
        <f t="shared" si="748"/>
        <v>0</v>
      </c>
      <c r="BV570" s="10">
        <f t="shared" si="748"/>
        <v>0</v>
      </c>
      <c r="BW570" s="10">
        <f t="shared" si="748"/>
        <v>0</v>
      </c>
      <c r="BX570" s="67"/>
      <c r="BY570" s="12"/>
      <c r="CA570" s="12"/>
      <c r="CG570" s="67"/>
      <c r="CH570" s="67"/>
      <c r="CI570" s="67"/>
      <c r="CK570" s="67"/>
      <c r="CL570" s="67"/>
      <c r="CR570" s="12"/>
      <c r="EX570" s="10" t="str">
        <f t="shared" si="638"/>
        <v/>
      </c>
    </row>
    <row r="571" spans="1:154" x14ac:dyDescent="0.25">
      <c r="A571" s="67"/>
      <c r="B571" s="84" t="str" cm="1">
        <f t="array" aca="1" ref="B571" ca="1">HYPERLINK(CONCATENATE("#",CELL("address",$D$85)),$D$85)</f>
        <v>Loan 3</v>
      </c>
      <c r="C571" s="380"/>
      <c r="D571" s="60" t="str">
        <f>D$15</f>
        <v>NatWest</v>
      </c>
      <c r="E571" s="60" t="str">
        <f>E$15</f>
        <v xml:space="preserve">Commercial </v>
      </c>
      <c r="F571" s="67"/>
      <c r="G571" s="9" t="s">
        <v>413</v>
      </c>
      <c r="H571" s="50" t="s">
        <v>157</v>
      </c>
      <c r="I571" s="67"/>
      <c r="J571" s="67"/>
      <c r="K571" s="67"/>
      <c r="L571" s="67"/>
      <c r="M571" s="67"/>
      <c r="N571" s="67"/>
      <c r="O571" s="67"/>
      <c r="P571" s="67"/>
      <c r="Q571" s="67"/>
      <c r="R571" s="67"/>
      <c r="S571" s="335"/>
      <c r="T571" s="335"/>
      <c r="U571" s="335"/>
      <c r="V571" s="201">
        <f>V$97</f>
        <v>0</v>
      </c>
      <c r="W571" s="10">
        <f>W$97</f>
        <v>-36</v>
      </c>
      <c r="X571" s="10">
        <f>X$97</f>
        <v>-36</v>
      </c>
      <c r="Y571" s="10">
        <f>Y$97</f>
        <v>-36</v>
      </c>
      <c r="Z571" s="67"/>
      <c r="AA571" s="10">
        <f t="shared" ref="AA571:BJ571" si="749">AA$97</f>
        <v>-3</v>
      </c>
      <c r="AB571" s="10">
        <f t="shared" si="749"/>
        <v>-3</v>
      </c>
      <c r="AC571" s="10">
        <f t="shared" si="749"/>
        <v>-3</v>
      </c>
      <c r="AD571" s="10">
        <f t="shared" si="749"/>
        <v>-3</v>
      </c>
      <c r="AE571" s="10">
        <f t="shared" si="749"/>
        <v>-3</v>
      </c>
      <c r="AF571" s="10">
        <f t="shared" si="749"/>
        <v>-3</v>
      </c>
      <c r="AG571" s="10">
        <f t="shared" si="749"/>
        <v>-3</v>
      </c>
      <c r="AH571" s="10">
        <f t="shared" si="749"/>
        <v>-3</v>
      </c>
      <c r="AI571" s="10">
        <f t="shared" si="749"/>
        <v>-3</v>
      </c>
      <c r="AJ571" s="10">
        <f t="shared" si="749"/>
        <v>-3</v>
      </c>
      <c r="AK571" s="10">
        <f t="shared" si="749"/>
        <v>-3</v>
      </c>
      <c r="AL571" s="10">
        <f t="shared" si="749"/>
        <v>-3</v>
      </c>
      <c r="AM571" s="10">
        <f t="shared" si="749"/>
        <v>-3</v>
      </c>
      <c r="AN571" s="10">
        <f t="shared" si="749"/>
        <v>-3</v>
      </c>
      <c r="AO571" s="10">
        <f t="shared" si="749"/>
        <v>-3</v>
      </c>
      <c r="AP571" s="10">
        <f t="shared" si="749"/>
        <v>-3</v>
      </c>
      <c r="AQ571" s="10">
        <f t="shared" si="749"/>
        <v>-3</v>
      </c>
      <c r="AR571" s="10">
        <f t="shared" si="749"/>
        <v>-3</v>
      </c>
      <c r="AS571" s="10">
        <f t="shared" si="749"/>
        <v>-3</v>
      </c>
      <c r="AT571" s="10">
        <f t="shared" si="749"/>
        <v>-3</v>
      </c>
      <c r="AU571" s="10">
        <f t="shared" si="749"/>
        <v>-3</v>
      </c>
      <c r="AV571" s="10">
        <f t="shared" si="749"/>
        <v>-3</v>
      </c>
      <c r="AW571" s="10">
        <f t="shared" si="749"/>
        <v>-3</v>
      </c>
      <c r="AX571" s="10">
        <f t="shared" si="749"/>
        <v>-3</v>
      </c>
      <c r="AY571" s="10">
        <f t="shared" si="749"/>
        <v>-3</v>
      </c>
      <c r="AZ571" s="10">
        <f t="shared" si="749"/>
        <v>-3</v>
      </c>
      <c r="BA571" s="10">
        <f t="shared" si="749"/>
        <v>-3</v>
      </c>
      <c r="BB571" s="10">
        <f t="shared" si="749"/>
        <v>-3</v>
      </c>
      <c r="BC571" s="10">
        <f t="shared" si="749"/>
        <v>-3</v>
      </c>
      <c r="BD571" s="10">
        <f t="shared" si="749"/>
        <v>-3</v>
      </c>
      <c r="BE571" s="10">
        <f t="shared" si="749"/>
        <v>-3</v>
      </c>
      <c r="BF571" s="10">
        <f t="shared" si="749"/>
        <v>-3</v>
      </c>
      <c r="BG571" s="10">
        <f t="shared" si="749"/>
        <v>-3</v>
      </c>
      <c r="BH571" s="10">
        <f t="shared" si="749"/>
        <v>-3</v>
      </c>
      <c r="BI571" s="10">
        <f t="shared" si="749"/>
        <v>-3</v>
      </c>
      <c r="BJ571" s="10">
        <f t="shared" si="749"/>
        <v>-3</v>
      </c>
      <c r="BK571" s="67"/>
      <c r="BL571" s="10">
        <f t="shared" ref="BL571:BW571" si="750">BL$97</f>
        <v>0</v>
      </c>
      <c r="BM571" s="10">
        <f t="shared" si="750"/>
        <v>-36</v>
      </c>
      <c r="BN571" s="10">
        <f t="shared" si="750"/>
        <v>-36</v>
      </c>
      <c r="BO571" s="10">
        <f t="shared" si="750"/>
        <v>-36</v>
      </c>
      <c r="BP571" s="10">
        <f t="shared" si="750"/>
        <v>0</v>
      </c>
      <c r="BQ571" s="10">
        <f t="shared" si="750"/>
        <v>0</v>
      </c>
      <c r="BR571" s="10">
        <f t="shared" si="750"/>
        <v>0</v>
      </c>
      <c r="BS571" s="10">
        <f t="shared" si="750"/>
        <v>0</v>
      </c>
      <c r="BT571" s="10">
        <f t="shared" si="750"/>
        <v>0</v>
      </c>
      <c r="BU571" s="10">
        <f t="shared" si="750"/>
        <v>0</v>
      </c>
      <c r="BV571" s="10">
        <f t="shared" si="750"/>
        <v>0</v>
      </c>
      <c r="BW571" s="10">
        <f t="shared" si="750"/>
        <v>0</v>
      </c>
      <c r="BX571" s="67"/>
      <c r="BY571" s="12"/>
      <c r="CA571" s="12"/>
      <c r="CG571" s="67"/>
      <c r="CH571" s="67"/>
      <c r="CI571" s="67"/>
      <c r="CK571" s="67"/>
      <c r="CL571" s="67"/>
      <c r="CR571" s="12"/>
      <c r="EX571" s="10" t="str">
        <f t="shared" si="638"/>
        <v/>
      </c>
    </row>
    <row r="572" spans="1:154" x14ac:dyDescent="0.25">
      <c r="A572" s="67"/>
      <c r="B572" s="84" t="str" cm="1">
        <f t="array" aca="1" ref="B572" ca="1">HYPERLINK(CONCATENATE("#",CELL("address",$D$104)),$D$104)</f>
        <v>Loan 4</v>
      </c>
      <c r="C572" s="380"/>
      <c r="D572" s="60" t="str">
        <f>D$16</f>
        <v>NatWest</v>
      </c>
      <c r="E572" s="60" t="str">
        <f>E$16</f>
        <v xml:space="preserve">Commercial </v>
      </c>
      <c r="F572" s="67"/>
      <c r="G572" s="9" t="s">
        <v>413</v>
      </c>
      <c r="H572" s="50" t="s">
        <v>157</v>
      </c>
      <c r="I572" s="67"/>
      <c r="J572" s="67"/>
      <c r="K572" s="67"/>
      <c r="L572" s="67"/>
      <c r="M572" s="67"/>
      <c r="N572" s="67"/>
      <c r="O572" s="67"/>
      <c r="P572" s="67"/>
      <c r="Q572" s="67"/>
      <c r="R572" s="67"/>
      <c r="S572" s="335"/>
      <c r="T572" s="335"/>
      <c r="U572" s="335"/>
      <c r="V572" s="201">
        <f>V$116</f>
        <v>0</v>
      </c>
      <c r="W572" s="10">
        <f>W$116</f>
        <v>-36</v>
      </c>
      <c r="X572" s="10">
        <f>X$116</f>
        <v>-36</v>
      </c>
      <c r="Y572" s="10">
        <f>Y$116</f>
        <v>-36</v>
      </c>
      <c r="Z572" s="67"/>
      <c r="AA572" s="10">
        <f t="shared" ref="AA572:BJ572" si="751">AA$116</f>
        <v>-9</v>
      </c>
      <c r="AB572" s="10">
        <f t="shared" si="751"/>
        <v>0</v>
      </c>
      <c r="AC572" s="10">
        <f t="shared" si="751"/>
        <v>0</v>
      </c>
      <c r="AD572" s="10">
        <f t="shared" si="751"/>
        <v>-9</v>
      </c>
      <c r="AE572" s="10">
        <f t="shared" si="751"/>
        <v>0</v>
      </c>
      <c r="AF572" s="10">
        <f t="shared" si="751"/>
        <v>0</v>
      </c>
      <c r="AG572" s="10">
        <f t="shared" si="751"/>
        <v>-9</v>
      </c>
      <c r="AH572" s="10">
        <f t="shared" si="751"/>
        <v>0</v>
      </c>
      <c r="AI572" s="10">
        <f t="shared" si="751"/>
        <v>0</v>
      </c>
      <c r="AJ572" s="10">
        <f t="shared" si="751"/>
        <v>-9</v>
      </c>
      <c r="AK572" s="10">
        <f t="shared" si="751"/>
        <v>0</v>
      </c>
      <c r="AL572" s="10">
        <f t="shared" si="751"/>
        <v>0</v>
      </c>
      <c r="AM572" s="10">
        <f t="shared" si="751"/>
        <v>-9</v>
      </c>
      <c r="AN572" s="10">
        <f t="shared" si="751"/>
        <v>0</v>
      </c>
      <c r="AO572" s="10">
        <f t="shared" si="751"/>
        <v>0</v>
      </c>
      <c r="AP572" s="10">
        <f t="shared" si="751"/>
        <v>-9</v>
      </c>
      <c r="AQ572" s="10">
        <f t="shared" si="751"/>
        <v>0</v>
      </c>
      <c r="AR572" s="10">
        <f t="shared" si="751"/>
        <v>0</v>
      </c>
      <c r="AS572" s="10">
        <f t="shared" si="751"/>
        <v>-9</v>
      </c>
      <c r="AT572" s="10">
        <f t="shared" si="751"/>
        <v>0</v>
      </c>
      <c r="AU572" s="10">
        <f t="shared" si="751"/>
        <v>0</v>
      </c>
      <c r="AV572" s="10">
        <f t="shared" si="751"/>
        <v>-9</v>
      </c>
      <c r="AW572" s="10">
        <f t="shared" si="751"/>
        <v>0</v>
      </c>
      <c r="AX572" s="10">
        <f t="shared" si="751"/>
        <v>0</v>
      </c>
      <c r="AY572" s="10">
        <f t="shared" si="751"/>
        <v>-9</v>
      </c>
      <c r="AZ572" s="10">
        <f t="shared" si="751"/>
        <v>0</v>
      </c>
      <c r="BA572" s="10">
        <f t="shared" si="751"/>
        <v>0</v>
      </c>
      <c r="BB572" s="10">
        <f t="shared" si="751"/>
        <v>-9</v>
      </c>
      <c r="BC572" s="10">
        <f t="shared" si="751"/>
        <v>0</v>
      </c>
      <c r="BD572" s="10">
        <f t="shared" si="751"/>
        <v>0</v>
      </c>
      <c r="BE572" s="10">
        <f t="shared" si="751"/>
        <v>-9</v>
      </c>
      <c r="BF572" s="10">
        <f t="shared" si="751"/>
        <v>0</v>
      </c>
      <c r="BG572" s="10">
        <f t="shared" si="751"/>
        <v>0</v>
      </c>
      <c r="BH572" s="10">
        <f t="shared" si="751"/>
        <v>-9</v>
      </c>
      <c r="BI572" s="10">
        <f t="shared" si="751"/>
        <v>0</v>
      </c>
      <c r="BJ572" s="10">
        <f t="shared" si="751"/>
        <v>0</v>
      </c>
      <c r="BK572" s="67"/>
      <c r="BL572" s="10">
        <f t="shared" ref="BL572:BW572" si="752">BL$116</f>
        <v>0</v>
      </c>
      <c r="BM572" s="10">
        <f t="shared" si="752"/>
        <v>-36</v>
      </c>
      <c r="BN572" s="10">
        <f t="shared" si="752"/>
        <v>-36</v>
      </c>
      <c r="BO572" s="10">
        <f t="shared" si="752"/>
        <v>-36</v>
      </c>
      <c r="BP572" s="10">
        <f t="shared" si="752"/>
        <v>0</v>
      </c>
      <c r="BQ572" s="10">
        <f t="shared" si="752"/>
        <v>0</v>
      </c>
      <c r="BR572" s="10">
        <f t="shared" si="752"/>
        <v>0</v>
      </c>
      <c r="BS572" s="10">
        <f t="shared" si="752"/>
        <v>0</v>
      </c>
      <c r="BT572" s="10">
        <f t="shared" si="752"/>
        <v>0</v>
      </c>
      <c r="BU572" s="10">
        <f t="shared" si="752"/>
        <v>0</v>
      </c>
      <c r="BV572" s="10">
        <f t="shared" si="752"/>
        <v>0</v>
      </c>
      <c r="BW572" s="10">
        <f t="shared" si="752"/>
        <v>0</v>
      </c>
      <c r="BX572" s="67"/>
      <c r="BY572" s="12"/>
      <c r="CA572" s="12"/>
      <c r="CG572" s="67"/>
      <c r="CH572" s="67"/>
      <c r="CI572" s="67"/>
      <c r="CK572" s="67"/>
      <c r="CL572" s="67"/>
      <c r="CR572" s="12"/>
      <c r="EX572" s="10" t="str">
        <f t="shared" si="638"/>
        <v/>
      </c>
    </row>
    <row r="573" spans="1:154" x14ac:dyDescent="0.25">
      <c r="A573" s="67"/>
      <c r="B573" s="84" t="str" cm="1">
        <f t="array" aca="1" ref="B573" ca="1">HYPERLINK(CONCATENATE("#",CELL("address",$D$123)),$D$123)</f>
        <v>Loan 5</v>
      </c>
      <c r="C573" s="380"/>
      <c r="D573" s="60" t="str">
        <f>D$17</f>
        <v>NatWest</v>
      </c>
      <c r="E573" s="60" t="str">
        <f>E$17</f>
        <v xml:space="preserve">Commercial </v>
      </c>
      <c r="F573" s="67"/>
      <c r="G573" s="9" t="s">
        <v>413</v>
      </c>
      <c r="H573" s="50" t="s">
        <v>157</v>
      </c>
      <c r="I573" s="67"/>
      <c r="J573" s="67"/>
      <c r="K573" s="67"/>
      <c r="L573" s="67"/>
      <c r="M573" s="67"/>
      <c r="N573" s="67"/>
      <c r="O573" s="67"/>
      <c r="P573" s="67"/>
      <c r="Q573" s="67"/>
      <c r="R573" s="67"/>
      <c r="S573" s="335"/>
      <c r="T573" s="335"/>
      <c r="U573" s="335"/>
      <c r="V573" s="201">
        <f>V$135</f>
        <v>0</v>
      </c>
      <c r="W573" s="10">
        <f>W$135</f>
        <v>-36</v>
      </c>
      <c r="X573" s="10">
        <f>X$135</f>
        <v>-36</v>
      </c>
      <c r="Y573" s="10">
        <f>Y$135</f>
        <v>-36</v>
      </c>
      <c r="Z573" s="67"/>
      <c r="AA573" s="10">
        <f t="shared" ref="AA573:BJ573" si="753">AA$135</f>
        <v>-9</v>
      </c>
      <c r="AB573" s="10">
        <f t="shared" si="753"/>
        <v>0</v>
      </c>
      <c r="AC573" s="10">
        <f t="shared" si="753"/>
        <v>0</v>
      </c>
      <c r="AD573" s="10">
        <f t="shared" si="753"/>
        <v>-9</v>
      </c>
      <c r="AE573" s="10">
        <f t="shared" si="753"/>
        <v>0</v>
      </c>
      <c r="AF573" s="10">
        <f t="shared" si="753"/>
        <v>0</v>
      </c>
      <c r="AG573" s="10">
        <f t="shared" si="753"/>
        <v>-9</v>
      </c>
      <c r="AH573" s="10">
        <f t="shared" si="753"/>
        <v>0</v>
      </c>
      <c r="AI573" s="10">
        <f t="shared" si="753"/>
        <v>0</v>
      </c>
      <c r="AJ573" s="10">
        <f t="shared" si="753"/>
        <v>-9</v>
      </c>
      <c r="AK573" s="10">
        <f t="shared" si="753"/>
        <v>0</v>
      </c>
      <c r="AL573" s="10">
        <f t="shared" si="753"/>
        <v>0</v>
      </c>
      <c r="AM573" s="10">
        <f t="shared" si="753"/>
        <v>-9</v>
      </c>
      <c r="AN573" s="10">
        <f t="shared" si="753"/>
        <v>0</v>
      </c>
      <c r="AO573" s="10">
        <f t="shared" si="753"/>
        <v>0</v>
      </c>
      <c r="AP573" s="10">
        <f t="shared" si="753"/>
        <v>-9</v>
      </c>
      <c r="AQ573" s="10">
        <f t="shared" si="753"/>
        <v>0</v>
      </c>
      <c r="AR573" s="10">
        <f t="shared" si="753"/>
        <v>0</v>
      </c>
      <c r="AS573" s="10">
        <f t="shared" si="753"/>
        <v>-9</v>
      </c>
      <c r="AT573" s="10">
        <f t="shared" si="753"/>
        <v>0</v>
      </c>
      <c r="AU573" s="10">
        <f t="shared" si="753"/>
        <v>0</v>
      </c>
      <c r="AV573" s="10">
        <f t="shared" si="753"/>
        <v>-9</v>
      </c>
      <c r="AW573" s="10">
        <f t="shared" si="753"/>
        <v>0</v>
      </c>
      <c r="AX573" s="10">
        <f t="shared" si="753"/>
        <v>0</v>
      </c>
      <c r="AY573" s="10">
        <f t="shared" si="753"/>
        <v>-9</v>
      </c>
      <c r="AZ573" s="10">
        <f t="shared" si="753"/>
        <v>0</v>
      </c>
      <c r="BA573" s="10">
        <f t="shared" si="753"/>
        <v>0</v>
      </c>
      <c r="BB573" s="10">
        <f t="shared" si="753"/>
        <v>-9</v>
      </c>
      <c r="BC573" s="10">
        <f t="shared" si="753"/>
        <v>0</v>
      </c>
      <c r="BD573" s="10">
        <f t="shared" si="753"/>
        <v>0</v>
      </c>
      <c r="BE573" s="10">
        <f t="shared" si="753"/>
        <v>-9</v>
      </c>
      <c r="BF573" s="10">
        <f t="shared" si="753"/>
        <v>0</v>
      </c>
      <c r="BG573" s="10">
        <f t="shared" si="753"/>
        <v>0</v>
      </c>
      <c r="BH573" s="10">
        <f t="shared" si="753"/>
        <v>-9</v>
      </c>
      <c r="BI573" s="10">
        <f t="shared" si="753"/>
        <v>0</v>
      </c>
      <c r="BJ573" s="10">
        <f t="shared" si="753"/>
        <v>0</v>
      </c>
      <c r="BK573" s="67"/>
      <c r="BL573" s="10">
        <f t="shared" ref="BL573:BW573" si="754">BL$135</f>
        <v>0</v>
      </c>
      <c r="BM573" s="10">
        <f t="shared" si="754"/>
        <v>-36</v>
      </c>
      <c r="BN573" s="10">
        <f t="shared" si="754"/>
        <v>-36</v>
      </c>
      <c r="BO573" s="10">
        <f t="shared" si="754"/>
        <v>-36</v>
      </c>
      <c r="BP573" s="10">
        <f t="shared" si="754"/>
        <v>0</v>
      </c>
      <c r="BQ573" s="10">
        <f t="shared" si="754"/>
        <v>0</v>
      </c>
      <c r="BR573" s="10">
        <f t="shared" si="754"/>
        <v>0</v>
      </c>
      <c r="BS573" s="10">
        <f t="shared" si="754"/>
        <v>0</v>
      </c>
      <c r="BT573" s="10">
        <f t="shared" si="754"/>
        <v>0</v>
      </c>
      <c r="BU573" s="10">
        <f t="shared" si="754"/>
        <v>0</v>
      </c>
      <c r="BV573" s="10">
        <f t="shared" si="754"/>
        <v>0</v>
      </c>
      <c r="BW573" s="10">
        <f t="shared" si="754"/>
        <v>0</v>
      </c>
      <c r="BX573" s="67"/>
      <c r="BY573" s="12"/>
      <c r="CA573" s="12"/>
      <c r="CG573" s="67"/>
      <c r="CH573" s="67"/>
      <c r="CI573" s="67"/>
      <c r="CK573" s="67"/>
      <c r="CL573" s="67"/>
      <c r="CR573" s="12"/>
      <c r="EX573" s="10" t="str">
        <f t="shared" si="638"/>
        <v/>
      </c>
    </row>
    <row r="574" spans="1:154" x14ac:dyDescent="0.25">
      <c r="A574" s="67"/>
      <c r="B574" s="84" t="str" cm="1">
        <f t="array" aca="1" ref="B574" ca="1">HYPERLINK(CONCATENATE("#",CELL("address",$D$142)),$D$142)</f>
        <v>Loan 6</v>
      </c>
      <c r="C574" s="380"/>
      <c r="D574" s="60">
        <f>D$18</f>
        <v>0</v>
      </c>
      <c r="E574" s="60">
        <f>E$18</f>
        <v>0</v>
      </c>
      <c r="F574" s="67"/>
      <c r="G574" s="9" t="s">
        <v>413</v>
      </c>
      <c r="H574" s="50" t="s">
        <v>157</v>
      </c>
      <c r="I574" s="67"/>
      <c r="J574" s="67"/>
      <c r="K574" s="67"/>
      <c r="L574" s="67"/>
      <c r="M574" s="67"/>
      <c r="N574" s="67"/>
      <c r="O574" s="67"/>
      <c r="P574" s="67"/>
      <c r="Q574" s="67"/>
      <c r="R574" s="67"/>
      <c r="S574" s="335"/>
      <c r="T574" s="335"/>
      <c r="U574" s="335"/>
      <c r="V574" s="201">
        <f>V$154</f>
        <v>0</v>
      </c>
      <c r="W574" s="10">
        <f>W$154</f>
        <v>0</v>
      </c>
      <c r="X574" s="10">
        <f>X$154</f>
        <v>0</v>
      </c>
      <c r="Y574" s="10">
        <f>Y$154</f>
        <v>0</v>
      </c>
      <c r="Z574" s="67"/>
      <c r="AA574" s="10">
        <f t="shared" ref="AA574:BJ574" si="755">AA$154</f>
        <v>0</v>
      </c>
      <c r="AB574" s="10">
        <f t="shared" si="755"/>
        <v>0</v>
      </c>
      <c r="AC574" s="10">
        <f t="shared" si="755"/>
        <v>0</v>
      </c>
      <c r="AD574" s="10">
        <f t="shared" si="755"/>
        <v>0</v>
      </c>
      <c r="AE574" s="10">
        <f t="shared" si="755"/>
        <v>0</v>
      </c>
      <c r="AF574" s="10">
        <f t="shared" si="755"/>
        <v>0</v>
      </c>
      <c r="AG574" s="10">
        <f t="shared" si="755"/>
        <v>0</v>
      </c>
      <c r="AH574" s="10">
        <f t="shared" si="755"/>
        <v>0</v>
      </c>
      <c r="AI574" s="10">
        <f t="shared" si="755"/>
        <v>0</v>
      </c>
      <c r="AJ574" s="10">
        <f t="shared" si="755"/>
        <v>0</v>
      </c>
      <c r="AK574" s="10">
        <f t="shared" si="755"/>
        <v>0</v>
      </c>
      <c r="AL574" s="10">
        <f t="shared" si="755"/>
        <v>0</v>
      </c>
      <c r="AM574" s="10">
        <f t="shared" si="755"/>
        <v>0</v>
      </c>
      <c r="AN574" s="10">
        <f t="shared" si="755"/>
        <v>0</v>
      </c>
      <c r="AO574" s="10">
        <f t="shared" si="755"/>
        <v>0</v>
      </c>
      <c r="AP574" s="10">
        <f t="shared" si="755"/>
        <v>0</v>
      </c>
      <c r="AQ574" s="10">
        <f t="shared" si="755"/>
        <v>0</v>
      </c>
      <c r="AR574" s="10">
        <f t="shared" si="755"/>
        <v>0</v>
      </c>
      <c r="AS574" s="10">
        <f t="shared" si="755"/>
        <v>0</v>
      </c>
      <c r="AT574" s="10">
        <f t="shared" si="755"/>
        <v>0</v>
      </c>
      <c r="AU574" s="10">
        <f t="shared" si="755"/>
        <v>0</v>
      </c>
      <c r="AV574" s="10">
        <f t="shared" si="755"/>
        <v>0</v>
      </c>
      <c r="AW574" s="10">
        <f t="shared" si="755"/>
        <v>0</v>
      </c>
      <c r="AX574" s="10">
        <f t="shared" si="755"/>
        <v>0</v>
      </c>
      <c r="AY574" s="10">
        <f t="shared" si="755"/>
        <v>0</v>
      </c>
      <c r="AZ574" s="10">
        <f t="shared" si="755"/>
        <v>0</v>
      </c>
      <c r="BA574" s="10">
        <f t="shared" si="755"/>
        <v>0</v>
      </c>
      <c r="BB574" s="10">
        <f t="shared" si="755"/>
        <v>0</v>
      </c>
      <c r="BC574" s="10">
        <f t="shared" si="755"/>
        <v>0</v>
      </c>
      <c r="BD574" s="10">
        <f t="shared" si="755"/>
        <v>0</v>
      </c>
      <c r="BE574" s="10">
        <f t="shared" si="755"/>
        <v>0</v>
      </c>
      <c r="BF574" s="10">
        <f t="shared" si="755"/>
        <v>0</v>
      </c>
      <c r="BG574" s="10">
        <f t="shared" si="755"/>
        <v>0</v>
      </c>
      <c r="BH574" s="10">
        <f t="shared" si="755"/>
        <v>0</v>
      </c>
      <c r="BI574" s="10">
        <f t="shared" si="755"/>
        <v>0</v>
      </c>
      <c r="BJ574" s="10">
        <f t="shared" si="755"/>
        <v>0</v>
      </c>
      <c r="BK574" s="67"/>
      <c r="BL574" s="10">
        <f t="shared" ref="BL574:BW574" si="756">BL$154</f>
        <v>0</v>
      </c>
      <c r="BM574" s="10">
        <f t="shared" si="756"/>
        <v>0</v>
      </c>
      <c r="BN574" s="10">
        <f t="shared" si="756"/>
        <v>0</v>
      </c>
      <c r="BO574" s="10">
        <f t="shared" si="756"/>
        <v>0</v>
      </c>
      <c r="BP574" s="10">
        <f t="shared" si="756"/>
        <v>0</v>
      </c>
      <c r="BQ574" s="10">
        <f t="shared" si="756"/>
        <v>0</v>
      </c>
      <c r="BR574" s="10">
        <f t="shared" si="756"/>
        <v>0</v>
      </c>
      <c r="BS574" s="10">
        <f t="shared" si="756"/>
        <v>0</v>
      </c>
      <c r="BT574" s="10">
        <f t="shared" si="756"/>
        <v>0</v>
      </c>
      <c r="BU574" s="10">
        <f t="shared" si="756"/>
        <v>0</v>
      </c>
      <c r="BV574" s="10">
        <f t="shared" si="756"/>
        <v>0</v>
      </c>
      <c r="BW574" s="10">
        <f t="shared" si="756"/>
        <v>0</v>
      </c>
      <c r="BX574" s="67"/>
      <c r="BY574" s="12"/>
      <c r="CA574" s="12"/>
      <c r="CG574" s="67"/>
      <c r="CH574" s="67"/>
      <c r="CI574" s="67"/>
      <c r="CK574" s="67"/>
      <c r="CL574" s="67"/>
      <c r="CR574" s="12"/>
      <c r="EX574" s="10" t="str">
        <f t="shared" si="638"/>
        <v/>
      </c>
    </row>
    <row r="575" spans="1:154" x14ac:dyDescent="0.25">
      <c r="A575" s="67"/>
      <c r="B575" s="84" t="str" cm="1">
        <f t="array" aca="1" ref="B575" ca="1">HYPERLINK(CONCATENATE("#",CELL("address",$D$161)),$D$161)</f>
        <v>Loan 7</v>
      </c>
      <c r="C575" s="380"/>
      <c r="D575" s="60">
        <f>D$19</f>
        <v>0</v>
      </c>
      <c r="E575" s="60">
        <f>E$19</f>
        <v>0</v>
      </c>
      <c r="F575" s="67"/>
      <c r="G575" s="9" t="s">
        <v>413</v>
      </c>
      <c r="H575" s="50" t="s">
        <v>157</v>
      </c>
      <c r="I575" s="67"/>
      <c r="J575" s="67"/>
      <c r="K575" s="67"/>
      <c r="L575" s="67"/>
      <c r="M575" s="67"/>
      <c r="N575" s="67"/>
      <c r="O575" s="67"/>
      <c r="P575" s="67"/>
      <c r="Q575" s="67"/>
      <c r="R575" s="67"/>
      <c r="S575" s="335"/>
      <c r="T575" s="335"/>
      <c r="U575" s="335"/>
      <c r="V575" s="201">
        <f>V$173</f>
        <v>0</v>
      </c>
      <c r="W575" s="10">
        <f>W$173</f>
        <v>0</v>
      </c>
      <c r="X575" s="10">
        <f>X$173</f>
        <v>0</v>
      </c>
      <c r="Y575" s="10">
        <f>Y$173</f>
        <v>0</v>
      </c>
      <c r="Z575" s="67"/>
      <c r="AA575" s="10">
        <f t="shared" ref="AA575:BJ575" si="757">AA$173</f>
        <v>0</v>
      </c>
      <c r="AB575" s="10">
        <f t="shared" si="757"/>
        <v>0</v>
      </c>
      <c r="AC575" s="10">
        <f t="shared" si="757"/>
        <v>0</v>
      </c>
      <c r="AD575" s="10">
        <f t="shared" si="757"/>
        <v>0</v>
      </c>
      <c r="AE575" s="10">
        <f t="shared" si="757"/>
        <v>0</v>
      </c>
      <c r="AF575" s="10">
        <f t="shared" si="757"/>
        <v>0</v>
      </c>
      <c r="AG575" s="10">
        <f t="shared" si="757"/>
        <v>0</v>
      </c>
      <c r="AH575" s="10">
        <f t="shared" si="757"/>
        <v>0</v>
      </c>
      <c r="AI575" s="10">
        <f t="shared" si="757"/>
        <v>0</v>
      </c>
      <c r="AJ575" s="10">
        <f t="shared" si="757"/>
        <v>0</v>
      </c>
      <c r="AK575" s="10">
        <f t="shared" si="757"/>
        <v>0</v>
      </c>
      <c r="AL575" s="10">
        <f t="shared" si="757"/>
        <v>0</v>
      </c>
      <c r="AM575" s="10">
        <f t="shared" si="757"/>
        <v>0</v>
      </c>
      <c r="AN575" s="10">
        <f t="shared" si="757"/>
        <v>0</v>
      </c>
      <c r="AO575" s="10">
        <f t="shared" si="757"/>
        <v>0</v>
      </c>
      <c r="AP575" s="10">
        <f t="shared" si="757"/>
        <v>0</v>
      </c>
      <c r="AQ575" s="10">
        <f t="shared" si="757"/>
        <v>0</v>
      </c>
      <c r="AR575" s="10">
        <f t="shared" si="757"/>
        <v>0</v>
      </c>
      <c r="AS575" s="10">
        <f t="shared" si="757"/>
        <v>0</v>
      </c>
      <c r="AT575" s="10">
        <f t="shared" si="757"/>
        <v>0</v>
      </c>
      <c r="AU575" s="10">
        <f t="shared" si="757"/>
        <v>0</v>
      </c>
      <c r="AV575" s="10">
        <f t="shared" si="757"/>
        <v>0</v>
      </c>
      <c r="AW575" s="10">
        <f t="shared" si="757"/>
        <v>0</v>
      </c>
      <c r="AX575" s="10">
        <f t="shared" si="757"/>
        <v>0</v>
      </c>
      <c r="AY575" s="10">
        <f t="shared" si="757"/>
        <v>0</v>
      </c>
      <c r="AZ575" s="10">
        <f t="shared" si="757"/>
        <v>0</v>
      </c>
      <c r="BA575" s="10">
        <f t="shared" si="757"/>
        <v>0</v>
      </c>
      <c r="BB575" s="10">
        <f t="shared" si="757"/>
        <v>0</v>
      </c>
      <c r="BC575" s="10">
        <f t="shared" si="757"/>
        <v>0</v>
      </c>
      <c r="BD575" s="10">
        <f t="shared" si="757"/>
        <v>0</v>
      </c>
      <c r="BE575" s="10">
        <f t="shared" si="757"/>
        <v>0</v>
      </c>
      <c r="BF575" s="10">
        <f t="shared" si="757"/>
        <v>0</v>
      </c>
      <c r="BG575" s="10">
        <f t="shared" si="757"/>
        <v>0</v>
      </c>
      <c r="BH575" s="10">
        <f t="shared" si="757"/>
        <v>0</v>
      </c>
      <c r="BI575" s="10">
        <f t="shared" si="757"/>
        <v>0</v>
      </c>
      <c r="BJ575" s="10">
        <f t="shared" si="757"/>
        <v>0</v>
      </c>
      <c r="BK575" s="67"/>
      <c r="BL575" s="10">
        <f t="shared" ref="BL575:BW575" si="758">BL$173</f>
        <v>0</v>
      </c>
      <c r="BM575" s="10">
        <f t="shared" si="758"/>
        <v>0</v>
      </c>
      <c r="BN575" s="10">
        <f t="shared" si="758"/>
        <v>0</v>
      </c>
      <c r="BO575" s="10">
        <f t="shared" si="758"/>
        <v>0</v>
      </c>
      <c r="BP575" s="10">
        <f t="shared" si="758"/>
        <v>0</v>
      </c>
      <c r="BQ575" s="10">
        <f t="shared" si="758"/>
        <v>0</v>
      </c>
      <c r="BR575" s="10">
        <f t="shared" si="758"/>
        <v>0</v>
      </c>
      <c r="BS575" s="10">
        <f t="shared" si="758"/>
        <v>0</v>
      </c>
      <c r="BT575" s="10">
        <f t="shared" si="758"/>
        <v>0</v>
      </c>
      <c r="BU575" s="10">
        <f t="shared" si="758"/>
        <v>0</v>
      </c>
      <c r="BV575" s="10">
        <f t="shared" si="758"/>
        <v>0</v>
      </c>
      <c r="BW575" s="10">
        <f t="shared" si="758"/>
        <v>0</v>
      </c>
      <c r="BX575" s="67"/>
      <c r="BY575" s="12"/>
      <c r="CA575" s="12"/>
      <c r="CG575" s="67"/>
      <c r="CH575" s="67"/>
      <c r="CI575" s="67"/>
      <c r="CK575" s="67"/>
      <c r="CL575" s="67"/>
      <c r="CR575" s="12"/>
      <c r="EX575" s="10" t="str">
        <f t="shared" si="638"/>
        <v/>
      </c>
    </row>
    <row r="576" spans="1:154" x14ac:dyDescent="0.25">
      <c r="A576" s="67"/>
      <c r="B576" s="84" t="str" cm="1">
        <f t="array" aca="1" ref="B576" ca="1">HYPERLINK(CONCATENATE("#",CELL("address",$D$180)),$D$180)</f>
        <v>Loan 8</v>
      </c>
      <c r="C576" s="380"/>
      <c r="D576" s="60">
        <f>D$20</f>
        <v>0</v>
      </c>
      <c r="E576" s="60">
        <f>E$20</f>
        <v>0</v>
      </c>
      <c r="F576" s="67"/>
      <c r="G576" s="9" t="s">
        <v>413</v>
      </c>
      <c r="H576" s="50" t="s">
        <v>157</v>
      </c>
      <c r="I576" s="67"/>
      <c r="J576" s="67"/>
      <c r="K576" s="67"/>
      <c r="L576" s="67"/>
      <c r="M576" s="67"/>
      <c r="N576" s="67"/>
      <c r="O576" s="67"/>
      <c r="P576" s="67"/>
      <c r="Q576" s="67"/>
      <c r="R576" s="67"/>
      <c r="S576" s="335"/>
      <c r="T576" s="335"/>
      <c r="U576" s="335"/>
      <c r="V576" s="201">
        <f>V$192</f>
        <v>0</v>
      </c>
      <c r="W576" s="10">
        <f>W$192</f>
        <v>0</v>
      </c>
      <c r="X576" s="10">
        <f>X$192</f>
        <v>0</v>
      </c>
      <c r="Y576" s="10">
        <f>Y$192</f>
        <v>0</v>
      </c>
      <c r="Z576" s="67"/>
      <c r="AA576" s="10">
        <f t="shared" ref="AA576:BJ576" si="759">AA$192</f>
        <v>0</v>
      </c>
      <c r="AB576" s="10">
        <f t="shared" si="759"/>
        <v>0</v>
      </c>
      <c r="AC576" s="10">
        <f t="shared" si="759"/>
        <v>0</v>
      </c>
      <c r="AD576" s="10">
        <f t="shared" si="759"/>
        <v>0</v>
      </c>
      <c r="AE576" s="10">
        <f t="shared" si="759"/>
        <v>0</v>
      </c>
      <c r="AF576" s="10">
        <f t="shared" si="759"/>
        <v>0</v>
      </c>
      <c r="AG576" s="10">
        <f t="shared" si="759"/>
        <v>0</v>
      </c>
      <c r="AH576" s="10">
        <f t="shared" si="759"/>
        <v>0</v>
      </c>
      <c r="AI576" s="10">
        <f t="shared" si="759"/>
        <v>0</v>
      </c>
      <c r="AJ576" s="10">
        <f t="shared" si="759"/>
        <v>0</v>
      </c>
      <c r="AK576" s="10">
        <f t="shared" si="759"/>
        <v>0</v>
      </c>
      <c r="AL576" s="10">
        <f t="shared" si="759"/>
        <v>0</v>
      </c>
      <c r="AM576" s="10">
        <f t="shared" si="759"/>
        <v>0</v>
      </c>
      <c r="AN576" s="10">
        <f t="shared" si="759"/>
        <v>0</v>
      </c>
      <c r="AO576" s="10">
        <f t="shared" si="759"/>
        <v>0</v>
      </c>
      <c r="AP576" s="10">
        <f t="shared" si="759"/>
        <v>0</v>
      </c>
      <c r="AQ576" s="10">
        <f t="shared" si="759"/>
        <v>0</v>
      </c>
      <c r="AR576" s="10">
        <f t="shared" si="759"/>
        <v>0</v>
      </c>
      <c r="AS576" s="10">
        <f t="shared" si="759"/>
        <v>0</v>
      </c>
      <c r="AT576" s="10">
        <f t="shared" si="759"/>
        <v>0</v>
      </c>
      <c r="AU576" s="10">
        <f t="shared" si="759"/>
        <v>0</v>
      </c>
      <c r="AV576" s="10">
        <f t="shared" si="759"/>
        <v>0</v>
      </c>
      <c r="AW576" s="10">
        <f t="shared" si="759"/>
        <v>0</v>
      </c>
      <c r="AX576" s="10">
        <f t="shared" si="759"/>
        <v>0</v>
      </c>
      <c r="AY576" s="10">
        <f t="shared" si="759"/>
        <v>0</v>
      </c>
      <c r="AZ576" s="10">
        <f t="shared" si="759"/>
        <v>0</v>
      </c>
      <c r="BA576" s="10">
        <f t="shared" si="759"/>
        <v>0</v>
      </c>
      <c r="BB576" s="10">
        <f t="shared" si="759"/>
        <v>0</v>
      </c>
      <c r="BC576" s="10">
        <f t="shared" si="759"/>
        <v>0</v>
      </c>
      <c r="BD576" s="10">
        <f t="shared" si="759"/>
        <v>0</v>
      </c>
      <c r="BE576" s="10">
        <f t="shared" si="759"/>
        <v>0</v>
      </c>
      <c r="BF576" s="10">
        <f t="shared" si="759"/>
        <v>0</v>
      </c>
      <c r="BG576" s="10">
        <f t="shared" si="759"/>
        <v>0</v>
      </c>
      <c r="BH576" s="10">
        <f t="shared" si="759"/>
        <v>0</v>
      </c>
      <c r="BI576" s="10">
        <f t="shared" si="759"/>
        <v>0</v>
      </c>
      <c r="BJ576" s="10">
        <f t="shared" si="759"/>
        <v>0</v>
      </c>
      <c r="BK576" s="67"/>
      <c r="BL576" s="10">
        <f t="shared" ref="BL576:BW576" si="760">BL$192</f>
        <v>0</v>
      </c>
      <c r="BM576" s="10">
        <f t="shared" si="760"/>
        <v>0</v>
      </c>
      <c r="BN576" s="10">
        <f t="shared" si="760"/>
        <v>0</v>
      </c>
      <c r="BO576" s="10">
        <f t="shared" si="760"/>
        <v>0</v>
      </c>
      <c r="BP576" s="10">
        <f t="shared" si="760"/>
        <v>0</v>
      </c>
      <c r="BQ576" s="10">
        <f t="shared" si="760"/>
        <v>0</v>
      </c>
      <c r="BR576" s="10">
        <f t="shared" si="760"/>
        <v>0</v>
      </c>
      <c r="BS576" s="10">
        <f t="shared" si="760"/>
        <v>0</v>
      </c>
      <c r="BT576" s="10">
        <f t="shared" si="760"/>
        <v>0</v>
      </c>
      <c r="BU576" s="10">
        <f t="shared" si="760"/>
        <v>0</v>
      </c>
      <c r="BV576" s="10">
        <f t="shared" si="760"/>
        <v>0</v>
      </c>
      <c r="BW576" s="10">
        <f t="shared" si="760"/>
        <v>0</v>
      </c>
      <c r="BX576" s="67"/>
      <c r="BY576" s="12"/>
      <c r="CA576" s="12"/>
      <c r="CG576" s="67"/>
      <c r="CH576" s="67"/>
      <c r="CI576" s="67"/>
      <c r="CK576" s="67"/>
      <c r="CL576" s="67"/>
      <c r="CR576" s="12"/>
      <c r="EX576" s="10" t="str">
        <f t="shared" si="638"/>
        <v/>
      </c>
    </row>
    <row r="577" spans="1:154" x14ac:dyDescent="0.25">
      <c r="A577" s="67"/>
      <c r="B577" s="84" t="str" cm="1">
        <f t="array" aca="1" ref="B577" ca="1">HYPERLINK(CONCATENATE("#",CELL("address",$D$199)),$D$199)</f>
        <v>Loan 9</v>
      </c>
      <c r="C577" s="380"/>
      <c r="D577" s="60">
        <f>D$21</f>
        <v>0</v>
      </c>
      <c r="E577" s="60">
        <f>E$21</f>
        <v>0</v>
      </c>
      <c r="F577" s="67"/>
      <c r="G577" s="9" t="s">
        <v>413</v>
      </c>
      <c r="H577" s="50" t="s">
        <v>157</v>
      </c>
      <c r="I577" s="67"/>
      <c r="J577" s="67"/>
      <c r="K577" s="67"/>
      <c r="L577" s="67"/>
      <c r="M577" s="67"/>
      <c r="N577" s="67"/>
      <c r="O577" s="67"/>
      <c r="P577" s="67"/>
      <c r="Q577" s="67"/>
      <c r="R577" s="67"/>
      <c r="S577" s="335"/>
      <c r="T577" s="335"/>
      <c r="U577" s="335"/>
      <c r="V577" s="201">
        <f>V$211</f>
        <v>0</v>
      </c>
      <c r="W577" s="10">
        <f>W$211</f>
        <v>0</v>
      </c>
      <c r="X577" s="10">
        <f>X$211</f>
        <v>0</v>
      </c>
      <c r="Y577" s="10">
        <f>Y$211</f>
        <v>0</v>
      </c>
      <c r="Z577" s="67"/>
      <c r="AA577" s="10">
        <f t="shared" ref="AA577:BJ577" si="761">AA$211</f>
        <v>0</v>
      </c>
      <c r="AB577" s="10">
        <f t="shared" si="761"/>
        <v>0</v>
      </c>
      <c r="AC577" s="10">
        <f t="shared" si="761"/>
        <v>0</v>
      </c>
      <c r="AD577" s="10">
        <f t="shared" si="761"/>
        <v>0</v>
      </c>
      <c r="AE577" s="10">
        <f t="shared" si="761"/>
        <v>0</v>
      </c>
      <c r="AF577" s="10">
        <f t="shared" si="761"/>
        <v>0</v>
      </c>
      <c r="AG577" s="10">
        <f t="shared" si="761"/>
        <v>0</v>
      </c>
      <c r="AH577" s="10">
        <f t="shared" si="761"/>
        <v>0</v>
      </c>
      <c r="AI577" s="10">
        <f t="shared" si="761"/>
        <v>0</v>
      </c>
      <c r="AJ577" s="10">
        <f t="shared" si="761"/>
        <v>0</v>
      </c>
      <c r="AK577" s="10">
        <f t="shared" si="761"/>
        <v>0</v>
      </c>
      <c r="AL577" s="10">
        <f t="shared" si="761"/>
        <v>0</v>
      </c>
      <c r="AM577" s="10">
        <f t="shared" si="761"/>
        <v>0</v>
      </c>
      <c r="AN577" s="10">
        <f t="shared" si="761"/>
        <v>0</v>
      </c>
      <c r="AO577" s="10">
        <f t="shared" si="761"/>
        <v>0</v>
      </c>
      <c r="AP577" s="10">
        <f t="shared" si="761"/>
        <v>0</v>
      </c>
      <c r="AQ577" s="10">
        <f t="shared" si="761"/>
        <v>0</v>
      </c>
      <c r="AR577" s="10">
        <f t="shared" si="761"/>
        <v>0</v>
      </c>
      <c r="AS577" s="10">
        <f t="shared" si="761"/>
        <v>0</v>
      </c>
      <c r="AT577" s="10">
        <f t="shared" si="761"/>
        <v>0</v>
      </c>
      <c r="AU577" s="10">
        <f t="shared" si="761"/>
        <v>0</v>
      </c>
      <c r="AV577" s="10">
        <f t="shared" si="761"/>
        <v>0</v>
      </c>
      <c r="AW577" s="10">
        <f t="shared" si="761"/>
        <v>0</v>
      </c>
      <c r="AX577" s="10">
        <f t="shared" si="761"/>
        <v>0</v>
      </c>
      <c r="AY577" s="10">
        <f t="shared" si="761"/>
        <v>0</v>
      </c>
      <c r="AZ577" s="10">
        <f t="shared" si="761"/>
        <v>0</v>
      </c>
      <c r="BA577" s="10">
        <f t="shared" si="761"/>
        <v>0</v>
      </c>
      <c r="BB577" s="10">
        <f t="shared" si="761"/>
        <v>0</v>
      </c>
      <c r="BC577" s="10">
        <f t="shared" si="761"/>
        <v>0</v>
      </c>
      <c r="BD577" s="10">
        <f t="shared" si="761"/>
        <v>0</v>
      </c>
      <c r="BE577" s="10">
        <f t="shared" si="761"/>
        <v>0</v>
      </c>
      <c r="BF577" s="10">
        <f t="shared" si="761"/>
        <v>0</v>
      </c>
      <c r="BG577" s="10">
        <f t="shared" si="761"/>
        <v>0</v>
      </c>
      <c r="BH577" s="10">
        <f t="shared" si="761"/>
        <v>0</v>
      </c>
      <c r="BI577" s="10">
        <f t="shared" si="761"/>
        <v>0</v>
      </c>
      <c r="BJ577" s="10">
        <f t="shared" si="761"/>
        <v>0</v>
      </c>
      <c r="BK577" s="67"/>
      <c r="BL577" s="10">
        <f t="shared" ref="BL577:BW577" si="762">BL$211</f>
        <v>0</v>
      </c>
      <c r="BM577" s="10">
        <f t="shared" si="762"/>
        <v>0</v>
      </c>
      <c r="BN577" s="10">
        <f t="shared" si="762"/>
        <v>0</v>
      </c>
      <c r="BO577" s="10">
        <f t="shared" si="762"/>
        <v>0</v>
      </c>
      <c r="BP577" s="10">
        <f t="shared" si="762"/>
        <v>0</v>
      </c>
      <c r="BQ577" s="10">
        <f t="shared" si="762"/>
        <v>0</v>
      </c>
      <c r="BR577" s="10">
        <f t="shared" si="762"/>
        <v>0</v>
      </c>
      <c r="BS577" s="10">
        <f t="shared" si="762"/>
        <v>0</v>
      </c>
      <c r="BT577" s="10">
        <f t="shared" si="762"/>
        <v>0</v>
      </c>
      <c r="BU577" s="10">
        <f t="shared" si="762"/>
        <v>0</v>
      </c>
      <c r="BV577" s="10">
        <f t="shared" si="762"/>
        <v>0</v>
      </c>
      <c r="BW577" s="10">
        <f t="shared" si="762"/>
        <v>0</v>
      </c>
      <c r="BX577" s="67"/>
      <c r="BY577" s="12"/>
      <c r="CA577" s="12"/>
      <c r="CG577" s="67"/>
      <c r="CH577" s="67"/>
      <c r="CI577" s="67"/>
      <c r="CK577" s="67"/>
      <c r="CL577" s="67"/>
      <c r="CR577" s="12"/>
      <c r="EX577" s="10" t="str">
        <f t="shared" si="638"/>
        <v/>
      </c>
    </row>
    <row r="578" spans="1:154" x14ac:dyDescent="0.25">
      <c r="A578" s="67"/>
      <c r="B578" s="84" t="str" cm="1">
        <f t="array" aca="1" ref="B578" ca="1">HYPERLINK(CONCATENATE("#",CELL("address",$D$218)),$D$218)</f>
        <v>Loan 10</v>
      </c>
      <c r="C578" s="380"/>
      <c r="D578" s="60">
        <f>D$22</f>
        <v>0</v>
      </c>
      <c r="E578" s="60">
        <f>E$22</f>
        <v>0</v>
      </c>
      <c r="F578" s="67"/>
      <c r="G578" s="9" t="s">
        <v>413</v>
      </c>
      <c r="H578" s="50" t="s">
        <v>157</v>
      </c>
      <c r="I578" s="67"/>
      <c r="J578" s="67"/>
      <c r="K578" s="67"/>
      <c r="L578" s="67"/>
      <c r="M578" s="67"/>
      <c r="N578" s="67"/>
      <c r="O578" s="67"/>
      <c r="P578" s="67"/>
      <c r="Q578" s="67"/>
      <c r="R578" s="67"/>
      <c r="S578" s="335"/>
      <c r="T578" s="335"/>
      <c r="U578" s="335"/>
      <c r="V578" s="201">
        <f>V$230</f>
        <v>0</v>
      </c>
      <c r="W578" s="10">
        <f>W$230</f>
        <v>0</v>
      </c>
      <c r="X578" s="10">
        <f>X$230</f>
        <v>0</v>
      </c>
      <c r="Y578" s="10">
        <f>Y$230</f>
        <v>0</v>
      </c>
      <c r="Z578" s="67"/>
      <c r="AA578" s="10">
        <f t="shared" ref="AA578:BJ578" si="763">AA$230</f>
        <v>0</v>
      </c>
      <c r="AB578" s="10">
        <f t="shared" si="763"/>
        <v>0</v>
      </c>
      <c r="AC578" s="10">
        <f t="shared" si="763"/>
        <v>0</v>
      </c>
      <c r="AD578" s="10">
        <f t="shared" si="763"/>
        <v>0</v>
      </c>
      <c r="AE578" s="10">
        <f t="shared" si="763"/>
        <v>0</v>
      </c>
      <c r="AF578" s="10">
        <f t="shared" si="763"/>
        <v>0</v>
      </c>
      <c r="AG578" s="10">
        <f t="shared" si="763"/>
        <v>0</v>
      </c>
      <c r="AH578" s="10">
        <f t="shared" si="763"/>
        <v>0</v>
      </c>
      <c r="AI578" s="10">
        <f t="shared" si="763"/>
        <v>0</v>
      </c>
      <c r="AJ578" s="10">
        <f t="shared" si="763"/>
        <v>0</v>
      </c>
      <c r="AK578" s="10">
        <f t="shared" si="763"/>
        <v>0</v>
      </c>
      <c r="AL578" s="10">
        <f t="shared" si="763"/>
        <v>0</v>
      </c>
      <c r="AM578" s="10">
        <f t="shared" si="763"/>
        <v>0</v>
      </c>
      <c r="AN578" s="10">
        <f t="shared" si="763"/>
        <v>0</v>
      </c>
      <c r="AO578" s="10">
        <f t="shared" si="763"/>
        <v>0</v>
      </c>
      <c r="AP578" s="10">
        <f t="shared" si="763"/>
        <v>0</v>
      </c>
      <c r="AQ578" s="10">
        <f t="shared" si="763"/>
        <v>0</v>
      </c>
      <c r="AR578" s="10">
        <f t="shared" si="763"/>
        <v>0</v>
      </c>
      <c r="AS578" s="10">
        <f t="shared" si="763"/>
        <v>0</v>
      </c>
      <c r="AT578" s="10">
        <f t="shared" si="763"/>
        <v>0</v>
      </c>
      <c r="AU578" s="10">
        <f t="shared" si="763"/>
        <v>0</v>
      </c>
      <c r="AV578" s="10">
        <f t="shared" si="763"/>
        <v>0</v>
      </c>
      <c r="AW578" s="10">
        <f t="shared" si="763"/>
        <v>0</v>
      </c>
      <c r="AX578" s="10">
        <f t="shared" si="763"/>
        <v>0</v>
      </c>
      <c r="AY578" s="10">
        <f t="shared" si="763"/>
        <v>0</v>
      </c>
      <c r="AZ578" s="10">
        <f t="shared" si="763"/>
        <v>0</v>
      </c>
      <c r="BA578" s="10">
        <f t="shared" si="763"/>
        <v>0</v>
      </c>
      <c r="BB578" s="10">
        <f t="shared" si="763"/>
        <v>0</v>
      </c>
      <c r="BC578" s="10">
        <f t="shared" si="763"/>
        <v>0</v>
      </c>
      <c r="BD578" s="10">
        <f t="shared" si="763"/>
        <v>0</v>
      </c>
      <c r="BE578" s="10">
        <f t="shared" si="763"/>
        <v>0</v>
      </c>
      <c r="BF578" s="10">
        <f t="shared" si="763"/>
        <v>0</v>
      </c>
      <c r="BG578" s="10">
        <f t="shared" si="763"/>
        <v>0</v>
      </c>
      <c r="BH578" s="10">
        <f t="shared" si="763"/>
        <v>0</v>
      </c>
      <c r="BI578" s="10">
        <f t="shared" si="763"/>
        <v>0</v>
      </c>
      <c r="BJ578" s="10">
        <f t="shared" si="763"/>
        <v>0</v>
      </c>
      <c r="BK578" s="67"/>
      <c r="BL578" s="10">
        <f t="shared" ref="BL578:BW578" si="764">BL$230</f>
        <v>0</v>
      </c>
      <c r="BM578" s="10">
        <f t="shared" si="764"/>
        <v>0</v>
      </c>
      <c r="BN578" s="10">
        <f t="shared" si="764"/>
        <v>0</v>
      </c>
      <c r="BO578" s="10">
        <f t="shared" si="764"/>
        <v>0</v>
      </c>
      <c r="BP578" s="10">
        <f t="shared" si="764"/>
        <v>0</v>
      </c>
      <c r="BQ578" s="10">
        <f t="shared" si="764"/>
        <v>0</v>
      </c>
      <c r="BR578" s="10">
        <f t="shared" si="764"/>
        <v>0</v>
      </c>
      <c r="BS578" s="10">
        <f t="shared" si="764"/>
        <v>0</v>
      </c>
      <c r="BT578" s="10">
        <f t="shared" si="764"/>
        <v>0</v>
      </c>
      <c r="BU578" s="10">
        <f t="shared" si="764"/>
        <v>0</v>
      </c>
      <c r="BV578" s="10">
        <f t="shared" si="764"/>
        <v>0</v>
      </c>
      <c r="BW578" s="10">
        <f t="shared" si="764"/>
        <v>0</v>
      </c>
      <c r="BX578" s="67"/>
      <c r="BY578" s="12"/>
      <c r="CA578" s="12"/>
      <c r="CG578" s="67"/>
      <c r="CH578" s="67"/>
      <c r="CI578" s="67"/>
      <c r="CK578" s="67"/>
      <c r="CL578" s="67"/>
      <c r="CR578" s="12"/>
      <c r="EX578" s="10" t="str">
        <f t="shared" si="638"/>
        <v/>
      </c>
    </row>
    <row r="579" spans="1:154" x14ac:dyDescent="0.25">
      <c r="A579" s="67"/>
      <c r="B579" s="84" t="str" cm="1">
        <f t="array" aca="1" ref="B579" ca="1">HYPERLINK(CONCATENATE("#",CELL("address",$D$237)),$D$237)</f>
        <v>Loan 11</v>
      </c>
      <c r="C579" s="380"/>
      <c r="D579" s="60">
        <f>D$23</f>
        <v>0</v>
      </c>
      <c r="E579" s="60">
        <f>E$23</f>
        <v>0</v>
      </c>
      <c r="F579" s="67"/>
      <c r="G579" s="9" t="s">
        <v>413</v>
      </c>
      <c r="H579" s="50" t="s">
        <v>157</v>
      </c>
      <c r="I579" s="67"/>
      <c r="J579" s="67"/>
      <c r="K579" s="67"/>
      <c r="L579" s="67"/>
      <c r="M579" s="67"/>
      <c r="N579" s="67"/>
      <c r="O579" s="67"/>
      <c r="P579" s="67"/>
      <c r="Q579" s="67"/>
      <c r="R579" s="67"/>
      <c r="S579" s="335"/>
      <c r="T579" s="335"/>
      <c r="U579" s="335"/>
      <c r="V579" s="201">
        <f>V$249</f>
        <v>0</v>
      </c>
      <c r="W579" s="10">
        <f>W$249</f>
        <v>0</v>
      </c>
      <c r="X579" s="10">
        <f>X$249</f>
        <v>0</v>
      </c>
      <c r="Y579" s="10">
        <f>Y$249</f>
        <v>0</v>
      </c>
      <c r="Z579" s="67"/>
      <c r="AA579" s="10">
        <f t="shared" ref="AA579:BJ579" si="765">AA$249</f>
        <v>0</v>
      </c>
      <c r="AB579" s="10">
        <f t="shared" si="765"/>
        <v>0</v>
      </c>
      <c r="AC579" s="10">
        <f t="shared" si="765"/>
        <v>0</v>
      </c>
      <c r="AD579" s="10">
        <f t="shared" si="765"/>
        <v>0</v>
      </c>
      <c r="AE579" s="10">
        <f t="shared" si="765"/>
        <v>0</v>
      </c>
      <c r="AF579" s="10">
        <f t="shared" si="765"/>
        <v>0</v>
      </c>
      <c r="AG579" s="10">
        <f t="shared" si="765"/>
        <v>0</v>
      </c>
      <c r="AH579" s="10">
        <f t="shared" si="765"/>
        <v>0</v>
      </c>
      <c r="AI579" s="10">
        <f t="shared" si="765"/>
        <v>0</v>
      </c>
      <c r="AJ579" s="10">
        <f t="shared" si="765"/>
        <v>0</v>
      </c>
      <c r="AK579" s="10">
        <f t="shared" si="765"/>
        <v>0</v>
      </c>
      <c r="AL579" s="10">
        <f t="shared" si="765"/>
        <v>0</v>
      </c>
      <c r="AM579" s="10">
        <f t="shared" si="765"/>
        <v>0</v>
      </c>
      <c r="AN579" s="10">
        <f t="shared" si="765"/>
        <v>0</v>
      </c>
      <c r="AO579" s="10">
        <f t="shared" si="765"/>
        <v>0</v>
      </c>
      <c r="AP579" s="10">
        <f t="shared" si="765"/>
        <v>0</v>
      </c>
      <c r="AQ579" s="10">
        <f t="shared" si="765"/>
        <v>0</v>
      </c>
      <c r="AR579" s="10">
        <f t="shared" si="765"/>
        <v>0</v>
      </c>
      <c r="AS579" s="10">
        <f t="shared" si="765"/>
        <v>0</v>
      </c>
      <c r="AT579" s="10">
        <f t="shared" si="765"/>
        <v>0</v>
      </c>
      <c r="AU579" s="10">
        <f t="shared" si="765"/>
        <v>0</v>
      </c>
      <c r="AV579" s="10">
        <f t="shared" si="765"/>
        <v>0</v>
      </c>
      <c r="AW579" s="10">
        <f t="shared" si="765"/>
        <v>0</v>
      </c>
      <c r="AX579" s="10">
        <f t="shared" si="765"/>
        <v>0</v>
      </c>
      <c r="AY579" s="10">
        <f t="shared" si="765"/>
        <v>0</v>
      </c>
      <c r="AZ579" s="10">
        <f t="shared" si="765"/>
        <v>0</v>
      </c>
      <c r="BA579" s="10">
        <f t="shared" si="765"/>
        <v>0</v>
      </c>
      <c r="BB579" s="10">
        <f t="shared" si="765"/>
        <v>0</v>
      </c>
      <c r="BC579" s="10">
        <f t="shared" si="765"/>
        <v>0</v>
      </c>
      <c r="BD579" s="10">
        <f t="shared" si="765"/>
        <v>0</v>
      </c>
      <c r="BE579" s="10">
        <f t="shared" si="765"/>
        <v>0</v>
      </c>
      <c r="BF579" s="10">
        <f t="shared" si="765"/>
        <v>0</v>
      </c>
      <c r="BG579" s="10">
        <f t="shared" si="765"/>
        <v>0</v>
      </c>
      <c r="BH579" s="10">
        <f t="shared" si="765"/>
        <v>0</v>
      </c>
      <c r="BI579" s="10">
        <f t="shared" si="765"/>
        <v>0</v>
      </c>
      <c r="BJ579" s="10">
        <f t="shared" si="765"/>
        <v>0</v>
      </c>
      <c r="BK579" s="67"/>
      <c r="BL579" s="10">
        <f t="shared" ref="BL579:BW579" si="766">BL$249</f>
        <v>0</v>
      </c>
      <c r="BM579" s="10">
        <f t="shared" si="766"/>
        <v>0</v>
      </c>
      <c r="BN579" s="10">
        <f t="shared" si="766"/>
        <v>0</v>
      </c>
      <c r="BO579" s="10">
        <f t="shared" si="766"/>
        <v>0</v>
      </c>
      <c r="BP579" s="10">
        <f t="shared" si="766"/>
        <v>0</v>
      </c>
      <c r="BQ579" s="10">
        <f t="shared" si="766"/>
        <v>0</v>
      </c>
      <c r="BR579" s="10">
        <f t="shared" si="766"/>
        <v>0</v>
      </c>
      <c r="BS579" s="10">
        <f t="shared" si="766"/>
        <v>0</v>
      </c>
      <c r="BT579" s="10">
        <f t="shared" si="766"/>
        <v>0</v>
      </c>
      <c r="BU579" s="10">
        <f t="shared" si="766"/>
        <v>0</v>
      </c>
      <c r="BV579" s="10">
        <f t="shared" si="766"/>
        <v>0</v>
      </c>
      <c r="BW579" s="10">
        <f t="shared" si="766"/>
        <v>0</v>
      </c>
      <c r="BX579" s="67"/>
      <c r="BY579" s="12"/>
      <c r="CA579" s="12"/>
      <c r="CG579" s="67"/>
      <c r="CH579" s="67"/>
      <c r="CI579" s="67"/>
      <c r="CK579" s="67"/>
      <c r="CL579" s="67"/>
      <c r="CR579" s="12"/>
      <c r="EX579" s="10" t="str">
        <f t="shared" si="638"/>
        <v/>
      </c>
    </row>
    <row r="580" spans="1:154" x14ac:dyDescent="0.25">
      <c r="A580" s="67"/>
      <c r="B580" s="84" t="str" cm="1">
        <f t="array" aca="1" ref="B580" ca="1">HYPERLINK(CONCATENATE("#",CELL("address",$D$256)),$D$256)</f>
        <v>Loan 12</v>
      </c>
      <c r="C580" s="380"/>
      <c r="D580" s="60">
        <f>D$24</f>
        <v>0</v>
      </c>
      <c r="E580" s="60">
        <f>E$24</f>
        <v>0</v>
      </c>
      <c r="F580" s="67"/>
      <c r="G580" s="9" t="s">
        <v>413</v>
      </c>
      <c r="H580" s="50" t="s">
        <v>157</v>
      </c>
      <c r="I580" s="67"/>
      <c r="J580" s="67"/>
      <c r="K580" s="67"/>
      <c r="L580" s="67"/>
      <c r="M580" s="67"/>
      <c r="N580" s="67"/>
      <c r="O580" s="67"/>
      <c r="P580" s="67"/>
      <c r="Q580" s="67"/>
      <c r="R580" s="67"/>
      <c r="S580" s="335"/>
      <c r="T580" s="335"/>
      <c r="U580" s="335"/>
      <c r="V580" s="201">
        <f>V$268</f>
        <v>0</v>
      </c>
      <c r="W580" s="10">
        <f>W$268</f>
        <v>0</v>
      </c>
      <c r="X580" s="10">
        <f>X$268</f>
        <v>0</v>
      </c>
      <c r="Y580" s="10">
        <f>Y$268</f>
        <v>0</v>
      </c>
      <c r="Z580" s="67"/>
      <c r="AA580" s="10">
        <f t="shared" ref="AA580:BJ580" si="767">AA$268</f>
        <v>0</v>
      </c>
      <c r="AB580" s="10">
        <f t="shared" si="767"/>
        <v>0</v>
      </c>
      <c r="AC580" s="10">
        <f t="shared" si="767"/>
        <v>0</v>
      </c>
      <c r="AD580" s="10">
        <f t="shared" si="767"/>
        <v>0</v>
      </c>
      <c r="AE580" s="10">
        <f t="shared" si="767"/>
        <v>0</v>
      </c>
      <c r="AF580" s="10">
        <f t="shared" si="767"/>
        <v>0</v>
      </c>
      <c r="AG580" s="10">
        <f t="shared" si="767"/>
        <v>0</v>
      </c>
      <c r="AH580" s="10">
        <f t="shared" si="767"/>
        <v>0</v>
      </c>
      <c r="AI580" s="10">
        <f t="shared" si="767"/>
        <v>0</v>
      </c>
      <c r="AJ580" s="10">
        <f t="shared" si="767"/>
        <v>0</v>
      </c>
      <c r="AK580" s="10">
        <f t="shared" si="767"/>
        <v>0</v>
      </c>
      <c r="AL580" s="10">
        <f t="shared" si="767"/>
        <v>0</v>
      </c>
      <c r="AM580" s="10">
        <f t="shared" si="767"/>
        <v>0</v>
      </c>
      <c r="AN580" s="10">
        <f t="shared" si="767"/>
        <v>0</v>
      </c>
      <c r="AO580" s="10">
        <f t="shared" si="767"/>
        <v>0</v>
      </c>
      <c r="AP580" s="10">
        <f t="shared" si="767"/>
        <v>0</v>
      </c>
      <c r="AQ580" s="10">
        <f t="shared" si="767"/>
        <v>0</v>
      </c>
      <c r="AR580" s="10">
        <f t="shared" si="767"/>
        <v>0</v>
      </c>
      <c r="AS580" s="10">
        <f t="shared" si="767"/>
        <v>0</v>
      </c>
      <c r="AT580" s="10">
        <f t="shared" si="767"/>
        <v>0</v>
      </c>
      <c r="AU580" s="10">
        <f t="shared" si="767"/>
        <v>0</v>
      </c>
      <c r="AV580" s="10">
        <f t="shared" si="767"/>
        <v>0</v>
      </c>
      <c r="AW580" s="10">
        <f t="shared" si="767"/>
        <v>0</v>
      </c>
      <c r="AX580" s="10">
        <f t="shared" si="767"/>
        <v>0</v>
      </c>
      <c r="AY580" s="10">
        <f t="shared" si="767"/>
        <v>0</v>
      </c>
      <c r="AZ580" s="10">
        <f t="shared" si="767"/>
        <v>0</v>
      </c>
      <c r="BA580" s="10">
        <f t="shared" si="767"/>
        <v>0</v>
      </c>
      <c r="BB580" s="10">
        <f t="shared" si="767"/>
        <v>0</v>
      </c>
      <c r="BC580" s="10">
        <f t="shared" si="767"/>
        <v>0</v>
      </c>
      <c r="BD580" s="10">
        <f t="shared" si="767"/>
        <v>0</v>
      </c>
      <c r="BE580" s="10">
        <f t="shared" si="767"/>
        <v>0</v>
      </c>
      <c r="BF580" s="10">
        <f t="shared" si="767"/>
        <v>0</v>
      </c>
      <c r="BG580" s="10">
        <f t="shared" si="767"/>
        <v>0</v>
      </c>
      <c r="BH580" s="10">
        <f t="shared" si="767"/>
        <v>0</v>
      </c>
      <c r="BI580" s="10">
        <f t="shared" si="767"/>
        <v>0</v>
      </c>
      <c r="BJ580" s="10">
        <f t="shared" si="767"/>
        <v>0</v>
      </c>
      <c r="BK580" s="67"/>
      <c r="BL580" s="10">
        <f t="shared" ref="BL580:BW580" si="768">BL$268</f>
        <v>0</v>
      </c>
      <c r="BM580" s="10">
        <f t="shared" si="768"/>
        <v>0</v>
      </c>
      <c r="BN580" s="10">
        <f t="shared" si="768"/>
        <v>0</v>
      </c>
      <c r="BO580" s="10">
        <f t="shared" si="768"/>
        <v>0</v>
      </c>
      <c r="BP580" s="10">
        <f t="shared" si="768"/>
        <v>0</v>
      </c>
      <c r="BQ580" s="10">
        <f t="shared" si="768"/>
        <v>0</v>
      </c>
      <c r="BR580" s="10">
        <f t="shared" si="768"/>
        <v>0</v>
      </c>
      <c r="BS580" s="10">
        <f t="shared" si="768"/>
        <v>0</v>
      </c>
      <c r="BT580" s="10">
        <f t="shared" si="768"/>
        <v>0</v>
      </c>
      <c r="BU580" s="10">
        <f t="shared" si="768"/>
        <v>0</v>
      </c>
      <c r="BV580" s="10">
        <f t="shared" si="768"/>
        <v>0</v>
      </c>
      <c r="BW580" s="10">
        <f t="shared" si="768"/>
        <v>0</v>
      </c>
      <c r="BX580" s="67"/>
      <c r="BY580" s="12"/>
      <c r="CA580" s="12"/>
      <c r="CG580" s="67"/>
      <c r="CH580" s="67"/>
      <c r="CI580" s="67"/>
      <c r="CK580" s="67"/>
      <c r="CL580" s="67"/>
      <c r="CR580" s="12"/>
      <c r="EX580" s="10" t="str">
        <f t="shared" si="638"/>
        <v/>
      </c>
    </row>
    <row r="581" spans="1:154" x14ac:dyDescent="0.25">
      <c r="A581" s="67"/>
      <c r="B581" s="84" t="str" cm="1">
        <f t="array" aca="1" ref="B581" ca="1">HYPERLINK(CONCATENATE("#",CELL("address",$D$275)),$D$275)</f>
        <v>Loan 13</v>
      </c>
      <c r="C581" s="380"/>
      <c r="D581" s="60">
        <f>D$25</f>
        <v>0</v>
      </c>
      <c r="E581" s="60">
        <f>E$25</f>
        <v>0</v>
      </c>
      <c r="F581" s="67"/>
      <c r="G581" s="9" t="s">
        <v>413</v>
      </c>
      <c r="H581" s="50" t="s">
        <v>157</v>
      </c>
      <c r="I581" s="67"/>
      <c r="J581" s="67"/>
      <c r="K581" s="67"/>
      <c r="L581" s="67"/>
      <c r="M581" s="67"/>
      <c r="N581" s="67"/>
      <c r="O581" s="67"/>
      <c r="P581" s="67"/>
      <c r="Q581" s="67"/>
      <c r="R581" s="67"/>
      <c r="S581" s="335"/>
      <c r="T581" s="335"/>
      <c r="U581" s="335"/>
      <c r="V581" s="201">
        <f>V$287</f>
        <v>0</v>
      </c>
      <c r="W581" s="10">
        <f>W$287</f>
        <v>0</v>
      </c>
      <c r="X581" s="10">
        <f>X$287</f>
        <v>0</v>
      </c>
      <c r="Y581" s="10">
        <f>Y$287</f>
        <v>0</v>
      </c>
      <c r="Z581" s="67"/>
      <c r="AA581" s="10">
        <f t="shared" ref="AA581:BJ581" si="769">AA$287</f>
        <v>0</v>
      </c>
      <c r="AB581" s="10">
        <f t="shared" si="769"/>
        <v>0</v>
      </c>
      <c r="AC581" s="10">
        <f t="shared" si="769"/>
        <v>0</v>
      </c>
      <c r="AD581" s="10">
        <f t="shared" si="769"/>
        <v>0</v>
      </c>
      <c r="AE581" s="10">
        <f t="shared" si="769"/>
        <v>0</v>
      </c>
      <c r="AF581" s="10">
        <f t="shared" si="769"/>
        <v>0</v>
      </c>
      <c r="AG581" s="10">
        <f t="shared" si="769"/>
        <v>0</v>
      </c>
      <c r="AH581" s="10">
        <f t="shared" si="769"/>
        <v>0</v>
      </c>
      <c r="AI581" s="10">
        <f t="shared" si="769"/>
        <v>0</v>
      </c>
      <c r="AJ581" s="10">
        <f t="shared" si="769"/>
        <v>0</v>
      </c>
      <c r="AK581" s="10">
        <f t="shared" si="769"/>
        <v>0</v>
      </c>
      <c r="AL581" s="10">
        <f t="shared" si="769"/>
        <v>0</v>
      </c>
      <c r="AM581" s="10">
        <f t="shared" si="769"/>
        <v>0</v>
      </c>
      <c r="AN581" s="10">
        <f t="shared" si="769"/>
        <v>0</v>
      </c>
      <c r="AO581" s="10">
        <f t="shared" si="769"/>
        <v>0</v>
      </c>
      <c r="AP581" s="10">
        <f t="shared" si="769"/>
        <v>0</v>
      </c>
      <c r="AQ581" s="10">
        <f t="shared" si="769"/>
        <v>0</v>
      </c>
      <c r="AR581" s="10">
        <f t="shared" si="769"/>
        <v>0</v>
      </c>
      <c r="AS581" s="10">
        <f t="shared" si="769"/>
        <v>0</v>
      </c>
      <c r="AT581" s="10">
        <f t="shared" si="769"/>
        <v>0</v>
      </c>
      <c r="AU581" s="10">
        <f t="shared" si="769"/>
        <v>0</v>
      </c>
      <c r="AV581" s="10">
        <f t="shared" si="769"/>
        <v>0</v>
      </c>
      <c r="AW581" s="10">
        <f t="shared" si="769"/>
        <v>0</v>
      </c>
      <c r="AX581" s="10">
        <f t="shared" si="769"/>
        <v>0</v>
      </c>
      <c r="AY581" s="10">
        <f t="shared" si="769"/>
        <v>0</v>
      </c>
      <c r="AZ581" s="10">
        <f t="shared" si="769"/>
        <v>0</v>
      </c>
      <c r="BA581" s="10">
        <f t="shared" si="769"/>
        <v>0</v>
      </c>
      <c r="BB581" s="10">
        <f t="shared" si="769"/>
        <v>0</v>
      </c>
      <c r="BC581" s="10">
        <f t="shared" si="769"/>
        <v>0</v>
      </c>
      <c r="BD581" s="10">
        <f t="shared" si="769"/>
        <v>0</v>
      </c>
      <c r="BE581" s="10">
        <f t="shared" si="769"/>
        <v>0</v>
      </c>
      <c r="BF581" s="10">
        <f t="shared" si="769"/>
        <v>0</v>
      </c>
      <c r="BG581" s="10">
        <f t="shared" si="769"/>
        <v>0</v>
      </c>
      <c r="BH581" s="10">
        <f t="shared" si="769"/>
        <v>0</v>
      </c>
      <c r="BI581" s="10">
        <f t="shared" si="769"/>
        <v>0</v>
      </c>
      <c r="BJ581" s="10">
        <f t="shared" si="769"/>
        <v>0</v>
      </c>
      <c r="BK581" s="67"/>
      <c r="BL581" s="10">
        <f t="shared" ref="BL581:BW581" si="770">BL$287</f>
        <v>0</v>
      </c>
      <c r="BM581" s="10">
        <f t="shared" si="770"/>
        <v>0</v>
      </c>
      <c r="BN581" s="10">
        <f t="shared" si="770"/>
        <v>0</v>
      </c>
      <c r="BO581" s="10">
        <f t="shared" si="770"/>
        <v>0</v>
      </c>
      <c r="BP581" s="10">
        <f t="shared" si="770"/>
        <v>0</v>
      </c>
      <c r="BQ581" s="10">
        <f t="shared" si="770"/>
        <v>0</v>
      </c>
      <c r="BR581" s="10">
        <f t="shared" si="770"/>
        <v>0</v>
      </c>
      <c r="BS581" s="10">
        <f t="shared" si="770"/>
        <v>0</v>
      </c>
      <c r="BT581" s="10">
        <f t="shared" si="770"/>
        <v>0</v>
      </c>
      <c r="BU581" s="10">
        <f t="shared" si="770"/>
        <v>0</v>
      </c>
      <c r="BV581" s="10">
        <f t="shared" si="770"/>
        <v>0</v>
      </c>
      <c r="BW581" s="10">
        <f t="shared" si="770"/>
        <v>0</v>
      </c>
      <c r="BX581" s="67"/>
      <c r="BY581" s="12"/>
      <c r="CA581" s="12"/>
      <c r="CG581" s="67"/>
      <c r="CH581" s="67"/>
      <c r="CI581" s="67"/>
      <c r="CK581" s="67"/>
      <c r="CL581" s="67"/>
      <c r="CR581" s="12"/>
      <c r="EX581" s="10" t="str">
        <f t="shared" ref="EX581:EX690" si="771">IF($C581="","",$D581)</f>
        <v/>
      </c>
    </row>
    <row r="582" spans="1:154" s="5" customFormat="1" x14ac:dyDescent="0.25">
      <c r="A582" s="67"/>
      <c r="B582" s="84" t="str" cm="1">
        <f t="array" aca="1" ref="B582" ca="1">HYPERLINK(CONCATENATE("#",CELL("address",$D$294)),$D$294)</f>
        <v>Loan 14</v>
      </c>
      <c r="C582" s="380"/>
      <c r="D582" s="60">
        <f>D$26</f>
        <v>0</v>
      </c>
      <c r="E582" s="60">
        <f>E$26</f>
        <v>0</v>
      </c>
      <c r="F582" s="67"/>
      <c r="G582" s="9" t="s">
        <v>413</v>
      </c>
      <c r="H582" s="50" t="s">
        <v>157</v>
      </c>
      <c r="I582" s="67"/>
      <c r="J582" s="67"/>
      <c r="K582" s="67"/>
      <c r="L582" s="67"/>
      <c r="M582" s="67"/>
      <c r="N582" s="67"/>
      <c r="O582" s="67"/>
      <c r="P582" s="67"/>
      <c r="Q582" s="67"/>
      <c r="R582" s="67"/>
      <c r="S582" s="335"/>
      <c r="T582" s="335"/>
      <c r="U582" s="335"/>
      <c r="V582" s="201">
        <f>V$306</f>
        <v>0</v>
      </c>
      <c r="W582" s="10">
        <f>W$306</f>
        <v>0</v>
      </c>
      <c r="X582" s="10">
        <f>X$306</f>
        <v>0</v>
      </c>
      <c r="Y582" s="10">
        <f>Y$306</f>
        <v>0</v>
      </c>
      <c r="Z582" s="67"/>
      <c r="AA582" s="10">
        <f t="shared" ref="AA582:BJ582" si="772">AA$306</f>
        <v>0</v>
      </c>
      <c r="AB582" s="10">
        <f t="shared" si="772"/>
        <v>0</v>
      </c>
      <c r="AC582" s="10">
        <f t="shared" si="772"/>
        <v>0</v>
      </c>
      <c r="AD582" s="10">
        <f t="shared" si="772"/>
        <v>0</v>
      </c>
      <c r="AE582" s="10">
        <f t="shared" si="772"/>
        <v>0</v>
      </c>
      <c r="AF582" s="10">
        <f t="shared" si="772"/>
        <v>0</v>
      </c>
      <c r="AG582" s="10">
        <f t="shared" si="772"/>
        <v>0</v>
      </c>
      <c r="AH582" s="10">
        <f t="shared" si="772"/>
        <v>0</v>
      </c>
      <c r="AI582" s="10">
        <f t="shared" si="772"/>
        <v>0</v>
      </c>
      <c r="AJ582" s="10">
        <f t="shared" si="772"/>
        <v>0</v>
      </c>
      <c r="AK582" s="10">
        <f t="shared" si="772"/>
        <v>0</v>
      </c>
      <c r="AL582" s="10">
        <f t="shared" si="772"/>
        <v>0</v>
      </c>
      <c r="AM582" s="10">
        <f t="shared" si="772"/>
        <v>0</v>
      </c>
      <c r="AN582" s="10">
        <f t="shared" si="772"/>
        <v>0</v>
      </c>
      <c r="AO582" s="10">
        <f t="shared" si="772"/>
        <v>0</v>
      </c>
      <c r="AP582" s="10">
        <f t="shared" si="772"/>
        <v>0</v>
      </c>
      <c r="AQ582" s="10">
        <f t="shared" si="772"/>
        <v>0</v>
      </c>
      <c r="AR582" s="10">
        <f t="shared" si="772"/>
        <v>0</v>
      </c>
      <c r="AS582" s="10">
        <f t="shared" si="772"/>
        <v>0</v>
      </c>
      <c r="AT582" s="10">
        <f t="shared" si="772"/>
        <v>0</v>
      </c>
      <c r="AU582" s="10">
        <f t="shared" si="772"/>
        <v>0</v>
      </c>
      <c r="AV582" s="10">
        <f t="shared" si="772"/>
        <v>0</v>
      </c>
      <c r="AW582" s="10">
        <f t="shared" si="772"/>
        <v>0</v>
      </c>
      <c r="AX582" s="10">
        <f t="shared" si="772"/>
        <v>0</v>
      </c>
      <c r="AY582" s="10">
        <f t="shared" si="772"/>
        <v>0</v>
      </c>
      <c r="AZ582" s="10">
        <f t="shared" si="772"/>
        <v>0</v>
      </c>
      <c r="BA582" s="10">
        <f t="shared" si="772"/>
        <v>0</v>
      </c>
      <c r="BB582" s="10">
        <f t="shared" si="772"/>
        <v>0</v>
      </c>
      <c r="BC582" s="10">
        <f t="shared" si="772"/>
        <v>0</v>
      </c>
      <c r="BD582" s="10">
        <f t="shared" si="772"/>
        <v>0</v>
      </c>
      <c r="BE582" s="10">
        <f t="shared" si="772"/>
        <v>0</v>
      </c>
      <c r="BF582" s="10">
        <f t="shared" si="772"/>
        <v>0</v>
      </c>
      <c r="BG582" s="10">
        <f t="shared" si="772"/>
        <v>0</v>
      </c>
      <c r="BH582" s="10">
        <f t="shared" si="772"/>
        <v>0</v>
      </c>
      <c r="BI582" s="10">
        <f t="shared" si="772"/>
        <v>0</v>
      </c>
      <c r="BJ582" s="10">
        <f t="shared" si="772"/>
        <v>0</v>
      </c>
      <c r="BK582" s="67"/>
      <c r="BL582" s="10">
        <f t="shared" ref="BL582:BW582" si="773">BL$306</f>
        <v>0</v>
      </c>
      <c r="BM582" s="10">
        <f t="shared" si="773"/>
        <v>0</v>
      </c>
      <c r="BN582" s="10">
        <f t="shared" si="773"/>
        <v>0</v>
      </c>
      <c r="BO582" s="10">
        <f t="shared" si="773"/>
        <v>0</v>
      </c>
      <c r="BP582" s="10">
        <f t="shared" si="773"/>
        <v>0</v>
      </c>
      <c r="BQ582" s="10">
        <f t="shared" si="773"/>
        <v>0</v>
      </c>
      <c r="BR582" s="10">
        <f t="shared" si="773"/>
        <v>0</v>
      </c>
      <c r="BS582" s="10">
        <f t="shared" si="773"/>
        <v>0</v>
      </c>
      <c r="BT582" s="10">
        <f t="shared" si="773"/>
        <v>0</v>
      </c>
      <c r="BU582" s="10">
        <f t="shared" si="773"/>
        <v>0</v>
      </c>
      <c r="BV582" s="10">
        <f t="shared" si="773"/>
        <v>0</v>
      </c>
      <c r="BW582" s="10">
        <f t="shared" si="773"/>
        <v>0</v>
      </c>
      <c r="BX582" s="67"/>
      <c r="BY582" s="12"/>
      <c r="BZ582" s="335"/>
      <c r="CA582" s="12"/>
      <c r="CB582" s="335"/>
      <c r="CC582" s="335"/>
      <c r="CD582" s="335"/>
      <c r="CE582" s="335"/>
      <c r="CF582" s="67"/>
      <c r="CG582" s="67"/>
      <c r="CH582" s="67"/>
      <c r="CI582" s="67"/>
      <c r="CJ582" s="67"/>
      <c r="CK582" s="67"/>
      <c r="CL582" s="67"/>
      <c r="CM582" s="335"/>
      <c r="CN582" s="335"/>
      <c r="CO582" s="335"/>
      <c r="CP582" s="335"/>
      <c r="CQ582" s="67"/>
      <c r="CR582" s="12"/>
      <c r="EX582" s="10" t="str">
        <f t="shared" si="771"/>
        <v/>
      </c>
    </row>
    <row r="583" spans="1:154" x14ac:dyDescent="0.25">
      <c r="A583" s="67"/>
      <c r="B583" s="84" t="str" cm="1">
        <f t="array" aca="1" ref="B583" ca="1">HYPERLINK(CONCATENATE("#",CELL("address",$D$313)),$D$313)</f>
        <v>Loan 15</v>
      </c>
      <c r="C583" s="380"/>
      <c r="D583" s="60">
        <f>D$27</f>
        <v>0</v>
      </c>
      <c r="E583" s="60">
        <f>E$27</f>
        <v>0</v>
      </c>
      <c r="F583" s="67"/>
      <c r="G583" s="9" t="s">
        <v>413</v>
      </c>
      <c r="H583" s="50" t="s">
        <v>157</v>
      </c>
      <c r="I583" s="67"/>
      <c r="J583" s="67"/>
      <c r="K583" s="67"/>
      <c r="L583" s="67"/>
      <c r="M583" s="67"/>
      <c r="N583" s="67"/>
      <c r="O583" s="67"/>
      <c r="P583" s="67"/>
      <c r="Q583" s="67"/>
      <c r="R583" s="67"/>
      <c r="S583" s="335"/>
      <c r="T583" s="335"/>
      <c r="U583" s="335"/>
      <c r="V583" s="201">
        <f>V$325</f>
        <v>0</v>
      </c>
      <c r="W583" s="10">
        <f>W$325</f>
        <v>0</v>
      </c>
      <c r="X583" s="10">
        <f>X$325</f>
        <v>0</v>
      </c>
      <c r="Y583" s="10">
        <f>Y$325</f>
        <v>0</v>
      </c>
      <c r="Z583" s="67"/>
      <c r="AA583" s="10">
        <f t="shared" ref="AA583:BJ583" si="774">AA$325</f>
        <v>0</v>
      </c>
      <c r="AB583" s="10">
        <f t="shared" si="774"/>
        <v>0</v>
      </c>
      <c r="AC583" s="10">
        <f t="shared" si="774"/>
        <v>0</v>
      </c>
      <c r="AD583" s="10">
        <f t="shared" si="774"/>
        <v>0</v>
      </c>
      <c r="AE583" s="10">
        <f t="shared" si="774"/>
        <v>0</v>
      </c>
      <c r="AF583" s="10">
        <f t="shared" si="774"/>
        <v>0</v>
      </c>
      <c r="AG583" s="10">
        <f t="shared" si="774"/>
        <v>0</v>
      </c>
      <c r="AH583" s="10">
        <f t="shared" si="774"/>
        <v>0</v>
      </c>
      <c r="AI583" s="10">
        <f t="shared" si="774"/>
        <v>0</v>
      </c>
      <c r="AJ583" s="10">
        <f t="shared" si="774"/>
        <v>0</v>
      </c>
      <c r="AK583" s="10">
        <f t="shared" si="774"/>
        <v>0</v>
      </c>
      <c r="AL583" s="10">
        <f t="shared" si="774"/>
        <v>0</v>
      </c>
      <c r="AM583" s="10">
        <f t="shared" si="774"/>
        <v>0</v>
      </c>
      <c r="AN583" s="10">
        <f t="shared" si="774"/>
        <v>0</v>
      </c>
      <c r="AO583" s="10">
        <f t="shared" si="774"/>
        <v>0</v>
      </c>
      <c r="AP583" s="10">
        <f t="shared" si="774"/>
        <v>0</v>
      </c>
      <c r="AQ583" s="10">
        <f t="shared" si="774"/>
        <v>0</v>
      </c>
      <c r="AR583" s="10">
        <f t="shared" si="774"/>
        <v>0</v>
      </c>
      <c r="AS583" s="10">
        <f t="shared" si="774"/>
        <v>0</v>
      </c>
      <c r="AT583" s="10">
        <f t="shared" si="774"/>
        <v>0</v>
      </c>
      <c r="AU583" s="10">
        <f t="shared" si="774"/>
        <v>0</v>
      </c>
      <c r="AV583" s="10">
        <f t="shared" si="774"/>
        <v>0</v>
      </c>
      <c r="AW583" s="10">
        <f t="shared" si="774"/>
        <v>0</v>
      </c>
      <c r="AX583" s="10">
        <f t="shared" si="774"/>
        <v>0</v>
      </c>
      <c r="AY583" s="10">
        <f t="shared" si="774"/>
        <v>0</v>
      </c>
      <c r="AZ583" s="10">
        <f t="shared" si="774"/>
        <v>0</v>
      </c>
      <c r="BA583" s="10">
        <f t="shared" si="774"/>
        <v>0</v>
      </c>
      <c r="BB583" s="10">
        <f t="shared" si="774"/>
        <v>0</v>
      </c>
      <c r="BC583" s="10">
        <f t="shared" si="774"/>
        <v>0</v>
      </c>
      <c r="BD583" s="10">
        <f t="shared" si="774"/>
        <v>0</v>
      </c>
      <c r="BE583" s="10">
        <f t="shared" si="774"/>
        <v>0</v>
      </c>
      <c r="BF583" s="10">
        <f t="shared" si="774"/>
        <v>0</v>
      </c>
      <c r="BG583" s="10">
        <f t="shared" si="774"/>
        <v>0</v>
      </c>
      <c r="BH583" s="10">
        <f t="shared" si="774"/>
        <v>0</v>
      </c>
      <c r="BI583" s="10">
        <f t="shared" si="774"/>
        <v>0</v>
      </c>
      <c r="BJ583" s="10">
        <f t="shared" si="774"/>
        <v>0</v>
      </c>
      <c r="BK583" s="67"/>
      <c r="BL583" s="10">
        <f t="shared" ref="BL583:BW583" si="775">BL$325</f>
        <v>0</v>
      </c>
      <c r="BM583" s="10">
        <f t="shared" si="775"/>
        <v>0</v>
      </c>
      <c r="BN583" s="10">
        <f t="shared" si="775"/>
        <v>0</v>
      </c>
      <c r="BO583" s="10">
        <f t="shared" si="775"/>
        <v>0</v>
      </c>
      <c r="BP583" s="10">
        <f t="shared" si="775"/>
        <v>0</v>
      </c>
      <c r="BQ583" s="10">
        <f t="shared" si="775"/>
        <v>0</v>
      </c>
      <c r="BR583" s="10">
        <f t="shared" si="775"/>
        <v>0</v>
      </c>
      <c r="BS583" s="10">
        <f t="shared" si="775"/>
        <v>0</v>
      </c>
      <c r="BT583" s="10">
        <f t="shared" si="775"/>
        <v>0</v>
      </c>
      <c r="BU583" s="10">
        <f t="shared" si="775"/>
        <v>0</v>
      </c>
      <c r="BV583" s="10">
        <f t="shared" si="775"/>
        <v>0</v>
      </c>
      <c r="BW583" s="10">
        <f t="shared" si="775"/>
        <v>0</v>
      </c>
      <c r="BX583" s="67"/>
      <c r="BY583" s="12"/>
      <c r="CA583" s="12"/>
      <c r="CG583" s="67"/>
      <c r="CH583" s="67"/>
      <c r="CI583" s="67"/>
      <c r="CK583" s="67"/>
      <c r="CL583" s="67"/>
      <c r="CR583" s="12"/>
      <c r="EX583" s="10" t="str">
        <f t="shared" si="771"/>
        <v/>
      </c>
    </row>
    <row r="584" spans="1:154" x14ac:dyDescent="0.25">
      <c r="A584" s="67"/>
      <c r="B584" s="84" t="str" cm="1">
        <f t="array" aca="1" ref="B584" ca="1">HYPERLINK(CONCATENATE("#",CELL("address",$D$332)),$D$332)</f>
        <v>Loan 16</v>
      </c>
      <c r="C584" s="380"/>
      <c r="D584" s="60">
        <f>D$28</f>
        <v>0</v>
      </c>
      <c r="E584" s="60">
        <f>E$28</f>
        <v>0</v>
      </c>
      <c r="F584" s="67"/>
      <c r="G584" s="9" t="s">
        <v>413</v>
      </c>
      <c r="H584" s="50" t="s">
        <v>157</v>
      </c>
      <c r="I584" s="67"/>
      <c r="J584" s="67"/>
      <c r="K584" s="67"/>
      <c r="L584" s="67"/>
      <c r="M584" s="67"/>
      <c r="N584" s="67"/>
      <c r="O584" s="67"/>
      <c r="P584" s="67"/>
      <c r="Q584" s="67"/>
      <c r="R584" s="67"/>
      <c r="S584" s="335"/>
      <c r="T584" s="335"/>
      <c r="U584" s="335"/>
      <c r="V584" s="201">
        <f>V$344</f>
        <v>0</v>
      </c>
      <c r="W584" s="10">
        <f>W$344</f>
        <v>0</v>
      </c>
      <c r="X584" s="10">
        <f>X$344</f>
        <v>0</v>
      </c>
      <c r="Y584" s="10">
        <f>Y$344</f>
        <v>0</v>
      </c>
      <c r="Z584" s="67"/>
      <c r="AA584" s="10">
        <f t="shared" ref="AA584:BJ584" si="776">AA$344</f>
        <v>0</v>
      </c>
      <c r="AB584" s="10">
        <f t="shared" si="776"/>
        <v>0</v>
      </c>
      <c r="AC584" s="10">
        <f t="shared" si="776"/>
        <v>0</v>
      </c>
      <c r="AD584" s="10">
        <f t="shared" si="776"/>
        <v>0</v>
      </c>
      <c r="AE584" s="10">
        <f t="shared" si="776"/>
        <v>0</v>
      </c>
      <c r="AF584" s="10">
        <f t="shared" si="776"/>
        <v>0</v>
      </c>
      <c r="AG584" s="10">
        <f t="shared" si="776"/>
        <v>0</v>
      </c>
      <c r="AH584" s="10">
        <f t="shared" si="776"/>
        <v>0</v>
      </c>
      <c r="AI584" s="10">
        <f t="shared" si="776"/>
        <v>0</v>
      </c>
      <c r="AJ584" s="10">
        <f t="shared" si="776"/>
        <v>0</v>
      </c>
      <c r="AK584" s="10">
        <f t="shared" si="776"/>
        <v>0</v>
      </c>
      <c r="AL584" s="10">
        <f t="shared" si="776"/>
        <v>0</v>
      </c>
      <c r="AM584" s="10">
        <f t="shared" si="776"/>
        <v>0</v>
      </c>
      <c r="AN584" s="10">
        <f t="shared" si="776"/>
        <v>0</v>
      </c>
      <c r="AO584" s="10">
        <f t="shared" si="776"/>
        <v>0</v>
      </c>
      <c r="AP584" s="10">
        <f t="shared" si="776"/>
        <v>0</v>
      </c>
      <c r="AQ584" s="10">
        <f t="shared" si="776"/>
        <v>0</v>
      </c>
      <c r="AR584" s="10">
        <f t="shared" si="776"/>
        <v>0</v>
      </c>
      <c r="AS584" s="10">
        <f t="shared" si="776"/>
        <v>0</v>
      </c>
      <c r="AT584" s="10">
        <f t="shared" si="776"/>
        <v>0</v>
      </c>
      <c r="AU584" s="10">
        <f t="shared" si="776"/>
        <v>0</v>
      </c>
      <c r="AV584" s="10">
        <f t="shared" si="776"/>
        <v>0</v>
      </c>
      <c r="AW584" s="10">
        <f t="shared" si="776"/>
        <v>0</v>
      </c>
      <c r="AX584" s="10">
        <f t="shared" si="776"/>
        <v>0</v>
      </c>
      <c r="AY584" s="10">
        <f t="shared" si="776"/>
        <v>0</v>
      </c>
      <c r="AZ584" s="10">
        <f t="shared" si="776"/>
        <v>0</v>
      </c>
      <c r="BA584" s="10">
        <f t="shared" si="776"/>
        <v>0</v>
      </c>
      <c r="BB584" s="10">
        <f t="shared" si="776"/>
        <v>0</v>
      </c>
      <c r="BC584" s="10">
        <f t="shared" si="776"/>
        <v>0</v>
      </c>
      <c r="BD584" s="10">
        <f t="shared" si="776"/>
        <v>0</v>
      </c>
      <c r="BE584" s="10">
        <f t="shared" si="776"/>
        <v>0</v>
      </c>
      <c r="BF584" s="10">
        <f t="shared" si="776"/>
        <v>0</v>
      </c>
      <c r="BG584" s="10">
        <f t="shared" si="776"/>
        <v>0</v>
      </c>
      <c r="BH584" s="10">
        <f t="shared" si="776"/>
        <v>0</v>
      </c>
      <c r="BI584" s="10">
        <f t="shared" si="776"/>
        <v>0</v>
      </c>
      <c r="BJ584" s="10">
        <f t="shared" si="776"/>
        <v>0</v>
      </c>
      <c r="BK584" s="67"/>
      <c r="BL584" s="10">
        <f t="shared" ref="BL584:BW584" si="777">BL$344</f>
        <v>0</v>
      </c>
      <c r="BM584" s="10">
        <f t="shared" si="777"/>
        <v>0</v>
      </c>
      <c r="BN584" s="10">
        <f t="shared" si="777"/>
        <v>0</v>
      </c>
      <c r="BO584" s="10">
        <f t="shared" si="777"/>
        <v>0</v>
      </c>
      <c r="BP584" s="10">
        <f t="shared" si="777"/>
        <v>0</v>
      </c>
      <c r="BQ584" s="10">
        <f t="shared" si="777"/>
        <v>0</v>
      </c>
      <c r="BR584" s="10">
        <f t="shared" si="777"/>
        <v>0</v>
      </c>
      <c r="BS584" s="10">
        <f t="shared" si="777"/>
        <v>0</v>
      </c>
      <c r="BT584" s="10">
        <f t="shared" si="777"/>
        <v>0</v>
      </c>
      <c r="BU584" s="10">
        <f t="shared" si="777"/>
        <v>0</v>
      </c>
      <c r="BV584" s="10">
        <f t="shared" si="777"/>
        <v>0</v>
      </c>
      <c r="BW584" s="10">
        <f t="shared" si="777"/>
        <v>0</v>
      </c>
      <c r="BX584" s="67"/>
      <c r="BY584" s="12"/>
      <c r="CA584" s="12"/>
      <c r="CG584" s="67"/>
      <c r="CH584" s="67"/>
      <c r="CI584" s="67"/>
      <c r="CK584" s="67"/>
      <c r="CL584" s="67"/>
      <c r="CR584" s="12"/>
      <c r="EX584" s="10" t="str">
        <f t="shared" si="771"/>
        <v/>
      </c>
    </row>
    <row r="585" spans="1:154" x14ac:dyDescent="0.25">
      <c r="A585" s="67"/>
      <c r="B585" s="84" t="str" cm="1">
        <f t="array" aca="1" ref="B585" ca="1">HYPERLINK(CONCATENATE("#",CELL("address",$D$351)),$D$351)</f>
        <v>Loan 17</v>
      </c>
      <c r="C585" s="380"/>
      <c r="D585" s="60">
        <f>D$29</f>
        <v>0</v>
      </c>
      <c r="E585" s="60">
        <f>E$29</f>
        <v>0</v>
      </c>
      <c r="F585" s="67"/>
      <c r="G585" s="9" t="s">
        <v>413</v>
      </c>
      <c r="H585" s="50" t="s">
        <v>157</v>
      </c>
      <c r="I585" s="67"/>
      <c r="J585" s="67"/>
      <c r="K585" s="67"/>
      <c r="L585" s="67"/>
      <c r="M585" s="67"/>
      <c r="N585" s="67"/>
      <c r="O585" s="67"/>
      <c r="P585" s="67"/>
      <c r="Q585" s="67"/>
      <c r="R585" s="67"/>
      <c r="S585" s="335"/>
      <c r="T585" s="335"/>
      <c r="U585" s="335"/>
      <c r="V585" s="201">
        <f>V$363</f>
        <v>0</v>
      </c>
      <c r="W585" s="10">
        <f>W$363</f>
        <v>0</v>
      </c>
      <c r="X585" s="10">
        <f>X$363</f>
        <v>0</v>
      </c>
      <c r="Y585" s="10">
        <f>Y$363</f>
        <v>0</v>
      </c>
      <c r="Z585" s="67"/>
      <c r="AA585" s="10">
        <f t="shared" ref="AA585:BJ585" si="778">AA$363</f>
        <v>0</v>
      </c>
      <c r="AB585" s="10">
        <f t="shared" si="778"/>
        <v>0</v>
      </c>
      <c r="AC585" s="10">
        <f t="shared" si="778"/>
        <v>0</v>
      </c>
      <c r="AD585" s="10">
        <f t="shared" si="778"/>
        <v>0</v>
      </c>
      <c r="AE585" s="10">
        <f t="shared" si="778"/>
        <v>0</v>
      </c>
      <c r="AF585" s="10">
        <f t="shared" si="778"/>
        <v>0</v>
      </c>
      <c r="AG585" s="10">
        <f t="shared" si="778"/>
        <v>0</v>
      </c>
      <c r="AH585" s="10">
        <f t="shared" si="778"/>
        <v>0</v>
      </c>
      <c r="AI585" s="10">
        <f t="shared" si="778"/>
        <v>0</v>
      </c>
      <c r="AJ585" s="10">
        <f t="shared" si="778"/>
        <v>0</v>
      </c>
      <c r="AK585" s="10">
        <f t="shared" si="778"/>
        <v>0</v>
      </c>
      <c r="AL585" s="10">
        <f t="shared" si="778"/>
        <v>0</v>
      </c>
      <c r="AM585" s="10">
        <f t="shared" si="778"/>
        <v>0</v>
      </c>
      <c r="AN585" s="10">
        <f t="shared" si="778"/>
        <v>0</v>
      </c>
      <c r="AO585" s="10">
        <f t="shared" si="778"/>
        <v>0</v>
      </c>
      <c r="AP585" s="10">
        <f t="shared" si="778"/>
        <v>0</v>
      </c>
      <c r="AQ585" s="10">
        <f t="shared" si="778"/>
        <v>0</v>
      </c>
      <c r="AR585" s="10">
        <f t="shared" si="778"/>
        <v>0</v>
      </c>
      <c r="AS585" s="10">
        <f t="shared" si="778"/>
        <v>0</v>
      </c>
      <c r="AT585" s="10">
        <f t="shared" si="778"/>
        <v>0</v>
      </c>
      <c r="AU585" s="10">
        <f t="shared" si="778"/>
        <v>0</v>
      </c>
      <c r="AV585" s="10">
        <f t="shared" si="778"/>
        <v>0</v>
      </c>
      <c r="AW585" s="10">
        <f t="shared" si="778"/>
        <v>0</v>
      </c>
      <c r="AX585" s="10">
        <f t="shared" si="778"/>
        <v>0</v>
      </c>
      <c r="AY585" s="10">
        <f t="shared" si="778"/>
        <v>0</v>
      </c>
      <c r="AZ585" s="10">
        <f t="shared" si="778"/>
        <v>0</v>
      </c>
      <c r="BA585" s="10">
        <f t="shared" si="778"/>
        <v>0</v>
      </c>
      <c r="BB585" s="10">
        <f t="shared" si="778"/>
        <v>0</v>
      </c>
      <c r="BC585" s="10">
        <f t="shared" si="778"/>
        <v>0</v>
      </c>
      <c r="BD585" s="10">
        <f t="shared" si="778"/>
        <v>0</v>
      </c>
      <c r="BE585" s="10">
        <f t="shared" si="778"/>
        <v>0</v>
      </c>
      <c r="BF585" s="10">
        <f t="shared" si="778"/>
        <v>0</v>
      </c>
      <c r="BG585" s="10">
        <f t="shared" si="778"/>
        <v>0</v>
      </c>
      <c r="BH585" s="10">
        <f t="shared" si="778"/>
        <v>0</v>
      </c>
      <c r="BI585" s="10">
        <f t="shared" si="778"/>
        <v>0</v>
      </c>
      <c r="BJ585" s="10">
        <f t="shared" si="778"/>
        <v>0</v>
      </c>
      <c r="BK585" s="67"/>
      <c r="BL585" s="10">
        <f t="shared" ref="BL585:BW585" si="779">BL$363</f>
        <v>0</v>
      </c>
      <c r="BM585" s="10">
        <f t="shared" si="779"/>
        <v>0</v>
      </c>
      <c r="BN585" s="10">
        <f t="shared" si="779"/>
        <v>0</v>
      </c>
      <c r="BO585" s="10">
        <f t="shared" si="779"/>
        <v>0</v>
      </c>
      <c r="BP585" s="10">
        <f t="shared" si="779"/>
        <v>0</v>
      </c>
      <c r="BQ585" s="10">
        <f t="shared" si="779"/>
        <v>0</v>
      </c>
      <c r="BR585" s="10">
        <f t="shared" si="779"/>
        <v>0</v>
      </c>
      <c r="BS585" s="10">
        <f t="shared" si="779"/>
        <v>0</v>
      </c>
      <c r="BT585" s="10">
        <f t="shared" si="779"/>
        <v>0</v>
      </c>
      <c r="BU585" s="10">
        <f t="shared" si="779"/>
        <v>0</v>
      </c>
      <c r="BV585" s="10">
        <f t="shared" si="779"/>
        <v>0</v>
      </c>
      <c r="BW585" s="10">
        <f t="shared" si="779"/>
        <v>0</v>
      </c>
      <c r="BX585" s="67"/>
      <c r="BY585" s="12"/>
      <c r="CA585" s="12"/>
      <c r="CG585" s="67"/>
      <c r="CH585" s="67"/>
      <c r="CI585" s="67"/>
      <c r="CK585" s="67"/>
      <c r="CL585" s="67"/>
      <c r="CR585" s="12"/>
      <c r="EX585" s="10" t="str">
        <f t="shared" si="771"/>
        <v/>
      </c>
    </row>
    <row r="586" spans="1:154" x14ac:dyDescent="0.25">
      <c r="A586" s="67"/>
      <c r="B586" s="84" t="str" cm="1">
        <f t="array" aca="1" ref="B586" ca="1">HYPERLINK(CONCATENATE("#",CELL("address",$D$370)),$D$370)</f>
        <v>Loan 18</v>
      </c>
      <c r="C586" s="380"/>
      <c r="D586" s="60">
        <f>D$30</f>
        <v>0</v>
      </c>
      <c r="E586" s="60">
        <f>E$30</f>
        <v>0</v>
      </c>
      <c r="F586" s="67"/>
      <c r="G586" s="9" t="s">
        <v>413</v>
      </c>
      <c r="H586" s="50" t="s">
        <v>157</v>
      </c>
      <c r="I586" s="67"/>
      <c r="J586" s="67"/>
      <c r="K586" s="67"/>
      <c r="L586" s="67"/>
      <c r="M586" s="67"/>
      <c r="N586" s="67"/>
      <c r="O586" s="67"/>
      <c r="P586" s="67"/>
      <c r="Q586" s="67"/>
      <c r="R586" s="67"/>
      <c r="S586" s="335"/>
      <c r="T586" s="335"/>
      <c r="U586" s="335"/>
      <c r="V586" s="201">
        <f>V$382</f>
        <v>0</v>
      </c>
      <c r="W586" s="10">
        <f>W$382</f>
        <v>0</v>
      </c>
      <c r="X586" s="10">
        <f>X$382</f>
        <v>0</v>
      </c>
      <c r="Y586" s="10">
        <f>Y$382</f>
        <v>0</v>
      </c>
      <c r="Z586" s="67"/>
      <c r="AA586" s="10">
        <f t="shared" ref="AA586:BJ586" si="780">AA$382</f>
        <v>0</v>
      </c>
      <c r="AB586" s="10">
        <f t="shared" si="780"/>
        <v>0</v>
      </c>
      <c r="AC586" s="10">
        <f t="shared" si="780"/>
        <v>0</v>
      </c>
      <c r="AD586" s="10">
        <f t="shared" si="780"/>
        <v>0</v>
      </c>
      <c r="AE586" s="10">
        <f t="shared" si="780"/>
        <v>0</v>
      </c>
      <c r="AF586" s="10">
        <f t="shared" si="780"/>
        <v>0</v>
      </c>
      <c r="AG586" s="10">
        <f t="shared" si="780"/>
        <v>0</v>
      </c>
      <c r="AH586" s="10">
        <f t="shared" si="780"/>
        <v>0</v>
      </c>
      <c r="AI586" s="10">
        <f t="shared" si="780"/>
        <v>0</v>
      </c>
      <c r="AJ586" s="10">
        <f t="shared" si="780"/>
        <v>0</v>
      </c>
      <c r="AK586" s="10">
        <f t="shared" si="780"/>
        <v>0</v>
      </c>
      <c r="AL586" s="10">
        <f t="shared" si="780"/>
        <v>0</v>
      </c>
      <c r="AM586" s="10">
        <f t="shared" si="780"/>
        <v>0</v>
      </c>
      <c r="AN586" s="10">
        <f t="shared" si="780"/>
        <v>0</v>
      </c>
      <c r="AO586" s="10">
        <f t="shared" si="780"/>
        <v>0</v>
      </c>
      <c r="AP586" s="10">
        <f t="shared" si="780"/>
        <v>0</v>
      </c>
      <c r="AQ586" s="10">
        <f t="shared" si="780"/>
        <v>0</v>
      </c>
      <c r="AR586" s="10">
        <f t="shared" si="780"/>
        <v>0</v>
      </c>
      <c r="AS586" s="10">
        <f t="shared" si="780"/>
        <v>0</v>
      </c>
      <c r="AT586" s="10">
        <f t="shared" si="780"/>
        <v>0</v>
      </c>
      <c r="AU586" s="10">
        <f t="shared" si="780"/>
        <v>0</v>
      </c>
      <c r="AV586" s="10">
        <f t="shared" si="780"/>
        <v>0</v>
      </c>
      <c r="AW586" s="10">
        <f t="shared" si="780"/>
        <v>0</v>
      </c>
      <c r="AX586" s="10">
        <f t="shared" si="780"/>
        <v>0</v>
      </c>
      <c r="AY586" s="10">
        <f t="shared" si="780"/>
        <v>0</v>
      </c>
      <c r="AZ586" s="10">
        <f t="shared" si="780"/>
        <v>0</v>
      </c>
      <c r="BA586" s="10">
        <f t="shared" si="780"/>
        <v>0</v>
      </c>
      <c r="BB586" s="10">
        <f t="shared" si="780"/>
        <v>0</v>
      </c>
      <c r="BC586" s="10">
        <f t="shared" si="780"/>
        <v>0</v>
      </c>
      <c r="BD586" s="10">
        <f t="shared" si="780"/>
        <v>0</v>
      </c>
      <c r="BE586" s="10">
        <f t="shared" si="780"/>
        <v>0</v>
      </c>
      <c r="BF586" s="10">
        <f t="shared" si="780"/>
        <v>0</v>
      </c>
      <c r="BG586" s="10">
        <f t="shared" si="780"/>
        <v>0</v>
      </c>
      <c r="BH586" s="10">
        <f t="shared" si="780"/>
        <v>0</v>
      </c>
      <c r="BI586" s="10">
        <f t="shared" si="780"/>
        <v>0</v>
      </c>
      <c r="BJ586" s="10">
        <f t="shared" si="780"/>
        <v>0</v>
      </c>
      <c r="BK586" s="67"/>
      <c r="BL586" s="10">
        <f t="shared" ref="BL586:BW586" si="781">BL$382</f>
        <v>0</v>
      </c>
      <c r="BM586" s="10">
        <f t="shared" si="781"/>
        <v>0</v>
      </c>
      <c r="BN586" s="10">
        <f t="shared" si="781"/>
        <v>0</v>
      </c>
      <c r="BO586" s="10">
        <f t="shared" si="781"/>
        <v>0</v>
      </c>
      <c r="BP586" s="10">
        <f t="shared" si="781"/>
        <v>0</v>
      </c>
      <c r="BQ586" s="10">
        <f t="shared" si="781"/>
        <v>0</v>
      </c>
      <c r="BR586" s="10">
        <f t="shared" si="781"/>
        <v>0</v>
      </c>
      <c r="BS586" s="10">
        <f t="shared" si="781"/>
        <v>0</v>
      </c>
      <c r="BT586" s="10">
        <f t="shared" si="781"/>
        <v>0</v>
      </c>
      <c r="BU586" s="10">
        <f t="shared" si="781"/>
        <v>0</v>
      </c>
      <c r="BV586" s="10">
        <f t="shared" si="781"/>
        <v>0</v>
      </c>
      <c r="BW586" s="10">
        <f t="shared" si="781"/>
        <v>0</v>
      </c>
      <c r="BX586" s="67"/>
      <c r="BY586" s="12"/>
      <c r="CA586" s="12"/>
      <c r="CG586" s="67"/>
      <c r="CH586" s="67"/>
      <c r="CI586" s="67"/>
      <c r="CK586" s="67"/>
      <c r="CL586" s="67"/>
      <c r="CR586" s="12"/>
      <c r="EX586" s="10" t="str">
        <f t="shared" si="771"/>
        <v/>
      </c>
    </row>
    <row r="587" spans="1:154" x14ac:dyDescent="0.25">
      <c r="A587" s="67"/>
      <c r="B587" s="84" t="str" cm="1">
        <f t="array" aca="1" ref="B587" ca="1">HYPERLINK(CONCATENATE("#",CELL("address",$D$389)),$D$389)</f>
        <v>Loan 19</v>
      </c>
      <c r="C587" s="380"/>
      <c r="D587" s="60">
        <f>D$31</f>
        <v>0</v>
      </c>
      <c r="E587" s="60">
        <f>E$31</f>
        <v>0</v>
      </c>
      <c r="F587" s="67"/>
      <c r="G587" s="9" t="s">
        <v>413</v>
      </c>
      <c r="H587" s="50" t="s">
        <v>157</v>
      </c>
      <c r="I587" s="67"/>
      <c r="J587" s="67"/>
      <c r="K587" s="67"/>
      <c r="L587" s="67"/>
      <c r="M587" s="67"/>
      <c r="N587" s="67"/>
      <c r="O587" s="67"/>
      <c r="P587" s="67"/>
      <c r="Q587" s="67"/>
      <c r="R587" s="67"/>
      <c r="S587" s="335"/>
      <c r="T587" s="335"/>
      <c r="U587" s="335"/>
      <c r="V587" s="201">
        <f>V$401</f>
        <v>0</v>
      </c>
      <c r="W587" s="10">
        <f>W$401</f>
        <v>0</v>
      </c>
      <c r="X587" s="10">
        <f>X$401</f>
        <v>0</v>
      </c>
      <c r="Y587" s="10">
        <f>Y$401</f>
        <v>0</v>
      </c>
      <c r="Z587" s="67"/>
      <c r="AA587" s="10">
        <f t="shared" ref="AA587:BJ587" si="782">AA$401</f>
        <v>0</v>
      </c>
      <c r="AB587" s="10">
        <f t="shared" si="782"/>
        <v>0</v>
      </c>
      <c r="AC587" s="10">
        <f t="shared" si="782"/>
        <v>0</v>
      </c>
      <c r="AD587" s="10">
        <f t="shared" si="782"/>
        <v>0</v>
      </c>
      <c r="AE587" s="10">
        <f t="shared" si="782"/>
        <v>0</v>
      </c>
      <c r="AF587" s="10">
        <f t="shared" si="782"/>
        <v>0</v>
      </c>
      <c r="AG587" s="10">
        <f t="shared" si="782"/>
        <v>0</v>
      </c>
      <c r="AH587" s="10">
        <f t="shared" si="782"/>
        <v>0</v>
      </c>
      <c r="AI587" s="10">
        <f t="shared" si="782"/>
        <v>0</v>
      </c>
      <c r="AJ587" s="10">
        <f t="shared" si="782"/>
        <v>0</v>
      </c>
      <c r="AK587" s="10">
        <f t="shared" si="782"/>
        <v>0</v>
      </c>
      <c r="AL587" s="10">
        <f t="shared" si="782"/>
        <v>0</v>
      </c>
      <c r="AM587" s="10">
        <f t="shared" si="782"/>
        <v>0</v>
      </c>
      <c r="AN587" s="10">
        <f t="shared" si="782"/>
        <v>0</v>
      </c>
      <c r="AO587" s="10">
        <f t="shared" si="782"/>
        <v>0</v>
      </c>
      <c r="AP587" s="10">
        <f t="shared" si="782"/>
        <v>0</v>
      </c>
      <c r="AQ587" s="10">
        <f t="shared" si="782"/>
        <v>0</v>
      </c>
      <c r="AR587" s="10">
        <f t="shared" si="782"/>
        <v>0</v>
      </c>
      <c r="AS587" s="10">
        <f t="shared" si="782"/>
        <v>0</v>
      </c>
      <c r="AT587" s="10">
        <f t="shared" si="782"/>
        <v>0</v>
      </c>
      <c r="AU587" s="10">
        <f t="shared" si="782"/>
        <v>0</v>
      </c>
      <c r="AV587" s="10">
        <f t="shared" si="782"/>
        <v>0</v>
      </c>
      <c r="AW587" s="10">
        <f t="shared" si="782"/>
        <v>0</v>
      </c>
      <c r="AX587" s="10">
        <f t="shared" si="782"/>
        <v>0</v>
      </c>
      <c r="AY587" s="10">
        <f t="shared" si="782"/>
        <v>0</v>
      </c>
      <c r="AZ587" s="10">
        <f t="shared" si="782"/>
        <v>0</v>
      </c>
      <c r="BA587" s="10">
        <f t="shared" si="782"/>
        <v>0</v>
      </c>
      <c r="BB587" s="10">
        <f t="shared" si="782"/>
        <v>0</v>
      </c>
      <c r="BC587" s="10">
        <f t="shared" si="782"/>
        <v>0</v>
      </c>
      <c r="BD587" s="10">
        <f t="shared" si="782"/>
        <v>0</v>
      </c>
      <c r="BE587" s="10">
        <f t="shared" si="782"/>
        <v>0</v>
      </c>
      <c r="BF587" s="10">
        <f t="shared" si="782"/>
        <v>0</v>
      </c>
      <c r="BG587" s="10">
        <f t="shared" si="782"/>
        <v>0</v>
      </c>
      <c r="BH587" s="10">
        <f t="shared" si="782"/>
        <v>0</v>
      </c>
      <c r="BI587" s="10">
        <f t="shared" si="782"/>
        <v>0</v>
      </c>
      <c r="BJ587" s="10">
        <f t="shared" si="782"/>
        <v>0</v>
      </c>
      <c r="BK587" s="67"/>
      <c r="BL587" s="10">
        <f t="shared" ref="BL587:BW587" si="783">BL$401</f>
        <v>0</v>
      </c>
      <c r="BM587" s="10">
        <f t="shared" si="783"/>
        <v>0</v>
      </c>
      <c r="BN587" s="10">
        <f t="shared" si="783"/>
        <v>0</v>
      </c>
      <c r="BO587" s="10">
        <f t="shared" si="783"/>
        <v>0</v>
      </c>
      <c r="BP587" s="10">
        <f t="shared" si="783"/>
        <v>0</v>
      </c>
      <c r="BQ587" s="10">
        <f t="shared" si="783"/>
        <v>0</v>
      </c>
      <c r="BR587" s="10">
        <f t="shared" si="783"/>
        <v>0</v>
      </c>
      <c r="BS587" s="10">
        <f t="shared" si="783"/>
        <v>0</v>
      </c>
      <c r="BT587" s="10">
        <f t="shared" si="783"/>
        <v>0</v>
      </c>
      <c r="BU587" s="10">
        <f t="shared" si="783"/>
        <v>0</v>
      </c>
      <c r="BV587" s="10">
        <f t="shared" si="783"/>
        <v>0</v>
      </c>
      <c r="BW587" s="10">
        <f t="shared" si="783"/>
        <v>0</v>
      </c>
      <c r="BX587" s="67"/>
      <c r="BY587" s="12"/>
      <c r="CA587" s="12"/>
      <c r="CG587" s="67"/>
      <c r="CH587" s="67"/>
      <c r="CI587" s="67"/>
      <c r="CK587" s="67"/>
      <c r="CL587" s="67"/>
      <c r="CR587" s="12"/>
      <c r="EX587" s="10" t="str">
        <f t="shared" si="771"/>
        <v/>
      </c>
    </row>
    <row r="588" spans="1:154" x14ac:dyDescent="0.25">
      <c r="A588" s="67"/>
      <c r="B588" s="84" t="str" cm="1">
        <f t="array" aca="1" ref="B588" ca="1">HYPERLINK(CONCATENATE("#",CELL("address",$D$408)),$D$408)</f>
        <v>Loan 20</v>
      </c>
      <c r="C588" s="380"/>
      <c r="D588" s="60">
        <f>D$32</f>
        <v>0</v>
      </c>
      <c r="E588" s="60">
        <f>E$32</f>
        <v>0</v>
      </c>
      <c r="F588" s="67"/>
      <c r="G588" s="9" t="s">
        <v>413</v>
      </c>
      <c r="H588" s="50" t="s">
        <v>157</v>
      </c>
      <c r="I588" s="67"/>
      <c r="J588" s="67"/>
      <c r="K588" s="67"/>
      <c r="L588" s="67"/>
      <c r="M588" s="67"/>
      <c r="N588" s="67"/>
      <c r="O588" s="67"/>
      <c r="P588" s="67"/>
      <c r="Q588" s="67"/>
      <c r="R588" s="67"/>
      <c r="S588" s="335"/>
      <c r="T588" s="335"/>
      <c r="U588" s="335"/>
      <c r="V588" s="201">
        <f>V$420</f>
        <v>0</v>
      </c>
      <c r="W588" s="10">
        <f>W$420</f>
        <v>0</v>
      </c>
      <c r="X588" s="10">
        <f>X$420</f>
        <v>0</v>
      </c>
      <c r="Y588" s="10">
        <f>Y$420</f>
        <v>0</v>
      </c>
      <c r="Z588" s="67"/>
      <c r="AA588" s="10">
        <f t="shared" ref="AA588:BJ588" si="784">AA$420</f>
        <v>0</v>
      </c>
      <c r="AB588" s="10">
        <f t="shared" si="784"/>
        <v>0</v>
      </c>
      <c r="AC588" s="10">
        <f t="shared" si="784"/>
        <v>0</v>
      </c>
      <c r="AD588" s="10">
        <f t="shared" si="784"/>
        <v>0</v>
      </c>
      <c r="AE588" s="10">
        <f t="shared" si="784"/>
        <v>0</v>
      </c>
      <c r="AF588" s="10">
        <f t="shared" si="784"/>
        <v>0</v>
      </c>
      <c r="AG588" s="10">
        <f t="shared" si="784"/>
        <v>0</v>
      </c>
      <c r="AH588" s="10">
        <f t="shared" si="784"/>
        <v>0</v>
      </c>
      <c r="AI588" s="10">
        <f t="shared" si="784"/>
        <v>0</v>
      </c>
      <c r="AJ588" s="10">
        <f t="shared" si="784"/>
        <v>0</v>
      </c>
      <c r="AK588" s="10">
        <f t="shared" si="784"/>
        <v>0</v>
      </c>
      <c r="AL588" s="10">
        <f t="shared" si="784"/>
        <v>0</v>
      </c>
      <c r="AM588" s="10">
        <f t="shared" si="784"/>
        <v>0</v>
      </c>
      <c r="AN588" s="10">
        <f t="shared" si="784"/>
        <v>0</v>
      </c>
      <c r="AO588" s="10">
        <f t="shared" si="784"/>
        <v>0</v>
      </c>
      <c r="AP588" s="10">
        <f t="shared" si="784"/>
        <v>0</v>
      </c>
      <c r="AQ588" s="10">
        <f t="shared" si="784"/>
        <v>0</v>
      </c>
      <c r="AR588" s="10">
        <f t="shared" si="784"/>
        <v>0</v>
      </c>
      <c r="AS588" s="10">
        <f t="shared" si="784"/>
        <v>0</v>
      </c>
      <c r="AT588" s="10">
        <f t="shared" si="784"/>
        <v>0</v>
      </c>
      <c r="AU588" s="10">
        <f t="shared" si="784"/>
        <v>0</v>
      </c>
      <c r="AV588" s="10">
        <f t="shared" si="784"/>
        <v>0</v>
      </c>
      <c r="AW588" s="10">
        <f t="shared" si="784"/>
        <v>0</v>
      </c>
      <c r="AX588" s="10">
        <f t="shared" si="784"/>
        <v>0</v>
      </c>
      <c r="AY588" s="10">
        <f t="shared" si="784"/>
        <v>0</v>
      </c>
      <c r="AZ588" s="10">
        <f t="shared" si="784"/>
        <v>0</v>
      </c>
      <c r="BA588" s="10">
        <f t="shared" si="784"/>
        <v>0</v>
      </c>
      <c r="BB588" s="10">
        <f t="shared" si="784"/>
        <v>0</v>
      </c>
      <c r="BC588" s="10">
        <f t="shared" si="784"/>
        <v>0</v>
      </c>
      <c r="BD588" s="10">
        <f t="shared" si="784"/>
        <v>0</v>
      </c>
      <c r="BE588" s="10">
        <f t="shared" si="784"/>
        <v>0</v>
      </c>
      <c r="BF588" s="10">
        <f t="shared" si="784"/>
        <v>0</v>
      </c>
      <c r="BG588" s="10">
        <f t="shared" si="784"/>
        <v>0</v>
      </c>
      <c r="BH588" s="10">
        <f t="shared" si="784"/>
        <v>0</v>
      </c>
      <c r="BI588" s="10">
        <f t="shared" si="784"/>
        <v>0</v>
      </c>
      <c r="BJ588" s="10">
        <f t="shared" si="784"/>
        <v>0</v>
      </c>
      <c r="BK588" s="67"/>
      <c r="BL588" s="10">
        <f t="shared" ref="BL588:BW588" si="785">BL$420</f>
        <v>0</v>
      </c>
      <c r="BM588" s="10">
        <f t="shared" si="785"/>
        <v>0</v>
      </c>
      <c r="BN588" s="10">
        <f t="shared" si="785"/>
        <v>0</v>
      </c>
      <c r="BO588" s="10">
        <f t="shared" si="785"/>
        <v>0</v>
      </c>
      <c r="BP588" s="10">
        <f t="shared" si="785"/>
        <v>0</v>
      </c>
      <c r="BQ588" s="10">
        <f t="shared" si="785"/>
        <v>0</v>
      </c>
      <c r="BR588" s="10">
        <f t="shared" si="785"/>
        <v>0</v>
      </c>
      <c r="BS588" s="10">
        <f t="shared" si="785"/>
        <v>0</v>
      </c>
      <c r="BT588" s="10">
        <f t="shared" si="785"/>
        <v>0</v>
      </c>
      <c r="BU588" s="10">
        <f t="shared" si="785"/>
        <v>0</v>
      </c>
      <c r="BV588" s="10">
        <f t="shared" si="785"/>
        <v>0</v>
      </c>
      <c r="BW588" s="10">
        <f t="shared" si="785"/>
        <v>0</v>
      </c>
      <c r="BX588" s="67"/>
      <c r="BY588" s="12"/>
      <c r="CA588" s="12"/>
      <c r="CG588" s="67"/>
      <c r="CH588" s="67"/>
      <c r="CI588" s="67"/>
      <c r="CK588" s="67"/>
      <c r="CL588" s="67"/>
      <c r="CR588" s="12"/>
      <c r="EX588" s="10" t="str">
        <f t="shared" si="771"/>
        <v/>
      </c>
    </row>
    <row r="589" spans="1:154" s="67" customFormat="1" ht="6.6" customHeight="1" x14ac:dyDescent="0.25">
      <c r="C589" s="380"/>
      <c r="D589" s="1"/>
      <c r="S589" s="335"/>
      <c r="T589" s="335"/>
      <c r="U589" s="335"/>
      <c r="V589" s="93"/>
      <c r="BM589" s="6"/>
      <c r="BY589" s="42"/>
      <c r="BZ589" s="335"/>
      <c r="CA589" s="42"/>
      <c r="CB589" s="335"/>
      <c r="CC589" s="335"/>
      <c r="CD589" s="335"/>
      <c r="CE589" s="335"/>
      <c r="CM589" s="335"/>
      <c r="CN589" s="335"/>
      <c r="CO589" s="335"/>
      <c r="CP589" s="335"/>
      <c r="CR589" s="42"/>
      <c r="CT589" s="335"/>
      <c r="CU589" s="335"/>
      <c r="EW589" s="335"/>
      <c r="EX589" s="10" t="str">
        <f t="shared" si="771"/>
        <v/>
      </c>
    </row>
    <row r="590" spans="1:154" s="67" customFormat="1" x14ac:dyDescent="0.25">
      <c r="C590" s="380"/>
      <c r="D590" s="61" t="str">
        <f>$D$60</f>
        <v>Interest Payable Closing Balance</v>
      </c>
      <c r="S590" s="335"/>
      <c r="T590" s="335"/>
      <c r="U590" s="335"/>
      <c r="V590" s="93"/>
      <c r="BY590" s="12"/>
      <c r="BZ590" s="335"/>
      <c r="CA590" s="12"/>
      <c r="CB590" s="335"/>
      <c r="CC590" s="335"/>
      <c r="CD590" s="335"/>
      <c r="CE590" s="335"/>
      <c r="CM590" s="335"/>
      <c r="CN590" s="335"/>
      <c r="CO590" s="335"/>
      <c r="CP590" s="335"/>
      <c r="CR590" s="12"/>
      <c r="CT590" s="335"/>
      <c r="CU590" s="335"/>
      <c r="EW590" s="335"/>
      <c r="EX590" s="10" t="str">
        <f t="shared" si="771"/>
        <v/>
      </c>
    </row>
    <row r="591" spans="1:154" s="67" customFormat="1" x14ac:dyDescent="0.25">
      <c r="B591" s="138" t="s">
        <v>551</v>
      </c>
      <c r="C591" s="380"/>
      <c r="D591" s="5" t="str">
        <f>D$11</f>
        <v>Lender</v>
      </c>
      <c r="E591" s="5" t="str">
        <f>E$11</f>
        <v>Loan Category</v>
      </c>
      <c r="S591" s="335"/>
      <c r="T591" s="335"/>
      <c r="U591" s="335"/>
      <c r="V591" s="93"/>
      <c r="BY591" s="12"/>
      <c r="BZ591" s="335"/>
      <c r="CA591" s="12"/>
      <c r="CB591" s="335"/>
      <c r="CC591" s="335"/>
      <c r="CD591" s="335"/>
      <c r="CE591" s="335"/>
      <c r="CM591" s="335"/>
      <c r="CN591" s="335"/>
      <c r="CO591" s="335"/>
      <c r="CP591" s="335"/>
      <c r="CR591" s="12"/>
      <c r="CT591" s="335"/>
      <c r="CU591" s="335"/>
      <c r="EW591" s="335"/>
      <c r="EX591" s="10" t="str">
        <f t="shared" si="771"/>
        <v/>
      </c>
    </row>
    <row r="592" spans="1:154" s="67" customFormat="1" x14ac:dyDescent="0.25">
      <c r="B592" s="84" t="str" cm="1">
        <f t="array" aca="1" ref="B592" ca="1">HYPERLINK(CONCATENATE("#",CELL("address",$D$47)),$D$47)</f>
        <v>Loan 1</v>
      </c>
      <c r="C592" s="380"/>
      <c r="D592" s="221" t="str">
        <f>D$13</f>
        <v>NatWest</v>
      </c>
      <c r="E592" s="60" t="str">
        <f>E$13</f>
        <v xml:space="preserve">Commercial </v>
      </c>
      <c r="G592" s="9" t="s">
        <v>413</v>
      </c>
      <c r="H592" s="50" t="s">
        <v>125</v>
      </c>
      <c r="I592" s="65"/>
      <c r="S592" s="335"/>
      <c r="T592" s="335"/>
      <c r="U592" s="335"/>
      <c r="V592" s="201">
        <f>V$60</f>
        <v>0</v>
      </c>
      <c r="W592" s="10">
        <f>W$60</f>
        <v>0</v>
      </c>
      <c r="X592" s="10">
        <f>X$60</f>
        <v>0</v>
      </c>
      <c r="Y592" s="201">
        <f>Y$60</f>
        <v>0</v>
      </c>
      <c r="AA592" s="10">
        <f t="shared" ref="AA592:BJ592" si="786">AA$60</f>
        <v>0</v>
      </c>
      <c r="AB592" s="10">
        <f t="shared" si="786"/>
        <v>0</v>
      </c>
      <c r="AC592" s="10">
        <f t="shared" si="786"/>
        <v>0</v>
      </c>
      <c r="AD592" s="10">
        <f t="shared" si="786"/>
        <v>0</v>
      </c>
      <c r="AE592" s="10">
        <f t="shared" si="786"/>
        <v>0</v>
      </c>
      <c r="AF592" s="10">
        <f t="shared" si="786"/>
        <v>0</v>
      </c>
      <c r="AG592" s="10">
        <f t="shared" si="786"/>
        <v>0</v>
      </c>
      <c r="AH592" s="10">
        <f t="shared" si="786"/>
        <v>0</v>
      </c>
      <c r="AI592" s="10">
        <f t="shared" si="786"/>
        <v>0</v>
      </c>
      <c r="AJ592" s="10">
        <f t="shared" si="786"/>
        <v>0</v>
      </c>
      <c r="AK592" s="10">
        <f t="shared" si="786"/>
        <v>0</v>
      </c>
      <c r="AL592" s="10">
        <f t="shared" si="786"/>
        <v>0</v>
      </c>
      <c r="AM592" s="10">
        <f t="shared" si="786"/>
        <v>0</v>
      </c>
      <c r="AN592" s="10">
        <f t="shared" si="786"/>
        <v>0</v>
      </c>
      <c r="AO592" s="10">
        <f t="shared" si="786"/>
        <v>0</v>
      </c>
      <c r="AP592" s="10">
        <f t="shared" si="786"/>
        <v>0</v>
      </c>
      <c r="AQ592" s="10">
        <f t="shared" si="786"/>
        <v>0</v>
      </c>
      <c r="AR592" s="10">
        <f t="shared" si="786"/>
        <v>0</v>
      </c>
      <c r="AS592" s="10">
        <f t="shared" si="786"/>
        <v>0</v>
      </c>
      <c r="AT592" s="10">
        <f t="shared" si="786"/>
        <v>0</v>
      </c>
      <c r="AU592" s="10">
        <f t="shared" si="786"/>
        <v>0</v>
      </c>
      <c r="AV592" s="10">
        <f t="shared" si="786"/>
        <v>0</v>
      </c>
      <c r="AW592" s="10">
        <f t="shared" si="786"/>
        <v>0</v>
      </c>
      <c r="AX592" s="10">
        <f t="shared" si="786"/>
        <v>0</v>
      </c>
      <c r="AY592" s="10">
        <f t="shared" si="786"/>
        <v>0</v>
      </c>
      <c r="AZ592" s="10">
        <f t="shared" si="786"/>
        <v>0</v>
      </c>
      <c r="BA592" s="10">
        <f t="shared" si="786"/>
        <v>0</v>
      </c>
      <c r="BB592" s="10">
        <f t="shared" si="786"/>
        <v>0</v>
      </c>
      <c r="BC592" s="10">
        <f t="shared" si="786"/>
        <v>0</v>
      </c>
      <c r="BD592" s="10">
        <f t="shared" si="786"/>
        <v>0</v>
      </c>
      <c r="BE592" s="10">
        <f t="shared" si="786"/>
        <v>0</v>
      </c>
      <c r="BF592" s="10">
        <f t="shared" si="786"/>
        <v>0</v>
      </c>
      <c r="BG592" s="10">
        <f t="shared" si="786"/>
        <v>0</v>
      </c>
      <c r="BH592" s="10">
        <f t="shared" si="786"/>
        <v>0</v>
      </c>
      <c r="BI592" s="10">
        <f t="shared" si="786"/>
        <v>0</v>
      </c>
      <c r="BJ592" s="10">
        <f t="shared" si="786"/>
        <v>0</v>
      </c>
      <c r="BL592" s="10">
        <f t="shared" ref="BL592" si="787">BL$60</f>
        <v>0</v>
      </c>
      <c r="BM592" s="10">
        <f t="shared" ref="BM592:BW592" si="788">BM$60</f>
        <v>0</v>
      </c>
      <c r="BN592" s="10">
        <f t="shared" si="788"/>
        <v>0</v>
      </c>
      <c r="BO592" s="10">
        <f t="shared" si="788"/>
        <v>0</v>
      </c>
      <c r="BP592" s="10">
        <f t="shared" si="788"/>
        <v>0</v>
      </c>
      <c r="BQ592" s="10">
        <f t="shared" si="788"/>
        <v>0</v>
      </c>
      <c r="BR592" s="10">
        <f t="shared" si="788"/>
        <v>0</v>
      </c>
      <c r="BS592" s="10">
        <f t="shared" si="788"/>
        <v>0</v>
      </c>
      <c r="BT592" s="10">
        <f t="shared" si="788"/>
        <v>0</v>
      </c>
      <c r="BU592" s="10">
        <f t="shared" si="788"/>
        <v>0</v>
      </c>
      <c r="BV592" s="10">
        <f t="shared" si="788"/>
        <v>0</v>
      </c>
      <c r="BW592" s="10">
        <f t="shared" si="788"/>
        <v>0</v>
      </c>
      <c r="BY592" s="12"/>
      <c r="BZ592" s="335"/>
      <c r="CA592" s="12"/>
      <c r="CB592" s="335"/>
      <c r="CC592" s="335"/>
      <c r="CD592" s="335"/>
      <c r="CE592" s="335"/>
      <c r="CM592" s="335"/>
      <c r="CN592" s="335"/>
      <c r="CO592" s="335"/>
      <c r="CP592" s="335"/>
      <c r="CR592" s="12"/>
      <c r="CT592" s="335"/>
      <c r="CU592" s="335"/>
      <c r="EW592" s="335"/>
      <c r="EX592" s="10" t="str">
        <f t="shared" si="771"/>
        <v/>
      </c>
    </row>
    <row r="593" spans="1:154" s="67" customFormat="1" x14ac:dyDescent="0.25">
      <c r="B593" s="84" t="str" cm="1">
        <f t="array" aca="1" ref="B593" ca="1">HYPERLINK(CONCATENATE("#",CELL("address",$D$66)),$D$66)</f>
        <v>Loan 2</v>
      </c>
      <c r="C593" s="380"/>
      <c r="D593" s="60" t="str">
        <f>D$14</f>
        <v>NatWest</v>
      </c>
      <c r="E593" s="60" t="str">
        <f>E$14</f>
        <v xml:space="preserve">Commercial </v>
      </c>
      <c r="G593" s="9" t="s">
        <v>413</v>
      </c>
      <c r="H593" s="50" t="s">
        <v>125</v>
      </c>
      <c r="S593" s="335"/>
      <c r="T593" s="335"/>
      <c r="U593" s="335"/>
      <c r="V593" s="201">
        <f>V$79</f>
        <v>0</v>
      </c>
      <c r="W593" s="10">
        <f>W$79</f>
        <v>0</v>
      </c>
      <c r="X593" s="10">
        <f>X$79</f>
        <v>0</v>
      </c>
      <c r="Y593" s="10">
        <f>Y$79</f>
        <v>0</v>
      </c>
      <c r="AA593" s="10">
        <f t="shared" ref="AA593:BJ593" si="789">AA$79</f>
        <v>0</v>
      </c>
      <c r="AB593" s="10">
        <f t="shared" si="789"/>
        <v>0</v>
      </c>
      <c r="AC593" s="10">
        <f t="shared" si="789"/>
        <v>0</v>
      </c>
      <c r="AD593" s="10">
        <f t="shared" si="789"/>
        <v>0</v>
      </c>
      <c r="AE593" s="10">
        <f t="shared" si="789"/>
        <v>0</v>
      </c>
      <c r="AF593" s="10">
        <f t="shared" si="789"/>
        <v>0</v>
      </c>
      <c r="AG593" s="10">
        <f t="shared" si="789"/>
        <v>0</v>
      </c>
      <c r="AH593" s="10">
        <f t="shared" si="789"/>
        <v>0</v>
      </c>
      <c r="AI593" s="10">
        <f t="shared" si="789"/>
        <v>0</v>
      </c>
      <c r="AJ593" s="10">
        <f t="shared" si="789"/>
        <v>0</v>
      </c>
      <c r="AK593" s="10">
        <f t="shared" si="789"/>
        <v>0</v>
      </c>
      <c r="AL593" s="10">
        <f t="shared" si="789"/>
        <v>0</v>
      </c>
      <c r="AM593" s="10">
        <f t="shared" si="789"/>
        <v>0</v>
      </c>
      <c r="AN593" s="10">
        <f t="shared" si="789"/>
        <v>0</v>
      </c>
      <c r="AO593" s="10">
        <f t="shared" si="789"/>
        <v>0</v>
      </c>
      <c r="AP593" s="10">
        <f t="shared" si="789"/>
        <v>0</v>
      </c>
      <c r="AQ593" s="10">
        <f t="shared" si="789"/>
        <v>0</v>
      </c>
      <c r="AR593" s="10">
        <f t="shared" si="789"/>
        <v>0</v>
      </c>
      <c r="AS593" s="10">
        <f t="shared" si="789"/>
        <v>0</v>
      </c>
      <c r="AT593" s="10">
        <f t="shared" si="789"/>
        <v>0</v>
      </c>
      <c r="AU593" s="10">
        <f t="shared" si="789"/>
        <v>0</v>
      </c>
      <c r="AV593" s="10">
        <f t="shared" si="789"/>
        <v>0</v>
      </c>
      <c r="AW593" s="10">
        <f t="shared" si="789"/>
        <v>0</v>
      </c>
      <c r="AX593" s="10">
        <f t="shared" si="789"/>
        <v>0</v>
      </c>
      <c r="AY593" s="10">
        <f t="shared" si="789"/>
        <v>0</v>
      </c>
      <c r="AZ593" s="10">
        <f t="shared" si="789"/>
        <v>0</v>
      </c>
      <c r="BA593" s="10">
        <f t="shared" si="789"/>
        <v>0</v>
      </c>
      <c r="BB593" s="10">
        <f t="shared" si="789"/>
        <v>0</v>
      </c>
      <c r="BC593" s="10">
        <f t="shared" si="789"/>
        <v>0</v>
      </c>
      <c r="BD593" s="10">
        <f t="shared" si="789"/>
        <v>0</v>
      </c>
      <c r="BE593" s="10">
        <f t="shared" si="789"/>
        <v>0</v>
      </c>
      <c r="BF593" s="10">
        <f t="shared" si="789"/>
        <v>0</v>
      </c>
      <c r="BG593" s="10">
        <f t="shared" si="789"/>
        <v>0</v>
      </c>
      <c r="BH593" s="10">
        <f t="shared" si="789"/>
        <v>0</v>
      </c>
      <c r="BI593" s="10">
        <f t="shared" si="789"/>
        <v>0</v>
      </c>
      <c r="BJ593" s="10">
        <f t="shared" si="789"/>
        <v>0</v>
      </c>
      <c r="BL593" s="10">
        <f t="shared" ref="BL593" si="790">BL$79</f>
        <v>0</v>
      </c>
      <c r="BM593" s="10">
        <f t="shared" ref="BM593:BW593" si="791">BM$79</f>
        <v>0</v>
      </c>
      <c r="BN593" s="10">
        <f t="shared" si="791"/>
        <v>0</v>
      </c>
      <c r="BO593" s="10">
        <f t="shared" si="791"/>
        <v>0</v>
      </c>
      <c r="BP593" s="10">
        <f t="shared" si="791"/>
        <v>0</v>
      </c>
      <c r="BQ593" s="10">
        <f t="shared" si="791"/>
        <v>0</v>
      </c>
      <c r="BR593" s="10">
        <f t="shared" si="791"/>
        <v>0</v>
      </c>
      <c r="BS593" s="10">
        <f t="shared" si="791"/>
        <v>0</v>
      </c>
      <c r="BT593" s="10">
        <f t="shared" si="791"/>
        <v>0</v>
      </c>
      <c r="BU593" s="10">
        <f t="shared" si="791"/>
        <v>0</v>
      </c>
      <c r="BV593" s="10">
        <f t="shared" si="791"/>
        <v>0</v>
      </c>
      <c r="BW593" s="10">
        <f t="shared" si="791"/>
        <v>0</v>
      </c>
      <c r="BY593" s="12"/>
      <c r="BZ593" s="335"/>
      <c r="CA593" s="12"/>
      <c r="CB593" s="335"/>
      <c r="CC593" s="335"/>
      <c r="CD593" s="335"/>
      <c r="CE593" s="335"/>
      <c r="CM593" s="335"/>
      <c r="CN593" s="335"/>
      <c r="CO593" s="335"/>
      <c r="CP593" s="335"/>
      <c r="CR593" s="12"/>
      <c r="CT593" s="335"/>
      <c r="CU593" s="335"/>
      <c r="EW593" s="335"/>
      <c r="EX593" s="10" t="str">
        <f t="shared" si="771"/>
        <v/>
      </c>
    </row>
    <row r="594" spans="1:154" s="67" customFormat="1" x14ac:dyDescent="0.25">
      <c r="B594" s="84" t="str" cm="1">
        <f t="array" aca="1" ref="B594" ca="1">HYPERLINK(CONCATENATE("#",CELL("address",$D$85)),$D$85)</f>
        <v>Loan 3</v>
      </c>
      <c r="C594" s="380"/>
      <c r="D594" s="60" t="str">
        <f>D$15</f>
        <v>NatWest</v>
      </c>
      <c r="E594" s="60" t="str">
        <f>E$15</f>
        <v xml:space="preserve">Commercial </v>
      </c>
      <c r="G594" s="9" t="s">
        <v>413</v>
      </c>
      <c r="H594" s="50" t="s">
        <v>125</v>
      </c>
      <c r="S594" s="335"/>
      <c r="T594" s="335"/>
      <c r="U594" s="335"/>
      <c r="V594" s="201">
        <f>V$98</f>
        <v>0</v>
      </c>
      <c r="W594" s="10">
        <f>W$98</f>
        <v>0</v>
      </c>
      <c r="X594" s="10">
        <f>X$98</f>
        <v>0</v>
      </c>
      <c r="Y594" s="10">
        <f>Y$98</f>
        <v>0</v>
      </c>
      <c r="AA594" s="10">
        <f t="shared" ref="AA594:BJ594" si="792">AA$98</f>
        <v>0</v>
      </c>
      <c r="AB594" s="10">
        <f t="shared" si="792"/>
        <v>0</v>
      </c>
      <c r="AC594" s="10">
        <f t="shared" si="792"/>
        <v>0</v>
      </c>
      <c r="AD594" s="10">
        <f t="shared" si="792"/>
        <v>0</v>
      </c>
      <c r="AE594" s="10">
        <f t="shared" si="792"/>
        <v>0</v>
      </c>
      <c r="AF594" s="10">
        <f t="shared" si="792"/>
        <v>0</v>
      </c>
      <c r="AG594" s="10">
        <f t="shared" si="792"/>
        <v>0</v>
      </c>
      <c r="AH594" s="10">
        <f t="shared" si="792"/>
        <v>0</v>
      </c>
      <c r="AI594" s="10">
        <f t="shared" si="792"/>
        <v>0</v>
      </c>
      <c r="AJ594" s="10">
        <f t="shared" si="792"/>
        <v>0</v>
      </c>
      <c r="AK594" s="10">
        <f t="shared" si="792"/>
        <v>0</v>
      </c>
      <c r="AL594" s="10">
        <f t="shared" si="792"/>
        <v>0</v>
      </c>
      <c r="AM594" s="10">
        <f t="shared" si="792"/>
        <v>0</v>
      </c>
      <c r="AN594" s="10">
        <f t="shared" si="792"/>
        <v>0</v>
      </c>
      <c r="AO594" s="10">
        <f t="shared" si="792"/>
        <v>0</v>
      </c>
      <c r="AP594" s="10">
        <f t="shared" si="792"/>
        <v>0</v>
      </c>
      <c r="AQ594" s="10">
        <f t="shared" si="792"/>
        <v>0</v>
      </c>
      <c r="AR594" s="10">
        <f t="shared" si="792"/>
        <v>0</v>
      </c>
      <c r="AS594" s="10">
        <f t="shared" si="792"/>
        <v>0</v>
      </c>
      <c r="AT594" s="10">
        <f t="shared" si="792"/>
        <v>0</v>
      </c>
      <c r="AU594" s="10">
        <f t="shared" si="792"/>
        <v>0</v>
      </c>
      <c r="AV594" s="10">
        <f t="shared" si="792"/>
        <v>0</v>
      </c>
      <c r="AW594" s="10">
        <f t="shared" si="792"/>
        <v>0</v>
      </c>
      <c r="AX594" s="10">
        <f t="shared" si="792"/>
        <v>0</v>
      </c>
      <c r="AY594" s="10">
        <f t="shared" si="792"/>
        <v>0</v>
      </c>
      <c r="AZ594" s="10">
        <f t="shared" si="792"/>
        <v>0</v>
      </c>
      <c r="BA594" s="10">
        <f t="shared" si="792"/>
        <v>0</v>
      </c>
      <c r="BB594" s="10">
        <f t="shared" si="792"/>
        <v>0</v>
      </c>
      <c r="BC594" s="10">
        <f t="shared" si="792"/>
        <v>0</v>
      </c>
      <c r="BD594" s="10">
        <f t="shared" si="792"/>
        <v>0</v>
      </c>
      <c r="BE594" s="10">
        <f t="shared" si="792"/>
        <v>0</v>
      </c>
      <c r="BF594" s="10">
        <f t="shared" si="792"/>
        <v>0</v>
      </c>
      <c r="BG594" s="10">
        <f t="shared" si="792"/>
        <v>0</v>
      </c>
      <c r="BH594" s="10">
        <f t="shared" si="792"/>
        <v>0</v>
      </c>
      <c r="BI594" s="10">
        <f t="shared" si="792"/>
        <v>0</v>
      </c>
      <c r="BJ594" s="10">
        <f t="shared" si="792"/>
        <v>0</v>
      </c>
      <c r="BL594" s="10">
        <f t="shared" ref="BL594" si="793">BL$98</f>
        <v>0</v>
      </c>
      <c r="BM594" s="10">
        <f t="shared" ref="BM594:BW594" si="794">BM$98</f>
        <v>0</v>
      </c>
      <c r="BN594" s="10">
        <f t="shared" si="794"/>
        <v>0</v>
      </c>
      <c r="BO594" s="10">
        <f t="shared" si="794"/>
        <v>0</v>
      </c>
      <c r="BP594" s="10">
        <f t="shared" si="794"/>
        <v>0</v>
      </c>
      <c r="BQ594" s="10">
        <f t="shared" si="794"/>
        <v>0</v>
      </c>
      <c r="BR594" s="10">
        <f t="shared" si="794"/>
        <v>0</v>
      </c>
      <c r="BS594" s="10">
        <f t="shared" si="794"/>
        <v>0</v>
      </c>
      <c r="BT594" s="10">
        <f t="shared" si="794"/>
        <v>0</v>
      </c>
      <c r="BU594" s="10">
        <f t="shared" si="794"/>
        <v>0</v>
      </c>
      <c r="BV594" s="10">
        <f t="shared" si="794"/>
        <v>0</v>
      </c>
      <c r="BW594" s="10">
        <f t="shared" si="794"/>
        <v>0</v>
      </c>
      <c r="BY594" s="12"/>
      <c r="BZ594" s="335"/>
      <c r="CA594" s="12"/>
      <c r="CB594" s="335"/>
      <c r="CC594" s="335"/>
      <c r="CD594" s="335"/>
      <c r="CE594" s="335"/>
      <c r="CM594" s="335"/>
      <c r="CN594" s="335"/>
      <c r="CO594" s="335"/>
      <c r="CP594" s="335"/>
      <c r="CR594" s="12"/>
      <c r="CT594" s="335"/>
      <c r="CU594" s="335"/>
      <c r="EW594" s="335"/>
      <c r="EX594" s="10" t="str">
        <f t="shared" si="771"/>
        <v/>
      </c>
    </row>
    <row r="595" spans="1:154" s="67" customFormat="1" x14ac:dyDescent="0.25">
      <c r="B595" s="84" t="str" cm="1">
        <f t="array" aca="1" ref="B595" ca="1">HYPERLINK(CONCATENATE("#",CELL("address",$D$104)),$D$104)</f>
        <v>Loan 4</v>
      </c>
      <c r="C595" s="380"/>
      <c r="D595" s="60" t="str">
        <f>D$16</f>
        <v>NatWest</v>
      </c>
      <c r="E595" s="60" t="str">
        <f>E$16</f>
        <v xml:space="preserve">Commercial </v>
      </c>
      <c r="G595" s="9" t="s">
        <v>413</v>
      </c>
      <c r="H595" s="50" t="s">
        <v>125</v>
      </c>
      <c r="S595" s="335"/>
      <c r="T595" s="335"/>
      <c r="U595" s="335"/>
      <c r="V595" s="201">
        <f>V$117</f>
        <v>0</v>
      </c>
      <c r="W595" s="10">
        <f>W$117</f>
        <v>0</v>
      </c>
      <c r="X595" s="10">
        <f>X$117</f>
        <v>0</v>
      </c>
      <c r="Y595" s="10">
        <f>Y$117</f>
        <v>0</v>
      </c>
      <c r="AA595" s="10">
        <f t="shared" ref="AA595:BJ595" si="795">AA$117</f>
        <v>0</v>
      </c>
      <c r="AB595" s="10">
        <f t="shared" si="795"/>
        <v>0</v>
      </c>
      <c r="AC595" s="10">
        <f t="shared" si="795"/>
        <v>0</v>
      </c>
      <c r="AD595" s="10">
        <f t="shared" si="795"/>
        <v>0</v>
      </c>
      <c r="AE595" s="10">
        <f t="shared" si="795"/>
        <v>0</v>
      </c>
      <c r="AF595" s="10">
        <f t="shared" si="795"/>
        <v>0</v>
      </c>
      <c r="AG595" s="10">
        <f t="shared" si="795"/>
        <v>0</v>
      </c>
      <c r="AH595" s="10">
        <f t="shared" si="795"/>
        <v>0</v>
      </c>
      <c r="AI595" s="10">
        <f t="shared" si="795"/>
        <v>0</v>
      </c>
      <c r="AJ595" s="10">
        <f t="shared" si="795"/>
        <v>0</v>
      </c>
      <c r="AK595" s="10">
        <f t="shared" si="795"/>
        <v>0</v>
      </c>
      <c r="AL595" s="10">
        <f t="shared" si="795"/>
        <v>0</v>
      </c>
      <c r="AM595" s="10">
        <f t="shared" si="795"/>
        <v>0</v>
      </c>
      <c r="AN595" s="10">
        <f t="shared" si="795"/>
        <v>0</v>
      </c>
      <c r="AO595" s="10">
        <f t="shared" si="795"/>
        <v>0</v>
      </c>
      <c r="AP595" s="10">
        <f t="shared" si="795"/>
        <v>0</v>
      </c>
      <c r="AQ595" s="10">
        <f t="shared" si="795"/>
        <v>0</v>
      </c>
      <c r="AR595" s="10">
        <f t="shared" si="795"/>
        <v>0</v>
      </c>
      <c r="AS595" s="10">
        <f t="shared" si="795"/>
        <v>0</v>
      </c>
      <c r="AT595" s="10">
        <f t="shared" si="795"/>
        <v>0</v>
      </c>
      <c r="AU595" s="10">
        <f t="shared" si="795"/>
        <v>0</v>
      </c>
      <c r="AV595" s="10">
        <f t="shared" si="795"/>
        <v>0</v>
      </c>
      <c r="AW595" s="10">
        <f t="shared" si="795"/>
        <v>0</v>
      </c>
      <c r="AX595" s="10">
        <f t="shared" si="795"/>
        <v>0</v>
      </c>
      <c r="AY595" s="10">
        <f t="shared" si="795"/>
        <v>0</v>
      </c>
      <c r="AZ595" s="10">
        <f t="shared" si="795"/>
        <v>0</v>
      </c>
      <c r="BA595" s="10">
        <f t="shared" si="795"/>
        <v>0</v>
      </c>
      <c r="BB595" s="10">
        <f t="shared" si="795"/>
        <v>0</v>
      </c>
      <c r="BC595" s="10">
        <f t="shared" si="795"/>
        <v>0</v>
      </c>
      <c r="BD595" s="10">
        <f t="shared" si="795"/>
        <v>0</v>
      </c>
      <c r="BE595" s="10">
        <f t="shared" si="795"/>
        <v>0</v>
      </c>
      <c r="BF595" s="10">
        <f t="shared" si="795"/>
        <v>0</v>
      </c>
      <c r="BG595" s="10">
        <f t="shared" si="795"/>
        <v>0</v>
      </c>
      <c r="BH595" s="10">
        <f t="shared" si="795"/>
        <v>0</v>
      </c>
      <c r="BI595" s="10">
        <f t="shared" si="795"/>
        <v>0</v>
      </c>
      <c r="BJ595" s="10">
        <f t="shared" si="795"/>
        <v>0</v>
      </c>
      <c r="BL595" s="10">
        <f t="shared" ref="BL595" si="796">BL$117</f>
        <v>0</v>
      </c>
      <c r="BM595" s="10">
        <f t="shared" ref="BM595:BW595" si="797">BM$117</f>
        <v>0</v>
      </c>
      <c r="BN595" s="10">
        <f t="shared" si="797"/>
        <v>0</v>
      </c>
      <c r="BO595" s="10">
        <f t="shared" si="797"/>
        <v>0</v>
      </c>
      <c r="BP595" s="10">
        <f t="shared" si="797"/>
        <v>0</v>
      </c>
      <c r="BQ595" s="10">
        <f t="shared" si="797"/>
        <v>0</v>
      </c>
      <c r="BR595" s="10">
        <f t="shared" si="797"/>
        <v>0</v>
      </c>
      <c r="BS595" s="10">
        <f t="shared" si="797"/>
        <v>0</v>
      </c>
      <c r="BT595" s="10">
        <f t="shared" si="797"/>
        <v>0</v>
      </c>
      <c r="BU595" s="10">
        <f t="shared" si="797"/>
        <v>0</v>
      </c>
      <c r="BV595" s="10">
        <f t="shared" si="797"/>
        <v>0</v>
      </c>
      <c r="BW595" s="10">
        <f t="shared" si="797"/>
        <v>0</v>
      </c>
      <c r="BY595" s="12"/>
      <c r="BZ595" s="335"/>
      <c r="CA595" s="12"/>
      <c r="CB595" s="335"/>
      <c r="CC595" s="335"/>
      <c r="CD595" s="335"/>
      <c r="CE595" s="335"/>
      <c r="CM595" s="335"/>
      <c r="CN595" s="335"/>
      <c r="CO595" s="335"/>
      <c r="CP595" s="335"/>
      <c r="CR595" s="12"/>
      <c r="CT595" s="335"/>
      <c r="CU595" s="335"/>
      <c r="EW595" s="335"/>
      <c r="EX595" s="10" t="str">
        <f t="shared" si="771"/>
        <v/>
      </c>
    </row>
    <row r="596" spans="1:154" s="67" customFormat="1" x14ac:dyDescent="0.25">
      <c r="B596" s="84" t="str" cm="1">
        <f t="array" aca="1" ref="B596" ca="1">HYPERLINK(CONCATENATE("#",CELL("address",$D$123)),$D$123)</f>
        <v>Loan 5</v>
      </c>
      <c r="C596" s="380"/>
      <c r="D596" s="60" t="str">
        <f>D$17</f>
        <v>NatWest</v>
      </c>
      <c r="E596" s="60" t="str">
        <f>E$17</f>
        <v xml:space="preserve">Commercial </v>
      </c>
      <c r="G596" s="9" t="s">
        <v>413</v>
      </c>
      <c r="H596" s="50" t="s">
        <v>125</v>
      </c>
      <c r="S596" s="335"/>
      <c r="T596" s="335"/>
      <c r="U596" s="335"/>
      <c r="V596" s="201">
        <f>V$136</f>
        <v>0</v>
      </c>
      <c r="W596" s="10">
        <f>W$136</f>
        <v>0</v>
      </c>
      <c r="X596" s="10">
        <f>X$136</f>
        <v>0</v>
      </c>
      <c r="Y596" s="10">
        <f>Y$136</f>
        <v>0</v>
      </c>
      <c r="AA596" s="10">
        <f t="shared" ref="AA596:BJ596" si="798">AA$136</f>
        <v>0</v>
      </c>
      <c r="AB596" s="10">
        <f t="shared" si="798"/>
        <v>0</v>
      </c>
      <c r="AC596" s="10">
        <f t="shared" si="798"/>
        <v>0</v>
      </c>
      <c r="AD596" s="10">
        <f t="shared" si="798"/>
        <v>0</v>
      </c>
      <c r="AE596" s="10">
        <f t="shared" si="798"/>
        <v>0</v>
      </c>
      <c r="AF596" s="10">
        <f t="shared" si="798"/>
        <v>0</v>
      </c>
      <c r="AG596" s="10">
        <f t="shared" si="798"/>
        <v>0</v>
      </c>
      <c r="AH596" s="10">
        <f t="shared" si="798"/>
        <v>0</v>
      </c>
      <c r="AI596" s="10">
        <f t="shared" si="798"/>
        <v>0</v>
      </c>
      <c r="AJ596" s="10">
        <f t="shared" si="798"/>
        <v>0</v>
      </c>
      <c r="AK596" s="10">
        <f t="shared" si="798"/>
        <v>0</v>
      </c>
      <c r="AL596" s="10">
        <f t="shared" si="798"/>
        <v>0</v>
      </c>
      <c r="AM596" s="10">
        <f t="shared" si="798"/>
        <v>0</v>
      </c>
      <c r="AN596" s="10">
        <f t="shared" si="798"/>
        <v>0</v>
      </c>
      <c r="AO596" s="10">
        <f t="shared" si="798"/>
        <v>0</v>
      </c>
      <c r="AP596" s="10">
        <f t="shared" si="798"/>
        <v>0</v>
      </c>
      <c r="AQ596" s="10">
        <f t="shared" si="798"/>
        <v>0</v>
      </c>
      <c r="AR596" s="10">
        <f t="shared" si="798"/>
        <v>0</v>
      </c>
      <c r="AS596" s="10">
        <f t="shared" si="798"/>
        <v>0</v>
      </c>
      <c r="AT596" s="10">
        <f t="shared" si="798"/>
        <v>0</v>
      </c>
      <c r="AU596" s="10">
        <f t="shared" si="798"/>
        <v>0</v>
      </c>
      <c r="AV596" s="10">
        <f t="shared" si="798"/>
        <v>0</v>
      </c>
      <c r="AW596" s="10">
        <f t="shared" si="798"/>
        <v>0</v>
      </c>
      <c r="AX596" s="10">
        <f t="shared" si="798"/>
        <v>0</v>
      </c>
      <c r="AY596" s="10">
        <f t="shared" si="798"/>
        <v>0</v>
      </c>
      <c r="AZ596" s="10">
        <f t="shared" si="798"/>
        <v>0</v>
      </c>
      <c r="BA596" s="10">
        <f t="shared" si="798"/>
        <v>0</v>
      </c>
      <c r="BB596" s="10">
        <f t="shared" si="798"/>
        <v>0</v>
      </c>
      <c r="BC596" s="10">
        <f t="shared" si="798"/>
        <v>0</v>
      </c>
      <c r="BD596" s="10">
        <f t="shared" si="798"/>
        <v>0</v>
      </c>
      <c r="BE596" s="10">
        <f t="shared" si="798"/>
        <v>0</v>
      </c>
      <c r="BF596" s="10">
        <f t="shared" si="798"/>
        <v>0</v>
      </c>
      <c r="BG596" s="10">
        <f t="shared" si="798"/>
        <v>0</v>
      </c>
      <c r="BH596" s="10">
        <f t="shared" si="798"/>
        <v>0</v>
      </c>
      <c r="BI596" s="10">
        <f t="shared" si="798"/>
        <v>0</v>
      </c>
      <c r="BJ596" s="10">
        <f t="shared" si="798"/>
        <v>0</v>
      </c>
      <c r="BL596" s="10">
        <f t="shared" ref="BL596" si="799">BL$136</f>
        <v>0</v>
      </c>
      <c r="BM596" s="10">
        <f t="shared" ref="BM596:BW596" si="800">BM$136</f>
        <v>0</v>
      </c>
      <c r="BN596" s="10">
        <f t="shared" si="800"/>
        <v>0</v>
      </c>
      <c r="BO596" s="10">
        <f t="shared" si="800"/>
        <v>0</v>
      </c>
      <c r="BP596" s="10">
        <f t="shared" si="800"/>
        <v>0</v>
      </c>
      <c r="BQ596" s="10">
        <f t="shared" si="800"/>
        <v>0</v>
      </c>
      <c r="BR596" s="10">
        <f t="shared" si="800"/>
        <v>0</v>
      </c>
      <c r="BS596" s="10">
        <f t="shared" si="800"/>
        <v>0</v>
      </c>
      <c r="BT596" s="10">
        <f t="shared" si="800"/>
        <v>0</v>
      </c>
      <c r="BU596" s="10">
        <f t="shared" si="800"/>
        <v>0</v>
      </c>
      <c r="BV596" s="10">
        <f t="shared" si="800"/>
        <v>0</v>
      </c>
      <c r="BW596" s="10">
        <f t="shared" si="800"/>
        <v>0</v>
      </c>
      <c r="BY596" s="12"/>
      <c r="BZ596" s="335"/>
      <c r="CA596" s="12"/>
      <c r="CB596" s="335"/>
      <c r="CC596" s="335"/>
      <c r="CD596" s="335"/>
      <c r="CE596" s="335"/>
      <c r="CM596" s="335"/>
      <c r="CN596" s="335"/>
      <c r="CO596" s="335"/>
      <c r="CP596" s="335"/>
      <c r="CR596" s="12"/>
      <c r="CT596" s="335"/>
      <c r="CU596" s="335"/>
      <c r="EW596" s="335"/>
      <c r="EX596" s="10" t="str">
        <f t="shared" si="771"/>
        <v/>
      </c>
    </row>
    <row r="597" spans="1:154" s="67" customFormat="1" x14ac:dyDescent="0.25">
      <c r="B597" s="84" t="str" cm="1">
        <f t="array" aca="1" ref="B597" ca="1">HYPERLINK(CONCATENATE("#",CELL("address",$D$142)),$D$142)</f>
        <v>Loan 6</v>
      </c>
      <c r="C597" s="380"/>
      <c r="D597" s="60">
        <f>D$18</f>
        <v>0</v>
      </c>
      <c r="E597" s="60">
        <f>E$18</f>
        <v>0</v>
      </c>
      <c r="G597" s="9" t="s">
        <v>413</v>
      </c>
      <c r="H597" s="50" t="s">
        <v>125</v>
      </c>
      <c r="S597" s="335"/>
      <c r="T597" s="335"/>
      <c r="U597" s="335"/>
      <c r="V597" s="201">
        <f>V$155</f>
        <v>0</v>
      </c>
      <c r="W597" s="10">
        <f>W$155</f>
        <v>0</v>
      </c>
      <c r="X597" s="10">
        <f>X$155</f>
        <v>0</v>
      </c>
      <c r="Y597" s="10">
        <f>Y$155</f>
        <v>0</v>
      </c>
      <c r="AA597" s="10">
        <f t="shared" ref="AA597:BJ597" si="801">AA$155</f>
        <v>0</v>
      </c>
      <c r="AB597" s="10">
        <f t="shared" si="801"/>
        <v>0</v>
      </c>
      <c r="AC597" s="10">
        <f t="shared" si="801"/>
        <v>0</v>
      </c>
      <c r="AD597" s="10">
        <f t="shared" si="801"/>
        <v>0</v>
      </c>
      <c r="AE597" s="10">
        <f t="shared" si="801"/>
        <v>0</v>
      </c>
      <c r="AF597" s="10">
        <f t="shared" si="801"/>
        <v>0</v>
      </c>
      <c r="AG597" s="10">
        <f t="shared" si="801"/>
        <v>0</v>
      </c>
      <c r="AH597" s="10">
        <f t="shared" si="801"/>
        <v>0</v>
      </c>
      <c r="AI597" s="10">
        <f t="shared" si="801"/>
        <v>0</v>
      </c>
      <c r="AJ597" s="10">
        <f t="shared" si="801"/>
        <v>0</v>
      </c>
      <c r="AK597" s="10">
        <f t="shared" si="801"/>
        <v>0</v>
      </c>
      <c r="AL597" s="10">
        <f t="shared" si="801"/>
        <v>0</v>
      </c>
      <c r="AM597" s="10">
        <f t="shared" si="801"/>
        <v>0</v>
      </c>
      <c r="AN597" s="10">
        <f t="shared" si="801"/>
        <v>0</v>
      </c>
      <c r="AO597" s="10">
        <f t="shared" si="801"/>
        <v>0</v>
      </c>
      <c r="AP597" s="10">
        <f t="shared" si="801"/>
        <v>0</v>
      </c>
      <c r="AQ597" s="10">
        <f t="shared" si="801"/>
        <v>0</v>
      </c>
      <c r="AR597" s="10">
        <f t="shared" si="801"/>
        <v>0</v>
      </c>
      <c r="AS597" s="10">
        <f t="shared" si="801"/>
        <v>0</v>
      </c>
      <c r="AT597" s="10">
        <f t="shared" si="801"/>
        <v>0</v>
      </c>
      <c r="AU597" s="10">
        <f t="shared" si="801"/>
        <v>0</v>
      </c>
      <c r="AV597" s="10">
        <f t="shared" si="801"/>
        <v>0</v>
      </c>
      <c r="AW597" s="10">
        <f t="shared" si="801"/>
        <v>0</v>
      </c>
      <c r="AX597" s="10">
        <f t="shared" si="801"/>
        <v>0</v>
      </c>
      <c r="AY597" s="10">
        <f t="shared" si="801"/>
        <v>0</v>
      </c>
      <c r="AZ597" s="10">
        <f t="shared" si="801"/>
        <v>0</v>
      </c>
      <c r="BA597" s="10">
        <f t="shared" si="801"/>
        <v>0</v>
      </c>
      <c r="BB597" s="10">
        <f t="shared" si="801"/>
        <v>0</v>
      </c>
      <c r="BC597" s="10">
        <f t="shared" si="801"/>
        <v>0</v>
      </c>
      <c r="BD597" s="10">
        <f t="shared" si="801"/>
        <v>0</v>
      </c>
      <c r="BE597" s="10">
        <f t="shared" si="801"/>
        <v>0</v>
      </c>
      <c r="BF597" s="10">
        <f t="shared" si="801"/>
        <v>0</v>
      </c>
      <c r="BG597" s="10">
        <f t="shared" si="801"/>
        <v>0</v>
      </c>
      <c r="BH597" s="10">
        <f t="shared" si="801"/>
        <v>0</v>
      </c>
      <c r="BI597" s="10">
        <f t="shared" si="801"/>
        <v>0</v>
      </c>
      <c r="BJ597" s="10">
        <f t="shared" si="801"/>
        <v>0</v>
      </c>
      <c r="BL597" s="10">
        <f t="shared" ref="BL597" si="802">BL$155</f>
        <v>0</v>
      </c>
      <c r="BM597" s="10">
        <f t="shared" ref="BM597:BW597" si="803">BM$155</f>
        <v>0</v>
      </c>
      <c r="BN597" s="10">
        <f t="shared" si="803"/>
        <v>0</v>
      </c>
      <c r="BO597" s="10">
        <f t="shared" si="803"/>
        <v>0</v>
      </c>
      <c r="BP597" s="10">
        <f t="shared" si="803"/>
        <v>0</v>
      </c>
      <c r="BQ597" s="10">
        <f t="shared" si="803"/>
        <v>0</v>
      </c>
      <c r="BR597" s="10">
        <f t="shared" si="803"/>
        <v>0</v>
      </c>
      <c r="BS597" s="10">
        <f t="shared" si="803"/>
        <v>0</v>
      </c>
      <c r="BT597" s="10">
        <f t="shared" si="803"/>
        <v>0</v>
      </c>
      <c r="BU597" s="10">
        <f t="shared" si="803"/>
        <v>0</v>
      </c>
      <c r="BV597" s="10">
        <f t="shared" si="803"/>
        <v>0</v>
      </c>
      <c r="BW597" s="10">
        <f t="shared" si="803"/>
        <v>0</v>
      </c>
      <c r="BY597" s="12"/>
      <c r="BZ597" s="335"/>
      <c r="CA597" s="12"/>
      <c r="CB597" s="335"/>
      <c r="CC597" s="335"/>
      <c r="CD597" s="335"/>
      <c r="CE597" s="335"/>
      <c r="CM597" s="335"/>
      <c r="CN597" s="335"/>
      <c r="CO597" s="335"/>
      <c r="CP597" s="335"/>
      <c r="CR597" s="12"/>
      <c r="CT597" s="335"/>
      <c r="CU597" s="335"/>
      <c r="EW597" s="335"/>
      <c r="EX597" s="10" t="str">
        <f t="shared" si="771"/>
        <v/>
      </c>
    </row>
    <row r="598" spans="1:154" s="67" customFormat="1" x14ac:dyDescent="0.25">
      <c r="B598" s="84" t="str" cm="1">
        <f t="array" aca="1" ref="B598" ca="1">HYPERLINK(CONCATENATE("#",CELL("address",$D$161)),$D$161)</f>
        <v>Loan 7</v>
      </c>
      <c r="C598" s="380"/>
      <c r="D598" s="60">
        <f>D$19</f>
        <v>0</v>
      </c>
      <c r="E598" s="60">
        <f>E$19</f>
        <v>0</v>
      </c>
      <c r="G598" s="9" t="s">
        <v>413</v>
      </c>
      <c r="H598" s="50" t="s">
        <v>125</v>
      </c>
      <c r="S598" s="335"/>
      <c r="T598" s="335"/>
      <c r="U598" s="335"/>
      <c r="V598" s="201">
        <f>V$174</f>
        <v>0</v>
      </c>
      <c r="W598" s="10">
        <f>W$174</f>
        <v>0</v>
      </c>
      <c r="X598" s="10">
        <f>X$174</f>
        <v>0</v>
      </c>
      <c r="Y598" s="10">
        <f>Y$174</f>
        <v>0</v>
      </c>
      <c r="AA598" s="10">
        <f t="shared" ref="AA598:BJ598" si="804">AA$174</f>
        <v>0</v>
      </c>
      <c r="AB598" s="10">
        <f t="shared" si="804"/>
        <v>0</v>
      </c>
      <c r="AC598" s="10">
        <f t="shared" si="804"/>
        <v>0</v>
      </c>
      <c r="AD598" s="10">
        <f t="shared" si="804"/>
        <v>0</v>
      </c>
      <c r="AE598" s="10">
        <f t="shared" si="804"/>
        <v>0</v>
      </c>
      <c r="AF598" s="10">
        <f t="shared" si="804"/>
        <v>0</v>
      </c>
      <c r="AG598" s="10">
        <f t="shared" si="804"/>
        <v>0</v>
      </c>
      <c r="AH598" s="10">
        <f t="shared" si="804"/>
        <v>0</v>
      </c>
      <c r="AI598" s="10">
        <f t="shared" si="804"/>
        <v>0</v>
      </c>
      <c r="AJ598" s="10">
        <f t="shared" si="804"/>
        <v>0</v>
      </c>
      <c r="AK598" s="10">
        <f t="shared" si="804"/>
        <v>0</v>
      </c>
      <c r="AL598" s="10">
        <f t="shared" si="804"/>
        <v>0</v>
      </c>
      <c r="AM598" s="10">
        <f t="shared" si="804"/>
        <v>0</v>
      </c>
      <c r="AN598" s="10">
        <f t="shared" si="804"/>
        <v>0</v>
      </c>
      <c r="AO598" s="10">
        <f t="shared" si="804"/>
        <v>0</v>
      </c>
      <c r="AP598" s="10">
        <f t="shared" si="804"/>
        <v>0</v>
      </c>
      <c r="AQ598" s="10">
        <f t="shared" si="804"/>
        <v>0</v>
      </c>
      <c r="AR598" s="10">
        <f t="shared" si="804"/>
        <v>0</v>
      </c>
      <c r="AS598" s="10">
        <f t="shared" si="804"/>
        <v>0</v>
      </c>
      <c r="AT598" s="10">
        <f t="shared" si="804"/>
        <v>0</v>
      </c>
      <c r="AU598" s="10">
        <f t="shared" si="804"/>
        <v>0</v>
      </c>
      <c r="AV598" s="10">
        <f t="shared" si="804"/>
        <v>0</v>
      </c>
      <c r="AW598" s="10">
        <f t="shared" si="804"/>
        <v>0</v>
      </c>
      <c r="AX598" s="10">
        <f t="shared" si="804"/>
        <v>0</v>
      </c>
      <c r="AY598" s="10">
        <f t="shared" si="804"/>
        <v>0</v>
      </c>
      <c r="AZ598" s="10">
        <f t="shared" si="804"/>
        <v>0</v>
      </c>
      <c r="BA598" s="10">
        <f t="shared" si="804"/>
        <v>0</v>
      </c>
      <c r="BB598" s="10">
        <f t="shared" si="804"/>
        <v>0</v>
      </c>
      <c r="BC598" s="10">
        <f t="shared" si="804"/>
        <v>0</v>
      </c>
      <c r="BD598" s="10">
        <f t="shared" si="804"/>
        <v>0</v>
      </c>
      <c r="BE598" s="10">
        <f t="shared" si="804"/>
        <v>0</v>
      </c>
      <c r="BF598" s="10">
        <f t="shared" si="804"/>
        <v>0</v>
      </c>
      <c r="BG598" s="10">
        <f t="shared" si="804"/>
        <v>0</v>
      </c>
      <c r="BH598" s="10">
        <f t="shared" si="804"/>
        <v>0</v>
      </c>
      <c r="BI598" s="10">
        <f t="shared" si="804"/>
        <v>0</v>
      </c>
      <c r="BJ598" s="10">
        <f t="shared" si="804"/>
        <v>0</v>
      </c>
      <c r="BL598" s="10">
        <f t="shared" ref="BL598" si="805">BL$174</f>
        <v>0</v>
      </c>
      <c r="BM598" s="10">
        <f t="shared" ref="BM598:BW598" si="806">BM$174</f>
        <v>0</v>
      </c>
      <c r="BN598" s="10">
        <f t="shared" si="806"/>
        <v>0</v>
      </c>
      <c r="BO598" s="10">
        <f t="shared" si="806"/>
        <v>0</v>
      </c>
      <c r="BP598" s="10">
        <f t="shared" si="806"/>
        <v>0</v>
      </c>
      <c r="BQ598" s="10">
        <f t="shared" si="806"/>
        <v>0</v>
      </c>
      <c r="BR598" s="10">
        <f t="shared" si="806"/>
        <v>0</v>
      </c>
      <c r="BS598" s="10">
        <f t="shared" si="806"/>
        <v>0</v>
      </c>
      <c r="BT598" s="10">
        <f t="shared" si="806"/>
        <v>0</v>
      </c>
      <c r="BU598" s="10">
        <f t="shared" si="806"/>
        <v>0</v>
      </c>
      <c r="BV598" s="10">
        <f t="shared" si="806"/>
        <v>0</v>
      </c>
      <c r="BW598" s="10">
        <f t="shared" si="806"/>
        <v>0</v>
      </c>
      <c r="BY598" s="12"/>
      <c r="BZ598" s="335"/>
      <c r="CA598" s="12"/>
      <c r="CB598" s="335"/>
      <c r="CC598" s="335"/>
      <c r="CD598" s="335"/>
      <c r="CE598" s="335"/>
      <c r="CM598" s="335"/>
      <c r="CN598" s="335"/>
      <c r="CO598" s="335"/>
      <c r="CP598" s="335"/>
      <c r="CR598" s="12"/>
      <c r="CT598" s="335"/>
      <c r="CU598" s="335"/>
      <c r="EW598" s="335"/>
      <c r="EX598" s="10" t="str">
        <f t="shared" si="771"/>
        <v/>
      </c>
    </row>
    <row r="599" spans="1:154" s="67" customFormat="1" x14ac:dyDescent="0.25">
      <c r="B599" s="84" t="str" cm="1">
        <f t="array" aca="1" ref="B599" ca="1">HYPERLINK(CONCATENATE("#",CELL("address",$D$180)),$D$180)</f>
        <v>Loan 8</v>
      </c>
      <c r="C599" s="380"/>
      <c r="D599" s="60">
        <f>D$20</f>
        <v>0</v>
      </c>
      <c r="E599" s="60">
        <f>E$20</f>
        <v>0</v>
      </c>
      <c r="G599" s="9" t="s">
        <v>413</v>
      </c>
      <c r="H599" s="50" t="s">
        <v>125</v>
      </c>
      <c r="S599" s="335"/>
      <c r="T599" s="335"/>
      <c r="U599" s="335"/>
      <c r="V599" s="201">
        <f>V$193</f>
        <v>0</v>
      </c>
      <c r="W599" s="10">
        <f>W$193</f>
        <v>0</v>
      </c>
      <c r="X599" s="10">
        <f>X$193</f>
        <v>0</v>
      </c>
      <c r="Y599" s="10">
        <f>Y$193</f>
        <v>0</v>
      </c>
      <c r="AA599" s="10">
        <f t="shared" ref="AA599:BJ599" si="807">AA$193</f>
        <v>0</v>
      </c>
      <c r="AB599" s="10">
        <f t="shared" si="807"/>
        <v>0</v>
      </c>
      <c r="AC599" s="10">
        <f t="shared" si="807"/>
        <v>0</v>
      </c>
      <c r="AD599" s="10">
        <f t="shared" si="807"/>
        <v>0</v>
      </c>
      <c r="AE599" s="10">
        <f t="shared" si="807"/>
        <v>0</v>
      </c>
      <c r="AF599" s="10">
        <f t="shared" si="807"/>
        <v>0</v>
      </c>
      <c r="AG599" s="10">
        <f t="shared" si="807"/>
        <v>0</v>
      </c>
      <c r="AH599" s="10">
        <f t="shared" si="807"/>
        <v>0</v>
      </c>
      <c r="AI599" s="10">
        <f t="shared" si="807"/>
        <v>0</v>
      </c>
      <c r="AJ599" s="10">
        <f t="shared" si="807"/>
        <v>0</v>
      </c>
      <c r="AK599" s="10">
        <f t="shared" si="807"/>
        <v>0</v>
      </c>
      <c r="AL599" s="10">
        <f t="shared" si="807"/>
        <v>0</v>
      </c>
      <c r="AM599" s="10">
        <f t="shared" si="807"/>
        <v>0</v>
      </c>
      <c r="AN599" s="10">
        <f t="shared" si="807"/>
        <v>0</v>
      </c>
      <c r="AO599" s="10">
        <f t="shared" si="807"/>
        <v>0</v>
      </c>
      <c r="AP599" s="10">
        <f t="shared" si="807"/>
        <v>0</v>
      </c>
      <c r="AQ599" s="10">
        <f t="shared" si="807"/>
        <v>0</v>
      </c>
      <c r="AR599" s="10">
        <f t="shared" si="807"/>
        <v>0</v>
      </c>
      <c r="AS599" s="10">
        <f t="shared" si="807"/>
        <v>0</v>
      </c>
      <c r="AT599" s="10">
        <f t="shared" si="807"/>
        <v>0</v>
      </c>
      <c r="AU599" s="10">
        <f t="shared" si="807"/>
        <v>0</v>
      </c>
      <c r="AV599" s="10">
        <f t="shared" si="807"/>
        <v>0</v>
      </c>
      <c r="AW599" s="10">
        <f t="shared" si="807"/>
        <v>0</v>
      </c>
      <c r="AX599" s="10">
        <f t="shared" si="807"/>
        <v>0</v>
      </c>
      <c r="AY599" s="10">
        <f t="shared" si="807"/>
        <v>0</v>
      </c>
      <c r="AZ599" s="10">
        <f t="shared" si="807"/>
        <v>0</v>
      </c>
      <c r="BA599" s="10">
        <f t="shared" si="807"/>
        <v>0</v>
      </c>
      <c r="BB599" s="10">
        <f t="shared" si="807"/>
        <v>0</v>
      </c>
      <c r="BC599" s="10">
        <f t="shared" si="807"/>
        <v>0</v>
      </c>
      <c r="BD599" s="10">
        <f t="shared" si="807"/>
        <v>0</v>
      </c>
      <c r="BE599" s="10">
        <f t="shared" si="807"/>
        <v>0</v>
      </c>
      <c r="BF599" s="10">
        <f t="shared" si="807"/>
        <v>0</v>
      </c>
      <c r="BG599" s="10">
        <f t="shared" si="807"/>
        <v>0</v>
      </c>
      <c r="BH599" s="10">
        <f t="shared" si="807"/>
        <v>0</v>
      </c>
      <c r="BI599" s="10">
        <f t="shared" si="807"/>
        <v>0</v>
      </c>
      <c r="BJ599" s="10">
        <f t="shared" si="807"/>
        <v>0</v>
      </c>
      <c r="BL599" s="10">
        <f t="shared" ref="BL599" si="808">BL$193</f>
        <v>0</v>
      </c>
      <c r="BM599" s="10">
        <f t="shared" ref="BM599:BW599" si="809">BM$193</f>
        <v>0</v>
      </c>
      <c r="BN599" s="10">
        <f t="shared" si="809"/>
        <v>0</v>
      </c>
      <c r="BO599" s="10">
        <f t="shared" si="809"/>
        <v>0</v>
      </c>
      <c r="BP599" s="10">
        <f t="shared" si="809"/>
        <v>0</v>
      </c>
      <c r="BQ599" s="10">
        <f t="shared" si="809"/>
        <v>0</v>
      </c>
      <c r="BR599" s="10">
        <f t="shared" si="809"/>
        <v>0</v>
      </c>
      <c r="BS599" s="10">
        <f t="shared" si="809"/>
        <v>0</v>
      </c>
      <c r="BT599" s="10">
        <f t="shared" si="809"/>
        <v>0</v>
      </c>
      <c r="BU599" s="10">
        <f t="shared" si="809"/>
        <v>0</v>
      </c>
      <c r="BV599" s="10">
        <f t="shared" si="809"/>
        <v>0</v>
      </c>
      <c r="BW599" s="10">
        <f t="shared" si="809"/>
        <v>0</v>
      </c>
      <c r="BY599" s="12"/>
      <c r="BZ599" s="335"/>
      <c r="CA599" s="12"/>
      <c r="CB599" s="335"/>
      <c r="CC599" s="335"/>
      <c r="CD599" s="335"/>
      <c r="CE599" s="335"/>
      <c r="CM599" s="335"/>
      <c r="CN599" s="335"/>
      <c r="CO599" s="335"/>
      <c r="CP599" s="335"/>
      <c r="CR599" s="12"/>
      <c r="CT599" s="335"/>
      <c r="CU599" s="335"/>
      <c r="EW599" s="335"/>
      <c r="EX599" s="10" t="str">
        <f t="shared" si="771"/>
        <v/>
      </c>
    </row>
    <row r="600" spans="1:154" s="67" customFormat="1" x14ac:dyDescent="0.25">
      <c r="B600" s="84" t="str" cm="1">
        <f t="array" aca="1" ref="B600" ca="1">HYPERLINK(CONCATENATE("#",CELL("address",$D$199)),$D$199)</f>
        <v>Loan 9</v>
      </c>
      <c r="C600" s="380"/>
      <c r="D600" s="60">
        <f>D$21</f>
        <v>0</v>
      </c>
      <c r="E600" s="60">
        <f>E$21</f>
        <v>0</v>
      </c>
      <c r="G600" s="9" t="s">
        <v>413</v>
      </c>
      <c r="H600" s="50" t="s">
        <v>125</v>
      </c>
      <c r="S600" s="335"/>
      <c r="T600" s="335"/>
      <c r="U600" s="335"/>
      <c r="V600" s="201">
        <f>V$212</f>
        <v>0</v>
      </c>
      <c r="W600" s="10">
        <f>W$212</f>
        <v>0</v>
      </c>
      <c r="X600" s="10">
        <f>X$212</f>
        <v>0</v>
      </c>
      <c r="Y600" s="10">
        <f>Y$212</f>
        <v>0</v>
      </c>
      <c r="AA600" s="10">
        <f t="shared" ref="AA600:BJ600" si="810">AA$212</f>
        <v>0</v>
      </c>
      <c r="AB600" s="10">
        <f t="shared" si="810"/>
        <v>0</v>
      </c>
      <c r="AC600" s="10">
        <f t="shared" si="810"/>
        <v>0</v>
      </c>
      <c r="AD600" s="10">
        <f t="shared" si="810"/>
        <v>0</v>
      </c>
      <c r="AE600" s="10">
        <f t="shared" si="810"/>
        <v>0</v>
      </c>
      <c r="AF600" s="10">
        <f t="shared" si="810"/>
        <v>0</v>
      </c>
      <c r="AG600" s="10">
        <f t="shared" si="810"/>
        <v>0</v>
      </c>
      <c r="AH600" s="10">
        <f t="shared" si="810"/>
        <v>0</v>
      </c>
      <c r="AI600" s="10">
        <f t="shared" si="810"/>
        <v>0</v>
      </c>
      <c r="AJ600" s="10">
        <f t="shared" si="810"/>
        <v>0</v>
      </c>
      <c r="AK600" s="10">
        <f t="shared" si="810"/>
        <v>0</v>
      </c>
      <c r="AL600" s="10">
        <f t="shared" si="810"/>
        <v>0</v>
      </c>
      <c r="AM600" s="10">
        <f t="shared" si="810"/>
        <v>0</v>
      </c>
      <c r="AN600" s="10">
        <f t="shared" si="810"/>
        <v>0</v>
      </c>
      <c r="AO600" s="10">
        <f t="shared" si="810"/>
        <v>0</v>
      </c>
      <c r="AP600" s="10">
        <f t="shared" si="810"/>
        <v>0</v>
      </c>
      <c r="AQ600" s="10">
        <f t="shared" si="810"/>
        <v>0</v>
      </c>
      <c r="AR600" s="10">
        <f t="shared" si="810"/>
        <v>0</v>
      </c>
      <c r="AS600" s="10">
        <f t="shared" si="810"/>
        <v>0</v>
      </c>
      <c r="AT600" s="10">
        <f t="shared" si="810"/>
        <v>0</v>
      </c>
      <c r="AU600" s="10">
        <f t="shared" si="810"/>
        <v>0</v>
      </c>
      <c r="AV600" s="10">
        <f t="shared" si="810"/>
        <v>0</v>
      </c>
      <c r="AW600" s="10">
        <f t="shared" si="810"/>
        <v>0</v>
      </c>
      <c r="AX600" s="10">
        <f t="shared" si="810"/>
        <v>0</v>
      </c>
      <c r="AY600" s="10">
        <f t="shared" si="810"/>
        <v>0</v>
      </c>
      <c r="AZ600" s="10">
        <f t="shared" si="810"/>
        <v>0</v>
      </c>
      <c r="BA600" s="10">
        <f t="shared" si="810"/>
        <v>0</v>
      </c>
      <c r="BB600" s="10">
        <f t="shared" si="810"/>
        <v>0</v>
      </c>
      <c r="BC600" s="10">
        <f t="shared" si="810"/>
        <v>0</v>
      </c>
      <c r="BD600" s="10">
        <f t="shared" si="810"/>
        <v>0</v>
      </c>
      <c r="BE600" s="10">
        <f t="shared" si="810"/>
        <v>0</v>
      </c>
      <c r="BF600" s="10">
        <f t="shared" si="810"/>
        <v>0</v>
      </c>
      <c r="BG600" s="10">
        <f t="shared" si="810"/>
        <v>0</v>
      </c>
      <c r="BH600" s="10">
        <f t="shared" si="810"/>
        <v>0</v>
      </c>
      <c r="BI600" s="10">
        <f t="shared" si="810"/>
        <v>0</v>
      </c>
      <c r="BJ600" s="10">
        <f t="shared" si="810"/>
        <v>0</v>
      </c>
      <c r="BL600" s="10">
        <f t="shared" ref="BL600" si="811">BL$212</f>
        <v>0</v>
      </c>
      <c r="BM600" s="10">
        <f t="shared" ref="BM600:BW600" si="812">BM$212</f>
        <v>0</v>
      </c>
      <c r="BN600" s="10">
        <f t="shared" si="812"/>
        <v>0</v>
      </c>
      <c r="BO600" s="10">
        <f t="shared" si="812"/>
        <v>0</v>
      </c>
      <c r="BP600" s="10">
        <f t="shared" si="812"/>
        <v>0</v>
      </c>
      <c r="BQ600" s="10">
        <f t="shared" si="812"/>
        <v>0</v>
      </c>
      <c r="BR600" s="10">
        <f t="shared" si="812"/>
        <v>0</v>
      </c>
      <c r="BS600" s="10">
        <f t="shared" si="812"/>
        <v>0</v>
      </c>
      <c r="BT600" s="10">
        <f t="shared" si="812"/>
        <v>0</v>
      </c>
      <c r="BU600" s="10">
        <f t="shared" si="812"/>
        <v>0</v>
      </c>
      <c r="BV600" s="10">
        <f t="shared" si="812"/>
        <v>0</v>
      </c>
      <c r="BW600" s="10">
        <f t="shared" si="812"/>
        <v>0</v>
      </c>
      <c r="BY600" s="12"/>
      <c r="BZ600" s="335"/>
      <c r="CA600" s="12"/>
      <c r="CB600" s="335"/>
      <c r="CC600" s="335"/>
      <c r="CD600" s="335"/>
      <c r="CE600" s="335"/>
      <c r="CM600" s="335"/>
      <c r="CN600" s="335"/>
      <c r="CO600" s="335"/>
      <c r="CP600" s="335"/>
      <c r="CR600" s="12"/>
      <c r="CT600" s="335"/>
      <c r="CU600" s="335"/>
      <c r="EW600" s="335"/>
      <c r="EX600" s="10" t="str">
        <f t="shared" si="771"/>
        <v/>
      </c>
    </row>
    <row r="601" spans="1:154" s="67" customFormat="1" x14ac:dyDescent="0.25">
      <c r="B601" s="84" t="str" cm="1">
        <f t="array" aca="1" ref="B601" ca="1">HYPERLINK(CONCATENATE("#",CELL("address",$D$218)),$D$218)</f>
        <v>Loan 10</v>
      </c>
      <c r="C601" s="380"/>
      <c r="D601" s="60">
        <f>D$22</f>
        <v>0</v>
      </c>
      <c r="E601" s="60">
        <f>E$22</f>
        <v>0</v>
      </c>
      <c r="G601" s="9" t="s">
        <v>413</v>
      </c>
      <c r="H601" s="50" t="s">
        <v>125</v>
      </c>
      <c r="S601" s="335"/>
      <c r="T601" s="335"/>
      <c r="U601" s="335"/>
      <c r="V601" s="201">
        <f>V$231</f>
        <v>0</v>
      </c>
      <c r="W601" s="10">
        <f>W$231</f>
        <v>0</v>
      </c>
      <c r="X601" s="10">
        <f>X$231</f>
        <v>0</v>
      </c>
      <c r="Y601" s="10">
        <f>Y$231</f>
        <v>0</v>
      </c>
      <c r="AA601" s="10">
        <f t="shared" ref="AA601:BJ601" si="813">AA$231</f>
        <v>0</v>
      </c>
      <c r="AB601" s="10">
        <f t="shared" si="813"/>
        <v>0</v>
      </c>
      <c r="AC601" s="10">
        <f t="shared" si="813"/>
        <v>0</v>
      </c>
      <c r="AD601" s="10">
        <f t="shared" si="813"/>
        <v>0</v>
      </c>
      <c r="AE601" s="10">
        <f t="shared" si="813"/>
        <v>0</v>
      </c>
      <c r="AF601" s="10">
        <f t="shared" si="813"/>
        <v>0</v>
      </c>
      <c r="AG601" s="10">
        <f t="shared" si="813"/>
        <v>0</v>
      </c>
      <c r="AH601" s="10">
        <f t="shared" si="813"/>
        <v>0</v>
      </c>
      <c r="AI601" s="10">
        <f t="shared" si="813"/>
        <v>0</v>
      </c>
      <c r="AJ601" s="10">
        <f t="shared" si="813"/>
        <v>0</v>
      </c>
      <c r="AK601" s="10">
        <f t="shared" si="813"/>
        <v>0</v>
      </c>
      <c r="AL601" s="10">
        <f t="shared" si="813"/>
        <v>0</v>
      </c>
      <c r="AM601" s="10">
        <f t="shared" si="813"/>
        <v>0</v>
      </c>
      <c r="AN601" s="10">
        <f t="shared" si="813"/>
        <v>0</v>
      </c>
      <c r="AO601" s="10">
        <f t="shared" si="813"/>
        <v>0</v>
      </c>
      <c r="AP601" s="10">
        <f t="shared" si="813"/>
        <v>0</v>
      </c>
      <c r="AQ601" s="10">
        <f t="shared" si="813"/>
        <v>0</v>
      </c>
      <c r="AR601" s="10">
        <f t="shared" si="813"/>
        <v>0</v>
      </c>
      <c r="AS601" s="10">
        <f t="shared" si="813"/>
        <v>0</v>
      </c>
      <c r="AT601" s="10">
        <f t="shared" si="813"/>
        <v>0</v>
      </c>
      <c r="AU601" s="10">
        <f t="shared" si="813"/>
        <v>0</v>
      </c>
      <c r="AV601" s="10">
        <f t="shared" si="813"/>
        <v>0</v>
      </c>
      <c r="AW601" s="10">
        <f t="shared" si="813"/>
        <v>0</v>
      </c>
      <c r="AX601" s="10">
        <f t="shared" si="813"/>
        <v>0</v>
      </c>
      <c r="AY601" s="10">
        <f t="shared" si="813"/>
        <v>0</v>
      </c>
      <c r="AZ601" s="10">
        <f t="shared" si="813"/>
        <v>0</v>
      </c>
      <c r="BA601" s="10">
        <f t="shared" si="813"/>
        <v>0</v>
      </c>
      <c r="BB601" s="10">
        <f t="shared" si="813"/>
        <v>0</v>
      </c>
      <c r="BC601" s="10">
        <f t="shared" si="813"/>
        <v>0</v>
      </c>
      <c r="BD601" s="10">
        <f t="shared" si="813"/>
        <v>0</v>
      </c>
      <c r="BE601" s="10">
        <f t="shared" si="813"/>
        <v>0</v>
      </c>
      <c r="BF601" s="10">
        <f t="shared" si="813"/>
        <v>0</v>
      </c>
      <c r="BG601" s="10">
        <f t="shared" si="813"/>
        <v>0</v>
      </c>
      <c r="BH601" s="10">
        <f t="shared" si="813"/>
        <v>0</v>
      </c>
      <c r="BI601" s="10">
        <f t="shared" si="813"/>
        <v>0</v>
      </c>
      <c r="BJ601" s="10">
        <f t="shared" si="813"/>
        <v>0</v>
      </c>
      <c r="BL601" s="10">
        <f t="shared" ref="BL601" si="814">BL$231</f>
        <v>0</v>
      </c>
      <c r="BM601" s="10">
        <f t="shared" ref="BM601:BW601" si="815">BM$231</f>
        <v>0</v>
      </c>
      <c r="BN601" s="10">
        <f t="shared" si="815"/>
        <v>0</v>
      </c>
      <c r="BO601" s="10">
        <f t="shared" si="815"/>
        <v>0</v>
      </c>
      <c r="BP601" s="10">
        <f t="shared" si="815"/>
        <v>0</v>
      </c>
      <c r="BQ601" s="10">
        <f t="shared" si="815"/>
        <v>0</v>
      </c>
      <c r="BR601" s="10">
        <f t="shared" si="815"/>
        <v>0</v>
      </c>
      <c r="BS601" s="10">
        <f t="shared" si="815"/>
        <v>0</v>
      </c>
      <c r="BT601" s="10">
        <f t="shared" si="815"/>
        <v>0</v>
      </c>
      <c r="BU601" s="10">
        <f t="shared" si="815"/>
        <v>0</v>
      </c>
      <c r="BV601" s="10">
        <f t="shared" si="815"/>
        <v>0</v>
      </c>
      <c r="BW601" s="10">
        <f t="shared" si="815"/>
        <v>0</v>
      </c>
      <c r="BY601" s="12"/>
      <c r="BZ601" s="335"/>
      <c r="CA601" s="12"/>
      <c r="CB601" s="335"/>
      <c r="CC601" s="335"/>
      <c r="CD601" s="335"/>
      <c r="CE601" s="335"/>
      <c r="CM601" s="335"/>
      <c r="CN601" s="335"/>
      <c r="CO601" s="335"/>
      <c r="CP601" s="335"/>
      <c r="CR601" s="12"/>
      <c r="CT601" s="335"/>
      <c r="CU601" s="335"/>
      <c r="EW601" s="335"/>
      <c r="EX601" s="10" t="str">
        <f t="shared" si="771"/>
        <v/>
      </c>
    </row>
    <row r="602" spans="1:154" s="67" customFormat="1" x14ac:dyDescent="0.25">
      <c r="B602" s="84" t="str" cm="1">
        <f t="array" aca="1" ref="B602" ca="1">HYPERLINK(CONCATENATE("#",CELL("address",$D$237)),$D$237)</f>
        <v>Loan 11</v>
      </c>
      <c r="C602" s="380"/>
      <c r="D602" s="60">
        <f>D$23</f>
        <v>0</v>
      </c>
      <c r="E602" s="60">
        <f>E$23</f>
        <v>0</v>
      </c>
      <c r="G602" s="9" t="s">
        <v>413</v>
      </c>
      <c r="H602" s="50" t="s">
        <v>125</v>
      </c>
      <c r="S602" s="335"/>
      <c r="T602" s="335"/>
      <c r="U602" s="335"/>
      <c r="V602" s="201">
        <f>V$250</f>
        <v>0</v>
      </c>
      <c r="W602" s="10">
        <f>W$250</f>
        <v>0</v>
      </c>
      <c r="X602" s="10">
        <f>X$250</f>
        <v>0</v>
      </c>
      <c r="Y602" s="10">
        <f>Y$250</f>
        <v>0</v>
      </c>
      <c r="AA602" s="10">
        <f t="shared" ref="AA602:BJ602" si="816">AA$250</f>
        <v>0</v>
      </c>
      <c r="AB602" s="10">
        <f t="shared" si="816"/>
        <v>0</v>
      </c>
      <c r="AC602" s="10">
        <f t="shared" si="816"/>
        <v>0</v>
      </c>
      <c r="AD602" s="10">
        <f t="shared" si="816"/>
        <v>0</v>
      </c>
      <c r="AE602" s="10">
        <f t="shared" si="816"/>
        <v>0</v>
      </c>
      <c r="AF602" s="10">
        <f t="shared" si="816"/>
        <v>0</v>
      </c>
      <c r="AG602" s="10">
        <f t="shared" si="816"/>
        <v>0</v>
      </c>
      <c r="AH602" s="10">
        <f t="shared" si="816"/>
        <v>0</v>
      </c>
      <c r="AI602" s="10">
        <f t="shared" si="816"/>
        <v>0</v>
      </c>
      <c r="AJ602" s="10">
        <f t="shared" si="816"/>
        <v>0</v>
      </c>
      <c r="AK602" s="10">
        <f t="shared" si="816"/>
        <v>0</v>
      </c>
      <c r="AL602" s="10">
        <f t="shared" si="816"/>
        <v>0</v>
      </c>
      <c r="AM602" s="10">
        <f t="shared" si="816"/>
        <v>0</v>
      </c>
      <c r="AN602" s="10">
        <f t="shared" si="816"/>
        <v>0</v>
      </c>
      <c r="AO602" s="10">
        <f t="shared" si="816"/>
        <v>0</v>
      </c>
      <c r="AP602" s="10">
        <f t="shared" si="816"/>
        <v>0</v>
      </c>
      <c r="AQ602" s="10">
        <f t="shared" si="816"/>
        <v>0</v>
      </c>
      <c r="AR602" s="10">
        <f t="shared" si="816"/>
        <v>0</v>
      </c>
      <c r="AS602" s="10">
        <f t="shared" si="816"/>
        <v>0</v>
      </c>
      <c r="AT602" s="10">
        <f t="shared" si="816"/>
        <v>0</v>
      </c>
      <c r="AU602" s="10">
        <f t="shared" si="816"/>
        <v>0</v>
      </c>
      <c r="AV602" s="10">
        <f t="shared" si="816"/>
        <v>0</v>
      </c>
      <c r="AW602" s="10">
        <f t="shared" si="816"/>
        <v>0</v>
      </c>
      <c r="AX602" s="10">
        <f t="shared" si="816"/>
        <v>0</v>
      </c>
      <c r="AY602" s="10">
        <f t="shared" si="816"/>
        <v>0</v>
      </c>
      <c r="AZ602" s="10">
        <f t="shared" si="816"/>
        <v>0</v>
      </c>
      <c r="BA602" s="10">
        <f t="shared" si="816"/>
        <v>0</v>
      </c>
      <c r="BB602" s="10">
        <f t="shared" si="816"/>
        <v>0</v>
      </c>
      <c r="BC602" s="10">
        <f t="shared" si="816"/>
        <v>0</v>
      </c>
      <c r="BD602" s="10">
        <f t="shared" si="816"/>
        <v>0</v>
      </c>
      <c r="BE602" s="10">
        <f t="shared" si="816"/>
        <v>0</v>
      </c>
      <c r="BF602" s="10">
        <f t="shared" si="816"/>
        <v>0</v>
      </c>
      <c r="BG602" s="10">
        <f t="shared" si="816"/>
        <v>0</v>
      </c>
      <c r="BH602" s="10">
        <f t="shared" si="816"/>
        <v>0</v>
      </c>
      <c r="BI602" s="10">
        <f t="shared" si="816"/>
        <v>0</v>
      </c>
      <c r="BJ602" s="10">
        <f t="shared" si="816"/>
        <v>0</v>
      </c>
      <c r="BL602" s="10">
        <f t="shared" ref="BL602" si="817">BL$250</f>
        <v>0</v>
      </c>
      <c r="BM602" s="10">
        <f t="shared" ref="BM602:BW602" si="818">BM$250</f>
        <v>0</v>
      </c>
      <c r="BN602" s="10">
        <f t="shared" si="818"/>
        <v>0</v>
      </c>
      <c r="BO602" s="10">
        <f t="shared" si="818"/>
        <v>0</v>
      </c>
      <c r="BP602" s="10">
        <f t="shared" si="818"/>
        <v>0</v>
      </c>
      <c r="BQ602" s="10">
        <f t="shared" si="818"/>
        <v>0</v>
      </c>
      <c r="BR602" s="10">
        <f t="shared" si="818"/>
        <v>0</v>
      </c>
      <c r="BS602" s="10">
        <f t="shared" si="818"/>
        <v>0</v>
      </c>
      <c r="BT602" s="10">
        <f t="shared" si="818"/>
        <v>0</v>
      </c>
      <c r="BU602" s="10">
        <f t="shared" si="818"/>
        <v>0</v>
      </c>
      <c r="BV602" s="10">
        <f t="shared" si="818"/>
        <v>0</v>
      </c>
      <c r="BW602" s="10">
        <f t="shared" si="818"/>
        <v>0</v>
      </c>
      <c r="BY602" s="12"/>
      <c r="BZ602" s="335"/>
      <c r="CA602" s="12"/>
      <c r="CB602" s="335"/>
      <c r="CC602" s="335"/>
      <c r="CD602" s="335"/>
      <c r="CE602" s="335"/>
      <c r="CM602" s="335"/>
      <c r="CN602" s="335"/>
      <c r="CO602" s="335"/>
      <c r="CP602" s="335"/>
      <c r="CR602" s="12"/>
      <c r="CT602" s="335"/>
      <c r="CU602" s="335"/>
      <c r="EW602" s="335"/>
      <c r="EX602" s="10" t="str">
        <f t="shared" si="771"/>
        <v/>
      </c>
    </row>
    <row r="603" spans="1:154" s="67" customFormat="1" x14ac:dyDescent="0.25">
      <c r="B603" s="84" t="str" cm="1">
        <f t="array" aca="1" ref="B603" ca="1">HYPERLINK(CONCATENATE("#",CELL("address",$D$256)),$D$256)</f>
        <v>Loan 12</v>
      </c>
      <c r="C603" s="380"/>
      <c r="D603" s="60">
        <f>D$24</f>
        <v>0</v>
      </c>
      <c r="E603" s="60">
        <f>E$24</f>
        <v>0</v>
      </c>
      <c r="G603" s="9" t="s">
        <v>413</v>
      </c>
      <c r="H603" s="50" t="s">
        <v>125</v>
      </c>
      <c r="S603" s="335"/>
      <c r="T603" s="335"/>
      <c r="U603" s="335"/>
      <c r="V603" s="201">
        <f>V$269</f>
        <v>0</v>
      </c>
      <c r="W603" s="10">
        <f>W$269</f>
        <v>0</v>
      </c>
      <c r="X603" s="10">
        <f>X$269</f>
        <v>0</v>
      </c>
      <c r="Y603" s="10">
        <f>Y$269</f>
        <v>0</v>
      </c>
      <c r="AA603" s="10">
        <f t="shared" ref="AA603:BJ603" si="819">AA$269</f>
        <v>0</v>
      </c>
      <c r="AB603" s="10">
        <f t="shared" si="819"/>
        <v>0</v>
      </c>
      <c r="AC603" s="10">
        <f t="shared" si="819"/>
        <v>0</v>
      </c>
      <c r="AD603" s="10">
        <f t="shared" si="819"/>
        <v>0</v>
      </c>
      <c r="AE603" s="10">
        <f t="shared" si="819"/>
        <v>0</v>
      </c>
      <c r="AF603" s="10">
        <f t="shared" si="819"/>
        <v>0</v>
      </c>
      <c r="AG603" s="10">
        <f t="shared" si="819"/>
        <v>0</v>
      </c>
      <c r="AH603" s="10">
        <f t="shared" si="819"/>
        <v>0</v>
      </c>
      <c r="AI603" s="10">
        <f t="shared" si="819"/>
        <v>0</v>
      </c>
      <c r="AJ603" s="10">
        <f t="shared" si="819"/>
        <v>0</v>
      </c>
      <c r="AK603" s="10">
        <f t="shared" si="819"/>
        <v>0</v>
      </c>
      <c r="AL603" s="10">
        <f t="shared" si="819"/>
        <v>0</v>
      </c>
      <c r="AM603" s="10">
        <f t="shared" si="819"/>
        <v>0</v>
      </c>
      <c r="AN603" s="10">
        <f t="shared" si="819"/>
        <v>0</v>
      </c>
      <c r="AO603" s="10">
        <f t="shared" si="819"/>
        <v>0</v>
      </c>
      <c r="AP603" s="10">
        <f t="shared" si="819"/>
        <v>0</v>
      </c>
      <c r="AQ603" s="10">
        <f t="shared" si="819"/>
        <v>0</v>
      </c>
      <c r="AR603" s="10">
        <f t="shared" si="819"/>
        <v>0</v>
      </c>
      <c r="AS603" s="10">
        <f t="shared" si="819"/>
        <v>0</v>
      </c>
      <c r="AT603" s="10">
        <f t="shared" si="819"/>
        <v>0</v>
      </c>
      <c r="AU603" s="10">
        <f t="shared" si="819"/>
        <v>0</v>
      </c>
      <c r="AV603" s="10">
        <f t="shared" si="819"/>
        <v>0</v>
      </c>
      <c r="AW603" s="10">
        <f t="shared" si="819"/>
        <v>0</v>
      </c>
      <c r="AX603" s="10">
        <f t="shared" si="819"/>
        <v>0</v>
      </c>
      <c r="AY603" s="10">
        <f t="shared" si="819"/>
        <v>0</v>
      </c>
      <c r="AZ603" s="10">
        <f t="shared" si="819"/>
        <v>0</v>
      </c>
      <c r="BA603" s="10">
        <f t="shared" si="819"/>
        <v>0</v>
      </c>
      <c r="BB603" s="10">
        <f t="shared" si="819"/>
        <v>0</v>
      </c>
      <c r="BC603" s="10">
        <f t="shared" si="819"/>
        <v>0</v>
      </c>
      <c r="BD603" s="10">
        <f t="shared" si="819"/>
        <v>0</v>
      </c>
      <c r="BE603" s="10">
        <f t="shared" si="819"/>
        <v>0</v>
      </c>
      <c r="BF603" s="10">
        <f t="shared" si="819"/>
        <v>0</v>
      </c>
      <c r="BG603" s="10">
        <f t="shared" si="819"/>
        <v>0</v>
      </c>
      <c r="BH603" s="10">
        <f t="shared" si="819"/>
        <v>0</v>
      </c>
      <c r="BI603" s="10">
        <f t="shared" si="819"/>
        <v>0</v>
      </c>
      <c r="BJ603" s="10">
        <f t="shared" si="819"/>
        <v>0</v>
      </c>
      <c r="BL603" s="10">
        <f t="shared" ref="BL603" si="820">BL$269</f>
        <v>0</v>
      </c>
      <c r="BM603" s="10">
        <f t="shared" ref="BM603:BW603" si="821">BM$269</f>
        <v>0</v>
      </c>
      <c r="BN603" s="10">
        <f t="shared" si="821"/>
        <v>0</v>
      </c>
      <c r="BO603" s="10">
        <f t="shared" si="821"/>
        <v>0</v>
      </c>
      <c r="BP603" s="10">
        <f t="shared" si="821"/>
        <v>0</v>
      </c>
      <c r="BQ603" s="10">
        <f t="shared" si="821"/>
        <v>0</v>
      </c>
      <c r="BR603" s="10">
        <f t="shared" si="821"/>
        <v>0</v>
      </c>
      <c r="BS603" s="10">
        <f t="shared" si="821"/>
        <v>0</v>
      </c>
      <c r="BT603" s="10">
        <f t="shared" si="821"/>
        <v>0</v>
      </c>
      <c r="BU603" s="10">
        <f t="shared" si="821"/>
        <v>0</v>
      </c>
      <c r="BV603" s="10">
        <f t="shared" si="821"/>
        <v>0</v>
      </c>
      <c r="BW603" s="10">
        <f t="shared" si="821"/>
        <v>0</v>
      </c>
      <c r="BY603" s="12"/>
      <c r="BZ603" s="335"/>
      <c r="CA603" s="12"/>
      <c r="CB603" s="335"/>
      <c r="CC603" s="335"/>
      <c r="CD603" s="335"/>
      <c r="CE603" s="335"/>
      <c r="CM603" s="335"/>
      <c r="CN603" s="335"/>
      <c r="CO603" s="335"/>
      <c r="CP603" s="335"/>
      <c r="CR603" s="12"/>
      <c r="CT603" s="335"/>
      <c r="CU603" s="335"/>
      <c r="EW603" s="335"/>
      <c r="EX603" s="10" t="str">
        <f t="shared" si="771"/>
        <v/>
      </c>
    </row>
    <row r="604" spans="1:154" s="67" customFormat="1" x14ac:dyDescent="0.25">
      <c r="B604" s="84" t="str" cm="1">
        <f t="array" aca="1" ref="B604" ca="1">HYPERLINK(CONCATENATE("#",CELL("address",$D$275)),$D$275)</f>
        <v>Loan 13</v>
      </c>
      <c r="C604" s="380"/>
      <c r="D604" s="60">
        <f>D$25</f>
        <v>0</v>
      </c>
      <c r="E604" s="60">
        <f>E$25</f>
        <v>0</v>
      </c>
      <c r="G604" s="9" t="s">
        <v>413</v>
      </c>
      <c r="H604" s="50" t="s">
        <v>125</v>
      </c>
      <c r="S604" s="335"/>
      <c r="T604" s="335"/>
      <c r="U604" s="335"/>
      <c r="V604" s="201">
        <f>V$288</f>
        <v>0</v>
      </c>
      <c r="W604" s="10">
        <f>W$288</f>
        <v>0</v>
      </c>
      <c r="X604" s="10">
        <f>X$288</f>
        <v>0</v>
      </c>
      <c r="Y604" s="10">
        <f>Y$288</f>
        <v>0</v>
      </c>
      <c r="AA604" s="10">
        <f t="shared" ref="AA604:BJ604" si="822">AA$288</f>
        <v>0</v>
      </c>
      <c r="AB604" s="10">
        <f t="shared" si="822"/>
        <v>0</v>
      </c>
      <c r="AC604" s="10">
        <f t="shared" si="822"/>
        <v>0</v>
      </c>
      <c r="AD604" s="10">
        <f t="shared" si="822"/>
        <v>0</v>
      </c>
      <c r="AE604" s="10">
        <f t="shared" si="822"/>
        <v>0</v>
      </c>
      <c r="AF604" s="10">
        <f t="shared" si="822"/>
        <v>0</v>
      </c>
      <c r="AG604" s="10">
        <f t="shared" si="822"/>
        <v>0</v>
      </c>
      <c r="AH604" s="10">
        <f t="shared" si="822"/>
        <v>0</v>
      </c>
      <c r="AI604" s="10">
        <f t="shared" si="822"/>
        <v>0</v>
      </c>
      <c r="AJ604" s="10">
        <f t="shared" si="822"/>
        <v>0</v>
      </c>
      <c r="AK604" s="10">
        <f t="shared" si="822"/>
        <v>0</v>
      </c>
      <c r="AL604" s="10">
        <f t="shared" si="822"/>
        <v>0</v>
      </c>
      <c r="AM604" s="10">
        <f t="shared" si="822"/>
        <v>0</v>
      </c>
      <c r="AN604" s="10">
        <f t="shared" si="822"/>
        <v>0</v>
      </c>
      <c r="AO604" s="10">
        <f t="shared" si="822"/>
        <v>0</v>
      </c>
      <c r="AP604" s="10">
        <f t="shared" si="822"/>
        <v>0</v>
      </c>
      <c r="AQ604" s="10">
        <f t="shared" si="822"/>
        <v>0</v>
      </c>
      <c r="AR604" s="10">
        <f t="shared" si="822"/>
        <v>0</v>
      </c>
      <c r="AS604" s="10">
        <f t="shared" si="822"/>
        <v>0</v>
      </c>
      <c r="AT604" s="10">
        <f t="shared" si="822"/>
        <v>0</v>
      </c>
      <c r="AU604" s="10">
        <f t="shared" si="822"/>
        <v>0</v>
      </c>
      <c r="AV604" s="10">
        <f t="shared" si="822"/>
        <v>0</v>
      </c>
      <c r="AW604" s="10">
        <f t="shared" si="822"/>
        <v>0</v>
      </c>
      <c r="AX604" s="10">
        <f t="shared" si="822"/>
        <v>0</v>
      </c>
      <c r="AY604" s="10">
        <f t="shared" si="822"/>
        <v>0</v>
      </c>
      <c r="AZ604" s="10">
        <f t="shared" si="822"/>
        <v>0</v>
      </c>
      <c r="BA604" s="10">
        <f t="shared" si="822"/>
        <v>0</v>
      </c>
      <c r="BB604" s="10">
        <f t="shared" si="822"/>
        <v>0</v>
      </c>
      <c r="BC604" s="10">
        <f t="shared" si="822"/>
        <v>0</v>
      </c>
      <c r="BD604" s="10">
        <f t="shared" si="822"/>
        <v>0</v>
      </c>
      <c r="BE604" s="10">
        <f t="shared" si="822"/>
        <v>0</v>
      </c>
      <c r="BF604" s="10">
        <f t="shared" si="822"/>
        <v>0</v>
      </c>
      <c r="BG604" s="10">
        <f t="shared" si="822"/>
        <v>0</v>
      </c>
      <c r="BH604" s="10">
        <f t="shared" si="822"/>
        <v>0</v>
      </c>
      <c r="BI604" s="10">
        <f t="shared" si="822"/>
        <v>0</v>
      </c>
      <c r="BJ604" s="10">
        <f t="shared" si="822"/>
        <v>0</v>
      </c>
      <c r="BL604" s="10">
        <f t="shared" ref="BL604" si="823">BL$288</f>
        <v>0</v>
      </c>
      <c r="BM604" s="10">
        <f t="shared" ref="BM604:BW604" si="824">BM$288</f>
        <v>0</v>
      </c>
      <c r="BN604" s="10">
        <f t="shared" si="824"/>
        <v>0</v>
      </c>
      <c r="BO604" s="10">
        <f t="shared" si="824"/>
        <v>0</v>
      </c>
      <c r="BP604" s="10">
        <f t="shared" si="824"/>
        <v>0</v>
      </c>
      <c r="BQ604" s="10">
        <f t="shared" si="824"/>
        <v>0</v>
      </c>
      <c r="BR604" s="10">
        <f t="shared" si="824"/>
        <v>0</v>
      </c>
      <c r="BS604" s="10">
        <f t="shared" si="824"/>
        <v>0</v>
      </c>
      <c r="BT604" s="10">
        <f t="shared" si="824"/>
        <v>0</v>
      </c>
      <c r="BU604" s="10">
        <f t="shared" si="824"/>
        <v>0</v>
      </c>
      <c r="BV604" s="10">
        <f t="shared" si="824"/>
        <v>0</v>
      </c>
      <c r="BW604" s="10">
        <f t="shared" si="824"/>
        <v>0</v>
      </c>
      <c r="BY604" s="12"/>
      <c r="BZ604" s="335"/>
      <c r="CA604" s="12"/>
      <c r="CB604" s="335"/>
      <c r="CC604" s="335"/>
      <c r="CD604" s="335"/>
      <c r="CE604" s="335"/>
      <c r="CM604" s="335"/>
      <c r="CN604" s="335"/>
      <c r="CO604" s="335"/>
      <c r="CP604" s="335"/>
      <c r="CR604" s="12"/>
      <c r="CT604" s="335"/>
      <c r="CU604" s="335"/>
      <c r="EW604" s="335"/>
      <c r="EX604" s="10" t="str">
        <f t="shared" si="771"/>
        <v/>
      </c>
    </row>
    <row r="605" spans="1:154" s="5" customFormat="1" x14ac:dyDescent="0.25">
      <c r="A605" s="67"/>
      <c r="B605" s="84" t="str" cm="1">
        <f t="array" aca="1" ref="B605" ca="1">HYPERLINK(CONCATENATE("#",CELL("address",$D$294)),$D$294)</f>
        <v>Loan 14</v>
      </c>
      <c r="C605" s="380"/>
      <c r="D605" s="60">
        <f>D$26</f>
        <v>0</v>
      </c>
      <c r="E605" s="60">
        <f>E$26</f>
        <v>0</v>
      </c>
      <c r="F605" s="67"/>
      <c r="G605" s="9" t="s">
        <v>413</v>
      </c>
      <c r="H605" s="50" t="s">
        <v>125</v>
      </c>
      <c r="I605" s="67"/>
      <c r="J605" s="67"/>
      <c r="K605" s="67"/>
      <c r="L605" s="67"/>
      <c r="M605" s="67"/>
      <c r="N605" s="67"/>
      <c r="O605" s="67"/>
      <c r="P605" s="67"/>
      <c r="Q605" s="67"/>
      <c r="R605" s="67"/>
      <c r="S605" s="335"/>
      <c r="T605" s="335"/>
      <c r="U605" s="335"/>
      <c r="V605" s="201">
        <f>V$307</f>
        <v>0</v>
      </c>
      <c r="W605" s="10">
        <f>W$307</f>
        <v>0</v>
      </c>
      <c r="X605" s="10">
        <f>X$307</f>
        <v>0</v>
      </c>
      <c r="Y605" s="10">
        <f>Y$307</f>
        <v>0</v>
      </c>
      <c r="Z605" s="67"/>
      <c r="AA605" s="10">
        <f t="shared" ref="AA605:BJ605" si="825">AA$307</f>
        <v>0</v>
      </c>
      <c r="AB605" s="10">
        <f t="shared" si="825"/>
        <v>0</v>
      </c>
      <c r="AC605" s="10">
        <f t="shared" si="825"/>
        <v>0</v>
      </c>
      <c r="AD605" s="10">
        <f t="shared" si="825"/>
        <v>0</v>
      </c>
      <c r="AE605" s="10">
        <f t="shared" si="825"/>
        <v>0</v>
      </c>
      <c r="AF605" s="10">
        <f t="shared" si="825"/>
        <v>0</v>
      </c>
      <c r="AG605" s="10">
        <f t="shared" si="825"/>
        <v>0</v>
      </c>
      <c r="AH605" s="10">
        <f t="shared" si="825"/>
        <v>0</v>
      </c>
      <c r="AI605" s="10">
        <f t="shared" si="825"/>
        <v>0</v>
      </c>
      <c r="AJ605" s="10">
        <f t="shared" si="825"/>
        <v>0</v>
      </c>
      <c r="AK605" s="10">
        <f t="shared" si="825"/>
        <v>0</v>
      </c>
      <c r="AL605" s="10">
        <f t="shared" si="825"/>
        <v>0</v>
      </c>
      <c r="AM605" s="10">
        <f t="shared" si="825"/>
        <v>0</v>
      </c>
      <c r="AN605" s="10">
        <f t="shared" si="825"/>
        <v>0</v>
      </c>
      <c r="AO605" s="10">
        <f t="shared" si="825"/>
        <v>0</v>
      </c>
      <c r="AP605" s="10">
        <f t="shared" si="825"/>
        <v>0</v>
      </c>
      <c r="AQ605" s="10">
        <f t="shared" si="825"/>
        <v>0</v>
      </c>
      <c r="AR605" s="10">
        <f t="shared" si="825"/>
        <v>0</v>
      </c>
      <c r="AS605" s="10">
        <f t="shared" si="825"/>
        <v>0</v>
      </c>
      <c r="AT605" s="10">
        <f t="shared" si="825"/>
        <v>0</v>
      </c>
      <c r="AU605" s="10">
        <f t="shared" si="825"/>
        <v>0</v>
      </c>
      <c r="AV605" s="10">
        <f t="shared" si="825"/>
        <v>0</v>
      </c>
      <c r="AW605" s="10">
        <f t="shared" si="825"/>
        <v>0</v>
      </c>
      <c r="AX605" s="10">
        <f t="shared" si="825"/>
        <v>0</v>
      </c>
      <c r="AY605" s="10">
        <f t="shared" si="825"/>
        <v>0</v>
      </c>
      <c r="AZ605" s="10">
        <f t="shared" si="825"/>
        <v>0</v>
      </c>
      <c r="BA605" s="10">
        <f t="shared" si="825"/>
        <v>0</v>
      </c>
      <c r="BB605" s="10">
        <f t="shared" si="825"/>
        <v>0</v>
      </c>
      <c r="BC605" s="10">
        <f t="shared" si="825"/>
        <v>0</v>
      </c>
      <c r="BD605" s="10">
        <f t="shared" si="825"/>
        <v>0</v>
      </c>
      <c r="BE605" s="10">
        <f t="shared" si="825"/>
        <v>0</v>
      </c>
      <c r="BF605" s="10">
        <f t="shared" si="825"/>
        <v>0</v>
      </c>
      <c r="BG605" s="10">
        <f t="shared" si="825"/>
        <v>0</v>
      </c>
      <c r="BH605" s="10">
        <f t="shared" si="825"/>
        <v>0</v>
      </c>
      <c r="BI605" s="10">
        <f t="shared" si="825"/>
        <v>0</v>
      </c>
      <c r="BJ605" s="10">
        <f t="shared" si="825"/>
        <v>0</v>
      </c>
      <c r="BK605" s="67"/>
      <c r="BL605" s="10">
        <f t="shared" ref="BL605" si="826">BL$307</f>
        <v>0</v>
      </c>
      <c r="BM605" s="10">
        <f t="shared" ref="BM605:BW605" si="827">BM$307</f>
        <v>0</v>
      </c>
      <c r="BN605" s="10">
        <f t="shared" si="827"/>
        <v>0</v>
      </c>
      <c r="BO605" s="10">
        <f t="shared" si="827"/>
        <v>0</v>
      </c>
      <c r="BP605" s="10">
        <f t="shared" si="827"/>
        <v>0</v>
      </c>
      <c r="BQ605" s="10">
        <f t="shared" si="827"/>
        <v>0</v>
      </c>
      <c r="BR605" s="10">
        <f t="shared" si="827"/>
        <v>0</v>
      </c>
      <c r="BS605" s="10">
        <f t="shared" si="827"/>
        <v>0</v>
      </c>
      <c r="BT605" s="10">
        <f t="shared" si="827"/>
        <v>0</v>
      </c>
      <c r="BU605" s="10">
        <f t="shared" si="827"/>
        <v>0</v>
      </c>
      <c r="BV605" s="10">
        <f t="shared" si="827"/>
        <v>0</v>
      </c>
      <c r="BW605" s="10">
        <f t="shared" si="827"/>
        <v>0</v>
      </c>
      <c r="BX605" s="67"/>
      <c r="BY605" s="12"/>
      <c r="BZ605" s="335"/>
      <c r="CA605" s="12"/>
      <c r="CB605" s="335"/>
      <c r="CC605" s="335"/>
      <c r="CD605" s="335"/>
      <c r="CE605" s="335"/>
      <c r="CF605" s="67"/>
      <c r="CG605" s="67"/>
      <c r="CH605" s="67"/>
      <c r="CI605" s="67"/>
      <c r="CJ605" s="67"/>
      <c r="CK605" s="67"/>
      <c r="CL605" s="67"/>
      <c r="CM605" s="335"/>
      <c r="CN605" s="335"/>
      <c r="CO605" s="335"/>
      <c r="CP605" s="335"/>
      <c r="CQ605" s="67"/>
      <c r="CR605" s="12"/>
      <c r="EX605" s="10" t="str">
        <f t="shared" si="771"/>
        <v/>
      </c>
    </row>
    <row r="606" spans="1:154" s="67" customFormat="1" x14ac:dyDescent="0.25">
      <c r="B606" s="84" t="str" cm="1">
        <f t="array" aca="1" ref="B606" ca="1">HYPERLINK(CONCATENATE("#",CELL("address",$D$313)),$D$313)</f>
        <v>Loan 15</v>
      </c>
      <c r="C606" s="380"/>
      <c r="D606" s="60">
        <f>D$27</f>
        <v>0</v>
      </c>
      <c r="E606" s="60">
        <f>E$27</f>
        <v>0</v>
      </c>
      <c r="G606" s="9" t="s">
        <v>413</v>
      </c>
      <c r="H606" s="50" t="s">
        <v>125</v>
      </c>
      <c r="S606" s="335"/>
      <c r="T606" s="335"/>
      <c r="U606" s="335"/>
      <c r="V606" s="201">
        <f>V$326</f>
        <v>0</v>
      </c>
      <c r="W606" s="10">
        <f>W$326</f>
        <v>0</v>
      </c>
      <c r="X606" s="10">
        <f>X$326</f>
        <v>0</v>
      </c>
      <c r="Y606" s="10">
        <f>Y$326</f>
        <v>0</v>
      </c>
      <c r="AA606" s="10">
        <f t="shared" ref="AA606:BJ606" si="828">AA$326</f>
        <v>0</v>
      </c>
      <c r="AB606" s="10">
        <f t="shared" si="828"/>
        <v>0</v>
      </c>
      <c r="AC606" s="10">
        <f t="shared" si="828"/>
        <v>0</v>
      </c>
      <c r="AD606" s="10">
        <f t="shared" si="828"/>
        <v>0</v>
      </c>
      <c r="AE606" s="10">
        <f t="shared" si="828"/>
        <v>0</v>
      </c>
      <c r="AF606" s="10">
        <f t="shared" si="828"/>
        <v>0</v>
      </c>
      <c r="AG606" s="10">
        <f t="shared" si="828"/>
        <v>0</v>
      </c>
      <c r="AH606" s="10">
        <f t="shared" si="828"/>
        <v>0</v>
      </c>
      <c r="AI606" s="10">
        <f t="shared" si="828"/>
        <v>0</v>
      </c>
      <c r="AJ606" s="10">
        <f t="shared" si="828"/>
        <v>0</v>
      </c>
      <c r="AK606" s="10">
        <f t="shared" si="828"/>
        <v>0</v>
      </c>
      <c r="AL606" s="10">
        <f t="shared" si="828"/>
        <v>0</v>
      </c>
      <c r="AM606" s="10">
        <f t="shared" si="828"/>
        <v>0</v>
      </c>
      <c r="AN606" s="10">
        <f t="shared" si="828"/>
        <v>0</v>
      </c>
      <c r="AO606" s="10">
        <f t="shared" si="828"/>
        <v>0</v>
      </c>
      <c r="AP606" s="10">
        <f t="shared" si="828"/>
        <v>0</v>
      </c>
      <c r="AQ606" s="10">
        <f t="shared" si="828"/>
        <v>0</v>
      </c>
      <c r="AR606" s="10">
        <f t="shared" si="828"/>
        <v>0</v>
      </c>
      <c r="AS606" s="10">
        <f t="shared" si="828"/>
        <v>0</v>
      </c>
      <c r="AT606" s="10">
        <f t="shared" si="828"/>
        <v>0</v>
      </c>
      <c r="AU606" s="10">
        <f t="shared" si="828"/>
        <v>0</v>
      </c>
      <c r="AV606" s="10">
        <f t="shared" si="828"/>
        <v>0</v>
      </c>
      <c r="AW606" s="10">
        <f t="shared" si="828"/>
        <v>0</v>
      </c>
      <c r="AX606" s="10">
        <f t="shared" si="828"/>
        <v>0</v>
      </c>
      <c r="AY606" s="10">
        <f t="shared" si="828"/>
        <v>0</v>
      </c>
      <c r="AZ606" s="10">
        <f t="shared" si="828"/>
        <v>0</v>
      </c>
      <c r="BA606" s="10">
        <f t="shared" si="828"/>
        <v>0</v>
      </c>
      <c r="BB606" s="10">
        <f t="shared" si="828"/>
        <v>0</v>
      </c>
      <c r="BC606" s="10">
        <f t="shared" si="828"/>
        <v>0</v>
      </c>
      <c r="BD606" s="10">
        <f t="shared" si="828"/>
        <v>0</v>
      </c>
      <c r="BE606" s="10">
        <f t="shared" si="828"/>
        <v>0</v>
      </c>
      <c r="BF606" s="10">
        <f t="shared" si="828"/>
        <v>0</v>
      </c>
      <c r="BG606" s="10">
        <f t="shared" si="828"/>
        <v>0</v>
      </c>
      <c r="BH606" s="10">
        <f t="shared" si="828"/>
        <v>0</v>
      </c>
      <c r="BI606" s="10">
        <f t="shared" si="828"/>
        <v>0</v>
      </c>
      <c r="BJ606" s="10">
        <f t="shared" si="828"/>
        <v>0</v>
      </c>
      <c r="BL606" s="10">
        <f t="shared" ref="BL606" si="829">BL$326</f>
        <v>0</v>
      </c>
      <c r="BM606" s="10">
        <f t="shared" ref="BM606:BW606" si="830">BM$326</f>
        <v>0</v>
      </c>
      <c r="BN606" s="10">
        <f t="shared" si="830"/>
        <v>0</v>
      </c>
      <c r="BO606" s="10">
        <f t="shared" si="830"/>
        <v>0</v>
      </c>
      <c r="BP606" s="10">
        <f t="shared" si="830"/>
        <v>0</v>
      </c>
      <c r="BQ606" s="10">
        <f t="shared" si="830"/>
        <v>0</v>
      </c>
      <c r="BR606" s="10">
        <f t="shared" si="830"/>
        <v>0</v>
      </c>
      <c r="BS606" s="10">
        <f t="shared" si="830"/>
        <v>0</v>
      </c>
      <c r="BT606" s="10">
        <f t="shared" si="830"/>
        <v>0</v>
      </c>
      <c r="BU606" s="10">
        <f t="shared" si="830"/>
        <v>0</v>
      </c>
      <c r="BV606" s="10">
        <f t="shared" si="830"/>
        <v>0</v>
      </c>
      <c r="BW606" s="10">
        <f t="shared" si="830"/>
        <v>0</v>
      </c>
      <c r="BY606" s="12"/>
      <c r="BZ606" s="335"/>
      <c r="CA606" s="12"/>
      <c r="CB606" s="335"/>
      <c r="CC606" s="335"/>
      <c r="CD606" s="335"/>
      <c r="CE606" s="335"/>
      <c r="CM606" s="335"/>
      <c r="CN606" s="335"/>
      <c r="CO606" s="335"/>
      <c r="CP606" s="335"/>
      <c r="CR606" s="12"/>
      <c r="CT606" s="335"/>
      <c r="CU606" s="335"/>
      <c r="EW606" s="335"/>
      <c r="EX606" s="10" t="str">
        <f t="shared" si="771"/>
        <v/>
      </c>
    </row>
    <row r="607" spans="1:154" s="67" customFormat="1" x14ac:dyDescent="0.25">
      <c r="B607" s="84" t="str" cm="1">
        <f t="array" aca="1" ref="B607" ca="1">HYPERLINK(CONCATENATE("#",CELL("address",$D$332)),$D$332)</f>
        <v>Loan 16</v>
      </c>
      <c r="C607" s="380"/>
      <c r="D607" s="60">
        <f>D$28</f>
        <v>0</v>
      </c>
      <c r="E607" s="60">
        <f>E$28</f>
        <v>0</v>
      </c>
      <c r="G607" s="9" t="s">
        <v>413</v>
      </c>
      <c r="H607" s="50" t="s">
        <v>125</v>
      </c>
      <c r="S607" s="335"/>
      <c r="T607" s="335"/>
      <c r="U607" s="335"/>
      <c r="V607" s="201">
        <f>V$345</f>
        <v>0</v>
      </c>
      <c r="W607" s="10">
        <f>W$345</f>
        <v>0</v>
      </c>
      <c r="X607" s="10">
        <f>X$345</f>
        <v>0</v>
      </c>
      <c r="Y607" s="10">
        <f>Y$345</f>
        <v>0</v>
      </c>
      <c r="AA607" s="10">
        <f t="shared" ref="AA607:BJ607" si="831">AA$345</f>
        <v>0</v>
      </c>
      <c r="AB607" s="10">
        <f t="shared" si="831"/>
        <v>0</v>
      </c>
      <c r="AC607" s="10">
        <f t="shared" si="831"/>
        <v>0</v>
      </c>
      <c r="AD607" s="10">
        <f t="shared" si="831"/>
        <v>0</v>
      </c>
      <c r="AE607" s="10">
        <f t="shared" si="831"/>
        <v>0</v>
      </c>
      <c r="AF607" s="10">
        <f t="shared" si="831"/>
        <v>0</v>
      </c>
      <c r="AG607" s="10">
        <f t="shared" si="831"/>
        <v>0</v>
      </c>
      <c r="AH607" s="10">
        <f t="shared" si="831"/>
        <v>0</v>
      </c>
      <c r="AI607" s="10">
        <f t="shared" si="831"/>
        <v>0</v>
      </c>
      <c r="AJ607" s="10">
        <f t="shared" si="831"/>
        <v>0</v>
      </c>
      <c r="AK607" s="10">
        <f t="shared" si="831"/>
        <v>0</v>
      </c>
      <c r="AL607" s="10">
        <f t="shared" si="831"/>
        <v>0</v>
      </c>
      <c r="AM607" s="10">
        <f t="shared" si="831"/>
        <v>0</v>
      </c>
      <c r="AN607" s="10">
        <f t="shared" si="831"/>
        <v>0</v>
      </c>
      <c r="AO607" s="10">
        <f t="shared" si="831"/>
        <v>0</v>
      </c>
      <c r="AP607" s="10">
        <f t="shared" si="831"/>
        <v>0</v>
      </c>
      <c r="AQ607" s="10">
        <f t="shared" si="831"/>
        <v>0</v>
      </c>
      <c r="AR607" s="10">
        <f t="shared" si="831"/>
        <v>0</v>
      </c>
      <c r="AS607" s="10">
        <f t="shared" si="831"/>
        <v>0</v>
      </c>
      <c r="AT607" s="10">
        <f t="shared" si="831"/>
        <v>0</v>
      </c>
      <c r="AU607" s="10">
        <f t="shared" si="831"/>
        <v>0</v>
      </c>
      <c r="AV607" s="10">
        <f t="shared" si="831"/>
        <v>0</v>
      </c>
      <c r="AW607" s="10">
        <f t="shared" si="831"/>
        <v>0</v>
      </c>
      <c r="AX607" s="10">
        <f t="shared" si="831"/>
        <v>0</v>
      </c>
      <c r="AY607" s="10">
        <f t="shared" si="831"/>
        <v>0</v>
      </c>
      <c r="AZ607" s="10">
        <f t="shared" si="831"/>
        <v>0</v>
      </c>
      <c r="BA607" s="10">
        <f t="shared" si="831"/>
        <v>0</v>
      </c>
      <c r="BB607" s="10">
        <f t="shared" si="831"/>
        <v>0</v>
      </c>
      <c r="BC607" s="10">
        <f t="shared" si="831"/>
        <v>0</v>
      </c>
      <c r="BD607" s="10">
        <f t="shared" si="831"/>
        <v>0</v>
      </c>
      <c r="BE607" s="10">
        <f t="shared" si="831"/>
        <v>0</v>
      </c>
      <c r="BF607" s="10">
        <f t="shared" si="831"/>
        <v>0</v>
      </c>
      <c r="BG607" s="10">
        <f t="shared" si="831"/>
        <v>0</v>
      </c>
      <c r="BH607" s="10">
        <f t="shared" si="831"/>
        <v>0</v>
      </c>
      <c r="BI607" s="10">
        <f t="shared" si="831"/>
        <v>0</v>
      </c>
      <c r="BJ607" s="10">
        <f t="shared" si="831"/>
        <v>0</v>
      </c>
      <c r="BL607" s="10">
        <f t="shared" ref="BL607" si="832">BL$345</f>
        <v>0</v>
      </c>
      <c r="BM607" s="10">
        <f t="shared" ref="BM607:BW607" si="833">BM$345</f>
        <v>0</v>
      </c>
      <c r="BN607" s="10">
        <f t="shared" si="833"/>
        <v>0</v>
      </c>
      <c r="BO607" s="10">
        <f t="shared" si="833"/>
        <v>0</v>
      </c>
      <c r="BP607" s="10">
        <f t="shared" si="833"/>
        <v>0</v>
      </c>
      <c r="BQ607" s="10">
        <f t="shared" si="833"/>
        <v>0</v>
      </c>
      <c r="BR607" s="10">
        <f t="shared" si="833"/>
        <v>0</v>
      </c>
      <c r="BS607" s="10">
        <f t="shared" si="833"/>
        <v>0</v>
      </c>
      <c r="BT607" s="10">
        <f t="shared" si="833"/>
        <v>0</v>
      </c>
      <c r="BU607" s="10">
        <f t="shared" si="833"/>
        <v>0</v>
      </c>
      <c r="BV607" s="10">
        <f t="shared" si="833"/>
        <v>0</v>
      </c>
      <c r="BW607" s="10">
        <f t="shared" si="833"/>
        <v>0</v>
      </c>
      <c r="BY607" s="12"/>
      <c r="BZ607" s="335"/>
      <c r="CA607" s="12"/>
      <c r="CB607" s="335"/>
      <c r="CC607" s="335"/>
      <c r="CD607" s="335"/>
      <c r="CE607" s="335"/>
      <c r="CM607" s="335"/>
      <c r="CN607" s="335"/>
      <c r="CO607" s="335"/>
      <c r="CP607" s="335"/>
      <c r="CR607" s="12"/>
      <c r="CT607" s="335"/>
      <c r="CU607" s="335"/>
      <c r="EW607" s="335"/>
      <c r="EX607" s="10" t="str">
        <f t="shared" si="771"/>
        <v/>
      </c>
    </row>
    <row r="608" spans="1:154" s="67" customFormat="1" x14ac:dyDescent="0.25">
      <c r="B608" s="84" t="str" cm="1">
        <f t="array" aca="1" ref="B608" ca="1">HYPERLINK(CONCATENATE("#",CELL("address",$D$351)),$D$351)</f>
        <v>Loan 17</v>
      </c>
      <c r="C608" s="380"/>
      <c r="D608" s="60">
        <f>D$29</f>
        <v>0</v>
      </c>
      <c r="E608" s="60">
        <f>E$29</f>
        <v>0</v>
      </c>
      <c r="G608" s="9" t="s">
        <v>413</v>
      </c>
      <c r="H608" s="50" t="s">
        <v>125</v>
      </c>
      <c r="S608" s="335"/>
      <c r="T608" s="335"/>
      <c r="U608" s="335"/>
      <c r="V608" s="201">
        <f>V$364</f>
        <v>0</v>
      </c>
      <c r="W608" s="10">
        <f>W$364</f>
        <v>0</v>
      </c>
      <c r="X608" s="10">
        <f>X$364</f>
        <v>0</v>
      </c>
      <c r="Y608" s="10">
        <f>Y$364</f>
        <v>0</v>
      </c>
      <c r="AA608" s="10">
        <f t="shared" ref="AA608:BJ608" si="834">AA$364</f>
        <v>0</v>
      </c>
      <c r="AB608" s="10">
        <f t="shared" si="834"/>
        <v>0</v>
      </c>
      <c r="AC608" s="10">
        <f t="shared" si="834"/>
        <v>0</v>
      </c>
      <c r="AD608" s="10">
        <f t="shared" si="834"/>
        <v>0</v>
      </c>
      <c r="AE608" s="10">
        <f t="shared" si="834"/>
        <v>0</v>
      </c>
      <c r="AF608" s="10">
        <f t="shared" si="834"/>
        <v>0</v>
      </c>
      <c r="AG608" s="10">
        <f t="shared" si="834"/>
        <v>0</v>
      </c>
      <c r="AH608" s="10">
        <f t="shared" si="834"/>
        <v>0</v>
      </c>
      <c r="AI608" s="10">
        <f t="shared" si="834"/>
        <v>0</v>
      </c>
      <c r="AJ608" s="10">
        <f t="shared" si="834"/>
        <v>0</v>
      </c>
      <c r="AK608" s="10">
        <f t="shared" si="834"/>
        <v>0</v>
      </c>
      <c r="AL608" s="10">
        <f t="shared" si="834"/>
        <v>0</v>
      </c>
      <c r="AM608" s="10">
        <f t="shared" si="834"/>
        <v>0</v>
      </c>
      <c r="AN608" s="10">
        <f t="shared" si="834"/>
        <v>0</v>
      </c>
      <c r="AO608" s="10">
        <f t="shared" si="834"/>
        <v>0</v>
      </c>
      <c r="AP608" s="10">
        <f t="shared" si="834"/>
        <v>0</v>
      </c>
      <c r="AQ608" s="10">
        <f t="shared" si="834"/>
        <v>0</v>
      </c>
      <c r="AR608" s="10">
        <f t="shared" si="834"/>
        <v>0</v>
      </c>
      <c r="AS608" s="10">
        <f t="shared" si="834"/>
        <v>0</v>
      </c>
      <c r="AT608" s="10">
        <f t="shared" si="834"/>
        <v>0</v>
      </c>
      <c r="AU608" s="10">
        <f t="shared" si="834"/>
        <v>0</v>
      </c>
      <c r="AV608" s="10">
        <f t="shared" si="834"/>
        <v>0</v>
      </c>
      <c r="AW608" s="10">
        <f t="shared" si="834"/>
        <v>0</v>
      </c>
      <c r="AX608" s="10">
        <f t="shared" si="834"/>
        <v>0</v>
      </c>
      <c r="AY608" s="10">
        <f t="shared" si="834"/>
        <v>0</v>
      </c>
      <c r="AZ608" s="10">
        <f t="shared" si="834"/>
        <v>0</v>
      </c>
      <c r="BA608" s="10">
        <f t="shared" si="834"/>
        <v>0</v>
      </c>
      <c r="BB608" s="10">
        <f t="shared" si="834"/>
        <v>0</v>
      </c>
      <c r="BC608" s="10">
        <f t="shared" si="834"/>
        <v>0</v>
      </c>
      <c r="BD608" s="10">
        <f t="shared" si="834"/>
        <v>0</v>
      </c>
      <c r="BE608" s="10">
        <f t="shared" si="834"/>
        <v>0</v>
      </c>
      <c r="BF608" s="10">
        <f t="shared" si="834"/>
        <v>0</v>
      </c>
      <c r="BG608" s="10">
        <f t="shared" si="834"/>
        <v>0</v>
      </c>
      <c r="BH608" s="10">
        <f t="shared" si="834"/>
        <v>0</v>
      </c>
      <c r="BI608" s="10">
        <f t="shared" si="834"/>
        <v>0</v>
      </c>
      <c r="BJ608" s="10">
        <f t="shared" si="834"/>
        <v>0</v>
      </c>
      <c r="BL608" s="10">
        <f t="shared" ref="BL608" si="835">BL$364</f>
        <v>0</v>
      </c>
      <c r="BM608" s="10">
        <f t="shared" ref="BM608:BW608" si="836">BM$364</f>
        <v>0</v>
      </c>
      <c r="BN608" s="10">
        <f t="shared" si="836"/>
        <v>0</v>
      </c>
      <c r="BO608" s="10">
        <f t="shared" si="836"/>
        <v>0</v>
      </c>
      <c r="BP608" s="10">
        <f t="shared" si="836"/>
        <v>0</v>
      </c>
      <c r="BQ608" s="10">
        <f t="shared" si="836"/>
        <v>0</v>
      </c>
      <c r="BR608" s="10">
        <f t="shared" si="836"/>
        <v>0</v>
      </c>
      <c r="BS608" s="10">
        <f t="shared" si="836"/>
        <v>0</v>
      </c>
      <c r="BT608" s="10">
        <f t="shared" si="836"/>
        <v>0</v>
      </c>
      <c r="BU608" s="10">
        <f t="shared" si="836"/>
        <v>0</v>
      </c>
      <c r="BV608" s="10">
        <f t="shared" si="836"/>
        <v>0</v>
      </c>
      <c r="BW608" s="10">
        <f t="shared" si="836"/>
        <v>0</v>
      </c>
      <c r="BY608" s="12"/>
      <c r="BZ608" s="335"/>
      <c r="CA608" s="12"/>
      <c r="CB608" s="335"/>
      <c r="CC608" s="335"/>
      <c r="CD608" s="335"/>
      <c r="CE608" s="335"/>
      <c r="CM608" s="335"/>
      <c r="CN608" s="335"/>
      <c r="CO608" s="335"/>
      <c r="CP608" s="335"/>
      <c r="CR608" s="12"/>
      <c r="CT608" s="335"/>
      <c r="CU608" s="335"/>
      <c r="EW608" s="335"/>
      <c r="EX608" s="10" t="str">
        <f t="shared" si="771"/>
        <v/>
      </c>
    </row>
    <row r="609" spans="2:154" s="67" customFormat="1" x14ac:dyDescent="0.25">
      <c r="B609" s="84" t="str" cm="1">
        <f t="array" aca="1" ref="B609" ca="1">HYPERLINK(CONCATENATE("#",CELL("address",$D$370)),$D$370)</f>
        <v>Loan 18</v>
      </c>
      <c r="C609" s="380"/>
      <c r="D609" s="60">
        <f>D$30</f>
        <v>0</v>
      </c>
      <c r="E609" s="60">
        <f>E$30</f>
        <v>0</v>
      </c>
      <c r="G609" s="9" t="s">
        <v>413</v>
      </c>
      <c r="H609" s="50" t="s">
        <v>125</v>
      </c>
      <c r="S609" s="335"/>
      <c r="T609" s="335"/>
      <c r="U609" s="335"/>
      <c r="V609" s="201">
        <f>V$383</f>
        <v>0</v>
      </c>
      <c r="W609" s="10">
        <f>W$383</f>
        <v>0</v>
      </c>
      <c r="X609" s="10">
        <f>X$383</f>
        <v>0</v>
      </c>
      <c r="Y609" s="10">
        <f>Y$383</f>
        <v>0</v>
      </c>
      <c r="AA609" s="10">
        <f t="shared" ref="AA609:BJ609" si="837">AA$383</f>
        <v>0</v>
      </c>
      <c r="AB609" s="10">
        <f t="shared" si="837"/>
        <v>0</v>
      </c>
      <c r="AC609" s="10">
        <f t="shared" si="837"/>
        <v>0</v>
      </c>
      <c r="AD609" s="10">
        <f t="shared" si="837"/>
        <v>0</v>
      </c>
      <c r="AE609" s="10">
        <f t="shared" si="837"/>
        <v>0</v>
      </c>
      <c r="AF609" s="10">
        <f t="shared" si="837"/>
        <v>0</v>
      </c>
      <c r="AG609" s="10">
        <f t="shared" si="837"/>
        <v>0</v>
      </c>
      <c r="AH609" s="10">
        <f t="shared" si="837"/>
        <v>0</v>
      </c>
      <c r="AI609" s="10">
        <f t="shared" si="837"/>
        <v>0</v>
      </c>
      <c r="AJ609" s="10">
        <f t="shared" si="837"/>
        <v>0</v>
      </c>
      <c r="AK609" s="10">
        <f t="shared" si="837"/>
        <v>0</v>
      </c>
      <c r="AL609" s="10">
        <f t="shared" si="837"/>
        <v>0</v>
      </c>
      <c r="AM609" s="10">
        <f t="shared" si="837"/>
        <v>0</v>
      </c>
      <c r="AN609" s="10">
        <f t="shared" si="837"/>
        <v>0</v>
      </c>
      <c r="AO609" s="10">
        <f t="shared" si="837"/>
        <v>0</v>
      </c>
      <c r="AP609" s="10">
        <f t="shared" si="837"/>
        <v>0</v>
      </c>
      <c r="AQ609" s="10">
        <f t="shared" si="837"/>
        <v>0</v>
      </c>
      <c r="AR609" s="10">
        <f t="shared" si="837"/>
        <v>0</v>
      </c>
      <c r="AS609" s="10">
        <f t="shared" si="837"/>
        <v>0</v>
      </c>
      <c r="AT609" s="10">
        <f t="shared" si="837"/>
        <v>0</v>
      </c>
      <c r="AU609" s="10">
        <f t="shared" si="837"/>
        <v>0</v>
      </c>
      <c r="AV609" s="10">
        <f t="shared" si="837"/>
        <v>0</v>
      </c>
      <c r="AW609" s="10">
        <f t="shared" si="837"/>
        <v>0</v>
      </c>
      <c r="AX609" s="10">
        <f t="shared" si="837"/>
        <v>0</v>
      </c>
      <c r="AY609" s="10">
        <f t="shared" si="837"/>
        <v>0</v>
      </c>
      <c r="AZ609" s="10">
        <f t="shared" si="837"/>
        <v>0</v>
      </c>
      <c r="BA609" s="10">
        <f t="shared" si="837"/>
        <v>0</v>
      </c>
      <c r="BB609" s="10">
        <f t="shared" si="837"/>
        <v>0</v>
      </c>
      <c r="BC609" s="10">
        <f t="shared" si="837"/>
        <v>0</v>
      </c>
      <c r="BD609" s="10">
        <f t="shared" si="837"/>
        <v>0</v>
      </c>
      <c r="BE609" s="10">
        <f t="shared" si="837"/>
        <v>0</v>
      </c>
      <c r="BF609" s="10">
        <f t="shared" si="837"/>
        <v>0</v>
      </c>
      <c r="BG609" s="10">
        <f t="shared" si="837"/>
        <v>0</v>
      </c>
      <c r="BH609" s="10">
        <f t="shared" si="837"/>
        <v>0</v>
      </c>
      <c r="BI609" s="10">
        <f t="shared" si="837"/>
        <v>0</v>
      </c>
      <c r="BJ609" s="10">
        <f t="shared" si="837"/>
        <v>0</v>
      </c>
      <c r="BL609" s="10">
        <f t="shared" ref="BL609" si="838">BL$383</f>
        <v>0</v>
      </c>
      <c r="BM609" s="10">
        <f t="shared" ref="BM609:BW609" si="839">BM$383</f>
        <v>0</v>
      </c>
      <c r="BN609" s="10">
        <f t="shared" si="839"/>
        <v>0</v>
      </c>
      <c r="BO609" s="10">
        <f t="shared" si="839"/>
        <v>0</v>
      </c>
      <c r="BP609" s="10">
        <f t="shared" si="839"/>
        <v>0</v>
      </c>
      <c r="BQ609" s="10">
        <f t="shared" si="839"/>
        <v>0</v>
      </c>
      <c r="BR609" s="10">
        <f t="shared" si="839"/>
        <v>0</v>
      </c>
      <c r="BS609" s="10">
        <f t="shared" si="839"/>
        <v>0</v>
      </c>
      <c r="BT609" s="10">
        <f t="shared" si="839"/>
        <v>0</v>
      </c>
      <c r="BU609" s="10">
        <f t="shared" si="839"/>
        <v>0</v>
      </c>
      <c r="BV609" s="10">
        <f t="shared" si="839"/>
        <v>0</v>
      </c>
      <c r="BW609" s="10">
        <f t="shared" si="839"/>
        <v>0</v>
      </c>
      <c r="BY609" s="12"/>
      <c r="BZ609" s="335"/>
      <c r="CA609" s="12"/>
      <c r="CB609" s="335"/>
      <c r="CC609" s="335"/>
      <c r="CD609" s="335"/>
      <c r="CE609" s="335"/>
      <c r="CM609" s="335"/>
      <c r="CN609" s="335"/>
      <c r="CO609" s="335"/>
      <c r="CP609" s="335"/>
      <c r="CR609" s="12"/>
      <c r="CT609" s="335"/>
      <c r="CU609" s="335"/>
      <c r="EW609" s="335"/>
      <c r="EX609" s="10" t="str">
        <f t="shared" si="771"/>
        <v/>
      </c>
    </row>
    <row r="610" spans="2:154" s="67" customFormat="1" x14ac:dyDescent="0.25">
      <c r="B610" s="84" t="str" cm="1">
        <f t="array" aca="1" ref="B610" ca="1">HYPERLINK(CONCATENATE("#",CELL("address",$D$389)),$D$389)</f>
        <v>Loan 19</v>
      </c>
      <c r="C610" s="380"/>
      <c r="D610" s="60">
        <f>D$31</f>
        <v>0</v>
      </c>
      <c r="E610" s="60">
        <f>E$31</f>
        <v>0</v>
      </c>
      <c r="G610" s="9" t="s">
        <v>413</v>
      </c>
      <c r="H610" s="50" t="s">
        <v>125</v>
      </c>
      <c r="S610" s="335"/>
      <c r="T610" s="335"/>
      <c r="U610" s="335"/>
      <c r="V610" s="201">
        <f>V$402</f>
        <v>0</v>
      </c>
      <c r="W610" s="10">
        <f>W$402</f>
        <v>0</v>
      </c>
      <c r="X610" s="10">
        <f>X$402</f>
        <v>0</v>
      </c>
      <c r="Y610" s="10">
        <f>Y$402</f>
        <v>0</v>
      </c>
      <c r="AA610" s="10">
        <f t="shared" ref="AA610:BJ610" si="840">AA$402</f>
        <v>0</v>
      </c>
      <c r="AB610" s="10">
        <f t="shared" si="840"/>
        <v>0</v>
      </c>
      <c r="AC610" s="10">
        <f t="shared" si="840"/>
        <v>0</v>
      </c>
      <c r="AD610" s="10">
        <f t="shared" si="840"/>
        <v>0</v>
      </c>
      <c r="AE610" s="10">
        <f t="shared" si="840"/>
        <v>0</v>
      </c>
      <c r="AF610" s="10">
        <f t="shared" si="840"/>
        <v>0</v>
      </c>
      <c r="AG610" s="10">
        <f t="shared" si="840"/>
        <v>0</v>
      </c>
      <c r="AH610" s="10">
        <f t="shared" si="840"/>
        <v>0</v>
      </c>
      <c r="AI610" s="10">
        <f t="shared" si="840"/>
        <v>0</v>
      </c>
      <c r="AJ610" s="10">
        <f t="shared" si="840"/>
        <v>0</v>
      </c>
      <c r="AK610" s="10">
        <f t="shared" si="840"/>
        <v>0</v>
      </c>
      <c r="AL610" s="10">
        <f t="shared" si="840"/>
        <v>0</v>
      </c>
      <c r="AM610" s="10">
        <f t="shared" si="840"/>
        <v>0</v>
      </c>
      <c r="AN610" s="10">
        <f t="shared" si="840"/>
        <v>0</v>
      </c>
      <c r="AO610" s="10">
        <f t="shared" si="840"/>
        <v>0</v>
      </c>
      <c r="AP610" s="10">
        <f t="shared" si="840"/>
        <v>0</v>
      </c>
      <c r="AQ610" s="10">
        <f t="shared" si="840"/>
        <v>0</v>
      </c>
      <c r="AR610" s="10">
        <f t="shared" si="840"/>
        <v>0</v>
      </c>
      <c r="AS610" s="10">
        <f t="shared" si="840"/>
        <v>0</v>
      </c>
      <c r="AT610" s="10">
        <f t="shared" si="840"/>
        <v>0</v>
      </c>
      <c r="AU610" s="10">
        <f t="shared" si="840"/>
        <v>0</v>
      </c>
      <c r="AV610" s="10">
        <f t="shared" si="840"/>
        <v>0</v>
      </c>
      <c r="AW610" s="10">
        <f t="shared" si="840"/>
        <v>0</v>
      </c>
      <c r="AX610" s="10">
        <f t="shared" si="840"/>
        <v>0</v>
      </c>
      <c r="AY610" s="10">
        <f t="shared" si="840"/>
        <v>0</v>
      </c>
      <c r="AZ610" s="10">
        <f t="shared" si="840"/>
        <v>0</v>
      </c>
      <c r="BA610" s="10">
        <f t="shared" si="840"/>
        <v>0</v>
      </c>
      <c r="BB610" s="10">
        <f t="shared" si="840"/>
        <v>0</v>
      </c>
      <c r="BC610" s="10">
        <f t="shared" si="840"/>
        <v>0</v>
      </c>
      <c r="BD610" s="10">
        <f t="shared" si="840"/>
        <v>0</v>
      </c>
      <c r="BE610" s="10">
        <f t="shared" si="840"/>
        <v>0</v>
      </c>
      <c r="BF610" s="10">
        <f t="shared" si="840"/>
        <v>0</v>
      </c>
      <c r="BG610" s="10">
        <f t="shared" si="840"/>
        <v>0</v>
      </c>
      <c r="BH610" s="10">
        <f t="shared" si="840"/>
        <v>0</v>
      </c>
      <c r="BI610" s="10">
        <f t="shared" si="840"/>
        <v>0</v>
      </c>
      <c r="BJ610" s="10">
        <f t="shared" si="840"/>
        <v>0</v>
      </c>
      <c r="BL610" s="10">
        <f t="shared" ref="BL610" si="841">BL$402</f>
        <v>0</v>
      </c>
      <c r="BM610" s="10">
        <f t="shared" ref="BM610:BW610" si="842">BM$402</f>
        <v>0</v>
      </c>
      <c r="BN610" s="10">
        <f t="shared" si="842"/>
        <v>0</v>
      </c>
      <c r="BO610" s="10">
        <f t="shared" si="842"/>
        <v>0</v>
      </c>
      <c r="BP610" s="10">
        <f t="shared" si="842"/>
        <v>0</v>
      </c>
      <c r="BQ610" s="10">
        <f t="shared" si="842"/>
        <v>0</v>
      </c>
      <c r="BR610" s="10">
        <f t="shared" si="842"/>
        <v>0</v>
      </c>
      <c r="BS610" s="10">
        <f t="shared" si="842"/>
        <v>0</v>
      </c>
      <c r="BT610" s="10">
        <f t="shared" si="842"/>
        <v>0</v>
      </c>
      <c r="BU610" s="10">
        <f t="shared" si="842"/>
        <v>0</v>
      </c>
      <c r="BV610" s="10">
        <f t="shared" si="842"/>
        <v>0</v>
      </c>
      <c r="BW610" s="10">
        <f t="shared" si="842"/>
        <v>0</v>
      </c>
      <c r="BY610" s="12"/>
      <c r="BZ610" s="335"/>
      <c r="CA610" s="12"/>
      <c r="CB610" s="335"/>
      <c r="CC610" s="335"/>
      <c r="CD610" s="335"/>
      <c r="CE610" s="335"/>
      <c r="CM610" s="335"/>
      <c r="CN610" s="335"/>
      <c r="CO610" s="335"/>
      <c r="CP610" s="335"/>
      <c r="CR610" s="12"/>
      <c r="CT610" s="335"/>
      <c r="CU610" s="335"/>
      <c r="EW610" s="335"/>
      <c r="EX610" s="10" t="str">
        <f t="shared" si="771"/>
        <v/>
      </c>
    </row>
    <row r="611" spans="2:154" s="67" customFormat="1" x14ac:dyDescent="0.25">
      <c r="B611" s="84" t="str" cm="1">
        <f t="array" aca="1" ref="B611" ca="1">HYPERLINK(CONCATENATE("#",CELL("address",$D$408)),$D$408)</f>
        <v>Loan 20</v>
      </c>
      <c r="C611" s="380"/>
      <c r="D611" s="60">
        <f>D$32</f>
        <v>0</v>
      </c>
      <c r="E611" s="60">
        <f>E$32</f>
        <v>0</v>
      </c>
      <c r="G611" s="9" t="s">
        <v>413</v>
      </c>
      <c r="H611" s="50" t="s">
        <v>125</v>
      </c>
      <c r="S611" s="335"/>
      <c r="T611" s="335"/>
      <c r="U611" s="335"/>
      <c r="V611" s="201">
        <f>V$421</f>
        <v>0</v>
      </c>
      <c r="W611" s="10">
        <f>W$421</f>
        <v>0</v>
      </c>
      <c r="X611" s="10">
        <f>X$421</f>
        <v>0</v>
      </c>
      <c r="Y611" s="10">
        <f>Y$421</f>
        <v>0</v>
      </c>
      <c r="AA611" s="10">
        <f t="shared" ref="AA611:BJ611" si="843">AA$421</f>
        <v>0</v>
      </c>
      <c r="AB611" s="10">
        <f t="shared" si="843"/>
        <v>0</v>
      </c>
      <c r="AC611" s="10">
        <f t="shared" si="843"/>
        <v>0</v>
      </c>
      <c r="AD611" s="10">
        <f t="shared" si="843"/>
        <v>0</v>
      </c>
      <c r="AE611" s="10">
        <f t="shared" si="843"/>
        <v>0</v>
      </c>
      <c r="AF611" s="10">
        <f t="shared" si="843"/>
        <v>0</v>
      </c>
      <c r="AG611" s="10">
        <f t="shared" si="843"/>
        <v>0</v>
      </c>
      <c r="AH611" s="10">
        <f t="shared" si="843"/>
        <v>0</v>
      </c>
      <c r="AI611" s="10">
        <f t="shared" si="843"/>
        <v>0</v>
      </c>
      <c r="AJ611" s="10">
        <f t="shared" si="843"/>
        <v>0</v>
      </c>
      <c r="AK611" s="10">
        <f t="shared" si="843"/>
        <v>0</v>
      </c>
      <c r="AL611" s="10">
        <f t="shared" si="843"/>
        <v>0</v>
      </c>
      <c r="AM611" s="10">
        <f t="shared" si="843"/>
        <v>0</v>
      </c>
      <c r="AN611" s="10">
        <f t="shared" si="843"/>
        <v>0</v>
      </c>
      <c r="AO611" s="10">
        <f t="shared" si="843"/>
        <v>0</v>
      </c>
      <c r="AP611" s="10">
        <f t="shared" si="843"/>
        <v>0</v>
      </c>
      <c r="AQ611" s="10">
        <f t="shared" si="843"/>
        <v>0</v>
      </c>
      <c r="AR611" s="10">
        <f t="shared" si="843"/>
        <v>0</v>
      </c>
      <c r="AS611" s="10">
        <f t="shared" si="843"/>
        <v>0</v>
      </c>
      <c r="AT611" s="10">
        <f t="shared" si="843"/>
        <v>0</v>
      </c>
      <c r="AU611" s="10">
        <f t="shared" si="843"/>
        <v>0</v>
      </c>
      <c r="AV611" s="10">
        <f t="shared" si="843"/>
        <v>0</v>
      </c>
      <c r="AW611" s="10">
        <f t="shared" si="843"/>
        <v>0</v>
      </c>
      <c r="AX611" s="10">
        <f t="shared" si="843"/>
        <v>0</v>
      </c>
      <c r="AY611" s="10">
        <f t="shared" si="843"/>
        <v>0</v>
      </c>
      <c r="AZ611" s="10">
        <f t="shared" si="843"/>
        <v>0</v>
      </c>
      <c r="BA611" s="10">
        <f t="shared" si="843"/>
        <v>0</v>
      </c>
      <c r="BB611" s="10">
        <f t="shared" si="843"/>
        <v>0</v>
      </c>
      <c r="BC611" s="10">
        <f t="shared" si="843"/>
        <v>0</v>
      </c>
      <c r="BD611" s="10">
        <f t="shared" si="843"/>
        <v>0</v>
      </c>
      <c r="BE611" s="10">
        <f t="shared" si="843"/>
        <v>0</v>
      </c>
      <c r="BF611" s="10">
        <f t="shared" si="843"/>
        <v>0</v>
      </c>
      <c r="BG611" s="10">
        <f t="shared" si="843"/>
        <v>0</v>
      </c>
      <c r="BH611" s="10">
        <f t="shared" si="843"/>
        <v>0</v>
      </c>
      <c r="BI611" s="10">
        <f t="shared" si="843"/>
        <v>0</v>
      </c>
      <c r="BJ611" s="10">
        <f t="shared" si="843"/>
        <v>0</v>
      </c>
      <c r="BL611" s="10">
        <f t="shared" ref="BL611" si="844">BL$421</f>
        <v>0</v>
      </c>
      <c r="BM611" s="10">
        <f t="shared" ref="BM611:BW611" si="845">BM$421</f>
        <v>0</v>
      </c>
      <c r="BN611" s="10">
        <f t="shared" si="845"/>
        <v>0</v>
      </c>
      <c r="BO611" s="10">
        <f t="shared" si="845"/>
        <v>0</v>
      </c>
      <c r="BP611" s="10">
        <f t="shared" si="845"/>
        <v>0</v>
      </c>
      <c r="BQ611" s="10">
        <f t="shared" si="845"/>
        <v>0</v>
      </c>
      <c r="BR611" s="10">
        <f t="shared" si="845"/>
        <v>0</v>
      </c>
      <c r="BS611" s="10">
        <f t="shared" si="845"/>
        <v>0</v>
      </c>
      <c r="BT611" s="10">
        <f t="shared" si="845"/>
        <v>0</v>
      </c>
      <c r="BU611" s="10">
        <f t="shared" si="845"/>
        <v>0</v>
      </c>
      <c r="BV611" s="10">
        <f t="shared" si="845"/>
        <v>0</v>
      </c>
      <c r="BW611" s="10">
        <f t="shared" si="845"/>
        <v>0</v>
      </c>
      <c r="BY611" s="12"/>
      <c r="BZ611" s="335"/>
      <c r="CA611" s="12"/>
      <c r="CB611" s="335"/>
      <c r="CC611" s="335"/>
      <c r="CD611" s="335"/>
      <c r="CE611" s="335"/>
      <c r="CM611" s="335"/>
      <c r="CN611" s="335"/>
      <c r="CO611" s="335"/>
      <c r="CP611" s="335"/>
      <c r="CR611" s="12"/>
      <c r="CT611" s="335"/>
      <c r="CU611" s="335"/>
      <c r="EW611" s="335"/>
      <c r="EX611" s="10" t="str">
        <f t="shared" si="771"/>
        <v/>
      </c>
    </row>
    <row r="612" spans="2:154" s="335" customFormat="1" ht="6.6" customHeight="1" x14ac:dyDescent="0.25">
      <c r="C612" s="380"/>
      <c r="D612" s="1"/>
      <c r="V612" s="93"/>
      <c r="BM612" s="6"/>
      <c r="BY612" s="42"/>
      <c r="CA612" s="42"/>
      <c r="CR612" s="42"/>
      <c r="EX612" s="10" t="str">
        <f t="shared" si="771"/>
        <v/>
      </c>
    </row>
    <row r="613" spans="2:154" s="335" customFormat="1" x14ac:dyDescent="0.25">
      <c r="C613" s="380"/>
      <c r="D613" s="61" t="str">
        <f>$D$62</f>
        <v>Early Repayment Fee</v>
      </c>
      <c r="V613" s="93"/>
      <c r="BY613" s="12"/>
      <c r="CA613" s="12"/>
      <c r="CR613" s="12"/>
      <c r="EX613" s="10" t="str">
        <f t="shared" si="771"/>
        <v/>
      </c>
    </row>
    <row r="614" spans="2:154" s="335" customFormat="1" x14ac:dyDescent="0.25">
      <c r="B614" s="138" t="s">
        <v>551</v>
      </c>
      <c r="C614" s="380"/>
      <c r="D614" s="5" t="str">
        <f>D$11</f>
        <v>Lender</v>
      </c>
      <c r="E614" s="5" t="str">
        <f>E$11</f>
        <v>Loan Category</v>
      </c>
      <c r="V614" s="93"/>
      <c r="BY614" s="12"/>
      <c r="CA614" s="12"/>
      <c r="CR614" s="12"/>
      <c r="EX614" s="10" t="str">
        <f t="shared" si="771"/>
        <v/>
      </c>
    </row>
    <row r="615" spans="2:154" s="335" customFormat="1" x14ac:dyDescent="0.25">
      <c r="B615" s="84" t="str" cm="1">
        <f t="array" aca="1" ref="B615" ca="1">HYPERLINK(CONCATENATE("#",CELL("address",$D$47)),$D$47)</f>
        <v>Loan 1</v>
      </c>
      <c r="C615" s="380"/>
      <c r="D615" s="221" t="str">
        <f>D$13</f>
        <v>NatWest</v>
      </c>
      <c r="E615" s="60" t="str">
        <f>E$13</f>
        <v xml:space="preserve">Commercial </v>
      </c>
      <c r="G615" s="9" t="s">
        <v>413</v>
      </c>
      <c r="H615" s="50" t="s">
        <v>125</v>
      </c>
      <c r="I615" s="65"/>
      <c r="V615" s="201">
        <f>V$62</f>
        <v>0</v>
      </c>
      <c r="W615" s="201">
        <f t="shared" ref="W615:BW615" si="846">W$62</f>
        <v>0</v>
      </c>
      <c r="X615" s="201">
        <f t="shared" si="846"/>
        <v>0</v>
      </c>
      <c r="Y615" s="201">
        <f t="shared" si="846"/>
        <v>0</v>
      </c>
      <c r="AA615" s="201">
        <f t="shared" si="846"/>
        <v>0</v>
      </c>
      <c r="AB615" s="201">
        <f t="shared" si="846"/>
        <v>0</v>
      </c>
      <c r="AC615" s="201">
        <f t="shared" si="846"/>
        <v>0</v>
      </c>
      <c r="AD615" s="201">
        <f t="shared" si="846"/>
        <v>0</v>
      </c>
      <c r="AE615" s="201">
        <f t="shared" si="846"/>
        <v>0</v>
      </c>
      <c r="AF615" s="201">
        <f t="shared" si="846"/>
        <v>0</v>
      </c>
      <c r="AG615" s="201">
        <f t="shared" si="846"/>
        <v>0</v>
      </c>
      <c r="AH615" s="201">
        <f t="shared" si="846"/>
        <v>0</v>
      </c>
      <c r="AI615" s="201">
        <f t="shared" si="846"/>
        <v>0</v>
      </c>
      <c r="AJ615" s="201">
        <f t="shared" si="846"/>
        <v>0</v>
      </c>
      <c r="AK615" s="201">
        <f t="shared" si="846"/>
        <v>0</v>
      </c>
      <c r="AL615" s="201">
        <f t="shared" si="846"/>
        <v>0</v>
      </c>
      <c r="AM615" s="201">
        <f t="shared" si="846"/>
        <v>0</v>
      </c>
      <c r="AN615" s="201">
        <f t="shared" si="846"/>
        <v>0</v>
      </c>
      <c r="AO615" s="201">
        <f t="shared" si="846"/>
        <v>0</v>
      </c>
      <c r="AP615" s="201">
        <f t="shared" si="846"/>
        <v>0</v>
      </c>
      <c r="AQ615" s="201">
        <f t="shared" si="846"/>
        <v>0</v>
      </c>
      <c r="AR615" s="201">
        <f t="shared" si="846"/>
        <v>0</v>
      </c>
      <c r="AS615" s="201">
        <f t="shared" si="846"/>
        <v>0</v>
      </c>
      <c r="AT615" s="201">
        <f t="shared" si="846"/>
        <v>0</v>
      </c>
      <c r="AU615" s="201">
        <f t="shared" si="846"/>
        <v>0</v>
      </c>
      <c r="AV615" s="201">
        <f t="shared" si="846"/>
        <v>0</v>
      </c>
      <c r="AW615" s="201">
        <f t="shared" si="846"/>
        <v>0</v>
      </c>
      <c r="AX615" s="201">
        <f t="shared" si="846"/>
        <v>0</v>
      </c>
      <c r="AY615" s="201">
        <f t="shared" si="846"/>
        <v>0</v>
      </c>
      <c r="AZ615" s="201">
        <f t="shared" si="846"/>
        <v>0</v>
      </c>
      <c r="BA615" s="201">
        <f t="shared" si="846"/>
        <v>0</v>
      </c>
      <c r="BB615" s="201">
        <f t="shared" si="846"/>
        <v>0</v>
      </c>
      <c r="BC615" s="201">
        <f t="shared" si="846"/>
        <v>0</v>
      </c>
      <c r="BD615" s="201">
        <f t="shared" si="846"/>
        <v>0</v>
      </c>
      <c r="BE615" s="201">
        <f t="shared" si="846"/>
        <v>0</v>
      </c>
      <c r="BF615" s="201">
        <f t="shared" si="846"/>
        <v>0</v>
      </c>
      <c r="BG615" s="201">
        <f t="shared" si="846"/>
        <v>0</v>
      </c>
      <c r="BH615" s="201">
        <f t="shared" si="846"/>
        <v>0</v>
      </c>
      <c r="BI615" s="201">
        <f t="shared" si="846"/>
        <v>0</v>
      </c>
      <c r="BJ615" s="201">
        <f t="shared" si="846"/>
        <v>0</v>
      </c>
      <c r="BL615" s="201">
        <f t="shared" si="846"/>
        <v>0</v>
      </c>
      <c r="BM615" s="201">
        <f t="shared" si="846"/>
        <v>0</v>
      </c>
      <c r="BN615" s="201">
        <f t="shared" si="846"/>
        <v>0</v>
      </c>
      <c r="BO615" s="201">
        <f t="shared" si="846"/>
        <v>0</v>
      </c>
      <c r="BP615" s="201">
        <f t="shared" si="846"/>
        <v>0</v>
      </c>
      <c r="BQ615" s="201">
        <f t="shared" si="846"/>
        <v>0</v>
      </c>
      <c r="BR615" s="201">
        <f t="shared" si="846"/>
        <v>0</v>
      </c>
      <c r="BS615" s="201">
        <f t="shared" si="846"/>
        <v>0</v>
      </c>
      <c r="BT615" s="201">
        <f t="shared" si="846"/>
        <v>0</v>
      </c>
      <c r="BU615" s="201">
        <f t="shared" si="846"/>
        <v>0</v>
      </c>
      <c r="BV615" s="201">
        <f t="shared" si="846"/>
        <v>0</v>
      </c>
      <c r="BW615" s="201">
        <f t="shared" si="846"/>
        <v>0</v>
      </c>
      <c r="BY615" s="12"/>
      <c r="CA615" s="12"/>
      <c r="CR615" s="12"/>
      <c r="EX615" s="10" t="str">
        <f t="shared" si="771"/>
        <v/>
      </c>
    </row>
    <row r="616" spans="2:154" s="335" customFormat="1" x14ac:dyDescent="0.25">
      <c r="B616" s="84" t="str" cm="1">
        <f t="array" aca="1" ref="B616" ca="1">HYPERLINK(CONCATENATE("#",CELL("address",$D$66)),$D$66)</f>
        <v>Loan 2</v>
      </c>
      <c r="C616" s="380"/>
      <c r="D616" s="60" t="str">
        <f>D$14</f>
        <v>NatWest</v>
      </c>
      <c r="E616" s="60" t="str">
        <f>E$14</f>
        <v xml:space="preserve">Commercial </v>
      </c>
      <c r="G616" s="9" t="s">
        <v>413</v>
      </c>
      <c r="H616" s="50" t="s">
        <v>125</v>
      </c>
      <c r="V616" s="201">
        <f>V$81</f>
        <v>0</v>
      </c>
      <c r="W616" s="201">
        <f t="shared" ref="W616:BW616" si="847">W$81</f>
        <v>0</v>
      </c>
      <c r="X616" s="201">
        <f t="shared" si="847"/>
        <v>0</v>
      </c>
      <c r="Y616" s="201">
        <f t="shared" si="847"/>
        <v>0</v>
      </c>
      <c r="AA616" s="201">
        <f t="shared" si="847"/>
        <v>0</v>
      </c>
      <c r="AB616" s="201">
        <f t="shared" si="847"/>
        <v>0</v>
      </c>
      <c r="AC616" s="201">
        <f t="shared" si="847"/>
        <v>0</v>
      </c>
      <c r="AD616" s="201">
        <f t="shared" si="847"/>
        <v>0</v>
      </c>
      <c r="AE616" s="201">
        <f t="shared" si="847"/>
        <v>0</v>
      </c>
      <c r="AF616" s="201">
        <f t="shared" si="847"/>
        <v>0</v>
      </c>
      <c r="AG616" s="201">
        <f t="shared" si="847"/>
        <v>0</v>
      </c>
      <c r="AH616" s="201">
        <f t="shared" si="847"/>
        <v>0</v>
      </c>
      <c r="AI616" s="201">
        <f t="shared" si="847"/>
        <v>0</v>
      </c>
      <c r="AJ616" s="201">
        <f t="shared" si="847"/>
        <v>0</v>
      </c>
      <c r="AK616" s="201">
        <f t="shared" si="847"/>
        <v>0</v>
      </c>
      <c r="AL616" s="201">
        <f t="shared" si="847"/>
        <v>0</v>
      </c>
      <c r="AM616" s="201">
        <f t="shared" si="847"/>
        <v>0</v>
      </c>
      <c r="AN616" s="201">
        <f t="shared" si="847"/>
        <v>0</v>
      </c>
      <c r="AO616" s="201">
        <f t="shared" si="847"/>
        <v>0</v>
      </c>
      <c r="AP616" s="201">
        <f t="shared" si="847"/>
        <v>0</v>
      </c>
      <c r="AQ616" s="201">
        <f t="shared" si="847"/>
        <v>0</v>
      </c>
      <c r="AR616" s="201">
        <f t="shared" si="847"/>
        <v>0</v>
      </c>
      <c r="AS616" s="201">
        <f t="shared" si="847"/>
        <v>0</v>
      </c>
      <c r="AT616" s="201">
        <f t="shared" si="847"/>
        <v>0</v>
      </c>
      <c r="AU616" s="201">
        <f t="shared" si="847"/>
        <v>0</v>
      </c>
      <c r="AV616" s="201">
        <f t="shared" si="847"/>
        <v>0</v>
      </c>
      <c r="AW616" s="201">
        <f t="shared" si="847"/>
        <v>0</v>
      </c>
      <c r="AX616" s="201">
        <f t="shared" si="847"/>
        <v>0</v>
      </c>
      <c r="AY616" s="201">
        <f t="shared" si="847"/>
        <v>0</v>
      </c>
      <c r="AZ616" s="201">
        <f t="shared" si="847"/>
        <v>0</v>
      </c>
      <c r="BA616" s="201">
        <f t="shared" si="847"/>
        <v>0</v>
      </c>
      <c r="BB616" s="201">
        <f t="shared" si="847"/>
        <v>0</v>
      </c>
      <c r="BC616" s="201">
        <f t="shared" si="847"/>
        <v>0</v>
      </c>
      <c r="BD616" s="201">
        <f t="shared" si="847"/>
        <v>0</v>
      </c>
      <c r="BE616" s="201">
        <f t="shared" si="847"/>
        <v>0</v>
      </c>
      <c r="BF616" s="201">
        <f t="shared" si="847"/>
        <v>0</v>
      </c>
      <c r="BG616" s="201">
        <f t="shared" si="847"/>
        <v>0</v>
      </c>
      <c r="BH616" s="201">
        <f t="shared" si="847"/>
        <v>0</v>
      </c>
      <c r="BI616" s="201">
        <f t="shared" si="847"/>
        <v>0</v>
      </c>
      <c r="BJ616" s="201">
        <f t="shared" si="847"/>
        <v>0</v>
      </c>
      <c r="BL616" s="201">
        <f t="shared" si="847"/>
        <v>0</v>
      </c>
      <c r="BM616" s="201">
        <f t="shared" si="847"/>
        <v>0</v>
      </c>
      <c r="BN616" s="201">
        <f t="shared" si="847"/>
        <v>0</v>
      </c>
      <c r="BO616" s="201">
        <f t="shared" si="847"/>
        <v>0</v>
      </c>
      <c r="BP616" s="201">
        <f t="shared" si="847"/>
        <v>0</v>
      </c>
      <c r="BQ616" s="201">
        <f t="shared" si="847"/>
        <v>0</v>
      </c>
      <c r="BR616" s="201">
        <f t="shared" si="847"/>
        <v>0</v>
      </c>
      <c r="BS616" s="201">
        <f t="shared" si="847"/>
        <v>0</v>
      </c>
      <c r="BT616" s="201">
        <f t="shared" si="847"/>
        <v>0</v>
      </c>
      <c r="BU616" s="201">
        <f t="shared" si="847"/>
        <v>0</v>
      </c>
      <c r="BV616" s="201">
        <f t="shared" si="847"/>
        <v>0</v>
      </c>
      <c r="BW616" s="201">
        <f t="shared" si="847"/>
        <v>0</v>
      </c>
      <c r="BY616" s="12"/>
      <c r="CA616" s="12"/>
      <c r="CR616" s="12"/>
      <c r="EX616" s="10" t="str">
        <f t="shared" si="771"/>
        <v/>
      </c>
    </row>
    <row r="617" spans="2:154" s="335" customFormat="1" x14ac:dyDescent="0.25">
      <c r="B617" s="84" t="str" cm="1">
        <f t="array" aca="1" ref="B617" ca="1">HYPERLINK(CONCATENATE("#",CELL("address",$D$85)),$D$85)</f>
        <v>Loan 3</v>
      </c>
      <c r="C617" s="380"/>
      <c r="D617" s="60" t="str">
        <f>D$15</f>
        <v>NatWest</v>
      </c>
      <c r="E617" s="60" t="str">
        <f>E$15</f>
        <v xml:space="preserve">Commercial </v>
      </c>
      <c r="G617" s="9" t="s">
        <v>413</v>
      </c>
      <c r="H617" s="50" t="s">
        <v>125</v>
      </c>
      <c r="V617" s="201">
        <f>V$100</f>
        <v>0</v>
      </c>
      <c r="W617" s="201">
        <f t="shared" ref="W617:BW617" si="848">W$100</f>
        <v>0</v>
      </c>
      <c r="X617" s="201">
        <f t="shared" si="848"/>
        <v>0</v>
      </c>
      <c r="Y617" s="201">
        <f t="shared" si="848"/>
        <v>0</v>
      </c>
      <c r="AA617" s="201">
        <f t="shared" si="848"/>
        <v>0</v>
      </c>
      <c r="AB617" s="201">
        <f t="shared" si="848"/>
        <v>0</v>
      </c>
      <c r="AC617" s="201">
        <f t="shared" si="848"/>
        <v>0</v>
      </c>
      <c r="AD617" s="201">
        <f t="shared" si="848"/>
        <v>0</v>
      </c>
      <c r="AE617" s="201">
        <f t="shared" si="848"/>
        <v>0</v>
      </c>
      <c r="AF617" s="201">
        <f t="shared" si="848"/>
        <v>0</v>
      </c>
      <c r="AG617" s="201">
        <f t="shared" si="848"/>
        <v>0</v>
      </c>
      <c r="AH617" s="201">
        <f t="shared" si="848"/>
        <v>0</v>
      </c>
      <c r="AI617" s="201">
        <f t="shared" si="848"/>
        <v>0</v>
      </c>
      <c r="AJ617" s="201">
        <f t="shared" si="848"/>
        <v>0</v>
      </c>
      <c r="AK617" s="201">
        <f t="shared" si="848"/>
        <v>0</v>
      </c>
      <c r="AL617" s="201">
        <f t="shared" si="848"/>
        <v>0</v>
      </c>
      <c r="AM617" s="201">
        <f t="shared" si="848"/>
        <v>0</v>
      </c>
      <c r="AN617" s="201">
        <f t="shared" si="848"/>
        <v>0</v>
      </c>
      <c r="AO617" s="201">
        <f t="shared" si="848"/>
        <v>0</v>
      </c>
      <c r="AP617" s="201">
        <f t="shared" si="848"/>
        <v>0</v>
      </c>
      <c r="AQ617" s="201">
        <f t="shared" si="848"/>
        <v>0</v>
      </c>
      <c r="AR617" s="201">
        <f t="shared" si="848"/>
        <v>0</v>
      </c>
      <c r="AS617" s="201">
        <f t="shared" si="848"/>
        <v>0</v>
      </c>
      <c r="AT617" s="201">
        <f t="shared" si="848"/>
        <v>0</v>
      </c>
      <c r="AU617" s="201">
        <f t="shared" si="848"/>
        <v>0</v>
      </c>
      <c r="AV617" s="201">
        <f t="shared" si="848"/>
        <v>0</v>
      </c>
      <c r="AW617" s="201">
        <f t="shared" si="848"/>
        <v>0</v>
      </c>
      <c r="AX617" s="201">
        <f t="shared" si="848"/>
        <v>0</v>
      </c>
      <c r="AY617" s="201">
        <f t="shared" si="848"/>
        <v>0</v>
      </c>
      <c r="AZ617" s="201">
        <f t="shared" si="848"/>
        <v>0</v>
      </c>
      <c r="BA617" s="201">
        <f t="shared" si="848"/>
        <v>0</v>
      </c>
      <c r="BB617" s="201">
        <f t="shared" si="848"/>
        <v>0</v>
      </c>
      <c r="BC617" s="201">
        <f t="shared" si="848"/>
        <v>0</v>
      </c>
      <c r="BD617" s="201">
        <f t="shared" si="848"/>
        <v>0</v>
      </c>
      <c r="BE617" s="201">
        <f t="shared" si="848"/>
        <v>0</v>
      </c>
      <c r="BF617" s="201">
        <f t="shared" si="848"/>
        <v>0</v>
      </c>
      <c r="BG617" s="201">
        <f t="shared" si="848"/>
        <v>0</v>
      </c>
      <c r="BH617" s="201">
        <f t="shared" si="848"/>
        <v>0</v>
      </c>
      <c r="BI617" s="201">
        <f t="shared" si="848"/>
        <v>0</v>
      </c>
      <c r="BJ617" s="201">
        <f t="shared" si="848"/>
        <v>0</v>
      </c>
      <c r="BL617" s="201">
        <f t="shared" si="848"/>
        <v>0</v>
      </c>
      <c r="BM617" s="201">
        <f t="shared" si="848"/>
        <v>0</v>
      </c>
      <c r="BN617" s="201">
        <f t="shared" si="848"/>
        <v>0</v>
      </c>
      <c r="BO617" s="201">
        <f t="shared" si="848"/>
        <v>0</v>
      </c>
      <c r="BP617" s="201">
        <f t="shared" si="848"/>
        <v>0</v>
      </c>
      <c r="BQ617" s="201">
        <f t="shared" si="848"/>
        <v>0</v>
      </c>
      <c r="BR617" s="201">
        <f t="shared" si="848"/>
        <v>0</v>
      </c>
      <c r="BS617" s="201">
        <f t="shared" si="848"/>
        <v>0</v>
      </c>
      <c r="BT617" s="201">
        <f t="shared" si="848"/>
        <v>0</v>
      </c>
      <c r="BU617" s="201">
        <f t="shared" si="848"/>
        <v>0</v>
      </c>
      <c r="BV617" s="201">
        <f t="shared" si="848"/>
        <v>0</v>
      </c>
      <c r="BW617" s="201">
        <f t="shared" si="848"/>
        <v>0</v>
      </c>
      <c r="BY617" s="12"/>
      <c r="CA617" s="12"/>
      <c r="CR617" s="12"/>
      <c r="EX617" s="10" t="str">
        <f t="shared" si="771"/>
        <v/>
      </c>
    </row>
    <row r="618" spans="2:154" s="335" customFormat="1" x14ac:dyDescent="0.25">
      <c r="B618" s="84" t="str" cm="1">
        <f t="array" aca="1" ref="B618" ca="1">HYPERLINK(CONCATENATE("#",CELL("address",$D$104)),$D$104)</f>
        <v>Loan 4</v>
      </c>
      <c r="C618" s="380"/>
      <c r="D618" s="60" t="str">
        <f>D$16</f>
        <v>NatWest</v>
      </c>
      <c r="E618" s="60" t="str">
        <f>E$16</f>
        <v xml:space="preserve">Commercial </v>
      </c>
      <c r="G618" s="9" t="s">
        <v>413</v>
      </c>
      <c r="H618" s="50" t="s">
        <v>125</v>
      </c>
      <c r="V618" s="201">
        <f>V$119</f>
        <v>0</v>
      </c>
      <c r="W618" s="201">
        <f t="shared" ref="W618:BW618" si="849">W$119</f>
        <v>0</v>
      </c>
      <c r="X618" s="201">
        <f t="shared" si="849"/>
        <v>0</v>
      </c>
      <c r="Y618" s="201">
        <f t="shared" si="849"/>
        <v>0</v>
      </c>
      <c r="AA618" s="201">
        <f t="shared" si="849"/>
        <v>0</v>
      </c>
      <c r="AB618" s="201">
        <f t="shared" si="849"/>
        <v>0</v>
      </c>
      <c r="AC618" s="201">
        <f t="shared" si="849"/>
        <v>0</v>
      </c>
      <c r="AD618" s="201">
        <f t="shared" si="849"/>
        <v>0</v>
      </c>
      <c r="AE618" s="201">
        <f t="shared" si="849"/>
        <v>0</v>
      </c>
      <c r="AF618" s="201">
        <f t="shared" si="849"/>
        <v>0</v>
      </c>
      <c r="AG618" s="201">
        <f t="shared" si="849"/>
        <v>0</v>
      </c>
      <c r="AH618" s="201">
        <f t="shared" si="849"/>
        <v>0</v>
      </c>
      <c r="AI618" s="201">
        <f t="shared" si="849"/>
        <v>0</v>
      </c>
      <c r="AJ618" s="201">
        <f t="shared" si="849"/>
        <v>0</v>
      </c>
      <c r="AK618" s="201">
        <f t="shared" si="849"/>
        <v>0</v>
      </c>
      <c r="AL618" s="201">
        <f t="shared" si="849"/>
        <v>0</v>
      </c>
      <c r="AM618" s="201">
        <f t="shared" si="849"/>
        <v>0</v>
      </c>
      <c r="AN618" s="201">
        <f t="shared" si="849"/>
        <v>0</v>
      </c>
      <c r="AO618" s="201">
        <f t="shared" si="849"/>
        <v>0</v>
      </c>
      <c r="AP618" s="201">
        <f t="shared" si="849"/>
        <v>0</v>
      </c>
      <c r="AQ618" s="201">
        <f t="shared" si="849"/>
        <v>0</v>
      </c>
      <c r="AR618" s="201">
        <f t="shared" si="849"/>
        <v>0</v>
      </c>
      <c r="AS618" s="201">
        <f t="shared" si="849"/>
        <v>0</v>
      </c>
      <c r="AT618" s="201">
        <f t="shared" si="849"/>
        <v>0</v>
      </c>
      <c r="AU618" s="201">
        <f t="shared" si="849"/>
        <v>0</v>
      </c>
      <c r="AV618" s="201">
        <f t="shared" si="849"/>
        <v>0</v>
      </c>
      <c r="AW618" s="201">
        <f t="shared" si="849"/>
        <v>0</v>
      </c>
      <c r="AX618" s="201">
        <f t="shared" si="849"/>
        <v>0</v>
      </c>
      <c r="AY618" s="201">
        <f t="shared" si="849"/>
        <v>0</v>
      </c>
      <c r="AZ618" s="201">
        <f t="shared" si="849"/>
        <v>0</v>
      </c>
      <c r="BA618" s="201">
        <f t="shared" si="849"/>
        <v>0</v>
      </c>
      <c r="BB618" s="201">
        <f t="shared" si="849"/>
        <v>0</v>
      </c>
      <c r="BC618" s="201">
        <f t="shared" si="849"/>
        <v>0</v>
      </c>
      <c r="BD618" s="201">
        <f t="shared" si="849"/>
        <v>0</v>
      </c>
      <c r="BE618" s="201">
        <f t="shared" si="849"/>
        <v>0</v>
      </c>
      <c r="BF618" s="201">
        <f t="shared" si="849"/>
        <v>0</v>
      </c>
      <c r="BG618" s="201">
        <f t="shared" si="849"/>
        <v>0</v>
      </c>
      <c r="BH618" s="201">
        <f t="shared" si="849"/>
        <v>0</v>
      </c>
      <c r="BI618" s="201">
        <f t="shared" si="849"/>
        <v>0</v>
      </c>
      <c r="BJ618" s="201">
        <f t="shared" si="849"/>
        <v>0</v>
      </c>
      <c r="BL618" s="201">
        <f t="shared" si="849"/>
        <v>0</v>
      </c>
      <c r="BM618" s="201">
        <f t="shared" si="849"/>
        <v>0</v>
      </c>
      <c r="BN618" s="201">
        <f t="shared" si="849"/>
        <v>0</v>
      </c>
      <c r="BO618" s="201">
        <f t="shared" si="849"/>
        <v>0</v>
      </c>
      <c r="BP618" s="201">
        <f t="shared" si="849"/>
        <v>0</v>
      </c>
      <c r="BQ618" s="201">
        <f t="shared" si="849"/>
        <v>0</v>
      </c>
      <c r="BR618" s="201">
        <f t="shared" si="849"/>
        <v>0</v>
      </c>
      <c r="BS618" s="201">
        <f t="shared" si="849"/>
        <v>0</v>
      </c>
      <c r="BT618" s="201">
        <f t="shared" si="849"/>
        <v>0</v>
      </c>
      <c r="BU618" s="201">
        <f t="shared" si="849"/>
        <v>0</v>
      </c>
      <c r="BV618" s="201">
        <f t="shared" si="849"/>
        <v>0</v>
      </c>
      <c r="BW618" s="201">
        <f t="shared" si="849"/>
        <v>0</v>
      </c>
      <c r="BY618" s="12"/>
      <c r="CA618" s="12"/>
      <c r="CR618" s="12"/>
      <c r="EX618" s="10" t="str">
        <f t="shared" si="771"/>
        <v/>
      </c>
    </row>
    <row r="619" spans="2:154" s="335" customFormat="1" x14ac:dyDescent="0.25">
      <c r="B619" s="84" t="str" cm="1">
        <f t="array" aca="1" ref="B619" ca="1">HYPERLINK(CONCATENATE("#",CELL("address",$D$123)),$D$123)</f>
        <v>Loan 5</v>
      </c>
      <c r="C619" s="380"/>
      <c r="D619" s="60" t="str">
        <f>D$17</f>
        <v>NatWest</v>
      </c>
      <c r="E619" s="60" t="str">
        <f>E$17</f>
        <v xml:space="preserve">Commercial </v>
      </c>
      <c r="G619" s="9" t="s">
        <v>413</v>
      </c>
      <c r="H619" s="50" t="s">
        <v>125</v>
      </c>
      <c r="V619" s="201">
        <f>V$138</f>
        <v>0</v>
      </c>
      <c r="W619" s="201">
        <f t="shared" ref="W619:BW619" si="850">W$138</f>
        <v>0</v>
      </c>
      <c r="X619" s="201">
        <f t="shared" si="850"/>
        <v>0</v>
      </c>
      <c r="Y619" s="201">
        <f t="shared" si="850"/>
        <v>0</v>
      </c>
      <c r="AA619" s="201">
        <f t="shared" si="850"/>
        <v>0</v>
      </c>
      <c r="AB619" s="201">
        <f t="shared" si="850"/>
        <v>0</v>
      </c>
      <c r="AC619" s="201">
        <f t="shared" si="850"/>
        <v>0</v>
      </c>
      <c r="AD619" s="201">
        <f t="shared" si="850"/>
        <v>0</v>
      </c>
      <c r="AE619" s="201">
        <f t="shared" si="850"/>
        <v>0</v>
      </c>
      <c r="AF619" s="201">
        <f t="shared" si="850"/>
        <v>0</v>
      </c>
      <c r="AG619" s="201">
        <f t="shared" si="850"/>
        <v>0</v>
      </c>
      <c r="AH619" s="201">
        <f t="shared" si="850"/>
        <v>0</v>
      </c>
      <c r="AI619" s="201">
        <f t="shared" si="850"/>
        <v>0</v>
      </c>
      <c r="AJ619" s="201">
        <f t="shared" si="850"/>
        <v>0</v>
      </c>
      <c r="AK619" s="201">
        <f t="shared" si="850"/>
        <v>0</v>
      </c>
      <c r="AL619" s="201">
        <f t="shared" si="850"/>
        <v>0</v>
      </c>
      <c r="AM619" s="201">
        <f t="shared" si="850"/>
        <v>0</v>
      </c>
      <c r="AN619" s="201">
        <f t="shared" si="850"/>
        <v>0</v>
      </c>
      <c r="AO619" s="201">
        <f t="shared" si="850"/>
        <v>0</v>
      </c>
      <c r="AP619" s="201">
        <f t="shared" si="850"/>
        <v>0</v>
      </c>
      <c r="AQ619" s="201">
        <f t="shared" si="850"/>
        <v>0</v>
      </c>
      <c r="AR619" s="201">
        <f t="shared" si="850"/>
        <v>0</v>
      </c>
      <c r="AS619" s="201">
        <f t="shared" si="850"/>
        <v>0</v>
      </c>
      <c r="AT619" s="201">
        <f t="shared" si="850"/>
        <v>0</v>
      </c>
      <c r="AU619" s="201">
        <f t="shared" si="850"/>
        <v>0</v>
      </c>
      <c r="AV619" s="201">
        <f t="shared" si="850"/>
        <v>0</v>
      </c>
      <c r="AW619" s="201">
        <f t="shared" si="850"/>
        <v>0</v>
      </c>
      <c r="AX619" s="201">
        <f t="shared" si="850"/>
        <v>0</v>
      </c>
      <c r="AY619" s="201">
        <f t="shared" si="850"/>
        <v>0</v>
      </c>
      <c r="AZ619" s="201">
        <f t="shared" si="850"/>
        <v>0</v>
      </c>
      <c r="BA619" s="201">
        <f t="shared" si="850"/>
        <v>0</v>
      </c>
      <c r="BB619" s="201">
        <f t="shared" si="850"/>
        <v>0</v>
      </c>
      <c r="BC619" s="201">
        <f t="shared" si="850"/>
        <v>0</v>
      </c>
      <c r="BD619" s="201">
        <f t="shared" si="850"/>
        <v>0</v>
      </c>
      <c r="BE619" s="201">
        <f t="shared" si="850"/>
        <v>0</v>
      </c>
      <c r="BF619" s="201">
        <f t="shared" si="850"/>
        <v>0</v>
      </c>
      <c r="BG619" s="201">
        <f t="shared" si="850"/>
        <v>0</v>
      </c>
      <c r="BH619" s="201">
        <f t="shared" si="850"/>
        <v>0</v>
      </c>
      <c r="BI619" s="201">
        <f t="shared" si="850"/>
        <v>0</v>
      </c>
      <c r="BJ619" s="201">
        <f t="shared" si="850"/>
        <v>0</v>
      </c>
      <c r="BL619" s="201">
        <f t="shared" si="850"/>
        <v>0</v>
      </c>
      <c r="BM619" s="201">
        <f t="shared" si="850"/>
        <v>0</v>
      </c>
      <c r="BN619" s="201">
        <f t="shared" si="850"/>
        <v>0</v>
      </c>
      <c r="BO619" s="201">
        <f t="shared" si="850"/>
        <v>0</v>
      </c>
      <c r="BP619" s="201">
        <f t="shared" si="850"/>
        <v>0</v>
      </c>
      <c r="BQ619" s="201">
        <f t="shared" si="850"/>
        <v>0</v>
      </c>
      <c r="BR619" s="201">
        <f t="shared" si="850"/>
        <v>0</v>
      </c>
      <c r="BS619" s="201">
        <f t="shared" si="850"/>
        <v>0</v>
      </c>
      <c r="BT619" s="201">
        <f t="shared" si="850"/>
        <v>0</v>
      </c>
      <c r="BU619" s="201">
        <f t="shared" si="850"/>
        <v>0</v>
      </c>
      <c r="BV619" s="201">
        <f t="shared" si="850"/>
        <v>0</v>
      </c>
      <c r="BW619" s="201">
        <f t="shared" si="850"/>
        <v>0</v>
      </c>
      <c r="BY619" s="12"/>
      <c r="CA619" s="12"/>
      <c r="CR619" s="12"/>
      <c r="EX619" s="10" t="str">
        <f t="shared" si="771"/>
        <v/>
      </c>
    </row>
    <row r="620" spans="2:154" s="335" customFormat="1" x14ac:dyDescent="0.25">
      <c r="B620" s="84" t="str" cm="1">
        <f t="array" aca="1" ref="B620" ca="1">HYPERLINK(CONCATENATE("#",CELL("address",$D$142)),$D$142)</f>
        <v>Loan 6</v>
      </c>
      <c r="C620" s="380"/>
      <c r="D620" s="60">
        <f>D$18</f>
        <v>0</v>
      </c>
      <c r="E620" s="60">
        <f>E$18</f>
        <v>0</v>
      </c>
      <c r="G620" s="9" t="s">
        <v>413</v>
      </c>
      <c r="H620" s="50" t="s">
        <v>125</v>
      </c>
      <c r="V620" s="201">
        <f>V$157</f>
        <v>0</v>
      </c>
      <c r="W620" s="201">
        <f t="shared" ref="W620:BW620" si="851">W$157</f>
        <v>0</v>
      </c>
      <c r="X620" s="201">
        <f t="shared" si="851"/>
        <v>0</v>
      </c>
      <c r="Y620" s="201">
        <f t="shared" si="851"/>
        <v>0</v>
      </c>
      <c r="AA620" s="201">
        <f t="shared" si="851"/>
        <v>0</v>
      </c>
      <c r="AB620" s="201">
        <f t="shared" si="851"/>
        <v>0</v>
      </c>
      <c r="AC620" s="201">
        <f t="shared" si="851"/>
        <v>0</v>
      </c>
      <c r="AD620" s="201">
        <f t="shared" si="851"/>
        <v>0</v>
      </c>
      <c r="AE620" s="201">
        <f t="shared" si="851"/>
        <v>0</v>
      </c>
      <c r="AF620" s="201">
        <f t="shared" si="851"/>
        <v>0</v>
      </c>
      <c r="AG620" s="201">
        <f t="shared" si="851"/>
        <v>0</v>
      </c>
      <c r="AH620" s="201">
        <f t="shared" si="851"/>
        <v>0</v>
      </c>
      <c r="AI620" s="201">
        <f t="shared" si="851"/>
        <v>0</v>
      </c>
      <c r="AJ620" s="201">
        <f t="shared" si="851"/>
        <v>0</v>
      </c>
      <c r="AK620" s="201">
        <f t="shared" si="851"/>
        <v>0</v>
      </c>
      <c r="AL620" s="201">
        <f t="shared" si="851"/>
        <v>0</v>
      </c>
      <c r="AM620" s="201">
        <f t="shared" si="851"/>
        <v>0</v>
      </c>
      <c r="AN620" s="201">
        <f t="shared" si="851"/>
        <v>0</v>
      </c>
      <c r="AO620" s="201">
        <f t="shared" si="851"/>
        <v>0</v>
      </c>
      <c r="AP620" s="201">
        <f t="shared" si="851"/>
        <v>0</v>
      </c>
      <c r="AQ620" s="201">
        <f t="shared" si="851"/>
        <v>0</v>
      </c>
      <c r="AR620" s="201">
        <f t="shared" si="851"/>
        <v>0</v>
      </c>
      <c r="AS620" s="201">
        <f t="shared" si="851"/>
        <v>0</v>
      </c>
      <c r="AT620" s="201">
        <f t="shared" si="851"/>
        <v>0</v>
      </c>
      <c r="AU620" s="201">
        <f t="shared" si="851"/>
        <v>0</v>
      </c>
      <c r="AV620" s="201">
        <f t="shared" si="851"/>
        <v>0</v>
      </c>
      <c r="AW620" s="201">
        <f t="shared" si="851"/>
        <v>0</v>
      </c>
      <c r="AX620" s="201">
        <f t="shared" si="851"/>
        <v>0</v>
      </c>
      <c r="AY620" s="201">
        <f t="shared" si="851"/>
        <v>0</v>
      </c>
      <c r="AZ620" s="201">
        <f t="shared" si="851"/>
        <v>0</v>
      </c>
      <c r="BA620" s="201">
        <f t="shared" si="851"/>
        <v>0</v>
      </c>
      <c r="BB620" s="201">
        <f t="shared" si="851"/>
        <v>0</v>
      </c>
      <c r="BC620" s="201">
        <f t="shared" si="851"/>
        <v>0</v>
      </c>
      <c r="BD620" s="201">
        <f t="shared" si="851"/>
        <v>0</v>
      </c>
      <c r="BE620" s="201">
        <f t="shared" si="851"/>
        <v>0</v>
      </c>
      <c r="BF620" s="201">
        <f t="shared" si="851"/>
        <v>0</v>
      </c>
      <c r="BG620" s="201">
        <f t="shared" si="851"/>
        <v>0</v>
      </c>
      <c r="BH620" s="201">
        <f t="shared" si="851"/>
        <v>0</v>
      </c>
      <c r="BI620" s="201">
        <f t="shared" si="851"/>
        <v>0</v>
      </c>
      <c r="BJ620" s="201">
        <f t="shared" si="851"/>
        <v>0</v>
      </c>
      <c r="BL620" s="201">
        <f t="shared" si="851"/>
        <v>0</v>
      </c>
      <c r="BM620" s="201">
        <f t="shared" si="851"/>
        <v>0</v>
      </c>
      <c r="BN620" s="201">
        <f t="shared" si="851"/>
        <v>0</v>
      </c>
      <c r="BO620" s="201">
        <f t="shared" si="851"/>
        <v>0</v>
      </c>
      <c r="BP620" s="201">
        <f t="shared" si="851"/>
        <v>0</v>
      </c>
      <c r="BQ620" s="201">
        <f t="shared" si="851"/>
        <v>0</v>
      </c>
      <c r="BR620" s="201">
        <f t="shared" si="851"/>
        <v>0</v>
      </c>
      <c r="BS620" s="201">
        <f t="shared" si="851"/>
        <v>0</v>
      </c>
      <c r="BT620" s="201">
        <f t="shared" si="851"/>
        <v>0</v>
      </c>
      <c r="BU620" s="201">
        <f t="shared" si="851"/>
        <v>0</v>
      </c>
      <c r="BV620" s="201">
        <f t="shared" si="851"/>
        <v>0</v>
      </c>
      <c r="BW620" s="201">
        <f t="shared" si="851"/>
        <v>0</v>
      </c>
      <c r="BY620" s="12"/>
      <c r="CA620" s="12"/>
      <c r="CR620" s="12"/>
      <c r="EX620" s="10" t="str">
        <f t="shared" si="771"/>
        <v/>
      </c>
    </row>
    <row r="621" spans="2:154" s="335" customFormat="1" x14ac:dyDescent="0.25">
      <c r="B621" s="84" t="str" cm="1">
        <f t="array" aca="1" ref="B621" ca="1">HYPERLINK(CONCATENATE("#",CELL("address",$D$161)),$D$161)</f>
        <v>Loan 7</v>
      </c>
      <c r="C621" s="380"/>
      <c r="D621" s="60">
        <f>D$19</f>
        <v>0</v>
      </c>
      <c r="E621" s="60">
        <f>E$19</f>
        <v>0</v>
      </c>
      <c r="G621" s="9" t="s">
        <v>413</v>
      </c>
      <c r="H621" s="50" t="s">
        <v>125</v>
      </c>
      <c r="V621" s="201">
        <f>V$176</f>
        <v>0</v>
      </c>
      <c r="W621" s="201">
        <f t="shared" ref="W621:BW621" si="852">W$176</f>
        <v>0</v>
      </c>
      <c r="X621" s="201">
        <f t="shared" si="852"/>
        <v>0</v>
      </c>
      <c r="Y621" s="201">
        <f t="shared" si="852"/>
        <v>0</v>
      </c>
      <c r="AA621" s="201">
        <f t="shared" si="852"/>
        <v>0</v>
      </c>
      <c r="AB621" s="201">
        <f t="shared" si="852"/>
        <v>0</v>
      </c>
      <c r="AC621" s="201">
        <f t="shared" si="852"/>
        <v>0</v>
      </c>
      <c r="AD621" s="201">
        <f t="shared" si="852"/>
        <v>0</v>
      </c>
      <c r="AE621" s="201">
        <f t="shared" si="852"/>
        <v>0</v>
      </c>
      <c r="AF621" s="201">
        <f t="shared" si="852"/>
        <v>0</v>
      </c>
      <c r="AG621" s="201">
        <f t="shared" si="852"/>
        <v>0</v>
      </c>
      <c r="AH621" s="201">
        <f t="shared" si="852"/>
        <v>0</v>
      </c>
      <c r="AI621" s="201">
        <f t="shared" si="852"/>
        <v>0</v>
      </c>
      <c r="AJ621" s="201">
        <f t="shared" si="852"/>
        <v>0</v>
      </c>
      <c r="AK621" s="201">
        <f t="shared" si="852"/>
        <v>0</v>
      </c>
      <c r="AL621" s="201">
        <f t="shared" si="852"/>
        <v>0</v>
      </c>
      <c r="AM621" s="201">
        <f t="shared" si="852"/>
        <v>0</v>
      </c>
      <c r="AN621" s="201">
        <f t="shared" si="852"/>
        <v>0</v>
      </c>
      <c r="AO621" s="201">
        <f t="shared" si="852"/>
        <v>0</v>
      </c>
      <c r="AP621" s="201">
        <f t="shared" si="852"/>
        <v>0</v>
      </c>
      <c r="AQ621" s="201">
        <f t="shared" si="852"/>
        <v>0</v>
      </c>
      <c r="AR621" s="201">
        <f t="shared" si="852"/>
        <v>0</v>
      </c>
      <c r="AS621" s="201">
        <f t="shared" si="852"/>
        <v>0</v>
      </c>
      <c r="AT621" s="201">
        <f t="shared" si="852"/>
        <v>0</v>
      </c>
      <c r="AU621" s="201">
        <f t="shared" si="852"/>
        <v>0</v>
      </c>
      <c r="AV621" s="201">
        <f t="shared" si="852"/>
        <v>0</v>
      </c>
      <c r="AW621" s="201">
        <f t="shared" si="852"/>
        <v>0</v>
      </c>
      <c r="AX621" s="201">
        <f t="shared" si="852"/>
        <v>0</v>
      </c>
      <c r="AY621" s="201">
        <f t="shared" si="852"/>
        <v>0</v>
      </c>
      <c r="AZ621" s="201">
        <f t="shared" si="852"/>
        <v>0</v>
      </c>
      <c r="BA621" s="201">
        <f t="shared" si="852"/>
        <v>0</v>
      </c>
      <c r="BB621" s="201">
        <f t="shared" si="852"/>
        <v>0</v>
      </c>
      <c r="BC621" s="201">
        <f t="shared" si="852"/>
        <v>0</v>
      </c>
      <c r="BD621" s="201">
        <f t="shared" si="852"/>
        <v>0</v>
      </c>
      <c r="BE621" s="201">
        <f t="shared" si="852"/>
        <v>0</v>
      </c>
      <c r="BF621" s="201">
        <f t="shared" si="852"/>
        <v>0</v>
      </c>
      <c r="BG621" s="201">
        <f t="shared" si="852"/>
        <v>0</v>
      </c>
      <c r="BH621" s="201">
        <f t="shared" si="852"/>
        <v>0</v>
      </c>
      <c r="BI621" s="201">
        <f t="shared" si="852"/>
        <v>0</v>
      </c>
      <c r="BJ621" s="201">
        <f t="shared" si="852"/>
        <v>0</v>
      </c>
      <c r="BL621" s="201">
        <f t="shared" si="852"/>
        <v>0</v>
      </c>
      <c r="BM621" s="201">
        <f t="shared" si="852"/>
        <v>0</v>
      </c>
      <c r="BN621" s="201">
        <f t="shared" si="852"/>
        <v>0</v>
      </c>
      <c r="BO621" s="201">
        <f t="shared" si="852"/>
        <v>0</v>
      </c>
      <c r="BP621" s="201">
        <f t="shared" si="852"/>
        <v>0</v>
      </c>
      <c r="BQ621" s="201">
        <f t="shared" si="852"/>
        <v>0</v>
      </c>
      <c r="BR621" s="201">
        <f t="shared" si="852"/>
        <v>0</v>
      </c>
      <c r="BS621" s="201">
        <f t="shared" si="852"/>
        <v>0</v>
      </c>
      <c r="BT621" s="201">
        <f t="shared" si="852"/>
        <v>0</v>
      </c>
      <c r="BU621" s="201">
        <f t="shared" si="852"/>
        <v>0</v>
      </c>
      <c r="BV621" s="201">
        <f t="shared" si="852"/>
        <v>0</v>
      </c>
      <c r="BW621" s="201">
        <f t="shared" si="852"/>
        <v>0</v>
      </c>
      <c r="BY621" s="12"/>
      <c r="CA621" s="12"/>
      <c r="CR621" s="12"/>
      <c r="EX621" s="10" t="str">
        <f t="shared" si="771"/>
        <v/>
      </c>
    </row>
    <row r="622" spans="2:154" s="335" customFormat="1" x14ac:dyDescent="0.25">
      <c r="B622" s="84" t="str" cm="1">
        <f t="array" aca="1" ref="B622" ca="1">HYPERLINK(CONCATENATE("#",CELL("address",$D$180)),$D$180)</f>
        <v>Loan 8</v>
      </c>
      <c r="C622" s="380"/>
      <c r="D622" s="60">
        <f>D$20</f>
        <v>0</v>
      </c>
      <c r="E622" s="60">
        <f>E$20</f>
        <v>0</v>
      </c>
      <c r="G622" s="9" t="s">
        <v>413</v>
      </c>
      <c r="H622" s="50" t="s">
        <v>125</v>
      </c>
      <c r="V622" s="201">
        <f>V$195</f>
        <v>0</v>
      </c>
      <c r="W622" s="201">
        <f t="shared" ref="W622:BW622" si="853">W$195</f>
        <v>0</v>
      </c>
      <c r="X622" s="201">
        <f t="shared" si="853"/>
        <v>0</v>
      </c>
      <c r="Y622" s="201">
        <f t="shared" si="853"/>
        <v>0</v>
      </c>
      <c r="AA622" s="201">
        <f t="shared" si="853"/>
        <v>0</v>
      </c>
      <c r="AB622" s="201">
        <f t="shared" si="853"/>
        <v>0</v>
      </c>
      <c r="AC622" s="201">
        <f t="shared" si="853"/>
        <v>0</v>
      </c>
      <c r="AD622" s="201">
        <f t="shared" si="853"/>
        <v>0</v>
      </c>
      <c r="AE622" s="201">
        <f t="shared" si="853"/>
        <v>0</v>
      </c>
      <c r="AF622" s="201">
        <f t="shared" si="853"/>
        <v>0</v>
      </c>
      <c r="AG622" s="201">
        <f t="shared" si="853"/>
        <v>0</v>
      </c>
      <c r="AH622" s="201">
        <f t="shared" si="853"/>
        <v>0</v>
      </c>
      <c r="AI622" s="201">
        <f t="shared" si="853"/>
        <v>0</v>
      </c>
      <c r="AJ622" s="201">
        <f t="shared" si="853"/>
        <v>0</v>
      </c>
      <c r="AK622" s="201">
        <f t="shared" si="853"/>
        <v>0</v>
      </c>
      <c r="AL622" s="201">
        <f t="shared" si="853"/>
        <v>0</v>
      </c>
      <c r="AM622" s="201">
        <f t="shared" si="853"/>
        <v>0</v>
      </c>
      <c r="AN622" s="201">
        <f t="shared" si="853"/>
        <v>0</v>
      </c>
      <c r="AO622" s="201">
        <f t="shared" si="853"/>
        <v>0</v>
      </c>
      <c r="AP622" s="201">
        <f t="shared" si="853"/>
        <v>0</v>
      </c>
      <c r="AQ622" s="201">
        <f t="shared" si="853"/>
        <v>0</v>
      </c>
      <c r="AR622" s="201">
        <f t="shared" si="853"/>
        <v>0</v>
      </c>
      <c r="AS622" s="201">
        <f t="shared" si="853"/>
        <v>0</v>
      </c>
      <c r="AT622" s="201">
        <f t="shared" si="853"/>
        <v>0</v>
      </c>
      <c r="AU622" s="201">
        <f t="shared" si="853"/>
        <v>0</v>
      </c>
      <c r="AV622" s="201">
        <f t="shared" si="853"/>
        <v>0</v>
      </c>
      <c r="AW622" s="201">
        <f t="shared" si="853"/>
        <v>0</v>
      </c>
      <c r="AX622" s="201">
        <f t="shared" si="853"/>
        <v>0</v>
      </c>
      <c r="AY622" s="201">
        <f t="shared" si="853"/>
        <v>0</v>
      </c>
      <c r="AZ622" s="201">
        <f t="shared" si="853"/>
        <v>0</v>
      </c>
      <c r="BA622" s="201">
        <f t="shared" si="853"/>
        <v>0</v>
      </c>
      <c r="BB622" s="201">
        <f t="shared" si="853"/>
        <v>0</v>
      </c>
      <c r="BC622" s="201">
        <f t="shared" si="853"/>
        <v>0</v>
      </c>
      <c r="BD622" s="201">
        <f t="shared" si="853"/>
        <v>0</v>
      </c>
      <c r="BE622" s="201">
        <f t="shared" si="853"/>
        <v>0</v>
      </c>
      <c r="BF622" s="201">
        <f t="shared" si="853"/>
        <v>0</v>
      </c>
      <c r="BG622" s="201">
        <f t="shared" si="853"/>
        <v>0</v>
      </c>
      <c r="BH622" s="201">
        <f t="shared" si="853"/>
        <v>0</v>
      </c>
      <c r="BI622" s="201">
        <f t="shared" si="853"/>
        <v>0</v>
      </c>
      <c r="BJ622" s="201">
        <f t="shared" si="853"/>
        <v>0</v>
      </c>
      <c r="BL622" s="201">
        <f t="shared" si="853"/>
        <v>0</v>
      </c>
      <c r="BM622" s="201">
        <f t="shared" si="853"/>
        <v>0</v>
      </c>
      <c r="BN622" s="201">
        <f t="shared" si="853"/>
        <v>0</v>
      </c>
      <c r="BO622" s="201">
        <f t="shared" si="853"/>
        <v>0</v>
      </c>
      <c r="BP622" s="201">
        <f t="shared" si="853"/>
        <v>0</v>
      </c>
      <c r="BQ622" s="201">
        <f t="shared" si="853"/>
        <v>0</v>
      </c>
      <c r="BR622" s="201">
        <f t="shared" si="853"/>
        <v>0</v>
      </c>
      <c r="BS622" s="201">
        <f t="shared" si="853"/>
        <v>0</v>
      </c>
      <c r="BT622" s="201">
        <f t="shared" si="853"/>
        <v>0</v>
      </c>
      <c r="BU622" s="201">
        <f t="shared" si="853"/>
        <v>0</v>
      </c>
      <c r="BV622" s="201">
        <f t="shared" si="853"/>
        <v>0</v>
      </c>
      <c r="BW622" s="201">
        <f t="shared" si="853"/>
        <v>0</v>
      </c>
      <c r="BY622" s="12"/>
      <c r="CA622" s="12"/>
      <c r="CR622" s="12"/>
      <c r="EX622" s="10" t="str">
        <f t="shared" si="771"/>
        <v/>
      </c>
    </row>
    <row r="623" spans="2:154" s="335" customFormat="1" x14ac:dyDescent="0.25">
      <c r="B623" s="84" t="str" cm="1">
        <f t="array" aca="1" ref="B623" ca="1">HYPERLINK(CONCATENATE("#",CELL("address",$D$199)),$D$199)</f>
        <v>Loan 9</v>
      </c>
      <c r="C623" s="380"/>
      <c r="D623" s="60">
        <f>D$21</f>
        <v>0</v>
      </c>
      <c r="E623" s="60">
        <f>E$21</f>
        <v>0</v>
      </c>
      <c r="G623" s="9" t="s">
        <v>413</v>
      </c>
      <c r="H623" s="50" t="s">
        <v>125</v>
      </c>
      <c r="V623" s="201">
        <f>V$214</f>
        <v>0</v>
      </c>
      <c r="W623" s="201">
        <f t="shared" ref="W623:BW623" si="854">W$214</f>
        <v>0</v>
      </c>
      <c r="X623" s="201">
        <f t="shared" si="854"/>
        <v>0</v>
      </c>
      <c r="Y623" s="201">
        <f t="shared" si="854"/>
        <v>0</v>
      </c>
      <c r="AA623" s="201">
        <f t="shared" si="854"/>
        <v>0</v>
      </c>
      <c r="AB623" s="201">
        <f t="shared" si="854"/>
        <v>0</v>
      </c>
      <c r="AC623" s="201">
        <f t="shared" si="854"/>
        <v>0</v>
      </c>
      <c r="AD623" s="201">
        <f t="shared" si="854"/>
        <v>0</v>
      </c>
      <c r="AE623" s="201">
        <f t="shared" si="854"/>
        <v>0</v>
      </c>
      <c r="AF623" s="201">
        <f t="shared" si="854"/>
        <v>0</v>
      </c>
      <c r="AG623" s="201">
        <f t="shared" si="854"/>
        <v>0</v>
      </c>
      <c r="AH623" s="201">
        <f t="shared" si="854"/>
        <v>0</v>
      </c>
      <c r="AI623" s="201">
        <f t="shared" si="854"/>
        <v>0</v>
      </c>
      <c r="AJ623" s="201">
        <f t="shared" si="854"/>
        <v>0</v>
      </c>
      <c r="AK623" s="201">
        <f t="shared" si="854"/>
        <v>0</v>
      </c>
      <c r="AL623" s="201">
        <f t="shared" si="854"/>
        <v>0</v>
      </c>
      <c r="AM623" s="201">
        <f t="shared" si="854"/>
        <v>0</v>
      </c>
      <c r="AN623" s="201">
        <f t="shared" si="854"/>
        <v>0</v>
      </c>
      <c r="AO623" s="201">
        <f t="shared" si="854"/>
        <v>0</v>
      </c>
      <c r="AP623" s="201">
        <f t="shared" si="854"/>
        <v>0</v>
      </c>
      <c r="AQ623" s="201">
        <f t="shared" si="854"/>
        <v>0</v>
      </c>
      <c r="AR623" s="201">
        <f t="shared" si="854"/>
        <v>0</v>
      </c>
      <c r="AS623" s="201">
        <f t="shared" si="854"/>
        <v>0</v>
      </c>
      <c r="AT623" s="201">
        <f t="shared" si="854"/>
        <v>0</v>
      </c>
      <c r="AU623" s="201">
        <f t="shared" si="854"/>
        <v>0</v>
      </c>
      <c r="AV623" s="201">
        <f t="shared" si="854"/>
        <v>0</v>
      </c>
      <c r="AW623" s="201">
        <f t="shared" si="854"/>
        <v>0</v>
      </c>
      <c r="AX623" s="201">
        <f t="shared" si="854"/>
        <v>0</v>
      </c>
      <c r="AY623" s="201">
        <f t="shared" si="854"/>
        <v>0</v>
      </c>
      <c r="AZ623" s="201">
        <f t="shared" si="854"/>
        <v>0</v>
      </c>
      <c r="BA623" s="201">
        <f t="shared" si="854"/>
        <v>0</v>
      </c>
      <c r="BB623" s="201">
        <f t="shared" si="854"/>
        <v>0</v>
      </c>
      <c r="BC623" s="201">
        <f t="shared" si="854"/>
        <v>0</v>
      </c>
      <c r="BD623" s="201">
        <f t="shared" si="854"/>
        <v>0</v>
      </c>
      <c r="BE623" s="201">
        <f t="shared" si="854"/>
        <v>0</v>
      </c>
      <c r="BF623" s="201">
        <f t="shared" si="854"/>
        <v>0</v>
      </c>
      <c r="BG623" s="201">
        <f t="shared" si="854"/>
        <v>0</v>
      </c>
      <c r="BH623" s="201">
        <f t="shared" si="854"/>
        <v>0</v>
      </c>
      <c r="BI623" s="201">
        <f t="shared" si="854"/>
        <v>0</v>
      </c>
      <c r="BJ623" s="201">
        <f t="shared" si="854"/>
        <v>0</v>
      </c>
      <c r="BL623" s="201">
        <f t="shared" si="854"/>
        <v>0</v>
      </c>
      <c r="BM623" s="201">
        <f t="shared" si="854"/>
        <v>0</v>
      </c>
      <c r="BN623" s="201">
        <f t="shared" si="854"/>
        <v>0</v>
      </c>
      <c r="BO623" s="201">
        <f t="shared" si="854"/>
        <v>0</v>
      </c>
      <c r="BP623" s="201">
        <f t="shared" si="854"/>
        <v>0</v>
      </c>
      <c r="BQ623" s="201">
        <f t="shared" si="854"/>
        <v>0</v>
      </c>
      <c r="BR623" s="201">
        <f t="shared" si="854"/>
        <v>0</v>
      </c>
      <c r="BS623" s="201">
        <f t="shared" si="854"/>
        <v>0</v>
      </c>
      <c r="BT623" s="201">
        <f t="shared" si="854"/>
        <v>0</v>
      </c>
      <c r="BU623" s="201">
        <f t="shared" si="854"/>
        <v>0</v>
      </c>
      <c r="BV623" s="201">
        <f t="shared" si="854"/>
        <v>0</v>
      </c>
      <c r="BW623" s="201">
        <f t="shared" si="854"/>
        <v>0</v>
      </c>
      <c r="BY623" s="12"/>
      <c r="CA623" s="12"/>
      <c r="CR623" s="12"/>
      <c r="EX623" s="10" t="str">
        <f t="shared" si="771"/>
        <v/>
      </c>
    </row>
    <row r="624" spans="2:154" s="335" customFormat="1" x14ac:dyDescent="0.25">
      <c r="B624" s="84" t="str" cm="1">
        <f t="array" aca="1" ref="B624" ca="1">HYPERLINK(CONCATENATE("#",CELL("address",$D$218)),$D$218)</f>
        <v>Loan 10</v>
      </c>
      <c r="C624" s="380"/>
      <c r="D624" s="60">
        <f>D$22</f>
        <v>0</v>
      </c>
      <c r="E624" s="60">
        <f>E$22</f>
        <v>0</v>
      </c>
      <c r="G624" s="9" t="s">
        <v>413</v>
      </c>
      <c r="H624" s="50" t="s">
        <v>125</v>
      </c>
      <c r="V624" s="201">
        <f>V$233</f>
        <v>0</v>
      </c>
      <c r="W624" s="201">
        <f t="shared" ref="W624:BW624" si="855">W$233</f>
        <v>0</v>
      </c>
      <c r="X624" s="201">
        <f t="shared" si="855"/>
        <v>0</v>
      </c>
      <c r="Y624" s="201">
        <f t="shared" si="855"/>
        <v>0</v>
      </c>
      <c r="AA624" s="201">
        <f t="shared" si="855"/>
        <v>0</v>
      </c>
      <c r="AB624" s="201">
        <f t="shared" si="855"/>
        <v>0</v>
      </c>
      <c r="AC624" s="201">
        <f t="shared" si="855"/>
        <v>0</v>
      </c>
      <c r="AD624" s="201">
        <f t="shared" si="855"/>
        <v>0</v>
      </c>
      <c r="AE624" s="201">
        <f t="shared" si="855"/>
        <v>0</v>
      </c>
      <c r="AF624" s="201">
        <f t="shared" si="855"/>
        <v>0</v>
      </c>
      <c r="AG624" s="201">
        <f t="shared" si="855"/>
        <v>0</v>
      </c>
      <c r="AH624" s="201">
        <f t="shared" si="855"/>
        <v>0</v>
      </c>
      <c r="AI624" s="201">
        <f t="shared" si="855"/>
        <v>0</v>
      </c>
      <c r="AJ624" s="201">
        <f t="shared" si="855"/>
        <v>0</v>
      </c>
      <c r="AK624" s="201">
        <f t="shared" si="855"/>
        <v>0</v>
      </c>
      <c r="AL624" s="201">
        <f t="shared" si="855"/>
        <v>0</v>
      </c>
      <c r="AM624" s="201">
        <f t="shared" si="855"/>
        <v>0</v>
      </c>
      <c r="AN624" s="201">
        <f t="shared" si="855"/>
        <v>0</v>
      </c>
      <c r="AO624" s="201">
        <f t="shared" si="855"/>
        <v>0</v>
      </c>
      <c r="AP624" s="201">
        <f t="shared" si="855"/>
        <v>0</v>
      </c>
      <c r="AQ624" s="201">
        <f t="shared" si="855"/>
        <v>0</v>
      </c>
      <c r="AR624" s="201">
        <f t="shared" si="855"/>
        <v>0</v>
      </c>
      <c r="AS624" s="201">
        <f t="shared" si="855"/>
        <v>0</v>
      </c>
      <c r="AT624" s="201">
        <f t="shared" si="855"/>
        <v>0</v>
      </c>
      <c r="AU624" s="201">
        <f t="shared" si="855"/>
        <v>0</v>
      </c>
      <c r="AV624" s="201">
        <f t="shared" si="855"/>
        <v>0</v>
      </c>
      <c r="AW624" s="201">
        <f t="shared" si="855"/>
        <v>0</v>
      </c>
      <c r="AX624" s="201">
        <f t="shared" si="855"/>
        <v>0</v>
      </c>
      <c r="AY624" s="201">
        <f t="shared" si="855"/>
        <v>0</v>
      </c>
      <c r="AZ624" s="201">
        <f t="shared" si="855"/>
        <v>0</v>
      </c>
      <c r="BA624" s="201">
        <f t="shared" si="855"/>
        <v>0</v>
      </c>
      <c r="BB624" s="201">
        <f t="shared" si="855"/>
        <v>0</v>
      </c>
      <c r="BC624" s="201">
        <f t="shared" si="855"/>
        <v>0</v>
      </c>
      <c r="BD624" s="201">
        <f t="shared" si="855"/>
        <v>0</v>
      </c>
      <c r="BE624" s="201">
        <f t="shared" si="855"/>
        <v>0</v>
      </c>
      <c r="BF624" s="201">
        <f t="shared" si="855"/>
        <v>0</v>
      </c>
      <c r="BG624" s="201">
        <f t="shared" si="855"/>
        <v>0</v>
      </c>
      <c r="BH624" s="201">
        <f t="shared" si="855"/>
        <v>0</v>
      </c>
      <c r="BI624" s="201">
        <f t="shared" si="855"/>
        <v>0</v>
      </c>
      <c r="BJ624" s="201">
        <f t="shared" si="855"/>
        <v>0</v>
      </c>
      <c r="BL624" s="201">
        <f t="shared" si="855"/>
        <v>0</v>
      </c>
      <c r="BM624" s="201">
        <f t="shared" si="855"/>
        <v>0</v>
      </c>
      <c r="BN624" s="201">
        <f t="shared" si="855"/>
        <v>0</v>
      </c>
      <c r="BO624" s="201">
        <f t="shared" si="855"/>
        <v>0</v>
      </c>
      <c r="BP624" s="201">
        <f t="shared" si="855"/>
        <v>0</v>
      </c>
      <c r="BQ624" s="201">
        <f t="shared" si="855"/>
        <v>0</v>
      </c>
      <c r="BR624" s="201">
        <f t="shared" si="855"/>
        <v>0</v>
      </c>
      <c r="BS624" s="201">
        <f t="shared" si="855"/>
        <v>0</v>
      </c>
      <c r="BT624" s="201">
        <f t="shared" si="855"/>
        <v>0</v>
      </c>
      <c r="BU624" s="201">
        <f t="shared" si="855"/>
        <v>0</v>
      </c>
      <c r="BV624" s="201">
        <f t="shared" si="855"/>
        <v>0</v>
      </c>
      <c r="BW624" s="201">
        <f t="shared" si="855"/>
        <v>0</v>
      </c>
      <c r="BY624" s="12"/>
      <c r="CA624" s="12"/>
      <c r="CR624" s="12"/>
      <c r="EX624" s="10" t="str">
        <f t="shared" si="771"/>
        <v/>
      </c>
    </row>
    <row r="625" spans="1:154" s="335" customFormat="1" x14ac:dyDescent="0.25">
      <c r="B625" s="84" t="str" cm="1">
        <f t="array" aca="1" ref="B625" ca="1">HYPERLINK(CONCATENATE("#",CELL("address",$D$237)),$D$237)</f>
        <v>Loan 11</v>
      </c>
      <c r="C625" s="380"/>
      <c r="D625" s="60">
        <f>D$23</f>
        <v>0</v>
      </c>
      <c r="E625" s="60">
        <f>E$23</f>
        <v>0</v>
      </c>
      <c r="G625" s="9" t="s">
        <v>413</v>
      </c>
      <c r="H625" s="50" t="s">
        <v>125</v>
      </c>
      <c r="V625" s="201">
        <f>V$252</f>
        <v>0</v>
      </c>
      <c r="W625" s="201">
        <f t="shared" ref="W625:BW625" si="856">W$252</f>
        <v>0</v>
      </c>
      <c r="X625" s="201">
        <f t="shared" si="856"/>
        <v>0</v>
      </c>
      <c r="Y625" s="201">
        <f t="shared" si="856"/>
        <v>0</v>
      </c>
      <c r="AA625" s="201">
        <f t="shared" si="856"/>
        <v>0</v>
      </c>
      <c r="AB625" s="201">
        <f t="shared" si="856"/>
        <v>0</v>
      </c>
      <c r="AC625" s="201">
        <f t="shared" si="856"/>
        <v>0</v>
      </c>
      <c r="AD625" s="201">
        <f t="shared" si="856"/>
        <v>0</v>
      </c>
      <c r="AE625" s="201">
        <f t="shared" si="856"/>
        <v>0</v>
      </c>
      <c r="AF625" s="201">
        <f t="shared" si="856"/>
        <v>0</v>
      </c>
      <c r="AG625" s="201">
        <f t="shared" si="856"/>
        <v>0</v>
      </c>
      <c r="AH625" s="201">
        <f t="shared" si="856"/>
        <v>0</v>
      </c>
      <c r="AI625" s="201">
        <f t="shared" si="856"/>
        <v>0</v>
      </c>
      <c r="AJ625" s="201">
        <f t="shared" si="856"/>
        <v>0</v>
      </c>
      <c r="AK625" s="201">
        <f t="shared" si="856"/>
        <v>0</v>
      </c>
      <c r="AL625" s="201">
        <f t="shared" si="856"/>
        <v>0</v>
      </c>
      <c r="AM625" s="201">
        <f t="shared" si="856"/>
        <v>0</v>
      </c>
      <c r="AN625" s="201">
        <f t="shared" si="856"/>
        <v>0</v>
      </c>
      <c r="AO625" s="201">
        <f t="shared" si="856"/>
        <v>0</v>
      </c>
      <c r="AP625" s="201">
        <f t="shared" si="856"/>
        <v>0</v>
      </c>
      <c r="AQ625" s="201">
        <f t="shared" si="856"/>
        <v>0</v>
      </c>
      <c r="AR625" s="201">
        <f t="shared" si="856"/>
        <v>0</v>
      </c>
      <c r="AS625" s="201">
        <f t="shared" si="856"/>
        <v>0</v>
      </c>
      <c r="AT625" s="201">
        <f t="shared" si="856"/>
        <v>0</v>
      </c>
      <c r="AU625" s="201">
        <f t="shared" si="856"/>
        <v>0</v>
      </c>
      <c r="AV625" s="201">
        <f t="shared" si="856"/>
        <v>0</v>
      </c>
      <c r="AW625" s="201">
        <f t="shared" si="856"/>
        <v>0</v>
      </c>
      <c r="AX625" s="201">
        <f t="shared" si="856"/>
        <v>0</v>
      </c>
      <c r="AY625" s="201">
        <f t="shared" si="856"/>
        <v>0</v>
      </c>
      <c r="AZ625" s="201">
        <f t="shared" si="856"/>
        <v>0</v>
      </c>
      <c r="BA625" s="201">
        <f t="shared" si="856"/>
        <v>0</v>
      </c>
      <c r="BB625" s="201">
        <f t="shared" si="856"/>
        <v>0</v>
      </c>
      <c r="BC625" s="201">
        <f t="shared" si="856"/>
        <v>0</v>
      </c>
      <c r="BD625" s="201">
        <f t="shared" si="856"/>
        <v>0</v>
      </c>
      <c r="BE625" s="201">
        <f t="shared" si="856"/>
        <v>0</v>
      </c>
      <c r="BF625" s="201">
        <f t="shared" si="856"/>
        <v>0</v>
      </c>
      <c r="BG625" s="201">
        <f t="shared" si="856"/>
        <v>0</v>
      </c>
      <c r="BH625" s="201">
        <f t="shared" si="856"/>
        <v>0</v>
      </c>
      <c r="BI625" s="201">
        <f t="shared" si="856"/>
        <v>0</v>
      </c>
      <c r="BJ625" s="201">
        <f t="shared" si="856"/>
        <v>0</v>
      </c>
      <c r="BL625" s="201">
        <f t="shared" si="856"/>
        <v>0</v>
      </c>
      <c r="BM625" s="201">
        <f t="shared" si="856"/>
        <v>0</v>
      </c>
      <c r="BN625" s="201">
        <f t="shared" si="856"/>
        <v>0</v>
      </c>
      <c r="BO625" s="201">
        <f t="shared" si="856"/>
        <v>0</v>
      </c>
      <c r="BP625" s="201">
        <f t="shared" si="856"/>
        <v>0</v>
      </c>
      <c r="BQ625" s="201">
        <f t="shared" si="856"/>
        <v>0</v>
      </c>
      <c r="BR625" s="201">
        <f t="shared" si="856"/>
        <v>0</v>
      </c>
      <c r="BS625" s="201">
        <f t="shared" si="856"/>
        <v>0</v>
      </c>
      <c r="BT625" s="201">
        <f t="shared" si="856"/>
        <v>0</v>
      </c>
      <c r="BU625" s="201">
        <f t="shared" si="856"/>
        <v>0</v>
      </c>
      <c r="BV625" s="201">
        <f t="shared" si="856"/>
        <v>0</v>
      </c>
      <c r="BW625" s="201">
        <f t="shared" si="856"/>
        <v>0</v>
      </c>
      <c r="BY625" s="12"/>
      <c r="CA625" s="12"/>
      <c r="CR625" s="12"/>
      <c r="EX625" s="10" t="str">
        <f t="shared" si="771"/>
        <v/>
      </c>
    </row>
    <row r="626" spans="1:154" s="335" customFormat="1" x14ac:dyDescent="0.25">
      <c r="B626" s="84" t="str" cm="1">
        <f t="array" aca="1" ref="B626" ca="1">HYPERLINK(CONCATENATE("#",CELL("address",$D$256)),$D$256)</f>
        <v>Loan 12</v>
      </c>
      <c r="C626" s="380"/>
      <c r="D626" s="60">
        <f>D$24</f>
        <v>0</v>
      </c>
      <c r="E626" s="60">
        <f>E$24</f>
        <v>0</v>
      </c>
      <c r="G626" s="9" t="s">
        <v>413</v>
      </c>
      <c r="H626" s="50" t="s">
        <v>125</v>
      </c>
      <c r="V626" s="201">
        <f>V$271</f>
        <v>0</v>
      </c>
      <c r="W626" s="201">
        <f t="shared" ref="W626:BW626" si="857">W$271</f>
        <v>0</v>
      </c>
      <c r="X626" s="201">
        <f t="shared" si="857"/>
        <v>0</v>
      </c>
      <c r="Y626" s="201">
        <f t="shared" si="857"/>
        <v>0</v>
      </c>
      <c r="AA626" s="201">
        <f t="shared" si="857"/>
        <v>0</v>
      </c>
      <c r="AB626" s="201">
        <f t="shared" si="857"/>
        <v>0</v>
      </c>
      <c r="AC626" s="201">
        <f t="shared" si="857"/>
        <v>0</v>
      </c>
      <c r="AD626" s="201">
        <f t="shared" si="857"/>
        <v>0</v>
      </c>
      <c r="AE626" s="201">
        <f t="shared" si="857"/>
        <v>0</v>
      </c>
      <c r="AF626" s="201">
        <f t="shared" si="857"/>
        <v>0</v>
      </c>
      <c r="AG626" s="201">
        <f t="shared" si="857"/>
        <v>0</v>
      </c>
      <c r="AH626" s="201">
        <f t="shared" si="857"/>
        <v>0</v>
      </c>
      <c r="AI626" s="201">
        <f t="shared" si="857"/>
        <v>0</v>
      </c>
      <c r="AJ626" s="201">
        <f t="shared" si="857"/>
        <v>0</v>
      </c>
      <c r="AK626" s="201">
        <f t="shared" si="857"/>
        <v>0</v>
      </c>
      <c r="AL626" s="201">
        <f t="shared" si="857"/>
        <v>0</v>
      </c>
      <c r="AM626" s="201">
        <f t="shared" si="857"/>
        <v>0</v>
      </c>
      <c r="AN626" s="201">
        <f t="shared" si="857"/>
        <v>0</v>
      </c>
      <c r="AO626" s="201">
        <f t="shared" si="857"/>
        <v>0</v>
      </c>
      <c r="AP626" s="201">
        <f t="shared" si="857"/>
        <v>0</v>
      </c>
      <c r="AQ626" s="201">
        <f t="shared" si="857"/>
        <v>0</v>
      </c>
      <c r="AR626" s="201">
        <f t="shared" si="857"/>
        <v>0</v>
      </c>
      <c r="AS626" s="201">
        <f t="shared" si="857"/>
        <v>0</v>
      </c>
      <c r="AT626" s="201">
        <f t="shared" si="857"/>
        <v>0</v>
      </c>
      <c r="AU626" s="201">
        <f t="shared" si="857"/>
        <v>0</v>
      </c>
      <c r="AV626" s="201">
        <f t="shared" si="857"/>
        <v>0</v>
      </c>
      <c r="AW626" s="201">
        <f t="shared" si="857"/>
        <v>0</v>
      </c>
      <c r="AX626" s="201">
        <f t="shared" si="857"/>
        <v>0</v>
      </c>
      <c r="AY626" s="201">
        <f t="shared" si="857"/>
        <v>0</v>
      </c>
      <c r="AZ626" s="201">
        <f t="shared" si="857"/>
        <v>0</v>
      </c>
      <c r="BA626" s="201">
        <f t="shared" si="857"/>
        <v>0</v>
      </c>
      <c r="BB626" s="201">
        <f t="shared" si="857"/>
        <v>0</v>
      </c>
      <c r="BC626" s="201">
        <f t="shared" si="857"/>
        <v>0</v>
      </c>
      <c r="BD626" s="201">
        <f t="shared" si="857"/>
        <v>0</v>
      </c>
      <c r="BE626" s="201">
        <f t="shared" si="857"/>
        <v>0</v>
      </c>
      <c r="BF626" s="201">
        <f t="shared" si="857"/>
        <v>0</v>
      </c>
      <c r="BG626" s="201">
        <f t="shared" si="857"/>
        <v>0</v>
      </c>
      <c r="BH626" s="201">
        <f t="shared" si="857"/>
        <v>0</v>
      </c>
      <c r="BI626" s="201">
        <f t="shared" si="857"/>
        <v>0</v>
      </c>
      <c r="BJ626" s="201">
        <f t="shared" si="857"/>
        <v>0</v>
      </c>
      <c r="BL626" s="201">
        <f t="shared" si="857"/>
        <v>0</v>
      </c>
      <c r="BM626" s="201">
        <f t="shared" si="857"/>
        <v>0</v>
      </c>
      <c r="BN626" s="201">
        <f t="shared" si="857"/>
        <v>0</v>
      </c>
      <c r="BO626" s="201">
        <f t="shared" si="857"/>
        <v>0</v>
      </c>
      <c r="BP626" s="201">
        <f t="shared" si="857"/>
        <v>0</v>
      </c>
      <c r="BQ626" s="201">
        <f t="shared" si="857"/>
        <v>0</v>
      </c>
      <c r="BR626" s="201">
        <f t="shared" si="857"/>
        <v>0</v>
      </c>
      <c r="BS626" s="201">
        <f t="shared" si="857"/>
        <v>0</v>
      </c>
      <c r="BT626" s="201">
        <f t="shared" si="857"/>
        <v>0</v>
      </c>
      <c r="BU626" s="201">
        <f t="shared" si="857"/>
        <v>0</v>
      </c>
      <c r="BV626" s="201">
        <f t="shared" si="857"/>
        <v>0</v>
      </c>
      <c r="BW626" s="201">
        <f t="shared" si="857"/>
        <v>0</v>
      </c>
      <c r="BY626" s="12"/>
      <c r="CA626" s="12"/>
      <c r="CR626" s="12"/>
      <c r="EX626" s="10" t="str">
        <f t="shared" si="771"/>
        <v/>
      </c>
    </row>
    <row r="627" spans="1:154" s="335" customFormat="1" x14ac:dyDescent="0.25">
      <c r="B627" s="84" t="str" cm="1">
        <f t="array" aca="1" ref="B627" ca="1">HYPERLINK(CONCATENATE("#",CELL("address",$D$275)),$D$275)</f>
        <v>Loan 13</v>
      </c>
      <c r="C627" s="380"/>
      <c r="D627" s="60">
        <f>D$25</f>
        <v>0</v>
      </c>
      <c r="E627" s="60">
        <f>E$25</f>
        <v>0</v>
      </c>
      <c r="G627" s="9" t="s">
        <v>413</v>
      </c>
      <c r="H627" s="50" t="s">
        <v>125</v>
      </c>
      <c r="V627" s="201">
        <f>V$290</f>
        <v>0</v>
      </c>
      <c r="W627" s="201">
        <f t="shared" ref="W627:BW627" si="858">W$290</f>
        <v>0</v>
      </c>
      <c r="X627" s="201">
        <f t="shared" si="858"/>
        <v>0</v>
      </c>
      <c r="Y627" s="201">
        <f t="shared" si="858"/>
        <v>0</v>
      </c>
      <c r="AA627" s="201">
        <f t="shared" si="858"/>
        <v>0</v>
      </c>
      <c r="AB627" s="201">
        <f t="shared" si="858"/>
        <v>0</v>
      </c>
      <c r="AC627" s="201">
        <f t="shared" si="858"/>
        <v>0</v>
      </c>
      <c r="AD627" s="201">
        <f t="shared" si="858"/>
        <v>0</v>
      </c>
      <c r="AE627" s="201">
        <f t="shared" si="858"/>
        <v>0</v>
      </c>
      <c r="AF627" s="201">
        <f t="shared" si="858"/>
        <v>0</v>
      </c>
      <c r="AG627" s="201">
        <f t="shared" si="858"/>
        <v>0</v>
      </c>
      <c r="AH627" s="201">
        <f t="shared" si="858"/>
        <v>0</v>
      </c>
      <c r="AI627" s="201">
        <f t="shared" si="858"/>
        <v>0</v>
      </c>
      <c r="AJ627" s="201">
        <f t="shared" si="858"/>
        <v>0</v>
      </c>
      <c r="AK627" s="201">
        <f t="shared" si="858"/>
        <v>0</v>
      </c>
      <c r="AL627" s="201">
        <f t="shared" si="858"/>
        <v>0</v>
      </c>
      <c r="AM627" s="201">
        <f t="shared" si="858"/>
        <v>0</v>
      </c>
      <c r="AN627" s="201">
        <f t="shared" si="858"/>
        <v>0</v>
      </c>
      <c r="AO627" s="201">
        <f t="shared" si="858"/>
        <v>0</v>
      </c>
      <c r="AP627" s="201">
        <f t="shared" si="858"/>
        <v>0</v>
      </c>
      <c r="AQ627" s="201">
        <f t="shared" si="858"/>
        <v>0</v>
      </c>
      <c r="AR627" s="201">
        <f t="shared" si="858"/>
        <v>0</v>
      </c>
      <c r="AS627" s="201">
        <f t="shared" si="858"/>
        <v>0</v>
      </c>
      <c r="AT627" s="201">
        <f t="shared" si="858"/>
        <v>0</v>
      </c>
      <c r="AU627" s="201">
        <f t="shared" si="858"/>
        <v>0</v>
      </c>
      <c r="AV627" s="201">
        <f t="shared" si="858"/>
        <v>0</v>
      </c>
      <c r="AW627" s="201">
        <f t="shared" si="858"/>
        <v>0</v>
      </c>
      <c r="AX627" s="201">
        <f t="shared" si="858"/>
        <v>0</v>
      </c>
      <c r="AY627" s="201">
        <f t="shared" si="858"/>
        <v>0</v>
      </c>
      <c r="AZ627" s="201">
        <f t="shared" si="858"/>
        <v>0</v>
      </c>
      <c r="BA627" s="201">
        <f t="shared" si="858"/>
        <v>0</v>
      </c>
      <c r="BB627" s="201">
        <f t="shared" si="858"/>
        <v>0</v>
      </c>
      <c r="BC627" s="201">
        <f t="shared" si="858"/>
        <v>0</v>
      </c>
      <c r="BD627" s="201">
        <f t="shared" si="858"/>
        <v>0</v>
      </c>
      <c r="BE627" s="201">
        <f t="shared" si="858"/>
        <v>0</v>
      </c>
      <c r="BF627" s="201">
        <f t="shared" si="858"/>
        <v>0</v>
      </c>
      <c r="BG627" s="201">
        <f t="shared" si="858"/>
        <v>0</v>
      </c>
      <c r="BH627" s="201">
        <f t="shared" si="858"/>
        <v>0</v>
      </c>
      <c r="BI627" s="201">
        <f t="shared" si="858"/>
        <v>0</v>
      </c>
      <c r="BJ627" s="201">
        <f t="shared" si="858"/>
        <v>0</v>
      </c>
      <c r="BL627" s="201">
        <f t="shared" si="858"/>
        <v>0</v>
      </c>
      <c r="BM627" s="201">
        <f t="shared" si="858"/>
        <v>0</v>
      </c>
      <c r="BN627" s="201">
        <f t="shared" si="858"/>
        <v>0</v>
      </c>
      <c r="BO627" s="201">
        <f t="shared" si="858"/>
        <v>0</v>
      </c>
      <c r="BP627" s="201">
        <f t="shared" si="858"/>
        <v>0</v>
      </c>
      <c r="BQ627" s="201">
        <f t="shared" si="858"/>
        <v>0</v>
      </c>
      <c r="BR627" s="201">
        <f t="shared" si="858"/>
        <v>0</v>
      </c>
      <c r="BS627" s="201">
        <f t="shared" si="858"/>
        <v>0</v>
      </c>
      <c r="BT627" s="201">
        <f t="shared" si="858"/>
        <v>0</v>
      </c>
      <c r="BU627" s="201">
        <f t="shared" si="858"/>
        <v>0</v>
      </c>
      <c r="BV627" s="201">
        <f t="shared" si="858"/>
        <v>0</v>
      </c>
      <c r="BW627" s="201">
        <f t="shared" si="858"/>
        <v>0</v>
      </c>
      <c r="BY627" s="12"/>
      <c r="CA627" s="12"/>
      <c r="CR627" s="12"/>
      <c r="EX627" s="10" t="str">
        <f t="shared" si="771"/>
        <v/>
      </c>
    </row>
    <row r="628" spans="1:154" s="5" customFormat="1" x14ac:dyDescent="0.25">
      <c r="A628" s="335"/>
      <c r="B628" s="84" t="str" cm="1">
        <f t="array" aca="1" ref="B628" ca="1">HYPERLINK(CONCATENATE("#",CELL("address",$D$294)),$D$294)</f>
        <v>Loan 14</v>
      </c>
      <c r="C628" s="380"/>
      <c r="D628" s="60">
        <f>D$26</f>
        <v>0</v>
      </c>
      <c r="E628" s="60">
        <f>E$26</f>
        <v>0</v>
      </c>
      <c r="F628" s="335"/>
      <c r="G628" s="9" t="s">
        <v>413</v>
      </c>
      <c r="H628" s="50" t="s">
        <v>125</v>
      </c>
      <c r="I628" s="335"/>
      <c r="J628" s="335"/>
      <c r="K628" s="335"/>
      <c r="L628" s="335"/>
      <c r="M628" s="335"/>
      <c r="N628" s="335"/>
      <c r="O628" s="335"/>
      <c r="P628" s="335"/>
      <c r="Q628" s="335"/>
      <c r="R628" s="335"/>
      <c r="S628" s="335"/>
      <c r="T628" s="335"/>
      <c r="U628" s="335"/>
      <c r="V628" s="201">
        <f>V$309</f>
        <v>0</v>
      </c>
      <c r="W628" s="201">
        <f t="shared" ref="W628:BW628" si="859">W$309</f>
        <v>0</v>
      </c>
      <c r="X628" s="201">
        <f t="shared" si="859"/>
        <v>0</v>
      </c>
      <c r="Y628" s="201">
        <f t="shared" si="859"/>
        <v>0</v>
      </c>
      <c r="Z628" s="335"/>
      <c r="AA628" s="201">
        <f t="shared" si="859"/>
        <v>0</v>
      </c>
      <c r="AB628" s="201">
        <f t="shared" si="859"/>
        <v>0</v>
      </c>
      <c r="AC628" s="201">
        <f t="shared" si="859"/>
        <v>0</v>
      </c>
      <c r="AD628" s="201">
        <f t="shared" si="859"/>
        <v>0</v>
      </c>
      <c r="AE628" s="201">
        <f t="shared" si="859"/>
        <v>0</v>
      </c>
      <c r="AF628" s="201">
        <f t="shared" si="859"/>
        <v>0</v>
      </c>
      <c r="AG628" s="201">
        <f t="shared" si="859"/>
        <v>0</v>
      </c>
      <c r="AH628" s="201">
        <f t="shared" si="859"/>
        <v>0</v>
      </c>
      <c r="AI628" s="201">
        <f t="shared" si="859"/>
        <v>0</v>
      </c>
      <c r="AJ628" s="201">
        <f t="shared" si="859"/>
        <v>0</v>
      </c>
      <c r="AK628" s="201">
        <f t="shared" si="859"/>
        <v>0</v>
      </c>
      <c r="AL628" s="201">
        <f t="shared" si="859"/>
        <v>0</v>
      </c>
      <c r="AM628" s="201">
        <f t="shared" si="859"/>
        <v>0</v>
      </c>
      <c r="AN628" s="201">
        <f t="shared" si="859"/>
        <v>0</v>
      </c>
      <c r="AO628" s="201">
        <f t="shared" si="859"/>
        <v>0</v>
      </c>
      <c r="AP628" s="201">
        <f t="shared" si="859"/>
        <v>0</v>
      </c>
      <c r="AQ628" s="201">
        <f t="shared" si="859"/>
        <v>0</v>
      </c>
      <c r="AR628" s="201">
        <f t="shared" si="859"/>
        <v>0</v>
      </c>
      <c r="AS628" s="201">
        <f t="shared" si="859"/>
        <v>0</v>
      </c>
      <c r="AT628" s="201">
        <f t="shared" si="859"/>
        <v>0</v>
      </c>
      <c r="AU628" s="201">
        <f t="shared" si="859"/>
        <v>0</v>
      </c>
      <c r="AV628" s="201">
        <f t="shared" si="859"/>
        <v>0</v>
      </c>
      <c r="AW628" s="201">
        <f t="shared" si="859"/>
        <v>0</v>
      </c>
      <c r="AX628" s="201">
        <f t="shared" si="859"/>
        <v>0</v>
      </c>
      <c r="AY628" s="201">
        <f t="shared" si="859"/>
        <v>0</v>
      </c>
      <c r="AZ628" s="201">
        <f t="shared" si="859"/>
        <v>0</v>
      </c>
      <c r="BA628" s="201">
        <f t="shared" si="859"/>
        <v>0</v>
      </c>
      <c r="BB628" s="201">
        <f t="shared" si="859"/>
        <v>0</v>
      </c>
      <c r="BC628" s="201">
        <f t="shared" si="859"/>
        <v>0</v>
      </c>
      <c r="BD628" s="201">
        <f t="shared" si="859"/>
        <v>0</v>
      </c>
      <c r="BE628" s="201">
        <f t="shared" si="859"/>
        <v>0</v>
      </c>
      <c r="BF628" s="201">
        <f t="shared" si="859"/>
        <v>0</v>
      </c>
      <c r="BG628" s="201">
        <f t="shared" si="859"/>
        <v>0</v>
      </c>
      <c r="BH628" s="201">
        <f t="shared" si="859"/>
        <v>0</v>
      </c>
      <c r="BI628" s="201">
        <f t="shared" si="859"/>
        <v>0</v>
      </c>
      <c r="BJ628" s="201">
        <f t="shared" si="859"/>
        <v>0</v>
      </c>
      <c r="BK628" s="335"/>
      <c r="BL628" s="201">
        <f t="shared" si="859"/>
        <v>0</v>
      </c>
      <c r="BM628" s="201">
        <f t="shared" si="859"/>
        <v>0</v>
      </c>
      <c r="BN628" s="201">
        <f t="shared" si="859"/>
        <v>0</v>
      </c>
      <c r="BO628" s="201">
        <f t="shared" si="859"/>
        <v>0</v>
      </c>
      <c r="BP628" s="201">
        <f t="shared" si="859"/>
        <v>0</v>
      </c>
      <c r="BQ628" s="201">
        <f t="shared" si="859"/>
        <v>0</v>
      </c>
      <c r="BR628" s="201">
        <f t="shared" si="859"/>
        <v>0</v>
      </c>
      <c r="BS628" s="201">
        <f t="shared" si="859"/>
        <v>0</v>
      </c>
      <c r="BT628" s="201">
        <f t="shared" si="859"/>
        <v>0</v>
      </c>
      <c r="BU628" s="201">
        <f t="shared" si="859"/>
        <v>0</v>
      </c>
      <c r="BV628" s="201">
        <f t="shared" si="859"/>
        <v>0</v>
      </c>
      <c r="BW628" s="201">
        <f t="shared" si="859"/>
        <v>0</v>
      </c>
      <c r="BX628" s="335"/>
      <c r="BY628" s="12"/>
      <c r="BZ628" s="335"/>
      <c r="CA628" s="12"/>
      <c r="CB628" s="335"/>
      <c r="CC628" s="335"/>
      <c r="CD628" s="335"/>
      <c r="CE628" s="335"/>
      <c r="CF628" s="335"/>
      <c r="CG628" s="335"/>
      <c r="CH628" s="335"/>
      <c r="CI628" s="335"/>
      <c r="CJ628" s="335"/>
      <c r="CK628" s="335"/>
      <c r="CL628" s="335"/>
      <c r="CM628" s="335"/>
      <c r="CN628" s="335"/>
      <c r="CO628" s="335"/>
      <c r="CP628" s="335"/>
      <c r="CQ628" s="335"/>
      <c r="CR628" s="12"/>
      <c r="EX628" s="10" t="str">
        <f t="shared" si="771"/>
        <v/>
      </c>
    </row>
    <row r="629" spans="1:154" s="335" customFormat="1" x14ac:dyDescent="0.25">
      <c r="B629" s="84" t="str" cm="1">
        <f t="array" aca="1" ref="B629" ca="1">HYPERLINK(CONCATENATE("#",CELL("address",$D$313)),$D$313)</f>
        <v>Loan 15</v>
      </c>
      <c r="C629" s="380"/>
      <c r="D629" s="60">
        <f>D$27</f>
        <v>0</v>
      </c>
      <c r="E629" s="60">
        <f>E$27</f>
        <v>0</v>
      </c>
      <c r="G629" s="9" t="s">
        <v>413</v>
      </c>
      <c r="H629" s="50" t="s">
        <v>125</v>
      </c>
      <c r="V629" s="201">
        <f>V$328</f>
        <v>0</v>
      </c>
      <c r="W629" s="201">
        <f t="shared" ref="W629:BW629" si="860">W$328</f>
        <v>0</v>
      </c>
      <c r="X629" s="201">
        <f t="shared" si="860"/>
        <v>0</v>
      </c>
      <c r="Y629" s="201">
        <f t="shared" si="860"/>
        <v>0</v>
      </c>
      <c r="AA629" s="201">
        <f t="shared" si="860"/>
        <v>0</v>
      </c>
      <c r="AB629" s="201">
        <f t="shared" si="860"/>
        <v>0</v>
      </c>
      <c r="AC629" s="201">
        <f t="shared" si="860"/>
        <v>0</v>
      </c>
      <c r="AD629" s="201">
        <f t="shared" si="860"/>
        <v>0</v>
      </c>
      <c r="AE629" s="201">
        <f t="shared" si="860"/>
        <v>0</v>
      </c>
      <c r="AF629" s="201">
        <f t="shared" si="860"/>
        <v>0</v>
      </c>
      <c r="AG629" s="201">
        <f t="shared" si="860"/>
        <v>0</v>
      </c>
      <c r="AH629" s="201">
        <f t="shared" si="860"/>
        <v>0</v>
      </c>
      <c r="AI629" s="201">
        <f t="shared" si="860"/>
        <v>0</v>
      </c>
      <c r="AJ629" s="201">
        <f t="shared" si="860"/>
        <v>0</v>
      </c>
      <c r="AK629" s="201">
        <f t="shared" si="860"/>
        <v>0</v>
      </c>
      <c r="AL629" s="201">
        <f t="shared" si="860"/>
        <v>0</v>
      </c>
      <c r="AM629" s="201">
        <f t="shared" si="860"/>
        <v>0</v>
      </c>
      <c r="AN629" s="201">
        <f t="shared" si="860"/>
        <v>0</v>
      </c>
      <c r="AO629" s="201">
        <f t="shared" si="860"/>
        <v>0</v>
      </c>
      <c r="AP629" s="201">
        <f t="shared" si="860"/>
        <v>0</v>
      </c>
      <c r="AQ629" s="201">
        <f t="shared" si="860"/>
        <v>0</v>
      </c>
      <c r="AR629" s="201">
        <f t="shared" si="860"/>
        <v>0</v>
      </c>
      <c r="AS629" s="201">
        <f t="shared" si="860"/>
        <v>0</v>
      </c>
      <c r="AT629" s="201">
        <f t="shared" si="860"/>
        <v>0</v>
      </c>
      <c r="AU629" s="201">
        <f t="shared" si="860"/>
        <v>0</v>
      </c>
      <c r="AV629" s="201">
        <f t="shared" si="860"/>
        <v>0</v>
      </c>
      <c r="AW629" s="201">
        <f t="shared" si="860"/>
        <v>0</v>
      </c>
      <c r="AX629" s="201">
        <f t="shared" si="860"/>
        <v>0</v>
      </c>
      <c r="AY629" s="201">
        <f t="shared" si="860"/>
        <v>0</v>
      </c>
      <c r="AZ629" s="201">
        <f t="shared" si="860"/>
        <v>0</v>
      </c>
      <c r="BA629" s="201">
        <f t="shared" si="860"/>
        <v>0</v>
      </c>
      <c r="BB629" s="201">
        <f t="shared" si="860"/>
        <v>0</v>
      </c>
      <c r="BC629" s="201">
        <f t="shared" si="860"/>
        <v>0</v>
      </c>
      <c r="BD629" s="201">
        <f t="shared" si="860"/>
        <v>0</v>
      </c>
      <c r="BE629" s="201">
        <f t="shared" si="860"/>
        <v>0</v>
      </c>
      <c r="BF629" s="201">
        <f t="shared" si="860"/>
        <v>0</v>
      </c>
      <c r="BG629" s="201">
        <f t="shared" si="860"/>
        <v>0</v>
      </c>
      <c r="BH629" s="201">
        <f t="shared" si="860"/>
        <v>0</v>
      </c>
      <c r="BI629" s="201">
        <f t="shared" si="860"/>
        <v>0</v>
      </c>
      <c r="BJ629" s="201">
        <f t="shared" si="860"/>
        <v>0</v>
      </c>
      <c r="BL629" s="201">
        <f t="shared" si="860"/>
        <v>0</v>
      </c>
      <c r="BM629" s="201">
        <f t="shared" si="860"/>
        <v>0</v>
      </c>
      <c r="BN629" s="201">
        <f t="shared" si="860"/>
        <v>0</v>
      </c>
      <c r="BO629" s="201">
        <f t="shared" si="860"/>
        <v>0</v>
      </c>
      <c r="BP629" s="201">
        <f t="shared" si="860"/>
        <v>0</v>
      </c>
      <c r="BQ629" s="201">
        <f t="shared" si="860"/>
        <v>0</v>
      </c>
      <c r="BR629" s="201">
        <f t="shared" si="860"/>
        <v>0</v>
      </c>
      <c r="BS629" s="201">
        <f t="shared" si="860"/>
        <v>0</v>
      </c>
      <c r="BT629" s="201">
        <f t="shared" si="860"/>
        <v>0</v>
      </c>
      <c r="BU629" s="201">
        <f t="shared" si="860"/>
        <v>0</v>
      </c>
      <c r="BV629" s="201">
        <f t="shared" si="860"/>
        <v>0</v>
      </c>
      <c r="BW629" s="201">
        <f t="shared" si="860"/>
        <v>0</v>
      </c>
      <c r="BY629" s="12"/>
      <c r="CA629" s="12"/>
      <c r="CR629" s="12"/>
      <c r="EX629" s="10" t="str">
        <f t="shared" si="771"/>
        <v/>
      </c>
    </row>
    <row r="630" spans="1:154" s="335" customFormat="1" x14ac:dyDescent="0.25">
      <c r="B630" s="84" t="str" cm="1">
        <f t="array" aca="1" ref="B630" ca="1">HYPERLINK(CONCATENATE("#",CELL("address",$D$332)),$D$332)</f>
        <v>Loan 16</v>
      </c>
      <c r="C630" s="380"/>
      <c r="D630" s="60">
        <f>D$28</f>
        <v>0</v>
      </c>
      <c r="E630" s="60">
        <f>E$28</f>
        <v>0</v>
      </c>
      <c r="G630" s="9" t="s">
        <v>413</v>
      </c>
      <c r="H630" s="50" t="s">
        <v>125</v>
      </c>
      <c r="V630" s="201">
        <f>V$347</f>
        <v>0</v>
      </c>
      <c r="W630" s="201">
        <f t="shared" ref="W630:BW630" si="861">W$347</f>
        <v>0</v>
      </c>
      <c r="X630" s="201">
        <f t="shared" si="861"/>
        <v>0</v>
      </c>
      <c r="Y630" s="201">
        <f t="shared" si="861"/>
        <v>0</v>
      </c>
      <c r="AA630" s="201">
        <f t="shared" si="861"/>
        <v>0</v>
      </c>
      <c r="AB630" s="201">
        <f t="shared" si="861"/>
        <v>0</v>
      </c>
      <c r="AC630" s="201">
        <f t="shared" si="861"/>
        <v>0</v>
      </c>
      <c r="AD630" s="201">
        <f t="shared" si="861"/>
        <v>0</v>
      </c>
      <c r="AE630" s="201">
        <f t="shared" si="861"/>
        <v>0</v>
      </c>
      <c r="AF630" s="201">
        <f t="shared" si="861"/>
        <v>0</v>
      </c>
      <c r="AG630" s="201">
        <f t="shared" si="861"/>
        <v>0</v>
      </c>
      <c r="AH630" s="201">
        <f t="shared" si="861"/>
        <v>0</v>
      </c>
      <c r="AI630" s="201">
        <f t="shared" si="861"/>
        <v>0</v>
      </c>
      <c r="AJ630" s="201">
        <f t="shared" si="861"/>
        <v>0</v>
      </c>
      <c r="AK630" s="201">
        <f t="shared" si="861"/>
        <v>0</v>
      </c>
      <c r="AL630" s="201">
        <f t="shared" si="861"/>
        <v>0</v>
      </c>
      <c r="AM630" s="201">
        <f t="shared" si="861"/>
        <v>0</v>
      </c>
      <c r="AN630" s="201">
        <f t="shared" si="861"/>
        <v>0</v>
      </c>
      <c r="AO630" s="201">
        <f t="shared" si="861"/>
        <v>0</v>
      </c>
      <c r="AP630" s="201">
        <f t="shared" si="861"/>
        <v>0</v>
      </c>
      <c r="AQ630" s="201">
        <f t="shared" si="861"/>
        <v>0</v>
      </c>
      <c r="AR630" s="201">
        <f t="shared" si="861"/>
        <v>0</v>
      </c>
      <c r="AS630" s="201">
        <f t="shared" si="861"/>
        <v>0</v>
      </c>
      <c r="AT630" s="201">
        <f t="shared" si="861"/>
        <v>0</v>
      </c>
      <c r="AU630" s="201">
        <f t="shared" si="861"/>
        <v>0</v>
      </c>
      <c r="AV630" s="201">
        <f t="shared" si="861"/>
        <v>0</v>
      </c>
      <c r="AW630" s="201">
        <f t="shared" si="861"/>
        <v>0</v>
      </c>
      <c r="AX630" s="201">
        <f t="shared" si="861"/>
        <v>0</v>
      </c>
      <c r="AY630" s="201">
        <f t="shared" si="861"/>
        <v>0</v>
      </c>
      <c r="AZ630" s="201">
        <f t="shared" si="861"/>
        <v>0</v>
      </c>
      <c r="BA630" s="201">
        <f t="shared" si="861"/>
        <v>0</v>
      </c>
      <c r="BB630" s="201">
        <f t="shared" si="861"/>
        <v>0</v>
      </c>
      <c r="BC630" s="201">
        <f t="shared" si="861"/>
        <v>0</v>
      </c>
      <c r="BD630" s="201">
        <f t="shared" si="861"/>
        <v>0</v>
      </c>
      <c r="BE630" s="201">
        <f t="shared" si="861"/>
        <v>0</v>
      </c>
      <c r="BF630" s="201">
        <f t="shared" si="861"/>
        <v>0</v>
      </c>
      <c r="BG630" s="201">
        <f t="shared" si="861"/>
        <v>0</v>
      </c>
      <c r="BH630" s="201">
        <f t="shared" si="861"/>
        <v>0</v>
      </c>
      <c r="BI630" s="201">
        <f t="shared" si="861"/>
        <v>0</v>
      </c>
      <c r="BJ630" s="201">
        <f t="shared" si="861"/>
        <v>0</v>
      </c>
      <c r="BL630" s="201">
        <f t="shared" si="861"/>
        <v>0</v>
      </c>
      <c r="BM630" s="201">
        <f t="shared" si="861"/>
        <v>0</v>
      </c>
      <c r="BN630" s="201">
        <f t="shared" si="861"/>
        <v>0</v>
      </c>
      <c r="BO630" s="201">
        <f t="shared" si="861"/>
        <v>0</v>
      </c>
      <c r="BP630" s="201">
        <f t="shared" si="861"/>
        <v>0</v>
      </c>
      <c r="BQ630" s="201">
        <f t="shared" si="861"/>
        <v>0</v>
      </c>
      <c r="BR630" s="201">
        <f t="shared" si="861"/>
        <v>0</v>
      </c>
      <c r="BS630" s="201">
        <f t="shared" si="861"/>
        <v>0</v>
      </c>
      <c r="BT630" s="201">
        <f t="shared" si="861"/>
        <v>0</v>
      </c>
      <c r="BU630" s="201">
        <f t="shared" si="861"/>
        <v>0</v>
      </c>
      <c r="BV630" s="201">
        <f t="shared" si="861"/>
        <v>0</v>
      </c>
      <c r="BW630" s="201">
        <f t="shared" si="861"/>
        <v>0</v>
      </c>
      <c r="BY630" s="12"/>
      <c r="CA630" s="12"/>
      <c r="CR630" s="12"/>
      <c r="EX630" s="10" t="str">
        <f t="shared" si="771"/>
        <v/>
      </c>
    </row>
    <row r="631" spans="1:154" s="335" customFormat="1" x14ac:dyDescent="0.25">
      <c r="B631" s="84" t="str" cm="1">
        <f t="array" aca="1" ref="B631" ca="1">HYPERLINK(CONCATENATE("#",CELL("address",$D$351)),$D$351)</f>
        <v>Loan 17</v>
      </c>
      <c r="C631" s="380"/>
      <c r="D631" s="60">
        <f>D$29</f>
        <v>0</v>
      </c>
      <c r="E631" s="60">
        <f>E$29</f>
        <v>0</v>
      </c>
      <c r="G631" s="9" t="s">
        <v>413</v>
      </c>
      <c r="H631" s="50" t="s">
        <v>125</v>
      </c>
      <c r="V631" s="201">
        <f>V$366</f>
        <v>0</v>
      </c>
      <c r="W631" s="201">
        <f t="shared" ref="W631:BW631" si="862">W$366</f>
        <v>0</v>
      </c>
      <c r="X631" s="201">
        <f t="shared" si="862"/>
        <v>0</v>
      </c>
      <c r="Y631" s="201">
        <f t="shared" si="862"/>
        <v>0</v>
      </c>
      <c r="AA631" s="201">
        <f t="shared" si="862"/>
        <v>0</v>
      </c>
      <c r="AB631" s="201">
        <f t="shared" si="862"/>
        <v>0</v>
      </c>
      <c r="AC631" s="201">
        <f t="shared" si="862"/>
        <v>0</v>
      </c>
      <c r="AD631" s="201">
        <f t="shared" si="862"/>
        <v>0</v>
      </c>
      <c r="AE631" s="201">
        <f t="shared" si="862"/>
        <v>0</v>
      </c>
      <c r="AF631" s="201">
        <f t="shared" si="862"/>
        <v>0</v>
      </c>
      <c r="AG631" s="201">
        <f t="shared" si="862"/>
        <v>0</v>
      </c>
      <c r="AH631" s="201">
        <f t="shared" si="862"/>
        <v>0</v>
      </c>
      <c r="AI631" s="201">
        <f t="shared" si="862"/>
        <v>0</v>
      </c>
      <c r="AJ631" s="201">
        <f t="shared" si="862"/>
        <v>0</v>
      </c>
      <c r="AK631" s="201">
        <f t="shared" si="862"/>
        <v>0</v>
      </c>
      <c r="AL631" s="201">
        <f t="shared" si="862"/>
        <v>0</v>
      </c>
      <c r="AM631" s="201">
        <f t="shared" si="862"/>
        <v>0</v>
      </c>
      <c r="AN631" s="201">
        <f t="shared" si="862"/>
        <v>0</v>
      </c>
      <c r="AO631" s="201">
        <f t="shared" si="862"/>
        <v>0</v>
      </c>
      <c r="AP631" s="201">
        <f t="shared" si="862"/>
        <v>0</v>
      </c>
      <c r="AQ631" s="201">
        <f t="shared" si="862"/>
        <v>0</v>
      </c>
      <c r="AR631" s="201">
        <f t="shared" si="862"/>
        <v>0</v>
      </c>
      <c r="AS631" s="201">
        <f t="shared" si="862"/>
        <v>0</v>
      </c>
      <c r="AT631" s="201">
        <f t="shared" si="862"/>
        <v>0</v>
      </c>
      <c r="AU631" s="201">
        <f t="shared" si="862"/>
        <v>0</v>
      </c>
      <c r="AV631" s="201">
        <f t="shared" si="862"/>
        <v>0</v>
      </c>
      <c r="AW631" s="201">
        <f t="shared" si="862"/>
        <v>0</v>
      </c>
      <c r="AX631" s="201">
        <f t="shared" si="862"/>
        <v>0</v>
      </c>
      <c r="AY631" s="201">
        <f t="shared" si="862"/>
        <v>0</v>
      </c>
      <c r="AZ631" s="201">
        <f t="shared" si="862"/>
        <v>0</v>
      </c>
      <c r="BA631" s="201">
        <f t="shared" si="862"/>
        <v>0</v>
      </c>
      <c r="BB631" s="201">
        <f t="shared" si="862"/>
        <v>0</v>
      </c>
      <c r="BC631" s="201">
        <f t="shared" si="862"/>
        <v>0</v>
      </c>
      <c r="BD631" s="201">
        <f t="shared" si="862"/>
        <v>0</v>
      </c>
      <c r="BE631" s="201">
        <f t="shared" si="862"/>
        <v>0</v>
      </c>
      <c r="BF631" s="201">
        <f t="shared" si="862"/>
        <v>0</v>
      </c>
      <c r="BG631" s="201">
        <f t="shared" si="862"/>
        <v>0</v>
      </c>
      <c r="BH631" s="201">
        <f t="shared" si="862"/>
        <v>0</v>
      </c>
      <c r="BI631" s="201">
        <f t="shared" si="862"/>
        <v>0</v>
      </c>
      <c r="BJ631" s="201">
        <f t="shared" si="862"/>
        <v>0</v>
      </c>
      <c r="BL631" s="201">
        <f t="shared" si="862"/>
        <v>0</v>
      </c>
      <c r="BM631" s="201">
        <f t="shared" si="862"/>
        <v>0</v>
      </c>
      <c r="BN631" s="201">
        <f t="shared" si="862"/>
        <v>0</v>
      </c>
      <c r="BO631" s="201">
        <f t="shared" si="862"/>
        <v>0</v>
      </c>
      <c r="BP631" s="201">
        <f t="shared" si="862"/>
        <v>0</v>
      </c>
      <c r="BQ631" s="201">
        <f t="shared" si="862"/>
        <v>0</v>
      </c>
      <c r="BR631" s="201">
        <f t="shared" si="862"/>
        <v>0</v>
      </c>
      <c r="BS631" s="201">
        <f t="shared" si="862"/>
        <v>0</v>
      </c>
      <c r="BT631" s="201">
        <f t="shared" si="862"/>
        <v>0</v>
      </c>
      <c r="BU631" s="201">
        <f t="shared" si="862"/>
        <v>0</v>
      </c>
      <c r="BV631" s="201">
        <f t="shared" si="862"/>
        <v>0</v>
      </c>
      <c r="BW631" s="201">
        <f t="shared" si="862"/>
        <v>0</v>
      </c>
      <c r="BY631" s="12"/>
      <c r="CA631" s="12"/>
      <c r="CR631" s="12"/>
      <c r="EX631" s="10" t="str">
        <f t="shared" si="771"/>
        <v/>
      </c>
    </row>
    <row r="632" spans="1:154" s="335" customFormat="1" x14ac:dyDescent="0.25">
      <c r="B632" s="84" t="str" cm="1">
        <f t="array" aca="1" ref="B632" ca="1">HYPERLINK(CONCATENATE("#",CELL("address",$D$370)),$D$370)</f>
        <v>Loan 18</v>
      </c>
      <c r="C632" s="380"/>
      <c r="D632" s="60">
        <f>D$30</f>
        <v>0</v>
      </c>
      <c r="E632" s="60">
        <f>E$30</f>
        <v>0</v>
      </c>
      <c r="G632" s="9" t="s">
        <v>413</v>
      </c>
      <c r="H632" s="50" t="s">
        <v>125</v>
      </c>
      <c r="V632" s="201">
        <f>V$385</f>
        <v>0</v>
      </c>
      <c r="W632" s="201">
        <f t="shared" ref="W632:BW632" si="863">W$385</f>
        <v>0</v>
      </c>
      <c r="X632" s="201">
        <f t="shared" si="863"/>
        <v>0</v>
      </c>
      <c r="Y632" s="201">
        <f t="shared" si="863"/>
        <v>0</v>
      </c>
      <c r="AA632" s="201">
        <f t="shared" si="863"/>
        <v>0</v>
      </c>
      <c r="AB632" s="201">
        <f t="shared" si="863"/>
        <v>0</v>
      </c>
      <c r="AC632" s="201">
        <f t="shared" si="863"/>
        <v>0</v>
      </c>
      <c r="AD632" s="201">
        <f t="shared" si="863"/>
        <v>0</v>
      </c>
      <c r="AE632" s="201">
        <f t="shared" si="863"/>
        <v>0</v>
      </c>
      <c r="AF632" s="201">
        <f t="shared" si="863"/>
        <v>0</v>
      </c>
      <c r="AG632" s="201">
        <f t="shared" si="863"/>
        <v>0</v>
      </c>
      <c r="AH632" s="201">
        <f t="shared" si="863"/>
        <v>0</v>
      </c>
      <c r="AI632" s="201">
        <f t="shared" si="863"/>
        <v>0</v>
      </c>
      <c r="AJ632" s="201">
        <f t="shared" si="863"/>
        <v>0</v>
      </c>
      <c r="AK632" s="201">
        <f t="shared" si="863"/>
        <v>0</v>
      </c>
      <c r="AL632" s="201">
        <f t="shared" si="863"/>
        <v>0</v>
      </c>
      <c r="AM632" s="201">
        <f t="shared" si="863"/>
        <v>0</v>
      </c>
      <c r="AN632" s="201">
        <f t="shared" si="863"/>
        <v>0</v>
      </c>
      <c r="AO632" s="201">
        <f t="shared" si="863"/>
        <v>0</v>
      </c>
      <c r="AP632" s="201">
        <f t="shared" si="863"/>
        <v>0</v>
      </c>
      <c r="AQ632" s="201">
        <f t="shared" si="863"/>
        <v>0</v>
      </c>
      <c r="AR632" s="201">
        <f t="shared" si="863"/>
        <v>0</v>
      </c>
      <c r="AS632" s="201">
        <f t="shared" si="863"/>
        <v>0</v>
      </c>
      <c r="AT632" s="201">
        <f t="shared" si="863"/>
        <v>0</v>
      </c>
      <c r="AU632" s="201">
        <f t="shared" si="863"/>
        <v>0</v>
      </c>
      <c r="AV632" s="201">
        <f t="shared" si="863"/>
        <v>0</v>
      </c>
      <c r="AW632" s="201">
        <f t="shared" si="863"/>
        <v>0</v>
      </c>
      <c r="AX632" s="201">
        <f t="shared" si="863"/>
        <v>0</v>
      </c>
      <c r="AY632" s="201">
        <f t="shared" si="863"/>
        <v>0</v>
      </c>
      <c r="AZ632" s="201">
        <f t="shared" si="863"/>
        <v>0</v>
      </c>
      <c r="BA632" s="201">
        <f t="shared" si="863"/>
        <v>0</v>
      </c>
      <c r="BB632" s="201">
        <f t="shared" si="863"/>
        <v>0</v>
      </c>
      <c r="BC632" s="201">
        <f t="shared" si="863"/>
        <v>0</v>
      </c>
      <c r="BD632" s="201">
        <f t="shared" si="863"/>
        <v>0</v>
      </c>
      <c r="BE632" s="201">
        <f t="shared" si="863"/>
        <v>0</v>
      </c>
      <c r="BF632" s="201">
        <f t="shared" si="863"/>
        <v>0</v>
      </c>
      <c r="BG632" s="201">
        <f t="shared" si="863"/>
        <v>0</v>
      </c>
      <c r="BH632" s="201">
        <f t="shared" si="863"/>
        <v>0</v>
      </c>
      <c r="BI632" s="201">
        <f t="shared" si="863"/>
        <v>0</v>
      </c>
      <c r="BJ632" s="201">
        <f t="shared" si="863"/>
        <v>0</v>
      </c>
      <c r="BL632" s="201">
        <f t="shared" si="863"/>
        <v>0</v>
      </c>
      <c r="BM632" s="201">
        <f t="shared" si="863"/>
        <v>0</v>
      </c>
      <c r="BN632" s="201">
        <f t="shared" si="863"/>
        <v>0</v>
      </c>
      <c r="BO632" s="201">
        <f t="shared" si="863"/>
        <v>0</v>
      </c>
      <c r="BP632" s="201">
        <f t="shared" si="863"/>
        <v>0</v>
      </c>
      <c r="BQ632" s="201">
        <f t="shared" si="863"/>
        <v>0</v>
      </c>
      <c r="BR632" s="201">
        <f t="shared" si="863"/>
        <v>0</v>
      </c>
      <c r="BS632" s="201">
        <f t="shared" si="863"/>
        <v>0</v>
      </c>
      <c r="BT632" s="201">
        <f t="shared" si="863"/>
        <v>0</v>
      </c>
      <c r="BU632" s="201">
        <f t="shared" si="863"/>
        <v>0</v>
      </c>
      <c r="BV632" s="201">
        <f t="shared" si="863"/>
        <v>0</v>
      </c>
      <c r="BW632" s="201">
        <f t="shared" si="863"/>
        <v>0</v>
      </c>
      <c r="BY632" s="12"/>
      <c r="CA632" s="12"/>
      <c r="CR632" s="12"/>
      <c r="EX632" s="10" t="str">
        <f t="shared" si="771"/>
        <v/>
      </c>
    </row>
    <row r="633" spans="1:154" s="335" customFormat="1" x14ac:dyDescent="0.25">
      <c r="B633" s="84" t="str" cm="1">
        <f t="array" aca="1" ref="B633" ca="1">HYPERLINK(CONCATENATE("#",CELL("address",$D$389)),$D$389)</f>
        <v>Loan 19</v>
      </c>
      <c r="C633" s="380"/>
      <c r="D633" s="60">
        <f>D$31</f>
        <v>0</v>
      </c>
      <c r="E633" s="60">
        <f>E$31</f>
        <v>0</v>
      </c>
      <c r="G633" s="9" t="s">
        <v>413</v>
      </c>
      <c r="H633" s="50" t="s">
        <v>125</v>
      </c>
      <c r="V633" s="201">
        <f>V$404</f>
        <v>0</v>
      </c>
      <c r="W633" s="201">
        <f t="shared" ref="W633:BW633" si="864">W$404</f>
        <v>0</v>
      </c>
      <c r="X633" s="201">
        <f t="shared" si="864"/>
        <v>0</v>
      </c>
      <c r="Y633" s="201">
        <f t="shared" si="864"/>
        <v>0</v>
      </c>
      <c r="AA633" s="201">
        <f t="shared" si="864"/>
        <v>0</v>
      </c>
      <c r="AB633" s="201">
        <f t="shared" si="864"/>
        <v>0</v>
      </c>
      <c r="AC633" s="201">
        <f t="shared" si="864"/>
        <v>0</v>
      </c>
      <c r="AD633" s="201">
        <f t="shared" si="864"/>
        <v>0</v>
      </c>
      <c r="AE633" s="201">
        <f t="shared" si="864"/>
        <v>0</v>
      </c>
      <c r="AF633" s="201">
        <f t="shared" si="864"/>
        <v>0</v>
      </c>
      <c r="AG633" s="201">
        <f t="shared" si="864"/>
        <v>0</v>
      </c>
      <c r="AH633" s="201">
        <f t="shared" si="864"/>
        <v>0</v>
      </c>
      <c r="AI633" s="201">
        <f t="shared" si="864"/>
        <v>0</v>
      </c>
      <c r="AJ633" s="201">
        <f t="shared" si="864"/>
        <v>0</v>
      </c>
      <c r="AK633" s="201">
        <f t="shared" si="864"/>
        <v>0</v>
      </c>
      <c r="AL633" s="201">
        <f t="shared" si="864"/>
        <v>0</v>
      </c>
      <c r="AM633" s="201">
        <f t="shared" si="864"/>
        <v>0</v>
      </c>
      <c r="AN633" s="201">
        <f t="shared" si="864"/>
        <v>0</v>
      </c>
      <c r="AO633" s="201">
        <f t="shared" si="864"/>
        <v>0</v>
      </c>
      <c r="AP633" s="201">
        <f t="shared" si="864"/>
        <v>0</v>
      </c>
      <c r="AQ633" s="201">
        <f t="shared" si="864"/>
        <v>0</v>
      </c>
      <c r="AR633" s="201">
        <f t="shared" si="864"/>
        <v>0</v>
      </c>
      <c r="AS633" s="201">
        <f t="shared" si="864"/>
        <v>0</v>
      </c>
      <c r="AT633" s="201">
        <f t="shared" si="864"/>
        <v>0</v>
      </c>
      <c r="AU633" s="201">
        <f t="shared" si="864"/>
        <v>0</v>
      </c>
      <c r="AV633" s="201">
        <f t="shared" si="864"/>
        <v>0</v>
      </c>
      <c r="AW633" s="201">
        <f t="shared" si="864"/>
        <v>0</v>
      </c>
      <c r="AX633" s="201">
        <f t="shared" si="864"/>
        <v>0</v>
      </c>
      <c r="AY633" s="201">
        <f t="shared" si="864"/>
        <v>0</v>
      </c>
      <c r="AZ633" s="201">
        <f t="shared" si="864"/>
        <v>0</v>
      </c>
      <c r="BA633" s="201">
        <f t="shared" si="864"/>
        <v>0</v>
      </c>
      <c r="BB633" s="201">
        <f t="shared" si="864"/>
        <v>0</v>
      </c>
      <c r="BC633" s="201">
        <f t="shared" si="864"/>
        <v>0</v>
      </c>
      <c r="BD633" s="201">
        <f t="shared" si="864"/>
        <v>0</v>
      </c>
      <c r="BE633" s="201">
        <f t="shared" si="864"/>
        <v>0</v>
      </c>
      <c r="BF633" s="201">
        <f t="shared" si="864"/>
        <v>0</v>
      </c>
      <c r="BG633" s="201">
        <f t="shared" si="864"/>
        <v>0</v>
      </c>
      <c r="BH633" s="201">
        <f t="shared" si="864"/>
        <v>0</v>
      </c>
      <c r="BI633" s="201">
        <f t="shared" si="864"/>
        <v>0</v>
      </c>
      <c r="BJ633" s="201">
        <f t="shared" si="864"/>
        <v>0</v>
      </c>
      <c r="BL633" s="201">
        <f t="shared" si="864"/>
        <v>0</v>
      </c>
      <c r="BM633" s="201">
        <f t="shared" si="864"/>
        <v>0</v>
      </c>
      <c r="BN633" s="201">
        <f t="shared" si="864"/>
        <v>0</v>
      </c>
      <c r="BO633" s="201">
        <f t="shared" si="864"/>
        <v>0</v>
      </c>
      <c r="BP633" s="201">
        <f t="shared" si="864"/>
        <v>0</v>
      </c>
      <c r="BQ633" s="201">
        <f t="shared" si="864"/>
        <v>0</v>
      </c>
      <c r="BR633" s="201">
        <f t="shared" si="864"/>
        <v>0</v>
      </c>
      <c r="BS633" s="201">
        <f t="shared" si="864"/>
        <v>0</v>
      </c>
      <c r="BT633" s="201">
        <f t="shared" si="864"/>
        <v>0</v>
      </c>
      <c r="BU633" s="201">
        <f t="shared" si="864"/>
        <v>0</v>
      </c>
      <c r="BV633" s="201">
        <f t="shared" si="864"/>
        <v>0</v>
      </c>
      <c r="BW633" s="201">
        <f t="shared" si="864"/>
        <v>0</v>
      </c>
      <c r="BY633" s="12"/>
      <c r="CA633" s="12"/>
      <c r="CR633" s="12"/>
      <c r="EX633" s="10" t="str">
        <f t="shared" si="771"/>
        <v/>
      </c>
    </row>
    <row r="634" spans="1:154" s="335" customFormat="1" x14ac:dyDescent="0.25">
      <c r="B634" s="84" t="str" cm="1">
        <f t="array" aca="1" ref="B634" ca="1">HYPERLINK(CONCATENATE("#",CELL("address",$D$408)),$D$408)</f>
        <v>Loan 20</v>
      </c>
      <c r="C634" s="380"/>
      <c r="D634" s="60">
        <f>D$32</f>
        <v>0</v>
      </c>
      <c r="E634" s="60">
        <f>E$32</f>
        <v>0</v>
      </c>
      <c r="G634" s="9" t="s">
        <v>413</v>
      </c>
      <c r="H634" s="50" t="s">
        <v>125</v>
      </c>
      <c r="V634" s="201">
        <f>V$423</f>
        <v>0</v>
      </c>
      <c r="W634" s="201">
        <f t="shared" ref="W634:BW634" si="865">W$423</f>
        <v>0</v>
      </c>
      <c r="X634" s="201">
        <f t="shared" si="865"/>
        <v>0</v>
      </c>
      <c r="Y634" s="201">
        <f t="shared" si="865"/>
        <v>0</v>
      </c>
      <c r="AA634" s="201">
        <f t="shared" si="865"/>
        <v>0</v>
      </c>
      <c r="AB634" s="201">
        <f t="shared" si="865"/>
        <v>0</v>
      </c>
      <c r="AC634" s="201">
        <f t="shared" si="865"/>
        <v>0</v>
      </c>
      <c r="AD634" s="201">
        <f t="shared" si="865"/>
        <v>0</v>
      </c>
      <c r="AE634" s="201">
        <f t="shared" si="865"/>
        <v>0</v>
      </c>
      <c r="AF634" s="201">
        <f t="shared" si="865"/>
        <v>0</v>
      </c>
      <c r="AG634" s="201">
        <f t="shared" si="865"/>
        <v>0</v>
      </c>
      <c r="AH634" s="201">
        <f t="shared" si="865"/>
        <v>0</v>
      </c>
      <c r="AI634" s="201">
        <f t="shared" si="865"/>
        <v>0</v>
      </c>
      <c r="AJ634" s="201">
        <f t="shared" si="865"/>
        <v>0</v>
      </c>
      <c r="AK634" s="201">
        <f t="shared" si="865"/>
        <v>0</v>
      </c>
      <c r="AL634" s="201">
        <f t="shared" si="865"/>
        <v>0</v>
      </c>
      <c r="AM634" s="201">
        <f t="shared" si="865"/>
        <v>0</v>
      </c>
      <c r="AN634" s="201">
        <f t="shared" si="865"/>
        <v>0</v>
      </c>
      <c r="AO634" s="201">
        <f t="shared" si="865"/>
        <v>0</v>
      </c>
      <c r="AP634" s="201">
        <f t="shared" si="865"/>
        <v>0</v>
      </c>
      <c r="AQ634" s="201">
        <f t="shared" si="865"/>
        <v>0</v>
      </c>
      <c r="AR634" s="201">
        <f t="shared" si="865"/>
        <v>0</v>
      </c>
      <c r="AS634" s="201">
        <f t="shared" si="865"/>
        <v>0</v>
      </c>
      <c r="AT634" s="201">
        <f t="shared" si="865"/>
        <v>0</v>
      </c>
      <c r="AU634" s="201">
        <f t="shared" si="865"/>
        <v>0</v>
      </c>
      <c r="AV634" s="201">
        <f t="shared" si="865"/>
        <v>0</v>
      </c>
      <c r="AW634" s="201">
        <f t="shared" si="865"/>
        <v>0</v>
      </c>
      <c r="AX634" s="201">
        <f t="shared" si="865"/>
        <v>0</v>
      </c>
      <c r="AY634" s="201">
        <f t="shared" si="865"/>
        <v>0</v>
      </c>
      <c r="AZ634" s="201">
        <f t="shared" si="865"/>
        <v>0</v>
      </c>
      <c r="BA634" s="201">
        <f t="shared" si="865"/>
        <v>0</v>
      </c>
      <c r="BB634" s="201">
        <f t="shared" si="865"/>
        <v>0</v>
      </c>
      <c r="BC634" s="201">
        <f t="shared" si="865"/>
        <v>0</v>
      </c>
      <c r="BD634" s="201">
        <f t="shared" si="865"/>
        <v>0</v>
      </c>
      <c r="BE634" s="201">
        <f t="shared" si="865"/>
        <v>0</v>
      </c>
      <c r="BF634" s="201">
        <f t="shared" si="865"/>
        <v>0</v>
      </c>
      <c r="BG634" s="201">
        <f t="shared" si="865"/>
        <v>0</v>
      </c>
      <c r="BH634" s="201">
        <f t="shared" si="865"/>
        <v>0</v>
      </c>
      <c r="BI634" s="201">
        <f t="shared" si="865"/>
        <v>0</v>
      </c>
      <c r="BJ634" s="201">
        <f t="shared" si="865"/>
        <v>0</v>
      </c>
      <c r="BL634" s="201">
        <f t="shared" si="865"/>
        <v>0</v>
      </c>
      <c r="BM634" s="201">
        <f t="shared" si="865"/>
        <v>0</v>
      </c>
      <c r="BN634" s="201">
        <f t="shared" si="865"/>
        <v>0</v>
      </c>
      <c r="BO634" s="201">
        <f t="shared" si="865"/>
        <v>0</v>
      </c>
      <c r="BP634" s="201">
        <f t="shared" si="865"/>
        <v>0</v>
      </c>
      <c r="BQ634" s="201">
        <f t="shared" si="865"/>
        <v>0</v>
      </c>
      <c r="BR634" s="201">
        <f t="shared" si="865"/>
        <v>0</v>
      </c>
      <c r="BS634" s="201">
        <f t="shared" si="865"/>
        <v>0</v>
      </c>
      <c r="BT634" s="201">
        <f t="shared" si="865"/>
        <v>0</v>
      </c>
      <c r="BU634" s="201">
        <f t="shared" si="865"/>
        <v>0</v>
      </c>
      <c r="BV634" s="201">
        <f t="shared" si="865"/>
        <v>0</v>
      </c>
      <c r="BW634" s="201">
        <f t="shared" si="865"/>
        <v>0</v>
      </c>
      <c r="BY634" s="12"/>
      <c r="CA634" s="12"/>
      <c r="CR634" s="12"/>
      <c r="EX634" s="10" t="str">
        <f t="shared" si="771"/>
        <v/>
      </c>
    </row>
    <row r="635" spans="1:154" s="67" customFormat="1" ht="6.6" customHeight="1" x14ac:dyDescent="0.25">
      <c r="B635" s="161"/>
      <c r="C635" s="380"/>
      <c r="D635" s="1"/>
      <c r="S635" s="335"/>
      <c r="T635" s="335"/>
      <c r="U635" s="335"/>
      <c r="BM635" s="6"/>
      <c r="BY635" s="42"/>
      <c r="BZ635" s="335"/>
      <c r="CA635" s="42"/>
      <c r="CB635" s="335"/>
      <c r="CC635" s="335"/>
      <c r="CD635" s="335"/>
      <c r="CE635" s="335"/>
      <c r="CM635" s="335"/>
      <c r="CN635" s="335"/>
      <c r="CO635" s="335"/>
      <c r="CP635" s="335"/>
      <c r="CR635" s="42"/>
      <c r="CT635" s="335"/>
      <c r="CU635" s="335"/>
      <c r="EW635" s="335"/>
      <c r="EX635" s="10" t="str">
        <f t="shared" si="771"/>
        <v/>
      </c>
    </row>
    <row r="636" spans="1:154" s="67" customFormat="1" x14ac:dyDescent="0.25">
      <c r="A636" s="362" cm="1">
        <f t="array" aca="1" ref="A636" ca="1">HYPERLINK(CONCATENATE("#",CELL("address",IF(SUM($CA636:$CR636)=0,A636,INDEX($CA636:$CR636,MATCH(1,$CA636:$CR636,0))))),SUM($CA636:$CR636))</f>
        <v>0</v>
      </c>
      <c r="B636" s="161"/>
      <c r="C636" s="380"/>
      <c r="D636" s="51" t="s">
        <v>552</v>
      </c>
      <c r="S636" s="335"/>
      <c r="T636" s="335"/>
      <c r="U636" s="335"/>
      <c r="V636" s="231">
        <f>ROUND(SUM(V431:V634)-SUM(V48:V423) +SUMPRODUCT(V48:V423, $CS$48:$CS$423), rounding)</f>
        <v>0</v>
      </c>
      <c r="W636" s="231">
        <f>ROUND(SUM(W431:W634)-SUM(W48:W423) +SUMPRODUCT(W48:W423, $CS$48:$CS$423), rounding)</f>
        <v>0</v>
      </c>
      <c r="X636" s="231">
        <f>ROUND(SUM(X431:X634)-SUM(X48:X423) +SUMPRODUCT(X48:X423, $CS$48:$CS$423), rounding)</f>
        <v>0</v>
      </c>
      <c r="Y636" s="231">
        <f>ROUND(SUM(Y431:Y634)-SUM(Y48:Y423) +SUMPRODUCT(Y48:Y423, $CS$48:$CS$423), rounding)</f>
        <v>0</v>
      </c>
      <c r="Z636" s="335"/>
      <c r="AA636" s="231">
        <f t="shared" ref="AA636:BJ636" si="866">ROUND(SUM(AA431:AA634)-SUM(AA48:AA423) +SUMPRODUCT(AA48:AA423, $CS$48:$CS$423), rounding)</f>
        <v>0</v>
      </c>
      <c r="AB636" s="231">
        <f t="shared" si="866"/>
        <v>0</v>
      </c>
      <c r="AC636" s="231">
        <f t="shared" si="866"/>
        <v>0</v>
      </c>
      <c r="AD636" s="231">
        <f t="shared" si="866"/>
        <v>0</v>
      </c>
      <c r="AE636" s="231">
        <f t="shared" si="866"/>
        <v>0</v>
      </c>
      <c r="AF636" s="231">
        <f t="shared" si="866"/>
        <v>0</v>
      </c>
      <c r="AG636" s="231">
        <f t="shared" si="866"/>
        <v>0</v>
      </c>
      <c r="AH636" s="231">
        <f t="shared" si="866"/>
        <v>0</v>
      </c>
      <c r="AI636" s="231">
        <f t="shared" si="866"/>
        <v>0</v>
      </c>
      <c r="AJ636" s="231">
        <f t="shared" si="866"/>
        <v>0</v>
      </c>
      <c r="AK636" s="231">
        <f t="shared" si="866"/>
        <v>0</v>
      </c>
      <c r="AL636" s="231">
        <f t="shared" si="866"/>
        <v>0</v>
      </c>
      <c r="AM636" s="231">
        <f t="shared" si="866"/>
        <v>0</v>
      </c>
      <c r="AN636" s="231">
        <f t="shared" si="866"/>
        <v>0</v>
      </c>
      <c r="AO636" s="231">
        <f t="shared" si="866"/>
        <v>0</v>
      </c>
      <c r="AP636" s="231">
        <f t="shared" si="866"/>
        <v>0</v>
      </c>
      <c r="AQ636" s="231">
        <f t="shared" si="866"/>
        <v>0</v>
      </c>
      <c r="AR636" s="231">
        <f t="shared" si="866"/>
        <v>0</v>
      </c>
      <c r="AS636" s="231">
        <f t="shared" si="866"/>
        <v>0</v>
      </c>
      <c r="AT636" s="231">
        <f t="shared" si="866"/>
        <v>0</v>
      </c>
      <c r="AU636" s="231">
        <f t="shared" si="866"/>
        <v>0</v>
      </c>
      <c r="AV636" s="231">
        <f t="shared" si="866"/>
        <v>0</v>
      </c>
      <c r="AW636" s="231">
        <f t="shared" si="866"/>
        <v>0</v>
      </c>
      <c r="AX636" s="231">
        <f t="shared" si="866"/>
        <v>0</v>
      </c>
      <c r="AY636" s="231">
        <f t="shared" si="866"/>
        <v>0</v>
      </c>
      <c r="AZ636" s="231">
        <f t="shared" si="866"/>
        <v>0</v>
      </c>
      <c r="BA636" s="231">
        <f t="shared" si="866"/>
        <v>0</v>
      </c>
      <c r="BB636" s="231">
        <f t="shared" si="866"/>
        <v>0</v>
      </c>
      <c r="BC636" s="231">
        <f t="shared" si="866"/>
        <v>0</v>
      </c>
      <c r="BD636" s="231">
        <f t="shared" si="866"/>
        <v>0</v>
      </c>
      <c r="BE636" s="231">
        <f t="shared" si="866"/>
        <v>0</v>
      </c>
      <c r="BF636" s="231">
        <f t="shared" si="866"/>
        <v>0</v>
      </c>
      <c r="BG636" s="231">
        <f t="shared" si="866"/>
        <v>0</v>
      </c>
      <c r="BH636" s="231">
        <f t="shared" si="866"/>
        <v>0</v>
      </c>
      <c r="BI636" s="231">
        <f t="shared" si="866"/>
        <v>0</v>
      </c>
      <c r="BJ636" s="231">
        <f t="shared" si="866"/>
        <v>0</v>
      </c>
      <c r="BK636" s="335"/>
      <c r="BL636" s="231">
        <f t="shared" ref="BL636:BW636" si="867">ROUND(SUM(BL431:BL634)-SUM(BL48:BL423) +SUMPRODUCT(BL48:BL423, $CS$48:$CS$423), rounding)</f>
        <v>0</v>
      </c>
      <c r="BM636" s="231">
        <f t="shared" si="867"/>
        <v>0</v>
      </c>
      <c r="BN636" s="231">
        <f t="shared" si="867"/>
        <v>0</v>
      </c>
      <c r="BO636" s="231">
        <f t="shared" si="867"/>
        <v>0</v>
      </c>
      <c r="BP636" s="231">
        <f t="shared" si="867"/>
        <v>0</v>
      </c>
      <c r="BQ636" s="231">
        <f t="shared" si="867"/>
        <v>0</v>
      </c>
      <c r="BR636" s="231">
        <f t="shared" si="867"/>
        <v>0</v>
      </c>
      <c r="BS636" s="231">
        <f t="shared" si="867"/>
        <v>0</v>
      </c>
      <c r="BT636" s="231">
        <f t="shared" si="867"/>
        <v>0</v>
      </c>
      <c r="BU636" s="231">
        <f t="shared" si="867"/>
        <v>0</v>
      </c>
      <c r="BV636" s="231">
        <f t="shared" si="867"/>
        <v>0</v>
      </c>
      <c r="BW636" s="231">
        <f t="shared" si="867"/>
        <v>0</v>
      </c>
      <c r="BY636" s="12"/>
      <c r="BZ636" s="335"/>
      <c r="CA636" s="12"/>
      <c r="CB636" s="335"/>
      <c r="CC636" s="335"/>
      <c r="CD636" s="335"/>
      <c r="CE636" s="335"/>
      <c r="CM636" s="335"/>
      <c r="CN636" s="335"/>
      <c r="CO636" s="335"/>
      <c r="CP636" s="335"/>
      <c r="CQ636" s="7">
        <f>IF(SUM(V636:BW636)=0, 0, 1)</f>
        <v>0</v>
      </c>
      <c r="CR636" s="12"/>
      <c r="CT636" s="335"/>
      <c r="CU636" s="335"/>
      <c r="EW636" s="335"/>
      <c r="EX636" s="10" t="str">
        <f t="shared" si="771"/>
        <v/>
      </c>
    </row>
    <row r="637" spans="1:154" s="67" customFormat="1" ht="6.6" customHeight="1" x14ac:dyDescent="0.25">
      <c r="C637" s="380"/>
      <c r="D637" s="1"/>
      <c r="S637" s="335"/>
      <c r="T637" s="335"/>
      <c r="U637" s="335"/>
      <c r="BM637" s="6"/>
      <c r="BY637" s="42"/>
      <c r="BZ637" s="335"/>
      <c r="CA637" s="42"/>
      <c r="CB637" s="335"/>
      <c r="CC637" s="335"/>
      <c r="CD637" s="335"/>
      <c r="CE637" s="335"/>
      <c r="CM637" s="335"/>
      <c r="CN637" s="335"/>
      <c r="CO637" s="335"/>
      <c r="CP637" s="335"/>
      <c r="CR637" s="42"/>
      <c r="CT637" s="335"/>
      <c r="CU637" s="335"/>
      <c r="EW637" s="335"/>
      <c r="EX637" s="10" t="str">
        <f t="shared" si="771"/>
        <v/>
      </c>
    </row>
    <row r="638" spans="1:154" s="67" customFormat="1" x14ac:dyDescent="0.25">
      <c r="C638" s="380"/>
      <c r="D638" s="61" t="s">
        <v>533</v>
      </c>
      <c r="S638" s="335"/>
      <c r="T638" s="335"/>
      <c r="U638" s="335"/>
      <c r="BR638" s="335"/>
      <c r="BY638" s="12"/>
      <c r="BZ638" s="335"/>
      <c r="CA638" s="12"/>
      <c r="CB638" s="335"/>
      <c r="CC638" s="335"/>
      <c r="CD638" s="335"/>
      <c r="CE638" s="335"/>
      <c r="CM638" s="335"/>
      <c r="CN638" s="335"/>
      <c r="CO638" s="335"/>
      <c r="CP638" s="335"/>
      <c r="CR638" s="12"/>
      <c r="CT638" s="335"/>
      <c r="CU638" s="335"/>
      <c r="EW638" s="335"/>
      <c r="EX638" s="10" t="str">
        <f t="shared" si="771"/>
        <v/>
      </c>
    </row>
    <row r="639" spans="1:154" s="67" customFormat="1" ht="30" x14ac:dyDescent="0.25">
      <c r="B639" s="138" t="s">
        <v>551</v>
      </c>
      <c r="C639" s="380"/>
      <c r="D639" s="138" t="str">
        <f>D$11</f>
        <v>Lender</v>
      </c>
      <c r="E639" s="74" t="str">
        <f>E$11</f>
        <v>Loan Category</v>
      </c>
      <c r="F639" s="168" t="s">
        <v>535</v>
      </c>
      <c r="G639" s="168" t="s">
        <v>534</v>
      </c>
      <c r="S639" s="335"/>
      <c r="T639" s="335"/>
      <c r="U639" s="335"/>
      <c r="BY639" s="12"/>
      <c r="BZ639" s="335"/>
      <c r="CA639" s="12"/>
      <c r="CB639" s="335"/>
      <c r="CC639" s="335"/>
      <c r="CD639" s="335"/>
      <c r="CE639" s="335"/>
      <c r="CM639" s="335"/>
      <c r="CN639" s="335"/>
      <c r="CO639" s="335"/>
      <c r="CP639" s="335"/>
      <c r="CR639" s="12"/>
      <c r="CT639" s="335"/>
      <c r="CU639" s="335"/>
      <c r="EW639" s="335"/>
      <c r="EX639" s="10" t="str">
        <f t="shared" si="771"/>
        <v/>
      </c>
    </row>
    <row r="640" spans="1:154" s="67" customFormat="1" x14ac:dyDescent="0.25">
      <c r="B640" s="84" t="str" cm="1">
        <f t="array" aca="1" ref="B640" ca="1">HYPERLINK(CONCATENATE("#",CELL("address",$D$47)),$D$47)</f>
        <v>Loan 1</v>
      </c>
      <c r="C640" s="380"/>
      <c r="D640" s="60" t="str">
        <f>D$13</f>
        <v>NatWest</v>
      </c>
      <c r="E640" s="60" t="str">
        <f>E$13</f>
        <v xml:space="preserve">Commercial </v>
      </c>
      <c r="F640" s="203">
        <f t="shared" ref="F640:F659" si="868">L13</f>
        <v>0</v>
      </c>
      <c r="G640" s="201">
        <f>K$13</f>
        <v>0</v>
      </c>
      <c r="H640" s="50" t="s">
        <v>157</v>
      </c>
      <c r="I640" s="65"/>
      <c r="S640" s="335"/>
      <c r="T640" s="335"/>
      <c r="U640" s="335"/>
      <c r="AA640" s="66">
        <f t="shared" ref="AA640:BJ640" si="869">IF($G640=0, $F640, AA13)</f>
        <v>0</v>
      </c>
      <c r="AB640" s="66">
        <f t="shared" si="869"/>
        <v>0</v>
      </c>
      <c r="AC640" s="66">
        <f t="shared" si="869"/>
        <v>0</v>
      </c>
      <c r="AD640" s="66">
        <f t="shared" si="869"/>
        <v>0</v>
      </c>
      <c r="AE640" s="66">
        <f t="shared" si="869"/>
        <v>0</v>
      </c>
      <c r="AF640" s="66">
        <f t="shared" si="869"/>
        <v>0</v>
      </c>
      <c r="AG640" s="66">
        <f t="shared" si="869"/>
        <v>0</v>
      </c>
      <c r="AH640" s="66">
        <f t="shared" si="869"/>
        <v>0</v>
      </c>
      <c r="AI640" s="203">
        <f t="shared" si="869"/>
        <v>0</v>
      </c>
      <c r="AJ640" s="66">
        <f t="shared" si="869"/>
        <v>0</v>
      </c>
      <c r="AK640" s="66">
        <f t="shared" si="869"/>
        <v>0</v>
      </c>
      <c r="AL640" s="66">
        <f t="shared" si="869"/>
        <v>0</v>
      </c>
      <c r="AM640" s="203">
        <f t="shared" si="869"/>
        <v>0</v>
      </c>
      <c r="AN640" s="66">
        <f t="shared" si="869"/>
        <v>0</v>
      </c>
      <c r="AO640" s="66">
        <f t="shared" si="869"/>
        <v>0</v>
      </c>
      <c r="AP640" s="66">
        <f t="shared" si="869"/>
        <v>0</v>
      </c>
      <c r="AQ640" s="66">
        <f t="shared" si="869"/>
        <v>0</v>
      </c>
      <c r="AR640" s="66">
        <f t="shared" si="869"/>
        <v>0</v>
      </c>
      <c r="AS640" s="66">
        <f t="shared" si="869"/>
        <v>0</v>
      </c>
      <c r="AT640" s="66">
        <f t="shared" si="869"/>
        <v>0</v>
      </c>
      <c r="AU640" s="66">
        <f t="shared" si="869"/>
        <v>0</v>
      </c>
      <c r="AV640" s="66">
        <f t="shared" si="869"/>
        <v>0</v>
      </c>
      <c r="AW640" s="66">
        <f t="shared" si="869"/>
        <v>0</v>
      </c>
      <c r="AX640" s="66">
        <f t="shared" si="869"/>
        <v>0</v>
      </c>
      <c r="AY640" s="66">
        <f t="shared" si="869"/>
        <v>0</v>
      </c>
      <c r="AZ640" s="66">
        <f t="shared" si="869"/>
        <v>0</v>
      </c>
      <c r="BA640" s="66">
        <f t="shared" si="869"/>
        <v>0</v>
      </c>
      <c r="BB640" s="66">
        <f t="shared" si="869"/>
        <v>0</v>
      </c>
      <c r="BC640" s="66">
        <f t="shared" si="869"/>
        <v>0</v>
      </c>
      <c r="BD640" s="66">
        <f t="shared" si="869"/>
        <v>0</v>
      </c>
      <c r="BE640" s="66">
        <f t="shared" si="869"/>
        <v>0</v>
      </c>
      <c r="BF640" s="66">
        <f t="shared" si="869"/>
        <v>0</v>
      </c>
      <c r="BG640" s="66">
        <f t="shared" si="869"/>
        <v>0</v>
      </c>
      <c r="BH640" s="66">
        <f t="shared" si="869"/>
        <v>0</v>
      </c>
      <c r="BI640" s="66">
        <f t="shared" si="869"/>
        <v>0</v>
      </c>
      <c r="BJ640" s="66">
        <f t="shared" si="869"/>
        <v>0</v>
      </c>
      <c r="BY640" s="12"/>
      <c r="BZ640" s="335"/>
      <c r="CA640" s="12"/>
      <c r="CB640" s="335"/>
      <c r="CC640" s="335"/>
      <c r="CD640" s="335"/>
      <c r="CE640" s="335"/>
      <c r="CM640" s="335"/>
      <c r="CN640" s="335"/>
      <c r="CO640" s="335"/>
      <c r="CP640" s="335"/>
      <c r="CR640" s="12"/>
      <c r="CT640" s="335"/>
      <c r="CU640" s="335"/>
      <c r="EW640" s="335"/>
      <c r="EX640" s="10" t="str">
        <f t="shared" si="771"/>
        <v/>
      </c>
    </row>
    <row r="641" spans="1:154" s="67" customFormat="1" x14ac:dyDescent="0.25">
      <c r="B641" s="84" t="str" cm="1">
        <f t="array" aca="1" ref="B641" ca="1">HYPERLINK(CONCATENATE("#",CELL("address",$D$66)),$D$66)</f>
        <v>Loan 2</v>
      </c>
      <c r="C641" s="380"/>
      <c r="D641" s="60" t="str">
        <f>D$14</f>
        <v>NatWest</v>
      </c>
      <c r="E641" s="60" t="str">
        <f>E$14</f>
        <v xml:space="preserve">Commercial </v>
      </c>
      <c r="F641" s="66">
        <f t="shared" si="868"/>
        <v>0</v>
      </c>
      <c r="G641" s="10">
        <f>K$14</f>
        <v>0</v>
      </c>
      <c r="H641" s="50" t="s">
        <v>157</v>
      </c>
      <c r="S641" s="335"/>
      <c r="T641" s="335"/>
      <c r="U641" s="335"/>
      <c r="AA641" s="66">
        <f t="shared" ref="AA641:BJ641" si="870">IF($G641=0, $F641, AA14)</f>
        <v>0</v>
      </c>
      <c r="AB641" s="66">
        <f t="shared" si="870"/>
        <v>0</v>
      </c>
      <c r="AC641" s="66">
        <f t="shared" si="870"/>
        <v>0</v>
      </c>
      <c r="AD641" s="66">
        <f t="shared" si="870"/>
        <v>0</v>
      </c>
      <c r="AE641" s="66">
        <f t="shared" si="870"/>
        <v>0</v>
      </c>
      <c r="AF641" s="66">
        <f t="shared" si="870"/>
        <v>0</v>
      </c>
      <c r="AG641" s="66">
        <f t="shared" si="870"/>
        <v>0</v>
      </c>
      <c r="AH641" s="66">
        <f t="shared" si="870"/>
        <v>0</v>
      </c>
      <c r="AI641" s="66">
        <f t="shared" si="870"/>
        <v>0</v>
      </c>
      <c r="AJ641" s="66">
        <f t="shared" si="870"/>
        <v>0</v>
      </c>
      <c r="AK641" s="66">
        <f t="shared" si="870"/>
        <v>0</v>
      </c>
      <c r="AL641" s="66">
        <f t="shared" si="870"/>
        <v>0</v>
      </c>
      <c r="AM641" s="66">
        <f t="shared" si="870"/>
        <v>0</v>
      </c>
      <c r="AN641" s="66">
        <f t="shared" si="870"/>
        <v>0</v>
      </c>
      <c r="AO641" s="66">
        <f t="shared" si="870"/>
        <v>0</v>
      </c>
      <c r="AP641" s="66">
        <f t="shared" si="870"/>
        <v>0</v>
      </c>
      <c r="AQ641" s="66">
        <f t="shared" si="870"/>
        <v>0</v>
      </c>
      <c r="AR641" s="66">
        <f t="shared" si="870"/>
        <v>0</v>
      </c>
      <c r="AS641" s="66">
        <f t="shared" si="870"/>
        <v>0</v>
      </c>
      <c r="AT641" s="66">
        <f t="shared" si="870"/>
        <v>0</v>
      </c>
      <c r="AU641" s="66">
        <f t="shared" si="870"/>
        <v>0</v>
      </c>
      <c r="AV641" s="66">
        <f t="shared" si="870"/>
        <v>0</v>
      </c>
      <c r="AW641" s="66">
        <f t="shared" si="870"/>
        <v>0</v>
      </c>
      <c r="AX641" s="66">
        <f t="shared" si="870"/>
        <v>0</v>
      </c>
      <c r="AY641" s="66">
        <f t="shared" si="870"/>
        <v>0</v>
      </c>
      <c r="AZ641" s="66">
        <f t="shared" si="870"/>
        <v>0</v>
      </c>
      <c r="BA641" s="66">
        <f t="shared" si="870"/>
        <v>0</v>
      </c>
      <c r="BB641" s="66">
        <f t="shared" si="870"/>
        <v>0</v>
      </c>
      <c r="BC641" s="66">
        <f t="shared" si="870"/>
        <v>0</v>
      </c>
      <c r="BD641" s="66">
        <f t="shared" si="870"/>
        <v>0</v>
      </c>
      <c r="BE641" s="66">
        <f t="shared" si="870"/>
        <v>0</v>
      </c>
      <c r="BF641" s="66">
        <f t="shared" si="870"/>
        <v>0</v>
      </c>
      <c r="BG641" s="66">
        <f t="shared" si="870"/>
        <v>0</v>
      </c>
      <c r="BH641" s="66">
        <f t="shared" si="870"/>
        <v>0</v>
      </c>
      <c r="BI641" s="66">
        <f t="shared" si="870"/>
        <v>0</v>
      </c>
      <c r="BJ641" s="66">
        <f t="shared" si="870"/>
        <v>0</v>
      </c>
      <c r="BY641" s="12"/>
      <c r="BZ641" s="335"/>
      <c r="CA641" s="12"/>
      <c r="CB641" s="335"/>
      <c r="CC641" s="335"/>
      <c r="CD641" s="335"/>
      <c r="CE641" s="335"/>
      <c r="CM641" s="335"/>
      <c r="CN641" s="335"/>
      <c r="CO641" s="335"/>
      <c r="CP641" s="335"/>
      <c r="CR641" s="12"/>
      <c r="CT641" s="335"/>
      <c r="CU641" s="335"/>
      <c r="EW641" s="335"/>
      <c r="EX641" s="10" t="str">
        <f t="shared" si="771"/>
        <v/>
      </c>
    </row>
    <row r="642" spans="1:154" s="67" customFormat="1" x14ac:dyDescent="0.25">
      <c r="B642" s="84" t="str" cm="1">
        <f t="array" aca="1" ref="B642" ca="1">HYPERLINK(CONCATENATE("#",CELL("address",$D$85)),$D$85)</f>
        <v>Loan 3</v>
      </c>
      <c r="C642" s="380"/>
      <c r="D642" s="60" t="str">
        <f>D$15</f>
        <v>NatWest</v>
      </c>
      <c r="E642" s="60" t="str">
        <f>E$15</f>
        <v xml:space="preserve">Commercial </v>
      </c>
      <c r="F642" s="66">
        <f t="shared" si="868"/>
        <v>0</v>
      </c>
      <c r="G642" s="10">
        <f>K$15</f>
        <v>0</v>
      </c>
      <c r="H642" s="50" t="s">
        <v>157</v>
      </c>
      <c r="S642" s="335"/>
      <c r="T642" s="335"/>
      <c r="U642" s="335"/>
      <c r="AA642" s="66">
        <f t="shared" ref="AA642:BJ642" si="871">IF($G642=0, $F642, AA15)</f>
        <v>0</v>
      </c>
      <c r="AB642" s="66">
        <f t="shared" si="871"/>
        <v>0</v>
      </c>
      <c r="AC642" s="66">
        <f t="shared" si="871"/>
        <v>0</v>
      </c>
      <c r="AD642" s="66">
        <f t="shared" si="871"/>
        <v>0</v>
      </c>
      <c r="AE642" s="66">
        <f t="shared" si="871"/>
        <v>0</v>
      </c>
      <c r="AF642" s="66">
        <f t="shared" si="871"/>
        <v>0</v>
      </c>
      <c r="AG642" s="66">
        <f t="shared" si="871"/>
        <v>0</v>
      </c>
      <c r="AH642" s="66">
        <f t="shared" si="871"/>
        <v>0</v>
      </c>
      <c r="AI642" s="66">
        <f t="shared" si="871"/>
        <v>0</v>
      </c>
      <c r="AJ642" s="66">
        <f t="shared" si="871"/>
        <v>0</v>
      </c>
      <c r="AK642" s="66">
        <f t="shared" si="871"/>
        <v>0</v>
      </c>
      <c r="AL642" s="66">
        <f t="shared" si="871"/>
        <v>0</v>
      </c>
      <c r="AM642" s="66">
        <f t="shared" si="871"/>
        <v>0</v>
      </c>
      <c r="AN642" s="66">
        <f t="shared" si="871"/>
        <v>0</v>
      </c>
      <c r="AO642" s="66">
        <f t="shared" si="871"/>
        <v>0</v>
      </c>
      <c r="AP642" s="66">
        <f t="shared" si="871"/>
        <v>0</v>
      </c>
      <c r="AQ642" s="66">
        <f t="shared" si="871"/>
        <v>0</v>
      </c>
      <c r="AR642" s="66">
        <f t="shared" si="871"/>
        <v>0</v>
      </c>
      <c r="AS642" s="66">
        <f t="shared" si="871"/>
        <v>0</v>
      </c>
      <c r="AT642" s="66">
        <f t="shared" si="871"/>
        <v>0</v>
      </c>
      <c r="AU642" s="66">
        <f t="shared" si="871"/>
        <v>0</v>
      </c>
      <c r="AV642" s="66">
        <f t="shared" si="871"/>
        <v>0</v>
      </c>
      <c r="AW642" s="66">
        <f t="shared" si="871"/>
        <v>0</v>
      </c>
      <c r="AX642" s="66">
        <f t="shared" si="871"/>
        <v>0</v>
      </c>
      <c r="AY642" s="66">
        <f t="shared" si="871"/>
        <v>0</v>
      </c>
      <c r="AZ642" s="66">
        <f t="shared" si="871"/>
        <v>0</v>
      </c>
      <c r="BA642" s="66">
        <f t="shared" si="871"/>
        <v>0</v>
      </c>
      <c r="BB642" s="66">
        <f t="shared" si="871"/>
        <v>0</v>
      </c>
      <c r="BC642" s="66">
        <f t="shared" si="871"/>
        <v>0</v>
      </c>
      <c r="BD642" s="66">
        <f t="shared" si="871"/>
        <v>0</v>
      </c>
      <c r="BE642" s="66">
        <f t="shared" si="871"/>
        <v>0</v>
      </c>
      <c r="BF642" s="66">
        <f t="shared" si="871"/>
        <v>0</v>
      </c>
      <c r="BG642" s="66">
        <f t="shared" si="871"/>
        <v>0</v>
      </c>
      <c r="BH642" s="66">
        <f t="shared" si="871"/>
        <v>0</v>
      </c>
      <c r="BI642" s="66">
        <f t="shared" si="871"/>
        <v>0</v>
      </c>
      <c r="BJ642" s="66">
        <f t="shared" si="871"/>
        <v>0</v>
      </c>
      <c r="BY642" s="12"/>
      <c r="BZ642" s="335"/>
      <c r="CA642" s="12"/>
      <c r="CB642" s="335"/>
      <c r="CC642" s="335"/>
      <c r="CD642" s="335"/>
      <c r="CE642" s="335"/>
      <c r="CM642" s="335"/>
      <c r="CN642" s="335"/>
      <c r="CO642" s="335"/>
      <c r="CP642" s="335"/>
      <c r="CR642" s="12"/>
      <c r="CT642" s="335"/>
      <c r="CU642" s="335"/>
      <c r="EW642" s="335"/>
      <c r="EX642" s="10" t="str">
        <f t="shared" si="771"/>
        <v/>
      </c>
    </row>
    <row r="643" spans="1:154" s="67" customFormat="1" x14ac:dyDescent="0.25">
      <c r="B643" s="84" t="str" cm="1">
        <f t="array" aca="1" ref="B643" ca="1">HYPERLINK(CONCATENATE("#",CELL("address",$D$104)),$D$104)</f>
        <v>Loan 4</v>
      </c>
      <c r="C643" s="380"/>
      <c r="D643" s="60" t="str">
        <f>D$16</f>
        <v>NatWest</v>
      </c>
      <c r="E643" s="60" t="str">
        <f>E$16</f>
        <v xml:space="preserve">Commercial </v>
      </c>
      <c r="F643" s="66">
        <f t="shared" si="868"/>
        <v>0</v>
      </c>
      <c r="G643" s="10">
        <f>K$16</f>
        <v>0</v>
      </c>
      <c r="H643" s="50" t="s">
        <v>157</v>
      </c>
      <c r="S643" s="335"/>
      <c r="T643" s="335"/>
      <c r="U643" s="335"/>
      <c r="AA643" s="66">
        <f t="shared" ref="AA643:BJ643" si="872">IF($G643=0, $F643, AA16)</f>
        <v>0</v>
      </c>
      <c r="AB643" s="66">
        <f t="shared" si="872"/>
        <v>0</v>
      </c>
      <c r="AC643" s="66">
        <f t="shared" si="872"/>
        <v>0</v>
      </c>
      <c r="AD643" s="66">
        <f t="shared" si="872"/>
        <v>0</v>
      </c>
      <c r="AE643" s="66">
        <f t="shared" si="872"/>
        <v>0</v>
      </c>
      <c r="AF643" s="66">
        <f t="shared" si="872"/>
        <v>0</v>
      </c>
      <c r="AG643" s="66">
        <f t="shared" si="872"/>
        <v>0</v>
      </c>
      <c r="AH643" s="66">
        <f t="shared" si="872"/>
        <v>0</v>
      </c>
      <c r="AI643" s="66">
        <f t="shared" si="872"/>
        <v>0</v>
      </c>
      <c r="AJ643" s="66">
        <f t="shared" si="872"/>
        <v>0</v>
      </c>
      <c r="AK643" s="66">
        <f t="shared" si="872"/>
        <v>0</v>
      </c>
      <c r="AL643" s="66">
        <f t="shared" si="872"/>
        <v>0</v>
      </c>
      <c r="AM643" s="66">
        <f t="shared" si="872"/>
        <v>0</v>
      </c>
      <c r="AN643" s="66">
        <f t="shared" si="872"/>
        <v>0</v>
      </c>
      <c r="AO643" s="66">
        <f t="shared" si="872"/>
        <v>0</v>
      </c>
      <c r="AP643" s="66">
        <f t="shared" si="872"/>
        <v>0</v>
      </c>
      <c r="AQ643" s="66">
        <f t="shared" si="872"/>
        <v>0</v>
      </c>
      <c r="AR643" s="66">
        <f t="shared" si="872"/>
        <v>0</v>
      </c>
      <c r="AS643" s="66">
        <f t="shared" si="872"/>
        <v>0</v>
      </c>
      <c r="AT643" s="66">
        <f t="shared" si="872"/>
        <v>0</v>
      </c>
      <c r="AU643" s="66">
        <f t="shared" si="872"/>
        <v>0</v>
      </c>
      <c r="AV643" s="66">
        <f t="shared" si="872"/>
        <v>0</v>
      </c>
      <c r="AW643" s="66">
        <f t="shared" si="872"/>
        <v>0</v>
      </c>
      <c r="AX643" s="66">
        <f t="shared" si="872"/>
        <v>0</v>
      </c>
      <c r="AY643" s="66">
        <f t="shared" si="872"/>
        <v>0</v>
      </c>
      <c r="AZ643" s="66">
        <f t="shared" si="872"/>
        <v>0</v>
      </c>
      <c r="BA643" s="66">
        <f t="shared" si="872"/>
        <v>0</v>
      </c>
      <c r="BB643" s="66">
        <f t="shared" si="872"/>
        <v>0</v>
      </c>
      <c r="BC643" s="66">
        <f t="shared" si="872"/>
        <v>0</v>
      </c>
      <c r="BD643" s="66">
        <f t="shared" si="872"/>
        <v>0</v>
      </c>
      <c r="BE643" s="66">
        <f t="shared" si="872"/>
        <v>0</v>
      </c>
      <c r="BF643" s="66">
        <f t="shared" si="872"/>
        <v>0</v>
      </c>
      <c r="BG643" s="66">
        <f t="shared" si="872"/>
        <v>0</v>
      </c>
      <c r="BH643" s="66">
        <f t="shared" si="872"/>
        <v>0</v>
      </c>
      <c r="BI643" s="66">
        <f t="shared" si="872"/>
        <v>0</v>
      </c>
      <c r="BJ643" s="66">
        <f t="shared" si="872"/>
        <v>0</v>
      </c>
      <c r="BY643" s="12"/>
      <c r="BZ643" s="335"/>
      <c r="CA643" s="12"/>
      <c r="CB643" s="335"/>
      <c r="CC643" s="335"/>
      <c r="CD643" s="335"/>
      <c r="CE643" s="335"/>
      <c r="CM643" s="335"/>
      <c r="CN643" s="335"/>
      <c r="CO643" s="335"/>
      <c r="CP643" s="335"/>
      <c r="CR643" s="12"/>
      <c r="CT643" s="335"/>
      <c r="CU643" s="335"/>
      <c r="EW643" s="335"/>
      <c r="EX643" s="10" t="str">
        <f t="shared" si="771"/>
        <v/>
      </c>
    </row>
    <row r="644" spans="1:154" s="67" customFormat="1" x14ac:dyDescent="0.25">
      <c r="B644" s="84" t="str" cm="1">
        <f t="array" aca="1" ref="B644" ca="1">HYPERLINK(CONCATENATE("#",CELL("address",$D$123)),$D$123)</f>
        <v>Loan 5</v>
      </c>
      <c r="C644" s="380"/>
      <c r="D644" s="60" t="str">
        <f>D$17</f>
        <v>NatWest</v>
      </c>
      <c r="E644" s="60" t="str">
        <f>E$17</f>
        <v xml:space="preserve">Commercial </v>
      </c>
      <c r="F644" s="66">
        <f t="shared" si="868"/>
        <v>0</v>
      </c>
      <c r="G644" s="10">
        <f>K$17</f>
        <v>0</v>
      </c>
      <c r="H644" s="50" t="s">
        <v>157</v>
      </c>
      <c r="S644" s="335"/>
      <c r="T644" s="335"/>
      <c r="U644" s="335"/>
      <c r="AA644" s="66">
        <f t="shared" ref="AA644:BJ644" si="873">IF($G644=0, $F644, AA17)</f>
        <v>0</v>
      </c>
      <c r="AB644" s="66">
        <f t="shared" si="873"/>
        <v>0</v>
      </c>
      <c r="AC644" s="66">
        <f t="shared" si="873"/>
        <v>0</v>
      </c>
      <c r="AD644" s="66">
        <f t="shared" si="873"/>
        <v>0</v>
      </c>
      <c r="AE644" s="66">
        <f t="shared" si="873"/>
        <v>0</v>
      </c>
      <c r="AF644" s="66">
        <f t="shared" si="873"/>
        <v>0</v>
      </c>
      <c r="AG644" s="66">
        <f t="shared" si="873"/>
        <v>0</v>
      </c>
      <c r="AH644" s="66">
        <f t="shared" si="873"/>
        <v>0</v>
      </c>
      <c r="AI644" s="66">
        <f t="shared" si="873"/>
        <v>0</v>
      </c>
      <c r="AJ644" s="66">
        <f t="shared" si="873"/>
        <v>0</v>
      </c>
      <c r="AK644" s="66">
        <f t="shared" si="873"/>
        <v>0</v>
      </c>
      <c r="AL644" s="66">
        <f t="shared" si="873"/>
        <v>0</v>
      </c>
      <c r="AM644" s="66">
        <f t="shared" si="873"/>
        <v>0</v>
      </c>
      <c r="AN644" s="66">
        <f t="shared" si="873"/>
        <v>0</v>
      </c>
      <c r="AO644" s="66">
        <f t="shared" si="873"/>
        <v>0</v>
      </c>
      <c r="AP644" s="66">
        <f t="shared" si="873"/>
        <v>0</v>
      </c>
      <c r="AQ644" s="66">
        <f t="shared" si="873"/>
        <v>0</v>
      </c>
      <c r="AR644" s="66">
        <f t="shared" si="873"/>
        <v>0</v>
      </c>
      <c r="AS644" s="66">
        <f t="shared" si="873"/>
        <v>0</v>
      </c>
      <c r="AT644" s="66">
        <f t="shared" si="873"/>
        <v>0</v>
      </c>
      <c r="AU644" s="66">
        <f t="shared" si="873"/>
        <v>0</v>
      </c>
      <c r="AV644" s="66">
        <f t="shared" si="873"/>
        <v>0</v>
      </c>
      <c r="AW644" s="66">
        <f t="shared" si="873"/>
        <v>0</v>
      </c>
      <c r="AX644" s="66">
        <f t="shared" si="873"/>
        <v>0</v>
      </c>
      <c r="AY644" s="66">
        <f t="shared" si="873"/>
        <v>0</v>
      </c>
      <c r="AZ644" s="66">
        <f t="shared" si="873"/>
        <v>0</v>
      </c>
      <c r="BA644" s="66">
        <f t="shared" si="873"/>
        <v>0</v>
      </c>
      <c r="BB644" s="66">
        <f t="shared" si="873"/>
        <v>0</v>
      </c>
      <c r="BC644" s="66">
        <f t="shared" si="873"/>
        <v>0</v>
      </c>
      <c r="BD644" s="66">
        <f t="shared" si="873"/>
        <v>0</v>
      </c>
      <c r="BE644" s="66">
        <f t="shared" si="873"/>
        <v>0</v>
      </c>
      <c r="BF644" s="66">
        <f t="shared" si="873"/>
        <v>0</v>
      </c>
      <c r="BG644" s="66">
        <f t="shared" si="873"/>
        <v>0</v>
      </c>
      <c r="BH644" s="66">
        <f t="shared" si="873"/>
        <v>0</v>
      </c>
      <c r="BI644" s="66">
        <f t="shared" si="873"/>
        <v>0</v>
      </c>
      <c r="BJ644" s="66">
        <f t="shared" si="873"/>
        <v>0</v>
      </c>
      <c r="BY644" s="12"/>
      <c r="BZ644" s="335"/>
      <c r="CA644" s="12"/>
      <c r="CB644" s="335"/>
      <c r="CC644" s="335"/>
      <c r="CD644" s="335"/>
      <c r="CE644" s="335"/>
      <c r="CM644" s="335"/>
      <c r="CN644" s="335"/>
      <c r="CO644" s="335"/>
      <c r="CP644" s="335"/>
      <c r="CR644" s="12"/>
      <c r="CT644" s="335"/>
      <c r="CU644" s="335"/>
      <c r="EW644" s="335"/>
      <c r="EX644" s="10" t="str">
        <f t="shared" si="771"/>
        <v/>
      </c>
    </row>
    <row r="645" spans="1:154" s="67" customFormat="1" x14ac:dyDescent="0.25">
      <c r="B645" s="84" t="str" cm="1">
        <f t="array" aca="1" ref="B645" ca="1">HYPERLINK(CONCATENATE("#",CELL("address",$D$142)),$D$142)</f>
        <v>Loan 6</v>
      </c>
      <c r="C645" s="380"/>
      <c r="D645" s="60">
        <f>D$18</f>
        <v>0</v>
      </c>
      <c r="E645" s="60">
        <f>E$18</f>
        <v>0</v>
      </c>
      <c r="F645" s="66">
        <f t="shared" si="868"/>
        <v>0</v>
      </c>
      <c r="G645" s="10">
        <f>K$18</f>
        <v>0</v>
      </c>
      <c r="H645" s="50" t="s">
        <v>157</v>
      </c>
      <c r="S645" s="335"/>
      <c r="T645" s="335"/>
      <c r="U645" s="335"/>
      <c r="AA645" s="66">
        <f t="shared" ref="AA645:BJ645" si="874">IF($G645=0, $F645, AA18)</f>
        <v>0</v>
      </c>
      <c r="AB645" s="66">
        <f t="shared" si="874"/>
        <v>0</v>
      </c>
      <c r="AC645" s="66">
        <f t="shared" si="874"/>
        <v>0</v>
      </c>
      <c r="AD645" s="66">
        <f t="shared" si="874"/>
        <v>0</v>
      </c>
      <c r="AE645" s="66">
        <f t="shared" si="874"/>
        <v>0</v>
      </c>
      <c r="AF645" s="66">
        <f t="shared" si="874"/>
        <v>0</v>
      </c>
      <c r="AG645" s="66">
        <f t="shared" si="874"/>
        <v>0</v>
      </c>
      <c r="AH645" s="66">
        <f t="shared" si="874"/>
        <v>0</v>
      </c>
      <c r="AI645" s="66">
        <f t="shared" si="874"/>
        <v>0</v>
      </c>
      <c r="AJ645" s="66">
        <f t="shared" si="874"/>
        <v>0</v>
      </c>
      <c r="AK645" s="66">
        <f t="shared" si="874"/>
        <v>0</v>
      </c>
      <c r="AL645" s="66">
        <f t="shared" si="874"/>
        <v>0</v>
      </c>
      <c r="AM645" s="66">
        <f t="shared" si="874"/>
        <v>0</v>
      </c>
      <c r="AN645" s="66">
        <f t="shared" si="874"/>
        <v>0</v>
      </c>
      <c r="AO645" s="66">
        <f t="shared" si="874"/>
        <v>0</v>
      </c>
      <c r="AP645" s="66">
        <f t="shared" si="874"/>
        <v>0</v>
      </c>
      <c r="AQ645" s="66">
        <f t="shared" si="874"/>
        <v>0</v>
      </c>
      <c r="AR645" s="66">
        <f t="shared" si="874"/>
        <v>0</v>
      </c>
      <c r="AS645" s="66">
        <f t="shared" si="874"/>
        <v>0</v>
      </c>
      <c r="AT645" s="66">
        <f t="shared" si="874"/>
        <v>0</v>
      </c>
      <c r="AU645" s="66">
        <f t="shared" si="874"/>
        <v>0</v>
      </c>
      <c r="AV645" s="66">
        <f t="shared" si="874"/>
        <v>0</v>
      </c>
      <c r="AW645" s="66">
        <f t="shared" si="874"/>
        <v>0</v>
      </c>
      <c r="AX645" s="66">
        <f t="shared" si="874"/>
        <v>0</v>
      </c>
      <c r="AY645" s="66">
        <f t="shared" si="874"/>
        <v>0</v>
      </c>
      <c r="AZ645" s="66">
        <f t="shared" si="874"/>
        <v>0</v>
      </c>
      <c r="BA645" s="66">
        <f t="shared" si="874"/>
        <v>0</v>
      </c>
      <c r="BB645" s="66">
        <f t="shared" si="874"/>
        <v>0</v>
      </c>
      <c r="BC645" s="66">
        <f t="shared" si="874"/>
        <v>0</v>
      </c>
      <c r="BD645" s="66">
        <f t="shared" si="874"/>
        <v>0</v>
      </c>
      <c r="BE645" s="66">
        <f t="shared" si="874"/>
        <v>0</v>
      </c>
      <c r="BF645" s="66">
        <f t="shared" si="874"/>
        <v>0</v>
      </c>
      <c r="BG645" s="66">
        <f t="shared" si="874"/>
        <v>0</v>
      </c>
      <c r="BH645" s="66">
        <f t="shared" si="874"/>
        <v>0</v>
      </c>
      <c r="BI645" s="66">
        <f t="shared" si="874"/>
        <v>0</v>
      </c>
      <c r="BJ645" s="66">
        <f t="shared" si="874"/>
        <v>0</v>
      </c>
      <c r="BY645" s="12"/>
      <c r="BZ645" s="335"/>
      <c r="CA645" s="12"/>
      <c r="CB645" s="335"/>
      <c r="CC645" s="335"/>
      <c r="CD645" s="335"/>
      <c r="CE645" s="335"/>
      <c r="CM645" s="335"/>
      <c r="CN645" s="335"/>
      <c r="CO645" s="335"/>
      <c r="CP645" s="335"/>
      <c r="CR645" s="12"/>
      <c r="CT645" s="335"/>
      <c r="CU645" s="335"/>
      <c r="EW645" s="335"/>
      <c r="EX645" s="10" t="str">
        <f t="shared" si="771"/>
        <v/>
      </c>
    </row>
    <row r="646" spans="1:154" s="67" customFormat="1" x14ac:dyDescent="0.25">
      <c r="B646" s="84" t="str" cm="1">
        <f t="array" aca="1" ref="B646" ca="1">HYPERLINK(CONCATENATE("#",CELL("address",$D$161)),$D$161)</f>
        <v>Loan 7</v>
      </c>
      <c r="C646" s="380"/>
      <c r="D646" s="60">
        <f>D$19</f>
        <v>0</v>
      </c>
      <c r="E646" s="60">
        <f>E$19</f>
        <v>0</v>
      </c>
      <c r="F646" s="66">
        <f t="shared" si="868"/>
        <v>0</v>
      </c>
      <c r="G646" s="10">
        <f>K$19</f>
        <v>0</v>
      </c>
      <c r="H646" s="50" t="s">
        <v>157</v>
      </c>
      <c r="S646" s="335"/>
      <c r="T646" s="335"/>
      <c r="U646" s="335"/>
      <c r="AA646" s="66">
        <f t="shared" ref="AA646:BJ646" si="875">IF($G646=0, $F646, AA19)</f>
        <v>0</v>
      </c>
      <c r="AB646" s="66">
        <f t="shared" si="875"/>
        <v>0</v>
      </c>
      <c r="AC646" s="66">
        <f t="shared" si="875"/>
        <v>0</v>
      </c>
      <c r="AD646" s="66">
        <f t="shared" si="875"/>
        <v>0</v>
      </c>
      <c r="AE646" s="66">
        <f t="shared" si="875"/>
        <v>0</v>
      </c>
      <c r="AF646" s="66">
        <f t="shared" si="875"/>
        <v>0</v>
      </c>
      <c r="AG646" s="66">
        <f t="shared" si="875"/>
        <v>0</v>
      </c>
      <c r="AH646" s="66">
        <f t="shared" si="875"/>
        <v>0</v>
      </c>
      <c r="AI646" s="66">
        <f t="shared" si="875"/>
        <v>0</v>
      </c>
      <c r="AJ646" s="66">
        <f t="shared" si="875"/>
        <v>0</v>
      </c>
      <c r="AK646" s="66">
        <f t="shared" si="875"/>
        <v>0</v>
      </c>
      <c r="AL646" s="66">
        <f t="shared" si="875"/>
        <v>0</v>
      </c>
      <c r="AM646" s="66">
        <f t="shared" si="875"/>
        <v>0</v>
      </c>
      <c r="AN646" s="66">
        <f t="shared" si="875"/>
        <v>0</v>
      </c>
      <c r="AO646" s="66">
        <f t="shared" si="875"/>
        <v>0</v>
      </c>
      <c r="AP646" s="66">
        <f t="shared" si="875"/>
        <v>0</v>
      </c>
      <c r="AQ646" s="66">
        <f t="shared" si="875"/>
        <v>0</v>
      </c>
      <c r="AR646" s="66">
        <f t="shared" si="875"/>
        <v>0</v>
      </c>
      <c r="AS646" s="66">
        <f t="shared" si="875"/>
        <v>0</v>
      </c>
      <c r="AT646" s="66">
        <f t="shared" si="875"/>
        <v>0</v>
      </c>
      <c r="AU646" s="66">
        <f t="shared" si="875"/>
        <v>0</v>
      </c>
      <c r="AV646" s="66">
        <f t="shared" si="875"/>
        <v>0</v>
      </c>
      <c r="AW646" s="66">
        <f t="shared" si="875"/>
        <v>0</v>
      </c>
      <c r="AX646" s="66">
        <f t="shared" si="875"/>
        <v>0</v>
      </c>
      <c r="AY646" s="66">
        <f t="shared" si="875"/>
        <v>0</v>
      </c>
      <c r="AZ646" s="66">
        <f t="shared" si="875"/>
        <v>0</v>
      </c>
      <c r="BA646" s="66">
        <f t="shared" si="875"/>
        <v>0</v>
      </c>
      <c r="BB646" s="66">
        <f t="shared" si="875"/>
        <v>0</v>
      </c>
      <c r="BC646" s="66">
        <f t="shared" si="875"/>
        <v>0</v>
      </c>
      <c r="BD646" s="66">
        <f t="shared" si="875"/>
        <v>0</v>
      </c>
      <c r="BE646" s="66">
        <f t="shared" si="875"/>
        <v>0</v>
      </c>
      <c r="BF646" s="66">
        <f t="shared" si="875"/>
        <v>0</v>
      </c>
      <c r="BG646" s="66">
        <f t="shared" si="875"/>
        <v>0</v>
      </c>
      <c r="BH646" s="66">
        <f t="shared" si="875"/>
        <v>0</v>
      </c>
      <c r="BI646" s="66">
        <f t="shared" si="875"/>
        <v>0</v>
      </c>
      <c r="BJ646" s="66">
        <f t="shared" si="875"/>
        <v>0</v>
      </c>
      <c r="BY646" s="12"/>
      <c r="BZ646" s="335"/>
      <c r="CA646" s="12"/>
      <c r="CB646" s="335"/>
      <c r="CC646" s="335"/>
      <c r="CD646" s="335"/>
      <c r="CE646" s="335"/>
      <c r="CM646" s="335"/>
      <c r="CN646" s="335"/>
      <c r="CO646" s="335"/>
      <c r="CP646" s="335"/>
      <c r="CR646" s="12"/>
      <c r="CT646" s="335"/>
      <c r="CU646" s="335"/>
      <c r="EW646" s="335"/>
      <c r="EX646" s="10" t="str">
        <f t="shared" si="771"/>
        <v/>
      </c>
    </row>
    <row r="647" spans="1:154" s="67" customFormat="1" x14ac:dyDescent="0.25">
      <c r="B647" s="84" t="str" cm="1">
        <f t="array" aca="1" ref="B647" ca="1">HYPERLINK(CONCATENATE("#",CELL("address",$D$180)),$D$180)</f>
        <v>Loan 8</v>
      </c>
      <c r="C647" s="380"/>
      <c r="D647" s="60">
        <f>D$20</f>
        <v>0</v>
      </c>
      <c r="E647" s="60">
        <f>E$20</f>
        <v>0</v>
      </c>
      <c r="F647" s="66">
        <f t="shared" si="868"/>
        <v>0</v>
      </c>
      <c r="G647" s="10">
        <f>K$20</f>
        <v>0</v>
      </c>
      <c r="H647" s="50" t="s">
        <v>157</v>
      </c>
      <c r="S647" s="335"/>
      <c r="T647" s="335"/>
      <c r="U647" s="335"/>
      <c r="AA647" s="66">
        <f t="shared" ref="AA647:BJ647" si="876">IF($G647=0, $F647, AA20)</f>
        <v>0</v>
      </c>
      <c r="AB647" s="66">
        <f t="shared" si="876"/>
        <v>0</v>
      </c>
      <c r="AC647" s="66">
        <f t="shared" si="876"/>
        <v>0</v>
      </c>
      <c r="AD647" s="66">
        <f t="shared" si="876"/>
        <v>0</v>
      </c>
      <c r="AE647" s="66">
        <f t="shared" si="876"/>
        <v>0</v>
      </c>
      <c r="AF647" s="66">
        <f t="shared" si="876"/>
        <v>0</v>
      </c>
      <c r="AG647" s="66">
        <f t="shared" si="876"/>
        <v>0</v>
      </c>
      <c r="AH647" s="66">
        <f t="shared" si="876"/>
        <v>0</v>
      </c>
      <c r="AI647" s="66">
        <f t="shared" si="876"/>
        <v>0</v>
      </c>
      <c r="AJ647" s="66">
        <f t="shared" si="876"/>
        <v>0</v>
      </c>
      <c r="AK647" s="66">
        <f t="shared" si="876"/>
        <v>0</v>
      </c>
      <c r="AL647" s="66">
        <f t="shared" si="876"/>
        <v>0</v>
      </c>
      <c r="AM647" s="66">
        <f t="shared" si="876"/>
        <v>0</v>
      </c>
      <c r="AN647" s="66">
        <f t="shared" si="876"/>
        <v>0</v>
      </c>
      <c r="AO647" s="66">
        <f t="shared" si="876"/>
        <v>0</v>
      </c>
      <c r="AP647" s="66">
        <f t="shared" si="876"/>
        <v>0</v>
      </c>
      <c r="AQ647" s="66">
        <f t="shared" si="876"/>
        <v>0</v>
      </c>
      <c r="AR647" s="66">
        <f t="shared" si="876"/>
        <v>0</v>
      </c>
      <c r="AS647" s="66">
        <f t="shared" si="876"/>
        <v>0</v>
      </c>
      <c r="AT647" s="66">
        <f t="shared" si="876"/>
        <v>0</v>
      </c>
      <c r="AU647" s="66">
        <f t="shared" si="876"/>
        <v>0</v>
      </c>
      <c r="AV647" s="66">
        <f t="shared" si="876"/>
        <v>0</v>
      </c>
      <c r="AW647" s="66">
        <f t="shared" si="876"/>
        <v>0</v>
      </c>
      <c r="AX647" s="66">
        <f t="shared" si="876"/>
        <v>0</v>
      </c>
      <c r="AY647" s="66">
        <f t="shared" si="876"/>
        <v>0</v>
      </c>
      <c r="AZ647" s="66">
        <f t="shared" si="876"/>
        <v>0</v>
      </c>
      <c r="BA647" s="66">
        <f t="shared" si="876"/>
        <v>0</v>
      </c>
      <c r="BB647" s="66">
        <f t="shared" si="876"/>
        <v>0</v>
      </c>
      <c r="BC647" s="66">
        <f t="shared" si="876"/>
        <v>0</v>
      </c>
      <c r="BD647" s="66">
        <f t="shared" si="876"/>
        <v>0</v>
      </c>
      <c r="BE647" s="66">
        <f t="shared" si="876"/>
        <v>0</v>
      </c>
      <c r="BF647" s="66">
        <f t="shared" si="876"/>
        <v>0</v>
      </c>
      <c r="BG647" s="66">
        <f t="shared" si="876"/>
        <v>0</v>
      </c>
      <c r="BH647" s="66">
        <f t="shared" si="876"/>
        <v>0</v>
      </c>
      <c r="BI647" s="66">
        <f t="shared" si="876"/>
        <v>0</v>
      </c>
      <c r="BJ647" s="66">
        <f t="shared" si="876"/>
        <v>0</v>
      </c>
      <c r="BY647" s="12"/>
      <c r="BZ647" s="335"/>
      <c r="CA647" s="12"/>
      <c r="CB647" s="335"/>
      <c r="CC647" s="335"/>
      <c r="CD647" s="335"/>
      <c r="CE647" s="335"/>
      <c r="CM647" s="335"/>
      <c r="CN647" s="335"/>
      <c r="CO647" s="335"/>
      <c r="CP647" s="335"/>
      <c r="CR647" s="12"/>
      <c r="CT647" s="335"/>
      <c r="CU647" s="335"/>
      <c r="EW647" s="335"/>
      <c r="EX647" s="10" t="str">
        <f t="shared" si="771"/>
        <v/>
      </c>
    </row>
    <row r="648" spans="1:154" s="67" customFormat="1" x14ac:dyDescent="0.25">
      <c r="B648" s="84" t="str" cm="1">
        <f t="array" aca="1" ref="B648" ca="1">HYPERLINK(CONCATENATE("#",CELL("address",$D$199)),$D$199)</f>
        <v>Loan 9</v>
      </c>
      <c r="C648" s="380"/>
      <c r="D648" s="60">
        <f>D$21</f>
        <v>0</v>
      </c>
      <c r="E648" s="60">
        <f>E$21</f>
        <v>0</v>
      </c>
      <c r="F648" s="66">
        <f t="shared" si="868"/>
        <v>0</v>
      </c>
      <c r="G648" s="10">
        <f>K$21</f>
        <v>0</v>
      </c>
      <c r="H648" s="50" t="s">
        <v>157</v>
      </c>
      <c r="S648" s="335"/>
      <c r="T648" s="335"/>
      <c r="U648" s="335"/>
      <c r="AA648" s="66">
        <f t="shared" ref="AA648:BJ648" si="877">IF($G648=0, $F648, AA21)</f>
        <v>0</v>
      </c>
      <c r="AB648" s="66">
        <f t="shared" si="877"/>
        <v>0</v>
      </c>
      <c r="AC648" s="66">
        <f t="shared" si="877"/>
        <v>0</v>
      </c>
      <c r="AD648" s="66">
        <f t="shared" si="877"/>
        <v>0</v>
      </c>
      <c r="AE648" s="66">
        <f t="shared" si="877"/>
        <v>0</v>
      </c>
      <c r="AF648" s="66">
        <f t="shared" si="877"/>
        <v>0</v>
      </c>
      <c r="AG648" s="66">
        <f t="shared" si="877"/>
        <v>0</v>
      </c>
      <c r="AH648" s="66">
        <f t="shared" si="877"/>
        <v>0</v>
      </c>
      <c r="AI648" s="66">
        <f t="shared" si="877"/>
        <v>0</v>
      </c>
      <c r="AJ648" s="66">
        <f t="shared" si="877"/>
        <v>0</v>
      </c>
      <c r="AK648" s="66">
        <f t="shared" si="877"/>
        <v>0</v>
      </c>
      <c r="AL648" s="66">
        <f t="shared" si="877"/>
        <v>0</v>
      </c>
      <c r="AM648" s="66">
        <f t="shared" si="877"/>
        <v>0</v>
      </c>
      <c r="AN648" s="66">
        <f t="shared" si="877"/>
        <v>0</v>
      </c>
      <c r="AO648" s="66">
        <f t="shared" si="877"/>
        <v>0</v>
      </c>
      <c r="AP648" s="66">
        <f t="shared" si="877"/>
        <v>0</v>
      </c>
      <c r="AQ648" s="66">
        <f t="shared" si="877"/>
        <v>0</v>
      </c>
      <c r="AR648" s="66">
        <f t="shared" si="877"/>
        <v>0</v>
      </c>
      <c r="AS648" s="66">
        <f t="shared" si="877"/>
        <v>0</v>
      </c>
      <c r="AT648" s="66">
        <f t="shared" si="877"/>
        <v>0</v>
      </c>
      <c r="AU648" s="66">
        <f t="shared" si="877"/>
        <v>0</v>
      </c>
      <c r="AV648" s="66">
        <f t="shared" si="877"/>
        <v>0</v>
      </c>
      <c r="AW648" s="66">
        <f t="shared" si="877"/>
        <v>0</v>
      </c>
      <c r="AX648" s="66">
        <f t="shared" si="877"/>
        <v>0</v>
      </c>
      <c r="AY648" s="66">
        <f t="shared" si="877"/>
        <v>0</v>
      </c>
      <c r="AZ648" s="66">
        <f t="shared" si="877"/>
        <v>0</v>
      </c>
      <c r="BA648" s="66">
        <f t="shared" si="877"/>
        <v>0</v>
      </c>
      <c r="BB648" s="66">
        <f t="shared" si="877"/>
        <v>0</v>
      </c>
      <c r="BC648" s="66">
        <f t="shared" si="877"/>
        <v>0</v>
      </c>
      <c r="BD648" s="66">
        <f t="shared" si="877"/>
        <v>0</v>
      </c>
      <c r="BE648" s="66">
        <f t="shared" si="877"/>
        <v>0</v>
      </c>
      <c r="BF648" s="66">
        <f t="shared" si="877"/>
        <v>0</v>
      </c>
      <c r="BG648" s="66">
        <f t="shared" si="877"/>
        <v>0</v>
      </c>
      <c r="BH648" s="66">
        <f t="shared" si="877"/>
        <v>0</v>
      </c>
      <c r="BI648" s="66">
        <f t="shared" si="877"/>
        <v>0</v>
      </c>
      <c r="BJ648" s="66">
        <f t="shared" si="877"/>
        <v>0</v>
      </c>
      <c r="BY648" s="12"/>
      <c r="BZ648" s="335"/>
      <c r="CA648" s="12"/>
      <c r="CB648" s="335"/>
      <c r="CC648" s="335"/>
      <c r="CD648" s="335"/>
      <c r="CE648" s="335"/>
      <c r="CM648" s="335"/>
      <c r="CN648" s="335"/>
      <c r="CO648" s="335"/>
      <c r="CP648" s="335"/>
      <c r="CR648" s="12"/>
      <c r="CT648" s="335"/>
      <c r="CU648" s="335"/>
      <c r="EW648" s="335"/>
      <c r="EX648" s="10" t="str">
        <f t="shared" si="771"/>
        <v/>
      </c>
    </row>
    <row r="649" spans="1:154" s="67" customFormat="1" x14ac:dyDescent="0.25">
      <c r="B649" s="84" t="str" cm="1">
        <f t="array" aca="1" ref="B649" ca="1">HYPERLINK(CONCATENATE("#",CELL("address",$D$218)),$D$218)</f>
        <v>Loan 10</v>
      </c>
      <c r="C649" s="380"/>
      <c r="D649" s="60">
        <f>D$22</f>
        <v>0</v>
      </c>
      <c r="E649" s="60">
        <f>E$22</f>
        <v>0</v>
      </c>
      <c r="F649" s="66">
        <f t="shared" si="868"/>
        <v>0</v>
      </c>
      <c r="G649" s="10">
        <f>K$22</f>
        <v>0</v>
      </c>
      <c r="H649" s="50" t="s">
        <v>157</v>
      </c>
      <c r="S649" s="335"/>
      <c r="T649" s="335"/>
      <c r="U649" s="335"/>
      <c r="AA649" s="66">
        <f t="shared" ref="AA649:BJ649" si="878">IF($G649=0, $F649, AA22)</f>
        <v>0</v>
      </c>
      <c r="AB649" s="66">
        <f t="shared" si="878"/>
        <v>0</v>
      </c>
      <c r="AC649" s="66">
        <f t="shared" si="878"/>
        <v>0</v>
      </c>
      <c r="AD649" s="66">
        <f t="shared" si="878"/>
        <v>0</v>
      </c>
      <c r="AE649" s="66">
        <f t="shared" si="878"/>
        <v>0</v>
      </c>
      <c r="AF649" s="66">
        <f t="shared" si="878"/>
        <v>0</v>
      </c>
      <c r="AG649" s="66">
        <f t="shared" si="878"/>
        <v>0</v>
      </c>
      <c r="AH649" s="66">
        <f t="shared" si="878"/>
        <v>0</v>
      </c>
      <c r="AI649" s="66">
        <f t="shared" si="878"/>
        <v>0</v>
      </c>
      <c r="AJ649" s="66">
        <f t="shared" si="878"/>
        <v>0</v>
      </c>
      <c r="AK649" s="66">
        <f t="shared" si="878"/>
        <v>0</v>
      </c>
      <c r="AL649" s="66">
        <f t="shared" si="878"/>
        <v>0</v>
      </c>
      <c r="AM649" s="66">
        <f t="shared" si="878"/>
        <v>0</v>
      </c>
      <c r="AN649" s="66">
        <f t="shared" si="878"/>
        <v>0</v>
      </c>
      <c r="AO649" s="66">
        <f t="shared" si="878"/>
        <v>0</v>
      </c>
      <c r="AP649" s="66">
        <f t="shared" si="878"/>
        <v>0</v>
      </c>
      <c r="AQ649" s="66">
        <f t="shared" si="878"/>
        <v>0</v>
      </c>
      <c r="AR649" s="66">
        <f t="shared" si="878"/>
        <v>0</v>
      </c>
      <c r="AS649" s="66">
        <f t="shared" si="878"/>
        <v>0</v>
      </c>
      <c r="AT649" s="66">
        <f t="shared" si="878"/>
        <v>0</v>
      </c>
      <c r="AU649" s="66">
        <f t="shared" si="878"/>
        <v>0</v>
      </c>
      <c r="AV649" s="66">
        <f t="shared" si="878"/>
        <v>0</v>
      </c>
      <c r="AW649" s="66">
        <f t="shared" si="878"/>
        <v>0</v>
      </c>
      <c r="AX649" s="66">
        <f t="shared" si="878"/>
        <v>0</v>
      </c>
      <c r="AY649" s="66">
        <f t="shared" si="878"/>
        <v>0</v>
      </c>
      <c r="AZ649" s="66">
        <f t="shared" si="878"/>
        <v>0</v>
      </c>
      <c r="BA649" s="66">
        <f t="shared" si="878"/>
        <v>0</v>
      </c>
      <c r="BB649" s="66">
        <f t="shared" si="878"/>
        <v>0</v>
      </c>
      <c r="BC649" s="66">
        <f t="shared" si="878"/>
        <v>0</v>
      </c>
      <c r="BD649" s="66">
        <f t="shared" si="878"/>
        <v>0</v>
      </c>
      <c r="BE649" s="66">
        <f t="shared" si="878"/>
        <v>0</v>
      </c>
      <c r="BF649" s="66">
        <f t="shared" si="878"/>
        <v>0</v>
      </c>
      <c r="BG649" s="66">
        <f t="shared" si="878"/>
        <v>0</v>
      </c>
      <c r="BH649" s="66">
        <f t="shared" si="878"/>
        <v>0</v>
      </c>
      <c r="BI649" s="66">
        <f t="shared" si="878"/>
        <v>0</v>
      </c>
      <c r="BJ649" s="66">
        <f t="shared" si="878"/>
        <v>0</v>
      </c>
      <c r="BY649" s="12"/>
      <c r="BZ649" s="335"/>
      <c r="CA649" s="12"/>
      <c r="CB649" s="335"/>
      <c r="CC649" s="335"/>
      <c r="CD649" s="335"/>
      <c r="CE649" s="335"/>
      <c r="CM649" s="335"/>
      <c r="CN649" s="335"/>
      <c r="CO649" s="335"/>
      <c r="CP649" s="335"/>
      <c r="CR649" s="12"/>
      <c r="CT649" s="335"/>
      <c r="CU649" s="335"/>
      <c r="EW649" s="335"/>
      <c r="EX649" s="10" t="str">
        <f t="shared" si="771"/>
        <v/>
      </c>
    </row>
    <row r="650" spans="1:154" s="67" customFormat="1" x14ac:dyDescent="0.25">
      <c r="B650" s="84" t="str" cm="1">
        <f t="array" aca="1" ref="B650" ca="1">HYPERLINK(CONCATENATE("#",CELL("address",$D$237)),$D$237)</f>
        <v>Loan 11</v>
      </c>
      <c r="C650" s="380"/>
      <c r="D650" s="60">
        <f>D$23</f>
        <v>0</v>
      </c>
      <c r="E650" s="60">
        <f>E$23</f>
        <v>0</v>
      </c>
      <c r="F650" s="66">
        <f t="shared" si="868"/>
        <v>0</v>
      </c>
      <c r="G650" s="10">
        <f>K$23</f>
        <v>0</v>
      </c>
      <c r="H650" s="50" t="s">
        <v>157</v>
      </c>
      <c r="S650" s="335"/>
      <c r="T650" s="335"/>
      <c r="U650" s="335"/>
      <c r="AA650" s="66">
        <f t="shared" ref="AA650:BJ650" si="879">IF($G650=0, $F650, AA23)</f>
        <v>0</v>
      </c>
      <c r="AB650" s="66">
        <f t="shared" si="879"/>
        <v>0</v>
      </c>
      <c r="AC650" s="66">
        <f t="shared" si="879"/>
        <v>0</v>
      </c>
      <c r="AD650" s="66">
        <f t="shared" si="879"/>
        <v>0</v>
      </c>
      <c r="AE650" s="66">
        <f t="shared" si="879"/>
        <v>0</v>
      </c>
      <c r="AF650" s="66">
        <f t="shared" si="879"/>
        <v>0</v>
      </c>
      <c r="AG650" s="66">
        <f t="shared" si="879"/>
        <v>0</v>
      </c>
      <c r="AH650" s="66">
        <f t="shared" si="879"/>
        <v>0</v>
      </c>
      <c r="AI650" s="66">
        <f t="shared" si="879"/>
        <v>0</v>
      </c>
      <c r="AJ650" s="66">
        <f t="shared" si="879"/>
        <v>0</v>
      </c>
      <c r="AK650" s="66">
        <f t="shared" si="879"/>
        <v>0</v>
      </c>
      <c r="AL650" s="66">
        <f t="shared" si="879"/>
        <v>0</v>
      </c>
      <c r="AM650" s="66">
        <f t="shared" si="879"/>
        <v>0</v>
      </c>
      <c r="AN650" s="66">
        <f t="shared" si="879"/>
        <v>0</v>
      </c>
      <c r="AO650" s="66">
        <f t="shared" si="879"/>
        <v>0</v>
      </c>
      <c r="AP650" s="66">
        <f t="shared" si="879"/>
        <v>0</v>
      </c>
      <c r="AQ650" s="66">
        <f t="shared" si="879"/>
        <v>0</v>
      </c>
      <c r="AR650" s="66">
        <f t="shared" si="879"/>
        <v>0</v>
      </c>
      <c r="AS650" s="66">
        <f t="shared" si="879"/>
        <v>0</v>
      </c>
      <c r="AT650" s="66">
        <f t="shared" si="879"/>
        <v>0</v>
      </c>
      <c r="AU650" s="66">
        <f t="shared" si="879"/>
        <v>0</v>
      </c>
      <c r="AV650" s="66">
        <f t="shared" si="879"/>
        <v>0</v>
      </c>
      <c r="AW650" s="66">
        <f t="shared" si="879"/>
        <v>0</v>
      </c>
      <c r="AX650" s="66">
        <f t="shared" si="879"/>
        <v>0</v>
      </c>
      <c r="AY650" s="66">
        <f t="shared" si="879"/>
        <v>0</v>
      </c>
      <c r="AZ650" s="66">
        <f t="shared" si="879"/>
        <v>0</v>
      </c>
      <c r="BA650" s="66">
        <f t="shared" si="879"/>
        <v>0</v>
      </c>
      <c r="BB650" s="66">
        <f t="shared" si="879"/>
        <v>0</v>
      </c>
      <c r="BC650" s="66">
        <f t="shared" si="879"/>
        <v>0</v>
      </c>
      <c r="BD650" s="66">
        <f t="shared" si="879"/>
        <v>0</v>
      </c>
      <c r="BE650" s="66">
        <f t="shared" si="879"/>
        <v>0</v>
      </c>
      <c r="BF650" s="66">
        <f t="shared" si="879"/>
        <v>0</v>
      </c>
      <c r="BG650" s="66">
        <f t="shared" si="879"/>
        <v>0</v>
      </c>
      <c r="BH650" s="66">
        <f t="shared" si="879"/>
        <v>0</v>
      </c>
      <c r="BI650" s="66">
        <f t="shared" si="879"/>
        <v>0</v>
      </c>
      <c r="BJ650" s="66">
        <f t="shared" si="879"/>
        <v>0</v>
      </c>
      <c r="BY650" s="12"/>
      <c r="BZ650" s="335"/>
      <c r="CA650" s="12"/>
      <c r="CB650" s="335"/>
      <c r="CC650" s="335"/>
      <c r="CD650" s="335"/>
      <c r="CE650" s="335"/>
      <c r="CM650" s="335"/>
      <c r="CN650" s="335"/>
      <c r="CO650" s="335"/>
      <c r="CP650" s="335"/>
      <c r="CR650" s="12"/>
      <c r="CT650" s="335"/>
      <c r="CU650" s="335"/>
      <c r="EW650" s="335"/>
      <c r="EX650" s="10" t="str">
        <f t="shared" si="771"/>
        <v/>
      </c>
    </row>
    <row r="651" spans="1:154" s="67" customFormat="1" x14ac:dyDescent="0.25">
      <c r="B651" s="84" t="str" cm="1">
        <f t="array" aca="1" ref="B651" ca="1">HYPERLINK(CONCATENATE("#",CELL("address",$D$256)),$D$256)</f>
        <v>Loan 12</v>
      </c>
      <c r="C651" s="380"/>
      <c r="D651" s="60">
        <f>D$24</f>
        <v>0</v>
      </c>
      <c r="E651" s="60">
        <f>E$24</f>
        <v>0</v>
      </c>
      <c r="F651" s="66">
        <f t="shared" si="868"/>
        <v>0</v>
      </c>
      <c r="G651" s="10">
        <f>K$24</f>
        <v>0</v>
      </c>
      <c r="H651" s="50" t="s">
        <v>157</v>
      </c>
      <c r="S651" s="335"/>
      <c r="T651" s="335"/>
      <c r="U651" s="335"/>
      <c r="AA651" s="66">
        <f t="shared" ref="AA651:BJ651" si="880">IF($G651=0, $F651, AA24)</f>
        <v>0</v>
      </c>
      <c r="AB651" s="66">
        <f t="shared" si="880"/>
        <v>0</v>
      </c>
      <c r="AC651" s="66">
        <f t="shared" si="880"/>
        <v>0</v>
      </c>
      <c r="AD651" s="66">
        <f t="shared" si="880"/>
        <v>0</v>
      </c>
      <c r="AE651" s="66">
        <f t="shared" si="880"/>
        <v>0</v>
      </c>
      <c r="AF651" s="66">
        <f t="shared" si="880"/>
        <v>0</v>
      </c>
      <c r="AG651" s="66">
        <f t="shared" si="880"/>
        <v>0</v>
      </c>
      <c r="AH651" s="66">
        <f t="shared" si="880"/>
        <v>0</v>
      </c>
      <c r="AI651" s="66">
        <f t="shared" si="880"/>
        <v>0</v>
      </c>
      <c r="AJ651" s="66">
        <f t="shared" si="880"/>
        <v>0</v>
      </c>
      <c r="AK651" s="66">
        <f t="shared" si="880"/>
        <v>0</v>
      </c>
      <c r="AL651" s="66">
        <f t="shared" si="880"/>
        <v>0</v>
      </c>
      <c r="AM651" s="66">
        <f t="shared" si="880"/>
        <v>0</v>
      </c>
      <c r="AN651" s="66">
        <f t="shared" si="880"/>
        <v>0</v>
      </c>
      <c r="AO651" s="66">
        <f t="shared" si="880"/>
        <v>0</v>
      </c>
      <c r="AP651" s="66">
        <f t="shared" si="880"/>
        <v>0</v>
      </c>
      <c r="AQ651" s="66">
        <f t="shared" si="880"/>
        <v>0</v>
      </c>
      <c r="AR651" s="66">
        <f t="shared" si="880"/>
        <v>0</v>
      </c>
      <c r="AS651" s="66">
        <f t="shared" si="880"/>
        <v>0</v>
      </c>
      <c r="AT651" s="66">
        <f t="shared" si="880"/>
        <v>0</v>
      </c>
      <c r="AU651" s="66">
        <f t="shared" si="880"/>
        <v>0</v>
      </c>
      <c r="AV651" s="66">
        <f t="shared" si="880"/>
        <v>0</v>
      </c>
      <c r="AW651" s="66">
        <f t="shared" si="880"/>
        <v>0</v>
      </c>
      <c r="AX651" s="66">
        <f t="shared" si="880"/>
        <v>0</v>
      </c>
      <c r="AY651" s="66">
        <f t="shared" si="880"/>
        <v>0</v>
      </c>
      <c r="AZ651" s="66">
        <f t="shared" si="880"/>
        <v>0</v>
      </c>
      <c r="BA651" s="66">
        <f t="shared" si="880"/>
        <v>0</v>
      </c>
      <c r="BB651" s="66">
        <f t="shared" si="880"/>
        <v>0</v>
      </c>
      <c r="BC651" s="66">
        <f t="shared" si="880"/>
        <v>0</v>
      </c>
      <c r="BD651" s="66">
        <f t="shared" si="880"/>
        <v>0</v>
      </c>
      <c r="BE651" s="66">
        <f t="shared" si="880"/>
        <v>0</v>
      </c>
      <c r="BF651" s="66">
        <f t="shared" si="880"/>
        <v>0</v>
      </c>
      <c r="BG651" s="66">
        <f t="shared" si="880"/>
        <v>0</v>
      </c>
      <c r="BH651" s="66">
        <f t="shared" si="880"/>
        <v>0</v>
      </c>
      <c r="BI651" s="66">
        <f t="shared" si="880"/>
        <v>0</v>
      </c>
      <c r="BJ651" s="66">
        <f t="shared" si="880"/>
        <v>0</v>
      </c>
      <c r="BY651" s="12"/>
      <c r="BZ651" s="335"/>
      <c r="CA651" s="12"/>
      <c r="CB651" s="335"/>
      <c r="CC651" s="335"/>
      <c r="CD651" s="335"/>
      <c r="CE651" s="335"/>
      <c r="CM651" s="335"/>
      <c r="CN651" s="335"/>
      <c r="CO651" s="335"/>
      <c r="CP651" s="335"/>
      <c r="CR651" s="12"/>
      <c r="CT651" s="335"/>
      <c r="CU651" s="335"/>
      <c r="EW651" s="335"/>
      <c r="EX651" s="10" t="str">
        <f t="shared" si="771"/>
        <v/>
      </c>
    </row>
    <row r="652" spans="1:154" s="67" customFormat="1" x14ac:dyDescent="0.25">
      <c r="B652" s="84" t="str" cm="1">
        <f t="array" aca="1" ref="B652" ca="1">HYPERLINK(CONCATENATE("#",CELL("address",$D$275)),$D$275)</f>
        <v>Loan 13</v>
      </c>
      <c r="C652" s="380"/>
      <c r="D652" s="60">
        <f>D$25</f>
        <v>0</v>
      </c>
      <c r="E652" s="60">
        <f>E$25</f>
        <v>0</v>
      </c>
      <c r="F652" s="66">
        <f t="shared" si="868"/>
        <v>0</v>
      </c>
      <c r="G652" s="10">
        <f>K$25</f>
        <v>0</v>
      </c>
      <c r="H652" s="50" t="s">
        <v>157</v>
      </c>
      <c r="S652" s="335"/>
      <c r="T652" s="335"/>
      <c r="U652" s="335"/>
      <c r="AA652" s="66">
        <f t="shared" ref="AA652:BJ652" si="881">IF($G652=0, $F652, AA25)</f>
        <v>0</v>
      </c>
      <c r="AB652" s="66">
        <f t="shared" si="881"/>
        <v>0</v>
      </c>
      <c r="AC652" s="66">
        <f t="shared" si="881"/>
        <v>0</v>
      </c>
      <c r="AD652" s="66">
        <f t="shared" si="881"/>
        <v>0</v>
      </c>
      <c r="AE652" s="66">
        <f t="shared" si="881"/>
        <v>0</v>
      </c>
      <c r="AF652" s="66">
        <f t="shared" si="881"/>
        <v>0</v>
      </c>
      <c r="AG652" s="66">
        <f t="shared" si="881"/>
        <v>0</v>
      </c>
      <c r="AH652" s="66">
        <f t="shared" si="881"/>
        <v>0</v>
      </c>
      <c r="AI652" s="66">
        <f t="shared" si="881"/>
        <v>0</v>
      </c>
      <c r="AJ652" s="66">
        <f t="shared" si="881"/>
        <v>0</v>
      </c>
      <c r="AK652" s="66">
        <f t="shared" si="881"/>
        <v>0</v>
      </c>
      <c r="AL652" s="66">
        <f t="shared" si="881"/>
        <v>0</v>
      </c>
      <c r="AM652" s="66">
        <f t="shared" si="881"/>
        <v>0</v>
      </c>
      <c r="AN652" s="66">
        <f t="shared" si="881"/>
        <v>0</v>
      </c>
      <c r="AO652" s="66">
        <f t="shared" si="881"/>
        <v>0</v>
      </c>
      <c r="AP652" s="66">
        <f t="shared" si="881"/>
        <v>0</v>
      </c>
      <c r="AQ652" s="66">
        <f t="shared" si="881"/>
        <v>0</v>
      </c>
      <c r="AR652" s="66">
        <f t="shared" si="881"/>
        <v>0</v>
      </c>
      <c r="AS652" s="66">
        <f t="shared" si="881"/>
        <v>0</v>
      </c>
      <c r="AT652" s="66">
        <f t="shared" si="881"/>
        <v>0</v>
      </c>
      <c r="AU652" s="66">
        <f t="shared" si="881"/>
        <v>0</v>
      </c>
      <c r="AV652" s="66">
        <f t="shared" si="881"/>
        <v>0</v>
      </c>
      <c r="AW652" s="66">
        <f t="shared" si="881"/>
        <v>0</v>
      </c>
      <c r="AX652" s="66">
        <f t="shared" si="881"/>
        <v>0</v>
      </c>
      <c r="AY652" s="66">
        <f t="shared" si="881"/>
        <v>0</v>
      </c>
      <c r="AZ652" s="66">
        <f t="shared" si="881"/>
        <v>0</v>
      </c>
      <c r="BA652" s="66">
        <f t="shared" si="881"/>
        <v>0</v>
      </c>
      <c r="BB652" s="66">
        <f t="shared" si="881"/>
        <v>0</v>
      </c>
      <c r="BC652" s="66">
        <f t="shared" si="881"/>
        <v>0</v>
      </c>
      <c r="BD652" s="66">
        <f t="shared" si="881"/>
        <v>0</v>
      </c>
      <c r="BE652" s="66">
        <f t="shared" si="881"/>
        <v>0</v>
      </c>
      <c r="BF652" s="66">
        <f t="shared" si="881"/>
        <v>0</v>
      </c>
      <c r="BG652" s="66">
        <f t="shared" si="881"/>
        <v>0</v>
      </c>
      <c r="BH652" s="66">
        <f t="shared" si="881"/>
        <v>0</v>
      </c>
      <c r="BI652" s="66">
        <f t="shared" si="881"/>
        <v>0</v>
      </c>
      <c r="BJ652" s="66">
        <f t="shared" si="881"/>
        <v>0</v>
      </c>
      <c r="BY652" s="12"/>
      <c r="BZ652" s="335"/>
      <c r="CA652" s="12"/>
      <c r="CB652" s="335"/>
      <c r="CC652" s="335"/>
      <c r="CD652" s="335"/>
      <c r="CE652" s="335"/>
      <c r="CM652" s="335"/>
      <c r="CN652" s="335"/>
      <c r="CO652" s="335"/>
      <c r="CP652" s="335"/>
      <c r="CR652" s="12"/>
      <c r="CT652" s="335"/>
      <c r="CU652" s="335"/>
      <c r="EW652" s="335"/>
      <c r="EX652" s="10" t="str">
        <f t="shared" si="771"/>
        <v/>
      </c>
    </row>
    <row r="653" spans="1:154" s="5" customFormat="1" x14ac:dyDescent="0.25">
      <c r="A653" s="67"/>
      <c r="B653" s="84" t="str" cm="1">
        <f t="array" aca="1" ref="B653" ca="1">HYPERLINK(CONCATENATE("#",CELL("address",$D$294)),$D$294)</f>
        <v>Loan 14</v>
      </c>
      <c r="C653" s="380"/>
      <c r="D653" s="60">
        <f>D$26</f>
        <v>0</v>
      </c>
      <c r="E653" s="60">
        <f>E$26</f>
        <v>0</v>
      </c>
      <c r="F653" s="66">
        <f t="shared" si="868"/>
        <v>0</v>
      </c>
      <c r="G653" s="10">
        <f>K$26</f>
        <v>0</v>
      </c>
      <c r="H653" s="50" t="s">
        <v>157</v>
      </c>
      <c r="I653" s="67"/>
      <c r="J653" s="67"/>
      <c r="K653" s="67"/>
      <c r="L653" s="67"/>
      <c r="M653" s="67"/>
      <c r="N653" s="67"/>
      <c r="O653" s="67"/>
      <c r="P653" s="67"/>
      <c r="Q653" s="67"/>
      <c r="R653" s="67"/>
      <c r="S653" s="335"/>
      <c r="T653" s="335"/>
      <c r="U653" s="335"/>
      <c r="V653" s="67"/>
      <c r="W653" s="67"/>
      <c r="X653" s="67"/>
      <c r="Y653" s="67"/>
      <c r="Z653" s="67"/>
      <c r="AA653" s="66">
        <f t="shared" ref="AA653:BJ653" si="882">IF($G653=0, $F653, AA26)</f>
        <v>0</v>
      </c>
      <c r="AB653" s="66">
        <f t="shared" si="882"/>
        <v>0</v>
      </c>
      <c r="AC653" s="66">
        <f t="shared" si="882"/>
        <v>0</v>
      </c>
      <c r="AD653" s="66">
        <f t="shared" si="882"/>
        <v>0</v>
      </c>
      <c r="AE653" s="66">
        <f t="shared" si="882"/>
        <v>0</v>
      </c>
      <c r="AF653" s="66">
        <f t="shared" si="882"/>
        <v>0</v>
      </c>
      <c r="AG653" s="66">
        <f t="shared" si="882"/>
        <v>0</v>
      </c>
      <c r="AH653" s="66">
        <f t="shared" si="882"/>
        <v>0</v>
      </c>
      <c r="AI653" s="66">
        <f t="shared" si="882"/>
        <v>0</v>
      </c>
      <c r="AJ653" s="66">
        <f t="shared" si="882"/>
        <v>0</v>
      </c>
      <c r="AK653" s="66">
        <f t="shared" si="882"/>
        <v>0</v>
      </c>
      <c r="AL653" s="66">
        <f t="shared" si="882"/>
        <v>0</v>
      </c>
      <c r="AM653" s="66">
        <f t="shared" si="882"/>
        <v>0</v>
      </c>
      <c r="AN653" s="66">
        <f t="shared" si="882"/>
        <v>0</v>
      </c>
      <c r="AO653" s="66">
        <f t="shared" si="882"/>
        <v>0</v>
      </c>
      <c r="AP653" s="66">
        <f t="shared" si="882"/>
        <v>0</v>
      </c>
      <c r="AQ653" s="66">
        <f t="shared" si="882"/>
        <v>0</v>
      </c>
      <c r="AR653" s="66">
        <f t="shared" si="882"/>
        <v>0</v>
      </c>
      <c r="AS653" s="66">
        <f t="shared" si="882"/>
        <v>0</v>
      </c>
      <c r="AT653" s="66">
        <f t="shared" si="882"/>
        <v>0</v>
      </c>
      <c r="AU653" s="66">
        <f t="shared" si="882"/>
        <v>0</v>
      </c>
      <c r="AV653" s="66">
        <f t="shared" si="882"/>
        <v>0</v>
      </c>
      <c r="AW653" s="66">
        <f t="shared" si="882"/>
        <v>0</v>
      </c>
      <c r="AX653" s="66">
        <f t="shared" si="882"/>
        <v>0</v>
      </c>
      <c r="AY653" s="66">
        <f t="shared" si="882"/>
        <v>0</v>
      </c>
      <c r="AZ653" s="66">
        <f t="shared" si="882"/>
        <v>0</v>
      </c>
      <c r="BA653" s="66">
        <f t="shared" si="882"/>
        <v>0</v>
      </c>
      <c r="BB653" s="66">
        <f t="shared" si="882"/>
        <v>0</v>
      </c>
      <c r="BC653" s="66">
        <f t="shared" si="882"/>
        <v>0</v>
      </c>
      <c r="BD653" s="66">
        <f t="shared" si="882"/>
        <v>0</v>
      </c>
      <c r="BE653" s="66">
        <f t="shared" si="882"/>
        <v>0</v>
      </c>
      <c r="BF653" s="66">
        <f t="shared" si="882"/>
        <v>0</v>
      </c>
      <c r="BG653" s="66">
        <f t="shared" si="882"/>
        <v>0</v>
      </c>
      <c r="BH653" s="66">
        <f t="shared" si="882"/>
        <v>0</v>
      </c>
      <c r="BI653" s="66">
        <f t="shared" si="882"/>
        <v>0</v>
      </c>
      <c r="BJ653" s="66">
        <f t="shared" si="882"/>
        <v>0</v>
      </c>
      <c r="BK653" s="67"/>
      <c r="BL653" s="67"/>
      <c r="BM653" s="67"/>
      <c r="BN653" s="67"/>
      <c r="BO653" s="67"/>
      <c r="BP653" s="67"/>
      <c r="BQ653" s="67"/>
      <c r="BR653" s="67"/>
      <c r="BS653" s="67"/>
      <c r="BT653" s="67"/>
      <c r="BU653" s="67"/>
      <c r="BV653" s="67"/>
      <c r="BW653" s="67"/>
      <c r="BX653" s="67"/>
      <c r="BY653" s="12"/>
      <c r="BZ653" s="335"/>
      <c r="CA653" s="12"/>
      <c r="CB653" s="335"/>
      <c r="CC653" s="335"/>
      <c r="CD653" s="335"/>
      <c r="CE653" s="335"/>
      <c r="CF653" s="67"/>
      <c r="CG653" s="67"/>
      <c r="CH653" s="67"/>
      <c r="CI653" s="67"/>
      <c r="CJ653" s="67"/>
      <c r="CK653" s="67"/>
      <c r="CL653" s="67"/>
      <c r="CM653" s="335"/>
      <c r="CN653" s="335"/>
      <c r="CO653" s="335"/>
      <c r="CP653" s="335"/>
      <c r="CQ653" s="67"/>
      <c r="CR653" s="12"/>
      <c r="EX653" s="10" t="str">
        <f t="shared" si="771"/>
        <v/>
      </c>
    </row>
    <row r="654" spans="1:154" s="67" customFormat="1" x14ac:dyDescent="0.25">
      <c r="B654" s="84" t="str" cm="1">
        <f t="array" aca="1" ref="B654" ca="1">HYPERLINK(CONCATENATE("#",CELL("address",$D$313)),$D$313)</f>
        <v>Loan 15</v>
      </c>
      <c r="C654" s="380"/>
      <c r="D654" s="60">
        <f>D$27</f>
        <v>0</v>
      </c>
      <c r="E654" s="60">
        <f>E$27</f>
        <v>0</v>
      </c>
      <c r="F654" s="66">
        <f t="shared" si="868"/>
        <v>0</v>
      </c>
      <c r="G654" s="10">
        <f>K$27</f>
        <v>0</v>
      </c>
      <c r="H654" s="50" t="s">
        <v>157</v>
      </c>
      <c r="S654" s="335"/>
      <c r="T654" s="335"/>
      <c r="U654" s="335"/>
      <c r="AA654" s="66">
        <f t="shared" ref="AA654:BJ654" si="883">IF($G654=0, $F654, AA27)</f>
        <v>0</v>
      </c>
      <c r="AB654" s="66">
        <f t="shared" si="883"/>
        <v>0</v>
      </c>
      <c r="AC654" s="66">
        <f t="shared" si="883"/>
        <v>0</v>
      </c>
      <c r="AD654" s="66">
        <f t="shared" si="883"/>
        <v>0</v>
      </c>
      <c r="AE654" s="66">
        <f t="shared" si="883"/>
        <v>0</v>
      </c>
      <c r="AF654" s="66">
        <f t="shared" si="883"/>
        <v>0</v>
      </c>
      <c r="AG654" s="66">
        <f t="shared" si="883"/>
        <v>0</v>
      </c>
      <c r="AH654" s="66">
        <f t="shared" si="883"/>
        <v>0</v>
      </c>
      <c r="AI654" s="66">
        <f t="shared" si="883"/>
        <v>0</v>
      </c>
      <c r="AJ654" s="66">
        <f t="shared" si="883"/>
        <v>0</v>
      </c>
      <c r="AK654" s="66">
        <f t="shared" si="883"/>
        <v>0</v>
      </c>
      <c r="AL654" s="66">
        <f t="shared" si="883"/>
        <v>0</v>
      </c>
      <c r="AM654" s="66">
        <f t="shared" si="883"/>
        <v>0</v>
      </c>
      <c r="AN654" s="66">
        <f t="shared" si="883"/>
        <v>0</v>
      </c>
      <c r="AO654" s="66">
        <f t="shared" si="883"/>
        <v>0</v>
      </c>
      <c r="AP654" s="66">
        <f t="shared" si="883"/>
        <v>0</v>
      </c>
      <c r="AQ654" s="66">
        <f t="shared" si="883"/>
        <v>0</v>
      </c>
      <c r="AR654" s="66">
        <f t="shared" si="883"/>
        <v>0</v>
      </c>
      <c r="AS654" s="66">
        <f t="shared" si="883"/>
        <v>0</v>
      </c>
      <c r="AT654" s="66">
        <f t="shared" si="883"/>
        <v>0</v>
      </c>
      <c r="AU654" s="66">
        <f t="shared" si="883"/>
        <v>0</v>
      </c>
      <c r="AV654" s="66">
        <f t="shared" si="883"/>
        <v>0</v>
      </c>
      <c r="AW654" s="66">
        <f t="shared" si="883"/>
        <v>0</v>
      </c>
      <c r="AX654" s="66">
        <f t="shared" si="883"/>
        <v>0</v>
      </c>
      <c r="AY654" s="66">
        <f t="shared" si="883"/>
        <v>0</v>
      </c>
      <c r="AZ654" s="66">
        <f t="shared" si="883"/>
        <v>0</v>
      </c>
      <c r="BA654" s="66">
        <f t="shared" si="883"/>
        <v>0</v>
      </c>
      <c r="BB654" s="66">
        <f t="shared" si="883"/>
        <v>0</v>
      </c>
      <c r="BC654" s="66">
        <f t="shared" si="883"/>
        <v>0</v>
      </c>
      <c r="BD654" s="66">
        <f t="shared" si="883"/>
        <v>0</v>
      </c>
      <c r="BE654" s="66">
        <f t="shared" si="883"/>
        <v>0</v>
      </c>
      <c r="BF654" s="66">
        <f t="shared" si="883"/>
        <v>0</v>
      </c>
      <c r="BG654" s="66">
        <f t="shared" si="883"/>
        <v>0</v>
      </c>
      <c r="BH654" s="66">
        <f t="shared" si="883"/>
        <v>0</v>
      </c>
      <c r="BI654" s="66">
        <f t="shared" si="883"/>
        <v>0</v>
      </c>
      <c r="BJ654" s="66">
        <f t="shared" si="883"/>
        <v>0</v>
      </c>
      <c r="BY654" s="12"/>
      <c r="BZ654" s="335"/>
      <c r="CA654" s="12"/>
      <c r="CB654" s="335"/>
      <c r="CC654" s="335"/>
      <c r="CD654" s="335"/>
      <c r="CE654" s="335"/>
      <c r="CM654" s="335"/>
      <c r="CN654" s="335"/>
      <c r="CO654" s="335"/>
      <c r="CP654" s="335"/>
      <c r="CR654" s="12"/>
      <c r="CT654" s="335"/>
      <c r="CU654" s="335"/>
      <c r="EW654" s="335"/>
      <c r="EX654" s="10" t="str">
        <f t="shared" si="771"/>
        <v/>
      </c>
    </row>
    <row r="655" spans="1:154" s="67" customFormat="1" x14ac:dyDescent="0.25">
      <c r="B655" s="84" t="str" cm="1">
        <f t="array" aca="1" ref="B655" ca="1">HYPERLINK(CONCATENATE("#",CELL("address",$D$332)),$D$332)</f>
        <v>Loan 16</v>
      </c>
      <c r="C655" s="380"/>
      <c r="D655" s="60">
        <f>D$28</f>
        <v>0</v>
      </c>
      <c r="E655" s="60">
        <f>E$28</f>
        <v>0</v>
      </c>
      <c r="F655" s="66">
        <f t="shared" si="868"/>
        <v>0</v>
      </c>
      <c r="G655" s="10">
        <f>K$28</f>
        <v>0</v>
      </c>
      <c r="H655" s="50" t="s">
        <v>157</v>
      </c>
      <c r="S655" s="335"/>
      <c r="T655" s="335"/>
      <c r="U655" s="335"/>
      <c r="AA655" s="66">
        <f t="shared" ref="AA655:BJ655" si="884">IF($G655=0, $F655, AA28)</f>
        <v>0</v>
      </c>
      <c r="AB655" s="66">
        <f t="shared" si="884"/>
        <v>0</v>
      </c>
      <c r="AC655" s="66">
        <f t="shared" si="884"/>
        <v>0</v>
      </c>
      <c r="AD655" s="66">
        <f t="shared" si="884"/>
        <v>0</v>
      </c>
      <c r="AE655" s="66">
        <f t="shared" si="884"/>
        <v>0</v>
      </c>
      <c r="AF655" s="66">
        <f t="shared" si="884"/>
        <v>0</v>
      </c>
      <c r="AG655" s="66">
        <f t="shared" si="884"/>
        <v>0</v>
      </c>
      <c r="AH655" s="66">
        <f t="shared" si="884"/>
        <v>0</v>
      </c>
      <c r="AI655" s="66">
        <f t="shared" si="884"/>
        <v>0</v>
      </c>
      <c r="AJ655" s="66">
        <f t="shared" si="884"/>
        <v>0</v>
      </c>
      <c r="AK655" s="66">
        <f t="shared" si="884"/>
        <v>0</v>
      </c>
      <c r="AL655" s="66">
        <f t="shared" si="884"/>
        <v>0</v>
      </c>
      <c r="AM655" s="66">
        <f t="shared" si="884"/>
        <v>0</v>
      </c>
      <c r="AN655" s="66">
        <f t="shared" si="884"/>
        <v>0</v>
      </c>
      <c r="AO655" s="66">
        <f t="shared" si="884"/>
        <v>0</v>
      </c>
      <c r="AP655" s="66">
        <f t="shared" si="884"/>
        <v>0</v>
      </c>
      <c r="AQ655" s="66">
        <f t="shared" si="884"/>
        <v>0</v>
      </c>
      <c r="AR655" s="66">
        <f t="shared" si="884"/>
        <v>0</v>
      </c>
      <c r="AS655" s="66">
        <f t="shared" si="884"/>
        <v>0</v>
      </c>
      <c r="AT655" s="66">
        <f t="shared" si="884"/>
        <v>0</v>
      </c>
      <c r="AU655" s="66">
        <f t="shared" si="884"/>
        <v>0</v>
      </c>
      <c r="AV655" s="66">
        <f t="shared" si="884"/>
        <v>0</v>
      </c>
      <c r="AW655" s="66">
        <f t="shared" si="884"/>
        <v>0</v>
      </c>
      <c r="AX655" s="66">
        <f t="shared" si="884"/>
        <v>0</v>
      </c>
      <c r="AY655" s="66">
        <f t="shared" si="884"/>
        <v>0</v>
      </c>
      <c r="AZ655" s="66">
        <f t="shared" si="884"/>
        <v>0</v>
      </c>
      <c r="BA655" s="66">
        <f t="shared" si="884"/>
        <v>0</v>
      </c>
      <c r="BB655" s="66">
        <f t="shared" si="884"/>
        <v>0</v>
      </c>
      <c r="BC655" s="66">
        <f t="shared" si="884"/>
        <v>0</v>
      </c>
      <c r="BD655" s="66">
        <f t="shared" si="884"/>
        <v>0</v>
      </c>
      <c r="BE655" s="66">
        <f t="shared" si="884"/>
        <v>0</v>
      </c>
      <c r="BF655" s="66">
        <f t="shared" si="884"/>
        <v>0</v>
      </c>
      <c r="BG655" s="66">
        <f t="shared" si="884"/>
        <v>0</v>
      </c>
      <c r="BH655" s="66">
        <f t="shared" si="884"/>
        <v>0</v>
      </c>
      <c r="BI655" s="66">
        <f t="shared" si="884"/>
        <v>0</v>
      </c>
      <c r="BJ655" s="66">
        <f t="shared" si="884"/>
        <v>0</v>
      </c>
      <c r="BY655" s="12"/>
      <c r="BZ655" s="335"/>
      <c r="CA655" s="12"/>
      <c r="CB655" s="335"/>
      <c r="CC655" s="335"/>
      <c r="CD655" s="335"/>
      <c r="CE655" s="335"/>
      <c r="CM655" s="335"/>
      <c r="CN655" s="335"/>
      <c r="CO655" s="335"/>
      <c r="CP655" s="335"/>
      <c r="CR655" s="12"/>
      <c r="CT655" s="335"/>
      <c r="CU655" s="335"/>
      <c r="EW655" s="335"/>
      <c r="EX655" s="10" t="str">
        <f t="shared" si="771"/>
        <v/>
      </c>
    </row>
    <row r="656" spans="1:154" s="67" customFormat="1" x14ac:dyDescent="0.25">
      <c r="B656" s="84" t="str" cm="1">
        <f t="array" aca="1" ref="B656" ca="1">HYPERLINK(CONCATENATE("#",CELL("address",$D$351)),$D$351)</f>
        <v>Loan 17</v>
      </c>
      <c r="C656" s="380"/>
      <c r="D656" s="60">
        <f>D$29</f>
        <v>0</v>
      </c>
      <c r="E656" s="60">
        <f>E$29</f>
        <v>0</v>
      </c>
      <c r="F656" s="66">
        <f t="shared" si="868"/>
        <v>0</v>
      </c>
      <c r="G656" s="10">
        <f>K$29</f>
        <v>0</v>
      </c>
      <c r="H656" s="50" t="s">
        <v>157</v>
      </c>
      <c r="S656" s="335"/>
      <c r="T656" s="335"/>
      <c r="U656" s="335"/>
      <c r="AA656" s="66">
        <f t="shared" ref="AA656:BJ656" si="885">IF($G656=0, $F656, AA29)</f>
        <v>0</v>
      </c>
      <c r="AB656" s="66">
        <f t="shared" si="885"/>
        <v>0</v>
      </c>
      <c r="AC656" s="66">
        <f t="shared" si="885"/>
        <v>0</v>
      </c>
      <c r="AD656" s="66">
        <f t="shared" si="885"/>
        <v>0</v>
      </c>
      <c r="AE656" s="66">
        <f t="shared" si="885"/>
        <v>0</v>
      </c>
      <c r="AF656" s="66">
        <f t="shared" si="885"/>
        <v>0</v>
      </c>
      <c r="AG656" s="66">
        <f t="shared" si="885"/>
        <v>0</v>
      </c>
      <c r="AH656" s="66">
        <f t="shared" si="885"/>
        <v>0</v>
      </c>
      <c r="AI656" s="66">
        <f t="shared" si="885"/>
        <v>0</v>
      </c>
      <c r="AJ656" s="66">
        <f t="shared" si="885"/>
        <v>0</v>
      </c>
      <c r="AK656" s="66">
        <f t="shared" si="885"/>
        <v>0</v>
      </c>
      <c r="AL656" s="66">
        <f t="shared" si="885"/>
        <v>0</v>
      </c>
      <c r="AM656" s="66">
        <f t="shared" si="885"/>
        <v>0</v>
      </c>
      <c r="AN656" s="66">
        <f t="shared" si="885"/>
        <v>0</v>
      </c>
      <c r="AO656" s="66">
        <f t="shared" si="885"/>
        <v>0</v>
      </c>
      <c r="AP656" s="66">
        <f t="shared" si="885"/>
        <v>0</v>
      </c>
      <c r="AQ656" s="66">
        <f t="shared" si="885"/>
        <v>0</v>
      </c>
      <c r="AR656" s="66">
        <f t="shared" si="885"/>
        <v>0</v>
      </c>
      <c r="AS656" s="66">
        <f t="shared" si="885"/>
        <v>0</v>
      </c>
      <c r="AT656" s="66">
        <f t="shared" si="885"/>
        <v>0</v>
      </c>
      <c r="AU656" s="66">
        <f t="shared" si="885"/>
        <v>0</v>
      </c>
      <c r="AV656" s="66">
        <f t="shared" si="885"/>
        <v>0</v>
      </c>
      <c r="AW656" s="66">
        <f t="shared" si="885"/>
        <v>0</v>
      </c>
      <c r="AX656" s="66">
        <f t="shared" si="885"/>
        <v>0</v>
      </c>
      <c r="AY656" s="66">
        <f t="shared" si="885"/>
        <v>0</v>
      </c>
      <c r="AZ656" s="66">
        <f t="shared" si="885"/>
        <v>0</v>
      </c>
      <c r="BA656" s="66">
        <f t="shared" si="885"/>
        <v>0</v>
      </c>
      <c r="BB656" s="66">
        <f t="shared" si="885"/>
        <v>0</v>
      </c>
      <c r="BC656" s="66">
        <f t="shared" si="885"/>
        <v>0</v>
      </c>
      <c r="BD656" s="66">
        <f t="shared" si="885"/>
        <v>0</v>
      </c>
      <c r="BE656" s="66">
        <f t="shared" si="885"/>
        <v>0</v>
      </c>
      <c r="BF656" s="66">
        <f t="shared" si="885"/>
        <v>0</v>
      </c>
      <c r="BG656" s="66">
        <f t="shared" si="885"/>
        <v>0</v>
      </c>
      <c r="BH656" s="66">
        <f t="shared" si="885"/>
        <v>0</v>
      </c>
      <c r="BI656" s="66">
        <f t="shared" si="885"/>
        <v>0</v>
      </c>
      <c r="BJ656" s="66">
        <f t="shared" si="885"/>
        <v>0</v>
      </c>
      <c r="BY656" s="12"/>
      <c r="BZ656" s="335"/>
      <c r="CA656" s="12"/>
      <c r="CB656" s="335"/>
      <c r="CC656" s="335"/>
      <c r="CD656" s="335"/>
      <c r="CE656" s="335"/>
      <c r="CM656" s="335"/>
      <c r="CN656" s="335"/>
      <c r="CO656" s="335"/>
      <c r="CP656" s="335"/>
      <c r="CR656" s="12"/>
      <c r="CT656" s="335"/>
      <c r="CU656" s="335"/>
      <c r="EW656" s="335"/>
      <c r="EX656" s="10" t="str">
        <f t="shared" si="771"/>
        <v/>
      </c>
    </row>
    <row r="657" spans="2:154" s="67" customFormat="1" x14ac:dyDescent="0.25">
      <c r="B657" s="84" t="str" cm="1">
        <f t="array" aca="1" ref="B657" ca="1">HYPERLINK(CONCATENATE("#",CELL("address",$D$370)),$D$370)</f>
        <v>Loan 18</v>
      </c>
      <c r="C657" s="380"/>
      <c r="D657" s="60">
        <f>D$30</f>
        <v>0</v>
      </c>
      <c r="E657" s="60">
        <f>E$30</f>
        <v>0</v>
      </c>
      <c r="F657" s="66">
        <f t="shared" si="868"/>
        <v>0</v>
      </c>
      <c r="G657" s="10">
        <f>K$30</f>
        <v>0</v>
      </c>
      <c r="H657" s="50" t="s">
        <v>157</v>
      </c>
      <c r="S657" s="335"/>
      <c r="T657" s="335"/>
      <c r="U657" s="335"/>
      <c r="AA657" s="66">
        <f t="shared" ref="AA657:BJ657" si="886">IF($G657=0, $F657, AA30)</f>
        <v>0</v>
      </c>
      <c r="AB657" s="66">
        <f t="shared" si="886"/>
        <v>0</v>
      </c>
      <c r="AC657" s="66">
        <f t="shared" si="886"/>
        <v>0</v>
      </c>
      <c r="AD657" s="66">
        <f t="shared" si="886"/>
        <v>0</v>
      </c>
      <c r="AE657" s="66">
        <f t="shared" si="886"/>
        <v>0</v>
      </c>
      <c r="AF657" s="66">
        <f t="shared" si="886"/>
        <v>0</v>
      </c>
      <c r="AG657" s="66">
        <f t="shared" si="886"/>
        <v>0</v>
      </c>
      <c r="AH657" s="66">
        <f t="shared" si="886"/>
        <v>0</v>
      </c>
      <c r="AI657" s="66">
        <f t="shared" si="886"/>
        <v>0</v>
      </c>
      <c r="AJ657" s="66">
        <f t="shared" si="886"/>
        <v>0</v>
      </c>
      <c r="AK657" s="66">
        <f t="shared" si="886"/>
        <v>0</v>
      </c>
      <c r="AL657" s="66">
        <f t="shared" si="886"/>
        <v>0</v>
      </c>
      <c r="AM657" s="66">
        <f t="shared" si="886"/>
        <v>0</v>
      </c>
      <c r="AN657" s="66">
        <f t="shared" si="886"/>
        <v>0</v>
      </c>
      <c r="AO657" s="66">
        <f t="shared" si="886"/>
        <v>0</v>
      </c>
      <c r="AP657" s="66">
        <f t="shared" si="886"/>
        <v>0</v>
      </c>
      <c r="AQ657" s="66">
        <f t="shared" si="886"/>
        <v>0</v>
      </c>
      <c r="AR657" s="66">
        <f t="shared" si="886"/>
        <v>0</v>
      </c>
      <c r="AS657" s="66">
        <f t="shared" si="886"/>
        <v>0</v>
      </c>
      <c r="AT657" s="66">
        <f t="shared" si="886"/>
        <v>0</v>
      </c>
      <c r="AU657" s="66">
        <f t="shared" si="886"/>
        <v>0</v>
      </c>
      <c r="AV657" s="66">
        <f t="shared" si="886"/>
        <v>0</v>
      </c>
      <c r="AW657" s="66">
        <f t="shared" si="886"/>
        <v>0</v>
      </c>
      <c r="AX657" s="66">
        <f t="shared" si="886"/>
        <v>0</v>
      </c>
      <c r="AY657" s="66">
        <f t="shared" si="886"/>
        <v>0</v>
      </c>
      <c r="AZ657" s="66">
        <f t="shared" si="886"/>
        <v>0</v>
      </c>
      <c r="BA657" s="66">
        <f t="shared" si="886"/>
        <v>0</v>
      </c>
      <c r="BB657" s="66">
        <f t="shared" si="886"/>
        <v>0</v>
      </c>
      <c r="BC657" s="66">
        <f t="shared" si="886"/>
        <v>0</v>
      </c>
      <c r="BD657" s="66">
        <f t="shared" si="886"/>
        <v>0</v>
      </c>
      <c r="BE657" s="66">
        <f t="shared" si="886"/>
        <v>0</v>
      </c>
      <c r="BF657" s="66">
        <f t="shared" si="886"/>
        <v>0</v>
      </c>
      <c r="BG657" s="66">
        <f t="shared" si="886"/>
        <v>0</v>
      </c>
      <c r="BH657" s="66">
        <f t="shared" si="886"/>
        <v>0</v>
      </c>
      <c r="BI657" s="66">
        <f t="shared" si="886"/>
        <v>0</v>
      </c>
      <c r="BJ657" s="66">
        <f t="shared" si="886"/>
        <v>0</v>
      </c>
      <c r="BY657" s="12"/>
      <c r="BZ657" s="335"/>
      <c r="CA657" s="12"/>
      <c r="CB657" s="335"/>
      <c r="CC657" s="335"/>
      <c r="CD657" s="335"/>
      <c r="CE657" s="335"/>
      <c r="CM657" s="335"/>
      <c r="CN657" s="335"/>
      <c r="CO657" s="335"/>
      <c r="CP657" s="335"/>
      <c r="CR657" s="12"/>
      <c r="CT657" s="335"/>
      <c r="CU657" s="335"/>
      <c r="EW657" s="335"/>
      <c r="EX657" s="10" t="str">
        <f t="shared" si="771"/>
        <v/>
      </c>
    </row>
    <row r="658" spans="2:154" s="67" customFormat="1" x14ac:dyDescent="0.25">
      <c r="B658" s="84" t="str" cm="1">
        <f t="array" aca="1" ref="B658" ca="1">HYPERLINK(CONCATENATE("#",CELL("address",$D$389)),$D$389)</f>
        <v>Loan 19</v>
      </c>
      <c r="C658" s="380"/>
      <c r="D658" s="60">
        <f>D$31</f>
        <v>0</v>
      </c>
      <c r="E658" s="60">
        <f>E$31</f>
        <v>0</v>
      </c>
      <c r="F658" s="66">
        <f t="shared" si="868"/>
        <v>0</v>
      </c>
      <c r="G658" s="10">
        <f>K$31</f>
        <v>0</v>
      </c>
      <c r="H658" s="50" t="s">
        <v>157</v>
      </c>
      <c r="S658" s="335"/>
      <c r="T658" s="335"/>
      <c r="U658" s="335"/>
      <c r="AA658" s="66">
        <f t="shared" ref="AA658:BJ658" si="887">IF($G658=0, $F658, AA31)</f>
        <v>0</v>
      </c>
      <c r="AB658" s="66">
        <f t="shared" si="887"/>
        <v>0</v>
      </c>
      <c r="AC658" s="66">
        <f t="shared" si="887"/>
        <v>0</v>
      </c>
      <c r="AD658" s="66">
        <f t="shared" si="887"/>
        <v>0</v>
      </c>
      <c r="AE658" s="66">
        <f t="shared" si="887"/>
        <v>0</v>
      </c>
      <c r="AF658" s="66">
        <f t="shared" si="887"/>
        <v>0</v>
      </c>
      <c r="AG658" s="66">
        <f t="shared" si="887"/>
        <v>0</v>
      </c>
      <c r="AH658" s="66">
        <f t="shared" si="887"/>
        <v>0</v>
      </c>
      <c r="AI658" s="66">
        <f t="shared" si="887"/>
        <v>0</v>
      </c>
      <c r="AJ658" s="66">
        <f t="shared" si="887"/>
        <v>0</v>
      </c>
      <c r="AK658" s="66">
        <f t="shared" si="887"/>
        <v>0</v>
      </c>
      <c r="AL658" s="66">
        <f t="shared" si="887"/>
        <v>0</v>
      </c>
      <c r="AM658" s="66">
        <f t="shared" si="887"/>
        <v>0</v>
      </c>
      <c r="AN658" s="66">
        <f t="shared" si="887"/>
        <v>0</v>
      </c>
      <c r="AO658" s="66">
        <f t="shared" si="887"/>
        <v>0</v>
      </c>
      <c r="AP658" s="66">
        <f t="shared" si="887"/>
        <v>0</v>
      </c>
      <c r="AQ658" s="66">
        <f t="shared" si="887"/>
        <v>0</v>
      </c>
      <c r="AR658" s="66">
        <f t="shared" si="887"/>
        <v>0</v>
      </c>
      <c r="AS658" s="66">
        <f t="shared" si="887"/>
        <v>0</v>
      </c>
      <c r="AT658" s="66">
        <f t="shared" si="887"/>
        <v>0</v>
      </c>
      <c r="AU658" s="66">
        <f t="shared" si="887"/>
        <v>0</v>
      </c>
      <c r="AV658" s="66">
        <f t="shared" si="887"/>
        <v>0</v>
      </c>
      <c r="AW658" s="66">
        <f t="shared" si="887"/>
        <v>0</v>
      </c>
      <c r="AX658" s="66">
        <f t="shared" si="887"/>
        <v>0</v>
      </c>
      <c r="AY658" s="66">
        <f t="shared" si="887"/>
        <v>0</v>
      </c>
      <c r="AZ658" s="66">
        <f t="shared" si="887"/>
        <v>0</v>
      </c>
      <c r="BA658" s="66">
        <f t="shared" si="887"/>
        <v>0</v>
      </c>
      <c r="BB658" s="66">
        <f t="shared" si="887"/>
        <v>0</v>
      </c>
      <c r="BC658" s="66">
        <f t="shared" si="887"/>
        <v>0</v>
      </c>
      <c r="BD658" s="66">
        <f t="shared" si="887"/>
        <v>0</v>
      </c>
      <c r="BE658" s="66">
        <f t="shared" si="887"/>
        <v>0</v>
      </c>
      <c r="BF658" s="66">
        <f t="shared" si="887"/>
        <v>0</v>
      </c>
      <c r="BG658" s="66">
        <f t="shared" si="887"/>
        <v>0</v>
      </c>
      <c r="BH658" s="66">
        <f t="shared" si="887"/>
        <v>0</v>
      </c>
      <c r="BI658" s="66">
        <f t="shared" si="887"/>
        <v>0</v>
      </c>
      <c r="BJ658" s="66">
        <f t="shared" si="887"/>
        <v>0</v>
      </c>
      <c r="BY658" s="12"/>
      <c r="BZ658" s="335"/>
      <c r="CA658" s="12"/>
      <c r="CB658" s="335"/>
      <c r="CC658" s="335"/>
      <c r="CD658" s="335"/>
      <c r="CE658" s="335"/>
      <c r="CM658" s="335"/>
      <c r="CN658" s="335"/>
      <c r="CO658" s="335"/>
      <c r="CP658" s="335"/>
      <c r="CR658" s="12"/>
      <c r="CT658" s="335"/>
      <c r="CU658" s="335"/>
      <c r="EW658" s="335"/>
      <c r="EX658" s="10" t="str">
        <f t="shared" si="771"/>
        <v/>
      </c>
    </row>
    <row r="659" spans="2:154" s="67" customFormat="1" x14ac:dyDescent="0.25">
      <c r="B659" s="84" t="str" cm="1">
        <f t="array" aca="1" ref="B659" ca="1">HYPERLINK(CONCATENATE("#",CELL("address",$D$408)),$D$408)</f>
        <v>Loan 20</v>
      </c>
      <c r="C659" s="380"/>
      <c r="D659" s="60">
        <f>D$32</f>
        <v>0</v>
      </c>
      <c r="E659" s="60">
        <f>E$32</f>
        <v>0</v>
      </c>
      <c r="F659" s="66">
        <f t="shared" si="868"/>
        <v>0</v>
      </c>
      <c r="G659" s="10">
        <f>K$32</f>
        <v>0</v>
      </c>
      <c r="H659" s="50" t="s">
        <v>157</v>
      </c>
      <c r="S659" s="335"/>
      <c r="T659" s="335"/>
      <c r="U659" s="335"/>
      <c r="AA659" s="66">
        <f t="shared" ref="AA659:BJ659" si="888">IF($G659=0, $F659, AA32)</f>
        <v>0</v>
      </c>
      <c r="AB659" s="66">
        <f t="shared" si="888"/>
        <v>0</v>
      </c>
      <c r="AC659" s="66">
        <f t="shared" si="888"/>
        <v>0</v>
      </c>
      <c r="AD659" s="66">
        <f t="shared" si="888"/>
        <v>0</v>
      </c>
      <c r="AE659" s="66">
        <f t="shared" si="888"/>
        <v>0</v>
      </c>
      <c r="AF659" s="66">
        <f t="shared" si="888"/>
        <v>0</v>
      </c>
      <c r="AG659" s="66">
        <f t="shared" si="888"/>
        <v>0</v>
      </c>
      <c r="AH659" s="66">
        <f t="shared" si="888"/>
        <v>0</v>
      </c>
      <c r="AI659" s="66">
        <f t="shared" si="888"/>
        <v>0</v>
      </c>
      <c r="AJ659" s="66">
        <f t="shared" si="888"/>
        <v>0</v>
      </c>
      <c r="AK659" s="66">
        <f t="shared" si="888"/>
        <v>0</v>
      </c>
      <c r="AL659" s="66">
        <f t="shared" si="888"/>
        <v>0</v>
      </c>
      <c r="AM659" s="66">
        <f t="shared" si="888"/>
        <v>0</v>
      </c>
      <c r="AN659" s="66">
        <f t="shared" si="888"/>
        <v>0</v>
      </c>
      <c r="AO659" s="66">
        <f t="shared" si="888"/>
        <v>0</v>
      </c>
      <c r="AP659" s="66">
        <f t="shared" si="888"/>
        <v>0</v>
      </c>
      <c r="AQ659" s="66">
        <f t="shared" si="888"/>
        <v>0</v>
      </c>
      <c r="AR659" s="66">
        <f t="shared" si="888"/>
        <v>0</v>
      </c>
      <c r="AS659" s="66">
        <f t="shared" si="888"/>
        <v>0</v>
      </c>
      <c r="AT659" s="66">
        <f t="shared" si="888"/>
        <v>0</v>
      </c>
      <c r="AU659" s="66">
        <f t="shared" si="888"/>
        <v>0</v>
      </c>
      <c r="AV659" s="66">
        <f t="shared" si="888"/>
        <v>0</v>
      </c>
      <c r="AW659" s="66">
        <f t="shared" si="888"/>
        <v>0</v>
      </c>
      <c r="AX659" s="66">
        <f t="shared" si="888"/>
        <v>0</v>
      </c>
      <c r="AY659" s="66">
        <f t="shared" si="888"/>
        <v>0</v>
      </c>
      <c r="AZ659" s="66">
        <f t="shared" si="888"/>
        <v>0</v>
      </c>
      <c r="BA659" s="66">
        <f t="shared" si="888"/>
        <v>0</v>
      </c>
      <c r="BB659" s="66">
        <f t="shared" si="888"/>
        <v>0</v>
      </c>
      <c r="BC659" s="66">
        <f t="shared" si="888"/>
        <v>0</v>
      </c>
      <c r="BD659" s="66">
        <f t="shared" si="888"/>
        <v>0</v>
      </c>
      <c r="BE659" s="66">
        <f t="shared" si="888"/>
        <v>0</v>
      </c>
      <c r="BF659" s="66">
        <f t="shared" si="888"/>
        <v>0</v>
      </c>
      <c r="BG659" s="66">
        <f t="shared" si="888"/>
        <v>0</v>
      </c>
      <c r="BH659" s="66">
        <f t="shared" si="888"/>
        <v>0</v>
      </c>
      <c r="BI659" s="66">
        <f t="shared" si="888"/>
        <v>0</v>
      </c>
      <c r="BJ659" s="66">
        <f t="shared" si="888"/>
        <v>0</v>
      </c>
      <c r="BY659" s="12"/>
      <c r="BZ659" s="335"/>
      <c r="CA659" s="12"/>
      <c r="CB659" s="335"/>
      <c r="CC659" s="335"/>
      <c r="CD659" s="335"/>
      <c r="CE659" s="335"/>
      <c r="CM659" s="335"/>
      <c r="CN659" s="335"/>
      <c r="CO659" s="335"/>
      <c r="CP659" s="335"/>
      <c r="CR659" s="12"/>
      <c r="CT659" s="335"/>
      <c r="CU659" s="335"/>
      <c r="EW659" s="335"/>
      <c r="EX659" s="10" t="str">
        <f t="shared" si="771"/>
        <v/>
      </c>
    </row>
    <row r="660" spans="2:154" ht="6.6" customHeight="1" x14ac:dyDescent="0.25">
      <c r="C660" s="380"/>
      <c r="D660" s="1"/>
      <c r="E660" s="11"/>
      <c r="F660" s="67"/>
      <c r="S660" s="335"/>
      <c r="T660" s="335"/>
      <c r="U660" s="335"/>
      <c r="BM660" s="6"/>
      <c r="BP660" s="67"/>
      <c r="BQ660" s="67"/>
      <c r="BR660" s="67"/>
      <c r="BS660" s="67"/>
      <c r="BT660" s="67"/>
      <c r="BU660" s="67"/>
      <c r="BV660" s="67"/>
      <c r="BW660" s="67"/>
      <c r="BY660" s="42"/>
      <c r="CA660" s="42"/>
      <c r="CR660" s="42"/>
      <c r="EX660" s="10" t="str">
        <f t="shared" si="771"/>
        <v/>
      </c>
    </row>
    <row r="661" spans="2:154" s="335" customFormat="1" x14ac:dyDescent="0.25">
      <c r="C661" s="380"/>
      <c r="D661" s="404" t="s">
        <v>2450</v>
      </c>
      <c r="BY661" s="12"/>
      <c r="CA661" s="12"/>
      <c r="CR661" s="12"/>
      <c r="EX661" s="10" t="str">
        <f t="shared" si="771"/>
        <v/>
      </c>
    </row>
    <row r="662" spans="2:154" s="335" customFormat="1" ht="75" x14ac:dyDescent="0.25">
      <c r="B662" s="138" t="s">
        <v>551</v>
      </c>
      <c r="C662" s="380"/>
      <c r="D662" s="138" t="str">
        <f>D$11</f>
        <v>Lender</v>
      </c>
      <c r="E662" s="74" t="str">
        <f>E$11</f>
        <v>Loan Category</v>
      </c>
      <c r="F662" s="168" t="s">
        <v>537</v>
      </c>
      <c r="AA662" s="170" t="s">
        <v>335</v>
      </c>
      <c r="BY662" s="12"/>
      <c r="CA662" s="12"/>
      <c r="CR662" s="12"/>
      <c r="EX662" s="10" t="str">
        <f t="shared" si="771"/>
        <v/>
      </c>
    </row>
    <row r="663" spans="2:154" s="335" customFormat="1" x14ac:dyDescent="0.25">
      <c r="B663" s="84" t="str" cm="1">
        <f t="array" aca="1" ref="B663" ca="1">HYPERLINK(CONCATENATE("#",CELL("address",$D$47)),$D$47)</f>
        <v>Loan 1</v>
      </c>
      <c r="C663" s="380"/>
      <c r="D663" s="60" t="str">
        <f>D$13</f>
        <v>NatWest</v>
      </c>
      <c r="E663" s="60" t="str">
        <f>E$13</f>
        <v xml:space="preserve">Commercial </v>
      </c>
      <c r="F663" s="201">
        <f>_xlfn.IFNA(INDEX(Parameters!$E$73:$E$77, MATCH(R13, Parameters!$D$73:$D$77,0)), 0)</f>
        <v>0</v>
      </c>
      <c r="H663" s="50" t="s">
        <v>157</v>
      </c>
      <c r="I663" s="65"/>
      <c r="AA663" s="66">
        <f t="shared" ref="AA663:BJ663" si="889">IF($F663=0, 0, (1+AA640)^(1/$F663)-1)</f>
        <v>0</v>
      </c>
      <c r="AB663" s="66">
        <f t="shared" si="889"/>
        <v>0</v>
      </c>
      <c r="AC663" s="66">
        <f t="shared" si="889"/>
        <v>0</v>
      </c>
      <c r="AD663" s="66">
        <f t="shared" si="889"/>
        <v>0</v>
      </c>
      <c r="AE663" s="66">
        <f t="shared" si="889"/>
        <v>0</v>
      </c>
      <c r="AF663" s="66">
        <f t="shared" si="889"/>
        <v>0</v>
      </c>
      <c r="AG663" s="66">
        <f t="shared" si="889"/>
        <v>0</v>
      </c>
      <c r="AH663" s="66">
        <f t="shared" si="889"/>
        <v>0</v>
      </c>
      <c r="AI663" s="66">
        <f t="shared" si="889"/>
        <v>0</v>
      </c>
      <c r="AJ663" s="66">
        <f t="shared" si="889"/>
        <v>0</v>
      </c>
      <c r="AK663" s="66">
        <f t="shared" si="889"/>
        <v>0</v>
      </c>
      <c r="AL663" s="66">
        <f t="shared" si="889"/>
        <v>0</v>
      </c>
      <c r="AM663" s="66">
        <f t="shared" si="889"/>
        <v>0</v>
      </c>
      <c r="AN663" s="66">
        <f t="shared" si="889"/>
        <v>0</v>
      </c>
      <c r="AO663" s="66">
        <f t="shared" si="889"/>
        <v>0</v>
      </c>
      <c r="AP663" s="66">
        <f t="shared" si="889"/>
        <v>0</v>
      </c>
      <c r="AQ663" s="66">
        <f t="shared" si="889"/>
        <v>0</v>
      </c>
      <c r="AR663" s="66">
        <f t="shared" si="889"/>
        <v>0</v>
      </c>
      <c r="AS663" s="66">
        <f t="shared" si="889"/>
        <v>0</v>
      </c>
      <c r="AT663" s="66">
        <f t="shared" si="889"/>
        <v>0</v>
      </c>
      <c r="AU663" s="66">
        <f t="shared" si="889"/>
        <v>0</v>
      </c>
      <c r="AV663" s="66">
        <f t="shared" si="889"/>
        <v>0</v>
      </c>
      <c r="AW663" s="66">
        <f t="shared" si="889"/>
        <v>0</v>
      </c>
      <c r="AX663" s="66">
        <f t="shared" si="889"/>
        <v>0</v>
      </c>
      <c r="AY663" s="66">
        <f t="shared" si="889"/>
        <v>0</v>
      </c>
      <c r="AZ663" s="66">
        <f t="shared" si="889"/>
        <v>0</v>
      </c>
      <c r="BA663" s="66">
        <f t="shared" si="889"/>
        <v>0</v>
      </c>
      <c r="BB663" s="66">
        <f t="shared" si="889"/>
        <v>0</v>
      </c>
      <c r="BC663" s="66">
        <f t="shared" si="889"/>
        <v>0</v>
      </c>
      <c r="BD663" s="66">
        <f t="shared" si="889"/>
        <v>0</v>
      </c>
      <c r="BE663" s="66">
        <f t="shared" si="889"/>
        <v>0</v>
      </c>
      <c r="BF663" s="66">
        <f t="shared" si="889"/>
        <v>0</v>
      </c>
      <c r="BG663" s="66">
        <f t="shared" si="889"/>
        <v>0</v>
      </c>
      <c r="BH663" s="66">
        <f t="shared" si="889"/>
        <v>0</v>
      </c>
      <c r="BI663" s="66">
        <f t="shared" si="889"/>
        <v>0</v>
      </c>
      <c r="BJ663" s="66">
        <f t="shared" si="889"/>
        <v>0</v>
      </c>
      <c r="BY663" s="12"/>
      <c r="CA663" s="12"/>
      <c r="CR663" s="12"/>
      <c r="EX663" s="10" t="str">
        <f t="shared" si="771"/>
        <v/>
      </c>
    </row>
    <row r="664" spans="2:154" s="335" customFormat="1" x14ac:dyDescent="0.25">
      <c r="B664" s="84" t="str" cm="1">
        <f t="array" aca="1" ref="B664" ca="1">HYPERLINK(CONCATENATE("#",CELL("address",$D$66)),$D$66)</f>
        <v>Loan 2</v>
      </c>
      <c r="C664" s="380"/>
      <c r="D664" s="60" t="str">
        <f>D$14</f>
        <v>NatWest</v>
      </c>
      <c r="E664" s="60" t="str">
        <f>E$14</f>
        <v xml:space="preserve">Commercial </v>
      </c>
      <c r="F664" s="201">
        <f>_xlfn.IFNA(INDEX(Parameters!$E$73:$E$77, MATCH(R14, Parameters!$D$73:$D$77,0)), 0)</f>
        <v>0</v>
      </c>
      <c r="H664" s="50" t="s">
        <v>157</v>
      </c>
      <c r="AA664" s="66">
        <f t="shared" ref="AA664:BJ664" si="890">IF($F664=0, 0, (1+AA641)^(1/$F664)-1)</f>
        <v>0</v>
      </c>
      <c r="AB664" s="66">
        <f t="shared" si="890"/>
        <v>0</v>
      </c>
      <c r="AC664" s="66">
        <f t="shared" si="890"/>
        <v>0</v>
      </c>
      <c r="AD664" s="66">
        <f t="shared" si="890"/>
        <v>0</v>
      </c>
      <c r="AE664" s="66">
        <f t="shared" si="890"/>
        <v>0</v>
      </c>
      <c r="AF664" s="66">
        <f t="shared" si="890"/>
        <v>0</v>
      </c>
      <c r="AG664" s="66">
        <f t="shared" si="890"/>
        <v>0</v>
      </c>
      <c r="AH664" s="66">
        <f t="shared" si="890"/>
        <v>0</v>
      </c>
      <c r="AI664" s="66">
        <f t="shared" si="890"/>
        <v>0</v>
      </c>
      <c r="AJ664" s="66">
        <f t="shared" si="890"/>
        <v>0</v>
      </c>
      <c r="AK664" s="66">
        <f t="shared" si="890"/>
        <v>0</v>
      </c>
      <c r="AL664" s="66">
        <f t="shared" si="890"/>
        <v>0</v>
      </c>
      <c r="AM664" s="66">
        <f t="shared" si="890"/>
        <v>0</v>
      </c>
      <c r="AN664" s="66">
        <f t="shared" si="890"/>
        <v>0</v>
      </c>
      <c r="AO664" s="66">
        <f t="shared" si="890"/>
        <v>0</v>
      </c>
      <c r="AP664" s="66">
        <f t="shared" si="890"/>
        <v>0</v>
      </c>
      <c r="AQ664" s="66">
        <f t="shared" si="890"/>
        <v>0</v>
      </c>
      <c r="AR664" s="66">
        <f t="shared" si="890"/>
        <v>0</v>
      </c>
      <c r="AS664" s="66">
        <f t="shared" si="890"/>
        <v>0</v>
      </c>
      <c r="AT664" s="66">
        <f t="shared" si="890"/>
        <v>0</v>
      </c>
      <c r="AU664" s="66">
        <f t="shared" si="890"/>
        <v>0</v>
      </c>
      <c r="AV664" s="66">
        <f t="shared" si="890"/>
        <v>0</v>
      </c>
      <c r="AW664" s="66">
        <f t="shared" si="890"/>
        <v>0</v>
      </c>
      <c r="AX664" s="66">
        <f t="shared" si="890"/>
        <v>0</v>
      </c>
      <c r="AY664" s="66">
        <f t="shared" si="890"/>
        <v>0</v>
      </c>
      <c r="AZ664" s="66">
        <f t="shared" si="890"/>
        <v>0</v>
      </c>
      <c r="BA664" s="66">
        <f t="shared" si="890"/>
        <v>0</v>
      </c>
      <c r="BB664" s="66">
        <f t="shared" si="890"/>
        <v>0</v>
      </c>
      <c r="BC664" s="66">
        <f t="shared" si="890"/>
        <v>0</v>
      </c>
      <c r="BD664" s="66">
        <f t="shared" si="890"/>
        <v>0</v>
      </c>
      <c r="BE664" s="66">
        <f t="shared" si="890"/>
        <v>0</v>
      </c>
      <c r="BF664" s="66">
        <f t="shared" si="890"/>
        <v>0</v>
      </c>
      <c r="BG664" s="66">
        <f t="shared" si="890"/>
        <v>0</v>
      </c>
      <c r="BH664" s="66">
        <f t="shared" si="890"/>
        <v>0</v>
      </c>
      <c r="BI664" s="66">
        <f t="shared" si="890"/>
        <v>0</v>
      </c>
      <c r="BJ664" s="66">
        <f t="shared" si="890"/>
        <v>0</v>
      </c>
      <c r="BY664" s="12"/>
      <c r="CA664" s="12"/>
      <c r="CR664" s="12"/>
      <c r="EX664" s="10" t="str">
        <f t="shared" si="771"/>
        <v/>
      </c>
    </row>
    <row r="665" spans="2:154" s="335" customFormat="1" x14ac:dyDescent="0.25">
      <c r="B665" s="84" t="str" cm="1">
        <f t="array" aca="1" ref="B665" ca="1">HYPERLINK(CONCATENATE("#",CELL("address",$D$85)),$D$85)</f>
        <v>Loan 3</v>
      </c>
      <c r="C665" s="380"/>
      <c r="D665" s="60" t="str">
        <f>D$15</f>
        <v>NatWest</v>
      </c>
      <c r="E665" s="60" t="str">
        <f>E$15</f>
        <v xml:space="preserve">Commercial </v>
      </c>
      <c r="F665" s="201">
        <f>_xlfn.IFNA(INDEX(Parameters!$E$73:$E$77, MATCH(R15, Parameters!$D$73:$D$77,0)), 0)</f>
        <v>0</v>
      </c>
      <c r="H665" s="50" t="s">
        <v>157</v>
      </c>
      <c r="AA665" s="66">
        <f t="shared" ref="AA665:BJ665" si="891">IF($F665=0, 0, (1+AA642)^(1/$F665)-1)</f>
        <v>0</v>
      </c>
      <c r="AB665" s="66">
        <f t="shared" si="891"/>
        <v>0</v>
      </c>
      <c r="AC665" s="66">
        <f t="shared" si="891"/>
        <v>0</v>
      </c>
      <c r="AD665" s="66">
        <f t="shared" si="891"/>
        <v>0</v>
      </c>
      <c r="AE665" s="66">
        <f t="shared" si="891"/>
        <v>0</v>
      </c>
      <c r="AF665" s="66">
        <f t="shared" si="891"/>
        <v>0</v>
      </c>
      <c r="AG665" s="66">
        <f t="shared" si="891"/>
        <v>0</v>
      </c>
      <c r="AH665" s="66">
        <f t="shared" si="891"/>
        <v>0</v>
      </c>
      <c r="AI665" s="66">
        <f t="shared" si="891"/>
        <v>0</v>
      </c>
      <c r="AJ665" s="66">
        <f t="shared" si="891"/>
        <v>0</v>
      </c>
      <c r="AK665" s="66">
        <f t="shared" si="891"/>
        <v>0</v>
      </c>
      <c r="AL665" s="66">
        <f t="shared" si="891"/>
        <v>0</v>
      </c>
      <c r="AM665" s="66">
        <f t="shared" si="891"/>
        <v>0</v>
      </c>
      <c r="AN665" s="66">
        <f t="shared" si="891"/>
        <v>0</v>
      </c>
      <c r="AO665" s="66">
        <f t="shared" si="891"/>
        <v>0</v>
      </c>
      <c r="AP665" s="66">
        <f t="shared" si="891"/>
        <v>0</v>
      </c>
      <c r="AQ665" s="66">
        <f t="shared" si="891"/>
        <v>0</v>
      </c>
      <c r="AR665" s="66">
        <f t="shared" si="891"/>
        <v>0</v>
      </c>
      <c r="AS665" s="66">
        <f t="shared" si="891"/>
        <v>0</v>
      </c>
      <c r="AT665" s="66">
        <f t="shared" si="891"/>
        <v>0</v>
      </c>
      <c r="AU665" s="66">
        <f t="shared" si="891"/>
        <v>0</v>
      </c>
      <c r="AV665" s="66">
        <f t="shared" si="891"/>
        <v>0</v>
      </c>
      <c r="AW665" s="66">
        <f t="shared" si="891"/>
        <v>0</v>
      </c>
      <c r="AX665" s="66">
        <f t="shared" si="891"/>
        <v>0</v>
      </c>
      <c r="AY665" s="66">
        <f t="shared" si="891"/>
        <v>0</v>
      </c>
      <c r="AZ665" s="66">
        <f t="shared" si="891"/>
        <v>0</v>
      </c>
      <c r="BA665" s="66">
        <f t="shared" si="891"/>
        <v>0</v>
      </c>
      <c r="BB665" s="66">
        <f t="shared" si="891"/>
        <v>0</v>
      </c>
      <c r="BC665" s="66">
        <f t="shared" si="891"/>
        <v>0</v>
      </c>
      <c r="BD665" s="66">
        <f t="shared" si="891"/>
        <v>0</v>
      </c>
      <c r="BE665" s="66">
        <f t="shared" si="891"/>
        <v>0</v>
      </c>
      <c r="BF665" s="66">
        <f t="shared" si="891"/>
        <v>0</v>
      </c>
      <c r="BG665" s="66">
        <f t="shared" si="891"/>
        <v>0</v>
      </c>
      <c r="BH665" s="66">
        <f t="shared" si="891"/>
        <v>0</v>
      </c>
      <c r="BI665" s="66">
        <f t="shared" si="891"/>
        <v>0</v>
      </c>
      <c r="BJ665" s="66">
        <f t="shared" si="891"/>
        <v>0</v>
      </c>
      <c r="BY665" s="12"/>
      <c r="CA665" s="12"/>
      <c r="CR665" s="12"/>
      <c r="EX665" s="10" t="str">
        <f t="shared" si="771"/>
        <v/>
      </c>
    </row>
    <row r="666" spans="2:154" s="335" customFormat="1" x14ac:dyDescent="0.25">
      <c r="B666" s="84" t="str" cm="1">
        <f t="array" aca="1" ref="B666" ca="1">HYPERLINK(CONCATENATE("#",CELL("address",$D$104)),$D$104)</f>
        <v>Loan 4</v>
      </c>
      <c r="C666" s="380"/>
      <c r="D666" s="60" t="str">
        <f>D$16</f>
        <v>NatWest</v>
      </c>
      <c r="E666" s="60" t="str">
        <f>E$16</f>
        <v xml:space="preserve">Commercial </v>
      </c>
      <c r="F666" s="201">
        <f>_xlfn.IFNA(INDEX(Parameters!$E$73:$E$77, MATCH(R16, Parameters!$D$73:$D$77,0)), 0)</f>
        <v>0</v>
      </c>
      <c r="H666" s="50" t="s">
        <v>157</v>
      </c>
      <c r="AA666" s="66">
        <f t="shared" ref="AA666:BJ666" si="892">IF($F666=0, 0, (1+AA643)^(1/$F666)-1)</f>
        <v>0</v>
      </c>
      <c r="AB666" s="66">
        <f t="shared" si="892"/>
        <v>0</v>
      </c>
      <c r="AC666" s="66">
        <f t="shared" si="892"/>
        <v>0</v>
      </c>
      <c r="AD666" s="66">
        <f t="shared" si="892"/>
        <v>0</v>
      </c>
      <c r="AE666" s="66">
        <f t="shared" si="892"/>
        <v>0</v>
      </c>
      <c r="AF666" s="66">
        <f t="shared" si="892"/>
        <v>0</v>
      </c>
      <c r="AG666" s="66">
        <f t="shared" si="892"/>
        <v>0</v>
      </c>
      <c r="AH666" s="66">
        <f t="shared" si="892"/>
        <v>0</v>
      </c>
      <c r="AI666" s="66">
        <f t="shared" si="892"/>
        <v>0</v>
      </c>
      <c r="AJ666" s="66">
        <f t="shared" si="892"/>
        <v>0</v>
      </c>
      <c r="AK666" s="66">
        <f t="shared" si="892"/>
        <v>0</v>
      </c>
      <c r="AL666" s="66">
        <f t="shared" si="892"/>
        <v>0</v>
      </c>
      <c r="AM666" s="66">
        <f t="shared" si="892"/>
        <v>0</v>
      </c>
      <c r="AN666" s="66">
        <f t="shared" si="892"/>
        <v>0</v>
      </c>
      <c r="AO666" s="66">
        <f t="shared" si="892"/>
        <v>0</v>
      </c>
      <c r="AP666" s="66">
        <f t="shared" si="892"/>
        <v>0</v>
      </c>
      <c r="AQ666" s="66">
        <f t="shared" si="892"/>
        <v>0</v>
      </c>
      <c r="AR666" s="66">
        <f t="shared" si="892"/>
        <v>0</v>
      </c>
      <c r="AS666" s="66">
        <f t="shared" si="892"/>
        <v>0</v>
      </c>
      <c r="AT666" s="66">
        <f t="shared" si="892"/>
        <v>0</v>
      </c>
      <c r="AU666" s="66">
        <f t="shared" si="892"/>
        <v>0</v>
      </c>
      <c r="AV666" s="66">
        <f t="shared" si="892"/>
        <v>0</v>
      </c>
      <c r="AW666" s="66">
        <f t="shared" si="892"/>
        <v>0</v>
      </c>
      <c r="AX666" s="66">
        <f t="shared" si="892"/>
        <v>0</v>
      </c>
      <c r="AY666" s="66">
        <f t="shared" si="892"/>
        <v>0</v>
      </c>
      <c r="AZ666" s="66">
        <f t="shared" si="892"/>
        <v>0</v>
      </c>
      <c r="BA666" s="66">
        <f t="shared" si="892"/>
        <v>0</v>
      </c>
      <c r="BB666" s="66">
        <f t="shared" si="892"/>
        <v>0</v>
      </c>
      <c r="BC666" s="66">
        <f t="shared" si="892"/>
        <v>0</v>
      </c>
      <c r="BD666" s="66">
        <f t="shared" si="892"/>
        <v>0</v>
      </c>
      <c r="BE666" s="66">
        <f t="shared" si="892"/>
        <v>0</v>
      </c>
      <c r="BF666" s="66">
        <f t="shared" si="892"/>
        <v>0</v>
      </c>
      <c r="BG666" s="66">
        <f t="shared" si="892"/>
        <v>0</v>
      </c>
      <c r="BH666" s="66">
        <f t="shared" si="892"/>
        <v>0</v>
      </c>
      <c r="BI666" s="66">
        <f t="shared" si="892"/>
        <v>0</v>
      </c>
      <c r="BJ666" s="66">
        <f t="shared" si="892"/>
        <v>0</v>
      </c>
      <c r="BY666" s="12"/>
      <c r="CA666" s="12"/>
      <c r="CR666" s="12"/>
      <c r="EX666" s="10" t="str">
        <f t="shared" si="771"/>
        <v/>
      </c>
    </row>
    <row r="667" spans="2:154" s="335" customFormat="1" x14ac:dyDescent="0.25">
      <c r="B667" s="84" t="str" cm="1">
        <f t="array" aca="1" ref="B667" ca="1">HYPERLINK(CONCATENATE("#",CELL("address",$D$123)),$D$123)</f>
        <v>Loan 5</v>
      </c>
      <c r="C667" s="380"/>
      <c r="D667" s="60" t="str">
        <f>D$17</f>
        <v>NatWest</v>
      </c>
      <c r="E667" s="60" t="str">
        <f>E$17</f>
        <v xml:space="preserve">Commercial </v>
      </c>
      <c r="F667" s="201">
        <f>_xlfn.IFNA(INDEX(Parameters!$E$73:$E$77, MATCH(R17, Parameters!$D$73:$D$77,0)), 0)</f>
        <v>0</v>
      </c>
      <c r="H667" s="50" t="s">
        <v>157</v>
      </c>
      <c r="AA667" s="66">
        <f t="shared" ref="AA667:BJ667" si="893">IF($F667=0, 0, (1+AA644)^(1/$F667)-1)</f>
        <v>0</v>
      </c>
      <c r="AB667" s="66">
        <f t="shared" si="893"/>
        <v>0</v>
      </c>
      <c r="AC667" s="66">
        <f t="shared" si="893"/>
        <v>0</v>
      </c>
      <c r="AD667" s="66">
        <f t="shared" si="893"/>
        <v>0</v>
      </c>
      <c r="AE667" s="66">
        <f t="shared" si="893"/>
        <v>0</v>
      </c>
      <c r="AF667" s="66">
        <f t="shared" si="893"/>
        <v>0</v>
      </c>
      <c r="AG667" s="66">
        <f t="shared" si="893"/>
        <v>0</v>
      </c>
      <c r="AH667" s="66">
        <f t="shared" si="893"/>
        <v>0</v>
      </c>
      <c r="AI667" s="66">
        <f t="shared" si="893"/>
        <v>0</v>
      </c>
      <c r="AJ667" s="66">
        <f t="shared" si="893"/>
        <v>0</v>
      </c>
      <c r="AK667" s="66">
        <f t="shared" si="893"/>
        <v>0</v>
      </c>
      <c r="AL667" s="66">
        <f t="shared" si="893"/>
        <v>0</v>
      </c>
      <c r="AM667" s="66">
        <f t="shared" si="893"/>
        <v>0</v>
      </c>
      <c r="AN667" s="66">
        <f t="shared" si="893"/>
        <v>0</v>
      </c>
      <c r="AO667" s="66">
        <f t="shared" si="893"/>
        <v>0</v>
      </c>
      <c r="AP667" s="66">
        <f t="shared" si="893"/>
        <v>0</v>
      </c>
      <c r="AQ667" s="66">
        <f t="shared" si="893"/>
        <v>0</v>
      </c>
      <c r="AR667" s="66">
        <f t="shared" si="893"/>
        <v>0</v>
      </c>
      <c r="AS667" s="66">
        <f t="shared" si="893"/>
        <v>0</v>
      </c>
      <c r="AT667" s="66">
        <f t="shared" si="893"/>
        <v>0</v>
      </c>
      <c r="AU667" s="66">
        <f t="shared" si="893"/>
        <v>0</v>
      </c>
      <c r="AV667" s="66">
        <f t="shared" si="893"/>
        <v>0</v>
      </c>
      <c r="AW667" s="66">
        <f t="shared" si="893"/>
        <v>0</v>
      </c>
      <c r="AX667" s="66">
        <f t="shared" si="893"/>
        <v>0</v>
      </c>
      <c r="AY667" s="66">
        <f t="shared" si="893"/>
        <v>0</v>
      </c>
      <c r="AZ667" s="66">
        <f t="shared" si="893"/>
        <v>0</v>
      </c>
      <c r="BA667" s="66">
        <f t="shared" si="893"/>
        <v>0</v>
      </c>
      <c r="BB667" s="66">
        <f t="shared" si="893"/>
        <v>0</v>
      </c>
      <c r="BC667" s="66">
        <f t="shared" si="893"/>
        <v>0</v>
      </c>
      <c r="BD667" s="66">
        <f t="shared" si="893"/>
        <v>0</v>
      </c>
      <c r="BE667" s="66">
        <f t="shared" si="893"/>
        <v>0</v>
      </c>
      <c r="BF667" s="66">
        <f t="shared" si="893"/>
        <v>0</v>
      </c>
      <c r="BG667" s="66">
        <f t="shared" si="893"/>
        <v>0</v>
      </c>
      <c r="BH667" s="66">
        <f t="shared" si="893"/>
        <v>0</v>
      </c>
      <c r="BI667" s="66">
        <f t="shared" si="893"/>
        <v>0</v>
      </c>
      <c r="BJ667" s="66">
        <f t="shared" si="893"/>
        <v>0</v>
      </c>
      <c r="BY667" s="12"/>
      <c r="CA667" s="12"/>
      <c r="CR667" s="12"/>
      <c r="EX667" s="10" t="str">
        <f t="shared" si="771"/>
        <v/>
      </c>
    </row>
    <row r="668" spans="2:154" s="335" customFormat="1" x14ac:dyDescent="0.25">
      <c r="B668" s="84" t="str" cm="1">
        <f t="array" aca="1" ref="B668" ca="1">HYPERLINK(CONCATENATE("#",CELL("address",$D$142)),$D$142)</f>
        <v>Loan 6</v>
      </c>
      <c r="C668" s="380"/>
      <c r="D668" s="60">
        <f>D$18</f>
        <v>0</v>
      </c>
      <c r="E668" s="60">
        <f>E$18</f>
        <v>0</v>
      </c>
      <c r="F668" s="201">
        <f>_xlfn.IFNA(INDEX(Parameters!$E$73:$E$77, MATCH(R18, Parameters!$D$73:$D$77,0)), 0)</f>
        <v>0</v>
      </c>
      <c r="H668" s="50" t="s">
        <v>157</v>
      </c>
      <c r="AA668" s="66">
        <f t="shared" ref="AA668:BJ668" si="894">IF($F668=0, 0, (1+AA645)^(1/$F668)-1)</f>
        <v>0</v>
      </c>
      <c r="AB668" s="66">
        <f t="shared" si="894"/>
        <v>0</v>
      </c>
      <c r="AC668" s="66">
        <f t="shared" si="894"/>
        <v>0</v>
      </c>
      <c r="AD668" s="66">
        <f t="shared" si="894"/>
        <v>0</v>
      </c>
      <c r="AE668" s="66">
        <f t="shared" si="894"/>
        <v>0</v>
      </c>
      <c r="AF668" s="66">
        <f t="shared" si="894"/>
        <v>0</v>
      </c>
      <c r="AG668" s="66">
        <f t="shared" si="894"/>
        <v>0</v>
      </c>
      <c r="AH668" s="66">
        <f t="shared" si="894"/>
        <v>0</v>
      </c>
      <c r="AI668" s="66">
        <f t="shared" si="894"/>
        <v>0</v>
      </c>
      <c r="AJ668" s="66">
        <f t="shared" si="894"/>
        <v>0</v>
      </c>
      <c r="AK668" s="66">
        <f t="shared" si="894"/>
        <v>0</v>
      </c>
      <c r="AL668" s="66">
        <f t="shared" si="894"/>
        <v>0</v>
      </c>
      <c r="AM668" s="66">
        <f t="shared" si="894"/>
        <v>0</v>
      </c>
      <c r="AN668" s="66">
        <f t="shared" si="894"/>
        <v>0</v>
      </c>
      <c r="AO668" s="66">
        <f t="shared" si="894"/>
        <v>0</v>
      </c>
      <c r="AP668" s="66">
        <f t="shared" si="894"/>
        <v>0</v>
      </c>
      <c r="AQ668" s="66">
        <f t="shared" si="894"/>
        <v>0</v>
      </c>
      <c r="AR668" s="66">
        <f t="shared" si="894"/>
        <v>0</v>
      </c>
      <c r="AS668" s="66">
        <f t="shared" si="894"/>
        <v>0</v>
      </c>
      <c r="AT668" s="66">
        <f t="shared" si="894"/>
        <v>0</v>
      </c>
      <c r="AU668" s="66">
        <f t="shared" si="894"/>
        <v>0</v>
      </c>
      <c r="AV668" s="66">
        <f t="shared" si="894"/>
        <v>0</v>
      </c>
      <c r="AW668" s="66">
        <f t="shared" si="894"/>
        <v>0</v>
      </c>
      <c r="AX668" s="66">
        <f t="shared" si="894"/>
        <v>0</v>
      </c>
      <c r="AY668" s="66">
        <f t="shared" si="894"/>
        <v>0</v>
      </c>
      <c r="AZ668" s="66">
        <f t="shared" si="894"/>
        <v>0</v>
      </c>
      <c r="BA668" s="66">
        <f t="shared" si="894"/>
        <v>0</v>
      </c>
      <c r="BB668" s="66">
        <f t="shared" si="894"/>
        <v>0</v>
      </c>
      <c r="BC668" s="66">
        <f t="shared" si="894"/>
        <v>0</v>
      </c>
      <c r="BD668" s="66">
        <f t="shared" si="894"/>
        <v>0</v>
      </c>
      <c r="BE668" s="66">
        <f t="shared" si="894"/>
        <v>0</v>
      </c>
      <c r="BF668" s="66">
        <f t="shared" si="894"/>
        <v>0</v>
      </c>
      <c r="BG668" s="66">
        <f t="shared" si="894"/>
        <v>0</v>
      </c>
      <c r="BH668" s="66">
        <f t="shared" si="894"/>
        <v>0</v>
      </c>
      <c r="BI668" s="66">
        <f t="shared" si="894"/>
        <v>0</v>
      </c>
      <c r="BJ668" s="66">
        <f t="shared" si="894"/>
        <v>0</v>
      </c>
      <c r="BY668" s="12"/>
      <c r="CA668" s="12"/>
      <c r="CR668" s="12"/>
      <c r="EX668" s="10" t="str">
        <f t="shared" si="771"/>
        <v/>
      </c>
    </row>
    <row r="669" spans="2:154" s="335" customFormat="1" x14ac:dyDescent="0.25">
      <c r="B669" s="84" t="str" cm="1">
        <f t="array" aca="1" ref="B669" ca="1">HYPERLINK(CONCATENATE("#",CELL("address",$D$161)),$D$161)</f>
        <v>Loan 7</v>
      </c>
      <c r="C669" s="380"/>
      <c r="D669" s="60">
        <f>D$19</f>
        <v>0</v>
      </c>
      <c r="E669" s="60">
        <f>E$19</f>
        <v>0</v>
      </c>
      <c r="F669" s="201">
        <f>_xlfn.IFNA(INDEX(Parameters!$E$73:$E$77, MATCH(R19, Parameters!$D$73:$D$77,0)), 0)</f>
        <v>0</v>
      </c>
      <c r="H669" s="50" t="s">
        <v>157</v>
      </c>
      <c r="AA669" s="66">
        <f t="shared" ref="AA669:BJ669" si="895">IF($F669=0, 0, (1+AA646)^(1/$F669)-1)</f>
        <v>0</v>
      </c>
      <c r="AB669" s="66">
        <f t="shared" si="895"/>
        <v>0</v>
      </c>
      <c r="AC669" s="66">
        <f t="shared" si="895"/>
        <v>0</v>
      </c>
      <c r="AD669" s="66">
        <f t="shared" si="895"/>
        <v>0</v>
      </c>
      <c r="AE669" s="66">
        <f t="shared" si="895"/>
        <v>0</v>
      </c>
      <c r="AF669" s="66">
        <f t="shared" si="895"/>
        <v>0</v>
      </c>
      <c r="AG669" s="66">
        <f t="shared" si="895"/>
        <v>0</v>
      </c>
      <c r="AH669" s="66">
        <f t="shared" si="895"/>
        <v>0</v>
      </c>
      <c r="AI669" s="66">
        <f t="shared" si="895"/>
        <v>0</v>
      </c>
      <c r="AJ669" s="66">
        <f t="shared" si="895"/>
        <v>0</v>
      </c>
      <c r="AK669" s="66">
        <f t="shared" si="895"/>
        <v>0</v>
      </c>
      <c r="AL669" s="66">
        <f t="shared" si="895"/>
        <v>0</v>
      </c>
      <c r="AM669" s="66">
        <f t="shared" si="895"/>
        <v>0</v>
      </c>
      <c r="AN669" s="66">
        <f t="shared" si="895"/>
        <v>0</v>
      </c>
      <c r="AO669" s="66">
        <f t="shared" si="895"/>
        <v>0</v>
      </c>
      <c r="AP669" s="66">
        <f t="shared" si="895"/>
        <v>0</v>
      </c>
      <c r="AQ669" s="66">
        <f t="shared" si="895"/>
        <v>0</v>
      </c>
      <c r="AR669" s="66">
        <f t="shared" si="895"/>
        <v>0</v>
      </c>
      <c r="AS669" s="66">
        <f t="shared" si="895"/>
        <v>0</v>
      </c>
      <c r="AT669" s="66">
        <f t="shared" si="895"/>
        <v>0</v>
      </c>
      <c r="AU669" s="66">
        <f t="shared" si="895"/>
        <v>0</v>
      </c>
      <c r="AV669" s="66">
        <f t="shared" si="895"/>
        <v>0</v>
      </c>
      <c r="AW669" s="66">
        <f t="shared" si="895"/>
        <v>0</v>
      </c>
      <c r="AX669" s="66">
        <f t="shared" si="895"/>
        <v>0</v>
      </c>
      <c r="AY669" s="66">
        <f t="shared" si="895"/>
        <v>0</v>
      </c>
      <c r="AZ669" s="66">
        <f t="shared" si="895"/>
        <v>0</v>
      </c>
      <c r="BA669" s="66">
        <f t="shared" si="895"/>
        <v>0</v>
      </c>
      <c r="BB669" s="66">
        <f t="shared" si="895"/>
        <v>0</v>
      </c>
      <c r="BC669" s="66">
        <f t="shared" si="895"/>
        <v>0</v>
      </c>
      <c r="BD669" s="66">
        <f t="shared" si="895"/>
        <v>0</v>
      </c>
      <c r="BE669" s="66">
        <f t="shared" si="895"/>
        <v>0</v>
      </c>
      <c r="BF669" s="66">
        <f t="shared" si="895"/>
        <v>0</v>
      </c>
      <c r="BG669" s="66">
        <f t="shared" si="895"/>
        <v>0</v>
      </c>
      <c r="BH669" s="66">
        <f t="shared" si="895"/>
        <v>0</v>
      </c>
      <c r="BI669" s="66">
        <f t="shared" si="895"/>
        <v>0</v>
      </c>
      <c r="BJ669" s="66">
        <f t="shared" si="895"/>
        <v>0</v>
      </c>
      <c r="BY669" s="12"/>
      <c r="CA669" s="12"/>
      <c r="CR669" s="12"/>
      <c r="EX669" s="10" t="str">
        <f t="shared" si="771"/>
        <v/>
      </c>
    </row>
    <row r="670" spans="2:154" s="335" customFormat="1" x14ac:dyDescent="0.25">
      <c r="B670" s="84" t="str" cm="1">
        <f t="array" aca="1" ref="B670" ca="1">HYPERLINK(CONCATENATE("#",CELL("address",$D$180)),$D$180)</f>
        <v>Loan 8</v>
      </c>
      <c r="C670" s="380"/>
      <c r="D670" s="60">
        <f>D$20</f>
        <v>0</v>
      </c>
      <c r="E670" s="60">
        <f>E$20</f>
        <v>0</v>
      </c>
      <c r="F670" s="201">
        <f>_xlfn.IFNA(INDEX(Parameters!$E$73:$E$77, MATCH(R20, Parameters!$D$73:$D$77,0)), 0)</f>
        <v>0</v>
      </c>
      <c r="H670" s="50" t="s">
        <v>157</v>
      </c>
      <c r="AA670" s="66">
        <f t="shared" ref="AA670:BJ670" si="896">IF($F670=0, 0, (1+AA647)^(1/$F670)-1)</f>
        <v>0</v>
      </c>
      <c r="AB670" s="66">
        <f t="shared" si="896"/>
        <v>0</v>
      </c>
      <c r="AC670" s="66">
        <f t="shared" si="896"/>
        <v>0</v>
      </c>
      <c r="AD670" s="66">
        <f t="shared" si="896"/>
        <v>0</v>
      </c>
      <c r="AE670" s="66">
        <f t="shared" si="896"/>
        <v>0</v>
      </c>
      <c r="AF670" s="66">
        <f t="shared" si="896"/>
        <v>0</v>
      </c>
      <c r="AG670" s="66">
        <f t="shared" si="896"/>
        <v>0</v>
      </c>
      <c r="AH670" s="66">
        <f t="shared" si="896"/>
        <v>0</v>
      </c>
      <c r="AI670" s="66">
        <f t="shared" si="896"/>
        <v>0</v>
      </c>
      <c r="AJ670" s="66">
        <f t="shared" si="896"/>
        <v>0</v>
      </c>
      <c r="AK670" s="66">
        <f t="shared" si="896"/>
        <v>0</v>
      </c>
      <c r="AL670" s="66">
        <f t="shared" si="896"/>
        <v>0</v>
      </c>
      <c r="AM670" s="66">
        <f t="shared" si="896"/>
        <v>0</v>
      </c>
      <c r="AN670" s="66">
        <f t="shared" si="896"/>
        <v>0</v>
      </c>
      <c r="AO670" s="66">
        <f t="shared" si="896"/>
        <v>0</v>
      </c>
      <c r="AP670" s="66">
        <f t="shared" si="896"/>
        <v>0</v>
      </c>
      <c r="AQ670" s="66">
        <f t="shared" si="896"/>
        <v>0</v>
      </c>
      <c r="AR670" s="66">
        <f t="shared" si="896"/>
        <v>0</v>
      </c>
      <c r="AS670" s="66">
        <f t="shared" si="896"/>
        <v>0</v>
      </c>
      <c r="AT670" s="66">
        <f t="shared" si="896"/>
        <v>0</v>
      </c>
      <c r="AU670" s="66">
        <f t="shared" si="896"/>
        <v>0</v>
      </c>
      <c r="AV670" s="66">
        <f t="shared" si="896"/>
        <v>0</v>
      </c>
      <c r="AW670" s="66">
        <f t="shared" si="896"/>
        <v>0</v>
      </c>
      <c r="AX670" s="66">
        <f t="shared" si="896"/>
        <v>0</v>
      </c>
      <c r="AY670" s="66">
        <f t="shared" si="896"/>
        <v>0</v>
      </c>
      <c r="AZ670" s="66">
        <f t="shared" si="896"/>
        <v>0</v>
      </c>
      <c r="BA670" s="66">
        <f t="shared" si="896"/>
        <v>0</v>
      </c>
      <c r="BB670" s="66">
        <f t="shared" si="896"/>
        <v>0</v>
      </c>
      <c r="BC670" s="66">
        <f t="shared" si="896"/>
        <v>0</v>
      </c>
      <c r="BD670" s="66">
        <f t="shared" si="896"/>
        <v>0</v>
      </c>
      <c r="BE670" s="66">
        <f t="shared" si="896"/>
        <v>0</v>
      </c>
      <c r="BF670" s="66">
        <f t="shared" si="896"/>
        <v>0</v>
      </c>
      <c r="BG670" s="66">
        <f t="shared" si="896"/>
        <v>0</v>
      </c>
      <c r="BH670" s="66">
        <f t="shared" si="896"/>
        <v>0</v>
      </c>
      <c r="BI670" s="66">
        <f t="shared" si="896"/>
        <v>0</v>
      </c>
      <c r="BJ670" s="66">
        <f t="shared" si="896"/>
        <v>0</v>
      </c>
      <c r="BY670" s="12"/>
      <c r="CA670" s="12"/>
      <c r="CR670" s="12"/>
      <c r="EX670" s="10" t="str">
        <f t="shared" si="771"/>
        <v/>
      </c>
    </row>
    <row r="671" spans="2:154" s="335" customFormat="1" x14ac:dyDescent="0.25">
      <c r="B671" s="84" t="str" cm="1">
        <f t="array" aca="1" ref="B671" ca="1">HYPERLINK(CONCATENATE("#",CELL("address",$D$199)),$D$199)</f>
        <v>Loan 9</v>
      </c>
      <c r="C671" s="380"/>
      <c r="D671" s="60">
        <f>D$21</f>
        <v>0</v>
      </c>
      <c r="E671" s="60">
        <f>E$21</f>
        <v>0</v>
      </c>
      <c r="F671" s="201">
        <f>_xlfn.IFNA(INDEX(Parameters!$E$73:$E$77, MATCH(R21, Parameters!$D$73:$D$77,0)), 0)</f>
        <v>0</v>
      </c>
      <c r="H671" s="50" t="s">
        <v>157</v>
      </c>
      <c r="AA671" s="66">
        <f t="shared" ref="AA671:BJ671" si="897">IF($F671=0, 0, (1+AA648)^(1/$F671)-1)</f>
        <v>0</v>
      </c>
      <c r="AB671" s="66">
        <f t="shared" si="897"/>
        <v>0</v>
      </c>
      <c r="AC671" s="66">
        <f t="shared" si="897"/>
        <v>0</v>
      </c>
      <c r="AD671" s="66">
        <f t="shared" si="897"/>
        <v>0</v>
      </c>
      <c r="AE671" s="66">
        <f t="shared" si="897"/>
        <v>0</v>
      </c>
      <c r="AF671" s="66">
        <f t="shared" si="897"/>
        <v>0</v>
      </c>
      <c r="AG671" s="66">
        <f t="shared" si="897"/>
        <v>0</v>
      </c>
      <c r="AH671" s="66">
        <f t="shared" si="897"/>
        <v>0</v>
      </c>
      <c r="AI671" s="66">
        <f t="shared" si="897"/>
        <v>0</v>
      </c>
      <c r="AJ671" s="66">
        <f t="shared" si="897"/>
        <v>0</v>
      </c>
      <c r="AK671" s="66">
        <f t="shared" si="897"/>
        <v>0</v>
      </c>
      <c r="AL671" s="66">
        <f t="shared" si="897"/>
        <v>0</v>
      </c>
      <c r="AM671" s="66">
        <f t="shared" si="897"/>
        <v>0</v>
      </c>
      <c r="AN671" s="66">
        <f t="shared" si="897"/>
        <v>0</v>
      </c>
      <c r="AO671" s="66">
        <f t="shared" si="897"/>
        <v>0</v>
      </c>
      <c r="AP671" s="66">
        <f t="shared" si="897"/>
        <v>0</v>
      </c>
      <c r="AQ671" s="66">
        <f t="shared" si="897"/>
        <v>0</v>
      </c>
      <c r="AR671" s="66">
        <f t="shared" si="897"/>
        <v>0</v>
      </c>
      <c r="AS671" s="66">
        <f t="shared" si="897"/>
        <v>0</v>
      </c>
      <c r="AT671" s="66">
        <f t="shared" si="897"/>
        <v>0</v>
      </c>
      <c r="AU671" s="66">
        <f t="shared" si="897"/>
        <v>0</v>
      </c>
      <c r="AV671" s="66">
        <f t="shared" si="897"/>
        <v>0</v>
      </c>
      <c r="AW671" s="66">
        <f t="shared" si="897"/>
        <v>0</v>
      </c>
      <c r="AX671" s="66">
        <f t="shared" si="897"/>
        <v>0</v>
      </c>
      <c r="AY671" s="66">
        <f t="shared" si="897"/>
        <v>0</v>
      </c>
      <c r="AZ671" s="66">
        <f t="shared" si="897"/>
        <v>0</v>
      </c>
      <c r="BA671" s="66">
        <f t="shared" si="897"/>
        <v>0</v>
      </c>
      <c r="BB671" s="66">
        <f t="shared" si="897"/>
        <v>0</v>
      </c>
      <c r="BC671" s="66">
        <f t="shared" si="897"/>
        <v>0</v>
      </c>
      <c r="BD671" s="66">
        <f t="shared" si="897"/>
        <v>0</v>
      </c>
      <c r="BE671" s="66">
        <f t="shared" si="897"/>
        <v>0</v>
      </c>
      <c r="BF671" s="66">
        <f t="shared" si="897"/>
        <v>0</v>
      </c>
      <c r="BG671" s="66">
        <f t="shared" si="897"/>
        <v>0</v>
      </c>
      <c r="BH671" s="66">
        <f t="shared" si="897"/>
        <v>0</v>
      </c>
      <c r="BI671" s="66">
        <f t="shared" si="897"/>
        <v>0</v>
      </c>
      <c r="BJ671" s="66">
        <f t="shared" si="897"/>
        <v>0</v>
      </c>
      <c r="BY671" s="12"/>
      <c r="CA671" s="12"/>
      <c r="CR671" s="12"/>
      <c r="EX671" s="10" t="str">
        <f t="shared" si="771"/>
        <v/>
      </c>
    </row>
    <row r="672" spans="2:154" s="335" customFormat="1" x14ac:dyDescent="0.25">
      <c r="B672" s="84" t="str" cm="1">
        <f t="array" aca="1" ref="B672" ca="1">HYPERLINK(CONCATENATE("#",CELL("address",$D$218)),$D$218)</f>
        <v>Loan 10</v>
      </c>
      <c r="C672" s="380"/>
      <c r="D672" s="60">
        <f>D$22</f>
        <v>0</v>
      </c>
      <c r="E672" s="60">
        <f>E$22</f>
        <v>0</v>
      </c>
      <c r="F672" s="201">
        <f>_xlfn.IFNA(INDEX(Parameters!$E$73:$E$77, MATCH(R22, Parameters!$D$73:$D$77,0)), 0)</f>
        <v>0</v>
      </c>
      <c r="H672" s="50" t="s">
        <v>157</v>
      </c>
      <c r="AA672" s="66">
        <f t="shared" ref="AA672:BJ672" si="898">IF($F672=0, 0, (1+AA649)^(1/$F672)-1)</f>
        <v>0</v>
      </c>
      <c r="AB672" s="66">
        <f t="shared" si="898"/>
        <v>0</v>
      </c>
      <c r="AC672" s="66">
        <f t="shared" si="898"/>
        <v>0</v>
      </c>
      <c r="AD672" s="66">
        <f t="shared" si="898"/>
        <v>0</v>
      </c>
      <c r="AE672" s="66">
        <f t="shared" si="898"/>
        <v>0</v>
      </c>
      <c r="AF672" s="66">
        <f t="shared" si="898"/>
        <v>0</v>
      </c>
      <c r="AG672" s="66">
        <f t="shared" si="898"/>
        <v>0</v>
      </c>
      <c r="AH672" s="66">
        <f t="shared" si="898"/>
        <v>0</v>
      </c>
      <c r="AI672" s="66">
        <f t="shared" si="898"/>
        <v>0</v>
      </c>
      <c r="AJ672" s="66">
        <f t="shared" si="898"/>
        <v>0</v>
      </c>
      <c r="AK672" s="66">
        <f t="shared" si="898"/>
        <v>0</v>
      </c>
      <c r="AL672" s="66">
        <f t="shared" si="898"/>
        <v>0</v>
      </c>
      <c r="AM672" s="66">
        <f t="shared" si="898"/>
        <v>0</v>
      </c>
      <c r="AN672" s="66">
        <f t="shared" si="898"/>
        <v>0</v>
      </c>
      <c r="AO672" s="66">
        <f t="shared" si="898"/>
        <v>0</v>
      </c>
      <c r="AP672" s="66">
        <f t="shared" si="898"/>
        <v>0</v>
      </c>
      <c r="AQ672" s="66">
        <f t="shared" si="898"/>
        <v>0</v>
      </c>
      <c r="AR672" s="66">
        <f t="shared" si="898"/>
        <v>0</v>
      </c>
      <c r="AS672" s="66">
        <f t="shared" si="898"/>
        <v>0</v>
      </c>
      <c r="AT672" s="66">
        <f t="shared" si="898"/>
        <v>0</v>
      </c>
      <c r="AU672" s="66">
        <f t="shared" si="898"/>
        <v>0</v>
      </c>
      <c r="AV672" s="66">
        <f t="shared" si="898"/>
        <v>0</v>
      </c>
      <c r="AW672" s="66">
        <f t="shared" si="898"/>
        <v>0</v>
      </c>
      <c r="AX672" s="66">
        <f t="shared" si="898"/>
        <v>0</v>
      </c>
      <c r="AY672" s="66">
        <f t="shared" si="898"/>
        <v>0</v>
      </c>
      <c r="AZ672" s="66">
        <f t="shared" si="898"/>
        <v>0</v>
      </c>
      <c r="BA672" s="66">
        <f t="shared" si="898"/>
        <v>0</v>
      </c>
      <c r="BB672" s="66">
        <f t="shared" si="898"/>
        <v>0</v>
      </c>
      <c r="BC672" s="66">
        <f t="shared" si="898"/>
        <v>0</v>
      </c>
      <c r="BD672" s="66">
        <f t="shared" si="898"/>
        <v>0</v>
      </c>
      <c r="BE672" s="66">
        <f t="shared" si="898"/>
        <v>0</v>
      </c>
      <c r="BF672" s="66">
        <f t="shared" si="898"/>
        <v>0</v>
      </c>
      <c r="BG672" s="66">
        <f t="shared" si="898"/>
        <v>0</v>
      </c>
      <c r="BH672" s="66">
        <f t="shared" si="898"/>
        <v>0</v>
      </c>
      <c r="BI672" s="66">
        <f t="shared" si="898"/>
        <v>0</v>
      </c>
      <c r="BJ672" s="66">
        <f t="shared" si="898"/>
        <v>0</v>
      </c>
      <c r="BY672" s="12"/>
      <c r="CA672" s="12"/>
      <c r="CR672" s="12"/>
      <c r="EX672" s="10" t="str">
        <f t="shared" si="771"/>
        <v/>
      </c>
    </row>
    <row r="673" spans="1:154" s="335" customFormat="1" x14ac:dyDescent="0.25">
      <c r="B673" s="84" t="str" cm="1">
        <f t="array" aca="1" ref="B673" ca="1">HYPERLINK(CONCATENATE("#",CELL("address",$D$237)),$D$237)</f>
        <v>Loan 11</v>
      </c>
      <c r="C673" s="380"/>
      <c r="D673" s="60">
        <f>D$23</f>
        <v>0</v>
      </c>
      <c r="E673" s="60">
        <f>E$23</f>
        <v>0</v>
      </c>
      <c r="F673" s="201">
        <f>_xlfn.IFNA(INDEX(Parameters!$E$73:$E$77, MATCH(R23, Parameters!$D$73:$D$77,0)), 0)</f>
        <v>0</v>
      </c>
      <c r="H673" s="50" t="s">
        <v>157</v>
      </c>
      <c r="AA673" s="66">
        <f t="shared" ref="AA673:BJ673" si="899">IF($F673=0, 0, (1+AA650)^(1/$F673)-1)</f>
        <v>0</v>
      </c>
      <c r="AB673" s="66">
        <f t="shared" si="899"/>
        <v>0</v>
      </c>
      <c r="AC673" s="66">
        <f t="shared" si="899"/>
        <v>0</v>
      </c>
      <c r="AD673" s="66">
        <f t="shared" si="899"/>
        <v>0</v>
      </c>
      <c r="AE673" s="66">
        <f t="shared" si="899"/>
        <v>0</v>
      </c>
      <c r="AF673" s="66">
        <f t="shared" si="899"/>
        <v>0</v>
      </c>
      <c r="AG673" s="66">
        <f t="shared" si="899"/>
        <v>0</v>
      </c>
      <c r="AH673" s="66">
        <f t="shared" si="899"/>
        <v>0</v>
      </c>
      <c r="AI673" s="66">
        <f t="shared" si="899"/>
        <v>0</v>
      </c>
      <c r="AJ673" s="66">
        <f t="shared" si="899"/>
        <v>0</v>
      </c>
      <c r="AK673" s="66">
        <f t="shared" si="899"/>
        <v>0</v>
      </c>
      <c r="AL673" s="66">
        <f t="shared" si="899"/>
        <v>0</v>
      </c>
      <c r="AM673" s="66">
        <f t="shared" si="899"/>
        <v>0</v>
      </c>
      <c r="AN673" s="66">
        <f t="shared" si="899"/>
        <v>0</v>
      </c>
      <c r="AO673" s="66">
        <f t="shared" si="899"/>
        <v>0</v>
      </c>
      <c r="AP673" s="66">
        <f t="shared" si="899"/>
        <v>0</v>
      </c>
      <c r="AQ673" s="66">
        <f t="shared" si="899"/>
        <v>0</v>
      </c>
      <c r="AR673" s="66">
        <f t="shared" si="899"/>
        <v>0</v>
      </c>
      <c r="AS673" s="66">
        <f t="shared" si="899"/>
        <v>0</v>
      </c>
      <c r="AT673" s="66">
        <f t="shared" si="899"/>
        <v>0</v>
      </c>
      <c r="AU673" s="66">
        <f t="shared" si="899"/>
        <v>0</v>
      </c>
      <c r="AV673" s="66">
        <f t="shared" si="899"/>
        <v>0</v>
      </c>
      <c r="AW673" s="66">
        <f t="shared" si="899"/>
        <v>0</v>
      </c>
      <c r="AX673" s="66">
        <f t="shared" si="899"/>
        <v>0</v>
      </c>
      <c r="AY673" s="66">
        <f t="shared" si="899"/>
        <v>0</v>
      </c>
      <c r="AZ673" s="66">
        <f t="shared" si="899"/>
        <v>0</v>
      </c>
      <c r="BA673" s="66">
        <f t="shared" si="899"/>
        <v>0</v>
      </c>
      <c r="BB673" s="66">
        <f t="shared" si="899"/>
        <v>0</v>
      </c>
      <c r="BC673" s="66">
        <f t="shared" si="899"/>
        <v>0</v>
      </c>
      <c r="BD673" s="66">
        <f t="shared" si="899"/>
        <v>0</v>
      </c>
      <c r="BE673" s="66">
        <f t="shared" si="899"/>
        <v>0</v>
      </c>
      <c r="BF673" s="66">
        <f t="shared" si="899"/>
        <v>0</v>
      </c>
      <c r="BG673" s="66">
        <f t="shared" si="899"/>
        <v>0</v>
      </c>
      <c r="BH673" s="66">
        <f t="shared" si="899"/>
        <v>0</v>
      </c>
      <c r="BI673" s="66">
        <f t="shared" si="899"/>
        <v>0</v>
      </c>
      <c r="BJ673" s="66">
        <f t="shared" si="899"/>
        <v>0</v>
      </c>
      <c r="BY673" s="12"/>
      <c r="CA673" s="12"/>
      <c r="CR673" s="12"/>
      <c r="EX673" s="10" t="str">
        <f t="shared" si="771"/>
        <v/>
      </c>
    </row>
    <row r="674" spans="1:154" s="335" customFormat="1" x14ac:dyDescent="0.25">
      <c r="B674" s="84" t="str" cm="1">
        <f t="array" aca="1" ref="B674" ca="1">HYPERLINK(CONCATENATE("#",CELL("address",$D$256)),$D$256)</f>
        <v>Loan 12</v>
      </c>
      <c r="C674" s="380"/>
      <c r="D674" s="60">
        <f>D$24</f>
        <v>0</v>
      </c>
      <c r="E674" s="60">
        <f>E$24</f>
        <v>0</v>
      </c>
      <c r="F674" s="201">
        <f>_xlfn.IFNA(INDEX(Parameters!$E$73:$E$77, MATCH(R24, Parameters!$D$73:$D$77,0)), 0)</f>
        <v>0</v>
      </c>
      <c r="H674" s="50" t="s">
        <v>157</v>
      </c>
      <c r="AA674" s="66">
        <f t="shared" ref="AA674:BJ674" si="900">IF($F674=0, 0, (1+AA651)^(1/$F674)-1)</f>
        <v>0</v>
      </c>
      <c r="AB674" s="66">
        <f t="shared" si="900"/>
        <v>0</v>
      </c>
      <c r="AC674" s="66">
        <f t="shared" si="900"/>
        <v>0</v>
      </c>
      <c r="AD674" s="66">
        <f t="shared" si="900"/>
        <v>0</v>
      </c>
      <c r="AE674" s="66">
        <f t="shared" si="900"/>
        <v>0</v>
      </c>
      <c r="AF674" s="66">
        <f t="shared" si="900"/>
        <v>0</v>
      </c>
      <c r="AG674" s="66">
        <f t="shared" si="900"/>
        <v>0</v>
      </c>
      <c r="AH674" s="66">
        <f t="shared" si="900"/>
        <v>0</v>
      </c>
      <c r="AI674" s="66">
        <f t="shared" si="900"/>
        <v>0</v>
      </c>
      <c r="AJ674" s="66">
        <f t="shared" si="900"/>
        <v>0</v>
      </c>
      <c r="AK674" s="66">
        <f t="shared" si="900"/>
        <v>0</v>
      </c>
      <c r="AL674" s="66">
        <f t="shared" si="900"/>
        <v>0</v>
      </c>
      <c r="AM674" s="66">
        <f t="shared" si="900"/>
        <v>0</v>
      </c>
      <c r="AN674" s="66">
        <f t="shared" si="900"/>
        <v>0</v>
      </c>
      <c r="AO674" s="66">
        <f t="shared" si="900"/>
        <v>0</v>
      </c>
      <c r="AP674" s="66">
        <f t="shared" si="900"/>
        <v>0</v>
      </c>
      <c r="AQ674" s="66">
        <f t="shared" si="900"/>
        <v>0</v>
      </c>
      <c r="AR674" s="66">
        <f t="shared" si="900"/>
        <v>0</v>
      </c>
      <c r="AS674" s="66">
        <f t="shared" si="900"/>
        <v>0</v>
      </c>
      <c r="AT674" s="66">
        <f t="shared" si="900"/>
        <v>0</v>
      </c>
      <c r="AU674" s="66">
        <f t="shared" si="900"/>
        <v>0</v>
      </c>
      <c r="AV674" s="66">
        <f t="shared" si="900"/>
        <v>0</v>
      </c>
      <c r="AW674" s="66">
        <f t="shared" si="900"/>
        <v>0</v>
      </c>
      <c r="AX674" s="66">
        <f t="shared" si="900"/>
        <v>0</v>
      </c>
      <c r="AY674" s="66">
        <f t="shared" si="900"/>
        <v>0</v>
      </c>
      <c r="AZ674" s="66">
        <f t="shared" si="900"/>
        <v>0</v>
      </c>
      <c r="BA674" s="66">
        <f t="shared" si="900"/>
        <v>0</v>
      </c>
      <c r="BB674" s="66">
        <f t="shared" si="900"/>
        <v>0</v>
      </c>
      <c r="BC674" s="66">
        <f t="shared" si="900"/>
        <v>0</v>
      </c>
      <c r="BD674" s="66">
        <f t="shared" si="900"/>
        <v>0</v>
      </c>
      <c r="BE674" s="66">
        <f t="shared" si="900"/>
        <v>0</v>
      </c>
      <c r="BF674" s="66">
        <f t="shared" si="900"/>
        <v>0</v>
      </c>
      <c r="BG674" s="66">
        <f t="shared" si="900"/>
        <v>0</v>
      </c>
      <c r="BH674" s="66">
        <f t="shared" si="900"/>
        <v>0</v>
      </c>
      <c r="BI674" s="66">
        <f t="shared" si="900"/>
        <v>0</v>
      </c>
      <c r="BJ674" s="66">
        <f t="shared" si="900"/>
        <v>0</v>
      </c>
      <c r="BY674" s="12"/>
      <c r="CA674" s="12"/>
      <c r="CR674" s="12"/>
      <c r="EX674" s="10" t="str">
        <f t="shared" si="771"/>
        <v/>
      </c>
    </row>
    <row r="675" spans="1:154" s="335" customFormat="1" x14ac:dyDescent="0.25">
      <c r="B675" s="84" t="str" cm="1">
        <f t="array" aca="1" ref="B675" ca="1">HYPERLINK(CONCATENATE("#",CELL("address",$D$275)),$D$275)</f>
        <v>Loan 13</v>
      </c>
      <c r="C675" s="380"/>
      <c r="D675" s="60">
        <f>D$25</f>
        <v>0</v>
      </c>
      <c r="E675" s="60">
        <f>E$25</f>
        <v>0</v>
      </c>
      <c r="F675" s="201">
        <f>_xlfn.IFNA(INDEX(Parameters!$E$73:$E$77, MATCH(R25, Parameters!$D$73:$D$77,0)), 0)</f>
        <v>0</v>
      </c>
      <c r="H675" s="50" t="s">
        <v>157</v>
      </c>
      <c r="AA675" s="66">
        <f t="shared" ref="AA675:BJ675" si="901">IF($F675=0, 0, (1+AA652)^(1/$F675)-1)</f>
        <v>0</v>
      </c>
      <c r="AB675" s="66">
        <f t="shared" si="901"/>
        <v>0</v>
      </c>
      <c r="AC675" s="66">
        <f t="shared" si="901"/>
        <v>0</v>
      </c>
      <c r="AD675" s="66">
        <f t="shared" si="901"/>
        <v>0</v>
      </c>
      <c r="AE675" s="66">
        <f t="shared" si="901"/>
        <v>0</v>
      </c>
      <c r="AF675" s="66">
        <f t="shared" si="901"/>
        <v>0</v>
      </c>
      <c r="AG675" s="66">
        <f t="shared" si="901"/>
        <v>0</v>
      </c>
      <c r="AH675" s="66">
        <f t="shared" si="901"/>
        <v>0</v>
      </c>
      <c r="AI675" s="66">
        <f t="shared" si="901"/>
        <v>0</v>
      </c>
      <c r="AJ675" s="66">
        <f t="shared" si="901"/>
        <v>0</v>
      </c>
      <c r="AK675" s="66">
        <f t="shared" si="901"/>
        <v>0</v>
      </c>
      <c r="AL675" s="66">
        <f t="shared" si="901"/>
        <v>0</v>
      </c>
      <c r="AM675" s="66">
        <f t="shared" si="901"/>
        <v>0</v>
      </c>
      <c r="AN675" s="66">
        <f t="shared" si="901"/>
        <v>0</v>
      </c>
      <c r="AO675" s="66">
        <f t="shared" si="901"/>
        <v>0</v>
      </c>
      <c r="AP675" s="66">
        <f t="shared" si="901"/>
        <v>0</v>
      </c>
      <c r="AQ675" s="66">
        <f t="shared" si="901"/>
        <v>0</v>
      </c>
      <c r="AR675" s="66">
        <f t="shared" si="901"/>
        <v>0</v>
      </c>
      <c r="AS675" s="66">
        <f t="shared" si="901"/>
        <v>0</v>
      </c>
      <c r="AT675" s="66">
        <f t="shared" si="901"/>
        <v>0</v>
      </c>
      <c r="AU675" s="66">
        <f t="shared" si="901"/>
        <v>0</v>
      </c>
      <c r="AV675" s="66">
        <f t="shared" si="901"/>
        <v>0</v>
      </c>
      <c r="AW675" s="66">
        <f t="shared" si="901"/>
        <v>0</v>
      </c>
      <c r="AX675" s="66">
        <f t="shared" si="901"/>
        <v>0</v>
      </c>
      <c r="AY675" s="66">
        <f t="shared" si="901"/>
        <v>0</v>
      </c>
      <c r="AZ675" s="66">
        <f t="shared" si="901"/>
        <v>0</v>
      </c>
      <c r="BA675" s="66">
        <f t="shared" si="901"/>
        <v>0</v>
      </c>
      <c r="BB675" s="66">
        <f t="shared" si="901"/>
        <v>0</v>
      </c>
      <c r="BC675" s="66">
        <f t="shared" si="901"/>
        <v>0</v>
      </c>
      <c r="BD675" s="66">
        <f t="shared" si="901"/>
        <v>0</v>
      </c>
      <c r="BE675" s="66">
        <f t="shared" si="901"/>
        <v>0</v>
      </c>
      <c r="BF675" s="66">
        <f t="shared" si="901"/>
        <v>0</v>
      </c>
      <c r="BG675" s="66">
        <f t="shared" si="901"/>
        <v>0</v>
      </c>
      <c r="BH675" s="66">
        <f t="shared" si="901"/>
        <v>0</v>
      </c>
      <c r="BI675" s="66">
        <f t="shared" si="901"/>
        <v>0</v>
      </c>
      <c r="BJ675" s="66">
        <f t="shared" si="901"/>
        <v>0</v>
      </c>
      <c r="BY675" s="12"/>
      <c r="CA675" s="12"/>
      <c r="CR675" s="12"/>
      <c r="EX675" s="10" t="str">
        <f t="shared" si="771"/>
        <v/>
      </c>
    </row>
    <row r="676" spans="1:154" s="5" customFormat="1" x14ac:dyDescent="0.25">
      <c r="A676" s="335"/>
      <c r="B676" s="84" t="str" cm="1">
        <f t="array" aca="1" ref="B676" ca="1">HYPERLINK(CONCATENATE("#",CELL("address",$D$294)),$D$294)</f>
        <v>Loan 14</v>
      </c>
      <c r="C676" s="380"/>
      <c r="D676" s="60">
        <f>D$26</f>
        <v>0</v>
      </c>
      <c r="E676" s="60">
        <f>E$26</f>
        <v>0</v>
      </c>
      <c r="F676" s="201">
        <f>_xlfn.IFNA(INDEX(Parameters!$E$73:$E$77, MATCH(R26, Parameters!$D$73:$D$77,0)), 0)</f>
        <v>0</v>
      </c>
      <c r="H676" s="50" t="s">
        <v>157</v>
      </c>
      <c r="I676" s="335"/>
      <c r="J676" s="335"/>
      <c r="K676" s="335"/>
      <c r="L676" s="335"/>
      <c r="M676" s="335"/>
      <c r="N676" s="335"/>
      <c r="O676" s="335"/>
      <c r="P676" s="335"/>
      <c r="Q676" s="335"/>
      <c r="R676" s="335"/>
      <c r="S676" s="335"/>
      <c r="T676" s="335"/>
      <c r="U676" s="335"/>
      <c r="V676" s="335"/>
      <c r="W676" s="335"/>
      <c r="X676" s="335"/>
      <c r="Y676" s="335"/>
      <c r="Z676" s="335"/>
      <c r="AA676" s="66">
        <f t="shared" ref="AA676:BJ676" si="902">IF($F676=0, 0, (1+AA653)^(1/$F676)-1)</f>
        <v>0</v>
      </c>
      <c r="AB676" s="66">
        <f t="shared" si="902"/>
        <v>0</v>
      </c>
      <c r="AC676" s="66">
        <f t="shared" si="902"/>
        <v>0</v>
      </c>
      <c r="AD676" s="66">
        <f t="shared" si="902"/>
        <v>0</v>
      </c>
      <c r="AE676" s="66">
        <f t="shared" si="902"/>
        <v>0</v>
      </c>
      <c r="AF676" s="66">
        <f t="shared" si="902"/>
        <v>0</v>
      </c>
      <c r="AG676" s="66">
        <f t="shared" si="902"/>
        <v>0</v>
      </c>
      <c r="AH676" s="66">
        <f t="shared" si="902"/>
        <v>0</v>
      </c>
      <c r="AI676" s="66">
        <f t="shared" si="902"/>
        <v>0</v>
      </c>
      <c r="AJ676" s="66">
        <f t="shared" si="902"/>
        <v>0</v>
      </c>
      <c r="AK676" s="66">
        <f t="shared" si="902"/>
        <v>0</v>
      </c>
      <c r="AL676" s="66">
        <f t="shared" si="902"/>
        <v>0</v>
      </c>
      <c r="AM676" s="66">
        <f t="shared" si="902"/>
        <v>0</v>
      </c>
      <c r="AN676" s="66">
        <f t="shared" si="902"/>
        <v>0</v>
      </c>
      <c r="AO676" s="66">
        <f t="shared" si="902"/>
        <v>0</v>
      </c>
      <c r="AP676" s="66">
        <f t="shared" si="902"/>
        <v>0</v>
      </c>
      <c r="AQ676" s="66">
        <f t="shared" si="902"/>
        <v>0</v>
      </c>
      <c r="AR676" s="66">
        <f t="shared" si="902"/>
        <v>0</v>
      </c>
      <c r="AS676" s="66">
        <f t="shared" si="902"/>
        <v>0</v>
      </c>
      <c r="AT676" s="66">
        <f t="shared" si="902"/>
        <v>0</v>
      </c>
      <c r="AU676" s="66">
        <f t="shared" si="902"/>
        <v>0</v>
      </c>
      <c r="AV676" s="66">
        <f t="shared" si="902"/>
        <v>0</v>
      </c>
      <c r="AW676" s="66">
        <f t="shared" si="902"/>
        <v>0</v>
      </c>
      <c r="AX676" s="66">
        <f t="shared" si="902"/>
        <v>0</v>
      </c>
      <c r="AY676" s="66">
        <f t="shared" si="902"/>
        <v>0</v>
      </c>
      <c r="AZ676" s="66">
        <f t="shared" si="902"/>
        <v>0</v>
      </c>
      <c r="BA676" s="66">
        <f t="shared" si="902"/>
        <v>0</v>
      </c>
      <c r="BB676" s="66">
        <f t="shared" si="902"/>
        <v>0</v>
      </c>
      <c r="BC676" s="66">
        <f t="shared" si="902"/>
        <v>0</v>
      </c>
      <c r="BD676" s="66">
        <f t="shared" si="902"/>
        <v>0</v>
      </c>
      <c r="BE676" s="66">
        <f t="shared" si="902"/>
        <v>0</v>
      </c>
      <c r="BF676" s="66">
        <f t="shared" si="902"/>
        <v>0</v>
      </c>
      <c r="BG676" s="66">
        <f t="shared" si="902"/>
        <v>0</v>
      </c>
      <c r="BH676" s="66">
        <f t="shared" si="902"/>
        <v>0</v>
      </c>
      <c r="BI676" s="66">
        <f t="shared" si="902"/>
        <v>0</v>
      </c>
      <c r="BJ676" s="66">
        <f t="shared" si="902"/>
        <v>0</v>
      </c>
      <c r="BK676" s="335"/>
      <c r="BL676" s="335"/>
      <c r="BM676" s="335"/>
      <c r="BN676" s="335"/>
      <c r="BO676" s="335"/>
      <c r="BP676" s="335"/>
      <c r="BQ676" s="335"/>
      <c r="BR676" s="335"/>
      <c r="BS676" s="335"/>
      <c r="BT676" s="335"/>
      <c r="BU676" s="335"/>
      <c r="BV676" s="335"/>
      <c r="BW676" s="335"/>
      <c r="BX676" s="335"/>
      <c r="BY676" s="12"/>
      <c r="BZ676" s="335"/>
      <c r="CA676" s="12"/>
      <c r="CB676" s="335"/>
      <c r="CC676" s="335"/>
      <c r="CD676" s="335"/>
      <c r="CE676" s="335"/>
      <c r="CF676" s="335"/>
      <c r="CG676" s="335"/>
      <c r="CH676" s="335"/>
      <c r="CI676" s="335"/>
      <c r="CJ676" s="335"/>
      <c r="CK676" s="335"/>
      <c r="CL676" s="335"/>
      <c r="CM676" s="335"/>
      <c r="CN676" s="335"/>
      <c r="CO676" s="335"/>
      <c r="CP676" s="335"/>
      <c r="CQ676" s="335"/>
      <c r="CR676" s="12"/>
      <c r="EX676" s="10" t="str">
        <f t="shared" si="771"/>
        <v/>
      </c>
    </row>
    <row r="677" spans="1:154" s="335" customFormat="1" x14ac:dyDescent="0.25">
      <c r="B677" s="84" t="str" cm="1">
        <f t="array" aca="1" ref="B677" ca="1">HYPERLINK(CONCATENATE("#",CELL("address",$D$313)),$D$313)</f>
        <v>Loan 15</v>
      </c>
      <c r="C677" s="380"/>
      <c r="D677" s="60">
        <f>D$27</f>
        <v>0</v>
      </c>
      <c r="E677" s="60">
        <f>E$27</f>
        <v>0</v>
      </c>
      <c r="F677" s="201">
        <f>_xlfn.IFNA(INDEX(Parameters!$E$73:$E$77, MATCH(R27, Parameters!$D$73:$D$77,0)), 0)</f>
        <v>0</v>
      </c>
      <c r="H677" s="50" t="s">
        <v>157</v>
      </c>
      <c r="AA677" s="66">
        <f t="shared" ref="AA677:BJ677" si="903">IF($F677=0, 0, (1+AA654)^(1/$F677)-1)</f>
        <v>0</v>
      </c>
      <c r="AB677" s="66">
        <f t="shared" si="903"/>
        <v>0</v>
      </c>
      <c r="AC677" s="66">
        <f t="shared" si="903"/>
        <v>0</v>
      </c>
      <c r="AD677" s="66">
        <f t="shared" si="903"/>
        <v>0</v>
      </c>
      <c r="AE677" s="66">
        <f t="shared" si="903"/>
        <v>0</v>
      </c>
      <c r="AF677" s="66">
        <f t="shared" si="903"/>
        <v>0</v>
      </c>
      <c r="AG677" s="66">
        <f t="shared" si="903"/>
        <v>0</v>
      </c>
      <c r="AH677" s="66">
        <f t="shared" si="903"/>
        <v>0</v>
      </c>
      <c r="AI677" s="66">
        <f t="shared" si="903"/>
        <v>0</v>
      </c>
      <c r="AJ677" s="66">
        <f t="shared" si="903"/>
        <v>0</v>
      </c>
      <c r="AK677" s="66">
        <f t="shared" si="903"/>
        <v>0</v>
      </c>
      <c r="AL677" s="66">
        <f t="shared" si="903"/>
        <v>0</v>
      </c>
      <c r="AM677" s="66">
        <f t="shared" si="903"/>
        <v>0</v>
      </c>
      <c r="AN677" s="66">
        <f t="shared" si="903"/>
        <v>0</v>
      </c>
      <c r="AO677" s="66">
        <f t="shared" si="903"/>
        <v>0</v>
      </c>
      <c r="AP677" s="66">
        <f t="shared" si="903"/>
        <v>0</v>
      </c>
      <c r="AQ677" s="66">
        <f t="shared" si="903"/>
        <v>0</v>
      </c>
      <c r="AR677" s="66">
        <f t="shared" si="903"/>
        <v>0</v>
      </c>
      <c r="AS677" s="66">
        <f t="shared" si="903"/>
        <v>0</v>
      </c>
      <c r="AT677" s="66">
        <f t="shared" si="903"/>
        <v>0</v>
      </c>
      <c r="AU677" s="66">
        <f t="shared" si="903"/>
        <v>0</v>
      </c>
      <c r="AV677" s="66">
        <f t="shared" si="903"/>
        <v>0</v>
      </c>
      <c r="AW677" s="66">
        <f t="shared" si="903"/>
        <v>0</v>
      </c>
      <c r="AX677" s="66">
        <f t="shared" si="903"/>
        <v>0</v>
      </c>
      <c r="AY677" s="66">
        <f t="shared" si="903"/>
        <v>0</v>
      </c>
      <c r="AZ677" s="66">
        <f t="shared" si="903"/>
        <v>0</v>
      </c>
      <c r="BA677" s="66">
        <f t="shared" si="903"/>
        <v>0</v>
      </c>
      <c r="BB677" s="66">
        <f t="shared" si="903"/>
        <v>0</v>
      </c>
      <c r="BC677" s="66">
        <f t="shared" si="903"/>
        <v>0</v>
      </c>
      <c r="BD677" s="66">
        <f t="shared" si="903"/>
        <v>0</v>
      </c>
      <c r="BE677" s="66">
        <f t="shared" si="903"/>
        <v>0</v>
      </c>
      <c r="BF677" s="66">
        <f t="shared" si="903"/>
        <v>0</v>
      </c>
      <c r="BG677" s="66">
        <f t="shared" si="903"/>
        <v>0</v>
      </c>
      <c r="BH677" s="66">
        <f t="shared" si="903"/>
        <v>0</v>
      </c>
      <c r="BI677" s="66">
        <f t="shared" si="903"/>
        <v>0</v>
      </c>
      <c r="BJ677" s="66">
        <f t="shared" si="903"/>
        <v>0</v>
      </c>
      <c r="BY677" s="12"/>
      <c r="CA677" s="12"/>
      <c r="CR677" s="12"/>
      <c r="EX677" s="10" t="str">
        <f t="shared" si="771"/>
        <v/>
      </c>
    </row>
    <row r="678" spans="1:154" s="335" customFormat="1" x14ac:dyDescent="0.25">
      <c r="B678" s="84" t="str" cm="1">
        <f t="array" aca="1" ref="B678" ca="1">HYPERLINK(CONCATENATE("#",CELL("address",$D$332)),$D$332)</f>
        <v>Loan 16</v>
      </c>
      <c r="C678" s="380"/>
      <c r="D678" s="60">
        <f>D$28</f>
        <v>0</v>
      </c>
      <c r="E678" s="60">
        <f>E$28</f>
        <v>0</v>
      </c>
      <c r="F678" s="201">
        <f>_xlfn.IFNA(INDEX(Parameters!$E$73:$E$77, MATCH(R28, Parameters!$D$73:$D$77,0)), 0)</f>
        <v>0</v>
      </c>
      <c r="H678" s="50" t="s">
        <v>157</v>
      </c>
      <c r="AA678" s="66">
        <f t="shared" ref="AA678:BJ678" si="904">IF($F678=0, 0, (1+AA655)^(1/$F678)-1)</f>
        <v>0</v>
      </c>
      <c r="AB678" s="66">
        <f t="shared" si="904"/>
        <v>0</v>
      </c>
      <c r="AC678" s="66">
        <f t="shared" si="904"/>
        <v>0</v>
      </c>
      <c r="AD678" s="66">
        <f t="shared" si="904"/>
        <v>0</v>
      </c>
      <c r="AE678" s="66">
        <f t="shared" si="904"/>
        <v>0</v>
      </c>
      <c r="AF678" s="66">
        <f t="shared" si="904"/>
        <v>0</v>
      </c>
      <c r="AG678" s="66">
        <f t="shared" si="904"/>
        <v>0</v>
      </c>
      <c r="AH678" s="66">
        <f t="shared" si="904"/>
        <v>0</v>
      </c>
      <c r="AI678" s="66">
        <f t="shared" si="904"/>
        <v>0</v>
      </c>
      <c r="AJ678" s="66">
        <f t="shared" si="904"/>
        <v>0</v>
      </c>
      <c r="AK678" s="66">
        <f t="shared" si="904"/>
        <v>0</v>
      </c>
      <c r="AL678" s="66">
        <f t="shared" si="904"/>
        <v>0</v>
      </c>
      <c r="AM678" s="66">
        <f t="shared" si="904"/>
        <v>0</v>
      </c>
      <c r="AN678" s="66">
        <f t="shared" si="904"/>
        <v>0</v>
      </c>
      <c r="AO678" s="66">
        <f t="shared" si="904"/>
        <v>0</v>
      </c>
      <c r="AP678" s="66">
        <f t="shared" si="904"/>
        <v>0</v>
      </c>
      <c r="AQ678" s="66">
        <f t="shared" si="904"/>
        <v>0</v>
      </c>
      <c r="AR678" s="66">
        <f t="shared" si="904"/>
        <v>0</v>
      </c>
      <c r="AS678" s="66">
        <f t="shared" si="904"/>
        <v>0</v>
      </c>
      <c r="AT678" s="66">
        <f t="shared" si="904"/>
        <v>0</v>
      </c>
      <c r="AU678" s="66">
        <f t="shared" si="904"/>
        <v>0</v>
      </c>
      <c r="AV678" s="66">
        <f t="shared" si="904"/>
        <v>0</v>
      </c>
      <c r="AW678" s="66">
        <f t="shared" si="904"/>
        <v>0</v>
      </c>
      <c r="AX678" s="66">
        <f t="shared" si="904"/>
        <v>0</v>
      </c>
      <c r="AY678" s="66">
        <f t="shared" si="904"/>
        <v>0</v>
      </c>
      <c r="AZ678" s="66">
        <f t="shared" si="904"/>
        <v>0</v>
      </c>
      <c r="BA678" s="66">
        <f t="shared" si="904"/>
        <v>0</v>
      </c>
      <c r="BB678" s="66">
        <f t="shared" si="904"/>
        <v>0</v>
      </c>
      <c r="BC678" s="66">
        <f t="shared" si="904"/>
        <v>0</v>
      </c>
      <c r="BD678" s="66">
        <f t="shared" si="904"/>
        <v>0</v>
      </c>
      <c r="BE678" s="66">
        <f t="shared" si="904"/>
        <v>0</v>
      </c>
      <c r="BF678" s="66">
        <f t="shared" si="904"/>
        <v>0</v>
      </c>
      <c r="BG678" s="66">
        <f t="shared" si="904"/>
        <v>0</v>
      </c>
      <c r="BH678" s="66">
        <f t="shared" si="904"/>
        <v>0</v>
      </c>
      <c r="BI678" s="66">
        <f t="shared" si="904"/>
        <v>0</v>
      </c>
      <c r="BJ678" s="66">
        <f t="shared" si="904"/>
        <v>0</v>
      </c>
      <c r="BY678" s="12"/>
      <c r="CA678" s="12"/>
      <c r="CR678" s="12"/>
      <c r="EX678" s="10" t="str">
        <f t="shared" si="771"/>
        <v/>
      </c>
    </row>
    <row r="679" spans="1:154" s="335" customFormat="1" x14ac:dyDescent="0.25">
      <c r="B679" s="84" t="str" cm="1">
        <f t="array" aca="1" ref="B679" ca="1">HYPERLINK(CONCATENATE("#",CELL("address",$D$351)),$D$351)</f>
        <v>Loan 17</v>
      </c>
      <c r="C679" s="380"/>
      <c r="D679" s="60">
        <f>D$29</f>
        <v>0</v>
      </c>
      <c r="E679" s="60">
        <f>E$29</f>
        <v>0</v>
      </c>
      <c r="F679" s="201">
        <f>_xlfn.IFNA(INDEX(Parameters!$E$73:$E$77, MATCH(R29, Parameters!$D$73:$D$77,0)), 0)</f>
        <v>0</v>
      </c>
      <c r="H679" s="50" t="s">
        <v>157</v>
      </c>
      <c r="AA679" s="66">
        <f t="shared" ref="AA679:BJ679" si="905">IF($F679=0, 0, (1+AA656)^(1/$F679)-1)</f>
        <v>0</v>
      </c>
      <c r="AB679" s="66">
        <f t="shared" si="905"/>
        <v>0</v>
      </c>
      <c r="AC679" s="66">
        <f t="shared" si="905"/>
        <v>0</v>
      </c>
      <c r="AD679" s="66">
        <f t="shared" si="905"/>
        <v>0</v>
      </c>
      <c r="AE679" s="66">
        <f t="shared" si="905"/>
        <v>0</v>
      </c>
      <c r="AF679" s="66">
        <f t="shared" si="905"/>
        <v>0</v>
      </c>
      <c r="AG679" s="66">
        <f t="shared" si="905"/>
        <v>0</v>
      </c>
      <c r="AH679" s="66">
        <f t="shared" si="905"/>
        <v>0</v>
      </c>
      <c r="AI679" s="66">
        <f t="shared" si="905"/>
        <v>0</v>
      </c>
      <c r="AJ679" s="66">
        <f t="shared" si="905"/>
        <v>0</v>
      </c>
      <c r="AK679" s="66">
        <f t="shared" si="905"/>
        <v>0</v>
      </c>
      <c r="AL679" s="66">
        <f t="shared" si="905"/>
        <v>0</v>
      </c>
      <c r="AM679" s="66">
        <f t="shared" si="905"/>
        <v>0</v>
      </c>
      <c r="AN679" s="66">
        <f t="shared" si="905"/>
        <v>0</v>
      </c>
      <c r="AO679" s="66">
        <f t="shared" si="905"/>
        <v>0</v>
      </c>
      <c r="AP679" s="66">
        <f t="shared" si="905"/>
        <v>0</v>
      </c>
      <c r="AQ679" s="66">
        <f t="shared" si="905"/>
        <v>0</v>
      </c>
      <c r="AR679" s="66">
        <f t="shared" si="905"/>
        <v>0</v>
      </c>
      <c r="AS679" s="66">
        <f t="shared" si="905"/>
        <v>0</v>
      </c>
      <c r="AT679" s="66">
        <f t="shared" si="905"/>
        <v>0</v>
      </c>
      <c r="AU679" s="66">
        <f t="shared" si="905"/>
        <v>0</v>
      </c>
      <c r="AV679" s="66">
        <f t="shared" si="905"/>
        <v>0</v>
      </c>
      <c r="AW679" s="66">
        <f t="shared" si="905"/>
        <v>0</v>
      </c>
      <c r="AX679" s="66">
        <f t="shared" si="905"/>
        <v>0</v>
      </c>
      <c r="AY679" s="66">
        <f t="shared" si="905"/>
        <v>0</v>
      </c>
      <c r="AZ679" s="66">
        <f t="shared" si="905"/>
        <v>0</v>
      </c>
      <c r="BA679" s="66">
        <f t="shared" si="905"/>
        <v>0</v>
      </c>
      <c r="BB679" s="66">
        <f t="shared" si="905"/>
        <v>0</v>
      </c>
      <c r="BC679" s="66">
        <f t="shared" si="905"/>
        <v>0</v>
      </c>
      <c r="BD679" s="66">
        <f t="shared" si="905"/>
        <v>0</v>
      </c>
      <c r="BE679" s="66">
        <f t="shared" si="905"/>
        <v>0</v>
      </c>
      <c r="BF679" s="66">
        <f t="shared" si="905"/>
        <v>0</v>
      </c>
      <c r="BG679" s="66">
        <f t="shared" si="905"/>
        <v>0</v>
      </c>
      <c r="BH679" s="66">
        <f t="shared" si="905"/>
        <v>0</v>
      </c>
      <c r="BI679" s="66">
        <f t="shared" si="905"/>
        <v>0</v>
      </c>
      <c r="BJ679" s="66">
        <f t="shared" si="905"/>
        <v>0</v>
      </c>
      <c r="BY679" s="12"/>
      <c r="CA679" s="12"/>
      <c r="CR679" s="12"/>
      <c r="EX679" s="10" t="str">
        <f t="shared" si="771"/>
        <v/>
      </c>
    </row>
    <row r="680" spans="1:154" s="335" customFormat="1" x14ac:dyDescent="0.25">
      <c r="B680" s="84" t="str" cm="1">
        <f t="array" aca="1" ref="B680" ca="1">HYPERLINK(CONCATENATE("#",CELL("address",$D$370)),$D$370)</f>
        <v>Loan 18</v>
      </c>
      <c r="C680" s="380"/>
      <c r="D680" s="60">
        <f>D$30</f>
        <v>0</v>
      </c>
      <c r="E680" s="60">
        <f>E$30</f>
        <v>0</v>
      </c>
      <c r="F680" s="201">
        <f>_xlfn.IFNA(INDEX(Parameters!$E$73:$E$77, MATCH(R30, Parameters!$D$73:$D$77,0)), 0)</f>
        <v>0</v>
      </c>
      <c r="H680" s="50" t="s">
        <v>157</v>
      </c>
      <c r="AA680" s="66">
        <f t="shared" ref="AA680:BJ680" si="906">IF($F680=0, 0, (1+AA657)^(1/$F680)-1)</f>
        <v>0</v>
      </c>
      <c r="AB680" s="66">
        <f t="shared" si="906"/>
        <v>0</v>
      </c>
      <c r="AC680" s="66">
        <f t="shared" si="906"/>
        <v>0</v>
      </c>
      <c r="AD680" s="66">
        <f t="shared" si="906"/>
        <v>0</v>
      </c>
      <c r="AE680" s="66">
        <f t="shared" si="906"/>
        <v>0</v>
      </c>
      <c r="AF680" s="66">
        <f t="shared" si="906"/>
        <v>0</v>
      </c>
      <c r="AG680" s="66">
        <f t="shared" si="906"/>
        <v>0</v>
      </c>
      <c r="AH680" s="66">
        <f t="shared" si="906"/>
        <v>0</v>
      </c>
      <c r="AI680" s="66">
        <f t="shared" si="906"/>
        <v>0</v>
      </c>
      <c r="AJ680" s="66">
        <f t="shared" si="906"/>
        <v>0</v>
      </c>
      <c r="AK680" s="66">
        <f t="shared" si="906"/>
        <v>0</v>
      </c>
      <c r="AL680" s="66">
        <f t="shared" si="906"/>
        <v>0</v>
      </c>
      <c r="AM680" s="66">
        <f t="shared" si="906"/>
        <v>0</v>
      </c>
      <c r="AN680" s="66">
        <f t="shared" si="906"/>
        <v>0</v>
      </c>
      <c r="AO680" s="66">
        <f t="shared" si="906"/>
        <v>0</v>
      </c>
      <c r="AP680" s="66">
        <f t="shared" si="906"/>
        <v>0</v>
      </c>
      <c r="AQ680" s="66">
        <f t="shared" si="906"/>
        <v>0</v>
      </c>
      <c r="AR680" s="66">
        <f t="shared" si="906"/>
        <v>0</v>
      </c>
      <c r="AS680" s="66">
        <f t="shared" si="906"/>
        <v>0</v>
      </c>
      <c r="AT680" s="66">
        <f t="shared" si="906"/>
        <v>0</v>
      </c>
      <c r="AU680" s="66">
        <f t="shared" si="906"/>
        <v>0</v>
      </c>
      <c r="AV680" s="66">
        <f t="shared" si="906"/>
        <v>0</v>
      </c>
      <c r="AW680" s="66">
        <f t="shared" si="906"/>
        <v>0</v>
      </c>
      <c r="AX680" s="66">
        <f t="shared" si="906"/>
        <v>0</v>
      </c>
      <c r="AY680" s="66">
        <f t="shared" si="906"/>
        <v>0</v>
      </c>
      <c r="AZ680" s="66">
        <f t="shared" si="906"/>
        <v>0</v>
      </c>
      <c r="BA680" s="66">
        <f t="shared" si="906"/>
        <v>0</v>
      </c>
      <c r="BB680" s="66">
        <f t="shared" si="906"/>
        <v>0</v>
      </c>
      <c r="BC680" s="66">
        <f t="shared" si="906"/>
        <v>0</v>
      </c>
      <c r="BD680" s="66">
        <f t="shared" si="906"/>
        <v>0</v>
      </c>
      <c r="BE680" s="66">
        <f t="shared" si="906"/>
        <v>0</v>
      </c>
      <c r="BF680" s="66">
        <f t="shared" si="906"/>
        <v>0</v>
      </c>
      <c r="BG680" s="66">
        <f t="shared" si="906"/>
        <v>0</v>
      </c>
      <c r="BH680" s="66">
        <f t="shared" si="906"/>
        <v>0</v>
      </c>
      <c r="BI680" s="66">
        <f t="shared" si="906"/>
        <v>0</v>
      </c>
      <c r="BJ680" s="66">
        <f t="shared" si="906"/>
        <v>0</v>
      </c>
      <c r="BY680" s="12"/>
      <c r="CA680" s="12"/>
      <c r="CR680" s="12"/>
      <c r="EX680" s="10" t="str">
        <f t="shared" si="771"/>
        <v/>
      </c>
    </row>
    <row r="681" spans="1:154" s="335" customFormat="1" x14ac:dyDescent="0.25">
      <c r="B681" s="84" t="str" cm="1">
        <f t="array" aca="1" ref="B681" ca="1">HYPERLINK(CONCATENATE("#",CELL("address",$D$389)),$D$389)</f>
        <v>Loan 19</v>
      </c>
      <c r="C681" s="380"/>
      <c r="D681" s="60">
        <f>D$31</f>
        <v>0</v>
      </c>
      <c r="E681" s="60">
        <f>E$31</f>
        <v>0</v>
      </c>
      <c r="F681" s="201">
        <f>_xlfn.IFNA(INDEX(Parameters!$E$73:$E$77, MATCH(R31, Parameters!$D$73:$D$77,0)), 0)</f>
        <v>0</v>
      </c>
      <c r="H681" s="50" t="s">
        <v>157</v>
      </c>
      <c r="AA681" s="66">
        <f t="shared" ref="AA681:BJ681" si="907">IF($F681=0, 0, (1+AA658)^(1/$F681)-1)</f>
        <v>0</v>
      </c>
      <c r="AB681" s="66">
        <f t="shared" si="907"/>
        <v>0</v>
      </c>
      <c r="AC681" s="66">
        <f t="shared" si="907"/>
        <v>0</v>
      </c>
      <c r="AD681" s="66">
        <f t="shared" si="907"/>
        <v>0</v>
      </c>
      <c r="AE681" s="66">
        <f t="shared" si="907"/>
        <v>0</v>
      </c>
      <c r="AF681" s="66">
        <f t="shared" si="907"/>
        <v>0</v>
      </c>
      <c r="AG681" s="66">
        <f t="shared" si="907"/>
        <v>0</v>
      </c>
      <c r="AH681" s="66">
        <f t="shared" si="907"/>
        <v>0</v>
      </c>
      <c r="AI681" s="66">
        <f t="shared" si="907"/>
        <v>0</v>
      </c>
      <c r="AJ681" s="66">
        <f t="shared" si="907"/>
        <v>0</v>
      </c>
      <c r="AK681" s="66">
        <f t="shared" si="907"/>
        <v>0</v>
      </c>
      <c r="AL681" s="66">
        <f t="shared" si="907"/>
        <v>0</v>
      </c>
      <c r="AM681" s="66">
        <f t="shared" si="907"/>
        <v>0</v>
      </c>
      <c r="AN681" s="66">
        <f t="shared" si="907"/>
        <v>0</v>
      </c>
      <c r="AO681" s="66">
        <f t="shared" si="907"/>
        <v>0</v>
      </c>
      <c r="AP681" s="66">
        <f t="shared" si="907"/>
        <v>0</v>
      </c>
      <c r="AQ681" s="66">
        <f t="shared" si="907"/>
        <v>0</v>
      </c>
      <c r="AR681" s="66">
        <f t="shared" si="907"/>
        <v>0</v>
      </c>
      <c r="AS681" s="66">
        <f t="shared" si="907"/>
        <v>0</v>
      </c>
      <c r="AT681" s="66">
        <f t="shared" si="907"/>
        <v>0</v>
      </c>
      <c r="AU681" s="66">
        <f t="shared" si="907"/>
        <v>0</v>
      </c>
      <c r="AV681" s="66">
        <f t="shared" si="907"/>
        <v>0</v>
      </c>
      <c r="AW681" s="66">
        <f t="shared" si="907"/>
        <v>0</v>
      </c>
      <c r="AX681" s="66">
        <f t="shared" si="907"/>
        <v>0</v>
      </c>
      <c r="AY681" s="66">
        <f t="shared" si="907"/>
        <v>0</v>
      </c>
      <c r="AZ681" s="66">
        <f t="shared" si="907"/>
        <v>0</v>
      </c>
      <c r="BA681" s="66">
        <f t="shared" si="907"/>
        <v>0</v>
      </c>
      <c r="BB681" s="66">
        <f t="shared" si="907"/>
        <v>0</v>
      </c>
      <c r="BC681" s="66">
        <f t="shared" si="907"/>
        <v>0</v>
      </c>
      <c r="BD681" s="66">
        <f t="shared" si="907"/>
        <v>0</v>
      </c>
      <c r="BE681" s="66">
        <f t="shared" si="907"/>
        <v>0</v>
      </c>
      <c r="BF681" s="66">
        <f t="shared" si="907"/>
        <v>0</v>
      </c>
      <c r="BG681" s="66">
        <f t="shared" si="907"/>
        <v>0</v>
      </c>
      <c r="BH681" s="66">
        <f t="shared" si="907"/>
        <v>0</v>
      </c>
      <c r="BI681" s="66">
        <f t="shared" si="907"/>
        <v>0</v>
      </c>
      <c r="BJ681" s="66">
        <f t="shared" si="907"/>
        <v>0</v>
      </c>
      <c r="BY681" s="12"/>
      <c r="CA681" s="12"/>
      <c r="CR681" s="12"/>
      <c r="EX681" s="10" t="str">
        <f t="shared" si="771"/>
        <v/>
      </c>
    </row>
    <row r="682" spans="1:154" s="335" customFormat="1" x14ac:dyDescent="0.25">
      <c r="B682" s="84" t="str" cm="1">
        <f t="array" aca="1" ref="B682" ca="1">HYPERLINK(CONCATENATE("#",CELL("address",$D$408)),$D$408)</f>
        <v>Loan 20</v>
      </c>
      <c r="C682" s="380"/>
      <c r="D682" s="60">
        <f>D$32</f>
        <v>0</v>
      </c>
      <c r="E682" s="60">
        <f>E$32</f>
        <v>0</v>
      </c>
      <c r="F682" s="201">
        <f>_xlfn.IFNA(INDEX(Parameters!$E$73:$E$77, MATCH(R32, Parameters!$D$73:$D$77,0)), 0)</f>
        <v>0</v>
      </c>
      <c r="H682" s="50" t="s">
        <v>157</v>
      </c>
      <c r="AA682" s="66">
        <f t="shared" ref="AA682:BJ682" si="908">IF($F682=0, 0, (1+AA659)^(1/$F682)-1)</f>
        <v>0</v>
      </c>
      <c r="AB682" s="66">
        <f t="shared" si="908"/>
        <v>0</v>
      </c>
      <c r="AC682" s="66">
        <f t="shared" si="908"/>
        <v>0</v>
      </c>
      <c r="AD682" s="66">
        <f t="shared" si="908"/>
        <v>0</v>
      </c>
      <c r="AE682" s="66">
        <f t="shared" si="908"/>
        <v>0</v>
      </c>
      <c r="AF682" s="66">
        <f t="shared" si="908"/>
        <v>0</v>
      </c>
      <c r="AG682" s="66">
        <f t="shared" si="908"/>
        <v>0</v>
      </c>
      <c r="AH682" s="66">
        <f t="shared" si="908"/>
        <v>0</v>
      </c>
      <c r="AI682" s="66">
        <f t="shared" si="908"/>
        <v>0</v>
      </c>
      <c r="AJ682" s="66">
        <f t="shared" si="908"/>
        <v>0</v>
      </c>
      <c r="AK682" s="66">
        <f t="shared" si="908"/>
        <v>0</v>
      </c>
      <c r="AL682" s="66">
        <f t="shared" si="908"/>
        <v>0</v>
      </c>
      <c r="AM682" s="66">
        <f t="shared" si="908"/>
        <v>0</v>
      </c>
      <c r="AN682" s="66">
        <f t="shared" si="908"/>
        <v>0</v>
      </c>
      <c r="AO682" s="66">
        <f t="shared" si="908"/>
        <v>0</v>
      </c>
      <c r="AP682" s="66">
        <f t="shared" si="908"/>
        <v>0</v>
      </c>
      <c r="AQ682" s="66">
        <f t="shared" si="908"/>
        <v>0</v>
      </c>
      <c r="AR682" s="66">
        <f t="shared" si="908"/>
        <v>0</v>
      </c>
      <c r="AS682" s="66">
        <f t="shared" si="908"/>
        <v>0</v>
      </c>
      <c r="AT682" s="66">
        <f t="shared" si="908"/>
        <v>0</v>
      </c>
      <c r="AU682" s="66">
        <f t="shared" si="908"/>
        <v>0</v>
      </c>
      <c r="AV682" s="66">
        <f t="shared" si="908"/>
        <v>0</v>
      </c>
      <c r="AW682" s="66">
        <f t="shared" si="908"/>
        <v>0</v>
      </c>
      <c r="AX682" s="66">
        <f t="shared" si="908"/>
        <v>0</v>
      </c>
      <c r="AY682" s="66">
        <f t="shared" si="908"/>
        <v>0</v>
      </c>
      <c r="AZ682" s="66">
        <f t="shared" si="908"/>
        <v>0</v>
      </c>
      <c r="BA682" s="66">
        <f t="shared" si="908"/>
        <v>0</v>
      </c>
      <c r="BB682" s="66">
        <f t="shared" si="908"/>
        <v>0</v>
      </c>
      <c r="BC682" s="66">
        <f t="shared" si="908"/>
        <v>0</v>
      </c>
      <c r="BD682" s="66">
        <f t="shared" si="908"/>
        <v>0</v>
      </c>
      <c r="BE682" s="66">
        <f t="shared" si="908"/>
        <v>0</v>
      </c>
      <c r="BF682" s="66">
        <f t="shared" si="908"/>
        <v>0</v>
      </c>
      <c r="BG682" s="66">
        <f t="shared" si="908"/>
        <v>0</v>
      </c>
      <c r="BH682" s="66">
        <f t="shared" si="908"/>
        <v>0</v>
      </c>
      <c r="BI682" s="66">
        <f t="shared" si="908"/>
        <v>0</v>
      </c>
      <c r="BJ682" s="66">
        <f t="shared" si="908"/>
        <v>0</v>
      </c>
      <c r="BY682" s="12"/>
      <c r="CA682" s="12"/>
      <c r="CR682" s="12"/>
      <c r="EX682" s="10" t="str">
        <f t="shared" si="771"/>
        <v/>
      </c>
    </row>
    <row r="683" spans="1:154" s="335" customFormat="1" ht="6.6" customHeight="1" x14ac:dyDescent="0.25">
      <c r="C683" s="380"/>
      <c r="D683" s="1"/>
      <c r="BM683" s="6"/>
      <c r="BY683" s="42"/>
      <c r="CA683" s="42"/>
      <c r="CR683" s="42"/>
      <c r="EX683" s="10" t="str">
        <f t="shared" si="771"/>
        <v/>
      </c>
    </row>
    <row r="684" spans="1:154" x14ac:dyDescent="0.25">
      <c r="C684" s="380"/>
      <c r="D684" s="61" t="s">
        <v>869</v>
      </c>
      <c r="E684" s="11"/>
      <c r="F684" s="67"/>
      <c r="S684" s="335"/>
      <c r="T684" s="335"/>
      <c r="U684" s="335"/>
      <c r="AA684" s="329"/>
      <c r="AB684" s="329"/>
      <c r="AC684" s="329"/>
      <c r="AD684" s="329"/>
      <c r="AE684" s="329"/>
      <c r="AF684" s="329"/>
      <c r="AG684" s="329"/>
      <c r="AH684" s="329"/>
      <c r="AI684" s="329"/>
      <c r="AJ684" s="329"/>
      <c r="AK684" s="329"/>
      <c r="AL684" s="329"/>
      <c r="AM684" s="329"/>
      <c r="AN684" s="329"/>
      <c r="AO684" s="329"/>
      <c r="AP684" s="329"/>
      <c r="AQ684" s="329"/>
      <c r="AR684" s="329"/>
      <c r="AS684" s="329"/>
      <c r="AT684" s="329"/>
      <c r="AU684" s="329"/>
      <c r="AV684" s="329"/>
      <c r="AW684" s="329"/>
      <c r="AX684" s="329"/>
      <c r="AY684" s="329"/>
      <c r="AZ684" s="329"/>
      <c r="BP684" s="67"/>
      <c r="BQ684" s="67"/>
      <c r="BR684" s="67"/>
      <c r="BS684" s="67"/>
      <c r="BT684" s="67"/>
      <c r="BU684" s="67"/>
      <c r="BV684" s="67"/>
      <c r="BW684" s="67"/>
      <c r="BY684" s="12"/>
      <c r="CA684" s="12"/>
      <c r="CR684" s="12"/>
      <c r="EX684" s="10" t="str">
        <f t="shared" si="771"/>
        <v/>
      </c>
    </row>
    <row r="685" spans="1:154" s="162" customFormat="1" ht="60" x14ac:dyDescent="0.25">
      <c r="B685" s="138" t="s">
        <v>551</v>
      </c>
      <c r="C685" s="380"/>
      <c r="D685" s="138" t="str">
        <f>D$11</f>
        <v>Lender</v>
      </c>
      <c r="E685" s="74" t="str">
        <f>E$11</f>
        <v>Loan Category</v>
      </c>
      <c r="F685" s="168" t="s">
        <v>532</v>
      </c>
      <c r="G685" s="168" t="s">
        <v>2383</v>
      </c>
      <c r="S685" s="335"/>
      <c r="T685" s="335"/>
      <c r="U685" s="335"/>
      <c r="AA685" s="170" t="s">
        <v>335</v>
      </c>
      <c r="AI685" s="330"/>
      <c r="BY685" s="163"/>
      <c r="CA685" s="163"/>
      <c r="CR685" s="163"/>
      <c r="EX685" s="10" t="str">
        <f t="shared" si="771"/>
        <v/>
      </c>
    </row>
    <row r="686" spans="1:154" x14ac:dyDescent="0.25">
      <c r="A686" s="362" cm="1">
        <f t="array" aca="1" ref="A686" ca="1">HYPERLINK(CONCATENATE("#",CELL("address",IF(SUM($CA686:$CR686)=0,A686,INDEX($CA686:$CR686,MATCH(1,$CA686:$CR686,0))))),SUM($CA686:$CR686))</f>
        <v>0</v>
      </c>
      <c r="B686" s="84" t="str" cm="1">
        <f t="array" aca="1" ref="B686" ca="1">HYPERLINK(CONCATENATE("#",CELL("address",$D$47)),$D$47)</f>
        <v>Loan 1</v>
      </c>
      <c r="C686" s="380"/>
      <c r="D686" s="221" t="str">
        <f>D$13</f>
        <v>NatWest</v>
      </c>
      <c r="E686" s="60" t="str">
        <f>E$13</f>
        <v xml:space="preserve">Commercial </v>
      </c>
      <c r="F686" s="201">
        <f>T$13</f>
        <v>0</v>
      </c>
      <c r="G686" s="201">
        <f>P$13</f>
        <v>0</v>
      </c>
      <c r="H686" s="50" t="s">
        <v>125</v>
      </c>
      <c r="I686" s="65"/>
      <c r="S686" s="335"/>
      <c r="T686" s="335"/>
      <c r="U686" s="335"/>
      <c r="V686" s="13">
        <f t="shared" ref="V686:V705" si="909">V546</f>
        <v>0</v>
      </c>
      <c r="W686" s="215">
        <f t="shared" ref="W686:Y705" si="910" xml:space="preserve"> SUMIFS($AA686:$BJ686, $AA$3:$BJ$3, W$3)</f>
        <v>0</v>
      </c>
      <c r="X686" s="215">
        <f t="shared" si="910"/>
        <v>0</v>
      </c>
      <c r="Y686" s="215">
        <f t="shared" si="910"/>
        <v>0</v>
      </c>
      <c r="Z686" s="329"/>
      <c r="AA686" s="10">
        <f>IF(AA$4=0, AA546, IF($G686=0, 0, (AA431+AA454+AA477*$F686+Z732)*AA663))*Timeline!AA47</f>
        <v>0</v>
      </c>
      <c r="AB686" s="10">
        <f>IF(AB$4=0, AB546, IF($G686=0, 0, (AB431+AB454+AB477*$F686+AA732)*AB663))*Timeline!AB47</f>
        <v>0</v>
      </c>
      <c r="AC686" s="10">
        <f>IF(AC$4=0, AC546, IF($G686=0, 0, (AC431+AC454+AC477*$F686+AB732)*AC663))*Timeline!AC47</f>
        <v>0</v>
      </c>
      <c r="AD686" s="10">
        <f>IF(AD$4=0, AD546, IF($G686=0, 0, (AD431+AD454+AD477*$F686+AC732)*AD663))*Timeline!AD47</f>
        <v>0</v>
      </c>
      <c r="AE686" s="10">
        <f>IF(AE$4=0, AE546, IF($G686=0, 0, (AE431+AE454+AE477*$F686+AD732)*AE663))*Timeline!AE47</f>
        <v>0</v>
      </c>
      <c r="AF686" s="10">
        <f>IF(AF$4=0, AF546, IF($G686=0, 0, (AF431+AF454+AF477*$F686+AE732)*AF663))*Timeline!AF47</f>
        <v>0</v>
      </c>
      <c r="AG686" s="10">
        <f>IF(AG$4=0, AG546, IF($G686=0, 0, (AG431+AG454+AG477*$F686+AF732)*AG663))*Timeline!AG47</f>
        <v>0</v>
      </c>
      <c r="AH686" s="10">
        <f>IF(AH$4=0, AH546, IF($G686=0, 0, (AH431+AH454+AH477*$F686+AG732)*AH663))*Timeline!AH47</f>
        <v>0</v>
      </c>
      <c r="AI686" s="10">
        <f>IF(AI$4=0, AI546, IF($G686=0, 0, (AI431+AI454+AI477*$F686+AH732)*AI663))*Timeline!AI47</f>
        <v>0</v>
      </c>
      <c r="AJ686" s="10">
        <f>IF(AJ$4=0, AJ546, IF($G686=0, 0, (AJ431+AJ454+AJ477*$F686+AI732)*AJ663))*Timeline!AJ47</f>
        <v>0</v>
      </c>
      <c r="AK686" s="10">
        <f>IF(AK$4=0, AK546, IF($G686=0, 0, (AK431+AK454+AK477*$F686+AJ732)*AK663))*Timeline!AK47</f>
        <v>0</v>
      </c>
      <c r="AL686" s="10">
        <f>IF(AL$4=0, AL546, IF($G686=0, 0, (AL431+AL454+AL477*$F686+AK732)*AL663))*Timeline!AL47</f>
        <v>0</v>
      </c>
      <c r="AM686" s="10">
        <f>IF(AM$4=0, AM546, IF($G686=0, 0, (AM431+AM454+AM477*$F686+AL732)*AM663))*Timeline!AM47</f>
        <v>0</v>
      </c>
      <c r="AN686" s="10">
        <f>IF(AN$4=0, AN546, IF($G686=0, 0, (AN431+AN454+AN477*$F686+AM732)*AN663))*Timeline!AN47</f>
        <v>0</v>
      </c>
      <c r="AO686" s="10">
        <f>IF(AO$4=0, AO546, IF($G686=0, 0, (AO431+AO454+AO477*$F686+AN732)*AO663))*Timeline!AO47</f>
        <v>0</v>
      </c>
      <c r="AP686" s="10">
        <f>IF(AP$4=0, AP546, IF($G686=0, 0, (AP431+AP454+AP477*$F686+AO732)*AP663))*Timeline!AP47</f>
        <v>0</v>
      </c>
      <c r="AQ686" s="10">
        <f>IF(AQ$4=0, AQ546, IF($G686=0, 0, (AQ431+AQ454+AQ477*$F686+AP732)*AQ663))*Timeline!AQ47</f>
        <v>0</v>
      </c>
      <c r="AR686" s="10">
        <f>IF(AR$4=0, AR546, IF($G686=0, 0, (AR431+AR454+AR477*$F686+AQ732)*AR663))*Timeline!AR47</f>
        <v>0</v>
      </c>
      <c r="AS686" s="10">
        <f>IF(AS$4=0, AS546, IF($G686=0, 0, (AS431+AS454+AS477*$F686+AR732)*AS663))*Timeline!AS47</f>
        <v>0</v>
      </c>
      <c r="AT686" s="10">
        <f>IF(AT$4=0, AT546, IF($G686=0, 0, (AT431+AT454+AT477*$F686+AS732)*AT663))*Timeline!AT47</f>
        <v>0</v>
      </c>
      <c r="AU686" s="10">
        <f>IF(AU$4=0, AU546, IF($G686=0, 0, (AU431+AU454+AU477*$F686+AT732)*AU663))*Timeline!AU47</f>
        <v>0</v>
      </c>
      <c r="AV686" s="10">
        <f>IF(AV$4=0, AV546, IF($G686=0, 0, (AV431+AV454+AV477*$F686+AU732)*AV663))*Timeline!AV47</f>
        <v>0</v>
      </c>
      <c r="AW686" s="10">
        <f>IF(AW$4=0, AW546, IF($G686=0, 0, (AW431+AW454+AW477*$F686+AV732)*AW663))*Timeline!AW47</f>
        <v>0</v>
      </c>
      <c r="AX686" s="10">
        <f>IF(AX$4=0, AX546, IF($G686=0, 0, (AX431+AX454+AX477*$F686+AW732)*AX663))*Timeline!AX47</f>
        <v>0</v>
      </c>
      <c r="AY686" s="10">
        <f>IF(AY$4=0, AY546, IF($G686=0, 0, (AY431+AY454+AY477*$F686+AX732)*AY663))*Timeline!AY47</f>
        <v>0</v>
      </c>
      <c r="AZ686" s="10">
        <f>IF(AZ$4=0, AZ546, IF($G686=0, 0, (AZ431+AZ454+AZ477*$F686+AY732)*AZ663))*Timeline!AZ47</f>
        <v>0</v>
      </c>
      <c r="BA686" s="10">
        <f>IF(BA$4=0, BA546, IF($G686=0, 0, (BA431+BA454+BA477*$F686+AZ732)*BA663))*Timeline!BA47</f>
        <v>0</v>
      </c>
      <c r="BB686" s="10">
        <f>IF(BB$4=0, BB546, IF($G686=0, 0, (BB431+BB454+BB477*$F686+BA732)*BB663))*Timeline!BB47</f>
        <v>0</v>
      </c>
      <c r="BC686" s="10">
        <f>IF(BC$4=0, BC546, IF($G686=0, 0, (BC431+BC454+BC477*$F686+BB732)*BC663))*Timeline!BC47</f>
        <v>0</v>
      </c>
      <c r="BD686" s="10">
        <f>IF(BD$4=0, BD546, IF($G686=0, 0, (BD431+BD454+BD477*$F686+BC732)*BD663))*Timeline!BD47</f>
        <v>0</v>
      </c>
      <c r="BE686" s="10">
        <f>IF(BE$4=0, BE546, IF($G686=0, 0, (BE431+BE454+BE477*$F686+BD732)*BE663))*Timeline!BE47</f>
        <v>0</v>
      </c>
      <c r="BF686" s="10">
        <f>IF(BF$4=0, BF546, IF($G686=0, 0, (BF431+BF454+BF477*$F686+BE732)*BF663))*Timeline!BF47</f>
        <v>0</v>
      </c>
      <c r="BG686" s="10">
        <f>IF(BG$4=0, BG546, IF($G686=0, 0, (BG431+BG454+BG477*$F686+BF732)*BG663))*Timeline!BG47</f>
        <v>0</v>
      </c>
      <c r="BH686" s="10">
        <f>IF(BH$4=0, BH546, IF($G686=0, 0, (BH431+BH454+BH477*$F686+BG732)*BH663))*Timeline!BH47</f>
        <v>0</v>
      </c>
      <c r="BI686" s="10">
        <f>IF(BI$4=0, BI546, IF($G686=0, 0, (BI431+BI454+BI477*$F686+BH732)*BI663))*Timeline!BI47</f>
        <v>0</v>
      </c>
      <c r="BJ686" s="10">
        <f>IF(BJ$4=0, BJ546, IF($G686=0, 0, (BJ431+BJ454+BJ477*$F686+BI732)*BJ663))*Timeline!BJ47</f>
        <v>0</v>
      </c>
      <c r="BK686" s="329"/>
      <c r="BL686" s="13">
        <f t="shared" ref="BL686:BL705" si="911">V686</f>
        <v>0</v>
      </c>
      <c r="BM686" s="13">
        <f t="shared" ref="BM686:BM705" si="912">W686</f>
        <v>0</v>
      </c>
      <c r="BN686" s="13">
        <f t="shared" ref="BN686:BN705" si="913">X686</f>
        <v>0</v>
      </c>
      <c r="BO686" s="13">
        <f t="shared" ref="BO686:BO705" si="914">Y686</f>
        <v>0</v>
      </c>
      <c r="BP686" s="136"/>
      <c r="BQ686" s="136"/>
      <c r="BR686" s="136"/>
      <c r="BS686" s="136"/>
      <c r="BT686" s="136"/>
      <c r="BU686" s="136"/>
      <c r="BV686" s="136"/>
      <c r="BW686" s="136"/>
      <c r="BY686" s="12"/>
      <c r="CA686" s="12"/>
      <c r="CJ686" s="162"/>
      <c r="CK686" s="188">
        <f t="shared" ref="CK686:CK705" si="915">IF(AND($P13=1, G686=0), 1, 0)</f>
        <v>0</v>
      </c>
      <c r="CR686" s="12"/>
      <c r="EX686" s="10" t="str">
        <f t="shared" si="771"/>
        <v/>
      </c>
    </row>
    <row r="687" spans="1:154" x14ac:dyDescent="0.25">
      <c r="A687" s="362" cm="1">
        <f t="array" aca="1" ref="A687" ca="1">HYPERLINK(CONCATENATE("#",CELL("address",IF(SUM($CA687:$CR687)=0,A687,INDEX($CA687:$CR687,MATCH(1,$CA687:$CR687,0))))),SUM($CA687:$CR687))</f>
        <v>0</v>
      </c>
      <c r="B687" s="84" t="str" cm="1">
        <f t="array" aca="1" ref="B687" ca="1">HYPERLINK(CONCATENATE("#",CELL("address",$D$66)),$D$66)</f>
        <v>Loan 2</v>
      </c>
      <c r="C687" s="380"/>
      <c r="D687" s="221" t="str">
        <f>D$14</f>
        <v>NatWest</v>
      </c>
      <c r="E687" s="60" t="str">
        <f>E$14</f>
        <v xml:space="preserve">Commercial </v>
      </c>
      <c r="F687" s="10">
        <f>T$14</f>
        <v>0</v>
      </c>
      <c r="G687" s="10">
        <f>P$14</f>
        <v>0</v>
      </c>
      <c r="H687" s="50" t="s">
        <v>125</v>
      </c>
      <c r="S687" s="335"/>
      <c r="T687" s="335"/>
      <c r="U687" s="335"/>
      <c r="V687" s="13">
        <f t="shared" si="909"/>
        <v>0</v>
      </c>
      <c r="W687" s="215">
        <f t="shared" si="910"/>
        <v>0</v>
      </c>
      <c r="X687" s="215">
        <f t="shared" si="910"/>
        <v>0</v>
      </c>
      <c r="Y687" s="215">
        <f t="shared" si="910"/>
        <v>0</v>
      </c>
      <c r="AA687" s="10">
        <f>IF(AA$4=0, AA547, IF($G687=0, 0, (AA432+AA455+AA478*$F687+Z733)*AA664))*Timeline!AA48</f>
        <v>0</v>
      </c>
      <c r="AB687" s="10">
        <f>IF(AB$4=0, AB547, IF($G687=0, 0, (AB432+AB455+AB478*$F687+AA733)*AB664))*Timeline!AB48</f>
        <v>0</v>
      </c>
      <c r="AC687" s="10">
        <f>IF(AC$4=0, AC547, IF($G687=0, 0, (AC432+AC455+AC478*$F687+AB733)*AC664))*Timeline!AC48</f>
        <v>0</v>
      </c>
      <c r="AD687" s="10">
        <f>IF(AD$4=0, AD547, IF($G687=0, 0, (AD432+AD455+AD478*$F687+AC733)*AD664))*Timeline!AD48</f>
        <v>0</v>
      </c>
      <c r="AE687" s="10">
        <f>IF(AE$4=0, AE547, IF($G687=0, 0, (AE432+AE455+AE478*$F687+AD733)*AE664))*Timeline!AE48</f>
        <v>0</v>
      </c>
      <c r="AF687" s="10">
        <f>IF(AF$4=0, AF547, IF($G687=0, 0, (AF432+AF455+AF478*$F687+AE733)*AF664))*Timeline!AF48</f>
        <v>0</v>
      </c>
      <c r="AG687" s="10">
        <f>IF(AG$4=0, AG547, IF($G687=0, 0, (AG432+AG455+AG478*$F687+AF733)*AG664))*Timeline!AG48</f>
        <v>0</v>
      </c>
      <c r="AH687" s="10">
        <f>IF(AH$4=0, AH547, IF($G687=0, 0, (AH432+AH455+AH478*$F687+AG733)*AH664))*Timeline!AH48</f>
        <v>0</v>
      </c>
      <c r="AI687" s="10">
        <f>IF(AI$4=0, AI547, IF($G687=0, 0, (AI432+AI455+AI478*$F687+AH733)*AI664))*Timeline!AI48</f>
        <v>0</v>
      </c>
      <c r="AJ687" s="10">
        <f>IF(AJ$4=0, AJ547, IF($G687=0, 0, (AJ432+AJ455+AJ478*$F687+AI733)*AJ664))*Timeline!AJ48</f>
        <v>0</v>
      </c>
      <c r="AK687" s="10">
        <f>IF(AK$4=0, AK547, IF($G687=0, 0, (AK432+AK455+AK478*$F687+AJ733)*AK664))*Timeline!AK48</f>
        <v>0</v>
      </c>
      <c r="AL687" s="10">
        <f>IF(AL$4=0, AL547, IF($G687=0, 0, (AL432+AL455+AL478*$F687+AK733)*AL664))*Timeline!AL48</f>
        <v>0</v>
      </c>
      <c r="AM687" s="10">
        <f>IF(AM$4=0, AM547, IF($G687=0, 0, (AM432+AM455+AM478*$F687+AL733)*AM664))*Timeline!AM48</f>
        <v>0</v>
      </c>
      <c r="AN687" s="10">
        <f>IF(AN$4=0, AN547, IF($G687=0, 0, (AN432+AN455+AN478*$F687+AM733)*AN664))*Timeline!AN48</f>
        <v>0</v>
      </c>
      <c r="AO687" s="10">
        <f>IF(AO$4=0, AO547, IF($G687=0, 0, (AO432+AO455+AO478*$F687+AN733)*AO664))*Timeline!AO48</f>
        <v>0</v>
      </c>
      <c r="AP687" s="10">
        <f>IF(AP$4=0, AP547, IF($G687=0, 0, (AP432+AP455+AP478*$F687+AO733)*AP664))*Timeline!AP48</f>
        <v>0</v>
      </c>
      <c r="AQ687" s="10">
        <f>IF(AQ$4=0, AQ547, IF($G687=0, 0, (AQ432+AQ455+AQ478*$F687+AP733)*AQ664))*Timeline!AQ48</f>
        <v>0</v>
      </c>
      <c r="AR687" s="10">
        <f>IF(AR$4=0, AR547, IF($G687=0, 0, (AR432+AR455+AR478*$F687+AQ733)*AR664))*Timeline!AR48</f>
        <v>0</v>
      </c>
      <c r="AS687" s="10">
        <f>IF(AS$4=0, AS547, IF($G687=0, 0, (AS432+AS455+AS478*$F687+AR733)*AS664))*Timeline!AS48</f>
        <v>0</v>
      </c>
      <c r="AT687" s="10">
        <f>IF(AT$4=0, AT547, IF($G687=0, 0, (AT432+AT455+AT478*$F687+AS733)*AT664))*Timeline!AT48</f>
        <v>0</v>
      </c>
      <c r="AU687" s="10">
        <f>IF(AU$4=0, AU547, IF($G687=0, 0, (AU432+AU455+AU478*$F687+AT733)*AU664))*Timeline!AU48</f>
        <v>0</v>
      </c>
      <c r="AV687" s="10">
        <f>IF(AV$4=0, AV547, IF($G687=0, 0, (AV432+AV455+AV478*$F687+AU733)*AV664))*Timeline!AV48</f>
        <v>0</v>
      </c>
      <c r="AW687" s="10">
        <f>IF(AW$4=0, AW547, IF($G687=0, 0, (AW432+AW455+AW478*$F687+AV733)*AW664))*Timeline!AW48</f>
        <v>0</v>
      </c>
      <c r="AX687" s="10">
        <f>IF(AX$4=0, AX547, IF($G687=0, 0, (AX432+AX455+AX478*$F687+AW733)*AX664))*Timeline!AX48</f>
        <v>0</v>
      </c>
      <c r="AY687" s="10">
        <f>IF(AY$4=0, AY547, IF($G687=0, 0, (AY432+AY455+AY478*$F687+AX733)*AY664))*Timeline!AY48</f>
        <v>0</v>
      </c>
      <c r="AZ687" s="10">
        <f>IF(AZ$4=0, AZ547, IF($G687=0, 0, (AZ432+AZ455+AZ478*$F687+AY733)*AZ664))*Timeline!AZ48</f>
        <v>0</v>
      </c>
      <c r="BA687" s="10">
        <f>IF(BA$4=0, BA547, IF($G687=0, 0, (BA432+BA455+BA478*$F687+AZ733)*BA664))*Timeline!BA48</f>
        <v>0</v>
      </c>
      <c r="BB687" s="10">
        <f>IF(BB$4=0, BB547, IF($G687=0, 0, (BB432+BB455+BB478*$F687+BA733)*BB664))*Timeline!BB48</f>
        <v>0</v>
      </c>
      <c r="BC687" s="10">
        <f>IF(BC$4=0, BC547, IF($G687=0, 0, (BC432+BC455+BC478*$F687+BB733)*BC664))*Timeline!BC48</f>
        <v>0</v>
      </c>
      <c r="BD687" s="10">
        <f>IF(BD$4=0, BD547, IF($G687=0, 0, (BD432+BD455+BD478*$F687+BC733)*BD664))*Timeline!BD48</f>
        <v>0</v>
      </c>
      <c r="BE687" s="10">
        <f>IF(BE$4=0, BE547, IF($G687=0, 0, (BE432+BE455+BE478*$F687+BD733)*BE664))*Timeline!BE48</f>
        <v>0</v>
      </c>
      <c r="BF687" s="10">
        <f>IF(BF$4=0, BF547, IF($G687=0, 0, (BF432+BF455+BF478*$F687+BE733)*BF664))*Timeline!BF48</f>
        <v>0</v>
      </c>
      <c r="BG687" s="10">
        <f>IF(BG$4=0, BG547, IF($G687=0, 0, (BG432+BG455+BG478*$F687+BF733)*BG664))*Timeline!BG48</f>
        <v>0</v>
      </c>
      <c r="BH687" s="10">
        <f>IF(BH$4=0, BH547, IF($G687=0, 0, (BH432+BH455+BH478*$F687+BG733)*BH664))*Timeline!BH48</f>
        <v>0</v>
      </c>
      <c r="BI687" s="10">
        <f>IF(BI$4=0, BI547, IF($G687=0, 0, (BI432+BI455+BI478*$F687+BH733)*BI664))*Timeline!BI48</f>
        <v>0</v>
      </c>
      <c r="BJ687" s="10">
        <f>IF(BJ$4=0, BJ547, IF($G687=0, 0, (BJ432+BJ455+BJ478*$F687+BI733)*BJ664))*Timeline!BJ48</f>
        <v>0</v>
      </c>
      <c r="BL687" s="13">
        <f t="shared" si="911"/>
        <v>0</v>
      </c>
      <c r="BM687" s="13">
        <f t="shared" si="912"/>
        <v>0</v>
      </c>
      <c r="BN687" s="13">
        <f t="shared" si="913"/>
        <v>0</v>
      </c>
      <c r="BO687" s="13">
        <f t="shared" si="914"/>
        <v>0</v>
      </c>
      <c r="BP687" s="136"/>
      <c r="BQ687" s="136"/>
      <c r="BR687" s="136"/>
      <c r="BS687" s="136"/>
      <c r="BT687" s="136"/>
      <c r="BU687" s="136"/>
      <c r="BV687" s="136"/>
      <c r="BW687" s="136"/>
      <c r="BY687" s="12"/>
      <c r="CA687" s="12"/>
      <c r="CJ687" s="162"/>
      <c r="CK687" s="188">
        <f t="shared" si="915"/>
        <v>0</v>
      </c>
      <c r="CR687" s="12"/>
      <c r="EX687" s="10" t="str">
        <f t="shared" si="771"/>
        <v/>
      </c>
    </row>
    <row r="688" spans="1:154" x14ac:dyDescent="0.25">
      <c r="A688" s="362" cm="1">
        <f t="array" aca="1" ref="A688" ca="1">HYPERLINK(CONCATENATE("#",CELL("address",IF(SUM($CA688:$CR688)=0,A688,INDEX($CA688:$CR688,MATCH(1,$CA688:$CR688,0))))),SUM($CA688:$CR688))</f>
        <v>0</v>
      </c>
      <c r="B688" s="84" t="str" cm="1">
        <f t="array" aca="1" ref="B688" ca="1">HYPERLINK(CONCATENATE("#",CELL("address",$D$85)),$D$85)</f>
        <v>Loan 3</v>
      </c>
      <c r="C688" s="380"/>
      <c r="D688" s="221" t="str">
        <f>D$15</f>
        <v>NatWest</v>
      </c>
      <c r="E688" s="60" t="str">
        <f>E$15</f>
        <v xml:space="preserve">Commercial </v>
      </c>
      <c r="F688" s="10">
        <f>T$15</f>
        <v>0</v>
      </c>
      <c r="G688" s="10">
        <f>P$15</f>
        <v>0</v>
      </c>
      <c r="H688" s="50" t="s">
        <v>125</v>
      </c>
      <c r="S688" s="335"/>
      <c r="T688" s="335"/>
      <c r="U688" s="335"/>
      <c r="V688" s="13">
        <f t="shared" si="909"/>
        <v>0</v>
      </c>
      <c r="W688" s="215">
        <f t="shared" si="910"/>
        <v>0</v>
      </c>
      <c r="X688" s="215">
        <f t="shared" si="910"/>
        <v>0</v>
      </c>
      <c r="Y688" s="215">
        <f t="shared" si="910"/>
        <v>0</v>
      </c>
      <c r="AA688" s="10">
        <f>IF(AA$4=0, AA548, IF($G688=0, 0, (AA433+AA456+AA479*$F688+Z734)*AA665))*Timeline!AA49</f>
        <v>0</v>
      </c>
      <c r="AB688" s="10">
        <f>IF(AB$4=0, AB548, IF($G688=0, 0, (AB433+AB456+AB479*$F688+AA734)*AB665))*Timeline!AB49</f>
        <v>0</v>
      </c>
      <c r="AC688" s="10">
        <f>IF(AC$4=0, AC548, IF($G688=0, 0, (AC433+AC456+AC479*$F688+AB734)*AC665))*Timeline!AC49</f>
        <v>0</v>
      </c>
      <c r="AD688" s="10">
        <f>IF(AD$4=0, AD548, IF($G688=0, 0, (AD433+AD456+AD479*$F688+AC734)*AD665))*Timeline!AD49</f>
        <v>0</v>
      </c>
      <c r="AE688" s="10">
        <f>IF(AE$4=0, AE548, IF($G688=0, 0, (AE433+AE456+AE479*$F688+AD734)*AE665))*Timeline!AE49</f>
        <v>0</v>
      </c>
      <c r="AF688" s="10">
        <f>IF(AF$4=0, AF548, IF($G688=0, 0, (AF433+AF456+AF479*$F688+AE734)*AF665))*Timeline!AF49</f>
        <v>0</v>
      </c>
      <c r="AG688" s="10">
        <f>IF(AG$4=0, AG548, IF($G688=0, 0, (AG433+AG456+AG479*$F688+AF734)*AG665))*Timeline!AG49</f>
        <v>0</v>
      </c>
      <c r="AH688" s="10">
        <f>IF(AH$4=0, AH548, IF($G688=0, 0, (AH433+AH456+AH479*$F688+AG734)*AH665))*Timeline!AH49</f>
        <v>0</v>
      </c>
      <c r="AI688" s="10">
        <f>IF(AI$4=0, AI548, IF($G688=0, 0, (AI433+AI456+AI479*$F688+AH734)*AI665))*Timeline!AI49</f>
        <v>0</v>
      </c>
      <c r="AJ688" s="10">
        <f>IF(AJ$4=0, AJ548, IF($G688=0, 0, (AJ433+AJ456+AJ479*$F688+AI734)*AJ665))*Timeline!AJ49</f>
        <v>0</v>
      </c>
      <c r="AK688" s="10">
        <f>IF(AK$4=0, AK548, IF($G688=0, 0, (AK433+AK456+AK479*$F688+AJ734)*AK665))*Timeline!AK49</f>
        <v>0</v>
      </c>
      <c r="AL688" s="10">
        <f>IF(AL$4=0, AL548, IF($G688=0, 0, (AL433+AL456+AL479*$F688+AK734)*AL665))*Timeline!AL49</f>
        <v>0</v>
      </c>
      <c r="AM688" s="10">
        <f>IF(AM$4=0, AM548, IF($G688=0, 0, (AM433+AM456+AM479*$F688+AL734)*AM665))*Timeline!AM49</f>
        <v>0</v>
      </c>
      <c r="AN688" s="10">
        <f>IF(AN$4=0, AN548, IF($G688=0, 0, (AN433+AN456+AN479*$F688+AM734)*AN665))*Timeline!AN49</f>
        <v>0</v>
      </c>
      <c r="AO688" s="10">
        <f>IF(AO$4=0, AO548, IF($G688=0, 0, (AO433+AO456+AO479*$F688+AN734)*AO665))*Timeline!AO49</f>
        <v>0</v>
      </c>
      <c r="AP688" s="10">
        <f>IF(AP$4=0, AP548, IF($G688=0, 0, (AP433+AP456+AP479*$F688+AO734)*AP665))*Timeline!AP49</f>
        <v>0</v>
      </c>
      <c r="AQ688" s="10">
        <f>IF(AQ$4=0, AQ548, IF($G688=0, 0, (AQ433+AQ456+AQ479*$F688+AP734)*AQ665))*Timeline!AQ49</f>
        <v>0</v>
      </c>
      <c r="AR688" s="10">
        <f>IF(AR$4=0, AR548, IF($G688=0, 0, (AR433+AR456+AR479*$F688+AQ734)*AR665))*Timeline!AR49</f>
        <v>0</v>
      </c>
      <c r="AS688" s="10">
        <f>IF(AS$4=0, AS548, IF($G688=0, 0, (AS433+AS456+AS479*$F688+AR734)*AS665))*Timeline!AS49</f>
        <v>0</v>
      </c>
      <c r="AT688" s="10">
        <f>IF(AT$4=0, AT548, IF($G688=0, 0, (AT433+AT456+AT479*$F688+AS734)*AT665))*Timeline!AT49</f>
        <v>0</v>
      </c>
      <c r="AU688" s="10">
        <f>IF(AU$4=0, AU548, IF($G688=0, 0, (AU433+AU456+AU479*$F688+AT734)*AU665))*Timeline!AU49</f>
        <v>0</v>
      </c>
      <c r="AV688" s="10">
        <f>IF(AV$4=0, AV548, IF($G688=0, 0, (AV433+AV456+AV479*$F688+AU734)*AV665))*Timeline!AV49</f>
        <v>0</v>
      </c>
      <c r="AW688" s="10">
        <f>IF(AW$4=0, AW548, IF($G688=0, 0, (AW433+AW456+AW479*$F688+AV734)*AW665))*Timeline!AW49</f>
        <v>0</v>
      </c>
      <c r="AX688" s="10">
        <f>IF(AX$4=0, AX548, IF($G688=0, 0, (AX433+AX456+AX479*$F688+AW734)*AX665))*Timeline!AX49</f>
        <v>0</v>
      </c>
      <c r="AY688" s="10">
        <f>IF(AY$4=0, AY548, IF($G688=0, 0, (AY433+AY456+AY479*$F688+AX734)*AY665))*Timeline!AY49</f>
        <v>0</v>
      </c>
      <c r="AZ688" s="10">
        <f>IF(AZ$4=0, AZ548, IF($G688=0, 0, (AZ433+AZ456+AZ479*$F688+AY734)*AZ665))*Timeline!AZ49</f>
        <v>0</v>
      </c>
      <c r="BA688" s="10">
        <f>IF(BA$4=0, BA548, IF($G688=0, 0, (BA433+BA456+BA479*$F688+AZ734)*BA665))*Timeline!BA49</f>
        <v>0</v>
      </c>
      <c r="BB688" s="10">
        <f>IF(BB$4=0, BB548, IF($G688=0, 0, (BB433+BB456+BB479*$F688+BA734)*BB665))*Timeline!BB49</f>
        <v>0</v>
      </c>
      <c r="BC688" s="10">
        <f>IF(BC$4=0, BC548, IF($G688=0, 0, (BC433+BC456+BC479*$F688+BB734)*BC665))*Timeline!BC49</f>
        <v>0</v>
      </c>
      <c r="BD688" s="10">
        <f>IF(BD$4=0, BD548, IF($G688=0, 0, (BD433+BD456+BD479*$F688+BC734)*BD665))*Timeline!BD49</f>
        <v>0</v>
      </c>
      <c r="BE688" s="10">
        <f>IF(BE$4=0, BE548, IF($G688=0, 0, (BE433+BE456+BE479*$F688+BD734)*BE665))*Timeline!BE49</f>
        <v>0</v>
      </c>
      <c r="BF688" s="10">
        <f>IF(BF$4=0, BF548, IF($G688=0, 0, (BF433+BF456+BF479*$F688+BE734)*BF665))*Timeline!BF49</f>
        <v>0</v>
      </c>
      <c r="BG688" s="10">
        <f>IF(BG$4=0, BG548, IF($G688=0, 0, (BG433+BG456+BG479*$F688+BF734)*BG665))*Timeline!BG49</f>
        <v>0</v>
      </c>
      <c r="BH688" s="10">
        <f>IF(BH$4=0, BH548, IF($G688=0, 0, (BH433+BH456+BH479*$F688+BG734)*BH665))*Timeline!BH49</f>
        <v>0</v>
      </c>
      <c r="BI688" s="10">
        <f>IF(BI$4=0, BI548, IF($G688=0, 0, (BI433+BI456+BI479*$F688+BH734)*BI665))*Timeline!BI49</f>
        <v>0</v>
      </c>
      <c r="BJ688" s="10">
        <f>IF(BJ$4=0, BJ548, IF($G688=0, 0, (BJ433+BJ456+BJ479*$F688+BI734)*BJ665))*Timeline!BJ49</f>
        <v>0</v>
      </c>
      <c r="BL688" s="13">
        <f t="shared" si="911"/>
        <v>0</v>
      </c>
      <c r="BM688" s="13">
        <f t="shared" si="912"/>
        <v>0</v>
      </c>
      <c r="BN688" s="13">
        <f t="shared" si="913"/>
        <v>0</v>
      </c>
      <c r="BO688" s="13">
        <f t="shared" si="914"/>
        <v>0</v>
      </c>
      <c r="BP688" s="136"/>
      <c r="BQ688" s="136"/>
      <c r="BR688" s="136"/>
      <c r="BS688" s="136"/>
      <c r="BT688" s="136"/>
      <c r="BU688" s="136"/>
      <c r="BV688" s="136"/>
      <c r="BW688" s="136"/>
      <c r="BY688" s="12"/>
      <c r="CA688" s="12"/>
      <c r="CJ688" s="162"/>
      <c r="CK688" s="188">
        <f t="shared" si="915"/>
        <v>0</v>
      </c>
      <c r="CR688" s="12"/>
      <c r="EX688" s="10" t="str">
        <f t="shared" si="771"/>
        <v/>
      </c>
    </row>
    <row r="689" spans="1:154" x14ac:dyDescent="0.25">
      <c r="A689" s="362" cm="1">
        <f t="array" aca="1" ref="A689" ca="1">HYPERLINK(CONCATENATE("#",CELL("address",IF(SUM($CA689:$CR689)=0,A689,INDEX($CA689:$CR689,MATCH(1,$CA689:$CR689,0))))),SUM($CA689:$CR689))</f>
        <v>0</v>
      </c>
      <c r="B689" s="84" t="str" cm="1">
        <f t="array" aca="1" ref="B689" ca="1">HYPERLINK(CONCATENATE("#",CELL("address",$D$104)),$D$104)</f>
        <v>Loan 4</v>
      </c>
      <c r="C689" s="380"/>
      <c r="D689" s="221" t="str">
        <f>D$16</f>
        <v>NatWest</v>
      </c>
      <c r="E689" s="60" t="str">
        <f>E$16</f>
        <v xml:space="preserve">Commercial </v>
      </c>
      <c r="F689" s="10">
        <f>T$16</f>
        <v>0</v>
      </c>
      <c r="G689" s="10">
        <f>P$16</f>
        <v>0</v>
      </c>
      <c r="H689" s="50" t="s">
        <v>125</v>
      </c>
      <c r="S689" s="335"/>
      <c r="T689" s="335"/>
      <c r="U689" s="335"/>
      <c r="V689" s="13">
        <f t="shared" si="909"/>
        <v>0</v>
      </c>
      <c r="W689" s="215">
        <f t="shared" si="910"/>
        <v>0</v>
      </c>
      <c r="X689" s="215">
        <f t="shared" si="910"/>
        <v>0</v>
      </c>
      <c r="Y689" s="215">
        <f t="shared" si="910"/>
        <v>0</v>
      </c>
      <c r="AA689" s="10">
        <f>IF(AA$4=0, AA549, IF($G689=0, 0, (AA434+AA457+AA480*$F689+Z735)*AA666))*Timeline!AA50</f>
        <v>0</v>
      </c>
      <c r="AB689" s="10">
        <f>IF(AB$4=0, AB549, IF($G689=0, 0, (AB434+AB457+AB480*$F689+AA735)*AB666))*Timeline!AB50</f>
        <v>0</v>
      </c>
      <c r="AC689" s="10">
        <f>IF(AC$4=0, AC549, IF($G689=0, 0, (AC434+AC457+AC480*$F689+AB735)*AC666))*Timeline!AC50</f>
        <v>0</v>
      </c>
      <c r="AD689" s="10">
        <f>IF(AD$4=0, AD549, IF($G689=0, 0, (AD434+AD457+AD480*$F689+AC735)*AD666))*Timeline!AD50</f>
        <v>0</v>
      </c>
      <c r="AE689" s="10">
        <f>IF(AE$4=0, AE549, IF($G689=0, 0, (AE434+AE457+AE480*$F689+AD735)*AE666))*Timeline!AE50</f>
        <v>0</v>
      </c>
      <c r="AF689" s="10">
        <f>IF(AF$4=0, AF549, IF($G689=0, 0, (AF434+AF457+AF480*$F689+AE735)*AF666))*Timeline!AF50</f>
        <v>0</v>
      </c>
      <c r="AG689" s="10">
        <f>IF(AG$4=0, AG549, IF($G689=0, 0, (AG434+AG457+AG480*$F689+AF735)*AG666))*Timeline!AG50</f>
        <v>0</v>
      </c>
      <c r="AH689" s="10">
        <f>IF(AH$4=0, AH549, IF($G689=0, 0, (AH434+AH457+AH480*$F689+AG735)*AH666))*Timeline!AH50</f>
        <v>0</v>
      </c>
      <c r="AI689" s="10">
        <f>IF(AI$4=0, AI549, IF($G689=0, 0, (AI434+AI457+AI480*$F689+AH735)*AI666))*Timeline!AI50</f>
        <v>0</v>
      </c>
      <c r="AJ689" s="10">
        <f>IF(AJ$4=0, AJ549, IF($G689=0, 0, (AJ434+AJ457+AJ480*$F689+AI735)*AJ666))*Timeline!AJ50</f>
        <v>0</v>
      </c>
      <c r="AK689" s="10">
        <f>IF(AK$4=0, AK549, IF($G689=0, 0, (AK434+AK457+AK480*$F689+AJ735)*AK666))*Timeline!AK50</f>
        <v>0</v>
      </c>
      <c r="AL689" s="10">
        <f>IF(AL$4=0, AL549, IF($G689=0, 0, (AL434+AL457+AL480*$F689+AK735)*AL666))*Timeline!AL50</f>
        <v>0</v>
      </c>
      <c r="AM689" s="10">
        <f>IF(AM$4=0, AM549, IF($G689=0, 0, (AM434+AM457+AM480*$F689+AL735)*AM666))*Timeline!AM50</f>
        <v>0</v>
      </c>
      <c r="AN689" s="10">
        <f>IF(AN$4=0, AN549, IF($G689=0, 0, (AN434+AN457+AN480*$F689+AM735)*AN666))*Timeline!AN50</f>
        <v>0</v>
      </c>
      <c r="AO689" s="10">
        <f>IF(AO$4=0, AO549, IF($G689=0, 0, (AO434+AO457+AO480*$F689+AN735)*AO666))*Timeline!AO50</f>
        <v>0</v>
      </c>
      <c r="AP689" s="10">
        <f>IF(AP$4=0, AP549, IF($G689=0, 0, (AP434+AP457+AP480*$F689+AO735)*AP666))*Timeline!AP50</f>
        <v>0</v>
      </c>
      <c r="AQ689" s="10">
        <f>IF(AQ$4=0, AQ549, IF($G689=0, 0, (AQ434+AQ457+AQ480*$F689+AP735)*AQ666))*Timeline!AQ50</f>
        <v>0</v>
      </c>
      <c r="AR689" s="10">
        <f>IF(AR$4=0, AR549, IF($G689=0, 0, (AR434+AR457+AR480*$F689+AQ735)*AR666))*Timeline!AR50</f>
        <v>0</v>
      </c>
      <c r="AS689" s="10">
        <f>IF(AS$4=0, AS549, IF($G689=0, 0, (AS434+AS457+AS480*$F689+AR735)*AS666))*Timeline!AS50</f>
        <v>0</v>
      </c>
      <c r="AT689" s="10">
        <f>IF(AT$4=0, AT549, IF($G689=0, 0, (AT434+AT457+AT480*$F689+AS735)*AT666))*Timeline!AT50</f>
        <v>0</v>
      </c>
      <c r="AU689" s="10">
        <f>IF(AU$4=0, AU549, IF($G689=0, 0, (AU434+AU457+AU480*$F689+AT735)*AU666))*Timeline!AU50</f>
        <v>0</v>
      </c>
      <c r="AV689" s="10">
        <f>IF(AV$4=0, AV549, IF($G689=0, 0, (AV434+AV457+AV480*$F689+AU735)*AV666))*Timeline!AV50</f>
        <v>0</v>
      </c>
      <c r="AW689" s="10">
        <f>IF(AW$4=0, AW549, IF($G689=0, 0, (AW434+AW457+AW480*$F689+AV735)*AW666))*Timeline!AW50</f>
        <v>0</v>
      </c>
      <c r="AX689" s="10">
        <f>IF(AX$4=0, AX549, IF($G689=0, 0, (AX434+AX457+AX480*$F689+AW735)*AX666))*Timeline!AX50</f>
        <v>0</v>
      </c>
      <c r="AY689" s="10">
        <f>IF(AY$4=0, AY549, IF($G689=0, 0, (AY434+AY457+AY480*$F689+AX735)*AY666))*Timeline!AY50</f>
        <v>0</v>
      </c>
      <c r="AZ689" s="10">
        <f>IF(AZ$4=0, AZ549, IF($G689=0, 0, (AZ434+AZ457+AZ480*$F689+AY735)*AZ666))*Timeline!AZ50</f>
        <v>0</v>
      </c>
      <c r="BA689" s="10">
        <f>IF(BA$4=0, BA549, IF($G689=0, 0, (BA434+BA457+BA480*$F689+AZ735)*BA666))*Timeline!BA50</f>
        <v>0</v>
      </c>
      <c r="BB689" s="10">
        <f>IF(BB$4=0, BB549, IF($G689=0, 0, (BB434+BB457+BB480*$F689+BA735)*BB666))*Timeline!BB50</f>
        <v>0</v>
      </c>
      <c r="BC689" s="10">
        <f>IF(BC$4=0, BC549, IF($G689=0, 0, (BC434+BC457+BC480*$F689+BB735)*BC666))*Timeline!BC50</f>
        <v>0</v>
      </c>
      <c r="BD689" s="10">
        <f>IF(BD$4=0, BD549, IF($G689=0, 0, (BD434+BD457+BD480*$F689+BC735)*BD666))*Timeline!BD50</f>
        <v>0</v>
      </c>
      <c r="BE689" s="10">
        <f>IF(BE$4=0, BE549, IF($G689=0, 0, (BE434+BE457+BE480*$F689+BD735)*BE666))*Timeline!BE50</f>
        <v>0</v>
      </c>
      <c r="BF689" s="10">
        <f>IF(BF$4=0, BF549, IF($G689=0, 0, (BF434+BF457+BF480*$F689+BE735)*BF666))*Timeline!BF50</f>
        <v>0</v>
      </c>
      <c r="BG689" s="10">
        <f>IF(BG$4=0, BG549, IF($G689=0, 0, (BG434+BG457+BG480*$F689+BF735)*BG666))*Timeline!BG50</f>
        <v>0</v>
      </c>
      <c r="BH689" s="10">
        <f>IF(BH$4=0, BH549, IF($G689=0, 0, (BH434+BH457+BH480*$F689+BG735)*BH666))*Timeline!BH50</f>
        <v>0</v>
      </c>
      <c r="BI689" s="10">
        <f>IF(BI$4=0, BI549, IF($G689=0, 0, (BI434+BI457+BI480*$F689+BH735)*BI666))*Timeline!BI50</f>
        <v>0</v>
      </c>
      <c r="BJ689" s="10">
        <f>IF(BJ$4=0, BJ549, IF($G689=0, 0, (BJ434+BJ457+BJ480*$F689+BI735)*BJ666))*Timeline!BJ50</f>
        <v>0</v>
      </c>
      <c r="BL689" s="13">
        <f t="shared" si="911"/>
        <v>0</v>
      </c>
      <c r="BM689" s="13">
        <f t="shared" si="912"/>
        <v>0</v>
      </c>
      <c r="BN689" s="13">
        <f t="shared" si="913"/>
        <v>0</v>
      </c>
      <c r="BO689" s="13">
        <f t="shared" si="914"/>
        <v>0</v>
      </c>
      <c r="BP689" s="136"/>
      <c r="BQ689" s="136"/>
      <c r="BR689" s="136"/>
      <c r="BS689" s="136"/>
      <c r="BT689" s="136"/>
      <c r="BU689" s="136"/>
      <c r="BV689" s="136"/>
      <c r="BW689" s="136"/>
      <c r="BY689" s="12"/>
      <c r="CA689" s="12"/>
      <c r="CJ689" s="162"/>
      <c r="CK689" s="188">
        <f t="shared" si="915"/>
        <v>0</v>
      </c>
      <c r="CR689" s="12"/>
      <c r="EX689" s="10" t="str">
        <f t="shared" si="771"/>
        <v/>
      </c>
    </row>
    <row r="690" spans="1:154" x14ac:dyDescent="0.25">
      <c r="A690" s="362" cm="1">
        <f t="array" aca="1" ref="A690" ca="1">HYPERLINK(CONCATENATE("#",CELL("address",IF(SUM($CA690:$CR690)=0,A690,INDEX($CA690:$CR690,MATCH(1,$CA690:$CR690,0))))),SUM($CA690:$CR690))</f>
        <v>0</v>
      </c>
      <c r="B690" s="84" t="str" cm="1">
        <f t="array" aca="1" ref="B690" ca="1">HYPERLINK(CONCATENATE("#",CELL("address",$D$123)),$D$123)</f>
        <v>Loan 5</v>
      </c>
      <c r="C690" s="380"/>
      <c r="D690" s="221" t="str">
        <f>D$17</f>
        <v>NatWest</v>
      </c>
      <c r="E690" s="60" t="str">
        <f>E$17</f>
        <v xml:space="preserve">Commercial </v>
      </c>
      <c r="F690" s="10">
        <f>T$17</f>
        <v>0</v>
      </c>
      <c r="G690" s="10">
        <f>P$17</f>
        <v>0</v>
      </c>
      <c r="H690" s="50" t="s">
        <v>125</v>
      </c>
      <c r="S690" s="335"/>
      <c r="T690" s="335"/>
      <c r="U690" s="335"/>
      <c r="V690" s="13">
        <f t="shared" si="909"/>
        <v>0</v>
      </c>
      <c r="W690" s="215">
        <f t="shared" si="910"/>
        <v>0</v>
      </c>
      <c r="X690" s="215">
        <f t="shared" si="910"/>
        <v>0</v>
      </c>
      <c r="Y690" s="215">
        <f t="shared" si="910"/>
        <v>0</v>
      </c>
      <c r="AA690" s="10">
        <f>IF(AA$4=0, AA550, IF($G690=0, 0, (AA435+AA458+AA481*$F690+Z736)*AA667))*Timeline!AA51</f>
        <v>0</v>
      </c>
      <c r="AB690" s="10">
        <f>IF(AB$4=0, AB550, IF($G690=0, 0, (AB435+AB458+AB481*$F690+AA736)*AB667))*Timeline!AB51</f>
        <v>0</v>
      </c>
      <c r="AC690" s="10">
        <f>IF(AC$4=0, AC550, IF($G690=0, 0, (AC435+AC458+AC481*$F690+AB736)*AC667))*Timeline!AC51</f>
        <v>0</v>
      </c>
      <c r="AD690" s="10">
        <f>IF(AD$4=0, AD550, IF($G690=0, 0, (AD435+AD458+AD481*$F690+AC736)*AD667))*Timeline!AD51</f>
        <v>0</v>
      </c>
      <c r="AE690" s="10">
        <f>IF(AE$4=0, AE550, IF($G690=0, 0, (AE435+AE458+AE481*$F690+AD736)*AE667))*Timeline!AE51</f>
        <v>0</v>
      </c>
      <c r="AF690" s="10">
        <f>IF(AF$4=0, AF550, IF($G690=0, 0, (AF435+AF458+AF481*$F690+AE736)*AF667))*Timeline!AF51</f>
        <v>0</v>
      </c>
      <c r="AG690" s="10">
        <f>IF(AG$4=0, AG550, IF($G690=0, 0, (AG435+AG458+AG481*$F690+AF736)*AG667))*Timeline!AG51</f>
        <v>0</v>
      </c>
      <c r="AH690" s="10">
        <f>IF(AH$4=0, AH550, IF($G690=0, 0, (AH435+AH458+AH481*$F690+AG736)*AH667))*Timeline!AH51</f>
        <v>0</v>
      </c>
      <c r="AI690" s="10">
        <f>IF(AI$4=0, AI550, IF($G690=0, 0, (AI435+AI458+AI481*$F690+AH736)*AI667))*Timeline!AI51</f>
        <v>0</v>
      </c>
      <c r="AJ690" s="10">
        <f>IF(AJ$4=0, AJ550, IF($G690=0, 0, (AJ435+AJ458+AJ481*$F690+AI736)*AJ667))*Timeline!AJ51</f>
        <v>0</v>
      </c>
      <c r="AK690" s="10">
        <f>IF(AK$4=0, AK550, IF($G690=0, 0, (AK435+AK458+AK481*$F690+AJ736)*AK667))*Timeline!AK51</f>
        <v>0</v>
      </c>
      <c r="AL690" s="10">
        <f>IF(AL$4=0, AL550, IF($G690=0, 0, (AL435+AL458+AL481*$F690+AK736)*AL667))*Timeline!AL51</f>
        <v>0</v>
      </c>
      <c r="AM690" s="10">
        <f>IF(AM$4=0, AM550, IF($G690=0, 0, (AM435+AM458+AM481*$F690+AL736)*AM667))*Timeline!AM51</f>
        <v>0</v>
      </c>
      <c r="AN690" s="10">
        <f>IF(AN$4=0, AN550, IF($G690=0, 0, (AN435+AN458+AN481*$F690+AM736)*AN667))*Timeline!AN51</f>
        <v>0</v>
      </c>
      <c r="AO690" s="10">
        <f>IF(AO$4=0, AO550, IF($G690=0, 0, (AO435+AO458+AO481*$F690+AN736)*AO667))*Timeline!AO51</f>
        <v>0</v>
      </c>
      <c r="AP690" s="10">
        <f>IF(AP$4=0, AP550, IF($G690=0, 0, (AP435+AP458+AP481*$F690+AO736)*AP667))*Timeline!AP51</f>
        <v>0</v>
      </c>
      <c r="AQ690" s="10">
        <f>IF(AQ$4=0, AQ550, IF($G690=0, 0, (AQ435+AQ458+AQ481*$F690+AP736)*AQ667))*Timeline!AQ51</f>
        <v>0</v>
      </c>
      <c r="AR690" s="10">
        <f>IF(AR$4=0, AR550, IF($G690=0, 0, (AR435+AR458+AR481*$F690+AQ736)*AR667))*Timeline!AR51</f>
        <v>0</v>
      </c>
      <c r="AS690" s="10">
        <f>IF(AS$4=0, AS550, IF($G690=0, 0, (AS435+AS458+AS481*$F690+AR736)*AS667))*Timeline!AS51</f>
        <v>0</v>
      </c>
      <c r="AT690" s="10">
        <f>IF(AT$4=0, AT550, IF($G690=0, 0, (AT435+AT458+AT481*$F690+AS736)*AT667))*Timeline!AT51</f>
        <v>0</v>
      </c>
      <c r="AU690" s="10">
        <f>IF(AU$4=0, AU550, IF($G690=0, 0, (AU435+AU458+AU481*$F690+AT736)*AU667))*Timeline!AU51</f>
        <v>0</v>
      </c>
      <c r="AV690" s="10">
        <f>IF(AV$4=0, AV550, IF($G690=0, 0, (AV435+AV458+AV481*$F690+AU736)*AV667))*Timeline!AV51</f>
        <v>0</v>
      </c>
      <c r="AW690" s="10">
        <f>IF(AW$4=0, AW550, IF($G690=0, 0, (AW435+AW458+AW481*$F690+AV736)*AW667))*Timeline!AW51</f>
        <v>0</v>
      </c>
      <c r="AX690" s="10">
        <f>IF(AX$4=0, AX550, IF($G690=0, 0, (AX435+AX458+AX481*$F690+AW736)*AX667))*Timeline!AX51</f>
        <v>0</v>
      </c>
      <c r="AY690" s="10">
        <f>IF(AY$4=0, AY550, IF($G690=0, 0, (AY435+AY458+AY481*$F690+AX736)*AY667))*Timeline!AY51</f>
        <v>0</v>
      </c>
      <c r="AZ690" s="10">
        <f>IF(AZ$4=0, AZ550, IF($G690=0, 0, (AZ435+AZ458+AZ481*$F690+AY736)*AZ667))*Timeline!AZ51</f>
        <v>0</v>
      </c>
      <c r="BA690" s="10">
        <f>IF(BA$4=0, BA550, IF($G690=0, 0, (BA435+BA458+BA481*$F690+AZ736)*BA667))*Timeline!BA51</f>
        <v>0</v>
      </c>
      <c r="BB690" s="10">
        <f>IF(BB$4=0, BB550, IF($G690=0, 0, (BB435+BB458+BB481*$F690+BA736)*BB667))*Timeline!BB51</f>
        <v>0</v>
      </c>
      <c r="BC690" s="10">
        <f>IF(BC$4=0, BC550, IF($G690=0, 0, (BC435+BC458+BC481*$F690+BB736)*BC667))*Timeline!BC51</f>
        <v>0</v>
      </c>
      <c r="BD690" s="10">
        <f>IF(BD$4=0, BD550, IF($G690=0, 0, (BD435+BD458+BD481*$F690+BC736)*BD667))*Timeline!BD51</f>
        <v>0</v>
      </c>
      <c r="BE690" s="10">
        <f>IF(BE$4=0, BE550, IF($G690=0, 0, (BE435+BE458+BE481*$F690+BD736)*BE667))*Timeline!BE51</f>
        <v>0</v>
      </c>
      <c r="BF690" s="10">
        <f>IF(BF$4=0, BF550, IF($G690=0, 0, (BF435+BF458+BF481*$F690+BE736)*BF667))*Timeline!BF51</f>
        <v>0</v>
      </c>
      <c r="BG690" s="10">
        <f>IF(BG$4=0, BG550, IF($G690=0, 0, (BG435+BG458+BG481*$F690+BF736)*BG667))*Timeline!BG51</f>
        <v>0</v>
      </c>
      <c r="BH690" s="10">
        <f>IF(BH$4=0, BH550, IF($G690=0, 0, (BH435+BH458+BH481*$F690+BG736)*BH667))*Timeline!BH51</f>
        <v>0</v>
      </c>
      <c r="BI690" s="10">
        <f>IF(BI$4=0, BI550, IF($G690=0, 0, (BI435+BI458+BI481*$F690+BH736)*BI667))*Timeline!BI51</f>
        <v>0</v>
      </c>
      <c r="BJ690" s="10">
        <f>IF(BJ$4=0, BJ550, IF($G690=0, 0, (BJ435+BJ458+BJ481*$F690+BI736)*BJ667))*Timeline!BJ51</f>
        <v>0</v>
      </c>
      <c r="BL690" s="13">
        <f t="shared" si="911"/>
        <v>0</v>
      </c>
      <c r="BM690" s="13">
        <f t="shared" si="912"/>
        <v>0</v>
      </c>
      <c r="BN690" s="13">
        <f t="shared" si="913"/>
        <v>0</v>
      </c>
      <c r="BO690" s="13">
        <f t="shared" si="914"/>
        <v>0</v>
      </c>
      <c r="BP690" s="136"/>
      <c r="BQ690" s="136"/>
      <c r="BR690" s="136"/>
      <c r="BS690" s="136"/>
      <c r="BT690" s="136"/>
      <c r="BU690" s="136"/>
      <c r="BV690" s="136"/>
      <c r="BW690" s="136"/>
      <c r="BY690" s="12"/>
      <c r="CA690" s="12"/>
      <c r="CJ690" s="162"/>
      <c r="CK690" s="188">
        <f t="shared" si="915"/>
        <v>0</v>
      </c>
      <c r="CR690" s="12"/>
      <c r="EX690" s="10" t="str">
        <f t="shared" si="771"/>
        <v/>
      </c>
    </row>
    <row r="691" spans="1:154" x14ac:dyDescent="0.25">
      <c r="A691" s="362" cm="1">
        <f t="array" aca="1" ref="A691" ca="1">HYPERLINK(CONCATENATE("#",CELL("address",IF(SUM($CA691:$CR691)=0,A691,INDEX($CA691:$CR691,MATCH(1,$CA691:$CR691,0))))),SUM($CA691:$CR691))</f>
        <v>0</v>
      </c>
      <c r="B691" s="84" t="str" cm="1">
        <f t="array" aca="1" ref="B691" ca="1">HYPERLINK(CONCATENATE("#",CELL("address",$D$142)),$D$142)</f>
        <v>Loan 6</v>
      </c>
      <c r="C691" s="380"/>
      <c r="D691" s="221">
        <f>D$18</f>
        <v>0</v>
      </c>
      <c r="E691" s="60">
        <f>E$18</f>
        <v>0</v>
      </c>
      <c r="F691" s="10">
        <f>T$18</f>
        <v>0</v>
      </c>
      <c r="G691" s="10">
        <f>P$18</f>
        <v>0</v>
      </c>
      <c r="H691" s="50" t="s">
        <v>125</v>
      </c>
      <c r="S691" s="335"/>
      <c r="T691" s="335"/>
      <c r="U691" s="335"/>
      <c r="V691" s="13">
        <f t="shared" si="909"/>
        <v>0</v>
      </c>
      <c r="W691" s="215">
        <f t="shared" si="910"/>
        <v>0</v>
      </c>
      <c r="X691" s="215">
        <f t="shared" si="910"/>
        <v>0</v>
      </c>
      <c r="Y691" s="215">
        <f t="shared" si="910"/>
        <v>0</v>
      </c>
      <c r="AA691" s="10">
        <f>IF(AA$4=0, AA551, IF($G691=0, 0, (AA436+AA459+AA482*$F691+Z737)*AA668))*Timeline!AA52</f>
        <v>0</v>
      </c>
      <c r="AB691" s="10">
        <f>IF(AB$4=0, AB551, IF($G691=0, 0, (AB436+AB459+AB482*$F691+AA737)*AB668))*Timeline!AB52</f>
        <v>0</v>
      </c>
      <c r="AC691" s="10">
        <f>IF(AC$4=0, AC551, IF($G691=0, 0, (AC436+AC459+AC482*$F691+AB737)*AC668))*Timeline!AC52</f>
        <v>0</v>
      </c>
      <c r="AD691" s="10">
        <f>IF(AD$4=0, AD551, IF($G691=0, 0, (AD436+AD459+AD482*$F691+AC737)*AD668))*Timeline!AD52</f>
        <v>0</v>
      </c>
      <c r="AE691" s="10">
        <f>IF(AE$4=0, AE551, IF($G691=0, 0, (AE436+AE459+AE482*$F691+AD737)*AE668))*Timeline!AE52</f>
        <v>0</v>
      </c>
      <c r="AF691" s="10">
        <f>IF(AF$4=0, AF551, IF($G691=0, 0, (AF436+AF459+AF482*$F691+AE737)*AF668))*Timeline!AF52</f>
        <v>0</v>
      </c>
      <c r="AG691" s="10">
        <f>IF(AG$4=0, AG551, IF($G691=0, 0, (AG436+AG459+AG482*$F691+AF737)*AG668))*Timeline!AG52</f>
        <v>0</v>
      </c>
      <c r="AH691" s="10">
        <f>IF(AH$4=0, AH551, IF($G691=0, 0, (AH436+AH459+AH482*$F691+AG737)*AH668))*Timeline!AH52</f>
        <v>0</v>
      </c>
      <c r="AI691" s="10">
        <f>IF(AI$4=0, AI551, IF($G691=0, 0, (AI436+AI459+AI482*$F691+AH737)*AI668))*Timeline!AI52</f>
        <v>0</v>
      </c>
      <c r="AJ691" s="10">
        <f>IF(AJ$4=0, AJ551, IF($G691=0, 0, (AJ436+AJ459+AJ482*$F691+AI737)*AJ668))*Timeline!AJ52</f>
        <v>0</v>
      </c>
      <c r="AK691" s="10">
        <f>IF(AK$4=0, AK551, IF($G691=0, 0, (AK436+AK459+AK482*$F691+AJ737)*AK668))*Timeline!AK52</f>
        <v>0</v>
      </c>
      <c r="AL691" s="10">
        <f>IF(AL$4=0, AL551, IF($G691=0, 0, (AL436+AL459+AL482*$F691+AK737)*AL668))*Timeline!AL52</f>
        <v>0</v>
      </c>
      <c r="AM691" s="10">
        <f>IF(AM$4=0, AM551, IF($G691=0, 0, (AM436+AM459+AM482*$F691+AL737)*AM668))*Timeline!AM52</f>
        <v>0</v>
      </c>
      <c r="AN691" s="10">
        <f>IF(AN$4=0, AN551, IF($G691=0, 0, (AN436+AN459+AN482*$F691+AM737)*AN668))*Timeline!AN52</f>
        <v>0</v>
      </c>
      <c r="AO691" s="10">
        <f>IF(AO$4=0, AO551, IF($G691=0, 0, (AO436+AO459+AO482*$F691+AN737)*AO668))*Timeline!AO52</f>
        <v>0</v>
      </c>
      <c r="AP691" s="10">
        <f>IF(AP$4=0, AP551, IF($G691=0, 0, (AP436+AP459+AP482*$F691+AO737)*AP668))*Timeline!AP52</f>
        <v>0</v>
      </c>
      <c r="AQ691" s="10">
        <f>IF(AQ$4=0, AQ551, IF($G691=0, 0, (AQ436+AQ459+AQ482*$F691+AP737)*AQ668))*Timeline!AQ52</f>
        <v>0</v>
      </c>
      <c r="AR691" s="10">
        <f>IF(AR$4=0, AR551, IF($G691=0, 0, (AR436+AR459+AR482*$F691+AQ737)*AR668))*Timeline!AR52</f>
        <v>0</v>
      </c>
      <c r="AS691" s="10">
        <f>IF(AS$4=0, AS551, IF($G691=0, 0, (AS436+AS459+AS482*$F691+AR737)*AS668))*Timeline!AS52</f>
        <v>0</v>
      </c>
      <c r="AT691" s="10">
        <f>IF(AT$4=0, AT551, IF($G691=0, 0, (AT436+AT459+AT482*$F691+AS737)*AT668))*Timeline!AT52</f>
        <v>0</v>
      </c>
      <c r="AU691" s="10">
        <f>IF(AU$4=0, AU551, IF($G691=0, 0, (AU436+AU459+AU482*$F691+AT737)*AU668))*Timeline!AU52</f>
        <v>0</v>
      </c>
      <c r="AV691" s="10">
        <f>IF(AV$4=0, AV551, IF($G691=0, 0, (AV436+AV459+AV482*$F691+AU737)*AV668))*Timeline!AV52</f>
        <v>0</v>
      </c>
      <c r="AW691" s="10">
        <f>IF(AW$4=0, AW551, IF($G691=0, 0, (AW436+AW459+AW482*$F691+AV737)*AW668))*Timeline!AW52</f>
        <v>0</v>
      </c>
      <c r="AX691" s="10">
        <f>IF(AX$4=0, AX551, IF($G691=0, 0, (AX436+AX459+AX482*$F691+AW737)*AX668))*Timeline!AX52</f>
        <v>0</v>
      </c>
      <c r="AY691" s="10">
        <f>IF(AY$4=0, AY551, IF($G691=0, 0, (AY436+AY459+AY482*$F691+AX737)*AY668))*Timeline!AY52</f>
        <v>0</v>
      </c>
      <c r="AZ691" s="10">
        <f>IF(AZ$4=0, AZ551, IF($G691=0, 0, (AZ436+AZ459+AZ482*$F691+AY737)*AZ668))*Timeline!AZ52</f>
        <v>0</v>
      </c>
      <c r="BA691" s="10">
        <f>IF(BA$4=0, BA551, IF($G691=0, 0, (BA436+BA459+BA482*$F691+AZ737)*BA668))*Timeline!BA52</f>
        <v>0</v>
      </c>
      <c r="BB691" s="10">
        <f>IF(BB$4=0, BB551, IF($G691=0, 0, (BB436+BB459+BB482*$F691+BA737)*BB668))*Timeline!BB52</f>
        <v>0</v>
      </c>
      <c r="BC691" s="10">
        <f>IF(BC$4=0, BC551, IF($G691=0, 0, (BC436+BC459+BC482*$F691+BB737)*BC668))*Timeline!BC52</f>
        <v>0</v>
      </c>
      <c r="BD691" s="10">
        <f>IF(BD$4=0, BD551, IF($G691=0, 0, (BD436+BD459+BD482*$F691+BC737)*BD668))*Timeline!BD52</f>
        <v>0</v>
      </c>
      <c r="BE691" s="10">
        <f>IF(BE$4=0, BE551, IF($G691=0, 0, (BE436+BE459+BE482*$F691+BD737)*BE668))*Timeline!BE52</f>
        <v>0</v>
      </c>
      <c r="BF691" s="10">
        <f>IF(BF$4=0, BF551, IF($G691=0, 0, (BF436+BF459+BF482*$F691+BE737)*BF668))*Timeline!BF52</f>
        <v>0</v>
      </c>
      <c r="BG691" s="10">
        <f>IF(BG$4=0, BG551, IF($G691=0, 0, (BG436+BG459+BG482*$F691+BF737)*BG668))*Timeline!BG52</f>
        <v>0</v>
      </c>
      <c r="BH691" s="10">
        <f>IF(BH$4=0, BH551, IF($G691=0, 0, (BH436+BH459+BH482*$F691+BG737)*BH668))*Timeline!BH52</f>
        <v>0</v>
      </c>
      <c r="BI691" s="10">
        <f>IF(BI$4=0, BI551, IF($G691=0, 0, (BI436+BI459+BI482*$F691+BH737)*BI668))*Timeline!BI52</f>
        <v>0</v>
      </c>
      <c r="BJ691" s="10">
        <f>IF(BJ$4=0, BJ551, IF($G691=0, 0, (BJ436+BJ459+BJ482*$F691+BI737)*BJ668))*Timeline!BJ52</f>
        <v>0</v>
      </c>
      <c r="BL691" s="13">
        <f t="shared" si="911"/>
        <v>0</v>
      </c>
      <c r="BM691" s="13">
        <f t="shared" si="912"/>
        <v>0</v>
      </c>
      <c r="BN691" s="13">
        <f t="shared" si="913"/>
        <v>0</v>
      </c>
      <c r="BO691" s="13">
        <f t="shared" si="914"/>
        <v>0</v>
      </c>
      <c r="BP691" s="136"/>
      <c r="BQ691" s="136"/>
      <c r="BR691" s="136"/>
      <c r="BS691" s="136"/>
      <c r="BT691" s="136"/>
      <c r="BU691" s="136"/>
      <c r="BV691" s="136"/>
      <c r="BW691" s="136"/>
      <c r="BY691" s="12"/>
      <c r="CA691" s="12"/>
      <c r="CJ691" s="162"/>
      <c r="CK691" s="188">
        <f t="shared" si="915"/>
        <v>0</v>
      </c>
      <c r="CR691" s="12"/>
      <c r="EX691" s="10" t="str">
        <f t="shared" ref="EX691:EX754" si="916">IF($C691="","",$D691)</f>
        <v/>
      </c>
    </row>
    <row r="692" spans="1:154" x14ac:dyDescent="0.25">
      <c r="A692" s="362" cm="1">
        <f t="array" aca="1" ref="A692" ca="1">HYPERLINK(CONCATENATE("#",CELL("address",IF(SUM($CA692:$CR692)=0,A692,INDEX($CA692:$CR692,MATCH(1,$CA692:$CR692,0))))),SUM($CA692:$CR692))</f>
        <v>0</v>
      </c>
      <c r="B692" s="84" t="str" cm="1">
        <f t="array" aca="1" ref="B692" ca="1">HYPERLINK(CONCATENATE("#",CELL("address",$D$161)),$D$161)</f>
        <v>Loan 7</v>
      </c>
      <c r="C692" s="380"/>
      <c r="D692" s="221">
        <f>D$19</f>
        <v>0</v>
      </c>
      <c r="E692" s="60">
        <f>E$19</f>
        <v>0</v>
      </c>
      <c r="F692" s="10">
        <f>T$19</f>
        <v>0</v>
      </c>
      <c r="G692" s="10">
        <f>P$19</f>
        <v>0</v>
      </c>
      <c r="H692" s="50" t="s">
        <v>125</v>
      </c>
      <c r="S692" s="335"/>
      <c r="T692" s="335"/>
      <c r="U692" s="335"/>
      <c r="V692" s="13">
        <f t="shared" si="909"/>
        <v>0</v>
      </c>
      <c r="W692" s="215">
        <f t="shared" si="910"/>
        <v>0</v>
      </c>
      <c r="X692" s="215">
        <f t="shared" si="910"/>
        <v>0</v>
      </c>
      <c r="Y692" s="215">
        <f t="shared" si="910"/>
        <v>0</v>
      </c>
      <c r="AA692" s="10">
        <f>IF(AA$4=0, AA552, IF($G692=0, 0, (AA437+AA460+AA483*$F692+Z738)*AA669))*Timeline!AA53</f>
        <v>0</v>
      </c>
      <c r="AB692" s="10">
        <f>IF(AB$4=0, AB552, IF($G692=0, 0, (AB437+AB460+AB483*$F692+AA738)*AB669))*Timeline!AB53</f>
        <v>0</v>
      </c>
      <c r="AC692" s="10">
        <f>IF(AC$4=0, AC552, IF($G692=0, 0, (AC437+AC460+AC483*$F692+AB738)*AC669))*Timeline!AC53</f>
        <v>0</v>
      </c>
      <c r="AD692" s="10">
        <f>IF(AD$4=0, AD552, IF($G692=0, 0, (AD437+AD460+AD483*$F692+AC738)*AD669))*Timeline!AD53</f>
        <v>0</v>
      </c>
      <c r="AE692" s="10">
        <f>IF(AE$4=0, AE552, IF($G692=0, 0, (AE437+AE460+AE483*$F692+AD738)*AE669))*Timeline!AE53</f>
        <v>0</v>
      </c>
      <c r="AF692" s="10">
        <f>IF(AF$4=0, AF552, IF($G692=0, 0, (AF437+AF460+AF483*$F692+AE738)*AF669))*Timeline!AF53</f>
        <v>0</v>
      </c>
      <c r="AG692" s="10">
        <f>IF(AG$4=0, AG552, IF($G692=0, 0, (AG437+AG460+AG483*$F692+AF738)*AG669))*Timeline!AG53</f>
        <v>0</v>
      </c>
      <c r="AH692" s="10">
        <f>IF(AH$4=0, AH552, IF($G692=0, 0, (AH437+AH460+AH483*$F692+AG738)*AH669))*Timeline!AH53</f>
        <v>0</v>
      </c>
      <c r="AI692" s="10">
        <f>IF(AI$4=0, AI552, IF($G692=0, 0, (AI437+AI460+AI483*$F692+AH738)*AI669))*Timeline!AI53</f>
        <v>0</v>
      </c>
      <c r="AJ692" s="10">
        <f>IF(AJ$4=0, AJ552, IF($G692=0, 0, (AJ437+AJ460+AJ483*$F692+AI738)*AJ669))*Timeline!AJ53</f>
        <v>0</v>
      </c>
      <c r="AK692" s="10">
        <f>IF(AK$4=0, AK552, IF($G692=0, 0, (AK437+AK460+AK483*$F692+AJ738)*AK669))*Timeline!AK53</f>
        <v>0</v>
      </c>
      <c r="AL692" s="10">
        <f>IF(AL$4=0, AL552, IF($G692=0, 0, (AL437+AL460+AL483*$F692+AK738)*AL669))*Timeline!AL53</f>
        <v>0</v>
      </c>
      <c r="AM692" s="10">
        <f>IF(AM$4=0, AM552, IF($G692=0, 0, (AM437+AM460+AM483*$F692+AL738)*AM669))*Timeline!AM53</f>
        <v>0</v>
      </c>
      <c r="AN692" s="10">
        <f>IF(AN$4=0, AN552, IF($G692=0, 0, (AN437+AN460+AN483*$F692+AM738)*AN669))*Timeline!AN53</f>
        <v>0</v>
      </c>
      <c r="AO692" s="10">
        <f>IF(AO$4=0, AO552, IF($G692=0, 0, (AO437+AO460+AO483*$F692+AN738)*AO669))*Timeline!AO53</f>
        <v>0</v>
      </c>
      <c r="AP692" s="10">
        <f>IF(AP$4=0, AP552, IF($G692=0, 0, (AP437+AP460+AP483*$F692+AO738)*AP669))*Timeline!AP53</f>
        <v>0</v>
      </c>
      <c r="AQ692" s="10">
        <f>IF(AQ$4=0, AQ552, IF($G692=0, 0, (AQ437+AQ460+AQ483*$F692+AP738)*AQ669))*Timeline!AQ53</f>
        <v>0</v>
      </c>
      <c r="AR692" s="10">
        <f>IF(AR$4=0, AR552, IF($G692=0, 0, (AR437+AR460+AR483*$F692+AQ738)*AR669))*Timeline!AR53</f>
        <v>0</v>
      </c>
      <c r="AS692" s="10">
        <f>IF(AS$4=0, AS552, IF($G692=0, 0, (AS437+AS460+AS483*$F692+AR738)*AS669))*Timeline!AS53</f>
        <v>0</v>
      </c>
      <c r="AT692" s="10">
        <f>IF(AT$4=0, AT552, IF($G692=0, 0, (AT437+AT460+AT483*$F692+AS738)*AT669))*Timeline!AT53</f>
        <v>0</v>
      </c>
      <c r="AU692" s="10">
        <f>IF(AU$4=0, AU552, IF($G692=0, 0, (AU437+AU460+AU483*$F692+AT738)*AU669))*Timeline!AU53</f>
        <v>0</v>
      </c>
      <c r="AV692" s="10">
        <f>IF(AV$4=0, AV552, IF($G692=0, 0, (AV437+AV460+AV483*$F692+AU738)*AV669))*Timeline!AV53</f>
        <v>0</v>
      </c>
      <c r="AW692" s="10">
        <f>IF(AW$4=0, AW552, IF($G692=0, 0, (AW437+AW460+AW483*$F692+AV738)*AW669))*Timeline!AW53</f>
        <v>0</v>
      </c>
      <c r="AX692" s="10">
        <f>IF(AX$4=0, AX552, IF($G692=0, 0, (AX437+AX460+AX483*$F692+AW738)*AX669))*Timeline!AX53</f>
        <v>0</v>
      </c>
      <c r="AY692" s="10">
        <f>IF(AY$4=0, AY552, IF($G692=0, 0, (AY437+AY460+AY483*$F692+AX738)*AY669))*Timeline!AY53</f>
        <v>0</v>
      </c>
      <c r="AZ692" s="10">
        <f>IF(AZ$4=0, AZ552, IF($G692=0, 0, (AZ437+AZ460+AZ483*$F692+AY738)*AZ669))*Timeline!AZ53</f>
        <v>0</v>
      </c>
      <c r="BA692" s="10">
        <f>IF(BA$4=0, BA552, IF($G692=0, 0, (BA437+BA460+BA483*$F692+AZ738)*BA669))*Timeline!BA53</f>
        <v>0</v>
      </c>
      <c r="BB692" s="10">
        <f>IF(BB$4=0, BB552, IF($G692=0, 0, (BB437+BB460+BB483*$F692+BA738)*BB669))*Timeline!BB53</f>
        <v>0</v>
      </c>
      <c r="BC692" s="10">
        <f>IF(BC$4=0, BC552, IF($G692=0, 0, (BC437+BC460+BC483*$F692+BB738)*BC669))*Timeline!BC53</f>
        <v>0</v>
      </c>
      <c r="BD692" s="10">
        <f>IF(BD$4=0, BD552, IF($G692=0, 0, (BD437+BD460+BD483*$F692+BC738)*BD669))*Timeline!BD53</f>
        <v>0</v>
      </c>
      <c r="BE692" s="10">
        <f>IF(BE$4=0, BE552, IF($G692=0, 0, (BE437+BE460+BE483*$F692+BD738)*BE669))*Timeline!BE53</f>
        <v>0</v>
      </c>
      <c r="BF692" s="10">
        <f>IF(BF$4=0, BF552, IF($G692=0, 0, (BF437+BF460+BF483*$F692+BE738)*BF669))*Timeline!BF53</f>
        <v>0</v>
      </c>
      <c r="BG692" s="10">
        <f>IF(BG$4=0, BG552, IF($G692=0, 0, (BG437+BG460+BG483*$F692+BF738)*BG669))*Timeline!BG53</f>
        <v>0</v>
      </c>
      <c r="BH692" s="10">
        <f>IF(BH$4=0, BH552, IF($G692=0, 0, (BH437+BH460+BH483*$F692+BG738)*BH669))*Timeline!BH53</f>
        <v>0</v>
      </c>
      <c r="BI692" s="10">
        <f>IF(BI$4=0, BI552, IF($G692=0, 0, (BI437+BI460+BI483*$F692+BH738)*BI669))*Timeline!BI53</f>
        <v>0</v>
      </c>
      <c r="BJ692" s="10">
        <f>IF(BJ$4=0, BJ552, IF($G692=0, 0, (BJ437+BJ460+BJ483*$F692+BI738)*BJ669))*Timeline!BJ53</f>
        <v>0</v>
      </c>
      <c r="BL692" s="13">
        <f t="shared" si="911"/>
        <v>0</v>
      </c>
      <c r="BM692" s="13">
        <f t="shared" si="912"/>
        <v>0</v>
      </c>
      <c r="BN692" s="13">
        <f t="shared" si="913"/>
        <v>0</v>
      </c>
      <c r="BO692" s="13">
        <f t="shared" si="914"/>
        <v>0</v>
      </c>
      <c r="BP692" s="136"/>
      <c r="BQ692" s="136"/>
      <c r="BR692" s="136"/>
      <c r="BS692" s="136"/>
      <c r="BT692" s="136"/>
      <c r="BU692" s="136"/>
      <c r="BV692" s="136"/>
      <c r="BW692" s="136"/>
      <c r="BY692" s="12"/>
      <c r="CA692" s="12"/>
      <c r="CJ692" s="162"/>
      <c r="CK692" s="188">
        <f t="shared" si="915"/>
        <v>0</v>
      </c>
      <c r="CR692" s="12"/>
      <c r="EX692" s="10" t="str">
        <f t="shared" si="916"/>
        <v/>
      </c>
    </row>
    <row r="693" spans="1:154" x14ac:dyDescent="0.25">
      <c r="A693" s="362" cm="1">
        <f t="array" aca="1" ref="A693" ca="1">HYPERLINK(CONCATENATE("#",CELL("address",IF(SUM($CA693:$CR693)=0,A693,INDEX($CA693:$CR693,MATCH(1,$CA693:$CR693,0))))),SUM($CA693:$CR693))</f>
        <v>0</v>
      </c>
      <c r="B693" s="84" t="str" cm="1">
        <f t="array" aca="1" ref="B693" ca="1">HYPERLINK(CONCATENATE("#",CELL("address",$D$180)),$D$180)</f>
        <v>Loan 8</v>
      </c>
      <c r="C693" s="380"/>
      <c r="D693" s="221">
        <f>D$20</f>
        <v>0</v>
      </c>
      <c r="E693" s="60">
        <f>E$20</f>
        <v>0</v>
      </c>
      <c r="F693" s="10">
        <f>T$20</f>
        <v>0</v>
      </c>
      <c r="G693" s="10">
        <f>P$20</f>
        <v>0</v>
      </c>
      <c r="H693" s="50" t="s">
        <v>125</v>
      </c>
      <c r="S693" s="335"/>
      <c r="T693" s="335"/>
      <c r="U693" s="335"/>
      <c r="V693" s="13">
        <f t="shared" si="909"/>
        <v>0</v>
      </c>
      <c r="W693" s="215">
        <f t="shared" si="910"/>
        <v>0</v>
      </c>
      <c r="X693" s="215">
        <f t="shared" si="910"/>
        <v>0</v>
      </c>
      <c r="Y693" s="215">
        <f t="shared" si="910"/>
        <v>0</v>
      </c>
      <c r="AA693" s="10">
        <f>IF(AA$4=0, AA553, IF($G693=0, 0, (AA438+AA461+AA484*$F693+Z739)*AA670))*Timeline!AA54</f>
        <v>0</v>
      </c>
      <c r="AB693" s="10">
        <f>IF(AB$4=0, AB553, IF($G693=0, 0, (AB438+AB461+AB484*$F693+AA739)*AB670))*Timeline!AB54</f>
        <v>0</v>
      </c>
      <c r="AC693" s="10">
        <f>IF(AC$4=0, AC553, IF($G693=0, 0, (AC438+AC461+AC484*$F693+AB739)*AC670))*Timeline!AC54</f>
        <v>0</v>
      </c>
      <c r="AD693" s="10">
        <f>IF(AD$4=0, AD553, IF($G693=0, 0, (AD438+AD461+AD484*$F693+AC739)*AD670))*Timeline!AD54</f>
        <v>0</v>
      </c>
      <c r="AE693" s="10">
        <f>IF(AE$4=0, AE553, IF($G693=0, 0, (AE438+AE461+AE484*$F693+AD739)*AE670))*Timeline!AE54</f>
        <v>0</v>
      </c>
      <c r="AF693" s="10">
        <f>IF(AF$4=0, AF553, IF($G693=0, 0, (AF438+AF461+AF484*$F693+AE739)*AF670))*Timeline!AF54</f>
        <v>0</v>
      </c>
      <c r="AG693" s="10">
        <f>IF(AG$4=0, AG553, IF($G693=0, 0, (AG438+AG461+AG484*$F693+AF739)*AG670))*Timeline!AG54</f>
        <v>0</v>
      </c>
      <c r="AH693" s="10">
        <f>IF(AH$4=0, AH553, IF($G693=0, 0, (AH438+AH461+AH484*$F693+AG739)*AH670))*Timeline!AH54</f>
        <v>0</v>
      </c>
      <c r="AI693" s="10">
        <f>IF(AI$4=0, AI553, IF($G693=0, 0, (AI438+AI461+AI484*$F693+AH739)*AI670))*Timeline!AI54</f>
        <v>0</v>
      </c>
      <c r="AJ693" s="10">
        <f>IF(AJ$4=0, AJ553, IF($G693=0, 0, (AJ438+AJ461+AJ484*$F693+AI739)*AJ670))*Timeline!AJ54</f>
        <v>0</v>
      </c>
      <c r="AK693" s="10">
        <f>IF(AK$4=0, AK553, IF($G693=0, 0, (AK438+AK461+AK484*$F693+AJ739)*AK670))*Timeline!AK54</f>
        <v>0</v>
      </c>
      <c r="AL693" s="10">
        <f>IF(AL$4=0, AL553, IF($G693=0, 0, (AL438+AL461+AL484*$F693+AK739)*AL670))*Timeline!AL54</f>
        <v>0</v>
      </c>
      <c r="AM693" s="10">
        <f>IF(AM$4=0, AM553, IF($G693=0, 0, (AM438+AM461+AM484*$F693+AL739)*AM670))*Timeline!AM54</f>
        <v>0</v>
      </c>
      <c r="AN693" s="10">
        <f>IF(AN$4=0, AN553, IF($G693=0, 0, (AN438+AN461+AN484*$F693+AM739)*AN670))*Timeline!AN54</f>
        <v>0</v>
      </c>
      <c r="AO693" s="10">
        <f>IF(AO$4=0, AO553, IF($G693=0, 0, (AO438+AO461+AO484*$F693+AN739)*AO670))*Timeline!AO54</f>
        <v>0</v>
      </c>
      <c r="AP693" s="10">
        <f>IF(AP$4=0, AP553, IF($G693=0, 0, (AP438+AP461+AP484*$F693+AO739)*AP670))*Timeline!AP54</f>
        <v>0</v>
      </c>
      <c r="AQ693" s="10">
        <f>IF(AQ$4=0, AQ553, IF($G693=0, 0, (AQ438+AQ461+AQ484*$F693+AP739)*AQ670))*Timeline!AQ54</f>
        <v>0</v>
      </c>
      <c r="AR693" s="10">
        <f>IF(AR$4=0, AR553, IF($G693=0, 0, (AR438+AR461+AR484*$F693+AQ739)*AR670))*Timeline!AR54</f>
        <v>0</v>
      </c>
      <c r="AS693" s="10">
        <f>IF(AS$4=0, AS553, IF($G693=0, 0, (AS438+AS461+AS484*$F693+AR739)*AS670))*Timeline!AS54</f>
        <v>0</v>
      </c>
      <c r="AT693" s="10">
        <f>IF(AT$4=0, AT553, IF($G693=0, 0, (AT438+AT461+AT484*$F693+AS739)*AT670))*Timeline!AT54</f>
        <v>0</v>
      </c>
      <c r="AU693" s="10">
        <f>IF(AU$4=0, AU553, IF($G693=0, 0, (AU438+AU461+AU484*$F693+AT739)*AU670))*Timeline!AU54</f>
        <v>0</v>
      </c>
      <c r="AV693" s="10">
        <f>IF(AV$4=0, AV553, IF($G693=0, 0, (AV438+AV461+AV484*$F693+AU739)*AV670))*Timeline!AV54</f>
        <v>0</v>
      </c>
      <c r="AW693" s="10">
        <f>IF(AW$4=0, AW553, IF($G693=0, 0, (AW438+AW461+AW484*$F693+AV739)*AW670))*Timeline!AW54</f>
        <v>0</v>
      </c>
      <c r="AX693" s="10">
        <f>IF(AX$4=0, AX553, IF($G693=0, 0, (AX438+AX461+AX484*$F693+AW739)*AX670))*Timeline!AX54</f>
        <v>0</v>
      </c>
      <c r="AY693" s="10">
        <f>IF(AY$4=0, AY553, IF($G693=0, 0, (AY438+AY461+AY484*$F693+AX739)*AY670))*Timeline!AY54</f>
        <v>0</v>
      </c>
      <c r="AZ693" s="10">
        <f>IF(AZ$4=0, AZ553, IF($G693=0, 0, (AZ438+AZ461+AZ484*$F693+AY739)*AZ670))*Timeline!AZ54</f>
        <v>0</v>
      </c>
      <c r="BA693" s="10">
        <f>IF(BA$4=0, BA553, IF($G693=0, 0, (BA438+BA461+BA484*$F693+AZ739)*BA670))*Timeline!BA54</f>
        <v>0</v>
      </c>
      <c r="BB693" s="10">
        <f>IF(BB$4=0, BB553, IF($G693=0, 0, (BB438+BB461+BB484*$F693+BA739)*BB670))*Timeline!BB54</f>
        <v>0</v>
      </c>
      <c r="BC693" s="10">
        <f>IF(BC$4=0, BC553, IF($G693=0, 0, (BC438+BC461+BC484*$F693+BB739)*BC670))*Timeline!BC54</f>
        <v>0</v>
      </c>
      <c r="BD693" s="10">
        <f>IF(BD$4=0, BD553, IF($G693=0, 0, (BD438+BD461+BD484*$F693+BC739)*BD670))*Timeline!BD54</f>
        <v>0</v>
      </c>
      <c r="BE693" s="10">
        <f>IF(BE$4=0, BE553, IF($G693=0, 0, (BE438+BE461+BE484*$F693+BD739)*BE670))*Timeline!BE54</f>
        <v>0</v>
      </c>
      <c r="BF693" s="10">
        <f>IF(BF$4=0, BF553, IF($G693=0, 0, (BF438+BF461+BF484*$F693+BE739)*BF670))*Timeline!BF54</f>
        <v>0</v>
      </c>
      <c r="BG693" s="10">
        <f>IF(BG$4=0, BG553, IF($G693=0, 0, (BG438+BG461+BG484*$F693+BF739)*BG670))*Timeline!BG54</f>
        <v>0</v>
      </c>
      <c r="BH693" s="10">
        <f>IF(BH$4=0, BH553, IF($G693=0, 0, (BH438+BH461+BH484*$F693+BG739)*BH670))*Timeline!BH54</f>
        <v>0</v>
      </c>
      <c r="BI693" s="10">
        <f>IF(BI$4=0, BI553, IF($G693=0, 0, (BI438+BI461+BI484*$F693+BH739)*BI670))*Timeline!BI54</f>
        <v>0</v>
      </c>
      <c r="BJ693" s="10">
        <f>IF(BJ$4=0, BJ553, IF($G693=0, 0, (BJ438+BJ461+BJ484*$F693+BI739)*BJ670))*Timeline!BJ54</f>
        <v>0</v>
      </c>
      <c r="BL693" s="13">
        <f t="shared" si="911"/>
        <v>0</v>
      </c>
      <c r="BM693" s="13">
        <f t="shared" si="912"/>
        <v>0</v>
      </c>
      <c r="BN693" s="13">
        <f t="shared" si="913"/>
        <v>0</v>
      </c>
      <c r="BO693" s="13">
        <f t="shared" si="914"/>
        <v>0</v>
      </c>
      <c r="BP693" s="136"/>
      <c r="BQ693" s="136"/>
      <c r="BR693" s="136"/>
      <c r="BS693" s="136"/>
      <c r="BT693" s="136"/>
      <c r="BU693" s="136"/>
      <c r="BV693" s="136"/>
      <c r="BW693" s="136"/>
      <c r="BY693" s="12"/>
      <c r="CA693" s="12"/>
      <c r="CJ693" s="162"/>
      <c r="CK693" s="188">
        <f t="shared" si="915"/>
        <v>0</v>
      </c>
      <c r="CR693" s="12"/>
      <c r="EX693" s="10" t="str">
        <f t="shared" si="916"/>
        <v/>
      </c>
    </row>
    <row r="694" spans="1:154" x14ac:dyDescent="0.25">
      <c r="A694" s="362" cm="1">
        <f t="array" aca="1" ref="A694" ca="1">HYPERLINK(CONCATENATE("#",CELL("address",IF(SUM($CA694:$CR694)=0,A694,INDEX($CA694:$CR694,MATCH(1,$CA694:$CR694,0))))),SUM($CA694:$CR694))</f>
        <v>0</v>
      </c>
      <c r="B694" s="84" t="str" cm="1">
        <f t="array" aca="1" ref="B694" ca="1">HYPERLINK(CONCATENATE("#",CELL("address",$D$199)),$D$199)</f>
        <v>Loan 9</v>
      </c>
      <c r="C694" s="380"/>
      <c r="D694" s="221">
        <f>D$21</f>
        <v>0</v>
      </c>
      <c r="E694" s="60">
        <f>E$21</f>
        <v>0</v>
      </c>
      <c r="F694" s="10">
        <f>T$21</f>
        <v>0</v>
      </c>
      <c r="G694" s="10">
        <f>P$21</f>
        <v>0</v>
      </c>
      <c r="H694" s="50" t="s">
        <v>125</v>
      </c>
      <c r="S694" s="335"/>
      <c r="T694" s="335"/>
      <c r="U694" s="335"/>
      <c r="V694" s="13">
        <f t="shared" si="909"/>
        <v>0</v>
      </c>
      <c r="W694" s="215">
        <f t="shared" si="910"/>
        <v>0</v>
      </c>
      <c r="X694" s="215">
        <f t="shared" si="910"/>
        <v>0</v>
      </c>
      <c r="Y694" s="215">
        <f t="shared" si="910"/>
        <v>0</v>
      </c>
      <c r="AA694" s="10">
        <f>IF(AA$4=0, AA554, IF($G694=0, 0, (AA439+AA462+AA485*$F694+Z740)*AA671))*Timeline!AA55</f>
        <v>0</v>
      </c>
      <c r="AB694" s="10">
        <f>IF(AB$4=0, AB554, IF($G694=0, 0, (AB439+AB462+AB485*$F694+AA740)*AB671))*Timeline!AB55</f>
        <v>0</v>
      </c>
      <c r="AC694" s="10">
        <f>IF(AC$4=0, AC554, IF($G694=0, 0, (AC439+AC462+AC485*$F694+AB740)*AC671))*Timeline!AC55</f>
        <v>0</v>
      </c>
      <c r="AD694" s="10">
        <f>IF(AD$4=0, AD554, IF($G694=0, 0, (AD439+AD462+AD485*$F694+AC740)*AD671))*Timeline!AD55</f>
        <v>0</v>
      </c>
      <c r="AE694" s="10">
        <f>IF(AE$4=0, AE554, IF($G694=0, 0, (AE439+AE462+AE485*$F694+AD740)*AE671))*Timeline!AE55</f>
        <v>0</v>
      </c>
      <c r="AF694" s="10">
        <f>IF(AF$4=0, AF554, IF($G694=0, 0, (AF439+AF462+AF485*$F694+AE740)*AF671))*Timeline!AF55</f>
        <v>0</v>
      </c>
      <c r="AG694" s="10">
        <f>IF(AG$4=0, AG554, IF($G694=0, 0, (AG439+AG462+AG485*$F694+AF740)*AG671))*Timeline!AG55</f>
        <v>0</v>
      </c>
      <c r="AH694" s="10">
        <f>IF(AH$4=0, AH554, IF($G694=0, 0, (AH439+AH462+AH485*$F694+AG740)*AH671))*Timeline!AH55</f>
        <v>0</v>
      </c>
      <c r="AI694" s="10">
        <f>IF(AI$4=0, AI554, IF($G694=0, 0, (AI439+AI462+AI485*$F694+AH740)*AI671))*Timeline!AI55</f>
        <v>0</v>
      </c>
      <c r="AJ694" s="10">
        <f>IF(AJ$4=0, AJ554, IF($G694=0, 0, (AJ439+AJ462+AJ485*$F694+AI740)*AJ671))*Timeline!AJ55</f>
        <v>0</v>
      </c>
      <c r="AK694" s="10">
        <f>IF(AK$4=0, AK554, IF($G694=0, 0, (AK439+AK462+AK485*$F694+AJ740)*AK671))*Timeline!AK55</f>
        <v>0</v>
      </c>
      <c r="AL694" s="10">
        <f>IF(AL$4=0, AL554, IF($G694=0, 0, (AL439+AL462+AL485*$F694+AK740)*AL671))*Timeline!AL55</f>
        <v>0</v>
      </c>
      <c r="AM694" s="10">
        <f>IF(AM$4=0, AM554, IF($G694=0, 0, (AM439+AM462+AM485*$F694+AL740)*AM671))*Timeline!AM55</f>
        <v>0</v>
      </c>
      <c r="AN694" s="10">
        <f>IF(AN$4=0, AN554, IF($G694=0, 0, (AN439+AN462+AN485*$F694+AM740)*AN671))*Timeline!AN55</f>
        <v>0</v>
      </c>
      <c r="AO694" s="10">
        <f>IF(AO$4=0, AO554, IF($G694=0, 0, (AO439+AO462+AO485*$F694+AN740)*AO671))*Timeline!AO55</f>
        <v>0</v>
      </c>
      <c r="AP694" s="10">
        <f>IF(AP$4=0, AP554, IF($G694=0, 0, (AP439+AP462+AP485*$F694+AO740)*AP671))*Timeline!AP55</f>
        <v>0</v>
      </c>
      <c r="AQ694" s="10">
        <f>IF(AQ$4=0, AQ554, IF($G694=0, 0, (AQ439+AQ462+AQ485*$F694+AP740)*AQ671))*Timeline!AQ55</f>
        <v>0</v>
      </c>
      <c r="AR694" s="10">
        <f>IF(AR$4=0, AR554, IF($G694=0, 0, (AR439+AR462+AR485*$F694+AQ740)*AR671))*Timeline!AR55</f>
        <v>0</v>
      </c>
      <c r="AS694" s="10">
        <f>IF(AS$4=0, AS554, IF($G694=0, 0, (AS439+AS462+AS485*$F694+AR740)*AS671))*Timeline!AS55</f>
        <v>0</v>
      </c>
      <c r="AT694" s="10">
        <f>IF(AT$4=0, AT554, IF($G694=0, 0, (AT439+AT462+AT485*$F694+AS740)*AT671))*Timeline!AT55</f>
        <v>0</v>
      </c>
      <c r="AU694" s="10">
        <f>IF(AU$4=0, AU554, IF($G694=0, 0, (AU439+AU462+AU485*$F694+AT740)*AU671))*Timeline!AU55</f>
        <v>0</v>
      </c>
      <c r="AV694" s="10">
        <f>IF(AV$4=0, AV554, IF($G694=0, 0, (AV439+AV462+AV485*$F694+AU740)*AV671))*Timeline!AV55</f>
        <v>0</v>
      </c>
      <c r="AW694" s="10">
        <f>IF(AW$4=0, AW554, IF($G694=0, 0, (AW439+AW462+AW485*$F694+AV740)*AW671))*Timeline!AW55</f>
        <v>0</v>
      </c>
      <c r="AX694" s="10">
        <f>IF(AX$4=0, AX554, IF($G694=0, 0, (AX439+AX462+AX485*$F694+AW740)*AX671))*Timeline!AX55</f>
        <v>0</v>
      </c>
      <c r="AY694" s="10">
        <f>IF(AY$4=0, AY554, IF($G694=0, 0, (AY439+AY462+AY485*$F694+AX740)*AY671))*Timeline!AY55</f>
        <v>0</v>
      </c>
      <c r="AZ694" s="10">
        <f>IF(AZ$4=0, AZ554, IF($G694=0, 0, (AZ439+AZ462+AZ485*$F694+AY740)*AZ671))*Timeline!AZ55</f>
        <v>0</v>
      </c>
      <c r="BA694" s="10">
        <f>IF(BA$4=0, BA554, IF($G694=0, 0, (BA439+BA462+BA485*$F694+AZ740)*BA671))*Timeline!BA55</f>
        <v>0</v>
      </c>
      <c r="BB694" s="10">
        <f>IF(BB$4=0, BB554, IF($G694=0, 0, (BB439+BB462+BB485*$F694+BA740)*BB671))*Timeline!BB55</f>
        <v>0</v>
      </c>
      <c r="BC694" s="10">
        <f>IF(BC$4=0, BC554, IF($G694=0, 0, (BC439+BC462+BC485*$F694+BB740)*BC671))*Timeline!BC55</f>
        <v>0</v>
      </c>
      <c r="BD694" s="10">
        <f>IF(BD$4=0, BD554, IF($G694=0, 0, (BD439+BD462+BD485*$F694+BC740)*BD671))*Timeline!BD55</f>
        <v>0</v>
      </c>
      <c r="BE694" s="10">
        <f>IF(BE$4=0, BE554, IF($G694=0, 0, (BE439+BE462+BE485*$F694+BD740)*BE671))*Timeline!BE55</f>
        <v>0</v>
      </c>
      <c r="BF694" s="10">
        <f>IF(BF$4=0, BF554, IF($G694=0, 0, (BF439+BF462+BF485*$F694+BE740)*BF671))*Timeline!BF55</f>
        <v>0</v>
      </c>
      <c r="BG694" s="10">
        <f>IF(BG$4=0, BG554, IF($G694=0, 0, (BG439+BG462+BG485*$F694+BF740)*BG671))*Timeline!BG55</f>
        <v>0</v>
      </c>
      <c r="BH694" s="10">
        <f>IF(BH$4=0, BH554, IF($G694=0, 0, (BH439+BH462+BH485*$F694+BG740)*BH671))*Timeline!BH55</f>
        <v>0</v>
      </c>
      <c r="BI694" s="10">
        <f>IF(BI$4=0, BI554, IF($G694=0, 0, (BI439+BI462+BI485*$F694+BH740)*BI671))*Timeline!BI55</f>
        <v>0</v>
      </c>
      <c r="BJ694" s="10">
        <f>IF(BJ$4=0, BJ554, IF($G694=0, 0, (BJ439+BJ462+BJ485*$F694+BI740)*BJ671))*Timeline!BJ55</f>
        <v>0</v>
      </c>
      <c r="BL694" s="13">
        <f t="shared" si="911"/>
        <v>0</v>
      </c>
      <c r="BM694" s="13">
        <f t="shared" si="912"/>
        <v>0</v>
      </c>
      <c r="BN694" s="13">
        <f t="shared" si="913"/>
        <v>0</v>
      </c>
      <c r="BO694" s="13">
        <f t="shared" si="914"/>
        <v>0</v>
      </c>
      <c r="BP694" s="136"/>
      <c r="BQ694" s="136"/>
      <c r="BR694" s="136"/>
      <c r="BS694" s="136"/>
      <c r="BT694" s="136"/>
      <c r="BU694" s="136"/>
      <c r="BV694" s="136"/>
      <c r="BW694" s="136"/>
      <c r="BY694" s="12"/>
      <c r="CA694" s="12"/>
      <c r="CJ694" s="162"/>
      <c r="CK694" s="188">
        <f t="shared" si="915"/>
        <v>0</v>
      </c>
      <c r="CR694" s="12"/>
      <c r="EX694" s="10" t="str">
        <f t="shared" si="916"/>
        <v/>
      </c>
    </row>
    <row r="695" spans="1:154" x14ac:dyDescent="0.25">
      <c r="A695" s="362" cm="1">
        <f t="array" aca="1" ref="A695" ca="1">HYPERLINK(CONCATENATE("#",CELL("address",IF(SUM($CA695:$CR695)=0,A695,INDEX($CA695:$CR695,MATCH(1,$CA695:$CR695,0))))),SUM($CA695:$CR695))</f>
        <v>0</v>
      </c>
      <c r="B695" s="84" t="str" cm="1">
        <f t="array" aca="1" ref="B695" ca="1">HYPERLINK(CONCATENATE("#",CELL("address",$D$218)),$D$218)</f>
        <v>Loan 10</v>
      </c>
      <c r="C695" s="380"/>
      <c r="D695" s="221">
        <f>D$22</f>
        <v>0</v>
      </c>
      <c r="E695" s="60">
        <f>E$22</f>
        <v>0</v>
      </c>
      <c r="F695" s="10">
        <f>T$22</f>
        <v>0</v>
      </c>
      <c r="G695" s="10">
        <f>P$22</f>
        <v>0</v>
      </c>
      <c r="H695" s="50" t="s">
        <v>125</v>
      </c>
      <c r="S695" s="335"/>
      <c r="T695" s="335"/>
      <c r="U695" s="335"/>
      <c r="V695" s="13">
        <f t="shared" si="909"/>
        <v>0</v>
      </c>
      <c r="W695" s="215">
        <f t="shared" si="910"/>
        <v>0</v>
      </c>
      <c r="X695" s="215">
        <f t="shared" si="910"/>
        <v>0</v>
      </c>
      <c r="Y695" s="215">
        <f t="shared" si="910"/>
        <v>0</v>
      </c>
      <c r="AA695" s="10">
        <f>IF(AA$4=0, AA555, IF($G695=0, 0, (AA440+AA463+AA486*$F695+Z741)*AA672))*Timeline!AA56</f>
        <v>0</v>
      </c>
      <c r="AB695" s="10">
        <f>IF(AB$4=0, AB555, IF($G695=0, 0, (AB440+AB463+AB486*$F695+AA741)*AB672))*Timeline!AB56</f>
        <v>0</v>
      </c>
      <c r="AC695" s="10">
        <f>IF(AC$4=0, AC555, IF($G695=0, 0, (AC440+AC463+AC486*$F695+AB741)*AC672))*Timeline!AC56</f>
        <v>0</v>
      </c>
      <c r="AD695" s="10">
        <f>IF(AD$4=0, AD555, IF($G695=0, 0, (AD440+AD463+AD486*$F695+AC741)*AD672))*Timeline!AD56</f>
        <v>0</v>
      </c>
      <c r="AE695" s="10">
        <f>IF(AE$4=0, AE555, IF($G695=0, 0, (AE440+AE463+AE486*$F695+AD741)*AE672))*Timeline!AE56</f>
        <v>0</v>
      </c>
      <c r="AF695" s="10">
        <f>IF(AF$4=0, AF555, IF($G695=0, 0, (AF440+AF463+AF486*$F695+AE741)*AF672))*Timeline!AF56</f>
        <v>0</v>
      </c>
      <c r="AG695" s="10">
        <f>IF(AG$4=0, AG555, IF($G695=0, 0, (AG440+AG463+AG486*$F695+AF741)*AG672))*Timeline!AG56</f>
        <v>0</v>
      </c>
      <c r="AH695" s="10">
        <f>IF(AH$4=0, AH555, IF($G695=0, 0, (AH440+AH463+AH486*$F695+AG741)*AH672))*Timeline!AH56</f>
        <v>0</v>
      </c>
      <c r="AI695" s="10">
        <f>IF(AI$4=0, AI555, IF($G695=0, 0, (AI440+AI463+AI486*$F695+AH741)*AI672))*Timeline!AI56</f>
        <v>0</v>
      </c>
      <c r="AJ695" s="10">
        <f>IF(AJ$4=0, AJ555, IF($G695=0, 0, (AJ440+AJ463+AJ486*$F695+AI741)*AJ672))*Timeline!AJ56</f>
        <v>0</v>
      </c>
      <c r="AK695" s="10">
        <f>IF(AK$4=0, AK555, IF($G695=0, 0, (AK440+AK463+AK486*$F695+AJ741)*AK672))*Timeline!AK56</f>
        <v>0</v>
      </c>
      <c r="AL695" s="10">
        <f>IF(AL$4=0, AL555, IF($G695=0, 0, (AL440+AL463+AL486*$F695+AK741)*AL672))*Timeline!AL56</f>
        <v>0</v>
      </c>
      <c r="AM695" s="10">
        <f>IF(AM$4=0, AM555, IF($G695=0, 0, (AM440+AM463+AM486*$F695+AL741)*AM672))*Timeline!AM56</f>
        <v>0</v>
      </c>
      <c r="AN695" s="10">
        <f>IF(AN$4=0, AN555, IF($G695=0, 0, (AN440+AN463+AN486*$F695+AM741)*AN672))*Timeline!AN56</f>
        <v>0</v>
      </c>
      <c r="AO695" s="10">
        <f>IF(AO$4=0, AO555, IF($G695=0, 0, (AO440+AO463+AO486*$F695+AN741)*AO672))*Timeline!AO56</f>
        <v>0</v>
      </c>
      <c r="AP695" s="10">
        <f>IF(AP$4=0, AP555, IF($G695=0, 0, (AP440+AP463+AP486*$F695+AO741)*AP672))*Timeline!AP56</f>
        <v>0</v>
      </c>
      <c r="AQ695" s="10">
        <f>IF(AQ$4=0, AQ555, IF($G695=0, 0, (AQ440+AQ463+AQ486*$F695+AP741)*AQ672))*Timeline!AQ56</f>
        <v>0</v>
      </c>
      <c r="AR695" s="10">
        <f>IF(AR$4=0, AR555, IF($G695=0, 0, (AR440+AR463+AR486*$F695+AQ741)*AR672))*Timeline!AR56</f>
        <v>0</v>
      </c>
      <c r="AS695" s="10">
        <f>IF(AS$4=0, AS555, IF($G695=0, 0, (AS440+AS463+AS486*$F695+AR741)*AS672))*Timeline!AS56</f>
        <v>0</v>
      </c>
      <c r="AT695" s="10">
        <f>IF(AT$4=0, AT555, IF($G695=0, 0, (AT440+AT463+AT486*$F695+AS741)*AT672))*Timeline!AT56</f>
        <v>0</v>
      </c>
      <c r="AU695" s="10">
        <f>IF(AU$4=0, AU555, IF($G695=0, 0, (AU440+AU463+AU486*$F695+AT741)*AU672))*Timeline!AU56</f>
        <v>0</v>
      </c>
      <c r="AV695" s="10">
        <f>IF(AV$4=0, AV555, IF($G695=0, 0, (AV440+AV463+AV486*$F695+AU741)*AV672))*Timeline!AV56</f>
        <v>0</v>
      </c>
      <c r="AW695" s="10">
        <f>IF(AW$4=0, AW555, IF($G695=0, 0, (AW440+AW463+AW486*$F695+AV741)*AW672))*Timeline!AW56</f>
        <v>0</v>
      </c>
      <c r="AX695" s="10">
        <f>IF(AX$4=0, AX555, IF($G695=0, 0, (AX440+AX463+AX486*$F695+AW741)*AX672))*Timeline!AX56</f>
        <v>0</v>
      </c>
      <c r="AY695" s="10">
        <f>IF(AY$4=0, AY555, IF($G695=0, 0, (AY440+AY463+AY486*$F695+AX741)*AY672))*Timeline!AY56</f>
        <v>0</v>
      </c>
      <c r="AZ695" s="10">
        <f>IF(AZ$4=0, AZ555, IF($G695=0, 0, (AZ440+AZ463+AZ486*$F695+AY741)*AZ672))*Timeline!AZ56</f>
        <v>0</v>
      </c>
      <c r="BA695" s="10">
        <f>IF(BA$4=0, BA555, IF($G695=0, 0, (BA440+BA463+BA486*$F695+AZ741)*BA672))*Timeline!BA56</f>
        <v>0</v>
      </c>
      <c r="BB695" s="10">
        <f>IF(BB$4=0, BB555, IF($G695=0, 0, (BB440+BB463+BB486*$F695+BA741)*BB672))*Timeline!BB56</f>
        <v>0</v>
      </c>
      <c r="BC695" s="10">
        <f>IF(BC$4=0, BC555, IF($G695=0, 0, (BC440+BC463+BC486*$F695+BB741)*BC672))*Timeline!BC56</f>
        <v>0</v>
      </c>
      <c r="BD695" s="10">
        <f>IF(BD$4=0, BD555, IF($G695=0, 0, (BD440+BD463+BD486*$F695+BC741)*BD672))*Timeline!BD56</f>
        <v>0</v>
      </c>
      <c r="BE695" s="10">
        <f>IF(BE$4=0, BE555, IF($G695=0, 0, (BE440+BE463+BE486*$F695+BD741)*BE672))*Timeline!BE56</f>
        <v>0</v>
      </c>
      <c r="BF695" s="10">
        <f>IF(BF$4=0, BF555, IF($G695=0, 0, (BF440+BF463+BF486*$F695+BE741)*BF672))*Timeline!BF56</f>
        <v>0</v>
      </c>
      <c r="BG695" s="10">
        <f>IF(BG$4=0, BG555, IF($G695=0, 0, (BG440+BG463+BG486*$F695+BF741)*BG672))*Timeline!BG56</f>
        <v>0</v>
      </c>
      <c r="BH695" s="10">
        <f>IF(BH$4=0, BH555, IF($G695=0, 0, (BH440+BH463+BH486*$F695+BG741)*BH672))*Timeline!BH56</f>
        <v>0</v>
      </c>
      <c r="BI695" s="10">
        <f>IF(BI$4=0, BI555, IF($G695=0, 0, (BI440+BI463+BI486*$F695+BH741)*BI672))*Timeline!BI56</f>
        <v>0</v>
      </c>
      <c r="BJ695" s="10">
        <f>IF(BJ$4=0, BJ555, IF($G695=0, 0, (BJ440+BJ463+BJ486*$F695+BI741)*BJ672))*Timeline!BJ56</f>
        <v>0</v>
      </c>
      <c r="BL695" s="13">
        <f t="shared" si="911"/>
        <v>0</v>
      </c>
      <c r="BM695" s="13">
        <f t="shared" si="912"/>
        <v>0</v>
      </c>
      <c r="BN695" s="13">
        <f t="shared" si="913"/>
        <v>0</v>
      </c>
      <c r="BO695" s="13">
        <f t="shared" si="914"/>
        <v>0</v>
      </c>
      <c r="BP695" s="136"/>
      <c r="BQ695" s="136"/>
      <c r="BR695" s="136"/>
      <c r="BS695" s="136"/>
      <c r="BT695" s="136"/>
      <c r="BU695" s="136"/>
      <c r="BV695" s="136"/>
      <c r="BW695" s="136"/>
      <c r="BY695" s="12"/>
      <c r="CA695" s="12"/>
      <c r="CJ695" s="162"/>
      <c r="CK695" s="188">
        <f t="shared" si="915"/>
        <v>0</v>
      </c>
      <c r="CR695" s="12"/>
      <c r="EX695" s="10" t="str">
        <f t="shared" si="916"/>
        <v/>
      </c>
    </row>
    <row r="696" spans="1:154" x14ac:dyDescent="0.25">
      <c r="A696" s="362" cm="1">
        <f t="array" aca="1" ref="A696" ca="1">HYPERLINK(CONCATENATE("#",CELL("address",IF(SUM($CA696:$CR696)=0,A696,INDEX($CA696:$CR696,MATCH(1,$CA696:$CR696,0))))),SUM($CA696:$CR696))</f>
        <v>0</v>
      </c>
      <c r="B696" s="84" t="str" cm="1">
        <f t="array" aca="1" ref="B696" ca="1">HYPERLINK(CONCATENATE("#",CELL("address",$D$237)),$D$237)</f>
        <v>Loan 11</v>
      </c>
      <c r="C696" s="380"/>
      <c r="D696" s="221">
        <f>D$23</f>
        <v>0</v>
      </c>
      <c r="E696" s="60">
        <f>E$23</f>
        <v>0</v>
      </c>
      <c r="F696" s="10">
        <f>T$23</f>
        <v>0</v>
      </c>
      <c r="G696" s="10">
        <f>P$23</f>
        <v>0</v>
      </c>
      <c r="H696" s="50" t="s">
        <v>125</v>
      </c>
      <c r="S696" s="335"/>
      <c r="T696" s="335"/>
      <c r="U696" s="335"/>
      <c r="V696" s="13">
        <f t="shared" si="909"/>
        <v>0</v>
      </c>
      <c r="W696" s="215">
        <f t="shared" si="910"/>
        <v>0</v>
      </c>
      <c r="X696" s="215">
        <f t="shared" si="910"/>
        <v>0</v>
      </c>
      <c r="Y696" s="215">
        <f t="shared" si="910"/>
        <v>0</v>
      </c>
      <c r="AA696" s="10">
        <f>IF(AA$4=0, AA556, IF($G696=0, 0, (AA441+AA464+AA487*$F696+Z742)*AA673))*Timeline!AA57</f>
        <v>0</v>
      </c>
      <c r="AB696" s="10">
        <f>IF(AB$4=0, AB556, IF($G696=0, 0, (AB441+AB464+AB487*$F696+AA742)*AB673))*Timeline!AB57</f>
        <v>0</v>
      </c>
      <c r="AC696" s="10">
        <f>IF(AC$4=0, AC556, IF($G696=0, 0, (AC441+AC464+AC487*$F696+AB742)*AC673))*Timeline!AC57</f>
        <v>0</v>
      </c>
      <c r="AD696" s="10">
        <f>IF(AD$4=0, AD556, IF($G696=0, 0, (AD441+AD464+AD487*$F696+AC742)*AD673))*Timeline!AD57</f>
        <v>0</v>
      </c>
      <c r="AE696" s="10">
        <f>IF(AE$4=0, AE556, IF($G696=0, 0, (AE441+AE464+AE487*$F696+AD742)*AE673))*Timeline!AE57</f>
        <v>0</v>
      </c>
      <c r="AF696" s="10">
        <f>IF(AF$4=0, AF556, IF($G696=0, 0, (AF441+AF464+AF487*$F696+AE742)*AF673))*Timeline!AF57</f>
        <v>0</v>
      </c>
      <c r="AG696" s="10">
        <f>IF(AG$4=0, AG556, IF($G696=0, 0, (AG441+AG464+AG487*$F696+AF742)*AG673))*Timeline!AG57</f>
        <v>0</v>
      </c>
      <c r="AH696" s="10">
        <f>IF(AH$4=0, AH556, IF($G696=0, 0, (AH441+AH464+AH487*$F696+AG742)*AH673))*Timeline!AH57</f>
        <v>0</v>
      </c>
      <c r="AI696" s="10">
        <f>IF(AI$4=0, AI556, IF($G696=0, 0, (AI441+AI464+AI487*$F696+AH742)*AI673))*Timeline!AI57</f>
        <v>0</v>
      </c>
      <c r="AJ696" s="10">
        <f>IF(AJ$4=0, AJ556, IF($G696=0, 0, (AJ441+AJ464+AJ487*$F696+AI742)*AJ673))*Timeline!AJ57</f>
        <v>0</v>
      </c>
      <c r="AK696" s="10">
        <f>IF(AK$4=0, AK556, IF($G696=0, 0, (AK441+AK464+AK487*$F696+AJ742)*AK673))*Timeline!AK57</f>
        <v>0</v>
      </c>
      <c r="AL696" s="10">
        <f>IF(AL$4=0, AL556, IF($G696=0, 0, (AL441+AL464+AL487*$F696+AK742)*AL673))*Timeline!AL57</f>
        <v>0</v>
      </c>
      <c r="AM696" s="10">
        <f>IF(AM$4=0, AM556, IF($G696=0, 0, (AM441+AM464+AM487*$F696+AL742)*AM673))*Timeline!AM57</f>
        <v>0</v>
      </c>
      <c r="AN696" s="10">
        <f>IF(AN$4=0, AN556, IF($G696=0, 0, (AN441+AN464+AN487*$F696+AM742)*AN673))*Timeline!AN57</f>
        <v>0</v>
      </c>
      <c r="AO696" s="10">
        <f>IF(AO$4=0, AO556, IF($G696=0, 0, (AO441+AO464+AO487*$F696+AN742)*AO673))*Timeline!AO57</f>
        <v>0</v>
      </c>
      <c r="AP696" s="10">
        <f>IF(AP$4=0, AP556, IF($G696=0, 0, (AP441+AP464+AP487*$F696+AO742)*AP673))*Timeline!AP57</f>
        <v>0</v>
      </c>
      <c r="AQ696" s="10">
        <f>IF(AQ$4=0, AQ556, IF($G696=0, 0, (AQ441+AQ464+AQ487*$F696+AP742)*AQ673))*Timeline!AQ57</f>
        <v>0</v>
      </c>
      <c r="AR696" s="10">
        <f>IF(AR$4=0, AR556, IF($G696=0, 0, (AR441+AR464+AR487*$F696+AQ742)*AR673))*Timeline!AR57</f>
        <v>0</v>
      </c>
      <c r="AS696" s="10">
        <f>IF(AS$4=0, AS556, IF($G696=0, 0, (AS441+AS464+AS487*$F696+AR742)*AS673))*Timeline!AS57</f>
        <v>0</v>
      </c>
      <c r="AT696" s="10">
        <f>IF(AT$4=0, AT556, IF($G696=0, 0, (AT441+AT464+AT487*$F696+AS742)*AT673))*Timeline!AT57</f>
        <v>0</v>
      </c>
      <c r="AU696" s="10">
        <f>IF(AU$4=0, AU556, IF($G696=0, 0, (AU441+AU464+AU487*$F696+AT742)*AU673))*Timeline!AU57</f>
        <v>0</v>
      </c>
      <c r="AV696" s="10">
        <f>IF(AV$4=0, AV556, IF($G696=0, 0, (AV441+AV464+AV487*$F696+AU742)*AV673))*Timeline!AV57</f>
        <v>0</v>
      </c>
      <c r="AW696" s="10">
        <f>IF(AW$4=0, AW556, IF($G696=0, 0, (AW441+AW464+AW487*$F696+AV742)*AW673))*Timeline!AW57</f>
        <v>0</v>
      </c>
      <c r="AX696" s="10">
        <f>IF(AX$4=0, AX556, IF($G696=0, 0, (AX441+AX464+AX487*$F696+AW742)*AX673))*Timeline!AX57</f>
        <v>0</v>
      </c>
      <c r="AY696" s="10">
        <f>IF(AY$4=0, AY556, IF($G696=0, 0, (AY441+AY464+AY487*$F696+AX742)*AY673))*Timeline!AY57</f>
        <v>0</v>
      </c>
      <c r="AZ696" s="10">
        <f>IF(AZ$4=0, AZ556, IF($G696=0, 0, (AZ441+AZ464+AZ487*$F696+AY742)*AZ673))*Timeline!AZ57</f>
        <v>0</v>
      </c>
      <c r="BA696" s="10">
        <f>IF(BA$4=0, BA556, IF($G696=0, 0, (BA441+BA464+BA487*$F696+AZ742)*BA673))*Timeline!BA57</f>
        <v>0</v>
      </c>
      <c r="BB696" s="10">
        <f>IF(BB$4=0, BB556, IF($G696=0, 0, (BB441+BB464+BB487*$F696+BA742)*BB673))*Timeline!BB57</f>
        <v>0</v>
      </c>
      <c r="BC696" s="10">
        <f>IF(BC$4=0, BC556, IF($G696=0, 0, (BC441+BC464+BC487*$F696+BB742)*BC673))*Timeline!BC57</f>
        <v>0</v>
      </c>
      <c r="BD696" s="10">
        <f>IF(BD$4=0, BD556, IF($G696=0, 0, (BD441+BD464+BD487*$F696+BC742)*BD673))*Timeline!BD57</f>
        <v>0</v>
      </c>
      <c r="BE696" s="10">
        <f>IF(BE$4=0, BE556, IF($G696=0, 0, (BE441+BE464+BE487*$F696+BD742)*BE673))*Timeline!BE57</f>
        <v>0</v>
      </c>
      <c r="BF696" s="10">
        <f>IF(BF$4=0, BF556, IF($G696=0, 0, (BF441+BF464+BF487*$F696+BE742)*BF673))*Timeline!BF57</f>
        <v>0</v>
      </c>
      <c r="BG696" s="10">
        <f>IF(BG$4=0, BG556, IF($G696=0, 0, (BG441+BG464+BG487*$F696+BF742)*BG673))*Timeline!BG57</f>
        <v>0</v>
      </c>
      <c r="BH696" s="10">
        <f>IF(BH$4=0, BH556, IF($G696=0, 0, (BH441+BH464+BH487*$F696+BG742)*BH673))*Timeline!BH57</f>
        <v>0</v>
      </c>
      <c r="BI696" s="10">
        <f>IF(BI$4=0, BI556, IF($G696=0, 0, (BI441+BI464+BI487*$F696+BH742)*BI673))*Timeline!BI57</f>
        <v>0</v>
      </c>
      <c r="BJ696" s="10">
        <f>IF(BJ$4=0, BJ556, IF($G696=0, 0, (BJ441+BJ464+BJ487*$F696+BI742)*BJ673))*Timeline!BJ57</f>
        <v>0</v>
      </c>
      <c r="BL696" s="13">
        <f t="shared" si="911"/>
        <v>0</v>
      </c>
      <c r="BM696" s="13">
        <f t="shared" si="912"/>
        <v>0</v>
      </c>
      <c r="BN696" s="13">
        <f t="shared" si="913"/>
        <v>0</v>
      </c>
      <c r="BO696" s="13">
        <f t="shared" si="914"/>
        <v>0</v>
      </c>
      <c r="BP696" s="136"/>
      <c r="BQ696" s="136"/>
      <c r="BR696" s="136"/>
      <c r="BS696" s="136"/>
      <c r="BT696" s="136"/>
      <c r="BU696" s="136"/>
      <c r="BV696" s="136"/>
      <c r="BW696" s="136"/>
      <c r="BY696" s="12"/>
      <c r="CA696" s="12"/>
      <c r="CJ696" s="162"/>
      <c r="CK696" s="188">
        <f t="shared" si="915"/>
        <v>0</v>
      </c>
      <c r="CR696" s="12"/>
      <c r="EX696" s="10" t="str">
        <f t="shared" si="916"/>
        <v/>
      </c>
    </row>
    <row r="697" spans="1:154" x14ac:dyDescent="0.25">
      <c r="A697" s="362" cm="1">
        <f t="array" aca="1" ref="A697" ca="1">HYPERLINK(CONCATENATE("#",CELL("address",IF(SUM($CA697:$CR697)=0,A697,INDEX($CA697:$CR697,MATCH(1,$CA697:$CR697,0))))),SUM($CA697:$CR697))</f>
        <v>0</v>
      </c>
      <c r="B697" s="84" t="str" cm="1">
        <f t="array" aca="1" ref="B697" ca="1">HYPERLINK(CONCATENATE("#",CELL("address",$D$256)),$D$256)</f>
        <v>Loan 12</v>
      </c>
      <c r="C697" s="380"/>
      <c r="D697" s="221">
        <f>D$24</f>
        <v>0</v>
      </c>
      <c r="E697" s="60">
        <f>E$24</f>
        <v>0</v>
      </c>
      <c r="F697" s="10">
        <f>T$24</f>
        <v>0</v>
      </c>
      <c r="G697" s="10">
        <f>P$24</f>
        <v>0</v>
      </c>
      <c r="H697" s="50" t="s">
        <v>125</v>
      </c>
      <c r="S697" s="335"/>
      <c r="T697" s="335"/>
      <c r="U697" s="335"/>
      <c r="V697" s="13">
        <f t="shared" si="909"/>
        <v>0</v>
      </c>
      <c r="W697" s="215">
        <f t="shared" si="910"/>
        <v>0</v>
      </c>
      <c r="X697" s="215">
        <f t="shared" si="910"/>
        <v>0</v>
      </c>
      <c r="Y697" s="215">
        <f t="shared" si="910"/>
        <v>0</v>
      </c>
      <c r="AA697" s="10">
        <f>IF(AA$4=0, AA557, IF($G697=0, 0, (AA442+AA465+AA488*$F697+Z743)*AA674))*Timeline!AA58</f>
        <v>0</v>
      </c>
      <c r="AB697" s="10">
        <f>IF(AB$4=0, AB557, IF($G697=0, 0, (AB442+AB465+AB488*$F697+AA743)*AB674))*Timeline!AB58</f>
        <v>0</v>
      </c>
      <c r="AC697" s="10">
        <f>IF(AC$4=0, AC557, IF($G697=0, 0, (AC442+AC465+AC488*$F697+AB743)*AC674))*Timeline!AC58</f>
        <v>0</v>
      </c>
      <c r="AD697" s="10">
        <f>IF(AD$4=0, AD557, IF($G697=0, 0, (AD442+AD465+AD488*$F697+AC743)*AD674))*Timeline!AD58</f>
        <v>0</v>
      </c>
      <c r="AE697" s="10">
        <f>IF(AE$4=0, AE557, IF($G697=0, 0, (AE442+AE465+AE488*$F697+AD743)*AE674))*Timeline!AE58</f>
        <v>0</v>
      </c>
      <c r="AF697" s="10">
        <f>IF(AF$4=0, AF557, IF($G697=0, 0, (AF442+AF465+AF488*$F697+AE743)*AF674))*Timeline!AF58</f>
        <v>0</v>
      </c>
      <c r="AG697" s="10">
        <f>IF(AG$4=0, AG557, IF($G697=0, 0, (AG442+AG465+AG488*$F697+AF743)*AG674))*Timeline!AG58</f>
        <v>0</v>
      </c>
      <c r="AH697" s="10">
        <f>IF(AH$4=0, AH557, IF($G697=0, 0, (AH442+AH465+AH488*$F697+AG743)*AH674))*Timeline!AH58</f>
        <v>0</v>
      </c>
      <c r="AI697" s="10">
        <f>IF(AI$4=0, AI557, IF($G697=0, 0, (AI442+AI465+AI488*$F697+AH743)*AI674))*Timeline!AI58</f>
        <v>0</v>
      </c>
      <c r="AJ697" s="10">
        <f>IF(AJ$4=0, AJ557, IF($G697=0, 0, (AJ442+AJ465+AJ488*$F697+AI743)*AJ674))*Timeline!AJ58</f>
        <v>0</v>
      </c>
      <c r="AK697" s="10">
        <f>IF(AK$4=0, AK557, IF($G697=0, 0, (AK442+AK465+AK488*$F697+AJ743)*AK674))*Timeline!AK58</f>
        <v>0</v>
      </c>
      <c r="AL697" s="10">
        <f>IF(AL$4=0, AL557, IF($G697=0, 0, (AL442+AL465+AL488*$F697+AK743)*AL674))*Timeline!AL58</f>
        <v>0</v>
      </c>
      <c r="AM697" s="10">
        <f>IF(AM$4=0, AM557, IF($G697=0, 0, (AM442+AM465+AM488*$F697+AL743)*AM674))*Timeline!AM58</f>
        <v>0</v>
      </c>
      <c r="AN697" s="10">
        <f>IF(AN$4=0, AN557, IF($G697=0, 0, (AN442+AN465+AN488*$F697+AM743)*AN674))*Timeline!AN58</f>
        <v>0</v>
      </c>
      <c r="AO697" s="10">
        <f>IF(AO$4=0, AO557, IF($G697=0, 0, (AO442+AO465+AO488*$F697+AN743)*AO674))*Timeline!AO58</f>
        <v>0</v>
      </c>
      <c r="AP697" s="10">
        <f>IF(AP$4=0, AP557, IF($G697=0, 0, (AP442+AP465+AP488*$F697+AO743)*AP674))*Timeline!AP58</f>
        <v>0</v>
      </c>
      <c r="AQ697" s="10">
        <f>IF(AQ$4=0, AQ557, IF($G697=0, 0, (AQ442+AQ465+AQ488*$F697+AP743)*AQ674))*Timeline!AQ58</f>
        <v>0</v>
      </c>
      <c r="AR697" s="10">
        <f>IF(AR$4=0, AR557, IF($G697=0, 0, (AR442+AR465+AR488*$F697+AQ743)*AR674))*Timeline!AR58</f>
        <v>0</v>
      </c>
      <c r="AS697" s="10">
        <f>IF(AS$4=0, AS557, IF($G697=0, 0, (AS442+AS465+AS488*$F697+AR743)*AS674))*Timeline!AS58</f>
        <v>0</v>
      </c>
      <c r="AT697" s="10">
        <f>IF(AT$4=0, AT557, IF($G697=0, 0, (AT442+AT465+AT488*$F697+AS743)*AT674))*Timeline!AT58</f>
        <v>0</v>
      </c>
      <c r="AU697" s="10">
        <f>IF(AU$4=0, AU557, IF($G697=0, 0, (AU442+AU465+AU488*$F697+AT743)*AU674))*Timeline!AU58</f>
        <v>0</v>
      </c>
      <c r="AV697" s="10">
        <f>IF(AV$4=0, AV557, IF($G697=0, 0, (AV442+AV465+AV488*$F697+AU743)*AV674))*Timeline!AV58</f>
        <v>0</v>
      </c>
      <c r="AW697" s="10">
        <f>IF(AW$4=0, AW557, IF($G697=0, 0, (AW442+AW465+AW488*$F697+AV743)*AW674))*Timeline!AW58</f>
        <v>0</v>
      </c>
      <c r="AX697" s="10">
        <f>IF(AX$4=0, AX557, IF($G697=0, 0, (AX442+AX465+AX488*$F697+AW743)*AX674))*Timeline!AX58</f>
        <v>0</v>
      </c>
      <c r="AY697" s="10">
        <f>IF(AY$4=0, AY557, IF($G697=0, 0, (AY442+AY465+AY488*$F697+AX743)*AY674))*Timeline!AY58</f>
        <v>0</v>
      </c>
      <c r="AZ697" s="10">
        <f>IF(AZ$4=0, AZ557, IF($G697=0, 0, (AZ442+AZ465+AZ488*$F697+AY743)*AZ674))*Timeline!AZ58</f>
        <v>0</v>
      </c>
      <c r="BA697" s="10">
        <f>IF(BA$4=0, BA557, IF($G697=0, 0, (BA442+BA465+BA488*$F697+AZ743)*BA674))*Timeline!BA58</f>
        <v>0</v>
      </c>
      <c r="BB697" s="10">
        <f>IF(BB$4=0, BB557, IF($G697=0, 0, (BB442+BB465+BB488*$F697+BA743)*BB674))*Timeline!BB58</f>
        <v>0</v>
      </c>
      <c r="BC697" s="10">
        <f>IF(BC$4=0, BC557, IF($G697=0, 0, (BC442+BC465+BC488*$F697+BB743)*BC674))*Timeline!BC58</f>
        <v>0</v>
      </c>
      <c r="BD697" s="10">
        <f>IF(BD$4=0, BD557, IF($G697=0, 0, (BD442+BD465+BD488*$F697+BC743)*BD674))*Timeline!BD58</f>
        <v>0</v>
      </c>
      <c r="BE697" s="10">
        <f>IF(BE$4=0, BE557, IF($G697=0, 0, (BE442+BE465+BE488*$F697+BD743)*BE674))*Timeline!BE58</f>
        <v>0</v>
      </c>
      <c r="BF697" s="10">
        <f>IF(BF$4=0, BF557, IF($G697=0, 0, (BF442+BF465+BF488*$F697+BE743)*BF674))*Timeline!BF58</f>
        <v>0</v>
      </c>
      <c r="BG697" s="10">
        <f>IF(BG$4=0, BG557, IF($G697=0, 0, (BG442+BG465+BG488*$F697+BF743)*BG674))*Timeline!BG58</f>
        <v>0</v>
      </c>
      <c r="BH697" s="10">
        <f>IF(BH$4=0, BH557, IF($G697=0, 0, (BH442+BH465+BH488*$F697+BG743)*BH674))*Timeline!BH58</f>
        <v>0</v>
      </c>
      <c r="BI697" s="10">
        <f>IF(BI$4=0, BI557, IF($G697=0, 0, (BI442+BI465+BI488*$F697+BH743)*BI674))*Timeline!BI58</f>
        <v>0</v>
      </c>
      <c r="BJ697" s="10">
        <f>IF(BJ$4=0, BJ557, IF($G697=0, 0, (BJ442+BJ465+BJ488*$F697+BI743)*BJ674))*Timeline!BJ58</f>
        <v>0</v>
      </c>
      <c r="BL697" s="13">
        <f t="shared" si="911"/>
        <v>0</v>
      </c>
      <c r="BM697" s="13">
        <f t="shared" si="912"/>
        <v>0</v>
      </c>
      <c r="BN697" s="13">
        <f t="shared" si="913"/>
        <v>0</v>
      </c>
      <c r="BO697" s="13">
        <f t="shared" si="914"/>
        <v>0</v>
      </c>
      <c r="BP697" s="136"/>
      <c r="BQ697" s="136"/>
      <c r="BR697" s="136"/>
      <c r="BS697" s="136"/>
      <c r="BT697" s="136"/>
      <c r="BU697" s="136"/>
      <c r="BV697" s="136"/>
      <c r="BW697" s="136"/>
      <c r="BY697" s="12"/>
      <c r="CA697" s="12"/>
      <c r="CJ697" s="162"/>
      <c r="CK697" s="188">
        <f t="shared" si="915"/>
        <v>0</v>
      </c>
      <c r="CR697" s="12"/>
      <c r="EX697" s="10" t="str">
        <f t="shared" si="916"/>
        <v/>
      </c>
    </row>
    <row r="698" spans="1:154" x14ac:dyDescent="0.25">
      <c r="A698" s="362" cm="1">
        <f t="array" aca="1" ref="A698" ca="1">HYPERLINK(CONCATENATE("#",CELL("address",IF(SUM($CA698:$CR698)=0,A698,INDEX($CA698:$CR698,MATCH(1,$CA698:$CR698,0))))),SUM($CA698:$CR698))</f>
        <v>0</v>
      </c>
      <c r="B698" s="84" t="str" cm="1">
        <f t="array" aca="1" ref="B698" ca="1">HYPERLINK(CONCATENATE("#",CELL("address",$D$275)),$D$275)</f>
        <v>Loan 13</v>
      </c>
      <c r="C698" s="380"/>
      <c r="D698" s="221">
        <f>D$25</f>
        <v>0</v>
      </c>
      <c r="E698" s="60">
        <f>E$25</f>
        <v>0</v>
      </c>
      <c r="F698" s="10">
        <f>T$25</f>
        <v>0</v>
      </c>
      <c r="G698" s="10">
        <f>P$25</f>
        <v>0</v>
      </c>
      <c r="H698" s="50" t="s">
        <v>125</v>
      </c>
      <c r="S698" s="335"/>
      <c r="T698" s="335"/>
      <c r="U698" s="335"/>
      <c r="V698" s="13">
        <f t="shared" si="909"/>
        <v>0</v>
      </c>
      <c r="W698" s="215">
        <f t="shared" si="910"/>
        <v>0</v>
      </c>
      <c r="X698" s="215">
        <f t="shared" si="910"/>
        <v>0</v>
      </c>
      <c r="Y698" s="215">
        <f t="shared" si="910"/>
        <v>0</v>
      </c>
      <c r="AA698" s="10">
        <f>IF(AA$4=0, AA558, IF($G698=0, 0, (AA443+AA466+AA489*$F698+Z744)*AA675))*Timeline!AA59</f>
        <v>0</v>
      </c>
      <c r="AB698" s="10">
        <f>IF(AB$4=0, AB558, IF($G698=0, 0, (AB443+AB466+AB489*$F698+AA744)*AB675))*Timeline!AB59</f>
        <v>0</v>
      </c>
      <c r="AC698" s="10">
        <f>IF(AC$4=0, AC558, IF($G698=0, 0, (AC443+AC466+AC489*$F698+AB744)*AC675))*Timeline!AC59</f>
        <v>0</v>
      </c>
      <c r="AD698" s="10">
        <f>IF(AD$4=0, AD558, IF($G698=0, 0, (AD443+AD466+AD489*$F698+AC744)*AD675))*Timeline!AD59</f>
        <v>0</v>
      </c>
      <c r="AE698" s="10">
        <f>IF(AE$4=0, AE558, IF($G698=0, 0, (AE443+AE466+AE489*$F698+AD744)*AE675))*Timeline!AE59</f>
        <v>0</v>
      </c>
      <c r="AF698" s="10">
        <f>IF(AF$4=0, AF558, IF($G698=0, 0, (AF443+AF466+AF489*$F698+AE744)*AF675))*Timeline!AF59</f>
        <v>0</v>
      </c>
      <c r="AG698" s="10">
        <f>IF(AG$4=0, AG558, IF($G698=0, 0, (AG443+AG466+AG489*$F698+AF744)*AG675))*Timeline!AG59</f>
        <v>0</v>
      </c>
      <c r="AH698" s="10">
        <f>IF(AH$4=0, AH558, IF($G698=0, 0, (AH443+AH466+AH489*$F698+AG744)*AH675))*Timeline!AH59</f>
        <v>0</v>
      </c>
      <c r="AI698" s="10">
        <f>IF(AI$4=0, AI558, IF($G698=0, 0, (AI443+AI466+AI489*$F698+AH744)*AI675))*Timeline!AI59</f>
        <v>0</v>
      </c>
      <c r="AJ698" s="10">
        <f>IF(AJ$4=0, AJ558, IF($G698=0, 0, (AJ443+AJ466+AJ489*$F698+AI744)*AJ675))*Timeline!AJ59</f>
        <v>0</v>
      </c>
      <c r="AK698" s="10">
        <f>IF(AK$4=0, AK558, IF($G698=0, 0, (AK443+AK466+AK489*$F698+AJ744)*AK675))*Timeline!AK59</f>
        <v>0</v>
      </c>
      <c r="AL698" s="10">
        <f>IF(AL$4=0, AL558, IF($G698=0, 0, (AL443+AL466+AL489*$F698+AK744)*AL675))*Timeline!AL59</f>
        <v>0</v>
      </c>
      <c r="AM698" s="10">
        <f>IF(AM$4=0, AM558, IF($G698=0, 0, (AM443+AM466+AM489*$F698+AL744)*AM675))*Timeline!AM59</f>
        <v>0</v>
      </c>
      <c r="AN698" s="10">
        <f>IF(AN$4=0, AN558, IF($G698=0, 0, (AN443+AN466+AN489*$F698+AM744)*AN675))*Timeline!AN59</f>
        <v>0</v>
      </c>
      <c r="AO698" s="10">
        <f>IF(AO$4=0, AO558, IF($G698=0, 0, (AO443+AO466+AO489*$F698+AN744)*AO675))*Timeline!AO59</f>
        <v>0</v>
      </c>
      <c r="AP698" s="10">
        <f>IF(AP$4=0, AP558, IF($G698=0, 0, (AP443+AP466+AP489*$F698+AO744)*AP675))*Timeline!AP59</f>
        <v>0</v>
      </c>
      <c r="AQ698" s="10">
        <f>IF(AQ$4=0, AQ558, IF($G698=0, 0, (AQ443+AQ466+AQ489*$F698+AP744)*AQ675))*Timeline!AQ59</f>
        <v>0</v>
      </c>
      <c r="AR698" s="10">
        <f>IF(AR$4=0, AR558, IF($G698=0, 0, (AR443+AR466+AR489*$F698+AQ744)*AR675))*Timeline!AR59</f>
        <v>0</v>
      </c>
      <c r="AS698" s="10">
        <f>IF(AS$4=0, AS558, IF($G698=0, 0, (AS443+AS466+AS489*$F698+AR744)*AS675))*Timeline!AS59</f>
        <v>0</v>
      </c>
      <c r="AT698" s="10">
        <f>IF(AT$4=0, AT558, IF($G698=0, 0, (AT443+AT466+AT489*$F698+AS744)*AT675))*Timeline!AT59</f>
        <v>0</v>
      </c>
      <c r="AU698" s="10">
        <f>IF(AU$4=0, AU558, IF($G698=0, 0, (AU443+AU466+AU489*$F698+AT744)*AU675))*Timeline!AU59</f>
        <v>0</v>
      </c>
      <c r="AV698" s="10">
        <f>IF(AV$4=0, AV558, IF($G698=0, 0, (AV443+AV466+AV489*$F698+AU744)*AV675))*Timeline!AV59</f>
        <v>0</v>
      </c>
      <c r="AW698" s="10">
        <f>IF(AW$4=0, AW558, IF($G698=0, 0, (AW443+AW466+AW489*$F698+AV744)*AW675))*Timeline!AW59</f>
        <v>0</v>
      </c>
      <c r="AX698" s="10">
        <f>IF(AX$4=0, AX558, IF($G698=0, 0, (AX443+AX466+AX489*$F698+AW744)*AX675))*Timeline!AX59</f>
        <v>0</v>
      </c>
      <c r="AY698" s="10">
        <f>IF(AY$4=0, AY558, IF($G698=0, 0, (AY443+AY466+AY489*$F698+AX744)*AY675))*Timeline!AY59</f>
        <v>0</v>
      </c>
      <c r="AZ698" s="10">
        <f>IF(AZ$4=0, AZ558, IF($G698=0, 0, (AZ443+AZ466+AZ489*$F698+AY744)*AZ675))*Timeline!AZ59</f>
        <v>0</v>
      </c>
      <c r="BA698" s="10">
        <f>IF(BA$4=0, BA558, IF($G698=0, 0, (BA443+BA466+BA489*$F698+AZ744)*BA675))*Timeline!BA59</f>
        <v>0</v>
      </c>
      <c r="BB698" s="10">
        <f>IF(BB$4=0, BB558, IF($G698=0, 0, (BB443+BB466+BB489*$F698+BA744)*BB675))*Timeline!BB59</f>
        <v>0</v>
      </c>
      <c r="BC698" s="10">
        <f>IF(BC$4=0, BC558, IF($G698=0, 0, (BC443+BC466+BC489*$F698+BB744)*BC675))*Timeline!BC59</f>
        <v>0</v>
      </c>
      <c r="BD698" s="10">
        <f>IF(BD$4=0, BD558, IF($G698=0, 0, (BD443+BD466+BD489*$F698+BC744)*BD675))*Timeline!BD59</f>
        <v>0</v>
      </c>
      <c r="BE698" s="10">
        <f>IF(BE$4=0, BE558, IF($G698=0, 0, (BE443+BE466+BE489*$F698+BD744)*BE675))*Timeline!BE59</f>
        <v>0</v>
      </c>
      <c r="BF698" s="10">
        <f>IF(BF$4=0, BF558, IF($G698=0, 0, (BF443+BF466+BF489*$F698+BE744)*BF675))*Timeline!BF59</f>
        <v>0</v>
      </c>
      <c r="BG698" s="10">
        <f>IF(BG$4=0, BG558, IF($G698=0, 0, (BG443+BG466+BG489*$F698+BF744)*BG675))*Timeline!BG59</f>
        <v>0</v>
      </c>
      <c r="BH698" s="10">
        <f>IF(BH$4=0, BH558, IF($G698=0, 0, (BH443+BH466+BH489*$F698+BG744)*BH675))*Timeline!BH59</f>
        <v>0</v>
      </c>
      <c r="BI698" s="10">
        <f>IF(BI$4=0, BI558, IF($G698=0, 0, (BI443+BI466+BI489*$F698+BH744)*BI675))*Timeline!BI59</f>
        <v>0</v>
      </c>
      <c r="BJ698" s="10">
        <f>IF(BJ$4=0, BJ558, IF($G698=0, 0, (BJ443+BJ466+BJ489*$F698+BI744)*BJ675))*Timeline!BJ59</f>
        <v>0</v>
      </c>
      <c r="BL698" s="13">
        <f t="shared" si="911"/>
        <v>0</v>
      </c>
      <c r="BM698" s="13">
        <f t="shared" si="912"/>
        <v>0</v>
      </c>
      <c r="BN698" s="13">
        <f t="shared" si="913"/>
        <v>0</v>
      </c>
      <c r="BO698" s="13">
        <f t="shared" si="914"/>
        <v>0</v>
      </c>
      <c r="BP698" s="136"/>
      <c r="BQ698" s="136"/>
      <c r="BR698" s="136"/>
      <c r="BS698" s="136"/>
      <c r="BT698" s="136"/>
      <c r="BU698" s="136"/>
      <c r="BV698" s="136"/>
      <c r="BW698" s="136"/>
      <c r="BY698" s="12"/>
      <c r="CA698" s="12"/>
      <c r="CJ698" s="162"/>
      <c r="CK698" s="188">
        <f t="shared" si="915"/>
        <v>0</v>
      </c>
      <c r="CR698" s="12"/>
      <c r="EX698" s="10" t="str">
        <f t="shared" si="916"/>
        <v/>
      </c>
    </row>
    <row r="699" spans="1:154" s="5" customFormat="1" x14ac:dyDescent="0.25">
      <c r="A699" s="362" cm="1">
        <f t="array" aca="1" ref="A699" ca="1">HYPERLINK(CONCATENATE("#",CELL("address",IF(SUM($CA699:$CR699)=0,A699,INDEX($CA699:$CR699,MATCH(1,$CA699:$CR699,0))))),SUM($CA699:$CR699))</f>
        <v>0</v>
      </c>
      <c r="B699" s="84" t="str" cm="1">
        <f t="array" aca="1" ref="B699" ca="1">HYPERLINK(CONCATENATE("#",CELL("address",$D$294)),$D$294)</f>
        <v>Loan 14</v>
      </c>
      <c r="C699" s="380"/>
      <c r="D699" s="221">
        <f>D$26</f>
        <v>0</v>
      </c>
      <c r="E699" s="60">
        <f>E$26</f>
        <v>0</v>
      </c>
      <c r="F699" s="10">
        <f>T$26</f>
        <v>0</v>
      </c>
      <c r="G699" s="10">
        <f>P$26</f>
        <v>0</v>
      </c>
      <c r="H699" s="50" t="s">
        <v>125</v>
      </c>
      <c r="I699" s="11"/>
      <c r="J699" s="11"/>
      <c r="K699" s="11"/>
      <c r="L699" s="11"/>
      <c r="M699" s="11"/>
      <c r="N699" s="11"/>
      <c r="O699" s="11"/>
      <c r="P699" s="11"/>
      <c r="Q699" s="11"/>
      <c r="R699" s="11"/>
      <c r="S699" s="335"/>
      <c r="T699" s="335"/>
      <c r="U699" s="335"/>
      <c r="V699" s="13">
        <f t="shared" si="909"/>
        <v>0</v>
      </c>
      <c r="W699" s="215">
        <f t="shared" si="910"/>
        <v>0</v>
      </c>
      <c r="X699" s="215">
        <f t="shared" si="910"/>
        <v>0</v>
      </c>
      <c r="Y699" s="215">
        <f t="shared" si="910"/>
        <v>0</v>
      </c>
      <c r="Z699" s="11"/>
      <c r="AA699" s="10">
        <f>IF(AA$4=0, AA559, IF($G699=0, 0, (AA444+AA467+AA490*$F699+Z745)*AA676))*Timeline!AA60</f>
        <v>0</v>
      </c>
      <c r="AB699" s="10">
        <f>IF(AB$4=0, AB559, IF($G699=0, 0, (AB444+AB467+AB490*$F699+AA745)*AB676))*Timeline!AB60</f>
        <v>0</v>
      </c>
      <c r="AC699" s="10">
        <f>IF(AC$4=0, AC559, IF($G699=0, 0, (AC444+AC467+AC490*$F699+AB745)*AC676))*Timeline!AC60</f>
        <v>0</v>
      </c>
      <c r="AD699" s="10">
        <f>IF(AD$4=0, AD559, IF($G699=0, 0, (AD444+AD467+AD490*$F699+AC745)*AD676))*Timeline!AD60</f>
        <v>0</v>
      </c>
      <c r="AE699" s="10">
        <f>IF(AE$4=0, AE559, IF($G699=0, 0, (AE444+AE467+AE490*$F699+AD745)*AE676))*Timeline!AE60</f>
        <v>0</v>
      </c>
      <c r="AF699" s="10">
        <f>IF(AF$4=0, AF559, IF($G699=0, 0, (AF444+AF467+AF490*$F699+AE745)*AF676))*Timeline!AF60</f>
        <v>0</v>
      </c>
      <c r="AG699" s="10">
        <f>IF(AG$4=0, AG559, IF($G699=0, 0, (AG444+AG467+AG490*$F699+AF745)*AG676))*Timeline!AG60</f>
        <v>0</v>
      </c>
      <c r="AH699" s="10">
        <f>IF(AH$4=0, AH559, IF($G699=0, 0, (AH444+AH467+AH490*$F699+AG745)*AH676))*Timeline!AH60</f>
        <v>0</v>
      </c>
      <c r="AI699" s="10">
        <f>IF(AI$4=0, AI559, IF($G699=0, 0, (AI444+AI467+AI490*$F699+AH745)*AI676))*Timeline!AI60</f>
        <v>0</v>
      </c>
      <c r="AJ699" s="10">
        <f>IF(AJ$4=0, AJ559, IF($G699=0, 0, (AJ444+AJ467+AJ490*$F699+AI745)*AJ676))*Timeline!AJ60</f>
        <v>0</v>
      </c>
      <c r="AK699" s="10">
        <f>IF(AK$4=0, AK559, IF($G699=0, 0, (AK444+AK467+AK490*$F699+AJ745)*AK676))*Timeline!AK60</f>
        <v>0</v>
      </c>
      <c r="AL699" s="10">
        <f>IF(AL$4=0, AL559, IF($G699=0, 0, (AL444+AL467+AL490*$F699+AK745)*AL676))*Timeline!AL60</f>
        <v>0</v>
      </c>
      <c r="AM699" s="10">
        <f>IF(AM$4=0, AM559, IF($G699=0, 0, (AM444+AM467+AM490*$F699+AL745)*AM676))*Timeline!AM60</f>
        <v>0</v>
      </c>
      <c r="AN699" s="10">
        <f>IF(AN$4=0, AN559, IF($G699=0, 0, (AN444+AN467+AN490*$F699+AM745)*AN676))*Timeline!AN60</f>
        <v>0</v>
      </c>
      <c r="AO699" s="10">
        <f>IF(AO$4=0, AO559, IF($G699=0, 0, (AO444+AO467+AO490*$F699+AN745)*AO676))*Timeline!AO60</f>
        <v>0</v>
      </c>
      <c r="AP699" s="10">
        <f>IF(AP$4=0, AP559, IF($G699=0, 0, (AP444+AP467+AP490*$F699+AO745)*AP676))*Timeline!AP60</f>
        <v>0</v>
      </c>
      <c r="AQ699" s="10">
        <f>IF(AQ$4=0, AQ559, IF($G699=0, 0, (AQ444+AQ467+AQ490*$F699+AP745)*AQ676))*Timeline!AQ60</f>
        <v>0</v>
      </c>
      <c r="AR699" s="10">
        <f>IF(AR$4=0, AR559, IF($G699=0, 0, (AR444+AR467+AR490*$F699+AQ745)*AR676))*Timeline!AR60</f>
        <v>0</v>
      </c>
      <c r="AS699" s="10">
        <f>IF(AS$4=0, AS559, IF($G699=0, 0, (AS444+AS467+AS490*$F699+AR745)*AS676))*Timeline!AS60</f>
        <v>0</v>
      </c>
      <c r="AT699" s="10">
        <f>IF(AT$4=0, AT559, IF($G699=0, 0, (AT444+AT467+AT490*$F699+AS745)*AT676))*Timeline!AT60</f>
        <v>0</v>
      </c>
      <c r="AU699" s="10">
        <f>IF(AU$4=0, AU559, IF($G699=0, 0, (AU444+AU467+AU490*$F699+AT745)*AU676))*Timeline!AU60</f>
        <v>0</v>
      </c>
      <c r="AV699" s="10">
        <f>IF(AV$4=0, AV559, IF($G699=0, 0, (AV444+AV467+AV490*$F699+AU745)*AV676))*Timeline!AV60</f>
        <v>0</v>
      </c>
      <c r="AW699" s="10">
        <f>IF(AW$4=0, AW559, IF($G699=0, 0, (AW444+AW467+AW490*$F699+AV745)*AW676))*Timeline!AW60</f>
        <v>0</v>
      </c>
      <c r="AX699" s="10">
        <f>IF(AX$4=0, AX559, IF($G699=0, 0, (AX444+AX467+AX490*$F699+AW745)*AX676))*Timeline!AX60</f>
        <v>0</v>
      </c>
      <c r="AY699" s="10">
        <f>IF(AY$4=0, AY559, IF($G699=0, 0, (AY444+AY467+AY490*$F699+AX745)*AY676))*Timeline!AY60</f>
        <v>0</v>
      </c>
      <c r="AZ699" s="10">
        <f>IF(AZ$4=0, AZ559, IF($G699=0, 0, (AZ444+AZ467+AZ490*$F699+AY745)*AZ676))*Timeline!AZ60</f>
        <v>0</v>
      </c>
      <c r="BA699" s="10">
        <f>IF(BA$4=0, BA559, IF($G699=0, 0, (BA444+BA467+BA490*$F699+AZ745)*BA676))*Timeline!BA60</f>
        <v>0</v>
      </c>
      <c r="BB699" s="10">
        <f>IF(BB$4=0, BB559, IF($G699=0, 0, (BB444+BB467+BB490*$F699+BA745)*BB676))*Timeline!BB60</f>
        <v>0</v>
      </c>
      <c r="BC699" s="10">
        <f>IF(BC$4=0, BC559, IF($G699=0, 0, (BC444+BC467+BC490*$F699+BB745)*BC676))*Timeline!BC60</f>
        <v>0</v>
      </c>
      <c r="BD699" s="10">
        <f>IF(BD$4=0, BD559, IF($G699=0, 0, (BD444+BD467+BD490*$F699+BC745)*BD676))*Timeline!BD60</f>
        <v>0</v>
      </c>
      <c r="BE699" s="10">
        <f>IF(BE$4=0, BE559, IF($G699=0, 0, (BE444+BE467+BE490*$F699+BD745)*BE676))*Timeline!BE60</f>
        <v>0</v>
      </c>
      <c r="BF699" s="10">
        <f>IF(BF$4=0, BF559, IF($G699=0, 0, (BF444+BF467+BF490*$F699+BE745)*BF676))*Timeline!BF60</f>
        <v>0</v>
      </c>
      <c r="BG699" s="10">
        <f>IF(BG$4=0, BG559, IF($G699=0, 0, (BG444+BG467+BG490*$F699+BF745)*BG676))*Timeline!BG60</f>
        <v>0</v>
      </c>
      <c r="BH699" s="10">
        <f>IF(BH$4=0, BH559, IF($G699=0, 0, (BH444+BH467+BH490*$F699+BG745)*BH676))*Timeline!BH60</f>
        <v>0</v>
      </c>
      <c r="BI699" s="10">
        <f>IF(BI$4=0, BI559, IF($G699=0, 0, (BI444+BI467+BI490*$F699+BH745)*BI676))*Timeline!BI60</f>
        <v>0</v>
      </c>
      <c r="BJ699" s="10">
        <f>IF(BJ$4=0, BJ559, IF($G699=0, 0, (BJ444+BJ467+BJ490*$F699+BI745)*BJ676))*Timeline!BJ60</f>
        <v>0</v>
      </c>
      <c r="BK699" s="11"/>
      <c r="BL699" s="13">
        <f t="shared" si="911"/>
        <v>0</v>
      </c>
      <c r="BM699" s="13">
        <f t="shared" si="912"/>
        <v>0</v>
      </c>
      <c r="BN699" s="13">
        <f t="shared" si="913"/>
        <v>0</v>
      </c>
      <c r="BO699" s="13">
        <f t="shared" si="914"/>
        <v>0</v>
      </c>
      <c r="BP699" s="136"/>
      <c r="BQ699" s="136"/>
      <c r="BR699" s="136"/>
      <c r="BS699" s="136"/>
      <c r="BT699" s="136"/>
      <c r="BU699" s="136"/>
      <c r="BV699" s="136"/>
      <c r="BW699" s="136"/>
      <c r="BX699" s="11"/>
      <c r="BY699" s="12"/>
      <c r="BZ699" s="335"/>
      <c r="CA699" s="12"/>
      <c r="CB699" s="335"/>
      <c r="CC699" s="335"/>
      <c r="CD699" s="335"/>
      <c r="CE699" s="335"/>
      <c r="CF699" s="67"/>
      <c r="CG699" s="11"/>
      <c r="CH699" s="11"/>
      <c r="CI699" s="11"/>
      <c r="CJ699" s="162"/>
      <c r="CK699" s="188">
        <f t="shared" si="915"/>
        <v>0</v>
      </c>
      <c r="CL699" s="11"/>
      <c r="CM699" s="335"/>
      <c r="CN699" s="335"/>
      <c r="CO699" s="335"/>
      <c r="CP699" s="335"/>
      <c r="CQ699" s="67"/>
      <c r="CR699" s="12"/>
      <c r="EX699" s="10" t="str">
        <f t="shared" si="916"/>
        <v/>
      </c>
    </row>
    <row r="700" spans="1:154" x14ac:dyDescent="0.25">
      <c r="A700" s="362" cm="1">
        <f t="array" aca="1" ref="A700" ca="1">HYPERLINK(CONCATENATE("#",CELL("address",IF(SUM($CA700:$CR700)=0,A700,INDEX($CA700:$CR700,MATCH(1,$CA700:$CR700,0))))),SUM($CA700:$CR700))</f>
        <v>0</v>
      </c>
      <c r="B700" s="84" t="str" cm="1">
        <f t="array" aca="1" ref="B700" ca="1">HYPERLINK(CONCATENATE("#",CELL("address",$D$313)),$D$313)</f>
        <v>Loan 15</v>
      </c>
      <c r="C700" s="380"/>
      <c r="D700" s="221">
        <f>D$27</f>
        <v>0</v>
      </c>
      <c r="E700" s="60">
        <f>E$27</f>
        <v>0</v>
      </c>
      <c r="F700" s="10">
        <f>T$27</f>
        <v>0</v>
      </c>
      <c r="G700" s="10">
        <f>P$27</f>
        <v>0</v>
      </c>
      <c r="H700" s="50" t="s">
        <v>125</v>
      </c>
      <c r="S700" s="335"/>
      <c r="T700" s="335"/>
      <c r="U700" s="335"/>
      <c r="V700" s="13">
        <f t="shared" si="909"/>
        <v>0</v>
      </c>
      <c r="W700" s="215">
        <f t="shared" si="910"/>
        <v>0</v>
      </c>
      <c r="X700" s="215">
        <f t="shared" si="910"/>
        <v>0</v>
      </c>
      <c r="Y700" s="215">
        <f t="shared" si="910"/>
        <v>0</v>
      </c>
      <c r="AA700" s="10">
        <f>IF(AA$4=0, AA560, IF($G700=0, 0, (AA445+AA468+AA491*$F700+Z746)*AA677))*Timeline!AA61</f>
        <v>0</v>
      </c>
      <c r="AB700" s="10">
        <f>IF(AB$4=0, AB560, IF($G700=0, 0, (AB445+AB468+AB491*$F700+AA746)*AB677))*Timeline!AB61</f>
        <v>0</v>
      </c>
      <c r="AC700" s="10">
        <f>IF(AC$4=0, AC560, IF($G700=0, 0, (AC445+AC468+AC491*$F700+AB746)*AC677))*Timeline!AC61</f>
        <v>0</v>
      </c>
      <c r="AD700" s="10">
        <f>IF(AD$4=0, AD560, IF($G700=0, 0, (AD445+AD468+AD491*$F700+AC746)*AD677))*Timeline!AD61</f>
        <v>0</v>
      </c>
      <c r="AE700" s="10">
        <f>IF(AE$4=0, AE560, IF($G700=0, 0, (AE445+AE468+AE491*$F700+AD746)*AE677))*Timeline!AE61</f>
        <v>0</v>
      </c>
      <c r="AF700" s="10">
        <f>IF(AF$4=0, AF560, IF($G700=0, 0, (AF445+AF468+AF491*$F700+AE746)*AF677))*Timeline!AF61</f>
        <v>0</v>
      </c>
      <c r="AG700" s="10">
        <f>IF(AG$4=0, AG560, IF($G700=0, 0, (AG445+AG468+AG491*$F700+AF746)*AG677))*Timeline!AG61</f>
        <v>0</v>
      </c>
      <c r="AH700" s="10">
        <f>IF(AH$4=0, AH560, IF($G700=0, 0, (AH445+AH468+AH491*$F700+AG746)*AH677))*Timeline!AH61</f>
        <v>0</v>
      </c>
      <c r="AI700" s="10">
        <f>IF(AI$4=0, AI560, IF($G700=0, 0, (AI445+AI468+AI491*$F700+AH746)*AI677))*Timeline!AI61</f>
        <v>0</v>
      </c>
      <c r="AJ700" s="10">
        <f>IF(AJ$4=0, AJ560, IF($G700=0, 0, (AJ445+AJ468+AJ491*$F700+AI746)*AJ677))*Timeline!AJ61</f>
        <v>0</v>
      </c>
      <c r="AK700" s="10">
        <f>IF(AK$4=0, AK560, IF($G700=0, 0, (AK445+AK468+AK491*$F700+AJ746)*AK677))*Timeline!AK61</f>
        <v>0</v>
      </c>
      <c r="AL700" s="10">
        <f>IF(AL$4=0, AL560, IF($G700=0, 0, (AL445+AL468+AL491*$F700+AK746)*AL677))*Timeline!AL61</f>
        <v>0</v>
      </c>
      <c r="AM700" s="10">
        <f>IF(AM$4=0, AM560, IF($G700=0, 0, (AM445+AM468+AM491*$F700+AL746)*AM677))*Timeline!AM61</f>
        <v>0</v>
      </c>
      <c r="AN700" s="10">
        <f>IF(AN$4=0, AN560, IF($G700=0, 0, (AN445+AN468+AN491*$F700+AM746)*AN677))*Timeline!AN61</f>
        <v>0</v>
      </c>
      <c r="AO700" s="10">
        <f>IF(AO$4=0, AO560, IF($G700=0, 0, (AO445+AO468+AO491*$F700+AN746)*AO677))*Timeline!AO61</f>
        <v>0</v>
      </c>
      <c r="AP700" s="10">
        <f>IF(AP$4=0, AP560, IF($G700=0, 0, (AP445+AP468+AP491*$F700+AO746)*AP677))*Timeline!AP61</f>
        <v>0</v>
      </c>
      <c r="AQ700" s="10">
        <f>IF(AQ$4=0, AQ560, IF($G700=0, 0, (AQ445+AQ468+AQ491*$F700+AP746)*AQ677))*Timeline!AQ61</f>
        <v>0</v>
      </c>
      <c r="AR700" s="10">
        <f>IF(AR$4=0, AR560, IF($G700=0, 0, (AR445+AR468+AR491*$F700+AQ746)*AR677))*Timeline!AR61</f>
        <v>0</v>
      </c>
      <c r="AS700" s="10">
        <f>IF(AS$4=0, AS560, IF($G700=0, 0, (AS445+AS468+AS491*$F700+AR746)*AS677))*Timeline!AS61</f>
        <v>0</v>
      </c>
      <c r="AT700" s="10">
        <f>IF(AT$4=0, AT560, IF($G700=0, 0, (AT445+AT468+AT491*$F700+AS746)*AT677))*Timeline!AT61</f>
        <v>0</v>
      </c>
      <c r="AU700" s="10">
        <f>IF(AU$4=0, AU560, IF($G700=0, 0, (AU445+AU468+AU491*$F700+AT746)*AU677))*Timeline!AU61</f>
        <v>0</v>
      </c>
      <c r="AV700" s="10">
        <f>IF(AV$4=0, AV560, IF($G700=0, 0, (AV445+AV468+AV491*$F700+AU746)*AV677))*Timeline!AV61</f>
        <v>0</v>
      </c>
      <c r="AW700" s="10">
        <f>IF(AW$4=0, AW560, IF($G700=0, 0, (AW445+AW468+AW491*$F700+AV746)*AW677))*Timeline!AW61</f>
        <v>0</v>
      </c>
      <c r="AX700" s="10">
        <f>IF(AX$4=0, AX560, IF($G700=0, 0, (AX445+AX468+AX491*$F700+AW746)*AX677))*Timeline!AX61</f>
        <v>0</v>
      </c>
      <c r="AY700" s="10">
        <f>IF(AY$4=0, AY560, IF($G700=0, 0, (AY445+AY468+AY491*$F700+AX746)*AY677))*Timeline!AY61</f>
        <v>0</v>
      </c>
      <c r="AZ700" s="10">
        <f>IF(AZ$4=0, AZ560, IF($G700=0, 0, (AZ445+AZ468+AZ491*$F700+AY746)*AZ677))*Timeline!AZ61</f>
        <v>0</v>
      </c>
      <c r="BA700" s="10">
        <f>IF(BA$4=0, BA560, IF($G700=0, 0, (BA445+BA468+BA491*$F700+AZ746)*BA677))*Timeline!BA61</f>
        <v>0</v>
      </c>
      <c r="BB700" s="10">
        <f>IF(BB$4=0, BB560, IF($G700=0, 0, (BB445+BB468+BB491*$F700+BA746)*BB677))*Timeline!BB61</f>
        <v>0</v>
      </c>
      <c r="BC700" s="10">
        <f>IF(BC$4=0, BC560, IF($G700=0, 0, (BC445+BC468+BC491*$F700+BB746)*BC677))*Timeline!BC61</f>
        <v>0</v>
      </c>
      <c r="BD700" s="10">
        <f>IF(BD$4=0, BD560, IF($G700=0, 0, (BD445+BD468+BD491*$F700+BC746)*BD677))*Timeline!BD61</f>
        <v>0</v>
      </c>
      <c r="BE700" s="10">
        <f>IF(BE$4=0, BE560, IF($G700=0, 0, (BE445+BE468+BE491*$F700+BD746)*BE677))*Timeline!BE61</f>
        <v>0</v>
      </c>
      <c r="BF700" s="10">
        <f>IF(BF$4=0, BF560, IF($G700=0, 0, (BF445+BF468+BF491*$F700+BE746)*BF677))*Timeline!BF61</f>
        <v>0</v>
      </c>
      <c r="BG700" s="10">
        <f>IF(BG$4=0, BG560, IF($G700=0, 0, (BG445+BG468+BG491*$F700+BF746)*BG677))*Timeline!BG61</f>
        <v>0</v>
      </c>
      <c r="BH700" s="10">
        <f>IF(BH$4=0, BH560, IF($G700=0, 0, (BH445+BH468+BH491*$F700+BG746)*BH677))*Timeline!BH61</f>
        <v>0</v>
      </c>
      <c r="BI700" s="10">
        <f>IF(BI$4=0, BI560, IF($G700=0, 0, (BI445+BI468+BI491*$F700+BH746)*BI677))*Timeline!BI61</f>
        <v>0</v>
      </c>
      <c r="BJ700" s="10">
        <f>IF(BJ$4=0, BJ560, IF($G700=0, 0, (BJ445+BJ468+BJ491*$F700+BI746)*BJ677))*Timeline!BJ61</f>
        <v>0</v>
      </c>
      <c r="BL700" s="13">
        <f t="shared" si="911"/>
        <v>0</v>
      </c>
      <c r="BM700" s="13">
        <f t="shared" si="912"/>
        <v>0</v>
      </c>
      <c r="BN700" s="13">
        <f t="shared" si="913"/>
        <v>0</v>
      </c>
      <c r="BO700" s="13">
        <f t="shared" si="914"/>
        <v>0</v>
      </c>
      <c r="BP700" s="136"/>
      <c r="BQ700" s="136"/>
      <c r="BR700" s="136"/>
      <c r="BS700" s="136"/>
      <c r="BT700" s="136"/>
      <c r="BU700" s="136"/>
      <c r="BV700" s="136"/>
      <c r="BW700" s="136"/>
      <c r="BY700" s="12"/>
      <c r="CA700" s="12"/>
      <c r="CJ700" s="162"/>
      <c r="CK700" s="188">
        <f t="shared" si="915"/>
        <v>0</v>
      </c>
      <c r="CR700" s="12"/>
      <c r="EX700" s="10" t="str">
        <f t="shared" si="916"/>
        <v/>
      </c>
    </row>
    <row r="701" spans="1:154" x14ac:dyDescent="0.25">
      <c r="A701" s="362" cm="1">
        <f t="array" aca="1" ref="A701" ca="1">HYPERLINK(CONCATENATE("#",CELL("address",IF(SUM($CA701:$CR701)=0,A701,INDEX($CA701:$CR701,MATCH(1,$CA701:$CR701,0))))),SUM($CA701:$CR701))</f>
        <v>0</v>
      </c>
      <c r="B701" s="84" t="str" cm="1">
        <f t="array" aca="1" ref="B701" ca="1">HYPERLINK(CONCATENATE("#",CELL("address",$D$332)),$D$332)</f>
        <v>Loan 16</v>
      </c>
      <c r="C701" s="380"/>
      <c r="D701" s="221">
        <f>D$28</f>
        <v>0</v>
      </c>
      <c r="E701" s="60">
        <f>E$28</f>
        <v>0</v>
      </c>
      <c r="F701" s="10">
        <f>T$28</f>
        <v>0</v>
      </c>
      <c r="G701" s="10">
        <f>P$28</f>
        <v>0</v>
      </c>
      <c r="H701" s="50" t="s">
        <v>125</v>
      </c>
      <c r="S701" s="335"/>
      <c r="T701" s="335"/>
      <c r="U701" s="335"/>
      <c r="V701" s="13">
        <f t="shared" si="909"/>
        <v>0</v>
      </c>
      <c r="W701" s="215">
        <f t="shared" si="910"/>
        <v>0</v>
      </c>
      <c r="X701" s="215">
        <f t="shared" si="910"/>
        <v>0</v>
      </c>
      <c r="Y701" s="215">
        <f t="shared" si="910"/>
        <v>0</v>
      </c>
      <c r="AA701" s="10">
        <f>IF(AA$4=0, AA561, IF($G701=0, 0, (AA446+AA469+AA492*$F701+Z747)*AA678))*Timeline!AA62</f>
        <v>0</v>
      </c>
      <c r="AB701" s="10">
        <f>IF(AB$4=0, AB561, IF($G701=0, 0, (AB446+AB469+AB492*$F701+AA747)*AB678))*Timeline!AB62</f>
        <v>0</v>
      </c>
      <c r="AC701" s="10">
        <f>IF(AC$4=0, AC561, IF($G701=0, 0, (AC446+AC469+AC492*$F701+AB747)*AC678))*Timeline!AC62</f>
        <v>0</v>
      </c>
      <c r="AD701" s="10">
        <f>IF(AD$4=0, AD561, IF($G701=0, 0, (AD446+AD469+AD492*$F701+AC747)*AD678))*Timeline!AD62</f>
        <v>0</v>
      </c>
      <c r="AE701" s="10">
        <f>IF(AE$4=0, AE561, IF($G701=0, 0, (AE446+AE469+AE492*$F701+AD747)*AE678))*Timeline!AE62</f>
        <v>0</v>
      </c>
      <c r="AF701" s="10">
        <f>IF(AF$4=0, AF561, IF($G701=0, 0, (AF446+AF469+AF492*$F701+AE747)*AF678))*Timeline!AF62</f>
        <v>0</v>
      </c>
      <c r="AG701" s="10">
        <f>IF(AG$4=0, AG561, IF($G701=0, 0, (AG446+AG469+AG492*$F701+AF747)*AG678))*Timeline!AG62</f>
        <v>0</v>
      </c>
      <c r="AH701" s="10">
        <f>IF(AH$4=0, AH561, IF($G701=0, 0, (AH446+AH469+AH492*$F701+AG747)*AH678))*Timeline!AH62</f>
        <v>0</v>
      </c>
      <c r="AI701" s="10">
        <f>IF(AI$4=0, AI561, IF($G701=0, 0, (AI446+AI469+AI492*$F701+AH747)*AI678))*Timeline!AI62</f>
        <v>0</v>
      </c>
      <c r="AJ701" s="10">
        <f>IF(AJ$4=0, AJ561, IF($G701=0, 0, (AJ446+AJ469+AJ492*$F701+AI747)*AJ678))*Timeline!AJ62</f>
        <v>0</v>
      </c>
      <c r="AK701" s="10">
        <f>IF(AK$4=0, AK561, IF($G701=0, 0, (AK446+AK469+AK492*$F701+AJ747)*AK678))*Timeline!AK62</f>
        <v>0</v>
      </c>
      <c r="AL701" s="10">
        <f>IF(AL$4=0, AL561, IF($G701=0, 0, (AL446+AL469+AL492*$F701+AK747)*AL678))*Timeline!AL62</f>
        <v>0</v>
      </c>
      <c r="AM701" s="10">
        <f>IF(AM$4=0, AM561, IF($G701=0, 0, (AM446+AM469+AM492*$F701+AL747)*AM678))*Timeline!AM62</f>
        <v>0</v>
      </c>
      <c r="AN701" s="10">
        <f>IF(AN$4=0, AN561, IF($G701=0, 0, (AN446+AN469+AN492*$F701+AM747)*AN678))*Timeline!AN62</f>
        <v>0</v>
      </c>
      <c r="AO701" s="10">
        <f>IF(AO$4=0, AO561, IF($G701=0, 0, (AO446+AO469+AO492*$F701+AN747)*AO678))*Timeline!AO62</f>
        <v>0</v>
      </c>
      <c r="AP701" s="10">
        <f>IF(AP$4=0, AP561, IF($G701=0, 0, (AP446+AP469+AP492*$F701+AO747)*AP678))*Timeline!AP62</f>
        <v>0</v>
      </c>
      <c r="AQ701" s="10">
        <f>IF(AQ$4=0, AQ561, IF($G701=0, 0, (AQ446+AQ469+AQ492*$F701+AP747)*AQ678))*Timeline!AQ62</f>
        <v>0</v>
      </c>
      <c r="AR701" s="10">
        <f>IF(AR$4=0, AR561, IF($G701=0, 0, (AR446+AR469+AR492*$F701+AQ747)*AR678))*Timeline!AR62</f>
        <v>0</v>
      </c>
      <c r="AS701" s="10">
        <f>IF(AS$4=0, AS561, IF($G701=0, 0, (AS446+AS469+AS492*$F701+AR747)*AS678))*Timeline!AS62</f>
        <v>0</v>
      </c>
      <c r="AT701" s="10">
        <f>IF(AT$4=0, AT561, IF($G701=0, 0, (AT446+AT469+AT492*$F701+AS747)*AT678))*Timeline!AT62</f>
        <v>0</v>
      </c>
      <c r="AU701" s="10">
        <f>IF(AU$4=0, AU561, IF($G701=0, 0, (AU446+AU469+AU492*$F701+AT747)*AU678))*Timeline!AU62</f>
        <v>0</v>
      </c>
      <c r="AV701" s="10">
        <f>IF(AV$4=0, AV561, IF($G701=0, 0, (AV446+AV469+AV492*$F701+AU747)*AV678))*Timeline!AV62</f>
        <v>0</v>
      </c>
      <c r="AW701" s="10">
        <f>IF(AW$4=0, AW561, IF($G701=0, 0, (AW446+AW469+AW492*$F701+AV747)*AW678))*Timeline!AW62</f>
        <v>0</v>
      </c>
      <c r="AX701" s="10">
        <f>IF(AX$4=0, AX561, IF($G701=0, 0, (AX446+AX469+AX492*$F701+AW747)*AX678))*Timeline!AX62</f>
        <v>0</v>
      </c>
      <c r="AY701" s="10">
        <f>IF(AY$4=0, AY561, IF($G701=0, 0, (AY446+AY469+AY492*$F701+AX747)*AY678))*Timeline!AY62</f>
        <v>0</v>
      </c>
      <c r="AZ701" s="10">
        <f>IF(AZ$4=0, AZ561, IF($G701=0, 0, (AZ446+AZ469+AZ492*$F701+AY747)*AZ678))*Timeline!AZ62</f>
        <v>0</v>
      </c>
      <c r="BA701" s="10">
        <f>IF(BA$4=0, BA561, IF($G701=0, 0, (BA446+BA469+BA492*$F701+AZ747)*BA678))*Timeline!BA62</f>
        <v>0</v>
      </c>
      <c r="BB701" s="10">
        <f>IF(BB$4=0, BB561, IF($G701=0, 0, (BB446+BB469+BB492*$F701+BA747)*BB678))*Timeline!BB62</f>
        <v>0</v>
      </c>
      <c r="BC701" s="10">
        <f>IF(BC$4=0, BC561, IF($G701=0, 0, (BC446+BC469+BC492*$F701+BB747)*BC678))*Timeline!BC62</f>
        <v>0</v>
      </c>
      <c r="BD701" s="10">
        <f>IF(BD$4=0, BD561, IF($G701=0, 0, (BD446+BD469+BD492*$F701+BC747)*BD678))*Timeline!BD62</f>
        <v>0</v>
      </c>
      <c r="BE701" s="10">
        <f>IF(BE$4=0, BE561, IF($G701=0, 0, (BE446+BE469+BE492*$F701+BD747)*BE678))*Timeline!BE62</f>
        <v>0</v>
      </c>
      <c r="BF701" s="10">
        <f>IF(BF$4=0, BF561, IF($G701=0, 0, (BF446+BF469+BF492*$F701+BE747)*BF678))*Timeline!BF62</f>
        <v>0</v>
      </c>
      <c r="BG701" s="10">
        <f>IF(BG$4=0, BG561, IF($G701=0, 0, (BG446+BG469+BG492*$F701+BF747)*BG678))*Timeline!BG62</f>
        <v>0</v>
      </c>
      <c r="BH701" s="10">
        <f>IF(BH$4=0, BH561, IF($G701=0, 0, (BH446+BH469+BH492*$F701+BG747)*BH678))*Timeline!BH62</f>
        <v>0</v>
      </c>
      <c r="BI701" s="10">
        <f>IF(BI$4=0, BI561, IF($G701=0, 0, (BI446+BI469+BI492*$F701+BH747)*BI678))*Timeline!BI62</f>
        <v>0</v>
      </c>
      <c r="BJ701" s="10">
        <f>IF(BJ$4=0, BJ561, IF($G701=0, 0, (BJ446+BJ469+BJ492*$F701+BI747)*BJ678))*Timeline!BJ62</f>
        <v>0</v>
      </c>
      <c r="BL701" s="13">
        <f t="shared" si="911"/>
        <v>0</v>
      </c>
      <c r="BM701" s="13">
        <f t="shared" si="912"/>
        <v>0</v>
      </c>
      <c r="BN701" s="13">
        <f t="shared" si="913"/>
        <v>0</v>
      </c>
      <c r="BO701" s="13">
        <f t="shared" si="914"/>
        <v>0</v>
      </c>
      <c r="BP701" s="136"/>
      <c r="BQ701" s="136"/>
      <c r="BR701" s="136"/>
      <c r="BS701" s="136"/>
      <c r="BT701" s="136"/>
      <c r="BU701" s="136"/>
      <c r="BV701" s="136"/>
      <c r="BW701" s="136"/>
      <c r="BY701" s="12"/>
      <c r="CA701" s="12"/>
      <c r="CJ701" s="162"/>
      <c r="CK701" s="188">
        <f t="shared" si="915"/>
        <v>0</v>
      </c>
      <c r="CR701" s="12"/>
      <c r="EX701" s="10" t="str">
        <f t="shared" si="916"/>
        <v/>
      </c>
    </row>
    <row r="702" spans="1:154" x14ac:dyDescent="0.25">
      <c r="A702" s="362" cm="1">
        <f t="array" aca="1" ref="A702" ca="1">HYPERLINK(CONCATENATE("#",CELL("address",IF(SUM($CA702:$CR702)=0,A702,INDEX($CA702:$CR702,MATCH(1,$CA702:$CR702,0))))),SUM($CA702:$CR702))</f>
        <v>0</v>
      </c>
      <c r="B702" s="84" t="str" cm="1">
        <f t="array" aca="1" ref="B702" ca="1">HYPERLINK(CONCATENATE("#",CELL("address",$D$351)),$D$351)</f>
        <v>Loan 17</v>
      </c>
      <c r="C702" s="380"/>
      <c r="D702" s="221">
        <f>D$29</f>
        <v>0</v>
      </c>
      <c r="E702" s="60">
        <f>E$29</f>
        <v>0</v>
      </c>
      <c r="F702" s="10">
        <f>T$29</f>
        <v>0</v>
      </c>
      <c r="G702" s="10">
        <f>P$29</f>
        <v>0</v>
      </c>
      <c r="H702" s="50" t="s">
        <v>125</v>
      </c>
      <c r="S702" s="335"/>
      <c r="T702" s="335"/>
      <c r="U702" s="335"/>
      <c r="V702" s="13">
        <f t="shared" si="909"/>
        <v>0</v>
      </c>
      <c r="W702" s="215">
        <f t="shared" si="910"/>
        <v>0</v>
      </c>
      <c r="X702" s="215">
        <f t="shared" si="910"/>
        <v>0</v>
      </c>
      <c r="Y702" s="215">
        <f t="shared" si="910"/>
        <v>0</v>
      </c>
      <c r="AA702" s="10">
        <f>IF(AA$4=0, AA562, IF($G702=0, 0, (AA447+AA470+AA493*$F702+Z748)*AA679))*Timeline!AA63</f>
        <v>0</v>
      </c>
      <c r="AB702" s="10">
        <f>IF(AB$4=0, AB562, IF($G702=0, 0, (AB447+AB470+AB493*$F702+AA748)*AB679))*Timeline!AB63</f>
        <v>0</v>
      </c>
      <c r="AC702" s="10">
        <f>IF(AC$4=0, AC562, IF($G702=0, 0, (AC447+AC470+AC493*$F702+AB748)*AC679))*Timeline!AC63</f>
        <v>0</v>
      </c>
      <c r="AD702" s="10">
        <f>IF(AD$4=0, AD562, IF($G702=0, 0, (AD447+AD470+AD493*$F702+AC748)*AD679))*Timeline!AD63</f>
        <v>0</v>
      </c>
      <c r="AE702" s="10">
        <f>IF(AE$4=0, AE562, IF($G702=0, 0, (AE447+AE470+AE493*$F702+AD748)*AE679))*Timeline!AE63</f>
        <v>0</v>
      </c>
      <c r="AF702" s="10">
        <f>IF(AF$4=0, AF562, IF($G702=0, 0, (AF447+AF470+AF493*$F702+AE748)*AF679))*Timeline!AF63</f>
        <v>0</v>
      </c>
      <c r="AG702" s="10">
        <f>IF(AG$4=0, AG562, IF($G702=0, 0, (AG447+AG470+AG493*$F702+AF748)*AG679))*Timeline!AG63</f>
        <v>0</v>
      </c>
      <c r="AH702" s="10">
        <f>IF(AH$4=0, AH562, IF($G702=0, 0, (AH447+AH470+AH493*$F702+AG748)*AH679))*Timeline!AH63</f>
        <v>0</v>
      </c>
      <c r="AI702" s="10">
        <f>IF(AI$4=0, AI562, IF($G702=0, 0, (AI447+AI470+AI493*$F702+AH748)*AI679))*Timeline!AI63</f>
        <v>0</v>
      </c>
      <c r="AJ702" s="10">
        <f>IF(AJ$4=0, AJ562, IF($G702=0, 0, (AJ447+AJ470+AJ493*$F702+AI748)*AJ679))*Timeline!AJ63</f>
        <v>0</v>
      </c>
      <c r="AK702" s="10">
        <f>IF(AK$4=0, AK562, IF($G702=0, 0, (AK447+AK470+AK493*$F702+AJ748)*AK679))*Timeline!AK63</f>
        <v>0</v>
      </c>
      <c r="AL702" s="10">
        <f>IF(AL$4=0, AL562, IF($G702=0, 0, (AL447+AL470+AL493*$F702+AK748)*AL679))*Timeline!AL63</f>
        <v>0</v>
      </c>
      <c r="AM702" s="10">
        <f>IF(AM$4=0, AM562, IF($G702=0, 0, (AM447+AM470+AM493*$F702+AL748)*AM679))*Timeline!AM63</f>
        <v>0</v>
      </c>
      <c r="AN702" s="10">
        <f>IF(AN$4=0, AN562, IF($G702=0, 0, (AN447+AN470+AN493*$F702+AM748)*AN679))*Timeline!AN63</f>
        <v>0</v>
      </c>
      <c r="AO702" s="10">
        <f>IF(AO$4=0, AO562, IF($G702=0, 0, (AO447+AO470+AO493*$F702+AN748)*AO679))*Timeline!AO63</f>
        <v>0</v>
      </c>
      <c r="AP702" s="10">
        <f>IF(AP$4=0, AP562, IF($G702=0, 0, (AP447+AP470+AP493*$F702+AO748)*AP679))*Timeline!AP63</f>
        <v>0</v>
      </c>
      <c r="AQ702" s="10">
        <f>IF(AQ$4=0, AQ562, IF($G702=0, 0, (AQ447+AQ470+AQ493*$F702+AP748)*AQ679))*Timeline!AQ63</f>
        <v>0</v>
      </c>
      <c r="AR702" s="10">
        <f>IF(AR$4=0, AR562, IF($G702=0, 0, (AR447+AR470+AR493*$F702+AQ748)*AR679))*Timeline!AR63</f>
        <v>0</v>
      </c>
      <c r="AS702" s="10">
        <f>IF(AS$4=0, AS562, IF($G702=0, 0, (AS447+AS470+AS493*$F702+AR748)*AS679))*Timeline!AS63</f>
        <v>0</v>
      </c>
      <c r="AT702" s="10">
        <f>IF(AT$4=0, AT562, IF($G702=0, 0, (AT447+AT470+AT493*$F702+AS748)*AT679))*Timeline!AT63</f>
        <v>0</v>
      </c>
      <c r="AU702" s="10">
        <f>IF(AU$4=0, AU562, IF($G702=0, 0, (AU447+AU470+AU493*$F702+AT748)*AU679))*Timeline!AU63</f>
        <v>0</v>
      </c>
      <c r="AV702" s="10">
        <f>IF(AV$4=0, AV562, IF($G702=0, 0, (AV447+AV470+AV493*$F702+AU748)*AV679))*Timeline!AV63</f>
        <v>0</v>
      </c>
      <c r="AW702" s="10">
        <f>IF(AW$4=0, AW562, IF($G702=0, 0, (AW447+AW470+AW493*$F702+AV748)*AW679))*Timeline!AW63</f>
        <v>0</v>
      </c>
      <c r="AX702" s="10">
        <f>IF(AX$4=0, AX562, IF($G702=0, 0, (AX447+AX470+AX493*$F702+AW748)*AX679))*Timeline!AX63</f>
        <v>0</v>
      </c>
      <c r="AY702" s="10">
        <f>IF(AY$4=0, AY562, IF($G702=0, 0, (AY447+AY470+AY493*$F702+AX748)*AY679))*Timeline!AY63</f>
        <v>0</v>
      </c>
      <c r="AZ702" s="10">
        <f>IF(AZ$4=0, AZ562, IF($G702=0, 0, (AZ447+AZ470+AZ493*$F702+AY748)*AZ679))*Timeline!AZ63</f>
        <v>0</v>
      </c>
      <c r="BA702" s="10">
        <f>IF(BA$4=0, BA562, IF($G702=0, 0, (BA447+BA470+BA493*$F702+AZ748)*BA679))*Timeline!BA63</f>
        <v>0</v>
      </c>
      <c r="BB702" s="10">
        <f>IF(BB$4=0, BB562, IF($G702=0, 0, (BB447+BB470+BB493*$F702+BA748)*BB679))*Timeline!BB63</f>
        <v>0</v>
      </c>
      <c r="BC702" s="10">
        <f>IF(BC$4=0, BC562, IF($G702=0, 0, (BC447+BC470+BC493*$F702+BB748)*BC679))*Timeline!BC63</f>
        <v>0</v>
      </c>
      <c r="BD702" s="10">
        <f>IF(BD$4=0, BD562, IF($G702=0, 0, (BD447+BD470+BD493*$F702+BC748)*BD679))*Timeline!BD63</f>
        <v>0</v>
      </c>
      <c r="BE702" s="10">
        <f>IF(BE$4=0, BE562, IF($G702=0, 0, (BE447+BE470+BE493*$F702+BD748)*BE679))*Timeline!BE63</f>
        <v>0</v>
      </c>
      <c r="BF702" s="10">
        <f>IF(BF$4=0, BF562, IF($G702=0, 0, (BF447+BF470+BF493*$F702+BE748)*BF679))*Timeline!BF63</f>
        <v>0</v>
      </c>
      <c r="BG702" s="10">
        <f>IF(BG$4=0, BG562, IF($G702=0, 0, (BG447+BG470+BG493*$F702+BF748)*BG679))*Timeline!BG63</f>
        <v>0</v>
      </c>
      <c r="BH702" s="10">
        <f>IF(BH$4=0, BH562, IF($G702=0, 0, (BH447+BH470+BH493*$F702+BG748)*BH679))*Timeline!BH63</f>
        <v>0</v>
      </c>
      <c r="BI702" s="10">
        <f>IF(BI$4=0, BI562, IF($G702=0, 0, (BI447+BI470+BI493*$F702+BH748)*BI679))*Timeline!BI63</f>
        <v>0</v>
      </c>
      <c r="BJ702" s="10">
        <f>IF(BJ$4=0, BJ562, IF($G702=0, 0, (BJ447+BJ470+BJ493*$F702+BI748)*BJ679))*Timeline!BJ63</f>
        <v>0</v>
      </c>
      <c r="BL702" s="13">
        <f t="shared" si="911"/>
        <v>0</v>
      </c>
      <c r="BM702" s="13">
        <f t="shared" si="912"/>
        <v>0</v>
      </c>
      <c r="BN702" s="13">
        <f t="shared" si="913"/>
        <v>0</v>
      </c>
      <c r="BO702" s="13">
        <f t="shared" si="914"/>
        <v>0</v>
      </c>
      <c r="BP702" s="136"/>
      <c r="BQ702" s="136"/>
      <c r="BR702" s="136"/>
      <c r="BS702" s="136"/>
      <c r="BT702" s="136"/>
      <c r="BU702" s="136"/>
      <c r="BV702" s="136"/>
      <c r="BW702" s="136"/>
      <c r="BY702" s="12"/>
      <c r="CA702" s="12"/>
      <c r="CJ702" s="162"/>
      <c r="CK702" s="188">
        <f t="shared" si="915"/>
        <v>0</v>
      </c>
      <c r="CR702" s="12"/>
      <c r="EX702" s="10" t="str">
        <f t="shared" si="916"/>
        <v/>
      </c>
    </row>
    <row r="703" spans="1:154" x14ac:dyDescent="0.25">
      <c r="A703" s="362" cm="1">
        <f t="array" aca="1" ref="A703" ca="1">HYPERLINK(CONCATENATE("#",CELL("address",IF(SUM($CA703:$CR703)=0,A703,INDEX($CA703:$CR703,MATCH(1,$CA703:$CR703,0))))),SUM($CA703:$CR703))</f>
        <v>0</v>
      </c>
      <c r="B703" s="84" t="str" cm="1">
        <f t="array" aca="1" ref="B703" ca="1">HYPERLINK(CONCATENATE("#",CELL("address",$D$370)),$D$370)</f>
        <v>Loan 18</v>
      </c>
      <c r="C703" s="380"/>
      <c r="D703" s="221">
        <f>D$30</f>
        <v>0</v>
      </c>
      <c r="E703" s="60">
        <f>E$30</f>
        <v>0</v>
      </c>
      <c r="F703" s="10">
        <f>T$30</f>
        <v>0</v>
      </c>
      <c r="G703" s="10">
        <f>P$30</f>
        <v>0</v>
      </c>
      <c r="H703" s="50" t="s">
        <v>125</v>
      </c>
      <c r="S703" s="335"/>
      <c r="T703" s="335"/>
      <c r="U703" s="335"/>
      <c r="V703" s="13">
        <f t="shared" si="909"/>
        <v>0</v>
      </c>
      <c r="W703" s="215">
        <f t="shared" si="910"/>
        <v>0</v>
      </c>
      <c r="X703" s="215">
        <f t="shared" si="910"/>
        <v>0</v>
      </c>
      <c r="Y703" s="215">
        <f t="shared" si="910"/>
        <v>0</v>
      </c>
      <c r="AA703" s="10">
        <f>IF(AA$4=0, AA563, IF($G703=0, 0, (AA448+AA471+AA494*$F703+Z749)*AA680))*Timeline!AA64</f>
        <v>0</v>
      </c>
      <c r="AB703" s="10">
        <f>IF(AB$4=0, AB563, IF($G703=0, 0, (AB448+AB471+AB494*$F703+AA749)*AB680))*Timeline!AB64</f>
        <v>0</v>
      </c>
      <c r="AC703" s="10">
        <f>IF(AC$4=0, AC563, IF($G703=0, 0, (AC448+AC471+AC494*$F703+AB749)*AC680))*Timeline!AC64</f>
        <v>0</v>
      </c>
      <c r="AD703" s="10">
        <f>IF(AD$4=0, AD563, IF($G703=0, 0, (AD448+AD471+AD494*$F703+AC749)*AD680))*Timeline!AD64</f>
        <v>0</v>
      </c>
      <c r="AE703" s="10">
        <f>IF(AE$4=0, AE563, IF($G703=0, 0, (AE448+AE471+AE494*$F703+AD749)*AE680))*Timeline!AE64</f>
        <v>0</v>
      </c>
      <c r="AF703" s="10">
        <f>IF(AF$4=0, AF563, IF($G703=0, 0, (AF448+AF471+AF494*$F703+AE749)*AF680))*Timeline!AF64</f>
        <v>0</v>
      </c>
      <c r="AG703" s="10">
        <f>IF(AG$4=0, AG563, IF($G703=0, 0, (AG448+AG471+AG494*$F703+AF749)*AG680))*Timeline!AG64</f>
        <v>0</v>
      </c>
      <c r="AH703" s="10">
        <f>IF(AH$4=0, AH563, IF($G703=0, 0, (AH448+AH471+AH494*$F703+AG749)*AH680))*Timeline!AH64</f>
        <v>0</v>
      </c>
      <c r="AI703" s="10">
        <f>IF(AI$4=0, AI563, IF($G703=0, 0, (AI448+AI471+AI494*$F703+AH749)*AI680))*Timeline!AI64</f>
        <v>0</v>
      </c>
      <c r="AJ703" s="10">
        <f>IF(AJ$4=0, AJ563, IF($G703=0, 0, (AJ448+AJ471+AJ494*$F703+AI749)*AJ680))*Timeline!AJ64</f>
        <v>0</v>
      </c>
      <c r="AK703" s="10">
        <f>IF(AK$4=0, AK563, IF($G703=0, 0, (AK448+AK471+AK494*$F703+AJ749)*AK680))*Timeline!AK64</f>
        <v>0</v>
      </c>
      <c r="AL703" s="10">
        <f>IF(AL$4=0, AL563, IF($G703=0, 0, (AL448+AL471+AL494*$F703+AK749)*AL680))*Timeline!AL64</f>
        <v>0</v>
      </c>
      <c r="AM703" s="10">
        <f>IF(AM$4=0, AM563, IF($G703=0, 0, (AM448+AM471+AM494*$F703+AL749)*AM680))*Timeline!AM64</f>
        <v>0</v>
      </c>
      <c r="AN703" s="10">
        <f>IF(AN$4=0, AN563, IF($G703=0, 0, (AN448+AN471+AN494*$F703+AM749)*AN680))*Timeline!AN64</f>
        <v>0</v>
      </c>
      <c r="AO703" s="10">
        <f>IF(AO$4=0, AO563, IF($G703=0, 0, (AO448+AO471+AO494*$F703+AN749)*AO680))*Timeline!AO64</f>
        <v>0</v>
      </c>
      <c r="AP703" s="10">
        <f>IF(AP$4=0, AP563, IF($G703=0, 0, (AP448+AP471+AP494*$F703+AO749)*AP680))*Timeline!AP64</f>
        <v>0</v>
      </c>
      <c r="AQ703" s="10">
        <f>IF(AQ$4=0, AQ563, IF($G703=0, 0, (AQ448+AQ471+AQ494*$F703+AP749)*AQ680))*Timeline!AQ64</f>
        <v>0</v>
      </c>
      <c r="AR703" s="10">
        <f>IF(AR$4=0, AR563, IF($G703=0, 0, (AR448+AR471+AR494*$F703+AQ749)*AR680))*Timeline!AR64</f>
        <v>0</v>
      </c>
      <c r="AS703" s="10">
        <f>IF(AS$4=0, AS563, IF($G703=0, 0, (AS448+AS471+AS494*$F703+AR749)*AS680))*Timeline!AS64</f>
        <v>0</v>
      </c>
      <c r="AT703" s="10">
        <f>IF(AT$4=0, AT563, IF($G703=0, 0, (AT448+AT471+AT494*$F703+AS749)*AT680))*Timeline!AT64</f>
        <v>0</v>
      </c>
      <c r="AU703" s="10">
        <f>IF(AU$4=0, AU563, IF($G703=0, 0, (AU448+AU471+AU494*$F703+AT749)*AU680))*Timeline!AU64</f>
        <v>0</v>
      </c>
      <c r="AV703" s="10">
        <f>IF(AV$4=0, AV563, IF($G703=0, 0, (AV448+AV471+AV494*$F703+AU749)*AV680))*Timeline!AV64</f>
        <v>0</v>
      </c>
      <c r="AW703" s="10">
        <f>IF(AW$4=0, AW563, IF($G703=0, 0, (AW448+AW471+AW494*$F703+AV749)*AW680))*Timeline!AW64</f>
        <v>0</v>
      </c>
      <c r="AX703" s="10">
        <f>IF(AX$4=0, AX563, IF($G703=0, 0, (AX448+AX471+AX494*$F703+AW749)*AX680))*Timeline!AX64</f>
        <v>0</v>
      </c>
      <c r="AY703" s="10">
        <f>IF(AY$4=0, AY563, IF($G703=0, 0, (AY448+AY471+AY494*$F703+AX749)*AY680))*Timeline!AY64</f>
        <v>0</v>
      </c>
      <c r="AZ703" s="10">
        <f>IF(AZ$4=0, AZ563, IF($G703=0, 0, (AZ448+AZ471+AZ494*$F703+AY749)*AZ680))*Timeline!AZ64</f>
        <v>0</v>
      </c>
      <c r="BA703" s="10">
        <f>IF(BA$4=0, BA563, IF($G703=0, 0, (BA448+BA471+BA494*$F703+AZ749)*BA680))*Timeline!BA64</f>
        <v>0</v>
      </c>
      <c r="BB703" s="10">
        <f>IF(BB$4=0, BB563, IF($G703=0, 0, (BB448+BB471+BB494*$F703+BA749)*BB680))*Timeline!BB64</f>
        <v>0</v>
      </c>
      <c r="BC703" s="10">
        <f>IF(BC$4=0, BC563, IF($G703=0, 0, (BC448+BC471+BC494*$F703+BB749)*BC680))*Timeline!BC64</f>
        <v>0</v>
      </c>
      <c r="BD703" s="10">
        <f>IF(BD$4=0, BD563, IF($G703=0, 0, (BD448+BD471+BD494*$F703+BC749)*BD680))*Timeline!BD64</f>
        <v>0</v>
      </c>
      <c r="BE703" s="10">
        <f>IF(BE$4=0, BE563, IF($G703=0, 0, (BE448+BE471+BE494*$F703+BD749)*BE680))*Timeline!BE64</f>
        <v>0</v>
      </c>
      <c r="BF703" s="10">
        <f>IF(BF$4=0, BF563, IF($G703=0, 0, (BF448+BF471+BF494*$F703+BE749)*BF680))*Timeline!BF64</f>
        <v>0</v>
      </c>
      <c r="BG703" s="10">
        <f>IF(BG$4=0, BG563, IF($G703=0, 0, (BG448+BG471+BG494*$F703+BF749)*BG680))*Timeline!BG64</f>
        <v>0</v>
      </c>
      <c r="BH703" s="10">
        <f>IF(BH$4=0, BH563, IF($G703=0, 0, (BH448+BH471+BH494*$F703+BG749)*BH680))*Timeline!BH64</f>
        <v>0</v>
      </c>
      <c r="BI703" s="10">
        <f>IF(BI$4=0, BI563, IF($G703=0, 0, (BI448+BI471+BI494*$F703+BH749)*BI680))*Timeline!BI64</f>
        <v>0</v>
      </c>
      <c r="BJ703" s="10">
        <f>IF(BJ$4=0, BJ563, IF($G703=0, 0, (BJ448+BJ471+BJ494*$F703+BI749)*BJ680))*Timeline!BJ64</f>
        <v>0</v>
      </c>
      <c r="BL703" s="13">
        <f t="shared" si="911"/>
        <v>0</v>
      </c>
      <c r="BM703" s="13">
        <f t="shared" si="912"/>
        <v>0</v>
      </c>
      <c r="BN703" s="13">
        <f t="shared" si="913"/>
        <v>0</v>
      </c>
      <c r="BO703" s="13">
        <f t="shared" si="914"/>
        <v>0</v>
      </c>
      <c r="BP703" s="136"/>
      <c r="BQ703" s="136"/>
      <c r="BR703" s="136"/>
      <c r="BS703" s="136"/>
      <c r="BT703" s="136"/>
      <c r="BU703" s="136"/>
      <c r="BV703" s="136"/>
      <c r="BW703" s="136"/>
      <c r="BY703" s="12"/>
      <c r="CA703" s="12"/>
      <c r="CJ703" s="162"/>
      <c r="CK703" s="188">
        <f t="shared" si="915"/>
        <v>0</v>
      </c>
      <c r="CR703" s="12"/>
      <c r="EX703" s="10" t="str">
        <f t="shared" si="916"/>
        <v/>
      </c>
    </row>
    <row r="704" spans="1:154" x14ac:dyDescent="0.25">
      <c r="A704" s="362" cm="1">
        <f t="array" aca="1" ref="A704" ca="1">HYPERLINK(CONCATENATE("#",CELL("address",IF(SUM($CA704:$CR704)=0,A704,INDEX($CA704:$CR704,MATCH(1,$CA704:$CR704,0))))),SUM($CA704:$CR704))</f>
        <v>0</v>
      </c>
      <c r="B704" s="84" t="str" cm="1">
        <f t="array" aca="1" ref="B704" ca="1">HYPERLINK(CONCATENATE("#",CELL("address",$D$389)),$D$389)</f>
        <v>Loan 19</v>
      </c>
      <c r="C704" s="380"/>
      <c r="D704" s="221">
        <f>D$31</f>
        <v>0</v>
      </c>
      <c r="E704" s="60">
        <f>E$31</f>
        <v>0</v>
      </c>
      <c r="F704" s="10">
        <f>T$31</f>
        <v>0</v>
      </c>
      <c r="G704" s="10">
        <f>P$31</f>
        <v>0</v>
      </c>
      <c r="H704" s="50" t="s">
        <v>125</v>
      </c>
      <c r="S704" s="335"/>
      <c r="T704" s="335"/>
      <c r="U704" s="335"/>
      <c r="V704" s="13">
        <f t="shared" si="909"/>
        <v>0</v>
      </c>
      <c r="W704" s="215">
        <f t="shared" si="910"/>
        <v>0</v>
      </c>
      <c r="X704" s="215">
        <f t="shared" si="910"/>
        <v>0</v>
      </c>
      <c r="Y704" s="215">
        <f t="shared" si="910"/>
        <v>0</v>
      </c>
      <c r="AA704" s="10">
        <f>IF(AA$4=0, AA564, IF($G704=0, 0, (AA449+AA472+AA495*$F704+Z750)*AA681))*Timeline!AA65</f>
        <v>0</v>
      </c>
      <c r="AB704" s="10">
        <f>IF(AB$4=0, AB564, IF($G704=0, 0, (AB449+AB472+AB495*$F704+AA750)*AB681))*Timeline!AB65</f>
        <v>0</v>
      </c>
      <c r="AC704" s="10">
        <f>IF(AC$4=0, AC564, IF($G704=0, 0, (AC449+AC472+AC495*$F704+AB750)*AC681))*Timeline!AC65</f>
        <v>0</v>
      </c>
      <c r="AD704" s="10">
        <f>IF(AD$4=0, AD564, IF($G704=0, 0, (AD449+AD472+AD495*$F704+AC750)*AD681))*Timeline!AD65</f>
        <v>0</v>
      </c>
      <c r="AE704" s="10">
        <f>IF(AE$4=0, AE564, IF($G704=0, 0, (AE449+AE472+AE495*$F704+AD750)*AE681))*Timeline!AE65</f>
        <v>0</v>
      </c>
      <c r="AF704" s="10">
        <f>IF(AF$4=0, AF564, IF($G704=0, 0, (AF449+AF472+AF495*$F704+AE750)*AF681))*Timeline!AF65</f>
        <v>0</v>
      </c>
      <c r="AG704" s="10">
        <f>IF(AG$4=0, AG564, IF($G704=0, 0, (AG449+AG472+AG495*$F704+AF750)*AG681))*Timeline!AG65</f>
        <v>0</v>
      </c>
      <c r="AH704" s="10">
        <f>IF(AH$4=0, AH564, IF($G704=0, 0, (AH449+AH472+AH495*$F704+AG750)*AH681))*Timeline!AH65</f>
        <v>0</v>
      </c>
      <c r="AI704" s="10">
        <f>IF(AI$4=0, AI564, IF($G704=0, 0, (AI449+AI472+AI495*$F704+AH750)*AI681))*Timeline!AI65</f>
        <v>0</v>
      </c>
      <c r="AJ704" s="10">
        <f>IF(AJ$4=0, AJ564, IF($G704=0, 0, (AJ449+AJ472+AJ495*$F704+AI750)*AJ681))*Timeline!AJ65</f>
        <v>0</v>
      </c>
      <c r="AK704" s="10">
        <f>IF(AK$4=0, AK564, IF($G704=0, 0, (AK449+AK472+AK495*$F704+AJ750)*AK681))*Timeline!AK65</f>
        <v>0</v>
      </c>
      <c r="AL704" s="10">
        <f>IF(AL$4=0, AL564, IF($G704=0, 0, (AL449+AL472+AL495*$F704+AK750)*AL681))*Timeline!AL65</f>
        <v>0</v>
      </c>
      <c r="AM704" s="10">
        <f>IF(AM$4=0, AM564, IF($G704=0, 0, (AM449+AM472+AM495*$F704+AL750)*AM681))*Timeline!AM65</f>
        <v>0</v>
      </c>
      <c r="AN704" s="10">
        <f>IF(AN$4=0, AN564, IF($G704=0, 0, (AN449+AN472+AN495*$F704+AM750)*AN681))*Timeline!AN65</f>
        <v>0</v>
      </c>
      <c r="AO704" s="10">
        <f>IF(AO$4=0, AO564, IF($G704=0, 0, (AO449+AO472+AO495*$F704+AN750)*AO681))*Timeline!AO65</f>
        <v>0</v>
      </c>
      <c r="AP704" s="10">
        <f>IF(AP$4=0, AP564, IF($G704=0, 0, (AP449+AP472+AP495*$F704+AO750)*AP681))*Timeline!AP65</f>
        <v>0</v>
      </c>
      <c r="AQ704" s="10">
        <f>IF(AQ$4=0, AQ564, IF($G704=0, 0, (AQ449+AQ472+AQ495*$F704+AP750)*AQ681))*Timeline!AQ65</f>
        <v>0</v>
      </c>
      <c r="AR704" s="10">
        <f>IF(AR$4=0, AR564, IF($G704=0, 0, (AR449+AR472+AR495*$F704+AQ750)*AR681))*Timeline!AR65</f>
        <v>0</v>
      </c>
      <c r="AS704" s="10">
        <f>IF(AS$4=0, AS564, IF($G704=0, 0, (AS449+AS472+AS495*$F704+AR750)*AS681))*Timeline!AS65</f>
        <v>0</v>
      </c>
      <c r="AT704" s="10">
        <f>IF(AT$4=0, AT564, IF($G704=0, 0, (AT449+AT472+AT495*$F704+AS750)*AT681))*Timeline!AT65</f>
        <v>0</v>
      </c>
      <c r="AU704" s="10">
        <f>IF(AU$4=0, AU564, IF($G704=0, 0, (AU449+AU472+AU495*$F704+AT750)*AU681))*Timeline!AU65</f>
        <v>0</v>
      </c>
      <c r="AV704" s="10">
        <f>IF(AV$4=0, AV564, IF($G704=0, 0, (AV449+AV472+AV495*$F704+AU750)*AV681))*Timeline!AV65</f>
        <v>0</v>
      </c>
      <c r="AW704" s="10">
        <f>IF(AW$4=0, AW564, IF($G704=0, 0, (AW449+AW472+AW495*$F704+AV750)*AW681))*Timeline!AW65</f>
        <v>0</v>
      </c>
      <c r="AX704" s="10">
        <f>IF(AX$4=0, AX564, IF($G704=0, 0, (AX449+AX472+AX495*$F704+AW750)*AX681))*Timeline!AX65</f>
        <v>0</v>
      </c>
      <c r="AY704" s="10">
        <f>IF(AY$4=0, AY564, IF($G704=0, 0, (AY449+AY472+AY495*$F704+AX750)*AY681))*Timeline!AY65</f>
        <v>0</v>
      </c>
      <c r="AZ704" s="10">
        <f>IF(AZ$4=0, AZ564, IF($G704=0, 0, (AZ449+AZ472+AZ495*$F704+AY750)*AZ681))*Timeline!AZ65</f>
        <v>0</v>
      </c>
      <c r="BA704" s="10">
        <f>IF(BA$4=0, BA564, IF($G704=0, 0, (BA449+BA472+BA495*$F704+AZ750)*BA681))*Timeline!BA65</f>
        <v>0</v>
      </c>
      <c r="BB704" s="10">
        <f>IF(BB$4=0, BB564, IF($G704=0, 0, (BB449+BB472+BB495*$F704+BA750)*BB681))*Timeline!BB65</f>
        <v>0</v>
      </c>
      <c r="BC704" s="10">
        <f>IF(BC$4=0, BC564, IF($G704=0, 0, (BC449+BC472+BC495*$F704+BB750)*BC681))*Timeline!BC65</f>
        <v>0</v>
      </c>
      <c r="BD704" s="10">
        <f>IF(BD$4=0, BD564, IF($G704=0, 0, (BD449+BD472+BD495*$F704+BC750)*BD681))*Timeline!BD65</f>
        <v>0</v>
      </c>
      <c r="BE704" s="10">
        <f>IF(BE$4=0, BE564, IF($G704=0, 0, (BE449+BE472+BE495*$F704+BD750)*BE681))*Timeline!BE65</f>
        <v>0</v>
      </c>
      <c r="BF704" s="10">
        <f>IF(BF$4=0, BF564, IF($G704=0, 0, (BF449+BF472+BF495*$F704+BE750)*BF681))*Timeline!BF65</f>
        <v>0</v>
      </c>
      <c r="BG704" s="10">
        <f>IF(BG$4=0, BG564, IF($G704=0, 0, (BG449+BG472+BG495*$F704+BF750)*BG681))*Timeline!BG65</f>
        <v>0</v>
      </c>
      <c r="BH704" s="10">
        <f>IF(BH$4=0, BH564, IF($G704=0, 0, (BH449+BH472+BH495*$F704+BG750)*BH681))*Timeline!BH65</f>
        <v>0</v>
      </c>
      <c r="BI704" s="10">
        <f>IF(BI$4=0, BI564, IF($G704=0, 0, (BI449+BI472+BI495*$F704+BH750)*BI681))*Timeline!BI65</f>
        <v>0</v>
      </c>
      <c r="BJ704" s="10">
        <f>IF(BJ$4=0, BJ564, IF($G704=0, 0, (BJ449+BJ472+BJ495*$F704+BI750)*BJ681))*Timeline!BJ65</f>
        <v>0</v>
      </c>
      <c r="BL704" s="13">
        <f t="shared" si="911"/>
        <v>0</v>
      </c>
      <c r="BM704" s="13">
        <f t="shared" si="912"/>
        <v>0</v>
      </c>
      <c r="BN704" s="13">
        <f t="shared" si="913"/>
        <v>0</v>
      </c>
      <c r="BO704" s="13">
        <f t="shared" si="914"/>
        <v>0</v>
      </c>
      <c r="BP704" s="136"/>
      <c r="BQ704" s="136"/>
      <c r="BR704" s="136"/>
      <c r="BS704" s="136"/>
      <c r="BT704" s="136"/>
      <c r="BU704" s="136"/>
      <c r="BV704" s="136"/>
      <c r="BW704" s="136"/>
      <c r="BY704" s="12"/>
      <c r="CA704" s="12"/>
      <c r="CJ704" s="162"/>
      <c r="CK704" s="188">
        <f t="shared" si="915"/>
        <v>0</v>
      </c>
      <c r="CR704" s="12"/>
      <c r="EX704" s="10" t="str">
        <f t="shared" si="916"/>
        <v/>
      </c>
    </row>
    <row r="705" spans="1:154" x14ac:dyDescent="0.25">
      <c r="A705" s="362" cm="1">
        <f t="array" aca="1" ref="A705" ca="1">HYPERLINK(CONCATENATE("#",CELL("address",IF(SUM($CA705:$CR705)=0,A705,INDEX($CA705:$CR705,MATCH(1,$CA705:$CR705,0))))),SUM($CA705:$CR705))</f>
        <v>0</v>
      </c>
      <c r="B705" s="84" t="str" cm="1">
        <f t="array" aca="1" ref="B705" ca="1">HYPERLINK(CONCATENATE("#",CELL("address",$D$408)),$D$408)</f>
        <v>Loan 20</v>
      </c>
      <c r="C705" s="380"/>
      <c r="D705" s="221">
        <f>D$32</f>
        <v>0</v>
      </c>
      <c r="E705" s="60">
        <f>E$32</f>
        <v>0</v>
      </c>
      <c r="F705" s="10">
        <f>T$32</f>
        <v>0</v>
      </c>
      <c r="G705" s="10">
        <f>P$32</f>
        <v>0</v>
      </c>
      <c r="H705" s="50" t="s">
        <v>125</v>
      </c>
      <c r="S705" s="335"/>
      <c r="T705" s="335"/>
      <c r="U705" s="335"/>
      <c r="V705" s="13">
        <f t="shared" si="909"/>
        <v>0</v>
      </c>
      <c r="W705" s="215">
        <f t="shared" si="910"/>
        <v>0</v>
      </c>
      <c r="X705" s="215">
        <f t="shared" si="910"/>
        <v>0</v>
      </c>
      <c r="Y705" s="215">
        <f t="shared" si="910"/>
        <v>0</v>
      </c>
      <c r="AA705" s="10">
        <f>IF(AA$4=0, AA565, IF($G705=0, 0, (AA450+AA473+AA496*$F705+Z751)*AA682))*Timeline!AA66</f>
        <v>0</v>
      </c>
      <c r="AB705" s="10">
        <f>IF(AB$4=0, AB565, IF($G705=0, 0, (AB450+AB473+AB496*$F705+AA751)*AB682))*Timeline!AB66</f>
        <v>0</v>
      </c>
      <c r="AC705" s="10">
        <f>IF(AC$4=0, AC565, IF($G705=0, 0, (AC450+AC473+AC496*$F705+AB751)*AC682))*Timeline!AC66</f>
        <v>0</v>
      </c>
      <c r="AD705" s="10">
        <f>IF(AD$4=0, AD565, IF($G705=0, 0, (AD450+AD473+AD496*$F705+AC751)*AD682))*Timeline!AD66</f>
        <v>0</v>
      </c>
      <c r="AE705" s="10">
        <f>IF(AE$4=0, AE565, IF($G705=0, 0, (AE450+AE473+AE496*$F705+AD751)*AE682))*Timeline!AE66</f>
        <v>0</v>
      </c>
      <c r="AF705" s="10">
        <f>IF(AF$4=0, AF565, IF($G705=0, 0, (AF450+AF473+AF496*$F705+AE751)*AF682))*Timeline!AF66</f>
        <v>0</v>
      </c>
      <c r="AG705" s="10">
        <f>IF(AG$4=0, AG565, IF($G705=0, 0, (AG450+AG473+AG496*$F705+AF751)*AG682))*Timeline!AG66</f>
        <v>0</v>
      </c>
      <c r="AH705" s="10">
        <f>IF(AH$4=0, AH565, IF($G705=0, 0, (AH450+AH473+AH496*$F705+AG751)*AH682))*Timeline!AH66</f>
        <v>0</v>
      </c>
      <c r="AI705" s="10">
        <f>IF(AI$4=0, AI565, IF($G705=0, 0, (AI450+AI473+AI496*$F705+AH751)*AI682))*Timeline!AI66</f>
        <v>0</v>
      </c>
      <c r="AJ705" s="10">
        <f>IF(AJ$4=0, AJ565, IF($G705=0, 0, (AJ450+AJ473+AJ496*$F705+AI751)*AJ682))*Timeline!AJ66</f>
        <v>0</v>
      </c>
      <c r="AK705" s="10">
        <f>IF(AK$4=0, AK565, IF($G705=0, 0, (AK450+AK473+AK496*$F705+AJ751)*AK682))*Timeline!AK66</f>
        <v>0</v>
      </c>
      <c r="AL705" s="10">
        <f>IF(AL$4=0, AL565, IF($G705=0, 0, (AL450+AL473+AL496*$F705+AK751)*AL682))*Timeline!AL66</f>
        <v>0</v>
      </c>
      <c r="AM705" s="10">
        <f>IF(AM$4=0, AM565, IF($G705=0, 0, (AM450+AM473+AM496*$F705+AL751)*AM682))*Timeline!AM66</f>
        <v>0</v>
      </c>
      <c r="AN705" s="10">
        <f>IF(AN$4=0, AN565, IF($G705=0, 0, (AN450+AN473+AN496*$F705+AM751)*AN682))*Timeline!AN66</f>
        <v>0</v>
      </c>
      <c r="AO705" s="10">
        <f>IF(AO$4=0, AO565, IF($G705=0, 0, (AO450+AO473+AO496*$F705+AN751)*AO682))*Timeline!AO66</f>
        <v>0</v>
      </c>
      <c r="AP705" s="10">
        <f>IF(AP$4=0, AP565, IF($G705=0, 0, (AP450+AP473+AP496*$F705+AO751)*AP682))*Timeline!AP66</f>
        <v>0</v>
      </c>
      <c r="AQ705" s="10">
        <f>IF(AQ$4=0, AQ565, IF($G705=0, 0, (AQ450+AQ473+AQ496*$F705+AP751)*AQ682))*Timeline!AQ66</f>
        <v>0</v>
      </c>
      <c r="AR705" s="10">
        <f>IF(AR$4=0, AR565, IF($G705=0, 0, (AR450+AR473+AR496*$F705+AQ751)*AR682))*Timeline!AR66</f>
        <v>0</v>
      </c>
      <c r="AS705" s="10">
        <f>IF(AS$4=0, AS565, IF($G705=0, 0, (AS450+AS473+AS496*$F705+AR751)*AS682))*Timeline!AS66</f>
        <v>0</v>
      </c>
      <c r="AT705" s="10">
        <f>IF(AT$4=0, AT565, IF($G705=0, 0, (AT450+AT473+AT496*$F705+AS751)*AT682))*Timeline!AT66</f>
        <v>0</v>
      </c>
      <c r="AU705" s="10">
        <f>IF(AU$4=0, AU565, IF($G705=0, 0, (AU450+AU473+AU496*$F705+AT751)*AU682))*Timeline!AU66</f>
        <v>0</v>
      </c>
      <c r="AV705" s="10">
        <f>IF(AV$4=0, AV565, IF($G705=0, 0, (AV450+AV473+AV496*$F705+AU751)*AV682))*Timeline!AV66</f>
        <v>0</v>
      </c>
      <c r="AW705" s="10">
        <f>IF(AW$4=0, AW565, IF($G705=0, 0, (AW450+AW473+AW496*$F705+AV751)*AW682))*Timeline!AW66</f>
        <v>0</v>
      </c>
      <c r="AX705" s="10">
        <f>IF(AX$4=0, AX565, IF($G705=0, 0, (AX450+AX473+AX496*$F705+AW751)*AX682))*Timeline!AX66</f>
        <v>0</v>
      </c>
      <c r="AY705" s="10">
        <f>IF(AY$4=0, AY565, IF($G705=0, 0, (AY450+AY473+AY496*$F705+AX751)*AY682))*Timeline!AY66</f>
        <v>0</v>
      </c>
      <c r="AZ705" s="10">
        <f>IF(AZ$4=0, AZ565, IF($G705=0, 0, (AZ450+AZ473+AZ496*$F705+AY751)*AZ682))*Timeline!AZ66</f>
        <v>0</v>
      </c>
      <c r="BA705" s="10">
        <f>IF(BA$4=0, BA565, IF($G705=0, 0, (BA450+BA473+BA496*$F705+AZ751)*BA682))*Timeline!BA66</f>
        <v>0</v>
      </c>
      <c r="BB705" s="10">
        <f>IF(BB$4=0, BB565, IF($G705=0, 0, (BB450+BB473+BB496*$F705+BA751)*BB682))*Timeline!BB66</f>
        <v>0</v>
      </c>
      <c r="BC705" s="10">
        <f>IF(BC$4=0, BC565, IF($G705=0, 0, (BC450+BC473+BC496*$F705+BB751)*BC682))*Timeline!BC66</f>
        <v>0</v>
      </c>
      <c r="BD705" s="10">
        <f>IF(BD$4=0, BD565, IF($G705=0, 0, (BD450+BD473+BD496*$F705+BC751)*BD682))*Timeline!BD66</f>
        <v>0</v>
      </c>
      <c r="BE705" s="10">
        <f>IF(BE$4=0, BE565, IF($G705=0, 0, (BE450+BE473+BE496*$F705+BD751)*BE682))*Timeline!BE66</f>
        <v>0</v>
      </c>
      <c r="BF705" s="10">
        <f>IF(BF$4=0, BF565, IF($G705=0, 0, (BF450+BF473+BF496*$F705+BE751)*BF682))*Timeline!BF66</f>
        <v>0</v>
      </c>
      <c r="BG705" s="10">
        <f>IF(BG$4=0, BG565, IF($G705=0, 0, (BG450+BG473+BG496*$F705+BF751)*BG682))*Timeline!BG66</f>
        <v>0</v>
      </c>
      <c r="BH705" s="10">
        <f>IF(BH$4=0, BH565, IF($G705=0, 0, (BH450+BH473+BH496*$F705+BG751)*BH682))*Timeline!BH66</f>
        <v>0</v>
      </c>
      <c r="BI705" s="10">
        <f>IF(BI$4=0, BI565, IF($G705=0, 0, (BI450+BI473+BI496*$F705+BH751)*BI682))*Timeline!BI66</f>
        <v>0</v>
      </c>
      <c r="BJ705" s="10">
        <f>IF(BJ$4=0, BJ565, IF($G705=0, 0, (BJ450+BJ473+BJ496*$F705+BI751)*BJ682))*Timeline!BJ66</f>
        <v>0</v>
      </c>
      <c r="BL705" s="13">
        <f t="shared" si="911"/>
        <v>0</v>
      </c>
      <c r="BM705" s="13">
        <f t="shared" si="912"/>
        <v>0</v>
      </c>
      <c r="BN705" s="13">
        <f t="shared" si="913"/>
        <v>0</v>
      </c>
      <c r="BO705" s="13">
        <f t="shared" si="914"/>
        <v>0</v>
      </c>
      <c r="BP705" s="136"/>
      <c r="BQ705" s="136"/>
      <c r="BR705" s="136"/>
      <c r="BS705" s="136"/>
      <c r="BT705" s="136"/>
      <c r="BU705" s="136"/>
      <c r="BV705" s="136"/>
      <c r="BW705" s="136"/>
      <c r="BY705" s="12"/>
      <c r="CA705" s="12"/>
      <c r="CJ705" s="162"/>
      <c r="CK705" s="188">
        <f t="shared" si="915"/>
        <v>0</v>
      </c>
      <c r="CR705" s="12"/>
      <c r="EX705" s="10" t="str">
        <f t="shared" si="916"/>
        <v/>
      </c>
    </row>
    <row r="706" spans="1:154" s="67" customFormat="1" ht="6.6" customHeight="1" x14ac:dyDescent="0.25">
      <c r="C706" s="380"/>
      <c r="D706" s="1"/>
      <c r="S706" s="335"/>
      <c r="T706" s="335"/>
      <c r="U706" s="335"/>
      <c r="BM706" s="6"/>
      <c r="BY706" s="42"/>
      <c r="BZ706" s="335"/>
      <c r="CA706" s="42"/>
      <c r="CB706" s="335"/>
      <c r="CC706" s="335"/>
      <c r="CD706" s="335"/>
      <c r="CE706" s="335"/>
      <c r="CJ706" s="162"/>
      <c r="CM706" s="335"/>
      <c r="CN706" s="335"/>
      <c r="CO706" s="335"/>
      <c r="CP706" s="335"/>
      <c r="CR706" s="42"/>
      <c r="CT706" s="335"/>
      <c r="CU706" s="335"/>
      <c r="EW706" s="335"/>
      <c r="EX706" s="10" t="str">
        <f t="shared" si="916"/>
        <v/>
      </c>
    </row>
    <row r="707" spans="1:154" s="67" customFormat="1" x14ac:dyDescent="0.25">
      <c r="C707" s="380"/>
      <c r="D707" s="61" t="s">
        <v>546</v>
      </c>
      <c r="S707" s="335"/>
      <c r="T707" s="335"/>
      <c r="U707" s="335"/>
      <c r="Z707" s="329"/>
      <c r="AA707" s="329"/>
      <c r="AB707" s="329"/>
      <c r="AC707" s="329"/>
      <c r="AD707" s="329"/>
      <c r="AE707" s="329"/>
      <c r="AF707" s="329"/>
      <c r="AG707" s="329"/>
      <c r="AH707" s="329"/>
      <c r="AI707" s="329"/>
      <c r="AJ707" s="329"/>
      <c r="AK707" s="329"/>
      <c r="AL707" s="329"/>
      <c r="AM707" s="329"/>
      <c r="AN707" s="329"/>
      <c r="AO707" s="329"/>
      <c r="AP707" s="329"/>
      <c r="AQ707" s="329"/>
      <c r="AR707" s="329"/>
      <c r="AS707" s="329"/>
      <c r="AT707" s="329"/>
      <c r="AU707" s="329"/>
      <c r="AV707" s="329"/>
      <c r="AW707" s="329"/>
      <c r="AX707" s="329"/>
      <c r="AY707" s="329"/>
      <c r="BY707" s="12"/>
      <c r="BZ707" s="335"/>
      <c r="CA707" s="12"/>
      <c r="CB707" s="335"/>
      <c r="CC707" s="335"/>
      <c r="CD707" s="335"/>
      <c r="CE707" s="335"/>
      <c r="CJ707" s="162"/>
      <c r="CM707" s="335"/>
      <c r="CN707" s="335"/>
      <c r="CO707" s="335"/>
      <c r="CP707" s="335"/>
      <c r="CR707" s="12"/>
      <c r="CT707" s="335"/>
      <c r="CU707" s="335"/>
      <c r="EW707" s="335"/>
      <c r="EX707" s="10" t="str">
        <f t="shared" si="916"/>
        <v/>
      </c>
    </row>
    <row r="708" spans="1:154" s="162" customFormat="1" ht="45" x14ac:dyDescent="0.25">
      <c r="B708" s="138" t="s">
        <v>551</v>
      </c>
      <c r="C708" s="380"/>
      <c r="D708" s="138" t="str">
        <f>D$11</f>
        <v>Lender</v>
      </c>
      <c r="E708" s="74" t="str">
        <f>E$11</f>
        <v>Loan Category</v>
      </c>
      <c r="F708" s="168" t="s">
        <v>555</v>
      </c>
      <c r="G708" s="168"/>
      <c r="S708" s="335"/>
      <c r="T708" s="335"/>
      <c r="U708" s="335"/>
      <c r="AA708" s="170" t="s">
        <v>335</v>
      </c>
      <c r="BY708" s="163"/>
      <c r="CA708" s="163"/>
      <c r="CR708" s="163"/>
      <c r="EX708" s="10" t="str">
        <f t="shared" si="916"/>
        <v/>
      </c>
    </row>
    <row r="709" spans="1:154" s="67" customFormat="1" x14ac:dyDescent="0.25">
      <c r="A709" s="162"/>
      <c r="B709" s="84" t="str" cm="1">
        <f t="array" aca="1" ref="B709" ca="1">HYPERLINK(CONCATENATE("#",CELL("address",$D$47)),$D$47)</f>
        <v>Loan 1</v>
      </c>
      <c r="C709" s="380"/>
      <c r="D709" s="221" t="str">
        <f>D$13</f>
        <v>NatWest</v>
      </c>
      <c r="E709" s="60" t="str">
        <f>E$13</f>
        <v xml:space="preserve">Commercial </v>
      </c>
      <c r="F709" s="201">
        <f t="shared" ref="F709:F728" si="917">R13</f>
        <v>0</v>
      </c>
      <c r="H709" s="50" t="s">
        <v>125</v>
      </c>
      <c r="I709" s="65"/>
      <c r="S709" s="335"/>
      <c r="T709" s="335"/>
      <c r="U709" s="335"/>
      <c r="V709" s="136"/>
      <c r="W709" s="215">
        <f t="shared" ref="W709:Y728" si="918" xml:space="preserve"> SUMIFS($AA709:$BJ709, $AA$3:$BJ$3, W$3)</f>
        <v>0</v>
      </c>
      <c r="X709" s="215">
        <f t="shared" si="918"/>
        <v>0</v>
      </c>
      <c r="Y709" s="215">
        <f t="shared" si="918"/>
        <v>0</v>
      </c>
      <c r="Z709" s="162"/>
      <c r="AA709" s="201">
        <f>IF(Timeline!AA208=1, SUM($AA686:AA686)-SUM($Z709:Z709),0)</f>
        <v>0</v>
      </c>
      <c r="AB709" s="201">
        <f>IF(Timeline!AB208=1, SUM($AA686:AB686)-SUM($Z709:AA709),0)</f>
        <v>0</v>
      </c>
      <c r="AC709" s="201">
        <f>IF(Timeline!AC208=1, SUM($AA686:AC686)-SUM($Z709:AB709),0)</f>
        <v>0</v>
      </c>
      <c r="AD709" s="201">
        <f>IF(Timeline!AD208=1, SUM($AA686:AD686)-SUM($Z709:AC709),0)</f>
        <v>0</v>
      </c>
      <c r="AE709" s="201">
        <f>IF(Timeline!AE208=1, SUM($AA686:AE686)-SUM($Z709:AD709),0)</f>
        <v>0</v>
      </c>
      <c r="AF709" s="201">
        <f>IF(Timeline!AF208=1, SUM($AA686:AF686)-SUM($Z709:AE709),0)</f>
        <v>0</v>
      </c>
      <c r="AG709" s="201">
        <f>IF(Timeline!AG208=1, SUM($AA686:AG686)-SUM($Z709:AF709),0)</f>
        <v>0</v>
      </c>
      <c r="AH709" s="201">
        <f>IF(Timeline!AH208=1, SUM($AA686:AH686)-SUM($Z709:AG709),0)</f>
        <v>0</v>
      </c>
      <c r="AI709" s="201">
        <f>IF(Timeline!AI208=1, SUM($AA686:AI686)-SUM($Z709:AH709),0)</f>
        <v>0</v>
      </c>
      <c r="AJ709" s="201">
        <f>IF(Timeline!AJ208=1, SUM($AA686:AJ686)-SUM($Z709:AI709),0)</f>
        <v>0</v>
      </c>
      <c r="AK709" s="201">
        <f>IF(Timeline!AK208=1, SUM($AA686:AK686)-SUM($Z709:AJ709),0)</f>
        <v>0</v>
      </c>
      <c r="AL709" s="201">
        <f>IF(Timeline!AL208=1, SUM($AA686:AL686)-SUM($Z709:AK709),0)</f>
        <v>0</v>
      </c>
      <c r="AM709" s="10">
        <f>IF(Timeline!AM208=1, SUM($AA686:AM686)-SUM($Z709:AL709),0)</f>
        <v>0</v>
      </c>
      <c r="AN709" s="10">
        <f>IF(Timeline!AN208=1, SUM($AA686:AN686)-SUM($Z709:AM709),0)</f>
        <v>0</v>
      </c>
      <c r="AO709" s="10">
        <f>IF(Timeline!AO208=1, SUM($AA686:AO686)-SUM($Z709:AN709),0)</f>
        <v>0</v>
      </c>
      <c r="AP709" s="10">
        <f>IF(Timeline!AP208=1, SUM($AA686:AP686)-SUM($Z709:AO709),0)</f>
        <v>0</v>
      </c>
      <c r="AQ709" s="10">
        <f>IF(Timeline!AQ208=1, SUM($AA686:AQ686)-SUM($Z709:AP709),0)</f>
        <v>0</v>
      </c>
      <c r="AR709" s="10">
        <f>IF(Timeline!AR208=1, SUM($AA686:AR686)-SUM($Z709:AQ709),0)</f>
        <v>0</v>
      </c>
      <c r="AS709" s="10">
        <f>IF(Timeline!AS208=1, SUM($AA686:AS686)-SUM($Z709:AR709),0)</f>
        <v>0</v>
      </c>
      <c r="AT709" s="10">
        <f>IF(Timeline!AT208=1, SUM($AA686:AT686)-SUM($Z709:AS709),0)</f>
        <v>0</v>
      </c>
      <c r="AU709" s="10">
        <f>IF(Timeline!AU208=1, SUM($AA686:AU686)-SUM($Z709:AT709),0)</f>
        <v>0</v>
      </c>
      <c r="AV709" s="10">
        <f>IF(Timeline!AV208=1, SUM($AA686:AV686)-SUM($Z709:AU709),0)</f>
        <v>0</v>
      </c>
      <c r="AW709" s="10">
        <f>IF(Timeline!AW208=1, SUM($AA686:AW686)-SUM($Z709:AV709),0)</f>
        <v>0</v>
      </c>
      <c r="AX709" s="10">
        <f>IF(Timeline!AX208=1, SUM($AA686:AX686)-SUM($Z709:AW709),0)</f>
        <v>0</v>
      </c>
      <c r="AY709" s="10">
        <f>IF(Timeline!AY208=1, SUM($AA686:AY686)-SUM($Z709:AX709),0)</f>
        <v>0</v>
      </c>
      <c r="AZ709" s="10">
        <f>IF(Timeline!AZ208=1, SUM($AA686:AZ686)-SUM($Z709:AY709),0)</f>
        <v>0</v>
      </c>
      <c r="BA709" s="10">
        <f>IF(Timeline!BA208=1, SUM($AA686:BA686)-SUM($Z709:AZ709),0)</f>
        <v>0</v>
      </c>
      <c r="BB709" s="10">
        <f>IF(Timeline!BB208=1, SUM($AA686:BB686)-SUM($Z709:BA709),0)</f>
        <v>0</v>
      </c>
      <c r="BC709" s="10">
        <f>IF(Timeline!BC208=1, SUM($AA686:BC686)-SUM($Z709:BB709),0)</f>
        <v>0</v>
      </c>
      <c r="BD709" s="10">
        <f>IF(Timeline!BD208=1, SUM($AA686:BD686)-SUM($Z709:BC709),0)</f>
        <v>0</v>
      </c>
      <c r="BE709" s="10">
        <f>IF(Timeline!BE208=1, SUM($AA686:BE686)-SUM($Z709:BD709),0)</f>
        <v>0</v>
      </c>
      <c r="BF709" s="10">
        <f>IF(Timeline!BF208=1, SUM($AA686:BF686)-SUM($Z709:BE709),0)</f>
        <v>0</v>
      </c>
      <c r="BG709" s="10">
        <f>IF(Timeline!BG208=1, SUM($AA686:BG686)-SUM($Z709:BF709),0)</f>
        <v>0</v>
      </c>
      <c r="BH709" s="10">
        <f>IF(Timeline!BH208=1, SUM($AA686:BH686)-SUM($Z709:BG709),0)</f>
        <v>0</v>
      </c>
      <c r="BI709" s="10">
        <f>IF(Timeline!BI208=1, SUM($AA686:BI686)-SUM($Z709:BH709),0)</f>
        <v>0</v>
      </c>
      <c r="BJ709" s="10">
        <f>IF(Timeline!BJ208=1, SUM($AA686:BJ686)-SUM($Z709:BI709),0)</f>
        <v>0</v>
      </c>
      <c r="BL709" s="136"/>
      <c r="BM709" s="13">
        <f t="shared" ref="BM709:BM728" si="919">W709</f>
        <v>0</v>
      </c>
      <c r="BN709" s="13">
        <f t="shared" ref="BN709:BN728" si="920">X709</f>
        <v>0</v>
      </c>
      <c r="BO709" s="13">
        <f t="shared" ref="BO709:BO728" si="921">Y709</f>
        <v>0</v>
      </c>
      <c r="BP709" s="136"/>
      <c r="BQ709" s="136"/>
      <c r="BR709" s="136"/>
      <c r="BS709" s="136"/>
      <c r="BT709" s="136"/>
      <c r="BU709" s="136"/>
      <c r="BV709" s="136"/>
      <c r="BW709" s="136"/>
      <c r="BY709" s="12"/>
      <c r="BZ709" s="335"/>
      <c r="CA709" s="12"/>
      <c r="CB709" s="335"/>
      <c r="CC709" s="335"/>
      <c r="CD709" s="335"/>
      <c r="CE709" s="335"/>
      <c r="CJ709" s="162"/>
      <c r="CK709" s="162"/>
      <c r="CM709" s="335"/>
      <c r="CN709" s="335"/>
      <c r="CO709" s="335"/>
      <c r="CP709" s="335"/>
      <c r="CR709" s="12"/>
      <c r="CT709" s="335"/>
      <c r="CU709" s="335"/>
      <c r="EW709" s="335"/>
      <c r="EX709" s="10" t="str">
        <f t="shared" si="916"/>
        <v/>
      </c>
    </row>
    <row r="710" spans="1:154" s="67" customFormat="1" x14ac:dyDescent="0.25">
      <c r="A710" s="162"/>
      <c r="B710" s="84" t="str" cm="1">
        <f t="array" aca="1" ref="B710" ca="1">HYPERLINK(CONCATENATE("#",CELL("address",$D$66)),$D$66)</f>
        <v>Loan 2</v>
      </c>
      <c r="C710" s="380"/>
      <c r="D710" s="221" t="str">
        <f>D$14</f>
        <v>NatWest</v>
      </c>
      <c r="E710" s="60" t="str">
        <f>E$14</f>
        <v xml:space="preserve">Commercial </v>
      </c>
      <c r="F710" s="10">
        <f t="shared" si="917"/>
        <v>0</v>
      </c>
      <c r="H710" s="50" t="s">
        <v>125</v>
      </c>
      <c r="S710" s="335"/>
      <c r="T710" s="335"/>
      <c r="U710" s="335"/>
      <c r="V710" s="136"/>
      <c r="W710" s="215">
        <f t="shared" si="918"/>
        <v>0</v>
      </c>
      <c r="X710" s="215">
        <f t="shared" si="918"/>
        <v>0</v>
      </c>
      <c r="Y710" s="215">
        <f t="shared" si="918"/>
        <v>0</v>
      </c>
      <c r="Z710" s="162"/>
      <c r="AA710" s="201">
        <f>IF(Timeline!AA209=1, SUM($AA687:AA687)-SUM($Z710:Z710),0)</f>
        <v>0</v>
      </c>
      <c r="AB710" s="10">
        <f>IF(Timeline!AB209=1, SUM($AA687:AB687)-SUM($Z710:AA710),0)</f>
        <v>0</v>
      </c>
      <c r="AC710" s="10">
        <f>IF(Timeline!AC209=1, SUM($AA687:AC687)-SUM($Z710:AB710),0)</f>
        <v>0</v>
      </c>
      <c r="AD710" s="10">
        <f>IF(Timeline!AD209=1, SUM($AA687:AD687)-SUM($Z710:AC710),0)</f>
        <v>0</v>
      </c>
      <c r="AE710" s="10">
        <f>IF(Timeline!AE209=1, SUM($AA687:AE687)-SUM($Z710:AD710),0)</f>
        <v>0</v>
      </c>
      <c r="AF710" s="10">
        <f>IF(Timeline!AF209=1, SUM($AA687:AF687)-SUM($Z710:AE710),0)</f>
        <v>0</v>
      </c>
      <c r="AG710" s="10">
        <f>IF(Timeline!AG209=1, SUM($AA687:AG687)-SUM($Z710:AF710),0)</f>
        <v>0</v>
      </c>
      <c r="AH710" s="10">
        <f>IF(Timeline!AH209=1, SUM($AA687:AH687)-SUM($Z710:AG710),0)</f>
        <v>0</v>
      </c>
      <c r="AI710" s="10">
        <f>IF(Timeline!AI209=1, SUM($AA687:AI687)-SUM($Z710:AH710),0)</f>
        <v>0</v>
      </c>
      <c r="AJ710" s="10">
        <f>IF(Timeline!AJ209=1, SUM($AA687:AJ687)-SUM($Z710:AI710),0)</f>
        <v>0</v>
      </c>
      <c r="AK710" s="10">
        <f>IF(Timeline!AK209=1, SUM($AA687:AK687)-SUM($Z710:AJ710),0)</f>
        <v>0</v>
      </c>
      <c r="AL710" s="10">
        <f>IF(Timeline!AL209=1, SUM($AA687:AL687)-SUM($Z710:AK710),0)</f>
        <v>0</v>
      </c>
      <c r="AM710" s="10">
        <f>IF(Timeline!AM209=1, SUM($AA687:AM687)-SUM($Z710:AL710),0)</f>
        <v>0</v>
      </c>
      <c r="AN710" s="10">
        <f>IF(Timeline!AN209=1, SUM($AA687:AN687)-SUM($Z710:AM710),0)</f>
        <v>0</v>
      </c>
      <c r="AO710" s="10">
        <f>IF(Timeline!AO209=1, SUM($AA687:AO687)-SUM($Z710:AN710),0)</f>
        <v>0</v>
      </c>
      <c r="AP710" s="10">
        <f>IF(Timeline!AP209=1, SUM($AA687:AP687)-SUM($Z710:AO710),0)</f>
        <v>0</v>
      </c>
      <c r="AQ710" s="10">
        <f>IF(Timeline!AQ209=1, SUM($AA687:AQ687)-SUM($Z710:AP710),0)</f>
        <v>0</v>
      </c>
      <c r="AR710" s="10">
        <f>IF(Timeline!AR209=1, SUM($AA687:AR687)-SUM($Z710:AQ710),0)</f>
        <v>0</v>
      </c>
      <c r="AS710" s="10">
        <f>IF(Timeline!AS209=1, SUM($AA687:AS687)-SUM($Z710:AR710),0)</f>
        <v>0</v>
      </c>
      <c r="AT710" s="10">
        <f>IF(Timeline!AT209=1, SUM($AA687:AT687)-SUM($Z710:AS710),0)</f>
        <v>0</v>
      </c>
      <c r="AU710" s="10">
        <f>IF(Timeline!AU209=1, SUM($AA687:AU687)-SUM($Z710:AT710),0)</f>
        <v>0</v>
      </c>
      <c r="AV710" s="10">
        <f>IF(Timeline!AV209=1, SUM($AA687:AV687)-SUM($Z710:AU710),0)</f>
        <v>0</v>
      </c>
      <c r="AW710" s="10">
        <f>IF(Timeline!AW209=1, SUM($AA687:AW687)-SUM($Z710:AV710),0)</f>
        <v>0</v>
      </c>
      <c r="AX710" s="10">
        <f>IF(Timeline!AX209=1, SUM($AA687:AX687)-SUM($Z710:AW710),0)</f>
        <v>0</v>
      </c>
      <c r="AY710" s="10">
        <f>IF(Timeline!AY209=1, SUM($AA687:AY687)-SUM($Z710:AX710),0)</f>
        <v>0</v>
      </c>
      <c r="AZ710" s="10">
        <f>IF(Timeline!AZ209=1, SUM($AA687:AZ687)-SUM($Z710:AY710),0)</f>
        <v>0</v>
      </c>
      <c r="BA710" s="10">
        <f>IF(Timeline!BA209=1, SUM($AA687:BA687)-SUM($Z710:AZ710),0)</f>
        <v>0</v>
      </c>
      <c r="BB710" s="10">
        <f>IF(Timeline!BB209=1, SUM($AA687:BB687)-SUM($Z710:BA710),0)</f>
        <v>0</v>
      </c>
      <c r="BC710" s="10">
        <f>IF(Timeline!BC209=1, SUM($AA687:BC687)-SUM($Z710:BB710),0)</f>
        <v>0</v>
      </c>
      <c r="BD710" s="10">
        <f>IF(Timeline!BD209=1, SUM($AA687:BD687)-SUM($Z710:BC710),0)</f>
        <v>0</v>
      </c>
      <c r="BE710" s="10">
        <f>IF(Timeline!BE209=1, SUM($AA687:BE687)-SUM($Z710:BD710),0)</f>
        <v>0</v>
      </c>
      <c r="BF710" s="10">
        <f>IF(Timeline!BF209=1, SUM($AA687:BF687)-SUM($Z710:BE710),0)</f>
        <v>0</v>
      </c>
      <c r="BG710" s="10">
        <f>IF(Timeline!BG209=1, SUM($AA687:BG687)-SUM($Z710:BF710),0)</f>
        <v>0</v>
      </c>
      <c r="BH710" s="10">
        <f>IF(Timeline!BH209=1, SUM($AA687:BH687)-SUM($Z710:BG710),0)</f>
        <v>0</v>
      </c>
      <c r="BI710" s="10">
        <f>IF(Timeline!BI209=1, SUM($AA687:BI687)-SUM($Z710:BH710),0)</f>
        <v>0</v>
      </c>
      <c r="BJ710" s="10">
        <f>IF(Timeline!BJ209=1, SUM($AA687:BJ687)-SUM($Z710:BI710),0)</f>
        <v>0</v>
      </c>
      <c r="BL710" s="136"/>
      <c r="BM710" s="13">
        <f t="shared" si="919"/>
        <v>0</v>
      </c>
      <c r="BN710" s="13">
        <f t="shared" si="920"/>
        <v>0</v>
      </c>
      <c r="BO710" s="13">
        <f t="shared" si="921"/>
        <v>0</v>
      </c>
      <c r="BP710" s="136"/>
      <c r="BQ710" s="136"/>
      <c r="BR710" s="136"/>
      <c r="BS710" s="136"/>
      <c r="BT710" s="136"/>
      <c r="BU710" s="136"/>
      <c r="BV710" s="136"/>
      <c r="BW710" s="136"/>
      <c r="BY710" s="12"/>
      <c r="BZ710" s="335"/>
      <c r="CA710" s="12"/>
      <c r="CB710" s="335"/>
      <c r="CC710" s="335"/>
      <c r="CD710" s="335"/>
      <c r="CE710" s="335"/>
      <c r="CJ710" s="162"/>
      <c r="CK710" s="162"/>
      <c r="CM710" s="335"/>
      <c r="CN710" s="335"/>
      <c r="CO710" s="335"/>
      <c r="CP710" s="335"/>
      <c r="CR710" s="12"/>
      <c r="CT710" s="335"/>
      <c r="CU710" s="335"/>
      <c r="EW710" s="335"/>
      <c r="EX710" s="10" t="str">
        <f t="shared" si="916"/>
        <v/>
      </c>
    </row>
    <row r="711" spans="1:154" s="67" customFormat="1" x14ac:dyDescent="0.25">
      <c r="A711" s="162"/>
      <c r="B711" s="84" t="str" cm="1">
        <f t="array" aca="1" ref="B711" ca="1">HYPERLINK(CONCATENATE("#",CELL("address",$D$85)),$D$85)</f>
        <v>Loan 3</v>
      </c>
      <c r="C711" s="380"/>
      <c r="D711" s="221" t="str">
        <f>D$15</f>
        <v>NatWest</v>
      </c>
      <c r="E711" s="60" t="str">
        <f>E$15</f>
        <v xml:space="preserve">Commercial </v>
      </c>
      <c r="F711" s="10">
        <f t="shared" si="917"/>
        <v>0</v>
      </c>
      <c r="H711" s="50" t="s">
        <v>125</v>
      </c>
      <c r="S711" s="335"/>
      <c r="T711" s="335"/>
      <c r="U711" s="335"/>
      <c r="V711" s="136"/>
      <c r="W711" s="215">
        <f t="shared" si="918"/>
        <v>0</v>
      </c>
      <c r="X711" s="215">
        <f t="shared" si="918"/>
        <v>0</v>
      </c>
      <c r="Y711" s="215">
        <f t="shared" si="918"/>
        <v>0</v>
      </c>
      <c r="AA711" s="201">
        <f>IF(Timeline!AA210=1, SUM($AA688:AA688)-SUM($Z711:Z711),0)</f>
        <v>0</v>
      </c>
      <c r="AB711" s="10">
        <f>IF(Timeline!AB210=1, SUM($AA688:AB688)-SUM($Z711:AA711),0)</f>
        <v>0</v>
      </c>
      <c r="AC711" s="10">
        <f>IF(Timeline!AC210=1, SUM($AA688:AC688)-SUM($Z711:AB711),0)</f>
        <v>0</v>
      </c>
      <c r="AD711" s="10">
        <f>IF(Timeline!AD210=1, SUM($AA688:AD688)-SUM($Z711:AC711),0)</f>
        <v>0</v>
      </c>
      <c r="AE711" s="10">
        <f>IF(Timeline!AE210=1, SUM($AA688:AE688)-SUM($Z711:AD711),0)</f>
        <v>0</v>
      </c>
      <c r="AF711" s="10">
        <f>IF(Timeline!AF210=1, SUM($AA688:AF688)-SUM($Z711:AE711),0)</f>
        <v>0</v>
      </c>
      <c r="AG711" s="10">
        <f>IF(Timeline!AG210=1, SUM($AA688:AG688)-SUM($Z711:AF711),0)</f>
        <v>0</v>
      </c>
      <c r="AH711" s="10">
        <f>IF(Timeline!AH210=1, SUM($AA688:AH688)-SUM($Z711:AG711),0)</f>
        <v>0</v>
      </c>
      <c r="AI711" s="10">
        <f>IF(Timeline!AI210=1, SUM($AA688:AI688)-SUM($Z711:AH711),0)</f>
        <v>0</v>
      </c>
      <c r="AJ711" s="10">
        <f>IF(Timeline!AJ210=1, SUM($AA688:AJ688)-SUM($Z711:AI711),0)</f>
        <v>0</v>
      </c>
      <c r="AK711" s="10">
        <f>IF(Timeline!AK210=1, SUM($AA688:AK688)-SUM($Z711:AJ711),0)</f>
        <v>0</v>
      </c>
      <c r="AL711" s="10">
        <f>IF(Timeline!AL210=1, SUM($AA688:AL688)-SUM($Z711:AK711),0)</f>
        <v>0</v>
      </c>
      <c r="AM711" s="10">
        <f>IF(Timeline!AM210=1, SUM($AA688:AM688)-SUM($Z711:AL711),0)</f>
        <v>0</v>
      </c>
      <c r="AN711" s="10">
        <f>IF(Timeline!AN210=1, SUM($AA688:AN688)-SUM($Z711:AM711),0)</f>
        <v>0</v>
      </c>
      <c r="AO711" s="10">
        <f>IF(Timeline!AO210=1, SUM($AA688:AO688)-SUM($Z711:AN711),0)</f>
        <v>0</v>
      </c>
      <c r="AP711" s="10">
        <f>IF(Timeline!AP210=1, SUM($AA688:AP688)-SUM($Z711:AO711),0)</f>
        <v>0</v>
      </c>
      <c r="AQ711" s="10">
        <f>IF(Timeline!AQ210=1, SUM($AA688:AQ688)-SUM($Z711:AP711),0)</f>
        <v>0</v>
      </c>
      <c r="AR711" s="10">
        <f>IF(Timeline!AR210=1, SUM($AA688:AR688)-SUM($Z711:AQ711),0)</f>
        <v>0</v>
      </c>
      <c r="AS711" s="10">
        <f>IF(Timeline!AS210=1, SUM($AA688:AS688)-SUM($Z711:AR711),0)</f>
        <v>0</v>
      </c>
      <c r="AT711" s="10">
        <f>IF(Timeline!AT210=1, SUM($AA688:AT688)-SUM($Z711:AS711),0)</f>
        <v>0</v>
      </c>
      <c r="AU711" s="10">
        <f>IF(Timeline!AU210=1, SUM($AA688:AU688)-SUM($Z711:AT711),0)</f>
        <v>0</v>
      </c>
      <c r="AV711" s="10">
        <f>IF(Timeline!AV210=1, SUM($AA688:AV688)-SUM($Z711:AU711),0)</f>
        <v>0</v>
      </c>
      <c r="AW711" s="10">
        <f>IF(Timeline!AW210=1, SUM($AA688:AW688)-SUM($Z711:AV711),0)</f>
        <v>0</v>
      </c>
      <c r="AX711" s="10">
        <f>IF(Timeline!AX210=1, SUM($AA688:AX688)-SUM($Z711:AW711),0)</f>
        <v>0</v>
      </c>
      <c r="AY711" s="10">
        <f>IF(Timeline!AY210=1, SUM($AA688:AY688)-SUM($Z711:AX711),0)</f>
        <v>0</v>
      </c>
      <c r="AZ711" s="10">
        <f>IF(Timeline!AZ210=1, SUM($AA688:AZ688)-SUM($Z711:AY711),0)</f>
        <v>0</v>
      </c>
      <c r="BA711" s="10">
        <f>IF(Timeline!BA210=1, SUM($AA688:BA688)-SUM($Z711:AZ711),0)</f>
        <v>0</v>
      </c>
      <c r="BB711" s="10">
        <f>IF(Timeline!BB210=1, SUM($AA688:BB688)-SUM($Z711:BA711),0)</f>
        <v>0</v>
      </c>
      <c r="BC711" s="10">
        <f>IF(Timeline!BC210=1, SUM($AA688:BC688)-SUM($Z711:BB711),0)</f>
        <v>0</v>
      </c>
      <c r="BD711" s="10">
        <f>IF(Timeline!BD210=1, SUM($AA688:BD688)-SUM($Z711:BC711),0)</f>
        <v>0</v>
      </c>
      <c r="BE711" s="10">
        <f>IF(Timeline!BE210=1, SUM($AA688:BE688)-SUM($Z711:BD711),0)</f>
        <v>0</v>
      </c>
      <c r="BF711" s="10">
        <f>IF(Timeline!BF210=1, SUM($AA688:BF688)-SUM($Z711:BE711),0)</f>
        <v>0</v>
      </c>
      <c r="BG711" s="10">
        <f>IF(Timeline!BG210=1, SUM($AA688:BG688)-SUM($Z711:BF711),0)</f>
        <v>0</v>
      </c>
      <c r="BH711" s="10">
        <f>IF(Timeline!BH210=1, SUM($AA688:BH688)-SUM($Z711:BG711),0)</f>
        <v>0</v>
      </c>
      <c r="BI711" s="10">
        <f>IF(Timeline!BI210=1, SUM($AA688:BI688)-SUM($Z711:BH711),0)</f>
        <v>0</v>
      </c>
      <c r="BJ711" s="10">
        <f>IF(Timeline!BJ210=1, SUM($AA688:BJ688)-SUM($Z711:BI711),0)</f>
        <v>0</v>
      </c>
      <c r="BL711" s="136"/>
      <c r="BM711" s="13">
        <f t="shared" si="919"/>
        <v>0</v>
      </c>
      <c r="BN711" s="13">
        <f t="shared" si="920"/>
        <v>0</v>
      </c>
      <c r="BO711" s="13">
        <f t="shared" si="921"/>
        <v>0</v>
      </c>
      <c r="BP711" s="136"/>
      <c r="BQ711" s="136"/>
      <c r="BR711" s="136"/>
      <c r="BS711" s="136"/>
      <c r="BT711" s="136"/>
      <c r="BU711" s="136"/>
      <c r="BV711" s="136"/>
      <c r="BW711" s="136"/>
      <c r="BY711" s="12"/>
      <c r="BZ711" s="335"/>
      <c r="CA711" s="12"/>
      <c r="CB711" s="335"/>
      <c r="CC711" s="335"/>
      <c r="CD711" s="335"/>
      <c r="CE711" s="335"/>
      <c r="CJ711" s="162"/>
      <c r="CK711" s="162"/>
      <c r="CM711" s="335"/>
      <c r="CN711" s="335"/>
      <c r="CO711" s="335"/>
      <c r="CP711" s="335"/>
      <c r="CR711" s="12"/>
      <c r="CT711" s="335"/>
      <c r="CU711" s="335"/>
      <c r="EW711" s="335"/>
      <c r="EX711" s="10" t="str">
        <f t="shared" si="916"/>
        <v/>
      </c>
    </row>
    <row r="712" spans="1:154" s="67" customFormat="1" x14ac:dyDescent="0.25">
      <c r="A712" s="162"/>
      <c r="B712" s="84" t="str" cm="1">
        <f t="array" aca="1" ref="B712" ca="1">HYPERLINK(CONCATENATE("#",CELL("address",$D$104)),$D$104)</f>
        <v>Loan 4</v>
      </c>
      <c r="C712" s="380"/>
      <c r="D712" s="221" t="str">
        <f>D$16</f>
        <v>NatWest</v>
      </c>
      <c r="E712" s="60" t="str">
        <f>E$16</f>
        <v xml:space="preserve">Commercial </v>
      </c>
      <c r="F712" s="10">
        <f t="shared" si="917"/>
        <v>0</v>
      </c>
      <c r="H712" s="50" t="s">
        <v>125</v>
      </c>
      <c r="S712" s="335"/>
      <c r="T712" s="335"/>
      <c r="U712" s="335"/>
      <c r="V712" s="136"/>
      <c r="W712" s="215">
        <f t="shared" si="918"/>
        <v>0</v>
      </c>
      <c r="X712" s="215">
        <f t="shared" si="918"/>
        <v>0</v>
      </c>
      <c r="Y712" s="215">
        <f t="shared" si="918"/>
        <v>0</v>
      </c>
      <c r="AA712" s="201">
        <f>IF(Timeline!AA211=1, SUM($AA689:AA689)-SUM($Z712:Z712),0)</f>
        <v>0</v>
      </c>
      <c r="AB712" s="10">
        <f>IF(Timeline!AB211=1, SUM($AA689:AB689)-SUM($Z712:AA712),0)</f>
        <v>0</v>
      </c>
      <c r="AC712" s="10">
        <f>IF(Timeline!AC211=1, SUM($AA689:AC689)-SUM($Z712:AB712),0)</f>
        <v>0</v>
      </c>
      <c r="AD712" s="10">
        <f>IF(Timeline!AD211=1, SUM($AA689:AD689)-SUM($Z712:AC712),0)</f>
        <v>0</v>
      </c>
      <c r="AE712" s="10">
        <f>IF(Timeline!AE211=1, SUM($AA689:AE689)-SUM($Z712:AD712),0)</f>
        <v>0</v>
      </c>
      <c r="AF712" s="10">
        <f>IF(Timeline!AF211=1, SUM($AA689:AF689)-SUM($Z712:AE712),0)</f>
        <v>0</v>
      </c>
      <c r="AG712" s="10">
        <f>IF(Timeline!AG211=1, SUM($AA689:AG689)-SUM($Z712:AF712),0)</f>
        <v>0</v>
      </c>
      <c r="AH712" s="10">
        <f>IF(Timeline!AH211=1, SUM($AA689:AH689)-SUM($Z712:AG712),0)</f>
        <v>0</v>
      </c>
      <c r="AI712" s="10">
        <f>IF(Timeline!AI211=1, SUM($AA689:AI689)-SUM($Z712:AH712),0)</f>
        <v>0</v>
      </c>
      <c r="AJ712" s="10">
        <f>IF(Timeline!AJ211=1, SUM($AA689:AJ689)-SUM($Z712:AI712),0)</f>
        <v>0</v>
      </c>
      <c r="AK712" s="10">
        <f>IF(Timeline!AK211=1, SUM($AA689:AK689)-SUM($Z712:AJ712),0)</f>
        <v>0</v>
      </c>
      <c r="AL712" s="10">
        <f>IF(Timeline!AL211=1, SUM($AA689:AL689)-SUM($Z712:AK712),0)</f>
        <v>0</v>
      </c>
      <c r="AM712" s="10">
        <f>IF(Timeline!AM211=1, SUM($AA689:AM689)-SUM($Z712:AL712),0)</f>
        <v>0</v>
      </c>
      <c r="AN712" s="10">
        <f>IF(Timeline!AN211=1, SUM($AA689:AN689)-SUM($Z712:AM712),0)</f>
        <v>0</v>
      </c>
      <c r="AO712" s="10">
        <f>IF(Timeline!AO211=1, SUM($AA689:AO689)-SUM($Z712:AN712),0)</f>
        <v>0</v>
      </c>
      <c r="AP712" s="10">
        <f>IF(Timeline!AP211=1, SUM($AA689:AP689)-SUM($Z712:AO712),0)</f>
        <v>0</v>
      </c>
      <c r="AQ712" s="10">
        <f>IF(Timeline!AQ211=1, SUM($AA689:AQ689)-SUM($Z712:AP712),0)</f>
        <v>0</v>
      </c>
      <c r="AR712" s="10">
        <f>IF(Timeline!AR211=1, SUM($AA689:AR689)-SUM($Z712:AQ712),0)</f>
        <v>0</v>
      </c>
      <c r="AS712" s="10">
        <f>IF(Timeline!AS211=1, SUM($AA689:AS689)-SUM($Z712:AR712),0)</f>
        <v>0</v>
      </c>
      <c r="AT712" s="10">
        <f>IF(Timeline!AT211=1, SUM($AA689:AT689)-SUM($Z712:AS712),0)</f>
        <v>0</v>
      </c>
      <c r="AU712" s="10">
        <f>IF(Timeline!AU211=1, SUM($AA689:AU689)-SUM($Z712:AT712),0)</f>
        <v>0</v>
      </c>
      <c r="AV712" s="10">
        <f>IF(Timeline!AV211=1, SUM($AA689:AV689)-SUM($Z712:AU712),0)</f>
        <v>0</v>
      </c>
      <c r="AW712" s="10">
        <f>IF(Timeline!AW211=1, SUM($AA689:AW689)-SUM($Z712:AV712),0)</f>
        <v>0</v>
      </c>
      <c r="AX712" s="10">
        <f>IF(Timeline!AX211=1, SUM($AA689:AX689)-SUM($Z712:AW712),0)</f>
        <v>0</v>
      </c>
      <c r="AY712" s="10">
        <f>IF(Timeline!AY211=1, SUM($AA689:AY689)-SUM($Z712:AX712),0)</f>
        <v>0</v>
      </c>
      <c r="AZ712" s="10">
        <f>IF(Timeline!AZ211=1, SUM($AA689:AZ689)-SUM($Z712:AY712),0)</f>
        <v>0</v>
      </c>
      <c r="BA712" s="10">
        <f>IF(Timeline!BA211=1, SUM($AA689:BA689)-SUM($Z712:AZ712),0)</f>
        <v>0</v>
      </c>
      <c r="BB712" s="10">
        <f>IF(Timeline!BB211=1, SUM($AA689:BB689)-SUM($Z712:BA712),0)</f>
        <v>0</v>
      </c>
      <c r="BC712" s="10">
        <f>IF(Timeline!BC211=1, SUM($AA689:BC689)-SUM($Z712:BB712),0)</f>
        <v>0</v>
      </c>
      <c r="BD712" s="10">
        <f>IF(Timeline!BD211=1, SUM($AA689:BD689)-SUM($Z712:BC712),0)</f>
        <v>0</v>
      </c>
      <c r="BE712" s="10">
        <f>IF(Timeline!BE211=1, SUM($AA689:BE689)-SUM($Z712:BD712),0)</f>
        <v>0</v>
      </c>
      <c r="BF712" s="10">
        <f>IF(Timeline!BF211=1, SUM($AA689:BF689)-SUM($Z712:BE712),0)</f>
        <v>0</v>
      </c>
      <c r="BG712" s="10">
        <f>IF(Timeline!BG211=1, SUM($AA689:BG689)-SUM($Z712:BF712),0)</f>
        <v>0</v>
      </c>
      <c r="BH712" s="10">
        <f>IF(Timeline!BH211=1, SUM($AA689:BH689)-SUM($Z712:BG712),0)</f>
        <v>0</v>
      </c>
      <c r="BI712" s="10">
        <f>IF(Timeline!BI211=1, SUM($AA689:BI689)-SUM($Z712:BH712),0)</f>
        <v>0</v>
      </c>
      <c r="BJ712" s="10">
        <f>IF(Timeline!BJ211=1, SUM($AA689:BJ689)-SUM($Z712:BI712),0)</f>
        <v>0</v>
      </c>
      <c r="BL712" s="136"/>
      <c r="BM712" s="13">
        <f t="shared" si="919"/>
        <v>0</v>
      </c>
      <c r="BN712" s="13">
        <f t="shared" si="920"/>
        <v>0</v>
      </c>
      <c r="BO712" s="13">
        <f t="shared" si="921"/>
        <v>0</v>
      </c>
      <c r="BP712" s="136"/>
      <c r="BQ712" s="136"/>
      <c r="BR712" s="136"/>
      <c r="BS712" s="136"/>
      <c r="BT712" s="136"/>
      <c r="BU712" s="136"/>
      <c r="BV712" s="136"/>
      <c r="BW712" s="136"/>
      <c r="BY712" s="12"/>
      <c r="BZ712" s="335"/>
      <c r="CA712" s="12"/>
      <c r="CB712" s="335"/>
      <c r="CC712" s="335"/>
      <c r="CD712" s="335"/>
      <c r="CE712" s="335"/>
      <c r="CJ712" s="162"/>
      <c r="CK712" s="162"/>
      <c r="CM712" s="335"/>
      <c r="CN712" s="335"/>
      <c r="CO712" s="335"/>
      <c r="CP712" s="335"/>
      <c r="CR712" s="12"/>
      <c r="CT712" s="335"/>
      <c r="CU712" s="335"/>
      <c r="EW712" s="335"/>
      <c r="EX712" s="10" t="str">
        <f t="shared" si="916"/>
        <v/>
      </c>
    </row>
    <row r="713" spans="1:154" s="67" customFormat="1" x14ac:dyDescent="0.25">
      <c r="A713" s="162"/>
      <c r="B713" s="84" t="str" cm="1">
        <f t="array" aca="1" ref="B713" ca="1">HYPERLINK(CONCATENATE("#",CELL("address",$D$123)),$D$123)</f>
        <v>Loan 5</v>
      </c>
      <c r="C713" s="380"/>
      <c r="D713" s="221" t="str">
        <f>D$17</f>
        <v>NatWest</v>
      </c>
      <c r="E713" s="60" t="str">
        <f>E$17</f>
        <v xml:space="preserve">Commercial </v>
      </c>
      <c r="F713" s="10">
        <f t="shared" si="917"/>
        <v>0</v>
      </c>
      <c r="H713" s="50" t="s">
        <v>125</v>
      </c>
      <c r="S713" s="335"/>
      <c r="T713" s="335"/>
      <c r="U713" s="335"/>
      <c r="V713" s="136"/>
      <c r="W713" s="215">
        <f t="shared" si="918"/>
        <v>0</v>
      </c>
      <c r="X713" s="215">
        <f t="shared" si="918"/>
        <v>0</v>
      </c>
      <c r="Y713" s="215">
        <f t="shared" si="918"/>
        <v>0</v>
      </c>
      <c r="AA713" s="201">
        <f>IF(Timeline!AA212=1, SUM($AA690:AA690)-SUM($Z713:Z713),0)</f>
        <v>0</v>
      </c>
      <c r="AB713" s="10">
        <f>IF(Timeline!AB212=1, SUM($AA690:AB690)-SUM($Z713:AA713),0)</f>
        <v>0</v>
      </c>
      <c r="AC713" s="10">
        <f>IF(Timeline!AC212=1, SUM($AA690:AC690)-SUM($Z713:AB713),0)</f>
        <v>0</v>
      </c>
      <c r="AD713" s="10">
        <f>IF(Timeline!AD212=1, SUM($AA690:AD690)-SUM($Z713:AC713),0)</f>
        <v>0</v>
      </c>
      <c r="AE713" s="10">
        <f>IF(Timeline!AE212=1, SUM($AA690:AE690)-SUM($Z713:AD713),0)</f>
        <v>0</v>
      </c>
      <c r="AF713" s="10">
        <f>IF(Timeline!AF212=1, SUM($AA690:AF690)-SUM($Z713:AE713),0)</f>
        <v>0</v>
      </c>
      <c r="AG713" s="10">
        <f>IF(Timeline!AG212=1, SUM($AA690:AG690)-SUM($Z713:AF713),0)</f>
        <v>0</v>
      </c>
      <c r="AH713" s="10">
        <f>IF(Timeline!AH212=1, SUM($AA690:AH690)-SUM($Z713:AG713),0)</f>
        <v>0</v>
      </c>
      <c r="AI713" s="10">
        <f>IF(Timeline!AI212=1, SUM($AA690:AI690)-SUM($Z713:AH713),0)</f>
        <v>0</v>
      </c>
      <c r="AJ713" s="10">
        <f>IF(Timeline!AJ212=1, SUM($AA690:AJ690)-SUM($Z713:AI713),0)</f>
        <v>0</v>
      </c>
      <c r="AK713" s="10">
        <f>IF(Timeline!AK212=1, SUM($AA690:AK690)-SUM($Z713:AJ713),0)</f>
        <v>0</v>
      </c>
      <c r="AL713" s="10">
        <f>IF(Timeline!AL212=1, SUM($AA690:AL690)-SUM($Z713:AK713),0)</f>
        <v>0</v>
      </c>
      <c r="AM713" s="10">
        <f>IF(Timeline!AM212=1, SUM($AA690:AM690)-SUM($Z713:AL713),0)</f>
        <v>0</v>
      </c>
      <c r="AN713" s="10">
        <f>IF(Timeline!AN212=1, SUM($AA690:AN690)-SUM($Z713:AM713),0)</f>
        <v>0</v>
      </c>
      <c r="AO713" s="10">
        <f>IF(Timeline!AO212=1, SUM($AA690:AO690)-SUM($Z713:AN713),0)</f>
        <v>0</v>
      </c>
      <c r="AP713" s="10">
        <f>IF(Timeline!AP212=1, SUM($AA690:AP690)-SUM($Z713:AO713),0)</f>
        <v>0</v>
      </c>
      <c r="AQ713" s="10">
        <f>IF(Timeline!AQ212=1, SUM($AA690:AQ690)-SUM($Z713:AP713),0)</f>
        <v>0</v>
      </c>
      <c r="AR713" s="10">
        <f>IF(Timeline!AR212=1, SUM($AA690:AR690)-SUM($Z713:AQ713),0)</f>
        <v>0</v>
      </c>
      <c r="AS713" s="10">
        <f>IF(Timeline!AS212=1, SUM($AA690:AS690)-SUM($Z713:AR713),0)</f>
        <v>0</v>
      </c>
      <c r="AT713" s="10">
        <f>IF(Timeline!AT212=1, SUM($AA690:AT690)-SUM($Z713:AS713),0)</f>
        <v>0</v>
      </c>
      <c r="AU713" s="10">
        <f>IF(Timeline!AU212=1, SUM($AA690:AU690)-SUM($Z713:AT713),0)</f>
        <v>0</v>
      </c>
      <c r="AV713" s="10">
        <f>IF(Timeline!AV212=1, SUM($AA690:AV690)-SUM($Z713:AU713),0)</f>
        <v>0</v>
      </c>
      <c r="AW713" s="10">
        <f>IF(Timeline!AW212=1, SUM($AA690:AW690)-SUM($Z713:AV713),0)</f>
        <v>0</v>
      </c>
      <c r="AX713" s="10">
        <f>IF(Timeline!AX212=1, SUM($AA690:AX690)-SUM($Z713:AW713),0)</f>
        <v>0</v>
      </c>
      <c r="AY713" s="10">
        <f>IF(Timeline!AY212=1, SUM($AA690:AY690)-SUM($Z713:AX713),0)</f>
        <v>0</v>
      </c>
      <c r="AZ713" s="10">
        <f>IF(Timeline!AZ212=1, SUM($AA690:AZ690)-SUM($Z713:AY713),0)</f>
        <v>0</v>
      </c>
      <c r="BA713" s="10">
        <f>IF(Timeline!BA212=1, SUM($AA690:BA690)-SUM($Z713:AZ713),0)</f>
        <v>0</v>
      </c>
      <c r="BB713" s="10">
        <f>IF(Timeline!BB212=1, SUM($AA690:BB690)-SUM($Z713:BA713),0)</f>
        <v>0</v>
      </c>
      <c r="BC713" s="10">
        <f>IF(Timeline!BC212=1, SUM($AA690:BC690)-SUM($Z713:BB713),0)</f>
        <v>0</v>
      </c>
      <c r="BD713" s="10">
        <f>IF(Timeline!BD212=1, SUM($AA690:BD690)-SUM($Z713:BC713),0)</f>
        <v>0</v>
      </c>
      <c r="BE713" s="10">
        <f>IF(Timeline!BE212=1, SUM($AA690:BE690)-SUM($Z713:BD713),0)</f>
        <v>0</v>
      </c>
      <c r="BF713" s="10">
        <f>IF(Timeline!BF212=1, SUM($AA690:BF690)-SUM($Z713:BE713),0)</f>
        <v>0</v>
      </c>
      <c r="BG713" s="10">
        <f>IF(Timeline!BG212=1, SUM($AA690:BG690)-SUM($Z713:BF713),0)</f>
        <v>0</v>
      </c>
      <c r="BH713" s="10">
        <f>IF(Timeline!BH212=1, SUM($AA690:BH690)-SUM($Z713:BG713),0)</f>
        <v>0</v>
      </c>
      <c r="BI713" s="10">
        <f>IF(Timeline!BI212=1, SUM($AA690:BI690)-SUM($Z713:BH713),0)</f>
        <v>0</v>
      </c>
      <c r="BJ713" s="10">
        <f>IF(Timeline!BJ212=1, SUM($AA690:BJ690)-SUM($Z713:BI713),0)</f>
        <v>0</v>
      </c>
      <c r="BL713" s="136"/>
      <c r="BM713" s="13">
        <f t="shared" si="919"/>
        <v>0</v>
      </c>
      <c r="BN713" s="13">
        <f t="shared" si="920"/>
        <v>0</v>
      </c>
      <c r="BO713" s="13">
        <f t="shared" si="921"/>
        <v>0</v>
      </c>
      <c r="BP713" s="136"/>
      <c r="BQ713" s="136"/>
      <c r="BR713" s="136"/>
      <c r="BS713" s="136"/>
      <c r="BT713" s="136"/>
      <c r="BU713" s="136"/>
      <c r="BV713" s="136"/>
      <c r="BW713" s="136"/>
      <c r="BY713" s="12"/>
      <c r="BZ713" s="335"/>
      <c r="CA713" s="12"/>
      <c r="CB713" s="335"/>
      <c r="CC713" s="335"/>
      <c r="CD713" s="335"/>
      <c r="CE713" s="335"/>
      <c r="CJ713" s="162"/>
      <c r="CK713" s="162"/>
      <c r="CM713" s="335"/>
      <c r="CN713" s="335"/>
      <c r="CO713" s="335"/>
      <c r="CP713" s="335"/>
      <c r="CR713" s="12"/>
      <c r="CT713" s="335"/>
      <c r="CU713" s="335"/>
      <c r="EW713" s="335"/>
      <c r="EX713" s="10" t="str">
        <f t="shared" si="916"/>
        <v/>
      </c>
    </row>
    <row r="714" spans="1:154" s="67" customFormat="1" x14ac:dyDescent="0.25">
      <c r="A714" s="162"/>
      <c r="B714" s="84" t="str" cm="1">
        <f t="array" aca="1" ref="B714" ca="1">HYPERLINK(CONCATENATE("#",CELL("address",$D$142)),$D$142)</f>
        <v>Loan 6</v>
      </c>
      <c r="C714" s="380"/>
      <c r="D714" s="221">
        <f>D$18</f>
        <v>0</v>
      </c>
      <c r="E714" s="60">
        <f>E$18</f>
        <v>0</v>
      </c>
      <c r="F714" s="10">
        <f t="shared" si="917"/>
        <v>0</v>
      </c>
      <c r="H714" s="50" t="s">
        <v>125</v>
      </c>
      <c r="S714" s="335"/>
      <c r="T714" s="335"/>
      <c r="U714" s="335"/>
      <c r="V714" s="136"/>
      <c r="W714" s="215">
        <f t="shared" si="918"/>
        <v>0</v>
      </c>
      <c r="X714" s="215">
        <f t="shared" si="918"/>
        <v>0</v>
      </c>
      <c r="Y714" s="215">
        <f t="shared" si="918"/>
        <v>0</v>
      </c>
      <c r="AA714" s="201">
        <f>IF(Timeline!AA213=1, SUM($AA691:AA691)-SUM($Z714:Z714),0)</f>
        <v>0</v>
      </c>
      <c r="AB714" s="10">
        <f>IF(Timeline!AB213=1, SUM($AA691:AB691)-SUM($Z714:AA714),0)</f>
        <v>0</v>
      </c>
      <c r="AC714" s="10">
        <f>IF(Timeline!AC213=1, SUM($AA691:AC691)-SUM($Z714:AB714),0)</f>
        <v>0</v>
      </c>
      <c r="AD714" s="10">
        <f>IF(Timeline!AD213=1, SUM($AA691:AD691)-SUM($Z714:AC714),0)</f>
        <v>0</v>
      </c>
      <c r="AE714" s="10">
        <f>IF(Timeline!AE213=1, SUM($AA691:AE691)-SUM($Z714:AD714),0)</f>
        <v>0</v>
      </c>
      <c r="AF714" s="10">
        <f>IF(Timeline!AF213=1, SUM($AA691:AF691)-SUM($Z714:AE714),0)</f>
        <v>0</v>
      </c>
      <c r="AG714" s="10">
        <f>IF(Timeline!AG213=1, SUM($AA691:AG691)-SUM($Z714:AF714),0)</f>
        <v>0</v>
      </c>
      <c r="AH714" s="10">
        <f>IF(Timeline!AH213=1, SUM($AA691:AH691)-SUM($Z714:AG714),0)</f>
        <v>0</v>
      </c>
      <c r="AI714" s="10">
        <f>IF(Timeline!AI213=1, SUM($AA691:AI691)-SUM($Z714:AH714),0)</f>
        <v>0</v>
      </c>
      <c r="AJ714" s="10">
        <f>IF(Timeline!AJ213=1, SUM($AA691:AJ691)-SUM($Z714:AI714),0)</f>
        <v>0</v>
      </c>
      <c r="AK714" s="10">
        <f>IF(Timeline!AK213=1, SUM($AA691:AK691)-SUM($Z714:AJ714),0)</f>
        <v>0</v>
      </c>
      <c r="AL714" s="10">
        <f>IF(Timeline!AL213=1, SUM($AA691:AL691)-SUM($Z714:AK714),0)</f>
        <v>0</v>
      </c>
      <c r="AM714" s="10">
        <f>IF(Timeline!AM213=1, SUM($AA691:AM691)-SUM($Z714:AL714),0)</f>
        <v>0</v>
      </c>
      <c r="AN714" s="10">
        <f>IF(Timeline!AN213=1, SUM($AA691:AN691)-SUM($Z714:AM714),0)</f>
        <v>0</v>
      </c>
      <c r="AO714" s="10">
        <f>IF(Timeline!AO213=1, SUM($AA691:AO691)-SUM($Z714:AN714),0)</f>
        <v>0</v>
      </c>
      <c r="AP714" s="10">
        <f>IF(Timeline!AP213=1, SUM($AA691:AP691)-SUM($Z714:AO714),0)</f>
        <v>0</v>
      </c>
      <c r="AQ714" s="10">
        <f>IF(Timeline!AQ213=1, SUM($AA691:AQ691)-SUM($Z714:AP714),0)</f>
        <v>0</v>
      </c>
      <c r="AR714" s="10">
        <f>IF(Timeline!AR213=1, SUM($AA691:AR691)-SUM($Z714:AQ714),0)</f>
        <v>0</v>
      </c>
      <c r="AS714" s="10">
        <f>IF(Timeline!AS213=1, SUM($AA691:AS691)-SUM($Z714:AR714),0)</f>
        <v>0</v>
      </c>
      <c r="AT714" s="10">
        <f>IF(Timeline!AT213=1, SUM($AA691:AT691)-SUM($Z714:AS714),0)</f>
        <v>0</v>
      </c>
      <c r="AU714" s="10">
        <f>IF(Timeline!AU213=1, SUM($AA691:AU691)-SUM($Z714:AT714),0)</f>
        <v>0</v>
      </c>
      <c r="AV714" s="10">
        <f>IF(Timeline!AV213=1, SUM($AA691:AV691)-SUM($Z714:AU714),0)</f>
        <v>0</v>
      </c>
      <c r="AW714" s="10">
        <f>IF(Timeline!AW213=1, SUM($AA691:AW691)-SUM($Z714:AV714),0)</f>
        <v>0</v>
      </c>
      <c r="AX714" s="10">
        <f>IF(Timeline!AX213=1, SUM($AA691:AX691)-SUM($Z714:AW714),0)</f>
        <v>0</v>
      </c>
      <c r="AY714" s="10">
        <f>IF(Timeline!AY213=1, SUM($AA691:AY691)-SUM($Z714:AX714),0)</f>
        <v>0</v>
      </c>
      <c r="AZ714" s="10">
        <f>IF(Timeline!AZ213=1, SUM($AA691:AZ691)-SUM($Z714:AY714),0)</f>
        <v>0</v>
      </c>
      <c r="BA714" s="10">
        <f>IF(Timeline!BA213=1, SUM($AA691:BA691)-SUM($Z714:AZ714),0)</f>
        <v>0</v>
      </c>
      <c r="BB714" s="10">
        <f>IF(Timeline!BB213=1, SUM($AA691:BB691)-SUM($Z714:BA714),0)</f>
        <v>0</v>
      </c>
      <c r="BC714" s="10">
        <f>IF(Timeline!BC213=1, SUM($AA691:BC691)-SUM($Z714:BB714),0)</f>
        <v>0</v>
      </c>
      <c r="BD714" s="10">
        <f>IF(Timeline!BD213=1, SUM($AA691:BD691)-SUM($Z714:BC714),0)</f>
        <v>0</v>
      </c>
      <c r="BE714" s="10">
        <f>IF(Timeline!BE213=1, SUM($AA691:BE691)-SUM($Z714:BD714),0)</f>
        <v>0</v>
      </c>
      <c r="BF714" s="10">
        <f>IF(Timeline!BF213=1, SUM($AA691:BF691)-SUM($Z714:BE714),0)</f>
        <v>0</v>
      </c>
      <c r="BG714" s="10">
        <f>IF(Timeline!BG213=1, SUM($AA691:BG691)-SUM($Z714:BF714),0)</f>
        <v>0</v>
      </c>
      <c r="BH714" s="10">
        <f>IF(Timeline!BH213=1, SUM($AA691:BH691)-SUM($Z714:BG714),0)</f>
        <v>0</v>
      </c>
      <c r="BI714" s="10">
        <f>IF(Timeline!BI213=1, SUM($AA691:BI691)-SUM($Z714:BH714),0)</f>
        <v>0</v>
      </c>
      <c r="BJ714" s="10">
        <f>IF(Timeline!BJ213=1, SUM($AA691:BJ691)-SUM($Z714:BI714),0)</f>
        <v>0</v>
      </c>
      <c r="BL714" s="136"/>
      <c r="BM714" s="13">
        <f t="shared" si="919"/>
        <v>0</v>
      </c>
      <c r="BN714" s="13">
        <f t="shared" si="920"/>
        <v>0</v>
      </c>
      <c r="BO714" s="13">
        <f t="shared" si="921"/>
        <v>0</v>
      </c>
      <c r="BP714" s="136"/>
      <c r="BQ714" s="136"/>
      <c r="BR714" s="136"/>
      <c r="BS714" s="136"/>
      <c r="BT714" s="136"/>
      <c r="BU714" s="136"/>
      <c r="BV714" s="136"/>
      <c r="BW714" s="136"/>
      <c r="BY714" s="12"/>
      <c r="BZ714" s="335"/>
      <c r="CA714" s="12"/>
      <c r="CB714" s="335"/>
      <c r="CC714" s="335"/>
      <c r="CD714" s="335"/>
      <c r="CE714" s="335"/>
      <c r="CJ714" s="162"/>
      <c r="CK714" s="162"/>
      <c r="CM714" s="335"/>
      <c r="CN714" s="335"/>
      <c r="CO714" s="335"/>
      <c r="CP714" s="335"/>
      <c r="CR714" s="12"/>
      <c r="CT714" s="335"/>
      <c r="CU714" s="335"/>
      <c r="EW714" s="335"/>
      <c r="EX714" s="10" t="str">
        <f t="shared" si="916"/>
        <v/>
      </c>
    </row>
    <row r="715" spans="1:154" s="67" customFormat="1" x14ac:dyDescent="0.25">
      <c r="A715" s="162"/>
      <c r="B715" s="84" t="str" cm="1">
        <f t="array" aca="1" ref="B715" ca="1">HYPERLINK(CONCATENATE("#",CELL("address",$D$161)),$D$161)</f>
        <v>Loan 7</v>
      </c>
      <c r="C715" s="380"/>
      <c r="D715" s="221">
        <f>D$19</f>
        <v>0</v>
      </c>
      <c r="E715" s="60">
        <f>E$19</f>
        <v>0</v>
      </c>
      <c r="F715" s="10">
        <f t="shared" si="917"/>
        <v>0</v>
      </c>
      <c r="H715" s="50" t="s">
        <v>125</v>
      </c>
      <c r="S715" s="335"/>
      <c r="T715" s="335"/>
      <c r="U715" s="335"/>
      <c r="V715" s="136"/>
      <c r="W715" s="215">
        <f t="shared" si="918"/>
        <v>0</v>
      </c>
      <c r="X715" s="215">
        <f t="shared" si="918"/>
        <v>0</v>
      </c>
      <c r="Y715" s="215">
        <f t="shared" si="918"/>
        <v>0</v>
      </c>
      <c r="AA715" s="201">
        <f>IF(Timeline!AA214=1, SUM($AA692:AA692)-SUM($Z715:Z715),0)</f>
        <v>0</v>
      </c>
      <c r="AB715" s="10">
        <f>IF(Timeline!AB214=1, SUM($AA692:AB692)-SUM($Z715:AA715),0)</f>
        <v>0</v>
      </c>
      <c r="AC715" s="10">
        <f>IF(Timeline!AC214=1, SUM($AA692:AC692)-SUM($Z715:AB715),0)</f>
        <v>0</v>
      </c>
      <c r="AD715" s="10">
        <f>IF(Timeline!AD214=1, SUM($AA692:AD692)-SUM($Z715:AC715),0)</f>
        <v>0</v>
      </c>
      <c r="AE715" s="10">
        <f>IF(Timeline!AE214=1, SUM($AA692:AE692)-SUM($Z715:AD715),0)</f>
        <v>0</v>
      </c>
      <c r="AF715" s="10">
        <f>IF(Timeline!AF214=1, SUM($AA692:AF692)-SUM($Z715:AE715),0)</f>
        <v>0</v>
      </c>
      <c r="AG715" s="10">
        <f>IF(Timeline!AG214=1, SUM($AA692:AG692)-SUM($Z715:AF715),0)</f>
        <v>0</v>
      </c>
      <c r="AH715" s="10">
        <f>IF(Timeline!AH214=1, SUM($AA692:AH692)-SUM($Z715:AG715),0)</f>
        <v>0</v>
      </c>
      <c r="AI715" s="10">
        <f>IF(Timeline!AI214=1, SUM($AA692:AI692)-SUM($Z715:AH715),0)</f>
        <v>0</v>
      </c>
      <c r="AJ715" s="10">
        <f>IF(Timeline!AJ214=1, SUM($AA692:AJ692)-SUM($Z715:AI715),0)</f>
        <v>0</v>
      </c>
      <c r="AK715" s="10">
        <f>IF(Timeline!AK214=1, SUM($AA692:AK692)-SUM($Z715:AJ715),0)</f>
        <v>0</v>
      </c>
      <c r="AL715" s="10">
        <f>IF(Timeline!AL214=1, SUM($AA692:AL692)-SUM($Z715:AK715),0)</f>
        <v>0</v>
      </c>
      <c r="AM715" s="10">
        <f>IF(Timeline!AM214=1, SUM($AA692:AM692)-SUM($Z715:AL715),0)</f>
        <v>0</v>
      </c>
      <c r="AN715" s="10">
        <f>IF(Timeline!AN214=1, SUM($AA692:AN692)-SUM($Z715:AM715),0)</f>
        <v>0</v>
      </c>
      <c r="AO715" s="10">
        <f>IF(Timeline!AO214=1, SUM($AA692:AO692)-SUM($Z715:AN715),0)</f>
        <v>0</v>
      </c>
      <c r="AP715" s="10">
        <f>IF(Timeline!AP214=1, SUM($AA692:AP692)-SUM($Z715:AO715),0)</f>
        <v>0</v>
      </c>
      <c r="AQ715" s="10">
        <f>IF(Timeline!AQ214=1, SUM($AA692:AQ692)-SUM($Z715:AP715),0)</f>
        <v>0</v>
      </c>
      <c r="AR715" s="10">
        <f>IF(Timeline!AR214=1, SUM($AA692:AR692)-SUM($Z715:AQ715),0)</f>
        <v>0</v>
      </c>
      <c r="AS715" s="10">
        <f>IF(Timeline!AS214=1, SUM($AA692:AS692)-SUM($Z715:AR715),0)</f>
        <v>0</v>
      </c>
      <c r="AT715" s="10">
        <f>IF(Timeline!AT214=1, SUM($AA692:AT692)-SUM($Z715:AS715),0)</f>
        <v>0</v>
      </c>
      <c r="AU715" s="10">
        <f>IF(Timeline!AU214=1, SUM($AA692:AU692)-SUM($Z715:AT715),0)</f>
        <v>0</v>
      </c>
      <c r="AV715" s="10">
        <f>IF(Timeline!AV214=1, SUM($AA692:AV692)-SUM($Z715:AU715),0)</f>
        <v>0</v>
      </c>
      <c r="AW715" s="10">
        <f>IF(Timeline!AW214=1, SUM($AA692:AW692)-SUM($Z715:AV715),0)</f>
        <v>0</v>
      </c>
      <c r="AX715" s="10">
        <f>IF(Timeline!AX214=1, SUM($AA692:AX692)-SUM($Z715:AW715),0)</f>
        <v>0</v>
      </c>
      <c r="AY715" s="10">
        <f>IF(Timeline!AY214=1, SUM($AA692:AY692)-SUM($Z715:AX715),0)</f>
        <v>0</v>
      </c>
      <c r="AZ715" s="10">
        <f>IF(Timeline!AZ214=1, SUM($AA692:AZ692)-SUM($Z715:AY715),0)</f>
        <v>0</v>
      </c>
      <c r="BA715" s="10">
        <f>IF(Timeline!BA214=1, SUM($AA692:BA692)-SUM($Z715:AZ715),0)</f>
        <v>0</v>
      </c>
      <c r="BB715" s="10">
        <f>IF(Timeline!BB214=1, SUM($AA692:BB692)-SUM($Z715:BA715),0)</f>
        <v>0</v>
      </c>
      <c r="BC715" s="10">
        <f>IF(Timeline!BC214=1, SUM($AA692:BC692)-SUM($Z715:BB715),0)</f>
        <v>0</v>
      </c>
      <c r="BD715" s="10">
        <f>IF(Timeline!BD214=1, SUM($AA692:BD692)-SUM($Z715:BC715),0)</f>
        <v>0</v>
      </c>
      <c r="BE715" s="10">
        <f>IF(Timeline!BE214=1, SUM($AA692:BE692)-SUM($Z715:BD715),0)</f>
        <v>0</v>
      </c>
      <c r="BF715" s="10">
        <f>IF(Timeline!BF214=1, SUM($AA692:BF692)-SUM($Z715:BE715),0)</f>
        <v>0</v>
      </c>
      <c r="BG715" s="10">
        <f>IF(Timeline!BG214=1, SUM($AA692:BG692)-SUM($Z715:BF715),0)</f>
        <v>0</v>
      </c>
      <c r="BH715" s="10">
        <f>IF(Timeline!BH214=1, SUM($AA692:BH692)-SUM($Z715:BG715),0)</f>
        <v>0</v>
      </c>
      <c r="BI715" s="10">
        <f>IF(Timeline!BI214=1, SUM($AA692:BI692)-SUM($Z715:BH715),0)</f>
        <v>0</v>
      </c>
      <c r="BJ715" s="10">
        <f>IF(Timeline!BJ214=1, SUM($AA692:BJ692)-SUM($Z715:BI715),0)</f>
        <v>0</v>
      </c>
      <c r="BL715" s="136"/>
      <c r="BM715" s="13">
        <f t="shared" si="919"/>
        <v>0</v>
      </c>
      <c r="BN715" s="13">
        <f t="shared" si="920"/>
        <v>0</v>
      </c>
      <c r="BO715" s="13">
        <f t="shared" si="921"/>
        <v>0</v>
      </c>
      <c r="BP715" s="136"/>
      <c r="BQ715" s="136"/>
      <c r="BR715" s="136"/>
      <c r="BS715" s="136"/>
      <c r="BT715" s="136"/>
      <c r="BU715" s="136"/>
      <c r="BV715" s="136"/>
      <c r="BW715" s="136"/>
      <c r="BY715" s="12"/>
      <c r="BZ715" s="335"/>
      <c r="CA715" s="12"/>
      <c r="CB715" s="335"/>
      <c r="CC715" s="335"/>
      <c r="CD715" s="335"/>
      <c r="CE715" s="335"/>
      <c r="CJ715" s="162"/>
      <c r="CK715" s="162"/>
      <c r="CM715" s="335"/>
      <c r="CN715" s="335"/>
      <c r="CO715" s="335"/>
      <c r="CP715" s="335"/>
      <c r="CR715" s="12"/>
      <c r="CT715" s="335"/>
      <c r="CU715" s="335"/>
      <c r="EW715" s="335"/>
      <c r="EX715" s="10" t="str">
        <f t="shared" si="916"/>
        <v/>
      </c>
    </row>
    <row r="716" spans="1:154" s="67" customFormat="1" x14ac:dyDescent="0.25">
      <c r="A716" s="162"/>
      <c r="B716" s="84" t="str" cm="1">
        <f t="array" aca="1" ref="B716" ca="1">HYPERLINK(CONCATENATE("#",CELL("address",$D$180)),$D$180)</f>
        <v>Loan 8</v>
      </c>
      <c r="C716" s="380"/>
      <c r="D716" s="221">
        <f>D$20</f>
        <v>0</v>
      </c>
      <c r="E716" s="60">
        <f>E$20</f>
        <v>0</v>
      </c>
      <c r="F716" s="10">
        <f t="shared" si="917"/>
        <v>0</v>
      </c>
      <c r="H716" s="50" t="s">
        <v>125</v>
      </c>
      <c r="S716" s="335"/>
      <c r="T716" s="335"/>
      <c r="U716" s="335"/>
      <c r="V716" s="136"/>
      <c r="W716" s="215">
        <f t="shared" si="918"/>
        <v>0</v>
      </c>
      <c r="X716" s="215">
        <f t="shared" si="918"/>
        <v>0</v>
      </c>
      <c r="Y716" s="215">
        <f t="shared" si="918"/>
        <v>0</v>
      </c>
      <c r="AA716" s="201">
        <f>IF(Timeline!AA215=1, SUM($AA693:AA693)-SUM($Z716:Z716),0)</f>
        <v>0</v>
      </c>
      <c r="AB716" s="10">
        <f>IF(Timeline!AB215=1, SUM($AA693:AB693)-SUM($Z716:AA716),0)</f>
        <v>0</v>
      </c>
      <c r="AC716" s="10">
        <f>IF(Timeline!AC215=1, SUM($AA693:AC693)-SUM($Z716:AB716),0)</f>
        <v>0</v>
      </c>
      <c r="AD716" s="10">
        <f>IF(Timeline!AD215=1, SUM($AA693:AD693)-SUM($Z716:AC716),0)</f>
        <v>0</v>
      </c>
      <c r="AE716" s="10">
        <f>IF(Timeline!AE215=1, SUM($AA693:AE693)-SUM($Z716:AD716),0)</f>
        <v>0</v>
      </c>
      <c r="AF716" s="10">
        <f>IF(Timeline!AF215=1, SUM($AA693:AF693)-SUM($Z716:AE716),0)</f>
        <v>0</v>
      </c>
      <c r="AG716" s="10">
        <f>IF(Timeline!AG215=1, SUM($AA693:AG693)-SUM($Z716:AF716),0)</f>
        <v>0</v>
      </c>
      <c r="AH716" s="10">
        <f>IF(Timeline!AH215=1, SUM($AA693:AH693)-SUM($Z716:AG716),0)</f>
        <v>0</v>
      </c>
      <c r="AI716" s="10">
        <f>IF(Timeline!AI215=1, SUM($AA693:AI693)-SUM($Z716:AH716),0)</f>
        <v>0</v>
      </c>
      <c r="AJ716" s="10">
        <f>IF(Timeline!AJ215=1, SUM($AA693:AJ693)-SUM($Z716:AI716),0)</f>
        <v>0</v>
      </c>
      <c r="AK716" s="10">
        <f>IF(Timeline!AK215=1, SUM($AA693:AK693)-SUM($Z716:AJ716),0)</f>
        <v>0</v>
      </c>
      <c r="AL716" s="10">
        <f>IF(Timeline!AL215=1, SUM($AA693:AL693)-SUM($Z716:AK716),0)</f>
        <v>0</v>
      </c>
      <c r="AM716" s="10">
        <f>IF(Timeline!AM215=1, SUM($AA693:AM693)-SUM($Z716:AL716),0)</f>
        <v>0</v>
      </c>
      <c r="AN716" s="10">
        <f>IF(Timeline!AN215=1, SUM($AA693:AN693)-SUM($Z716:AM716),0)</f>
        <v>0</v>
      </c>
      <c r="AO716" s="10">
        <f>IF(Timeline!AO215=1, SUM($AA693:AO693)-SUM($Z716:AN716),0)</f>
        <v>0</v>
      </c>
      <c r="AP716" s="10">
        <f>IF(Timeline!AP215=1, SUM($AA693:AP693)-SUM($Z716:AO716),0)</f>
        <v>0</v>
      </c>
      <c r="AQ716" s="10">
        <f>IF(Timeline!AQ215=1, SUM($AA693:AQ693)-SUM($Z716:AP716),0)</f>
        <v>0</v>
      </c>
      <c r="AR716" s="10">
        <f>IF(Timeline!AR215=1, SUM($AA693:AR693)-SUM($Z716:AQ716),0)</f>
        <v>0</v>
      </c>
      <c r="AS716" s="10">
        <f>IF(Timeline!AS215=1, SUM($AA693:AS693)-SUM($Z716:AR716),0)</f>
        <v>0</v>
      </c>
      <c r="AT716" s="10">
        <f>IF(Timeline!AT215=1, SUM($AA693:AT693)-SUM($Z716:AS716),0)</f>
        <v>0</v>
      </c>
      <c r="AU716" s="10">
        <f>IF(Timeline!AU215=1, SUM($AA693:AU693)-SUM($Z716:AT716),0)</f>
        <v>0</v>
      </c>
      <c r="AV716" s="10">
        <f>IF(Timeline!AV215=1, SUM($AA693:AV693)-SUM($Z716:AU716),0)</f>
        <v>0</v>
      </c>
      <c r="AW716" s="10">
        <f>IF(Timeline!AW215=1, SUM($AA693:AW693)-SUM($Z716:AV716),0)</f>
        <v>0</v>
      </c>
      <c r="AX716" s="10">
        <f>IF(Timeline!AX215=1, SUM($AA693:AX693)-SUM($Z716:AW716),0)</f>
        <v>0</v>
      </c>
      <c r="AY716" s="10">
        <f>IF(Timeline!AY215=1, SUM($AA693:AY693)-SUM($Z716:AX716),0)</f>
        <v>0</v>
      </c>
      <c r="AZ716" s="10">
        <f>IF(Timeline!AZ215=1, SUM($AA693:AZ693)-SUM($Z716:AY716),0)</f>
        <v>0</v>
      </c>
      <c r="BA716" s="10">
        <f>IF(Timeline!BA215=1, SUM($AA693:BA693)-SUM($Z716:AZ716),0)</f>
        <v>0</v>
      </c>
      <c r="BB716" s="10">
        <f>IF(Timeline!BB215=1, SUM($AA693:BB693)-SUM($Z716:BA716),0)</f>
        <v>0</v>
      </c>
      <c r="BC716" s="10">
        <f>IF(Timeline!BC215=1, SUM($AA693:BC693)-SUM($Z716:BB716),0)</f>
        <v>0</v>
      </c>
      <c r="BD716" s="10">
        <f>IF(Timeline!BD215=1, SUM($AA693:BD693)-SUM($Z716:BC716),0)</f>
        <v>0</v>
      </c>
      <c r="BE716" s="10">
        <f>IF(Timeline!BE215=1, SUM($AA693:BE693)-SUM($Z716:BD716),0)</f>
        <v>0</v>
      </c>
      <c r="BF716" s="10">
        <f>IF(Timeline!BF215=1, SUM($AA693:BF693)-SUM($Z716:BE716),0)</f>
        <v>0</v>
      </c>
      <c r="BG716" s="10">
        <f>IF(Timeline!BG215=1, SUM($AA693:BG693)-SUM($Z716:BF716),0)</f>
        <v>0</v>
      </c>
      <c r="BH716" s="10">
        <f>IF(Timeline!BH215=1, SUM($AA693:BH693)-SUM($Z716:BG716),0)</f>
        <v>0</v>
      </c>
      <c r="BI716" s="10">
        <f>IF(Timeline!BI215=1, SUM($AA693:BI693)-SUM($Z716:BH716),0)</f>
        <v>0</v>
      </c>
      <c r="BJ716" s="10">
        <f>IF(Timeline!BJ215=1, SUM($AA693:BJ693)-SUM($Z716:BI716),0)</f>
        <v>0</v>
      </c>
      <c r="BL716" s="136"/>
      <c r="BM716" s="13">
        <f t="shared" si="919"/>
        <v>0</v>
      </c>
      <c r="BN716" s="13">
        <f t="shared" si="920"/>
        <v>0</v>
      </c>
      <c r="BO716" s="13">
        <f t="shared" si="921"/>
        <v>0</v>
      </c>
      <c r="BP716" s="136"/>
      <c r="BQ716" s="136"/>
      <c r="BR716" s="136"/>
      <c r="BS716" s="136"/>
      <c r="BT716" s="136"/>
      <c r="BU716" s="136"/>
      <c r="BV716" s="136"/>
      <c r="BW716" s="136"/>
      <c r="BY716" s="12"/>
      <c r="BZ716" s="335"/>
      <c r="CA716" s="12"/>
      <c r="CB716" s="335"/>
      <c r="CC716" s="335"/>
      <c r="CD716" s="335"/>
      <c r="CE716" s="335"/>
      <c r="CJ716" s="162"/>
      <c r="CK716" s="162"/>
      <c r="CM716" s="335"/>
      <c r="CN716" s="335"/>
      <c r="CO716" s="335"/>
      <c r="CP716" s="335"/>
      <c r="CR716" s="12"/>
      <c r="CT716" s="335"/>
      <c r="CU716" s="335"/>
      <c r="EW716" s="335"/>
      <c r="EX716" s="10" t="str">
        <f t="shared" si="916"/>
        <v/>
      </c>
    </row>
    <row r="717" spans="1:154" s="67" customFormat="1" x14ac:dyDescent="0.25">
      <c r="A717" s="162"/>
      <c r="B717" s="84" t="str" cm="1">
        <f t="array" aca="1" ref="B717" ca="1">HYPERLINK(CONCATENATE("#",CELL("address",$D$199)),$D$199)</f>
        <v>Loan 9</v>
      </c>
      <c r="C717" s="380"/>
      <c r="D717" s="221">
        <f>D$21</f>
        <v>0</v>
      </c>
      <c r="E717" s="60">
        <f>E$21</f>
        <v>0</v>
      </c>
      <c r="F717" s="10">
        <f t="shared" si="917"/>
        <v>0</v>
      </c>
      <c r="H717" s="50" t="s">
        <v>125</v>
      </c>
      <c r="S717" s="335"/>
      <c r="T717" s="335"/>
      <c r="U717" s="335"/>
      <c r="V717" s="136"/>
      <c r="W717" s="215">
        <f t="shared" si="918"/>
        <v>0</v>
      </c>
      <c r="X717" s="215">
        <f t="shared" si="918"/>
        <v>0</v>
      </c>
      <c r="Y717" s="215">
        <f t="shared" si="918"/>
        <v>0</v>
      </c>
      <c r="AA717" s="201">
        <f>IF(Timeline!AA216=1, SUM($AA694:AA694)-SUM($Z717:Z717),0)</f>
        <v>0</v>
      </c>
      <c r="AB717" s="10">
        <f>IF(Timeline!AB216=1, SUM($AA694:AB694)-SUM($Z717:AA717),0)</f>
        <v>0</v>
      </c>
      <c r="AC717" s="10">
        <f>IF(Timeline!AC216=1, SUM($AA694:AC694)-SUM($Z717:AB717),0)</f>
        <v>0</v>
      </c>
      <c r="AD717" s="10">
        <f>IF(Timeline!AD216=1, SUM($AA694:AD694)-SUM($Z717:AC717),0)</f>
        <v>0</v>
      </c>
      <c r="AE717" s="10">
        <f>IF(Timeline!AE216=1, SUM($AA694:AE694)-SUM($Z717:AD717),0)</f>
        <v>0</v>
      </c>
      <c r="AF717" s="10">
        <f>IF(Timeline!AF216=1, SUM($AA694:AF694)-SUM($Z717:AE717),0)</f>
        <v>0</v>
      </c>
      <c r="AG717" s="10">
        <f>IF(Timeline!AG216=1, SUM($AA694:AG694)-SUM($Z717:AF717),0)</f>
        <v>0</v>
      </c>
      <c r="AH717" s="10">
        <f>IF(Timeline!AH216=1, SUM($AA694:AH694)-SUM($Z717:AG717),0)</f>
        <v>0</v>
      </c>
      <c r="AI717" s="10">
        <f>IF(Timeline!AI216=1, SUM($AA694:AI694)-SUM($Z717:AH717),0)</f>
        <v>0</v>
      </c>
      <c r="AJ717" s="10">
        <f>IF(Timeline!AJ216=1, SUM($AA694:AJ694)-SUM($Z717:AI717),0)</f>
        <v>0</v>
      </c>
      <c r="AK717" s="10">
        <f>IF(Timeline!AK216=1, SUM($AA694:AK694)-SUM($Z717:AJ717),0)</f>
        <v>0</v>
      </c>
      <c r="AL717" s="10">
        <f>IF(Timeline!AL216=1, SUM($AA694:AL694)-SUM($Z717:AK717),0)</f>
        <v>0</v>
      </c>
      <c r="AM717" s="10">
        <f>IF(Timeline!AM216=1, SUM($AA694:AM694)-SUM($Z717:AL717),0)</f>
        <v>0</v>
      </c>
      <c r="AN717" s="10">
        <f>IF(Timeline!AN216=1, SUM($AA694:AN694)-SUM($Z717:AM717),0)</f>
        <v>0</v>
      </c>
      <c r="AO717" s="10">
        <f>IF(Timeline!AO216=1, SUM($AA694:AO694)-SUM($Z717:AN717),0)</f>
        <v>0</v>
      </c>
      <c r="AP717" s="10">
        <f>IF(Timeline!AP216=1, SUM($AA694:AP694)-SUM($Z717:AO717),0)</f>
        <v>0</v>
      </c>
      <c r="AQ717" s="10">
        <f>IF(Timeline!AQ216=1, SUM($AA694:AQ694)-SUM($Z717:AP717),0)</f>
        <v>0</v>
      </c>
      <c r="AR717" s="10">
        <f>IF(Timeline!AR216=1, SUM($AA694:AR694)-SUM($Z717:AQ717),0)</f>
        <v>0</v>
      </c>
      <c r="AS717" s="10">
        <f>IF(Timeline!AS216=1, SUM($AA694:AS694)-SUM($Z717:AR717),0)</f>
        <v>0</v>
      </c>
      <c r="AT717" s="10">
        <f>IF(Timeline!AT216=1, SUM($AA694:AT694)-SUM($Z717:AS717),0)</f>
        <v>0</v>
      </c>
      <c r="AU717" s="10">
        <f>IF(Timeline!AU216=1, SUM($AA694:AU694)-SUM($Z717:AT717),0)</f>
        <v>0</v>
      </c>
      <c r="AV717" s="10">
        <f>IF(Timeline!AV216=1, SUM($AA694:AV694)-SUM($Z717:AU717),0)</f>
        <v>0</v>
      </c>
      <c r="AW717" s="10">
        <f>IF(Timeline!AW216=1, SUM($AA694:AW694)-SUM($Z717:AV717),0)</f>
        <v>0</v>
      </c>
      <c r="AX717" s="10">
        <f>IF(Timeline!AX216=1, SUM($AA694:AX694)-SUM($Z717:AW717),0)</f>
        <v>0</v>
      </c>
      <c r="AY717" s="10">
        <f>IF(Timeline!AY216=1, SUM($AA694:AY694)-SUM($Z717:AX717),0)</f>
        <v>0</v>
      </c>
      <c r="AZ717" s="10">
        <f>IF(Timeline!AZ216=1, SUM($AA694:AZ694)-SUM($Z717:AY717),0)</f>
        <v>0</v>
      </c>
      <c r="BA717" s="10">
        <f>IF(Timeline!BA216=1, SUM($AA694:BA694)-SUM($Z717:AZ717),0)</f>
        <v>0</v>
      </c>
      <c r="BB717" s="10">
        <f>IF(Timeline!BB216=1, SUM($AA694:BB694)-SUM($Z717:BA717),0)</f>
        <v>0</v>
      </c>
      <c r="BC717" s="10">
        <f>IF(Timeline!BC216=1, SUM($AA694:BC694)-SUM($Z717:BB717),0)</f>
        <v>0</v>
      </c>
      <c r="BD717" s="10">
        <f>IF(Timeline!BD216=1, SUM($AA694:BD694)-SUM($Z717:BC717),0)</f>
        <v>0</v>
      </c>
      <c r="BE717" s="10">
        <f>IF(Timeline!BE216=1, SUM($AA694:BE694)-SUM($Z717:BD717),0)</f>
        <v>0</v>
      </c>
      <c r="BF717" s="10">
        <f>IF(Timeline!BF216=1, SUM($AA694:BF694)-SUM($Z717:BE717),0)</f>
        <v>0</v>
      </c>
      <c r="BG717" s="10">
        <f>IF(Timeline!BG216=1, SUM($AA694:BG694)-SUM($Z717:BF717),0)</f>
        <v>0</v>
      </c>
      <c r="BH717" s="10">
        <f>IF(Timeline!BH216=1, SUM($AA694:BH694)-SUM($Z717:BG717),0)</f>
        <v>0</v>
      </c>
      <c r="BI717" s="10">
        <f>IF(Timeline!BI216=1, SUM($AA694:BI694)-SUM($Z717:BH717),0)</f>
        <v>0</v>
      </c>
      <c r="BJ717" s="10">
        <f>IF(Timeline!BJ216=1, SUM($AA694:BJ694)-SUM($Z717:BI717),0)</f>
        <v>0</v>
      </c>
      <c r="BL717" s="136"/>
      <c r="BM717" s="13">
        <f t="shared" si="919"/>
        <v>0</v>
      </c>
      <c r="BN717" s="13">
        <f t="shared" si="920"/>
        <v>0</v>
      </c>
      <c r="BO717" s="13">
        <f t="shared" si="921"/>
        <v>0</v>
      </c>
      <c r="BP717" s="136"/>
      <c r="BQ717" s="136"/>
      <c r="BR717" s="136"/>
      <c r="BS717" s="136"/>
      <c r="BT717" s="136"/>
      <c r="BU717" s="136"/>
      <c r="BV717" s="136"/>
      <c r="BW717" s="136"/>
      <c r="BY717" s="12"/>
      <c r="BZ717" s="335"/>
      <c r="CA717" s="12"/>
      <c r="CB717" s="335"/>
      <c r="CC717" s="335"/>
      <c r="CD717" s="335"/>
      <c r="CE717" s="335"/>
      <c r="CJ717" s="162"/>
      <c r="CK717" s="162"/>
      <c r="CM717" s="335"/>
      <c r="CN717" s="335"/>
      <c r="CO717" s="335"/>
      <c r="CP717" s="335"/>
      <c r="CR717" s="12"/>
      <c r="CT717" s="335"/>
      <c r="CU717" s="335"/>
      <c r="EW717" s="335"/>
      <c r="EX717" s="10" t="str">
        <f t="shared" si="916"/>
        <v/>
      </c>
    </row>
    <row r="718" spans="1:154" s="67" customFormat="1" x14ac:dyDescent="0.25">
      <c r="A718" s="162"/>
      <c r="B718" s="84" t="str" cm="1">
        <f t="array" aca="1" ref="B718" ca="1">HYPERLINK(CONCATENATE("#",CELL("address",$D$218)),$D$218)</f>
        <v>Loan 10</v>
      </c>
      <c r="C718" s="380"/>
      <c r="D718" s="221">
        <f>D$22</f>
        <v>0</v>
      </c>
      <c r="E718" s="60">
        <f>E$22</f>
        <v>0</v>
      </c>
      <c r="F718" s="10">
        <f t="shared" si="917"/>
        <v>0</v>
      </c>
      <c r="H718" s="50" t="s">
        <v>125</v>
      </c>
      <c r="S718" s="335"/>
      <c r="T718" s="335"/>
      <c r="U718" s="335"/>
      <c r="V718" s="136"/>
      <c r="W718" s="215">
        <f t="shared" si="918"/>
        <v>0</v>
      </c>
      <c r="X718" s="215">
        <f t="shared" si="918"/>
        <v>0</v>
      </c>
      <c r="Y718" s="215">
        <f t="shared" si="918"/>
        <v>0</v>
      </c>
      <c r="AA718" s="201">
        <f>IF(Timeline!AA217=1, SUM($AA695:AA695)-SUM($Z718:Z718),0)</f>
        <v>0</v>
      </c>
      <c r="AB718" s="10">
        <f>IF(Timeline!AB217=1, SUM($AA695:AB695)-SUM($Z718:AA718),0)</f>
        <v>0</v>
      </c>
      <c r="AC718" s="10">
        <f>IF(Timeline!AC217=1, SUM($AA695:AC695)-SUM($Z718:AB718),0)</f>
        <v>0</v>
      </c>
      <c r="AD718" s="10">
        <f>IF(Timeline!AD217=1, SUM($AA695:AD695)-SUM($Z718:AC718),0)</f>
        <v>0</v>
      </c>
      <c r="AE718" s="10">
        <f>IF(Timeline!AE217=1, SUM($AA695:AE695)-SUM($Z718:AD718),0)</f>
        <v>0</v>
      </c>
      <c r="AF718" s="10">
        <f>IF(Timeline!AF217=1, SUM($AA695:AF695)-SUM($Z718:AE718),0)</f>
        <v>0</v>
      </c>
      <c r="AG718" s="10">
        <f>IF(Timeline!AG217=1, SUM($AA695:AG695)-SUM($Z718:AF718),0)</f>
        <v>0</v>
      </c>
      <c r="AH718" s="10">
        <f>IF(Timeline!AH217=1, SUM($AA695:AH695)-SUM($Z718:AG718),0)</f>
        <v>0</v>
      </c>
      <c r="AI718" s="10">
        <f>IF(Timeline!AI217=1, SUM($AA695:AI695)-SUM($Z718:AH718),0)</f>
        <v>0</v>
      </c>
      <c r="AJ718" s="10">
        <f>IF(Timeline!AJ217=1, SUM($AA695:AJ695)-SUM($Z718:AI718),0)</f>
        <v>0</v>
      </c>
      <c r="AK718" s="10">
        <f>IF(Timeline!AK217=1, SUM($AA695:AK695)-SUM($Z718:AJ718),0)</f>
        <v>0</v>
      </c>
      <c r="AL718" s="10">
        <f>IF(Timeline!AL217=1, SUM($AA695:AL695)-SUM($Z718:AK718),0)</f>
        <v>0</v>
      </c>
      <c r="AM718" s="10">
        <f>IF(Timeline!AM217=1, SUM($AA695:AM695)-SUM($Z718:AL718),0)</f>
        <v>0</v>
      </c>
      <c r="AN718" s="10">
        <f>IF(Timeline!AN217=1, SUM($AA695:AN695)-SUM($Z718:AM718),0)</f>
        <v>0</v>
      </c>
      <c r="AO718" s="10">
        <f>IF(Timeline!AO217=1, SUM($AA695:AO695)-SUM($Z718:AN718),0)</f>
        <v>0</v>
      </c>
      <c r="AP718" s="10">
        <f>IF(Timeline!AP217=1, SUM($AA695:AP695)-SUM($Z718:AO718),0)</f>
        <v>0</v>
      </c>
      <c r="AQ718" s="10">
        <f>IF(Timeline!AQ217=1, SUM($AA695:AQ695)-SUM($Z718:AP718),0)</f>
        <v>0</v>
      </c>
      <c r="AR718" s="10">
        <f>IF(Timeline!AR217=1, SUM($AA695:AR695)-SUM($Z718:AQ718),0)</f>
        <v>0</v>
      </c>
      <c r="AS718" s="10">
        <f>IF(Timeline!AS217=1, SUM($AA695:AS695)-SUM($Z718:AR718),0)</f>
        <v>0</v>
      </c>
      <c r="AT718" s="10">
        <f>IF(Timeline!AT217=1, SUM($AA695:AT695)-SUM($Z718:AS718),0)</f>
        <v>0</v>
      </c>
      <c r="AU718" s="10">
        <f>IF(Timeline!AU217=1, SUM($AA695:AU695)-SUM($Z718:AT718),0)</f>
        <v>0</v>
      </c>
      <c r="AV718" s="10">
        <f>IF(Timeline!AV217=1, SUM($AA695:AV695)-SUM($Z718:AU718),0)</f>
        <v>0</v>
      </c>
      <c r="AW718" s="10">
        <f>IF(Timeline!AW217=1, SUM($AA695:AW695)-SUM($Z718:AV718),0)</f>
        <v>0</v>
      </c>
      <c r="AX718" s="10">
        <f>IF(Timeline!AX217=1, SUM($AA695:AX695)-SUM($Z718:AW718),0)</f>
        <v>0</v>
      </c>
      <c r="AY718" s="10">
        <f>IF(Timeline!AY217=1, SUM($AA695:AY695)-SUM($Z718:AX718),0)</f>
        <v>0</v>
      </c>
      <c r="AZ718" s="10">
        <f>IF(Timeline!AZ217=1, SUM($AA695:AZ695)-SUM($Z718:AY718),0)</f>
        <v>0</v>
      </c>
      <c r="BA718" s="10">
        <f>IF(Timeline!BA217=1, SUM($AA695:BA695)-SUM($Z718:AZ718),0)</f>
        <v>0</v>
      </c>
      <c r="BB718" s="10">
        <f>IF(Timeline!BB217=1, SUM($AA695:BB695)-SUM($Z718:BA718),0)</f>
        <v>0</v>
      </c>
      <c r="BC718" s="10">
        <f>IF(Timeline!BC217=1, SUM($AA695:BC695)-SUM($Z718:BB718),0)</f>
        <v>0</v>
      </c>
      <c r="BD718" s="10">
        <f>IF(Timeline!BD217=1, SUM($AA695:BD695)-SUM($Z718:BC718),0)</f>
        <v>0</v>
      </c>
      <c r="BE718" s="10">
        <f>IF(Timeline!BE217=1, SUM($AA695:BE695)-SUM($Z718:BD718),0)</f>
        <v>0</v>
      </c>
      <c r="BF718" s="10">
        <f>IF(Timeline!BF217=1, SUM($AA695:BF695)-SUM($Z718:BE718),0)</f>
        <v>0</v>
      </c>
      <c r="BG718" s="10">
        <f>IF(Timeline!BG217=1, SUM($AA695:BG695)-SUM($Z718:BF718),0)</f>
        <v>0</v>
      </c>
      <c r="BH718" s="10">
        <f>IF(Timeline!BH217=1, SUM($AA695:BH695)-SUM($Z718:BG718),0)</f>
        <v>0</v>
      </c>
      <c r="BI718" s="10">
        <f>IF(Timeline!BI217=1, SUM($AA695:BI695)-SUM($Z718:BH718),0)</f>
        <v>0</v>
      </c>
      <c r="BJ718" s="10">
        <f>IF(Timeline!BJ217=1, SUM($AA695:BJ695)-SUM($Z718:BI718),0)</f>
        <v>0</v>
      </c>
      <c r="BL718" s="136"/>
      <c r="BM718" s="13">
        <f t="shared" si="919"/>
        <v>0</v>
      </c>
      <c r="BN718" s="13">
        <f t="shared" si="920"/>
        <v>0</v>
      </c>
      <c r="BO718" s="13">
        <f t="shared" si="921"/>
        <v>0</v>
      </c>
      <c r="BP718" s="136"/>
      <c r="BQ718" s="136"/>
      <c r="BR718" s="136"/>
      <c r="BS718" s="136"/>
      <c r="BT718" s="136"/>
      <c r="BU718" s="136"/>
      <c r="BV718" s="136"/>
      <c r="BW718" s="136"/>
      <c r="BY718" s="12"/>
      <c r="BZ718" s="335"/>
      <c r="CA718" s="12"/>
      <c r="CB718" s="335"/>
      <c r="CC718" s="335"/>
      <c r="CD718" s="335"/>
      <c r="CE718" s="335"/>
      <c r="CJ718" s="162"/>
      <c r="CK718" s="162"/>
      <c r="CM718" s="335"/>
      <c r="CN718" s="335"/>
      <c r="CO718" s="335"/>
      <c r="CP718" s="335"/>
      <c r="CR718" s="12"/>
      <c r="CT718" s="335"/>
      <c r="CU718" s="335"/>
      <c r="EW718" s="335"/>
      <c r="EX718" s="10" t="str">
        <f t="shared" si="916"/>
        <v/>
      </c>
    </row>
    <row r="719" spans="1:154" s="67" customFormat="1" x14ac:dyDescent="0.25">
      <c r="A719" s="162"/>
      <c r="B719" s="84" t="str" cm="1">
        <f t="array" aca="1" ref="B719" ca="1">HYPERLINK(CONCATENATE("#",CELL("address",$D$237)),$D$237)</f>
        <v>Loan 11</v>
      </c>
      <c r="C719" s="380"/>
      <c r="D719" s="221">
        <f>D$23</f>
        <v>0</v>
      </c>
      <c r="E719" s="60">
        <f>E$23</f>
        <v>0</v>
      </c>
      <c r="F719" s="10">
        <f t="shared" si="917"/>
        <v>0</v>
      </c>
      <c r="H719" s="50" t="s">
        <v>125</v>
      </c>
      <c r="S719" s="335"/>
      <c r="T719" s="335"/>
      <c r="U719" s="335"/>
      <c r="V719" s="136"/>
      <c r="W719" s="215">
        <f t="shared" si="918"/>
        <v>0</v>
      </c>
      <c r="X719" s="215">
        <f t="shared" si="918"/>
        <v>0</v>
      </c>
      <c r="Y719" s="215">
        <f t="shared" si="918"/>
        <v>0</v>
      </c>
      <c r="AA719" s="201">
        <f>IF(Timeline!AA218=1, SUM($AA696:AA696)-SUM($Z719:Z719),0)</f>
        <v>0</v>
      </c>
      <c r="AB719" s="10">
        <f>IF(Timeline!AB218=1, SUM($AA696:AB696)-SUM($Z719:AA719),0)</f>
        <v>0</v>
      </c>
      <c r="AC719" s="10">
        <f>IF(Timeline!AC218=1, SUM($AA696:AC696)-SUM($Z719:AB719),0)</f>
        <v>0</v>
      </c>
      <c r="AD719" s="10">
        <f>IF(Timeline!AD218=1, SUM($AA696:AD696)-SUM($Z719:AC719),0)</f>
        <v>0</v>
      </c>
      <c r="AE719" s="10">
        <f>IF(Timeline!AE218=1, SUM($AA696:AE696)-SUM($Z719:AD719),0)</f>
        <v>0</v>
      </c>
      <c r="AF719" s="10">
        <f>IF(Timeline!AF218=1, SUM($AA696:AF696)-SUM($Z719:AE719),0)</f>
        <v>0</v>
      </c>
      <c r="AG719" s="10">
        <f>IF(Timeline!AG218=1, SUM($AA696:AG696)-SUM($Z719:AF719),0)</f>
        <v>0</v>
      </c>
      <c r="AH719" s="10">
        <f>IF(Timeline!AH218=1, SUM($AA696:AH696)-SUM($Z719:AG719),0)</f>
        <v>0</v>
      </c>
      <c r="AI719" s="10">
        <f>IF(Timeline!AI218=1, SUM($AA696:AI696)-SUM($Z719:AH719),0)</f>
        <v>0</v>
      </c>
      <c r="AJ719" s="10">
        <f>IF(Timeline!AJ218=1, SUM($AA696:AJ696)-SUM($Z719:AI719),0)</f>
        <v>0</v>
      </c>
      <c r="AK719" s="10">
        <f>IF(Timeline!AK218=1, SUM($AA696:AK696)-SUM($Z719:AJ719),0)</f>
        <v>0</v>
      </c>
      <c r="AL719" s="10">
        <f>IF(Timeline!AL218=1, SUM($AA696:AL696)-SUM($Z719:AK719),0)</f>
        <v>0</v>
      </c>
      <c r="AM719" s="10">
        <f>IF(Timeline!AM218=1, SUM($AA696:AM696)-SUM($Z719:AL719),0)</f>
        <v>0</v>
      </c>
      <c r="AN719" s="10">
        <f>IF(Timeline!AN218=1, SUM($AA696:AN696)-SUM($Z719:AM719),0)</f>
        <v>0</v>
      </c>
      <c r="AO719" s="10">
        <f>IF(Timeline!AO218=1, SUM($AA696:AO696)-SUM($Z719:AN719),0)</f>
        <v>0</v>
      </c>
      <c r="AP719" s="10">
        <f>IF(Timeline!AP218=1, SUM($AA696:AP696)-SUM($Z719:AO719),0)</f>
        <v>0</v>
      </c>
      <c r="AQ719" s="10">
        <f>IF(Timeline!AQ218=1, SUM($AA696:AQ696)-SUM($Z719:AP719),0)</f>
        <v>0</v>
      </c>
      <c r="AR719" s="10">
        <f>IF(Timeline!AR218=1, SUM($AA696:AR696)-SUM($Z719:AQ719),0)</f>
        <v>0</v>
      </c>
      <c r="AS719" s="10">
        <f>IF(Timeline!AS218=1, SUM($AA696:AS696)-SUM($Z719:AR719),0)</f>
        <v>0</v>
      </c>
      <c r="AT719" s="10">
        <f>IF(Timeline!AT218=1, SUM($AA696:AT696)-SUM($Z719:AS719),0)</f>
        <v>0</v>
      </c>
      <c r="AU719" s="10">
        <f>IF(Timeline!AU218=1, SUM($AA696:AU696)-SUM($Z719:AT719),0)</f>
        <v>0</v>
      </c>
      <c r="AV719" s="10">
        <f>IF(Timeline!AV218=1, SUM($AA696:AV696)-SUM($Z719:AU719),0)</f>
        <v>0</v>
      </c>
      <c r="AW719" s="10">
        <f>IF(Timeline!AW218=1, SUM($AA696:AW696)-SUM($Z719:AV719),0)</f>
        <v>0</v>
      </c>
      <c r="AX719" s="10">
        <f>IF(Timeline!AX218=1, SUM($AA696:AX696)-SUM($Z719:AW719),0)</f>
        <v>0</v>
      </c>
      <c r="AY719" s="10">
        <f>IF(Timeline!AY218=1, SUM($AA696:AY696)-SUM($Z719:AX719),0)</f>
        <v>0</v>
      </c>
      <c r="AZ719" s="10">
        <f>IF(Timeline!AZ218=1, SUM($AA696:AZ696)-SUM($Z719:AY719),0)</f>
        <v>0</v>
      </c>
      <c r="BA719" s="10">
        <f>IF(Timeline!BA218=1, SUM($AA696:BA696)-SUM($Z719:AZ719),0)</f>
        <v>0</v>
      </c>
      <c r="BB719" s="10">
        <f>IF(Timeline!BB218=1, SUM($AA696:BB696)-SUM($Z719:BA719),0)</f>
        <v>0</v>
      </c>
      <c r="BC719" s="10">
        <f>IF(Timeline!BC218=1, SUM($AA696:BC696)-SUM($Z719:BB719),0)</f>
        <v>0</v>
      </c>
      <c r="BD719" s="10">
        <f>IF(Timeline!BD218=1, SUM($AA696:BD696)-SUM($Z719:BC719),0)</f>
        <v>0</v>
      </c>
      <c r="BE719" s="10">
        <f>IF(Timeline!BE218=1, SUM($AA696:BE696)-SUM($Z719:BD719),0)</f>
        <v>0</v>
      </c>
      <c r="BF719" s="10">
        <f>IF(Timeline!BF218=1, SUM($AA696:BF696)-SUM($Z719:BE719),0)</f>
        <v>0</v>
      </c>
      <c r="BG719" s="10">
        <f>IF(Timeline!BG218=1, SUM($AA696:BG696)-SUM($Z719:BF719),0)</f>
        <v>0</v>
      </c>
      <c r="BH719" s="10">
        <f>IF(Timeline!BH218=1, SUM($AA696:BH696)-SUM($Z719:BG719),0)</f>
        <v>0</v>
      </c>
      <c r="BI719" s="10">
        <f>IF(Timeline!BI218=1, SUM($AA696:BI696)-SUM($Z719:BH719),0)</f>
        <v>0</v>
      </c>
      <c r="BJ719" s="10">
        <f>IF(Timeline!BJ218=1, SUM($AA696:BJ696)-SUM($Z719:BI719),0)</f>
        <v>0</v>
      </c>
      <c r="BL719" s="136"/>
      <c r="BM719" s="13">
        <f t="shared" si="919"/>
        <v>0</v>
      </c>
      <c r="BN719" s="13">
        <f t="shared" si="920"/>
        <v>0</v>
      </c>
      <c r="BO719" s="13">
        <f t="shared" si="921"/>
        <v>0</v>
      </c>
      <c r="BP719" s="136"/>
      <c r="BQ719" s="136"/>
      <c r="BR719" s="136"/>
      <c r="BS719" s="136"/>
      <c r="BT719" s="136"/>
      <c r="BU719" s="136"/>
      <c r="BV719" s="136"/>
      <c r="BW719" s="136"/>
      <c r="BY719" s="12"/>
      <c r="BZ719" s="335"/>
      <c r="CA719" s="12"/>
      <c r="CB719" s="335"/>
      <c r="CC719" s="335"/>
      <c r="CD719" s="335"/>
      <c r="CE719" s="335"/>
      <c r="CJ719" s="162"/>
      <c r="CK719" s="162"/>
      <c r="CM719" s="335"/>
      <c r="CN719" s="335"/>
      <c r="CO719" s="335"/>
      <c r="CP719" s="335"/>
      <c r="CR719" s="12"/>
      <c r="CT719" s="335"/>
      <c r="CU719" s="335"/>
      <c r="EW719" s="335"/>
      <c r="EX719" s="10" t="str">
        <f t="shared" si="916"/>
        <v/>
      </c>
    </row>
    <row r="720" spans="1:154" s="67" customFormat="1" x14ac:dyDescent="0.25">
      <c r="A720" s="162"/>
      <c r="B720" s="84" t="str" cm="1">
        <f t="array" aca="1" ref="B720" ca="1">HYPERLINK(CONCATENATE("#",CELL("address",$D$256)),$D$256)</f>
        <v>Loan 12</v>
      </c>
      <c r="C720" s="380"/>
      <c r="D720" s="221">
        <f>D$24</f>
        <v>0</v>
      </c>
      <c r="E720" s="60">
        <f>E$24</f>
        <v>0</v>
      </c>
      <c r="F720" s="10">
        <f t="shared" si="917"/>
        <v>0</v>
      </c>
      <c r="H720" s="50" t="s">
        <v>125</v>
      </c>
      <c r="S720" s="335"/>
      <c r="T720" s="335"/>
      <c r="U720" s="335"/>
      <c r="V720" s="136"/>
      <c r="W720" s="215">
        <f t="shared" si="918"/>
        <v>0</v>
      </c>
      <c r="X720" s="215">
        <f t="shared" si="918"/>
        <v>0</v>
      </c>
      <c r="Y720" s="215">
        <f t="shared" si="918"/>
        <v>0</v>
      </c>
      <c r="AA720" s="201">
        <f>IF(Timeline!AA219=1, SUM($AA697:AA697)-SUM($Z720:Z720),0)</f>
        <v>0</v>
      </c>
      <c r="AB720" s="10">
        <f>IF(Timeline!AB219=1, SUM($AA697:AB697)-SUM($Z720:AA720),0)</f>
        <v>0</v>
      </c>
      <c r="AC720" s="10">
        <f>IF(Timeline!AC219=1, SUM($AA697:AC697)-SUM($Z720:AB720),0)</f>
        <v>0</v>
      </c>
      <c r="AD720" s="10">
        <f>IF(Timeline!AD219=1, SUM($AA697:AD697)-SUM($Z720:AC720),0)</f>
        <v>0</v>
      </c>
      <c r="AE720" s="10">
        <f>IF(Timeline!AE219=1, SUM($AA697:AE697)-SUM($Z720:AD720),0)</f>
        <v>0</v>
      </c>
      <c r="AF720" s="10">
        <f>IF(Timeline!AF219=1, SUM($AA697:AF697)-SUM($Z720:AE720),0)</f>
        <v>0</v>
      </c>
      <c r="AG720" s="10">
        <f>IF(Timeline!AG219=1, SUM($AA697:AG697)-SUM($Z720:AF720),0)</f>
        <v>0</v>
      </c>
      <c r="AH720" s="10">
        <f>IF(Timeline!AH219=1, SUM($AA697:AH697)-SUM($Z720:AG720),0)</f>
        <v>0</v>
      </c>
      <c r="AI720" s="10">
        <f>IF(Timeline!AI219=1, SUM($AA697:AI697)-SUM($Z720:AH720),0)</f>
        <v>0</v>
      </c>
      <c r="AJ720" s="10">
        <f>IF(Timeline!AJ219=1, SUM($AA697:AJ697)-SUM($Z720:AI720),0)</f>
        <v>0</v>
      </c>
      <c r="AK720" s="10">
        <f>IF(Timeline!AK219=1, SUM($AA697:AK697)-SUM($Z720:AJ720),0)</f>
        <v>0</v>
      </c>
      <c r="AL720" s="10">
        <f>IF(Timeline!AL219=1, SUM($AA697:AL697)-SUM($Z720:AK720),0)</f>
        <v>0</v>
      </c>
      <c r="AM720" s="10">
        <f>IF(Timeline!AM219=1, SUM($AA697:AM697)-SUM($Z720:AL720),0)</f>
        <v>0</v>
      </c>
      <c r="AN720" s="10">
        <f>IF(Timeline!AN219=1, SUM($AA697:AN697)-SUM($Z720:AM720),0)</f>
        <v>0</v>
      </c>
      <c r="AO720" s="10">
        <f>IF(Timeline!AO219=1, SUM($AA697:AO697)-SUM($Z720:AN720),0)</f>
        <v>0</v>
      </c>
      <c r="AP720" s="10">
        <f>IF(Timeline!AP219=1, SUM($AA697:AP697)-SUM($Z720:AO720),0)</f>
        <v>0</v>
      </c>
      <c r="AQ720" s="10">
        <f>IF(Timeline!AQ219=1, SUM($AA697:AQ697)-SUM($Z720:AP720),0)</f>
        <v>0</v>
      </c>
      <c r="AR720" s="10">
        <f>IF(Timeline!AR219=1, SUM($AA697:AR697)-SUM($Z720:AQ720),0)</f>
        <v>0</v>
      </c>
      <c r="AS720" s="10">
        <f>IF(Timeline!AS219=1, SUM($AA697:AS697)-SUM($Z720:AR720),0)</f>
        <v>0</v>
      </c>
      <c r="AT720" s="10">
        <f>IF(Timeline!AT219=1, SUM($AA697:AT697)-SUM($Z720:AS720),0)</f>
        <v>0</v>
      </c>
      <c r="AU720" s="10">
        <f>IF(Timeline!AU219=1, SUM($AA697:AU697)-SUM($Z720:AT720),0)</f>
        <v>0</v>
      </c>
      <c r="AV720" s="10">
        <f>IF(Timeline!AV219=1, SUM($AA697:AV697)-SUM($Z720:AU720),0)</f>
        <v>0</v>
      </c>
      <c r="AW720" s="10">
        <f>IF(Timeline!AW219=1, SUM($AA697:AW697)-SUM($Z720:AV720),0)</f>
        <v>0</v>
      </c>
      <c r="AX720" s="10">
        <f>IF(Timeline!AX219=1, SUM($AA697:AX697)-SUM($Z720:AW720),0)</f>
        <v>0</v>
      </c>
      <c r="AY720" s="10">
        <f>IF(Timeline!AY219=1, SUM($AA697:AY697)-SUM($Z720:AX720),0)</f>
        <v>0</v>
      </c>
      <c r="AZ720" s="10">
        <f>IF(Timeline!AZ219=1, SUM($AA697:AZ697)-SUM($Z720:AY720),0)</f>
        <v>0</v>
      </c>
      <c r="BA720" s="10">
        <f>IF(Timeline!BA219=1, SUM($AA697:BA697)-SUM($Z720:AZ720),0)</f>
        <v>0</v>
      </c>
      <c r="BB720" s="10">
        <f>IF(Timeline!BB219=1, SUM($AA697:BB697)-SUM($Z720:BA720),0)</f>
        <v>0</v>
      </c>
      <c r="BC720" s="10">
        <f>IF(Timeline!BC219=1, SUM($AA697:BC697)-SUM($Z720:BB720),0)</f>
        <v>0</v>
      </c>
      <c r="BD720" s="10">
        <f>IF(Timeline!BD219=1, SUM($AA697:BD697)-SUM($Z720:BC720),0)</f>
        <v>0</v>
      </c>
      <c r="BE720" s="10">
        <f>IF(Timeline!BE219=1, SUM($AA697:BE697)-SUM($Z720:BD720),0)</f>
        <v>0</v>
      </c>
      <c r="BF720" s="10">
        <f>IF(Timeline!BF219=1, SUM($AA697:BF697)-SUM($Z720:BE720),0)</f>
        <v>0</v>
      </c>
      <c r="BG720" s="10">
        <f>IF(Timeline!BG219=1, SUM($AA697:BG697)-SUM($Z720:BF720),0)</f>
        <v>0</v>
      </c>
      <c r="BH720" s="10">
        <f>IF(Timeline!BH219=1, SUM($AA697:BH697)-SUM($Z720:BG720),0)</f>
        <v>0</v>
      </c>
      <c r="BI720" s="10">
        <f>IF(Timeline!BI219=1, SUM($AA697:BI697)-SUM($Z720:BH720),0)</f>
        <v>0</v>
      </c>
      <c r="BJ720" s="10">
        <f>IF(Timeline!BJ219=1, SUM($AA697:BJ697)-SUM($Z720:BI720),0)</f>
        <v>0</v>
      </c>
      <c r="BL720" s="136"/>
      <c r="BM720" s="13">
        <f t="shared" si="919"/>
        <v>0</v>
      </c>
      <c r="BN720" s="13">
        <f t="shared" si="920"/>
        <v>0</v>
      </c>
      <c r="BO720" s="13">
        <f t="shared" si="921"/>
        <v>0</v>
      </c>
      <c r="BP720" s="136"/>
      <c r="BQ720" s="136"/>
      <c r="BR720" s="136"/>
      <c r="BS720" s="136"/>
      <c r="BT720" s="136"/>
      <c r="BU720" s="136"/>
      <c r="BV720" s="136"/>
      <c r="BW720" s="136"/>
      <c r="BY720" s="12"/>
      <c r="BZ720" s="335"/>
      <c r="CA720" s="12"/>
      <c r="CB720" s="335"/>
      <c r="CC720" s="335"/>
      <c r="CD720" s="335"/>
      <c r="CE720" s="335"/>
      <c r="CJ720" s="162"/>
      <c r="CK720" s="162"/>
      <c r="CM720" s="335"/>
      <c r="CN720" s="335"/>
      <c r="CO720" s="335"/>
      <c r="CP720" s="335"/>
      <c r="CR720" s="12"/>
      <c r="CT720" s="335"/>
      <c r="CU720" s="335"/>
      <c r="EW720" s="335"/>
      <c r="EX720" s="10" t="str">
        <f t="shared" si="916"/>
        <v/>
      </c>
    </row>
    <row r="721" spans="1:154" s="67" customFormat="1" x14ac:dyDescent="0.25">
      <c r="A721" s="162"/>
      <c r="B721" s="84" t="str" cm="1">
        <f t="array" aca="1" ref="B721" ca="1">HYPERLINK(CONCATENATE("#",CELL("address",$D$275)),$D$275)</f>
        <v>Loan 13</v>
      </c>
      <c r="C721" s="380"/>
      <c r="D721" s="221">
        <f>D$25</f>
        <v>0</v>
      </c>
      <c r="E721" s="60">
        <f>E$25</f>
        <v>0</v>
      </c>
      <c r="F721" s="10">
        <f t="shared" si="917"/>
        <v>0</v>
      </c>
      <c r="H721" s="50" t="s">
        <v>125</v>
      </c>
      <c r="S721" s="335"/>
      <c r="T721" s="335"/>
      <c r="U721" s="335"/>
      <c r="V721" s="136"/>
      <c r="W721" s="215">
        <f t="shared" si="918"/>
        <v>0</v>
      </c>
      <c r="X721" s="215">
        <f t="shared" si="918"/>
        <v>0</v>
      </c>
      <c r="Y721" s="215">
        <f t="shared" si="918"/>
        <v>0</v>
      </c>
      <c r="AA721" s="201">
        <f>IF(Timeline!AA220=1, SUM($AA698:AA698)-SUM($Z721:Z721),0)</f>
        <v>0</v>
      </c>
      <c r="AB721" s="10">
        <f>IF(Timeline!AB220=1, SUM($AA698:AB698)-SUM($Z721:AA721),0)</f>
        <v>0</v>
      </c>
      <c r="AC721" s="10">
        <f>IF(Timeline!AC220=1, SUM($AA698:AC698)-SUM($Z721:AB721),0)</f>
        <v>0</v>
      </c>
      <c r="AD721" s="10">
        <f>IF(Timeline!AD220=1, SUM($AA698:AD698)-SUM($Z721:AC721),0)</f>
        <v>0</v>
      </c>
      <c r="AE721" s="10">
        <f>IF(Timeline!AE220=1, SUM($AA698:AE698)-SUM($Z721:AD721),0)</f>
        <v>0</v>
      </c>
      <c r="AF721" s="10">
        <f>IF(Timeline!AF220=1, SUM($AA698:AF698)-SUM($Z721:AE721),0)</f>
        <v>0</v>
      </c>
      <c r="AG721" s="10">
        <f>IF(Timeline!AG220=1, SUM($AA698:AG698)-SUM($Z721:AF721),0)</f>
        <v>0</v>
      </c>
      <c r="AH721" s="10">
        <f>IF(Timeline!AH220=1, SUM($AA698:AH698)-SUM($Z721:AG721),0)</f>
        <v>0</v>
      </c>
      <c r="AI721" s="10">
        <f>IF(Timeline!AI220=1, SUM($AA698:AI698)-SUM($Z721:AH721),0)</f>
        <v>0</v>
      </c>
      <c r="AJ721" s="10">
        <f>IF(Timeline!AJ220=1, SUM($AA698:AJ698)-SUM($Z721:AI721),0)</f>
        <v>0</v>
      </c>
      <c r="AK721" s="10">
        <f>IF(Timeline!AK220=1, SUM($AA698:AK698)-SUM($Z721:AJ721),0)</f>
        <v>0</v>
      </c>
      <c r="AL721" s="10">
        <f>IF(Timeline!AL220=1, SUM($AA698:AL698)-SUM($Z721:AK721),0)</f>
        <v>0</v>
      </c>
      <c r="AM721" s="10">
        <f>IF(Timeline!AM220=1, SUM($AA698:AM698)-SUM($Z721:AL721),0)</f>
        <v>0</v>
      </c>
      <c r="AN721" s="10">
        <f>IF(Timeline!AN220=1, SUM($AA698:AN698)-SUM($Z721:AM721),0)</f>
        <v>0</v>
      </c>
      <c r="AO721" s="10">
        <f>IF(Timeline!AO220=1, SUM($AA698:AO698)-SUM($Z721:AN721),0)</f>
        <v>0</v>
      </c>
      <c r="AP721" s="10">
        <f>IF(Timeline!AP220=1, SUM($AA698:AP698)-SUM($Z721:AO721),0)</f>
        <v>0</v>
      </c>
      <c r="AQ721" s="10">
        <f>IF(Timeline!AQ220=1, SUM($AA698:AQ698)-SUM($Z721:AP721),0)</f>
        <v>0</v>
      </c>
      <c r="AR721" s="10">
        <f>IF(Timeline!AR220=1, SUM($AA698:AR698)-SUM($Z721:AQ721),0)</f>
        <v>0</v>
      </c>
      <c r="AS721" s="10">
        <f>IF(Timeline!AS220=1, SUM($AA698:AS698)-SUM($Z721:AR721),0)</f>
        <v>0</v>
      </c>
      <c r="AT721" s="10">
        <f>IF(Timeline!AT220=1, SUM($AA698:AT698)-SUM($Z721:AS721),0)</f>
        <v>0</v>
      </c>
      <c r="AU721" s="10">
        <f>IF(Timeline!AU220=1, SUM($AA698:AU698)-SUM($Z721:AT721),0)</f>
        <v>0</v>
      </c>
      <c r="AV721" s="10">
        <f>IF(Timeline!AV220=1, SUM($AA698:AV698)-SUM($Z721:AU721),0)</f>
        <v>0</v>
      </c>
      <c r="AW721" s="10">
        <f>IF(Timeline!AW220=1, SUM($AA698:AW698)-SUM($Z721:AV721),0)</f>
        <v>0</v>
      </c>
      <c r="AX721" s="10">
        <f>IF(Timeline!AX220=1, SUM($AA698:AX698)-SUM($Z721:AW721),0)</f>
        <v>0</v>
      </c>
      <c r="AY721" s="10">
        <f>IF(Timeline!AY220=1, SUM($AA698:AY698)-SUM($Z721:AX721),0)</f>
        <v>0</v>
      </c>
      <c r="AZ721" s="10">
        <f>IF(Timeline!AZ220=1, SUM($AA698:AZ698)-SUM($Z721:AY721),0)</f>
        <v>0</v>
      </c>
      <c r="BA721" s="10">
        <f>IF(Timeline!BA220=1, SUM($AA698:BA698)-SUM($Z721:AZ721),0)</f>
        <v>0</v>
      </c>
      <c r="BB721" s="10">
        <f>IF(Timeline!BB220=1, SUM($AA698:BB698)-SUM($Z721:BA721),0)</f>
        <v>0</v>
      </c>
      <c r="BC721" s="10">
        <f>IF(Timeline!BC220=1, SUM($AA698:BC698)-SUM($Z721:BB721),0)</f>
        <v>0</v>
      </c>
      <c r="BD721" s="10">
        <f>IF(Timeline!BD220=1, SUM($AA698:BD698)-SUM($Z721:BC721),0)</f>
        <v>0</v>
      </c>
      <c r="BE721" s="10">
        <f>IF(Timeline!BE220=1, SUM($AA698:BE698)-SUM($Z721:BD721),0)</f>
        <v>0</v>
      </c>
      <c r="BF721" s="10">
        <f>IF(Timeline!BF220=1, SUM($AA698:BF698)-SUM($Z721:BE721),0)</f>
        <v>0</v>
      </c>
      <c r="BG721" s="10">
        <f>IF(Timeline!BG220=1, SUM($AA698:BG698)-SUM($Z721:BF721),0)</f>
        <v>0</v>
      </c>
      <c r="BH721" s="10">
        <f>IF(Timeline!BH220=1, SUM($AA698:BH698)-SUM($Z721:BG721),0)</f>
        <v>0</v>
      </c>
      <c r="BI721" s="10">
        <f>IF(Timeline!BI220=1, SUM($AA698:BI698)-SUM($Z721:BH721),0)</f>
        <v>0</v>
      </c>
      <c r="BJ721" s="10">
        <f>IF(Timeline!BJ220=1, SUM($AA698:BJ698)-SUM($Z721:BI721),0)</f>
        <v>0</v>
      </c>
      <c r="BL721" s="136"/>
      <c r="BM721" s="13">
        <f t="shared" si="919"/>
        <v>0</v>
      </c>
      <c r="BN721" s="13">
        <f t="shared" si="920"/>
        <v>0</v>
      </c>
      <c r="BO721" s="13">
        <f t="shared" si="921"/>
        <v>0</v>
      </c>
      <c r="BP721" s="136"/>
      <c r="BQ721" s="136"/>
      <c r="BR721" s="136"/>
      <c r="BS721" s="136"/>
      <c r="BT721" s="136"/>
      <c r="BU721" s="136"/>
      <c r="BV721" s="136"/>
      <c r="BW721" s="136"/>
      <c r="BY721" s="12"/>
      <c r="BZ721" s="335"/>
      <c r="CA721" s="12"/>
      <c r="CB721" s="335"/>
      <c r="CC721" s="335"/>
      <c r="CD721" s="335"/>
      <c r="CE721" s="335"/>
      <c r="CJ721" s="162"/>
      <c r="CK721" s="162"/>
      <c r="CM721" s="335"/>
      <c r="CN721" s="335"/>
      <c r="CO721" s="335"/>
      <c r="CP721" s="335"/>
      <c r="CR721" s="12"/>
      <c r="CT721" s="335"/>
      <c r="CU721" s="335"/>
      <c r="EW721" s="335"/>
      <c r="EX721" s="10" t="str">
        <f t="shared" si="916"/>
        <v/>
      </c>
    </row>
    <row r="722" spans="1:154" s="5" customFormat="1" x14ac:dyDescent="0.25">
      <c r="A722" s="162"/>
      <c r="B722" s="84" t="str" cm="1">
        <f t="array" aca="1" ref="B722" ca="1">HYPERLINK(CONCATENATE("#",CELL("address",$D$294)),$D$294)</f>
        <v>Loan 14</v>
      </c>
      <c r="C722" s="380"/>
      <c r="D722" s="221">
        <f>D$26</f>
        <v>0</v>
      </c>
      <c r="E722" s="60">
        <f>E$26</f>
        <v>0</v>
      </c>
      <c r="F722" s="10">
        <f t="shared" si="917"/>
        <v>0</v>
      </c>
      <c r="H722" s="50" t="s">
        <v>125</v>
      </c>
      <c r="I722" s="67"/>
      <c r="J722" s="67"/>
      <c r="K722" s="67"/>
      <c r="L722" s="67"/>
      <c r="M722" s="67"/>
      <c r="N722" s="67"/>
      <c r="O722" s="67"/>
      <c r="P722" s="67"/>
      <c r="Q722" s="67"/>
      <c r="R722" s="67"/>
      <c r="S722" s="335"/>
      <c r="T722" s="335"/>
      <c r="U722" s="335"/>
      <c r="V722" s="136"/>
      <c r="W722" s="215">
        <f t="shared" si="918"/>
        <v>0</v>
      </c>
      <c r="X722" s="215">
        <f t="shared" si="918"/>
        <v>0</v>
      </c>
      <c r="Y722" s="215">
        <f t="shared" si="918"/>
        <v>0</v>
      </c>
      <c r="Z722" s="67"/>
      <c r="AA722" s="201">
        <f>IF(Timeline!AA221=1, SUM($AA699:AA699)-SUM($Z722:Z722),0)</f>
        <v>0</v>
      </c>
      <c r="AB722" s="10">
        <f>IF(Timeline!AB221=1, SUM($AA699:AB699)-SUM($Z722:AA722),0)</f>
        <v>0</v>
      </c>
      <c r="AC722" s="10">
        <f>IF(Timeline!AC221=1, SUM($AA699:AC699)-SUM($Z722:AB722),0)</f>
        <v>0</v>
      </c>
      <c r="AD722" s="10">
        <f>IF(Timeline!AD221=1, SUM($AA699:AD699)-SUM($Z722:AC722),0)</f>
        <v>0</v>
      </c>
      <c r="AE722" s="10">
        <f>IF(Timeline!AE221=1, SUM($AA699:AE699)-SUM($Z722:AD722),0)</f>
        <v>0</v>
      </c>
      <c r="AF722" s="10">
        <f>IF(Timeline!AF221=1, SUM($AA699:AF699)-SUM($Z722:AE722),0)</f>
        <v>0</v>
      </c>
      <c r="AG722" s="10">
        <f>IF(Timeline!AG221=1, SUM($AA699:AG699)-SUM($Z722:AF722),0)</f>
        <v>0</v>
      </c>
      <c r="AH722" s="10">
        <f>IF(Timeline!AH221=1, SUM($AA699:AH699)-SUM($Z722:AG722),0)</f>
        <v>0</v>
      </c>
      <c r="AI722" s="10">
        <f>IF(Timeline!AI221=1, SUM($AA699:AI699)-SUM($Z722:AH722),0)</f>
        <v>0</v>
      </c>
      <c r="AJ722" s="10">
        <f>IF(Timeline!AJ221=1, SUM($AA699:AJ699)-SUM($Z722:AI722),0)</f>
        <v>0</v>
      </c>
      <c r="AK722" s="10">
        <f>IF(Timeline!AK221=1, SUM($AA699:AK699)-SUM($Z722:AJ722),0)</f>
        <v>0</v>
      </c>
      <c r="AL722" s="10">
        <f>IF(Timeline!AL221=1, SUM($AA699:AL699)-SUM($Z722:AK722),0)</f>
        <v>0</v>
      </c>
      <c r="AM722" s="10">
        <f>IF(Timeline!AM221=1, SUM($AA699:AM699)-SUM($Z722:AL722),0)</f>
        <v>0</v>
      </c>
      <c r="AN722" s="10">
        <f>IF(Timeline!AN221=1, SUM($AA699:AN699)-SUM($Z722:AM722),0)</f>
        <v>0</v>
      </c>
      <c r="AO722" s="10">
        <f>IF(Timeline!AO221=1, SUM($AA699:AO699)-SUM($Z722:AN722),0)</f>
        <v>0</v>
      </c>
      <c r="AP722" s="10">
        <f>IF(Timeline!AP221=1, SUM($AA699:AP699)-SUM($Z722:AO722),0)</f>
        <v>0</v>
      </c>
      <c r="AQ722" s="10">
        <f>IF(Timeline!AQ221=1, SUM($AA699:AQ699)-SUM($Z722:AP722),0)</f>
        <v>0</v>
      </c>
      <c r="AR722" s="10">
        <f>IF(Timeline!AR221=1, SUM($AA699:AR699)-SUM($Z722:AQ722),0)</f>
        <v>0</v>
      </c>
      <c r="AS722" s="10">
        <f>IF(Timeline!AS221=1, SUM($AA699:AS699)-SUM($Z722:AR722),0)</f>
        <v>0</v>
      </c>
      <c r="AT722" s="10">
        <f>IF(Timeline!AT221=1, SUM($AA699:AT699)-SUM($Z722:AS722),0)</f>
        <v>0</v>
      </c>
      <c r="AU722" s="10">
        <f>IF(Timeline!AU221=1, SUM($AA699:AU699)-SUM($Z722:AT722),0)</f>
        <v>0</v>
      </c>
      <c r="AV722" s="10">
        <f>IF(Timeline!AV221=1, SUM($AA699:AV699)-SUM($Z722:AU722),0)</f>
        <v>0</v>
      </c>
      <c r="AW722" s="10">
        <f>IF(Timeline!AW221=1, SUM($AA699:AW699)-SUM($Z722:AV722),0)</f>
        <v>0</v>
      </c>
      <c r="AX722" s="10">
        <f>IF(Timeline!AX221=1, SUM($AA699:AX699)-SUM($Z722:AW722),0)</f>
        <v>0</v>
      </c>
      <c r="AY722" s="10">
        <f>IF(Timeline!AY221=1, SUM($AA699:AY699)-SUM($Z722:AX722),0)</f>
        <v>0</v>
      </c>
      <c r="AZ722" s="10">
        <f>IF(Timeline!AZ221=1, SUM($AA699:AZ699)-SUM($Z722:AY722),0)</f>
        <v>0</v>
      </c>
      <c r="BA722" s="10">
        <f>IF(Timeline!BA221=1, SUM($AA699:BA699)-SUM($Z722:AZ722),0)</f>
        <v>0</v>
      </c>
      <c r="BB722" s="10">
        <f>IF(Timeline!BB221=1, SUM($AA699:BB699)-SUM($Z722:BA722),0)</f>
        <v>0</v>
      </c>
      <c r="BC722" s="10">
        <f>IF(Timeline!BC221=1, SUM($AA699:BC699)-SUM($Z722:BB722),0)</f>
        <v>0</v>
      </c>
      <c r="BD722" s="10">
        <f>IF(Timeline!BD221=1, SUM($AA699:BD699)-SUM($Z722:BC722),0)</f>
        <v>0</v>
      </c>
      <c r="BE722" s="10">
        <f>IF(Timeline!BE221=1, SUM($AA699:BE699)-SUM($Z722:BD722),0)</f>
        <v>0</v>
      </c>
      <c r="BF722" s="10">
        <f>IF(Timeline!BF221=1, SUM($AA699:BF699)-SUM($Z722:BE722),0)</f>
        <v>0</v>
      </c>
      <c r="BG722" s="10">
        <f>IF(Timeline!BG221=1, SUM($AA699:BG699)-SUM($Z722:BF722),0)</f>
        <v>0</v>
      </c>
      <c r="BH722" s="10">
        <f>IF(Timeline!BH221=1, SUM($AA699:BH699)-SUM($Z722:BG722),0)</f>
        <v>0</v>
      </c>
      <c r="BI722" s="10">
        <f>IF(Timeline!BI221=1, SUM($AA699:BI699)-SUM($Z722:BH722),0)</f>
        <v>0</v>
      </c>
      <c r="BJ722" s="10">
        <f>IF(Timeline!BJ221=1, SUM($AA699:BJ699)-SUM($Z722:BI722),0)</f>
        <v>0</v>
      </c>
      <c r="BK722" s="67"/>
      <c r="BL722" s="136"/>
      <c r="BM722" s="13">
        <f t="shared" si="919"/>
        <v>0</v>
      </c>
      <c r="BN722" s="13">
        <f t="shared" si="920"/>
        <v>0</v>
      </c>
      <c r="BO722" s="13">
        <f t="shared" si="921"/>
        <v>0</v>
      </c>
      <c r="BP722" s="136"/>
      <c r="BQ722" s="136"/>
      <c r="BR722" s="136"/>
      <c r="BS722" s="136"/>
      <c r="BT722" s="136"/>
      <c r="BU722" s="136"/>
      <c r="BV722" s="136"/>
      <c r="BW722" s="136"/>
      <c r="BX722" s="67"/>
      <c r="BY722" s="12"/>
      <c r="BZ722" s="335"/>
      <c r="CA722" s="12"/>
      <c r="CB722" s="335"/>
      <c r="CC722" s="335"/>
      <c r="CD722" s="335"/>
      <c r="CE722" s="335"/>
      <c r="CF722" s="67"/>
      <c r="CG722" s="67"/>
      <c r="CH722" s="67"/>
      <c r="CI722" s="67"/>
      <c r="CJ722" s="162"/>
      <c r="CK722" s="162"/>
      <c r="CL722" s="67"/>
      <c r="CM722" s="335"/>
      <c r="CN722" s="335"/>
      <c r="CO722" s="335"/>
      <c r="CP722" s="335"/>
      <c r="CQ722" s="67"/>
      <c r="CR722" s="12"/>
      <c r="EX722" s="10" t="str">
        <f t="shared" si="916"/>
        <v/>
      </c>
    </row>
    <row r="723" spans="1:154" s="67" customFormat="1" x14ac:dyDescent="0.25">
      <c r="A723" s="162"/>
      <c r="B723" s="84" t="str" cm="1">
        <f t="array" aca="1" ref="B723" ca="1">HYPERLINK(CONCATENATE("#",CELL("address",$D$313)),$D$313)</f>
        <v>Loan 15</v>
      </c>
      <c r="C723" s="380"/>
      <c r="D723" s="221">
        <f>D$27</f>
        <v>0</v>
      </c>
      <c r="E723" s="60">
        <f>E$27</f>
        <v>0</v>
      </c>
      <c r="F723" s="10">
        <f t="shared" si="917"/>
        <v>0</v>
      </c>
      <c r="H723" s="50" t="s">
        <v>125</v>
      </c>
      <c r="S723" s="335"/>
      <c r="T723" s="335"/>
      <c r="U723" s="335"/>
      <c r="V723" s="136"/>
      <c r="W723" s="215">
        <f t="shared" si="918"/>
        <v>0</v>
      </c>
      <c r="X723" s="215">
        <f t="shared" si="918"/>
        <v>0</v>
      </c>
      <c r="Y723" s="215">
        <f t="shared" si="918"/>
        <v>0</v>
      </c>
      <c r="AA723" s="201">
        <f>IF(Timeline!AA222=1, SUM($AA700:AA700)-SUM($Z723:Z723),0)</f>
        <v>0</v>
      </c>
      <c r="AB723" s="10">
        <f>IF(Timeline!AB222=1, SUM($AA700:AB700)-SUM($Z723:AA723),0)</f>
        <v>0</v>
      </c>
      <c r="AC723" s="10">
        <f>IF(Timeline!AC222=1, SUM($AA700:AC700)-SUM($Z723:AB723),0)</f>
        <v>0</v>
      </c>
      <c r="AD723" s="10">
        <f>IF(Timeline!AD222=1, SUM($AA700:AD700)-SUM($Z723:AC723),0)</f>
        <v>0</v>
      </c>
      <c r="AE723" s="10">
        <f>IF(Timeline!AE222=1, SUM($AA700:AE700)-SUM($Z723:AD723),0)</f>
        <v>0</v>
      </c>
      <c r="AF723" s="10">
        <f>IF(Timeline!AF222=1, SUM($AA700:AF700)-SUM($Z723:AE723),0)</f>
        <v>0</v>
      </c>
      <c r="AG723" s="10">
        <f>IF(Timeline!AG222=1, SUM($AA700:AG700)-SUM($Z723:AF723),0)</f>
        <v>0</v>
      </c>
      <c r="AH723" s="10">
        <f>IF(Timeline!AH222=1, SUM($AA700:AH700)-SUM($Z723:AG723),0)</f>
        <v>0</v>
      </c>
      <c r="AI723" s="10">
        <f>IF(Timeline!AI222=1, SUM($AA700:AI700)-SUM($Z723:AH723),0)</f>
        <v>0</v>
      </c>
      <c r="AJ723" s="10">
        <f>IF(Timeline!AJ222=1, SUM($AA700:AJ700)-SUM($Z723:AI723),0)</f>
        <v>0</v>
      </c>
      <c r="AK723" s="10">
        <f>IF(Timeline!AK222=1, SUM($AA700:AK700)-SUM($Z723:AJ723),0)</f>
        <v>0</v>
      </c>
      <c r="AL723" s="10">
        <f>IF(Timeline!AL222=1, SUM($AA700:AL700)-SUM($Z723:AK723),0)</f>
        <v>0</v>
      </c>
      <c r="AM723" s="10">
        <f>IF(Timeline!AM222=1, SUM($AA700:AM700)-SUM($Z723:AL723),0)</f>
        <v>0</v>
      </c>
      <c r="AN723" s="10">
        <f>IF(Timeline!AN222=1, SUM($AA700:AN700)-SUM($Z723:AM723),0)</f>
        <v>0</v>
      </c>
      <c r="AO723" s="10">
        <f>IF(Timeline!AO222=1, SUM($AA700:AO700)-SUM($Z723:AN723),0)</f>
        <v>0</v>
      </c>
      <c r="AP723" s="10">
        <f>IF(Timeline!AP222=1, SUM($AA700:AP700)-SUM($Z723:AO723),0)</f>
        <v>0</v>
      </c>
      <c r="AQ723" s="10">
        <f>IF(Timeline!AQ222=1, SUM($AA700:AQ700)-SUM($Z723:AP723),0)</f>
        <v>0</v>
      </c>
      <c r="AR723" s="10">
        <f>IF(Timeline!AR222=1, SUM($AA700:AR700)-SUM($Z723:AQ723),0)</f>
        <v>0</v>
      </c>
      <c r="AS723" s="10">
        <f>IF(Timeline!AS222=1, SUM($AA700:AS700)-SUM($Z723:AR723),0)</f>
        <v>0</v>
      </c>
      <c r="AT723" s="10">
        <f>IF(Timeline!AT222=1, SUM($AA700:AT700)-SUM($Z723:AS723),0)</f>
        <v>0</v>
      </c>
      <c r="AU723" s="10">
        <f>IF(Timeline!AU222=1, SUM($AA700:AU700)-SUM($Z723:AT723),0)</f>
        <v>0</v>
      </c>
      <c r="AV723" s="10">
        <f>IF(Timeline!AV222=1, SUM($AA700:AV700)-SUM($Z723:AU723),0)</f>
        <v>0</v>
      </c>
      <c r="AW723" s="10">
        <f>IF(Timeline!AW222=1, SUM($AA700:AW700)-SUM($Z723:AV723),0)</f>
        <v>0</v>
      </c>
      <c r="AX723" s="10">
        <f>IF(Timeline!AX222=1, SUM($AA700:AX700)-SUM($Z723:AW723),0)</f>
        <v>0</v>
      </c>
      <c r="AY723" s="10">
        <f>IF(Timeline!AY222=1, SUM($AA700:AY700)-SUM($Z723:AX723),0)</f>
        <v>0</v>
      </c>
      <c r="AZ723" s="10">
        <f>IF(Timeline!AZ222=1, SUM($AA700:AZ700)-SUM($Z723:AY723),0)</f>
        <v>0</v>
      </c>
      <c r="BA723" s="10">
        <f>IF(Timeline!BA222=1, SUM($AA700:BA700)-SUM($Z723:AZ723),0)</f>
        <v>0</v>
      </c>
      <c r="BB723" s="10">
        <f>IF(Timeline!BB222=1, SUM($AA700:BB700)-SUM($Z723:BA723),0)</f>
        <v>0</v>
      </c>
      <c r="BC723" s="10">
        <f>IF(Timeline!BC222=1, SUM($AA700:BC700)-SUM($Z723:BB723),0)</f>
        <v>0</v>
      </c>
      <c r="BD723" s="10">
        <f>IF(Timeline!BD222=1, SUM($AA700:BD700)-SUM($Z723:BC723),0)</f>
        <v>0</v>
      </c>
      <c r="BE723" s="10">
        <f>IF(Timeline!BE222=1, SUM($AA700:BE700)-SUM($Z723:BD723),0)</f>
        <v>0</v>
      </c>
      <c r="BF723" s="10">
        <f>IF(Timeline!BF222=1, SUM($AA700:BF700)-SUM($Z723:BE723),0)</f>
        <v>0</v>
      </c>
      <c r="BG723" s="10">
        <f>IF(Timeline!BG222=1, SUM($AA700:BG700)-SUM($Z723:BF723),0)</f>
        <v>0</v>
      </c>
      <c r="BH723" s="10">
        <f>IF(Timeline!BH222=1, SUM($AA700:BH700)-SUM($Z723:BG723),0)</f>
        <v>0</v>
      </c>
      <c r="BI723" s="10">
        <f>IF(Timeline!BI222=1, SUM($AA700:BI700)-SUM($Z723:BH723),0)</f>
        <v>0</v>
      </c>
      <c r="BJ723" s="10">
        <f>IF(Timeline!BJ222=1, SUM($AA700:BJ700)-SUM($Z723:BI723),0)</f>
        <v>0</v>
      </c>
      <c r="BL723" s="136"/>
      <c r="BM723" s="13">
        <f t="shared" si="919"/>
        <v>0</v>
      </c>
      <c r="BN723" s="13">
        <f t="shared" si="920"/>
        <v>0</v>
      </c>
      <c r="BO723" s="13">
        <f t="shared" si="921"/>
        <v>0</v>
      </c>
      <c r="BP723" s="136"/>
      <c r="BQ723" s="136"/>
      <c r="BR723" s="136"/>
      <c r="BS723" s="136"/>
      <c r="BT723" s="136"/>
      <c r="BU723" s="136"/>
      <c r="BV723" s="136"/>
      <c r="BW723" s="136"/>
      <c r="BY723" s="12"/>
      <c r="BZ723" s="335"/>
      <c r="CA723" s="12"/>
      <c r="CB723" s="335"/>
      <c r="CC723" s="335"/>
      <c r="CD723" s="335"/>
      <c r="CE723" s="335"/>
      <c r="CJ723" s="162"/>
      <c r="CK723" s="162"/>
      <c r="CM723" s="335"/>
      <c r="CN723" s="335"/>
      <c r="CO723" s="335"/>
      <c r="CP723" s="335"/>
      <c r="CR723" s="12"/>
      <c r="CT723" s="335"/>
      <c r="CU723" s="335"/>
      <c r="EW723" s="335"/>
      <c r="EX723" s="10" t="str">
        <f t="shared" si="916"/>
        <v/>
      </c>
    </row>
    <row r="724" spans="1:154" s="67" customFormat="1" x14ac:dyDescent="0.25">
      <c r="A724" s="162"/>
      <c r="B724" s="84" t="str" cm="1">
        <f t="array" aca="1" ref="B724" ca="1">HYPERLINK(CONCATENATE("#",CELL("address",$D$332)),$D$332)</f>
        <v>Loan 16</v>
      </c>
      <c r="C724" s="380"/>
      <c r="D724" s="221">
        <f>D$28</f>
        <v>0</v>
      </c>
      <c r="E724" s="60">
        <f>E$28</f>
        <v>0</v>
      </c>
      <c r="F724" s="10">
        <f t="shared" si="917"/>
        <v>0</v>
      </c>
      <c r="H724" s="50" t="s">
        <v>125</v>
      </c>
      <c r="S724" s="335"/>
      <c r="T724" s="335"/>
      <c r="U724" s="335"/>
      <c r="V724" s="136"/>
      <c r="W724" s="215">
        <f t="shared" si="918"/>
        <v>0</v>
      </c>
      <c r="X724" s="215">
        <f t="shared" si="918"/>
        <v>0</v>
      </c>
      <c r="Y724" s="215">
        <f t="shared" si="918"/>
        <v>0</v>
      </c>
      <c r="AA724" s="201">
        <f>IF(Timeline!AA223=1, SUM($AA701:AA701)-SUM($Z724:Z724),0)</f>
        <v>0</v>
      </c>
      <c r="AB724" s="10">
        <f>IF(Timeline!AB223=1, SUM($AA701:AB701)-SUM($Z724:AA724),0)</f>
        <v>0</v>
      </c>
      <c r="AC724" s="10">
        <f>IF(Timeline!AC223=1, SUM($AA701:AC701)-SUM($Z724:AB724),0)</f>
        <v>0</v>
      </c>
      <c r="AD724" s="10">
        <f>IF(Timeline!AD223=1, SUM($AA701:AD701)-SUM($Z724:AC724),0)</f>
        <v>0</v>
      </c>
      <c r="AE724" s="10">
        <f>IF(Timeline!AE223=1, SUM($AA701:AE701)-SUM($Z724:AD724),0)</f>
        <v>0</v>
      </c>
      <c r="AF724" s="10">
        <f>IF(Timeline!AF223=1, SUM($AA701:AF701)-SUM($Z724:AE724),0)</f>
        <v>0</v>
      </c>
      <c r="AG724" s="10">
        <f>IF(Timeline!AG223=1, SUM($AA701:AG701)-SUM($Z724:AF724),0)</f>
        <v>0</v>
      </c>
      <c r="AH724" s="10">
        <f>IF(Timeline!AH223=1, SUM($AA701:AH701)-SUM($Z724:AG724),0)</f>
        <v>0</v>
      </c>
      <c r="AI724" s="10">
        <f>IF(Timeline!AI223=1, SUM($AA701:AI701)-SUM($Z724:AH724),0)</f>
        <v>0</v>
      </c>
      <c r="AJ724" s="10">
        <f>IF(Timeline!AJ223=1, SUM($AA701:AJ701)-SUM($Z724:AI724),0)</f>
        <v>0</v>
      </c>
      <c r="AK724" s="10">
        <f>IF(Timeline!AK223=1, SUM($AA701:AK701)-SUM($Z724:AJ724),0)</f>
        <v>0</v>
      </c>
      <c r="AL724" s="10">
        <f>IF(Timeline!AL223=1, SUM($AA701:AL701)-SUM($Z724:AK724),0)</f>
        <v>0</v>
      </c>
      <c r="AM724" s="10">
        <f>IF(Timeline!AM223=1, SUM($AA701:AM701)-SUM($Z724:AL724),0)</f>
        <v>0</v>
      </c>
      <c r="AN724" s="10">
        <f>IF(Timeline!AN223=1, SUM($AA701:AN701)-SUM($Z724:AM724),0)</f>
        <v>0</v>
      </c>
      <c r="AO724" s="10">
        <f>IF(Timeline!AO223=1, SUM($AA701:AO701)-SUM($Z724:AN724),0)</f>
        <v>0</v>
      </c>
      <c r="AP724" s="10">
        <f>IF(Timeline!AP223=1, SUM($AA701:AP701)-SUM($Z724:AO724),0)</f>
        <v>0</v>
      </c>
      <c r="AQ724" s="10">
        <f>IF(Timeline!AQ223=1, SUM($AA701:AQ701)-SUM($Z724:AP724),0)</f>
        <v>0</v>
      </c>
      <c r="AR724" s="10">
        <f>IF(Timeline!AR223=1, SUM($AA701:AR701)-SUM($Z724:AQ724),0)</f>
        <v>0</v>
      </c>
      <c r="AS724" s="10">
        <f>IF(Timeline!AS223=1, SUM($AA701:AS701)-SUM($Z724:AR724),0)</f>
        <v>0</v>
      </c>
      <c r="AT724" s="10">
        <f>IF(Timeline!AT223=1, SUM($AA701:AT701)-SUM($Z724:AS724),0)</f>
        <v>0</v>
      </c>
      <c r="AU724" s="10">
        <f>IF(Timeline!AU223=1, SUM($AA701:AU701)-SUM($Z724:AT724),0)</f>
        <v>0</v>
      </c>
      <c r="AV724" s="10">
        <f>IF(Timeline!AV223=1, SUM($AA701:AV701)-SUM($Z724:AU724),0)</f>
        <v>0</v>
      </c>
      <c r="AW724" s="10">
        <f>IF(Timeline!AW223=1, SUM($AA701:AW701)-SUM($Z724:AV724),0)</f>
        <v>0</v>
      </c>
      <c r="AX724" s="10">
        <f>IF(Timeline!AX223=1, SUM($AA701:AX701)-SUM($Z724:AW724),0)</f>
        <v>0</v>
      </c>
      <c r="AY724" s="10">
        <f>IF(Timeline!AY223=1, SUM($AA701:AY701)-SUM($Z724:AX724),0)</f>
        <v>0</v>
      </c>
      <c r="AZ724" s="10">
        <f>IF(Timeline!AZ223=1, SUM($AA701:AZ701)-SUM($Z724:AY724),0)</f>
        <v>0</v>
      </c>
      <c r="BA724" s="10">
        <f>IF(Timeline!BA223=1, SUM($AA701:BA701)-SUM($Z724:AZ724),0)</f>
        <v>0</v>
      </c>
      <c r="BB724" s="10">
        <f>IF(Timeline!BB223=1, SUM($AA701:BB701)-SUM($Z724:BA724),0)</f>
        <v>0</v>
      </c>
      <c r="BC724" s="10">
        <f>IF(Timeline!BC223=1, SUM($AA701:BC701)-SUM($Z724:BB724),0)</f>
        <v>0</v>
      </c>
      <c r="BD724" s="10">
        <f>IF(Timeline!BD223=1, SUM($AA701:BD701)-SUM($Z724:BC724),0)</f>
        <v>0</v>
      </c>
      <c r="BE724" s="10">
        <f>IF(Timeline!BE223=1, SUM($AA701:BE701)-SUM($Z724:BD724),0)</f>
        <v>0</v>
      </c>
      <c r="BF724" s="10">
        <f>IF(Timeline!BF223=1, SUM($AA701:BF701)-SUM($Z724:BE724),0)</f>
        <v>0</v>
      </c>
      <c r="BG724" s="10">
        <f>IF(Timeline!BG223=1, SUM($AA701:BG701)-SUM($Z724:BF724),0)</f>
        <v>0</v>
      </c>
      <c r="BH724" s="10">
        <f>IF(Timeline!BH223=1, SUM($AA701:BH701)-SUM($Z724:BG724),0)</f>
        <v>0</v>
      </c>
      <c r="BI724" s="10">
        <f>IF(Timeline!BI223=1, SUM($AA701:BI701)-SUM($Z724:BH724),0)</f>
        <v>0</v>
      </c>
      <c r="BJ724" s="10">
        <f>IF(Timeline!BJ223=1, SUM($AA701:BJ701)-SUM($Z724:BI724),0)</f>
        <v>0</v>
      </c>
      <c r="BL724" s="136"/>
      <c r="BM724" s="13">
        <f t="shared" si="919"/>
        <v>0</v>
      </c>
      <c r="BN724" s="13">
        <f t="shared" si="920"/>
        <v>0</v>
      </c>
      <c r="BO724" s="13">
        <f t="shared" si="921"/>
        <v>0</v>
      </c>
      <c r="BP724" s="136"/>
      <c r="BQ724" s="136"/>
      <c r="BR724" s="136"/>
      <c r="BS724" s="136"/>
      <c r="BT724" s="136"/>
      <c r="BU724" s="136"/>
      <c r="BV724" s="136"/>
      <c r="BW724" s="136"/>
      <c r="BY724" s="12"/>
      <c r="BZ724" s="335"/>
      <c r="CA724" s="12"/>
      <c r="CB724" s="335"/>
      <c r="CC724" s="335"/>
      <c r="CD724" s="335"/>
      <c r="CE724" s="335"/>
      <c r="CJ724" s="162"/>
      <c r="CK724" s="162"/>
      <c r="CM724" s="335"/>
      <c r="CN724" s="335"/>
      <c r="CO724" s="335"/>
      <c r="CP724" s="335"/>
      <c r="CR724" s="12"/>
      <c r="CT724" s="335"/>
      <c r="CU724" s="335"/>
      <c r="EW724" s="335"/>
      <c r="EX724" s="10" t="str">
        <f t="shared" si="916"/>
        <v/>
      </c>
    </row>
    <row r="725" spans="1:154" s="67" customFormat="1" x14ac:dyDescent="0.25">
      <c r="A725" s="162"/>
      <c r="B725" s="84" t="str" cm="1">
        <f t="array" aca="1" ref="B725" ca="1">HYPERLINK(CONCATENATE("#",CELL("address",$D$351)),$D$351)</f>
        <v>Loan 17</v>
      </c>
      <c r="C725" s="380"/>
      <c r="D725" s="221">
        <f>D$29</f>
        <v>0</v>
      </c>
      <c r="E725" s="60">
        <f>E$29</f>
        <v>0</v>
      </c>
      <c r="F725" s="10">
        <f t="shared" si="917"/>
        <v>0</v>
      </c>
      <c r="H725" s="50" t="s">
        <v>125</v>
      </c>
      <c r="S725" s="335"/>
      <c r="T725" s="335"/>
      <c r="U725" s="335"/>
      <c r="V725" s="136"/>
      <c r="W725" s="215">
        <f t="shared" si="918"/>
        <v>0</v>
      </c>
      <c r="X725" s="215">
        <f t="shared" si="918"/>
        <v>0</v>
      </c>
      <c r="Y725" s="215">
        <f t="shared" si="918"/>
        <v>0</v>
      </c>
      <c r="AA725" s="201">
        <f>IF(Timeline!AA224=1, SUM($AA702:AA702)-SUM($Z725:Z725),0)</f>
        <v>0</v>
      </c>
      <c r="AB725" s="10">
        <f>IF(Timeline!AB224=1, SUM($AA702:AB702)-SUM($Z725:AA725),0)</f>
        <v>0</v>
      </c>
      <c r="AC725" s="10">
        <f>IF(Timeline!AC224=1, SUM($AA702:AC702)-SUM($Z725:AB725),0)</f>
        <v>0</v>
      </c>
      <c r="AD725" s="10">
        <f>IF(Timeline!AD224=1, SUM($AA702:AD702)-SUM($Z725:AC725),0)</f>
        <v>0</v>
      </c>
      <c r="AE725" s="10">
        <f>IF(Timeline!AE224=1, SUM($AA702:AE702)-SUM($Z725:AD725),0)</f>
        <v>0</v>
      </c>
      <c r="AF725" s="10">
        <f>IF(Timeline!AF224=1, SUM($AA702:AF702)-SUM($Z725:AE725),0)</f>
        <v>0</v>
      </c>
      <c r="AG725" s="10">
        <f>IF(Timeline!AG224=1, SUM($AA702:AG702)-SUM($Z725:AF725),0)</f>
        <v>0</v>
      </c>
      <c r="AH725" s="10">
        <f>IF(Timeline!AH224=1, SUM($AA702:AH702)-SUM($Z725:AG725),0)</f>
        <v>0</v>
      </c>
      <c r="AI725" s="10">
        <f>IF(Timeline!AI224=1, SUM($AA702:AI702)-SUM($Z725:AH725),0)</f>
        <v>0</v>
      </c>
      <c r="AJ725" s="10">
        <f>IF(Timeline!AJ224=1, SUM($AA702:AJ702)-SUM($Z725:AI725),0)</f>
        <v>0</v>
      </c>
      <c r="AK725" s="10">
        <f>IF(Timeline!AK224=1, SUM($AA702:AK702)-SUM($Z725:AJ725),0)</f>
        <v>0</v>
      </c>
      <c r="AL725" s="10">
        <f>IF(Timeline!AL224=1, SUM($AA702:AL702)-SUM($Z725:AK725),0)</f>
        <v>0</v>
      </c>
      <c r="AM725" s="10">
        <f>IF(Timeline!AM224=1, SUM($AA702:AM702)-SUM($Z725:AL725),0)</f>
        <v>0</v>
      </c>
      <c r="AN725" s="10">
        <f>IF(Timeline!AN224=1, SUM($AA702:AN702)-SUM($Z725:AM725),0)</f>
        <v>0</v>
      </c>
      <c r="AO725" s="10">
        <f>IF(Timeline!AO224=1, SUM($AA702:AO702)-SUM($Z725:AN725),0)</f>
        <v>0</v>
      </c>
      <c r="AP725" s="10">
        <f>IF(Timeline!AP224=1, SUM($AA702:AP702)-SUM($Z725:AO725),0)</f>
        <v>0</v>
      </c>
      <c r="AQ725" s="10">
        <f>IF(Timeline!AQ224=1, SUM($AA702:AQ702)-SUM($Z725:AP725),0)</f>
        <v>0</v>
      </c>
      <c r="AR725" s="10">
        <f>IF(Timeline!AR224=1, SUM($AA702:AR702)-SUM($Z725:AQ725),0)</f>
        <v>0</v>
      </c>
      <c r="AS725" s="10">
        <f>IF(Timeline!AS224=1, SUM($AA702:AS702)-SUM($Z725:AR725),0)</f>
        <v>0</v>
      </c>
      <c r="AT725" s="10">
        <f>IF(Timeline!AT224=1, SUM($AA702:AT702)-SUM($Z725:AS725),0)</f>
        <v>0</v>
      </c>
      <c r="AU725" s="10">
        <f>IF(Timeline!AU224=1, SUM($AA702:AU702)-SUM($Z725:AT725),0)</f>
        <v>0</v>
      </c>
      <c r="AV725" s="10">
        <f>IF(Timeline!AV224=1, SUM($AA702:AV702)-SUM($Z725:AU725),0)</f>
        <v>0</v>
      </c>
      <c r="AW725" s="10">
        <f>IF(Timeline!AW224=1, SUM($AA702:AW702)-SUM($Z725:AV725),0)</f>
        <v>0</v>
      </c>
      <c r="AX725" s="10">
        <f>IF(Timeline!AX224=1, SUM($AA702:AX702)-SUM($Z725:AW725),0)</f>
        <v>0</v>
      </c>
      <c r="AY725" s="10">
        <f>IF(Timeline!AY224=1, SUM($AA702:AY702)-SUM($Z725:AX725),0)</f>
        <v>0</v>
      </c>
      <c r="AZ725" s="10">
        <f>IF(Timeline!AZ224=1, SUM($AA702:AZ702)-SUM($Z725:AY725),0)</f>
        <v>0</v>
      </c>
      <c r="BA725" s="10">
        <f>IF(Timeline!BA224=1, SUM($AA702:BA702)-SUM($Z725:AZ725),0)</f>
        <v>0</v>
      </c>
      <c r="BB725" s="10">
        <f>IF(Timeline!BB224=1, SUM($AA702:BB702)-SUM($Z725:BA725),0)</f>
        <v>0</v>
      </c>
      <c r="BC725" s="10">
        <f>IF(Timeline!BC224=1, SUM($AA702:BC702)-SUM($Z725:BB725),0)</f>
        <v>0</v>
      </c>
      <c r="BD725" s="10">
        <f>IF(Timeline!BD224=1, SUM($AA702:BD702)-SUM($Z725:BC725),0)</f>
        <v>0</v>
      </c>
      <c r="BE725" s="10">
        <f>IF(Timeline!BE224=1, SUM($AA702:BE702)-SUM($Z725:BD725),0)</f>
        <v>0</v>
      </c>
      <c r="BF725" s="10">
        <f>IF(Timeline!BF224=1, SUM($AA702:BF702)-SUM($Z725:BE725),0)</f>
        <v>0</v>
      </c>
      <c r="BG725" s="10">
        <f>IF(Timeline!BG224=1, SUM($AA702:BG702)-SUM($Z725:BF725),0)</f>
        <v>0</v>
      </c>
      <c r="BH725" s="10">
        <f>IF(Timeline!BH224=1, SUM($AA702:BH702)-SUM($Z725:BG725),0)</f>
        <v>0</v>
      </c>
      <c r="BI725" s="10">
        <f>IF(Timeline!BI224=1, SUM($AA702:BI702)-SUM($Z725:BH725),0)</f>
        <v>0</v>
      </c>
      <c r="BJ725" s="10">
        <f>IF(Timeline!BJ224=1, SUM($AA702:BJ702)-SUM($Z725:BI725),0)</f>
        <v>0</v>
      </c>
      <c r="BL725" s="136"/>
      <c r="BM725" s="13">
        <f t="shared" si="919"/>
        <v>0</v>
      </c>
      <c r="BN725" s="13">
        <f t="shared" si="920"/>
        <v>0</v>
      </c>
      <c r="BO725" s="13">
        <f t="shared" si="921"/>
        <v>0</v>
      </c>
      <c r="BP725" s="136"/>
      <c r="BQ725" s="136"/>
      <c r="BR725" s="136"/>
      <c r="BS725" s="136"/>
      <c r="BT725" s="136"/>
      <c r="BU725" s="136"/>
      <c r="BV725" s="136"/>
      <c r="BW725" s="136"/>
      <c r="BY725" s="12"/>
      <c r="BZ725" s="335"/>
      <c r="CA725" s="12"/>
      <c r="CB725" s="335"/>
      <c r="CC725" s="335"/>
      <c r="CD725" s="335"/>
      <c r="CE725" s="335"/>
      <c r="CJ725" s="162"/>
      <c r="CK725" s="162"/>
      <c r="CM725" s="335"/>
      <c r="CN725" s="335"/>
      <c r="CO725" s="335"/>
      <c r="CP725" s="335"/>
      <c r="CR725" s="12"/>
      <c r="CT725" s="335"/>
      <c r="CU725" s="335"/>
      <c r="EW725" s="335"/>
      <c r="EX725" s="10" t="str">
        <f t="shared" si="916"/>
        <v/>
      </c>
    </row>
    <row r="726" spans="1:154" s="67" customFormat="1" x14ac:dyDescent="0.25">
      <c r="A726" s="162"/>
      <c r="B726" s="84" t="str" cm="1">
        <f t="array" aca="1" ref="B726" ca="1">HYPERLINK(CONCATENATE("#",CELL("address",$D$370)),$D$370)</f>
        <v>Loan 18</v>
      </c>
      <c r="C726" s="380"/>
      <c r="D726" s="221">
        <f>D$30</f>
        <v>0</v>
      </c>
      <c r="E726" s="60">
        <f>E$30</f>
        <v>0</v>
      </c>
      <c r="F726" s="10">
        <f t="shared" si="917"/>
        <v>0</v>
      </c>
      <c r="H726" s="50" t="s">
        <v>125</v>
      </c>
      <c r="S726" s="335"/>
      <c r="T726" s="335"/>
      <c r="U726" s="335"/>
      <c r="V726" s="136"/>
      <c r="W726" s="215">
        <f t="shared" si="918"/>
        <v>0</v>
      </c>
      <c r="X726" s="215">
        <f t="shared" si="918"/>
        <v>0</v>
      </c>
      <c r="Y726" s="215">
        <f t="shared" si="918"/>
        <v>0</v>
      </c>
      <c r="AA726" s="201">
        <f>IF(Timeline!AA225=1, SUM($AA703:AA703)-SUM($Z726:Z726),0)</f>
        <v>0</v>
      </c>
      <c r="AB726" s="10">
        <f>IF(Timeline!AB225=1, SUM($AA703:AB703)-SUM($Z726:AA726),0)</f>
        <v>0</v>
      </c>
      <c r="AC726" s="10">
        <f>IF(Timeline!AC225=1, SUM($AA703:AC703)-SUM($Z726:AB726),0)</f>
        <v>0</v>
      </c>
      <c r="AD726" s="10">
        <f>IF(Timeline!AD225=1, SUM($AA703:AD703)-SUM($Z726:AC726),0)</f>
        <v>0</v>
      </c>
      <c r="AE726" s="10">
        <f>IF(Timeline!AE225=1, SUM($AA703:AE703)-SUM($Z726:AD726),0)</f>
        <v>0</v>
      </c>
      <c r="AF726" s="10">
        <f>IF(Timeline!AF225=1, SUM($AA703:AF703)-SUM($Z726:AE726),0)</f>
        <v>0</v>
      </c>
      <c r="AG726" s="10">
        <f>IF(Timeline!AG225=1, SUM($AA703:AG703)-SUM($Z726:AF726),0)</f>
        <v>0</v>
      </c>
      <c r="AH726" s="10">
        <f>IF(Timeline!AH225=1, SUM($AA703:AH703)-SUM($Z726:AG726),0)</f>
        <v>0</v>
      </c>
      <c r="AI726" s="10">
        <f>IF(Timeline!AI225=1, SUM($AA703:AI703)-SUM($Z726:AH726),0)</f>
        <v>0</v>
      </c>
      <c r="AJ726" s="10">
        <f>IF(Timeline!AJ225=1, SUM($AA703:AJ703)-SUM($Z726:AI726),0)</f>
        <v>0</v>
      </c>
      <c r="AK726" s="10">
        <f>IF(Timeline!AK225=1, SUM($AA703:AK703)-SUM($Z726:AJ726),0)</f>
        <v>0</v>
      </c>
      <c r="AL726" s="10">
        <f>IF(Timeline!AL225=1, SUM($AA703:AL703)-SUM($Z726:AK726),0)</f>
        <v>0</v>
      </c>
      <c r="AM726" s="10">
        <f>IF(Timeline!AM225=1, SUM($AA703:AM703)-SUM($Z726:AL726),0)</f>
        <v>0</v>
      </c>
      <c r="AN726" s="10">
        <f>IF(Timeline!AN225=1, SUM($AA703:AN703)-SUM($Z726:AM726),0)</f>
        <v>0</v>
      </c>
      <c r="AO726" s="10">
        <f>IF(Timeline!AO225=1, SUM($AA703:AO703)-SUM($Z726:AN726),0)</f>
        <v>0</v>
      </c>
      <c r="AP726" s="10">
        <f>IF(Timeline!AP225=1, SUM($AA703:AP703)-SUM($Z726:AO726),0)</f>
        <v>0</v>
      </c>
      <c r="AQ726" s="10">
        <f>IF(Timeline!AQ225=1, SUM($AA703:AQ703)-SUM($Z726:AP726),0)</f>
        <v>0</v>
      </c>
      <c r="AR726" s="10">
        <f>IF(Timeline!AR225=1, SUM($AA703:AR703)-SUM($Z726:AQ726),0)</f>
        <v>0</v>
      </c>
      <c r="AS726" s="10">
        <f>IF(Timeline!AS225=1, SUM($AA703:AS703)-SUM($Z726:AR726),0)</f>
        <v>0</v>
      </c>
      <c r="AT726" s="10">
        <f>IF(Timeline!AT225=1, SUM($AA703:AT703)-SUM($Z726:AS726),0)</f>
        <v>0</v>
      </c>
      <c r="AU726" s="10">
        <f>IF(Timeline!AU225=1, SUM($AA703:AU703)-SUM($Z726:AT726),0)</f>
        <v>0</v>
      </c>
      <c r="AV726" s="10">
        <f>IF(Timeline!AV225=1, SUM($AA703:AV703)-SUM($Z726:AU726),0)</f>
        <v>0</v>
      </c>
      <c r="AW726" s="10">
        <f>IF(Timeline!AW225=1, SUM($AA703:AW703)-SUM($Z726:AV726),0)</f>
        <v>0</v>
      </c>
      <c r="AX726" s="10">
        <f>IF(Timeline!AX225=1, SUM($AA703:AX703)-SUM($Z726:AW726),0)</f>
        <v>0</v>
      </c>
      <c r="AY726" s="10">
        <f>IF(Timeline!AY225=1, SUM($AA703:AY703)-SUM($Z726:AX726),0)</f>
        <v>0</v>
      </c>
      <c r="AZ726" s="10">
        <f>IF(Timeline!AZ225=1, SUM($AA703:AZ703)-SUM($Z726:AY726),0)</f>
        <v>0</v>
      </c>
      <c r="BA726" s="10">
        <f>IF(Timeline!BA225=1, SUM($AA703:BA703)-SUM($Z726:AZ726),0)</f>
        <v>0</v>
      </c>
      <c r="BB726" s="10">
        <f>IF(Timeline!BB225=1, SUM($AA703:BB703)-SUM($Z726:BA726),0)</f>
        <v>0</v>
      </c>
      <c r="BC726" s="10">
        <f>IF(Timeline!BC225=1, SUM($AA703:BC703)-SUM($Z726:BB726),0)</f>
        <v>0</v>
      </c>
      <c r="BD726" s="10">
        <f>IF(Timeline!BD225=1, SUM($AA703:BD703)-SUM($Z726:BC726),0)</f>
        <v>0</v>
      </c>
      <c r="BE726" s="10">
        <f>IF(Timeline!BE225=1, SUM($AA703:BE703)-SUM($Z726:BD726),0)</f>
        <v>0</v>
      </c>
      <c r="BF726" s="10">
        <f>IF(Timeline!BF225=1, SUM($AA703:BF703)-SUM($Z726:BE726),0)</f>
        <v>0</v>
      </c>
      <c r="BG726" s="10">
        <f>IF(Timeline!BG225=1, SUM($AA703:BG703)-SUM($Z726:BF726),0)</f>
        <v>0</v>
      </c>
      <c r="BH726" s="10">
        <f>IF(Timeline!BH225=1, SUM($AA703:BH703)-SUM($Z726:BG726),0)</f>
        <v>0</v>
      </c>
      <c r="BI726" s="10">
        <f>IF(Timeline!BI225=1, SUM($AA703:BI703)-SUM($Z726:BH726),0)</f>
        <v>0</v>
      </c>
      <c r="BJ726" s="10">
        <f>IF(Timeline!BJ225=1, SUM($AA703:BJ703)-SUM($Z726:BI726),0)</f>
        <v>0</v>
      </c>
      <c r="BL726" s="136"/>
      <c r="BM726" s="13">
        <f t="shared" si="919"/>
        <v>0</v>
      </c>
      <c r="BN726" s="13">
        <f t="shared" si="920"/>
        <v>0</v>
      </c>
      <c r="BO726" s="13">
        <f t="shared" si="921"/>
        <v>0</v>
      </c>
      <c r="BP726" s="136"/>
      <c r="BQ726" s="136"/>
      <c r="BR726" s="136"/>
      <c r="BS726" s="136"/>
      <c r="BT726" s="136"/>
      <c r="BU726" s="136"/>
      <c r="BV726" s="136"/>
      <c r="BW726" s="136"/>
      <c r="BY726" s="12"/>
      <c r="BZ726" s="335"/>
      <c r="CA726" s="12"/>
      <c r="CB726" s="335"/>
      <c r="CC726" s="335"/>
      <c r="CD726" s="335"/>
      <c r="CE726" s="335"/>
      <c r="CJ726" s="162"/>
      <c r="CK726" s="162"/>
      <c r="CM726" s="335"/>
      <c r="CN726" s="335"/>
      <c r="CO726" s="335"/>
      <c r="CP726" s="335"/>
      <c r="CR726" s="12"/>
      <c r="CT726" s="335"/>
      <c r="CU726" s="335"/>
      <c r="EW726" s="335"/>
      <c r="EX726" s="10" t="str">
        <f t="shared" si="916"/>
        <v/>
      </c>
    </row>
    <row r="727" spans="1:154" s="67" customFormat="1" x14ac:dyDescent="0.25">
      <c r="A727" s="162"/>
      <c r="B727" s="84" t="str" cm="1">
        <f t="array" aca="1" ref="B727" ca="1">HYPERLINK(CONCATENATE("#",CELL("address",$D$389)),$D$389)</f>
        <v>Loan 19</v>
      </c>
      <c r="C727" s="380"/>
      <c r="D727" s="221">
        <f>D$31</f>
        <v>0</v>
      </c>
      <c r="E727" s="60">
        <f>E$31</f>
        <v>0</v>
      </c>
      <c r="F727" s="10">
        <f t="shared" si="917"/>
        <v>0</v>
      </c>
      <c r="H727" s="50" t="s">
        <v>125</v>
      </c>
      <c r="S727" s="335"/>
      <c r="T727" s="335"/>
      <c r="U727" s="335"/>
      <c r="V727" s="136"/>
      <c r="W727" s="215">
        <f t="shared" si="918"/>
        <v>0</v>
      </c>
      <c r="X727" s="215">
        <f t="shared" si="918"/>
        <v>0</v>
      </c>
      <c r="Y727" s="215">
        <f t="shared" si="918"/>
        <v>0</v>
      </c>
      <c r="AA727" s="201">
        <f>IF(Timeline!AA226=1, SUM($AA704:AA704)-SUM($Z727:Z727),0)</f>
        <v>0</v>
      </c>
      <c r="AB727" s="10">
        <f>IF(Timeline!AB226=1, SUM($AA704:AB704)-SUM($Z727:AA727),0)</f>
        <v>0</v>
      </c>
      <c r="AC727" s="10">
        <f>IF(Timeline!AC226=1, SUM($AA704:AC704)-SUM($Z727:AB727),0)</f>
        <v>0</v>
      </c>
      <c r="AD727" s="10">
        <f>IF(Timeline!AD226=1, SUM($AA704:AD704)-SUM($Z727:AC727),0)</f>
        <v>0</v>
      </c>
      <c r="AE727" s="10">
        <f>IF(Timeline!AE226=1, SUM($AA704:AE704)-SUM($Z727:AD727),0)</f>
        <v>0</v>
      </c>
      <c r="AF727" s="10">
        <f>IF(Timeline!AF226=1, SUM($AA704:AF704)-SUM($Z727:AE727),0)</f>
        <v>0</v>
      </c>
      <c r="AG727" s="10">
        <f>IF(Timeline!AG226=1, SUM($AA704:AG704)-SUM($Z727:AF727),0)</f>
        <v>0</v>
      </c>
      <c r="AH727" s="10">
        <f>IF(Timeline!AH226=1, SUM($AA704:AH704)-SUM($Z727:AG727),0)</f>
        <v>0</v>
      </c>
      <c r="AI727" s="10">
        <f>IF(Timeline!AI226=1, SUM($AA704:AI704)-SUM($Z727:AH727),0)</f>
        <v>0</v>
      </c>
      <c r="AJ727" s="10">
        <f>IF(Timeline!AJ226=1, SUM($AA704:AJ704)-SUM($Z727:AI727),0)</f>
        <v>0</v>
      </c>
      <c r="AK727" s="10">
        <f>IF(Timeline!AK226=1, SUM($AA704:AK704)-SUM($Z727:AJ727),0)</f>
        <v>0</v>
      </c>
      <c r="AL727" s="10">
        <f>IF(Timeline!AL226=1, SUM($AA704:AL704)-SUM($Z727:AK727),0)</f>
        <v>0</v>
      </c>
      <c r="AM727" s="10">
        <f>IF(Timeline!AM226=1, SUM($AA704:AM704)-SUM($Z727:AL727),0)</f>
        <v>0</v>
      </c>
      <c r="AN727" s="10">
        <f>IF(Timeline!AN226=1, SUM($AA704:AN704)-SUM($Z727:AM727),0)</f>
        <v>0</v>
      </c>
      <c r="AO727" s="10">
        <f>IF(Timeline!AO226=1, SUM($AA704:AO704)-SUM($Z727:AN727),0)</f>
        <v>0</v>
      </c>
      <c r="AP727" s="10">
        <f>IF(Timeline!AP226=1, SUM($AA704:AP704)-SUM($Z727:AO727),0)</f>
        <v>0</v>
      </c>
      <c r="AQ727" s="10">
        <f>IF(Timeline!AQ226=1, SUM($AA704:AQ704)-SUM($Z727:AP727),0)</f>
        <v>0</v>
      </c>
      <c r="AR727" s="10">
        <f>IF(Timeline!AR226=1, SUM($AA704:AR704)-SUM($Z727:AQ727),0)</f>
        <v>0</v>
      </c>
      <c r="AS727" s="10">
        <f>IF(Timeline!AS226=1, SUM($AA704:AS704)-SUM($Z727:AR727),0)</f>
        <v>0</v>
      </c>
      <c r="AT727" s="10">
        <f>IF(Timeline!AT226=1, SUM($AA704:AT704)-SUM($Z727:AS727),0)</f>
        <v>0</v>
      </c>
      <c r="AU727" s="10">
        <f>IF(Timeline!AU226=1, SUM($AA704:AU704)-SUM($Z727:AT727),0)</f>
        <v>0</v>
      </c>
      <c r="AV727" s="10">
        <f>IF(Timeline!AV226=1, SUM($AA704:AV704)-SUM($Z727:AU727),0)</f>
        <v>0</v>
      </c>
      <c r="AW727" s="10">
        <f>IF(Timeline!AW226=1, SUM($AA704:AW704)-SUM($Z727:AV727),0)</f>
        <v>0</v>
      </c>
      <c r="AX727" s="10">
        <f>IF(Timeline!AX226=1, SUM($AA704:AX704)-SUM($Z727:AW727),0)</f>
        <v>0</v>
      </c>
      <c r="AY727" s="10">
        <f>IF(Timeline!AY226=1, SUM($AA704:AY704)-SUM($Z727:AX727),0)</f>
        <v>0</v>
      </c>
      <c r="AZ727" s="10">
        <f>IF(Timeline!AZ226=1, SUM($AA704:AZ704)-SUM($Z727:AY727),0)</f>
        <v>0</v>
      </c>
      <c r="BA727" s="10">
        <f>IF(Timeline!BA226=1, SUM($AA704:BA704)-SUM($Z727:AZ727),0)</f>
        <v>0</v>
      </c>
      <c r="BB727" s="10">
        <f>IF(Timeline!BB226=1, SUM($AA704:BB704)-SUM($Z727:BA727),0)</f>
        <v>0</v>
      </c>
      <c r="BC727" s="10">
        <f>IF(Timeline!BC226=1, SUM($AA704:BC704)-SUM($Z727:BB727),0)</f>
        <v>0</v>
      </c>
      <c r="BD727" s="10">
        <f>IF(Timeline!BD226=1, SUM($AA704:BD704)-SUM($Z727:BC727),0)</f>
        <v>0</v>
      </c>
      <c r="BE727" s="10">
        <f>IF(Timeline!BE226=1, SUM($AA704:BE704)-SUM($Z727:BD727),0)</f>
        <v>0</v>
      </c>
      <c r="BF727" s="10">
        <f>IF(Timeline!BF226=1, SUM($AA704:BF704)-SUM($Z727:BE727),0)</f>
        <v>0</v>
      </c>
      <c r="BG727" s="10">
        <f>IF(Timeline!BG226=1, SUM($AA704:BG704)-SUM($Z727:BF727),0)</f>
        <v>0</v>
      </c>
      <c r="BH727" s="10">
        <f>IF(Timeline!BH226=1, SUM($AA704:BH704)-SUM($Z727:BG727),0)</f>
        <v>0</v>
      </c>
      <c r="BI727" s="10">
        <f>IF(Timeline!BI226=1, SUM($AA704:BI704)-SUM($Z727:BH727),0)</f>
        <v>0</v>
      </c>
      <c r="BJ727" s="10">
        <f>IF(Timeline!BJ226=1, SUM($AA704:BJ704)-SUM($Z727:BI727),0)</f>
        <v>0</v>
      </c>
      <c r="BL727" s="136"/>
      <c r="BM727" s="13">
        <f t="shared" si="919"/>
        <v>0</v>
      </c>
      <c r="BN727" s="13">
        <f t="shared" si="920"/>
        <v>0</v>
      </c>
      <c r="BO727" s="13">
        <f t="shared" si="921"/>
        <v>0</v>
      </c>
      <c r="BP727" s="136"/>
      <c r="BQ727" s="136"/>
      <c r="BR727" s="136"/>
      <c r="BS727" s="136"/>
      <c r="BT727" s="136"/>
      <c r="BU727" s="136"/>
      <c r="BV727" s="136"/>
      <c r="BW727" s="136"/>
      <c r="BY727" s="12"/>
      <c r="BZ727" s="335"/>
      <c r="CA727" s="12"/>
      <c r="CB727" s="335"/>
      <c r="CC727" s="335"/>
      <c r="CD727" s="335"/>
      <c r="CE727" s="335"/>
      <c r="CJ727" s="162"/>
      <c r="CK727" s="162"/>
      <c r="CM727" s="335"/>
      <c r="CN727" s="335"/>
      <c r="CO727" s="335"/>
      <c r="CP727" s="335"/>
      <c r="CR727" s="12"/>
      <c r="CT727" s="335"/>
      <c r="CU727" s="335"/>
      <c r="EW727" s="335"/>
      <c r="EX727" s="10" t="str">
        <f t="shared" si="916"/>
        <v/>
      </c>
    </row>
    <row r="728" spans="1:154" s="67" customFormat="1" x14ac:dyDescent="0.25">
      <c r="A728" s="162"/>
      <c r="B728" s="84" t="str" cm="1">
        <f t="array" aca="1" ref="B728" ca="1">HYPERLINK(CONCATENATE("#",CELL("address",$D$408)),$D$408)</f>
        <v>Loan 20</v>
      </c>
      <c r="C728" s="380"/>
      <c r="D728" s="221">
        <f>D$32</f>
        <v>0</v>
      </c>
      <c r="E728" s="60">
        <f>E$32</f>
        <v>0</v>
      </c>
      <c r="F728" s="10">
        <f t="shared" si="917"/>
        <v>0</v>
      </c>
      <c r="H728" s="50" t="s">
        <v>125</v>
      </c>
      <c r="S728" s="335"/>
      <c r="T728" s="335"/>
      <c r="U728" s="335"/>
      <c r="V728" s="136"/>
      <c r="W728" s="215">
        <f t="shared" si="918"/>
        <v>0</v>
      </c>
      <c r="X728" s="215">
        <f t="shared" si="918"/>
        <v>0</v>
      </c>
      <c r="Y728" s="215">
        <f t="shared" si="918"/>
        <v>0</v>
      </c>
      <c r="AA728" s="201">
        <f>IF(Timeline!AA227=1, SUM($AA705:AA705)-SUM($Z728:Z728),0)</f>
        <v>0</v>
      </c>
      <c r="AB728" s="10">
        <f>IF(Timeline!AB227=1, SUM($AA705:AB705)-SUM($Z728:AA728),0)</f>
        <v>0</v>
      </c>
      <c r="AC728" s="10">
        <f>IF(Timeline!AC227=1, SUM($AA705:AC705)-SUM($Z728:AB728),0)</f>
        <v>0</v>
      </c>
      <c r="AD728" s="10">
        <f>IF(Timeline!AD227=1, SUM($AA705:AD705)-SUM($Z728:AC728),0)</f>
        <v>0</v>
      </c>
      <c r="AE728" s="10">
        <f>IF(Timeline!AE227=1, SUM($AA705:AE705)-SUM($Z728:AD728),0)</f>
        <v>0</v>
      </c>
      <c r="AF728" s="10">
        <f>IF(Timeline!AF227=1, SUM($AA705:AF705)-SUM($Z728:AE728),0)</f>
        <v>0</v>
      </c>
      <c r="AG728" s="10">
        <f>IF(Timeline!AG227=1, SUM($AA705:AG705)-SUM($Z728:AF728),0)</f>
        <v>0</v>
      </c>
      <c r="AH728" s="10">
        <f>IF(Timeline!AH227=1, SUM($AA705:AH705)-SUM($Z728:AG728),0)</f>
        <v>0</v>
      </c>
      <c r="AI728" s="10">
        <f>IF(Timeline!AI227=1, SUM($AA705:AI705)-SUM($Z728:AH728),0)</f>
        <v>0</v>
      </c>
      <c r="AJ728" s="10">
        <f>IF(Timeline!AJ227=1, SUM($AA705:AJ705)-SUM($Z728:AI728),0)</f>
        <v>0</v>
      </c>
      <c r="AK728" s="10">
        <f>IF(Timeline!AK227=1, SUM($AA705:AK705)-SUM($Z728:AJ728),0)</f>
        <v>0</v>
      </c>
      <c r="AL728" s="10">
        <f>IF(Timeline!AL227=1, SUM($AA705:AL705)-SUM($Z728:AK728),0)</f>
        <v>0</v>
      </c>
      <c r="AM728" s="10">
        <f>IF(Timeline!AM227=1, SUM($AA705:AM705)-SUM($Z728:AL728),0)</f>
        <v>0</v>
      </c>
      <c r="AN728" s="10">
        <f>IF(Timeline!AN227=1, SUM($AA705:AN705)-SUM($Z728:AM728),0)</f>
        <v>0</v>
      </c>
      <c r="AO728" s="10">
        <f>IF(Timeline!AO227=1, SUM($AA705:AO705)-SUM($Z728:AN728),0)</f>
        <v>0</v>
      </c>
      <c r="AP728" s="10">
        <f>IF(Timeline!AP227=1, SUM($AA705:AP705)-SUM($Z728:AO728),0)</f>
        <v>0</v>
      </c>
      <c r="AQ728" s="10">
        <f>IF(Timeline!AQ227=1, SUM($AA705:AQ705)-SUM($Z728:AP728),0)</f>
        <v>0</v>
      </c>
      <c r="AR728" s="10">
        <f>IF(Timeline!AR227=1, SUM($AA705:AR705)-SUM($Z728:AQ728),0)</f>
        <v>0</v>
      </c>
      <c r="AS728" s="10">
        <f>IF(Timeline!AS227=1, SUM($AA705:AS705)-SUM($Z728:AR728),0)</f>
        <v>0</v>
      </c>
      <c r="AT728" s="10">
        <f>IF(Timeline!AT227=1, SUM($AA705:AT705)-SUM($Z728:AS728),0)</f>
        <v>0</v>
      </c>
      <c r="AU728" s="10">
        <f>IF(Timeline!AU227=1, SUM($AA705:AU705)-SUM($Z728:AT728),0)</f>
        <v>0</v>
      </c>
      <c r="AV728" s="10">
        <f>IF(Timeline!AV227=1, SUM($AA705:AV705)-SUM($Z728:AU728),0)</f>
        <v>0</v>
      </c>
      <c r="AW728" s="10">
        <f>IF(Timeline!AW227=1, SUM($AA705:AW705)-SUM($Z728:AV728),0)</f>
        <v>0</v>
      </c>
      <c r="AX728" s="10">
        <f>IF(Timeline!AX227=1, SUM($AA705:AX705)-SUM($Z728:AW728),0)</f>
        <v>0</v>
      </c>
      <c r="AY728" s="10">
        <f>IF(Timeline!AY227=1, SUM($AA705:AY705)-SUM($Z728:AX728),0)</f>
        <v>0</v>
      </c>
      <c r="AZ728" s="10">
        <f>IF(Timeline!AZ227=1, SUM($AA705:AZ705)-SUM($Z728:AY728),0)</f>
        <v>0</v>
      </c>
      <c r="BA728" s="10">
        <f>IF(Timeline!BA227=1, SUM($AA705:BA705)-SUM($Z728:AZ728),0)</f>
        <v>0</v>
      </c>
      <c r="BB728" s="10">
        <f>IF(Timeline!BB227=1, SUM($AA705:BB705)-SUM($Z728:BA728),0)</f>
        <v>0</v>
      </c>
      <c r="BC728" s="10">
        <f>IF(Timeline!BC227=1, SUM($AA705:BC705)-SUM($Z728:BB728),0)</f>
        <v>0</v>
      </c>
      <c r="BD728" s="10">
        <f>IF(Timeline!BD227=1, SUM($AA705:BD705)-SUM($Z728:BC728),0)</f>
        <v>0</v>
      </c>
      <c r="BE728" s="10">
        <f>IF(Timeline!BE227=1, SUM($AA705:BE705)-SUM($Z728:BD728),0)</f>
        <v>0</v>
      </c>
      <c r="BF728" s="10">
        <f>IF(Timeline!BF227=1, SUM($AA705:BF705)-SUM($Z728:BE728),0)</f>
        <v>0</v>
      </c>
      <c r="BG728" s="10">
        <f>IF(Timeline!BG227=1, SUM($AA705:BG705)-SUM($Z728:BF728),0)</f>
        <v>0</v>
      </c>
      <c r="BH728" s="10">
        <f>IF(Timeline!BH227=1, SUM($AA705:BH705)-SUM($Z728:BG728),0)</f>
        <v>0</v>
      </c>
      <c r="BI728" s="10">
        <f>IF(Timeline!BI227=1, SUM($AA705:BI705)-SUM($Z728:BH728),0)</f>
        <v>0</v>
      </c>
      <c r="BJ728" s="10">
        <f>IF(Timeline!BJ227=1, SUM($AA705:BJ705)-SUM($Z728:BI728),0)</f>
        <v>0</v>
      </c>
      <c r="BL728" s="136"/>
      <c r="BM728" s="13">
        <f t="shared" si="919"/>
        <v>0</v>
      </c>
      <c r="BN728" s="13">
        <f t="shared" si="920"/>
        <v>0</v>
      </c>
      <c r="BO728" s="13">
        <f t="shared" si="921"/>
        <v>0</v>
      </c>
      <c r="BP728" s="136"/>
      <c r="BQ728" s="136"/>
      <c r="BR728" s="136"/>
      <c r="BS728" s="136"/>
      <c r="BT728" s="136"/>
      <c r="BU728" s="136"/>
      <c r="BV728" s="136"/>
      <c r="BW728" s="136"/>
      <c r="BY728" s="12"/>
      <c r="BZ728" s="335"/>
      <c r="CA728" s="12"/>
      <c r="CB728" s="335"/>
      <c r="CC728" s="335"/>
      <c r="CD728" s="335"/>
      <c r="CE728" s="335"/>
      <c r="CJ728" s="162"/>
      <c r="CK728" s="162"/>
      <c r="CM728" s="335"/>
      <c r="CN728" s="335"/>
      <c r="CO728" s="335"/>
      <c r="CP728" s="335"/>
      <c r="CR728" s="12"/>
      <c r="CT728" s="335"/>
      <c r="CU728" s="335"/>
      <c r="EW728" s="335"/>
      <c r="EX728" s="10" t="str">
        <f t="shared" si="916"/>
        <v/>
      </c>
    </row>
    <row r="729" spans="1:154" s="67" customFormat="1" ht="6.6" customHeight="1" x14ac:dyDescent="0.25">
      <c r="C729" s="380"/>
      <c r="D729" s="1"/>
      <c r="S729" s="335"/>
      <c r="T729" s="335"/>
      <c r="U729" s="335"/>
      <c r="BM729" s="6"/>
      <c r="BY729" s="42"/>
      <c r="BZ729" s="335"/>
      <c r="CA729" s="42"/>
      <c r="CB729" s="335"/>
      <c r="CC729" s="335"/>
      <c r="CD729" s="335"/>
      <c r="CE729" s="335"/>
      <c r="CJ729" s="162"/>
      <c r="CM729" s="335"/>
      <c r="CN729" s="335"/>
      <c r="CO729" s="335"/>
      <c r="CP729" s="335"/>
      <c r="CR729" s="42"/>
      <c r="CT729" s="335"/>
      <c r="CU729" s="335"/>
      <c r="EW729" s="335"/>
      <c r="EX729" s="10" t="str">
        <f t="shared" si="916"/>
        <v/>
      </c>
    </row>
    <row r="730" spans="1:154" s="67" customFormat="1" x14ac:dyDescent="0.25">
      <c r="C730" s="380"/>
      <c r="D730" s="61" t="s">
        <v>550</v>
      </c>
      <c r="S730" s="335"/>
      <c r="T730" s="335"/>
      <c r="U730" s="335"/>
      <c r="BY730" s="12"/>
      <c r="BZ730" s="335"/>
      <c r="CA730" s="12"/>
      <c r="CB730" s="335"/>
      <c r="CC730" s="335"/>
      <c r="CD730" s="335"/>
      <c r="CE730" s="335"/>
      <c r="CJ730" s="162"/>
      <c r="CM730" s="335"/>
      <c r="CN730" s="335"/>
      <c r="CO730" s="335"/>
      <c r="CP730" s="335"/>
      <c r="CR730" s="12"/>
      <c r="CT730" s="335"/>
      <c r="CU730" s="335"/>
      <c r="EW730" s="335"/>
      <c r="EX730" s="10" t="str">
        <f t="shared" si="916"/>
        <v/>
      </c>
    </row>
    <row r="731" spans="1:154" s="162" customFormat="1" ht="30" x14ac:dyDescent="0.25">
      <c r="B731" s="138" t="s">
        <v>551</v>
      </c>
      <c r="C731" s="380"/>
      <c r="D731" s="138" t="str">
        <f>D$11</f>
        <v>Lender</v>
      </c>
      <c r="E731" s="74" t="str">
        <f>E$11</f>
        <v>Loan Category</v>
      </c>
      <c r="F731" s="335"/>
      <c r="S731" s="335"/>
      <c r="T731" s="335"/>
      <c r="U731" s="335"/>
      <c r="AA731" s="170" t="s">
        <v>335</v>
      </c>
      <c r="BY731" s="163"/>
      <c r="CA731" s="163"/>
      <c r="CR731" s="163"/>
      <c r="EX731" s="10" t="str">
        <f t="shared" si="916"/>
        <v/>
      </c>
    </row>
    <row r="732" spans="1:154" s="67" customFormat="1" x14ac:dyDescent="0.25">
      <c r="A732" s="162"/>
      <c r="B732" s="84" t="str" cm="1">
        <f t="array" aca="1" ref="B732" ca="1">HYPERLINK(CONCATENATE("#",CELL("address",$D$47)),$D$47)</f>
        <v>Loan 1</v>
      </c>
      <c r="C732" s="380"/>
      <c r="D732" s="221" t="str">
        <f>D$13</f>
        <v>NatWest</v>
      </c>
      <c r="E732" s="60" t="str">
        <f>E$13</f>
        <v xml:space="preserve">Commercial </v>
      </c>
      <c r="F732" s="335"/>
      <c r="H732" s="50" t="s">
        <v>125</v>
      </c>
      <c r="I732" s="65"/>
      <c r="S732" s="335"/>
      <c r="T732" s="335"/>
      <c r="U732" s="335"/>
      <c r="V732" s="136"/>
      <c r="W732" s="215">
        <f xml:space="preserve"> SUMIFS($AA732:$BJ732, $AA$3:$BJ$3, W$3)</f>
        <v>0</v>
      </c>
      <c r="X732" s="215">
        <f t="shared" ref="W732:Y751" si="922" xml:space="preserve"> SUMIFS($AA732:$BJ732, $AA$3:$BJ$3, X$3)</f>
        <v>0</v>
      </c>
      <c r="Y732" s="215">
        <f t="shared" si="922"/>
        <v>0</v>
      </c>
      <c r="Z732" s="162"/>
      <c r="AA732" s="10">
        <f>AA709+IF(Timeline!AA231=1,Z801,0)</f>
        <v>0</v>
      </c>
      <c r="AB732" s="10">
        <f>AB709+IF(Timeline!AB231=1,AA801,0)</f>
        <v>0</v>
      </c>
      <c r="AC732" s="10">
        <f>AC709+IF(Timeline!AC231=1,AB801,0)</f>
        <v>0</v>
      </c>
      <c r="AD732" s="10">
        <f>AD709+IF(Timeline!AD231=1,AC801,0)</f>
        <v>0</v>
      </c>
      <c r="AE732" s="10">
        <f>AE709+IF(Timeline!AE231=1,AD801,0)</f>
        <v>0</v>
      </c>
      <c r="AF732" s="10">
        <f>AF709+IF(Timeline!AF231=1,AE801,0)</f>
        <v>0</v>
      </c>
      <c r="AG732" s="10">
        <f>AG709+IF(Timeline!AG231=1,AF801,0)</f>
        <v>0</v>
      </c>
      <c r="AH732" s="10">
        <f>AH709+IF(Timeline!AH231=1,AG801,0)</f>
        <v>0</v>
      </c>
      <c r="AI732" s="10">
        <f>AI709+IF(Timeline!AI231=1,AH801,0)</f>
        <v>0</v>
      </c>
      <c r="AJ732" s="10">
        <f>AJ709+IF(Timeline!AJ231=1,AI801,0)</f>
        <v>0</v>
      </c>
      <c r="AK732" s="10">
        <f>AK709+IF(Timeline!AK231=1,AJ801,0)</f>
        <v>0</v>
      </c>
      <c r="AL732" s="10">
        <f>AL709+IF(Timeline!AL231=1,AK801,0)</f>
        <v>0</v>
      </c>
      <c r="AM732" s="10">
        <f>AM709+IF(Timeline!AM231=1,AL801,0)</f>
        <v>0</v>
      </c>
      <c r="AN732" s="10">
        <f>AN709+IF(Timeline!AN231=1,AM801,0)</f>
        <v>0</v>
      </c>
      <c r="AO732" s="10">
        <f>AO709+IF(Timeline!AO231=1,AN801,0)</f>
        <v>0</v>
      </c>
      <c r="AP732" s="10">
        <f>AP709+IF(Timeline!AP231=1,AO801,0)</f>
        <v>0</v>
      </c>
      <c r="AQ732" s="10">
        <f>AQ709+IF(Timeline!AQ231=1,AP801,0)</f>
        <v>0</v>
      </c>
      <c r="AR732" s="10">
        <f>AR709+IF(Timeline!AR231=1,AQ801,0)</f>
        <v>0</v>
      </c>
      <c r="AS732" s="10">
        <f>AS709+IF(Timeline!AS231=1,AR801,0)</f>
        <v>0</v>
      </c>
      <c r="AT732" s="10">
        <f>AT709+IF(Timeline!AT231=1,AS801,0)</f>
        <v>0</v>
      </c>
      <c r="AU732" s="10">
        <f>AU709+IF(Timeline!AU231=1,AT801,0)</f>
        <v>0</v>
      </c>
      <c r="AV732" s="10">
        <f>AV709+IF(Timeline!AV231=1,AU801,0)</f>
        <v>0</v>
      </c>
      <c r="AW732" s="10">
        <f>AW709+IF(Timeline!AW231=1,AV801,0)</f>
        <v>0</v>
      </c>
      <c r="AX732" s="10">
        <f>AX709+IF(Timeline!AX231=1,AW801,0)</f>
        <v>0</v>
      </c>
      <c r="AY732" s="10">
        <f>AY709+IF(Timeline!AY231=1,AX801,0)</f>
        <v>0</v>
      </c>
      <c r="AZ732" s="10">
        <f>AZ709+IF(Timeline!AZ231=1,AY801,0)</f>
        <v>0</v>
      </c>
      <c r="BA732" s="10">
        <f>BA709+IF(Timeline!BA231=1,AZ801,0)</f>
        <v>0</v>
      </c>
      <c r="BB732" s="10">
        <f>BB709+IF(Timeline!BB231=1,BA801,0)</f>
        <v>0</v>
      </c>
      <c r="BC732" s="10">
        <f>BC709+IF(Timeline!BC231=1,BB801,0)</f>
        <v>0</v>
      </c>
      <c r="BD732" s="10">
        <f>BD709+IF(Timeline!BD231=1,BC801,0)</f>
        <v>0</v>
      </c>
      <c r="BE732" s="10">
        <f>BE709+IF(Timeline!BE231=1,BD801,0)</f>
        <v>0</v>
      </c>
      <c r="BF732" s="10">
        <f>BF709+IF(Timeline!BF231=1,BE801,0)</f>
        <v>0</v>
      </c>
      <c r="BG732" s="10">
        <f>BG709+IF(Timeline!BG231=1,BF801,0)</f>
        <v>0</v>
      </c>
      <c r="BH732" s="10">
        <f>BH709+IF(Timeline!BH231=1,BG801,0)</f>
        <v>0</v>
      </c>
      <c r="BI732" s="10">
        <f>BI709+IF(Timeline!BI231=1,BH801,0)</f>
        <v>0</v>
      </c>
      <c r="BJ732" s="10">
        <f>BJ709+IF(Timeline!BJ231=1,BI801,0)</f>
        <v>0</v>
      </c>
      <c r="BL732" s="136"/>
      <c r="BM732" s="13">
        <f t="shared" ref="BM732:BM751" si="923">W732</f>
        <v>0</v>
      </c>
      <c r="BN732" s="13">
        <f t="shared" ref="BN732:BN751" si="924">X732</f>
        <v>0</v>
      </c>
      <c r="BO732" s="13">
        <f t="shared" ref="BO732:BO751" si="925">Y732</f>
        <v>0</v>
      </c>
      <c r="BP732" s="136"/>
      <c r="BQ732" s="136"/>
      <c r="BR732" s="136"/>
      <c r="BS732" s="136"/>
      <c r="BT732" s="136"/>
      <c r="BU732" s="136"/>
      <c r="BV732" s="136"/>
      <c r="BW732" s="136"/>
      <c r="BY732" s="12"/>
      <c r="BZ732" s="335"/>
      <c r="CA732" s="12"/>
      <c r="CB732" s="335"/>
      <c r="CC732" s="335"/>
      <c r="CD732" s="335"/>
      <c r="CE732" s="335"/>
      <c r="CJ732" s="162"/>
      <c r="CK732" s="162"/>
      <c r="CM732" s="335"/>
      <c r="CN732" s="335"/>
      <c r="CO732" s="335"/>
      <c r="CP732" s="335"/>
      <c r="CR732" s="12"/>
      <c r="CT732" s="335"/>
      <c r="CU732" s="335"/>
      <c r="EW732" s="335"/>
      <c r="EX732" s="10" t="str">
        <f t="shared" si="916"/>
        <v/>
      </c>
    </row>
    <row r="733" spans="1:154" s="67" customFormat="1" x14ac:dyDescent="0.25">
      <c r="A733" s="162"/>
      <c r="B733" s="84" t="str" cm="1">
        <f t="array" aca="1" ref="B733" ca="1">HYPERLINK(CONCATENATE("#",CELL("address",$D$66)),$D$66)</f>
        <v>Loan 2</v>
      </c>
      <c r="C733" s="380"/>
      <c r="D733" s="221" t="str">
        <f>D$14</f>
        <v>NatWest</v>
      </c>
      <c r="E733" s="60" t="str">
        <f>E$14</f>
        <v xml:space="preserve">Commercial </v>
      </c>
      <c r="F733" s="335"/>
      <c r="H733" s="50" t="s">
        <v>125</v>
      </c>
      <c r="S733" s="335"/>
      <c r="T733" s="335"/>
      <c r="U733" s="335"/>
      <c r="V733" s="136"/>
      <c r="W733" s="215">
        <f t="shared" si="922"/>
        <v>0</v>
      </c>
      <c r="X733" s="215">
        <f t="shared" si="922"/>
        <v>0</v>
      </c>
      <c r="Y733" s="215">
        <f t="shared" si="922"/>
        <v>0</v>
      </c>
      <c r="AA733" s="10">
        <f>AA710+IF(Timeline!AA232=1,Z802,0)</f>
        <v>0</v>
      </c>
      <c r="AB733" s="10">
        <f>AB710+IF(Timeline!AB232=1,AA802,0)</f>
        <v>0</v>
      </c>
      <c r="AC733" s="10">
        <f>AC710+IF(Timeline!AC232=1,AB802,0)</f>
        <v>0</v>
      </c>
      <c r="AD733" s="10">
        <f>AD710+IF(Timeline!AD232=1,AC802,0)</f>
        <v>0</v>
      </c>
      <c r="AE733" s="10">
        <f>AE710+IF(Timeline!AE232=1,AD802,0)</f>
        <v>0</v>
      </c>
      <c r="AF733" s="10">
        <f>AF710+IF(Timeline!AF232=1,AE802,0)</f>
        <v>0</v>
      </c>
      <c r="AG733" s="10">
        <f>AG710+IF(Timeline!AG232=1,AF802,0)</f>
        <v>0</v>
      </c>
      <c r="AH733" s="10">
        <f>AH710+IF(Timeline!AH232=1,AG802,0)</f>
        <v>0</v>
      </c>
      <c r="AI733" s="10">
        <f>AI710+IF(Timeline!AI232=1,AH802,0)</f>
        <v>0</v>
      </c>
      <c r="AJ733" s="10">
        <f>AJ710+IF(Timeline!AJ232=1,AI802,0)</f>
        <v>0</v>
      </c>
      <c r="AK733" s="10">
        <f>AK710+IF(Timeline!AK232=1,AJ802,0)</f>
        <v>0</v>
      </c>
      <c r="AL733" s="10">
        <f>AL710+IF(Timeline!AL232=1,AK802,0)</f>
        <v>0</v>
      </c>
      <c r="AM733" s="10">
        <f>AM710+IF(Timeline!AM232=1,AL802,0)</f>
        <v>0</v>
      </c>
      <c r="AN733" s="10">
        <f>AN710+IF(Timeline!AN232=1,AM802,0)</f>
        <v>0</v>
      </c>
      <c r="AO733" s="10">
        <f>AO710+IF(Timeline!AO232=1,AN802,0)</f>
        <v>0</v>
      </c>
      <c r="AP733" s="10">
        <f>AP710+IF(Timeline!AP232=1,AO802,0)</f>
        <v>0</v>
      </c>
      <c r="AQ733" s="10">
        <f>AQ710+IF(Timeline!AQ232=1,AP802,0)</f>
        <v>0</v>
      </c>
      <c r="AR733" s="10">
        <f>AR710+IF(Timeline!AR232=1,AQ802,0)</f>
        <v>0</v>
      </c>
      <c r="AS733" s="10">
        <f>AS710+IF(Timeline!AS232=1,AR802,0)</f>
        <v>0</v>
      </c>
      <c r="AT733" s="10">
        <f>AT710+IF(Timeline!AT232=1,AS802,0)</f>
        <v>0</v>
      </c>
      <c r="AU733" s="10">
        <f>AU710+IF(Timeline!AU232=1,AT802,0)</f>
        <v>0</v>
      </c>
      <c r="AV733" s="10">
        <f>AV710+IF(Timeline!AV232=1,AU802,0)</f>
        <v>0</v>
      </c>
      <c r="AW733" s="10">
        <f>AW710+IF(Timeline!AW232=1,AV802,0)</f>
        <v>0</v>
      </c>
      <c r="AX733" s="10">
        <f>AX710+IF(Timeline!AX232=1,AW802,0)</f>
        <v>0</v>
      </c>
      <c r="AY733" s="10">
        <f>AY710+IF(Timeline!AY232=1,AX802,0)</f>
        <v>0</v>
      </c>
      <c r="AZ733" s="10">
        <f>AZ710+IF(Timeline!AZ232=1,AY802,0)</f>
        <v>0</v>
      </c>
      <c r="BA733" s="10">
        <f>BA710+IF(Timeline!BA232=1,AZ802,0)</f>
        <v>0</v>
      </c>
      <c r="BB733" s="10">
        <f>BB710+IF(Timeline!BB232=1,BA802,0)</f>
        <v>0</v>
      </c>
      <c r="BC733" s="10">
        <f>BC710+IF(Timeline!BC232=1,BB802,0)</f>
        <v>0</v>
      </c>
      <c r="BD733" s="10">
        <f>BD710+IF(Timeline!BD232=1,BC802,0)</f>
        <v>0</v>
      </c>
      <c r="BE733" s="10">
        <f>BE710+IF(Timeline!BE232=1,BD802,0)</f>
        <v>0</v>
      </c>
      <c r="BF733" s="10">
        <f>BF710+IF(Timeline!BF232=1,BE802,0)</f>
        <v>0</v>
      </c>
      <c r="BG733" s="10">
        <f>BG710+IF(Timeline!BG232=1,BF802,0)</f>
        <v>0</v>
      </c>
      <c r="BH733" s="10">
        <f>BH710+IF(Timeline!BH232=1,BG802,0)</f>
        <v>0</v>
      </c>
      <c r="BI733" s="10">
        <f>BI710+IF(Timeline!BI232=1,BH802,0)</f>
        <v>0</v>
      </c>
      <c r="BJ733" s="10">
        <f>BJ710+IF(Timeline!BJ232=1,BI802,0)</f>
        <v>0</v>
      </c>
      <c r="BL733" s="136"/>
      <c r="BM733" s="13">
        <f t="shared" si="923"/>
        <v>0</v>
      </c>
      <c r="BN733" s="13">
        <f t="shared" si="924"/>
        <v>0</v>
      </c>
      <c r="BO733" s="13">
        <f t="shared" si="925"/>
        <v>0</v>
      </c>
      <c r="BP733" s="136"/>
      <c r="BQ733" s="136"/>
      <c r="BR733" s="136"/>
      <c r="BS733" s="136"/>
      <c r="BT733" s="136"/>
      <c r="BU733" s="136"/>
      <c r="BV733" s="136"/>
      <c r="BW733" s="136"/>
      <c r="BY733" s="12"/>
      <c r="BZ733" s="335"/>
      <c r="CA733" s="12"/>
      <c r="CB733" s="335"/>
      <c r="CC733" s="335"/>
      <c r="CD733" s="335"/>
      <c r="CE733" s="335"/>
      <c r="CJ733" s="162"/>
      <c r="CK733" s="162"/>
      <c r="CM733" s="335"/>
      <c r="CN733" s="335"/>
      <c r="CO733" s="335"/>
      <c r="CP733" s="335"/>
      <c r="CR733" s="12"/>
      <c r="CT733" s="335"/>
      <c r="CU733" s="335"/>
      <c r="EW733" s="335"/>
      <c r="EX733" s="10" t="str">
        <f t="shared" si="916"/>
        <v/>
      </c>
    </row>
    <row r="734" spans="1:154" s="67" customFormat="1" x14ac:dyDescent="0.25">
      <c r="A734" s="162"/>
      <c r="B734" s="84" t="str" cm="1">
        <f t="array" aca="1" ref="B734" ca="1">HYPERLINK(CONCATENATE("#",CELL("address",$D$85)),$D$85)</f>
        <v>Loan 3</v>
      </c>
      <c r="C734" s="380"/>
      <c r="D734" s="221" t="str">
        <f>D$15</f>
        <v>NatWest</v>
      </c>
      <c r="E734" s="60" t="str">
        <f>E$15</f>
        <v xml:space="preserve">Commercial </v>
      </c>
      <c r="F734" s="335"/>
      <c r="H734" s="50" t="s">
        <v>125</v>
      </c>
      <c r="S734" s="335"/>
      <c r="T734" s="335"/>
      <c r="U734" s="335"/>
      <c r="V734" s="136"/>
      <c r="W734" s="215">
        <f t="shared" si="922"/>
        <v>0</v>
      </c>
      <c r="X734" s="215">
        <f t="shared" si="922"/>
        <v>0</v>
      </c>
      <c r="Y734" s="215">
        <f t="shared" si="922"/>
        <v>0</v>
      </c>
      <c r="AA734" s="10">
        <f>AA711+IF(Timeline!AA233=1,Z803,0)</f>
        <v>0</v>
      </c>
      <c r="AB734" s="10">
        <f>AB711+IF(Timeline!AB233=1,AA803,0)</f>
        <v>0</v>
      </c>
      <c r="AC734" s="10">
        <f>AC711+IF(Timeline!AC233=1,AB803,0)</f>
        <v>0</v>
      </c>
      <c r="AD734" s="10">
        <f>AD711+IF(Timeline!AD233=1,AC803,0)</f>
        <v>0</v>
      </c>
      <c r="AE734" s="10">
        <f>AE711+IF(Timeline!AE233=1,AD803,0)</f>
        <v>0</v>
      </c>
      <c r="AF734" s="10">
        <f>AF711+IF(Timeline!AF233=1,AE803,0)</f>
        <v>0</v>
      </c>
      <c r="AG734" s="10">
        <f>AG711+IF(Timeline!AG233=1,AF803,0)</f>
        <v>0</v>
      </c>
      <c r="AH734" s="10">
        <f>AH711+IF(Timeline!AH233=1,AG803,0)</f>
        <v>0</v>
      </c>
      <c r="AI734" s="10">
        <f>AI711+IF(Timeline!AI233=1,AH803,0)</f>
        <v>0</v>
      </c>
      <c r="AJ734" s="10">
        <f>AJ711+IF(Timeline!AJ233=1,AI803,0)</f>
        <v>0</v>
      </c>
      <c r="AK734" s="10">
        <f>AK711+IF(Timeline!AK233=1,AJ803,0)</f>
        <v>0</v>
      </c>
      <c r="AL734" s="10">
        <f>AL711+IF(Timeline!AL233=1,AK803,0)</f>
        <v>0</v>
      </c>
      <c r="AM734" s="10">
        <f>AM711+IF(Timeline!AM233=1,AL803,0)</f>
        <v>0</v>
      </c>
      <c r="AN734" s="10">
        <f>AN711+IF(Timeline!AN233=1,AM803,0)</f>
        <v>0</v>
      </c>
      <c r="AO734" s="10">
        <f>AO711+IF(Timeline!AO233=1,AN803,0)</f>
        <v>0</v>
      </c>
      <c r="AP734" s="10">
        <f>AP711+IF(Timeline!AP233=1,AO803,0)</f>
        <v>0</v>
      </c>
      <c r="AQ734" s="10">
        <f>AQ711+IF(Timeline!AQ233=1,AP803,0)</f>
        <v>0</v>
      </c>
      <c r="AR734" s="10">
        <f>AR711+IF(Timeline!AR233=1,AQ803,0)</f>
        <v>0</v>
      </c>
      <c r="AS734" s="10">
        <f>AS711+IF(Timeline!AS233=1,AR803,0)</f>
        <v>0</v>
      </c>
      <c r="AT734" s="10">
        <f>AT711+IF(Timeline!AT233=1,AS803,0)</f>
        <v>0</v>
      </c>
      <c r="AU734" s="10">
        <f>AU711+IF(Timeline!AU233=1,AT803,0)</f>
        <v>0</v>
      </c>
      <c r="AV734" s="10">
        <f>AV711+IF(Timeline!AV233=1,AU803,0)</f>
        <v>0</v>
      </c>
      <c r="AW734" s="10">
        <f>AW711+IF(Timeline!AW233=1,AV803,0)</f>
        <v>0</v>
      </c>
      <c r="AX734" s="10">
        <f>AX711+IF(Timeline!AX233=1,AW803,0)</f>
        <v>0</v>
      </c>
      <c r="AY734" s="10">
        <f>AY711+IF(Timeline!AY233=1,AX803,0)</f>
        <v>0</v>
      </c>
      <c r="AZ734" s="10">
        <f>AZ711+IF(Timeline!AZ233=1,AY803,0)</f>
        <v>0</v>
      </c>
      <c r="BA734" s="10">
        <f>BA711+IF(Timeline!BA233=1,AZ803,0)</f>
        <v>0</v>
      </c>
      <c r="BB734" s="10">
        <f>BB711+IF(Timeline!BB233=1,BA803,0)</f>
        <v>0</v>
      </c>
      <c r="BC734" s="10">
        <f>BC711+IF(Timeline!BC233=1,BB803,0)</f>
        <v>0</v>
      </c>
      <c r="BD734" s="10">
        <f>BD711+IF(Timeline!BD233=1,BC803,0)</f>
        <v>0</v>
      </c>
      <c r="BE734" s="10">
        <f>BE711+IF(Timeline!BE233=1,BD803,0)</f>
        <v>0</v>
      </c>
      <c r="BF734" s="10">
        <f>BF711+IF(Timeline!BF233=1,BE803,0)</f>
        <v>0</v>
      </c>
      <c r="BG734" s="10">
        <f>BG711+IF(Timeline!BG233=1,BF803,0)</f>
        <v>0</v>
      </c>
      <c r="BH734" s="10">
        <f>BH711+IF(Timeline!BH233=1,BG803,0)</f>
        <v>0</v>
      </c>
      <c r="BI734" s="10">
        <f>BI711+IF(Timeline!BI233=1,BH803,0)</f>
        <v>0</v>
      </c>
      <c r="BJ734" s="10">
        <f>BJ711+IF(Timeline!BJ233=1,BI803,0)</f>
        <v>0</v>
      </c>
      <c r="BL734" s="136"/>
      <c r="BM734" s="13">
        <f t="shared" si="923"/>
        <v>0</v>
      </c>
      <c r="BN734" s="13">
        <f t="shared" si="924"/>
        <v>0</v>
      </c>
      <c r="BO734" s="13">
        <f t="shared" si="925"/>
        <v>0</v>
      </c>
      <c r="BP734" s="136"/>
      <c r="BQ734" s="136"/>
      <c r="BR734" s="136"/>
      <c r="BS734" s="136"/>
      <c r="BT734" s="136"/>
      <c r="BU734" s="136"/>
      <c r="BV734" s="136"/>
      <c r="BW734" s="136"/>
      <c r="BY734" s="12"/>
      <c r="BZ734" s="335"/>
      <c r="CA734" s="12"/>
      <c r="CB734" s="335"/>
      <c r="CC734" s="335"/>
      <c r="CD734" s="335"/>
      <c r="CE734" s="335"/>
      <c r="CJ734" s="162"/>
      <c r="CK734" s="162"/>
      <c r="CM734" s="335"/>
      <c r="CN734" s="335"/>
      <c r="CO734" s="335"/>
      <c r="CP734" s="335"/>
      <c r="CR734" s="12"/>
      <c r="CT734" s="335"/>
      <c r="CU734" s="335"/>
      <c r="EW734" s="335"/>
      <c r="EX734" s="10" t="str">
        <f t="shared" si="916"/>
        <v/>
      </c>
    </row>
    <row r="735" spans="1:154" s="67" customFormat="1" x14ac:dyDescent="0.25">
      <c r="A735" s="162"/>
      <c r="B735" s="84" t="str" cm="1">
        <f t="array" aca="1" ref="B735" ca="1">HYPERLINK(CONCATENATE("#",CELL("address",$D$104)),$D$104)</f>
        <v>Loan 4</v>
      </c>
      <c r="C735" s="380"/>
      <c r="D735" s="221" t="str">
        <f>D$16</f>
        <v>NatWest</v>
      </c>
      <c r="E735" s="60" t="str">
        <f>E$16</f>
        <v xml:space="preserve">Commercial </v>
      </c>
      <c r="F735" s="335"/>
      <c r="H735" s="50" t="s">
        <v>125</v>
      </c>
      <c r="S735" s="335"/>
      <c r="T735" s="335"/>
      <c r="U735" s="335"/>
      <c r="V735" s="136"/>
      <c r="W735" s="215">
        <f t="shared" si="922"/>
        <v>0</v>
      </c>
      <c r="X735" s="215">
        <f t="shared" si="922"/>
        <v>0</v>
      </c>
      <c r="Y735" s="215">
        <f t="shared" si="922"/>
        <v>0</v>
      </c>
      <c r="AA735" s="10">
        <f>AA712+IF(Timeline!AA234=1,Z804,0)</f>
        <v>0</v>
      </c>
      <c r="AB735" s="10">
        <f>AB712+IF(Timeline!AB234=1,AA804,0)</f>
        <v>0</v>
      </c>
      <c r="AC735" s="10">
        <f>AC712+IF(Timeline!AC234=1,AB804,0)</f>
        <v>0</v>
      </c>
      <c r="AD735" s="10">
        <f>AD712+IF(Timeline!AD234=1,AC804,0)</f>
        <v>0</v>
      </c>
      <c r="AE735" s="10">
        <f>AE712+IF(Timeline!AE234=1,AD804,0)</f>
        <v>0</v>
      </c>
      <c r="AF735" s="10">
        <f>AF712+IF(Timeline!AF234=1,AE804,0)</f>
        <v>0</v>
      </c>
      <c r="AG735" s="10">
        <f>AG712+IF(Timeline!AG234=1,AF804,0)</f>
        <v>0</v>
      </c>
      <c r="AH735" s="10">
        <f>AH712+IF(Timeline!AH234=1,AG804,0)</f>
        <v>0</v>
      </c>
      <c r="AI735" s="10">
        <f>AI712+IF(Timeline!AI234=1,AH804,0)</f>
        <v>0</v>
      </c>
      <c r="AJ735" s="10">
        <f>AJ712+IF(Timeline!AJ234=1,AI804,0)</f>
        <v>0</v>
      </c>
      <c r="AK735" s="10">
        <f>AK712+IF(Timeline!AK234=1,AJ804,0)</f>
        <v>0</v>
      </c>
      <c r="AL735" s="10">
        <f>AL712+IF(Timeline!AL234=1,AK804,0)</f>
        <v>0</v>
      </c>
      <c r="AM735" s="10">
        <f>AM712+IF(Timeline!AM234=1,AL804,0)</f>
        <v>0</v>
      </c>
      <c r="AN735" s="10">
        <f>AN712+IF(Timeline!AN234=1,AM804,0)</f>
        <v>0</v>
      </c>
      <c r="AO735" s="10">
        <f>AO712+IF(Timeline!AO234=1,AN804,0)</f>
        <v>0</v>
      </c>
      <c r="AP735" s="10">
        <f>AP712+IF(Timeline!AP234=1,AO804,0)</f>
        <v>0</v>
      </c>
      <c r="AQ735" s="10">
        <f>AQ712+IF(Timeline!AQ234=1,AP804,0)</f>
        <v>0</v>
      </c>
      <c r="AR735" s="10">
        <f>AR712+IF(Timeline!AR234=1,AQ804,0)</f>
        <v>0</v>
      </c>
      <c r="AS735" s="10">
        <f>AS712+IF(Timeline!AS234=1,AR804,0)</f>
        <v>0</v>
      </c>
      <c r="AT735" s="10">
        <f>AT712+IF(Timeline!AT234=1,AS804,0)</f>
        <v>0</v>
      </c>
      <c r="AU735" s="10">
        <f>AU712+IF(Timeline!AU234=1,AT804,0)</f>
        <v>0</v>
      </c>
      <c r="AV735" s="10">
        <f>AV712+IF(Timeline!AV234=1,AU804,0)</f>
        <v>0</v>
      </c>
      <c r="AW735" s="10">
        <f>AW712+IF(Timeline!AW234=1,AV804,0)</f>
        <v>0</v>
      </c>
      <c r="AX735" s="10">
        <f>AX712+IF(Timeline!AX234=1,AW804,0)</f>
        <v>0</v>
      </c>
      <c r="AY735" s="10">
        <f>AY712+IF(Timeline!AY234=1,AX804,0)</f>
        <v>0</v>
      </c>
      <c r="AZ735" s="10">
        <f>AZ712+IF(Timeline!AZ234=1,AY804,0)</f>
        <v>0</v>
      </c>
      <c r="BA735" s="10">
        <f>BA712+IF(Timeline!BA234=1,AZ804,0)</f>
        <v>0</v>
      </c>
      <c r="BB735" s="10">
        <f>BB712+IF(Timeline!BB234=1,BA804,0)</f>
        <v>0</v>
      </c>
      <c r="BC735" s="10">
        <f>BC712+IF(Timeline!BC234=1,BB804,0)</f>
        <v>0</v>
      </c>
      <c r="BD735" s="10">
        <f>BD712+IF(Timeline!BD234=1,BC804,0)</f>
        <v>0</v>
      </c>
      <c r="BE735" s="10">
        <f>BE712+IF(Timeline!BE234=1,BD804,0)</f>
        <v>0</v>
      </c>
      <c r="BF735" s="10">
        <f>BF712+IF(Timeline!BF234=1,BE804,0)</f>
        <v>0</v>
      </c>
      <c r="BG735" s="10">
        <f>BG712+IF(Timeline!BG234=1,BF804,0)</f>
        <v>0</v>
      </c>
      <c r="BH735" s="10">
        <f>BH712+IF(Timeline!BH234=1,BG804,0)</f>
        <v>0</v>
      </c>
      <c r="BI735" s="10">
        <f>BI712+IF(Timeline!BI234=1,BH804,0)</f>
        <v>0</v>
      </c>
      <c r="BJ735" s="10">
        <f>BJ712+IF(Timeline!BJ234=1,BI804,0)</f>
        <v>0</v>
      </c>
      <c r="BL735" s="136"/>
      <c r="BM735" s="13">
        <f t="shared" si="923"/>
        <v>0</v>
      </c>
      <c r="BN735" s="13">
        <f t="shared" si="924"/>
        <v>0</v>
      </c>
      <c r="BO735" s="13">
        <f t="shared" si="925"/>
        <v>0</v>
      </c>
      <c r="BP735" s="136"/>
      <c r="BQ735" s="136"/>
      <c r="BR735" s="136"/>
      <c r="BS735" s="136"/>
      <c r="BT735" s="136"/>
      <c r="BU735" s="136"/>
      <c r="BV735" s="136"/>
      <c r="BW735" s="136"/>
      <c r="BY735" s="12"/>
      <c r="BZ735" s="335"/>
      <c r="CA735" s="12"/>
      <c r="CB735" s="335"/>
      <c r="CC735" s="335"/>
      <c r="CD735" s="335"/>
      <c r="CE735" s="335"/>
      <c r="CJ735" s="162"/>
      <c r="CK735" s="162"/>
      <c r="CM735" s="335"/>
      <c r="CN735" s="335"/>
      <c r="CO735" s="335"/>
      <c r="CP735" s="335"/>
      <c r="CR735" s="12"/>
      <c r="CT735" s="335"/>
      <c r="CU735" s="335"/>
      <c r="EW735" s="335"/>
      <c r="EX735" s="10" t="str">
        <f t="shared" si="916"/>
        <v/>
      </c>
    </row>
    <row r="736" spans="1:154" s="67" customFormat="1" x14ac:dyDescent="0.25">
      <c r="A736" s="162"/>
      <c r="B736" s="84" t="str" cm="1">
        <f t="array" aca="1" ref="B736" ca="1">HYPERLINK(CONCATENATE("#",CELL("address",$D$123)),$D$123)</f>
        <v>Loan 5</v>
      </c>
      <c r="C736" s="380"/>
      <c r="D736" s="221" t="str">
        <f>D$17</f>
        <v>NatWest</v>
      </c>
      <c r="E736" s="60" t="str">
        <f>E$17</f>
        <v xml:space="preserve">Commercial </v>
      </c>
      <c r="F736" s="335"/>
      <c r="H736" s="50" t="s">
        <v>125</v>
      </c>
      <c r="S736" s="335"/>
      <c r="T736" s="335"/>
      <c r="U736" s="335"/>
      <c r="V736" s="136"/>
      <c r="W736" s="215">
        <f t="shared" si="922"/>
        <v>0</v>
      </c>
      <c r="X736" s="215">
        <f t="shared" si="922"/>
        <v>0</v>
      </c>
      <c r="Y736" s="215">
        <f t="shared" si="922"/>
        <v>0</v>
      </c>
      <c r="AA736" s="10">
        <f>AA713+IF(Timeline!AA235=1,Z805,0)</f>
        <v>0</v>
      </c>
      <c r="AB736" s="10">
        <f>AB713+IF(Timeline!AB235=1,AA805,0)</f>
        <v>0</v>
      </c>
      <c r="AC736" s="10">
        <f>AC713+IF(Timeline!AC235=1,AB805,0)</f>
        <v>0</v>
      </c>
      <c r="AD736" s="10">
        <f>AD713+IF(Timeline!AD235=1,AC805,0)</f>
        <v>0</v>
      </c>
      <c r="AE736" s="10">
        <f>AE713+IF(Timeline!AE235=1,AD805,0)</f>
        <v>0</v>
      </c>
      <c r="AF736" s="10">
        <f>AF713+IF(Timeline!AF235=1,AE805,0)</f>
        <v>0</v>
      </c>
      <c r="AG736" s="10">
        <f>AG713+IF(Timeline!AG235=1,AF805,0)</f>
        <v>0</v>
      </c>
      <c r="AH736" s="10">
        <f>AH713+IF(Timeline!AH235=1,AG805,0)</f>
        <v>0</v>
      </c>
      <c r="AI736" s="10">
        <f>AI713+IF(Timeline!AI235=1,AH805,0)</f>
        <v>0</v>
      </c>
      <c r="AJ736" s="10">
        <f>AJ713+IF(Timeline!AJ235=1,AI805,0)</f>
        <v>0</v>
      </c>
      <c r="AK736" s="10">
        <f>AK713+IF(Timeline!AK235=1,AJ805,0)</f>
        <v>0</v>
      </c>
      <c r="AL736" s="10">
        <f>AL713+IF(Timeline!AL235=1,AK805,0)</f>
        <v>0</v>
      </c>
      <c r="AM736" s="10">
        <f>AM713+IF(Timeline!AM235=1,AL805,0)</f>
        <v>0</v>
      </c>
      <c r="AN736" s="10">
        <f>AN713+IF(Timeline!AN235=1,AM805,0)</f>
        <v>0</v>
      </c>
      <c r="AO736" s="10">
        <f>AO713+IF(Timeline!AO235=1,AN805,0)</f>
        <v>0</v>
      </c>
      <c r="AP736" s="10">
        <f>AP713+IF(Timeline!AP235=1,AO805,0)</f>
        <v>0</v>
      </c>
      <c r="AQ736" s="10">
        <f>AQ713+IF(Timeline!AQ235=1,AP805,0)</f>
        <v>0</v>
      </c>
      <c r="AR736" s="10">
        <f>AR713+IF(Timeline!AR235=1,AQ805,0)</f>
        <v>0</v>
      </c>
      <c r="AS736" s="10">
        <f>AS713+IF(Timeline!AS235=1,AR805,0)</f>
        <v>0</v>
      </c>
      <c r="AT736" s="10">
        <f>AT713+IF(Timeline!AT235=1,AS805,0)</f>
        <v>0</v>
      </c>
      <c r="AU736" s="10">
        <f>AU713+IF(Timeline!AU235=1,AT805,0)</f>
        <v>0</v>
      </c>
      <c r="AV736" s="10">
        <f>AV713+IF(Timeline!AV235=1,AU805,0)</f>
        <v>0</v>
      </c>
      <c r="AW736" s="10">
        <f>AW713+IF(Timeline!AW235=1,AV805,0)</f>
        <v>0</v>
      </c>
      <c r="AX736" s="10">
        <f>AX713+IF(Timeline!AX235=1,AW805,0)</f>
        <v>0</v>
      </c>
      <c r="AY736" s="10">
        <f>AY713+IF(Timeline!AY235=1,AX805,0)</f>
        <v>0</v>
      </c>
      <c r="AZ736" s="10">
        <f>AZ713+IF(Timeline!AZ235=1,AY805,0)</f>
        <v>0</v>
      </c>
      <c r="BA736" s="10">
        <f>BA713+IF(Timeline!BA235=1,AZ805,0)</f>
        <v>0</v>
      </c>
      <c r="BB736" s="10">
        <f>BB713+IF(Timeline!BB235=1,BA805,0)</f>
        <v>0</v>
      </c>
      <c r="BC736" s="10">
        <f>BC713+IF(Timeline!BC235=1,BB805,0)</f>
        <v>0</v>
      </c>
      <c r="BD736" s="10">
        <f>BD713+IF(Timeline!BD235=1,BC805,0)</f>
        <v>0</v>
      </c>
      <c r="BE736" s="10">
        <f>BE713+IF(Timeline!BE235=1,BD805,0)</f>
        <v>0</v>
      </c>
      <c r="BF736" s="10">
        <f>BF713+IF(Timeline!BF235=1,BE805,0)</f>
        <v>0</v>
      </c>
      <c r="BG736" s="10">
        <f>BG713+IF(Timeline!BG235=1,BF805,0)</f>
        <v>0</v>
      </c>
      <c r="BH736" s="10">
        <f>BH713+IF(Timeline!BH235=1,BG805,0)</f>
        <v>0</v>
      </c>
      <c r="BI736" s="10">
        <f>BI713+IF(Timeline!BI235=1,BH805,0)</f>
        <v>0</v>
      </c>
      <c r="BJ736" s="10">
        <f>BJ713+IF(Timeline!BJ235=1,BI805,0)</f>
        <v>0</v>
      </c>
      <c r="BL736" s="136"/>
      <c r="BM736" s="13">
        <f t="shared" si="923"/>
        <v>0</v>
      </c>
      <c r="BN736" s="13">
        <f t="shared" si="924"/>
        <v>0</v>
      </c>
      <c r="BO736" s="13">
        <f t="shared" si="925"/>
        <v>0</v>
      </c>
      <c r="BP736" s="136"/>
      <c r="BQ736" s="136"/>
      <c r="BR736" s="136"/>
      <c r="BS736" s="136"/>
      <c r="BT736" s="136"/>
      <c r="BU736" s="136"/>
      <c r="BV736" s="136"/>
      <c r="BW736" s="136"/>
      <c r="BY736" s="12"/>
      <c r="BZ736" s="335"/>
      <c r="CA736" s="12"/>
      <c r="CB736" s="335"/>
      <c r="CC736" s="335"/>
      <c r="CD736" s="335"/>
      <c r="CE736" s="335"/>
      <c r="CJ736" s="162"/>
      <c r="CK736" s="162"/>
      <c r="CM736" s="335"/>
      <c r="CN736" s="335"/>
      <c r="CO736" s="335"/>
      <c r="CP736" s="335"/>
      <c r="CR736" s="12"/>
      <c r="CT736" s="335"/>
      <c r="CU736" s="335"/>
      <c r="EW736" s="335"/>
      <c r="EX736" s="10" t="str">
        <f t="shared" si="916"/>
        <v/>
      </c>
    </row>
    <row r="737" spans="1:154" s="67" customFormat="1" x14ac:dyDescent="0.25">
      <c r="A737" s="162"/>
      <c r="B737" s="84" t="str" cm="1">
        <f t="array" aca="1" ref="B737" ca="1">HYPERLINK(CONCATENATE("#",CELL("address",$D$142)),$D$142)</f>
        <v>Loan 6</v>
      </c>
      <c r="C737" s="380"/>
      <c r="D737" s="221">
        <f>D$18</f>
        <v>0</v>
      </c>
      <c r="E737" s="60">
        <f>E$18</f>
        <v>0</v>
      </c>
      <c r="F737" s="335"/>
      <c r="H737" s="50" t="s">
        <v>125</v>
      </c>
      <c r="S737" s="335"/>
      <c r="T737" s="335"/>
      <c r="U737" s="335"/>
      <c r="V737" s="136"/>
      <c r="W737" s="215">
        <f t="shared" si="922"/>
        <v>0</v>
      </c>
      <c r="X737" s="215">
        <f t="shared" si="922"/>
        <v>0</v>
      </c>
      <c r="Y737" s="215">
        <f t="shared" si="922"/>
        <v>0</v>
      </c>
      <c r="AA737" s="10">
        <f>AA714+IF(Timeline!AA236=1,Z806,0)</f>
        <v>0</v>
      </c>
      <c r="AB737" s="10">
        <f>AB714+IF(Timeline!AB236=1,AA806,0)</f>
        <v>0</v>
      </c>
      <c r="AC737" s="10">
        <f>AC714+IF(Timeline!AC236=1,AB806,0)</f>
        <v>0</v>
      </c>
      <c r="AD737" s="10">
        <f>AD714+IF(Timeline!AD236=1,AC806,0)</f>
        <v>0</v>
      </c>
      <c r="AE737" s="10">
        <f>AE714+IF(Timeline!AE236=1,AD806,0)</f>
        <v>0</v>
      </c>
      <c r="AF737" s="10">
        <f>AF714+IF(Timeline!AF236=1,AE806,0)</f>
        <v>0</v>
      </c>
      <c r="AG737" s="10">
        <f>AG714+IF(Timeline!AG236=1,AF806,0)</f>
        <v>0</v>
      </c>
      <c r="AH737" s="10">
        <f>AH714+IF(Timeline!AH236=1,AG806,0)</f>
        <v>0</v>
      </c>
      <c r="AI737" s="10">
        <f>AI714+IF(Timeline!AI236=1,AH806,0)</f>
        <v>0</v>
      </c>
      <c r="AJ737" s="10">
        <f>AJ714+IF(Timeline!AJ236=1,AI806,0)</f>
        <v>0</v>
      </c>
      <c r="AK737" s="10">
        <f>AK714+IF(Timeline!AK236=1,AJ806,0)</f>
        <v>0</v>
      </c>
      <c r="AL737" s="10">
        <f>AL714+IF(Timeline!AL236=1,AK806,0)</f>
        <v>0</v>
      </c>
      <c r="AM737" s="10">
        <f>AM714+IF(Timeline!AM236=1,AL806,0)</f>
        <v>0</v>
      </c>
      <c r="AN737" s="10">
        <f>AN714+IF(Timeline!AN236=1,AM806,0)</f>
        <v>0</v>
      </c>
      <c r="AO737" s="10">
        <f>AO714+IF(Timeline!AO236=1,AN806,0)</f>
        <v>0</v>
      </c>
      <c r="AP737" s="10">
        <f>AP714+IF(Timeline!AP236=1,AO806,0)</f>
        <v>0</v>
      </c>
      <c r="AQ737" s="10">
        <f>AQ714+IF(Timeline!AQ236=1,AP806,0)</f>
        <v>0</v>
      </c>
      <c r="AR737" s="10">
        <f>AR714+IF(Timeline!AR236=1,AQ806,0)</f>
        <v>0</v>
      </c>
      <c r="AS737" s="10">
        <f>AS714+IF(Timeline!AS236=1,AR806,0)</f>
        <v>0</v>
      </c>
      <c r="AT737" s="10">
        <f>AT714+IF(Timeline!AT236=1,AS806,0)</f>
        <v>0</v>
      </c>
      <c r="AU737" s="10">
        <f>AU714+IF(Timeline!AU236=1,AT806,0)</f>
        <v>0</v>
      </c>
      <c r="AV737" s="10">
        <f>AV714+IF(Timeline!AV236=1,AU806,0)</f>
        <v>0</v>
      </c>
      <c r="AW737" s="10">
        <f>AW714+IF(Timeline!AW236=1,AV806,0)</f>
        <v>0</v>
      </c>
      <c r="AX737" s="10">
        <f>AX714+IF(Timeline!AX236=1,AW806,0)</f>
        <v>0</v>
      </c>
      <c r="AY737" s="10">
        <f>AY714+IF(Timeline!AY236=1,AX806,0)</f>
        <v>0</v>
      </c>
      <c r="AZ737" s="10">
        <f>AZ714+IF(Timeline!AZ236=1,AY806,0)</f>
        <v>0</v>
      </c>
      <c r="BA737" s="10">
        <f>BA714+IF(Timeline!BA236=1,AZ806,0)</f>
        <v>0</v>
      </c>
      <c r="BB737" s="10">
        <f>BB714+IF(Timeline!BB236=1,BA806,0)</f>
        <v>0</v>
      </c>
      <c r="BC737" s="10">
        <f>BC714+IF(Timeline!BC236=1,BB806,0)</f>
        <v>0</v>
      </c>
      <c r="BD737" s="10">
        <f>BD714+IF(Timeline!BD236=1,BC806,0)</f>
        <v>0</v>
      </c>
      <c r="BE737" s="10">
        <f>BE714+IF(Timeline!BE236=1,BD806,0)</f>
        <v>0</v>
      </c>
      <c r="BF737" s="10">
        <f>BF714+IF(Timeline!BF236=1,BE806,0)</f>
        <v>0</v>
      </c>
      <c r="BG737" s="10">
        <f>BG714+IF(Timeline!BG236=1,BF806,0)</f>
        <v>0</v>
      </c>
      <c r="BH737" s="10">
        <f>BH714+IF(Timeline!BH236=1,BG806,0)</f>
        <v>0</v>
      </c>
      <c r="BI737" s="10">
        <f>BI714+IF(Timeline!BI236=1,BH806,0)</f>
        <v>0</v>
      </c>
      <c r="BJ737" s="10">
        <f>BJ714+IF(Timeline!BJ236=1,BI806,0)</f>
        <v>0</v>
      </c>
      <c r="BL737" s="136"/>
      <c r="BM737" s="13">
        <f t="shared" si="923"/>
        <v>0</v>
      </c>
      <c r="BN737" s="13">
        <f t="shared" si="924"/>
        <v>0</v>
      </c>
      <c r="BO737" s="13">
        <f t="shared" si="925"/>
        <v>0</v>
      </c>
      <c r="BP737" s="136"/>
      <c r="BQ737" s="136"/>
      <c r="BR737" s="136"/>
      <c r="BS737" s="136"/>
      <c r="BT737" s="136"/>
      <c r="BU737" s="136"/>
      <c r="BV737" s="136"/>
      <c r="BW737" s="136"/>
      <c r="BY737" s="12"/>
      <c r="BZ737" s="335"/>
      <c r="CA737" s="12"/>
      <c r="CB737" s="335"/>
      <c r="CC737" s="335"/>
      <c r="CD737" s="335"/>
      <c r="CE737" s="335"/>
      <c r="CJ737" s="162"/>
      <c r="CK737" s="162"/>
      <c r="CM737" s="335"/>
      <c r="CN737" s="335"/>
      <c r="CO737" s="335"/>
      <c r="CP737" s="335"/>
      <c r="CR737" s="12"/>
      <c r="CT737" s="335"/>
      <c r="CU737" s="335"/>
      <c r="EW737" s="335"/>
      <c r="EX737" s="10" t="str">
        <f t="shared" si="916"/>
        <v/>
      </c>
    </row>
    <row r="738" spans="1:154" s="67" customFormat="1" x14ac:dyDescent="0.25">
      <c r="A738" s="162"/>
      <c r="B738" s="84" t="str" cm="1">
        <f t="array" aca="1" ref="B738" ca="1">HYPERLINK(CONCATENATE("#",CELL("address",$D$161)),$D$161)</f>
        <v>Loan 7</v>
      </c>
      <c r="C738" s="380"/>
      <c r="D738" s="221">
        <f>D$19</f>
        <v>0</v>
      </c>
      <c r="E738" s="60">
        <f>E$19</f>
        <v>0</v>
      </c>
      <c r="F738" s="335"/>
      <c r="H738" s="50" t="s">
        <v>125</v>
      </c>
      <c r="S738" s="335"/>
      <c r="T738" s="335"/>
      <c r="U738" s="335"/>
      <c r="V738" s="136"/>
      <c r="W738" s="215">
        <f t="shared" si="922"/>
        <v>0</v>
      </c>
      <c r="X738" s="215">
        <f t="shared" si="922"/>
        <v>0</v>
      </c>
      <c r="Y738" s="215">
        <f t="shared" si="922"/>
        <v>0</v>
      </c>
      <c r="AA738" s="10">
        <f>AA715+IF(Timeline!AA237=1,Z807,0)</f>
        <v>0</v>
      </c>
      <c r="AB738" s="10">
        <f>AB715+IF(Timeline!AB237=1,AA807,0)</f>
        <v>0</v>
      </c>
      <c r="AC738" s="10">
        <f>AC715+IF(Timeline!AC237=1,AB807,0)</f>
        <v>0</v>
      </c>
      <c r="AD738" s="10">
        <f>AD715+IF(Timeline!AD237=1,AC807,0)</f>
        <v>0</v>
      </c>
      <c r="AE738" s="10">
        <f>AE715+IF(Timeline!AE237=1,AD807,0)</f>
        <v>0</v>
      </c>
      <c r="AF738" s="10">
        <f>AF715+IF(Timeline!AF237=1,AE807,0)</f>
        <v>0</v>
      </c>
      <c r="AG738" s="10">
        <f>AG715+IF(Timeline!AG237=1,AF807,0)</f>
        <v>0</v>
      </c>
      <c r="AH738" s="10">
        <f>AH715+IF(Timeline!AH237=1,AG807,0)</f>
        <v>0</v>
      </c>
      <c r="AI738" s="10">
        <f>AI715+IF(Timeline!AI237=1,AH807,0)</f>
        <v>0</v>
      </c>
      <c r="AJ738" s="10">
        <f>AJ715+IF(Timeline!AJ237=1,AI807,0)</f>
        <v>0</v>
      </c>
      <c r="AK738" s="10">
        <f>AK715+IF(Timeline!AK237=1,AJ807,0)</f>
        <v>0</v>
      </c>
      <c r="AL738" s="10">
        <f>AL715+IF(Timeline!AL237=1,AK807,0)</f>
        <v>0</v>
      </c>
      <c r="AM738" s="10">
        <f>AM715+IF(Timeline!AM237=1,AL807,0)</f>
        <v>0</v>
      </c>
      <c r="AN738" s="10">
        <f>AN715+IF(Timeline!AN237=1,AM807,0)</f>
        <v>0</v>
      </c>
      <c r="AO738" s="10">
        <f>AO715+IF(Timeline!AO237=1,AN807,0)</f>
        <v>0</v>
      </c>
      <c r="AP738" s="10">
        <f>AP715+IF(Timeline!AP237=1,AO807,0)</f>
        <v>0</v>
      </c>
      <c r="AQ738" s="10">
        <f>AQ715+IF(Timeline!AQ237=1,AP807,0)</f>
        <v>0</v>
      </c>
      <c r="AR738" s="10">
        <f>AR715+IF(Timeline!AR237=1,AQ807,0)</f>
        <v>0</v>
      </c>
      <c r="AS738" s="10">
        <f>AS715+IF(Timeline!AS237=1,AR807,0)</f>
        <v>0</v>
      </c>
      <c r="AT738" s="10">
        <f>AT715+IF(Timeline!AT237=1,AS807,0)</f>
        <v>0</v>
      </c>
      <c r="AU738" s="10">
        <f>AU715+IF(Timeline!AU237=1,AT807,0)</f>
        <v>0</v>
      </c>
      <c r="AV738" s="10">
        <f>AV715+IF(Timeline!AV237=1,AU807,0)</f>
        <v>0</v>
      </c>
      <c r="AW738" s="10">
        <f>AW715+IF(Timeline!AW237=1,AV807,0)</f>
        <v>0</v>
      </c>
      <c r="AX738" s="10">
        <f>AX715+IF(Timeline!AX237=1,AW807,0)</f>
        <v>0</v>
      </c>
      <c r="AY738" s="10">
        <f>AY715+IF(Timeline!AY237=1,AX807,0)</f>
        <v>0</v>
      </c>
      <c r="AZ738" s="10">
        <f>AZ715+IF(Timeline!AZ237=1,AY807,0)</f>
        <v>0</v>
      </c>
      <c r="BA738" s="10">
        <f>BA715+IF(Timeline!BA237=1,AZ807,0)</f>
        <v>0</v>
      </c>
      <c r="BB738" s="10">
        <f>BB715+IF(Timeline!BB237=1,BA807,0)</f>
        <v>0</v>
      </c>
      <c r="BC738" s="10">
        <f>BC715+IF(Timeline!BC237=1,BB807,0)</f>
        <v>0</v>
      </c>
      <c r="BD738" s="10">
        <f>BD715+IF(Timeline!BD237=1,BC807,0)</f>
        <v>0</v>
      </c>
      <c r="BE738" s="10">
        <f>BE715+IF(Timeline!BE237=1,BD807,0)</f>
        <v>0</v>
      </c>
      <c r="BF738" s="10">
        <f>BF715+IF(Timeline!BF237=1,BE807,0)</f>
        <v>0</v>
      </c>
      <c r="BG738" s="10">
        <f>BG715+IF(Timeline!BG237=1,BF807,0)</f>
        <v>0</v>
      </c>
      <c r="BH738" s="10">
        <f>BH715+IF(Timeline!BH237=1,BG807,0)</f>
        <v>0</v>
      </c>
      <c r="BI738" s="10">
        <f>BI715+IF(Timeline!BI237=1,BH807,0)</f>
        <v>0</v>
      </c>
      <c r="BJ738" s="10">
        <f>BJ715+IF(Timeline!BJ237=1,BI807,0)</f>
        <v>0</v>
      </c>
      <c r="BL738" s="136"/>
      <c r="BM738" s="13">
        <f t="shared" si="923"/>
        <v>0</v>
      </c>
      <c r="BN738" s="13">
        <f t="shared" si="924"/>
        <v>0</v>
      </c>
      <c r="BO738" s="13">
        <f t="shared" si="925"/>
        <v>0</v>
      </c>
      <c r="BP738" s="136"/>
      <c r="BQ738" s="136"/>
      <c r="BR738" s="136"/>
      <c r="BS738" s="136"/>
      <c r="BT738" s="136"/>
      <c r="BU738" s="136"/>
      <c r="BV738" s="136"/>
      <c r="BW738" s="136"/>
      <c r="BY738" s="12"/>
      <c r="BZ738" s="335"/>
      <c r="CA738" s="12"/>
      <c r="CB738" s="335"/>
      <c r="CC738" s="335"/>
      <c r="CD738" s="335"/>
      <c r="CE738" s="335"/>
      <c r="CJ738" s="162"/>
      <c r="CK738" s="162"/>
      <c r="CM738" s="335"/>
      <c r="CN738" s="335"/>
      <c r="CO738" s="335"/>
      <c r="CP738" s="335"/>
      <c r="CR738" s="12"/>
      <c r="CT738" s="335"/>
      <c r="CU738" s="335"/>
      <c r="EW738" s="335"/>
      <c r="EX738" s="10" t="str">
        <f t="shared" si="916"/>
        <v/>
      </c>
    </row>
    <row r="739" spans="1:154" s="67" customFormat="1" x14ac:dyDescent="0.25">
      <c r="A739" s="162"/>
      <c r="B739" s="84" t="str" cm="1">
        <f t="array" aca="1" ref="B739" ca="1">HYPERLINK(CONCATENATE("#",CELL("address",$D$180)),$D$180)</f>
        <v>Loan 8</v>
      </c>
      <c r="C739" s="380"/>
      <c r="D739" s="221">
        <f>D$20</f>
        <v>0</v>
      </c>
      <c r="E739" s="60">
        <f>E$20</f>
        <v>0</v>
      </c>
      <c r="F739" s="335"/>
      <c r="H739" s="50" t="s">
        <v>125</v>
      </c>
      <c r="S739" s="335"/>
      <c r="T739" s="335"/>
      <c r="U739" s="335"/>
      <c r="V739" s="136"/>
      <c r="W739" s="215">
        <f t="shared" si="922"/>
        <v>0</v>
      </c>
      <c r="X739" s="215">
        <f t="shared" si="922"/>
        <v>0</v>
      </c>
      <c r="Y739" s="215">
        <f t="shared" si="922"/>
        <v>0</v>
      </c>
      <c r="AA739" s="10">
        <f>AA716+IF(Timeline!AA238=1,Z808,0)</f>
        <v>0</v>
      </c>
      <c r="AB739" s="10">
        <f>AB716+IF(Timeline!AB238=1,AA808,0)</f>
        <v>0</v>
      </c>
      <c r="AC739" s="10">
        <f>AC716+IF(Timeline!AC238=1,AB808,0)</f>
        <v>0</v>
      </c>
      <c r="AD739" s="10">
        <f>AD716+IF(Timeline!AD238=1,AC808,0)</f>
        <v>0</v>
      </c>
      <c r="AE739" s="10">
        <f>AE716+IF(Timeline!AE238=1,AD808,0)</f>
        <v>0</v>
      </c>
      <c r="AF739" s="10">
        <f>AF716+IF(Timeline!AF238=1,AE808,0)</f>
        <v>0</v>
      </c>
      <c r="AG739" s="10">
        <f>AG716+IF(Timeline!AG238=1,AF808,0)</f>
        <v>0</v>
      </c>
      <c r="AH739" s="10">
        <f>AH716+IF(Timeline!AH238=1,AG808,0)</f>
        <v>0</v>
      </c>
      <c r="AI739" s="10">
        <f>AI716+IF(Timeline!AI238=1,AH808,0)</f>
        <v>0</v>
      </c>
      <c r="AJ739" s="10">
        <f>AJ716+IF(Timeline!AJ238=1,AI808,0)</f>
        <v>0</v>
      </c>
      <c r="AK739" s="10">
        <f>AK716+IF(Timeline!AK238=1,AJ808,0)</f>
        <v>0</v>
      </c>
      <c r="AL739" s="10">
        <f>AL716+IF(Timeline!AL238=1,AK808,0)</f>
        <v>0</v>
      </c>
      <c r="AM739" s="10">
        <f>AM716+IF(Timeline!AM238=1,AL808,0)</f>
        <v>0</v>
      </c>
      <c r="AN739" s="10">
        <f>AN716+IF(Timeline!AN238=1,AM808,0)</f>
        <v>0</v>
      </c>
      <c r="AO739" s="10">
        <f>AO716+IF(Timeline!AO238=1,AN808,0)</f>
        <v>0</v>
      </c>
      <c r="AP739" s="10">
        <f>AP716+IF(Timeline!AP238=1,AO808,0)</f>
        <v>0</v>
      </c>
      <c r="AQ739" s="10">
        <f>AQ716+IF(Timeline!AQ238=1,AP808,0)</f>
        <v>0</v>
      </c>
      <c r="AR739" s="10">
        <f>AR716+IF(Timeline!AR238=1,AQ808,0)</f>
        <v>0</v>
      </c>
      <c r="AS739" s="10">
        <f>AS716+IF(Timeline!AS238=1,AR808,0)</f>
        <v>0</v>
      </c>
      <c r="AT739" s="10">
        <f>AT716+IF(Timeline!AT238=1,AS808,0)</f>
        <v>0</v>
      </c>
      <c r="AU739" s="10">
        <f>AU716+IF(Timeline!AU238=1,AT808,0)</f>
        <v>0</v>
      </c>
      <c r="AV739" s="10">
        <f>AV716+IF(Timeline!AV238=1,AU808,0)</f>
        <v>0</v>
      </c>
      <c r="AW739" s="10">
        <f>AW716+IF(Timeline!AW238=1,AV808,0)</f>
        <v>0</v>
      </c>
      <c r="AX739" s="10">
        <f>AX716+IF(Timeline!AX238=1,AW808,0)</f>
        <v>0</v>
      </c>
      <c r="AY739" s="10">
        <f>AY716+IF(Timeline!AY238=1,AX808,0)</f>
        <v>0</v>
      </c>
      <c r="AZ739" s="10">
        <f>AZ716+IF(Timeline!AZ238=1,AY808,0)</f>
        <v>0</v>
      </c>
      <c r="BA739" s="10">
        <f>BA716+IF(Timeline!BA238=1,AZ808,0)</f>
        <v>0</v>
      </c>
      <c r="BB739" s="10">
        <f>BB716+IF(Timeline!BB238=1,BA808,0)</f>
        <v>0</v>
      </c>
      <c r="BC739" s="10">
        <f>BC716+IF(Timeline!BC238=1,BB808,0)</f>
        <v>0</v>
      </c>
      <c r="BD739" s="10">
        <f>BD716+IF(Timeline!BD238=1,BC808,0)</f>
        <v>0</v>
      </c>
      <c r="BE739" s="10">
        <f>BE716+IF(Timeline!BE238=1,BD808,0)</f>
        <v>0</v>
      </c>
      <c r="BF739" s="10">
        <f>BF716+IF(Timeline!BF238=1,BE808,0)</f>
        <v>0</v>
      </c>
      <c r="BG739" s="10">
        <f>BG716+IF(Timeline!BG238=1,BF808,0)</f>
        <v>0</v>
      </c>
      <c r="BH739" s="10">
        <f>BH716+IF(Timeline!BH238=1,BG808,0)</f>
        <v>0</v>
      </c>
      <c r="BI739" s="10">
        <f>BI716+IF(Timeline!BI238=1,BH808,0)</f>
        <v>0</v>
      </c>
      <c r="BJ739" s="10">
        <f>BJ716+IF(Timeline!BJ238=1,BI808,0)</f>
        <v>0</v>
      </c>
      <c r="BL739" s="136"/>
      <c r="BM739" s="13">
        <f t="shared" si="923"/>
        <v>0</v>
      </c>
      <c r="BN739" s="13">
        <f t="shared" si="924"/>
        <v>0</v>
      </c>
      <c r="BO739" s="13">
        <f t="shared" si="925"/>
        <v>0</v>
      </c>
      <c r="BP739" s="136"/>
      <c r="BQ739" s="136"/>
      <c r="BR739" s="136"/>
      <c r="BS739" s="136"/>
      <c r="BT739" s="136"/>
      <c r="BU739" s="136"/>
      <c r="BV739" s="136"/>
      <c r="BW739" s="136"/>
      <c r="BY739" s="12"/>
      <c r="BZ739" s="335"/>
      <c r="CA739" s="12"/>
      <c r="CB739" s="335"/>
      <c r="CC739" s="335"/>
      <c r="CD739" s="335"/>
      <c r="CE739" s="335"/>
      <c r="CJ739" s="162"/>
      <c r="CK739" s="162"/>
      <c r="CM739" s="335"/>
      <c r="CN739" s="335"/>
      <c r="CO739" s="335"/>
      <c r="CP739" s="335"/>
      <c r="CR739" s="12"/>
      <c r="CT739" s="335"/>
      <c r="CU739" s="335"/>
      <c r="EW739" s="335"/>
      <c r="EX739" s="10" t="str">
        <f t="shared" si="916"/>
        <v/>
      </c>
    </row>
    <row r="740" spans="1:154" s="67" customFormat="1" x14ac:dyDescent="0.25">
      <c r="A740" s="162"/>
      <c r="B740" s="84" t="str" cm="1">
        <f t="array" aca="1" ref="B740" ca="1">HYPERLINK(CONCATENATE("#",CELL("address",$D$199)),$D$199)</f>
        <v>Loan 9</v>
      </c>
      <c r="C740" s="380"/>
      <c r="D740" s="221">
        <f>D$21</f>
        <v>0</v>
      </c>
      <c r="E740" s="60">
        <f>E$21</f>
        <v>0</v>
      </c>
      <c r="F740" s="335"/>
      <c r="H740" s="50" t="s">
        <v>125</v>
      </c>
      <c r="S740" s="335"/>
      <c r="T740" s="335"/>
      <c r="U740" s="335"/>
      <c r="V740" s="136"/>
      <c r="W740" s="215">
        <f t="shared" si="922"/>
        <v>0</v>
      </c>
      <c r="X740" s="215">
        <f t="shared" si="922"/>
        <v>0</v>
      </c>
      <c r="Y740" s="215">
        <f t="shared" si="922"/>
        <v>0</v>
      </c>
      <c r="AA740" s="10">
        <f>AA717+IF(Timeline!AA239=1,Z809,0)</f>
        <v>0</v>
      </c>
      <c r="AB740" s="10">
        <f>AB717+IF(Timeline!AB239=1,AA809,0)</f>
        <v>0</v>
      </c>
      <c r="AC740" s="10">
        <f>AC717+IF(Timeline!AC239=1,AB809,0)</f>
        <v>0</v>
      </c>
      <c r="AD740" s="10">
        <f>AD717+IF(Timeline!AD239=1,AC809,0)</f>
        <v>0</v>
      </c>
      <c r="AE740" s="10">
        <f>AE717+IF(Timeline!AE239=1,AD809,0)</f>
        <v>0</v>
      </c>
      <c r="AF740" s="10">
        <f>AF717+IF(Timeline!AF239=1,AE809,0)</f>
        <v>0</v>
      </c>
      <c r="AG740" s="10">
        <f>AG717+IF(Timeline!AG239=1,AF809,0)</f>
        <v>0</v>
      </c>
      <c r="AH740" s="10">
        <f>AH717+IF(Timeline!AH239=1,AG809,0)</f>
        <v>0</v>
      </c>
      <c r="AI740" s="10">
        <f>AI717+IF(Timeline!AI239=1,AH809,0)</f>
        <v>0</v>
      </c>
      <c r="AJ740" s="10">
        <f>AJ717+IF(Timeline!AJ239=1,AI809,0)</f>
        <v>0</v>
      </c>
      <c r="AK740" s="10">
        <f>AK717+IF(Timeline!AK239=1,AJ809,0)</f>
        <v>0</v>
      </c>
      <c r="AL740" s="10">
        <f>AL717+IF(Timeline!AL239=1,AK809,0)</f>
        <v>0</v>
      </c>
      <c r="AM740" s="10">
        <f>AM717+IF(Timeline!AM239=1,AL809,0)</f>
        <v>0</v>
      </c>
      <c r="AN740" s="10">
        <f>AN717+IF(Timeline!AN239=1,AM809,0)</f>
        <v>0</v>
      </c>
      <c r="AO740" s="10">
        <f>AO717+IF(Timeline!AO239=1,AN809,0)</f>
        <v>0</v>
      </c>
      <c r="AP740" s="10">
        <f>AP717+IF(Timeline!AP239=1,AO809,0)</f>
        <v>0</v>
      </c>
      <c r="AQ740" s="10">
        <f>AQ717+IF(Timeline!AQ239=1,AP809,0)</f>
        <v>0</v>
      </c>
      <c r="AR740" s="10">
        <f>AR717+IF(Timeline!AR239=1,AQ809,0)</f>
        <v>0</v>
      </c>
      <c r="AS740" s="10">
        <f>AS717+IF(Timeline!AS239=1,AR809,0)</f>
        <v>0</v>
      </c>
      <c r="AT740" s="10">
        <f>AT717+IF(Timeline!AT239=1,AS809,0)</f>
        <v>0</v>
      </c>
      <c r="AU740" s="10">
        <f>AU717+IF(Timeline!AU239=1,AT809,0)</f>
        <v>0</v>
      </c>
      <c r="AV740" s="10">
        <f>AV717+IF(Timeline!AV239=1,AU809,0)</f>
        <v>0</v>
      </c>
      <c r="AW740" s="10">
        <f>AW717+IF(Timeline!AW239=1,AV809,0)</f>
        <v>0</v>
      </c>
      <c r="AX740" s="10">
        <f>AX717+IF(Timeline!AX239=1,AW809,0)</f>
        <v>0</v>
      </c>
      <c r="AY740" s="10">
        <f>AY717+IF(Timeline!AY239=1,AX809,0)</f>
        <v>0</v>
      </c>
      <c r="AZ740" s="10">
        <f>AZ717+IF(Timeline!AZ239=1,AY809,0)</f>
        <v>0</v>
      </c>
      <c r="BA740" s="10">
        <f>BA717+IF(Timeline!BA239=1,AZ809,0)</f>
        <v>0</v>
      </c>
      <c r="BB740" s="10">
        <f>BB717+IF(Timeline!BB239=1,BA809,0)</f>
        <v>0</v>
      </c>
      <c r="BC740" s="10">
        <f>BC717+IF(Timeline!BC239=1,BB809,0)</f>
        <v>0</v>
      </c>
      <c r="BD740" s="10">
        <f>BD717+IF(Timeline!BD239=1,BC809,0)</f>
        <v>0</v>
      </c>
      <c r="BE740" s="10">
        <f>BE717+IF(Timeline!BE239=1,BD809,0)</f>
        <v>0</v>
      </c>
      <c r="BF740" s="10">
        <f>BF717+IF(Timeline!BF239=1,BE809,0)</f>
        <v>0</v>
      </c>
      <c r="BG740" s="10">
        <f>BG717+IF(Timeline!BG239=1,BF809,0)</f>
        <v>0</v>
      </c>
      <c r="BH740" s="10">
        <f>BH717+IF(Timeline!BH239=1,BG809,0)</f>
        <v>0</v>
      </c>
      <c r="BI740" s="10">
        <f>BI717+IF(Timeline!BI239=1,BH809,0)</f>
        <v>0</v>
      </c>
      <c r="BJ740" s="10">
        <f>BJ717+IF(Timeline!BJ239=1,BI809,0)</f>
        <v>0</v>
      </c>
      <c r="BL740" s="136"/>
      <c r="BM740" s="13">
        <f t="shared" si="923"/>
        <v>0</v>
      </c>
      <c r="BN740" s="13">
        <f t="shared" si="924"/>
        <v>0</v>
      </c>
      <c r="BO740" s="13">
        <f t="shared" si="925"/>
        <v>0</v>
      </c>
      <c r="BP740" s="136"/>
      <c r="BQ740" s="136"/>
      <c r="BR740" s="136"/>
      <c r="BS740" s="136"/>
      <c r="BT740" s="136"/>
      <c r="BU740" s="136"/>
      <c r="BV740" s="136"/>
      <c r="BW740" s="136"/>
      <c r="BY740" s="12"/>
      <c r="BZ740" s="335"/>
      <c r="CA740" s="12"/>
      <c r="CB740" s="335"/>
      <c r="CC740" s="335"/>
      <c r="CD740" s="335"/>
      <c r="CE740" s="335"/>
      <c r="CJ740" s="162"/>
      <c r="CK740" s="162"/>
      <c r="CM740" s="335"/>
      <c r="CN740" s="335"/>
      <c r="CO740" s="335"/>
      <c r="CP740" s="335"/>
      <c r="CR740" s="12"/>
      <c r="CT740" s="335"/>
      <c r="CU740" s="335"/>
      <c r="EW740" s="335"/>
      <c r="EX740" s="10" t="str">
        <f t="shared" si="916"/>
        <v/>
      </c>
    </row>
    <row r="741" spans="1:154" s="67" customFormat="1" x14ac:dyDescent="0.25">
      <c r="A741" s="162"/>
      <c r="B741" s="84" t="str" cm="1">
        <f t="array" aca="1" ref="B741" ca="1">HYPERLINK(CONCATENATE("#",CELL("address",$D$218)),$D$218)</f>
        <v>Loan 10</v>
      </c>
      <c r="C741" s="380"/>
      <c r="D741" s="221">
        <f>D$22</f>
        <v>0</v>
      </c>
      <c r="E741" s="60">
        <f>E$22</f>
        <v>0</v>
      </c>
      <c r="F741" s="335"/>
      <c r="H741" s="50" t="s">
        <v>125</v>
      </c>
      <c r="S741" s="335"/>
      <c r="T741" s="335"/>
      <c r="U741" s="335"/>
      <c r="V741" s="136"/>
      <c r="W741" s="215">
        <f t="shared" si="922"/>
        <v>0</v>
      </c>
      <c r="X741" s="215">
        <f t="shared" si="922"/>
        <v>0</v>
      </c>
      <c r="Y741" s="215">
        <f t="shared" si="922"/>
        <v>0</v>
      </c>
      <c r="AA741" s="10">
        <f>AA718+IF(Timeline!AA240=1,Z810,0)</f>
        <v>0</v>
      </c>
      <c r="AB741" s="10">
        <f>AB718+IF(Timeline!AB240=1,AA810,0)</f>
        <v>0</v>
      </c>
      <c r="AC741" s="10">
        <f>AC718+IF(Timeline!AC240=1,AB810,0)</f>
        <v>0</v>
      </c>
      <c r="AD741" s="10">
        <f>AD718+IF(Timeline!AD240=1,AC810,0)</f>
        <v>0</v>
      </c>
      <c r="AE741" s="10">
        <f>AE718+IF(Timeline!AE240=1,AD810,0)</f>
        <v>0</v>
      </c>
      <c r="AF741" s="10">
        <f>AF718+IF(Timeline!AF240=1,AE810,0)</f>
        <v>0</v>
      </c>
      <c r="AG741" s="10">
        <f>AG718+IF(Timeline!AG240=1,AF810,0)</f>
        <v>0</v>
      </c>
      <c r="AH741" s="10">
        <f>AH718+IF(Timeline!AH240=1,AG810,0)</f>
        <v>0</v>
      </c>
      <c r="AI741" s="10">
        <f>AI718+IF(Timeline!AI240=1,AH810,0)</f>
        <v>0</v>
      </c>
      <c r="AJ741" s="10">
        <f>AJ718+IF(Timeline!AJ240=1,AI810,0)</f>
        <v>0</v>
      </c>
      <c r="AK741" s="10">
        <f>AK718+IF(Timeline!AK240=1,AJ810,0)</f>
        <v>0</v>
      </c>
      <c r="AL741" s="10">
        <f>AL718+IF(Timeline!AL240=1,AK810,0)</f>
        <v>0</v>
      </c>
      <c r="AM741" s="10">
        <f>AM718+IF(Timeline!AM240=1,AL810,0)</f>
        <v>0</v>
      </c>
      <c r="AN741" s="10">
        <f>AN718+IF(Timeline!AN240=1,AM810,0)</f>
        <v>0</v>
      </c>
      <c r="AO741" s="10">
        <f>AO718+IF(Timeline!AO240=1,AN810,0)</f>
        <v>0</v>
      </c>
      <c r="AP741" s="10">
        <f>AP718+IF(Timeline!AP240=1,AO810,0)</f>
        <v>0</v>
      </c>
      <c r="AQ741" s="10">
        <f>AQ718+IF(Timeline!AQ240=1,AP810,0)</f>
        <v>0</v>
      </c>
      <c r="AR741" s="10">
        <f>AR718+IF(Timeline!AR240=1,AQ810,0)</f>
        <v>0</v>
      </c>
      <c r="AS741" s="10">
        <f>AS718+IF(Timeline!AS240=1,AR810,0)</f>
        <v>0</v>
      </c>
      <c r="AT741" s="10">
        <f>AT718+IF(Timeline!AT240=1,AS810,0)</f>
        <v>0</v>
      </c>
      <c r="AU741" s="10">
        <f>AU718+IF(Timeline!AU240=1,AT810,0)</f>
        <v>0</v>
      </c>
      <c r="AV741" s="10">
        <f>AV718+IF(Timeline!AV240=1,AU810,0)</f>
        <v>0</v>
      </c>
      <c r="AW741" s="10">
        <f>AW718+IF(Timeline!AW240=1,AV810,0)</f>
        <v>0</v>
      </c>
      <c r="AX741" s="10">
        <f>AX718+IF(Timeline!AX240=1,AW810,0)</f>
        <v>0</v>
      </c>
      <c r="AY741" s="10">
        <f>AY718+IF(Timeline!AY240=1,AX810,0)</f>
        <v>0</v>
      </c>
      <c r="AZ741" s="10">
        <f>AZ718+IF(Timeline!AZ240=1,AY810,0)</f>
        <v>0</v>
      </c>
      <c r="BA741" s="10">
        <f>BA718+IF(Timeline!BA240=1,AZ810,0)</f>
        <v>0</v>
      </c>
      <c r="BB741" s="10">
        <f>BB718+IF(Timeline!BB240=1,BA810,0)</f>
        <v>0</v>
      </c>
      <c r="BC741" s="10">
        <f>BC718+IF(Timeline!BC240=1,BB810,0)</f>
        <v>0</v>
      </c>
      <c r="BD741" s="10">
        <f>BD718+IF(Timeline!BD240=1,BC810,0)</f>
        <v>0</v>
      </c>
      <c r="BE741" s="10">
        <f>BE718+IF(Timeline!BE240=1,BD810,0)</f>
        <v>0</v>
      </c>
      <c r="BF741" s="10">
        <f>BF718+IF(Timeline!BF240=1,BE810,0)</f>
        <v>0</v>
      </c>
      <c r="BG741" s="10">
        <f>BG718+IF(Timeline!BG240=1,BF810,0)</f>
        <v>0</v>
      </c>
      <c r="BH741" s="10">
        <f>BH718+IF(Timeline!BH240=1,BG810,0)</f>
        <v>0</v>
      </c>
      <c r="BI741" s="10">
        <f>BI718+IF(Timeline!BI240=1,BH810,0)</f>
        <v>0</v>
      </c>
      <c r="BJ741" s="10">
        <f>BJ718+IF(Timeline!BJ240=1,BI810,0)</f>
        <v>0</v>
      </c>
      <c r="BL741" s="136"/>
      <c r="BM741" s="13">
        <f t="shared" si="923"/>
        <v>0</v>
      </c>
      <c r="BN741" s="13">
        <f t="shared" si="924"/>
        <v>0</v>
      </c>
      <c r="BO741" s="13">
        <f t="shared" si="925"/>
        <v>0</v>
      </c>
      <c r="BP741" s="136"/>
      <c r="BQ741" s="136"/>
      <c r="BR741" s="136"/>
      <c r="BS741" s="136"/>
      <c r="BT741" s="136"/>
      <c r="BU741" s="136"/>
      <c r="BV741" s="136"/>
      <c r="BW741" s="136"/>
      <c r="BY741" s="12"/>
      <c r="BZ741" s="335"/>
      <c r="CA741" s="12"/>
      <c r="CB741" s="335"/>
      <c r="CC741" s="335"/>
      <c r="CD741" s="335"/>
      <c r="CE741" s="335"/>
      <c r="CJ741" s="162"/>
      <c r="CK741" s="162"/>
      <c r="CM741" s="335"/>
      <c r="CN741" s="335"/>
      <c r="CO741" s="335"/>
      <c r="CP741" s="335"/>
      <c r="CR741" s="12"/>
      <c r="CT741" s="335"/>
      <c r="CU741" s="335"/>
      <c r="EW741" s="335"/>
      <c r="EX741" s="10" t="str">
        <f t="shared" si="916"/>
        <v/>
      </c>
    </row>
    <row r="742" spans="1:154" s="67" customFormat="1" x14ac:dyDescent="0.25">
      <c r="A742" s="162"/>
      <c r="B742" s="84" t="str" cm="1">
        <f t="array" aca="1" ref="B742" ca="1">HYPERLINK(CONCATENATE("#",CELL("address",$D$237)),$D$237)</f>
        <v>Loan 11</v>
      </c>
      <c r="C742" s="380"/>
      <c r="D742" s="221">
        <f>D$23</f>
        <v>0</v>
      </c>
      <c r="E742" s="60">
        <f>E$23</f>
        <v>0</v>
      </c>
      <c r="F742" s="335"/>
      <c r="H742" s="50" t="s">
        <v>125</v>
      </c>
      <c r="S742" s="335"/>
      <c r="T742" s="335"/>
      <c r="U742" s="335"/>
      <c r="V742" s="136"/>
      <c r="W742" s="215">
        <f t="shared" si="922"/>
        <v>0</v>
      </c>
      <c r="X742" s="215">
        <f t="shared" si="922"/>
        <v>0</v>
      </c>
      <c r="Y742" s="215">
        <f t="shared" si="922"/>
        <v>0</v>
      </c>
      <c r="AA742" s="10">
        <f>AA719+IF(Timeline!AA241=1,Z811,0)</f>
        <v>0</v>
      </c>
      <c r="AB742" s="10">
        <f>AB719+IF(Timeline!AB241=1,AA811,0)</f>
        <v>0</v>
      </c>
      <c r="AC742" s="10">
        <f>AC719+IF(Timeline!AC241=1,AB811,0)</f>
        <v>0</v>
      </c>
      <c r="AD742" s="10">
        <f>AD719+IF(Timeline!AD241=1,AC811,0)</f>
        <v>0</v>
      </c>
      <c r="AE742" s="10">
        <f>AE719+IF(Timeline!AE241=1,AD811,0)</f>
        <v>0</v>
      </c>
      <c r="AF742" s="10">
        <f>AF719+IF(Timeline!AF241=1,AE811,0)</f>
        <v>0</v>
      </c>
      <c r="AG742" s="10">
        <f>AG719+IF(Timeline!AG241=1,AF811,0)</f>
        <v>0</v>
      </c>
      <c r="AH742" s="10">
        <f>AH719+IF(Timeline!AH241=1,AG811,0)</f>
        <v>0</v>
      </c>
      <c r="AI742" s="10">
        <f>AI719+IF(Timeline!AI241=1,AH811,0)</f>
        <v>0</v>
      </c>
      <c r="AJ742" s="10">
        <f>AJ719+IF(Timeline!AJ241=1,AI811,0)</f>
        <v>0</v>
      </c>
      <c r="AK742" s="10">
        <f>AK719+IF(Timeline!AK241=1,AJ811,0)</f>
        <v>0</v>
      </c>
      <c r="AL742" s="10">
        <f>AL719+IF(Timeline!AL241=1,AK811,0)</f>
        <v>0</v>
      </c>
      <c r="AM742" s="10">
        <f>AM719+IF(Timeline!AM241=1,AL811,0)</f>
        <v>0</v>
      </c>
      <c r="AN742" s="10">
        <f>AN719+IF(Timeline!AN241=1,AM811,0)</f>
        <v>0</v>
      </c>
      <c r="AO742" s="10">
        <f>AO719+IF(Timeline!AO241=1,AN811,0)</f>
        <v>0</v>
      </c>
      <c r="AP742" s="10">
        <f>AP719+IF(Timeline!AP241=1,AO811,0)</f>
        <v>0</v>
      </c>
      <c r="AQ742" s="10">
        <f>AQ719+IF(Timeline!AQ241=1,AP811,0)</f>
        <v>0</v>
      </c>
      <c r="AR742" s="10">
        <f>AR719+IF(Timeline!AR241=1,AQ811,0)</f>
        <v>0</v>
      </c>
      <c r="AS742" s="10">
        <f>AS719+IF(Timeline!AS241=1,AR811,0)</f>
        <v>0</v>
      </c>
      <c r="AT742" s="10">
        <f>AT719+IF(Timeline!AT241=1,AS811,0)</f>
        <v>0</v>
      </c>
      <c r="AU742" s="10">
        <f>AU719+IF(Timeline!AU241=1,AT811,0)</f>
        <v>0</v>
      </c>
      <c r="AV742" s="10">
        <f>AV719+IF(Timeline!AV241=1,AU811,0)</f>
        <v>0</v>
      </c>
      <c r="AW742" s="10">
        <f>AW719+IF(Timeline!AW241=1,AV811,0)</f>
        <v>0</v>
      </c>
      <c r="AX742" s="10">
        <f>AX719+IF(Timeline!AX241=1,AW811,0)</f>
        <v>0</v>
      </c>
      <c r="AY742" s="10">
        <f>AY719+IF(Timeline!AY241=1,AX811,0)</f>
        <v>0</v>
      </c>
      <c r="AZ742" s="10">
        <f>AZ719+IF(Timeline!AZ241=1,AY811,0)</f>
        <v>0</v>
      </c>
      <c r="BA742" s="10">
        <f>BA719+IF(Timeline!BA241=1,AZ811,0)</f>
        <v>0</v>
      </c>
      <c r="BB742" s="10">
        <f>BB719+IF(Timeline!BB241=1,BA811,0)</f>
        <v>0</v>
      </c>
      <c r="BC742" s="10">
        <f>BC719+IF(Timeline!BC241=1,BB811,0)</f>
        <v>0</v>
      </c>
      <c r="BD742" s="10">
        <f>BD719+IF(Timeline!BD241=1,BC811,0)</f>
        <v>0</v>
      </c>
      <c r="BE742" s="10">
        <f>BE719+IF(Timeline!BE241=1,BD811,0)</f>
        <v>0</v>
      </c>
      <c r="BF742" s="10">
        <f>BF719+IF(Timeline!BF241=1,BE811,0)</f>
        <v>0</v>
      </c>
      <c r="BG742" s="10">
        <f>BG719+IF(Timeline!BG241=1,BF811,0)</f>
        <v>0</v>
      </c>
      <c r="BH742" s="10">
        <f>BH719+IF(Timeline!BH241=1,BG811,0)</f>
        <v>0</v>
      </c>
      <c r="BI742" s="10">
        <f>BI719+IF(Timeline!BI241=1,BH811,0)</f>
        <v>0</v>
      </c>
      <c r="BJ742" s="10">
        <f>BJ719+IF(Timeline!BJ241=1,BI811,0)</f>
        <v>0</v>
      </c>
      <c r="BL742" s="136"/>
      <c r="BM742" s="13">
        <f t="shared" si="923"/>
        <v>0</v>
      </c>
      <c r="BN742" s="13">
        <f t="shared" si="924"/>
        <v>0</v>
      </c>
      <c r="BO742" s="13">
        <f t="shared" si="925"/>
        <v>0</v>
      </c>
      <c r="BP742" s="136"/>
      <c r="BQ742" s="136"/>
      <c r="BR742" s="136"/>
      <c r="BS742" s="136"/>
      <c r="BT742" s="136"/>
      <c r="BU742" s="136"/>
      <c r="BV742" s="136"/>
      <c r="BW742" s="136"/>
      <c r="BY742" s="12"/>
      <c r="BZ742" s="335"/>
      <c r="CA742" s="12"/>
      <c r="CB742" s="335"/>
      <c r="CC742" s="335"/>
      <c r="CD742" s="335"/>
      <c r="CE742" s="335"/>
      <c r="CJ742" s="162"/>
      <c r="CK742" s="162"/>
      <c r="CM742" s="335"/>
      <c r="CN742" s="335"/>
      <c r="CO742" s="335"/>
      <c r="CP742" s="335"/>
      <c r="CR742" s="12"/>
      <c r="CT742" s="335"/>
      <c r="CU742" s="335"/>
      <c r="EW742" s="335"/>
      <c r="EX742" s="10" t="str">
        <f t="shared" si="916"/>
        <v/>
      </c>
    </row>
    <row r="743" spans="1:154" s="67" customFormat="1" x14ac:dyDescent="0.25">
      <c r="A743" s="162"/>
      <c r="B743" s="84" t="str" cm="1">
        <f t="array" aca="1" ref="B743" ca="1">HYPERLINK(CONCATENATE("#",CELL("address",$D$256)),$D$256)</f>
        <v>Loan 12</v>
      </c>
      <c r="C743" s="380"/>
      <c r="D743" s="221">
        <f>D$24</f>
        <v>0</v>
      </c>
      <c r="E743" s="60">
        <f>E$24</f>
        <v>0</v>
      </c>
      <c r="F743" s="335"/>
      <c r="H743" s="50" t="s">
        <v>125</v>
      </c>
      <c r="S743" s="335"/>
      <c r="T743" s="335"/>
      <c r="U743" s="335"/>
      <c r="V743" s="136"/>
      <c r="W743" s="215">
        <f t="shared" si="922"/>
        <v>0</v>
      </c>
      <c r="X743" s="215">
        <f t="shared" si="922"/>
        <v>0</v>
      </c>
      <c r="Y743" s="215">
        <f t="shared" si="922"/>
        <v>0</v>
      </c>
      <c r="AA743" s="10">
        <f>AA720+IF(Timeline!AA242=1,Z812,0)</f>
        <v>0</v>
      </c>
      <c r="AB743" s="10">
        <f>AB720+IF(Timeline!AB242=1,AA812,0)</f>
        <v>0</v>
      </c>
      <c r="AC743" s="10">
        <f>AC720+IF(Timeline!AC242=1,AB812,0)</f>
        <v>0</v>
      </c>
      <c r="AD743" s="10">
        <f>AD720+IF(Timeline!AD242=1,AC812,0)</f>
        <v>0</v>
      </c>
      <c r="AE743" s="10">
        <f>AE720+IF(Timeline!AE242=1,AD812,0)</f>
        <v>0</v>
      </c>
      <c r="AF743" s="10">
        <f>AF720+IF(Timeline!AF242=1,AE812,0)</f>
        <v>0</v>
      </c>
      <c r="AG743" s="10">
        <f>AG720+IF(Timeline!AG242=1,AF812,0)</f>
        <v>0</v>
      </c>
      <c r="AH743" s="10">
        <f>AH720+IF(Timeline!AH242=1,AG812,0)</f>
        <v>0</v>
      </c>
      <c r="AI743" s="10">
        <f>AI720+IF(Timeline!AI242=1,AH812,0)</f>
        <v>0</v>
      </c>
      <c r="AJ743" s="10">
        <f>AJ720+IF(Timeline!AJ242=1,AI812,0)</f>
        <v>0</v>
      </c>
      <c r="AK743" s="10">
        <f>AK720+IF(Timeline!AK242=1,AJ812,0)</f>
        <v>0</v>
      </c>
      <c r="AL743" s="10">
        <f>AL720+IF(Timeline!AL242=1,AK812,0)</f>
        <v>0</v>
      </c>
      <c r="AM743" s="10">
        <f>AM720+IF(Timeline!AM242=1,AL812,0)</f>
        <v>0</v>
      </c>
      <c r="AN743" s="10">
        <f>AN720+IF(Timeline!AN242=1,AM812,0)</f>
        <v>0</v>
      </c>
      <c r="AO743" s="10">
        <f>AO720+IF(Timeline!AO242=1,AN812,0)</f>
        <v>0</v>
      </c>
      <c r="AP743" s="10">
        <f>AP720+IF(Timeline!AP242=1,AO812,0)</f>
        <v>0</v>
      </c>
      <c r="AQ743" s="10">
        <f>AQ720+IF(Timeline!AQ242=1,AP812,0)</f>
        <v>0</v>
      </c>
      <c r="AR743" s="10">
        <f>AR720+IF(Timeline!AR242=1,AQ812,0)</f>
        <v>0</v>
      </c>
      <c r="AS743" s="10">
        <f>AS720+IF(Timeline!AS242=1,AR812,0)</f>
        <v>0</v>
      </c>
      <c r="AT743" s="10">
        <f>AT720+IF(Timeline!AT242=1,AS812,0)</f>
        <v>0</v>
      </c>
      <c r="AU743" s="10">
        <f>AU720+IF(Timeline!AU242=1,AT812,0)</f>
        <v>0</v>
      </c>
      <c r="AV743" s="10">
        <f>AV720+IF(Timeline!AV242=1,AU812,0)</f>
        <v>0</v>
      </c>
      <c r="AW743" s="10">
        <f>AW720+IF(Timeline!AW242=1,AV812,0)</f>
        <v>0</v>
      </c>
      <c r="AX743" s="10">
        <f>AX720+IF(Timeline!AX242=1,AW812,0)</f>
        <v>0</v>
      </c>
      <c r="AY743" s="10">
        <f>AY720+IF(Timeline!AY242=1,AX812,0)</f>
        <v>0</v>
      </c>
      <c r="AZ743" s="10">
        <f>AZ720+IF(Timeline!AZ242=1,AY812,0)</f>
        <v>0</v>
      </c>
      <c r="BA743" s="10">
        <f>BA720+IF(Timeline!BA242=1,AZ812,0)</f>
        <v>0</v>
      </c>
      <c r="BB743" s="10">
        <f>BB720+IF(Timeline!BB242=1,BA812,0)</f>
        <v>0</v>
      </c>
      <c r="BC743" s="10">
        <f>BC720+IF(Timeline!BC242=1,BB812,0)</f>
        <v>0</v>
      </c>
      <c r="BD743" s="10">
        <f>BD720+IF(Timeline!BD242=1,BC812,0)</f>
        <v>0</v>
      </c>
      <c r="BE743" s="10">
        <f>BE720+IF(Timeline!BE242=1,BD812,0)</f>
        <v>0</v>
      </c>
      <c r="BF743" s="10">
        <f>BF720+IF(Timeline!BF242=1,BE812,0)</f>
        <v>0</v>
      </c>
      <c r="BG743" s="10">
        <f>BG720+IF(Timeline!BG242=1,BF812,0)</f>
        <v>0</v>
      </c>
      <c r="BH743" s="10">
        <f>BH720+IF(Timeline!BH242=1,BG812,0)</f>
        <v>0</v>
      </c>
      <c r="BI743" s="10">
        <f>BI720+IF(Timeline!BI242=1,BH812,0)</f>
        <v>0</v>
      </c>
      <c r="BJ743" s="10">
        <f>BJ720+IF(Timeline!BJ242=1,BI812,0)</f>
        <v>0</v>
      </c>
      <c r="BL743" s="136"/>
      <c r="BM743" s="13">
        <f t="shared" si="923"/>
        <v>0</v>
      </c>
      <c r="BN743" s="13">
        <f t="shared" si="924"/>
        <v>0</v>
      </c>
      <c r="BO743" s="13">
        <f t="shared" si="925"/>
        <v>0</v>
      </c>
      <c r="BP743" s="136"/>
      <c r="BQ743" s="136"/>
      <c r="BR743" s="136"/>
      <c r="BS743" s="136"/>
      <c r="BT743" s="136"/>
      <c r="BU743" s="136"/>
      <c r="BV743" s="136"/>
      <c r="BW743" s="136"/>
      <c r="BY743" s="12"/>
      <c r="BZ743" s="335"/>
      <c r="CA743" s="12"/>
      <c r="CB743" s="335"/>
      <c r="CC743" s="335"/>
      <c r="CD743" s="335"/>
      <c r="CE743" s="335"/>
      <c r="CJ743" s="162"/>
      <c r="CK743" s="162"/>
      <c r="CM743" s="335"/>
      <c r="CN743" s="335"/>
      <c r="CO743" s="335"/>
      <c r="CP743" s="335"/>
      <c r="CR743" s="12"/>
      <c r="CT743" s="335"/>
      <c r="CU743" s="335"/>
      <c r="EW743" s="335"/>
      <c r="EX743" s="10" t="str">
        <f t="shared" si="916"/>
        <v/>
      </c>
    </row>
    <row r="744" spans="1:154" s="67" customFormat="1" x14ac:dyDescent="0.25">
      <c r="A744" s="162"/>
      <c r="B744" s="84" t="str" cm="1">
        <f t="array" aca="1" ref="B744" ca="1">HYPERLINK(CONCATENATE("#",CELL("address",$D$275)),$D$275)</f>
        <v>Loan 13</v>
      </c>
      <c r="C744" s="380"/>
      <c r="D744" s="221">
        <f>D$25</f>
        <v>0</v>
      </c>
      <c r="E744" s="60">
        <f>E$25</f>
        <v>0</v>
      </c>
      <c r="F744" s="335"/>
      <c r="H744" s="50" t="s">
        <v>125</v>
      </c>
      <c r="S744" s="335"/>
      <c r="T744" s="335"/>
      <c r="U744" s="335"/>
      <c r="V744" s="136"/>
      <c r="W744" s="215">
        <f t="shared" si="922"/>
        <v>0</v>
      </c>
      <c r="X744" s="215">
        <f t="shared" si="922"/>
        <v>0</v>
      </c>
      <c r="Y744" s="215">
        <f t="shared" si="922"/>
        <v>0</v>
      </c>
      <c r="AA744" s="10">
        <f>AA721+IF(Timeline!AA243=1,Z813,0)</f>
        <v>0</v>
      </c>
      <c r="AB744" s="10">
        <f>AB721+IF(Timeline!AB243=1,AA813,0)</f>
        <v>0</v>
      </c>
      <c r="AC744" s="10">
        <f>AC721+IF(Timeline!AC243=1,AB813,0)</f>
        <v>0</v>
      </c>
      <c r="AD744" s="10">
        <f>AD721+IF(Timeline!AD243=1,AC813,0)</f>
        <v>0</v>
      </c>
      <c r="AE744" s="10">
        <f>AE721+IF(Timeline!AE243=1,AD813,0)</f>
        <v>0</v>
      </c>
      <c r="AF744" s="10">
        <f>AF721+IF(Timeline!AF243=1,AE813,0)</f>
        <v>0</v>
      </c>
      <c r="AG744" s="10">
        <f>AG721+IF(Timeline!AG243=1,AF813,0)</f>
        <v>0</v>
      </c>
      <c r="AH744" s="10">
        <f>AH721+IF(Timeline!AH243=1,AG813,0)</f>
        <v>0</v>
      </c>
      <c r="AI744" s="10">
        <f>AI721+IF(Timeline!AI243=1,AH813,0)</f>
        <v>0</v>
      </c>
      <c r="AJ744" s="10">
        <f>AJ721+IF(Timeline!AJ243=1,AI813,0)</f>
        <v>0</v>
      </c>
      <c r="AK744" s="10">
        <f>AK721+IF(Timeline!AK243=1,AJ813,0)</f>
        <v>0</v>
      </c>
      <c r="AL744" s="10">
        <f>AL721+IF(Timeline!AL243=1,AK813,0)</f>
        <v>0</v>
      </c>
      <c r="AM744" s="10">
        <f>AM721+IF(Timeline!AM243=1,AL813,0)</f>
        <v>0</v>
      </c>
      <c r="AN744" s="10">
        <f>AN721+IF(Timeline!AN243=1,AM813,0)</f>
        <v>0</v>
      </c>
      <c r="AO744" s="10">
        <f>AO721+IF(Timeline!AO243=1,AN813,0)</f>
        <v>0</v>
      </c>
      <c r="AP744" s="10">
        <f>AP721+IF(Timeline!AP243=1,AO813,0)</f>
        <v>0</v>
      </c>
      <c r="AQ744" s="10">
        <f>AQ721+IF(Timeline!AQ243=1,AP813,0)</f>
        <v>0</v>
      </c>
      <c r="AR744" s="10">
        <f>AR721+IF(Timeline!AR243=1,AQ813,0)</f>
        <v>0</v>
      </c>
      <c r="AS744" s="10">
        <f>AS721+IF(Timeline!AS243=1,AR813,0)</f>
        <v>0</v>
      </c>
      <c r="AT744" s="10">
        <f>AT721+IF(Timeline!AT243=1,AS813,0)</f>
        <v>0</v>
      </c>
      <c r="AU744" s="10">
        <f>AU721+IF(Timeline!AU243=1,AT813,0)</f>
        <v>0</v>
      </c>
      <c r="AV744" s="10">
        <f>AV721+IF(Timeline!AV243=1,AU813,0)</f>
        <v>0</v>
      </c>
      <c r="AW744" s="10">
        <f>AW721+IF(Timeline!AW243=1,AV813,0)</f>
        <v>0</v>
      </c>
      <c r="AX744" s="10">
        <f>AX721+IF(Timeline!AX243=1,AW813,0)</f>
        <v>0</v>
      </c>
      <c r="AY744" s="10">
        <f>AY721+IF(Timeline!AY243=1,AX813,0)</f>
        <v>0</v>
      </c>
      <c r="AZ744" s="10">
        <f>AZ721+IF(Timeline!AZ243=1,AY813,0)</f>
        <v>0</v>
      </c>
      <c r="BA744" s="10">
        <f>BA721+IF(Timeline!BA243=1,AZ813,0)</f>
        <v>0</v>
      </c>
      <c r="BB744" s="10">
        <f>BB721+IF(Timeline!BB243=1,BA813,0)</f>
        <v>0</v>
      </c>
      <c r="BC744" s="10">
        <f>BC721+IF(Timeline!BC243=1,BB813,0)</f>
        <v>0</v>
      </c>
      <c r="BD744" s="10">
        <f>BD721+IF(Timeline!BD243=1,BC813,0)</f>
        <v>0</v>
      </c>
      <c r="BE744" s="10">
        <f>BE721+IF(Timeline!BE243=1,BD813,0)</f>
        <v>0</v>
      </c>
      <c r="BF744" s="10">
        <f>BF721+IF(Timeline!BF243=1,BE813,0)</f>
        <v>0</v>
      </c>
      <c r="BG744" s="10">
        <f>BG721+IF(Timeline!BG243=1,BF813,0)</f>
        <v>0</v>
      </c>
      <c r="BH744" s="10">
        <f>BH721+IF(Timeline!BH243=1,BG813,0)</f>
        <v>0</v>
      </c>
      <c r="BI744" s="10">
        <f>BI721+IF(Timeline!BI243=1,BH813,0)</f>
        <v>0</v>
      </c>
      <c r="BJ744" s="10">
        <f>BJ721+IF(Timeline!BJ243=1,BI813,0)</f>
        <v>0</v>
      </c>
      <c r="BL744" s="136"/>
      <c r="BM744" s="13">
        <f t="shared" si="923"/>
        <v>0</v>
      </c>
      <c r="BN744" s="13">
        <f t="shared" si="924"/>
        <v>0</v>
      </c>
      <c r="BO744" s="13">
        <f t="shared" si="925"/>
        <v>0</v>
      </c>
      <c r="BP744" s="136"/>
      <c r="BQ744" s="136"/>
      <c r="BR744" s="136"/>
      <c r="BS744" s="136"/>
      <c r="BT744" s="136"/>
      <c r="BU744" s="136"/>
      <c r="BV744" s="136"/>
      <c r="BW744" s="136"/>
      <c r="BY744" s="12"/>
      <c r="BZ744" s="335"/>
      <c r="CA744" s="12"/>
      <c r="CB744" s="335"/>
      <c r="CC744" s="335"/>
      <c r="CD744" s="335"/>
      <c r="CE744" s="335"/>
      <c r="CJ744" s="162"/>
      <c r="CK744" s="162"/>
      <c r="CM744" s="335"/>
      <c r="CN744" s="335"/>
      <c r="CO744" s="335"/>
      <c r="CP744" s="335"/>
      <c r="CR744" s="12"/>
      <c r="CT744" s="335"/>
      <c r="CU744" s="335"/>
      <c r="EW744" s="335"/>
      <c r="EX744" s="10" t="str">
        <f t="shared" si="916"/>
        <v/>
      </c>
    </row>
    <row r="745" spans="1:154" s="5" customFormat="1" x14ac:dyDescent="0.25">
      <c r="A745" s="162"/>
      <c r="B745" s="84" t="str" cm="1">
        <f t="array" aca="1" ref="B745" ca="1">HYPERLINK(CONCATENATE("#",CELL("address",$D$294)),$D$294)</f>
        <v>Loan 14</v>
      </c>
      <c r="C745" s="380"/>
      <c r="D745" s="221">
        <f>D$26</f>
        <v>0</v>
      </c>
      <c r="E745" s="60">
        <f>E$26</f>
        <v>0</v>
      </c>
      <c r="F745" s="335"/>
      <c r="H745" s="50" t="s">
        <v>125</v>
      </c>
      <c r="I745" s="67"/>
      <c r="J745" s="67"/>
      <c r="K745" s="67"/>
      <c r="L745" s="67"/>
      <c r="M745" s="67"/>
      <c r="N745" s="67"/>
      <c r="O745" s="67"/>
      <c r="P745" s="67"/>
      <c r="Q745" s="67"/>
      <c r="R745" s="67"/>
      <c r="S745" s="335"/>
      <c r="T745" s="335"/>
      <c r="U745" s="335"/>
      <c r="V745" s="136"/>
      <c r="W745" s="215">
        <f t="shared" si="922"/>
        <v>0</v>
      </c>
      <c r="X745" s="215">
        <f t="shared" si="922"/>
        <v>0</v>
      </c>
      <c r="Y745" s="215">
        <f t="shared" si="922"/>
        <v>0</v>
      </c>
      <c r="Z745" s="67"/>
      <c r="AA745" s="10">
        <f>AA722+IF(Timeline!AA244=1,Z814,0)</f>
        <v>0</v>
      </c>
      <c r="AB745" s="10">
        <f>AB722+IF(Timeline!AB244=1,AA814,0)</f>
        <v>0</v>
      </c>
      <c r="AC745" s="10">
        <f>AC722+IF(Timeline!AC244=1,AB814,0)</f>
        <v>0</v>
      </c>
      <c r="AD745" s="10">
        <f>AD722+IF(Timeline!AD244=1,AC814,0)</f>
        <v>0</v>
      </c>
      <c r="AE745" s="10">
        <f>AE722+IF(Timeline!AE244=1,AD814,0)</f>
        <v>0</v>
      </c>
      <c r="AF745" s="10">
        <f>AF722+IF(Timeline!AF244=1,AE814,0)</f>
        <v>0</v>
      </c>
      <c r="AG745" s="10">
        <f>AG722+IF(Timeline!AG244=1,AF814,0)</f>
        <v>0</v>
      </c>
      <c r="AH745" s="10">
        <f>AH722+IF(Timeline!AH244=1,AG814,0)</f>
        <v>0</v>
      </c>
      <c r="AI745" s="10">
        <f>AI722+IF(Timeline!AI244=1,AH814,0)</f>
        <v>0</v>
      </c>
      <c r="AJ745" s="10">
        <f>AJ722+IF(Timeline!AJ244=1,AI814,0)</f>
        <v>0</v>
      </c>
      <c r="AK745" s="10">
        <f>AK722+IF(Timeline!AK244=1,AJ814,0)</f>
        <v>0</v>
      </c>
      <c r="AL745" s="10">
        <f>AL722+IF(Timeline!AL244=1,AK814,0)</f>
        <v>0</v>
      </c>
      <c r="AM745" s="10">
        <f>AM722+IF(Timeline!AM244=1,AL814,0)</f>
        <v>0</v>
      </c>
      <c r="AN745" s="10">
        <f>AN722+IF(Timeline!AN244=1,AM814,0)</f>
        <v>0</v>
      </c>
      <c r="AO745" s="10">
        <f>AO722+IF(Timeline!AO244=1,AN814,0)</f>
        <v>0</v>
      </c>
      <c r="AP745" s="10">
        <f>AP722+IF(Timeline!AP244=1,AO814,0)</f>
        <v>0</v>
      </c>
      <c r="AQ745" s="10">
        <f>AQ722+IF(Timeline!AQ244=1,AP814,0)</f>
        <v>0</v>
      </c>
      <c r="AR745" s="10">
        <f>AR722+IF(Timeline!AR244=1,AQ814,0)</f>
        <v>0</v>
      </c>
      <c r="AS745" s="10">
        <f>AS722+IF(Timeline!AS244=1,AR814,0)</f>
        <v>0</v>
      </c>
      <c r="AT745" s="10">
        <f>AT722+IF(Timeline!AT244=1,AS814,0)</f>
        <v>0</v>
      </c>
      <c r="AU745" s="10">
        <f>AU722+IF(Timeline!AU244=1,AT814,0)</f>
        <v>0</v>
      </c>
      <c r="AV745" s="10">
        <f>AV722+IF(Timeline!AV244=1,AU814,0)</f>
        <v>0</v>
      </c>
      <c r="AW745" s="10">
        <f>AW722+IF(Timeline!AW244=1,AV814,0)</f>
        <v>0</v>
      </c>
      <c r="AX745" s="10">
        <f>AX722+IF(Timeline!AX244=1,AW814,0)</f>
        <v>0</v>
      </c>
      <c r="AY745" s="10">
        <f>AY722+IF(Timeline!AY244=1,AX814,0)</f>
        <v>0</v>
      </c>
      <c r="AZ745" s="10">
        <f>AZ722+IF(Timeline!AZ244=1,AY814,0)</f>
        <v>0</v>
      </c>
      <c r="BA745" s="10">
        <f>BA722+IF(Timeline!BA244=1,AZ814,0)</f>
        <v>0</v>
      </c>
      <c r="BB745" s="10">
        <f>BB722+IF(Timeline!BB244=1,BA814,0)</f>
        <v>0</v>
      </c>
      <c r="BC745" s="10">
        <f>BC722+IF(Timeline!BC244=1,BB814,0)</f>
        <v>0</v>
      </c>
      <c r="BD745" s="10">
        <f>BD722+IF(Timeline!BD244=1,BC814,0)</f>
        <v>0</v>
      </c>
      <c r="BE745" s="10">
        <f>BE722+IF(Timeline!BE244=1,BD814,0)</f>
        <v>0</v>
      </c>
      <c r="BF745" s="10">
        <f>BF722+IF(Timeline!BF244=1,BE814,0)</f>
        <v>0</v>
      </c>
      <c r="BG745" s="10">
        <f>BG722+IF(Timeline!BG244=1,BF814,0)</f>
        <v>0</v>
      </c>
      <c r="BH745" s="10">
        <f>BH722+IF(Timeline!BH244=1,BG814,0)</f>
        <v>0</v>
      </c>
      <c r="BI745" s="10">
        <f>BI722+IF(Timeline!BI244=1,BH814,0)</f>
        <v>0</v>
      </c>
      <c r="BJ745" s="10">
        <f>BJ722+IF(Timeline!BJ244=1,BI814,0)</f>
        <v>0</v>
      </c>
      <c r="BK745" s="67"/>
      <c r="BL745" s="136"/>
      <c r="BM745" s="13">
        <f t="shared" si="923"/>
        <v>0</v>
      </c>
      <c r="BN745" s="13">
        <f t="shared" si="924"/>
        <v>0</v>
      </c>
      <c r="BO745" s="13">
        <f t="shared" si="925"/>
        <v>0</v>
      </c>
      <c r="BP745" s="136"/>
      <c r="BQ745" s="136"/>
      <c r="BR745" s="136"/>
      <c r="BS745" s="136"/>
      <c r="BT745" s="136"/>
      <c r="BU745" s="136"/>
      <c r="BV745" s="136"/>
      <c r="BW745" s="136"/>
      <c r="BX745" s="67"/>
      <c r="BY745" s="12"/>
      <c r="BZ745" s="335"/>
      <c r="CA745" s="12"/>
      <c r="CB745" s="335"/>
      <c r="CC745" s="335"/>
      <c r="CD745" s="335"/>
      <c r="CE745" s="335"/>
      <c r="CF745" s="67"/>
      <c r="CG745" s="67"/>
      <c r="CH745" s="67"/>
      <c r="CI745" s="67"/>
      <c r="CJ745" s="162"/>
      <c r="CK745" s="162"/>
      <c r="CL745" s="67"/>
      <c r="CM745" s="335"/>
      <c r="CN745" s="335"/>
      <c r="CO745" s="335"/>
      <c r="CP745" s="335"/>
      <c r="CQ745" s="67"/>
      <c r="CR745" s="12"/>
      <c r="EX745" s="10" t="str">
        <f t="shared" si="916"/>
        <v/>
      </c>
    </row>
    <row r="746" spans="1:154" s="67" customFormat="1" x14ac:dyDescent="0.25">
      <c r="A746" s="162"/>
      <c r="B746" s="84" t="str" cm="1">
        <f t="array" aca="1" ref="B746" ca="1">HYPERLINK(CONCATENATE("#",CELL("address",$D$313)),$D$313)</f>
        <v>Loan 15</v>
      </c>
      <c r="C746" s="380"/>
      <c r="D746" s="221">
        <f>D$27</f>
        <v>0</v>
      </c>
      <c r="E746" s="60">
        <f>E$27</f>
        <v>0</v>
      </c>
      <c r="F746" s="335"/>
      <c r="H746" s="50" t="s">
        <v>125</v>
      </c>
      <c r="S746" s="335"/>
      <c r="T746" s="335"/>
      <c r="U746" s="335"/>
      <c r="V746" s="136"/>
      <c r="W746" s="215">
        <f t="shared" si="922"/>
        <v>0</v>
      </c>
      <c r="X746" s="215">
        <f t="shared" si="922"/>
        <v>0</v>
      </c>
      <c r="Y746" s="215">
        <f t="shared" si="922"/>
        <v>0</v>
      </c>
      <c r="AA746" s="10">
        <f>AA723+IF(Timeline!AA245=1,Z815,0)</f>
        <v>0</v>
      </c>
      <c r="AB746" s="10">
        <f>AB723+IF(Timeline!AB245=1,AA815,0)</f>
        <v>0</v>
      </c>
      <c r="AC746" s="10">
        <f>AC723+IF(Timeline!AC245=1,AB815,0)</f>
        <v>0</v>
      </c>
      <c r="AD746" s="10">
        <f>AD723+IF(Timeline!AD245=1,AC815,0)</f>
        <v>0</v>
      </c>
      <c r="AE746" s="10">
        <f>AE723+IF(Timeline!AE245=1,AD815,0)</f>
        <v>0</v>
      </c>
      <c r="AF746" s="10">
        <f>AF723+IF(Timeline!AF245=1,AE815,0)</f>
        <v>0</v>
      </c>
      <c r="AG746" s="10">
        <f>AG723+IF(Timeline!AG245=1,AF815,0)</f>
        <v>0</v>
      </c>
      <c r="AH746" s="10">
        <f>AH723+IF(Timeline!AH245=1,AG815,0)</f>
        <v>0</v>
      </c>
      <c r="AI746" s="10">
        <f>AI723+IF(Timeline!AI245=1,AH815,0)</f>
        <v>0</v>
      </c>
      <c r="AJ746" s="10">
        <f>AJ723+IF(Timeline!AJ245=1,AI815,0)</f>
        <v>0</v>
      </c>
      <c r="AK746" s="10">
        <f>AK723+IF(Timeline!AK245=1,AJ815,0)</f>
        <v>0</v>
      </c>
      <c r="AL746" s="10">
        <f>AL723+IF(Timeline!AL245=1,AK815,0)</f>
        <v>0</v>
      </c>
      <c r="AM746" s="10">
        <f>AM723+IF(Timeline!AM245=1,AL815,0)</f>
        <v>0</v>
      </c>
      <c r="AN746" s="10">
        <f>AN723+IF(Timeline!AN245=1,AM815,0)</f>
        <v>0</v>
      </c>
      <c r="AO746" s="10">
        <f>AO723+IF(Timeline!AO245=1,AN815,0)</f>
        <v>0</v>
      </c>
      <c r="AP746" s="10">
        <f>AP723+IF(Timeline!AP245=1,AO815,0)</f>
        <v>0</v>
      </c>
      <c r="AQ746" s="10">
        <f>AQ723+IF(Timeline!AQ245=1,AP815,0)</f>
        <v>0</v>
      </c>
      <c r="AR746" s="10">
        <f>AR723+IF(Timeline!AR245=1,AQ815,0)</f>
        <v>0</v>
      </c>
      <c r="AS746" s="10">
        <f>AS723+IF(Timeline!AS245=1,AR815,0)</f>
        <v>0</v>
      </c>
      <c r="AT746" s="10">
        <f>AT723+IF(Timeline!AT245=1,AS815,0)</f>
        <v>0</v>
      </c>
      <c r="AU746" s="10">
        <f>AU723+IF(Timeline!AU245=1,AT815,0)</f>
        <v>0</v>
      </c>
      <c r="AV746" s="10">
        <f>AV723+IF(Timeline!AV245=1,AU815,0)</f>
        <v>0</v>
      </c>
      <c r="AW746" s="10">
        <f>AW723+IF(Timeline!AW245=1,AV815,0)</f>
        <v>0</v>
      </c>
      <c r="AX746" s="10">
        <f>AX723+IF(Timeline!AX245=1,AW815,0)</f>
        <v>0</v>
      </c>
      <c r="AY746" s="10">
        <f>AY723+IF(Timeline!AY245=1,AX815,0)</f>
        <v>0</v>
      </c>
      <c r="AZ746" s="10">
        <f>AZ723+IF(Timeline!AZ245=1,AY815,0)</f>
        <v>0</v>
      </c>
      <c r="BA746" s="10">
        <f>BA723+IF(Timeline!BA245=1,AZ815,0)</f>
        <v>0</v>
      </c>
      <c r="BB746" s="10">
        <f>BB723+IF(Timeline!BB245=1,BA815,0)</f>
        <v>0</v>
      </c>
      <c r="BC746" s="10">
        <f>BC723+IF(Timeline!BC245=1,BB815,0)</f>
        <v>0</v>
      </c>
      <c r="BD746" s="10">
        <f>BD723+IF(Timeline!BD245=1,BC815,0)</f>
        <v>0</v>
      </c>
      <c r="BE746" s="10">
        <f>BE723+IF(Timeline!BE245=1,BD815,0)</f>
        <v>0</v>
      </c>
      <c r="BF746" s="10">
        <f>BF723+IF(Timeline!BF245=1,BE815,0)</f>
        <v>0</v>
      </c>
      <c r="BG746" s="10">
        <f>BG723+IF(Timeline!BG245=1,BF815,0)</f>
        <v>0</v>
      </c>
      <c r="BH746" s="10">
        <f>BH723+IF(Timeline!BH245=1,BG815,0)</f>
        <v>0</v>
      </c>
      <c r="BI746" s="10">
        <f>BI723+IF(Timeline!BI245=1,BH815,0)</f>
        <v>0</v>
      </c>
      <c r="BJ746" s="10">
        <f>BJ723+IF(Timeline!BJ245=1,BI815,0)</f>
        <v>0</v>
      </c>
      <c r="BL746" s="136"/>
      <c r="BM746" s="13">
        <f t="shared" si="923"/>
        <v>0</v>
      </c>
      <c r="BN746" s="13">
        <f t="shared" si="924"/>
        <v>0</v>
      </c>
      <c r="BO746" s="13">
        <f t="shared" si="925"/>
        <v>0</v>
      </c>
      <c r="BP746" s="136"/>
      <c r="BQ746" s="136"/>
      <c r="BR746" s="136"/>
      <c r="BS746" s="136"/>
      <c r="BT746" s="136"/>
      <c r="BU746" s="136"/>
      <c r="BV746" s="136"/>
      <c r="BW746" s="136"/>
      <c r="BY746" s="12"/>
      <c r="BZ746" s="335"/>
      <c r="CA746" s="12"/>
      <c r="CB746" s="335"/>
      <c r="CC746" s="335"/>
      <c r="CD746" s="335"/>
      <c r="CE746" s="335"/>
      <c r="CJ746" s="162"/>
      <c r="CK746" s="162"/>
      <c r="CM746" s="335"/>
      <c r="CN746" s="335"/>
      <c r="CO746" s="335"/>
      <c r="CP746" s="335"/>
      <c r="CR746" s="12"/>
      <c r="CT746" s="335"/>
      <c r="CU746" s="335"/>
      <c r="EW746" s="335"/>
      <c r="EX746" s="10" t="str">
        <f t="shared" si="916"/>
        <v/>
      </c>
    </row>
    <row r="747" spans="1:154" s="67" customFormat="1" x14ac:dyDescent="0.25">
      <c r="A747" s="162"/>
      <c r="B747" s="84" t="str" cm="1">
        <f t="array" aca="1" ref="B747" ca="1">HYPERLINK(CONCATENATE("#",CELL("address",$D$332)),$D$332)</f>
        <v>Loan 16</v>
      </c>
      <c r="C747" s="380"/>
      <c r="D747" s="221">
        <f>D$28</f>
        <v>0</v>
      </c>
      <c r="E747" s="60">
        <f>E$28</f>
        <v>0</v>
      </c>
      <c r="F747" s="335"/>
      <c r="H747" s="50" t="s">
        <v>125</v>
      </c>
      <c r="S747" s="335"/>
      <c r="T747" s="335"/>
      <c r="U747" s="335"/>
      <c r="V747" s="136"/>
      <c r="W747" s="215">
        <f t="shared" si="922"/>
        <v>0</v>
      </c>
      <c r="X747" s="215">
        <f t="shared" si="922"/>
        <v>0</v>
      </c>
      <c r="Y747" s="215">
        <f t="shared" si="922"/>
        <v>0</v>
      </c>
      <c r="AA747" s="10">
        <f>AA724+IF(Timeline!AA246=1,Z816,0)</f>
        <v>0</v>
      </c>
      <c r="AB747" s="10">
        <f>AB724+IF(Timeline!AB246=1,AA816,0)</f>
        <v>0</v>
      </c>
      <c r="AC747" s="10">
        <f>AC724+IF(Timeline!AC246=1,AB816,0)</f>
        <v>0</v>
      </c>
      <c r="AD747" s="10">
        <f>AD724+IF(Timeline!AD246=1,AC816,0)</f>
        <v>0</v>
      </c>
      <c r="AE747" s="10">
        <f>AE724+IF(Timeline!AE246=1,AD816,0)</f>
        <v>0</v>
      </c>
      <c r="AF747" s="10">
        <f>AF724+IF(Timeline!AF246=1,AE816,0)</f>
        <v>0</v>
      </c>
      <c r="AG747" s="10">
        <f>AG724+IF(Timeline!AG246=1,AF816,0)</f>
        <v>0</v>
      </c>
      <c r="AH747" s="10">
        <f>AH724+IF(Timeline!AH246=1,AG816,0)</f>
        <v>0</v>
      </c>
      <c r="AI747" s="10">
        <f>AI724+IF(Timeline!AI246=1,AH816,0)</f>
        <v>0</v>
      </c>
      <c r="AJ747" s="10">
        <f>AJ724+IF(Timeline!AJ246=1,AI816,0)</f>
        <v>0</v>
      </c>
      <c r="AK747" s="10">
        <f>AK724+IF(Timeline!AK246=1,AJ816,0)</f>
        <v>0</v>
      </c>
      <c r="AL747" s="10">
        <f>AL724+IF(Timeline!AL246=1,AK816,0)</f>
        <v>0</v>
      </c>
      <c r="AM747" s="10">
        <f>AM724+IF(Timeline!AM246=1,AL816,0)</f>
        <v>0</v>
      </c>
      <c r="AN747" s="10">
        <f>AN724+IF(Timeline!AN246=1,AM816,0)</f>
        <v>0</v>
      </c>
      <c r="AO747" s="10">
        <f>AO724+IF(Timeline!AO246=1,AN816,0)</f>
        <v>0</v>
      </c>
      <c r="AP747" s="10">
        <f>AP724+IF(Timeline!AP246=1,AO816,0)</f>
        <v>0</v>
      </c>
      <c r="AQ747" s="10">
        <f>AQ724+IF(Timeline!AQ246=1,AP816,0)</f>
        <v>0</v>
      </c>
      <c r="AR747" s="10">
        <f>AR724+IF(Timeline!AR246=1,AQ816,0)</f>
        <v>0</v>
      </c>
      <c r="AS747" s="10">
        <f>AS724+IF(Timeline!AS246=1,AR816,0)</f>
        <v>0</v>
      </c>
      <c r="AT747" s="10">
        <f>AT724+IF(Timeline!AT246=1,AS816,0)</f>
        <v>0</v>
      </c>
      <c r="AU747" s="10">
        <f>AU724+IF(Timeline!AU246=1,AT816,0)</f>
        <v>0</v>
      </c>
      <c r="AV747" s="10">
        <f>AV724+IF(Timeline!AV246=1,AU816,0)</f>
        <v>0</v>
      </c>
      <c r="AW747" s="10">
        <f>AW724+IF(Timeline!AW246=1,AV816,0)</f>
        <v>0</v>
      </c>
      <c r="AX747" s="10">
        <f>AX724+IF(Timeline!AX246=1,AW816,0)</f>
        <v>0</v>
      </c>
      <c r="AY747" s="10">
        <f>AY724+IF(Timeline!AY246=1,AX816,0)</f>
        <v>0</v>
      </c>
      <c r="AZ747" s="10">
        <f>AZ724+IF(Timeline!AZ246=1,AY816,0)</f>
        <v>0</v>
      </c>
      <c r="BA747" s="10">
        <f>BA724+IF(Timeline!BA246=1,AZ816,0)</f>
        <v>0</v>
      </c>
      <c r="BB747" s="10">
        <f>BB724+IF(Timeline!BB246=1,BA816,0)</f>
        <v>0</v>
      </c>
      <c r="BC747" s="10">
        <f>BC724+IF(Timeline!BC246=1,BB816,0)</f>
        <v>0</v>
      </c>
      <c r="BD747" s="10">
        <f>BD724+IF(Timeline!BD246=1,BC816,0)</f>
        <v>0</v>
      </c>
      <c r="BE747" s="10">
        <f>BE724+IF(Timeline!BE246=1,BD816,0)</f>
        <v>0</v>
      </c>
      <c r="BF747" s="10">
        <f>BF724+IF(Timeline!BF246=1,BE816,0)</f>
        <v>0</v>
      </c>
      <c r="BG747" s="10">
        <f>BG724+IF(Timeline!BG246=1,BF816,0)</f>
        <v>0</v>
      </c>
      <c r="BH747" s="10">
        <f>BH724+IF(Timeline!BH246=1,BG816,0)</f>
        <v>0</v>
      </c>
      <c r="BI747" s="10">
        <f>BI724+IF(Timeline!BI246=1,BH816,0)</f>
        <v>0</v>
      </c>
      <c r="BJ747" s="10">
        <f>BJ724+IF(Timeline!BJ246=1,BI816,0)</f>
        <v>0</v>
      </c>
      <c r="BL747" s="136"/>
      <c r="BM747" s="13">
        <f t="shared" si="923"/>
        <v>0</v>
      </c>
      <c r="BN747" s="13">
        <f t="shared" si="924"/>
        <v>0</v>
      </c>
      <c r="BO747" s="13">
        <f t="shared" si="925"/>
        <v>0</v>
      </c>
      <c r="BP747" s="136"/>
      <c r="BQ747" s="136"/>
      <c r="BR747" s="136"/>
      <c r="BS747" s="136"/>
      <c r="BT747" s="136"/>
      <c r="BU747" s="136"/>
      <c r="BV747" s="136"/>
      <c r="BW747" s="136"/>
      <c r="BY747" s="12"/>
      <c r="BZ747" s="335"/>
      <c r="CA747" s="12"/>
      <c r="CB747" s="335"/>
      <c r="CC747" s="335"/>
      <c r="CD747" s="335"/>
      <c r="CE747" s="335"/>
      <c r="CJ747" s="162"/>
      <c r="CK747" s="162"/>
      <c r="CM747" s="335"/>
      <c r="CN747" s="335"/>
      <c r="CO747" s="335"/>
      <c r="CP747" s="335"/>
      <c r="CR747" s="12"/>
      <c r="CT747" s="335"/>
      <c r="CU747" s="335"/>
      <c r="EW747" s="335"/>
      <c r="EX747" s="10" t="str">
        <f t="shared" si="916"/>
        <v/>
      </c>
    </row>
    <row r="748" spans="1:154" s="67" customFormat="1" x14ac:dyDescent="0.25">
      <c r="A748" s="162"/>
      <c r="B748" s="84" t="str" cm="1">
        <f t="array" aca="1" ref="B748" ca="1">HYPERLINK(CONCATENATE("#",CELL("address",$D$351)),$D$351)</f>
        <v>Loan 17</v>
      </c>
      <c r="C748" s="380"/>
      <c r="D748" s="221">
        <f>D$29</f>
        <v>0</v>
      </c>
      <c r="E748" s="60">
        <f>E$29</f>
        <v>0</v>
      </c>
      <c r="F748" s="335"/>
      <c r="H748" s="50" t="s">
        <v>125</v>
      </c>
      <c r="S748" s="335"/>
      <c r="T748" s="335"/>
      <c r="U748" s="335"/>
      <c r="V748" s="136"/>
      <c r="W748" s="215">
        <f t="shared" si="922"/>
        <v>0</v>
      </c>
      <c r="X748" s="215">
        <f t="shared" si="922"/>
        <v>0</v>
      </c>
      <c r="Y748" s="215">
        <f t="shared" si="922"/>
        <v>0</v>
      </c>
      <c r="AA748" s="10">
        <f>AA725+IF(Timeline!AA247=1,Z817,0)</f>
        <v>0</v>
      </c>
      <c r="AB748" s="10">
        <f>AB725+IF(Timeline!AB247=1,AA817,0)</f>
        <v>0</v>
      </c>
      <c r="AC748" s="10">
        <f>AC725+IF(Timeline!AC247=1,AB817,0)</f>
        <v>0</v>
      </c>
      <c r="AD748" s="10">
        <f>AD725+IF(Timeline!AD247=1,AC817,0)</f>
        <v>0</v>
      </c>
      <c r="AE748" s="10">
        <f>AE725+IF(Timeline!AE247=1,AD817,0)</f>
        <v>0</v>
      </c>
      <c r="AF748" s="10">
        <f>AF725+IF(Timeline!AF247=1,AE817,0)</f>
        <v>0</v>
      </c>
      <c r="AG748" s="10">
        <f>AG725+IF(Timeline!AG247=1,AF817,0)</f>
        <v>0</v>
      </c>
      <c r="AH748" s="10">
        <f>AH725+IF(Timeline!AH247=1,AG817,0)</f>
        <v>0</v>
      </c>
      <c r="AI748" s="10">
        <f>AI725+IF(Timeline!AI247=1,AH817,0)</f>
        <v>0</v>
      </c>
      <c r="AJ748" s="10">
        <f>AJ725+IF(Timeline!AJ247=1,AI817,0)</f>
        <v>0</v>
      </c>
      <c r="AK748" s="10">
        <f>AK725+IF(Timeline!AK247=1,AJ817,0)</f>
        <v>0</v>
      </c>
      <c r="AL748" s="10">
        <f>AL725+IF(Timeline!AL247=1,AK817,0)</f>
        <v>0</v>
      </c>
      <c r="AM748" s="10">
        <f>AM725+IF(Timeline!AM247=1,AL817,0)</f>
        <v>0</v>
      </c>
      <c r="AN748" s="10">
        <f>AN725+IF(Timeline!AN247=1,AM817,0)</f>
        <v>0</v>
      </c>
      <c r="AO748" s="10">
        <f>AO725+IF(Timeline!AO247=1,AN817,0)</f>
        <v>0</v>
      </c>
      <c r="AP748" s="10">
        <f>AP725+IF(Timeline!AP247=1,AO817,0)</f>
        <v>0</v>
      </c>
      <c r="AQ748" s="10">
        <f>AQ725+IF(Timeline!AQ247=1,AP817,0)</f>
        <v>0</v>
      </c>
      <c r="AR748" s="10">
        <f>AR725+IF(Timeline!AR247=1,AQ817,0)</f>
        <v>0</v>
      </c>
      <c r="AS748" s="10">
        <f>AS725+IF(Timeline!AS247=1,AR817,0)</f>
        <v>0</v>
      </c>
      <c r="AT748" s="10">
        <f>AT725+IF(Timeline!AT247=1,AS817,0)</f>
        <v>0</v>
      </c>
      <c r="AU748" s="10">
        <f>AU725+IF(Timeline!AU247=1,AT817,0)</f>
        <v>0</v>
      </c>
      <c r="AV748" s="10">
        <f>AV725+IF(Timeline!AV247=1,AU817,0)</f>
        <v>0</v>
      </c>
      <c r="AW748" s="10">
        <f>AW725+IF(Timeline!AW247=1,AV817,0)</f>
        <v>0</v>
      </c>
      <c r="AX748" s="10">
        <f>AX725+IF(Timeline!AX247=1,AW817,0)</f>
        <v>0</v>
      </c>
      <c r="AY748" s="10">
        <f>AY725+IF(Timeline!AY247=1,AX817,0)</f>
        <v>0</v>
      </c>
      <c r="AZ748" s="10">
        <f>AZ725+IF(Timeline!AZ247=1,AY817,0)</f>
        <v>0</v>
      </c>
      <c r="BA748" s="10">
        <f>BA725+IF(Timeline!BA247=1,AZ817,0)</f>
        <v>0</v>
      </c>
      <c r="BB748" s="10">
        <f>BB725+IF(Timeline!BB247=1,BA817,0)</f>
        <v>0</v>
      </c>
      <c r="BC748" s="10">
        <f>BC725+IF(Timeline!BC247=1,BB817,0)</f>
        <v>0</v>
      </c>
      <c r="BD748" s="10">
        <f>BD725+IF(Timeline!BD247=1,BC817,0)</f>
        <v>0</v>
      </c>
      <c r="BE748" s="10">
        <f>BE725+IF(Timeline!BE247=1,BD817,0)</f>
        <v>0</v>
      </c>
      <c r="BF748" s="10">
        <f>BF725+IF(Timeline!BF247=1,BE817,0)</f>
        <v>0</v>
      </c>
      <c r="BG748" s="10">
        <f>BG725+IF(Timeline!BG247=1,BF817,0)</f>
        <v>0</v>
      </c>
      <c r="BH748" s="10">
        <f>BH725+IF(Timeline!BH247=1,BG817,0)</f>
        <v>0</v>
      </c>
      <c r="BI748" s="10">
        <f>BI725+IF(Timeline!BI247=1,BH817,0)</f>
        <v>0</v>
      </c>
      <c r="BJ748" s="10">
        <f>BJ725+IF(Timeline!BJ247=1,BI817,0)</f>
        <v>0</v>
      </c>
      <c r="BL748" s="136"/>
      <c r="BM748" s="13">
        <f t="shared" si="923"/>
        <v>0</v>
      </c>
      <c r="BN748" s="13">
        <f t="shared" si="924"/>
        <v>0</v>
      </c>
      <c r="BO748" s="13">
        <f t="shared" si="925"/>
        <v>0</v>
      </c>
      <c r="BP748" s="136"/>
      <c r="BQ748" s="136"/>
      <c r="BR748" s="136"/>
      <c r="BS748" s="136"/>
      <c r="BT748" s="136"/>
      <c r="BU748" s="136"/>
      <c r="BV748" s="136"/>
      <c r="BW748" s="136"/>
      <c r="BY748" s="12"/>
      <c r="BZ748" s="335"/>
      <c r="CA748" s="12"/>
      <c r="CB748" s="335"/>
      <c r="CC748" s="335"/>
      <c r="CD748" s="335"/>
      <c r="CE748" s="335"/>
      <c r="CJ748" s="162"/>
      <c r="CK748" s="162"/>
      <c r="CM748" s="335"/>
      <c r="CN748" s="335"/>
      <c r="CO748" s="335"/>
      <c r="CP748" s="335"/>
      <c r="CR748" s="12"/>
      <c r="CT748" s="335"/>
      <c r="CU748" s="335"/>
      <c r="EW748" s="335"/>
      <c r="EX748" s="10" t="str">
        <f t="shared" si="916"/>
        <v/>
      </c>
    </row>
    <row r="749" spans="1:154" s="67" customFormat="1" x14ac:dyDescent="0.25">
      <c r="A749" s="162"/>
      <c r="B749" s="84" t="str" cm="1">
        <f t="array" aca="1" ref="B749" ca="1">HYPERLINK(CONCATENATE("#",CELL("address",$D$370)),$D$370)</f>
        <v>Loan 18</v>
      </c>
      <c r="C749" s="380"/>
      <c r="D749" s="221">
        <f>D$30</f>
        <v>0</v>
      </c>
      <c r="E749" s="60">
        <f>E$30</f>
        <v>0</v>
      </c>
      <c r="F749" s="335"/>
      <c r="H749" s="50" t="s">
        <v>125</v>
      </c>
      <c r="S749" s="335"/>
      <c r="T749" s="335"/>
      <c r="U749" s="335"/>
      <c r="V749" s="136"/>
      <c r="W749" s="215">
        <f t="shared" si="922"/>
        <v>0</v>
      </c>
      <c r="X749" s="215">
        <f t="shared" si="922"/>
        <v>0</v>
      </c>
      <c r="Y749" s="215">
        <f t="shared" si="922"/>
        <v>0</v>
      </c>
      <c r="AA749" s="10">
        <f>AA726+IF(Timeline!AA248=1,Z818,0)</f>
        <v>0</v>
      </c>
      <c r="AB749" s="10">
        <f>AB726+IF(Timeline!AB248=1,AA818,0)</f>
        <v>0</v>
      </c>
      <c r="AC749" s="10">
        <f>AC726+IF(Timeline!AC248=1,AB818,0)</f>
        <v>0</v>
      </c>
      <c r="AD749" s="10">
        <f>AD726+IF(Timeline!AD248=1,AC818,0)</f>
        <v>0</v>
      </c>
      <c r="AE749" s="10">
        <f>AE726+IF(Timeline!AE248=1,AD818,0)</f>
        <v>0</v>
      </c>
      <c r="AF749" s="10">
        <f>AF726+IF(Timeline!AF248=1,AE818,0)</f>
        <v>0</v>
      </c>
      <c r="AG749" s="10">
        <f>AG726+IF(Timeline!AG248=1,AF818,0)</f>
        <v>0</v>
      </c>
      <c r="AH749" s="10">
        <f>AH726+IF(Timeline!AH248=1,AG818,0)</f>
        <v>0</v>
      </c>
      <c r="AI749" s="10">
        <f>AI726+IF(Timeline!AI248=1,AH818,0)</f>
        <v>0</v>
      </c>
      <c r="AJ749" s="10">
        <f>AJ726+IF(Timeline!AJ248=1,AI818,0)</f>
        <v>0</v>
      </c>
      <c r="AK749" s="10">
        <f>AK726+IF(Timeline!AK248=1,AJ818,0)</f>
        <v>0</v>
      </c>
      <c r="AL749" s="10">
        <f>AL726+IF(Timeline!AL248=1,AK818,0)</f>
        <v>0</v>
      </c>
      <c r="AM749" s="10">
        <f>AM726+IF(Timeline!AM248=1,AL818,0)</f>
        <v>0</v>
      </c>
      <c r="AN749" s="10">
        <f>AN726+IF(Timeline!AN248=1,AM818,0)</f>
        <v>0</v>
      </c>
      <c r="AO749" s="10">
        <f>AO726+IF(Timeline!AO248=1,AN818,0)</f>
        <v>0</v>
      </c>
      <c r="AP749" s="10">
        <f>AP726+IF(Timeline!AP248=1,AO818,0)</f>
        <v>0</v>
      </c>
      <c r="AQ749" s="10">
        <f>AQ726+IF(Timeline!AQ248=1,AP818,0)</f>
        <v>0</v>
      </c>
      <c r="AR749" s="10">
        <f>AR726+IF(Timeline!AR248=1,AQ818,0)</f>
        <v>0</v>
      </c>
      <c r="AS749" s="10">
        <f>AS726+IF(Timeline!AS248=1,AR818,0)</f>
        <v>0</v>
      </c>
      <c r="AT749" s="10">
        <f>AT726+IF(Timeline!AT248=1,AS818,0)</f>
        <v>0</v>
      </c>
      <c r="AU749" s="10">
        <f>AU726+IF(Timeline!AU248=1,AT818,0)</f>
        <v>0</v>
      </c>
      <c r="AV749" s="10">
        <f>AV726+IF(Timeline!AV248=1,AU818,0)</f>
        <v>0</v>
      </c>
      <c r="AW749" s="10">
        <f>AW726+IF(Timeline!AW248=1,AV818,0)</f>
        <v>0</v>
      </c>
      <c r="AX749" s="10">
        <f>AX726+IF(Timeline!AX248=1,AW818,0)</f>
        <v>0</v>
      </c>
      <c r="AY749" s="10">
        <f>AY726+IF(Timeline!AY248=1,AX818,0)</f>
        <v>0</v>
      </c>
      <c r="AZ749" s="10">
        <f>AZ726+IF(Timeline!AZ248=1,AY818,0)</f>
        <v>0</v>
      </c>
      <c r="BA749" s="10">
        <f>BA726+IF(Timeline!BA248=1,AZ818,0)</f>
        <v>0</v>
      </c>
      <c r="BB749" s="10">
        <f>BB726+IF(Timeline!BB248=1,BA818,0)</f>
        <v>0</v>
      </c>
      <c r="BC749" s="10">
        <f>BC726+IF(Timeline!BC248=1,BB818,0)</f>
        <v>0</v>
      </c>
      <c r="BD749" s="10">
        <f>BD726+IF(Timeline!BD248=1,BC818,0)</f>
        <v>0</v>
      </c>
      <c r="BE749" s="10">
        <f>BE726+IF(Timeline!BE248=1,BD818,0)</f>
        <v>0</v>
      </c>
      <c r="BF749" s="10">
        <f>BF726+IF(Timeline!BF248=1,BE818,0)</f>
        <v>0</v>
      </c>
      <c r="BG749" s="10">
        <f>BG726+IF(Timeline!BG248=1,BF818,0)</f>
        <v>0</v>
      </c>
      <c r="BH749" s="10">
        <f>BH726+IF(Timeline!BH248=1,BG818,0)</f>
        <v>0</v>
      </c>
      <c r="BI749" s="10">
        <f>BI726+IF(Timeline!BI248=1,BH818,0)</f>
        <v>0</v>
      </c>
      <c r="BJ749" s="10">
        <f>BJ726+IF(Timeline!BJ248=1,BI818,0)</f>
        <v>0</v>
      </c>
      <c r="BL749" s="136"/>
      <c r="BM749" s="13">
        <f t="shared" si="923"/>
        <v>0</v>
      </c>
      <c r="BN749" s="13">
        <f t="shared" si="924"/>
        <v>0</v>
      </c>
      <c r="BO749" s="13">
        <f t="shared" si="925"/>
        <v>0</v>
      </c>
      <c r="BP749" s="136"/>
      <c r="BQ749" s="136"/>
      <c r="BR749" s="136"/>
      <c r="BS749" s="136"/>
      <c r="BT749" s="136"/>
      <c r="BU749" s="136"/>
      <c r="BV749" s="136"/>
      <c r="BW749" s="136"/>
      <c r="BY749" s="12"/>
      <c r="BZ749" s="335"/>
      <c r="CA749" s="12"/>
      <c r="CB749" s="335"/>
      <c r="CC749" s="335"/>
      <c r="CD749" s="335"/>
      <c r="CE749" s="335"/>
      <c r="CJ749" s="162"/>
      <c r="CK749" s="162"/>
      <c r="CM749" s="335"/>
      <c r="CN749" s="335"/>
      <c r="CO749" s="335"/>
      <c r="CP749" s="335"/>
      <c r="CR749" s="12"/>
      <c r="CT749" s="335"/>
      <c r="CU749" s="335"/>
      <c r="EW749" s="335"/>
      <c r="EX749" s="10" t="str">
        <f t="shared" si="916"/>
        <v/>
      </c>
    </row>
    <row r="750" spans="1:154" s="67" customFormat="1" x14ac:dyDescent="0.25">
      <c r="A750" s="162"/>
      <c r="B750" s="84" t="str" cm="1">
        <f t="array" aca="1" ref="B750" ca="1">HYPERLINK(CONCATENATE("#",CELL("address",$D$389)),$D$389)</f>
        <v>Loan 19</v>
      </c>
      <c r="C750" s="380"/>
      <c r="D750" s="221">
        <f>D$31</f>
        <v>0</v>
      </c>
      <c r="E750" s="60">
        <f>E$31</f>
        <v>0</v>
      </c>
      <c r="F750" s="335"/>
      <c r="H750" s="50" t="s">
        <v>125</v>
      </c>
      <c r="S750" s="335"/>
      <c r="T750" s="335"/>
      <c r="U750" s="335"/>
      <c r="V750" s="136"/>
      <c r="W750" s="215">
        <f t="shared" si="922"/>
        <v>0</v>
      </c>
      <c r="X750" s="215">
        <f t="shared" si="922"/>
        <v>0</v>
      </c>
      <c r="Y750" s="215">
        <f t="shared" si="922"/>
        <v>0</v>
      </c>
      <c r="AA750" s="10">
        <f>AA727+IF(Timeline!AA249=1,Z819,0)</f>
        <v>0</v>
      </c>
      <c r="AB750" s="10">
        <f>AB727+IF(Timeline!AB249=1,AA819,0)</f>
        <v>0</v>
      </c>
      <c r="AC750" s="10">
        <f>AC727+IF(Timeline!AC249=1,AB819,0)</f>
        <v>0</v>
      </c>
      <c r="AD750" s="10">
        <f>AD727+IF(Timeline!AD249=1,AC819,0)</f>
        <v>0</v>
      </c>
      <c r="AE750" s="10">
        <f>AE727+IF(Timeline!AE249=1,AD819,0)</f>
        <v>0</v>
      </c>
      <c r="AF750" s="10">
        <f>AF727+IF(Timeline!AF249=1,AE819,0)</f>
        <v>0</v>
      </c>
      <c r="AG750" s="10">
        <f>AG727+IF(Timeline!AG249=1,AF819,0)</f>
        <v>0</v>
      </c>
      <c r="AH750" s="10">
        <f>AH727+IF(Timeline!AH249=1,AG819,0)</f>
        <v>0</v>
      </c>
      <c r="AI750" s="10">
        <f>AI727+IF(Timeline!AI249=1,AH819,0)</f>
        <v>0</v>
      </c>
      <c r="AJ750" s="10">
        <f>AJ727+IF(Timeline!AJ249=1,AI819,0)</f>
        <v>0</v>
      </c>
      <c r="AK750" s="10">
        <f>AK727+IF(Timeline!AK249=1,AJ819,0)</f>
        <v>0</v>
      </c>
      <c r="AL750" s="10">
        <f>AL727+IF(Timeline!AL249=1,AK819,0)</f>
        <v>0</v>
      </c>
      <c r="AM750" s="10">
        <f>AM727+IF(Timeline!AM249=1,AL819,0)</f>
        <v>0</v>
      </c>
      <c r="AN750" s="10">
        <f>AN727+IF(Timeline!AN249=1,AM819,0)</f>
        <v>0</v>
      </c>
      <c r="AO750" s="10">
        <f>AO727+IF(Timeline!AO249=1,AN819,0)</f>
        <v>0</v>
      </c>
      <c r="AP750" s="10">
        <f>AP727+IF(Timeline!AP249=1,AO819,0)</f>
        <v>0</v>
      </c>
      <c r="AQ750" s="10">
        <f>AQ727+IF(Timeline!AQ249=1,AP819,0)</f>
        <v>0</v>
      </c>
      <c r="AR750" s="10">
        <f>AR727+IF(Timeline!AR249=1,AQ819,0)</f>
        <v>0</v>
      </c>
      <c r="AS750" s="10">
        <f>AS727+IF(Timeline!AS249=1,AR819,0)</f>
        <v>0</v>
      </c>
      <c r="AT750" s="10">
        <f>AT727+IF(Timeline!AT249=1,AS819,0)</f>
        <v>0</v>
      </c>
      <c r="AU750" s="10">
        <f>AU727+IF(Timeline!AU249=1,AT819,0)</f>
        <v>0</v>
      </c>
      <c r="AV750" s="10">
        <f>AV727+IF(Timeline!AV249=1,AU819,0)</f>
        <v>0</v>
      </c>
      <c r="AW750" s="10">
        <f>AW727+IF(Timeline!AW249=1,AV819,0)</f>
        <v>0</v>
      </c>
      <c r="AX750" s="10">
        <f>AX727+IF(Timeline!AX249=1,AW819,0)</f>
        <v>0</v>
      </c>
      <c r="AY750" s="10">
        <f>AY727+IF(Timeline!AY249=1,AX819,0)</f>
        <v>0</v>
      </c>
      <c r="AZ750" s="10">
        <f>AZ727+IF(Timeline!AZ249=1,AY819,0)</f>
        <v>0</v>
      </c>
      <c r="BA750" s="10">
        <f>BA727+IF(Timeline!BA249=1,AZ819,0)</f>
        <v>0</v>
      </c>
      <c r="BB750" s="10">
        <f>BB727+IF(Timeline!BB249=1,BA819,0)</f>
        <v>0</v>
      </c>
      <c r="BC750" s="10">
        <f>BC727+IF(Timeline!BC249=1,BB819,0)</f>
        <v>0</v>
      </c>
      <c r="BD750" s="10">
        <f>BD727+IF(Timeline!BD249=1,BC819,0)</f>
        <v>0</v>
      </c>
      <c r="BE750" s="10">
        <f>BE727+IF(Timeline!BE249=1,BD819,0)</f>
        <v>0</v>
      </c>
      <c r="BF750" s="10">
        <f>BF727+IF(Timeline!BF249=1,BE819,0)</f>
        <v>0</v>
      </c>
      <c r="BG750" s="10">
        <f>BG727+IF(Timeline!BG249=1,BF819,0)</f>
        <v>0</v>
      </c>
      <c r="BH750" s="10">
        <f>BH727+IF(Timeline!BH249=1,BG819,0)</f>
        <v>0</v>
      </c>
      <c r="BI750" s="10">
        <f>BI727+IF(Timeline!BI249=1,BH819,0)</f>
        <v>0</v>
      </c>
      <c r="BJ750" s="10">
        <f>BJ727+IF(Timeline!BJ249=1,BI819,0)</f>
        <v>0</v>
      </c>
      <c r="BL750" s="136"/>
      <c r="BM750" s="13">
        <f t="shared" si="923"/>
        <v>0</v>
      </c>
      <c r="BN750" s="13">
        <f t="shared" si="924"/>
        <v>0</v>
      </c>
      <c r="BO750" s="13">
        <f t="shared" si="925"/>
        <v>0</v>
      </c>
      <c r="BP750" s="136"/>
      <c r="BQ750" s="136"/>
      <c r="BR750" s="136"/>
      <c r="BS750" s="136"/>
      <c r="BT750" s="136"/>
      <c r="BU750" s="136"/>
      <c r="BV750" s="136"/>
      <c r="BW750" s="136"/>
      <c r="BY750" s="12"/>
      <c r="BZ750" s="335"/>
      <c r="CA750" s="12"/>
      <c r="CB750" s="335"/>
      <c r="CC750" s="335"/>
      <c r="CD750" s="335"/>
      <c r="CE750" s="335"/>
      <c r="CJ750" s="162"/>
      <c r="CK750" s="162"/>
      <c r="CM750" s="335"/>
      <c r="CN750" s="335"/>
      <c r="CO750" s="335"/>
      <c r="CP750" s="335"/>
      <c r="CR750" s="12"/>
      <c r="CT750" s="335"/>
      <c r="CU750" s="335"/>
      <c r="EW750" s="335"/>
      <c r="EX750" s="10" t="str">
        <f t="shared" si="916"/>
        <v/>
      </c>
    </row>
    <row r="751" spans="1:154" s="67" customFormat="1" x14ac:dyDescent="0.25">
      <c r="A751" s="162"/>
      <c r="B751" s="84" t="str" cm="1">
        <f t="array" aca="1" ref="B751" ca="1">HYPERLINK(CONCATENATE("#",CELL("address",$D$408)),$D$408)</f>
        <v>Loan 20</v>
      </c>
      <c r="C751" s="380"/>
      <c r="D751" s="221">
        <f>D$32</f>
        <v>0</v>
      </c>
      <c r="E751" s="60">
        <f>E$32</f>
        <v>0</v>
      </c>
      <c r="F751" s="335"/>
      <c r="H751" s="50" t="s">
        <v>125</v>
      </c>
      <c r="S751" s="335"/>
      <c r="T751" s="335"/>
      <c r="U751" s="335"/>
      <c r="V751" s="136"/>
      <c r="W751" s="215">
        <f t="shared" si="922"/>
        <v>0</v>
      </c>
      <c r="X751" s="215">
        <f t="shared" si="922"/>
        <v>0</v>
      </c>
      <c r="Y751" s="215">
        <f t="shared" si="922"/>
        <v>0</v>
      </c>
      <c r="AA751" s="10">
        <f>AA728+IF(Timeline!AA250=1,Z820,0)</f>
        <v>0</v>
      </c>
      <c r="AB751" s="10">
        <f>AB728+IF(Timeline!AB250=1,AA820,0)</f>
        <v>0</v>
      </c>
      <c r="AC751" s="10">
        <f>AC728+IF(Timeline!AC250=1,AB820,0)</f>
        <v>0</v>
      </c>
      <c r="AD751" s="10">
        <f>AD728+IF(Timeline!AD250=1,AC820,0)</f>
        <v>0</v>
      </c>
      <c r="AE751" s="10">
        <f>AE728+IF(Timeline!AE250=1,AD820,0)</f>
        <v>0</v>
      </c>
      <c r="AF751" s="10">
        <f>AF728+IF(Timeline!AF250=1,AE820,0)</f>
        <v>0</v>
      </c>
      <c r="AG751" s="10">
        <f>AG728+IF(Timeline!AG250=1,AF820,0)</f>
        <v>0</v>
      </c>
      <c r="AH751" s="10">
        <f>AH728+IF(Timeline!AH250=1,AG820,0)</f>
        <v>0</v>
      </c>
      <c r="AI751" s="10">
        <f>AI728+IF(Timeline!AI250=1,AH820,0)</f>
        <v>0</v>
      </c>
      <c r="AJ751" s="10">
        <f>AJ728+IF(Timeline!AJ250=1,AI820,0)</f>
        <v>0</v>
      </c>
      <c r="AK751" s="10">
        <f>AK728+IF(Timeline!AK250=1,AJ820,0)</f>
        <v>0</v>
      </c>
      <c r="AL751" s="10">
        <f>AL728+IF(Timeline!AL250=1,AK820,0)</f>
        <v>0</v>
      </c>
      <c r="AM751" s="10">
        <f>AM728+IF(Timeline!AM250=1,AL820,0)</f>
        <v>0</v>
      </c>
      <c r="AN751" s="10">
        <f>AN728+IF(Timeline!AN250=1,AM820,0)</f>
        <v>0</v>
      </c>
      <c r="AO751" s="10">
        <f>AO728+IF(Timeline!AO250=1,AN820,0)</f>
        <v>0</v>
      </c>
      <c r="AP751" s="10">
        <f>AP728+IF(Timeline!AP250=1,AO820,0)</f>
        <v>0</v>
      </c>
      <c r="AQ751" s="10">
        <f>AQ728+IF(Timeline!AQ250=1,AP820,0)</f>
        <v>0</v>
      </c>
      <c r="AR751" s="10">
        <f>AR728+IF(Timeline!AR250=1,AQ820,0)</f>
        <v>0</v>
      </c>
      <c r="AS751" s="10">
        <f>AS728+IF(Timeline!AS250=1,AR820,0)</f>
        <v>0</v>
      </c>
      <c r="AT751" s="10">
        <f>AT728+IF(Timeline!AT250=1,AS820,0)</f>
        <v>0</v>
      </c>
      <c r="AU751" s="10">
        <f>AU728+IF(Timeline!AU250=1,AT820,0)</f>
        <v>0</v>
      </c>
      <c r="AV751" s="10">
        <f>AV728+IF(Timeline!AV250=1,AU820,0)</f>
        <v>0</v>
      </c>
      <c r="AW751" s="10">
        <f>AW728+IF(Timeline!AW250=1,AV820,0)</f>
        <v>0</v>
      </c>
      <c r="AX751" s="10">
        <f>AX728+IF(Timeline!AX250=1,AW820,0)</f>
        <v>0</v>
      </c>
      <c r="AY751" s="10">
        <f>AY728+IF(Timeline!AY250=1,AX820,0)</f>
        <v>0</v>
      </c>
      <c r="AZ751" s="10">
        <f>AZ728+IF(Timeline!AZ250=1,AY820,0)</f>
        <v>0</v>
      </c>
      <c r="BA751" s="10">
        <f>BA728+IF(Timeline!BA250=1,AZ820,0)</f>
        <v>0</v>
      </c>
      <c r="BB751" s="10">
        <f>BB728+IF(Timeline!BB250=1,BA820,0)</f>
        <v>0</v>
      </c>
      <c r="BC751" s="10">
        <f>BC728+IF(Timeline!BC250=1,BB820,0)</f>
        <v>0</v>
      </c>
      <c r="BD751" s="10">
        <f>BD728+IF(Timeline!BD250=1,BC820,0)</f>
        <v>0</v>
      </c>
      <c r="BE751" s="10">
        <f>BE728+IF(Timeline!BE250=1,BD820,0)</f>
        <v>0</v>
      </c>
      <c r="BF751" s="10">
        <f>BF728+IF(Timeline!BF250=1,BE820,0)</f>
        <v>0</v>
      </c>
      <c r="BG751" s="10">
        <f>BG728+IF(Timeline!BG250=1,BF820,0)</f>
        <v>0</v>
      </c>
      <c r="BH751" s="10">
        <f>BH728+IF(Timeline!BH250=1,BG820,0)</f>
        <v>0</v>
      </c>
      <c r="BI751" s="10">
        <f>BI728+IF(Timeline!BI250=1,BH820,0)</f>
        <v>0</v>
      </c>
      <c r="BJ751" s="10">
        <f>BJ728+IF(Timeline!BJ250=1,BI820,0)</f>
        <v>0</v>
      </c>
      <c r="BL751" s="136"/>
      <c r="BM751" s="13">
        <f t="shared" si="923"/>
        <v>0</v>
      </c>
      <c r="BN751" s="13">
        <f t="shared" si="924"/>
        <v>0</v>
      </c>
      <c r="BO751" s="13">
        <f t="shared" si="925"/>
        <v>0</v>
      </c>
      <c r="BP751" s="136"/>
      <c r="BQ751" s="136"/>
      <c r="BR751" s="136"/>
      <c r="BS751" s="136"/>
      <c r="BT751" s="136"/>
      <c r="BU751" s="136"/>
      <c r="BV751" s="136"/>
      <c r="BW751" s="136"/>
      <c r="BY751" s="12"/>
      <c r="BZ751" s="335"/>
      <c r="CA751" s="12"/>
      <c r="CB751" s="335"/>
      <c r="CC751" s="335"/>
      <c r="CD751" s="335"/>
      <c r="CE751" s="335"/>
      <c r="CJ751" s="162"/>
      <c r="CK751" s="162"/>
      <c r="CM751" s="335"/>
      <c r="CN751" s="335"/>
      <c r="CO751" s="335"/>
      <c r="CP751" s="335"/>
      <c r="CR751" s="12"/>
      <c r="CT751" s="335"/>
      <c r="CU751" s="335"/>
      <c r="EW751" s="335"/>
      <c r="EX751" s="10" t="str">
        <f t="shared" si="916"/>
        <v/>
      </c>
    </row>
    <row r="752" spans="1:154" ht="6.6" customHeight="1" x14ac:dyDescent="0.25">
      <c r="A752" s="162"/>
      <c r="C752" s="380"/>
      <c r="D752" s="1"/>
      <c r="E752" s="11"/>
      <c r="F752" s="67"/>
      <c r="S752" s="335"/>
      <c r="T752" s="335"/>
      <c r="U752" s="335"/>
      <c r="BM752" s="6"/>
      <c r="BY752" s="42"/>
      <c r="CA752" s="42"/>
      <c r="CJ752" s="162"/>
      <c r="CK752" s="67"/>
      <c r="CR752" s="42"/>
      <c r="EX752" s="10" t="str">
        <f t="shared" si="916"/>
        <v/>
      </c>
    </row>
    <row r="753" spans="1:154" x14ac:dyDescent="0.25">
      <c r="C753" s="380"/>
      <c r="D753" s="61" t="s">
        <v>870</v>
      </c>
      <c r="E753" s="11"/>
      <c r="F753" s="67"/>
      <c r="S753" s="335"/>
      <c r="T753" s="335"/>
      <c r="U753" s="335"/>
      <c r="AT753" s="331"/>
      <c r="AU753" s="331"/>
      <c r="BY753" s="12"/>
      <c r="CA753" s="12"/>
      <c r="CJ753" s="162"/>
      <c r="CK753" s="67"/>
      <c r="CR753" s="12"/>
      <c r="EX753" s="10" t="str">
        <f t="shared" si="916"/>
        <v/>
      </c>
    </row>
    <row r="754" spans="1:154" ht="30" x14ac:dyDescent="0.25">
      <c r="B754" s="138" t="s">
        <v>551</v>
      </c>
      <c r="C754" s="380"/>
      <c r="D754" s="138" t="str">
        <f>D$11</f>
        <v>Lender</v>
      </c>
      <c r="E754" s="74" t="str">
        <f>E$11</f>
        <v>Loan Category</v>
      </c>
      <c r="F754" s="168"/>
      <c r="G754" s="67"/>
      <c r="S754" s="335"/>
      <c r="T754" s="335"/>
      <c r="U754" s="335"/>
      <c r="V754"/>
      <c r="W754"/>
      <c r="X754"/>
      <c r="Y754"/>
      <c r="AA754" s="170" t="s">
        <v>335</v>
      </c>
      <c r="AT754" s="329"/>
      <c r="AU754" s="329"/>
      <c r="AV754" s="329"/>
      <c r="AW754" s="329"/>
      <c r="AX754" s="329"/>
      <c r="AY754" s="329"/>
      <c r="AZ754" s="329"/>
      <c r="BA754" s="329"/>
      <c r="BB754" s="329"/>
      <c r="BC754" s="329"/>
      <c r="BD754" s="329"/>
      <c r="BE754" s="329"/>
      <c r="BF754" s="329"/>
      <c r="BG754" s="329"/>
      <c r="BH754" s="329"/>
      <c r="BI754" s="329"/>
      <c r="BJ754" s="329"/>
      <c r="BY754" s="12"/>
      <c r="CA754" s="12"/>
      <c r="CJ754" s="162"/>
      <c r="CR754" s="12"/>
      <c r="EX754" s="10" t="str">
        <f t="shared" si="916"/>
        <v/>
      </c>
    </row>
    <row r="755" spans="1:154" x14ac:dyDescent="0.25">
      <c r="A755" s="67"/>
      <c r="B755" s="84" t="str" cm="1">
        <f t="array" aca="1" ref="B755" ca="1">HYPERLINK(CONCATENATE("#",CELL("address",$D$47)),$D$47)</f>
        <v>Loan 1</v>
      </c>
      <c r="C755" s="380"/>
      <c r="D755" s="221" t="str">
        <f>D$13</f>
        <v>NatWest</v>
      </c>
      <c r="E755" s="60" t="str">
        <f>E$13</f>
        <v xml:space="preserve">Commercial </v>
      </c>
      <c r="F755" s="67"/>
      <c r="G755" s="67"/>
      <c r="H755" s="50" t="s">
        <v>157</v>
      </c>
      <c r="I755" s="65"/>
      <c r="S755" s="335"/>
      <c r="T755" s="335"/>
      <c r="U755" s="335"/>
      <c r="V755" s="13">
        <f t="shared" ref="V755:V774" si="926">V569</f>
        <v>0</v>
      </c>
      <c r="W755" s="215">
        <f t="shared" ref="W755:Y774" si="927" xml:space="preserve"> SUMIFS($AA755:$BJ755, $AA$3:$BJ$3, W$3)</f>
        <v>0</v>
      </c>
      <c r="X755" s="215">
        <f t="shared" si="927"/>
        <v>0</v>
      </c>
      <c r="Y755" s="215">
        <f t="shared" si="927"/>
        <v>0</v>
      </c>
      <c r="Z755" s="329"/>
      <c r="AA755" s="10">
        <f t="shared" ref="AA755:BJ755" si="928">IF(AA$4=0, AA569, 0-(Z801+AA686))</f>
        <v>0</v>
      </c>
      <c r="AB755" s="10">
        <f t="shared" si="928"/>
        <v>0</v>
      </c>
      <c r="AC755" s="10">
        <f t="shared" si="928"/>
        <v>0</v>
      </c>
      <c r="AD755" s="10">
        <f t="shared" si="928"/>
        <v>0</v>
      </c>
      <c r="AE755" s="10">
        <f t="shared" si="928"/>
        <v>0</v>
      </c>
      <c r="AF755" s="10">
        <f t="shared" si="928"/>
        <v>0</v>
      </c>
      <c r="AG755" s="10">
        <f t="shared" si="928"/>
        <v>0</v>
      </c>
      <c r="AH755" s="10">
        <f t="shared" si="928"/>
        <v>0</v>
      </c>
      <c r="AI755" s="10">
        <f t="shared" si="928"/>
        <v>0</v>
      </c>
      <c r="AJ755" s="10">
        <f t="shared" si="928"/>
        <v>0</v>
      </c>
      <c r="AK755" s="10">
        <f t="shared" si="928"/>
        <v>0</v>
      </c>
      <c r="AL755" s="10">
        <f t="shared" si="928"/>
        <v>0</v>
      </c>
      <c r="AM755" s="10">
        <f t="shared" si="928"/>
        <v>0</v>
      </c>
      <c r="AN755" s="10">
        <f t="shared" si="928"/>
        <v>0</v>
      </c>
      <c r="AO755" s="10">
        <f t="shared" si="928"/>
        <v>0</v>
      </c>
      <c r="AP755" s="10">
        <f t="shared" si="928"/>
        <v>0</v>
      </c>
      <c r="AQ755" s="10">
        <f t="shared" si="928"/>
        <v>0</v>
      </c>
      <c r="AR755" s="10">
        <f t="shared" si="928"/>
        <v>0</v>
      </c>
      <c r="AS755" s="10">
        <f t="shared" si="928"/>
        <v>0</v>
      </c>
      <c r="AT755" s="10">
        <f t="shared" si="928"/>
        <v>0</v>
      </c>
      <c r="AU755" s="10">
        <f t="shared" si="928"/>
        <v>0</v>
      </c>
      <c r="AV755" s="10">
        <f t="shared" si="928"/>
        <v>0</v>
      </c>
      <c r="AW755" s="10">
        <f t="shared" si="928"/>
        <v>0</v>
      </c>
      <c r="AX755" s="10">
        <f t="shared" si="928"/>
        <v>0</v>
      </c>
      <c r="AY755" s="10">
        <f t="shared" si="928"/>
        <v>0</v>
      </c>
      <c r="AZ755" s="10">
        <f t="shared" si="928"/>
        <v>0</v>
      </c>
      <c r="BA755" s="10">
        <f t="shared" si="928"/>
        <v>0</v>
      </c>
      <c r="BB755" s="10">
        <f t="shared" si="928"/>
        <v>0</v>
      </c>
      <c r="BC755" s="10">
        <f t="shared" si="928"/>
        <v>0</v>
      </c>
      <c r="BD755" s="10">
        <f t="shared" si="928"/>
        <v>0</v>
      </c>
      <c r="BE755" s="10">
        <f t="shared" si="928"/>
        <v>0</v>
      </c>
      <c r="BF755" s="10">
        <f t="shared" si="928"/>
        <v>0</v>
      </c>
      <c r="BG755" s="10">
        <f t="shared" si="928"/>
        <v>0</v>
      </c>
      <c r="BH755" s="10">
        <f t="shared" si="928"/>
        <v>0</v>
      </c>
      <c r="BI755" s="10">
        <f t="shared" si="928"/>
        <v>0</v>
      </c>
      <c r="BJ755" s="10">
        <f t="shared" si="928"/>
        <v>0</v>
      </c>
      <c r="BK755" s="329"/>
      <c r="BL755" s="13">
        <f t="shared" ref="BL755:BL774" si="929">V755</f>
        <v>0</v>
      </c>
      <c r="BM755" s="13">
        <f t="shared" ref="BM755:BM774" si="930">W755</f>
        <v>0</v>
      </c>
      <c r="BN755" s="13">
        <f t="shared" ref="BN755:BN774" si="931">X755</f>
        <v>0</v>
      </c>
      <c r="BO755" s="13">
        <f t="shared" ref="BO755:BO774" si="932">Y755</f>
        <v>0</v>
      </c>
      <c r="BP755" s="136"/>
      <c r="BQ755" s="136"/>
      <c r="BR755" s="136"/>
      <c r="BS755" s="136"/>
      <c r="BT755" s="136"/>
      <c r="BU755" s="136"/>
      <c r="BV755" s="136"/>
      <c r="BW755" s="136"/>
      <c r="BY755" s="12"/>
      <c r="CA755" s="12"/>
      <c r="CJ755" s="162"/>
      <c r="CR755" s="12"/>
      <c r="EX755" s="10" t="str">
        <f t="shared" ref="EX755:EX818" si="933">IF($C755="","",$D755)</f>
        <v/>
      </c>
    </row>
    <row r="756" spans="1:154" x14ac:dyDescent="0.25">
      <c r="A756" s="67"/>
      <c r="B756" s="84" t="str" cm="1">
        <f t="array" aca="1" ref="B756" ca="1">HYPERLINK(CONCATENATE("#",CELL("address",$D$66)),$D$66)</f>
        <v>Loan 2</v>
      </c>
      <c r="C756" s="380"/>
      <c r="D756" s="221" t="str">
        <f>D$14</f>
        <v>NatWest</v>
      </c>
      <c r="E756" s="60" t="str">
        <f>E$14</f>
        <v xml:space="preserve">Commercial </v>
      </c>
      <c r="F756" s="67"/>
      <c r="G756" s="67"/>
      <c r="H756" s="50" t="s">
        <v>157</v>
      </c>
      <c r="S756" s="335"/>
      <c r="T756" s="335"/>
      <c r="U756" s="335"/>
      <c r="V756" s="13">
        <f t="shared" si="926"/>
        <v>0</v>
      </c>
      <c r="W756" s="215">
        <f t="shared" si="927"/>
        <v>-34</v>
      </c>
      <c r="X756" s="215">
        <f t="shared" si="927"/>
        <v>0</v>
      </c>
      <c r="Y756" s="215">
        <f t="shared" si="927"/>
        <v>0</v>
      </c>
      <c r="Z756" s="329"/>
      <c r="AA756" s="10">
        <f t="shared" ref="AA756:BJ756" si="934">IF(AA$4=0, AA570, 0-(Z802+AA687))</f>
        <v>-4</v>
      </c>
      <c r="AB756" s="10">
        <f>IF(AB$4=0, AB570, 0-(AA802+AB687))</f>
        <v>-3</v>
      </c>
      <c r="AC756" s="10">
        <f t="shared" si="934"/>
        <v>-3</v>
      </c>
      <c r="AD756" s="10">
        <f t="shared" si="934"/>
        <v>-3</v>
      </c>
      <c r="AE756" s="10">
        <f t="shared" si="934"/>
        <v>-3</v>
      </c>
      <c r="AF756" s="10">
        <f t="shared" si="934"/>
        <v>-3</v>
      </c>
      <c r="AG756" s="10">
        <f t="shared" si="934"/>
        <v>-3</v>
      </c>
      <c r="AH756" s="10">
        <f t="shared" si="934"/>
        <v>-3</v>
      </c>
      <c r="AI756" s="10">
        <f t="shared" si="934"/>
        <v>-3</v>
      </c>
      <c r="AJ756" s="10">
        <f t="shared" si="934"/>
        <v>-3</v>
      </c>
      <c r="AK756" s="10">
        <f t="shared" si="934"/>
        <v>-3</v>
      </c>
      <c r="AL756" s="10">
        <f t="shared" si="934"/>
        <v>0</v>
      </c>
      <c r="AM756" s="10">
        <f t="shared" si="934"/>
        <v>0</v>
      </c>
      <c r="AN756" s="10">
        <f t="shared" si="934"/>
        <v>0</v>
      </c>
      <c r="AO756" s="10">
        <f t="shared" si="934"/>
        <v>0</v>
      </c>
      <c r="AP756" s="10">
        <f t="shared" si="934"/>
        <v>0</v>
      </c>
      <c r="AQ756" s="10">
        <f t="shared" si="934"/>
        <v>0</v>
      </c>
      <c r="AR756" s="10">
        <f t="shared" si="934"/>
        <v>0</v>
      </c>
      <c r="AS756" s="10">
        <f t="shared" si="934"/>
        <v>0</v>
      </c>
      <c r="AT756" s="10">
        <f t="shared" si="934"/>
        <v>0</v>
      </c>
      <c r="AU756" s="10">
        <f t="shared" si="934"/>
        <v>0</v>
      </c>
      <c r="AV756" s="10">
        <f t="shared" si="934"/>
        <v>0</v>
      </c>
      <c r="AW756" s="10">
        <f t="shared" si="934"/>
        <v>0</v>
      </c>
      <c r="AX756" s="10">
        <f t="shared" si="934"/>
        <v>0</v>
      </c>
      <c r="AY756" s="10">
        <f t="shared" si="934"/>
        <v>0</v>
      </c>
      <c r="AZ756" s="10">
        <f t="shared" si="934"/>
        <v>0</v>
      </c>
      <c r="BA756" s="10">
        <f t="shared" si="934"/>
        <v>0</v>
      </c>
      <c r="BB756" s="10">
        <f t="shared" si="934"/>
        <v>0</v>
      </c>
      <c r="BC756" s="10">
        <f t="shared" si="934"/>
        <v>0</v>
      </c>
      <c r="BD756" s="10">
        <f t="shared" si="934"/>
        <v>0</v>
      </c>
      <c r="BE756" s="10">
        <f t="shared" si="934"/>
        <v>0</v>
      </c>
      <c r="BF756" s="10">
        <f t="shared" si="934"/>
        <v>0</v>
      </c>
      <c r="BG756" s="10">
        <f t="shared" si="934"/>
        <v>0</v>
      </c>
      <c r="BH756" s="10">
        <f t="shared" si="934"/>
        <v>0</v>
      </c>
      <c r="BI756" s="10">
        <f t="shared" si="934"/>
        <v>0</v>
      </c>
      <c r="BJ756" s="10">
        <f t="shared" si="934"/>
        <v>0</v>
      </c>
      <c r="BL756" s="13">
        <f t="shared" si="929"/>
        <v>0</v>
      </c>
      <c r="BM756" s="13">
        <f t="shared" si="930"/>
        <v>-34</v>
      </c>
      <c r="BN756" s="13">
        <f t="shared" si="931"/>
        <v>0</v>
      </c>
      <c r="BO756" s="13">
        <f t="shared" si="932"/>
        <v>0</v>
      </c>
      <c r="BP756" s="136"/>
      <c r="BQ756" s="136"/>
      <c r="BR756" s="136"/>
      <c r="BS756" s="136"/>
      <c r="BT756" s="136"/>
      <c r="BU756" s="136"/>
      <c r="BV756" s="136"/>
      <c r="BW756" s="136"/>
      <c r="BY756" s="12"/>
      <c r="CA756" s="12"/>
      <c r="CJ756" s="162"/>
      <c r="CR756" s="12"/>
      <c r="EX756" s="10" t="str">
        <f t="shared" si="933"/>
        <v/>
      </c>
    </row>
    <row r="757" spans="1:154" x14ac:dyDescent="0.25">
      <c r="A757" s="67"/>
      <c r="B757" s="84" t="str" cm="1">
        <f t="array" aca="1" ref="B757" ca="1">HYPERLINK(CONCATENATE("#",CELL("address",$D$85)),$D$85)</f>
        <v>Loan 3</v>
      </c>
      <c r="C757" s="380"/>
      <c r="D757" s="221" t="str">
        <f>D$15</f>
        <v>NatWest</v>
      </c>
      <c r="E757" s="60" t="str">
        <f>E$15</f>
        <v xml:space="preserve">Commercial </v>
      </c>
      <c r="F757" s="67"/>
      <c r="G757" s="67"/>
      <c r="H757" s="50" t="s">
        <v>157</v>
      </c>
      <c r="S757" s="335"/>
      <c r="T757" s="335"/>
      <c r="U757" s="335"/>
      <c r="V757" s="13">
        <f t="shared" si="926"/>
        <v>0</v>
      </c>
      <c r="W757" s="215">
        <f t="shared" si="927"/>
        <v>-33</v>
      </c>
      <c r="X757" s="215">
        <f t="shared" si="927"/>
        <v>0</v>
      </c>
      <c r="Y757" s="215">
        <f t="shared" si="927"/>
        <v>0</v>
      </c>
      <c r="Z757" s="329"/>
      <c r="AA757" s="10">
        <f t="shared" ref="AA757:BJ757" si="935">IF(AA$4=0, AA571, 0-(Z803+AA688))</f>
        <v>-3</v>
      </c>
      <c r="AB757" s="10">
        <f t="shared" si="935"/>
        <v>-3</v>
      </c>
      <c r="AC757" s="10">
        <f t="shared" si="935"/>
        <v>-3</v>
      </c>
      <c r="AD757" s="10">
        <f t="shared" si="935"/>
        <v>-3</v>
      </c>
      <c r="AE757" s="10">
        <f t="shared" si="935"/>
        <v>-3</v>
      </c>
      <c r="AF757" s="10">
        <f t="shared" si="935"/>
        <v>-3</v>
      </c>
      <c r="AG757" s="10">
        <f t="shared" si="935"/>
        <v>-3</v>
      </c>
      <c r="AH757" s="10">
        <f t="shared" si="935"/>
        <v>-3</v>
      </c>
      <c r="AI757" s="10">
        <f t="shared" si="935"/>
        <v>-3</v>
      </c>
      <c r="AJ757" s="10">
        <f t="shared" si="935"/>
        <v>-3</v>
      </c>
      <c r="AK757" s="10">
        <f t="shared" si="935"/>
        <v>-3</v>
      </c>
      <c r="AL757" s="10">
        <f t="shared" si="935"/>
        <v>0</v>
      </c>
      <c r="AM757" s="10">
        <f t="shared" si="935"/>
        <v>0</v>
      </c>
      <c r="AN757" s="10">
        <f t="shared" si="935"/>
        <v>0</v>
      </c>
      <c r="AO757" s="10">
        <f t="shared" si="935"/>
        <v>0</v>
      </c>
      <c r="AP757" s="10">
        <f t="shared" si="935"/>
        <v>0</v>
      </c>
      <c r="AQ757" s="10">
        <f t="shared" si="935"/>
        <v>0</v>
      </c>
      <c r="AR757" s="10">
        <f t="shared" si="935"/>
        <v>0</v>
      </c>
      <c r="AS757" s="10">
        <f t="shared" si="935"/>
        <v>0</v>
      </c>
      <c r="AT757" s="10">
        <f t="shared" si="935"/>
        <v>0</v>
      </c>
      <c r="AU757" s="10">
        <f t="shared" si="935"/>
        <v>0</v>
      </c>
      <c r="AV757" s="10">
        <f t="shared" si="935"/>
        <v>0</v>
      </c>
      <c r="AW757" s="10">
        <f t="shared" si="935"/>
        <v>0</v>
      </c>
      <c r="AX757" s="10">
        <f t="shared" si="935"/>
        <v>0</v>
      </c>
      <c r="AY757" s="10">
        <f t="shared" si="935"/>
        <v>0</v>
      </c>
      <c r="AZ757" s="10">
        <f t="shared" si="935"/>
        <v>0</v>
      </c>
      <c r="BA757" s="10">
        <f t="shared" si="935"/>
        <v>0</v>
      </c>
      <c r="BB757" s="10">
        <f t="shared" si="935"/>
        <v>0</v>
      </c>
      <c r="BC757" s="10">
        <f t="shared" si="935"/>
        <v>0</v>
      </c>
      <c r="BD757" s="10">
        <f t="shared" si="935"/>
        <v>0</v>
      </c>
      <c r="BE757" s="10">
        <f t="shared" si="935"/>
        <v>0</v>
      </c>
      <c r="BF757" s="10">
        <f t="shared" si="935"/>
        <v>0</v>
      </c>
      <c r="BG757" s="10">
        <f t="shared" si="935"/>
        <v>0</v>
      </c>
      <c r="BH757" s="10">
        <f t="shared" si="935"/>
        <v>0</v>
      </c>
      <c r="BI757" s="10">
        <f t="shared" si="935"/>
        <v>0</v>
      </c>
      <c r="BJ757" s="10">
        <f t="shared" si="935"/>
        <v>0</v>
      </c>
      <c r="BL757" s="13">
        <f t="shared" si="929"/>
        <v>0</v>
      </c>
      <c r="BM757" s="13">
        <f t="shared" si="930"/>
        <v>-33</v>
      </c>
      <c r="BN757" s="13">
        <f t="shared" si="931"/>
        <v>0</v>
      </c>
      <c r="BO757" s="13">
        <f t="shared" si="932"/>
        <v>0</v>
      </c>
      <c r="BP757" s="136"/>
      <c r="BQ757" s="136"/>
      <c r="BR757" s="136"/>
      <c r="BS757" s="136"/>
      <c r="BT757" s="136"/>
      <c r="BU757" s="136"/>
      <c r="BV757" s="136"/>
      <c r="BW757" s="136"/>
      <c r="BY757" s="12"/>
      <c r="CA757" s="12"/>
      <c r="CJ757" s="162"/>
      <c r="CR757" s="12"/>
      <c r="EX757" s="10" t="str">
        <f t="shared" si="933"/>
        <v/>
      </c>
    </row>
    <row r="758" spans="1:154" x14ac:dyDescent="0.25">
      <c r="A758" s="67"/>
      <c r="B758" s="84" t="str" cm="1">
        <f t="array" aca="1" ref="B758" ca="1">HYPERLINK(CONCATENATE("#",CELL("address",$D$104)),$D$104)</f>
        <v>Loan 4</v>
      </c>
      <c r="C758" s="380"/>
      <c r="D758" s="221" t="str">
        <f>D$16</f>
        <v>NatWest</v>
      </c>
      <c r="E758" s="60" t="str">
        <f>E$16</f>
        <v xml:space="preserve">Commercial </v>
      </c>
      <c r="F758" s="67"/>
      <c r="G758" s="67"/>
      <c r="H758" s="50" t="s">
        <v>157</v>
      </c>
      <c r="S758" s="335"/>
      <c r="T758" s="335"/>
      <c r="U758" s="335"/>
      <c r="V758" s="13">
        <f t="shared" si="926"/>
        <v>0</v>
      </c>
      <c r="W758" s="215">
        <f t="shared" si="927"/>
        <v>-36</v>
      </c>
      <c r="X758" s="215">
        <f t="shared" si="927"/>
        <v>0</v>
      </c>
      <c r="Y758" s="215">
        <f t="shared" si="927"/>
        <v>0</v>
      </c>
      <c r="Z758" s="329"/>
      <c r="AA758" s="10">
        <f t="shared" ref="AA758:BJ758" si="936">IF(AA$4=0, AA572, 0-(Z804+AA689))</f>
        <v>-9</v>
      </c>
      <c r="AB758" s="10">
        <f t="shared" si="936"/>
        <v>0</v>
      </c>
      <c r="AC758" s="10">
        <f t="shared" si="936"/>
        <v>0</v>
      </c>
      <c r="AD758" s="10">
        <f t="shared" si="936"/>
        <v>-9</v>
      </c>
      <c r="AE758" s="10">
        <f t="shared" si="936"/>
        <v>0</v>
      </c>
      <c r="AF758" s="10">
        <f t="shared" si="936"/>
        <v>0</v>
      </c>
      <c r="AG758" s="10">
        <f t="shared" si="936"/>
        <v>-9</v>
      </c>
      <c r="AH758" s="10">
        <f t="shared" si="936"/>
        <v>0</v>
      </c>
      <c r="AI758" s="10">
        <f t="shared" si="936"/>
        <v>0</v>
      </c>
      <c r="AJ758" s="10">
        <f t="shared" si="936"/>
        <v>-9</v>
      </c>
      <c r="AK758" s="10">
        <f t="shared" si="936"/>
        <v>0</v>
      </c>
      <c r="AL758" s="10">
        <f t="shared" si="936"/>
        <v>0</v>
      </c>
      <c r="AM758" s="10">
        <f t="shared" si="936"/>
        <v>0</v>
      </c>
      <c r="AN758" s="10">
        <f t="shared" si="936"/>
        <v>0</v>
      </c>
      <c r="AO758" s="10">
        <f t="shared" si="936"/>
        <v>0</v>
      </c>
      <c r="AP758" s="10">
        <f t="shared" si="936"/>
        <v>0</v>
      </c>
      <c r="AQ758" s="10">
        <f t="shared" si="936"/>
        <v>0</v>
      </c>
      <c r="AR758" s="10">
        <f t="shared" si="936"/>
        <v>0</v>
      </c>
      <c r="AS758" s="10">
        <f t="shared" si="936"/>
        <v>0</v>
      </c>
      <c r="AT758" s="10">
        <f t="shared" si="936"/>
        <v>0</v>
      </c>
      <c r="AU758" s="10">
        <f t="shared" si="936"/>
        <v>0</v>
      </c>
      <c r="AV758" s="10">
        <f t="shared" si="936"/>
        <v>0</v>
      </c>
      <c r="AW758" s="10">
        <f t="shared" si="936"/>
        <v>0</v>
      </c>
      <c r="AX758" s="10">
        <f t="shared" si="936"/>
        <v>0</v>
      </c>
      <c r="AY758" s="10">
        <f t="shared" si="936"/>
        <v>0</v>
      </c>
      <c r="AZ758" s="10">
        <f t="shared" si="936"/>
        <v>0</v>
      </c>
      <c r="BA758" s="10">
        <f t="shared" si="936"/>
        <v>0</v>
      </c>
      <c r="BB758" s="10">
        <f t="shared" si="936"/>
        <v>0</v>
      </c>
      <c r="BC758" s="10">
        <f t="shared" si="936"/>
        <v>0</v>
      </c>
      <c r="BD758" s="10">
        <f t="shared" si="936"/>
        <v>0</v>
      </c>
      <c r="BE758" s="10">
        <f t="shared" si="936"/>
        <v>0</v>
      </c>
      <c r="BF758" s="10">
        <f t="shared" si="936"/>
        <v>0</v>
      </c>
      <c r="BG758" s="10">
        <f t="shared" si="936"/>
        <v>0</v>
      </c>
      <c r="BH758" s="10">
        <f t="shared" si="936"/>
        <v>0</v>
      </c>
      <c r="BI758" s="10">
        <f t="shared" si="936"/>
        <v>0</v>
      </c>
      <c r="BJ758" s="10">
        <f t="shared" si="936"/>
        <v>0</v>
      </c>
      <c r="BL758" s="13">
        <f t="shared" si="929"/>
        <v>0</v>
      </c>
      <c r="BM758" s="13">
        <f t="shared" si="930"/>
        <v>-36</v>
      </c>
      <c r="BN758" s="13">
        <f t="shared" si="931"/>
        <v>0</v>
      </c>
      <c r="BO758" s="13">
        <f t="shared" si="932"/>
        <v>0</v>
      </c>
      <c r="BP758" s="136"/>
      <c r="BQ758" s="136"/>
      <c r="BR758" s="136"/>
      <c r="BS758" s="136"/>
      <c r="BT758" s="136"/>
      <c r="BU758" s="136"/>
      <c r="BV758" s="136"/>
      <c r="BW758" s="136"/>
      <c r="BY758" s="12"/>
      <c r="CA758" s="12"/>
      <c r="CJ758" s="162"/>
      <c r="CR758" s="12"/>
      <c r="EX758" s="10" t="str">
        <f t="shared" si="933"/>
        <v/>
      </c>
    </row>
    <row r="759" spans="1:154" x14ac:dyDescent="0.25">
      <c r="A759" s="67"/>
      <c r="B759" s="84" t="str" cm="1">
        <f t="array" aca="1" ref="B759" ca="1">HYPERLINK(CONCATENATE("#",CELL("address",$D$123)),$D$123)</f>
        <v>Loan 5</v>
      </c>
      <c r="C759" s="380"/>
      <c r="D759" s="221" t="str">
        <f>D$17</f>
        <v>NatWest</v>
      </c>
      <c r="E759" s="60" t="str">
        <f>E$17</f>
        <v xml:space="preserve">Commercial </v>
      </c>
      <c r="F759" s="67"/>
      <c r="G759" s="67"/>
      <c r="H759" s="50" t="s">
        <v>157</v>
      </c>
      <c r="S759" s="335"/>
      <c r="T759" s="335"/>
      <c r="U759" s="335"/>
      <c r="V759" s="13">
        <f t="shared" si="926"/>
        <v>0</v>
      </c>
      <c r="W759" s="215">
        <f t="shared" si="927"/>
        <v>-36</v>
      </c>
      <c r="X759" s="215">
        <f t="shared" si="927"/>
        <v>0</v>
      </c>
      <c r="Y759" s="215">
        <f t="shared" si="927"/>
        <v>0</v>
      </c>
      <c r="Z759" s="329"/>
      <c r="AA759" s="10">
        <f t="shared" ref="AA759:BJ759" si="937">IF(AA$4=0, AA573, 0-(Z805+AA690))</f>
        <v>-9</v>
      </c>
      <c r="AB759" s="10">
        <f t="shared" si="937"/>
        <v>0</v>
      </c>
      <c r="AC759" s="10">
        <f t="shared" si="937"/>
        <v>0</v>
      </c>
      <c r="AD759" s="10">
        <f t="shared" si="937"/>
        <v>-9</v>
      </c>
      <c r="AE759" s="10">
        <f t="shared" si="937"/>
        <v>0</v>
      </c>
      <c r="AF759" s="10">
        <f t="shared" si="937"/>
        <v>0</v>
      </c>
      <c r="AG759" s="10">
        <f t="shared" si="937"/>
        <v>-9</v>
      </c>
      <c r="AH759" s="10">
        <f t="shared" si="937"/>
        <v>0</v>
      </c>
      <c r="AI759" s="10">
        <f t="shared" si="937"/>
        <v>0</v>
      </c>
      <c r="AJ759" s="10">
        <f t="shared" si="937"/>
        <v>-9</v>
      </c>
      <c r="AK759" s="10">
        <f t="shared" si="937"/>
        <v>0</v>
      </c>
      <c r="AL759" s="10">
        <f t="shared" si="937"/>
        <v>0</v>
      </c>
      <c r="AM759" s="10">
        <f t="shared" si="937"/>
        <v>0</v>
      </c>
      <c r="AN759" s="10">
        <f t="shared" si="937"/>
        <v>0</v>
      </c>
      <c r="AO759" s="10">
        <f t="shared" si="937"/>
        <v>0</v>
      </c>
      <c r="AP759" s="10">
        <f t="shared" si="937"/>
        <v>0</v>
      </c>
      <c r="AQ759" s="10">
        <f t="shared" si="937"/>
        <v>0</v>
      </c>
      <c r="AR759" s="10">
        <f t="shared" si="937"/>
        <v>0</v>
      </c>
      <c r="AS759" s="10">
        <f t="shared" si="937"/>
        <v>0</v>
      </c>
      <c r="AT759" s="10">
        <f t="shared" si="937"/>
        <v>0</v>
      </c>
      <c r="AU759" s="10">
        <f t="shared" si="937"/>
        <v>0</v>
      </c>
      <c r="AV759" s="10">
        <f t="shared" si="937"/>
        <v>0</v>
      </c>
      <c r="AW759" s="10">
        <f t="shared" si="937"/>
        <v>0</v>
      </c>
      <c r="AX759" s="10">
        <f t="shared" si="937"/>
        <v>0</v>
      </c>
      <c r="AY759" s="10">
        <f t="shared" si="937"/>
        <v>0</v>
      </c>
      <c r="AZ759" s="10">
        <f t="shared" si="937"/>
        <v>0</v>
      </c>
      <c r="BA759" s="10">
        <f t="shared" si="937"/>
        <v>0</v>
      </c>
      <c r="BB759" s="10">
        <f t="shared" si="937"/>
        <v>0</v>
      </c>
      <c r="BC759" s="10">
        <f t="shared" si="937"/>
        <v>0</v>
      </c>
      <c r="BD759" s="10">
        <f t="shared" si="937"/>
        <v>0</v>
      </c>
      <c r="BE759" s="10">
        <f t="shared" si="937"/>
        <v>0</v>
      </c>
      <c r="BF759" s="10">
        <f t="shared" si="937"/>
        <v>0</v>
      </c>
      <c r="BG759" s="10">
        <f t="shared" si="937"/>
        <v>0</v>
      </c>
      <c r="BH759" s="10">
        <f t="shared" si="937"/>
        <v>0</v>
      </c>
      <c r="BI759" s="10">
        <f t="shared" si="937"/>
        <v>0</v>
      </c>
      <c r="BJ759" s="10">
        <f t="shared" si="937"/>
        <v>0</v>
      </c>
      <c r="BL759" s="13">
        <f t="shared" si="929"/>
        <v>0</v>
      </c>
      <c r="BM759" s="13">
        <f t="shared" si="930"/>
        <v>-36</v>
      </c>
      <c r="BN759" s="13">
        <f t="shared" si="931"/>
        <v>0</v>
      </c>
      <c r="BO759" s="13">
        <f t="shared" si="932"/>
        <v>0</v>
      </c>
      <c r="BP759" s="136"/>
      <c r="BQ759" s="136"/>
      <c r="BR759" s="136"/>
      <c r="BS759" s="136"/>
      <c r="BT759" s="136"/>
      <c r="BU759" s="136"/>
      <c r="BV759" s="136"/>
      <c r="BW759" s="136"/>
      <c r="BY759" s="12"/>
      <c r="CA759" s="12"/>
      <c r="CJ759" s="162"/>
      <c r="CR759" s="12"/>
      <c r="EX759" s="10" t="str">
        <f t="shared" si="933"/>
        <v/>
      </c>
    </row>
    <row r="760" spans="1:154" x14ac:dyDescent="0.25">
      <c r="A760" s="67"/>
      <c r="B760" s="84" t="str" cm="1">
        <f t="array" aca="1" ref="B760" ca="1">HYPERLINK(CONCATENATE("#",CELL("address",$D$142)),$D$142)</f>
        <v>Loan 6</v>
      </c>
      <c r="C760" s="380"/>
      <c r="D760" s="221">
        <f>D$18</f>
        <v>0</v>
      </c>
      <c r="E760" s="60">
        <f>E$18</f>
        <v>0</v>
      </c>
      <c r="F760" s="67"/>
      <c r="G760" s="67"/>
      <c r="H760" s="50" t="s">
        <v>157</v>
      </c>
      <c r="S760" s="335"/>
      <c r="T760" s="335"/>
      <c r="U760" s="335"/>
      <c r="V760" s="13">
        <f t="shared" si="926"/>
        <v>0</v>
      </c>
      <c r="W760" s="215">
        <f t="shared" si="927"/>
        <v>0</v>
      </c>
      <c r="X760" s="215">
        <f t="shared" si="927"/>
        <v>0</v>
      </c>
      <c r="Y760" s="215">
        <f t="shared" si="927"/>
        <v>0</v>
      </c>
      <c r="Z760" s="329"/>
      <c r="AA760" s="10">
        <f t="shared" ref="AA760:BJ760" si="938">IF(AA$4=0, AA574, 0-(Z806+AA691))</f>
        <v>0</v>
      </c>
      <c r="AB760" s="10">
        <f t="shared" si="938"/>
        <v>0</v>
      </c>
      <c r="AC760" s="10">
        <f t="shared" si="938"/>
        <v>0</v>
      </c>
      <c r="AD760" s="10">
        <f t="shared" si="938"/>
        <v>0</v>
      </c>
      <c r="AE760" s="10">
        <f t="shared" si="938"/>
        <v>0</v>
      </c>
      <c r="AF760" s="10">
        <f t="shared" si="938"/>
        <v>0</v>
      </c>
      <c r="AG760" s="10">
        <f t="shared" si="938"/>
        <v>0</v>
      </c>
      <c r="AH760" s="10">
        <f t="shared" si="938"/>
        <v>0</v>
      </c>
      <c r="AI760" s="10">
        <f t="shared" si="938"/>
        <v>0</v>
      </c>
      <c r="AJ760" s="10">
        <f t="shared" si="938"/>
        <v>0</v>
      </c>
      <c r="AK760" s="10">
        <f t="shared" si="938"/>
        <v>0</v>
      </c>
      <c r="AL760" s="10">
        <f t="shared" si="938"/>
        <v>0</v>
      </c>
      <c r="AM760" s="10">
        <f t="shared" si="938"/>
        <v>0</v>
      </c>
      <c r="AN760" s="10">
        <f t="shared" si="938"/>
        <v>0</v>
      </c>
      <c r="AO760" s="10">
        <f t="shared" si="938"/>
        <v>0</v>
      </c>
      <c r="AP760" s="10">
        <f t="shared" si="938"/>
        <v>0</v>
      </c>
      <c r="AQ760" s="10">
        <f t="shared" si="938"/>
        <v>0</v>
      </c>
      <c r="AR760" s="10">
        <f t="shared" si="938"/>
        <v>0</v>
      </c>
      <c r="AS760" s="10">
        <f t="shared" si="938"/>
        <v>0</v>
      </c>
      <c r="AT760" s="10">
        <f t="shared" si="938"/>
        <v>0</v>
      </c>
      <c r="AU760" s="10">
        <f t="shared" si="938"/>
        <v>0</v>
      </c>
      <c r="AV760" s="10">
        <f t="shared" si="938"/>
        <v>0</v>
      </c>
      <c r="AW760" s="10">
        <f t="shared" si="938"/>
        <v>0</v>
      </c>
      <c r="AX760" s="10">
        <f t="shared" si="938"/>
        <v>0</v>
      </c>
      <c r="AY760" s="10">
        <f t="shared" si="938"/>
        <v>0</v>
      </c>
      <c r="AZ760" s="10">
        <f t="shared" si="938"/>
        <v>0</v>
      </c>
      <c r="BA760" s="10">
        <f t="shared" si="938"/>
        <v>0</v>
      </c>
      <c r="BB760" s="10">
        <f t="shared" si="938"/>
        <v>0</v>
      </c>
      <c r="BC760" s="10">
        <f t="shared" si="938"/>
        <v>0</v>
      </c>
      <c r="BD760" s="10">
        <f t="shared" si="938"/>
        <v>0</v>
      </c>
      <c r="BE760" s="10">
        <f t="shared" si="938"/>
        <v>0</v>
      </c>
      <c r="BF760" s="10">
        <f t="shared" si="938"/>
        <v>0</v>
      </c>
      <c r="BG760" s="10">
        <f t="shared" si="938"/>
        <v>0</v>
      </c>
      <c r="BH760" s="10">
        <f t="shared" si="938"/>
        <v>0</v>
      </c>
      <c r="BI760" s="10">
        <f t="shared" si="938"/>
        <v>0</v>
      </c>
      <c r="BJ760" s="10">
        <f t="shared" si="938"/>
        <v>0</v>
      </c>
      <c r="BL760" s="13">
        <f t="shared" si="929"/>
        <v>0</v>
      </c>
      <c r="BM760" s="13">
        <f t="shared" si="930"/>
        <v>0</v>
      </c>
      <c r="BN760" s="13">
        <f t="shared" si="931"/>
        <v>0</v>
      </c>
      <c r="BO760" s="13">
        <f t="shared" si="932"/>
        <v>0</v>
      </c>
      <c r="BP760" s="136"/>
      <c r="BQ760" s="136"/>
      <c r="BR760" s="136"/>
      <c r="BS760" s="136"/>
      <c r="BT760" s="136"/>
      <c r="BU760" s="136"/>
      <c r="BV760" s="136"/>
      <c r="BW760" s="136"/>
      <c r="BY760" s="12"/>
      <c r="CA760" s="12"/>
      <c r="CJ760" s="162"/>
      <c r="CR760" s="12"/>
      <c r="EX760" s="10" t="str">
        <f t="shared" si="933"/>
        <v/>
      </c>
    </row>
    <row r="761" spans="1:154" x14ac:dyDescent="0.25">
      <c r="A761" s="67"/>
      <c r="B761" s="84" t="str" cm="1">
        <f t="array" aca="1" ref="B761" ca="1">HYPERLINK(CONCATENATE("#",CELL("address",$D$161)),$D$161)</f>
        <v>Loan 7</v>
      </c>
      <c r="C761" s="380"/>
      <c r="D761" s="221">
        <f>D$19</f>
        <v>0</v>
      </c>
      <c r="E761" s="60">
        <f>E$19</f>
        <v>0</v>
      </c>
      <c r="F761" s="67"/>
      <c r="G761" s="67"/>
      <c r="H761" s="50" t="s">
        <v>157</v>
      </c>
      <c r="S761" s="335"/>
      <c r="T761" s="335"/>
      <c r="U761" s="335"/>
      <c r="V761" s="13">
        <f t="shared" si="926"/>
        <v>0</v>
      </c>
      <c r="W761" s="215">
        <f t="shared" si="927"/>
        <v>0</v>
      </c>
      <c r="X761" s="215">
        <f t="shared" si="927"/>
        <v>0</v>
      </c>
      <c r="Y761" s="215">
        <f t="shared" si="927"/>
        <v>0</v>
      </c>
      <c r="Z761" s="329"/>
      <c r="AA761" s="10">
        <f t="shared" ref="AA761:BJ761" si="939">IF(AA$4=0, AA575, 0-(Z807+AA692))</f>
        <v>0</v>
      </c>
      <c r="AB761" s="10">
        <f t="shared" si="939"/>
        <v>0</v>
      </c>
      <c r="AC761" s="10">
        <f t="shared" si="939"/>
        <v>0</v>
      </c>
      <c r="AD761" s="10">
        <f t="shared" si="939"/>
        <v>0</v>
      </c>
      <c r="AE761" s="10">
        <f t="shared" si="939"/>
        <v>0</v>
      </c>
      <c r="AF761" s="10">
        <f t="shared" si="939"/>
        <v>0</v>
      </c>
      <c r="AG761" s="10">
        <f t="shared" si="939"/>
        <v>0</v>
      </c>
      <c r="AH761" s="10">
        <f t="shared" si="939"/>
        <v>0</v>
      </c>
      <c r="AI761" s="10">
        <f t="shared" si="939"/>
        <v>0</v>
      </c>
      <c r="AJ761" s="10">
        <f t="shared" si="939"/>
        <v>0</v>
      </c>
      <c r="AK761" s="10">
        <f t="shared" si="939"/>
        <v>0</v>
      </c>
      <c r="AL761" s="10">
        <f t="shared" si="939"/>
        <v>0</v>
      </c>
      <c r="AM761" s="10">
        <f t="shared" si="939"/>
        <v>0</v>
      </c>
      <c r="AN761" s="10">
        <f t="shared" si="939"/>
        <v>0</v>
      </c>
      <c r="AO761" s="10">
        <f t="shared" si="939"/>
        <v>0</v>
      </c>
      <c r="AP761" s="10">
        <f t="shared" si="939"/>
        <v>0</v>
      </c>
      <c r="AQ761" s="10">
        <f t="shared" si="939"/>
        <v>0</v>
      </c>
      <c r="AR761" s="10">
        <f t="shared" si="939"/>
        <v>0</v>
      </c>
      <c r="AS761" s="10">
        <f t="shared" si="939"/>
        <v>0</v>
      </c>
      <c r="AT761" s="10">
        <f t="shared" si="939"/>
        <v>0</v>
      </c>
      <c r="AU761" s="10">
        <f t="shared" si="939"/>
        <v>0</v>
      </c>
      <c r="AV761" s="10">
        <f t="shared" si="939"/>
        <v>0</v>
      </c>
      <c r="AW761" s="10">
        <f t="shared" si="939"/>
        <v>0</v>
      </c>
      <c r="AX761" s="10">
        <f t="shared" si="939"/>
        <v>0</v>
      </c>
      <c r="AY761" s="10">
        <f t="shared" si="939"/>
        <v>0</v>
      </c>
      <c r="AZ761" s="10">
        <f t="shared" si="939"/>
        <v>0</v>
      </c>
      <c r="BA761" s="10">
        <f t="shared" si="939"/>
        <v>0</v>
      </c>
      <c r="BB761" s="10">
        <f t="shared" si="939"/>
        <v>0</v>
      </c>
      <c r="BC761" s="10">
        <f t="shared" si="939"/>
        <v>0</v>
      </c>
      <c r="BD761" s="10">
        <f t="shared" si="939"/>
        <v>0</v>
      </c>
      <c r="BE761" s="10">
        <f t="shared" si="939"/>
        <v>0</v>
      </c>
      <c r="BF761" s="10">
        <f t="shared" si="939"/>
        <v>0</v>
      </c>
      <c r="BG761" s="10">
        <f t="shared" si="939"/>
        <v>0</v>
      </c>
      <c r="BH761" s="10">
        <f t="shared" si="939"/>
        <v>0</v>
      </c>
      <c r="BI761" s="10">
        <f t="shared" si="939"/>
        <v>0</v>
      </c>
      <c r="BJ761" s="10">
        <f t="shared" si="939"/>
        <v>0</v>
      </c>
      <c r="BL761" s="13">
        <f t="shared" si="929"/>
        <v>0</v>
      </c>
      <c r="BM761" s="13">
        <f t="shared" si="930"/>
        <v>0</v>
      </c>
      <c r="BN761" s="13">
        <f t="shared" si="931"/>
        <v>0</v>
      </c>
      <c r="BO761" s="13">
        <f t="shared" si="932"/>
        <v>0</v>
      </c>
      <c r="BP761" s="136"/>
      <c r="BQ761" s="136"/>
      <c r="BR761" s="136"/>
      <c r="BS761" s="136"/>
      <c r="BT761" s="136"/>
      <c r="BU761" s="136"/>
      <c r="BV761" s="136"/>
      <c r="BW761" s="136"/>
      <c r="BY761" s="12"/>
      <c r="CA761" s="12"/>
      <c r="CJ761" s="162"/>
      <c r="CR761" s="12"/>
      <c r="EX761" s="10" t="str">
        <f t="shared" si="933"/>
        <v/>
      </c>
    </row>
    <row r="762" spans="1:154" x14ac:dyDescent="0.25">
      <c r="A762" s="67"/>
      <c r="B762" s="84" t="str" cm="1">
        <f t="array" aca="1" ref="B762" ca="1">HYPERLINK(CONCATENATE("#",CELL("address",$D$180)),$D$180)</f>
        <v>Loan 8</v>
      </c>
      <c r="C762" s="380"/>
      <c r="D762" s="221">
        <f>D$20</f>
        <v>0</v>
      </c>
      <c r="E762" s="60">
        <f>E$20</f>
        <v>0</v>
      </c>
      <c r="F762" s="67"/>
      <c r="G762" s="67"/>
      <c r="H762" s="50" t="s">
        <v>157</v>
      </c>
      <c r="S762" s="335"/>
      <c r="T762" s="335"/>
      <c r="U762" s="335"/>
      <c r="V762" s="13">
        <f t="shared" si="926"/>
        <v>0</v>
      </c>
      <c r="W762" s="215">
        <f t="shared" si="927"/>
        <v>0</v>
      </c>
      <c r="X762" s="215">
        <f t="shared" si="927"/>
        <v>0</v>
      </c>
      <c r="Y762" s="215">
        <f t="shared" si="927"/>
        <v>0</v>
      </c>
      <c r="Z762" s="329"/>
      <c r="AA762" s="10">
        <f t="shared" ref="AA762:BJ762" si="940">IF(AA$4=0, AA576, 0-(Z808+AA693))</f>
        <v>0</v>
      </c>
      <c r="AB762" s="10">
        <f t="shared" si="940"/>
        <v>0</v>
      </c>
      <c r="AC762" s="10">
        <f t="shared" si="940"/>
        <v>0</v>
      </c>
      <c r="AD762" s="10">
        <f t="shared" si="940"/>
        <v>0</v>
      </c>
      <c r="AE762" s="10">
        <f t="shared" si="940"/>
        <v>0</v>
      </c>
      <c r="AF762" s="10">
        <f t="shared" si="940"/>
        <v>0</v>
      </c>
      <c r="AG762" s="10">
        <f t="shared" si="940"/>
        <v>0</v>
      </c>
      <c r="AH762" s="10">
        <f t="shared" si="940"/>
        <v>0</v>
      </c>
      <c r="AI762" s="10">
        <f t="shared" si="940"/>
        <v>0</v>
      </c>
      <c r="AJ762" s="10">
        <f t="shared" si="940"/>
        <v>0</v>
      </c>
      <c r="AK762" s="10">
        <f t="shared" si="940"/>
        <v>0</v>
      </c>
      <c r="AL762" s="10">
        <f t="shared" si="940"/>
        <v>0</v>
      </c>
      <c r="AM762" s="10">
        <f t="shared" si="940"/>
        <v>0</v>
      </c>
      <c r="AN762" s="10">
        <f t="shared" si="940"/>
        <v>0</v>
      </c>
      <c r="AO762" s="10">
        <f t="shared" si="940"/>
        <v>0</v>
      </c>
      <c r="AP762" s="10">
        <f t="shared" si="940"/>
        <v>0</v>
      </c>
      <c r="AQ762" s="10">
        <f t="shared" si="940"/>
        <v>0</v>
      </c>
      <c r="AR762" s="10">
        <f t="shared" si="940"/>
        <v>0</v>
      </c>
      <c r="AS762" s="10">
        <f t="shared" si="940"/>
        <v>0</v>
      </c>
      <c r="AT762" s="10">
        <f t="shared" si="940"/>
        <v>0</v>
      </c>
      <c r="AU762" s="10">
        <f t="shared" si="940"/>
        <v>0</v>
      </c>
      <c r="AV762" s="10">
        <f t="shared" si="940"/>
        <v>0</v>
      </c>
      <c r="AW762" s="10">
        <f t="shared" si="940"/>
        <v>0</v>
      </c>
      <c r="AX762" s="10">
        <f t="shared" si="940"/>
        <v>0</v>
      </c>
      <c r="AY762" s="10">
        <f t="shared" si="940"/>
        <v>0</v>
      </c>
      <c r="AZ762" s="10">
        <f t="shared" si="940"/>
        <v>0</v>
      </c>
      <c r="BA762" s="10">
        <f t="shared" si="940"/>
        <v>0</v>
      </c>
      <c r="BB762" s="10">
        <f t="shared" si="940"/>
        <v>0</v>
      </c>
      <c r="BC762" s="10">
        <f t="shared" si="940"/>
        <v>0</v>
      </c>
      <c r="BD762" s="10">
        <f t="shared" si="940"/>
        <v>0</v>
      </c>
      <c r="BE762" s="10">
        <f t="shared" si="940"/>
        <v>0</v>
      </c>
      <c r="BF762" s="10">
        <f t="shared" si="940"/>
        <v>0</v>
      </c>
      <c r="BG762" s="10">
        <f t="shared" si="940"/>
        <v>0</v>
      </c>
      <c r="BH762" s="10">
        <f t="shared" si="940"/>
        <v>0</v>
      </c>
      <c r="BI762" s="10">
        <f t="shared" si="940"/>
        <v>0</v>
      </c>
      <c r="BJ762" s="10">
        <f t="shared" si="940"/>
        <v>0</v>
      </c>
      <c r="BL762" s="13">
        <f t="shared" si="929"/>
        <v>0</v>
      </c>
      <c r="BM762" s="13">
        <f t="shared" si="930"/>
        <v>0</v>
      </c>
      <c r="BN762" s="13">
        <f t="shared" si="931"/>
        <v>0</v>
      </c>
      <c r="BO762" s="13">
        <f t="shared" si="932"/>
        <v>0</v>
      </c>
      <c r="BP762" s="136"/>
      <c r="BQ762" s="136"/>
      <c r="BR762" s="136"/>
      <c r="BS762" s="136"/>
      <c r="BT762" s="136"/>
      <c r="BU762" s="136"/>
      <c r="BV762" s="136"/>
      <c r="BW762" s="136"/>
      <c r="BY762" s="12"/>
      <c r="CA762" s="12"/>
      <c r="CJ762" s="162"/>
      <c r="CR762" s="12"/>
      <c r="EX762" s="10" t="str">
        <f t="shared" si="933"/>
        <v/>
      </c>
    </row>
    <row r="763" spans="1:154" x14ac:dyDescent="0.25">
      <c r="A763" s="67"/>
      <c r="B763" s="84" t="str" cm="1">
        <f t="array" aca="1" ref="B763" ca="1">HYPERLINK(CONCATENATE("#",CELL("address",$D$199)),$D$199)</f>
        <v>Loan 9</v>
      </c>
      <c r="C763" s="380"/>
      <c r="D763" s="221">
        <f>D$21</f>
        <v>0</v>
      </c>
      <c r="E763" s="60">
        <f>E$21</f>
        <v>0</v>
      </c>
      <c r="F763" s="67"/>
      <c r="G763" s="67"/>
      <c r="H763" s="50" t="s">
        <v>157</v>
      </c>
      <c r="S763" s="335"/>
      <c r="T763" s="335"/>
      <c r="U763" s="335"/>
      <c r="V763" s="13">
        <f t="shared" si="926"/>
        <v>0</v>
      </c>
      <c r="W763" s="215">
        <f t="shared" si="927"/>
        <v>0</v>
      </c>
      <c r="X763" s="215">
        <f t="shared" si="927"/>
        <v>0</v>
      </c>
      <c r="Y763" s="215">
        <f t="shared" si="927"/>
        <v>0</v>
      </c>
      <c r="Z763" s="329"/>
      <c r="AA763" s="10">
        <f t="shared" ref="AA763:BJ763" si="941">IF(AA$4=0, AA577, 0-(Z809+AA694))</f>
        <v>0</v>
      </c>
      <c r="AB763" s="10">
        <f t="shared" si="941"/>
        <v>0</v>
      </c>
      <c r="AC763" s="10">
        <f t="shared" si="941"/>
        <v>0</v>
      </c>
      <c r="AD763" s="10">
        <f t="shared" si="941"/>
        <v>0</v>
      </c>
      <c r="AE763" s="10">
        <f t="shared" si="941"/>
        <v>0</v>
      </c>
      <c r="AF763" s="10">
        <f t="shared" si="941"/>
        <v>0</v>
      </c>
      <c r="AG763" s="10">
        <f t="shared" si="941"/>
        <v>0</v>
      </c>
      <c r="AH763" s="10">
        <f t="shared" si="941"/>
        <v>0</v>
      </c>
      <c r="AI763" s="10">
        <f t="shared" si="941"/>
        <v>0</v>
      </c>
      <c r="AJ763" s="10">
        <f t="shared" si="941"/>
        <v>0</v>
      </c>
      <c r="AK763" s="10">
        <f t="shared" si="941"/>
        <v>0</v>
      </c>
      <c r="AL763" s="10">
        <f t="shared" si="941"/>
        <v>0</v>
      </c>
      <c r="AM763" s="10">
        <f t="shared" si="941"/>
        <v>0</v>
      </c>
      <c r="AN763" s="10">
        <f t="shared" si="941"/>
        <v>0</v>
      </c>
      <c r="AO763" s="10">
        <f t="shared" si="941"/>
        <v>0</v>
      </c>
      <c r="AP763" s="10">
        <f t="shared" si="941"/>
        <v>0</v>
      </c>
      <c r="AQ763" s="10">
        <f t="shared" si="941"/>
        <v>0</v>
      </c>
      <c r="AR763" s="10">
        <f t="shared" si="941"/>
        <v>0</v>
      </c>
      <c r="AS763" s="10">
        <f t="shared" si="941"/>
        <v>0</v>
      </c>
      <c r="AT763" s="10">
        <f t="shared" si="941"/>
        <v>0</v>
      </c>
      <c r="AU763" s="10">
        <f t="shared" si="941"/>
        <v>0</v>
      </c>
      <c r="AV763" s="10">
        <f t="shared" si="941"/>
        <v>0</v>
      </c>
      <c r="AW763" s="10">
        <f t="shared" si="941"/>
        <v>0</v>
      </c>
      <c r="AX763" s="10">
        <f t="shared" si="941"/>
        <v>0</v>
      </c>
      <c r="AY763" s="10">
        <f t="shared" si="941"/>
        <v>0</v>
      </c>
      <c r="AZ763" s="10">
        <f t="shared" si="941"/>
        <v>0</v>
      </c>
      <c r="BA763" s="10">
        <f t="shared" si="941"/>
        <v>0</v>
      </c>
      <c r="BB763" s="10">
        <f t="shared" si="941"/>
        <v>0</v>
      </c>
      <c r="BC763" s="10">
        <f t="shared" si="941"/>
        <v>0</v>
      </c>
      <c r="BD763" s="10">
        <f t="shared" si="941"/>
        <v>0</v>
      </c>
      <c r="BE763" s="10">
        <f t="shared" si="941"/>
        <v>0</v>
      </c>
      <c r="BF763" s="10">
        <f t="shared" si="941"/>
        <v>0</v>
      </c>
      <c r="BG763" s="10">
        <f t="shared" si="941"/>
        <v>0</v>
      </c>
      <c r="BH763" s="10">
        <f t="shared" si="941"/>
        <v>0</v>
      </c>
      <c r="BI763" s="10">
        <f t="shared" si="941"/>
        <v>0</v>
      </c>
      <c r="BJ763" s="10">
        <f t="shared" si="941"/>
        <v>0</v>
      </c>
      <c r="BL763" s="13">
        <f t="shared" si="929"/>
        <v>0</v>
      </c>
      <c r="BM763" s="13">
        <f t="shared" si="930"/>
        <v>0</v>
      </c>
      <c r="BN763" s="13">
        <f t="shared" si="931"/>
        <v>0</v>
      </c>
      <c r="BO763" s="13">
        <f t="shared" si="932"/>
        <v>0</v>
      </c>
      <c r="BP763" s="136"/>
      <c r="BQ763" s="136"/>
      <c r="BR763" s="136"/>
      <c r="BS763" s="136"/>
      <c r="BT763" s="136"/>
      <c r="BU763" s="136"/>
      <c r="BV763" s="136"/>
      <c r="BW763" s="136"/>
      <c r="BY763" s="12"/>
      <c r="CA763" s="12"/>
      <c r="CJ763" s="162"/>
      <c r="CR763" s="12"/>
      <c r="EX763" s="10" t="str">
        <f t="shared" si="933"/>
        <v/>
      </c>
    </row>
    <row r="764" spans="1:154" x14ac:dyDescent="0.25">
      <c r="A764" s="67"/>
      <c r="B764" s="84" t="str" cm="1">
        <f t="array" aca="1" ref="B764" ca="1">HYPERLINK(CONCATENATE("#",CELL("address",$D$218)),$D$218)</f>
        <v>Loan 10</v>
      </c>
      <c r="C764" s="380"/>
      <c r="D764" s="221">
        <f>D$22</f>
        <v>0</v>
      </c>
      <c r="E764" s="60">
        <f>E$22</f>
        <v>0</v>
      </c>
      <c r="F764" s="67"/>
      <c r="G764" s="67"/>
      <c r="H764" s="50" t="s">
        <v>157</v>
      </c>
      <c r="S764" s="335"/>
      <c r="T764" s="335"/>
      <c r="U764" s="335"/>
      <c r="V764" s="13">
        <f t="shared" si="926"/>
        <v>0</v>
      </c>
      <c r="W764" s="215">
        <f t="shared" si="927"/>
        <v>0</v>
      </c>
      <c r="X764" s="215">
        <f t="shared" si="927"/>
        <v>0</v>
      </c>
      <c r="Y764" s="215">
        <f t="shared" si="927"/>
        <v>0</v>
      </c>
      <c r="Z764" s="329"/>
      <c r="AA764" s="10">
        <f t="shared" ref="AA764:BJ764" si="942">IF(AA$4=0, AA578, 0-(Z810+AA695))</f>
        <v>0</v>
      </c>
      <c r="AB764" s="10">
        <f t="shared" si="942"/>
        <v>0</v>
      </c>
      <c r="AC764" s="10">
        <f t="shared" si="942"/>
        <v>0</v>
      </c>
      <c r="AD764" s="10">
        <f t="shared" si="942"/>
        <v>0</v>
      </c>
      <c r="AE764" s="10">
        <f t="shared" si="942"/>
        <v>0</v>
      </c>
      <c r="AF764" s="10">
        <f t="shared" si="942"/>
        <v>0</v>
      </c>
      <c r="AG764" s="10">
        <f t="shared" si="942"/>
        <v>0</v>
      </c>
      <c r="AH764" s="10">
        <f t="shared" si="942"/>
        <v>0</v>
      </c>
      <c r="AI764" s="10">
        <f t="shared" si="942"/>
        <v>0</v>
      </c>
      <c r="AJ764" s="10">
        <f t="shared" si="942"/>
        <v>0</v>
      </c>
      <c r="AK764" s="10">
        <f t="shared" si="942"/>
        <v>0</v>
      </c>
      <c r="AL764" s="10">
        <f t="shared" si="942"/>
        <v>0</v>
      </c>
      <c r="AM764" s="10">
        <f t="shared" si="942"/>
        <v>0</v>
      </c>
      <c r="AN764" s="10">
        <f t="shared" si="942"/>
        <v>0</v>
      </c>
      <c r="AO764" s="10">
        <f t="shared" si="942"/>
        <v>0</v>
      </c>
      <c r="AP764" s="10">
        <f t="shared" si="942"/>
        <v>0</v>
      </c>
      <c r="AQ764" s="10">
        <f t="shared" si="942"/>
        <v>0</v>
      </c>
      <c r="AR764" s="10">
        <f t="shared" si="942"/>
        <v>0</v>
      </c>
      <c r="AS764" s="10">
        <f t="shared" si="942"/>
        <v>0</v>
      </c>
      <c r="AT764" s="10">
        <f t="shared" si="942"/>
        <v>0</v>
      </c>
      <c r="AU764" s="10">
        <f t="shared" si="942"/>
        <v>0</v>
      </c>
      <c r="AV764" s="10">
        <f t="shared" si="942"/>
        <v>0</v>
      </c>
      <c r="AW764" s="10">
        <f t="shared" si="942"/>
        <v>0</v>
      </c>
      <c r="AX764" s="10">
        <f t="shared" si="942"/>
        <v>0</v>
      </c>
      <c r="AY764" s="10">
        <f t="shared" si="942"/>
        <v>0</v>
      </c>
      <c r="AZ764" s="10">
        <f t="shared" si="942"/>
        <v>0</v>
      </c>
      <c r="BA764" s="10">
        <f t="shared" si="942"/>
        <v>0</v>
      </c>
      <c r="BB764" s="10">
        <f t="shared" si="942"/>
        <v>0</v>
      </c>
      <c r="BC764" s="10">
        <f t="shared" si="942"/>
        <v>0</v>
      </c>
      <c r="BD764" s="10">
        <f t="shared" si="942"/>
        <v>0</v>
      </c>
      <c r="BE764" s="10">
        <f t="shared" si="942"/>
        <v>0</v>
      </c>
      <c r="BF764" s="10">
        <f t="shared" si="942"/>
        <v>0</v>
      </c>
      <c r="BG764" s="10">
        <f t="shared" si="942"/>
        <v>0</v>
      </c>
      <c r="BH764" s="10">
        <f t="shared" si="942"/>
        <v>0</v>
      </c>
      <c r="BI764" s="10">
        <f t="shared" si="942"/>
        <v>0</v>
      </c>
      <c r="BJ764" s="10">
        <f t="shared" si="942"/>
        <v>0</v>
      </c>
      <c r="BL764" s="13">
        <f t="shared" si="929"/>
        <v>0</v>
      </c>
      <c r="BM764" s="13">
        <f t="shared" si="930"/>
        <v>0</v>
      </c>
      <c r="BN764" s="13">
        <f t="shared" si="931"/>
        <v>0</v>
      </c>
      <c r="BO764" s="13">
        <f t="shared" si="932"/>
        <v>0</v>
      </c>
      <c r="BP764" s="136"/>
      <c r="BQ764" s="136"/>
      <c r="BR764" s="136"/>
      <c r="BS764" s="136"/>
      <c r="BT764" s="136"/>
      <c r="BU764" s="136"/>
      <c r="BV764" s="136"/>
      <c r="BW764" s="136"/>
      <c r="BY764" s="12"/>
      <c r="CA764" s="12"/>
      <c r="CJ764" s="162"/>
      <c r="CR764" s="12"/>
      <c r="EX764" s="10" t="str">
        <f t="shared" si="933"/>
        <v/>
      </c>
    </row>
    <row r="765" spans="1:154" x14ac:dyDescent="0.25">
      <c r="A765" s="67"/>
      <c r="B765" s="84" t="str" cm="1">
        <f t="array" aca="1" ref="B765" ca="1">HYPERLINK(CONCATENATE("#",CELL("address",$D$237)),$D$237)</f>
        <v>Loan 11</v>
      </c>
      <c r="C765" s="380"/>
      <c r="D765" s="221">
        <f>D$23</f>
        <v>0</v>
      </c>
      <c r="E765" s="60">
        <f>E$23</f>
        <v>0</v>
      </c>
      <c r="F765" s="67"/>
      <c r="G765" s="67"/>
      <c r="H765" s="50" t="s">
        <v>157</v>
      </c>
      <c r="S765" s="335"/>
      <c r="T765" s="335"/>
      <c r="U765" s="335"/>
      <c r="V765" s="13">
        <f t="shared" si="926"/>
        <v>0</v>
      </c>
      <c r="W765" s="215">
        <f t="shared" si="927"/>
        <v>0</v>
      </c>
      <c r="X765" s="215">
        <f t="shared" si="927"/>
        <v>0</v>
      </c>
      <c r="Y765" s="215">
        <f t="shared" si="927"/>
        <v>0</v>
      </c>
      <c r="Z765" s="329"/>
      <c r="AA765" s="10">
        <f t="shared" ref="AA765:BJ765" si="943">IF(AA$4=0, AA579, 0-(Z811+AA696))</f>
        <v>0</v>
      </c>
      <c r="AB765" s="10">
        <f t="shared" si="943"/>
        <v>0</v>
      </c>
      <c r="AC765" s="10">
        <f t="shared" si="943"/>
        <v>0</v>
      </c>
      <c r="AD765" s="10">
        <f t="shared" si="943"/>
        <v>0</v>
      </c>
      <c r="AE765" s="10">
        <f t="shared" si="943"/>
        <v>0</v>
      </c>
      <c r="AF765" s="10">
        <f t="shared" si="943"/>
        <v>0</v>
      </c>
      <c r="AG765" s="10">
        <f t="shared" si="943"/>
        <v>0</v>
      </c>
      <c r="AH765" s="10">
        <f t="shared" si="943"/>
        <v>0</v>
      </c>
      <c r="AI765" s="10">
        <f t="shared" si="943"/>
        <v>0</v>
      </c>
      <c r="AJ765" s="10">
        <f t="shared" si="943"/>
        <v>0</v>
      </c>
      <c r="AK765" s="10">
        <f t="shared" si="943"/>
        <v>0</v>
      </c>
      <c r="AL765" s="10">
        <f t="shared" si="943"/>
        <v>0</v>
      </c>
      <c r="AM765" s="10">
        <f t="shared" si="943"/>
        <v>0</v>
      </c>
      <c r="AN765" s="10">
        <f t="shared" si="943"/>
        <v>0</v>
      </c>
      <c r="AO765" s="10">
        <f t="shared" si="943"/>
        <v>0</v>
      </c>
      <c r="AP765" s="10">
        <f t="shared" si="943"/>
        <v>0</v>
      </c>
      <c r="AQ765" s="10">
        <f t="shared" si="943"/>
        <v>0</v>
      </c>
      <c r="AR765" s="10">
        <f t="shared" si="943"/>
        <v>0</v>
      </c>
      <c r="AS765" s="10">
        <f t="shared" si="943"/>
        <v>0</v>
      </c>
      <c r="AT765" s="10">
        <f t="shared" si="943"/>
        <v>0</v>
      </c>
      <c r="AU765" s="10">
        <f t="shared" si="943"/>
        <v>0</v>
      </c>
      <c r="AV765" s="10">
        <f t="shared" si="943"/>
        <v>0</v>
      </c>
      <c r="AW765" s="10">
        <f t="shared" si="943"/>
        <v>0</v>
      </c>
      <c r="AX765" s="10">
        <f t="shared" si="943"/>
        <v>0</v>
      </c>
      <c r="AY765" s="10">
        <f t="shared" si="943"/>
        <v>0</v>
      </c>
      <c r="AZ765" s="10">
        <f t="shared" si="943"/>
        <v>0</v>
      </c>
      <c r="BA765" s="10">
        <f t="shared" si="943"/>
        <v>0</v>
      </c>
      <c r="BB765" s="10">
        <f t="shared" si="943"/>
        <v>0</v>
      </c>
      <c r="BC765" s="10">
        <f t="shared" si="943"/>
        <v>0</v>
      </c>
      <c r="BD765" s="10">
        <f t="shared" si="943"/>
        <v>0</v>
      </c>
      <c r="BE765" s="10">
        <f t="shared" si="943"/>
        <v>0</v>
      </c>
      <c r="BF765" s="10">
        <f t="shared" si="943"/>
        <v>0</v>
      </c>
      <c r="BG765" s="10">
        <f t="shared" si="943"/>
        <v>0</v>
      </c>
      <c r="BH765" s="10">
        <f t="shared" si="943"/>
        <v>0</v>
      </c>
      <c r="BI765" s="10">
        <f t="shared" si="943"/>
        <v>0</v>
      </c>
      <c r="BJ765" s="10">
        <f t="shared" si="943"/>
        <v>0</v>
      </c>
      <c r="BL765" s="13">
        <f t="shared" si="929"/>
        <v>0</v>
      </c>
      <c r="BM765" s="13">
        <f t="shared" si="930"/>
        <v>0</v>
      </c>
      <c r="BN765" s="13">
        <f t="shared" si="931"/>
        <v>0</v>
      </c>
      <c r="BO765" s="13">
        <f t="shared" si="932"/>
        <v>0</v>
      </c>
      <c r="BP765" s="136"/>
      <c r="BQ765" s="136"/>
      <c r="BR765" s="136"/>
      <c r="BS765" s="136"/>
      <c r="BT765" s="136"/>
      <c r="BU765" s="136"/>
      <c r="BV765" s="136"/>
      <c r="BW765" s="136"/>
      <c r="BY765" s="12"/>
      <c r="CA765" s="12"/>
      <c r="CJ765" s="162"/>
      <c r="CR765" s="12"/>
      <c r="EX765" s="10" t="str">
        <f t="shared" si="933"/>
        <v/>
      </c>
    </row>
    <row r="766" spans="1:154" x14ac:dyDescent="0.25">
      <c r="A766" s="67"/>
      <c r="B766" s="84" t="str" cm="1">
        <f t="array" aca="1" ref="B766" ca="1">HYPERLINK(CONCATENATE("#",CELL("address",$D$256)),$D$256)</f>
        <v>Loan 12</v>
      </c>
      <c r="C766" s="380"/>
      <c r="D766" s="221">
        <f>D$24</f>
        <v>0</v>
      </c>
      <c r="E766" s="60">
        <f>E$24</f>
        <v>0</v>
      </c>
      <c r="F766" s="67"/>
      <c r="G766" s="67"/>
      <c r="H766" s="50" t="s">
        <v>157</v>
      </c>
      <c r="S766" s="335"/>
      <c r="T766" s="335"/>
      <c r="U766" s="335"/>
      <c r="V766" s="13">
        <f t="shared" si="926"/>
        <v>0</v>
      </c>
      <c r="W766" s="215">
        <f t="shared" si="927"/>
        <v>0</v>
      </c>
      <c r="X766" s="215">
        <f t="shared" si="927"/>
        <v>0</v>
      </c>
      <c r="Y766" s="215">
        <f t="shared" si="927"/>
        <v>0</v>
      </c>
      <c r="Z766" s="329"/>
      <c r="AA766" s="10">
        <f t="shared" ref="AA766:BJ766" si="944">IF(AA$4=0, AA580, 0-(Z812+AA697))</f>
        <v>0</v>
      </c>
      <c r="AB766" s="10">
        <f t="shared" si="944"/>
        <v>0</v>
      </c>
      <c r="AC766" s="10">
        <f t="shared" si="944"/>
        <v>0</v>
      </c>
      <c r="AD766" s="10">
        <f t="shared" si="944"/>
        <v>0</v>
      </c>
      <c r="AE766" s="10">
        <f t="shared" si="944"/>
        <v>0</v>
      </c>
      <c r="AF766" s="10">
        <f t="shared" si="944"/>
        <v>0</v>
      </c>
      <c r="AG766" s="10">
        <f t="shared" si="944"/>
        <v>0</v>
      </c>
      <c r="AH766" s="10">
        <f t="shared" si="944"/>
        <v>0</v>
      </c>
      <c r="AI766" s="10">
        <f t="shared" si="944"/>
        <v>0</v>
      </c>
      <c r="AJ766" s="10">
        <f t="shared" si="944"/>
        <v>0</v>
      </c>
      <c r="AK766" s="10">
        <f t="shared" si="944"/>
        <v>0</v>
      </c>
      <c r="AL766" s="10">
        <f t="shared" si="944"/>
        <v>0</v>
      </c>
      <c r="AM766" s="10">
        <f t="shared" si="944"/>
        <v>0</v>
      </c>
      <c r="AN766" s="10">
        <f t="shared" si="944"/>
        <v>0</v>
      </c>
      <c r="AO766" s="10">
        <f t="shared" si="944"/>
        <v>0</v>
      </c>
      <c r="AP766" s="10">
        <f t="shared" si="944"/>
        <v>0</v>
      </c>
      <c r="AQ766" s="10">
        <f t="shared" si="944"/>
        <v>0</v>
      </c>
      <c r="AR766" s="10">
        <f t="shared" si="944"/>
        <v>0</v>
      </c>
      <c r="AS766" s="10">
        <f t="shared" si="944"/>
        <v>0</v>
      </c>
      <c r="AT766" s="10">
        <f t="shared" si="944"/>
        <v>0</v>
      </c>
      <c r="AU766" s="10">
        <f t="shared" si="944"/>
        <v>0</v>
      </c>
      <c r="AV766" s="10">
        <f t="shared" si="944"/>
        <v>0</v>
      </c>
      <c r="AW766" s="10">
        <f t="shared" si="944"/>
        <v>0</v>
      </c>
      <c r="AX766" s="10">
        <f t="shared" si="944"/>
        <v>0</v>
      </c>
      <c r="AY766" s="10">
        <f t="shared" si="944"/>
        <v>0</v>
      </c>
      <c r="AZ766" s="10">
        <f t="shared" si="944"/>
        <v>0</v>
      </c>
      <c r="BA766" s="10">
        <f t="shared" si="944"/>
        <v>0</v>
      </c>
      <c r="BB766" s="10">
        <f t="shared" si="944"/>
        <v>0</v>
      </c>
      <c r="BC766" s="10">
        <f t="shared" si="944"/>
        <v>0</v>
      </c>
      <c r="BD766" s="10">
        <f t="shared" si="944"/>
        <v>0</v>
      </c>
      <c r="BE766" s="10">
        <f t="shared" si="944"/>
        <v>0</v>
      </c>
      <c r="BF766" s="10">
        <f t="shared" si="944"/>
        <v>0</v>
      </c>
      <c r="BG766" s="10">
        <f t="shared" si="944"/>
        <v>0</v>
      </c>
      <c r="BH766" s="10">
        <f t="shared" si="944"/>
        <v>0</v>
      </c>
      <c r="BI766" s="10">
        <f t="shared" si="944"/>
        <v>0</v>
      </c>
      <c r="BJ766" s="10">
        <f t="shared" si="944"/>
        <v>0</v>
      </c>
      <c r="BL766" s="13">
        <f t="shared" si="929"/>
        <v>0</v>
      </c>
      <c r="BM766" s="13">
        <f t="shared" si="930"/>
        <v>0</v>
      </c>
      <c r="BN766" s="13">
        <f t="shared" si="931"/>
        <v>0</v>
      </c>
      <c r="BO766" s="13">
        <f t="shared" si="932"/>
        <v>0</v>
      </c>
      <c r="BP766" s="136"/>
      <c r="BQ766" s="136"/>
      <c r="BR766" s="136"/>
      <c r="BS766" s="136"/>
      <c r="BT766" s="136"/>
      <c r="BU766" s="136"/>
      <c r="BV766" s="136"/>
      <c r="BW766" s="136"/>
      <c r="BY766" s="12"/>
      <c r="CA766" s="12"/>
      <c r="CJ766" s="162"/>
      <c r="CR766" s="12"/>
      <c r="EX766" s="10" t="str">
        <f t="shared" si="933"/>
        <v/>
      </c>
    </row>
    <row r="767" spans="1:154" x14ac:dyDescent="0.25">
      <c r="A767" s="67"/>
      <c r="B767" s="84" t="str" cm="1">
        <f t="array" aca="1" ref="B767" ca="1">HYPERLINK(CONCATENATE("#",CELL("address",$D$275)),$D$275)</f>
        <v>Loan 13</v>
      </c>
      <c r="C767" s="380"/>
      <c r="D767" s="221">
        <f>D$25</f>
        <v>0</v>
      </c>
      <c r="E767" s="60">
        <f>E$25</f>
        <v>0</v>
      </c>
      <c r="F767" s="67"/>
      <c r="G767" s="67"/>
      <c r="H767" s="50" t="s">
        <v>157</v>
      </c>
      <c r="S767" s="335"/>
      <c r="T767" s="335"/>
      <c r="U767" s="335"/>
      <c r="V767" s="13">
        <f t="shared" si="926"/>
        <v>0</v>
      </c>
      <c r="W767" s="215">
        <f t="shared" si="927"/>
        <v>0</v>
      </c>
      <c r="X767" s="215">
        <f t="shared" si="927"/>
        <v>0</v>
      </c>
      <c r="Y767" s="215">
        <f t="shared" si="927"/>
        <v>0</v>
      </c>
      <c r="Z767" s="329"/>
      <c r="AA767" s="10">
        <f t="shared" ref="AA767:BJ767" si="945">IF(AA$4=0, AA581, 0-(Z813+AA698))</f>
        <v>0</v>
      </c>
      <c r="AB767" s="10">
        <f t="shared" si="945"/>
        <v>0</v>
      </c>
      <c r="AC767" s="10">
        <f t="shared" si="945"/>
        <v>0</v>
      </c>
      <c r="AD767" s="10">
        <f t="shared" si="945"/>
        <v>0</v>
      </c>
      <c r="AE767" s="10">
        <f t="shared" si="945"/>
        <v>0</v>
      </c>
      <c r="AF767" s="10">
        <f t="shared" si="945"/>
        <v>0</v>
      </c>
      <c r="AG767" s="10">
        <f t="shared" si="945"/>
        <v>0</v>
      </c>
      <c r="AH767" s="10">
        <f t="shared" si="945"/>
        <v>0</v>
      </c>
      <c r="AI767" s="10">
        <f t="shared" si="945"/>
        <v>0</v>
      </c>
      <c r="AJ767" s="10">
        <f t="shared" si="945"/>
        <v>0</v>
      </c>
      <c r="AK767" s="10">
        <f t="shared" si="945"/>
        <v>0</v>
      </c>
      <c r="AL767" s="10">
        <f t="shared" si="945"/>
        <v>0</v>
      </c>
      <c r="AM767" s="10">
        <f t="shared" si="945"/>
        <v>0</v>
      </c>
      <c r="AN767" s="10">
        <f t="shared" si="945"/>
        <v>0</v>
      </c>
      <c r="AO767" s="10">
        <f t="shared" si="945"/>
        <v>0</v>
      </c>
      <c r="AP767" s="10">
        <f t="shared" si="945"/>
        <v>0</v>
      </c>
      <c r="AQ767" s="10">
        <f t="shared" si="945"/>
        <v>0</v>
      </c>
      <c r="AR767" s="10">
        <f t="shared" si="945"/>
        <v>0</v>
      </c>
      <c r="AS767" s="10">
        <f t="shared" si="945"/>
        <v>0</v>
      </c>
      <c r="AT767" s="10">
        <f t="shared" si="945"/>
        <v>0</v>
      </c>
      <c r="AU767" s="10">
        <f t="shared" si="945"/>
        <v>0</v>
      </c>
      <c r="AV767" s="10">
        <f t="shared" si="945"/>
        <v>0</v>
      </c>
      <c r="AW767" s="10">
        <f t="shared" si="945"/>
        <v>0</v>
      </c>
      <c r="AX767" s="10">
        <f t="shared" si="945"/>
        <v>0</v>
      </c>
      <c r="AY767" s="10">
        <f t="shared" si="945"/>
        <v>0</v>
      </c>
      <c r="AZ767" s="10">
        <f t="shared" si="945"/>
        <v>0</v>
      </c>
      <c r="BA767" s="10">
        <f t="shared" si="945"/>
        <v>0</v>
      </c>
      <c r="BB767" s="10">
        <f t="shared" si="945"/>
        <v>0</v>
      </c>
      <c r="BC767" s="10">
        <f t="shared" si="945"/>
        <v>0</v>
      </c>
      <c r="BD767" s="10">
        <f t="shared" si="945"/>
        <v>0</v>
      </c>
      <c r="BE767" s="10">
        <f t="shared" si="945"/>
        <v>0</v>
      </c>
      <c r="BF767" s="10">
        <f t="shared" si="945"/>
        <v>0</v>
      </c>
      <c r="BG767" s="10">
        <f t="shared" si="945"/>
        <v>0</v>
      </c>
      <c r="BH767" s="10">
        <f t="shared" si="945"/>
        <v>0</v>
      </c>
      <c r="BI767" s="10">
        <f t="shared" si="945"/>
        <v>0</v>
      </c>
      <c r="BJ767" s="10">
        <f t="shared" si="945"/>
        <v>0</v>
      </c>
      <c r="BL767" s="13">
        <f t="shared" si="929"/>
        <v>0</v>
      </c>
      <c r="BM767" s="13">
        <f t="shared" si="930"/>
        <v>0</v>
      </c>
      <c r="BN767" s="13">
        <f t="shared" si="931"/>
        <v>0</v>
      </c>
      <c r="BO767" s="13">
        <f t="shared" si="932"/>
        <v>0</v>
      </c>
      <c r="BP767" s="136"/>
      <c r="BQ767" s="136"/>
      <c r="BR767" s="136"/>
      <c r="BS767" s="136"/>
      <c r="BT767" s="136"/>
      <c r="BU767" s="136"/>
      <c r="BV767" s="136"/>
      <c r="BW767" s="136"/>
      <c r="BY767" s="12"/>
      <c r="CA767" s="12"/>
      <c r="CJ767" s="162"/>
      <c r="CR767" s="12"/>
      <c r="EX767" s="10" t="str">
        <f t="shared" si="933"/>
        <v/>
      </c>
    </row>
    <row r="768" spans="1:154" s="5" customFormat="1" x14ac:dyDescent="0.25">
      <c r="A768" s="67"/>
      <c r="B768" s="84" t="str" cm="1">
        <f t="array" aca="1" ref="B768" ca="1">HYPERLINK(CONCATENATE("#",CELL("address",$D$294)),$D$294)</f>
        <v>Loan 14</v>
      </c>
      <c r="C768" s="380"/>
      <c r="D768" s="221">
        <f>D$26</f>
        <v>0</v>
      </c>
      <c r="E768" s="60">
        <f>E$26</f>
        <v>0</v>
      </c>
      <c r="F768" s="67"/>
      <c r="G768" s="67"/>
      <c r="H768" s="50" t="s">
        <v>157</v>
      </c>
      <c r="I768" s="11"/>
      <c r="J768" s="11"/>
      <c r="K768" s="11"/>
      <c r="L768" s="11"/>
      <c r="M768" s="11"/>
      <c r="N768" s="11"/>
      <c r="O768" s="11"/>
      <c r="P768" s="11"/>
      <c r="Q768" s="11"/>
      <c r="R768" s="11"/>
      <c r="S768" s="335"/>
      <c r="T768" s="335"/>
      <c r="U768" s="335"/>
      <c r="V768" s="13">
        <f t="shared" si="926"/>
        <v>0</v>
      </c>
      <c r="W768" s="215">
        <f t="shared" si="927"/>
        <v>0</v>
      </c>
      <c r="X768" s="215">
        <f t="shared" si="927"/>
        <v>0</v>
      </c>
      <c r="Y768" s="215">
        <f t="shared" si="927"/>
        <v>0</v>
      </c>
      <c r="Z768" s="329"/>
      <c r="AA768" s="10">
        <f t="shared" ref="AA768:BJ768" si="946">IF(AA$4=0, AA582, 0-(Z814+AA699))</f>
        <v>0</v>
      </c>
      <c r="AB768" s="10">
        <f t="shared" si="946"/>
        <v>0</v>
      </c>
      <c r="AC768" s="10">
        <f t="shared" si="946"/>
        <v>0</v>
      </c>
      <c r="AD768" s="10">
        <f t="shared" si="946"/>
        <v>0</v>
      </c>
      <c r="AE768" s="10">
        <f t="shared" si="946"/>
        <v>0</v>
      </c>
      <c r="AF768" s="10">
        <f t="shared" si="946"/>
        <v>0</v>
      </c>
      <c r="AG768" s="10">
        <f t="shared" si="946"/>
        <v>0</v>
      </c>
      <c r="AH768" s="10">
        <f t="shared" si="946"/>
        <v>0</v>
      </c>
      <c r="AI768" s="10">
        <f t="shared" si="946"/>
        <v>0</v>
      </c>
      <c r="AJ768" s="10">
        <f t="shared" si="946"/>
        <v>0</v>
      </c>
      <c r="AK768" s="10">
        <f t="shared" si="946"/>
        <v>0</v>
      </c>
      <c r="AL768" s="10">
        <f t="shared" si="946"/>
        <v>0</v>
      </c>
      <c r="AM768" s="10">
        <f t="shared" si="946"/>
        <v>0</v>
      </c>
      <c r="AN768" s="10">
        <f t="shared" si="946"/>
        <v>0</v>
      </c>
      <c r="AO768" s="10">
        <f t="shared" si="946"/>
        <v>0</v>
      </c>
      <c r="AP768" s="10">
        <f t="shared" si="946"/>
        <v>0</v>
      </c>
      <c r="AQ768" s="10">
        <f t="shared" si="946"/>
        <v>0</v>
      </c>
      <c r="AR768" s="10">
        <f t="shared" si="946"/>
        <v>0</v>
      </c>
      <c r="AS768" s="10">
        <f t="shared" si="946"/>
        <v>0</v>
      </c>
      <c r="AT768" s="10">
        <f t="shared" si="946"/>
        <v>0</v>
      </c>
      <c r="AU768" s="10">
        <f t="shared" si="946"/>
        <v>0</v>
      </c>
      <c r="AV768" s="10">
        <f t="shared" si="946"/>
        <v>0</v>
      </c>
      <c r="AW768" s="10">
        <f t="shared" si="946"/>
        <v>0</v>
      </c>
      <c r="AX768" s="10">
        <f t="shared" si="946"/>
        <v>0</v>
      </c>
      <c r="AY768" s="10">
        <f t="shared" si="946"/>
        <v>0</v>
      </c>
      <c r="AZ768" s="10">
        <f t="shared" si="946"/>
        <v>0</v>
      </c>
      <c r="BA768" s="10">
        <f t="shared" si="946"/>
        <v>0</v>
      </c>
      <c r="BB768" s="10">
        <f t="shared" si="946"/>
        <v>0</v>
      </c>
      <c r="BC768" s="10">
        <f t="shared" si="946"/>
        <v>0</v>
      </c>
      <c r="BD768" s="10">
        <f t="shared" si="946"/>
        <v>0</v>
      </c>
      <c r="BE768" s="10">
        <f t="shared" si="946"/>
        <v>0</v>
      </c>
      <c r="BF768" s="10">
        <f t="shared" si="946"/>
        <v>0</v>
      </c>
      <c r="BG768" s="10">
        <f t="shared" si="946"/>
        <v>0</v>
      </c>
      <c r="BH768" s="10">
        <f t="shared" si="946"/>
        <v>0</v>
      </c>
      <c r="BI768" s="10">
        <f t="shared" si="946"/>
        <v>0</v>
      </c>
      <c r="BJ768" s="10">
        <f t="shared" si="946"/>
        <v>0</v>
      </c>
      <c r="BK768" s="11"/>
      <c r="BL768" s="13">
        <f t="shared" si="929"/>
        <v>0</v>
      </c>
      <c r="BM768" s="13">
        <f t="shared" si="930"/>
        <v>0</v>
      </c>
      <c r="BN768" s="13">
        <f t="shared" si="931"/>
        <v>0</v>
      </c>
      <c r="BO768" s="13">
        <f t="shared" si="932"/>
        <v>0</v>
      </c>
      <c r="BP768" s="136"/>
      <c r="BQ768" s="136"/>
      <c r="BR768" s="136"/>
      <c r="BS768" s="136"/>
      <c r="BT768" s="136"/>
      <c r="BU768" s="136"/>
      <c r="BV768" s="136"/>
      <c r="BW768" s="136"/>
      <c r="BX768" s="11"/>
      <c r="BY768" s="12"/>
      <c r="BZ768" s="335"/>
      <c r="CA768" s="12"/>
      <c r="CB768" s="335"/>
      <c r="CC768" s="335"/>
      <c r="CD768" s="335"/>
      <c r="CE768" s="335"/>
      <c r="CF768" s="67"/>
      <c r="CG768" s="11"/>
      <c r="CH768" s="11"/>
      <c r="CI768" s="11"/>
      <c r="CJ768" s="162"/>
      <c r="CK768" s="11"/>
      <c r="CL768" s="11"/>
      <c r="CM768" s="335"/>
      <c r="CN768" s="335"/>
      <c r="CO768" s="335"/>
      <c r="CP768" s="335"/>
      <c r="CQ768" s="67"/>
      <c r="CR768" s="12"/>
      <c r="EX768" s="10" t="str">
        <f t="shared" si="933"/>
        <v/>
      </c>
    </row>
    <row r="769" spans="1:154" x14ac:dyDescent="0.25">
      <c r="A769" s="67"/>
      <c r="B769" s="84" t="str" cm="1">
        <f t="array" aca="1" ref="B769" ca="1">HYPERLINK(CONCATENATE("#",CELL("address",$D$313)),$D$313)</f>
        <v>Loan 15</v>
      </c>
      <c r="C769" s="380"/>
      <c r="D769" s="221">
        <f>D$27</f>
        <v>0</v>
      </c>
      <c r="E769" s="60">
        <f>E$27</f>
        <v>0</v>
      </c>
      <c r="F769" s="67"/>
      <c r="G769" s="67"/>
      <c r="H769" s="50" t="s">
        <v>157</v>
      </c>
      <c r="S769" s="335"/>
      <c r="T769" s="335"/>
      <c r="U769" s="335"/>
      <c r="V769" s="13">
        <f t="shared" si="926"/>
        <v>0</v>
      </c>
      <c r="W769" s="215">
        <f t="shared" si="927"/>
        <v>0</v>
      </c>
      <c r="X769" s="215">
        <f t="shared" si="927"/>
        <v>0</v>
      </c>
      <c r="Y769" s="215">
        <f t="shared" si="927"/>
        <v>0</v>
      </c>
      <c r="Z769" s="329"/>
      <c r="AA769" s="10">
        <f t="shared" ref="AA769:BJ769" si="947">IF(AA$4=0, AA583, 0-(Z815+AA700))</f>
        <v>0</v>
      </c>
      <c r="AB769" s="10">
        <f t="shared" si="947"/>
        <v>0</v>
      </c>
      <c r="AC769" s="10">
        <f t="shared" si="947"/>
        <v>0</v>
      </c>
      <c r="AD769" s="10">
        <f t="shared" si="947"/>
        <v>0</v>
      </c>
      <c r="AE769" s="10">
        <f t="shared" si="947"/>
        <v>0</v>
      </c>
      <c r="AF769" s="10">
        <f t="shared" si="947"/>
        <v>0</v>
      </c>
      <c r="AG769" s="10">
        <f t="shared" si="947"/>
        <v>0</v>
      </c>
      <c r="AH769" s="10">
        <f t="shared" si="947"/>
        <v>0</v>
      </c>
      <c r="AI769" s="10">
        <f t="shared" si="947"/>
        <v>0</v>
      </c>
      <c r="AJ769" s="10">
        <f t="shared" si="947"/>
        <v>0</v>
      </c>
      <c r="AK769" s="10">
        <f t="shared" si="947"/>
        <v>0</v>
      </c>
      <c r="AL769" s="10">
        <f t="shared" si="947"/>
        <v>0</v>
      </c>
      <c r="AM769" s="10">
        <f t="shared" si="947"/>
        <v>0</v>
      </c>
      <c r="AN769" s="10">
        <f t="shared" si="947"/>
        <v>0</v>
      </c>
      <c r="AO769" s="10">
        <f t="shared" si="947"/>
        <v>0</v>
      </c>
      <c r="AP769" s="10">
        <f t="shared" si="947"/>
        <v>0</v>
      </c>
      <c r="AQ769" s="10">
        <f t="shared" si="947"/>
        <v>0</v>
      </c>
      <c r="AR769" s="10">
        <f t="shared" si="947"/>
        <v>0</v>
      </c>
      <c r="AS769" s="10">
        <f t="shared" si="947"/>
        <v>0</v>
      </c>
      <c r="AT769" s="10">
        <f t="shared" si="947"/>
        <v>0</v>
      </c>
      <c r="AU769" s="10">
        <f t="shared" si="947"/>
        <v>0</v>
      </c>
      <c r="AV769" s="10">
        <f t="shared" si="947"/>
        <v>0</v>
      </c>
      <c r="AW769" s="10">
        <f t="shared" si="947"/>
        <v>0</v>
      </c>
      <c r="AX769" s="10">
        <f t="shared" si="947"/>
        <v>0</v>
      </c>
      <c r="AY769" s="10">
        <f t="shared" si="947"/>
        <v>0</v>
      </c>
      <c r="AZ769" s="10">
        <f t="shared" si="947"/>
        <v>0</v>
      </c>
      <c r="BA769" s="10">
        <f t="shared" si="947"/>
        <v>0</v>
      </c>
      <c r="BB769" s="10">
        <f t="shared" si="947"/>
        <v>0</v>
      </c>
      <c r="BC769" s="10">
        <f t="shared" si="947"/>
        <v>0</v>
      </c>
      <c r="BD769" s="10">
        <f t="shared" si="947"/>
        <v>0</v>
      </c>
      <c r="BE769" s="10">
        <f t="shared" si="947"/>
        <v>0</v>
      </c>
      <c r="BF769" s="10">
        <f t="shared" si="947"/>
        <v>0</v>
      </c>
      <c r="BG769" s="10">
        <f t="shared" si="947"/>
        <v>0</v>
      </c>
      <c r="BH769" s="10">
        <f t="shared" si="947"/>
        <v>0</v>
      </c>
      <c r="BI769" s="10">
        <f t="shared" si="947"/>
        <v>0</v>
      </c>
      <c r="BJ769" s="10">
        <f t="shared" si="947"/>
        <v>0</v>
      </c>
      <c r="BL769" s="13">
        <f t="shared" si="929"/>
        <v>0</v>
      </c>
      <c r="BM769" s="13">
        <f t="shared" si="930"/>
        <v>0</v>
      </c>
      <c r="BN769" s="13">
        <f t="shared" si="931"/>
        <v>0</v>
      </c>
      <c r="BO769" s="13">
        <f t="shared" si="932"/>
        <v>0</v>
      </c>
      <c r="BP769" s="136"/>
      <c r="BQ769" s="136"/>
      <c r="BR769" s="136"/>
      <c r="BS769" s="136"/>
      <c r="BT769" s="136"/>
      <c r="BU769" s="136"/>
      <c r="BV769" s="136"/>
      <c r="BW769" s="136"/>
      <c r="BY769" s="12"/>
      <c r="CA769" s="12"/>
      <c r="CJ769" s="162"/>
      <c r="CR769" s="12"/>
      <c r="EX769" s="10" t="str">
        <f t="shared" si="933"/>
        <v/>
      </c>
    </row>
    <row r="770" spans="1:154" x14ac:dyDescent="0.25">
      <c r="A770" s="67"/>
      <c r="B770" s="84" t="str" cm="1">
        <f t="array" aca="1" ref="B770" ca="1">HYPERLINK(CONCATENATE("#",CELL("address",$D$332)),$D$332)</f>
        <v>Loan 16</v>
      </c>
      <c r="C770" s="380"/>
      <c r="D770" s="221">
        <f>D$28</f>
        <v>0</v>
      </c>
      <c r="E770" s="60">
        <f>E$28</f>
        <v>0</v>
      </c>
      <c r="F770" s="67"/>
      <c r="G770" s="67"/>
      <c r="H770" s="50" t="s">
        <v>157</v>
      </c>
      <c r="S770" s="335"/>
      <c r="T770" s="335"/>
      <c r="U770" s="335"/>
      <c r="V770" s="13">
        <f t="shared" si="926"/>
        <v>0</v>
      </c>
      <c r="W770" s="215">
        <f t="shared" si="927"/>
        <v>0</v>
      </c>
      <c r="X770" s="215">
        <f t="shared" si="927"/>
        <v>0</v>
      </c>
      <c r="Y770" s="215">
        <f t="shared" si="927"/>
        <v>0</v>
      </c>
      <c r="Z770" s="329"/>
      <c r="AA770" s="10">
        <f t="shared" ref="AA770:BJ770" si="948">IF(AA$4=0, AA584, 0-(Z816+AA701))</f>
        <v>0</v>
      </c>
      <c r="AB770" s="10">
        <f t="shared" si="948"/>
        <v>0</v>
      </c>
      <c r="AC770" s="10">
        <f t="shared" si="948"/>
        <v>0</v>
      </c>
      <c r="AD770" s="10">
        <f t="shared" si="948"/>
        <v>0</v>
      </c>
      <c r="AE770" s="10">
        <f t="shared" si="948"/>
        <v>0</v>
      </c>
      <c r="AF770" s="10">
        <f t="shared" si="948"/>
        <v>0</v>
      </c>
      <c r="AG770" s="10">
        <f t="shared" si="948"/>
        <v>0</v>
      </c>
      <c r="AH770" s="10">
        <f t="shared" si="948"/>
        <v>0</v>
      </c>
      <c r="AI770" s="10">
        <f t="shared" si="948"/>
        <v>0</v>
      </c>
      <c r="AJ770" s="10">
        <f t="shared" si="948"/>
        <v>0</v>
      </c>
      <c r="AK770" s="10">
        <f t="shared" si="948"/>
        <v>0</v>
      </c>
      <c r="AL770" s="10">
        <f t="shared" si="948"/>
        <v>0</v>
      </c>
      <c r="AM770" s="10">
        <f t="shared" si="948"/>
        <v>0</v>
      </c>
      <c r="AN770" s="10">
        <f t="shared" si="948"/>
        <v>0</v>
      </c>
      <c r="AO770" s="10">
        <f t="shared" si="948"/>
        <v>0</v>
      </c>
      <c r="AP770" s="10">
        <f t="shared" si="948"/>
        <v>0</v>
      </c>
      <c r="AQ770" s="10">
        <f t="shared" si="948"/>
        <v>0</v>
      </c>
      <c r="AR770" s="10">
        <f t="shared" si="948"/>
        <v>0</v>
      </c>
      <c r="AS770" s="10">
        <f t="shared" si="948"/>
        <v>0</v>
      </c>
      <c r="AT770" s="10">
        <f t="shared" si="948"/>
        <v>0</v>
      </c>
      <c r="AU770" s="10">
        <f t="shared" si="948"/>
        <v>0</v>
      </c>
      <c r="AV770" s="10">
        <f t="shared" si="948"/>
        <v>0</v>
      </c>
      <c r="AW770" s="10">
        <f t="shared" si="948"/>
        <v>0</v>
      </c>
      <c r="AX770" s="10">
        <f t="shared" si="948"/>
        <v>0</v>
      </c>
      <c r="AY770" s="10">
        <f t="shared" si="948"/>
        <v>0</v>
      </c>
      <c r="AZ770" s="10">
        <f t="shared" si="948"/>
        <v>0</v>
      </c>
      <c r="BA770" s="10">
        <f t="shared" si="948"/>
        <v>0</v>
      </c>
      <c r="BB770" s="10">
        <f t="shared" si="948"/>
        <v>0</v>
      </c>
      <c r="BC770" s="10">
        <f t="shared" si="948"/>
        <v>0</v>
      </c>
      <c r="BD770" s="10">
        <f t="shared" si="948"/>
        <v>0</v>
      </c>
      <c r="BE770" s="10">
        <f t="shared" si="948"/>
        <v>0</v>
      </c>
      <c r="BF770" s="10">
        <f t="shared" si="948"/>
        <v>0</v>
      </c>
      <c r="BG770" s="10">
        <f t="shared" si="948"/>
        <v>0</v>
      </c>
      <c r="BH770" s="10">
        <f t="shared" si="948"/>
        <v>0</v>
      </c>
      <c r="BI770" s="10">
        <f t="shared" si="948"/>
        <v>0</v>
      </c>
      <c r="BJ770" s="10">
        <f t="shared" si="948"/>
        <v>0</v>
      </c>
      <c r="BL770" s="13">
        <f t="shared" si="929"/>
        <v>0</v>
      </c>
      <c r="BM770" s="13">
        <f t="shared" si="930"/>
        <v>0</v>
      </c>
      <c r="BN770" s="13">
        <f t="shared" si="931"/>
        <v>0</v>
      </c>
      <c r="BO770" s="13">
        <f t="shared" si="932"/>
        <v>0</v>
      </c>
      <c r="BP770" s="136"/>
      <c r="BQ770" s="136"/>
      <c r="BR770" s="136"/>
      <c r="BS770" s="136"/>
      <c r="BT770" s="136"/>
      <c r="BU770" s="136"/>
      <c r="BV770" s="136"/>
      <c r="BW770" s="136"/>
      <c r="BY770" s="12"/>
      <c r="CA770" s="12"/>
      <c r="CJ770" s="162"/>
      <c r="CR770" s="12"/>
      <c r="EX770" s="10" t="str">
        <f t="shared" si="933"/>
        <v/>
      </c>
    </row>
    <row r="771" spans="1:154" x14ac:dyDescent="0.25">
      <c r="A771" s="67"/>
      <c r="B771" s="84" t="str" cm="1">
        <f t="array" aca="1" ref="B771" ca="1">HYPERLINK(CONCATENATE("#",CELL("address",$D$351)),$D$351)</f>
        <v>Loan 17</v>
      </c>
      <c r="C771" s="380"/>
      <c r="D771" s="221">
        <f>D$29</f>
        <v>0</v>
      </c>
      <c r="E771" s="60">
        <f>E$29</f>
        <v>0</v>
      </c>
      <c r="F771" s="67"/>
      <c r="G771" s="67"/>
      <c r="H771" s="50" t="s">
        <v>157</v>
      </c>
      <c r="S771" s="335"/>
      <c r="T771" s="335"/>
      <c r="U771" s="335"/>
      <c r="V771" s="13">
        <f t="shared" si="926"/>
        <v>0</v>
      </c>
      <c r="W771" s="215">
        <f t="shared" si="927"/>
        <v>0</v>
      </c>
      <c r="X771" s="215">
        <f t="shared" si="927"/>
        <v>0</v>
      </c>
      <c r="Y771" s="215">
        <f t="shared" si="927"/>
        <v>0</v>
      </c>
      <c r="Z771" s="329"/>
      <c r="AA771" s="10">
        <f t="shared" ref="AA771:BJ771" si="949">IF(AA$4=0, AA585, 0-(Z817+AA702))</f>
        <v>0</v>
      </c>
      <c r="AB771" s="10">
        <f t="shared" si="949"/>
        <v>0</v>
      </c>
      <c r="AC771" s="10">
        <f t="shared" si="949"/>
        <v>0</v>
      </c>
      <c r="AD771" s="10">
        <f t="shared" si="949"/>
        <v>0</v>
      </c>
      <c r="AE771" s="10">
        <f t="shared" si="949"/>
        <v>0</v>
      </c>
      <c r="AF771" s="10">
        <f t="shared" si="949"/>
        <v>0</v>
      </c>
      <c r="AG771" s="10">
        <f t="shared" si="949"/>
        <v>0</v>
      </c>
      <c r="AH771" s="10">
        <f t="shared" si="949"/>
        <v>0</v>
      </c>
      <c r="AI771" s="10">
        <f t="shared" si="949"/>
        <v>0</v>
      </c>
      <c r="AJ771" s="10">
        <f t="shared" si="949"/>
        <v>0</v>
      </c>
      <c r="AK771" s="10">
        <f t="shared" si="949"/>
        <v>0</v>
      </c>
      <c r="AL771" s="10">
        <f t="shared" si="949"/>
        <v>0</v>
      </c>
      <c r="AM771" s="10">
        <f t="shared" si="949"/>
        <v>0</v>
      </c>
      <c r="AN771" s="10">
        <f t="shared" si="949"/>
        <v>0</v>
      </c>
      <c r="AO771" s="10">
        <f t="shared" si="949"/>
        <v>0</v>
      </c>
      <c r="AP771" s="10">
        <f t="shared" si="949"/>
        <v>0</v>
      </c>
      <c r="AQ771" s="10">
        <f t="shared" si="949"/>
        <v>0</v>
      </c>
      <c r="AR771" s="10">
        <f t="shared" si="949"/>
        <v>0</v>
      </c>
      <c r="AS771" s="10">
        <f t="shared" si="949"/>
        <v>0</v>
      </c>
      <c r="AT771" s="10">
        <f t="shared" si="949"/>
        <v>0</v>
      </c>
      <c r="AU771" s="10">
        <f t="shared" si="949"/>
        <v>0</v>
      </c>
      <c r="AV771" s="10">
        <f t="shared" si="949"/>
        <v>0</v>
      </c>
      <c r="AW771" s="10">
        <f t="shared" si="949"/>
        <v>0</v>
      </c>
      <c r="AX771" s="10">
        <f t="shared" si="949"/>
        <v>0</v>
      </c>
      <c r="AY771" s="10">
        <f t="shared" si="949"/>
        <v>0</v>
      </c>
      <c r="AZ771" s="10">
        <f t="shared" si="949"/>
        <v>0</v>
      </c>
      <c r="BA771" s="10">
        <f t="shared" si="949"/>
        <v>0</v>
      </c>
      <c r="BB771" s="10">
        <f t="shared" si="949"/>
        <v>0</v>
      </c>
      <c r="BC771" s="10">
        <f t="shared" si="949"/>
        <v>0</v>
      </c>
      <c r="BD771" s="10">
        <f t="shared" si="949"/>
        <v>0</v>
      </c>
      <c r="BE771" s="10">
        <f t="shared" si="949"/>
        <v>0</v>
      </c>
      <c r="BF771" s="10">
        <f t="shared" si="949"/>
        <v>0</v>
      </c>
      <c r="BG771" s="10">
        <f t="shared" si="949"/>
        <v>0</v>
      </c>
      <c r="BH771" s="10">
        <f t="shared" si="949"/>
        <v>0</v>
      </c>
      <c r="BI771" s="10">
        <f t="shared" si="949"/>
        <v>0</v>
      </c>
      <c r="BJ771" s="10">
        <f t="shared" si="949"/>
        <v>0</v>
      </c>
      <c r="BL771" s="13">
        <f t="shared" si="929"/>
        <v>0</v>
      </c>
      <c r="BM771" s="13">
        <f t="shared" si="930"/>
        <v>0</v>
      </c>
      <c r="BN771" s="13">
        <f t="shared" si="931"/>
        <v>0</v>
      </c>
      <c r="BO771" s="13">
        <f t="shared" si="932"/>
        <v>0</v>
      </c>
      <c r="BP771" s="136"/>
      <c r="BQ771" s="136"/>
      <c r="BR771" s="136"/>
      <c r="BS771" s="136"/>
      <c r="BT771" s="136"/>
      <c r="BU771" s="136"/>
      <c r="BV771" s="136"/>
      <c r="BW771" s="136"/>
      <c r="BY771" s="12"/>
      <c r="CA771" s="12"/>
      <c r="CJ771" s="162"/>
      <c r="CR771" s="12"/>
      <c r="EX771" s="10" t="str">
        <f t="shared" si="933"/>
        <v/>
      </c>
    </row>
    <row r="772" spans="1:154" x14ac:dyDescent="0.25">
      <c r="A772" s="67"/>
      <c r="B772" s="84" t="str" cm="1">
        <f t="array" aca="1" ref="B772" ca="1">HYPERLINK(CONCATENATE("#",CELL("address",$D$370)),$D$370)</f>
        <v>Loan 18</v>
      </c>
      <c r="C772" s="380"/>
      <c r="D772" s="221">
        <f>D$30</f>
        <v>0</v>
      </c>
      <c r="E772" s="60">
        <f>E$30</f>
        <v>0</v>
      </c>
      <c r="F772" s="67"/>
      <c r="G772" s="67"/>
      <c r="H772" s="50" t="s">
        <v>157</v>
      </c>
      <c r="S772" s="335"/>
      <c r="T772" s="335"/>
      <c r="U772" s="335"/>
      <c r="V772" s="13">
        <f t="shared" si="926"/>
        <v>0</v>
      </c>
      <c r="W772" s="215">
        <f t="shared" si="927"/>
        <v>0</v>
      </c>
      <c r="X772" s="215">
        <f t="shared" si="927"/>
        <v>0</v>
      </c>
      <c r="Y772" s="215">
        <f t="shared" si="927"/>
        <v>0</v>
      </c>
      <c r="Z772" s="329"/>
      <c r="AA772" s="10">
        <f t="shared" ref="AA772:BJ772" si="950">IF(AA$4=0, AA586, 0-(Z818+AA703))</f>
        <v>0</v>
      </c>
      <c r="AB772" s="10">
        <f t="shared" si="950"/>
        <v>0</v>
      </c>
      <c r="AC772" s="10">
        <f t="shared" si="950"/>
        <v>0</v>
      </c>
      <c r="AD772" s="10">
        <f t="shared" si="950"/>
        <v>0</v>
      </c>
      <c r="AE772" s="10">
        <f t="shared" si="950"/>
        <v>0</v>
      </c>
      <c r="AF772" s="10">
        <f t="shared" si="950"/>
        <v>0</v>
      </c>
      <c r="AG772" s="10">
        <f t="shared" si="950"/>
        <v>0</v>
      </c>
      <c r="AH772" s="10">
        <f t="shared" si="950"/>
        <v>0</v>
      </c>
      <c r="AI772" s="10">
        <f t="shared" si="950"/>
        <v>0</v>
      </c>
      <c r="AJ772" s="10">
        <f t="shared" si="950"/>
        <v>0</v>
      </c>
      <c r="AK772" s="10">
        <f t="shared" si="950"/>
        <v>0</v>
      </c>
      <c r="AL772" s="10">
        <f t="shared" si="950"/>
        <v>0</v>
      </c>
      <c r="AM772" s="10">
        <f t="shared" si="950"/>
        <v>0</v>
      </c>
      <c r="AN772" s="10">
        <f t="shared" si="950"/>
        <v>0</v>
      </c>
      <c r="AO772" s="10">
        <f t="shared" si="950"/>
        <v>0</v>
      </c>
      <c r="AP772" s="10">
        <f t="shared" si="950"/>
        <v>0</v>
      </c>
      <c r="AQ772" s="10">
        <f t="shared" si="950"/>
        <v>0</v>
      </c>
      <c r="AR772" s="10">
        <f t="shared" si="950"/>
        <v>0</v>
      </c>
      <c r="AS772" s="10">
        <f t="shared" si="950"/>
        <v>0</v>
      </c>
      <c r="AT772" s="10">
        <f t="shared" si="950"/>
        <v>0</v>
      </c>
      <c r="AU772" s="10">
        <f t="shared" si="950"/>
        <v>0</v>
      </c>
      <c r="AV772" s="10">
        <f t="shared" si="950"/>
        <v>0</v>
      </c>
      <c r="AW772" s="10">
        <f t="shared" si="950"/>
        <v>0</v>
      </c>
      <c r="AX772" s="10">
        <f t="shared" si="950"/>
        <v>0</v>
      </c>
      <c r="AY772" s="10">
        <f t="shared" si="950"/>
        <v>0</v>
      </c>
      <c r="AZ772" s="10">
        <f t="shared" si="950"/>
        <v>0</v>
      </c>
      <c r="BA772" s="10">
        <f t="shared" si="950"/>
        <v>0</v>
      </c>
      <c r="BB772" s="10">
        <f t="shared" si="950"/>
        <v>0</v>
      </c>
      <c r="BC772" s="10">
        <f t="shared" si="950"/>
        <v>0</v>
      </c>
      <c r="BD772" s="10">
        <f t="shared" si="950"/>
        <v>0</v>
      </c>
      <c r="BE772" s="10">
        <f t="shared" si="950"/>
        <v>0</v>
      </c>
      <c r="BF772" s="10">
        <f t="shared" si="950"/>
        <v>0</v>
      </c>
      <c r="BG772" s="10">
        <f t="shared" si="950"/>
        <v>0</v>
      </c>
      <c r="BH772" s="10">
        <f t="shared" si="950"/>
        <v>0</v>
      </c>
      <c r="BI772" s="10">
        <f t="shared" si="950"/>
        <v>0</v>
      </c>
      <c r="BJ772" s="10">
        <f t="shared" si="950"/>
        <v>0</v>
      </c>
      <c r="BL772" s="13">
        <f t="shared" si="929"/>
        <v>0</v>
      </c>
      <c r="BM772" s="13">
        <f t="shared" si="930"/>
        <v>0</v>
      </c>
      <c r="BN772" s="13">
        <f t="shared" si="931"/>
        <v>0</v>
      </c>
      <c r="BO772" s="13">
        <f t="shared" si="932"/>
        <v>0</v>
      </c>
      <c r="BP772" s="136"/>
      <c r="BQ772" s="136"/>
      <c r="BR772" s="136"/>
      <c r="BS772" s="136"/>
      <c r="BT772" s="136"/>
      <c r="BU772" s="136"/>
      <c r="BV772" s="136"/>
      <c r="BW772" s="136"/>
      <c r="BY772" s="12"/>
      <c r="CA772" s="12"/>
      <c r="CJ772" s="162"/>
      <c r="CR772" s="12"/>
      <c r="EX772" s="10" t="str">
        <f t="shared" si="933"/>
        <v/>
      </c>
    </row>
    <row r="773" spans="1:154" x14ac:dyDescent="0.25">
      <c r="A773" s="67"/>
      <c r="B773" s="84" t="str" cm="1">
        <f t="array" aca="1" ref="B773" ca="1">HYPERLINK(CONCATENATE("#",CELL("address",$D$389)),$D$389)</f>
        <v>Loan 19</v>
      </c>
      <c r="C773" s="380"/>
      <c r="D773" s="221">
        <f>D$31</f>
        <v>0</v>
      </c>
      <c r="E773" s="60">
        <f>E$31</f>
        <v>0</v>
      </c>
      <c r="F773" s="67"/>
      <c r="G773" s="67"/>
      <c r="H773" s="50" t="s">
        <v>157</v>
      </c>
      <c r="S773" s="335"/>
      <c r="T773" s="335"/>
      <c r="U773" s="335"/>
      <c r="V773" s="13">
        <f t="shared" si="926"/>
        <v>0</v>
      </c>
      <c r="W773" s="215">
        <f t="shared" si="927"/>
        <v>0</v>
      </c>
      <c r="X773" s="215">
        <f t="shared" si="927"/>
        <v>0</v>
      </c>
      <c r="Y773" s="215">
        <f t="shared" si="927"/>
        <v>0</v>
      </c>
      <c r="Z773" s="329"/>
      <c r="AA773" s="10">
        <f t="shared" ref="AA773:BJ773" si="951">IF(AA$4=0, AA587, 0-(Z819+AA704))</f>
        <v>0</v>
      </c>
      <c r="AB773" s="10">
        <f t="shared" si="951"/>
        <v>0</v>
      </c>
      <c r="AC773" s="10">
        <f t="shared" si="951"/>
        <v>0</v>
      </c>
      <c r="AD773" s="10">
        <f t="shared" si="951"/>
        <v>0</v>
      </c>
      <c r="AE773" s="10">
        <f t="shared" si="951"/>
        <v>0</v>
      </c>
      <c r="AF773" s="10">
        <f t="shared" si="951"/>
        <v>0</v>
      </c>
      <c r="AG773" s="10">
        <f t="shared" si="951"/>
        <v>0</v>
      </c>
      <c r="AH773" s="10">
        <f t="shared" si="951"/>
        <v>0</v>
      </c>
      <c r="AI773" s="10">
        <f t="shared" si="951"/>
        <v>0</v>
      </c>
      <c r="AJ773" s="10">
        <f t="shared" si="951"/>
        <v>0</v>
      </c>
      <c r="AK773" s="10">
        <f t="shared" si="951"/>
        <v>0</v>
      </c>
      <c r="AL773" s="10">
        <f t="shared" si="951"/>
        <v>0</v>
      </c>
      <c r="AM773" s="10">
        <f t="shared" si="951"/>
        <v>0</v>
      </c>
      <c r="AN773" s="10">
        <f t="shared" si="951"/>
        <v>0</v>
      </c>
      <c r="AO773" s="10">
        <f t="shared" si="951"/>
        <v>0</v>
      </c>
      <c r="AP773" s="10">
        <f t="shared" si="951"/>
        <v>0</v>
      </c>
      <c r="AQ773" s="10">
        <f t="shared" si="951"/>
        <v>0</v>
      </c>
      <c r="AR773" s="10">
        <f t="shared" si="951"/>
        <v>0</v>
      </c>
      <c r="AS773" s="10">
        <f t="shared" si="951"/>
        <v>0</v>
      </c>
      <c r="AT773" s="10">
        <f t="shared" si="951"/>
        <v>0</v>
      </c>
      <c r="AU773" s="10">
        <f t="shared" si="951"/>
        <v>0</v>
      </c>
      <c r="AV773" s="10">
        <f t="shared" si="951"/>
        <v>0</v>
      </c>
      <c r="AW773" s="10">
        <f t="shared" si="951"/>
        <v>0</v>
      </c>
      <c r="AX773" s="10">
        <f t="shared" si="951"/>
        <v>0</v>
      </c>
      <c r="AY773" s="10">
        <f t="shared" si="951"/>
        <v>0</v>
      </c>
      <c r="AZ773" s="10">
        <f t="shared" si="951"/>
        <v>0</v>
      </c>
      <c r="BA773" s="10">
        <f t="shared" si="951"/>
        <v>0</v>
      </c>
      <c r="BB773" s="10">
        <f t="shared" si="951"/>
        <v>0</v>
      </c>
      <c r="BC773" s="10">
        <f t="shared" si="951"/>
        <v>0</v>
      </c>
      <c r="BD773" s="10">
        <f t="shared" si="951"/>
        <v>0</v>
      </c>
      <c r="BE773" s="10">
        <f t="shared" si="951"/>
        <v>0</v>
      </c>
      <c r="BF773" s="10">
        <f t="shared" si="951"/>
        <v>0</v>
      </c>
      <c r="BG773" s="10">
        <f t="shared" si="951"/>
        <v>0</v>
      </c>
      <c r="BH773" s="10">
        <f t="shared" si="951"/>
        <v>0</v>
      </c>
      <c r="BI773" s="10">
        <f t="shared" si="951"/>
        <v>0</v>
      </c>
      <c r="BJ773" s="10">
        <f t="shared" si="951"/>
        <v>0</v>
      </c>
      <c r="BL773" s="13">
        <f t="shared" si="929"/>
        <v>0</v>
      </c>
      <c r="BM773" s="13">
        <f t="shared" si="930"/>
        <v>0</v>
      </c>
      <c r="BN773" s="13">
        <f t="shared" si="931"/>
        <v>0</v>
      </c>
      <c r="BO773" s="13">
        <f t="shared" si="932"/>
        <v>0</v>
      </c>
      <c r="BP773" s="136"/>
      <c r="BQ773" s="136"/>
      <c r="BR773" s="136"/>
      <c r="BS773" s="136"/>
      <c r="BT773" s="136"/>
      <c r="BU773" s="136"/>
      <c r="BV773" s="136"/>
      <c r="BW773" s="136"/>
      <c r="BY773" s="12"/>
      <c r="CA773" s="12"/>
      <c r="CJ773" s="162"/>
      <c r="CR773" s="12"/>
      <c r="EX773" s="10" t="str">
        <f t="shared" si="933"/>
        <v/>
      </c>
    </row>
    <row r="774" spans="1:154" x14ac:dyDescent="0.25">
      <c r="A774" s="67"/>
      <c r="B774" s="84" t="str" cm="1">
        <f t="array" aca="1" ref="B774" ca="1">HYPERLINK(CONCATENATE("#",CELL("address",$D$408)),$D$408)</f>
        <v>Loan 20</v>
      </c>
      <c r="C774" s="380"/>
      <c r="D774" s="221">
        <f>D$32</f>
        <v>0</v>
      </c>
      <c r="E774" s="60">
        <f>E$32</f>
        <v>0</v>
      </c>
      <c r="F774" s="67"/>
      <c r="G774" s="67"/>
      <c r="H774" s="50" t="s">
        <v>157</v>
      </c>
      <c r="S774" s="335"/>
      <c r="T774" s="335"/>
      <c r="U774" s="335"/>
      <c r="V774" s="13">
        <f t="shared" si="926"/>
        <v>0</v>
      </c>
      <c r="W774" s="215">
        <f t="shared" si="927"/>
        <v>0</v>
      </c>
      <c r="X774" s="215">
        <f t="shared" si="927"/>
        <v>0</v>
      </c>
      <c r="Y774" s="215">
        <f t="shared" si="927"/>
        <v>0</v>
      </c>
      <c r="Z774" s="329"/>
      <c r="AA774" s="10">
        <f t="shared" ref="AA774:BJ774" si="952">IF(AA$4=0, AA588, 0-(Z820+AA705))</f>
        <v>0</v>
      </c>
      <c r="AB774" s="10">
        <f t="shared" si="952"/>
        <v>0</v>
      </c>
      <c r="AC774" s="10">
        <f t="shared" si="952"/>
        <v>0</v>
      </c>
      <c r="AD774" s="10">
        <f t="shared" si="952"/>
        <v>0</v>
      </c>
      <c r="AE774" s="10">
        <f t="shared" si="952"/>
        <v>0</v>
      </c>
      <c r="AF774" s="10">
        <f t="shared" si="952"/>
        <v>0</v>
      </c>
      <c r="AG774" s="10">
        <f t="shared" si="952"/>
        <v>0</v>
      </c>
      <c r="AH774" s="10">
        <f t="shared" si="952"/>
        <v>0</v>
      </c>
      <c r="AI774" s="10">
        <f t="shared" si="952"/>
        <v>0</v>
      </c>
      <c r="AJ774" s="10">
        <f t="shared" si="952"/>
        <v>0</v>
      </c>
      <c r="AK774" s="10">
        <f t="shared" si="952"/>
        <v>0</v>
      </c>
      <c r="AL774" s="10">
        <f t="shared" si="952"/>
        <v>0</v>
      </c>
      <c r="AM774" s="10">
        <f t="shared" si="952"/>
        <v>0</v>
      </c>
      <c r="AN774" s="10">
        <f t="shared" si="952"/>
        <v>0</v>
      </c>
      <c r="AO774" s="10">
        <f t="shared" si="952"/>
        <v>0</v>
      </c>
      <c r="AP774" s="10">
        <f t="shared" si="952"/>
        <v>0</v>
      </c>
      <c r="AQ774" s="10">
        <f t="shared" si="952"/>
        <v>0</v>
      </c>
      <c r="AR774" s="10">
        <f t="shared" si="952"/>
        <v>0</v>
      </c>
      <c r="AS774" s="10">
        <f t="shared" si="952"/>
        <v>0</v>
      </c>
      <c r="AT774" s="10">
        <f t="shared" si="952"/>
        <v>0</v>
      </c>
      <c r="AU774" s="10">
        <f t="shared" si="952"/>
        <v>0</v>
      </c>
      <c r="AV774" s="10">
        <f t="shared" si="952"/>
        <v>0</v>
      </c>
      <c r="AW774" s="10">
        <f t="shared" si="952"/>
        <v>0</v>
      </c>
      <c r="AX774" s="10">
        <f t="shared" si="952"/>
        <v>0</v>
      </c>
      <c r="AY774" s="10">
        <f t="shared" si="952"/>
        <v>0</v>
      </c>
      <c r="AZ774" s="10">
        <f t="shared" si="952"/>
        <v>0</v>
      </c>
      <c r="BA774" s="10">
        <f t="shared" si="952"/>
        <v>0</v>
      </c>
      <c r="BB774" s="10">
        <f t="shared" si="952"/>
        <v>0</v>
      </c>
      <c r="BC774" s="10">
        <f t="shared" si="952"/>
        <v>0</v>
      </c>
      <c r="BD774" s="10">
        <f t="shared" si="952"/>
        <v>0</v>
      </c>
      <c r="BE774" s="10">
        <f t="shared" si="952"/>
        <v>0</v>
      </c>
      <c r="BF774" s="10">
        <f t="shared" si="952"/>
        <v>0</v>
      </c>
      <c r="BG774" s="10">
        <f t="shared" si="952"/>
        <v>0</v>
      </c>
      <c r="BH774" s="10">
        <f t="shared" si="952"/>
        <v>0</v>
      </c>
      <c r="BI774" s="10">
        <f t="shared" si="952"/>
        <v>0</v>
      </c>
      <c r="BJ774" s="10">
        <f t="shared" si="952"/>
        <v>0</v>
      </c>
      <c r="BL774" s="13">
        <f t="shared" si="929"/>
        <v>0</v>
      </c>
      <c r="BM774" s="13">
        <f t="shared" si="930"/>
        <v>0</v>
      </c>
      <c r="BN774" s="13">
        <f t="shared" si="931"/>
        <v>0</v>
      </c>
      <c r="BO774" s="13">
        <f t="shared" si="932"/>
        <v>0</v>
      </c>
      <c r="BP774" s="136"/>
      <c r="BQ774" s="136"/>
      <c r="BR774" s="136"/>
      <c r="BS774" s="136"/>
      <c r="BT774" s="136"/>
      <c r="BU774" s="136"/>
      <c r="BV774" s="136"/>
      <c r="BW774" s="136"/>
      <c r="BY774" s="12"/>
      <c r="CA774" s="12"/>
      <c r="CJ774" s="162"/>
      <c r="CR774" s="12"/>
      <c r="EX774" s="10" t="str">
        <f t="shared" si="933"/>
        <v/>
      </c>
    </row>
    <row r="775" spans="1:154" s="67" customFormat="1" ht="6.6" customHeight="1" x14ac:dyDescent="0.25">
      <c r="A775" s="162"/>
      <c r="C775" s="380"/>
      <c r="D775" s="1"/>
      <c r="S775" s="335"/>
      <c r="T775" s="335"/>
      <c r="U775" s="335"/>
      <c r="BM775" s="6"/>
      <c r="BY775" s="42"/>
      <c r="BZ775" s="335"/>
      <c r="CA775" s="42"/>
      <c r="CB775" s="335"/>
      <c r="CC775" s="335"/>
      <c r="CD775" s="335"/>
      <c r="CE775" s="335"/>
      <c r="CJ775" s="162"/>
      <c r="CM775" s="335"/>
      <c r="CN775" s="335"/>
      <c r="CO775" s="335"/>
      <c r="CP775" s="335"/>
      <c r="CR775" s="42"/>
      <c r="CT775" s="335"/>
      <c r="CU775" s="335"/>
      <c r="EW775" s="335"/>
      <c r="EX775" s="10" t="str">
        <f t="shared" si="933"/>
        <v/>
      </c>
    </row>
    <row r="776" spans="1:154" s="67" customFormat="1" x14ac:dyDescent="0.25">
      <c r="C776" s="380"/>
      <c r="D776" s="61" t="s">
        <v>557</v>
      </c>
      <c r="S776" s="335"/>
      <c r="T776" s="335"/>
      <c r="U776" s="335"/>
      <c r="BY776" s="12"/>
      <c r="BZ776" s="335"/>
      <c r="CA776" s="12"/>
      <c r="CB776" s="335"/>
      <c r="CC776" s="335"/>
      <c r="CD776" s="335"/>
      <c r="CE776" s="335"/>
      <c r="CJ776" s="162"/>
      <c r="CM776" s="335"/>
      <c r="CN776" s="335"/>
      <c r="CO776" s="335"/>
      <c r="CP776" s="335"/>
      <c r="CR776" s="12"/>
      <c r="CT776" s="335"/>
      <c r="CU776" s="335"/>
      <c r="EW776" s="335"/>
      <c r="EX776" s="10" t="str">
        <f t="shared" si="933"/>
        <v/>
      </c>
    </row>
    <row r="777" spans="1:154" s="67" customFormat="1" ht="30" x14ac:dyDescent="0.25">
      <c r="B777" s="138" t="s">
        <v>551</v>
      </c>
      <c r="C777" s="380"/>
      <c r="D777" s="138" t="str">
        <f>D$11</f>
        <v>Lender</v>
      </c>
      <c r="E777" s="74" t="str">
        <f>E$11</f>
        <v>Loan Category</v>
      </c>
      <c r="F777" s="168"/>
      <c r="G777" s="168" t="s">
        <v>556</v>
      </c>
      <c r="S777" s="335"/>
      <c r="T777" s="335"/>
      <c r="U777" s="335"/>
      <c r="AA777" s="170" t="s">
        <v>335</v>
      </c>
      <c r="BY777" s="12"/>
      <c r="BZ777" s="335"/>
      <c r="CA777" s="12"/>
      <c r="CB777" s="335"/>
      <c r="CC777" s="335"/>
      <c r="CD777" s="335"/>
      <c r="CE777" s="335"/>
      <c r="CJ777" s="162"/>
      <c r="CM777" s="335"/>
      <c r="CN777" s="335"/>
      <c r="CO777" s="335"/>
      <c r="CP777" s="335"/>
      <c r="CR777" s="12"/>
      <c r="CT777" s="335"/>
      <c r="CU777" s="335"/>
      <c r="EW777" s="335"/>
      <c r="EX777" s="10" t="str">
        <f t="shared" si="933"/>
        <v/>
      </c>
    </row>
    <row r="778" spans="1:154" s="67" customFormat="1" x14ac:dyDescent="0.25">
      <c r="B778" s="84" t="str" cm="1">
        <f t="array" aca="1" ref="B778" ca="1">HYPERLINK(CONCATENATE("#",CELL("address",$D$47)),$D$47)</f>
        <v>Loan 1</v>
      </c>
      <c r="C778" s="380"/>
      <c r="D778" s="221" t="str">
        <f>D$13</f>
        <v>NatWest</v>
      </c>
      <c r="E778" s="60" t="str">
        <f>E$13</f>
        <v xml:space="preserve">Commercial </v>
      </c>
      <c r="G778" s="10">
        <f t="shared" ref="G778:G797" si="953">S13</f>
        <v>0</v>
      </c>
      <c r="H778" s="50" t="s">
        <v>157</v>
      </c>
      <c r="I778" s="65"/>
      <c r="S778" s="335"/>
      <c r="T778" s="335"/>
      <c r="U778" s="335"/>
      <c r="V778" s="13">
        <f t="shared" ref="V778:V797" si="954">V569</f>
        <v>0</v>
      </c>
      <c r="W778" s="215">
        <f t="shared" ref="W778:Y797" si="955" xml:space="preserve"> SUMIFS($AA778:$BJ778, $AA$3:$BJ$3, W$3)</f>
        <v>0</v>
      </c>
      <c r="X778" s="215">
        <f t="shared" si="955"/>
        <v>0</v>
      </c>
      <c r="Y778" s="215">
        <f t="shared" si="955"/>
        <v>0</v>
      </c>
      <c r="Z778" s="93"/>
      <c r="AA778" s="10">
        <f>IF(Timeline!AA116=1, -(Z801+AA686), MAX(-Z801, IF(AA$4&lt;=0, AA569,(SUM($AA755:AA755)-SUM($Z778:Z778))*Timeline!AA254)))</f>
        <v>0</v>
      </c>
      <c r="AB778" s="10">
        <f>IF(Timeline!AB116=1, -(AA801+AB686), MAX(-AA801, IF(AB$4&lt;=0, AB569,(SUM($AA755:AB755)-SUM($Z778:AA778))*Timeline!AB254)))</f>
        <v>0</v>
      </c>
      <c r="AC778" s="10">
        <f>IF(Timeline!AC116=1, -(AB801+AC686), MAX(-AB801, IF(AC$4&lt;=0, AC569,(SUM($AA755:AC755)-SUM($Z778:AB778))*Timeline!AC254)))</f>
        <v>0</v>
      </c>
      <c r="AD778" s="10">
        <f>IF(Timeline!AD116=1, -(AC801+AD686), MAX(-AC801, IF(AD$4&lt;=0, AD569,(SUM($AA755:AD755)-SUM($Z778:AC778))*Timeline!AD254)))</f>
        <v>0</v>
      </c>
      <c r="AE778" s="10">
        <f>IF(Timeline!AE116=1, -(AD801+AE686), MAX(-AD801, IF(AE$4&lt;=0, AE569,(SUM($AA755:AE755)-SUM($Z778:AD778))*Timeline!AE254)))</f>
        <v>0</v>
      </c>
      <c r="AF778" s="10">
        <f>IF(Timeline!AF116=1, -(AE801+AF686), MAX(-AE801, IF(AF$4&lt;=0, AF569,(SUM($AA755:AF755)-SUM($Z778:AE778))*Timeline!AF254)))</f>
        <v>0</v>
      </c>
      <c r="AG778" s="10">
        <f>IF(Timeline!AG116=1, -(AF801+AG686), MAX(-AF801, IF(AG$4&lt;=0, AG569,(SUM($AA755:AG755)-SUM($Z778:AF778))*Timeline!AG254)))</f>
        <v>0</v>
      </c>
      <c r="AH778" s="10">
        <f>IF(Timeline!AH116=1, -(AG801+AH686), MAX(-AG801, IF(AH$4&lt;=0, AH569,(SUM($AA755:AH755)-SUM($Z778:AG778))*Timeline!AH254)))</f>
        <v>0</v>
      </c>
      <c r="AI778" s="10">
        <f>IF(Timeline!AI116=1, -(AH801+AI686), MAX(-AH801, IF(AI$4&lt;=0, AI569,(SUM($AA755:AI755)-SUM($Z778:AH778))*Timeline!AI254)))</f>
        <v>0</v>
      </c>
      <c r="AJ778" s="10">
        <f>IF(Timeline!AJ116=1, -(AI801+AJ686), MAX(-AI801, IF(AJ$4&lt;=0, AJ569,(SUM($AA755:AJ755)-SUM($Z778:AI778))*Timeline!AJ254)))</f>
        <v>0</v>
      </c>
      <c r="AK778" s="10">
        <f>IF(Timeline!AK116=1, -(AJ801+AK686), MAX(-AJ801, IF(AK$4&lt;=0, AK569,(SUM($AA755:AK755)-SUM($Z778:AJ778))*Timeline!AK254)))</f>
        <v>0</v>
      </c>
      <c r="AL778" s="10">
        <f>IF(Timeline!AL116=1, -(AK801+AL686), MAX(-AK801, IF(AL$4&lt;=0, AL569,(SUM($AA755:AL755)-SUM($Z778:AK778))*Timeline!AL254)))</f>
        <v>0</v>
      </c>
      <c r="AM778" s="10">
        <f>IF(Timeline!AM116=1, -(AL801+AM686), MAX(-AL801, IF(AM$4&lt;=0, AM569,(SUM($AA755:AM755)-SUM($Z778:AL778))*Timeline!AM254)))</f>
        <v>0</v>
      </c>
      <c r="AN778" s="10">
        <f>IF(Timeline!AN116=1, -(AM801+AN686), MAX(-AM801, IF(AN$4&lt;=0, AN569,(SUM($AA755:AN755)-SUM($Z778:AM778))*Timeline!AN254)))</f>
        <v>0</v>
      </c>
      <c r="AO778" s="10">
        <f>IF(Timeline!AO116=1, -(AN801+AO686), MAX(-AN801, IF(AO$4&lt;=0, AO569,(SUM($AA755:AO755)-SUM($Z778:AN778))*Timeline!AO254)))</f>
        <v>0</v>
      </c>
      <c r="AP778" s="10">
        <f>IF(Timeline!AP116=1, -(AO801+AP686), MAX(-AO801, IF(AP$4&lt;=0, AP569,(SUM($AA755:AP755)-SUM($Z778:AO778))*Timeline!AP254)))</f>
        <v>0</v>
      </c>
      <c r="AQ778" s="10">
        <f>IF(Timeline!AQ116=1, -(AP801+AQ686), MAX(-AP801, IF(AQ$4&lt;=0, AQ569,(SUM($AA755:AQ755)-SUM($Z778:AP778))*Timeline!AQ254)))</f>
        <v>0</v>
      </c>
      <c r="AR778" s="10">
        <f>IF(Timeline!AR116=1, -(AQ801+AR686), MAX(-AQ801, IF(AR$4&lt;=0, AR569,(SUM($AA755:AR755)-SUM($Z778:AQ778))*Timeline!AR254)))</f>
        <v>0</v>
      </c>
      <c r="AS778" s="10">
        <f>IF(Timeline!AS116=1, -(AR801+AS686), MAX(-AR801, IF(AS$4&lt;=0, AS569,(SUM($AA755:AS755)-SUM($Z778:AR778))*Timeline!AS254)))</f>
        <v>0</v>
      </c>
      <c r="AT778" s="10">
        <f>IF(Timeline!AT116=1, -(AS801+AT686), MAX(-AS801, IF(AT$4&lt;=0, AT569,(SUM($AA755:AT755)-SUM($Z778:AS778))*Timeline!AT254)))</f>
        <v>0</v>
      </c>
      <c r="AU778" s="10">
        <f>IF(Timeline!AU116=1, -(AT801+AU686), MAX(-AT801, IF(AU$4&lt;=0, AU569,(SUM($AA755:AU755)-SUM($Z778:AT778))*Timeline!AU254)))</f>
        <v>0</v>
      </c>
      <c r="AV778" s="10">
        <f>IF(Timeline!AV116=1, -(AU801+AV686), MAX(-AU801, IF(AV$4&lt;=0, AV569,(SUM($AA755:AV755)-SUM($Z778:AU778))*Timeline!AV254)))</f>
        <v>0</v>
      </c>
      <c r="AW778" s="10">
        <f>IF(Timeline!AW116=1, -(AV801+AW686), MAX(-AV801, IF(AW$4&lt;=0, AW569,(SUM($AA755:AW755)-SUM($Z778:AV778))*Timeline!AW254)))</f>
        <v>0</v>
      </c>
      <c r="AX778" s="10">
        <f>IF(Timeline!AX116=1, -(AW801+AX686), MAX(-AW801, IF(AX$4&lt;=0, AX569,(SUM($AA755:AX755)-SUM($Z778:AW778))*Timeline!AX254)))</f>
        <v>0</v>
      </c>
      <c r="AY778" s="10">
        <f>IF(Timeline!AY116=1, -(AX801+AY686), MAX(-AX801, IF(AY$4&lt;=0, AY569,(SUM($AA755:AY755)-SUM($Z778:AX778))*Timeline!AY254)))</f>
        <v>0</v>
      </c>
      <c r="AZ778" s="10">
        <f>IF(Timeline!AZ116=1, -(AY801+AZ686), MAX(-AY801, IF(AZ$4&lt;=0, AZ569,(SUM($AA755:AZ755)-SUM($Z778:AY778))*Timeline!AZ254)))</f>
        <v>0</v>
      </c>
      <c r="BA778" s="10">
        <f>IF(Timeline!BA116=1, -(AZ801+BA686), MAX(-AZ801, IF(BA$4&lt;=0, BA569,(SUM($AA755:BA755)-SUM($Z778:AZ778))*Timeline!BA254)))</f>
        <v>0</v>
      </c>
      <c r="BB778" s="10">
        <f>IF(Timeline!BB116=1, -(BA801+BB686), MAX(-BA801, IF(BB$4&lt;=0, BB569,(SUM($AA755:BB755)-SUM($Z778:BA778))*Timeline!BB254)))</f>
        <v>0</v>
      </c>
      <c r="BC778" s="10">
        <f>IF(Timeline!BC116=1, -(BB801+BC686), MAX(-BB801, IF(BC$4&lt;=0, BC569,(SUM($AA755:BC755)-SUM($Z778:BB778))*Timeline!BC254)))</f>
        <v>0</v>
      </c>
      <c r="BD778" s="10">
        <f>IF(Timeline!BD116=1, -(BC801+BD686), MAX(-BC801, IF(BD$4&lt;=0, BD569,(SUM($AA755:BD755)-SUM($Z778:BC778))*Timeline!BD254)))</f>
        <v>0</v>
      </c>
      <c r="BE778" s="10">
        <f>IF(Timeline!BE116=1, -(BD801+BE686), MAX(-BD801, IF(BE$4&lt;=0, BE569,(SUM($AA755:BE755)-SUM($Z778:BD778))*Timeline!BE254)))</f>
        <v>0</v>
      </c>
      <c r="BF778" s="10">
        <f>IF(Timeline!BF116=1, -(BE801+BF686), MAX(-BE801, IF(BF$4&lt;=0, BF569,(SUM($AA755:BF755)-SUM($Z778:BE778))*Timeline!BF254)))</f>
        <v>0</v>
      </c>
      <c r="BG778" s="10">
        <f>IF(Timeline!BG116=1, -(BF801+BG686), MAX(-BF801, IF(BG$4&lt;=0, BG569,(SUM($AA755:BG755)-SUM($Z778:BF778))*Timeline!BG254)))</f>
        <v>0</v>
      </c>
      <c r="BH778" s="10">
        <f>IF(Timeline!BH116=1, -(BG801+BH686), MAX(-BG801, IF(BH$4&lt;=0, BH569,(SUM($AA755:BH755)-SUM($Z778:BG778))*Timeline!BH254)))</f>
        <v>0</v>
      </c>
      <c r="BI778" s="10">
        <f>IF(Timeline!BI116=1, -(BH801+BI686), MAX(-BH801, IF(BI$4&lt;=0, BI569,(SUM($AA755:BI755)-SUM($Z778:BH778))*Timeline!BI254)))</f>
        <v>0</v>
      </c>
      <c r="BJ778" s="10">
        <f>IF(Timeline!BJ116=1, -(BI801+BJ686), MAX(-BI801, IF(BJ$4&lt;=0, BJ569,(SUM($AA755:BJ755)-SUM($Z778:BI778))*Timeline!BJ254)))</f>
        <v>0</v>
      </c>
      <c r="BL778" s="13">
        <f t="shared" ref="BL778:BL797" si="956">V778</f>
        <v>0</v>
      </c>
      <c r="BM778" s="13">
        <f t="shared" ref="BM778:BM797" si="957">W778</f>
        <v>0</v>
      </c>
      <c r="BN778" s="13">
        <f t="shared" ref="BN778:BN797" si="958">X778</f>
        <v>0</v>
      </c>
      <c r="BO778" s="13">
        <f t="shared" ref="BO778:BO797" si="959">Y778</f>
        <v>0</v>
      </c>
      <c r="BP778" s="136"/>
      <c r="BQ778" s="136"/>
      <c r="BR778" s="136"/>
      <c r="BS778" s="136"/>
      <c r="BT778" s="136"/>
      <c r="BU778" s="136"/>
      <c r="BV778" s="136"/>
      <c r="BW778" s="136"/>
      <c r="BY778" s="12"/>
      <c r="BZ778" s="335"/>
      <c r="CA778" s="12"/>
      <c r="CB778" s="335"/>
      <c r="CC778" s="335"/>
      <c r="CD778" s="335"/>
      <c r="CE778" s="335"/>
      <c r="CJ778" s="162"/>
      <c r="CM778" s="335"/>
      <c r="CN778" s="335"/>
      <c r="CO778" s="335"/>
      <c r="CP778" s="335"/>
      <c r="CR778" s="12"/>
      <c r="CT778" s="335"/>
      <c r="CU778" s="335"/>
      <c r="EW778" s="335"/>
      <c r="EX778" s="10" t="str">
        <f t="shared" si="933"/>
        <v/>
      </c>
    </row>
    <row r="779" spans="1:154" s="67" customFormat="1" x14ac:dyDescent="0.25">
      <c r="B779" s="84" t="str" cm="1">
        <f t="array" aca="1" ref="B779" ca="1">HYPERLINK(CONCATENATE("#",CELL("address",$D$66)),$D$66)</f>
        <v>Loan 2</v>
      </c>
      <c r="C779" s="380"/>
      <c r="D779" s="221" t="str">
        <f>D$14</f>
        <v>NatWest</v>
      </c>
      <c r="E779" s="60" t="str">
        <f>E$14</f>
        <v xml:space="preserve">Commercial </v>
      </c>
      <c r="G779" s="10">
        <f t="shared" si="953"/>
        <v>0</v>
      </c>
      <c r="H779" s="50" t="s">
        <v>157</v>
      </c>
      <c r="S779" s="335"/>
      <c r="T779" s="335"/>
      <c r="U779" s="335"/>
      <c r="V779" s="13">
        <f t="shared" si="954"/>
        <v>0</v>
      </c>
      <c r="W779" s="215">
        <f t="shared" si="955"/>
        <v>0</v>
      </c>
      <c r="X779" s="215">
        <f t="shared" si="955"/>
        <v>0</v>
      </c>
      <c r="Y779" s="215">
        <f t="shared" si="955"/>
        <v>0</v>
      </c>
      <c r="AA779" s="10">
        <f>IF(Timeline!AA117=1, -(Z802+AA687), MAX(-Z802, IF(AA$4&lt;=0, AA570,(SUM($AA756:AA756)-SUM($Z779:Z779))*Timeline!AA255)))</f>
        <v>0</v>
      </c>
      <c r="AB779" s="10">
        <f>IF(Timeline!AB117=1, -(AA802+AB687), MAX(-AA802, IF(AB$4&lt;=0, AB570,(SUM($AA756:AB756)-SUM($Z779:AA779))*Timeline!AB255)))</f>
        <v>0</v>
      </c>
      <c r="AC779" s="10">
        <f>IF(Timeline!AC117=1, -(AB802+AC687), MAX(-AB802, IF(AC$4&lt;=0, AC570,(SUM($AA756:AC756)-SUM($Z779:AB779))*Timeline!AC255)))</f>
        <v>0</v>
      </c>
      <c r="AD779" s="10">
        <f>IF(Timeline!AD117=1, -(AC802+AD687), MAX(-AC802, IF(AD$4&lt;=0, AD570,(SUM($AA756:AD756)-SUM($Z779:AC779))*Timeline!AD255)))</f>
        <v>0</v>
      </c>
      <c r="AE779" s="10">
        <f>IF(Timeline!AE117=1, -(AD802+AE687), MAX(-AD802, IF(AE$4&lt;=0, AE570,(SUM($AA756:AE756)-SUM($Z779:AD779))*Timeline!AE255)))</f>
        <v>0</v>
      </c>
      <c r="AF779" s="10">
        <f>IF(Timeline!AF117=1, -(AE802+AF687), MAX(-AE802, IF(AF$4&lt;=0, AF570,(SUM($AA756:AF756)-SUM($Z779:AE779))*Timeline!AF255)))</f>
        <v>0</v>
      </c>
      <c r="AG779" s="10">
        <f>IF(Timeline!AG117=1, -(AF802+AG687), MAX(-AF802, IF(AG$4&lt;=0, AG570,(SUM($AA756:AG756)-SUM($Z779:AF779))*Timeline!AG255)))</f>
        <v>0</v>
      </c>
      <c r="AH779" s="10">
        <f>IF(Timeline!AH117=1, -(AG802+AH687), MAX(-AG802, IF(AH$4&lt;=0, AH570,(SUM($AA756:AH756)-SUM($Z779:AG779))*Timeline!AH255)))</f>
        <v>0</v>
      </c>
      <c r="AI779" s="10">
        <f>IF(Timeline!AI117=1, -(AH802+AI687), MAX(-AH802, IF(AI$4&lt;=0, AI570,(SUM($AA756:AI756)-SUM($Z779:AH779))*Timeline!AI255)))</f>
        <v>0</v>
      </c>
      <c r="AJ779" s="10">
        <f>IF(Timeline!AJ117=1, -(AI802+AJ687), MAX(-AI802, IF(AJ$4&lt;=0, AJ570,(SUM($AA756:AJ756)-SUM($Z779:AI779))*Timeline!AJ255)))</f>
        <v>0</v>
      </c>
      <c r="AK779" s="10">
        <f>IF(Timeline!AK117=1, -(AJ802+AK687), MAX(-AJ802, IF(AK$4&lt;=0, AK570,(SUM($AA756:AK756)-SUM($Z779:AJ779))*Timeline!AK255)))</f>
        <v>0</v>
      </c>
      <c r="AL779" s="10">
        <f>IF(Timeline!AL117=1, -(AK802+AL687), MAX(-AK802, IF(AL$4&lt;=0, AL570,(SUM($AA756:AL756)-SUM($Z779:AK779))*Timeline!AL255)))</f>
        <v>0</v>
      </c>
      <c r="AM779" s="10">
        <f>IF(Timeline!AM117=1, -(AL802+AM687), MAX(-AL802, IF(AM$4&lt;=0, AM570,(SUM($AA756:AM756)-SUM($Z779:AL779))*Timeline!AM255)))</f>
        <v>0</v>
      </c>
      <c r="AN779" s="10">
        <f>IF(Timeline!AN117=1, -(AM802+AN687), MAX(-AM802, IF(AN$4&lt;=0, AN570,(SUM($AA756:AN756)-SUM($Z779:AM779))*Timeline!AN255)))</f>
        <v>0</v>
      </c>
      <c r="AO779" s="10">
        <f>IF(Timeline!AO117=1, -(AN802+AO687), MAX(-AN802, IF(AO$4&lt;=0, AO570,(SUM($AA756:AO756)-SUM($Z779:AN779))*Timeline!AO255)))</f>
        <v>0</v>
      </c>
      <c r="AP779" s="10">
        <f>IF(Timeline!AP117=1, -(AO802+AP687), MAX(-AO802, IF(AP$4&lt;=0, AP570,(SUM($AA756:AP756)-SUM($Z779:AO779))*Timeline!AP255)))</f>
        <v>0</v>
      </c>
      <c r="AQ779" s="10">
        <f>IF(Timeline!AQ117=1, -(AP802+AQ687), MAX(-AP802, IF(AQ$4&lt;=0, AQ570,(SUM($AA756:AQ756)-SUM($Z779:AP779))*Timeline!AQ255)))</f>
        <v>0</v>
      </c>
      <c r="AR779" s="10">
        <f>IF(Timeline!AR117=1, -(AQ802+AR687), MAX(-AQ802, IF(AR$4&lt;=0, AR570,(SUM($AA756:AR756)-SUM($Z779:AQ779))*Timeline!AR255)))</f>
        <v>0</v>
      </c>
      <c r="AS779" s="10">
        <f>IF(Timeline!AS117=1, -(AR802+AS687), MAX(-AR802, IF(AS$4&lt;=0, AS570,(SUM($AA756:AS756)-SUM($Z779:AR779))*Timeline!AS255)))</f>
        <v>0</v>
      </c>
      <c r="AT779" s="10">
        <f>IF(Timeline!AT117=1, -(AS802+AT687), MAX(-AS802, IF(AT$4&lt;=0, AT570,(SUM($AA756:AT756)-SUM($Z779:AS779))*Timeline!AT255)))</f>
        <v>0</v>
      </c>
      <c r="AU779" s="10">
        <f>IF(Timeline!AU117=1, -(AT802+AU687), MAX(-AT802, IF(AU$4&lt;=0, AU570,(SUM($AA756:AU756)-SUM($Z779:AT779))*Timeline!AU255)))</f>
        <v>0</v>
      </c>
      <c r="AV779" s="10">
        <f>IF(Timeline!AV117=1, -(AU802+AV687), MAX(-AU802, IF(AV$4&lt;=0, AV570,(SUM($AA756:AV756)-SUM($Z779:AU779))*Timeline!AV255)))</f>
        <v>0</v>
      </c>
      <c r="AW779" s="10">
        <f>IF(Timeline!AW117=1, -(AV802+AW687), MAX(-AV802, IF(AW$4&lt;=0, AW570,(SUM($AA756:AW756)-SUM($Z779:AV779))*Timeline!AW255)))</f>
        <v>0</v>
      </c>
      <c r="AX779" s="10">
        <f>IF(Timeline!AX117=1, -(AW802+AX687), MAX(-AW802, IF(AX$4&lt;=0, AX570,(SUM($AA756:AX756)-SUM($Z779:AW779))*Timeline!AX255)))</f>
        <v>0</v>
      </c>
      <c r="AY779" s="10">
        <f>IF(Timeline!AY117=1, -(AX802+AY687), MAX(-AX802, IF(AY$4&lt;=0, AY570,(SUM($AA756:AY756)-SUM($Z779:AX779))*Timeline!AY255)))</f>
        <v>0</v>
      </c>
      <c r="AZ779" s="10">
        <f>IF(Timeline!AZ117=1, -(AY802+AZ687), MAX(-AY802, IF(AZ$4&lt;=0, AZ570,(SUM($AA756:AZ756)-SUM($Z779:AY779))*Timeline!AZ255)))</f>
        <v>0</v>
      </c>
      <c r="BA779" s="10">
        <f>IF(Timeline!BA117=1, -(AZ802+BA687), MAX(-AZ802, IF(BA$4&lt;=0, BA570,(SUM($AA756:BA756)-SUM($Z779:AZ779))*Timeline!BA255)))</f>
        <v>0</v>
      </c>
      <c r="BB779" s="10">
        <f>IF(Timeline!BB117=1, -(BA802+BB687), MAX(-BA802, IF(BB$4&lt;=0, BB570,(SUM($AA756:BB756)-SUM($Z779:BA779))*Timeline!BB255)))</f>
        <v>0</v>
      </c>
      <c r="BC779" s="10">
        <f>IF(Timeline!BC117=1, -(BB802+BC687), MAX(-BB802, IF(BC$4&lt;=0, BC570,(SUM($AA756:BC756)-SUM($Z779:BB779))*Timeline!BC255)))</f>
        <v>0</v>
      </c>
      <c r="BD779" s="10">
        <f>IF(Timeline!BD117=1, -(BC802+BD687), MAX(-BC802, IF(BD$4&lt;=0, BD570,(SUM($AA756:BD756)-SUM($Z779:BC779))*Timeline!BD255)))</f>
        <v>0</v>
      </c>
      <c r="BE779" s="10">
        <f>IF(Timeline!BE117=1, -(BD802+BE687), MAX(-BD802, IF(BE$4&lt;=0, BE570,(SUM($AA756:BE756)-SUM($Z779:BD779))*Timeline!BE255)))</f>
        <v>0</v>
      </c>
      <c r="BF779" s="10">
        <f>IF(Timeline!BF117=1, -(BE802+BF687), MAX(-BE802, IF(BF$4&lt;=0, BF570,(SUM($AA756:BF756)-SUM($Z779:BE779))*Timeline!BF255)))</f>
        <v>0</v>
      </c>
      <c r="BG779" s="10">
        <f>IF(Timeline!BG117=1, -(BF802+BG687), MAX(-BF802, IF(BG$4&lt;=0, BG570,(SUM($AA756:BG756)-SUM($Z779:BF779))*Timeline!BG255)))</f>
        <v>0</v>
      </c>
      <c r="BH779" s="10">
        <f>IF(Timeline!BH117=1, -(BG802+BH687), MAX(-BG802, IF(BH$4&lt;=0, BH570,(SUM($AA756:BH756)-SUM($Z779:BG779))*Timeline!BH255)))</f>
        <v>0</v>
      </c>
      <c r="BI779" s="10">
        <f>IF(Timeline!BI117=1, -(BH802+BI687), MAX(-BH802, IF(BI$4&lt;=0, BI570,(SUM($AA756:BI756)-SUM($Z779:BH779))*Timeline!BI255)))</f>
        <v>0</v>
      </c>
      <c r="BJ779" s="10">
        <f>IF(Timeline!BJ117=1, -(BI802+BJ687), MAX(-BI802, IF(BJ$4&lt;=0, BJ570,(SUM($AA756:BJ756)-SUM($Z779:BI779))*Timeline!BJ255)))</f>
        <v>0</v>
      </c>
      <c r="BL779" s="13">
        <f t="shared" si="956"/>
        <v>0</v>
      </c>
      <c r="BM779" s="13">
        <f t="shared" si="957"/>
        <v>0</v>
      </c>
      <c r="BN779" s="13">
        <f t="shared" si="958"/>
        <v>0</v>
      </c>
      <c r="BO779" s="13">
        <f t="shared" si="959"/>
        <v>0</v>
      </c>
      <c r="BP779" s="136"/>
      <c r="BQ779" s="136"/>
      <c r="BR779" s="136"/>
      <c r="BS779" s="136"/>
      <c r="BT779" s="136"/>
      <c r="BU779" s="136"/>
      <c r="BV779" s="136"/>
      <c r="BW779" s="136"/>
      <c r="BY779" s="12"/>
      <c r="BZ779" s="335"/>
      <c r="CA779" s="12"/>
      <c r="CB779" s="335"/>
      <c r="CC779" s="335"/>
      <c r="CD779" s="335"/>
      <c r="CE779" s="335"/>
      <c r="CJ779" s="162"/>
      <c r="CM779" s="335"/>
      <c r="CN779" s="335"/>
      <c r="CO779" s="335"/>
      <c r="CP779" s="335"/>
      <c r="CR779" s="12"/>
      <c r="CT779" s="335"/>
      <c r="CU779" s="335"/>
      <c r="EW779" s="335"/>
      <c r="EX779" s="10" t="str">
        <f t="shared" si="933"/>
        <v/>
      </c>
    </row>
    <row r="780" spans="1:154" s="67" customFormat="1" x14ac:dyDescent="0.25">
      <c r="B780" s="84" t="str" cm="1">
        <f t="array" aca="1" ref="B780" ca="1">HYPERLINK(CONCATENATE("#",CELL("address",$D$85)),$D$85)</f>
        <v>Loan 3</v>
      </c>
      <c r="C780" s="380"/>
      <c r="D780" s="221" t="str">
        <f>D$15</f>
        <v>NatWest</v>
      </c>
      <c r="E780" s="60" t="str">
        <f>E$15</f>
        <v xml:space="preserve">Commercial </v>
      </c>
      <c r="G780" s="10">
        <f t="shared" si="953"/>
        <v>0</v>
      </c>
      <c r="H780" s="50" t="s">
        <v>157</v>
      </c>
      <c r="S780" s="335"/>
      <c r="T780" s="335"/>
      <c r="U780" s="335"/>
      <c r="V780" s="13">
        <f t="shared" si="954"/>
        <v>0</v>
      </c>
      <c r="W780" s="215">
        <f t="shared" si="955"/>
        <v>0</v>
      </c>
      <c r="X780" s="215">
        <f t="shared" si="955"/>
        <v>0</v>
      </c>
      <c r="Y780" s="215">
        <f t="shared" si="955"/>
        <v>0</v>
      </c>
      <c r="AA780" s="10">
        <f>IF(Timeline!AA118=1, -(Z803+AA688), MAX(-Z803, IF(AA$4&lt;=0, AA571,(SUM($AA757:AA757)-SUM($Z780:Z780))*Timeline!AA256)))</f>
        <v>0</v>
      </c>
      <c r="AB780" s="10">
        <f>IF(Timeline!AB118=1, -(AA803+AB688), MAX(-AA803, IF(AB$4&lt;=0, AB571,(SUM($AA757:AB757)-SUM($Z780:AA780))*Timeline!AB256)))</f>
        <v>0</v>
      </c>
      <c r="AC780" s="10">
        <f>IF(Timeline!AC118=1, -(AB803+AC688), MAX(-AB803, IF(AC$4&lt;=0, AC571,(SUM($AA757:AC757)-SUM($Z780:AB780))*Timeline!AC256)))</f>
        <v>0</v>
      </c>
      <c r="AD780" s="10">
        <f>IF(Timeline!AD118=1, -(AC803+AD688), MAX(-AC803, IF(AD$4&lt;=0, AD571,(SUM($AA757:AD757)-SUM($Z780:AC780))*Timeline!AD256)))</f>
        <v>0</v>
      </c>
      <c r="AE780" s="10">
        <f>IF(Timeline!AE118=1, -(AD803+AE688), MAX(-AD803, IF(AE$4&lt;=0, AE571,(SUM($AA757:AE757)-SUM($Z780:AD780))*Timeline!AE256)))</f>
        <v>0</v>
      </c>
      <c r="AF780" s="10">
        <f>IF(Timeline!AF118=1, -(AE803+AF688), MAX(-AE803, IF(AF$4&lt;=0, AF571,(SUM($AA757:AF757)-SUM($Z780:AE780))*Timeline!AF256)))</f>
        <v>0</v>
      </c>
      <c r="AG780" s="10">
        <f>IF(Timeline!AG118=1, -(AF803+AG688), MAX(-AF803, IF(AG$4&lt;=0, AG571,(SUM($AA757:AG757)-SUM($Z780:AF780))*Timeline!AG256)))</f>
        <v>0</v>
      </c>
      <c r="AH780" s="10">
        <f>IF(Timeline!AH118=1, -(AG803+AH688), MAX(-AG803, IF(AH$4&lt;=0, AH571,(SUM($AA757:AH757)-SUM($Z780:AG780))*Timeline!AH256)))</f>
        <v>0</v>
      </c>
      <c r="AI780" s="10">
        <f>IF(Timeline!AI118=1, -(AH803+AI688), MAX(-AH803, IF(AI$4&lt;=0, AI571,(SUM($AA757:AI757)-SUM($Z780:AH780))*Timeline!AI256)))</f>
        <v>0</v>
      </c>
      <c r="AJ780" s="10">
        <f>IF(Timeline!AJ118=1, -(AI803+AJ688), MAX(-AI803, IF(AJ$4&lt;=0, AJ571,(SUM($AA757:AJ757)-SUM($Z780:AI780))*Timeline!AJ256)))</f>
        <v>0</v>
      </c>
      <c r="AK780" s="10">
        <f>IF(Timeline!AK118=1, -(AJ803+AK688), MAX(-AJ803, IF(AK$4&lt;=0, AK571,(SUM($AA757:AK757)-SUM($Z780:AJ780))*Timeline!AK256)))</f>
        <v>0</v>
      </c>
      <c r="AL780" s="10">
        <f>IF(Timeline!AL118=1, -(AK803+AL688), MAX(-AK803, IF(AL$4&lt;=0, AL571,(SUM($AA757:AL757)-SUM($Z780:AK780))*Timeline!AL256)))</f>
        <v>0</v>
      </c>
      <c r="AM780" s="10">
        <f>IF(Timeline!AM118=1, -(AL803+AM688), MAX(-AL803, IF(AM$4&lt;=0, AM571,(SUM($AA757:AM757)-SUM($Z780:AL780))*Timeline!AM256)))</f>
        <v>0</v>
      </c>
      <c r="AN780" s="10">
        <f>IF(Timeline!AN118=1, -(AM803+AN688), MAX(-AM803, IF(AN$4&lt;=0, AN571,(SUM($AA757:AN757)-SUM($Z780:AM780))*Timeline!AN256)))</f>
        <v>0</v>
      </c>
      <c r="AO780" s="10">
        <f>IF(Timeline!AO118=1, -(AN803+AO688), MAX(-AN803, IF(AO$4&lt;=0, AO571,(SUM($AA757:AO757)-SUM($Z780:AN780))*Timeline!AO256)))</f>
        <v>0</v>
      </c>
      <c r="AP780" s="10">
        <f>IF(Timeline!AP118=1, -(AO803+AP688), MAX(-AO803, IF(AP$4&lt;=0, AP571,(SUM($AA757:AP757)-SUM($Z780:AO780))*Timeline!AP256)))</f>
        <v>0</v>
      </c>
      <c r="AQ780" s="10">
        <f>IF(Timeline!AQ118=1, -(AP803+AQ688), MAX(-AP803, IF(AQ$4&lt;=0, AQ571,(SUM($AA757:AQ757)-SUM($Z780:AP780))*Timeline!AQ256)))</f>
        <v>0</v>
      </c>
      <c r="AR780" s="10">
        <f>IF(Timeline!AR118=1, -(AQ803+AR688), MAX(-AQ803, IF(AR$4&lt;=0, AR571,(SUM($AA757:AR757)-SUM($Z780:AQ780))*Timeline!AR256)))</f>
        <v>0</v>
      </c>
      <c r="AS780" s="10">
        <f>IF(Timeline!AS118=1, -(AR803+AS688), MAX(-AR803, IF(AS$4&lt;=0, AS571,(SUM($AA757:AS757)-SUM($Z780:AR780))*Timeline!AS256)))</f>
        <v>0</v>
      </c>
      <c r="AT780" s="10">
        <f>IF(Timeline!AT118=1, -(AS803+AT688), MAX(-AS803, IF(AT$4&lt;=0, AT571,(SUM($AA757:AT757)-SUM($Z780:AS780))*Timeline!AT256)))</f>
        <v>0</v>
      </c>
      <c r="AU780" s="10">
        <f>IF(Timeline!AU118=1, -(AT803+AU688), MAX(-AT803, IF(AU$4&lt;=0, AU571,(SUM($AA757:AU757)-SUM($Z780:AT780))*Timeline!AU256)))</f>
        <v>0</v>
      </c>
      <c r="AV780" s="10">
        <f>IF(Timeline!AV118=1, -(AU803+AV688), MAX(-AU803, IF(AV$4&lt;=0, AV571,(SUM($AA757:AV757)-SUM($Z780:AU780))*Timeline!AV256)))</f>
        <v>0</v>
      </c>
      <c r="AW780" s="10">
        <f>IF(Timeline!AW118=1, -(AV803+AW688), MAX(-AV803, IF(AW$4&lt;=0, AW571,(SUM($AA757:AW757)-SUM($Z780:AV780))*Timeline!AW256)))</f>
        <v>0</v>
      </c>
      <c r="AX780" s="10">
        <f>IF(Timeline!AX118=1, -(AW803+AX688), MAX(-AW803, IF(AX$4&lt;=0, AX571,(SUM($AA757:AX757)-SUM($Z780:AW780))*Timeline!AX256)))</f>
        <v>0</v>
      </c>
      <c r="AY780" s="10">
        <f>IF(Timeline!AY118=1, -(AX803+AY688), MAX(-AX803, IF(AY$4&lt;=0, AY571,(SUM($AA757:AY757)-SUM($Z780:AX780))*Timeline!AY256)))</f>
        <v>0</v>
      </c>
      <c r="AZ780" s="10">
        <f>IF(Timeline!AZ118=1, -(AY803+AZ688), MAX(-AY803, IF(AZ$4&lt;=0, AZ571,(SUM($AA757:AZ757)-SUM($Z780:AY780))*Timeline!AZ256)))</f>
        <v>0</v>
      </c>
      <c r="BA780" s="10">
        <f>IF(Timeline!BA118=1, -(AZ803+BA688), MAX(-AZ803, IF(BA$4&lt;=0, BA571,(SUM($AA757:BA757)-SUM($Z780:AZ780))*Timeline!BA256)))</f>
        <v>0</v>
      </c>
      <c r="BB780" s="10">
        <f>IF(Timeline!BB118=1, -(BA803+BB688), MAX(-BA803, IF(BB$4&lt;=0, BB571,(SUM($AA757:BB757)-SUM($Z780:BA780))*Timeline!BB256)))</f>
        <v>0</v>
      </c>
      <c r="BC780" s="10">
        <f>IF(Timeline!BC118=1, -(BB803+BC688), MAX(-BB803, IF(BC$4&lt;=0, BC571,(SUM($AA757:BC757)-SUM($Z780:BB780))*Timeline!BC256)))</f>
        <v>0</v>
      </c>
      <c r="BD780" s="10">
        <f>IF(Timeline!BD118=1, -(BC803+BD688), MAX(-BC803, IF(BD$4&lt;=0, BD571,(SUM($AA757:BD757)-SUM($Z780:BC780))*Timeline!BD256)))</f>
        <v>0</v>
      </c>
      <c r="BE780" s="10">
        <f>IF(Timeline!BE118=1, -(BD803+BE688), MAX(-BD803, IF(BE$4&lt;=0, BE571,(SUM($AA757:BE757)-SUM($Z780:BD780))*Timeline!BE256)))</f>
        <v>0</v>
      </c>
      <c r="BF780" s="10">
        <f>IF(Timeline!BF118=1, -(BE803+BF688), MAX(-BE803, IF(BF$4&lt;=0, BF571,(SUM($AA757:BF757)-SUM($Z780:BE780))*Timeline!BF256)))</f>
        <v>0</v>
      </c>
      <c r="BG780" s="10">
        <f>IF(Timeline!BG118=1, -(BF803+BG688), MAX(-BF803, IF(BG$4&lt;=0, BG571,(SUM($AA757:BG757)-SUM($Z780:BF780))*Timeline!BG256)))</f>
        <v>0</v>
      </c>
      <c r="BH780" s="10">
        <f>IF(Timeline!BH118=1, -(BG803+BH688), MAX(-BG803, IF(BH$4&lt;=0, BH571,(SUM($AA757:BH757)-SUM($Z780:BG780))*Timeline!BH256)))</f>
        <v>0</v>
      </c>
      <c r="BI780" s="10">
        <f>IF(Timeline!BI118=1, -(BH803+BI688), MAX(-BH803, IF(BI$4&lt;=0, BI571,(SUM($AA757:BI757)-SUM($Z780:BH780))*Timeline!BI256)))</f>
        <v>0</v>
      </c>
      <c r="BJ780" s="10">
        <f>IF(Timeline!BJ118=1, -(BI803+BJ688), MAX(-BI803, IF(BJ$4&lt;=0, BJ571,(SUM($AA757:BJ757)-SUM($Z780:BI780))*Timeline!BJ256)))</f>
        <v>0</v>
      </c>
      <c r="BL780" s="13">
        <f t="shared" si="956"/>
        <v>0</v>
      </c>
      <c r="BM780" s="13">
        <f t="shared" si="957"/>
        <v>0</v>
      </c>
      <c r="BN780" s="13">
        <f t="shared" si="958"/>
        <v>0</v>
      </c>
      <c r="BO780" s="13">
        <f t="shared" si="959"/>
        <v>0</v>
      </c>
      <c r="BP780" s="136"/>
      <c r="BQ780" s="136"/>
      <c r="BR780" s="136"/>
      <c r="BS780" s="136"/>
      <c r="BT780" s="136"/>
      <c r="BU780" s="136"/>
      <c r="BV780" s="136"/>
      <c r="BW780" s="136"/>
      <c r="BY780" s="12"/>
      <c r="BZ780" s="335"/>
      <c r="CA780" s="12"/>
      <c r="CB780" s="335"/>
      <c r="CC780" s="335"/>
      <c r="CD780" s="335"/>
      <c r="CE780" s="335"/>
      <c r="CJ780" s="162"/>
      <c r="CM780" s="335"/>
      <c r="CN780" s="335"/>
      <c r="CO780" s="335"/>
      <c r="CP780" s="335"/>
      <c r="CR780" s="12"/>
      <c r="CT780" s="335"/>
      <c r="CU780" s="335"/>
      <c r="EW780" s="335"/>
      <c r="EX780" s="10" t="str">
        <f t="shared" si="933"/>
        <v/>
      </c>
    </row>
    <row r="781" spans="1:154" s="67" customFormat="1" x14ac:dyDescent="0.25">
      <c r="B781" s="84" t="str" cm="1">
        <f t="array" aca="1" ref="B781" ca="1">HYPERLINK(CONCATENATE("#",CELL("address",$D$104)),$D$104)</f>
        <v>Loan 4</v>
      </c>
      <c r="C781" s="380"/>
      <c r="D781" s="221" t="str">
        <f>D$16</f>
        <v>NatWest</v>
      </c>
      <c r="E781" s="60" t="str">
        <f>E$16</f>
        <v xml:space="preserve">Commercial </v>
      </c>
      <c r="G781" s="10">
        <f t="shared" si="953"/>
        <v>0</v>
      </c>
      <c r="H781" s="50" t="s">
        <v>157</v>
      </c>
      <c r="S781" s="335"/>
      <c r="T781" s="335"/>
      <c r="U781" s="335"/>
      <c r="V781" s="13">
        <f t="shared" si="954"/>
        <v>0</v>
      </c>
      <c r="W781" s="215">
        <f t="shared" si="955"/>
        <v>0</v>
      </c>
      <c r="X781" s="215">
        <f t="shared" si="955"/>
        <v>0</v>
      </c>
      <c r="Y781" s="215">
        <f t="shared" si="955"/>
        <v>0</v>
      </c>
      <c r="AA781" s="10">
        <f>IF(Timeline!AA119=1, -(Z804+AA689), MAX(-Z804, IF(AA$4&lt;=0, AA572,(SUM($AA758:AA758)-SUM($Z781:Z781))*Timeline!AA257)))</f>
        <v>0</v>
      </c>
      <c r="AB781" s="10">
        <f>IF(Timeline!AB119=1, -(AA804+AB689), MAX(-AA804, IF(AB$4&lt;=0, AB572,(SUM($AA758:AB758)-SUM($Z781:AA781))*Timeline!AB257)))</f>
        <v>0</v>
      </c>
      <c r="AC781" s="10">
        <f>IF(Timeline!AC119=1, -(AB804+AC689), MAX(-AB804, IF(AC$4&lt;=0, AC572,(SUM($AA758:AC758)-SUM($Z781:AB781))*Timeline!AC257)))</f>
        <v>0</v>
      </c>
      <c r="AD781" s="10">
        <f>IF(Timeline!AD119=1, -(AC804+AD689), MAX(-AC804, IF(AD$4&lt;=0, AD572,(SUM($AA758:AD758)-SUM($Z781:AC781))*Timeline!AD257)))</f>
        <v>0</v>
      </c>
      <c r="AE781" s="10">
        <f>IF(Timeline!AE119=1, -(AD804+AE689), MAX(-AD804, IF(AE$4&lt;=0, AE572,(SUM($AA758:AE758)-SUM($Z781:AD781))*Timeline!AE257)))</f>
        <v>0</v>
      </c>
      <c r="AF781" s="10">
        <f>IF(Timeline!AF119=1, -(AE804+AF689), MAX(-AE804, IF(AF$4&lt;=0, AF572,(SUM($AA758:AF758)-SUM($Z781:AE781))*Timeline!AF257)))</f>
        <v>0</v>
      </c>
      <c r="AG781" s="10">
        <f>IF(Timeline!AG119=1, -(AF804+AG689), MAX(-AF804, IF(AG$4&lt;=0, AG572,(SUM($AA758:AG758)-SUM($Z781:AF781))*Timeline!AG257)))</f>
        <v>0</v>
      </c>
      <c r="AH781" s="10">
        <f>IF(Timeline!AH119=1, -(AG804+AH689), MAX(-AG804, IF(AH$4&lt;=0, AH572,(SUM($AA758:AH758)-SUM($Z781:AG781))*Timeline!AH257)))</f>
        <v>0</v>
      </c>
      <c r="AI781" s="10">
        <f>IF(Timeline!AI119=1, -(AH804+AI689), MAX(-AH804, IF(AI$4&lt;=0, AI572,(SUM($AA758:AI758)-SUM($Z781:AH781))*Timeline!AI257)))</f>
        <v>0</v>
      </c>
      <c r="AJ781" s="10">
        <f>IF(Timeline!AJ119=1, -(AI804+AJ689), MAX(-AI804, IF(AJ$4&lt;=0, AJ572,(SUM($AA758:AJ758)-SUM($Z781:AI781))*Timeline!AJ257)))</f>
        <v>0</v>
      </c>
      <c r="AK781" s="10">
        <f>IF(Timeline!AK119=1, -(AJ804+AK689), MAX(-AJ804, IF(AK$4&lt;=0, AK572,(SUM($AA758:AK758)-SUM($Z781:AJ781))*Timeline!AK257)))</f>
        <v>0</v>
      </c>
      <c r="AL781" s="10">
        <f>IF(Timeline!AL119=1, -(AK804+AL689), MAX(-AK804, IF(AL$4&lt;=0, AL572,(SUM($AA758:AL758)-SUM($Z781:AK781))*Timeline!AL257)))</f>
        <v>0</v>
      </c>
      <c r="AM781" s="10">
        <f>IF(Timeline!AM119=1, -(AL804+AM689), MAX(-AL804, IF(AM$4&lt;=0, AM572,(SUM($AA758:AM758)-SUM($Z781:AL781))*Timeline!AM257)))</f>
        <v>0</v>
      </c>
      <c r="AN781" s="10">
        <f>IF(Timeline!AN119=1, -(AM804+AN689), MAX(-AM804, IF(AN$4&lt;=0, AN572,(SUM($AA758:AN758)-SUM($Z781:AM781))*Timeline!AN257)))</f>
        <v>0</v>
      </c>
      <c r="AO781" s="10">
        <f>IF(Timeline!AO119=1, -(AN804+AO689), MAX(-AN804, IF(AO$4&lt;=0, AO572,(SUM($AA758:AO758)-SUM($Z781:AN781))*Timeline!AO257)))</f>
        <v>0</v>
      </c>
      <c r="AP781" s="10">
        <f>IF(Timeline!AP119=1, -(AO804+AP689), MAX(-AO804, IF(AP$4&lt;=0, AP572,(SUM($AA758:AP758)-SUM($Z781:AO781))*Timeline!AP257)))</f>
        <v>0</v>
      </c>
      <c r="AQ781" s="10">
        <f>IF(Timeline!AQ119=1, -(AP804+AQ689), MAX(-AP804, IF(AQ$4&lt;=0, AQ572,(SUM($AA758:AQ758)-SUM($Z781:AP781))*Timeline!AQ257)))</f>
        <v>0</v>
      </c>
      <c r="AR781" s="10">
        <f>IF(Timeline!AR119=1, -(AQ804+AR689), MAX(-AQ804, IF(AR$4&lt;=0, AR572,(SUM($AA758:AR758)-SUM($Z781:AQ781))*Timeline!AR257)))</f>
        <v>0</v>
      </c>
      <c r="AS781" s="10">
        <f>IF(Timeline!AS119=1, -(AR804+AS689), MAX(-AR804, IF(AS$4&lt;=0, AS572,(SUM($AA758:AS758)-SUM($Z781:AR781))*Timeline!AS257)))</f>
        <v>0</v>
      </c>
      <c r="AT781" s="10">
        <f>IF(Timeline!AT119=1, -(AS804+AT689), MAX(-AS804, IF(AT$4&lt;=0, AT572,(SUM($AA758:AT758)-SUM($Z781:AS781))*Timeline!AT257)))</f>
        <v>0</v>
      </c>
      <c r="AU781" s="10">
        <f>IF(Timeline!AU119=1, -(AT804+AU689), MAX(-AT804, IF(AU$4&lt;=0, AU572,(SUM($AA758:AU758)-SUM($Z781:AT781))*Timeline!AU257)))</f>
        <v>0</v>
      </c>
      <c r="AV781" s="10">
        <f>IF(Timeline!AV119=1, -(AU804+AV689), MAX(-AU804, IF(AV$4&lt;=0, AV572,(SUM($AA758:AV758)-SUM($Z781:AU781))*Timeline!AV257)))</f>
        <v>0</v>
      </c>
      <c r="AW781" s="10">
        <f>IF(Timeline!AW119=1, -(AV804+AW689), MAX(-AV804, IF(AW$4&lt;=0, AW572,(SUM($AA758:AW758)-SUM($Z781:AV781))*Timeline!AW257)))</f>
        <v>0</v>
      </c>
      <c r="AX781" s="10">
        <f>IF(Timeline!AX119=1, -(AW804+AX689), MAX(-AW804, IF(AX$4&lt;=0, AX572,(SUM($AA758:AX758)-SUM($Z781:AW781))*Timeline!AX257)))</f>
        <v>0</v>
      </c>
      <c r="AY781" s="10">
        <f>IF(Timeline!AY119=1, -(AX804+AY689), MAX(-AX804, IF(AY$4&lt;=0, AY572,(SUM($AA758:AY758)-SUM($Z781:AX781))*Timeline!AY257)))</f>
        <v>0</v>
      </c>
      <c r="AZ781" s="10">
        <f>IF(Timeline!AZ119=1, -(AY804+AZ689), MAX(-AY804, IF(AZ$4&lt;=0, AZ572,(SUM($AA758:AZ758)-SUM($Z781:AY781))*Timeline!AZ257)))</f>
        <v>0</v>
      </c>
      <c r="BA781" s="10">
        <f>IF(Timeline!BA119=1, -(AZ804+BA689), MAX(-AZ804, IF(BA$4&lt;=0, BA572,(SUM($AA758:BA758)-SUM($Z781:AZ781))*Timeline!BA257)))</f>
        <v>0</v>
      </c>
      <c r="BB781" s="10">
        <f>IF(Timeline!BB119=1, -(BA804+BB689), MAX(-BA804, IF(BB$4&lt;=0, BB572,(SUM($AA758:BB758)-SUM($Z781:BA781))*Timeline!BB257)))</f>
        <v>0</v>
      </c>
      <c r="BC781" s="10">
        <f>IF(Timeline!BC119=1, -(BB804+BC689), MAX(-BB804, IF(BC$4&lt;=0, BC572,(SUM($AA758:BC758)-SUM($Z781:BB781))*Timeline!BC257)))</f>
        <v>0</v>
      </c>
      <c r="BD781" s="10">
        <f>IF(Timeline!BD119=1, -(BC804+BD689), MAX(-BC804, IF(BD$4&lt;=0, BD572,(SUM($AA758:BD758)-SUM($Z781:BC781))*Timeline!BD257)))</f>
        <v>0</v>
      </c>
      <c r="BE781" s="10">
        <f>IF(Timeline!BE119=1, -(BD804+BE689), MAX(-BD804, IF(BE$4&lt;=0, BE572,(SUM($AA758:BE758)-SUM($Z781:BD781))*Timeline!BE257)))</f>
        <v>0</v>
      </c>
      <c r="BF781" s="10">
        <f>IF(Timeline!BF119=1, -(BE804+BF689), MAX(-BE804, IF(BF$4&lt;=0, BF572,(SUM($AA758:BF758)-SUM($Z781:BE781))*Timeline!BF257)))</f>
        <v>0</v>
      </c>
      <c r="BG781" s="10">
        <f>IF(Timeline!BG119=1, -(BF804+BG689), MAX(-BF804, IF(BG$4&lt;=0, BG572,(SUM($AA758:BG758)-SUM($Z781:BF781))*Timeline!BG257)))</f>
        <v>0</v>
      </c>
      <c r="BH781" s="10">
        <f>IF(Timeline!BH119=1, -(BG804+BH689), MAX(-BG804, IF(BH$4&lt;=0, BH572,(SUM($AA758:BH758)-SUM($Z781:BG781))*Timeline!BH257)))</f>
        <v>0</v>
      </c>
      <c r="BI781" s="10">
        <f>IF(Timeline!BI119=1, -(BH804+BI689), MAX(-BH804, IF(BI$4&lt;=0, BI572,(SUM($AA758:BI758)-SUM($Z781:BH781))*Timeline!BI257)))</f>
        <v>0</v>
      </c>
      <c r="BJ781" s="10">
        <f>IF(Timeline!BJ119=1, -(BI804+BJ689), MAX(-BI804, IF(BJ$4&lt;=0, BJ572,(SUM($AA758:BJ758)-SUM($Z781:BI781))*Timeline!BJ257)))</f>
        <v>0</v>
      </c>
      <c r="BL781" s="13">
        <f t="shared" si="956"/>
        <v>0</v>
      </c>
      <c r="BM781" s="13">
        <f t="shared" si="957"/>
        <v>0</v>
      </c>
      <c r="BN781" s="13">
        <f t="shared" si="958"/>
        <v>0</v>
      </c>
      <c r="BO781" s="13">
        <f t="shared" si="959"/>
        <v>0</v>
      </c>
      <c r="BP781" s="136"/>
      <c r="BQ781" s="136"/>
      <c r="BR781" s="136"/>
      <c r="BS781" s="136"/>
      <c r="BT781" s="136"/>
      <c r="BU781" s="136"/>
      <c r="BV781" s="136"/>
      <c r="BW781" s="136"/>
      <c r="BY781" s="12"/>
      <c r="BZ781" s="335"/>
      <c r="CA781" s="12"/>
      <c r="CB781" s="335"/>
      <c r="CC781" s="335"/>
      <c r="CD781" s="335"/>
      <c r="CE781" s="335"/>
      <c r="CJ781" s="162"/>
      <c r="CM781" s="335"/>
      <c r="CN781" s="335"/>
      <c r="CO781" s="335"/>
      <c r="CP781" s="335"/>
      <c r="CR781" s="12"/>
      <c r="CT781" s="335"/>
      <c r="CU781" s="335"/>
      <c r="EW781" s="335"/>
      <c r="EX781" s="10" t="str">
        <f t="shared" si="933"/>
        <v/>
      </c>
    </row>
    <row r="782" spans="1:154" s="67" customFormat="1" x14ac:dyDescent="0.25">
      <c r="B782" s="84" t="str" cm="1">
        <f t="array" aca="1" ref="B782" ca="1">HYPERLINK(CONCATENATE("#",CELL("address",$D$123)),$D$123)</f>
        <v>Loan 5</v>
      </c>
      <c r="C782" s="380"/>
      <c r="D782" s="221" t="str">
        <f>D$17</f>
        <v>NatWest</v>
      </c>
      <c r="E782" s="60" t="str">
        <f>E$17</f>
        <v xml:space="preserve">Commercial </v>
      </c>
      <c r="G782" s="10">
        <f t="shared" si="953"/>
        <v>0</v>
      </c>
      <c r="H782" s="50" t="s">
        <v>157</v>
      </c>
      <c r="S782" s="335"/>
      <c r="T782" s="335"/>
      <c r="U782" s="335"/>
      <c r="V782" s="13">
        <f t="shared" si="954"/>
        <v>0</v>
      </c>
      <c r="W782" s="215">
        <f t="shared" si="955"/>
        <v>0</v>
      </c>
      <c r="X782" s="215">
        <f t="shared" si="955"/>
        <v>0</v>
      </c>
      <c r="Y782" s="215">
        <f t="shared" si="955"/>
        <v>0</v>
      </c>
      <c r="AA782" s="10">
        <f>IF(Timeline!AA120=1, -(Z805+AA690), MAX(-Z805, IF(AA$4&lt;=0, AA573,(SUM($AA759:AA759)-SUM($Z782:Z782))*Timeline!AA258)))</f>
        <v>0</v>
      </c>
      <c r="AB782" s="10">
        <f>IF(Timeline!AB120=1, -(AA805+AB690), MAX(-AA805, IF(AB$4&lt;=0, AB573,(SUM($AA759:AB759)-SUM($Z782:AA782))*Timeline!AB258)))</f>
        <v>0</v>
      </c>
      <c r="AC782" s="10">
        <f>IF(Timeline!AC120=1, -(AB805+AC690), MAX(-AB805, IF(AC$4&lt;=0, AC573,(SUM($AA759:AC759)-SUM($Z782:AB782))*Timeline!AC258)))</f>
        <v>0</v>
      </c>
      <c r="AD782" s="10">
        <f>IF(Timeline!AD120=1, -(AC805+AD690), MAX(-AC805, IF(AD$4&lt;=0, AD573,(SUM($AA759:AD759)-SUM($Z782:AC782))*Timeline!AD258)))</f>
        <v>0</v>
      </c>
      <c r="AE782" s="10">
        <f>IF(Timeline!AE120=1, -(AD805+AE690), MAX(-AD805, IF(AE$4&lt;=0, AE573,(SUM($AA759:AE759)-SUM($Z782:AD782))*Timeline!AE258)))</f>
        <v>0</v>
      </c>
      <c r="AF782" s="10">
        <f>IF(Timeline!AF120=1, -(AE805+AF690), MAX(-AE805, IF(AF$4&lt;=0, AF573,(SUM($AA759:AF759)-SUM($Z782:AE782))*Timeline!AF258)))</f>
        <v>0</v>
      </c>
      <c r="AG782" s="10">
        <f>IF(Timeline!AG120=1, -(AF805+AG690), MAX(-AF805, IF(AG$4&lt;=0, AG573,(SUM($AA759:AG759)-SUM($Z782:AF782))*Timeline!AG258)))</f>
        <v>0</v>
      </c>
      <c r="AH782" s="10">
        <f>IF(Timeline!AH120=1, -(AG805+AH690), MAX(-AG805, IF(AH$4&lt;=0, AH573,(SUM($AA759:AH759)-SUM($Z782:AG782))*Timeline!AH258)))</f>
        <v>0</v>
      </c>
      <c r="AI782" s="10">
        <f>IF(Timeline!AI120=1, -(AH805+AI690), MAX(-AH805, IF(AI$4&lt;=0, AI573,(SUM($AA759:AI759)-SUM($Z782:AH782))*Timeline!AI258)))</f>
        <v>0</v>
      </c>
      <c r="AJ782" s="10">
        <f>IF(Timeline!AJ120=1, -(AI805+AJ690), MAX(-AI805, IF(AJ$4&lt;=0, AJ573,(SUM($AA759:AJ759)-SUM($Z782:AI782))*Timeline!AJ258)))</f>
        <v>0</v>
      </c>
      <c r="AK782" s="10">
        <f>IF(Timeline!AK120=1, -(AJ805+AK690), MAX(-AJ805, IF(AK$4&lt;=0, AK573,(SUM($AA759:AK759)-SUM($Z782:AJ782))*Timeline!AK258)))</f>
        <v>0</v>
      </c>
      <c r="AL782" s="10">
        <f>IF(Timeline!AL120=1, -(AK805+AL690), MAX(-AK805, IF(AL$4&lt;=0, AL573,(SUM($AA759:AL759)-SUM($Z782:AK782))*Timeline!AL258)))</f>
        <v>0</v>
      </c>
      <c r="AM782" s="10">
        <f>IF(Timeline!AM120=1, -(AL805+AM690), MAX(-AL805, IF(AM$4&lt;=0, AM573,(SUM($AA759:AM759)-SUM($Z782:AL782))*Timeline!AM258)))</f>
        <v>0</v>
      </c>
      <c r="AN782" s="10">
        <f>IF(Timeline!AN120=1, -(AM805+AN690), MAX(-AM805, IF(AN$4&lt;=0, AN573,(SUM($AA759:AN759)-SUM($Z782:AM782))*Timeline!AN258)))</f>
        <v>0</v>
      </c>
      <c r="AO782" s="10">
        <f>IF(Timeline!AO120=1, -(AN805+AO690), MAX(-AN805, IF(AO$4&lt;=0, AO573,(SUM($AA759:AO759)-SUM($Z782:AN782))*Timeline!AO258)))</f>
        <v>0</v>
      </c>
      <c r="AP782" s="10">
        <f>IF(Timeline!AP120=1, -(AO805+AP690), MAX(-AO805, IF(AP$4&lt;=0, AP573,(SUM($AA759:AP759)-SUM($Z782:AO782))*Timeline!AP258)))</f>
        <v>0</v>
      </c>
      <c r="AQ782" s="10">
        <f>IF(Timeline!AQ120=1, -(AP805+AQ690), MAX(-AP805, IF(AQ$4&lt;=0, AQ573,(SUM($AA759:AQ759)-SUM($Z782:AP782))*Timeline!AQ258)))</f>
        <v>0</v>
      </c>
      <c r="AR782" s="10">
        <f>IF(Timeline!AR120=1, -(AQ805+AR690), MAX(-AQ805, IF(AR$4&lt;=0, AR573,(SUM($AA759:AR759)-SUM($Z782:AQ782))*Timeline!AR258)))</f>
        <v>0</v>
      </c>
      <c r="AS782" s="10">
        <f>IF(Timeline!AS120=1, -(AR805+AS690), MAX(-AR805, IF(AS$4&lt;=0, AS573,(SUM($AA759:AS759)-SUM($Z782:AR782))*Timeline!AS258)))</f>
        <v>0</v>
      </c>
      <c r="AT782" s="10">
        <f>IF(Timeline!AT120=1, -(AS805+AT690), MAX(-AS805, IF(AT$4&lt;=0, AT573,(SUM($AA759:AT759)-SUM($Z782:AS782))*Timeline!AT258)))</f>
        <v>0</v>
      </c>
      <c r="AU782" s="10">
        <f>IF(Timeline!AU120=1, -(AT805+AU690), MAX(-AT805, IF(AU$4&lt;=0, AU573,(SUM($AA759:AU759)-SUM($Z782:AT782))*Timeline!AU258)))</f>
        <v>0</v>
      </c>
      <c r="AV782" s="10">
        <f>IF(Timeline!AV120=1, -(AU805+AV690), MAX(-AU805, IF(AV$4&lt;=0, AV573,(SUM($AA759:AV759)-SUM($Z782:AU782))*Timeline!AV258)))</f>
        <v>0</v>
      </c>
      <c r="AW782" s="10">
        <f>IF(Timeline!AW120=1, -(AV805+AW690), MAX(-AV805, IF(AW$4&lt;=0, AW573,(SUM($AA759:AW759)-SUM($Z782:AV782))*Timeline!AW258)))</f>
        <v>0</v>
      </c>
      <c r="AX782" s="10">
        <f>IF(Timeline!AX120=1, -(AW805+AX690), MAX(-AW805, IF(AX$4&lt;=0, AX573,(SUM($AA759:AX759)-SUM($Z782:AW782))*Timeline!AX258)))</f>
        <v>0</v>
      </c>
      <c r="AY782" s="10">
        <f>IF(Timeline!AY120=1, -(AX805+AY690), MAX(-AX805, IF(AY$4&lt;=0, AY573,(SUM($AA759:AY759)-SUM($Z782:AX782))*Timeline!AY258)))</f>
        <v>0</v>
      </c>
      <c r="AZ782" s="10">
        <f>IF(Timeline!AZ120=1, -(AY805+AZ690), MAX(-AY805, IF(AZ$4&lt;=0, AZ573,(SUM($AA759:AZ759)-SUM($Z782:AY782))*Timeline!AZ258)))</f>
        <v>0</v>
      </c>
      <c r="BA782" s="10">
        <f>IF(Timeline!BA120=1, -(AZ805+BA690), MAX(-AZ805, IF(BA$4&lt;=0, BA573,(SUM($AA759:BA759)-SUM($Z782:AZ782))*Timeline!BA258)))</f>
        <v>0</v>
      </c>
      <c r="BB782" s="10">
        <f>IF(Timeline!BB120=1, -(BA805+BB690), MAX(-BA805, IF(BB$4&lt;=0, BB573,(SUM($AA759:BB759)-SUM($Z782:BA782))*Timeline!BB258)))</f>
        <v>0</v>
      </c>
      <c r="BC782" s="10">
        <f>IF(Timeline!BC120=1, -(BB805+BC690), MAX(-BB805, IF(BC$4&lt;=0, BC573,(SUM($AA759:BC759)-SUM($Z782:BB782))*Timeline!BC258)))</f>
        <v>0</v>
      </c>
      <c r="BD782" s="10">
        <f>IF(Timeline!BD120=1, -(BC805+BD690), MAX(-BC805, IF(BD$4&lt;=0, BD573,(SUM($AA759:BD759)-SUM($Z782:BC782))*Timeline!BD258)))</f>
        <v>0</v>
      </c>
      <c r="BE782" s="10">
        <f>IF(Timeline!BE120=1, -(BD805+BE690), MAX(-BD805, IF(BE$4&lt;=0, BE573,(SUM($AA759:BE759)-SUM($Z782:BD782))*Timeline!BE258)))</f>
        <v>0</v>
      </c>
      <c r="BF782" s="10">
        <f>IF(Timeline!BF120=1, -(BE805+BF690), MAX(-BE805, IF(BF$4&lt;=0, BF573,(SUM($AA759:BF759)-SUM($Z782:BE782))*Timeline!BF258)))</f>
        <v>0</v>
      </c>
      <c r="BG782" s="10">
        <f>IF(Timeline!BG120=1, -(BF805+BG690), MAX(-BF805, IF(BG$4&lt;=0, BG573,(SUM($AA759:BG759)-SUM($Z782:BF782))*Timeline!BG258)))</f>
        <v>0</v>
      </c>
      <c r="BH782" s="10">
        <f>IF(Timeline!BH120=1, -(BG805+BH690), MAX(-BG805, IF(BH$4&lt;=0, BH573,(SUM($AA759:BH759)-SUM($Z782:BG782))*Timeline!BH258)))</f>
        <v>0</v>
      </c>
      <c r="BI782" s="10">
        <f>IF(Timeline!BI120=1, -(BH805+BI690), MAX(-BH805, IF(BI$4&lt;=0, BI573,(SUM($AA759:BI759)-SUM($Z782:BH782))*Timeline!BI258)))</f>
        <v>0</v>
      </c>
      <c r="BJ782" s="10">
        <f>IF(Timeline!BJ120=1, -(BI805+BJ690), MAX(-BI805, IF(BJ$4&lt;=0, BJ573,(SUM($AA759:BJ759)-SUM($Z782:BI782))*Timeline!BJ258)))</f>
        <v>0</v>
      </c>
      <c r="BL782" s="13">
        <f t="shared" si="956"/>
        <v>0</v>
      </c>
      <c r="BM782" s="13">
        <f t="shared" si="957"/>
        <v>0</v>
      </c>
      <c r="BN782" s="13">
        <f t="shared" si="958"/>
        <v>0</v>
      </c>
      <c r="BO782" s="13">
        <f t="shared" si="959"/>
        <v>0</v>
      </c>
      <c r="BP782" s="136"/>
      <c r="BQ782" s="136"/>
      <c r="BR782" s="136"/>
      <c r="BS782" s="136"/>
      <c r="BT782" s="136"/>
      <c r="BU782" s="136"/>
      <c r="BV782" s="136"/>
      <c r="BW782" s="136"/>
      <c r="BY782" s="12"/>
      <c r="BZ782" s="335"/>
      <c r="CA782" s="12"/>
      <c r="CB782" s="335"/>
      <c r="CC782" s="335"/>
      <c r="CD782" s="335"/>
      <c r="CE782" s="335"/>
      <c r="CJ782" s="162"/>
      <c r="CM782" s="335"/>
      <c r="CN782" s="335"/>
      <c r="CO782" s="335"/>
      <c r="CP782" s="335"/>
      <c r="CR782" s="12"/>
      <c r="CT782" s="335"/>
      <c r="CU782" s="335"/>
      <c r="EW782" s="335"/>
      <c r="EX782" s="10" t="str">
        <f t="shared" si="933"/>
        <v/>
      </c>
    </row>
    <row r="783" spans="1:154" s="67" customFormat="1" x14ac:dyDescent="0.25">
      <c r="B783" s="84" t="str" cm="1">
        <f t="array" aca="1" ref="B783" ca="1">HYPERLINK(CONCATENATE("#",CELL("address",$D$142)),$D$142)</f>
        <v>Loan 6</v>
      </c>
      <c r="C783" s="380"/>
      <c r="D783" s="221">
        <f>D$18</f>
        <v>0</v>
      </c>
      <c r="E783" s="60">
        <f>E$18</f>
        <v>0</v>
      </c>
      <c r="G783" s="10">
        <f t="shared" si="953"/>
        <v>0</v>
      </c>
      <c r="H783" s="50" t="s">
        <v>157</v>
      </c>
      <c r="S783" s="335"/>
      <c r="T783" s="335"/>
      <c r="U783" s="335"/>
      <c r="V783" s="13">
        <f t="shared" si="954"/>
        <v>0</v>
      </c>
      <c r="W783" s="215">
        <f t="shared" si="955"/>
        <v>0</v>
      </c>
      <c r="X783" s="215">
        <f t="shared" si="955"/>
        <v>0</v>
      </c>
      <c r="Y783" s="215">
        <f t="shared" si="955"/>
        <v>0</v>
      </c>
      <c r="AA783" s="10">
        <f>IF(Timeline!AA121=1, -(Z806+AA691), MAX(-Z806, IF(AA$4&lt;=0, AA574,(SUM($AA760:AA760)-SUM($Z783:Z783))*Timeline!AA259)))</f>
        <v>0</v>
      </c>
      <c r="AB783" s="10">
        <f>IF(Timeline!AB121=1, -(AA806+AB691), MAX(-AA806, IF(AB$4&lt;=0, AB574,(SUM($AA760:AB760)-SUM($Z783:AA783))*Timeline!AB259)))</f>
        <v>0</v>
      </c>
      <c r="AC783" s="10">
        <f>IF(Timeline!AC121=1, -(AB806+AC691), MAX(-AB806, IF(AC$4&lt;=0, AC574,(SUM($AA760:AC760)-SUM($Z783:AB783))*Timeline!AC259)))</f>
        <v>0</v>
      </c>
      <c r="AD783" s="10">
        <f>IF(Timeline!AD121=1, -(AC806+AD691), MAX(-AC806, IF(AD$4&lt;=0, AD574,(SUM($AA760:AD760)-SUM($Z783:AC783))*Timeline!AD259)))</f>
        <v>0</v>
      </c>
      <c r="AE783" s="10">
        <f>IF(Timeline!AE121=1, -(AD806+AE691), MAX(-AD806, IF(AE$4&lt;=0, AE574,(SUM($AA760:AE760)-SUM($Z783:AD783))*Timeline!AE259)))</f>
        <v>0</v>
      </c>
      <c r="AF783" s="10">
        <f>IF(Timeline!AF121=1, -(AE806+AF691), MAX(-AE806, IF(AF$4&lt;=0, AF574,(SUM($AA760:AF760)-SUM($Z783:AE783))*Timeline!AF259)))</f>
        <v>0</v>
      </c>
      <c r="AG783" s="10">
        <f>IF(Timeline!AG121=1, -(AF806+AG691), MAX(-AF806, IF(AG$4&lt;=0, AG574,(SUM($AA760:AG760)-SUM($Z783:AF783))*Timeline!AG259)))</f>
        <v>0</v>
      </c>
      <c r="AH783" s="10">
        <f>IF(Timeline!AH121=1, -(AG806+AH691), MAX(-AG806, IF(AH$4&lt;=0, AH574,(SUM($AA760:AH760)-SUM($Z783:AG783))*Timeline!AH259)))</f>
        <v>0</v>
      </c>
      <c r="AI783" s="10">
        <f>IF(Timeline!AI121=1, -(AH806+AI691), MAX(-AH806, IF(AI$4&lt;=0, AI574,(SUM($AA760:AI760)-SUM($Z783:AH783))*Timeline!AI259)))</f>
        <v>0</v>
      </c>
      <c r="AJ783" s="10">
        <f>IF(Timeline!AJ121=1, -(AI806+AJ691), MAX(-AI806, IF(AJ$4&lt;=0, AJ574,(SUM($AA760:AJ760)-SUM($Z783:AI783))*Timeline!AJ259)))</f>
        <v>0</v>
      </c>
      <c r="AK783" s="10">
        <f>IF(Timeline!AK121=1, -(AJ806+AK691), MAX(-AJ806, IF(AK$4&lt;=0, AK574,(SUM($AA760:AK760)-SUM($Z783:AJ783))*Timeline!AK259)))</f>
        <v>0</v>
      </c>
      <c r="AL783" s="10">
        <f>IF(Timeline!AL121=1, -(AK806+AL691), MAX(-AK806, IF(AL$4&lt;=0, AL574,(SUM($AA760:AL760)-SUM($Z783:AK783))*Timeline!AL259)))</f>
        <v>0</v>
      </c>
      <c r="AM783" s="10">
        <f>IF(Timeline!AM121=1, -(AL806+AM691), MAX(-AL806, IF(AM$4&lt;=0, AM574,(SUM($AA760:AM760)-SUM($Z783:AL783))*Timeline!AM259)))</f>
        <v>0</v>
      </c>
      <c r="AN783" s="10">
        <f>IF(Timeline!AN121=1, -(AM806+AN691), MAX(-AM806, IF(AN$4&lt;=0, AN574,(SUM($AA760:AN760)-SUM($Z783:AM783))*Timeline!AN259)))</f>
        <v>0</v>
      </c>
      <c r="AO783" s="10">
        <f>IF(Timeline!AO121=1, -(AN806+AO691), MAX(-AN806, IF(AO$4&lt;=0, AO574,(SUM($AA760:AO760)-SUM($Z783:AN783))*Timeline!AO259)))</f>
        <v>0</v>
      </c>
      <c r="AP783" s="10">
        <f>IF(Timeline!AP121=1, -(AO806+AP691), MAX(-AO806, IF(AP$4&lt;=0, AP574,(SUM($AA760:AP760)-SUM($Z783:AO783))*Timeline!AP259)))</f>
        <v>0</v>
      </c>
      <c r="AQ783" s="10">
        <f>IF(Timeline!AQ121=1, -(AP806+AQ691), MAX(-AP806, IF(AQ$4&lt;=0, AQ574,(SUM($AA760:AQ760)-SUM($Z783:AP783))*Timeline!AQ259)))</f>
        <v>0</v>
      </c>
      <c r="AR783" s="10">
        <f>IF(Timeline!AR121=1, -(AQ806+AR691), MAX(-AQ806, IF(AR$4&lt;=0, AR574,(SUM($AA760:AR760)-SUM($Z783:AQ783))*Timeline!AR259)))</f>
        <v>0</v>
      </c>
      <c r="AS783" s="10">
        <f>IF(Timeline!AS121=1, -(AR806+AS691), MAX(-AR806, IF(AS$4&lt;=0, AS574,(SUM($AA760:AS760)-SUM($Z783:AR783))*Timeline!AS259)))</f>
        <v>0</v>
      </c>
      <c r="AT783" s="10">
        <f>IF(Timeline!AT121=1, -(AS806+AT691), MAX(-AS806, IF(AT$4&lt;=0, AT574,(SUM($AA760:AT760)-SUM($Z783:AS783))*Timeline!AT259)))</f>
        <v>0</v>
      </c>
      <c r="AU783" s="10">
        <f>IF(Timeline!AU121=1, -(AT806+AU691), MAX(-AT806, IF(AU$4&lt;=0, AU574,(SUM($AA760:AU760)-SUM($Z783:AT783))*Timeline!AU259)))</f>
        <v>0</v>
      </c>
      <c r="AV783" s="10">
        <f>IF(Timeline!AV121=1, -(AU806+AV691), MAX(-AU806, IF(AV$4&lt;=0, AV574,(SUM($AA760:AV760)-SUM($Z783:AU783))*Timeline!AV259)))</f>
        <v>0</v>
      </c>
      <c r="AW783" s="10">
        <f>IF(Timeline!AW121=1, -(AV806+AW691), MAX(-AV806, IF(AW$4&lt;=0, AW574,(SUM($AA760:AW760)-SUM($Z783:AV783))*Timeline!AW259)))</f>
        <v>0</v>
      </c>
      <c r="AX783" s="10">
        <f>IF(Timeline!AX121=1, -(AW806+AX691), MAX(-AW806, IF(AX$4&lt;=0, AX574,(SUM($AA760:AX760)-SUM($Z783:AW783))*Timeline!AX259)))</f>
        <v>0</v>
      </c>
      <c r="AY783" s="10">
        <f>IF(Timeline!AY121=1, -(AX806+AY691), MAX(-AX806, IF(AY$4&lt;=0, AY574,(SUM($AA760:AY760)-SUM($Z783:AX783))*Timeline!AY259)))</f>
        <v>0</v>
      </c>
      <c r="AZ783" s="10">
        <f>IF(Timeline!AZ121=1, -(AY806+AZ691), MAX(-AY806, IF(AZ$4&lt;=0, AZ574,(SUM($AA760:AZ760)-SUM($Z783:AY783))*Timeline!AZ259)))</f>
        <v>0</v>
      </c>
      <c r="BA783" s="10">
        <f>IF(Timeline!BA121=1, -(AZ806+BA691), MAX(-AZ806, IF(BA$4&lt;=0, BA574,(SUM($AA760:BA760)-SUM($Z783:AZ783))*Timeline!BA259)))</f>
        <v>0</v>
      </c>
      <c r="BB783" s="10">
        <f>IF(Timeline!BB121=1, -(BA806+BB691), MAX(-BA806, IF(BB$4&lt;=0, BB574,(SUM($AA760:BB760)-SUM($Z783:BA783))*Timeline!BB259)))</f>
        <v>0</v>
      </c>
      <c r="BC783" s="10">
        <f>IF(Timeline!BC121=1, -(BB806+BC691), MAX(-BB806, IF(BC$4&lt;=0, BC574,(SUM($AA760:BC760)-SUM($Z783:BB783))*Timeline!BC259)))</f>
        <v>0</v>
      </c>
      <c r="BD783" s="10">
        <f>IF(Timeline!BD121=1, -(BC806+BD691), MAX(-BC806, IF(BD$4&lt;=0, BD574,(SUM($AA760:BD760)-SUM($Z783:BC783))*Timeline!BD259)))</f>
        <v>0</v>
      </c>
      <c r="BE783" s="10">
        <f>IF(Timeline!BE121=1, -(BD806+BE691), MAX(-BD806, IF(BE$4&lt;=0, BE574,(SUM($AA760:BE760)-SUM($Z783:BD783))*Timeline!BE259)))</f>
        <v>0</v>
      </c>
      <c r="BF783" s="10">
        <f>IF(Timeline!BF121=1, -(BE806+BF691), MAX(-BE806, IF(BF$4&lt;=0, BF574,(SUM($AA760:BF760)-SUM($Z783:BE783))*Timeline!BF259)))</f>
        <v>0</v>
      </c>
      <c r="BG783" s="10">
        <f>IF(Timeline!BG121=1, -(BF806+BG691), MAX(-BF806, IF(BG$4&lt;=0, BG574,(SUM($AA760:BG760)-SUM($Z783:BF783))*Timeline!BG259)))</f>
        <v>0</v>
      </c>
      <c r="BH783" s="10">
        <f>IF(Timeline!BH121=1, -(BG806+BH691), MAX(-BG806, IF(BH$4&lt;=0, BH574,(SUM($AA760:BH760)-SUM($Z783:BG783))*Timeline!BH259)))</f>
        <v>0</v>
      </c>
      <c r="BI783" s="10">
        <f>IF(Timeline!BI121=1, -(BH806+BI691), MAX(-BH806, IF(BI$4&lt;=0, BI574,(SUM($AA760:BI760)-SUM($Z783:BH783))*Timeline!BI259)))</f>
        <v>0</v>
      </c>
      <c r="BJ783" s="10">
        <f>IF(Timeline!BJ121=1, -(BI806+BJ691), MAX(-BI806, IF(BJ$4&lt;=0, BJ574,(SUM($AA760:BJ760)-SUM($Z783:BI783))*Timeline!BJ259)))</f>
        <v>0</v>
      </c>
      <c r="BL783" s="13">
        <f t="shared" si="956"/>
        <v>0</v>
      </c>
      <c r="BM783" s="13">
        <f t="shared" si="957"/>
        <v>0</v>
      </c>
      <c r="BN783" s="13">
        <f t="shared" si="958"/>
        <v>0</v>
      </c>
      <c r="BO783" s="13">
        <f t="shared" si="959"/>
        <v>0</v>
      </c>
      <c r="BP783" s="136"/>
      <c r="BQ783" s="136"/>
      <c r="BR783" s="136"/>
      <c r="BS783" s="136"/>
      <c r="BT783" s="136"/>
      <c r="BU783" s="136"/>
      <c r="BV783" s="136"/>
      <c r="BW783" s="136"/>
      <c r="BY783" s="12"/>
      <c r="BZ783" s="335"/>
      <c r="CA783" s="12"/>
      <c r="CB783" s="335"/>
      <c r="CC783" s="335"/>
      <c r="CD783" s="335"/>
      <c r="CE783" s="335"/>
      <c r="CJ783" s="162"/>
      <c r="CM783" s="335"/>
      <c r="CN783" s="335"/>
      <c r="CO783" s="335"/>
      <c r="CP783" s="335"/>
      <c r="CR783" s="12"/>
      <c r="CT783" s="335"/>
      <c r="CU783" s="335"/>
      <c r="EW783" s="335"/>
      <c r="EX783" s="10" t="str">
        <f t="shared" si="933"/>
        <v/>
      </c>
    </row>
    <row r="784" spans="1:154" s="67" customFormat="1" x14ac:dyDescent="0.25">
      <c r="B784" s="84" t="str" cm="1">
        <f t="array" aca="1" ref="B784" ca="1">HYPERLINK(CONCATENATE("#",CELL("address",$D$161)),$D$161)</f>
        <v>Loan 7</v>
      </c>
      <c r="C784" s="380"/>
      <c r="D784" s="221">
        <f>D$19</f>
        <v>0</v>
      </c>
      <c r="E784" s="60">
        <f>E$19</f>
        <v>0</v>
      </c>
      <c r="G784" s="10">
        <f t="shared" si="953"/>
        <v>0</v>
      </c>
      <c r="H784" s="50" t="s">
        <v>157</v>
      </c>
      <c r="S784" s="335"/>
      <c r="T784" s="335"/>
      <c r="U784" s="335"/>
      <c r="V784" s="13">
        <f t="shared" si="954"/>
        <v>0</v>
      </c>
      <c r="W784" s="215">
        <f t="shared" si="955"/>
        <v>0</v>
      </c>
      <c r="X784" s="215">
        <f t="shared" si="955"/>
        <v>0</v>
      </c>
      <c r="Y784" s="215">
        <f t="shared" si="955"/>
        <v>0</v>
      </c>
      <c r="AA784" s="10">
        <f>IF(Timeline!AA122=1, -(Z807+AA692), MAX(-Z807, IF(AA$4&lt;=0, AA575,(SUM($AA761:AA761)-SUM($Z784:Z784))*Timeline!AA260)))</f>
        <v>0</v>
      </c>
      <c r="AB784" s="10">
        <f>IF(Timeline!AB122=1, -(AA807+AB692), MAX(-AA807, IF(AB$4&lt;=0, AB575,(SUM($AA761:AB761)-SUM($Z784:AA784))*Timeline!AB260)))</f>
        <v>0</v>
      </c>
      <c r="AC784" s="10">
        <f>IF(Timeline!AC122=1, -(AB807+AC692), MAX(-AB807, IF(AC$4&lt;=0, AC575,(SUM($AA761:AC761)-SUM($Z784:AB784))*Timeline!AC260)))</f>
        <v>0</v>
      </c>
      <c r="AD784" s="10">
        <f>IF(Timeline!AD122=1, -(AC807+AD692), MAX(-AC807, IF(AD$4&lt;=0, AD575,(SUM($AA761:AD761)-SUM($Z784:AC784))*Timeline!AD260)))</f>
        <v>0</v>
      </c>
      <c r="AE784" s="10">
        <f>IF(Timeline!AE122=1, -(AD807+AE692), MAX(-AD807, IF(AE$4&lt;=0, AE575,(SUM($AA761:AE761)-SUM($Z784:AD784))*Timeline!AE260)))</f>
        <v>0</v>
      </c>
      <c r="AF784" s="10">
        <f>IF(Timeline!AF122=1, -(AE807+AF692), MAX(-AE807, IF(AF$4&lt;=0, AF575,(SUM($AA761:AF761)-SUM($Z784:AE784))*Timeline!AF260)))</f>
        <v>0</v>
      </c>
      <c r="AG784" s="10">
        <f>IF(Timeline!AG122=1, -(AF807+AG692), MAX(-AF807, IF(AG$4&lt;=0, AG575,(SUM($AA761:AG761)-SUM($Z784:AF784))*Timeline!AG260)))</f>
        <v>0</v>
      </c>
      <c r="AH784" s="10">
        <f>IF(Timeline!AH122=1, -(AG807+AH692), MAX(-AG807, IF(AH$4&lt;=0, AH575,(SUM($AA761:AH761)-SUM($Z784:AG784))*Timeline!AH260)))</f>
        <v>0</v>
      </c>
      <c r="AI784" s="10">
        <f>IF(Timeline!AI122=1, -(AH807+AI692), MAX(-AH807, IF(AI$4&lt;=0, AI575,(SUM($AA761:AI761)-SUM($Z784:AH784))*Timeline!AI260)))</f>
        <v>0</v>
      </c>
      <c r="AJ784" s="10">
        <f>IF(Timeline!AJ122=1, -(AI807+AJ692), MAX(-AI807, IF(AJ$4&lt;=0, AJ575,(SUM($AA761:AJ761)-SUM($Z784:AI784))*Timeline!AJ260)))</f>
        <v>0</v>
      </c>
      <c r="AK784" s="10">
        <f>IF(Timeline!AK122=1, -(AJ807+AK692), MAX(-AJ807, IF(AK$4&lt;=0, AK575,(SUM($AA761:AK761)-SUM($Z784:AJ784))*Timeline!AK260)))</f>
        <v>0</v>
      </c>
      <c r="AL784" s="10">
        <f>IF(Timeline!AL122=1, -(AK807+AL692), MAX(-AK807, IF(AL$4&lt;=0, AL575,(SUM($AA761:AL761)-SUM($Z784:AK784))*Timeline!AL260)))</f>
        <v>0</v>
      </c>
      <c r="AM784" s="10">
        <f>IF(Timeline!AM122=1, -(AL807+AM692), MAX(-AL807, IF(AM$4&lt;=0, AM575,(SUM($AA761:AM761)-SUM($Z784:AL784))*Timeline!AM260)))</f>
        <v>0</v>
      </c>
      <c r="AN784" s="10">
        <f>IF(Timeline!AN122=1, -(AM807+AN692), MAX(-AM807, IF(AN$4&lt;=0, AN575,(SUM($AA761:AN761)-SUM($Z784:AM784))*Timeline!AN260)))</f>
        <v>0</v>
      </c>
      <c r="AO784" s="10">
        <f>IF(Timeline!AO122=1, -(AN807+AO692), MAX(-AN807, IF(AO$4&lt;=0, AO575,(SUM($AA761:AO761)-SUM($Z784:AN784))*Timeline!AO260)))</f>
        <v>0</v>
      </c>
      <c r="AP784" s="10">
        <f>IF(Timeline!AP122=1, -(AO807+AP692), MAX(-AO807, IF(AP$4&lt;=0, AP575,(SUM($AA761:AP761)-SUM($Z784:AO784))*Timeline!AP260)))</f>
        <v>0</v>
      </c>
      <c r="AQ784" s="10">
        <f>IF(Timeline!AQ122=1, -(AP807+AQ692), MAX(-AP807, IF(AQ$4&lt;=0, AQ575,(SUM($AA761:AQ761)-SUM($Z784:AP784))*Timeline!AQ260)))</f>
        <v>0</v>
      </c>
      <c r="AR784" s="10">
        <f>IF(Timeline!AR122=1, -(AQ807+AR692), MAX(-AQ807, IF(AR$4&lt;=0, AR575,(SUM($AA761:AR761)-SUM($Z784:AQ784))*Timeline!AR260)))</f>
        <v>0</v>
      </c>
      <c r="AS784" s="10">
        <f>IF(Timeline!AS122=1, -(AR807+AS692), MAX(-AR807, IF(AS$4&lt;=0, AS575,(SUM($AA761:AS761)-SUM($Z784:AR784))*Timeline!AS260)))</f>
        <v>0</v>
      </c>
      <c r="AT784" s="10">
        <f>IF(Timeline!AT122=1, -(AS807+AT692), MAX(-AS807, IF(AT$4&lt;=0, AT575,(SUM($AA761:AT761)-SUM($Z784:AS784))*Timeline!AT260)))</f>
        <v>0</v>
      </c>
      <c r="AU784" s="10">
        <f>IF(Timeline!AU122=1, -(AT807+AU692), MAX(-AT807, IF(AU$4&lt;=0, AU575,(SUM($AA761:AU761)-SUM($Z784:AT784))*Timeline!AU260)))</f>
        <v>0</v>
      </c>
      <c r="AV784" s="10">
        <f>IF(Timeline!AV122=1, -(AU807+AV692), MAX(-AU807, IF(AV$4&lt;=0, AV575,(SUM($AA761:AV761)-SUM($Z784:AU784))*Timeline!AV260)))</f>
        <v>0</v>
      </c>
      <c r="AW784" s="10">
        <f>IF(Timeline!AW122=1, -(AV807+AW692), MAX(-AV807, IF(AW$4&lt;=0, AW575,(SUM($AA761:AW761)-SUM($Z784:AV784))*Timeline!AW260)))</f>
        <v>0</v>
      </c>
      <c r="AX784" s="10">
        <f>IF(Timeline!AX122=1, -(AW807+AX692), MAX(-AW807, IF(AX$4&lt;=0, AX575,(SUM($AA761:AX761)-SUM($Z784:AW784))*Timeline!AX260)))</f>
        <v>0</v>
      </c>
      <c r="AY784" s="10">
        <f>IF(Timeline!AY122=1, -(AX807+AY692), MAX(-AX807, IF(AY$4&lt;=0, AY575,(SUM($AA761:AY761)-SUM($Z784:AX784))*Timeline!AY260)))</f>
        <v>0</v>
      </c>
      <c r="AZ784" s="10">
        <f>IF(Timeline!AZ122=1, -(AY807+AZ692), MAX(-AY807, IF(AZ$4&lt;=0, AZ575,(SUM($AA761:AZ761)-SUM($Z784:AY784))*Timeline!AZ260)))</f>
        <v>0</v>
      </c>
      <c r="BA784" s="10">
        <f>IF(Timeline!BA122=1, -(AZ807+BA692), MAX(-AZ807, IF(BA$4&lt;=0, BA575,(SUM($AA761:BA761)-SUM($Z784:AZ784))*Timeline!BA260)))</f>
        <v>0</v>
      </c>
      <c r="BB784" s="10">
        <f>IF(Timeline!BB122=1, -(BA807+BB692), MAX(-BA807, IF(BB$4&lt;=0, BB575,(SUM($AA761:BB761)-SUM($Z784:BA784))*Timeline!BB260)))</f>
        <v>0</v>
      </c>
      <c r="BC784" s="10">
        <f>IF(Timeline!BC122=1, -(BB807+BC692), MAX(-BB807, IF(BC$4&lt;=0, BC575,(SUM($AA761:BC761)-SUM($Z784:BB784))*Timeline!BC260)))</f>
        <v>0</v>
      </c>
      <c r="BD784" s="10">
        <f>IF(Timeline!BD122=1, -(BC807+BD692), MAX(-BC807, IF(BD$4&lt;=0, BD575,(SUM($AA761:BD761)-SUM($Z784:BC784))*Timeline!BD260)))</f>
        <v>0</v>
      </c>
      <c r="BE784" s="10">
        <f>IF(Timeline!BE122=1, -(BD807+BE692), MAX(-BD807, IF(BE$4&lt;=0, BE575,(SUM($AA761:BE761)-SUM($Z784:BD784))*Timeline!BE260)))</f>
        <v>0</v>
      </c>
      <c r="BF784" s="10">
        <f>IF(Timeline!BF122=1, -(BE807+BF692), MAX(-BE807, IF(BF$4&lt;=0, BF575,(SUM($AA761:BF761)-SUM($Z784:BE784))*Timeline!BF260)))</f>
        <v>0</v>
      </c>
      <c r="BG784" s="10">
        <f>IF(Timeline!BG122=1, -(BF807+BG692), MAX(-BF807, IF(BG$4&lt;=0, BG575,(SUM($AA761:BG761)-SUM($Z784:BF784))*Timeline!BG260)))</f>
        <v>0</v>
      </c>
      <c r="BH784" s="10">
        <f>IF(Timeline!BH122=1, -(BG807+BH692), MAX(-BG807, IF(BH$4&lt;=0, BH575,(SUM($AA761:BH761)-SUM($Z784:BG784))*Timeline!BH260)))</f>
        <v>0</v>
      </c>
      <c r="BI784" s="10">
        <f>IF(Timeline!BI122=1, -(BH807+BI692), MAX(-BH807, IF(BI$4&lt;=0, BI575,(SUM($AA761:BI761)-SUM($Z784:BH784))*Timeline!BI260)))</f>
        <v>0</v>
      </c>
      <c r="BJ784" s="10">
        <f>IF(Timeline!BJ122=1, -(BI807+BJ692), MAX(-BI807, IF(BJ$4&lt;=0, BJ575,(SUM($AA761:BJ761)-SUM($Z784:BI784))*Timeline!BJ260)))</f>
        <v>0</v>
      </c>
      <c r="BL784" s="13">
        <f t="shared" si="956"/>
        <v>0</v>
      </c>
      <c r="BM784" s="13">
        <f t="shared" si="957"/>
        <v>0</v>
      </c>
      <c r="BN784" s="13">
        <f t="shared" si="958"/>
        <v>0</v>
      </c>
      <c r="BO784" s="13">
        <f t="shared" si="959"/>
        <v>0</v>
      </c>
      <c r="BP784" s="136"/>
      <c r="BQ784" s="136"/>
      <c r="BR784" s="136"/>
      <c r="BS784" s="136"/>
      <c r="BT784" s="136"/>
      <c r="BU784" s="136"/>
      <c r="BV784" s="136"/>
      <c r="BW784" s="136"/>
      <c r="BY784" s="12"/>
      <c r="BZ784" s="335"/>
      <c r="CA784" s="12"/>
      <c r="CB784" s="335"/>
      <c r="CC784" s="335"/>
      <c r="CD784" s="335"/>
      <c r="CE784" s="335"/>
      <c r="CJ784" s="162"/>
      <c r="CM784" s="335"/>
      <c r="CN784" s="335"/>
      <c r="CO784" s="335"/>
      <c r="CP784" s="335"/>
      <c r="CR784" s="12"/>
      <c r="CT784" s="335"/>
      <c r="CU784" s="335"/>
      <c r="EW784" s="335"/>
      <c r="EX784" s="10" t="str">
        <f t="shared" si="933"/>
        <v/>
      </c>
    </row>
    <row r="785" spans="1:154" s="67" customFormat="1" x14ac:dyDescent="0.25">
      <c r="B785" s="84" t="str" cm="1">
        <f t="array" aca="1" ref="B785" ca="1">HYPERLINK(CONCATENATE("#",CELL("address",$D$180)),$D$180)</f>
        <v>Loan 8</v>
      </c>
      <c r="C785" s="380"/>
      <c r="D785" s="221">
        <f>D$20</f>
        <v>0</v>
      </c>
      <c r="E785" s="60">
        <f>E$20</f>
        <v>0</v>
      </c>
      <c r="G785" s="10">
        <f t="shared" si="953"/>
        <v>0</v>
      </c>
      <c r="H785" s="50" t="s">
        <v>157</v>
      </c>
      <c r="S785" s="335"/>
      <c r="T785" s="335"/>
      <c r="U785" s="335"/>
      <c r="V785" s="13">
        <f t="shared" si="954"/>
        <v>0</v>
      </c>
      <c r="W785" s="215">
        <f t="shared" si="955"/>
        <v>0</v>
      </c>
      <c r="X785" s="215">
        <f t="shared" si="955"/>
        <v>0</v>
      </c>
      <c r="Y785" s="215">
        <f t="shared" si="955"/>
        <v>0</v>
      </c>
      <c r="AA785" s="10">
        <f>IF(Timeline!AA123=1, -(Z808+AA693), MAX(-Z808, IF(AA$4&lt;=0, AA576,(SUM($AA762:AA762)-SUM($Z785:Z785))*Timeline!AA261)))</f>
        <v>0</v>
      </c>
      <c r="AB785" s="10">
        <f>IF(Timeline!AB123=1, -(AA808+AB693), MAX(-AA808, IF(AB$4&lt;=0, AB576,(SUM($AA762:AB762)-SUM($Z785:AA785))*Timeline!AB261)))</f>
        <v>0</v>
      </c>
      <c r="AC785" s="10">
        <f>IF(Timeline!AC123=1, -(AB808+AC693), MAX(-AB808, IF(AC$4&lt;=0, AC576,(SUM($AA762:AC762)-SUM($Z785:AB785))*Timeline!AC261)))</f>
        <v>0</v>
      </c>
      <c r="AD785" s="10">
        <f>IF(Timeline!AD123=1, -(AC808+AD693), MAX(-AC808, IF(AD$4&lt;=0, AD576,(SUM($AA762:AD762)-SUM($Z785:AC785))*Timeline!AD261)))</f>
        <v>0</v>
      </c>
      <c r="AE785" s="10">
        <f>IF(Timeline!AE123=1, -(AD808+AE693), MAX(-AD808, IF(AE$4&lt;=0, AE576,(SUM($AA762:AE762)-SUM($Z785:AD785))*Timeline!AE261)))</f>
        <v>0</v>
      </c>
      <c r="AF785" s="10">
        <f>IF(Timeline!AF123=1, -(AE808+AF693), MAX(-AE808, IF(AF$4&lt;=0, AF576,(SUM($AA762:AF762)-SUM($Z785:AE785))*Timeline!AF261)))</f>
        <v>0</v>
      </c>
      <c r="AG785" s="10">
        <f>IF(Timeline!AG123=1, -(AF808+AG693), MAX(-AF808, IF(AG$4&lt;=0, AG576,(SUM($AA762:AG762)-SUM($Z785:AF785))*Timeline!AG261)))</f>
        <v>0</v>
      </c>
      <c r="AH785" s="10">
        <f>IF(Timeline!AH123=1, -(AG808+AH693), MAX(-AG808, IF(AH$4&lt;=0, AH576,(SUM($AA762:AH762)-SUM($Z785:AG785))*Timeline!AH261)))</f>
        <v>0</v>
      </c>
      <c r="AI785" s="10">
        <f>IF(Timeline!AI123=1, -(AH808+AI693), MAX(-AH808, IF(AI$4&lt;=0, AI576,(SUM($AA762:AI762)-SUM($Z785:AH785))*Timeline!AI261)))</f>
        <v>0</v>
      </c>
      <c r="AJ785" s="10">
        <f>IF(Timeline!AJ123=1, -(AI808+AJ693), MAX(-AI808, IF(AJ$4&lt;=0, AJ576,(SUM($AA762:AJ762)-SUM($Z785:AI785))*Timeline!AJ261)))</f>
        <v>0</v>
      </c>
      <c r="AK785" s="10">
        <f>IF(Timeline!AK123=1, -(AJ808+AK693), MAX(-AJ808, IF(AK$4&lt;=0, AK576,(SUM($AA762:AK762)-SUM($Z785:AJ785))*Timeline!AK261)))</f>
        <v>0</v>
      </c>
      <c r="AL785" s="10">
        <f>IF(Timeline!AL123=1, -(AK808+AL693), MAX(-AK808, IF(AL$4&lt;=0, AL576,(SUM($AA762:AL762)-SUM($Z785:AK785))*Timeline!AL261)))</f>
        <v>0</v>
      </c>
      <c r="AM785" s="10">
        <f>IF(Timeline!AM123=1, -(AL808+AM693), MAX(-AL808, IF(AM$4&lt;=0, AM576,(SUM($AA762:AM762)-SUM($Z785:AL785))*Timeline!AM261)))</f>
        <v>0</v>
      </c>
      <c r="AN785" s="10">
        <f>IF(Timeline!AN123=1, -(AM808+AN693), MAX(-AM808, IF(AN$4&lt;=0, AN576,(SUM($AA762:AN762)-SUM($Z785:AM785))*Timeline!AN261)))</f>
        <v>0</v>
      </c>
      <c r="AO785" s="10">
        <f>IF(Timeline!AO123=1, -(AN808+AO693), MAX(-AN808, IF(AO$4&lt;=0, AO576,(SUM($AA762:AO762)-SUM($Z785:AN785))*Timeline!AO261)))</f>
        <v>0</v>
      </c>
      <c r="AP785" s="10">
        <f>IF(Timeline!AP123=1, -(AO808+AP693), MAX(-AO808, IF(AP$4&lt;=0, AP576,(SUM($AA762:AP762)-SUM($Z785:AO785))*Timeline!AP261)))</f>
        <v>0</v>
      </c>
      <c r="AQ785" s="10">
        <f>IF(Timeline!AQ123=1, -(AP808+AQ693), MAX(-AP808, IF(AQ$4&lt;=0, AQ576,(SUM($AA762:AQ762)-SUM($Z785:AP785))*Timeline!AQ261)))</f>
        <v>0</v>
      </c>
      <c r="AR785" s="10">
        <f>IF(Timeline!AR123=1, -(AQ808+AR693), MAX(-AQ808, IF(AR$4&lt;=0, AR576,(SUM($AA762:AR762)-SUM($Z785:AQ785))*Timeline!AR261)))</f>
        <v>0</v>
      </c>
      <c r="AS785" s="10">
        <f>IF(Timeline!AS123=1, -(AR808+AS693), MAX(-AR808, IF(AS$4&lt;=0, AS576,(SUM($AA762:AS762)-SUM($Z785:AR785))*Timeline!AS261)))</f>
        <v>0</v>
      </c>
      <c r="AT785" s="10">
        <f>IF(Timeline!AT123=1, -(AS808+AT693), MAX(-AS808, IF(AT$4&lt;=0, AT576,(SUM($AA762:AT762)-SUM($Z785:AS785))*Timeline!AT261)))</f>
        <v>0</v>
      </c>
      <c r="AU785" s="10">
        <f>IF(Timeline!AU123=1, -(AT808+AU693), MAX(-AT808, IF(AU$4&lt;=0, AU576,(SUM($AA762:AU762)-SUM($Z785:AT785))*Timeline!AU261)))</f>
        <v>0</v>
      </c>
      <c r="AV785" s="10">
        <f>IF(Timeline!AV123=1, -(AU808+AV693), MAX(-AU808, IF(AV$4&lt;=0, AV576,(SUM($AA762:AV762)-SUM($Z785:AU785))*Timeline!AV261)))</f>
        <v>0</v>
      </c>
      <c r="AW785" s="10">
        <f>IF(Timeline!AW123=1, -(AV808+AW693), MAX(-AV808, IF(AW$4&lt;=0, AW576,(SUM($AA762:AW762)-SUM($Z785:AV785))*Timeline!AW261)))</f>
        <v>0</v>
      </c>
      <c r="AX785" s="10">
        <f>IF(Timeline!AX123=1, -(AW808+AX693), MAX(-AW808, IF(AX$4&lt;=0, AX576,(SUM($AA762:AX762)-SUM($Z785:AW785))*Timeline!AX261)))</f>
        <v>0</v>
      </c>
      <c r="AY785" s="10">
        <f>IF(Timeline!AY123=1, -(AX808+AY693), MAX(-AX808, IF(AY$4&lt;=0, AY576,(SUM($AA762:AY762)-SUM($Z785:AX785))*Timeline!AY261)))</f>
        <v>0</v>
      </c>
      <c r="AZ785" s="10">
        <f>IF(Timeline!AZ123=1, -(AY808+AZ693), MAX(-AY808, IF(AZ$4&lt;=0, AZ576,(SUM($AA762:AZ762)-SUM($Z785:AY785))*Timeline!AZ261)))</f>
        <v>0</v>
      </c>
      <c r="BA785" s="10">
        <f>IF(Timeline!BA123=1, -(AZ808+BA693), MAX(-AZ808, IF(BA$4&lt;=0, BA576,(SUM($AA762:BA762)-SUM($Z785:AZ785))*Timeline!BA261)))</f>
        <v>0</v>
      </c>
      <c r="BB785" s="10">
        <f>IF(Timeline!BB123=1, -(BA808+BB693), MAX(-BA808, IF(BB$4&lt;=0, BB576,(SUM($AA762:BB762)-SUM($Z785:BA785))*Timeline!BB261)))</f>
        <v>0</v>
      </c>
      <c r="BC785" s="10">
        <f>IF(Timeline!BC123=1, -(BB808+BC693), MAX(-BB808, IF(BC$4&lt;=0, BC576,(SUM($AA762:BC762)-SUM($Z785:BB785))*Timeline!BC261)))</f>
        <v>0</v>
      </c>
      <c r="BD785" s="10">
        <f>IF(Timeline!BD123=1, -(BC808+BD693), MAX(-BC808, IF(BD$4&lt;=0, BD576,(SUM($AA762:BD762)-SUM($Z785:BC785))*Timeline!BD261)))</f>
        <v>0</v>
      </c>
      <c r="BE785" s="10">
        <f>IF(Timeline!BE123=1, -(BD808+BE693), MAX(-BD808, IF(BE$4&lt;=0, BE576,(SUM($AA762:BE762)-SUM($Z785:BD785))*Timeline!BE261)))</f>
        <v>0</v>
      </c>
      <c r="BF785" s="10">
        <f>IF(Timeline!BF123=1, -(BE808+BF693), MAX(-BE808, IF(BF$4&lt;=0, BF576,(SUM($AA762:BF762)-SUM($Z785:BE785))*Timeline!BF261)))</f>
        <v>0</v>
      </c>
      <c r="BG785" s="10">
        <f>IF(Timeline!BG123=1, -(BF808+BG693), MAX(-BF808, IF(BG$4&lt;=0, BG576,(SUM($AA762:BG762)-SUM($Z785:BF785))*Timeline!BG261)))</f>
        <v>0</v>
      </c>
      <c r="BH785" s="10">
        <f>IF(Timeline!BH123=1, -(BG808+BH693), MAX(-BG808, IF(BH$4&lt;=0, BH576,(SUM($AA762:BH762)-SUM($Z785:BG785))*Timeline!BH261)))</f>
        <v>0</v>
      </c>
      <c r="BI785" s="10">
        <f>IF(Timeline!BI123=1, -(BH808+BI693), MAX(-BH808, IF(BI$4&lt;=0, BI576,(SUM($AA762:BI762)-SUM($Z785:BH785))*Timeline!BI261)))</f>
        <v>0</v>
      </c>
      <c r="BJ785" s="10">
        <f>IF(Timeline!BJ123=1, -(BI808+BJ693), MAX(-BI808, IF(BJ$4&lt;=0, BJ576,(SUM($AA762:BJ762)-SUM($Z785:BI785))*Timeline!BJ261)))</f>
        <v>0</v>
      </c>
      <c r="BL785" s="13">
        <f t="shared" si="956"/>
        <v>0</v>
      </c>
      <c r="BM785" s="13">
        <f t="shared" si="957"/>
        <v>0</v>
      </c>
      <c r="BN785" s="13">
        <f t="shared" si="958"/>
        <v>0</v>
      </c>
      <c r="BO785" s="13">
        <f t="shared" si="959"/>
        <v>0</v>
      </c>
      <c r="BP785" s="136"/>
      <c r="BQ785" s="136"/>
      <c r="BR785" s="136"/>
      <c r="BS785" s="136"/>
      <c r="BT785" s="136"/>
      <c r="BU785" s="136"/>
      <c r="BV785" s="136"/>
      <c r="BW785" s="136"/>
      <c r="BY785" s="12"/>
      <c r="BZ785" s="335"/>
      <c r="CA785" s="12"/>
      <c r="CB785" s="335"/>
      <c r="CC785" s="335"/>
      <c r="CD785" s="335"/>
      <c r="CE785" s="335"/>
      <c r="CJ785" s="162"/>
      <c r="CM785" s="335"/>
      <c r="CN785" s="335"/>
      <c r="CO785" s="335"/>
      <c r="CP785" s="335"/>
      <c r="CR785" s="12"/>
      <c r="CT785" s="335"/>
      <c r="CU785" s="335"/>
      <c r="EW785" s="335"/>
      <c r="EX785" s="10" t="str">
        <f t="shared" si="933"/>
        <v/>
      </c>
    </row>
    <row r="786" spans="1:154" s="67" customFormat="1" x14ac:dyDescent="0.25">
      <c r="B786" s="84" t="str" cm="1">
        <f t="array" aca="1" ref="B786" ca="1">HYPERLINK(CONCATENATE("#",CELL("address",$D$199)),$D$199)</f>
        <v>Loan 9</v>
      </c>
      <c r="C786" s="380"/>
      <c r="D786" s="221">
        <f>D$21</f>
        <v>0</v>
      </c>
      <c r="E786" s="60">
        <f>E$21</f>
        <v>0</v>
      </c>
      <c r="G786" s="10">
        <f t="shared" si="953"/>
        <v>0</v>
      </c>
      <c r="H786" s="50" t="s">
        <v>157</v>
      </c>
      <c r="S786" s="335"/>
      <c r="T786" s="335"/>
      <c r="U786" s="335"/>
      <c r="V786" s="13">
        <f t="shared" si="954"/>
        <v>0</v>
      </c>
      <c r="W786" s="215">
        <f t="shared" si="955"/>
        <v>0</v>
      </c>
      <c r="X786" s="215">
        <f t="shared" si="955"/>
        <v>0</v>
      </c>
      <c r="Y786" s="215">
        <f t="shared" si="955"/>
        <v>0</v>
      </c>
      <c r="AA786" s="10">
        <f>IF(Timeline!AA124=1, -(Z809+AA694), MAX(-Z809, IF(AA$4&lt;=0, AA577,(SUM($AA763:AA763)-SUM($Z786:Z786))*Timeline!AA262)))</f>
        <v>0</v>
      </c>
      <c r="AB786" s="10">
        <f>IF(Timeline!AB124=1, -(AA809+AB694), MAX(-AA809, IF(AB$4&lt;=0, AB577,(SUM($AA763:AB763)-SUM($Z786:AA786))*Timeline!AB262)))</f>
        <v>0</v>
      </c>
      <c r="AC786" s="10">
        <f>IF(Timeline!AC124=1, -(AB809+AC694), MAX(-AB809, IF(AC$4&lt;=0, AC577,(SUM($AA763:AC763)-SUM($Z786:AB786))*Timeline!AC262)))</f>
        <v>0</v>
      </c>
      <c r="AD786" s="10">
        <f>IF(Timeline!AD124=1, -(AC809+AD694), MAX(-AC809, IF(AD$4&lt;=0, AD577,(SUM($AA763:AD763)-SUM($Z786:AC786))*Timeline!AD262)))</f>
        <v>0</v>
      </c>
      <c r="AE786" s="10">
        <f>IF(Timeline!AE124=1, -(AD809+AE694), MAX(-AD809, IF(AE$4&lt;=0, AE577,(SUM($AA763:AE763)-SUM($Z786:AD786))*Timeline!AE262)))</f>
        <v>0</v>
      </c>
      <c r="AF786" s="10">
        <f>IF(Timeline!AF124=1, -(AE809+AF694), MAX(-AE809, IF(AF$4&lt;=0, AF577,(SUM($AA763:AF763)-SUM($Z786:AE786))*Timeline!AF262)))</f>
        <v>0</v>
      </c>
      <c r="AG786" s="10">
        <f>IF(Timeline!AG124=1, -(AF809+AG694), MAX(-AF809, IF(AG$4&lt;=0, AG577,(SUM($AA763:AG763)-SUM($Z786:AF786))*Timeline!AG262)))</f>
        <v>0</v>
      </c>
      <c r="AH786" s="10">
        <f>IF(Timeline!AH124=1, -(AG809+AH694), MAX(-AG809, IF(AH$4&lt;=0, AH577,(SUM($AA763:AH763)-SUM($Z786:AG786))*Timeline!AH262)))</f>
        <v>0</v>
      </c>
      <c r="AI786" s="10">
        <f>IF(Timeline!AI124=1, -(AH809+AI694), MAX(-AH809, IF(AI$4&lt;=0, AI577,(SUM($AA763:AI763)-SUM($Z786:AH786))*Timeline!AI262)))</f>
        <v>0</v>
      </c>
      <c r="AJ786" s="10">
        <f>IF(Timeline!AJ124=1, -(AI809+AJ694), MAX(-AI809, IF(AJ$4&lt;=0, AJ577,(SUM($AA763:AJ763)-SUM($Z786:AI786))*Timeline!AJ262)))</f>
        <v>0</v>
      </c>
      <c r="AK786" s="10">
        <f>IF(Timeline!AK124=1, -(AJ809+AK694), MAX(-AJ809, IF(AK$4&lt;=0, AK577,(SUM($AA763:AK763)-SUM($Z786:AJ786))*Timeline!AK262)))</f>
        <v>0</v>
      </c>
      <c r="AL786" s="10">
        <f>IF(Timeline!AL124=1, -(AK809+AL694), MAX(-AK809, IF(AL$4&lt;=0, AL577,(SUM($AA763:AL763)-SUM($Z786:AK786))*Timeline!AL262)))</f>
        <v>0</v>
      </c>
      <c r="AM786" s="10">
        <f>IF(Timeline!AM124=1, -(AL809+AM694), MAX(-AL809, IF(AM$4&lt;=0, AM577,(SUM($AA763:AM763)-SUM($Z786:AL786))*Timeline!AM262)))</f>
        <v>0</v>
      </c>
      <c r="AN786" s="10">
        <f>IF(Timeline!AN124=1, -(AM809+AN694), MAX(-AM809, IF(AN$4&lt;=0, AN577,(SUM($AA763:AN763)-SUM($Z786:AM786))*Timeline!AN262)))</f>
        <v>0</v>
      </c>
      <c r="AO786" s="10">
        <f>IF(Timeline!AO124=1, -(AN809+AO694), MAX(-AN809, IF(AO$4&lt;=0, AO577,(SUM($AA763:AO763)-SUM($Z786:AN786))*Timeline!AO262)))</f>
        <v>0</v>
      </c>
      <c r="AP786" s="10">
        <f>IF(Timeline!AP124=1, -(AO809+AP694), MAX(-AO809, IF(AP$4&lt;=0, AP577,(SUM($AA763:AP763)-SUM($Z786:AO786))*Timeline!AP262)))</f>
        <v>0</v>
      </c>
      <c r="AQ786" s="10">
        <f>IF(Timeline!AQ124=1, -(AP809+AQ694), MAX(-AP809, IF(AQ$4&lt;=0, AQ577,(SUM($AA763:AQ763)-SUM($Z786:AP786))*Timeline!AQ262)))</f>
        <v>0</v>
      </c>
      <c r="AR786" s="10">
        <f>IF(Timeline!AR124=1, -(AQ809+AR694), MAX(-AQ809, IF(AR$4&lt;=0, AR577,(SUM($AA763:AR763)-SUM($Z786:AQ786))*Timeline!AR262)))</f>
        <v>0</v>
      </c>
      <c r="AS786" s="10">
        <f>IF(Timeline!AS124=1, -(AR809+AS694), MAX(-AR809, IF(AS$4&lt;=0, AS577,(SUM($AA763:AS763)-SUM($Z786:AR786))*Timeline!AS262)))</f>
        <v>0</v>
      </c>
      <c r="AT786" s="10">
        <f>IF(Timeline!AT124=1, -(AS809+AT694), MAX(-AS809, IF(AT$4&lt;=0, AT577,(SUM($AA763:AT763)-SUM($Z786:AS786))*Timeline!AT262)))</f>
        <v>0</v>
      </c>
      <c r="AU786" s="10">
        <f>IF(Timeline!AU124=1, -(AT809+AU694), MAX(-AT809, IF(AU$4&lt;=0, AU577,(SUM($AA763:AU763)-SUM($Z786:AT786))*Timeline!AU262)))</f>
        <v>0</v>
      </c>
      <c r="AV786" s="10">
        <f>IF(Timeline!AV124=1, -(AU809+AV694), MAX(-AU809, IF(AV$4&lt;=0, AV577,(SUM($AA763:AV763)-SUM($Z786:AU786))*Timeline!AV262)))</f>
        <v>0</v>
      </c>
      <c r="AW786" s="10">
        <f>IF(Timeline!AW124=1, -(AV809+AW694), MAX(-AV809, IF(AW$4&lt;=0, AW577,(SUM($AA763:AW763)-SUM($Z786:AV786))*Timeline!AW262)))</f>
        <v>0</v>
      </c>
      <c r="AX786" s="10">
        <f>IF(Timeline!AX124=1, -(AW809+AX694), MAX(-AW809, IF(AX$4&lt;=0, AX577,(SUM($AA763:AX763)-SUM($Z786:AW786))*Timeline!AX262)))</f>
        <v>0</v>
      </c>
      <c r="AY786" s="10">
        <f>IF(Timeline!AY124=1, -(AX809+AY694), MAX(-AX809, IF(AY$4&lt;=0, AY577,(SUM($AA763:AY763)-SUM($Z786:AX786))*Timeline!AY262)))</f>
        <v>0</v>
      </c>
      <c r="AZ786" s="10">
        <f>IF(Timeline!AZ124=1, -(AY809+AZ694), MAX(-AY809, IF(AZ$4&lt;=0, AZ577,(SUM($AA763:AZ763)-SUM($Z786:AY786))*Timeline!AZ262)))</f>
        <v>0</v>
      </c>
      <c r="BA786" s="10">
        <f>IF(Timeline!BA124=1, -(AZ809+BA694), MAX(-AZ809, IF(BA$4&lt;=0, BA577,(SUM($AA763:BA763)-SUM($Z786:AZ786))*Timeline!BA262)))</f>
        <v>0</v>
      </c>
      <c r="BB786" s="10">
        <f>IF(Timeline!BB124=1, -(BA809+BB694), MAX(-BA809, IF(BB$4&lt;=0, BB577,(SUM($AA763:BB763)-SUM($Z786:BA786))*Timeline!BB262)))</f>
        <v>0</v>
      </c>
      <c r="BC786" s="10">
        <f>IF(Timeline!BC124=1, -(BB809+BC694), MAX(-BB809, IF(BC$4&lt;=0, BC577,(SUM($AA763:BC763)-SUM($Z786:BB786))*Timeline!BC262)))</f>
        <v>0</v>
      </c>
      <c r="BD786" s="10">
        <f>IF(Timeline!BD124=1, -(BC809+BD694), MAX(-BC809, IF(BD$4&lt;=0, BD577,(SUM($AA763:BD763)-SUM($Z786:BC786))*Timeline!BD262)))</f>
        <v>0</v>
      </c>
      <c r="BE786" s="10">
        <f>IF(Timeline!BE124=1, -(BD809+BE694), MAX(-BD809, IF(BE$4&lt;=0, BE577,(SUM($AA763:BE763)-SUM($Z786:BD786))*Timeline!BE262)))</f>
        <v>0</v>
      </c>
      <c r="BF786" s="10">
        <f>IF(Timeline!BF124=1, -(BE809+BF694), MAX(-BE809, IF(BF$4&lt;=0, BF577,(SUM($AA763:BF763)-SUM($Z786:BE786))*Timeline!BF262)))</f>
        <v>0</v>
      </c>
      <c r="BG786" s="10">
        <f>IF(Timeline!BG124=1, -(BF809+BG694), MAX(-BF809, IF(BG$4&lt;=0, BG577,(SUM($AA763:BG763)-SUM($Z786:BF786))*Timeline!BG262)))</f>
        <v>0</v>
      </c>
      <c r="BH786" s="10">
        <f>IF(Timeline!BH124=1, -(BG809+BH694), MAX(-BG809, IF(BH$4&lt;=0, BH577,(SUM($AA763:BH763)-SUM($Z786:BG786))*Timeline!BH262)))</f>
        <v>0</v>
      </c>
      <c r="BI786" s="10">
        <f>IF(Timeline!BI124=1, -(BH809+BI694), MAX(-BH809, IF(BI$4&lt;=0, BI577,(SUM($AA763:BI763)-SUM($Z786:BH786))*Timeline!BI262)))</f>
        <v>0</v>
      </c>
      <c r="BJ786" s="10">
        <f>IF(Timeline!BJ124=1, -(BI809+BJ694), MAX(-BI809, IF(BJ$4&lt;=0, BJ577,(SUM($AA763:BJ763)-SUM($Z786:BI786))*Timeline!BJ262)))</f>
        <v>0</v>
      </c>
      <c r="BL786" s="13">
        <f t="shared" si="956"/>
        <v>0</v>
      </c>
      <c r="BM786" s="13">
        <f t="shared" si="957"/>
        <v>0</v>
      </c>
      <c r="BN786" s="13">
        <f t="shared" si="958"/>
        <v>0</v>
      </c>
      <c r="BO786" s="13">
        <f t="shared" si="959"/>
        <v>0</v>
      </c>
      <c r="BP786" s="136"/>
      <c r="BQ786" s="136"/>
      <c r="BR786" s="136"/>
      <c r="BS786" s="136"/>
      <c r="BT786" s="136"/>
      <c r="BU786" s="136"/>
      <c r="BV786" s="136"/>
      <c r="BW786" s="136"/>
      <c r="BY786" s="12"/>
      <c r="BZ786" s="335"/>
      <c r="CA786" s="12"/>
      <c r="CB786" s="335"/>
      <c r="CC786" s="335"/>
      <c r="CD786" s="335"/>
      <c r="CE786" s="335"/>
      <c r="CJ786" s="162"/>
      <c r="CM786" s="335"/>
      <c r="CN786" s="335"/>
      <c r="CO786" s="335"/>
      <c r="CP786" s="335"/>
      <c r="CR786" s="12"/>
      <c r="CT786" s="335"/>
      <c r="CU786" s="335"/>
      <c r="EW786" s="335"/>
      <c r="EX786" s="10" t="str">
        <f t="shared" si="933"/>
        <v/>
      </c>
    </row>
    <row r="787" spans="1:154" s="67" customFormat="1" x14ac:dyDescent="0.25">
      <c r="B787" s="84" t="str" cm="1">
        <f t="array" aca="1" ref="B787" ca="1">HYPERLINK(CONCATENATE("#",CELL("address",$D$218)),$D$218)</f>
        <v>Loan 10</v>
      </c>
      <c r="C787" s="380"/>
      <c r="D787" s="221">
        <f>D$22</f>
        <v>0</v>
      </c>
      <c r="E787" s="60">
        <f>E$22</f>
        <v>0</v>
      </c>
      <c r="G787" s="10">
        <f t="shared" si="953"/>
        <v>0</v>
      </c>
      <c r="H787" s="50" t="s">
        <v>157</v>
      </c>
      <c r="S787" s="335"/>
      <c r="T787" s="335"/>
      <c r="U787" s="335"/>
      <c r="V787" s="13">
        <f t="shared" si="954"/>
        <v>0</v>
      </c>
      <c r="W787" s="215">
        <f t="shared" si="955"/>
        <v>0</v>
      </c>
      <c r="X787" s="215">
        <f t="shared" si="955"/>
        <v>0</v>
      </c>
      <c r="Y787" s="215">
        <f t="shared" si="955"/>
        <v>0</v>
      </c>
      <c r="AA787" s="10">
        <f>IF(Timeline!AA125=1, -(Z810+AA695), MAX(-Z810, IF(AA$4&lt;=0, AA578,(SUM($AA764:AA764)-SUM($Z787:Z787))*Timeline!AA263)))</f>
        <v>0</v>
      </c>
      <c r="AB787" s="10">
        <f>IF(Timeline!AB125=1, -(AA810+AB695), MAX(-AA810, IF(AB$4&lt;=0, AB578,(SUM($AA764:AB764)-SUM($Z787:AA787))*Timeline!AB263)))</f>
        <v>0</v>
      </c>
      <c r="AC787" s="10">
        <f>IF(Timeline!AC125=1, -(AB810+AC695), MAX(-AB810, IF(AC$4&lt;=0, AC578,(SUM($AA764:AC764)-SUM($Z787:AB787))*Timeline!AC263)))</f>
        <v>0</v>
      </c>
      <c r="AD787" s="10">
        <f>IF(Timeline!AD125=1, -(AC810+AD695), MAX(-AC810, IF(AD$4&lt;=0, AD578,(SUM($AA764:AD764)-SUM($Z787:AC787))*Timeline!AD263)))</f>
        <v>0</v>
      </c>
      <c r="AE787" s="10">
        <f>IF(Timeline!AE125=1, -(AD810+AE695), MAX(-AD810, IF(AE$4&lt;=0, AE578,(SUM($AA764:AE764)-SUM($Z787:AD787))*Timeline!AE263)))</f>
        <v>0</v>
      </c>
      <c r="AF787" s="10">
        <f>IF(Timeline!AF125=1, -(AE810+AF695), MAX(-AE810, IF(AF$4&lt;=0, AF578,(SUM($AA764:AF764)-SUM($Z787:AE787))*Timeline!AF263)))</f>
        <v>0</v>
      </c>
      <c r="AG787" s="10">
        <f>IF(Timeline!AG125=1, -(AF810+AG695), MAX(-AF810, IF(AG$4&lt;=0, AG578,(SUM($AA764:AG764)-SUM($Z787:AF787))*Timeline!AG263)))</f>
        <v>0</v>
      </c>
      <c r="AH787" s="10">
        <f>IF(Timeline!AH125=1, -(AG810+AH695), MAX(-AG810, IF(AH$4&lt;=0, AH578,(SUM($AA764:AH764)-SUM($Z787:AG787))*Timeline!AH263)))</f>
        <v>0</v>
      </c>
      <c r="AI787" s="10">
        <f>IF(Timeline!AI125=1, -(AH810+AI695), MAX(-AH810, IF(AI$4&lt;=0, AI578,(SUM($AA764:AI764)-SUM($Z787:AH787))*Timeline!AI263)))</f>
        <v>0</v>
      </c>
      <c r="AJ787" s="10">
        <f>IF(Timeline!AJ125=1, -(AI810+AJ695), MAX(-AI810, IF(AJ$4&lt;=0, AJ578,(SUM($AA764:AJ764)-SUM($Z787:AI787))*Timeline!AJ263)))</f>
        <v>0</v>
      </c>
      <c r="AK787" s="10">
        <f>IF(Timeline!AK125=1, -(AJ810+AK695), MAX(-AJ810, IF(AK$4&lt;=0, AK578,(SUM($AA764:AK764)-SUM($Z787:AJ787))*Timeline!AK263)))</f>
        <v>0</v>
      </c>
      <c r="AL787" s="10">
        <f>IF(Timeline!AL125=1, -(AK810+AL695), MAX(-AK810, IF(AL$4&lt;=0, AL578,(SUM($AA764:AL764)-SUM($Z787:AK787))*Timeline!AL263)))</f>
        <v>0</v>
      </c>
      <c r="AM787" s="10">
        <f>IF(Timeline!AM125=1, -(AL810+AM695), MAX(-AL810, IF(AM$4&lt;=0, AM578,(SUM($AA764:AM764)-SUM($Z787:AL787))*Timeline!AM263)))</f>
        <v>0</v>
      </c>
      <c r="AN787" s="10">
        <f>IF(Timeline!AN125=1, -(AM810+AN695), MAX(-AM810, IF(AN$4&lt;=0, AN578,(SUM($AA764:AN764)-SUM($Z787:AM787))*Timeline!AN263)))</f>
        <v>0</v>
      </c>
      <c r="AO787" s="10">
        <f>IF(Timeline!AO125=1, -(AN810+AO695), MAX(-AN810, IF(AO$4&lt;=0, AO578,(SUM($AA764:AO764)-SUM($Z787:AN787))*Timeline!AO263)))</f>
        <v>0</v>
      </c>
      <c r="AP787" s="10">
        <f>IF(Timeline!AP125=1, -(AO810+AP695), MAX(-AO810, IF(AP$4&lt;=0, AP578,(SUM($AA764:AP764)-SUM($Z787:AO787))*Timeline!AP263)))</f>
        <v>0</v>
      </c>
      <c r="AQ787" s="10">
        <f>IF(Timeline!AQ125=1, -(AP810+AQ695), MAX(-AP810, IF(AQ$4&lt;=0, AQ578,(SUM($AA764:AQ764)-SUM($Z787:AP787))*Timeline!AQ263)))</f>
        <v>0</v>
      </c>
      <c r="AR787" s="10">
        <f>IF(Timeline!AR125=1, -(AQ810+AR695), MAX(-AQ810, IF(AR$4&lt;=0, AR578,(SUM($AA764:AR764)-SUM($Z787:AQ787))*Timeline!AR263)))</f>
        <v>0</v>
      </c>
      <c r="AS787" s="10">
        <f>IF(Timeline!AS125=1, -(AR810+AS695), MAX(-AR810, IF(AS$4&lt;=0, AS578,(SUM($AA764:AS764)-SUM($Z787:AR787))*Timeline!AS263)))</f>
        <v>0</v>
      </c>
      <c r="AT787" s="10">
        <f>IF(Timeline!AT125=1, -(AS810+AT695), MAX(-AS810, IF(AT$4&lt;=0, AT578,(SUM($AA764:AT764)-SUM($Z787:AS787))*Timeline!AT263)))</f>
        <v>0</v>
      </c>
      <c r="AU787" s="10">
        <f>IF(Timeline!AU125=1, -(AT810+AU695), MAX(-AT810, IF(AU$4&lt;=0, AU578,(SUM($AA764:AU764)-SUM($Z787:AT787))*Timeline!AU263)))</f>
        <v>0</v>
      </c>
      <c r="AV787" s="10">
        <f>IF(Timeline!AV125=1, -(AU810+AV695), MAX(-AU810, IF(AV$4&lt;=0, AV578,(SUM($AA764:AV764)-SUM($Z787:AU787))*Timeline!AV263)))</f>
        <v>0</v>
      </c>
      <c r="AW787" s="10">
        <f>IF(Timeline!AW125=1, -(AV810+AW695), MAX(-AV810, IF(AW$4&lt;=0, AW578,(SUM($AA764:AW764)-SUM($Z787:AV787))*Timeline!AW263)))</f>
        <v>0</v>
      </c>
      <c r="AX787" s="10">
        <f>IF(Timeline!AX125=1, -(AW810+AX695), MAX(-AW810, IF(AX$4&lt;=0, AX578,(SUM($AA764:AX764)-SUM($Z787:AW787))*Timeline!AX263)))</f>
        <v>0</v>
      </c>
      <c r="AY787" s="10">
        <f>IF(Timeline!AY125=1, -(AX810+AY695), MAX(-AX810, IF(AY$4&lt;=0, AY578,(SUM($AA764:AY764)-SUM($Z787:AX787))*Timeline!AY263)))</f>
        <v>0</v>
      </c>
      <c r="AZ787" s="10">
        <f>IF(Timeline!AZ125=1, -(AY810+AZ695), MAX(-AY810, IF(AZ$4&lt;=0, AZ578,(SUM($AA764:AZ764)-SUM($Z787:AY787))*Timeline!AZ263)))</f>
        <v>0</v>
      </c>
      <c r="BA787" s="10">
        <f>IF(Timeline!BA125=1, -(AZ810+BA695), MAX(-AZ810, IF(BA$4&lt;=0, BA578,(SUM($AA764:BA764)-SUM($Z787:AZ787))*Timeline!BA263)))</f>
        <v>0</v>
      </c>
      <c r="BB787" s="10">
        <f>IF(Timeline!BB125=1, -(BA810+BB695), MAX(-BA810, IF(BB$4&lt;=0, BB578,(SUM($AA764:BB764)-SUM($Z787:BA787))*Timeline!BB263)))</f>
        <v>0</v>
      </c>
      <c r="BC787" s="10">
        <f>IF(Timeline!BC125=1, -(BB810+BC695), MAX(-BB810, IF(BC$4&lt;=0, BC578,(SUM($AA764:BC764)-SUM($Z787:BB787))*Timeline!BC263)))</f>
        <v>0</v>
      </c>
      <c r="BD787" s="10">
        <f>IF(Timeline!BD125=1, -(BC810+BD695), MAX(-BC810, IF(BD$4&lt;=0, BD578,(SUM($AA764:BD764)-SUM($Z787:BC787))*Timeline!BD263)))</f>
        <v>0</v>
      </c>
      <c r="BE787" s="10">
        <f>IF(Timeline!BE125=1, -(BD810+BE695), MAX(-BD810, IF(BE$4&lt;=0, BE578,(SUM($AA764:BE764)-SUM($Z787:BD787))*Timeline!BE263)))</f>
        <v>0</v>
      </c>
      <c r="BF787" s="10">
        <f>IF(Timeline!BF125=1, -(BE810+BF695), MAX(-BE810, IF(BF$4&lt;=0, BF578,(SUM($AA764:BF764)-SUM($Z787:BE787))*Timeline!BF263)))</f>
        <v>0</v>
      </c>
      <c r="BG787" s="10">
        <f>IF(Timeline!BG125=1, -(BF810+BG695), MAX(-BF810, IF(BG$4&lt;=0, BG578,(SUM($AA764:BG764)-SUM($Z787:BF787))*Timeline!BG263)))</f>
        <v>0</v>
      </c>
      <c r="BH787" s="10">
        <f>IF(Timeline!BH125=1, -(BG810+BH695), MAX(-BG810, IF(BH$4&lt;=0, BH578,(SUM($AA764:BH764)-SUM($Z787:BG787))*Timeline!BH263)))</f>
        <v>0</v>
      </c>
      <c r="BI787" s="10">
        <f>IF(Timeline!BI125=1, -(BH810+BI695), MAX(-BH810, IF(BI$4&lt;=0, BI578,(SUM($AA764:BI764)-SUM($Z787:BH787))*Timeline!BI263)))</f>
        <v>0</v>
      </c>
      <c r="BJ787" s="10">
        <f>IF(Timeline!BJ125=1, -(BI810+BJ695), MAX(-BI810, IF(BJ$4&lt;=0, BJ578,(SUM($AA764:BJ764)-SUM($Z787:BI787))*Timeline!BJ263)))</f>
        <v>0</v>
      </c>
      <c r="BL787" s="13">
        <f t="shared" si="956"/>
        <v>0</v>
      </c>
      <c r="BM787" s="13">
        <f t="shared" si="957"/>
        <v>0</v>
      </c>
      <c r="BN787" s="13">
        <f t="shared" si="958"/>
        <v>0</v>
      </c>
      <c r="BO787" s="13">
        <f t="shared" si="959"/>
        <v>0</v>
      </c>
      <c r="BP787" s="136"/>
      <c r="BQ787" s="136"/>
      <c r="BR787" s="136"/>
      <c r="BS787" s="136"/>
      <c r="BT787" s="136"/>
      <c r="BU787" s="136"/>
      <c r="BV787" s="136"/>
      <c r="BW787" s="136"/>
      <c r="BY787" s="12"/>
      <c r="BZ787" s="335"/>
      <c r="CA787" s="12"/>
      <c r="CB787" s="335"/>
      <c r="CC787" s="335"/>
      <c r="CD787" s="335"/>
      <c r="CE787" s="335"/>
      <c r="CJ787" s="162"/>
      <c r="CM787" s="335"/>
      <c r="CN787" s="335"/>
      <c r="CO787" s="335"/>
      <c r="CP787" s="335"/>
      <c r="CR787" s="12"/>
      <c r="CT787" s="335"/>
      <c r="CU787" s="335"/>
      <c r="EW787" s="335"/>
      <c r="EX787" s="10" t="str">
        <f t="shared" si="933"/>
        <v/>
      </c>
    </row>
    <row r="788" spans="1:154" s="67" customFormat="1" x14ac:dyDescent="0.25">
      <c r="B788" s="84" t="str" cm="1">
        <f t="array" aca="1" ref="B788" ca="1">HYPERLINK(CONCATENATE("#",CELL("address",$D$237)),$D$237)</f>
        <v>Loan 11</v>
      </c>
      <c r="C788" s="380"/>
      <c r="D788" s="221">
        <f>D$23</f>
        <v>0</v>
      </c>
      <c r="E788" s="60">
        <f>E$23</f>
        <v>0</v>
      </c>
      <c r="G788" s="10">
        <f t="shared" si="953"/>
        <v>0</v>
      </c>
      <c r="H788" s="50" t="s">
        <v>157</v>
      </c>
      <c r="S788" s="335"/>
      <c r="T788" s="335"/>
      <c r="U788" s="335"/>
      <c r="V788" s="13">
        <f t="shared" si="954"/>
        <v>0</v>
      </c>
      <c r="W788" s="215">
        <f t="shared" si="955"/>
        <v>0</v>
      </c>
      <c r="X788" s="215">
        <f t="shared" si="955"/>
        <v>0</v>
      </c>
      <c r="Y788" s="215">
        <f t="shared" si="955"/>
        <v>0</v>
      </c>
      <c r="AA788" s="10">
        <f>IF(Timeline!AA126=1, -(Z811+AA696), MAX(-Z811, IF(AA$4&lt;=0, AA579,(SUM($AA765:AA765)-SUM($Z788:Z788))*Timeline!AA264)))</f>
        <v>0</v>
      </c>
      <c r="AB788" s="10">
        <f>IF(Timeline!AB126=1, -(AA811+AB696), MAX(-AA811, IF(AB$4&lt;=0, AB579,(SUM($AA765:AB765)-SUM($Z788:AA788))*Timeline!AB264)))</f>
        <v>0</v>
      </c>
      <c r="AC788" s="10">
        <f>IF(Timeline!AC126=1, -(AB811+AC696), MAX(-AB811, IF(AC$4&lt;=0, AC579,(SUM($AA765:AC765)-SUM($Z788:AB788))*Timeline!AC264)))</f>
        <v>0</v>
      </c>
      <c r="AD788" s="10">
        <f>IF(Timeline!AD126=1, -(AC811+AD696), MAX(-AC811, IF(AD$4&lt;=0, AD579,(SUM($AA765:AD765)-SUM($Z788:AC788))*Timeline!AD264)))</f>
        <v>0</v>
      </c>
      <c r="AE788" s="10">
        <f>IF(Timeline!AE126=1, -(AD811+AE696), MAX(-AD811, IF(AE$4&lt;=0, AE579,(SUM($AA765:AE765)-SUM($Z788:AD788))*Timeline!AE264)))</f>
        <v>0</v>
      </c>
      <c r="AF788" s="10">
        <f>IF(Timeline!AF126=1, -(AE811+AF696), MAX(-AE811, IF(AF$4&lt;=0, AF579,(SUM($AA765:AF765)-SUM($Z788:AE788))*Timeline!AF264)))</f>
        <v>0</v>
      </c>
      <c r="AG788" s="10">
        <f>IF(Timeline!AG126=1, -(AF811+AG696), MAX(-AF811, IF(AG$4&lt;=0, AG579,(SUM($AA765:AG765)-SUM($Z788:AF788))*Timeline!AG264)))</f>
        <v>0</v>
      </c>
      <c r="AH788" s="10">
        <f>IF(Timeline!AH126=1, -(AG811+AH696), MAX(-AG811, IF(AH$4&lt;=0, AH579,(SUM($AA765:AH765)-SUM($Z788:AG788))*Timeline!AH264)))</f>
        <v>0</v>
      </c>
      <c r="AI788" s="10">
        <f>IF(Timeline!AI126=1, -(AH811+AI696), MAX(-AH811, IF(AI$4&lt;=0, AI579,(SUM($AA765:AI765)-SUM($Z788:AH788))*Timeline!AI264)))</f>
        <v>0</v>
      </c>
      <c r="AJ788" s="10">
        <f>IF(Timeline!AJ126=1, -(AI811+AJ696), MAX(-AI811, IF(AJ$4&lt;=0, AJ579,(SUM($AA765:AJ765)-SUM($Z788:AI788))*Timeline!AJ264)))</f>
        <v>0</v>
      </c>
      <c r="AK788" s="10">
        <f>IF(Timeline!AK126=1, -(AJ811+AK696), MAX(-AJ811, IF(AK$4&lt;=0, AK579,(SUM($AA765:AK765)-SUM($Z788:AJ788))*Timeline!AK264)))</f>
        <v>0</v>
      </c>
      <c r="AL788" s="10">
        <f>IF(Timeline!AL126=1, -(AK811+AL696), MAX(-AK811, IF(AL$4&lt;=0, AL579,(SUM($AA765:AL765)-SUM($Z788:AK788))*Timeline!AL264)))</f>
        <v>0</v>
      </c>
      <c r="AM788" s="10">
        <f>IF(Timeline!AM126=1, -(AL811+AM696), MAX(-AL811, IF(AM$4&lt;=0, AM579,(SUM($AA765:AM765)-SUM($Z788:AL788))*Timeline!AM264)))</f>
        <v>0</v>
      </c>
      <c r="AN788" s="10">
        <f>IF(Timeline!AN126=1, -(AM811+AN696), MAX(-AM811, IF(AN$4&lt;=0, AN579,(SUM($AA765:AN765)-SUM($Z788:AM788))*Timeline!AN264)))</f>
        <v>0</v>
      </c>
      <c r="AO788" s="10">
        <f>IF(Timeline!AO126=1, -(AN811+AO696), MAX(-AN811, IF(AO$4&lt;=0, AO579,(SUM($AA765:AO765)-SUM($Z788:AN788))*Timeline!AO264)))</f>
        <v>0</v>
      </c>
      <c r="AP788" s="10">
        <f>IF(Timeline!AP126=1, -(AO811+AP696), MAX(-AO811, IF(AP$4&lt;=0, AP579,(SUM($AA765:AP765)-SUM($Z788:AO788))*Timeline!AP264)))</f>
        <v>0</v>
      </c>
      <c r="AQ788" s="10">
        <f>IF(Timeline!AQ126=1, -(AP811+AQ696), MAX(-AP811, IF(AQ$4&lt;=0, AQ579,(SUM($AA765:AQ765)-SUM($Z788:AP788))*Timeline!AQ264)))</f>
        <v>0</v>
      </c>
      <c r="AR788" s="10">
        <f>IF(Timeline!AR126=1, -(AQ811+AR696), MAX(-AQ811, IF(AR$4&lt;=0, AR579,(SUM($AA765:AR765)-SUM($Z788:AQ788))*Timeline!AR264)))</f>
        <v>0</v>
      </c>
      <c r="AS788" s="10">
        <f>IF(Timeline!AS126=1, -(AR811+AS696), MAX(-AR811, IF(AS$4&lt;=0, AS579,(SUM($AA765:AS765)-SUM($Z788:AR788))*Timeline!AS264)))</f>
        <v>0</v>
      </c>
      <c r="AT788" s="10">
        <f>IF(Timeline!AT126=1, -(AS811+AT696), MAX(-AS811, IF(AT$4&lt;=0, AT579,(SUM($AA765:AT765)-SUM($Z788:AS788))*Timeline!AT264)))</f>
        <v>0</v>
      </c>
      <c r="AU788" s="10">
        <f>IF(Timeline!AU126=1, -(AT811+AU696), MAX(-AT811, IF(AU$4&lt;=0, AU579,(SUM($AA765:AU765)-SUM($Z788:AT788))*Timeline!AU264)))</f>
        <v>0</v>
      </c>
      <c r="AV788" s="10">
        <f>IF(Timeline!AV126=1, -(AU811+AV696), MAX(-AU811, IF(AV$4&lt;=0, AV579,(SUM($AA765:AV765)-SUM($Z788:AU788))*Timeline!AV264)))</f>
        <v>0</v>
      </c>
      <c r="AW788" s="10">
        <f>IF(Timeline!AW126=1, -(AV811+AW696), MAX(-AV811, IF(AW$4&lt;=0, AW579,(SUM($AA765:AW765)-SUM($Z788:AV788))*Timeline!AW264)))</f>
        <v>0</v>
      </c>
      <c r="AX788" s="10">
        <f>IF(Timeline!AX126=1, -(AW811+AX696), MAX(-AW811, IF(AX$4&lt;=0, AX579,(SUM($AA765:AX765)-SUM($Z788:AW788))*Timeline!AX264)))</f>
        <v>0</v>
      </c>
      <c r="AY788" s="10">
        <f>IF(Timeline!AY126=1, -(AX811+AY696), MAX(-AX811, IF(AY$4&lt;=0, AY579,(SUM($AA765:AY765)-SUM($Z788:AX788))*Timeline!AY264)))</f>
        <v>0</v>
      </c>
      <c r="AZ788" s="10">
        <f>IF(Timeline!AZ126=1, -(AY811+AZ696), MAX(-AY811, IF(AZ$4&lt;=0, AZ579,(SUM($AA765:AZ765)-SUM($Z788:AY788))*Timeline!AZ264)))</f>
        <v>0</v>
      </c>
      <c r="BA788" s="10">
        <f>IF(Timeline!BA126=1, -(AZ811+BA696), MAX(-AZ811, IF(BA$4&lt;=0, BA579,(SUM($AA765:BA765)-SUM($Z788:AZ788))*Timeline!BA264)))</f>
        <v>0</v>
      </c>
      <c r="BB788" s="10">
        <f>IF(Timeline!BB126=1, -(BA811+BB696), MAX(-BA811, IF(BB$4&lt;=0, BB579,(SUM($AA765:BB765)-SUM($Z788:BA788))*Timeline!BB264)))</f>
        <v>0</v>
      </c>
      <c r="BC788" s="10">
        <f>IF(Timeline!BC126=1, -(BB811+BC696), MAX(-BB811, IF(BC$4&lt;=0, BC579,(SUM($AA765:BC765)-SUM($Z788:BB788))*Timeline!BC264)))</f>
        <v>0</v>
      </c>
      <c r="BD788" s="10">
        <f>IF(Timeline!BD126=1, -(BC811+BD696), MAX(-BC811, IF(BD$4&lt;=0, BD579,(SUM($AA765:BD765)-SUM($Z788:BC788))*Timeline!BD264)))</f>
        <v>0</v>
      </c>
      <c r="BE788" s="10">
        <f>IF(Timeline!BE126=1, -(BD811+BE696), MAX(-BD811, IF(BE$4&lt;=0, BE579,(SUM($AA765:BE765)-SUM($Z788:BD788))*Timeline!BE264)))</f>
        <v>0</v>
      </c>
      <c r="BF788" s="10">
        <f>IF(Timeline!BF126=1, -(BE811+BF696), MAX(-BE811, IF(BF$4&lt;=0, BF579,(SUM($AA765:BF765)-SUM($Z788:BE788))*Timeline!BF264)))</f>
        <v>0</v>
      </c>
      <c r="BG788" s="10">
        <f>IF(Timeline!BG126=1, -(BF811+BG696), MAX(-BF811, IF(BG$4&lt;=0, BG579,(SUM($AA765:BG765)-SUM($Z788:BF788))*Timeline!BG264)))</f>
        <v>0</v>
      </c>
      <c r="BH788" s="10">
        <f>IF(Timeline!BH126=1, -(BG811+BH696), MAX(-BG811, IF(BH$4&lt;=0, BH579,(SUM($AA765:BH765)-SUM($Z788:BG788))*Timeline!BH264)))</f>
        <v>0</v>
      </c>
      <c r="BI788" s="10">
        <f>IF(Timeline!BI126=1, -(BH811+BI696), MAX(-BH811, IF(BI$4&lt;=0, BI579,(SUM($AA765:BI765)-SUM($Z788:BH788))*Timeline!BI264)))</f>
        <v>0</v>
      </c>
      <c r="BJ788" s="10">
        <f>IF(Timeline!BJ126=1, -(BI811+BJ696), MAX(-BI811, IF(BJ$4&lt;=0, BJ579,(SUM($AA765:BJ765)-SUM($Z788:BI788))*Timeline!BJ264)))</f>
        <v>0</v>
      </c>
      <c r="BL788" s="13">
        <f t="shared" si="956"/>
        <v>0</v>
      </c>
      <c r="BM788" s="13">
        <f t="shared" si="957"/>
        <v>0</v>
      </c>
      <c r="BN788" s="13">
        <f t="shared" si="958"/>
        <v>0</v>
      </c>
      <c r="BO788" s="13">
        <f t="shared" si="959"/>
        <v>0</v>
      </c>
      <c r="BP788" s="136"/>
      <c r="BQ788" s="136"/>
      <c r="BR788" s="136"/>
      <c r="BS788" s="136"/>
      <c r="BT788" s="136"/>
      <c r="BU788" s="136"/>
      <c r="BV788" s="136"/>
      <c r="BW788" s="136"/>
      <c r="BY788" s="12"/>
      <c r="BZ788" s="335"/>
      <c r="CA788" s="12"/>
      <c r="CB788" s="335"/>
      <c r="CC788" s="335"/>
      <c r="CD788" s="335"/>
      <c r="CE788" s="335"/>
      <c r="CJ788" s="162"/>
      <c r="CM788" s="335"/>
      <c r="CN788" s="335"/>
      <c r="CO788" s="335"/>
      <c r="CP788" s="335"/>
      <c r="CR788" s="12"/>
      <c r="CT788" s="335"/>
      <c r="CU788" s="335"/>
      <c r="EW788" s="335"/>
      <c r="EX788" s="10" t="str">
        <f t="shared" si="933"/>
        <v/>
      </c>
    </row>
    <row r="789" spans="1:154" s="67" customFormat="1" x14ac:dyDescent="0.25">
      <c r="B789" s="84" t="str" cm="1">
        <f t="array" aca="1" ref="B789" ca="1">HYPERLINK(CONCATENATE("#",CELL("address",$D$256)),$D$256)</f>
        <v>Loan 12</v>
      </c>
      <c r="C789" s="380"/>
      <c r="D789" s="221">
        <f>D$24</f>
        <v>0</v>
      </c>
      <c r="E789" s="60">
        <f>E$24</f>
        <v>0</v>
      </c>
      <c r="G789" s="10">
        <f t="shared" si="953"/>
        <v>0</v>
      </c>
      <c r="H789" s="50" t="s">
        <v>157</v>
      </c>
      <c r="S789" s="335"/>
      <c r="T789" s="335"/>
      <c r="U789" s="335"/>
      <c r="V789" s="13">
        <f t="shared" si="954"/>
        <v>0</v>
      </c>
      <c r="W789" s="215">
        <f t="shared" si="955"/>
        <v>0</v>
      </c>
      <c r="X789" s="215">
        <f t="shared" si="955"/>
        <v>0</v>
      </c>
      <c r="Y789" s="215">
        <f t="shared" si="955"/>
        <v>0</v>
      </c>
      <c r="AA789" s="10">
        <f>IF(Timeline!AA127=1, -(Z812+AA697), MAX(-Z812, IF(AA$4&lt;=0, AA580,(SUM($AA766:AA766)-SUM($Z789:Z789))*Timeline!AA265)))</f>
        <v>0</v>
      </c>
      <c r="AB789" s="10">
        <f>IF(Timeline!AB127=1, -(AA812+AB697), MAX(-AA812, IF(AB$4&lt;=0, AB580,(SUM($AA766:AB766)-SUM($Z789:AA789))*Timeline!AB265)))</f>
        <v>0</v>
      </c>
      <c r="AC789" s="10">
        <f>IF(Timeline!AC127=1, -(AB812+AC697), MAX(-AB812, IF(AC$4&lt;=0, AC580,(SUM($AA766:AC766)-SUM($Z789:AB789))*Timeline!AC265)))</f>
        <v>0</v>
      </c>
      <c r="AD789" s="10">
        <f>IF(Timeline!AD127=1, -(AC812+AD697), MAX(-AC812, IF(AD$4&lt;=0, AD580,(SUM($AA766:AD766)-SUM($Z789:AC789))*Timeline!AD265)))</f>
        <v>0</v>
      </c>
      <c r="AE789" s="10">
        <f>IF(Timeline!AE127=1, -(AD812+AE697), MAX(-AD812, IF(AE$4&lt;=0, AE580,(SUM($AA766:AE766)-SUM($Z789:AD789))*Timeline!AE265)))</f>
        <v>0</v>
      </c>
      <c r="AF789" s="10">
        <f>IF(Timeline!AF127=1, -(AE812+AF697), MAX(-AE812, IF(AF$4&lt;=0, AF580,(SUM($AA766:AF766)-SUM($Z789:AE789))*Timeline!AF265)))</f>
        <v>0</v>
      </c>
      <c r="AG789" s="10">
        <f>IF(Timeline!AG127=1, -(AF812+AG697), MAX(-AF812, IF(AG$4&lt;=0, AG580,(SUM($AA766:AG766)-SUM($Z789:AF789))*Timeline!AG265)))</f>
        <v>0</v>
      </c>
      <c r="AH789" s="10">
        <f>IF(Timeline!AH127=1, -(AG812+AH697), MAX(-AG812, IF(AH$4&lt;=0, AH580,(SUM($AA766:AH766)-SUM($Z789:AG789))*Timeline!AH265)))</f>
        <v>0</v>
      </c>
      <c r="AI789" s="10">
        <f>IF(Timeline!AI127=1, -(AH812+AI697), MAX(-AH812, IF(AI$4&lt;=0, AI580,(SUM($AA766:AI766)-SUM($Z789:AH789))*Timeline!AI265)))</f>
        <v>0</v>
      </c>
      <c r="AJ789" s="10">
        <f>IF(Timeline!AJ127=1, -(AI812+AJ697), MAX(-AI812, IF(AJ$4&lt;=0, AJ580,(SUM($AA766:AJ766)-SUM($Z789:AI789))*Timeline!AJ265)))</f>
        <v>0</v>
      </c>
      <c r="AK789" s="10">
        <f>IF(Timeline!AK127=1, -(AJ812+AK697), MAX(-AJ812, IF(AK$4&lt;=0, AK580,(SUM($AA766:AK766)-SUM($Z789:AJ789))*Timeline!AK265)))</f>
        <v>0</v>
      </c>
      <c r="AL789" s="10">
        <f>IF(Timeline!AL127=1, -(AK812+AL697), MAX(-AK812, IF(AL$4&lt;=0, AL580,(SUM($AA766:AL766)-SUM($Z789:AK789))*Timeline!AL265)))</f>
        <v>0</v>
      </c>
      <c r="AM789" s="10">
        <f>IF(Timeline!AM127=1, -(AL812+AM697), MAX(-AL812, IF(AM$4&lt;=0, AM580,(SUM($AA766:AM766)-SUM($Z789:AL789))*Timeline!AM265)))</f>
        <v>0</v>
      </c>
      <c r="AN789" s="10">
        <f>IF(Timeline!AN127=1, -(AM812+AN697), MAX(-AM812, IF(AN$4&lt;=0, AN580,(SUM($AA766:AN766)-SUM($Z789:AM789))*Timeline!AN265)))</f>
        <v>0</v>
      </c>
      <c r="AO789" s="10">
        <f>IF(Timeline!AO127=1, -(AN812+AO697), MAX(-AN812, IF(AO$4&lt;=0, AO580,(SUM($AA766:AO766)-SUM($Z789:AN789))*Timeline!AO265)))</f>
        <v>0</v>
      </c>
      <c r="AP789" s="10">
        <f>IF(Timeline!AP127=1, -(AO812+AP697), MAX(-AO812, IF(AP$4&lt;=0, AP580,(SUM($AA766:AP766)-SUM($Z789:AO789))*Timeline!AP265)))</f>
        <v>0</v>
      </c>
      <c r="AQ789" s="10">
        <f>IF(Timeline!AQ127=1, -(AP812+AQ697), MAX(-AP812, IF(AQ$4&lt;=0, AQ580,(SUM($AA766:AQ766)-SUM($Z789:AP789))*Timeline!AQ265)))</f>
        <v>0</v>
      </c>
      <c r="AR789" s="10">
        <f>IF(Timeline!AR127=1, -(AQ812+AR697), MAX(-AQ812, IF(AR$4&lt;=0, AR580,(SUM($AA766:AR766)-SUM($Z789:AQ789))*Timeline!AR265)))</f>
        <v>0</v>
      </c>
      <c r="AS789" s="10">
        <f>IF(Timeline!AS127=1, -(AR812+AS697), MAX(-AR812, IF(AS$4&lt;=0, AS580,(SUM($AA766:AS766)-SUM($Z789:AR789))*Timeline!AS265)))</f>
        <v>0</v>
      </c>
      <c r="AT789" s="10">
        <f>IF(Timeline!AT127=1, -(AS812+AT697), MAX(-AS812, IF(AT$4&lt;=0, AT580,(SUM($AA766:AT766)-SUM($Z789:AS789))*Timeline!AT265)))</f>
        <v>0</v>
      </c>
      <c r="AU789" s="10">
        <f>IF(Timeline!AU127=1, -(AT812+AU697), MAX(-AT812, IF(AU$4&lt;=0, AU580,(SUM($AA766:AU766)-SUM($Z789:AT789))*Timeline!AU265)))</f>
        <v>0</v>
      </c>
      <c r="AV789" s="10">
        <f>IF(Timeline!AV127=1, -(AU812+AV697), MAX(-AU812, IF(AV$4&lt;=0, AV580,(SUM($AA766:AV766)-SUM($Z789:AU789))*Timeline!AV265)))</f>
        <v>0</v>
      </c>
      <c r="AW789" s="10">
        <f>IF(Timeline!AW127=1, -(AV812+AW697), MAX(-AV812, IF(AW$4&lt;=0, AW580,(SUM($AA766:AW766)-SUM($Z789:AV789))*Timeline!AW265)))</f>
        <v>0</v>
      </c>
      <c r="AX789" s="10">
        <f>IF(Timeline!AX127=1, -(AW812+AX697), MAX(-AW812, IF(AX$4&lt;=0, AX580,(SUM($AA766:AX766)-SUM($Z789:AW789))*Timeline!AX265)))</f>
        <v>0</v>
      </c>
      <c r="AY789" s="10">
        <f>IF(Timeline!AY127=1, -(AX812+AY697), MAX(-AX812, IF(AY$4&lt;=0, AY580,(SUM($AA766:AY766)-SUM($Z789:AX789))*Timeline!AY265)))</f>
        <v>0</v>
      </c>
      <c r="AZ789" s="10">
        <f>IF(Timeline!AZ127=1, -(AY812+AZ697), MAX(-AY812, IF(AZ$4&lt;=0, AZ580,(SUM($AA766:AZ766)-SUM($Z789:AY789))*Timeline!AZ265)))</f>
        <v>0</v>
      </c>
      <c r="BA789" s="10">
        <f>IF(Timeline!BA127=1, -(AZ812+BA697), MAX(-AZ812, IF(BA$4&lt;=0, BA580,(SUM($AA766:BA766)-SUM($Z789:AZ789))*Timeline!BA265)))</f>
        <v>0</v>
      </c>
      <c r="BB789" s="10">
        <f>IF(Timeline!BB127=1, -(BA812+BB697), MAX(-BA812, IF(BB$4&lt;=0, BB580,(SUM($AA766:BB766)-SUM($Z789:BA789))*Timeline!BB265)))</f>
        <v>0</v>
      </c>
      <c r="BC789" s="10">
        <f>IF(Timeline!BC127=1, -(BB812+BC697), MAX(-BB812, IF(BC$4&lt;=0, BC580,(SUM($AA766:BC766)-SUM($Z789:BB789))*Timeline!BC265)))</f>
        <v>0</v>
      </c>
      <c r="BD789" s="10">
        <f>IF(Timeline!BD127=1, -(BC812+BD697), MAX(-BC812, IF(BD$4&lt;=0, BD580,(SUM($AA766:BD766)-SUM($Z789:BC789))*Timeline!BD265)))</f>
        <v>0</v>
      </c>
      <c r="BE789" s="10">
        <f>IF(Timeline!BE127=1, -(BD812+BE697), MAX(-BD812, IF(BE$4&lt;=0, BE580,(SUM($AA766:BE766)-SUM($Z789:BD789))*Timeline!BE265)))</f>
        <v>0</v>
      </c>
      <c r="BF789" s="10">
        <f>IF(Timeline!BF127=1, -(BE812+BF697), MAX(-BE812, IF(BF$4&lt;=0, BF580,(SUM($AA766:BF766)-SUM($Z789:BE789))*Timeline!BF265)))</f>
        <v>0</v>
      </c>
      <c r="BG789" s="10">
        <f>IF(Timeline!BG127=1, -(BF812+BG697), MAX(-BF812, IF(BG$4&lt;=0, BG580,(SUM($AA766:BG766)-SUM($Z789:BF789))*Timeline!BG265)))</f>
        <v>0</v>
      </c>
      <c r="BH789" s="10">
        <f>IF(Timeline!BH127=1, -(BG812+BH697), MAX(-BG812, IF(BH$4&lt;=0, BH580,(SUM($AA766:BH766)-SUM($Z789:BG789))*Timeline!BH265)))</f>
        <v>0</v>
      </c>
      <c r="BI789" s="10">
        <f>IF(Timeline!BI127=1, -(BH812+BI697), MAX(-BH812, IF(BI$4&lt;=0, BI580,(SUM($AA766:BI766)-SUM($Z789:BH789))*Timeline!BI265)))</f>
        <v>0</v>
      </c>
      <c r="BJ789" s="10">
        <f>IF(Timeline!BJ127=1, -(BI812+BJ697), MAX(-BI812, IF(BJ$4&lt;=0, BJ580,(SUM($AA766:BJ766)-SUM($Z789:BI789))*Timeline!BJ265)))</f>
        <v>0</v>
      </c>
      <c r="BL789" s="13">
        <f t="shared" si="956"/>
        <v>0</v>
      </c>
      <c r="BM789" s="13">
        <f t="shared" si="957"/>
        <v>0</v>
      </c>
      <c r="BN789" s="13">
        <f t="shared" si="958"/>
        <v>0</v>
      </c>
      <c r="BO789" s="13">
        <f t="shared" si="959"/>
        <v>0</v>
      </c>
      <c r="BP789" s="136"/>
      <c r="BQ789" s="136"/>
      <c r="BR789" s="136"/>
      <c r="BS789" s="136"/>
      <c r="BT789" s="136"/>
      <c r="BU789" s="136"/>
      <c r="BV789" s="136"/>
      <c r="BW789" s="136"/>
      <c r="BY789" s="12"/>
      <c r="BZ789" s="335"/>
      <c r="CA789" s="12"/>
      <c r="CB789" s="335"/>
      <c r="CC789" s="335"/>
      <c r="CD789" s="335"/>
      <c r="CE789" s="335"/>
      <c r="CJ789" s="162"/>
      <c r="CM789" s="335"/>
      <c r="CN789" s="335"/>
      <c r="CO789" s="335"/>
      <c r="CP789" s="335"/>
      <c r="CR789" s="12"/>
      <c r="CT789" s="335"/>
      <c r="CU789" s="335"/>
      <c r="EW789" s="335"/>
      <c r="EX789" s="10" t="str">
        <f t="shared" si="933"/>
        <v/>
      </c>
    </row>
    <row r="790" spans="1:154" s="67" customFormat="1" x14ac:dyDescent="0.25">
      <c r="B790" s="84" t="str" cm="1">
        <f t="array" aca="1" ref="B790" ca="1">HYPERLINK(CONCATENATE("#",CELL("address",$D$275)),$D$275)</f>
        <v>Loan 13</v>
      </c>
      <c r="C790" s="380"/>
      <c r="D790" s="221">
        <f>D$25</f>
        <v>0</v>
      </c>
      <c r="E790" s="60">
        <f>E$25</f>
        <v>0</v>
      </c>
      <c r="G790" s="10">
        <f t="shared" si="953"/>
        <v>0</v>
      </c>
      <c r="H790" s="50" t="s">
        <v>157</v>
      </c>
      <c r="S790" s="335"/>
      <c r="T790" s="335"/>
      <c r="U790" s="335"/>
      <c r="V790" s="13">
        <f t="shared" si="954"/>
        <v>0</v>
      </c>
      <c r="W790" s="215">
        <f t="shared" si="955"/>
        <v>0</v>
      </c>
      <c r="X790" s="215">
        <f t="shared" si="955"/>
        <v>0</v>
      </c>
      <c r="Y790" s="215">
        <f t="shared" si="955"/>
        <v>0</v>
      </c>
      <c r="AA790" s="10">
        <f>IF(Timeline!AA128=1, -(Z813+AA698), MAX(-Z813, IF(AA$4&lt;=0, AA581,(SUM($AA767:AA767)-SUM($Z790:Z790))*Timeline!AA266)))</f>
        <v>0</v>
      </c>
      <c r="AB790" s="10">
        <f>IF(Timeline!AB128=1, -(AA813+AB698), MAX(-AA813, IF(AB$4&lt;=0, AB581,(SUM($AA767:AB767)-SUM($Z790:AA790))*Timeline!AB266)))</f>
        <v>0</v>
      </c>
      <c r="AC790" s="10">
        <f>IF(Timeline!AC128=1, -(AB813+AC698), MAX(-AB813, IF(AC$4&lt;=0, AC581,(SUM($AA767:AC767)-SUM($Z790:AB790))*Timeline!AC266)))</f>
        <v>0</v>
      </c>
      <c r="AD790" s="10">
        <f>IF(Timeline!AD128=1, -(AC813+AD698), MAX(-AC813, IF(AD$4&lt;=0, AD581,(SUM($AA767:AD767)-SUM($Z790:AC790))*Timeline!AD266)))</f>
        <v>0</v>
      </c>
      <c r="AE790" s="10">
        <f>IF(Timeline!AE128=1, -(AD813+AE698), MAX(-AD813, IF(AE$4&lt;=0, AE581,(SUM($AA767:AE767)-SUM($Z790:AD790))*Timeline!AE266)))</f>
        <v>0</v>
      </c>
      <c r="AF790" s="10">
        <f>IF(Timeline!AF128=1, -(AE813+AF698), MAX(-AE813, IF(AF$4&lt;=0, AF581,(SUM($AA767:AF767)-SUM($Z790:AE790))*Timeline!AF266)))</f>
        <v>0</v>
      </c>
      <c r="AG790" s="10">
        <f>IF(Timeline!AG128=1, -(AF813+AG698), MAX(-AF813, IF(AG$4&lt;=0, AG581,(SUM($AA767:AG767)-SUM($Z790:AF790))*Timeline!AG266)))</f>
        <v>0</v>
      </c>
      <c r="AH790" s="10">
        <f>IF(Timeline!AH128=1, -(AG813+AH698), MAX(-AG813, IF(AH$4&lt;=0, AH581,(SUM($AA767:AH767)-SUM($Z790:AG790))*Timeline!AH266)))</f>
        <v>0</v>
      </c>
      <c r="AI790" s="10">
        <f>IF(Timeline!AI128=1, -(AH813+AI698), MAX(-AH813, IF(AI$4&lt;=0, AI581,(SUM($AA767:AI767)-SUM($Z790:AH790))*Timeline!AI266)))</f>
        <v>0</v>
      </c>
      <c r="AJ790" s="10">
        <f>IF(Timeline!AJ128=1, -(AI813+AJ698), MAX(-AI813, IF(AJ$4&lt;=0, AJ581,(SUM($AA767:AJ767)-SUM($Z790:AI790))*Timeline!AJ266)))</f>
        <v>0</v>
      </c>
      <c r="AK790" s="10">
        <f>IF(Timeline!AK128=1, -(AJ813+AK698), MAX(-AJ813, IF(AK$4&lt;=0, AK581,(SUM($AA767:AK767)-SUM($Z790:AJ790))*Timeline!AK266)))</f>
        <v>0</v>
      </c>
      <c r="AL790" s="10">
        <f>IF(Timeline!AL128=1, -(AK813+AL698), MAX(-AK813, IF(AL$4&lt;=0, AL581,(SUM($AA767:AL767)-SUM($Z790:AK790))*Timeline!AL266)))</f>
        <v>0</v>
      </c>
      <c r="AM790" s="10">
        <f>IF(Timeline!AM128=1, -(AL813+AM698), MAX(-AL813, IF(AM$4&lt;=0, AM581,(SUM($AA767:AM767)-SUM($Z790:AL790))*Timeline!AM266)))</f>
        <v>0</v>
      </c>
      <c r="AN790" s="10">
        <f>IF(Timeline!AN128=1, -(AM813+AN698), MAX(-AM813, IF(AN$4&lt;=0, AN581,(SUM($AA767:AN767)-SUM($Z790:AM790))*Timeline!AN266)))</f>
        <v>0</v>
      </c>
      <c r="AO790" s="10">
        <f>IF(Timeline!AO128=1, -(AN813+AO698), MAX(-AN813, IF(AO$4&lt;=0, AO581,(SUM($AA767:AO767)-SUM($Z790:AN790))*Timeline!AO266)))</f>
        <v>0</v>
      </c>
      <c r="AP790" s="10">
        <f>IF(Timeline!AP128=1, -(AO813+AP698), MAX(-AO813, IF(AP$4&lt;=0, AP581,(SUM($AA767:AP767)-SUM($Z790:AO790))*Timeline!AP266)))</f>
        <v>0</v>
      </c>
      <c r="AQ790" s="10">
        <f>IF(Timeline!AQ128=1, -(AP813+AQ698), MAX(-AP813, IF(AQ$4&lt;=0, AQ581,(SUM($AA767:AQ767)-SUM($Z790:AP790))*Timeline!AQ266)))</f>
        <v>0</v>
      </c>
      <c r="AR790" s="10">
        <f>IF(Timeline!AR128=1, -(AQ813+AR698), MAX(-AQ813, IF(AR$4&lt;=0, AR581,(SUM($AA767:AR767)-SUM($Z790:AQ790))*Timeline!AR266)))</f>
        <v>0</v>
      </c>
      <c r="AS790" s="10">
        <f>IF(Timeline!AS128=1, -(AR813+AS698), MAX(-AR813, IF(AS$4&lt;=0, AS581,(SUM($AA767:AS767)-SUM($Z790:AR790))*Timeline!AS266)))</f>
        <v>0</v>
      </c>
      <c r="AT790" s="10">
        <f>IF(Timeline!AT128=1, -(AS813+AT698), MAX(-AS813, IF(AT$4&lt;=0, AT581,(SUM($AA767:AT767)-SUM($Z790:AS790))*Timeline!AT266)))</f>
        <v>0</v>
      </c>
      <c r="AU790" s="10">
        <f>IF(Timeline!AU128=1, -(AT813+AU698), MAX(-AT813, IF(AU$4&lt;=0, AU581,(SUM($AA767:AU767)-SUM($Z790:AT790))*Timeline!AU266)))</f>
        <v>0</v>
      </c>
      <c r="AV790" s="10">
        <f>IF(Timeline!AV128=1, -(AU813+AV698), MAX(-AU813, IF(AV$4&lt;=0, AV581,(SUM($AA767:AV767)-SUM($Z790:AU790))*Timeline!AV266)))</f>
        <v>0</v>
      </c>
      <c r="AW790" s="10">
        <f>IF(Timeline!AW128=1, -(AV813+AW698), MAX(-AV813, IF(AW$4&lt;=0, AW581,(SUM($AA767:AW767)-SUM($Z790:AV790))*Timeline!AW266)))</f>
        <v>0</v>
      </c>
      <c r="AX790" s="10">
        <f>IF(Timeline!AX128=1, -(AW813+AX698), MAX(-AW813, IF(AX$4&lt;=0, AX581,(SUM($AA767:AX767)-SUM($Z790:AW790))*Timeline!AX266)))</f>
        <v>0</v>
      </c>
      <c r="AY790" s="10">
        <f>IF(Timeline!AY128=1, -(AX813+AY698), MAX(-AX813, IF(AY$4&lt;=0, AY581,(SUM($AA767:AY767)-SUM($Z790:AX790))*Timeline!AY266)))</f>
        <v>0</v>
      </c>
      <c r="AZ790" s="10">
        <f>IF(Timeline!AZ128=1, -(AY813+AZ698), MAX(-AY813, IF(AZ$4&lt;=0, AZ581,(SUM($AA767:AZ767)-SUM($Z790:AY790))*Timeline!AZ266)))</f>
        <v>0</v>
      </c>
      <c r="BA790" s="10">
        <f>IF(Timeline!BA128=1, -(AZ813+BA698), MAX(-AZ813, IF(BA$4&lt;=0, BA581,(SUM($AA767:BA767)-SUM($Z790:AZ790))*Timeline!BA266)))</f>
        <v>0</v>
      </c>
      <c r="BB790" s="10">
        <f>IF(Timeline!BB128=1, -(BA813+BB698), MAX(-BA813, IF(BB$4&lt;=0, BB581,(SUM($AA767:BB767)-SUM($Z790:BA790))*Timeline!BB266)))</f>
        <v>0</v>
      </c>
      <c r="BC790" s="10">
        <f>IF(Timeline!BC128=1, -(BB813+BC698), MAX(-BB813, IF(BC$4&lt;=0, BC581,(SUM($AA767:BC767)-SUM($Z790:BB790))*Timeline!BC266)))</f>
        <v>0</v>
      </c>
      <c r="BD790" s="10">
        <f>IF(Timeline!BD128=1, -(BC813+BD698), MAX(-BC813, IF(BD$4&lt;=0, BD581,(SUM($AA767:BD767)-SUM($Z790:BC790))*Timeline!BD266)))</f>
        <v>0</v>
      </c>
      <c r="BE790" s="10">
        <f>IF(Timeline!BE128=1, -(BD813+BE698), MAX(-BD813, IF(BE$4&lt;=0, BE581,(SUM($AA767:BE767)-SUM($Z790:BD790))*Timeline!BE266)))</f>
        <v>0</v>
      </c>
      <c r="BF790" s="10">
        <f>IF(Timeline!BF128=1, -(BE813+BF698), MAX(-BE813, IF(BF$4&lt;=0, BF581,(SUM($AA767:BF767)-SUM($Z790:BE790))*Timeline!BF266)))</f>
        <v>0</v>
      </c>
      <c r="BG790" s="10">
        <f>IF(Timeline!BG128=1, -(BF813+BG698), MAX(-BF813, IF(BG$4&lt;=0, BG581,(SUM($AA767:BG767)-SUM($Z790:BF790))*Timeline!BG266)))</f>
        <v>0</v>
      </c>
      <c r="BH790" s="10">
        <f>IF(Timeline!BH128=1, -(BG813+BH698), MAX(-BG813, IF(BH$4&lt;=0, BH581,(SUM($AA767:BH767)-SUM($Z790:BG790))*Timeline!BH266)))</f>
        <v>0</v>
      </c>
      <c r="BI790" s="10">
        <f>IF(Timeline!BI128=1, -(BH813+BI698), MAX(-BH813, IF(BI$4&lt;=0, BI581,(SUM($AA767:BI767)-SUM($Z790:BH790))*Timeline!BI266)))</f>
        <v>0</v>
      </c>
      <c r="BJ790" s="10">
        <f>IF(Timeline!BJ128=1, -(BI813+BJ698), MAX(-BI813, IF(BJ$4&lt;=0, BJ581,(SUM($AA767:BJ767)-SUM($Z790:BI790))*Timeline!BJ266)))</f>
        <v>0</v>
      </c>
      <c r="BL790" s="13">
        <f t="shared" si="956"/>
        <v>0</v>
      </c>
      <c r="BM790" s="13">
        <f t="shared" si="957"/>
        <v>0</v>
      </c>
      <c r="BN790" s="13">
        <f t="shared" si="958"/>
        <v>0</v>
      </c>
      <c r="BO790" s="13">
        <f t="shared" si="959"/>
        <v>0</v>
      </c>
      <c r="BP790" s="136"/>
      <c r="BQ790" s="136"/>
      <c r="BR790" s="136"/>
      <c r="BS790" s="136"/>
      <c r="BT790" s="136"/>
      <c r="BU790" s="136"/>
      <c r="BV790" s="136"/>
      <c r="BW790" s="136"/>
      <c r="BY790" s="12"/>
      <c r="BZ790" s="335"/>
      <c r="CA790" s="12"/>
      <c r="CB790" s="335"/>
      <c r="CC790" s="335"/>
      <c r="CD790" s="335"/>
      <c r="CE790" s="335"/>
      <c r="CJ790" s="162"/>
      <c r="CM790" s="335"/>
      <c r="CN790" s="335"/>
      <c r="CO790" s="335"/>
      <c r="CP790" s="335"/>
      <c r="CR790" s="12"/>
      <c r="CT790" s="335"/>
      <c r="CU790" s="335"/>
      <c r="EW790" s="335"/>
      <c r="EX790" s="10" t="str">
        <f t="shared" si="933"/>
        <v/>
      </c>
    </row>
    <row r="791" spans="1:154" s="5" customFormat="1" x14ac:dyDescent="0.25">
      <c r="A791" s="67"/>
      <c r="B791" s="84" t="str" cm="1">
        <f t="array" aca="1" ref="B791" ca="1">HYPERLINK(CONCATENATE("#",CELL("address",$D$294)),$D$294)</f>
        <v>Loan 14</v>
      </c>
      <c r="C791" s="380"/>
      <c r="D791" s="221">
        <f>D$26</f>
        <v>0</v>
      </c>
      <c r="E791" s="60">
        <f>E$26</f>
        <v>0</v>
      </c>
      <c r="F791" s="67"/>
      <c r="G791" s="10">
        <f t="shared" si="953"/>
        <v>0</v>
      </c>
      <c r="H791" s="50" t="s">
        <v>157</v>
      </c>
      <c r="I791" s="67"/>
      <c r="J791" s="67"/>
      <c r="K791" s="67"/>
      <c r="L791" s="67"/>
      <c r="M791" s="67"/>
      <c r="N791" s="67"/>
      <c r="O791" s="67"/>
      <c r="P791" s="67"/>
      <c r="Q791" s="67"/>
      <c r="R791" s="67"/>
      <c r="S791" s="335"/>
      <c r="T791" s="335"/>
      <c r="U791" s="335"/>
      <c r="V791" s="13">
        <f t="shared" si="954"/>
        <v>0</v>
      </c>
      <c r="W791" s="215">
        <f t="shared" si="955"/>
        <v>0</v>
      </c>
      <c r="X791" s="215">
        <f t="shared" si="955"/>
        <v>0</v>
      </c>
      <c r="Y791" s="215">
        <f t="shared" si="955"/>
        <v>0</v>
      </c>
      <c r="Z791" s="67"/>
      <c r="AA791" s="10">
        <f>IF(Timeline!AA129=1, -(Z814+AA699), MAX(-Z814, IF(AA$4&lt;=0, AA582,(SUM($AA768:AA768)-SUM($Z791:Z791))*Timeline!AA267)))</f>
        <v>0</v>
      </c>
      <c r="AB791" s="10">
        <f>IF(Timeline!AB129=1, -(AA814+AB699), MAX(-AA814, IF(AB$4&lt;=0, AB582,(SUM($AA768:AB768)-SUM($Z791:AA791))*Timeline!AB267)))</f>
        <v>0</v>
      </c>
      <c r="AC791" s="10">
        <f>IF(Timeline!AC129=1, -(AB814+AC699), MAX(-AB814, IF(AC$4&lt;=0, AC582,(SUM($AA768:AC768)-SUM($Z791:AB791))*Timeline!AC267)))</f>
        <v>0</v>
      </c>
      <c r="AD791" s="10">
        <f>IF(Timeline!AD129=1, -(AC814+AD699), MAX(-AC814, IF(AD$4&lt;=0, AD582,(SUM($AA768:AD768)-SUM($Z791:AC791))*Timeline!AD267)))</f>
        <v>0</v>
      </c>
      <c r="AE791" s="10">
        <f>IF(Timeline!AE129=1, -(AD814+AE699), MAX(-AD814, IF(AE$4&lt;=0, AE582,(SUM($AA768:AE768)-SUM($Z791:AD791))*Timeline!AE267)))</f>
        <v>0</v>
      </c>
      <c r="AF791" s="10">
        <f>IF(Timeline!AF129=1, -(AE814+AF699), MAX(-AE814, IF(AF$4&lt;=0, AF582,(SUM($AA768:AF768)-SUM($Z791:AE791))*Timeline!AF267)))</f>
        <v>0</v>
      </c>
      <c r="AG791" s="10">
        <f>IF(Timeline!AG129=1, -(AF814+AG699), MAX(-AF814, IF(AG$4&lt;=0, AG582,(SUM($AA768:AG768)-SUM($Z791:AF791))*Timeline!AG267)))</f>
        <v>0</v>
      </c>
      <c r="AH791" s="10">
        <f>IF(Timeline!AH129=1, -(AG814+AH699), MAX(-AG814, IF(AH$4&lt;=0, AH582,(SUM($AA768:AH768)-SUM($Z791:AG791))*Timeline!AH267)))</f>
        <v>0</v>
      </c>
      <c r="AI791" s="10">
        <f>IF(Timeline!AI129=1, -(AH814+AI699), MAX(-AH814, IF(AI$4&lt;=0, AI582,(SUM($AA768:AI768)-SUM($Z791:AH791))*Timeline!AI267)))</f>
        <v>0</v>
      </c>
      <c r="AJ791" s="10">
        <f>IF(Timeline!AJ129=1, -(AI814+AJ699), MAX(-AI814, IF(AJ$4&lt;=0, AJ582,(SUM($AA768:AJ768)-SUM($Z791:AI791))*Timeline!AJ267)))</f>
        <v>0</v>
      </c>
      <c r="AK791" s="10">
        <f>IF(Timeline!AK129=1, -(AJ814+AK699), MAX(-AJ814, IF(AK$4&lt;=0, AK582,(SUM($AA768:AK768)-SUM($Z791:AJ791))*Timeline!AK267)))</f>
        <v>0</v>
      </c>
      <c r="AL791" s="10">
        <f>IF(Timeline!AL129=1, -(AK814+AL699), MAX(-AK814, IF(AL$4&lt;=0, AL582,(SUM($AA768:AL768)-SUM($Z791:AK791))*Timeline!AL267)))</f>
        <v>0</v>
      </c>
      <c r="AM791" s="10">
        <f>IF(Timeline!AM129=1, -(AL814+AM699), MAX(-AL814, IF(AM$4&lt;=0, AM582,(SUM($AA768:AM768)-SUM($Z791:AL791))*Timeline!AM267)))</f>
        <v>0</v>
      </c>
      <c r="AN791" s="10">
        <f>IF(Timeline!AN129=1, -(AM814+AN699), MAX(-AM814, IF(AN$4&lt;=0, AN582,(SUM($AA768:AN768)-SUM($Z791:AM791))*Timeline!AN267)))</f>
        <v>0</v>
      </c>
      <c r="AO791" s="10">
        <f>IF(Timeline!AO129=1, -(AN814+AO699), MAX(-AN814, IF(AO$4&lt;=0, AO582,(SUM($AA768:AO768)-SUM($Z791:AN791))*Timeline!AO267)))</f>
        <v>0</v>
      </c>
      <c r="AP791" s="10">
        <f>IF(Timeline!AP129=1, -(AO814+AP699), MAX(-AO814, IF(AP$4&lt;=0, AP582,(SUM($AA768:AP768)-SUM($Z791:AO791))*Timeline!AP267)))</f>
        <v>0</v>
      </c>
      <c r="AQ791" s="10">
        <f>IF(Timeline!AQ129=1, -(AP814+AQ699), MAX(-AP814, IF(AQ$4&lt;=0, AQ582,(SUM($AA768:AQ768)-SUM($Z791:AP791))*Timeline!AQ267)))</f>
        <v>0</v>
      </c>
      <c r="AR791" s="10">
        <f>IF(Timeline!AR129=1, -(AQ814+AR699), MAX(-AQ814, IF(AR$4&lt;=0, AR582,(SUM($AA768:AR768)-SUM($Z791:AQ791))*Timeline!AR267)))</f>
        <v>0</v>
      </c>
      <c r="AS791" s="10">
        <f>IF(Timeline!AS129=1, -(AR814+AS699), MAX(-AR814, IF(AS$4&lt;=0, AS582,(SUM($AA768:AS768)-SUM($Z791:AR791))*Timeline!AS267)))</f>
        <v>0</v>
      </c>
      <c r="AT791" s="10">
        <f>IF(Timeline!AT129=1, -(AS814+AT699), MAX(-AS814, IF(AT$4&lt;=0, AT582,(SUM($AA768:AT768)-SUM($Z791:AS791))*Timeline!AT267)))</f>
        <v>0</v>
      </c>
      <c r="AU791" s="10">
        <f>IF(Timeline!AU129=1, -(AT814+AU699), MAX(-AT814, IF(AU$4&lt;=0, AU582,(SUM($AA768:AU768)-SUM($Z791:AT791))*Timeline!AU267)))</f>
        <v>0</v>
      </c>
      <c r="AV791" s="10">
        <f>IF(Timeline!AV129=1, -(AU814+AV699), MAX(-AU814, IF(AV$4&lt;=0, AV582,(SUM($AA768:AV768)-SUM($Z791:AU791))*Timeline!AV267)))</f>
        <v>0</v>
      </c>
      <c r="AW791" s="10">
        <f>IF(Timeline!AW129=1, -(AV814+AW699), MAX(-AV814, IF(AW$4&lt;=0, AW582,(SUM($AA768:AW768)-SUM($Z791:AV791))*Timeline!AW267)))</f>
        <v>0</v>
      </c>
      <c r="AX791" s="10">
        <f>IF(Timeline!AX129=1, -(AW814+AX699), MAX(-AW814, IF(AX$4&lt;=0, AX582,(SUM($AA768:AX768)-SUM($Z791:AW791))*Timeline!AX267)))</f>
        <v>0</v>
      </c>
      <c r="AY791" s="10">
        <f>IF(Timeline!AY129=1, -(AX814+AY699), MAX(-AX814, IF(AY$4&lt;=0, AY582,(SUM($AA768:AY768)-SUM($Z791:AX791))*Timeline!AY267)))</f>
        <v>0</v>
      </c>
      <c r="AZ791" s="10">
        <f>IF(Timeline!AZ129=1, -(AY814+AZ699), MAX(-AY814, IF(AZ$4&lt;=0, AZ582,(SUM($AA768:AZ768)-SUM($Z791:AY791))*Timeline!AZ267)))</f>
        <v>0</v>
      </c>
      <c r="BA791" s="10">
        <f>IF(Timeline!BA129=1, -(AZ814+BA699), MAX(-AZ814, IF(BA$4&lt;=0, BA582,(SUM($AA768:BA768)-SUM($Z791:AZ791))*Timeline!BA267)))</f>
        <v>0</v>
      </c>
      <c r="BB791" s="10">
        <f>IF(Timeline!BB129=1, -(BA814+BB699), MAX(-BA814, IF(BB$4&lt;=0, BB582,(SUM($AA768:BB768)-SUM($Z791:BA791))*Timeline!BB267)))</f>
        <v>0</v>
      </c>
      <c r="BC791" s="10">
        <f>IF(Timeline!BC129=1, -(BB814+BC699), MAX(-BB814, IF(BC$4&lt;=0, BC582,(SUM($AA768:BC768)-SUM($Z791:BB791))*Timeline!BC267)))</f>
        <v>0</v>
      </c>
      <c r="BD791" s="10">
        <f>IF(Timeline!BD129=1, -(BC814+BD699), MAX(-BC814, IF(BD$4&lt;=0, BD582,(SUM($AA768:BD768)-SUM($Z791:BC791))*Timeline!BD267)))</f>
        <v>0</v>
      </c>
      <c r="BE791" s="10">
        <f>IF(Timeline!BE129=1, -(BD814+BE699), MAX(-BD814, IF(BE$4&lt;=0, BE582,(SUM($AA768:BE768)-SUM($Z791:BD791))*Timeline!BE267)))</f>
        <v>0</v>
      </c>
      <c r="BF791" s="10">
        <f>IF(Timeline!BF129=1, -(BE814+BF699), MAX(-BE814, IF(BF$4&lt;=0, BF582,(SUM($AA768:BF768)-SUM($Z791:BE791))*Timeline!BF267)))</f>
        <v>0</v>
      </c>
      <c r="BG791" s="10">
        <f>IF(Timeline!BG129=1, -(BF814+BG699), MAX(-BF814, IF(BG$4&lt;=0, BG582,(SUM($AA768:BG768)-SUM($Z791:BF791))*Timeline!BG267)))</f>
        <v>0</v>
      </c>
      <c r="BH791" s="10">
        <f>IF(Timeline!BH129=1, -(BG814+BH699), MAX(-BG814, IF(BH$4&lt;=0, BH582,(SUM($AA768:BH768)-SUM($Z791:BG791))*Timeline!BH267)))</f>
        <v>0</v>
      </c>
      <c r="BI791" s="10">
        <f>IF(Timeline!BI129=1, -(BH814+BI699), MAX(-BH814, IF(BI$4&lt;=0, BI582,(SUM($AA768:BI768)-SUM($Z791:BH791))*Timeline!BI267)))</f>
        <v>0</v>
      </c>
      <c r="BJ791" s="10">
        <f>IF(Timeline!BJ129=1, -(BI814+BJ699), MAX(-BI814, IF(BJ$4&lt;=0, BJ582,(SUM($AA768:BJ768)-SUM($Z791:BI791))*Timeline!BJ267)))</f>
        <v>0</v>
      </c>
      <c r="BK791" s="67"/>
      <c r="BL791" s="13">
        <f t="shared" si="956"/>
        <v>0</v>
      </c>
      <c r="BM791" s="13">
        <f t="shared" si="957"/>
        <v>0</v>
      </c>
      <c r="BN791" s="13">
        <f t="shared" si="958"/>
        <v>0</v>
      </c>
      <c r="BO791" s="13">
        <f t="shared" si="959"/>
        <v>0</v>
      </c>
      <c r="BP791" s="136"/>
      <c r="BQ791" s="136"/>
      <c r="BR791" s="136"/>
      <c r="BS791" s="136"/>
      <c r="BT791" s="136"/>
      <c r="BU791" s="136"/>
      <c r="BV791" s="136"/>
      <c r="BW791" s="136"/>
      <c r="BX791" s="67"/>
      <c r="BY791" s="12"/>
      <c r="BZ791" s="335"/>
      <c r="CA791" s="12"/>
      <c r="CB791" s="335"/>
      <c r="CC791" s="335"/>
      <c r="CD791" s="335"/>
      <c r="CE791" s="335"/>
      <c r="CF791" s="67"/>
      <c r="CG791" s="67"/>
      <c r="CH791" s="67"/>
      <c r="CI791" s="67"/>
      <c r="CJ791" s="162"/>
      <c r="CK791" s="67"/>
      <c r="CL791" s="67"/>
      <c r="CM791" s="335"/>
      <c r="CN791" s="335"/>
      <c r="CO791" s="335"/>
      <c r="CP791" s="335"/>
      <c r="CQ791" s="67"/>
      <c r="CR791" s="12"/>
      <c r="EX791" s="10" t="str">
        <f t="shared" si="933"/>
        <v/>
      </c>
    </row>
    <row r="792" spans="1:154" s="67" customFormat="1" x14ac:dyDescent="0.25">
      <c r="B792" s="84" t="str" cm="1">
        <f t="array" aca="1" ref="B792" ca="1">HYPERLINK(CONCATENATE("#",CELL("address",$D$313)),$D$313)</f>
        <v>Loan 15</v>
      </c>
      <c r="C792" s="380"/>
      <c r="D792" s="221">
        <f>D$27</f>
        <v>0</v>
      </c>
      <c r="E792" s="60">
        <f>E$27</f>
        <v>0</v>
      </c>
      <c r="G792" s="10">
        <f t="shared" si="953"/>
        <v>0</v>
      </c>
      <c r="H792" s="50" t="s">
        <v>157</v>
      </c>
      <c r="S792" s="335"/>
      <c r="T792" s="335"/>
      <c r="U792" s="335"/>
      <c r="V792" s="13">
        <f t="shared" si="954"/>
        <v>0</v>
      </c>
      <c r="W792" s="215">
        <f t="shared" si="955"/>
        <v>0</v>
      </c>
      <c r="X792" s="215">
        <f t="shared" si="955"/>
        <v>0</v>
      </c>
      <c r="Y792" s="215">
        <f t="shared" si="955"/>
        <v>0</v>
      </c>
      <c r="AA792" s="10">
        <f>IF(Timeline!AA130=1, -(Z815+AA700), MAX(-Z815, IF(AA$4&lt;=0, AA583,(SUM($AA769:AA769)-SUM($Z792:Z792))*Timeline!AA268)))</f>
        <v>0</v>
      </c>
      <c r="AB792" s="10">
        <f>IF(Timeline!AB130=1, -(AA815+AB700), MAX(-AA815, IF(AB$4&lt;=0, AB583,(SUM($AA769:AB769)-SUM($Z792:AA792))*Timeline!AB268)))</f>
        <v>0</v>
      </c>
      <c r="AC792" s="10">
        <f>IF(Timeline!AC130=1, -(AB815+AC700), MAX(-AB815, IF(AC$4&lt;=0, AC583,(SUM($AA769:AC769)-SUM($Z792:AB792))*Timeline!AC268)))</f>
        <v>0</v>
      </c>
      <c r="AD792" s="10">
        <f>IF(Timeline!AD130=1, -(AC815+AD700), MAX(-AC815, IF(AD$4&lt;=0, AD583,(SUM($AA769:AD769)-SUM($Z792:AC792))*Timeline!AD268)))</f>
        <v>0</v>
      </c>
      <c r="AE792" s="10">
        <f>IF(Timeline!AE130=1, -(AD815+AE700), MAX(-AD815, IF(AE$4&lt;=0, AE583,(SUM($AA769:AE769)-SUM($Z792:AD792))*Timeline!AE268)))</f>
        <v>0</v>
      </c>
      <c r="AF792" s="10">
        <f>IF(Timeline!AF130=1, -(AE815+AF700), MAX(-AE815, IF(AF$4&lt;=0, AF583,(SUM($AA769:AF769)-SUM($Z792:AE792))*Timeline!AF268)))</f>
        <v>0</v>
      </c>
      <c r="AG792" s="10">
        <f>IF(Timeline!AG130=1, -(AF815+AG700), MAX(-AF815, IF(AG$4&lt;=0, AG583,(SUM($AA769:AG769)-SUM($Z792:AF792))*Timeline!AG268)))</f>
        <v>0</v>
      </c>
      <c r="AH792" s="10">
        <f>IF(Timeline!AH130=1, -(AG815+AH700), MAX(-AG815, IF(AH$4&lt;=0, AH583,(SUM($AA769:AH769)-SUM($Z792:AG792))*Timeline!AH268)))</f>
        <v>0</v>
      </c>
      <c r="AI792" s="10">
        <f>IF(Timeline!AI130=1, -(AH815+AI700), MAX(-AH815, IF(AI$4&lt;=0, AI583,(SUM($AA769:AI769)-SUM($Z792:AH792))*Timeline!AI268)))</f>
        <v>0</v>
      </c>
      <c r="AJ792" s="10">
        <f>IF(Timeline!AJ130=1, -(AI815+AJ700), MAX(-AI815, IF(AJ$4&lt;=0, AJ583,(SUM($AA769:AJ769)-SUM($Z792:AI792))*Timeline!AJ268)))</f>
        <v>0</v>
      </c>
      <c r="AK792" s="10">
        <f>IF(Timeline!AK130=1, -(AJ815+AK700), MAX(-AJ815, IF(AK$4&lt;=0, AK583,(SUM($AA769:AK769)-SUM($Z792:AJ792))*Timeline!AK268)))</f>
        <v>0</v>
      </c>
      <c r="AL792" s="10">
        <f>IF(Timeline!AL130=1, -(AK815+AL700), MAX(-AK815, IF(AL$4&lt;=0, AL583,(SUM($AA769:AL769)-SUM($Z792:AK792))*Timeline!AL268)))</f>
        <v>0</v>
      </c>
      <c r="AM792" s="10">
        <f>IF(Timeline!AM130=1, -(AL815+AM700), MAX(-AL815, IF(AM$4&lt;=0, AM583,(SUM($AA769:AM769)-SUM($Z792:AL792))*Timeline!AM268)))</f>
        <v>0</v>
      </c>
      <c r="AN792" s="10">
        <f>IF(Timeline!AN130=1, -(AM815+AN700), MAX(-AM815, IF(AN$4&lt;=0, AN583,(SUM($AA769:AN769)-SUM($Z792:AM792))*Timeline!AN268)))</f>
        <v>0</v>
      </c>
      <c r="AO792" s="10">
        <f>IF(Timeline!AO130=1, -(AN815+AO700), MAX(-AN815, IF(AO$4&lt;=0, AO583,(SUM($AA769:AO769)-SUM($Z792:AN792))*Timeline!AO268)))</f>
        <v>0</v>
      </c>
      <c r="AP792" s="10">
        <f>IF(Timeline!AP130=1, -(AO815+AP700), MAX(-AO815, IF(AP$4&lt;=0, AP583,(SUM($AA769:AP769)-SUM($Z792:AO792))*Timeline!AP268)))</f>
        <v>0</v>
      </c>
      <c r="AQ792" s="10">
        <f>IF(Timeline!AQ130=1, -(AP815+AQ700), MAX(-AP815, IF(AQ$4&lt;=0, AQ583,(SUM($AA769:AQ769)-SUM($Z792:AP792))*Timeline!AQ268)))</f>
        <v>0</v>
      </c>
      <c r="AR792" s="10">
        <f>IF(Timeline!AR130=1, -(AQ815+AR700), MAX(-AQ815, IF(AR$4&lt;=0, AR583,(SUM($AA769:AR769)-SUM($Z792:AQ792))*Timeline!AR268)))</f>
        <v>0</v>
      </c>
      <c r="AS792" s="10">
        <f>IF(Timeline!AS130=1, -(AR815+AS700), MAX(-AR815, IF(AS$4&lt;=0, AS583,(SUM($AA769:AS769)-SUM($Z792:AR792))*Timeline!AS268)))</f>
        <v>0</v>
      </c>
      <c r="AT792" s="10">
        <f>IF(Timeline!AT130=1, -(AS815+AT700), MAX(-AS815, IF(AT$4&lt;=0, AT583,(SUM($AA769:AT769)-SUM($Z792:AS792))*Timeline!AT268)))</f>
        <v>0</v>
      </c>
      <c r="AU792" s="10">
        <f>IF(Timeline!AU130=1, -(AT815+AU700), MAX(-AT815, IF(AU$4&lt;=0, AU583,(SUM($AA769:AU769)-SUM($Z792:AT792))*Timeline!AU268)))</f>
        <v>0</v>
      </c>
      <c r="AV792" s="10">
        <f>IF(Timeline!AV130=1, -(AU815+AV700), MAX(-AU815, IF(AV$4&lt;=0, AV583,(SUM($AA769:AV769)-SUM($Z792:AU792))*Timeline!AV268)))</f>
        <v>0</v>
      </c>
      <c r="AW792" s="10">
        <f>IF(Timeline!AW130=1, -(AV815+AW700), MAX(-AV815, IF(AW$4&lt;=0, AW583,(SUM($AA769:AW769)-SUM($Z792:AV792))*Timeline!AW268)))</f>
        <v>0</v>
      </c>
      <c r="AX792" s="10">
        <f>IF(Timeline!AX130=1, -(AW815+AX700), MAX(-AW815, IF(AX$4&lt;=0, AX583,(SUM($AA769:AX769)-SUM($Z792:AW792))*Timeline!AX268)))</f>
        <v>0</v>
      </c>
      <c r="AY792" s="10">
        <f>IF(Timeline!AY130=1, -(AX815+AY700), MAX(-AX815, IF(AY$4&lt;=0, AY583,(SUM($AA769:AY769)-SUM($Z792:AX792))*Timeline!AY268)))</f>
        <v>0</v>
      </c>
      <c r="AZ792" s="10">
        <f>IF(Timeline!AZ130=1, -(AY815+AZ700), MAX(-AY815, IF(AZ$4&lt;=0, AZ583,(SUM($AA769:AZ769)-SUM($Z792:AY792))*Timeline!AZ268)))</f>
        <v>0</v>
      </c>
      <c r="BA792" s="10">
        <f>IF(Timeline!BA130=1, -(AZ815+BA700), MAX(-AZ815, IF(BA$4&lt;=0, BA583,(SUM($AA769:BA769)-SUM($Z792:AZ792))*Timeline!BA268)))</f>
        <v>0</v>
      </c>
      <c r="BB792" s="10">
        <f>IF(Timeline!BB130=1, -(BA815+BB700), MAX(-BA815, IF(BB$4&lt;=0, BB583,(SUM($AA769:BB769)-SUM($Z792:BA792))*Timeline!BB268)))</f>
        <v>0</v>
      </c>
      <c r="BC792" s="10">
        <f>IF(Timeline!BC130=1, -(BB815+BC700), MAX(-BB815, IF(BC$4&lt;=0, BC583,(SUM($AA769:BC769)-SUM($Z792:BB792))*Timeline!BC268)))</f>
        <v>0</v>
      </c>
      <c r="BD792" s="10">
        <f>IF(Timeline!BD130=1, -(BC815+BD700), MAX(-BC815, IF(BD$4&lt;=0, BD583,(SUM($AA769:BD769)-SUM($Z792:BC792))*Timeline!BD268)))</f>
        <v>0</v>
      </c>
      <c r="BE792" s="10">
        <f>IF(Timeline!BE130=1, -(BD815+BE700), MAX(-BD815, IF(BE$4&lt;=0, BE583,(SUM($AA769:BE769)-SUM($Z792:BD792))*Timeline!BE268)))</f>
        <v>0</v>
      </c>
      <c r="BF792" s="10">
        <f>IF(Timeline!BF130=1, -(BE815+BF700), MAX(-BE815, IF(BF$4&lt;=0, BF583,(SUM($AA769:BF769)-SUM($Z792:BE792))*Timeline!BF268)))</f>
        <v>0</v>
      </c>
      <c r="BG792" s="10">
        <f>IF(Timeline!BG130=1, -(BF815+BG700), MAX(-BF815, IF(BG$4&lt;=0, BG583,(SUM($AA769:BG769)-SUM($Z792:BF792))*Timeline!BG268)))</f>
        <v>0</v>
      </c>
      <c r="BH792" s="10">
        <f>IF(Timeline!BH130=1, -(BG815+BH700), MAX(-BG815, IF(BH$4&lt;=0, BH583,(SUM($AA769:BH769)-SUM($Z792:BG792))*Timeline!BH268)))</f>
        <v>0</v>
      </c>
      <c r="BI792" s="10">
        <f>IF(Timeline!BI130=1, -(BH815+BI700), MAX(-BH815, IF(BI$4&lt;=0, BI583,(SUM($AA769:BI769)-SUM($Z792:BH792))*Timeline!BI268)))</f>
        <v>0</v>
      </c>
      <c r="BJ792" s="10">
        <f>IF(Timeline!BJ130=1, -(BI815+BJ700), MAX(-BI815, IF(BJ$4&lt;=0, BJ583,(SUM($AA769:BJ769)-SUM($Z792:BI792))*Timeline!BJ268)))</f>
        <v>0</v>
      </c>
      <c r="BL792" s="13">
        <f t="shared" si="956"/>
        <v>0</v>
      </c>
      <c r="BM792" s="13">
        <f t="shared" si="957"/>
        <v>0</v>
      </c>
      <c r="BN792" s="13">
        <f t="shared" si="958"/>
        <v>0</v>
      </c>
      <c r="BO792" s="13">
        <f t="shared" si="959"/>
        <v>0</v>
      </c>
      <c r="BP792" s="136"/>
      <c r="BQ792" s="136"/>
      <c r="BR792" s="136"/>
      <c r="BS792" s="136"/>
      <c r="BT792" s="136"/>
      <c r="BU792" s="136"/>
      <c r="BV792" s="136"/>
      <c r="BW792" s="136"/>
      <c r="BY792" s="12"/>
      <c r="BZ792" s="335"/>
      <c r="CA792" s="12"/>
      <c r="CB792" s="335"/>
      <c r="CC792" s="335"/>
      <c r="CD792" s="335"/>
      <c r="CE792" s="335"/>
      <c r="CJ792" s="162"/>
      <c r="CM792" s="335"/>
      <c r="CN792" s="335"/>
      <c r="CO792" s="335"/>
      <c r="CP792" s="335"/>
      <c r="CR792" s="12"/>
      <c r="CT792" s="335"/>
      <c r="CU792" s="335"/>
      <c r="EW792" s="335"/>
      <c r="EX792" s="10" t="str">
        <f t="shared" si="933"/>
        <v/>
      </c>
    </row>
    <row r="793" spans="1:154" s="67" customFormat="1" x14ac:dyDescent="0.25">
      <c r="B793" s="84" t="str" cm="1">
        <f t="array" aca="1" ref="B793" ca="1">HYPERLINK(CONCATENATE("#",CELL("address",$D$332)),$D$332)</f>
        <v>Loan 16</v>
      </c>
      <c r="C793" s="380"/>
      <c r="D793" s="221">
        <f>D$28</f>
        <v>0</v>
      </c>
      <c r="E793" s="60">
        <f>E$28</f>
        <v>0</v>
      </c>
      <c r="G793" s="10">
        <f t="shared" si="953"/>
        <v>0</v>
      </c>
      <c r="H793" s="50" t="s">
        <v>157</v>
      </c>
      <c r="S793" s="335"/>
      <c r="T793" s="335"/>
      <c r="U793" s="335"/>
      <c r="V793" s="13">
        <f t="shared" si="954"/>
        <v>0</v>
      </c>
      <c r="W793" s="215">
        <f t="shared" si="955"/>
        <v>0</v>
      </c>
      <c r="X793" s="215">
        <f t="shared" si="955"/>
        <v>0</v>
      </c>
      <c r="Y793" s="215">
        <f t="shared" si="955"/>
        <v>0</v>
      </c>
      <c r="AA793" s="10">
        <f>IF(Timeline!AA131=1, -(Z816+AA701), MAX(-Z816, IF(AA$4&lt;=0, AA584,(SUM($AA770:AA770)-SUM($Z793:Z793))*Timeline!AA269)))</f>
        <v>0</v>
      </c>
      <c r="AB793" s="10">
        <f>IF(Timeline!AB131=1, -(AA816+AB701), MAX(-AA816, IF(AB$4&lt;=0, AB584,(SUM($AA770:AB770)-SUM($Z793:AA793))*Timeline!AB269)))</f>
        <v>0</v>
      </c>
      <c r="AC793" s="10">
        <f>IF(Timeline!AC131=1, -(AB816+AC701), MAX(-AB816, IF(AC$4&lt;=0, AC584,(SUM($AA770:AC770)-SUM($Z793:AB793))*Timeline!AC269)))</f>
        <v>0</v>
      </c>
      <c r="AD793" s="10">
        <f>IF(Timeline!AD131=1, -(AC816+AD701), MAX(-AC816, IF(AD$4&lt;=0, AD584,(SUM($AA770:AD770)-SUM($Z793:AC793))*Timeline!AD269)))</f>
        <v>0</v>
      </c>
      <c r="AE793" s="10">
        <f>IF(Timeline!AE131=1, -(AD816+AE701), MAX(-AD816, IF(AE$4&lt;=0, AE584,(SUM($AA770:AE770)-SUM($Z793:AD793))*Timeline!AE269)))</f>
        <v>0</v>
      </c>
      <c r="AF793" s="10">
        <f>IF(Timeline!AF131=1, -(AE816+AF701), MAX(-AE816, IF(AF$4&lt;=0, AF584,(SUM($AA770:AF770)-SUM($Z793:AE793))*Timeline!AF269)))</f>
        <v>0</v>
      </c>
      <c r="AG793" s="10">
        <f>IF(Timeline!AG131=1, -(AF816+AG701), MAX(-AF816, IF(AG$4&lt;=0, AG584,(SUM($AA770:AG770)-SUM($Z793:AF793))*Timeline!AG269)))</f>
        <v>0</v>
      </c>
      <c r="AH793" s="10">
        <f>IF(Timeline!AH131=1, -(AG816+AH701), MAX(-AG816, IF(AH$4&lt;=0, AH584,(SUM($AA770:AH770)-SUM($Z793:AG793))*Timeline!AH269)))</f>
        <v>0</v>
      </c>
      <c r="AI793" s="10">
        <f>IF(Timeline!AI131=1, -(AH816+AI701), MAX(-AH816, IF(AI$4&lt;=0, AI584,(SUM($AA770:AI770)-SUM($Z793:AH793))*Timeline!AI269)))</f>
        <v>0</v>
      </c>
      <c r="AJ793" s="10">
        <f>IF(Timeline!AJ131=1, -(AI816+AJ701), MAX(-AI816, IF(AJ$4&lt;=0, AJ584,(SUM($AA770:AJ770)-SUM($Z793:AI793))*Timeline!AJ269)))</f>
        <v>0</v>
      </c>
      <c r="AK793" s="10">
        <f>IF(Timeline!AK131=1, -(AJ816+AK701), MAX(-AJ816, IF(AK$4&lt;=0, AK584,(SUM($AA770:AK770)-SUM($Z793:AJ793))*Timeline!AK269)))</f>
        <v>0</v>
      </c>
      <c r="AL793" s="10">
        <f>IF(Timeline!AL131=1, -(AK816+AL701), MAX(-AK816, IF(AL$4&lt;=0, AL584,(SUM($AA770:AL770)-SUM($Z793:AK793))*Timeline!AL269)))</f>
        <v>0</v>
      </c>
      <c r="AM793" s="10">
        <f>IF(Timeline!AM131=1, -(AL816+AM701), MAX(-AL816, IF(AM$4&lt;=0, AM584,(SUM($AA770:AM770)-SUM($Z793:AL793))*Timeline!AM269)))</f>
        <v>0</v>
      </c>
      <c r="AN793" s="10">
        <f>IF(Timeline!AN131=1, -(AM816+AN701), MAX(-AM816, IF(AN$4&lt;=0, AN584,(SUM($AA770:AN770)-SUM($Z793:AM793))*Timeline!AN269)))</f>
        <v>0</v>
      </c>
      <c r="AO793" s="10">
        <f>IF(Timeline!AO131=1, -(AN816+AO701), MAX(-AN816, IF(AO$4&lt;=0, AO584,(SUM($AA770:AO770)-SUM($Z793:AN793))*Timeline!AO269)))</f>
        <v>0</v>
      </c>
      <c r="AP793" s="10">
        <f>IF(Timeline!AP131=1, -(AO816+AP701), MAX(-AO816, IF(AP$4&lt;=0, AP584,(SUM($AA770:AP770)-SUM($Z793:AO793))*Timeline!AP269)))</f>
        <v>0</v>
      </c>
      <c r="AQ793" s="10">
        <f>IF(Timeline!AQ131=1, -(AP816+AQ701), MAX(-AP816, IF(AQ$4&lt;=0, AQ584,(SUM($AA770:AQ770)-SUM($Z793:AP793))*Timeline!AQ269)))</f>
        <v>0</v>
      </c>
      <c r="AR793" s="10">
        <f>IF(Timeline!AR131=1, -(AQ816+AR701), MAX(-AQ816, IF(AR$4&lt;=0, AR584,(SUM($AA770:AR770)-SUM($Z793:AQ793))*Timeline!AR269)))</f>
        <v>0</v>
      </c>
      <c r="AS793" s="10">
        <f>IF(Timeline!AS131=1, -(AR816+AS701), MAX(-AR816, IF(AS$4&lt;=0, AS584,(SUM($AA770:AS770)-SUM($Z793:AR793))*Timeline!AS269)))</f>
        <v>0</v>
      </c>
      <c r="AT793" s="10">
        <f>IF(Timeline!AT131=1, -(AS816+AT701), MAX(-AS816, IF(AT$4&lt;=0, AT584,(SUM($AA770:AT770)-SUM($Z793:AS793))*Timeline!AT269)))</f>
        <v>0</v>
      </c>
      <c r="AU793" s="10">
        <f>IF(Timeline!AU131=1, -(AT816+AU701), MAX(-AT816, IF(AU$4&lt;=0, AU584,(SUM($AA770:AU770)-SUM($Z793:AT793))*Timeline!AU269)))</f>
        <v>0</v>
      </c>
      <c r="AV793" s="10">
        <f>IF(Timeline!AV131=1, -(AU816+AV701), MAX(-AU816, IF(AV$4&lt;=0, AV584,(SUM($AA770:AV770)-SUM($Z793:AU793))*Timeline!AV269)))</f>
        <v>0</v>
      </c>
      <c r="AW793" s="10">
        <f>IF(Timeline!AW131=1, -(AV816+AW701), MAX(-AV816, IF(AW$4&lt;=0, AW584,(SUM($AA770:AW770)-SUM($Z793:AV793))*Timeline!AW269)))</f>
        <v>0</v>
      </c>
      <c r="AX793" s="10">
        <f>IF(Timeline!AX131=1, -(AW816+AX701), MAX(-AW816, IF(AX$4&lt;=0, AX584,(SUM($AA770:AX770)-SUM($Z793:AW793))*Timeline!AX269)))</f>
        <v>0</v>
      </c>
      <c r="AY793" s="10">
        <f>IF(Timeline!AY131=1, -(AX816+AY701), MAX(-AX816, IF(AY$4&lt;=0, AY584,(SUM($AA770:AY770)-SUM($Z793:AX793))*Timeline!AY269)))</f>
        <v>0</v>
      </c>
      <c r="AZ793" s="10">
        <f>IF(Timeline!AZ131=1, -(AY816+AZ701), MAX(-AY816, IF(AZ$4&lt;=0, AZ584,(SUM($AA770:AZ770)-SUM($Z793:AY793))*Timeline!AZ269)))</f>
        <v>0</v>
      </c>
      <c r="BA793" s="10">
        <f>IF(Timeline!BA131=1, -(AZ816+BA701), MAX(-AZ816, IF(BA$4&lt;=0, BA584,(SUM($AA770:BA770)-SUM($Z793:AZ793))*Timeline!BA269)))</f>
        <v>0</v>
      </c>
      <c r="BB793" s="10">
        <f>IF(Timeline!BB131=1, -(BA816+BB701), MAX(-BA816, IF(BB$4&lt;=0, BB584,(SUM($AA770:BB770)-SUM($Z793:BA793))*Timeline!BB269)))</f>
        <v>0</v>
      </c>
      <c r="BC793" s="10">
        <f>IF(Timeline!BC131=1, -(BB816+BC701), MAX(-BB816, IF(BC$4&lt;=0, BC584,(SUM($AA770:BC770)-SUM($Z793:BB793))*Timeline!BC269)))</f>
        <v>0</v>
      </c>
      <c r="BD793" s="10">
        <f>IF(Timeline!BD131=1, -(BC816+BD701), MAX(-BC816, IF(BD$4&lt;=0, BD584,(SUM($AA770:BD770)-SUM($Z793:BC793))*Timeline!BD269)))</f>
        <v>0</v>
      </c>
      <c r="BE793" s="10">
        <f>IF(Timeline!BE131=1, -(BD816+BE701), MAX(-BD816, IF(BE$4&lt;=0, BE584,(SUM($AA770:BE770)-SUM($Z793:BD793))*Timeline!BE269)))</f>
        <v>0</v>
      </c>
      <c r="BF793" s="10">
        <f>IF(Timeline!BF131=1, -(BE816+BF701), MAX(-BE816, IF(BF$4&lt;=0, BF584,(SUM($AA770:BF770)-SUM($Z793:BE793))*Timeline!BF269)))</f>
        <v>0</v>
      </c>
      <c r="BG793" s="10">
        <f>IF(Timeline!BG131=1, -(BF816+BG701), MAX(-BF816, IF(BG$4&lt;=0, BG584,(SUM($AA770:BG770)-SUM($Z793:BF793))*Timeline!BG269)))</f>
        <v>0</v>
      </c>
      <c r="BH793" s="10">
        <f>IF(Timeline!BH131=1, -(BG816+BH701), MAX(-BG816, IF(BH$4&lt;=0, BH584,(SUM($AA770:BH770)-SUM($Z793:BG793))*Timeline!BH269)))</f>
        <v>0</v>
      </c>
      <c r="BI793" s="10">
        <f>IF(Timeline!BI131=1, -(BH816+BI701), MAX(-BH816, IF(BI$4&lt;=0, BI584,(SUM($AA770:BI770)-SUM($Z793:BH793))*Timeline!BI269)))</f>
        <v>0</v>
      </c>
      <c r="BJ793" s="10">
        <f>IF(Timeline!BJ131=1, -(BI816+BJ701), MAX(-BI816, IF(BJ$4&lt;=0, BJ584,(SUM($AA770:BJ770)-SUM($Z793:BI793))*Timeline!BJ269)))</f>
        <v>0</v>
      </c>
      <c r="BL793" s="13">
        <f t="shared" si="956"/>
        <v>0</v>
      </c>
      <c r="BM793" s="13">
        <f t="shared" si="957"/>
        <v>0</v>
      </c>
      <c r="BN793" s="13">
        <f t="shared" si="958"/>
        <v>0</v>
      </c>
      <c r="BO793" s="13">
        <f t="shared" si="959"/>
        <v>0</v>
      </c>
      <c r="BP793" s="136"/>
      <c r="BQ793" s="136"/>
      <c r="BR793" s="136"/>
      <c r="BS793" s="136"/>
      <c r="BT793" s="136"/>
      <c r="BU793" s="136"/>
      <c r="BV793" s="136"/>
      <c r="BW793" s="136"/>
      <c r="BY793" s="12"/>
      <c r="BZ793" s="335"/>
      <c r="CA793" s="12"/>
      <c r="CB793" s="335"/>
      <c r="CC793" s="335"/>
      <c r="CD793" s="335"/>
      <c r="CE793" s="335"/>
      <c r="CJ793" s="162"/>
      <c r="CM793" s="335"/>
      <c r="CN793" s="335"/>
      <c r="CO793" s="335"/>
      <c r="CP793" s="335"/>
      <c r="CR793" s="12"/>
      <c r="CT793" s="335"/>
      <c r="CU793" s="335"/>
      <c r="EW793" s="335"/>
      <c r="EX793" s="10" t="str">
        <f t="shared" si="933"/>
        <v/>
      </c>
    </row>
    <row r="794" spans="1:154" s="67" customFormat="1" x14ac:dyDescent="0.25">
      <c r="B794" s="84" t="str" cm="1">
        <f t="array" aca="1" ref="B794" ca="1">HYPERLINK(CONCATENATE("#",CELL("address",$D$351)),$D$351)</f>
        <v>Loan 17</v>
      </c>
      <c r="C794" s="380"/>
      <c r="D794" s="221">
        <f>D$29</f>
        <v>0</v>
      </c>
      <c r="E794" s="60">
        <f>E$29</f>
        <v>0</v>
      </c>
      <c r="G794" s="10">
        <f t="shared" si="953"/>
        <v>0</v>
      </c>
      <c r="H794" s="50" t="s">
        <v>157</v>
      </c>
      <c r="S794" s="335"/>
      <c r="T794" s="335"/>
      <c r="U794" s="335"/>
      <c r="V794" s="13">
        <f t="shared" si="954"/>
        <v>0</v>
      </c>
      <c r="W794" s="215">
        <f t="shared" si="955"/>
        <v>0</v>
      </c>
      <c r="X794" s="215">
        <f t="shared" si="955"/>
        <v>0</v>
      </c>
      <c r="Y794" s="215">
        <f t="shared" si="955"/>
        <v>0</v>
      </c>
      <c r="AA794" s="10">
        <f>IF(Timeline!AA132=1, -(Z817+AA702), MAX(-Z817, IF(AA$4&lt;=0, AA585,(SUM($AA771:AA771)-SUM($Z794:Z794))*Timeline!AA270)))</f>
        <v>0</v>
      </c>
      <c r="AB794" s="10">
        <f>IF(Timeline!AB132=1, -(AA817+AB702), MAX(-AA817, IF(AB$4&lt;=0, AB585,(SUM($AA771:AB771)-SUM($Z794:AA794))*Timeline!AB270)))</f>
        <v>0</v>
      </c>
      <c r="AC794" s="10">
        <f>IF(Timeline!AC132=1, -(AB817+AC702), MAX(-AB817, IF(AC$4&lt;=0, AC585,(SUM($AA771:AC771)-SUM($Z794:AB794))*Timeline!AC270)))</f>
        <v>0</v>
      </c>
      <c r="AD794" s="10">
        <f>IF(Timeline!AD132=1, -(AC817+AD702), MAX(-AC817, IF(AD$4&lt;=0, AD585,(SUM($AA771:AD771)-SUM($Z794:AC794))*Timeline!AD270)))</f>
        <v>0</v>
      </c>
      <c r="AE794" s="10">
        <f>IF(Timeline!AE132=1, -(AD817+AE702), MAX(-AD817, IF(AE$4&lt;=0, AE585,(SUM($AA771:AE771)-SUM($Z794:AD794))*Timeline!AE270)))</f>
        <v>0</v>
      </c>
      <c r="AF794" s="10">
        <f>IF(Timeline!AF132=1, -(AE817+AF702), MAX(-AE817, IF(AF$4&lt;=0, AF585,(SUM($AA771:AF771)-SUM($Z794:AE794))*Timeline!AF270)))</f>
        <v>0</v>
      </c>
      <c r="AG794" s="10">
        <f>IF(Timeline!AG132=1, -(AF817+AG702), MAX(-AF817, IF(AG$4&lt;=0, AG585,(SUM($AA771:AG771)-SUM($Z794:AF794))*Timeline!AG270)))</f>
        <v>0</v>
      </c>
      <c r="AH794" s="10">
        <f>IF(Timeline!AH132=1, -(AG817+AH702), MAX(-AG817, IF(AH$4&lt;=0, AH585,(SUM($AA771:AH771)-SUM($Z794:AG794))*Timeline!AH270)))</f>
        <v>0</v>
      </c>
      <c r="AI794" s="10">
        <f>IF(Timeline!AI132=1, -(AH817+AI702), MAX(-AH817, IF(AI$4&lt;=0, AI585,(SUM($AA771:AI771)-SUM($Z794:AH794))*Timeline!AI270)))</f>
        <v>0</v>
      </c>
      <c r="AJ794" s="10">
        <f>IF(Timeline!AJ132=1, -(AI817+AJ702), MAX(-AI817, IF(AJ$4&lt;=0, AJ585,(SUM($AA771:AJ771)-SUM($Z794:AI794))*Timeline!AJ270)))</f>
        <v>0</v>
      </c>
      <c r="AK794" s="10">
        <f>IF(Timeline!AK132=1, -(AJ817+AK702), MAX(-AJ817, IF(AK$4&lt;=0, AK585,(SUM($AA771:AK771)-SUM($Z794:AJ794))*Timeline!AK270)))</f>
        <v>0</v>
      </c>
      <c r="AL794" s="10">
        <f>IF(Timeline!AL132=1, -(AK817+AL702), MAX(-AK817, IF(AL$4&lt;=0, AL585,(SUM($AA771:AL771)-SUM($Z794:AK794))*Timeline!AL270)))</f>
        <v>0</v>
      </c>
      <c r="AM794" s="10">
        <f>IF(Timeline!AM132=1, -(AL817+AM702), MAX(-AL817, IF(AM$4&lt;=0, AM585,(SUM($AA771:AM771)-SUM($Z794:AL794))*Timeline!AM270)))</f>
        <v>0</v>
      </c>
      <c r="AN794" s="10">
        <f>IF(Timeline!AN132=1, -(AM817+AN702), MAX(-AM817, IF(AN$4&lt;=0, AN585,(SUM($AA771:AN771)-SUM($Z794:AM794))*Timeline!AN270)))</f>
        <v>0</v>
      </c>
      <c r="AO794" s="10">
        <f>IF(Timeline!AO132=1, -(AN817+AO702), MAX(-AN817, IF(AO$4&lt;=0, AO585,(SUM($AA771:AO771)-SUM($Z794:AN794))*Timeline!AO270)))</f>
        <v>0</v>
      </c>
      <c r="AP794" s="10">
        <f>IF(Timeline!AP132=1, -(AO817+AP702), MAX(-AO817, IF(AP$4&lt;=0, AP585,(SUM($AA771:AP771)-SUM($Z794:AO794))*Timeline!AP270)))</f>
        <v>0</v>
      </c>
      <c r="AQ794" s="10">
        <f>IF(Timeline!AQ132=1, -(AP817+AQ702), MAX(-AP817, IF(AQ$4&lt;=0, AQ585,(SUM($AA771:AQ771)-SUM($Z794:AP794))*Timeline!AQ270)))</f>
        <v>0</v>
      </c>
      <c r="AR794" s="10">
        <f>IF(Timeline!AR132=1, -(AQ817+AR702), MAX(-AQ817, IF(AR$4&lt;=0, AR585,(SUM($AA771:AR771)-SUM($Z794:AQ794))*Timeline!AR270)))</f>
        <v>0</v>
      </c>
      <c r="AS794" s="10">
        <f>IF(Timeline!AS132=1, -(AR817+AS702), MAX(-AR817, IF(AS$4&lt;=0, AS585,(SUM($AA771:AS771)-SUM($Z794:AR794))*Timeline!AS270)))</f>
        <v>0</v>
      </c>
      <c r="AT794" s="10">
        <f>IF(Timeline!AT132=1, -(AS817+AT702), MAX(-AS817, IF(AT$4&lt;=0, AT585,(SUM($AA771:AT771)-SUM($Z794:AS794))*Timeline!AT270)))</f>
        <v>0</v>
      </c>
      <c r="AU794" s="10">
        <f>IF(Timeline!AU132=1, -(AT817+AU702), MAX(-AT817, IF(AU$4&lt;=0, AU585,(SUM($AA771:AU771)-SUM($Z794:AT794))*Timeline!AU270)))</f>
        <v>0</v>
      </c>
      <c r="AV794" s="10">
        <f>IF(Timeline!AV132=1, -(AU817+AV702), MAX(-AU817, IF(AV$4&lt;=0, AV585,(SUM($AA771:AV771)-SUM($Z794:AU794))*Timeline!AV270)))</f>
        <v>0</v>
      </c>
      <c r="AW794" s="10">
        <f>IF(Timeline!AW132=1, -(AV817+AW702), MAX(-AV817, IF(AW$4&lt;=0, AW585,(SUM($AA771:AW771)-SUM($Z794:AV794))*Timeline!AW270)))</f>
        <v>0</v>
      </c>
      <c r="AX794" s="10">
        <f>IF(Timeline!AX132=1, -(AW817+AX702), MAX(-AW817, IF(AX$4&lt;=0, AX585,(SUM($AA771:AX771)-SUM($Z794:AW794))*Timeline!AX270)))</f>
        <v>0</v>
      </c>
      <c r="AY794" s="10">
        <f>IF(Timeline!AY132=1, -(AX817+AY702), MAX(-AX817, IF(AY$4&lt;=0, AY585,(SUM($AA771:AY771)-SUM($Z794:AX794))*Timeline!AY270)))</f>
        <v>0</v>
      </c>
      <c r="AZ794" s="10">
        <f>IF(Timeline!AZ132=1, -(AY817+AZ702), MAX(-AY817, IF(AZ$4&lt;=0, AZ585,(SUM($AA771:AZ771)-SUM($Z794:AY794))*Timeline!AZ270)))</f>
        <v>0</v>
      </c>
      <c r="BA794" s="10">
        <f>IF(Timeline!BA132=1, -(AZ817+BA702), MAX(-AZ817, IF(BA$4&lt;=0, BA585,(SUM($AA771:BA771)-SUM($Z794:AZ794))*Timeline!BA270)))</f>
        <v>0</v>
      </c>
      <c r="BB794" s="10">
        <f>IF(Timeline!BB132=1, -(BA817+BB702), MAX(-BA817, IF(BB$4&lt;=0, BB585,(SUM($AA771:BB771)-SUM($Z794:BA794))*Timeline!BB270)))</f>
        <v>0</v>
      </c>
      <c r="BC794" s="10">
        <f>IF(Timeline!BC132=1, -(BB817+BC702), MAX(-BB817, IF(BC$4&lt;=0, BC585,(SUM($AA771:BC771)-SUM($Z794:BB794))*Timeline!BC270)))</f>
        <v>0</v>
      </c>
      <c r="BD794" s="10">
        <f>IF(Timeline!BD132=1, -(BC817+BD702), MAX(-BC817, IF(BD$4&lt;=0, BD585,(SUM($AA771:BD771)-SUM($Z794:BC794))*Timeline!BD270)))</f>
        <v>0</v>
      </c>
      <c r="BE794" s="10">
        <f>IF(Timeline!BE132=1, -(BD817+BE702), MAX(-BD817, IF(BE$4&lt;=0, BE585,(SUM($AA771:BE771)-SUM($Z794:BD794))*Timeline!BE270)))</f>
        <v>0</v>
      </c>
      <c r="BF794" s="10">
        <f>IF(Timeline!BF132=1, -(BE817+BF702), MAX(-BE817, IF(BF$4&lt;=0, BF585,(SUM($AA771:BF771)-SUM($Z794:BE794))*Timeline!BF270)))</f>
        <v>0</v>
      </c>
      <c r="BG794" s="10">
        <f>IF(Timeline!BG132=1, -(BF817+BG702), MAX(-BF817, IF(BG$4&lt;=0, BG585,(SUM($AA771:BG771)-SUM($Z794:BF794))*Timeline!BG270)))</f>
        <v>0</v>
      </c>
      <c r="BH794" s="10">
        <f>IF(Timeline!BH132=1, -(BG817+BH702), MAX(-BG817, IF(BH$4&lt;=0, BH585,(SUM($AA771:BH771)-SUM($Z794:BG794))*Timeline!BH270)))</f>
        <v>0</v>
      </c>
      <c r="BI794" s="10">
        <f>IF(Timeline!BI132=1, -(BH817+BI702), MAX(-BH817, IF(BI$4&lt;=0, BI585,(SUM($AA771:BI771)-SUM($Z794:BH794))*Timeline!BI270)))</f>
        <v>0</v>
      </c>
      <c r="BJ794" s="10">
        <f>IF(Timeline!BJ132=1, -(BI817+BJ702), MAX(-BI817, IF(BJ$4&lt;=0, BJ585,(SUM($AA771:BJ771)-SUM($Z794:BI794))*Timeline!BJ270)))</f>
        <v>0</v>
      </c>
      <c r="BL794" s="13">
        <f t="shared" si="956"/>
        <v>0</v>
      </c>
      <c r="BM794" s="13">
        <f t="shared" si="957"/>
        <v>0</v>
      </c>
      <c r="BN794" s="13">
        <f t="shared" si="958"/>
        <v>0</v>
      </c>
      <c r="BO794" s="13">
        <f t="shared" si="959"/>
        <v>0</v>
      </c>
      <c r="BP794" s="136"/>
      <c r="BQ794" s="136"/>
      <c r="BR794" s="136"/>
      <c r="BS794" s="136"/>
      <c r="BT794" s="136"/>
      <c r="BU794" s="136"/>
      <c r="BV794" s="136"/>
      <c r="BW794" s="136"/>
      <c r="BY794" s="12"/>
      <c r="BZ794" s="335"/>
      <c r="CA794" s="12"/>
      <c r="CB794" s="335"/>
      <c r="CC794" s="335"/>
      <c r="CD794" s="335"/>
      <c r="CE794" s="335"/>
      <c r="CJ794" s="162"/>
      <c r="CM794" s="335"/>
      <c r="CN794" s="335"/>
      <c r="CO794" s="335"/>
      <c r="CP794" s="335"/>
      <c r="CR794" s="12"/>
      <c r="CT794" s="335"/>
      <c r="CU794" s="335"/>
      <c r="EW794" s="335"/>
      <c r="EX794" s="10" t="str">
        <f t="shared" si="933"/>
        <v/>
      </c>
    </row>
    <row r="795" spans="1:154" s="67" customFormat="1" x14ac:dyDescent="0.25">
      <c r="B795" s="84" t="str" cm="1">
        <f t="array" aca="1" ref="B795" ca="1">HYPERLINK(CONCATENATE("#",CELL("address",$D$370)),$D$370)</f>
        <v>Loan 18</v>
      </c>
      <c r="C795" s="380"/>
      <c r="D795" s="221">
        <f>D$30</f>
        <v>0</v>
      </c>
      <c r="E795" s="60">
        <f>E$30</f>
        <v>0</v>
      </c>
      <c r="G795" s="10">
        <f t="shared" si="953"/>
        <v>0</v>
      </c>
      <c r="H795" s="50" t="s">
        <v>157</v>
      </c>
      <c r="S795" s="335"/>
      <c r="T795" s="335"/>
      <c r="U795" s="335"/>
      <c r="V795" s="13">
        <f t="shared" si="954"/>
        <v>0</v>
      </c>
      <c r="W795" s="215">
        <f t="shared" si="955"/>
        <v>0</v>
      </c>
      <c r="X795" s="215">
        <f t="shared" si="955"/>
        <v>0</v>
      </c>
      <c r="Y795" s="215">
        <f t="shared" si="955"/>
        <v>0</v>
      </c>
      <c r="AA795" s="10">
        <f>IF(Timeline!AA133=1, -(Z818+AA703), MAX(-Z818, IF(AA$4&lt;=0, AA586,(SUM($AA772:AA772)-SUM($Z795:Z795))*Timeline!AA271)))</f>
        <v>0</v>
      </c>
      <c r="AB795" s="10">
        <f>IF(Timeline!AB133=1, -(AA818+AB703), MAX(-AA818, IF(AB$4&lt;=0, AB586,(SUM($AA772:AB772)-SUM($Z795:AA795))*Timeline!AB271)))</f>
        <v>0</v>
      </c>
      <c r="AC795" s="10">
        <f>IF(Timeline!AC133=1, -(AB818+AC703), MAX(-AB818, IF(AC$4&lt;=0, AC586,(SUM($AA772:AC772)-SUM($Z795:AB795))*Timeline!AC271)))</f>
        <v>0</v>
      </c>
      <c r="AD795" s="10">
        <f>IF(Timeline!AD133=1, -(AC818+AD703), MAX(-AC818, IF(AD$4&lt;=0, AD586,(SUM($AA772:AD772)-SUM($Z795:AC795))*Timeline!AD271)))</f>
        <v>0</v>
      </c>
      <c r="AE795" s="10">
        <f>IF(Timeline!AE133=1, -(AD818+AE703), MAX(-AD818, IF(AE$4&lt;=0, AE586,(SUM($AA772:AE772)-SUM($Z795:AD795))*Timeline!AE271)))</f>
        <v>0</v>
      </c>
      <c r="AF795" s="10">
        <f>IF(Timeline!AF133=1, -(AE818+AF703), MAX(-AE818, IF(AF$4&lt;=0, AF586,(SUM($AA772:AF772)-SUM($Z795:AE795))*Timeline!AF271)))</f>
        <v>0</v>
      </c>
      <c r="AG795" s="10">
        <f>IF(Timeline!AG133=1, -(AF818+AG703), MAX(-AF818, IF(AG$4&lt;=0, AG586,(SUM($AA772:AG772)-SUM($Z795:AF795))*Timeline!AG271)))</f>
        <v>0</v>
      </c>
      <c r="AH795" s="10">
        <f>IF(Timeline!AH133=1, -(AG818+AH703), MAX(-AG818, IF(AH$4&lt;=0, AH586,(SUM($AA772:AH772)-SUM($Z795:AG795))*Timeline!AH271)))</f>
        <v>0</v>
      </c>
      <c r="AI795" s="10">
        <f>IF(Timeline!AI133=1, -(AH818+AI703), MAX(-AH818, IF(AI$4&lt;=0, AI586,(SUM($AA772:AI772)-SUM($Z795:AH795))*Timeline!AI271)))</f>
        <v>0</v>
      </c>
      <c r="AJ795" s="10">
        <f>IF(Timeline!AJ133=1, -(AI818+AJ703), MAX(-AI818, IF(AJ$4&lt;=0, AJ586,(SUM($AA772:AJ772)-SUM($Z795:AI795))*Timeline!AJ271)))</f>
        <v>0</v>
      </c>
      <c r="AK795" s="10">
        <f>IF(Timeline!AK133=1, -(AJ818+AK703), MAX(-AJ818, IF(AK$4&lt;=0, AK586,(SUM($AA772:AK772)-SUM($Z795:AJ795))*Timeline!AK271)))</f>
        <v>0</v>
      </c>
      <c r="AL795" s="10">
        <f>IF(Timeline!AL133=1, -(AK818+AL703), MAX(-AK818, IF(AL$4&lt;=0, AL586,(SUM($AA772:AL772)-SUM($Z795:AK795))*Timeline!AL271)))</f>
        <v>0</v>
      </c>
      <c r="AM795" s="10">
        <f>IF(Timeline!AM133=1, -(AL818+AM703), MAX(-AL818, IF(AM$4&lt;=0, AM586,(SUM($AA772:AM772)-SUM($Z795:AL795))*Timeline!AM271)))</f>
        <v>0</v>
      </c>
      <c r="AN795" s="10">
        <f>IF(Timeline!AN133=1, -(AM818+AN703), MAX(-AM818, IF(AN$4&lt;=0, AN586,(SUM($AA772:AN772)-SUM($Z795:AM795))*Timeline!AN271)))</f>
        <v>0</v>
      </c>
      <c r="AO795" s="10">
        <f>IF(Timeline!AO133=1, -(AN818+AO703), MAX(-AN818, IF(AO$4&lt;=0, AO586,(SUM($AA772:AO772)-SUM($Z795:AN795))*Timeline!AO271)))</f>
        <v>0</v>
      </c>
      <c r="AP795" s="10">
        <f>IF(Timeline!AP133=1, -(AO818+AP703), MAX(-AO818, IF(AP$4&lt;=0, AP586,(SUM($AA772:AP772)-SUM($Z795:AO795))*Timeline!AP271)))</f>
        <v>0</v>
      </c>
      <c r="AQ795" s="10">
        <f>IF(Timeline!AQ133=1, -(AP818+AQ703), MAX(-AP818, IF(AQ$4&lt;=0, AQ586,(SUM($AA772:AQ772)-SUM($Z795:AP795))*Timeline!AQ271)))</f>
        <v>0</v>
      </c>
      <c r="AR795" s="10">
        <f>IF(Timeline!AR133=1, -(AQ818+AR703), MAX(-AQ818, IF(AR$4&lt;=0, AR586,(SUM($AA772:AR772)-SUM($Z795:AQ795))*Timeline!AR271)))</f>
        <v>0</v>
      </c>
      <c r="AS795" s="10">
        <f>IF(Timeline!AS133=1, -(AR818+AS703), MAX(-AR818, IF(AS$4&lt;=0, AS586,(SUM($AA772:AS772)-SUM($Z795:AR795))*Timeline!AS271)))</f>
        <v>0</v>
      </c>
      <c r="AT795" s="10">
        <f>IF(Timeline!AT133=1, -(AS818+AT703), MAX(-AS818, IF(AT$4&lt;=0, AT586,(SUM($AA772:AT772)-SUM($Z795:AS795))*Timeline!AT271)))</f>
        <v>0</v>
      </c>
      <c r="AU795" s="10">
        <f>IF(Timeline!AU133=1, -(AT818+AU703), MAX(-AT818, IF(AU$4&lt;=0, AU586,(SUM($AA772:AU772)-SUM($Z795:AT795))*Timeline!AU271)))</f>
        <v>0</v>
      </c>
      <c r="AV795" s="10">
        <f>IF(Timeline!AV133=1, -(AU818+AV703), MAX(-AU818, IF(AV$4&lt;=0, AV586,(SUM($AA772:AV772)-SUM($Z795:AU795))*Timeline!AV271)))</f>
        <v>0</v>
      </c>
      <c r="AW795" s="10">
        <f>IF(Timeline!AW133=1, -(AV818+AW703), MAX(-AV818, IF(AW$4&lt;=0, AW586,(SUM($AA772:AW772)-SUM($Z795:AV795))*Timeline!AW271)))</f>
        <v>0</v>
      </c>
      <c r="AX795" s="10">
        <f>IF(Timeline!AX133=1, -(AW818+AX703), MAX(-AW818, IF(AX$4&lt;=0, AX586,(SUM($AA772:AX772)-SUM($Z795:AW795))*Timeline!AX271)))</f>
        <v>0</v>
      </c>
      <c r="AY795" s="10">
        <f>IF(Timeline!AY133=1, -(AX818+AY703), MAX(-AX818, IF(AY$4&lt;=0, AY586,(SUM($AA772:AY772)-SUM($Z795:AX795))*Timeline!AY271)))</f>
        <v>0</v>
      </c>
      <c r="AZ795" s="10">
        <f>IF(Timeline!AZ133=1, -(AY818+AZ703), MAX(-AY818, IF(AZ$4&lt;=0, AZ586,(SUM($AA772:AZ772)-SUM($Z795:AY795))*Timeline!AZ271)))</f>
        <v>0</v>
      </c>
      <c r="BA795" s="10">
        <f>IF(Timeline!BA133=1, -(AZ818+BA703), MAX(-AZ818, IF(BA$4&lt;=0, BA586,(SUM($AA772:BA772)-SUM($Z795:AZ795))*Timeline!BA271)))</f>
        <v>0</v>
      </c>
      <c r="BB795" s="10">
        <f>IF(Timeline!BB133=1, -(BA818+BB703), MAX(-BA818, IF(BB$4&lt;=0, BB586,(SUM($AA772:BB772)-SUM($Z795:BA795))*Timeline!BB271)))</f>
        <v>0</v>
      </c>
      <c r="BC795" s="10">
        <f>IF(Timeline!BC133=1, -(BB818+BC703), MAX(-BB818, IF(BC$4&lt;=0, BC586,(SUM($AA772:BC772)-SUM($Z795:BB795))*Timeline!BC271)))</f>
        <v>0</v>
      </c>
      <c r="BD795" s="10">
        <f>IF(Timeline!BD133=1, -(BC818+BD703), MAX(-BC818, IF(BD$4&lt;=0, BD586,(SUM($AA772:BD772)-SUM($Z795:BC795))*Timeline!BD271)))</f>
        <v>0</v>
      </c>
      <c r="BE795" s="10">
        <f>IF(Timeline!BE133=1, -(BD818+BE703), MAX(-BD818, IF(BE$4&lt;=0, BE586,(SUM($AA772:BE772)-SUM($Z795:BD795))*Timeline!BE271)))</f>
        <v>0</v>
      </c>
      <c r="BF795" s="10">
        <f>IF(Timeline!BF133=1, -(BE818+BF703), MAX(-BE818, IF(BF$4&lt;=0, BF586,(SUM($AA772:BF772)-SUM($Z795:BE795))*Timeline!BF271)))</f>
        <v>0</v>
      </c>
      <c r="BG795" s="10">
        <f>IF(Timeline!BG133=1, -(BF818+BG703), MAX(-BF818, IF(BG$4&lt;=0, BG586,(SUM($AA772:BG772)-SUM($Z795:BF795))*Timeline!BG271)))</f>
        <v>0</v>
      </c>
      <c r="BH795" s="10">
        <f>IF(Timeline!BH133=1, -(BG818+BH703), MAX(-BG818, IF(BH$4&lt;=0, BH586,(SUM($AA772:BH772)-SUM($Z795:BG795))*Timeline!BH271)))</f>
        <v>0</v>
      </c>
      <c r="BI795" s="10">
        <f>IF(Timeline!BI133=1, -(BH818+BI703), MAX(-BH818, IF(BI$4&lt;=0, BI586,(SUM($AA772:BI772)-SUM($Z795:BH795))*Timeline!BI271)))</f>
        <v>0</v>
      </c>
      <c r="BJ795" s="10">
        <f>IF(Timeline!BJ133=1, -(BI818+BJ703), MAX(-BI818, IF(BJ$4&lt;=0, BJ586,(SUM($AA772:BJ772)-SUM($Z795:BI795))*Timeline!BJ271)))</f>
        <v>0</v>
      </c>
      <c r="BL795" s="13">
        <f t="shared" si="956"/>
        <v>0</v>
      </c>
      <c r="BM795" s="13">
        <f t="shared" si="957"/>
        <v>0</v>
      </c>
      <c r="BN795" s="13">
        <f t="shared" si="958"/>
        <v>0</v>
      </c>
      <c r="BO795" s="13">
        <f t="shared" si="959"/>
        <v>0</v>
      </c>
      <c r="BP795" s="136"/>
      <c r="BQ795" s="136"/>
      <c r="BR795" s="136"/>
      <c r="BS795" s="136"/>
      <c r="BT795" s="136"/>
      <c r="BU795" s="136"/>
      <c r="BV795" s="136"/>
      <c r="BW795" s="136"/>
      <c r="BY795" s="12"/>
      <c r="BZ795" s="335"/>
      <c r="CA795" s="12"/>
      <c r="CB795" s="335"/>
      <c r="CC795" s="335"/>
      <c r="CD795" s="335"/>
      <c r="CE795" s="335"/>
      <c r="CJ795" s="162"/>
      <c r="CM795" s="335"/>
      <c r="CN795" s="335"/>
      <c r="CO795" s="335"/>
      <c r="CP795" s="335"/>
      <c r="CR795" s="12"/>
      <c r="CT795" s="335"/>
      <c r="CU795" s="335"/>
      <c r="EW795" s="335"/>
      <c r="EX795" s="10" t="str">
        <f t="shared" si="933"/>
        <v/>
      </c>
    </row>
    <row r="796" spans="1:154" s="67" customFormat="1" x14ac:dyDescent="0.25">
      <c r="B796" s="84" t="str" cm="1">
        <f t="array" aca="1" ref="B796" ca="1">HYPERLINK(CONCATENATE("#",CELL("address",$D$389)),$D$389)</f>
        <v>Loan 19</v>
      </c>
      <c r="C796" s="380"/>
      <c r="D796" s="221">
        <f>D$31</f>
        <v>0</v>
      </c>
      <c r="E796" s="60">
        <f>E$31</f>
        <v>0</v>
      </c>
      <c r="G796" s="10">
        <f t="shared" si="953"/>
        <v>0</v>
      </c>
      <c r="H796" s="50" t="s">
        <v>157</v>
      </c>
      <c r="S796" s="335"/>
      <c r="T796" s="335"/>
      <c r="U796" s="335"/>
      <c r="V796" s="13">
        <f t="shared" si="954"/>
        <v>0</v>
      </c>
      <c r="W796" s="215">
        <f t="shared" si="955"/>
        <v>0</v>
      </c>
      <c r="X796" s="215">
        <f t="shared" si="955"/>
        <v>0</v>
      </c>
      <c r="Y796" s="215">
        <f t="shared" si="955"/>
        <v>0</v>
      </c>
      <c r="AA796" s="10">
        <f>IF(Timeline!AA134=1, -(Z819+AA704), MAX(-Z819, IF(AA$4&lt;=0, AA587,(SUM($AA773:AA773)-SUM($Z796:Z796))*Timeline!AA272)))</f>
        <v>0</v>
      </c>
      <c r="AB796" s="10">
        <f>IF(Timeline!AB134=1, -(AA819+AB704), MAX(-AA819, IF(AB$4&lt;=0, AB587,(SUM($AA773:AB773)-SUM($Z796:AA796))*Timeline!AB272)))</f>
        <v>0</v>
      </c>
      <c r="AC796" s="10">
        <f>IF(Timeline!AC134=1, -(AB819+AC704), MAX(-AB819, IF(AC$4&lt;=0, AC587,(SUM($AA773:AC773)-SUM($Z796:AB796))*Timeline!AC272)))</f>
        <v>0</v>
      </c>
      <c r="AD796" s="10">
        <f>IF(Timeline!AD134=1, -(AC819+AD704), MAX(-AC819, IF(AD$4&lt;=0, AD587,(SUM($AA773:AD773)-SUM($Z796:AC796))*Timeline!AD272)))</f>
        <v>0</v>
      </c>
      <c r="AE796" s="10">
        <f>IF(Timeline!AE134=1, -(AD819+AE704), MAX(-AD819, IF(AE$4&lt;=0, AE587,(SUM($AA773:AE773)-SUM($Z796:AD796))*Timeline!AE272)))</f>
        <v>0</v>
      </c>
      <c r="AF796" s="10">
        <f>IF(Timeline!AF134=1, -(AE819+AF704), MAX(-AE819, IF(AF$4&lt;=0, AF587,(SUM($AA773:AF773)-SUM($Z796:AE796))*Timeline!AF272)))</f>
        <v>0</v>
      </c>
      <c r="AG796" s="10">
        <f>IF(Timeline!AG134=1, -(AF819+AG704), MAX(-AF819, IF(AG$4&lt;=0, AG587,(SUM($AA773:AG773)-SUM($Z796:AF796))*Timeline!AG272)))</f>
        <v>0</v>
      </c>
      <c r="AH796" s="10">
        <f>IF(Timeline!AH134=1, -(AG819+AH704), MAX(-AG819, IF(AH$4&lt;=0, AH587,(SUM($AA773:AH773)-SUM($Z796:AG796))*Timeline!AH272)))</f>
        <v>0</v>
      </c>
      <c r="AI796" s="10">
        <f>IF(Timeline!AI134=1, -(AH819+AI704), MAX(-AH819, IF(AI$4&lt;=0, AI587,(SUM($AA773:AI773)-SUM($Z796:AH796))*Timeline!AI272)))</f>
        <v>0</v>
      </c>
      <c r="AJ796" s="10">
        <f>IF(Timeline!AJ134=1, -(AI819+AJ704), MAX(-AI819, IF(AJ$4&lt;=0, AJ587,(SUM($AA773:AJ773)-SUM($Z796:AI796))*Timeline!AJ272)))</f>
        <v>0</v>
      </c>
      <c r="AK796" s="10">
        <f>IF(Timeline!AK134=1, -(AJ819+AK704), MAX(-AJ819, IF(AK$4&lt;=0, AK587,(SUM($AA773:AK773)-SUM($Z796:AJ796))*Timeline!AK272)))</f>
        <v>0</v>
      </c>
      <c r="AL796" s="10">
        <f>IF(Timeline!AL134=1, -(AK819+AL704), MAX(-AK819, IF(AL$4&lt;=0, AL587,(SUM($AA773:AL773)-SUM($Z796:AK796))*Timeline!AL272)))</f>
        <v>0</v>
      </c>
      <c r="AM796" s="10">
        <f>IF(Timeline!AM134=1, -(AL819+AM704), MAX(-AL819, IF(AM$4&lt;=0, AM587,(SUM($AA773:AM773)-SUM($Z796:AL796))*Timeline!AM272)))</f>
        <v>0</v>
      </c>
      <c r="AN796" s="10">
        <f>IF(Timeline!AN134=1, -(AM819+AN704), MAX(-AM819, IF(AN$4&lt;=0, AN587,(SUM($AA773:AN773)-SUM($Z796:AM796))*Timeline!AN272)))</f>
        <v>0</v>
      </c>
      <c r="AO796" s="10">
        <f>IF(Timeline!AO134=1, -(AN819+AO704), MAX(-AN819, IF(AO$4&lt;=0, AO587,(SUM($AA773:AO773)-SUM($Z796:AN796))*Timeline!AO272)))</f>
        <v>0</v>
      </c>
      <c r="AP796" s="10">
        <f>IF(Timeline!AP134=1, -(AO819+AP704), MAX(-AO819, IF(AP$4&lt;=0, AP587,(SUM($AA773:AP773)-SUM($Z796:AO796))*Timeline!AP272)))</f>
        <v>0</v>
      </c>
      <c r="AQ796" s="10">
        <f>IF(Timeline!AQ134=1, -(AP819+AQ704), MAX(-AP819, IF(AQ$4&lt;=0, AQ587,(SUM($AA773:AQ773)-SUM($Z796:AP796))*Timeline!AQ272)))</f>
        <v>0</v>
      </c>
      <c r="AR796" s="10">
        <f>IF(Timeline!AR134=1, -(AQ819+AR704), MAX(-AQ819, IF(AR$4&lt;=0, AR587,(SUM($AA773:AR773)-SUM($Z796:AQ796))*Timeline!AR272)))</f>
        <v>0</v>
      </c>
      <c r="AS796" s="10">
        <f>IF(Timeline!AS134=1, -(AR819+AS704), MAX(-AR819, IF(AS$4&lt;=0, AS587,(SUM($AA773:AS773)-SUM($Z796:AR796))*Timeline!AS272)))</f>
        <v>0</v>
      </c>
      <c r="AT796" s="10">
        <f>IF(Timeline!AT134=1, -(AS819+AT704), MAX(-AS819, IF(AT$4&lt;=0, AT587,(SUM($AA773:AT773)-SUM($Z796:AS796))*Timeline!AT272)))</f>
        <v>0</v>
      </c>
      <c r="AU796" s="10">
        <f>IF(Timeline!AU134=1, -(AT819+AU704), MAX(-AT819, IF(AU$4&lt;=0, AU587,(SUM($AA773:AU773)-SUM($Z796:AT796))*Timeline!AU272)))</f>
        <v>0</v>
      </c>
      <c r="AV796" s="10">
        <f>IF(Timeline!AV134=1, -(AU819+AV704), MAX(-AU819, IF(AV$4&lt;=0, AV587,(SUM($AA773:AV773)-SUM($Z796:AU796))*Timeline!AV272)))</f>
        <v>0</v>
      </c>
      <c r="AW796" s="10">
        <f>IF(Timeline!AW134=1, -(AV819+AW704), MAX(-AV819, IF(AW$4&lt;=0, AW587,(SUM($AA773:AW773)-SUM($Z796:AV796))*Timeline!AW272)))</f>
        <v>0</v>
      </c>
      <c r="AX796" s="10">
        <f>IF(Timeline!AX134=1, -(AW819+AX704), MAX(-AW819, IF(AX$4&lt;=0, AX587,(SUM($AA773:AX773)-SUM($Z796:AW796))*Timeline!AX272)))</f>
        <v>0</v>
      </c>
      <c r="AY796" s="10">
        <f>IF(Timeline!AY134=1, -(AX819+AY704), MAX(-AX819, IF(AY$4&lt;=0, AY587,(SUM($AA773:AY773)-SUM($Z796:AX796))*Timeline!AY272)))</f>
        <v>0</v>
      </c>
      <c r="AZ796" s="10">
        <f>IF(Timeline!AZ134=1, -(AY819+AZ704), MAX(-AY819, IF(AZ$4&lt;=0, AZ587,(SUM($AA773:AZ773)-SUM($Z796:AY796))*Timeline!AZ272)))</f>
        <v>0</v>
      </c>
      <c r="BA796" s="10">
        <f>IF(Timeline!BA134=1, -(AZ819+BA704), MAX(-AZ819, IF(BA$4&lt;=0, BA587,(SUM($AA773:BA773)-SUM($Z796:AZ796))*Timeline!BA272)))</f>
        <v>0</v>
      </c>
      <c r="BB796" s="10">
        <f>IF(Timeline!BB134=1, -(BA819+BB704), MAX(-BA819, IF(BB$4&lt;=0, BB587,(SUM($AA773:BB773)-SUM($Z796:BA796))*Timeline!BB272)))</f>
        <v>0</v>
      </c>
      <c r="BC796" s="10">
        <f>IF(Timeline!BC134=1, -(BB819+BC704), MAX(-BB819, IF(BC$4&lt;=0, BC587,(SUM($AA773:BC773)-SUM($Z796:BB796))*Timeline!BC272)))</f>
        <v>0</v>
      </c>
      <c r="BD796" s="10">
        <f>IF(Timeline!BD134=1, -(BC819+BD704), MAX(-BC819, IF(BD$4&lt;=0, BD587,(SUM($AA773:BD773)-SUM($Z796:BC796))*Timeline!BD272)))</f>
        <v>0</v>
      </c>
      <c r="BE796" s="10">
        <f>IF(Timeline!BE134=1, -(BD819+BE704), MAX(-BD819, IF(BE$4&lt;=0, BE587,(SUM($AA773:BE773)-SUM($Z796:BD796))*Timeline!BE272)))</f>
        <v>0</v>
      </c>
      <c r="BF796" s="10">
        <f>IF(Timeline!BF134=1, -(BE819+BF704), MAX(-BE819, IF(BF$4&lt;=0, BF587,(SUM($AA773:BF773)-SUM($Z796:BE796))*Timeline!BF272)))</f>
        <v>0</v>
      </c>
      <c r="BG796" s="10">
        <f>IF(Timeline!BG134=1, -(BF819+BG704), MAX(-BF819, IF(BG$4&lt;=0, BG587,(SUM($AA773:BG773)-SUM($Z796:BF796))*Timeline!BG272)))</f>
        <v>0</v>
      </c>
      <c r="BH796" s="10">
        <f>IF(Timeline!BH134=1, -(BG819+BH704), MAX(-BG819, IF(BH$4&lt;=0, BH587,(SUM($AA773:BH773)-SUM($Z796:BG796))*Timeline!BH272)))</f>
        <v>0</v>
      </c>
      <c r="BI796" s="10">
        <f>IF(Timeline!BI134=1, -(BH819+BI704), MAX(-BH819, IF(BI$4&lt;=0, BI587,(SUM($AA773:BI773)-SUM($Z796:BH796))*Timeline!BI272)))</f>
        <v>0</v>
      </c>
      <c r="BJ796" s="10">
        <f>IF(Timeline!BJ134=1, -(BI819+BJ704), MAX(-BI819, IF(BJ$4&lt;=0, BJ587,(SUM($AA773:BJ773)-SUM($Z796:BI796))*Timeline!BJ272)))</f>
        <v>0</v>
      </c>
      <c r="BL796" s="13">
        <f t="shared" si="956"/>
        <v>0</v>
      </c>
      <c r="BM796" s="13">
        <f t="shared" si="957"/>
        <v>0</v>
      </c>
      <c r="BN796" s="13">
        <f t="shared" si="958"/>
        <v>0</v>
      </c>
      <c r="BO796" s="13">
        <f t="shared" si="959"/>
        <v>0</v>
      </c>
      <c r="BP796" s="136"/>
      <c r="BQ796" s="136"/>
      <c r="BR796" s="136"/>
      <c r="BS796" s="136"/>
      <c r="BT796" s="136"/>
      <c r="BU796" s="136"/>
      <c r="BV796" s="136"/>
      <c r="BW796" s="136"/>
      <c r="BY796" s="12"/>
      <c r="BZ796" s="335"/>
      <c r="CA796" s="12"/>
      <c r="CB796" s="335"/>
      <c r="CC796" s="335"/>
      <c r="CD796" s="335"/>
      <c r="CE796" s="335"/>
      <c r="CJ796" s="162"/>
      <c r="CM796" s="335"/>
      <c r="CN796" s="335"/>
      <c r="CO796" s="335"/>
      <c r="CP796" s="335"/>
      <c r="CR796" s="12"/>
      <c r="CT796" s="335"/>
      <c r="CU796" s="335"/>
      <c r="EW796" s="335"/>
      <c r="EX796" s="10" t="str">
        <f t="shared" si="933"/>
        <v/>
      </c>
    </row>
    <row r="797" spans="1:154" s="67" customFormat="1" x14ac:dyDescent="0.25">
      <c r="B797" s="84" t="str" cm="1">
        <f t="array" aca="1" ref="B797" ca="1">HYPERLINK(CONCATENATE("#",CELL("address",$D$408)),$D$408)</f>
        <v>Loan 20</v>
      </c>
      <c r="C797" s="380"/>
      <c r="D797" s="221">
        <f>D$32</f>
        <v>0</v>
      </c>
      <c r="E797" s="60">
        <f>E$32</f>
        <v>0</v>
      </c>
      <c r="G797" s="10">
        <f t="shared" si="953"/>
        <v>0</v>
      </c>
      <c r="H797" s="50" t="s">
        <v>157</v>
      </c>
      <c r="S797" s="335"/>
      <c r="T797" s="335"/>
      <c r="U797" s="335"/>
      <c r="V797" s="13">
        <f t="shared" si="954"/>
        <v>0</v>
      </c>
      <c r="W797" s="215">
        <f t="shared" si="955"/>
        <v>0</v>
      </c>
      <c r="X797" s="215">
        <f t="shared" si="955"/>
        <v>0</v>
      </c>
      <c r="Y797" s="215">
        <f t="shared" si="955"/>
        <v>0</v>
      </c>
      <c r="AA797" s="10">
        <f>IF(Timeline!AA135=1, -(Z820+AA705), MAX(-Z820, IF(AA$4&lt;=0, AA588,(SUM($AA774:AA774)-SUM($Z797:Z797))*Timeline!AA273)))</f>
        <v>0</v>
      </c>
      <c r="AB797" s="10">
        <f>IF(Timeline!AB135=1, -(AA820+AB705), MAX(-AA820, IF(AB$4&lt;=0, AB588,(SUM($AA774:AB774)-SUM($Z797:AA797))*Timeline!AB273)))</f>
        <v>0</v>
      </c>
      <c r="AC797" s="10">
        <f>IF(Timeline!AC135=1, -(AB820+AC705), MAX(-AB820, IF(AC$4&lt;=0, AC588,(SUM($AA774:AC774)-SUM($Z797:AB797))*Timeline!AC273)))</f>
        <v>0</v>
      </c>
      <c r="AD797" s="10">
        <f>IF(Timeline!AD135=1, -(AC820+AD705), MAX(-AC820, IF(AD$4&lt;=0, AD588,(SUM($AA774:AD774)-SUM($Z797:AC797))*Timeline!AD273)))</f>
        <v>0</v>
      </c>
      <c r="AE797" s="10">
        <f>IF(Timeline!AE135=1, -(AD820+AE705), MAX(-AD820, IF(AE$4&lt;=0, AE588,(SUM($AA774:AE774)-SUM($Z797:AD797))*Timeline!AE273)))</f>
        <v>0</v>
      </c>
      <c r="AF797" s="10">
        <f>IF(Timeline!AF135=1, -(AE820+AF705), MAX(-AE820, IF(AF$4&lt;=0, AF588,(SUM($AA774:AF774)-SUM($Z797:AE797))*Timeline!AF273)))</f>
        <v>0</v>
      </c>
      <c r="AG797" s="10">
        <f>IF(Timeline!AG135=1, -(AF820+AG705), MAX(-AF820, IF(AG$4&lt;=0, AG588,(SUM($AA774:AG774)-SUM($Z797:AF797))*Timeline!AG273)))</f>
        <v>0</v>
      </c>
      <c r="AH797" s="10">
        <f>IF(Timeline!AH135=1, -(AG820+AH705), MAX(-AG820, IF(AH$4&lt;=0, AH588,(SUM($AA774:AH774)-SUM($Z797:AG797))*Timeline!AH273)))</f>
        <v>0</v>
      </c>
      <c r="AI797" s="10">
        <f>IF(Timeline!AI135=1, -(AH820+AI705), MAX(-AH820, IF(AI$4&lt;=0, AI588,(SUM($AA774:AI774)-SUM($Z797:AH797))*Timeline!AI273)))</f>
        <v>0</v>
      </c>
      <c r="AJ797" s="10">
        <f>IF(Timeline!AJ135=1, -(AI820+AJ705), MAX(-AI820, IF(AJ$4&lt;=0, AJ588,(SUM($AA774:AJ774)-SUM($Z797:AI797))*Timeline!AJ273)))</f>
        <v>0</v>
      </c>
      <c r="AK797" s="10">
        <f>IF(Timeline!AK135=1, -(AJ820+AK705), MAX(-AJ820, IF(AK$4&lt;=0, AK588,(SUM($AA774:AK774)-SUM($Z797:AJ797))*Timeline!AK273)))</f>
        <v>0</v>
      </c>
      <c r="AL797" s="10">
        <f>IF(Timeline!AL135=1, -(AK820+AL705), MAX(-AK820, IF(AL$4&lt;=0, AL588,(SUM($AA774:AL774)-SUM($Z797:AK797))*Timeline!AL273)))</f>
        <v>0</v>
      </c>
      <c r="AM797" s="10">
        <f>IF(Timeline!AM135=1, -(AL820+AM705), MAX(-AL820, IF(AM$4&lt;=0, AM588,(SUM($AA774:AM774)-SUM($Z797:AL797))*Timeline!AM273)))</f>
        <v>0</v>
      </c>
      <c r="AN797" s="10">
        <f>IF(Timeline!AN135=1, -(AM820+AN705), MAX(-AM820, IF(AN$4&lt;=0, AN588,(SUM($AA774:AN774)-SUM($Z797:AM797))*Timeline!AN273)))</f>
        <v>0</v>
      </c>
      <c r="AO797" s="10">
        <f>IF(Timeline!AO135=1, -(AN820+AO705), MAX(-AN820, IF(AO$4&lt;=0, AO588,(SUM($AA774:AO774)-SUM($Z797:AN797))*Timeline!AO273)))</f>
        <v>0</v>
      </c>
      <c r="AP797" s="10">
        <f>IF(Timeline!AP135=1, -(AO820+AP705), MAX(-AO820, IF(AP$4&lt;=0, AP588,(SUM($AA774:AP774)-SUM($Z797:AO797))*Timeline!AP273)))</f>
        <v>0</v>
      </c>
      <c r="AQ797" s="10">
        <f>IF(Timeline!AQ135=1, -(AP820+AQ705), MAX(-AP820, IF(AQ$4&lt;=0, AQ588,(SUM($AA774:AQ774)-SUM($Z797:AP797))*Timeline!AQ273)))</f>
        <v>0</v>
      </c>
      <c r="AR797" s="10">
        <f>IF(Timeline!AR135=1, -(AQ820+AR705), MAX(-AQ820, IF(AR$4&lt;=0, AR588,(SUM($AA774:AR774)-SUM($Z797:AQ797))*Timeline!AR273)))</f>
        <v>0</v>
      </c>
      <c r="AS797" s="10">
        <f>IF(Timeline!AS135=1, -(AR820+AS705), MAX(-AR820, IF(AS$4&lt;=0, AS588,(SUM($AA774:AS774)-SUM($Z797:AR797))*Timeline!AS273)))</f>
        <v>0</v>
      </c>
      <c r="AT797" s="10">
        <f>IF(Timeline!AT135=1, -(AS820+AT705), MAX(-AS820, IF(AT$4&lt;=0, AT588,(SUM($AA774:AT774)-SUM($Z797:AS797))*Timeline!AT273)))</f>
        <v>0</v>
      </c>
      <c r="AU797" s="10">
        <f>IF(Timeline!AU135=1, -(AT820+AU705), MAX(-AT820, IF(AU$4&lt;=0, AU588,(SUM($AA774:AU774)-SUM($Z797:AT797))*Timeline!AU273)))</f>
        <v>0</v>
      </c>
      <c r="AV797" s="10">
        <f>IF(Timeline!AV135=1, -(AU820+AV705), MAX(-AU820, IF(AV$4&lt;=0, AV588,(SUM($AA774:AV774)-SUM($Z797:AU797))*Timeline!AV273)))</f>
        <v>0</v>
      </c>
      <c r="AW797" s="10">
        <f>IF(Timeline!AW135=1, -(AV820+AW705), MAX(-AV820, IF(AW$4&lt;=0, AW588,(SUM($AA774:AW774)-SUM($Z797:AV797))*Timeline!AW273)))</f>
        <v>0</v>
      </c>
      <c r="AX797" s="10">
        <f>IF(Timeline!AX135=1, -(AW820+AX705), MAX(-AW820, IF(AX$4&lt;=0, AX588,(SUM($AA774:AX774)-SUM($Z797:AW797))*Timeline!AX273)))</f>
        <v>0</v>
      </c>
      <c r="AY797" s="10">
        <f>IF(Timeline!AY135=1, -(AX820+AY705), MAX(-AX820, IF(AY$4&lt;=0, AY588,(SUM($AA774:AY774)-SUM($Z797:AX797))*Timeline!AY273)))</f>
        <v>0</v>
      </c>
      <c r="AZ797" s="10">
        <f>IF(Timeline!AZ135=1, -(AY820+AZ705), MAX(-AY820, IF(AZ$4&lt;=0, AZ588,(SUM($AA774:AZ774)-SUM($Z797:AY797))*Timeline!AZ273)))</f>
        <v>0</v>
      </c>
      <c r="BA797" s="10">
        <f>IF(Timeline!BA135=1, -(AZ820+BA705), MAX(-AZ820, IF(BA$4&lt;=0, BA588,(SUM($AA774:BA774)-SUM($Z797:AZ797))*Timeline!BA273)))</f>
        <v>0</v>
      </c>
      <c r="BB797" s="10">
        <f>IF(Timeline!BB135=1, -(BA820+BB705), MAX(-BA820, IF(BB$4&lt;=0, BB588,(SUM($AA774:BB774)-SUM($Z797:BA797))*Timeline!BB273)))</f>
        <v>0</v>
      </c>
      <c r="BC797" s="10">
        <f>IF(Timeline!BC135=1, -(BB820+BC705), MAX(-BB820, IF(BC$4&lt;=0, BC588,(SUM($AA774:BC774)-SUM($Z797:BB797))*Timeline!BC273)))</f>
        <v>0</v>
      </c>
      <c r="BD797" s="10">
        <f>IF(Timeline!BD135=1, -(BC820+BD705), MAX(-BC820, IF(BD$4&lt;=0, BD588,(SUM($AA774:BD774)-SUM($Z797:BC797))*Timeline!BD273)))</f>
        <v>0</v>
      </c>
      <c r="BE797" s="10">
        <f>IF(Timeline!BE135=1, -(BD820+BE705), MAX(-BD820, IF(BE$4&lt;=0, BE588,(SUM($AA774:BE774)-SUM($Z797:BD797))*Timeline!BE273)))</f>
        <v>0</v>
      </c>
      <c r="BF797" s="10">
        <f>IF(Timeline!BF135=1, -(BE820+BF705), MAX(-BE820, IF(BF$4&lt;=0, BF588,(SUM($AA774:BF774)-SUM($Z797:BE797))*Timeline!BF273)))</f>
        <v>0</v>
      </c>
      <c r="BG797" s="10">
        <f>IF(Timeline!BG135=1, -(BF820+BG705), MAX(-BF820, IF(BG$4&lt;=0, BG588,(SUM($AA774:BG774)-SUM($Z797:BF797))*Timeline!BG273)))</f>
        <v>0</v>
      </c>
      <c r="BH797" s="10">
        <f>IF(Timeline!BH135=1, -(BG820+BH705), MAX(-BG820, IF(BH$4&lt;=0, BH588,(SUM($AA774:BH774)-SUM($Z797:BG797))*Timeline!BH273)))</f>
        <v>0</v>
      </c>
      <c r="BI797" s="10">
        <f>IF(Timeline!BI135=1, -(BH820+BI705), MAX(-BH820, IF(BI$4&lt;=0, BI588,(SUM($AA774:BI774)-SUM($Z797:BH797))*Timeline!BI273)))</f>
        <v>0</v>
      </c>
      <c r="BJ797" s="10">
        <f>IF(Timeline!BJ135=1, -(BI820+BJ705), MAX(-BI820, IF(BJ$4&lt;=0, BJ588,(SUM($AA774:BJ774)-SUM($Z797:BI797))*Timeline!BJ273)))</f>
        <v>0</v>
      </c>
      <c r="BL797" s="13">
        <f t="shared" si="956"/>
        <v>0</v>
      </c>
      <c r="BM797" s="13">
        <f t="shared" si="957"/>
        <v>0</v>
      </c>
      <c r="BN797" s="13">
        <f t="shared" si="958"/>
        <v>0</v>
      </c>
      <c r="BO797" s="13">
        <f t="shared" si="959"/>
        <v>0</v>
      </c>
      <c r="BP797" s="136"/>
      <c r="BQ797" s="136"/>
      <c r="BR797" s="136"/>
      <c r="BS797" s="136"/>
      <c r="BT797" s="136"/>
      <c r="BU797" s="136"/>
      <c r="BV797" s="136"/>
      <c r="BW797" s="136"/>
      <c r="BY797" s="12"/>
      <c r="BZ797" s="335"/>
      <c r="CA797" s="12"/>
      <c r="CB797" s="335"/>
      <c r="CC797" s="335"/>
      <c r="CD797" s="335"/>
      <c r="CE797" s="335"/>
      <c r="CJ797" s="162"/>
      <c r="CM797" s="335"/>
      <c r="CN797" s="335"/>
      <c r="CO797" s="335"/>
      <c r="CP797" s="335"/>
      <c r="CR797" s="12"/>
      <c r="CT797" s="335"/>
      <c r="CU797" s="335"/>
      <c r="EW797" s="335"/>
      <c r="EX797" s="10" t="str">
        <f t="shared" si="933"/>
        <v/>
      </c>
    </row>
    <row r="798" spans="1:154" s="67" customFormat="1" ht="6.6" customHeight="1" x14ac:dyDescent="0.25">
      <c r="C798" s="380"/>
      <c r="D798" s="1"/>
      <c r="S798" s="335"/>
      <c r="T798" s="335"/>
      <c r="U798" s="335"/>
      <c r="BM798" s="6"/>
      <c r="BY798" s="42"/>
      <c r="BZ798" s="335"/>
      <c r="CA798" s="42"/>
      <c r="CB798" s="335"/>
      <c r="CC798" s="335"/>
      <c r="CD798" s="335"/>
      <c r="CE798" s="335"/>
      <c r="CJ798" s="162"/>
      <c r="CM798" s="335"/>
      <c r="CN798" s="335"/>
      <c r="CO798" s="335"/>
      <c r="CP798" s="335"/>
      <c r="CR798" s="42"/>
      <c r="CT798" s="335"/>
      <c r="CU798" s="335"/>
      <c r="EW798" s="335"/>
      <c r="EX798" s="10" t="str">
        <f t="shared" si="933"/>
        <v/>
      </c>
    </row>
    <row r="799" spans="1:154" s="67" customFormat="1" x14ac:dyDescent="0.25">
      <c r="C799" s="380"/>
      <c r="D799" s="61" t="s">
        <v>839</v>
      </c>
      <c r="S799" s="335"/>
      <c r="T799" s="335"/>
      <c r="U799" s="335"/>
      <c r="AN799" s="335"/>
      <c r="BY799" s="12"/>
      <c r="BZ799" s="335"/>
      <c r="CA799" s="12"/>
      <c r="CB799" s="335"/>
      <c r="CC799" s="335"/>
      <c r="CD799" s="335"/>
      <c r="CE799" s="335"/>
      <c r="CJ799" s="162"/>
      <c r="CM799" s="335"/>
      <c r="CN799" s="335"/>
      <c r="CO799" s="335"/>
      <c r="CP799" s="335"/>
      <c r="CR799" s="12"/>
      <c r="CT799" s="335"/>
      <c r="CU799" s="335"/>
      <c r="EW799" s="335"/>
      <c r="EX799" s="10" t="str">
        <f t="shared" si="933"/>
        <v/>
      </c>
    </row>
    <row r="800" spans="1:154" s="67" customFormat="1" ht="60" x14ac:dyDescent="0.25">
      <c r="B800" s="138" t="s">
        <v>551</v>
      </c>
      <c r="C800" s="380"/>
      <c r="D800" s="138" t="str">
        <f>D$11</f>
        <v>Lender</v>
      </c>
      <c r="E800" s="74" t="str">
        <f>E$11</f>
        <v>Loan Category</v>
      </c>
      <c r="F800" s="74" t="s">
        <v>185</v>
      </c>
      <c r="G800" s="168"/>
      <c r="S800" s="335"/>
      <c r="T800" s="335"/>
      <c r="U800" s="335"/>
      <c r="V800"/>
      <c r="W800"/>
      <c r="X800"/>
      <c r="Y800"/>
      <c r="Z800"/>
      <c r="AA800" s="170" t="s">
        <v>335</v>
      </c>
      <c r="AB800"/>
      <c r="AM800" s="335"/>
      <c r="AN800" s="335"/>
      <c r="AR800" s="329"/>
      <c r="AS800" s="329"/>
      <c r="AT800" s="329"/>
      <c r="AU800" s="331"/>
      <c r="BY800" s="12"/>
      <c r="BZ800" s="335"/>
      <c r="CA800" s="12"/>
      <c r="CB800" s="335"/>
      <c r="CC800" s="335"/>
      <c r="CD800" s="335"/>
      <c r="CE800" s="335"/>
      <c r="CJ800" s="162"/>
      <c r="CM800" s="335"/>
      <c r="CN800" s="335"/>
      <c r="CO800" s="335"/>
      <c r="CP800" s="335"/>
      <c r="CR800" s="12"/>
      <c r="CT800" s="335"/>
      <c r="CU800" s="335"/>
      <c r="EW800" s="335"/>
      <c r="EX800" s="10" t="str">
        <f t="shared" si="933"/>
        <v/>
      </c>
    </row>
    <row r="801" spans="1:154" s="67" customFormat="1" x14ac:dyDescent="0.25">
      <c r="B801" s="84" t="str" cm="1">
        <f t="array" aca="1" ref="B801" ca="1">HYPERLINK(CONCATENATE("#",CELL("address",$D$47)),$D$47)</f>
        <v>Loan 1</v>
      </c>
      <c r="C801" s="380"/>
      <c r="D801" s="60" t="str">
        <f>D$13</f>
        <v>NatWest</v>
      </c>
      <c r="E801" s="60" t="str">
        <f>E$13</f>
        <v xml:space="preserve">Commercial </v>
      </c>
      <c r="F801" s="201">
        <f t="shared" ref="F801:F820" si="960">H13</f>
        <v>0</v>
      </c>
      <c r="G801" s="9"/>
      <c r="H801" s="50" t="s">
        <v>157</v>
      </c>
      <c r="I801" s="65"/>
      <c r="S801" s="335"/>
      <c r="T801" s="335"/>
      <c r="U801" s="335"/>
      <c r="V801" s="13">
        <f>F801</f>
        <v>0</v>
      </c>
      <c r="W801" s="10">
        <f t="shared" ref="W801:Y820" si="961">INDEX($AA801:$BJ801, MATCH(W$5, $AA$5:$BJ$5))</f>
        <v>0</v>
      </c>
      <c r="X801" s="10">
        <f t="shared" si="961"/>
        <v>0</v>
      </c>
      <c r="Y801" s="10">
        <f t="shared" si="961"/>
        <v>0</v>
      </c>
      <c r="Z801" s="329"/>
      <c r="AA801" s="10">
        <f>IF(Timeline!AA$18=1, $F801, Z801)+AA686+AA778</f>
        <v>0</v>
      </c>
      <c r="AB801" s="10">
        <f>IF(Timeline!AB$18=1, $F801, AA801)+AB686+AB778</f>
        <v>0</v>
      </c>
      <c r="AC801" s="10">
        <f>IF(Timeline!AC$18=1, $F801, AB801)+AC686+AC778</f>
        <v>0</v>
      </c>
      <c r="AD801" s="10">
        <f>IF(Timeline!AD$18=1, $F801, AC801)+AD686+AD778</f>
        <v>0</v>
      </c>
      <c r="AE801" s="10">
        <f>IF(Timeline!AE$18=1, $F801, AD801)+AE686+AE778</f>
        <v>0</v>
      </c>
      <c r="AF801" s="10">
        <f>IF(Timeline!AF$18=1, $F801, AE801)+AF686+AF778</f>
        <v>0</v>
      </c>
      <c r="AG801" s="10">
        <f>IF(Timeline!AG$18=1, $F801, AF801)+AG686+AG778</f>
        <v>0</v>
      </c>
      <c r="AH801" s="10">
        <f>IF(Timeline!AH$18=1, $F801, AG801)+AH686+AH778</f>
        <v>0</v>
      </c>
      <c r="AI801" s="10">
        <f>IF(Timeline!AI$18=1, $F801, AH801)+AI686+AI778</f>
        <v>0</v>
      </c>
      <c r="AJ801" s="10">
        <f>IF(Timeline!AJ$18=1, $F801, AI801)+AJ686+AJ778</f>
        <v>0</v>
      </c>
      <c r="AK801" s="10">
        <f>IF(Timeline!AK$18=1, $F801, AJ801)+AK686+AK778</f>
        <v>0</v>
      </c>
      <c r="AL801" s="10">
        <f>IF(Timeline!AL$18=1, $F801, AK801)+AL686+AL778</f>
        <v>0</v>
      </c>
      <c r="AM801" s="10">
        <f>IF(Timeline!AM$18=1, $F801, AL801)+AM686+AM778</f>
        <v>0</v>
      </c>
      <c r="AN801" s="10">
        <f>IF(Timeline!AN$18=1, $F801, AM801)+AN686+AN778</f>
        <v>0</v>
      </c>
      <c r="AO801" s="10">
        <f>IF(Timeline!AO$18=1, $F801, AN801)+AO686+AO778</f>
        <v>0</v>
      </c>
      <c r="AP801" s="10">
        <f>IF(Timeline!AP$18=1, $F801, AO801)+AP686+AP778</f>
        <v>0</v>
      </c>
      <c r="AQ801" s="10">
        <f>IF(Timeline!AQ$18=1, $F801, AP801)+AQ686+AQ778</f>
        <v>0</v>
      </c>
      <c r="AR801" s="10">
        <f>IF(Timeline!AR$18=1, $F801, AQ801)+AR686+AR778</f>
        <v>0</v>
      </c>
      <c r="AS801" s="10">
        <f>IF(Timeline!AS$18=1, $F801, AR801)+AS686+AS778</f>
        <v>0</v>
      </c>
      <c r="AT801" s="10">
        <f>IF(Timeline!AT$18=1, $F801, AS801)+AT686+AT778</f>
        <v>0</v>
      </c>
      <c r="AU801" s="10">
        <f>IF(Timeline!AU$18=1, $F801, AT801)+AU686+AU778</f>
        <v>0</v>
      </c>
      <c r="AV801" s="10">
        <f>IF(Timeline!AV$18=1, $F801, AU801)+AV686+AV778</f>
        <v>0</v>
      </c>
      <c r="AW801" s="10">
        <f>IF(Timeline!AW$18=1, $F801, AV801)+AW686+AW778</f>
        <v>0</v>
      </c>
      <c r="AX801" s="10">
        <f>IF(Timeline!AX$18=1, $F801, AW801)+AX686+AX778</f>
        <v>0</v>
      </c>
      <c r="AY801" s="10">
        <f>IF(Timeline!AY$18=1, $F801, AX801)+AY686+AY778</f>
        <v>0</v>
      </c>
      <c r="AZ801" s="10">
        <f>IF(Timeline!AZ$18=1, $F801, AY801)+AZ686+AZ778</f>
        <v>0</v>
      </c>
      <c r="BA801" s="10">
        <f>IF(Timeline!BA$18=1, $F801, AZ801)+BA686+BA778</f>
        <v>0</v>
      </c>
      <c r="BB801" s="10">
        <f>IF(Timeline!BB$18=1, $F801, BA801)+BB686+BB778</f>
        <v>0</v>
      </c>
      <c r="BC801" s="10">
        <f>IF(Timeline!BC$18=1, $F801, BB801)+BC686+BC778</f>
        <v>0</v>
      </c>
      <c r="BD801" s="10">
        <f>IF(Timeline!BD$18=1, $F801, BC801)+BD686+BD778</f>
        <v>0</v>
      </c>
      <c r="BE801" s="10">
        <f>IF(Timeline!BE$18=1, $F801, BD801)+BE686+BE778</f>
        <v>0</v>
      </c>
      <c r="BF801" s="10">
        <f>IF(Timeline!BF$18=1, $F801, BE801)+BF686+BF778</f>
        <v>0</v>
      </c>
      <c r="BG801" s="10">
        <f>IF(Timeline!BG$18=1, $F801, BF801)+BG686+BG778</f>
        <v>0</v>
      </c>
      <c r="BH801" s="10">
        <f>IF(Timeline!BH$18=1, $F801, BG801)+BH686+BH778</f>
        <v>0</v>
      </c>
      <c r="BI801" s="10">
        <f>IF(Timeline!BI$18=1, $F801, BH801)+BI686+BI778</f>
        <v>0</v>
      </c>
      <c r="BJ801" s="10">
        <f>IF(Timeline!BJ$18=1, $F801, BI801)+BJ686+BJ778</f>
        <v>0</v>
      </c>
      <c r="BK801" s="329"/>
      <c r="BL801" s="13">
        <f t="shared" ref="BL801:BL820" si="962">V801</f>
        <v>0</v>
      </c>
      <c r="BM801" s="13">
        <f t="shared" ref="BM801:BM820" si="963">W801</f>
        <v>0</v>
      </c>
      <c r="BN801" s="13">
        <f t="shared" ref="BN801:BN820" si="964">X801</f>
        <v>0</v>
      </c>
      <c r="BO801" s="13">
        <f t="shared" ref="BO801:BO820" si="965">Y801</f>
        <v>0</v>
      </c>
      <c r="BP801" s="136"/>
      <c r="BQ801" s="136"/>
      <c r="BR801" s="136"/>
      <c r="BS801" s="136"/>
      <c r="BT801" s="136"/>
      <c r="BU801" s="136"/>
      <c r="BV801" s="136"/>
      <c r="BW801" s="136"/>
      <c r="BY801" s="12"/>
      <c r="BZ801" s="335"/>
      <c r="CA801" s="12"/>
      <c r="CB801" s="335"/>
      <c r="CC801" s="335"/>
      <c r="CD801" s="335"/>
      <c r="CE801" s="335"/>
      <c r="CJ801" s="162"/>
      <c r="CM801" s="335"/>
      <c r="CN801" s="335"/>
      <c r="CO801" s="335"/>
      <c r="CP801" s="335"/>
      <c r="CR801" s="12"/>
      <c r="CT801" s="335"/>
      <c r="CU801" s="335"/>
      <c r="EW801" s="335"/>
      <c r="EX801" s="10" t="str">
        <f t="shared" si="933"/>
        <v/>
      </c>
    </row>
    <row r="802" spans="1:154" s="67" customFormat="1" x14ac:dyDescent="0.25">
      <c r="B802" s="84" t="str" cm="1">
        <f t="array" aca="1" ref="B802" ca="1">HYPERLINK(CONCATENATE("#",CELL("address",$D$66)),$D$66)</f>
        <v>Loan 2</v>
      </c>
      <c r="C802" s="380"/>
      <c r="D802" s="60" t="str">
        <f>D$14</f>
        <v>NatWest</v>
      </c>
      <c r="E802" s="60" t="str">
        <f>E$14</f>
        <v xml:space="preserve">Commercial </v>
      </c>
      <c r="F802" s="10">
        <f t="shared" si="960"/>
        <v>0</v>
      </c>
      <c r="G802" s="9"/>
      <c r="H802" s="50" t="s">
        <v>157</v>
      </c>
      <c r="S802" s="335"/>
      <c r="T802" s="335"/>
      <c r="U802" s="335"/>
      <c r="V802" s="13">
        <f t="shared" ref="V802:V820" si="966">F802</f>
        <v>0</v>
      </c>
      <c r="W802" s="10">
        <f t="shared" si="961"/>
        <v>0</v>
      </c>
      <c r="X802" s="10">
        <f t="shared" si="961"/>
        <v>0</v>
      </c>
      <c r="Y802" s="10">
        <f t="shared" si="961"/>
        <v>0</v>
      </c>
      <c r="Z802" s="329"/>
      <c r="AA802" s="10">
        <f>IF(Timeline!AA$18=1, $F802, Z802)+AA687+AA779</f>
        <v>0</v>
      </c>
      <c r="AB802" s="10">
        <f>IF(Timeline!AB$18=1, $F802, AA802)+AB687+AB779</f>
        <v>0</v>
      </c>
      <c r="AC802" s="10">
        <f>IF(Timeline!AC$18=1, $F802, AB802)+AC687+AC779</f>
        <v>0</v>
      </c>
      <c r="AD802" s="10">
        <f>IF(Timeline!AD$18=1, $F802, AC802)+AD687+AD779</f>
        <v>0</v>
      </c>
      <c r="AE802" s="10">
        <f>IF(Timeline!AE$18=1, $F802, AD802)+AE687+AE779</f>
        <v>0</v>
      </c>
      <c r="AF802" s="10">
        <f>IF(Timeline!AF$18=1, $F802, AE802)+AF687+AF779</f>
        <v>0</v>
      </c>
      <c r="AG802" s="10">
        <f>IF(Timeline!AG$18=1, $F802, AF802)+AG687+AG779</f>
        <v>0</v>
      </c>
      <c r="AH802" s="10">
        <f>IF(Timeline!AH$18=1, $F802, AG802)+AH687+AH779</f>
        <v>0</v>
      </c>
      <c r="AI802" s="10">
        <f>IF(Timeline!AI$18=1, $F802, AH802)+AI687+AI779</f>
        <v>0</v>
      </c>
      <c r="AJ802" s="10">
        <f>IF(Timeline!AJ$18=1, $F802, AI802)+AJ687+AJ779</f>
        <v>0</v>
      </c>
      <c r="AK802" s="10">
        <f>IF(Timeline!AK$18=1, $F802, AJ802)+AK687+AK779</f>
        <v>0</v>
      </c>
      <c r="AL802" s="10">
        <f>IF(Timeline!AL$18=1, $F802, AK802)+AL687+AL779</f>
        <v>0</v>
      </c>
      <c r="AM802" s="10">
        <f>IF(Timeline!AM$18=1, $F802, AL802)+AM687+AM779</f>
        <v>0</v>
      </c>
      <c r="AN802" s="10">
        <f>IF(Timeline!AN$18=1, $F802, AM802)+AN687+AN779</f>
        <v>0</v>
      </c>
      <c r="AO802" s="10">
        <f>IF(Timeline!AO$18=1, $F802, AN802)+AO687+AO779</f>
        <v>0</v>
      </c>
      <c r="AP802" s="10">
        <f>IF(Timeline!AP$18=1, $F802, AO802)+AP687+AP779</f>
        <v>0</v>
      </c>
      <c r="AQ802" s="10">
        <f>IF(Timeline!AQ$18=1, $F802, AP802)+AQ687+AQ779</f>
        <v>0</v>
      </c>
      <c r="AR802" s="10">
        <f>IF(Timeline!AR$18=1, $F802, AQ802)+AR687+AR779</f>
        <v>0</v>
      </c>
      <c r="AS802" s="10">
        <f>IF(Timeline!AS$18=1, $F802, AR802)+AS687+AS779</f>
        <v>0</v>
      </c>
      <c r="AT802" s="10">
        <f>IF(Timeline!AT$18=1, $F802, AS802)+AT687+AT779</f>
        <v>0</v>
      </c>
      <c r="AU802" s="10">
        <f>IF(Timeline!AU$18=1, $F802, AT802)+AU687+AU779</f>
        <v>0</v>
      </c>
      <c r="AV802" s="10">
        <f>IF(Timeline!AV$18=1, $F802, AU802)+AV687+AV779</f>
        <v>0</v>
      </c>
      <c r="AW802" s="10">
        <f>IF(Timeline!AW$18=1, $F802, AV802)+AW687+AW779</f>
        <v>0</v>
      </c>
      <c r="AX802" s="10">
        <f>IF(Timeline!AX$18=1, $F802, AW802)+AX687+AX779</f>
        <v>0</v>
      </c>
      <c r="AY802" s="10">
        <f>IF(Timeline!AY$18=1, $F802, AX802)+AY687+AY779</f>
        <v>0</v>
      </c>
      <c r="AZ802" s="10">
        <f>IF(Timeline!AZ$18=1, $F802, AY802)+AZ687+AZ779</f>
        <v>0</v>
      </c>
      <c r="BA802" s="10">
        <f>IF(Timeline!BA$18=1, $F802, AZ802)+BA687+BA779</f>
        <v>0</v>
      </c>
      <c r="BB802" s="10">
        <f>IF(Timeline!BB$18=1, $F802, BA802)+BB687+BB779</f>
        <v>0</v>
      </c>
      <c r="BC802" s="10">
        <f>IF(Timeline!BC$18=1, $F802, BB802)+BC687+BC779</f>
        <v>0</v>
      </c>
      <c r="BD802" s="10">
        <f>IF(Timeline!BD$18=1, $F802, BC802)+BD687+BD779</f>
        <v>0</v>
      </c>
      <c r="BE802" s="10">
        <f>IF(Timeline!BE$18=1, $F802, BD802)+BE687+BE779</f>
        <v>0</v>
      </c>
      <c r="BF802" s="10">
        <f>IF(Timeline!BF$18=1, $F802, BE802)+BF687+BF779</f>
        <v>0</v>
      </c>
      <c r="BG802" s="10">
        <f>IF(Timeline!BG$18=1, $F802, BF802)+BG687+BG779</f>
        <v>0</v>
      </c>
      <c r="BH802" s="10">
        <f>IF(Timeline!BH$18=1, $F802, BG802)+BH687+BH779</f>
        <v>0</v>
      </c>
      <c r="BI802" s="10">
        <f>IF(Timeline!BI$18=1, $F802, BH802)+BI687+BI779</f>
        <v>0</v>
      </c>
      <c r="BJ802" s="10">
        <f>IF(Timeline!BJ$18=1, $F802, BI802)+BJ687+BJ779</f>
        <v>0</v>
      </c>
      <c r="BK802" s="329"/>
      <c r="BL802" s="13">
        <f t="shared" si="962"/>
        <v>0</v>
      </c>
      <c r="BM802" s="13">
        <f t="shared" si="963"/>
        <v>0</v>
      </c>
      <c r="BN802" s="13">
        <f t="shared" si="964"/>
        <v>0</v>
      </c>
      <c r="BO802" s="13">
        <f t="shared" si="965"/>
        <v>0</v>
      </c>
      <c r="BP802" s="136"/>
      <c r="BQ802" s="136"/>
      <c r="BR802" s="136"/>
      <c r="BS802" s="136"/>
      <c r="BT802" s="136"/>
      <c r="BU802" s="136"/>
      <c r="BV802" s="136"/>
      <c r="BW802" s="136"/>
      <c r="BY802" s="12"/>
      <c r="BZ802" s="335"/>
      <c r="CA802" s="12"/>
      <c r="CB802" s="335"/>
      <c r="CC802" s="335"/>
      <c r="CD802" s="335"/>
      <c r="CE802" s="335"/>
      <c r="CJ802" s="162"/>
      <c r="CM802" s="335"/>
      <c r="CN802" s="335"/>
      <c r="CO802" s="335"/>
      <c r="CP802" s="335"/>
      <c r="CR802" s="12"/>
      <c r="CT802" s="335"/>
      <c r="CU802" s="335"/>
      <c r="EW802" s="335"/>
      <c r="EX802" s="10" t="str">
        <f t="shared" si="933"/>
        <v/>
      </c>
    </row>
    <row r="803" spans="1:154" s="67" customFormat="1" x14ac:dyDescent="0.25">
      <c r="B803" s="84" t="str" cm="1">
        <f t="array" aca="1" ref="B803" ca="1">HYPERLINK(CONCATENATE("#",CELL("address",$D$85)),$D$85)</f>
        <v>Loan 3</v>
      </c>
      <c r="C803" s="380"/>
      <c r="D803" s="60" t="str">
        <f>D$15</f>
        <v>NatWest</v>
      </c>
      <c r="E803" s="60" t="str">
        <f>E$15</f>
        <v xml:space="preserve">Commercial </v>
      </c>
      <c r="F803" s="10">
        <f t="shared" si="960"/>
        <v>0</v>
      </c>
      <c r="G803" s="9"/>
      <c r="H803" s="50" t="s">
        <v>157</v>
      </c>
      <c r="S803" s="335"/>
      <c r="T803" s="335"/>
      <c r="U803" s="335"/>
      <c r="V803" s="13">
        <f t="shared" si="966"/>
        <v>0</v>
      </c>
      <c r="W803" s="10">
        <f t="shared" si="961"/>
        <v>0</v>
      </c>
      <c r="X803" s="10">
        <f t="shared" si="961"/>
        <v>0</v>
      </c>
      <c r="Y803" s="10">
        <f t="shared" si="961"/>
        <v>0</v>
      </c>
      <c r="Z803" s="329"/>
      <c r="AA803" s="10">
        <f>IF(Timeline!AA$18=1, $F803, Z803)+AA688+AA780</f>
        <v>0</v>
      </c>
      <c r="AB803" s="10">
        <f>IF(Timeline!AB$18=1, $F803, AA803)+AB688+AB780</f>
        <v>0</v>
      </c>
      <c r="AC803" s="10">
        <f>IF(Timeline!AC$18=1, $F803, AB803)+AC688+AC780</f>
        <v>0</v>
      </c>
      <c r="AD803" s="10">
        <f>IF(Timeline!AD$18=1, $F803, AC803)+AD688+AD780</f>
        <v>0</v>
      </c>
      <c r="AE803" s="10">
        <f>IF(Timeline!AE$18=1, $F803, AD803)+AE688+AE780</f>
        <v>0</v>
      </c>
      <c r="AF803" s="10">
        <f>IF(Timeline!AF$18=1, $F803, AE803)+AF688+AF780</f>
        <v>0</v>
      </c>
      <c r="AG803" s="10">
        <f>IF(Timeline!AG$18=1, $F803, AF803)+AG688+AG780</f>
        <v>0</v>
      </c>
      <c r="AH803" s="10">
        <f>IF(Timeline!AH$18=1, $F803, AG803)+AH688+AH780</f>
        <v>0</v>
      </c>
      <c r="AI803" s="10">
        <f>IF(Timeline!AI$18=1, $F803, AH803)+AI688+AI780</f>
        <v>0</v>
      </c>
      <c r="AJ803" s="10">
        <f>IF(Timeline!AJ$18=1, $F803, AI803)+AJ688+AJ780</f>
        <v>0</v>
      </c>
      <c r="AK803" s="10">
        <f>IF(Timeline!AK$18=1, $F803, AJ803)+AK688+AK780</f>
        <v>0</v>
      </c>
      <c r="AL803" s="10">
        <f>IF(Timeline!AL$18=1, $F803, AK803)+AL688+AL780</f>
        <v>0</v>
      </c>
      <c r="AM803" s="10">
        <f>IF(Timeline!AM$18=1, $F803, AL803)+AM688+AM780</f>
        <v>0</v>
      </c>
      <c r="AN803" s="10">
        <f>IF(Timeline!AN$18=1, $F803, AM803)+AN688+AN780</f>
        <v>0</v>
      </c>
      <c r="AO803" s="10">
        <f>IF(Timeline!AO$18=1, $F803, AN803)+AO688+AO780</f>
        <v>0</v>
      </c>
      <c r="AP803" s="10">
        <f>IF(Timeline!AP$18=1, $F803, AO803)+AP688+AP780</f>
        <v>0</v>
      </c>
      <c r="AQ803" s="10">
        <f>IF(Timeline!AQ$18=1, $F803, AP803)+AQ688+AQ780</f>
        <v>0</v>
      </c>
      <c r="AR803" s="10">
        <f>IF(Timeline!AR$18=1, $F803, AQ803)+AR688+AR780</f>
        <v>0</v>
      </c>
      <c r="AS803" s="10">
        <f>IF(Timeline!AS$18=1, $F803, AR803)+AS688+AS780</f>
        <v>0</v>
      </c>
      <c r="AT803" s="10">
        <f>IF(Timeline!AT$18=1, $F803, AS803)+AT688+AT780</f>
        <v>0</v>
      </c>
      <c r="AU803" s="10">
        <f>IF(Timeline!AU$18=1, $F803, AT803)+AU688+AU780</f>
        <v>0</v>
      </c>
      <c r="AV803" s="10">
        <f>IF(Timeline!AV$18=1, $F803, AU803)+AV688+AV780</f>
        <v>0</v>
      </c>
      <c r="AW803" s="10">
        <f>IF(Timeline!AW$18=1, $F803, AV803)+AW688+AW780</f>
        <v>0</v>
      </c>
      <c r="AX803" s="10">
        <f>IF(Timeline!AX$18=1, $F803, AW803)+AX688+AX780</f>
        <v>0</v>
      </c>
      <c r="AY803" s="10">
        <f>IF(Timeline!AY$18=1, $F803, AX803)+AY688+AY780</f>
        <v>0</v>
      </c>
      <c r="AZ803" s="10">
        <f>IF(Timeline!AZ$18=1, $F803, AY803)+AZ688+AZ780</f>
        <v>0</v>
      </c>
      <c r="BA803" s="10">
        <f>IF(Timeline!BA$18=1, $F803, AZ803)+BA688+BA780</f>
        <v>0</v>
      </c>
      <c r="BB803" s="10">
        <f>IF(Timeline!BB$18=1, $F803, BA803)+BB688+BB780</f>
        <v>0</v>
      </c>
      <c r="BC803" s="10">
        <f>IF(Timeline!BC$18=1, $F803, BB803)+BC688+BC780</f>
        <v>0</v>
      </c>
      <c r="BD803" s="10">
        <f>IF(Timeline!BD$18=1, $F803, BC803)+BD688+BD780</f>
        <v>0</v>
      </c>
      <c r="BE803" s="10">
        <f>IF(Timeline!BE$18=1, $F803, BD803)+BE688+BE780</f>
        <v>0</v>
      </c>
      <c r="BF803" s="10">
        <f>IF(Timeline!BF$18=1, $F803, BE803)+BF688+BF780</f>
        <v>0</v>
      </c>
      <c r="BG803" s="10">
        <f>IF(Timeline!BG$18=1, $F803, BF803)+BG688+BG780</f>
        <v>0</v>
      </c>
      <c r="BH803" s="10">
        <f>IF(Timeline!BH$18=1, $F803, BG803)+BH688+BH780</f>
        <v>0</v>
      </c>
      <c r="BI803" s="10">
        <f>IF(Timeline!BI$18=1, $F803, BH803)+BI688+BI780</f>
        <v>0</v>
      </c>
      <c r="BJ803" s="10">
        <f>IF(Timeline!BJ$18=1, $F803, BI803)+BJ688+BJ780</f>
        <v>0</v>
      </c>
      <c r="BK803" s="329"/>
      <c r="BL803" s="13">
        <f t="shared" si="962"/>
        <v>0</v>
      </c>
      <c r="BM803" s="13">
        <f t="shared" si="963"/>
        <v>0</v>
      </c>
      <c r="BN803" s="13">
        <f t="shared" si="964"/>
        <v>0</v>
      </c>
      <c r="BO803" s="13">
        <f t="shared" si="965"/>
        <v>0</v>
      </c>
      <c r="BP803" s="136"/>
      <c r="BQ803" s="136"/>
      <c r="BR803" s="136"/>
      <c r="BS803" s="136"/>
      <c r="BT803" s="136"/>
      <c r="BU803" s="136"/>
      <c r="BV803" s="136"/>
      <c r="BW803" s="136"/>
      <c r="BY803" s="12"/>
      <c r="BZ803" s="335"/>
      <c r="CA803" s="12"/>
      <c r="CB803" s="335"/>
      <c r="CC803" s="335"/>
      <c r="CD803" s="335"/>
      <c r="CE803" s="335"/>
      <c r="CJ803" s="162"/>
      <c r="CM803" s="335"/>
      <c r="CN803" s="335"/>
      <c r="CO803" s="335"/>
      <c r="CP803" s="335"/>
      <c r="CR803" s="12"/>
      <c r="CT803" s="335"/>
      <c r="CU803" s="335"/>
      <c r="EW803" s="335"/>
      <c r="EX803" s="10" t="str">
        <f t="shared" si="933"/>
        <v/>
      </c>
    </row>
    <row r="804" spans="1:154" s="67" customFormat="1" x14ac:dyDescent="0.25">
      <c r="B804" s="84" t="str" cm="1">
        <f t="array" aca="1" ref="B804" ca="1">HYPERLINK(CONCATENATE("#",CELL("address",$D$104)),$D$104)</f>
        <v>Loan 4</v>
      </c>
      <c r="C804" s="380"/>
      <c r="D804" s="60" t="str">
        <f>D$16</f>
        <v>NatWest</v>
      </c>
      <c r="E804" s="60" t="str">
        <f>E$16</f>
        <v xml:space="preserve">Commercial </v>
      </c>
      <c r="F804" s="10">
        <f t="shared" si="960"/>
        <v>0</v>
      </c>
      <c r="G804" s="9"/>
      <c r="H804" s="50" t="s">
        <v>157</v>
      </c>
      <c r="S804" s="335"/>
      <c r="T804" s="335"/>
      <c r="U804" s="335"/>
      <c r="V804" s="13">
        <f t="shared" si="966"/>
        <v>0</v>
      </c>
      <c r="W804" s="10">
        <f t="shared" si="961"/>
        <v>0</v>
      </c>
      <c r="X804" s="10">
        <f t="shared" si="961"/>
        <v>0</v>
      </c>
      <c r="Y804" s="10">
        <f t="shared" si="961"/>
        <v>0</v>
      </c>
      <c r="Z804" s="329"/>
      <c r="AA804" s="10">
        <f>IF(Timeline!AA$18=1, $F804, Z804)+AA689+AA781</f>
        <v>0</v>
      </c>
      <c r="AB804" s="10">
        <f>IF(Timeline!AB$18=1, $F804, AA804)+AB689+AB781</f>
        <v>0</v>
      </c>
      <c r="AC804" s="10">
        <f>IF(Timeline!AC$18=1, $F804, AB804)+AC689+AC781</f>
        <v>0</v>
      </c>
      <c r="AD804" s="10">
        <f>IF(Timeline!AD$18=1, $F804, AC804)+AD689+AD781</f>
        <v>0</v>
      </c>
      <c r="AE804" s="10">
        <f>IF(Timeline!AE$18=1, $F804, AD804)+AE689+AE781</f>
        <v>0</v>
      </c>
      <c r="AF804" s="10">
        <f>IF(Timeline!AF$18=1, $F804, AE804)+AF689+AF781</f>
        <v>0</v>
      </c>
      <c r="AG804" s="10">
        <f>IF(Timeline!AG$18=1, $F804, AF804)+AG689+AG781</f>
        <v>0</v>
      </c>
      <c r="AH804" s="10">
        <f>IF(Timeline!AH$18=1, $F804, AG804)+AH689+AH781</f>
        <v>0</v>
      </c>
      <c r="AI804" s="10">
        <f>IF(Timeline!AI$18=1, $F804, AH804)+AI689+AI781</f>
        <v>0</v>
      </c>
      <c r="AJ804" s="10">
        <f>IF(Timeline!AJ$18=1, $F804, AI804)+AJ689+AJ781</f>
        <v>0</v>
      </c>
      <c r="AK804" s="10">
        <f>IF(Timeline!AK$18=1, $F804, AJ804)+AK689+AK781</f>
        <v>0</v>
      </c>
      <c r="AL804" s="10">
        <f>IF(Timeline!AL$18=1, $F804, AK804)+AL689+AL781</f>
        <v>0</v>
      </c>
      <c r="AM804" s="10">
        <f>IF(Timeline!AM$18=1, $F804, AL804)+AM689+AM781</f>
        <v>0</v>
      </c>
      <c r="AN804" s="10">
        <f>IF(Timeline!AN$18=1, $F804, AM804)+AN689+AN781</f>
        <v>0</v>
      </c>
      <c r="AO804" s="10">
        <f>IF(Timeline!AO$18=1, $F804, AN804)+AO689+AO781</f>
        <v>0</v>
      </c>
      <c r="AP804" s="10">
        <f>IF(Timeline!AP$18=1, $F804, AO804)+AP689+AP781</f>
        <v>0</v>
      </c>
      <c r="AQ804" s="10">
        <f>IF(Timeline!AQ$18=1, $F804, AP804)+AQ689+AQ781</f>
        <v>0</v>
      </c>
      <c r="AR804" s="10">
        <f>IF(Timeline!AR$18=1, $F804, AQ804)+AR689+AR781</f>
        <v>0</v>
      </c>
      <c r="AS804" s="10">
        <f>IF(Timeline!AS$18=1, $F804, AR804)+AS689+AS781</f>
        <v>0</v>
      </c>
      <c r="AT804" s="10">
        <f>IF(Timeline!AT$18=1, $F804, AS804)+AT689+AT781</f>
        <v>0</v>
      </c>
      <c r="AU804" s="10">
        <f>IF(Timeline!AU$18=1, $F804, AT804)+AU689+AU781</f>
        <v>0</v>
      </c>
      <c r="AV804" s="10">
        <f>IF(Timeline!AV$18=1, $F804, AU804)+AV689+AV781</f>
        <v>0</v>
      </c>
      <c r="AW804" s="10">
        <f>IF(Timeline!AW$18=1, $F804, AV804)+AW689+AW781</f>
        <v>0</v>
      </c>
      <c r="AX804" s="10">
        <f>IF(Timeline!AX$18=1, $F804, AW804)+AX689+AX781</f>
        <v>0</v>
      </c>
      <c r="AY804" s="10">
        <f>IF(Timeline!AY$18=1, $F804, AX804)+AY689+AY781</f>
        <v>0</v>
      </c>
      <c r="AZ804" s="10">
        <f>IF(Timeline!AZ$18=1, $F804, AY804)+AZ689+AZ781</f>
        <v>0</v>
      </c>
      <c r="BA804" s="10">
        <f>IF(Timeline!BA$18=1, $F804, AZ804)+BA689+BA781</f>
        <v>0</v>
      </c>
      <c r="BB804" s="10">
        <f>IF(Timeline!BB$18=1, $F804, BA804)+BB689+BB781</f>
        <v>0</v>
      </c>
      <c r="BC804" s="10">
        <f>IF(Timeline!BC$18=1, $F804, BB804)+BC689+BC781</f>
        <v>0</v>
      </c>
      <c r="BD804" s="10">
        <f>IF(Timeline!BD$18=1, $F804, BC804)+BD689+BD781</f>
        <v>0</v>
      </c>
      <c r="BE804" s="10">
        <f>IF(Timeline!BE$18=1, $F804, BD804)+BE689+BE781</f>
        <v>0</v>
      </c>
      <c r="BF804" s="10">
        <f>IF(Timeline!BF$18=1, $F804, BE804)+BF689+BF781</f>
        <v>0</v>
      </c>
      <c r="BG804" s="10">
        <f>IF(Timeline!BG$18=1, $F804, BF804)+BG689+BG781</f>
        <v>0</v>
      </c>
      <c r="BH804" s="10">
        <f>IF(Timeline!BH$18=1, $F804, BG804)+BH689+BH781</f>
        <v>0</v>
      </c>
      <c r="BI804" s="10">
        <f>IF(Timeline!BI$18=1, $F804, BH804)+BI689+BI781</f>
        <v>0</v>
      </c>
      <c r="BJ804" s="10">
        <f>IF(Timeline!BJ$18=1, $F804, BI804)+BJ689+BJ781</f>
        <v>0</v>
      </c>
      <c r="BK804" s="329"/>
      <c r="BL804" s="13">
        <f t="shared" si="962"/>
        <v>0</v>
      </c>
      <c r="BM804" s="13">
        <f t="shared" si="963"/>
        <v>0</v>
      </c>
      <c r="BN804" s="13">
        <f t="shared" si="964"/>
        <v>0</v>
      </c>
      <c r="BO804" s="13">
        <f t="shared" si="965"/>
        <v>0</v>
      </c>
      <c r="BP804" s="136"/>
      <c r="BQ804" s="136"/>
      <c r="BR804" s="136"/>
      <c r="BS804" s="136"/>
      <c r="BT804" s="136"/>
      <c r="BU804" s="136"/>
      <c r="BV804" s="136"/>
      <c r="BW804" s="136"/>
      <c r="BY804" s="12"/>
      <c r="BZ804" s="335"/>
      <c r="CA804" s="12"/>
      <c r="CB804" s="335"/>
      <c r="CC804" s="335"/>
      <c r="CD804" s="335"/>
      <c r="CE804" s="335"/>
      <c r="CJ804" s="162"/>
      <c r="CM804" s="335"/>
      <c r="CN804" s="335"/>
      <c r="CO804" s="335"/>
      <c r="CP804" s="335"/>
      <c r="CR804" s="12"/>
      <c r="CT804" s="335"/>
      <c r="CU804" s="335"/>
      <c r="EW804" s="335"/>
      <c r="EX804" s="10" t="str">
        <f t="shared" si="933"/>
        <v/>
      </c>
    </row>
    <row r="805" spans="1:154" s="67" customFormat="1" x14ac:dyDescent="0.25">
      <c r="B805" s="84" t="str" cm="1">
        <f t="array" aca="1" ref="B805" ca="1">HYPERLINK(CONCATENATE("#",CELL("address",$D$123)),$D$123)</f>
        <v>Loan 5</v>
      </c>
      <c r="C805" s="380"/>
      <c r="D805" s="60" t="str">
        <f>D$17</f>
        <v>NatWest</v>
      </c>
      <c r="E805" s="60" t="str">
        <f>E$17</f>
        <v xml:space="preserve">Commercial </v>
      </c>
      <c r="F805" s="10">
        <f t="shared" si="960"/>
        <v>0</v>
      </c>
      <c r="G805" s="396"/>
      <c r="H805" s="50" t="s">
        <v>157</v>
      </c>
      <c r="S805" s="335"/>
      <c r="T805" s="335"/>
      <c r="U805" s="335"/>
      <c r="V805" s="13">
        <f t="shared" si="966"/>
        <v>0</v>
      </c>
      <c r="W805" s="10">
        <f t="shared" si="961"/>
        <v>0</v>
      </c>
      <c r="X805" s="10">
        <f t="shared" si="961"/>
        <v>0</v>
      </c>
      <c r="Y805" s="10">
        <f t="shared" si="961"/>
        <v>0</v>
      </c>
      <c r="Z805" s="329"/>
      <c r="AA805" s="10">
        <f>IF(Timeline!AA$18=1, $F805, Z805)+AA690+AA782</f>
        <v>0</v>
      </c>
      <c r="AB805" s="10">
        <f>IF(Timeline!AB$18=1, $F805, AA805)+AB690+AB782</f>
        <v>0</v>
      </c>
      <c r="AC805" s="10">
        <f>IF(Timeline!AC$18=1, $F805, AB805)+AC690+AC782</f>
        <v>0</v>
      </c>
      <c r="AD805" s="10">
        <f>IF(Timeline!AD$18=1, $F805, AC805)+AD690+AD782</f>
        <v>0</v>
      </c>
      <c r="AE805" s="10">
        <f>IF(Timeline!AE$18=1, $F805, AD805)+AE690+AE782</f>
        <v>0</v>
      </c>
      <c r="AF805" s="10">
        <f>IF(Timeline!AF$18=1, $F805, AE805)+AF690+AF782</f>
        <v>0</v>
      </c>
      <c r="AG805" s="10">
        <f>IF(Timeline!AG$18=1, $F805, AF805)+AG690+AG782</f>
        <v>0</v>
      </c>
      <c r="AH805" s="10">
        <f>IF(Timeline!AH$18=1, $F805, AG805)+AH690+AH782</f>
        <v>0</v>
      </c>
      <c r="AI805" s="10">
        <f>IF(Timeline!AI$18=1, $F805, AH805)+AI690+AI782</f>
        <v>0</v>
      </c>
      <c r="AJ805" s="10">
        <f>IF(Timeline!AJ$18=1, $F805, AI805)+AJ690+AJ782</f>
        <v>0</v>
      </c>
      <c r="AK805" s="10">
        <f>IF(Timeline!AK$18=1, $F805, AJ805)+AK690+AK782</f>
        <v>0</v>
      </c>
      <c r="AL805" s="10">
        <f>IF(Timeline!AL$18=1, $F805, AK805)+AL690+AL782</f>
        <v>0</v>
      </c>
      <c r="AM805" s="10">
        <f>IF(Timeline!AM$18=1, $F805, AL805)+AM690+AM782</f>
        <v>0</v>
      </c>
      <c r="AN805" s="10">
        <f>IF(Timeline!AN$18=1, $F805, AM805)+AN690+AN782</f>
        <v>0</v>
      </c>
      <c r="AO805" s="10">
        <f>IF(Timeline!AO$18=1, $F805, AN805)+AO690+AO782</f>
        <v>0</v>
      </c>
      <c r="AP805" s="10">
        <f>IF(Timeline!AP$18=1, $F805, AO805)+AP690+AP782</f>
        <v>0</v>
      </c>
      <c r="AQ805" s="10">
        <f>IF(Timeline!AQ$18=1, $F805, AP805)+AQ690+AQ782</f>
        <v>0</v>
      </c>
      <c r="AR805" s="10">
        <f>IF(Timeline!AR$18=1, $F805, AQ805)+AR690+AR782</f>
        <v>0</v>
      </c>
      <c r="AS805" s="10">
        <f>IF(Timeline!AS$18=1, $F805, AR805)+AS690+AS782</f>
        <v>0</v>
      </c>
      <c r="AT805" s="10">
        <f>IF(Timeline!AT$18=1, $F805, AS805)+AT690+AT782</f>
        <v>0</v>
      </c>
      <c r="AU805" s="10">
        <f>IF(Timeline!AU$18=1, $F805, AT805)+AU690+AU782</f>
        <v>0</v>
      </c>
      <c r="AV805" s="10">
        <f>IF(Timeline!AV$18=1, $F805, AU805)+AV690+AV782</f>
        <v>0</v>
      </c>
      <c r="AW805" s="10">
        <f>IF(Timeline!AW$18=1, $F805, AV805)+AW690+AW782</f>
        <v>0</v>
      </c>
      <c r="AX805" s="10">
        <f>IF(Timeline!AX$18=1, $F805, AW805)+AX690+AX782</f>
        <v>0</v>
      </c>
      <c r="AY805" s="10">
        <f>IF(Timeline!AY$18=1, $F805, AX805)+AY690+AY782</f>
        <v>0</v>
      </c>
      <c r="AZ805" s="10">
        <f>IF(Timeline!AZ$18=1, $F805, AY805)+AZ690+AZ782</f>
        <v>0</v>
      </c>
      <c r="BA805" s="10">
        <f>IF(Timeline!BA$18=1, $F805, AZ805)+BA690+BA782</f>
        <v>0</v>
      </c>
      <c r="BB805" s="10">
        <f>IF(Timeline!BB$18=1, $F805, BA805)+BB690+BB782</f>
        <v>0</v>
      </c>
      <c r="BC805" s="10">
        <f>IF(Timeline!BC$18=1, $F805, BB805)+BC690+BC782</f>
        <v>0</v>
      </c>
      <c r="BD805" s="10">
        <f>IF(Timeline!BD$18=1, $F805, BC805)+BD690+BD782</f>
        <v>0</v>
      </c>
      <c r="BE805" s="10">
        <f>IF(Timeline!BE$18=1, $F805, BD805)+BE690+BE782</f>
        <v>0</v>
      </c>
      <c r="BF805" s="10">
        <f>IF(Timeline!BF$18=1, $F805, BE805)+BF690+BF782</f>
        <v>0</v>
      </c>
      <c r="BG805" s="10">
        <f>IF(Timeline!BG$18=1, $F805, BF805)+BG690+BG782</f>
        <v>0</v>
      </c>
      <c r="BH805" s="10">
        <f>IF(Timeline!BH$18=1, $F805, BG805)+BH690+BH782</f>
        <v>0</v>
      </c>
      <c r="BI805" s="10">
        <f>IF(Timeline!BI$18=1, $F805, BH805)+BI690+BI782</f>
        <v>0</v>
      </c>
      <c r="BJ805" s="10">
        <f>IF(Timeline!BJ$18=1, $F805, BI805)+BJ690+BJ782</f>
        <v>0</v>
      </c>
      <c r="BK805" s="329"/>
      <c r="BL805" s="13">
        <f t="shared" si="962"/>
        <v>0</v>
      </c>
      <c r="BM805" s="13">
        <f t="shared" si="963"/>
        <v>0</v>
      </c>
      <c r="BN805" s="13">
        <f t="shared" si="964"/>
        <v>0</v>
      </c>
      <c r="BO805" s="13">
        <f t="shared" si="965"/>
        <v>0</v>
      </c>
      <c r="BP805" s="136"/>
      <c r="BQ805" s="136"/>
      <c r="BR805" s="136"/>
      <c r="BS805" s="136"/>
      <c r="BT805" s="136"/>
      <c r="BU805" s="136"/>
      <c r="BV805" s="136"/>
      <c r="BW805" s="136"/>
      <c r="BY805" s="12"/>
      <c r="BZ805" s="335"/>
      <c r="CA805" s="12"/>
      <c r="CB805" s="335"/>
      <c r="CC805" s="335"/>
      <c r="CD805" s="335"/>
      <c r="CE805" s="335"/>
      <c r="CJ805" s="162"/>
      <c r="CM805" s="335"/>
      <c r="CN805" s="335"/>
      <c r="CO805" s="335"/>
      <c r="CP805" s="335"/>
      <c r="CR805" s="12"/>
      <c r="CT805" s="335"/>
      <c r="CU805" s="335"/>
      <c r="EW805" s="335"/>
      <c r="EX805" s="10" t="str">
        <f t="shared" si="933"/>
        <v/>
      </c>
    </row>
    <row r="806" spans="1:154" s="67" customFormat="1" x14ac:dyDescent="0.25">
      <c r="B806" s="84" t="str" cm="1">
        <f t="array" aca="1" ref="B806" ca="1">HYPERLINK(CONCATENATE("#",CELL("address",$D$142)),$D$142)</f>
        <v>Loan 6</v>
      </c>
      <c r="C806" s="380"/>
      <c r="D806" s="60">
        <f>D$18</f>
        <v>0</v>
      </c>
      <c r="E806" s="60">
        <f>E$18</f>
        <v>0</v>
      </c>
      <c r="F806" s="10">
        <f t="shared" si="960"/>
        <v>0</v>
      </c>
      <c r="G806" s="9"/>
      <c r="H806" s="50" t="s">
        <v>157</v>
      </c>
      <c r="S806" s="335"/>
      <c r="T806" s="335"/>
      <c r="U806" s="335"/>
      <c r="V806" s="13">
        <f t="shared" si="966"/>
        <v>0</v>
      </c>
      <c r="W806" s="10">
        <f t="shared" si="961"/>
        <v>0</v>
      </c>
      <c r="X806" s="10">
        <f t="shared" si="961"/>
        <v>0</v>
      </c>
      <c r="Y806" s="10">
        <f t="shared" si="961"/>
        <v>0</v>
      </c>
      <c r="Z806" s="329"/>
      <c r="AA806" s="10">
        <f>IF(Timeline!AA$18=1, $F806, Z806)+AA691+AA783</f>
        <v>0</v>
      </c>
      <c r="AB806" s="10">
        <f>IF(Timeline!AB$18=1, $F806, AA806)+AB691+AB783</f>
        <v>0</v>
      </c>
      <c r="AC806" s="10">
        <f>IF(Timeline!AC$18=1, $F806, AB806)+AC691+AC783</f>
        <v>0</v>
      </c>
      <c r="AD806" s="10">
        <f>IF(Timeline!AD$18=1, $F806, AC806)+AD691+AD783</f>
        <v>0</v>
      </c>
      <c r="AE806" s="10">
        <f>IF(Timeline!AE$18=1, $F806, AD806)+AE691+AE783</f>
        <v>0</v>
      </c>
      <c r="AF806" s="10">
        <f>IF(Timeline!AF$18=1, $F806, AE806)+AF691+AF783</f>
        <v>0</v>
      </c>
      <c r="AG806" s="10">
        <f>IF(Timeline!AG$18=1, $F806, AF806)+AG691+AG783</f>
        <v>0</v>
      </c>
      <c r="AH806" s="10">
        <f>IF(Timeline!AH$18=1, $F806, AG806)+AH691+AH783</f>
        <v>0</v>
      </c>
      <c r="AI806" s="10">
        <f>IF(Timeline!AI$18=1, $F806, AH806)+AI691+AI783</f>
        <v>0</v>
      </c>
      <c r="AJ806" s="10">
        <f>IF(Timeline!AJ$18=1, $F806, AI806)+AJ691+AJ783</f>
        <v>0</v>
      </c>
      <c r="AK806" s="10">
        <f>IF(Timeline!AK$18=1, $F806, AJ806)+AK691+AK783</f>
        <v>0</v>
      </c>
      <c r="AL806" s="10">
        <f>IF(Timeline!AL$18=1, $F806, AK806)+AL691+AL783</f>
        <v>0</v>
      </c>
      <c r="AM806" s="10">
        <f>IF(Timeline!AM$18=1, $F806, AL806)+AM691+AM783</f>
        <v>0</v>
      </c>
      <c r="AN806" s="10">
        <f>IF(Timeline!AN$18=1, $F806, AM806)+AN691+AN783</f>
        <v>0</v>
      </c>
      <c r="AO806" s="10">
        <f>IF(Timeline!AO$18=1, $F806, AN806)+AO691+AO783</f>
        <v>0</v>
      </c>
      <c r="AP806" s="10">
        <f>IF(Timeline!AP$18=1, $F806, AO806)+AP691+AP783</f>
        <v>0</v>
      </c>
      <c r="AQ806" s="10">
        <f>IF(Timeline!AQ$18=1, $F806, AP806)+AQ691+AQ783</f>
        <v>0</v>
      </c>
      <c r="AR806" s="10">
        <f>IF(Timeline!AR$18=1, $F806, AQ806)+AR691+AR783</f>
        <v>0</v>
      </c>
      <c r="AS806" s="10">
        <f>IF(Timeline!AS$18=1, $F806, AR806)+AS691+AS783</f>
        <v>0</v>
      </c>
      <c r="AT806" s="10">
        <f>IF(Timeline!AT$18=1, $F806, AS806)+AT691+AT783</f>
        <v>0</v>
      </c>
      <c r="AU806" s="10">
        <f>IF(Timeline!AU$18=1, $F806, AT806)+AU691+AU783</f>
        <v>0</v>
      </c>
      <c r="AV806" s="10">
        <f>IF(Timeline!AV$18=1, $F806, AU806)+AV691+AV783</f>
        <v>0</v>
      </c>
      <c r="AW806" s="10">
        <f>IF(Timeline!AW$18=1, $F806, AV806)+AW691+AW783</f>
        <v>0</v>
      </c>
      <c r="AX806" s="10">
        <f>IF(Timeline!AX$18=1, $F806, AW806)+AX691+AX783</f>
        <v>0</v>
      </c>
      <c r="AY806" s="10">
        <f>IF(Timeline!AY$18=1, $F806, AX806)+AY691+AY783</f>
        <v>0</v>
      </c>
      <c r="AZ806" s="10">
        <f>IF(Timeline!AZ$18=1, $F806, AY806)+AZ691+AZ783</f>
        <v>0</v>
      </c>
      <c r="BA806" s="10">
        <f>IF(Timeline!BA$18=1, $F806, AZ806)+BA691+BA783</f>
        <v>0</v>
      </c>
      <c r="BB806" s="10">
        <f>IF(Timeline!BB$18=1, $F806, BA806)+BB691+BB783</f>
        <v>0</v>
      </c>
      <c r="BC806" s="10">
        <f>IF(Timeline!BC$18=1, $F806, BB806)+BC691+BC783</f>
        <v>0</v>
      </c>
      <c r="BD806" s="10">
        <f>IF(Timeline!BD$18=1, $F806, BC806)+BD691+BD783</f>
        <v>0</v>
      </c>
      <c r="BE806" s="10">
        <f>IF(Timeline!BE$18=1, $F806, BD806)+BE691+BE783</f>
        <v>0</v>
      </c>
      <c r="BF806" s="10">
        <f>IF(Timeline!BF$18=1, $F806, BE806)+BF691+BF783</f>
        <v>0</v>
      </c>
      <c r="BG806" s="10">
        <f>IF(Timeline!BG$18=1, $F806, BF806)+BG691+BG783</f>
        <v>0</v>
      </c>
      <c r="BH806" s="10">
        <f>IF(Timeline!BH$18=1, $F806, BG806)+BH691+BH783</f>
        <v>0</v>
      </c>
      <c r="BI806" s="10">
        <f>IF(Timeline!BI$18=1, $F806, BH806)+BI691+BI783</f>
        <v>0</v>
      </c>
      <c r="BJ806" s="10">
        <f>IF(Timeline!BJ$18=1, $F806, BI806)+BJ691+BJ783</f>
        <v>0</v>
      </c>
      <c r="BK806" s="329"/>
      <c r="BL806" s="13">
        <f t="shared" si="962"/>
        <v>0</v>
      </c>
      <c r="BM806" s="13">
        <f t="shared" si="963"/>
        <v>0</v>
      </c>
      <c r="BN806" s="13">
        <f t="shared" si="964"/>
        <v>0</v>
      </c>
      <c r="BO806" s="13">
        <f t="shared" si="965"/>
        <v>0</v>
      </c>
      <c r="BP806" s="136"/>
      <c r="BQ806" s="136"/>
      <c r="BR806" s="136"/>
      <c r="BS806" s="136"/>
      <c r="BT806" s="136"/>
      <c r="BU806" s="136"/>
      <c r="BV806" s="136"/>
      <c r="BW806" s="136"/>
      <c r="BY806" s="12"/>
      <c r="BZ806" s="335"/>
      <c r="CA806" s="12"/>
      <c r="CB806" s="335"/>
      <c r="CC806" s="335"/>
      <c r="CD806" s="335"/>
      <c r="CE806" s="335"/>
      <c r="CJ806" s="162"/>
      <c r="CM806" s="335"/>
      <c r="CN806" s="335"/>
      <c r="CO806" s="335"/>
      <c r="CP806" s="335"/>
      <c r="CR806" s="12"/>
      <c r="CT806" s="335"/>
      <c r="CU806" s="335"/>
      <c r="EW806" s="335"/>
      <c r="EX806" s="10" t="str">
        <f t="shared" si="933"/>
        <v/>
      </c>
    </row>
    <row r="807" spans="1:154" s="67" customFormat="1" x14ac:dyDescent="0.25">
      <c r="B807" s="84" t="str" cm="1">
        <f t="array" aca="1" ref="B807" ca="1">HYPERLINK(CONCATENATE("#",CELL("address",$D$161)),$D$161)</f>
        <v>Loan 7</v>
      </c>
      <c r="C807" s="380"/>
      <c r="D807" s="60">
        <f>D$19</f>
        <v>0</v>
      </c>
      <c r="E807" s="60">
        <f>E$19</f>
        <v>0</v>
      </c>
      <c r="F807" s="10">
        <f t="shared" si="960"/>
        <v>0</v>
      </c>
      <c r="G807" s="9"/>
      <c r="H807" s="50" t="s">
        <v>157</v>
      </c>
      <c r="S807" s="335"/>
      <c r="T807" s="335"/>
      <c r="U807" s="335"/>
      <c r="V807" s="13">
        <f t="shared" si="966"/>
        <v>0</v>
      </c>
      <c r="W807" s="10">
        <f t="shared" si="961"/>
        <v>0</v>
      </c>
      <c r="X807" s="10">
        <f t="shared" si="961"/>
        <v>0</v>
      </c>
      <c r="Y807" s="10">
        <f t="shared" si="961"/>
        <v>0</v>
      </c>
      <c r="Z807" s="329"/>
      <c r="AA807" s="10">
        <f>IF(Timeline!AA$18=1, $F807, Z807)+AA692+AA784</f>
        <v>0</v>
      </c>
      <c r="AB807" s="10">
        <f>IF(Timeline!AB$18=1, $F807, AA807)+AB692+AB784</f>
        <v>0</v>
      </c>
      <c r="AC807" s="10">
        <f>IF(Timeline!AC$18=1, $F807, AB807)+AC692+AC784</f>
        <v>0</v>
      </c>
      <c r="AD807" s="10">
        <f>IF(Timeline!AD$18=1, $F807, AC807)+AD692+AD784</f>
        <v>0</v>
      </c>
      <c r="AE807" s="10">
        <f>IF(Timeline!AE$18=1, $F807, AD807)+AE692+AE784</f>
        <v>0</v>
      </c>
      <c r="AF807" s="10">
        <f>IF(Timeline!AF$18=1, $F807, AE807)+AF692+AF784</f>
        <v>0</v>
      </c>
      <c r="AG807" s="10">
        <f>IF(Timeline!AG$18=1, $F807, AF807)+AG692+AG784</f>
        <v>0</v>
      </c>
      <c r="AH807" s="10">
        <f>IF(Timeline!AH$18=1, $F807, AG807)+AH692+AH784</f>
        <v>0</v>
      </c>
      <c r="AI807" s="10">
        <f>IF(Timeline!AI$18=1, $F807, AH807)+AI692+AI784</f>
        <v>0</v>
      </c>
      <c r="AJ807" s="10">
        <f>IF(Timeline!AJ$18=1, $F807, AI807)+AJ692+AJ784</f>
        <v>0</v>
      </c>
      <c r="AK807" s="10">
        <f>IF(Timeline!AK$18=1, $F807, AJ807)+AK692+AK784</f>
        <v>0</v>
      </c>
      <c r="AL807" s="10">
        <f>IF(Timeline!AL$18=1, $F807, AK807)+AL692+AL784</f>
        <v>0</v>
      </c>
      <c r="AM807" s="10">
        <f>IF(Timeline!AM$18=1, $F807, AL807)+AM692+AM784</f>
        <v>0</v>
      </c>
      <c r="AN807" s="10">
        <f>IF(Timeline!AN$18=1, $F807, AM807)+AN692+AN784</f>
        <v>0</v>
      </c>
      <c r="AO807" s="10">
        <f>IF(Timeline!AO$18=1, $F807, AN807)+AO692+AO784</f>
        <v>0</v>
      </c>
      <c r="AP807" s="10">
        <f>IF(Timeline!AP$18=1, $F807, AO807)+AP692+AP784</f>
        <v>0</v>
      </c>
      <c r="AQ807" s="10">
        <f>IF(Timeline!AQ$18=1, $F807, AP807)+AQ692+AQ784</f>
        <v>0</v>
      </c>
      <c r="AR807" s="10">
        <f>IF(Timeline!AR$18=1, $F807, AQ807)+AR692+AR784</f>
        <v>0</v>
      </c>
      <c r="AS807" s="10">
        <f>IF(Timeline!AS$18=1, $F807, AR807)+AS692+AS784</f>
        <v>0</v>
      </c>
      <c r="AT807" s="10">
        <f>IF(Timeline!AT$18=1, $F807, AS807)+AT692+AT784</f>
        <v>0</v>
      </c>
      <c r="AU807" s="10">
        <f>IF(Timeline!AU$18=1, $F807, AT807)+AU692+AU784</f>
        <v>0</v>
      </c>
      <c r="AV807" s="10">
        <f>IF(Timeline!AV$18=1, $F807, AU807)+AV692+AV784</f>
        <v>0</v>
      </c>
      <c r="AW807" s="10">
        <f>IF(Timeline!AW$18=1, $F807, AV807)+AW692+AW784</f>
        <v>0</v>
      </c>
      <c r="AX807" s="10">
        <f>IF(Timeline!AX$18=1, $F807, AW807)+AX692+AX784</f>
        <v>0</v>
      </c>
      <c r="AY807" s="10">
        <f>IF(Timeline!AY$18=1, $F807, AX807)+AY692+AY784</f>
        <v>0</v>
      </c>
      <c r="AZ807" s="10">
        <f>IF(Timeline!AZ$18=1, $F807, AY807)+AZ692+AZ784</f>
        <v>0</v>
      </c>
      <c r="BA807" s="10">
        <f>IF(Timeline!BA$18=1, $F807, AZ807)+BA692+BA784</f>
        <v>0</v>
      </c>
      <c r="BB807" s="10">
        <f>IF(Timeline!BB$18=1, $F807, BA807)+BB692+BB784</f>
        <v>0</v>
      </c>
      <c r="BC807" s="10">
        <f>IF(Timeline!BC$18=1, $F807, BB807)+BC692+BC784</f>
        <v>0</v>
      </c>
      <c r="BD807" s="10">
        <f>IF(Timeline!BD$18=1, $F807, BC807)+BD692+BD784</f>
        <v>0</v>
      </c>
      <c r="BE807" s="10">
        <f>IF(Timeline!BE$18=1, $F807, BD807)+BE692+BE784</f>
        <v>0</v>
      </c>
      <c r="BF807" s="10">
        <f>IF(Timeline!BF$18=1, $F807, BE807)+BF692+BF784</f>
        <v>0</v>
      </c>
      <c r="BG807" s="10">
        <f>IF(Timeline!BG$18=1, $F807, BF807)+BG692+BG784</f>
        <v>0</v>
      </c>
      <c r="BH807" s="10">
        <f>IF(Timeline!BH$18=1, $F807, BG807)+BH692+BH784</f>
        <v>0</v>
      </c>
      <c r="BI807" s="10">
        <f>IF(Timeline!BI$18=1, $F807, BH807)+BI692+BI784</f>
        <v>0</v>
      </c>
      <c r="BJ807" s="10">
        <f>IF(Timeline!BJ$18=1, $F807, BI807)+BJ692+BJ784</f>
        <v>0</v>
      </c>
      <c r="BK807" s="329"/>
      <c r="BL807" s="13">
        <f t="shared" si="962"/>
        <v>0</v>
      </c>
      <c r="BM807" s="13">
        <f t="shared" si="963"/>
        <v>0</v>
      </c>
      <c r="BN807" s="13">
        <f t="shared" si="964"/>
        <v>0</v>
      </c>
      <c r="BO807" s="13">
        <f t="shared" si="965"/>
        <v>0</v>
      </c>
      <c r="BP807" s="136"/>
      <c r="BQ807" s="136"/>
      <c r="BR807" s="136"/>
      <c r="BS807" s="136"/>
      <c r="BT807" s="136"/>
      <c r="BU807" s="136"/>
      <c r="BV807" s="136"/>
      <c r="BW807" s="136"/>
      <c r="BY807" s="12"/>
      <c r="BZ807" s="335"/>
      <c r="CA807" s="12"/>
      <c r="CB807" s="335"/>
      <c r="CC807" s="335"/>
      <c r="CD807" s="335"/>
      <c r="CE807" s="335"/>
      <c r="CJ807" s="162"/>
      <c r="CM807" s="335"/>
      <c r="CN807" s="335"/>
      <c r="CO807" s="335"/>
      <c r="CP807" s="335"/>
      <c r="CR807" s="12"/>
      <c r="CT807" s="335"/>
      <c r="CU807" s="335"/>
      <c r="EW807" s="335"/>
      <c r="EX807" s="10" t="str">
        <f t="shared" si="933"/>
        <v/>
      </c>
    </row>
    <row r="808" spans="1:154" s="67" customFormat="1" x14ac:dyDescent="0.25">
      <c r="B808" s="84" t="str" cm="1">
        <f t="array" aca="1" ref="B808" ca="1">HYPERLINK(CONCATENATE("#",CELL("address",$D$180)),$D$180)</f>
        <v>Loan 8</v>
      </c>
      <c r="C808" s="380"/>
      <c r="D808" s="60">
        <f>D$20</f>
        <v>0</v>
      </c>
      <c r="E808" s="60">
        <f>E$20</f>
        <v>0</v>
      </c>
      <c r="F808" s="10">
        <f t="shared" si="960"/>
        <v>0</v>
      </c>
      <c r="G808" s="9"/>
      <c r="H808" s="50" t="s">
        <v>157</v>
      </c>
      <c r="S808" s="335"/>
      <c r="T808" s="335"/>
      <c r="U808" s="335"/>
      <c r="V808" s="13">
        <f t="shared" si="966"/>
        <v>0</v>
      </c>
      <c r="W808" s="10">
        <f t="shared" si="961"/>
        <v>0</v>
      </c>
      <c r="X808" s="10">
        <f t="shared" si="961"/>
        <v>0</v>
      </c>
      <c r="Y808" s="10">
        <f t="shared" si="961"/>
        <v>0</v>
      </c>
      <c r="Z808" s="329"/>
      <c r="AA808" s="10">
        <f>IF(Timeline!AA$18=1, $F808, Z808)+AA693+AA785</f>
        <v>0</v>
      </c>
      <c r="AB808" s="10">
        <f>IF(Timeline!AB$18=1, $F808, AA808)+AB693+AB785</f>
        <v>0</v>
      </c>
      <c r="AC808" s="10">
        <f>IF(Timeline!AC$18=1, $F808, AB808)+AC693+AC785</f>
        <v>0</v>
      </c>
      <c r="AD808" s="10">
        <f>IF(Timeline!AD$18=1, $F808, AC808)+AD693+AD785</f>
        <v>0</v>
      </c>
      <c r="AE808" s="10">
        <f>IF(Timeline!AE$18=1, $F808, AD808)+AE693+AE785</f>
        <v>0</v>
      </c>
      <c r="AF808" s="10">
        <f>IF(Timeline!AF$18=1, $F808, AE808)+AF693+AF785</f>
        <v>0</v>
      </c>
      <c r="AG808" s="10">
        <f>IF(Timeline!AG$18=1, $F808, AF808)+AG693+AG785</f>
        <v>0</v>
      </c>
      <c r="AH808" s="10">
        <f>IF(Timeline!AH$18=1, $F808, AG808)+AH693+AH785</f>
        <v>0</v>
      </c>
      <c r="AI808" s="10">
        <f>IF(Timeline!AI$18=1, $F808, AH808)+AI693+AI785</f>
        <v>0</v>
      </c>
      <c r="AJ808" s="10">
        <f>IF(Timeline!AJ$18=1, $F808, AI808)+AJ693+AJ785</f>
        <v>0</v>
      </c>
      <c r="AK808" s="10">
        <f>IF(Timeline!AK$18=1, $F808, AJ808)+AK693+AK785</f>
        <v>0</v>
      </c>
      <c r="AL808" s="10">
        <f>IF(Timeline!AL$18=1, $F808, AK808)+AL693+AL785</f>
        <v>0</v>
      </c>
      <c r="AM808" s="10">
        <f>IF(Timeline!AM$18=1, $F808, AL808)+AM693+AM785</f>
        <v>0</v>
      </c>
      <c r="AN808" s="10">
        <f>IF(Timeline!AN$18=1, $F808, AM808)+AN693+AN785</f>
        <v>0</v>
      </c>
      <c r="AO808" s="10">
        <f>IF(Timeline!AO$18=1, $F808, AN808)+AO693+AO785</f>
        <v>0</v>
      </c>
      <c r="AP808" s="10">
        <f>IF(Timeline!AP$18=1, $F808, AO808)+AP693+AP785</f>
        <v>0</v>
      </c>
      <c r="AQ808" s="10">
        <f>IF(Timeline!AQ$18=1, $F808, AP808)+AQ693+AQ785</f>
        <v>0</v>
      </c>
      <c r="AR808" s="10">
        <f>IF(Timeline!AR$18=1, $F808, AQ808)+AR693+AR785</f>
        <v>0</v>
      </c>
      <c r="AS808" s="10">
        <f>IF(Timeline!AS$18=1, $F808, AR808)+AS693+AS785</f>
        <v>0</v>
      </c>
      <c r="AT808" s="10">
        <f>IF(Timeline!AT$18=1, $F808, AS808)+AT693+AT785</f>
        <v>0</v>
      </c>
      <c r="AU808" s="10">
        <f>IF(Timeline!AU$18=1, $F808, AT808)+AU693+AU785</f>
        <v>0</v>
      </c>
      <c r="AV808" s="10">
        <f>IF(Timeline!AV$18=1, $F808, AU808)+AV693+AV785</f>
        <v>0</v>
      </c>
      <c r="AW808" s="10">
        <f>IF(Timeline!AW$18=1, $F808, AV808)+AW693+AW785</f>
        <v>0</v>
      </c>
      <c r="AX808" s="10">
        <f>IF(Timeline!AX$18=1, $F808, AW808)+AX693+AX785</f>
        <v>0</v>
      </c>
      <c r="AY808" s="10">
        <f>IF(Timeline!AY$18=1, $F808, AX808)+AY693+AY785</f>
        <v>0</v>
      </c>
      <c r="AZ808" s="10">
        <f>IF(Timeline!AZ$18=1, $F808, AY808)+AZ693+AZ785</f>
        <v>0</v>
      </c>
      <c r="BA808" s="10">
        <f>IF(Timeline!BA$18=1, $F808, AZ808)+BA693+BA785</f>
        <v>0</v>
      </c>
      <c r="BB808" s="10">
        <f>IF(Timeline!BB$18=1, $F808, BA808)+BB693+BB785</f>
        <v>0</v>
      </c>
      <c r="BC808" s="10">
        <f>IF(Timeline!BC$18=1, $F808, BB808)+BC693+BC785</f>
        <v>0</v>
      </c>
      <c r="BD808" s="10">
        <f>IF(Timeline!BD$18=1, $F808, BC808)+BD693+BD785</f>
        <v>0</v>
      </c>
      <c r="BE808" s="10">
        <f>IF(Timeline!BE$18=1, $F808, BD808)+BE693+BE785</f>
        <v>0</v>
      </c>
      <c r="BF808" s="10">
        <f>IF(Timeline!BF$18=1, $F808, BE808)+BF693+BF785</f>
        <v>0</v>
      </c>
      <c r="BG808" s="10">
        <f>IF(Timeline!BG$18=1, $F808, BF808)+BG693+BG785</f>
        <v>0</v>
      </c>
      <c r="BH808" s="10">
        <f>IF(Timeline!BH$18=1, $F808, BG808)+BH693+BH785</f>
        <v>0</v>
      </c>
      <c r="BI808" s="10">
        <f>IF(Timeline!BI$18=1, $F808, BH808)+BI693+BI785</f>
        <v>0</v>
      </c>
      <c r="BJ808" s="10">
        <f>IF(Timeline!BJ$18=1, $F808, BI808)+BJ693+BJ785</f>
        <v>0</v>
      </c>
      <c r="BK808" s="329"/>
      <c r="BL808" s="13">
        <f t="shared" si="962"/>
        <v>0</v>
      </c>
      <c r="BM808" s="13">
        <f t="shared" si="963"/>
        <v>0</v>
      </c>
      <c r="BN808" s="13">
        <f t="shared" si="964"/>
        <v>0</v>
      </c>
      <c r="BO808" s="13">
        <f t="shared" si="965"/>
        <v>0</v>
      </c>
      <c r="BP808" s="136"/>
      <c r="BQ808" s="136"/>
      <c r="BR808" s="136"/>
      <c r="BS808" s="136"/>
      <c r="BT808" s="136"/>
      <c r="BU808" s="136"/>
      <c r="BV808" s="136"/>
      <c r="BW808" s="136"/>
      <c r="BY808" s="12"/>
      <c r="BZ808" s="335"/>
      <c r="CA808" s="12"/>
      <c r="CB808" s="335"/>
      <c r="CC808" s="335"/>
      <c r="CD808" s="335"/>
      <c r="CE808" s="335"/>
      <c r="CJ808" s="162"/>
      <c r="CM808" s="335"/>
      <c r="CN808" s="335"/>
      <c r="CO808" s="335"/>
      <c r="CP808" s="335"/>
      <c r="CR808" s="12"/>
      <c r="CT808" s="335"/>
      <c r="CU808" s="335"/>
      <c r="EW808" s="335"/>
      <c r="EX808" s="10" t="str">
        <f t="shared" si="933"/>
        <v/>
      </c>
    </row>
    <row r="809" spans="1:154" s="67" customFormat="1" x14ac:dyDescent="0.25">
      <c r="B809" s="84" t="str" cm="1">
        <f t="array" aca="1" ref="B809" ca="1">HYPERLINK(CONCATENATE("#",CELL("address",$D$199)),$D$199)</f>
        <v>Loan 9</v>
      </c>
      <c r="C809" s="380"/>
      <c r="D809" s="60">
        <f>D$21</f>
        <v>0</v>
      </c>
      <c r="E809" s="60">
        <f>E$21</f>
        <v>0</v>
      </c>
      <c r="F809" s="10">
        <f t="shared" si="960"/>
        <v>0</v>
      </c>
      <c r="G809" s="9"/>
      <c r="H809" s="50" t="s">
        <v>157</v>
      </c>
      <c r="S809" s="335"/>
      <c r="T809" s="335"/>
      <c r="U809" s="335"/>
      <c r="V809" s="13">
        <f t="shared" si="966"/>
        <v>0</v>
      </c>
      <c r="W809" s="10">
        <f t="shared" si="961"/>
        <v>0</v>
      </c>
      <c r="X809" s="10">
        <f t="shared" si="961"/>
        <v>0</v>
      </c>
      <c r="Y809" s="10">
        <f t="shared" si="961"/>
        <v>0</v>
      </c>
      <c r="Z809" s="329"/>
      <c r="AA809" s="10">
        <f>IF(Timeline!AA$18=1, $F809, Z809)+AA694+AA786</f>
        <v>0</v>
      </c>
      <c r="AB809" s="10">
        <f>IF(Timeline!AB$18=1, $F809, AA809)+AB694+AB786</f>
        <v>0</v>
      </c>
      <c r="AC809" s="10">
        <f>IF(Timeline!AC$18=1, $F809, AB809)+AC694+AC786</f>
        <v>0</v>
      </c>
      <c r="AD809" s="10">
        <f>IF(Timeline!AD$18=1, $F809, AC809)+AD694+AD786</f>
        <v>0</v>
      </c>
      <c r="AE809" s="10">
        <f>IF(Timeline!AE$18=1, $F809, AD809)+AE694+AE786</f>
        <v>0</v>
      </c>
      <c r="AF809" s="10">
        <f>IF(Timeline!AF$18=1, $F809, AE809)+AF694+AF786</f>
        <v>0</v>
      </c>
      <c r="AG809" s="10">
        <f>IF(Timeline!AG$18=1, $F809, AF809)+AG694+AG786</f>
        <v>0</v>
      </c>
      <c r="AH809" s="10">
        <f>IF(Timeline!AH$18=1, $F809, AG809)+AH694+AH786</f>
        <v>0</v>
      </c>
      <c r="AI809" s="10">
        <f>IF(Timeline!AI$18=1, $F809, AH809)+AI694+AI786</f>
        <v>0</v>
      </c>
      <c r="AJ809" s="10">
        <f>IF(Timeline!AJ$18=1, $F809, AI809)+AJ694+AJ786</f>
        <v>0</v>
      </c>
      <c r="AK809" s="10">
        <f>IF(Timeline!AK$18=1, $F809, AJ809)+AK694+AK786</f>
        <v>0</v>
      </c>
      <c r="AL809" s="10">
        <f>IF(Timeline!AL$18=1, $F809, AK809)+AL694+AL786</f>
        <v>0</v>
      </c>
      <c r="AM809" s="10">
        <f>IF(Timeline!AM$18=1, $F809, AL809)+AM694+AM786</f>
        <v>0</v>
      </c>
      <c r="AN809" s="10">
        <f>IF(Timeline!AN$18=1, $F809, AM809)+AN694+AN786</f>
        <v>0</v>
      </c>
      <c r="AO809" s="10">
        <f>IF(Timeline!AO$18=1, $F809, AN809)+AO694+AO786</f>
        <v>0</v>
      </c>
      <c r="AP809" s="10">
        <f>IF(Timeline!AP$18=1, $F809, AO809)+AP694+AP786</f>
        <v>0</v>
      </c>
      <c r="AQ809" s="10">
        <f>IF(Timeline!AQ$18=1, $F809, AP809)+AQ694+AQ786</f>
        <v>0</v>
      </c>
      <c r="AR809" s="10">
        <f>IF(Timeline!AR$18=1, $F809, AQ809)+AR694+AR786</f>
        <v>0</v>
      </c>
      <c r="AS809" s="10">
        <f>IF(Timeline!AS$18=1, $F809, AR809)+AS694+AS786</f>
        <v>0</v>
      </c>
      <c r="AT809" s="10">
        <f>IF(Timeline!AT$18=1, $F809, AS809)+AT694+AT786</f>
        <v>0</v>
      </c>
      <c r="AU809" s="10">
        <f>IF(Timeline!AU$18=1, $F809, AT809)+AU694+AU786</f>
        <v>0</v>
      </c>
      <c r="AV809" s="10">
        <f>IF(Timeline!AV$18=1, $F809, AU809)+AV694+AV786</f>
        <v>0</v>
      </c>
      <c r="AW809" s="10">
        <f>IF(Timeline!AW$18=1, $F809, AV809)+AW694+AW786</f>
        <v>0</v>
      </c>
      <c r="AX809" s="10">
        <f>IF(Timeline!AX$18=1, $F809, AW809)+AX694+AX786</f>
        <v>0</v>
      </c>
      <c r="AY809" s="10">
        <f>IF(Timeline!AY$18=1, $F809, AX809)+AY694+AY786</f>
        <v>0</v>
      </c>
      <c r="AZ809" s="10">
        <f>IF(Timeline!AZ$18=1, $F809, AY809)+AZ694+AZ786</f>
        <v>0</v>
      </c>
      <c r="BA809" s="10">
        <f>IF(Timeline!BA$18=1, $F809, AZ809)+BA694+BA786</f>
        <v>0</v>
      </c>
      <c r="BB809" s="10">
        <f>IF(Timeline!BB$18=1, $F809, BA809)+BB694+BB786</f>
        <v>0</v>
      </c>
      <c r="BC809" s="10">
        <f>IF(Timeline!BC$18=1, $F809, BB809)+BC694+BC786</f>
        <v>0</v>
      </c>
      <c r="BD809" s="10">
        <f>IF(Timeline!BD$18=1, $F809, BC809)+BD694+BD786</f>
        <v>0</v>
      </c>
      <c r="BE809" s="10">
        <f>IF(Timeline!BE$18=1, $F809, BD809)+BE694+BE786</f>
        <v>0</v>
      </c>
      <c r="BF809" s="10">
        <f>IF(Timeline!BF$18=1, $F809, BE809)+BF694+BF786</f>
        <v>0</v>
      </c>
      <c r="BG809" s="10">
        <f>IF(Timeline!BG$18=1, $F809, BF809)+BG694+BG786</f>
        <v>0</v>
      </c>
      <c r="BH809" s="10">
        <f>IF(Timeline!BH$18=1, $F809, BG809)+BH694+BH786</f>
        <v>0</v>
      </c>
      <c r="BI809" s="10">
        <f>IF(Timeline!BI$18=1, $F809, BH809)+BI694+BI786</f>
        <v>0</v>
      </c>
      <c r="BJ809" s="10">
        <f>IF(Timeline!BJ$18=1, $F809, BI809)+BJ694+BJ786</f>
        <v>0</v>
      </c>
      <c r="BK809" s="329"/>
      <c r="BL809" s="13">
        <f t="shared" si="962"/>
        <v>0</v>
      </c>
      <c r="BM809" s="13">
        <f t="shared" si="963"/>
        <v>0</v>
      </c>
      <c r="BN809" s="13">
        <f t="shared" si="964"/>
        <v>0</v>
      </c>
      <c r="BO809" s="13">
        <f t="shared" si="965"/>
        <v>0</v>
      </c>
      <c r="BP809" s="136"/>
      <c r="BQ809" s="136"/>
      <c r="BR809" s="136"/>
      <c r="BS809" s="136"/>
      <c r="BT809" s="136"/>
      <c r="BU809" s="136"/>
      <c r="BV809" s="136"/>
      <c r="BW809" s="136"/>
      <c r="BY809" s="12"/>
      <c r="BZ809" s="335"/>
      <c r="CA809" s="12"/>
      <c r="CB809" s="335"/>
      <c r="CC809" s="335"/>
      <c r="CD809" s="335"/>
      <c r="CE809" s="335"/>
      <c r="CJ809" s="162"/>
      <c r="CM809" s="335"/>
      <c r="CN809" s="335"/>
      <c r="CO809" s="335"/>
      <c r="CP809" s="335"/>
      <c r="CR809" s="12"/>
      <c r="CT809" s="335"/>
      <c r="CU809" s="335"/>
      <c r="EW809" s="335"/>
      <c r="EX809" s="10" t="str">
        <f t="shared" si="933"/>
        <v/>
      </c>
    </row>
    <row r="810" spans="1:154" s="67" customFormat="1" x14ac:dyDescent="0.25">
      <c r="B810" s="84" t="str" cm="1">
        <f t="array" aca="1" ref="B810" ca="1">HYPERLINK(CONCATENATE("#",CELL("address",$D$218)),$D$218)</f>
        <v>Loan 10</v>
      </c>
      <c r="C810" s="380"/>
      <c r="D810" s="60">
        <f>D$22</f>
        <v>0</v>
      </c>
      <c r="E810" s="60">
        <f>E$22</f>
        <v>0</v>
      </c>
      <c r="F810" s="10">
        <f t="shared" si="960"/>
        <v>0</v>
      </c>
      <c r="G810" s="9"/>
      <c r="H810" s="50" t="s">
        <v>157</v>
      </c>
      <c r="S810" s="335"/>
      <c r="T810" s="335"/>
      <c r="U810" s="335"/>
      <c r="V810" s="13">
        <f t="shared" si="966"/>
        <v>0</v>
      </c>
      <c r="W810" s="10">
        <f t="shared" si="961"/>
        <v>0</v>
      </c>
      <c r="X810" s="10">
        <f t="shared" si="961"/>
        <v>0</v>
      </c>
      <c r="Y810" s="10">
        <f t="shared" si="961"/>
        <v>0</v>
      </c>
      <c r="Z810" s="329"/>
      <c r="AA810" s="10">
        <f>IF(Timeline!AA$18=1, $F810, Z810)+AA695+AA787</f>
        <v>0</v>
      </c>
      <c r="AB810" s="10">
        <f>IF(Timeline!AB$18=1, $F810, AA810)+AB695+AB787</f>
        <v>0</v>
      </c>
      <c r="AC810" s="10">
        <f>IF(Timeline!AC$18=1, $F810, AB810)+AC695+AC787</f>
        <v>0</v>
      </c>
      <c r="AD810" s="10">
        <f>IF(Timeline!AD$18=1, $F810, AC810)+AD695+AD787</f>
        <v>0</v>
      </c>
      <c r="AE810" s="10">
        <f>IF(Timeline!AE$18=1, $F810, AD810)+AE695+AE787</f>
        <v>0</v>
      </c>
      <c r="AF810" s="10">
        <f>IF(Timeline!AF$18=1, $F810, AE810)+AF695+AF787</f>
        <v>0</v>
      </c>
      <c r="AG810" s="10">
        <f>IF(Timeline!AG$18=1, $F810, AF810)+AG695+AG787</f>
        <v>0</v>
      </c>
      <c r="AH810" s="10">
        <f>IF(Timeline!AH$18=1, $F810, AG810)+AH695+AH787</f>
        <v>0</v>
      </c>
      <c r="AI810" s="10">
        <f>IF(Timeline!AI$18=1, $F810, AH810)+AI695+AI787</f>
        <v>0</v>
      </c>
      <c r="AJ810" s="10">
        <f>IF(Timeline!AJ$18=1, $F810, AI810)+AJ695+AJ787</f>
        <v>0</v>
      </c>
      <c r="AK810" s="10">
        <f>IF(Timeline!AK$18=1, $F810, AJ810)+AK695+AK787</f>
        <v>0</v>
      </c>
      <c r="AL810" s="10">
        <f>IF(Timeline!AL$18=1, $F810, AK810)+AL695+AL787</f>
        <v>0</v>
      </c>
      <c r="AM810" s="10">
        <f>IF(Timeline!AM$18=1, $F810, AL810)+AM695+AM787</f>
        <v>0</v>
      </c>
      <c r="AN810" s="10">
        <f>IF(Timeline!AN$18=1, $F810, AM810)+AN695+AN787</f>
        <v>0</v>
      </c>
      <c r="AO810" s="10">
        <f>IF(Timeline!AO$18=1, $F810, AN810)+AO695+AO787</f>
        <v>0</v>
      </c>
      <c r="AP810" s="10">
        <f>IF(Timeline!AP$18=1, $F810, AO810)+AP695+AP787</f>
        <v>0</v>
      </c>
      <c r="AQ810" s="10">
        <f>IF(Timeline!AQ$18=1, $F810, AP810)+AQ695+AQ787</f>
        <v>0</v>
      </c>
      <c r="AR810" s="10">
        <f>IF(Timeline!AR$18=1, $F810, AQ810)+AR695+AR787</f>
        <v>0</v>
      </c>
      <c r="AS810" s="10">
        <f>IF(Timeline!AS$18=1, $F810, AR810)+AS695+AS787</f>
        <v>0</v>
      </c>
      <c r="AT810" s="10">
        <f>IF(Timeline!AT$18=1, $F810, AS810)+AT695+AT787</f>
        <v>0</v>
      </c>
      <c r="AU810" s="10">
        <f>IF(Timeline!AU$18=1, $F810, AT810)+AU695+AU787</f>
        <v>0</v>
      </c>
      <c r="AV810" s="10">
        <f>IF(Timeline!AV$18=1, $F810, AU810)+AV695+AV787</f>
        <v>0</v>
      </c>
      <c r="AW810" s="10">
        <f>IF(Timeline!AW$18=1, $F810, AV810)+AW695+AW787</f>
        <v>0</v>
      </c>
      <c r="AX810" s="10">
        <f>IF(Timeline!AX$18=1, $F810, AW810)+AX695+AX787</f>
        <v>0</v>
      </c>
      <c r="AY810" s="10">
        <f>IF(Timeline!AY$18=1, $F810, AX810)+AY695+AY787</f>
        <v>0</v>
      </c>
      <c r="AZ810" s="10">
        <f>IF(Timeline!AZ$18=1, $F810, AY810)+AZ695+AZ787</f>
        <v>0</v>
      </c>
      <c r="BA810" s="10">
        <f>IF(Timeline!BA$18=1, $F810, AZ810)+BA695+BA787</f>
        <v>0</v>
      </c>
      <c r="BB810" s="10">
        <f>IF(Timeline!BB$18=1, $F810, BA810)+BB695+BB787</f>
        <v>0</v>
      </c>
      <c r="BC810" s="10">
        <f>IF(Timeline!BC$18=1, $F810, BB810)+BC695+BC787</f>
        <v>0</v>
      </c>
      <c r="BD810" s="10">
        <f>IF(Timeline!BD$18=1, $F810, BC810)+BD695+BD787</f>
        <v>0</v>
      </c>
      <c r="BE810" s="10">
        <f>IF(Timeline!BE$18=1, $F810, BD810)+BE695+BE787</f>
        <v>0</v>
      </c>
      <c r="BF810" s="10">
        <f>IF(Timeline!BF$18=1, $F810, BE810)+BF695+BF787</f>
        <v>0</v>
      </c>
      <c r="BG810" s="10">
        <f>IF(Timeline!BG$18=1, $F810, BF810)+BG695+BG787</f>
        <v>0</v>
      </c>
      <c r="BH810" s="10">
        <f>IF(Timeline!BH$18=1, $F810, BG810)+BH695+BH787</f>
        <v>0</v>
      </c>
      <c r="BI810" s="10">
        <f>IF(Timeline!BI$18=1, $F810, BH810)+BI695+BI787</f>
        <v>0</v>
      </c>
      <c r="BJ810" s="10">
        <f>IF(Timeline!BJ$18=1, $F810, BI810)+BJ695+BJ787</f>
        <v>0</v>
      </c>
      <c r="BK810" s="329"/>
      <c r="BL810" s="13">
        <f t="shared" si="962"/>
        <v>0</v>
      </c>
      <c r="BM810" s="13">
        <f t="shared" si="963"/>
        <v>0</v>
      </c>
      <c r="BN810" s="13">
        <f t="shared" si="964"/>
        <v>0</v>
      </c>
      <c r="BO810" s="13">
        <f t="shared" si="965"/>
        <v>0</v>
      </c>
      <c r="BP810" s="136"/>
      <c r="BQ810" s="136"/>
      <c r="BR810" s="136"/>
      <c r="BS810" s="136"/>
      <c r="BT810" s="136"/>
      <c r="BU810" s="136"/>
      <c r="BV810" s="136"/>
      <c r="BW810" s="136"/>
      <c r="BY810" s="12"/>
      <c r="BZ810" s="335"/>
      <c r="CA810" s="12"/>
      <c r="CB810" s="335"/>
      <c r="CC810" s="335"/>
      <c r="CD810" s="335"/>
      <c r="CE810" s="335"/>
      <c r="CJ810" s="162"/>
      <c r="CM810" s="335"/>
      <c r="CN810" s="335"/>
      <c r="CO810" s="335"/>
      <c r="CP810" s="335"/>
      <c r="CR810" s="12"/>
      <c r="CT810" s="335"/>
      <c r="CU810" s="335"/>
      <c r="EW810" s="335"/>
      <c r="EX810" s="10" t="str">
        <f t="shared" si="933"/>
        <v/>
      </c>
    </row>
    <row r="811" spans="1:154" s="67" customFormat="1" x14ac:dyDescent="0.25">
      <c r="B811" s="84" t="str" cm="1">
        <f t="array" aca="1" ref="B811" ca="1">HYPERLINK(CONCATENATE("#",CELL("address",$D$237)),$D$237)</f>
        <v>Loan 11</v>
      </c>
      <c r="C811" s="380"/>
      <c r="D811" s="60">
        <f>D$23</f>
        <v>0</v>
      </c>
      <c r="E811" s="60">
        <f>E$23</f>
        <v>0</v>
      </c>
      <c r="F811" s="10">
        <f t="shared" si="960"/>
        <v>0</v>
      </c>
      <c r="G811" s="9"/>
      <c r="H811" s="50" t="s">
        <v>157</v>
      </c>
      <c r="S811" s="335"/>
      <c r="T811" s="335"/>
      <c r="U811" s="335"/>
      <c r="V811" s="13">
        <f t="shared" si="966"/>
        <v>0</v>
      </c>
      <c r="W811" s="10">
        <f t="shared" si="961"/>
        <v>0</v>
      </c>
      <c r="X811" s="10">
        <f t="shared" si="961"/>
        <v>0</v>
      </c>
      <c r="Y811" s="10">
        <f t="shared" si="961"/>
        <v>0</v>
      </c>
      <c r="Z811" s="329"/>
      <c r="AA811" s="10">
        <f>IF(Timeline!AA$18=1, $F811, Z811)+AA696+AA788</f>
        <v>0</v>
      </c>
      <c r="AB811" s="10">
        <f>IF(Timeline!AB$18=1, $F811, AA811)+AB696+AB788</f>
        <v>0</v>
      </c>
      <c r="AC811" s="10">
        <f>IF(Timeline!AC$18=1, $F811, AB811)+AC696+AC788</f>
        <v>0</v>
      </c>
      <c r="AD811" s="10">
        <f>IF(Timeline!AD$18=1, $F811, AC811)+AD696+AD788</f>
        <v>0</v>
      </c>
      <c r="AE811" s="10">
        <f>IF(Timeline!AE$18=1, $F811, AD811)+AE696+AE788</f>
        <v>0</v>
      </c>
      <c r="AF811" s="10">
        <f>IF(Timeline!AF$18=1, $F811, AE811)+AF696+AF788</f>
        <v>0</v>
      </c>
      <c r="AG811" s="10">
        <f>IF(Timeline!AG$18=1, $F811, AF811)+AG696+AG788</f>
        <v>0</v>
      </c>
      <c r="AH811" s="10">
        <f>IF(Timeline!AH$18=1, $F811, AG811)+AH696+AH788</f>
        <v>0</v>
      </c>
      <c r="AI811" s="10">
        <f>IF(Timeline!AI$18=1, $F811, AH811)+AI696+AI788</f>
        <v>0</v>
      </c>
      <c r="AJ811" s="10">
        <f>IF(Timeline!AJ$18=1, $F811, AI811)+AJ696+AJ788</f>
        <v>0</v>
      </c>
      <c r="AK811" s="10">
        <f>IF(Timeline!AK$18=1, $F811, AJ811)+AK696+AK788</f>
        <v>0</v>
      </c>
      <c r="AL811" s="10">
        <f>IF(Timeline!AL$18=1, $F811, AK811)+AL696+AL788</f>
        <v>0</v>
      </c>
      <c r="AM811" s="10">
        <f>IF(Timeline!AM$18=1, $F811, AL811)+AM696+AM788</f>
        <v>0</v>
      </c>
      <c r="AN811" s="10">
        <f>IF(Timeline!AN$18=1, $F811, AM811)+AN696+AN788</f>
        <v>0</v>
      </c>
      <c r="AO811" s="10">
        <f>IF(Timeline!AO$18=1, $F811, AN811)+AO696+AO788</f>
        <v>0</v>
      </c>
      <c r="AP811" s="10">
        <f>IF(Timeline!AP$18=1, $F811, AO811)+AP696+AP788</f>
        <v>0</v>
      </c>
      <c r="AQ811" s="10">
        <f>IF(Timeline!AQ$18=1, $F811, AP811)+AQ696+AQ788</f>
        <v>0</v>
      </c>
      <c r="AR811" s="10">
        <f>IF(Timeline!AR$18=1, $F811, AQ811)+AR696+AR788</f>
        <v>0</v>
      </c>
      <c r="AS811" s="10">
        <f>IF(Timeline!AS$18=1, $F811, AR811)+AS696+AS788</f>
        <v>0</v>
      </c>
      <c r="AT811" s="10">
        <f>IF(Timeline!AT$18=1, $F811, AS811)+AT696+AT788</f>
        <v>0</v>
      </c>
      <c r="AU811" s="10">
        <f>IF(Timeline!AU$18=1, $F811, AT811)+AU696+AU788</f>
        <v>0</v>
      </c>
      <c r="AV811" s="10">
        <f>IF(Timeline!AV$18=1, $F811, AU811)+AV696+AV788</f>
        <v>0</v>
      </c>
      <c r="AW811" s="10">
        <f>IF(Timeline!AW$18=1, $F811, AV811)+AW696+AW788</f>
        <v>0</v>
      </c>
      <c r="AX811" s="10">
        <f>IF(Timeline!AX$18=1, $F811, AW811)+AX696+AX788</f>
        <v>0</v>
      </c>
      <c r="AY811" s="10">
        <f>IF(Timeline!AY$18=1, $F811, AX811)+AY696+AY788</f>
        <v>0</v>
      </c>
      <c r="AZ811" s="10">
        <f>IF(Timeline!AZ$18=1, $F811, AY811)+AZ696+AZ788</f>
        <v>0</v>
      </c>
      <c r="BA811" s="10">
        <f>IF(Timeline!BA$18=1, $F811, AZ811)+BA696+BA788</f>
        <v>0</v>
      </c>
      <c r="BB811" s="10">
        <f>IF(Timeline!BB$18=1, $F811, BA811)+BB696+BB788</f>
        <v>0</v>
      </c>
      <c r="BC811" s="10">
        <f>IF(Timeline!BC$18=1, $F811, BB811)+BC696+BC788</f>
        <v>0</v>
      </c>
      <c r="BD811" s="10">
        <f>IF(Timeline!BD$18=1, $F811, BC811)+BD696+BD788</f>
        <v>0</v>
      </c>
      <c r="BE811" s="10">
        <f>IF(Timeline!BE$18=1, $F811, BD811)+BE696+BE788</f>
        <v>0</v>
      </c>
      <c r="BF811" s="10">
        <f>IF(Timeline!BF$18=1, $F811, BE811)+BF696+BF788</f>
        <v>0</v>
      </c>
      <c r="BG811" s="10">
        <f>IF(Timeline!BG$18=1, $F811, BF811)+BG696+BG788</f>
        <v>0</v>
      </c>
      <c r="BH811" s="10">
        <f>IF(Timeline!BH$18=1, $F811, BG811)+BH696+BH788</f>
        <v>0</v>
      </c>
      <c r="BI811" s="10">
        <f>IF(Timeline!BI$18=1, $F811, BH811)+BI696+BI788</f>
        <v>0</v>
      </c>
      <c r="BJ811" s="10">
        <f>IF(Timeline!BJ$18=1, $F811, BI811)+BJ696+BJ788</f>
        <v>0</v>
      </c>
      <c r="BK811" s="329"/>
      <c r="BL811" s="13">
        <f t="shared" si="962"/>
        <v>0</v>
      </c>
      <c r="BM811" s="13">
        <f t="shared" si="963"/>
        <v>0</v>
      </c>
      <c r="BN811" s="13">
        <f t="shared" si="964"/>
        <v>0</v>
      </c>
      <c r="BO811" s="13">
        <f t="shared" si="965"/>
        <v>0</v>
      </c>
      <c r="BP811" s="136"/>
      <c r="BQ811" s="136"/>
      <c r="BR811" s="136"/>
      <c r="BS811" s="136"/>
      <c r="BT811" s="136"/>
      <c r="BU811" s="136"/>
      <c r="BV811" s="136"/>
      <c r="BW811" s="136"/>
      <c r="BY811" s="12"/>
      <c r="BZ811" s="335"/>
      <c r="CA811" s="12"/>
      <c r="CB811" s="335"/>
      <c r="CC811" s="335"/>
      <c r="CD811" s="335"/>
      <c r="CE811" s="335"/>
      <c r="CJ811" s="162"/>
      <c r="CM811" s="335"/>
      <c r="CN811" s="335"/>
      <c r="CO811" s="335"/>
      <c r="CP811" s="335"/>
      <c r="CR811" s="12"/>
      <c r="CT811" s="335"/>
      <c r="CU811" s="335"/>
      <c r="EW811" s="335"/>
      <c r="EX811" s="10" t="str">
        <f t="shared" si="933"/>
        <v/>
      </c>
    </row>
    <row r="812" spans="1:154" s="67" customFormat="1" x14ac:dyDescent="0.25">
      <c r="B812" s="84" t="str" cm="1">
        <f t="array" aca="1" ref="B812" ca="1">HYPERLINK(CONCATENATE("#",CELL("address",$D$256)),$D$256)</f>
        <v>Loan 12</v>
      </c>
      <c r="C812" s="380"/>
      <c r="D812" s="60">
        <f>D$24</f>
        <v>0</v>
      </c>
      <c r="E812" s="60">
        <f>E$24</f>
        <v>0</v>
      </c>
      <c r="F812" s="10">
        <f t="shared" si="960"/>
        <v>0</v>
      </c>
      <c r="G812" s="9"/>
      <c r="H812" s="50" t="s">
        <v>157</v>
      </c>
      <c r="S812" s="335"/>
      <c r="T812" s="335"/>
      <c r="U812" s="335"/>
      <c r="V812" s="13">
        <f t="shared" si="966"/>
        <v>0</v>
      </c>
      <c r="W812" s="10">
        <f t="shared" si="961"/>
        <v>0</v>
      </c>
      <c r="X812" s="10">
        <f t="shared" si="961"/>
        <v>0</v>
      </c>
      <c r="Y812" s="10">
        <f t="shared" si="961"/>
        <v>0</v>
      </c>
      <c r="Z812" s="329"/>
      <c r="AA812" s="10">
        <f>IF(Timeline!AA$18=1, $F812, Z812)+AA697+AA789</f>
        <v>0</v>
      </c>
      <c r="AB812" s="10">
        <f>IF(Timeline!AB$18=1, $F812, AA812)+AB697+AB789</f>
        <v>0</v>
      </c>
      <c r="AC812" s="10">
        <f>IF(Timeline!AC$18=1, $F812, AB812)+AC697+AC789</f>
        <v>0</v>
      </c>
      <c r="AD812" s="10">
        <f>IF(Timeline!AD$18=1, $F812, AC812)+AD697+AD789</f>
        <v>0</v>
      </c>
      <c r="AE812" s="10">
        <f>IF(Timeline!AE$18=1, $F812, AD812)+AE697+AE789</f>
        <v>0</v>
      </c>
      <c r="AF812" s="10">
        <f>IF(Timeline!AF$18=1, $F812, AE812)+AF697+AF789</f>
        <v>0</v>
      </c>
      <c r="AG812" s="10">
        <f>IF(Timeline!AG$18=1, $F812, AF812)+AG697+AG789</f>
        <v>0</v>
      </c>
      <c r="AH812" s="10">
        <f>IF(Timeline!AH$18=1, $F812, AG812)+AH697+AH789</f>
        <v>0</v>
      </c>
      <c r="AI812" s="10">
        <f>IF(Timeline!AI$18=1, $F812, AH812)+AI697+AI789</f>
        <v>0</v>
      </c>
      <c r="AJ812" s="10">
        <f>IF(Timeline!AJ$18=1, $F812, AI812)+AJ697+AJ789</f>
        <v>0</v>
      </c>
      <c r="AK812" s="10">
        <f>IF(Timeline!AK$18=1, $F812, AJ812)+AK697+AK789</f>
        <v>0</v>
      </c>
      <c r="AL812" s="10">
        <f>IF(Timeline!AL$18=1, $F812, AK812)+AL697+AL789</f>
        <v>0</v>
      </c>
      <c r="AM812" s="10">
        <f>IF(Timeline!AM$18=1, $F812, AL812)+AM697+AM789</f>
        <v>0</v>
      </c>
      <c r="AN812" s="10">
        <f>IF(Timeline!AN$18=1, $F812, AM812)+AN697+AN789</f>
        <v>0</v>
      </c>
      <c r="AO812" s="10">
        <f>IF(Timeline!AO$18=1, $F812, AN812)+AO697+AO789</f>
        <v>0</v>
      </c>
      <c r="AP812" s="10">
        <f>IF(Timeline!AP$18=1, $F812, AO812)+AP697+AP789</f>
        <v>0</v>
      </c>
      <c r="AQ812" s="10">
        <f>IF(Timeline!AQ$18=1, $F812, AP812)+AQ697+AQ789</f>
        <v>0</v>
      </c>
      <c r="AR812" s="10">
        <f>IF(Timeline!AR$18=1, $F812, AQ812)+AR697+AR789</f>
        <v>0</v>
      </c>
      <c r="AS812" s="10">
        <f>IF(Timeline!AS$18=1, $F812, AR812)+AS697+AS789</f>
        <v>0</v>
      </c>
      <c r="AT812" s="10">
        <f>IF(Timeline!AT$18=1, $F812, AS812)+AT697+AT789</f>
        <v>0</v>
      </c>
      <c r="AU812" s="10">
        <f>IF(Timeline!AU$18=1, $F812, AT812)+AU697+AU789</f>
        <v>0</v>
      </c>
      <c r="AV812" s="10">
        <f>IF(Timeline!AV$18=1, $F812, AU812)+AV697+AV789</f>
        <v>0</v>
      </c>
      <c r="AW812" s="10">
        <f>IF(Timeline!AW$18=1, $F812, AV812)+AW697+AW789</f>
        <v>0</v>
      </c>
      <c r="AX812" s="10">
        <f>IF(Timeline!AX$18=1, $F812, AW812)+AX697+AX789</f>
        <v>0</v>
      </c>
      <c r="AY812" s="10">
        <f>IF(Timeline!AY$18=1, $F812, AX812)+AY697+AY789</f>
        <v>0</v>
      </c>
      <c r="AZ812" s="10">
        <f>IF(Timeline!AZ$18=1, $F812, AY812)+AZ697+AZ789</f>
        <v>0</v>
      </c>
      <c r="BA812" s="10">
        <f>IF(Timeline!BA$18=1, $F812, AZ812)+BA697+BA789</f>
        <v>0</v>
      </c>
      <c r="BB812" s="10">
        <f>IF(Timeline!BB$18=1, $F812, BA812)+BB697+BB789</f>
        <v>0</v>
      </c>
      <c r="BC812" s="10">
        <f>IF(Timeline!BC$18=1, $F812, BB812)+BC697+BC789</f>
        <v>0</v>
      </c>
      <c r="BD812" s="10">
        <f>IF(Timeline!BD$18=1, $F812, BC812)+BD697+BD789</f>
        <v>0</v>
      </c>
      <c r="BE812" s="10">
        <f>IF(Timeline!BE$18=1, $F812, BD812)+BE697+BE789</f>
        <v>0</v>
      </c>
      <c r="BF812" s="10">
        <f>IF(Timeline!BF$18=1, $F812, BE812)+BF697+BF789</f>
        <v>0</v>
      </c>
      <c r="BG812" s="10">
        <f>IF(Timeline!BG$18=1, $F812, BF812)+BG697+BG789</f>
        <v>0</v>
      </c>
      <c r="BH812" s="10">
        <f>IF(Timeline!BH$18=1, $F812, BG812)+BH697+BH789</f>
        <v>0</v>
      </c>
      <c r="BI812" s="10">
        <f>IF(Timeline!BI$18=1, $F812, BH812)+BI697+BI789</f>
        <v>0</v>
      </c>
      <c r="BJ812" s="10">
        <f>IF(Timeline!BJ$18=1, $F812, BI812)+BJ697+BJ789</f>
        <v>0</v>
      </c>
      <c r="BK812" s="329"/>
      <c r="BL812" s="13">
        <f t="shared" si="962"/>
        <v>0</v>
      </c>
      <c r="BM812" s="13">
        <f t="shared" si="963"/>
        <v>0</v>
      </c>
      <c r="BN812" s="13">
        <f t="shared" si="964"/>
        <v>0</v>
      </c>
      <c r="BO812" s="13">
        <f t="shared" si="965"/>
        <v>0</v>
      </c>
      <c r="BP812" s="136"/>
      <c r="BQ812" s="136"/>
      <c r="BR812" s="136"/>
      <c r="BS812" s="136"/>
      <c r="BT812" s="136"/>
      <c r="BU812" s="136"/>
      <c r="BV812" s="136"/>
      <c r="BW812" s="136"/>
      <c r="BY812" s="12"/>
      <c r="BZ812" s="335"/>
      <c r="CA812" s="12"/>
      <c r="CB812" s="335"/>
      <c r="CC812" s="335"/>
      <c r="CD812" s="335"/>
      <c r="CE812" s="335"/>
      <c r="CJ812" s="162"/>
      <c r="CM812" s="335"/>
      <c r="CN812" s="335"/>
      <c r="CO812" s="335"/>
      <c r="CP812" s="335"/>
      <c r="CR812" s="12"/>
      <c r="CT812" s="335"/>
      <c r="CU812" s="335"/>
      <c r="EW812" s="335"/>
      <c r="EX812" s="10" t="str">
        <f t="shared" si="933"/>
        <v/>
      </c>
    </row>
    <row r="813" spans="1:154" s="67" customFormat="1" x14ac:dyDescent="0.25">
      <c r="B813" s="84" t="str" cm="1">
        <f t="array" aca="1" ref="B813" ca="1">HYPERLINK(CONCATENATE("#",CELL("address",$D$275)),$D$275)</f>
        <v>Loan 13</v>
      </c>
      <c r="C813" s="380"/>
      <c r="D813" s="60">
        <f>D$25</f>
        <v>0</v>
      </c>
      <c r="E813" s="60">
        <f>E$25</f>
        <v>0</v>
      </c>
      <c r="F813" s="10">
        <f t="shared" si="960"/>
        <v>0</v>
      </c>
      <c r="G813" s="9"/>
      <c r="H813" s="50" t="s">
        <v>157</v>
      </c>
      <c r="S813" s="335"/>
      <c r="T813" s="335"/>
      <c r="U813" s="335"/>
      <c r="V813" s="13">
        <f t="shared" si="966"/>
        <v>0</v>
      </c>
      <c r="W813" s="10">
        <f t="shared" si="961"/>
        <v>0</v>
      </c>
      <c r="X813" s="10">
        <f t="shared" si="961"/>
        <v>0</v>
      </c>
      <c r="Y813" s="10">
        <f t="shared" si="961"/>
        <v>0</v>
      </c>
      <c r="Z813" s="329"/>
      <c r="AA813" s="10">
        <f>IF(Timeline!AA$18=1, $F813, Z813)+AA698+AA790</f>
        <v>0</v>
      </c>
      <c r="AB813" s="10">
        <f>IF(Timeline!AB$18=1, $F813, AA813)+AB698+AB790</f>
        <v>0</v>
      </c>
      <c r="AC813" s="10">
        <f>IF(Timeline!AC$18=1, $F813, AB813)+AC698+AC790</f>
        <v>0</v>
      </c>
      <c r="AD813" s="10">
        <f>IF(Timeline!AD$18=1, $F813, AC813)+AD698+AD790</f>
        <v>0</v>
      </c>
      <c r="AE813" s="10">
        <f>IF(Timeline!AE$18=1, $F813, AD813)+AE698+AE790</f>
        <v>0</v>
      </c>
      <c r="AF813" s="10">
        <f>IF(Timeline!AF$18=1, $F813, AE813)+AF698+AF790</f>
        <v>0</v>
      </c>
      <c r="AG813" s="10">
        <f>IF(Timeline!AG$18=1, $F813, AF813)+AG698+AG790</f>
        <v>0</v>
      </c>
      <c r="AH813" s="10">
        <f>IF(Timeline!AH$18=1, $F813, AG813)+AH698+AH790</f>
        <v>0</v>
      </c>
      <c r="AI813" s="10">
        <f>IF(Timeline!AI$18=1, $F813, AH813)+AI698+AI790</f>
        <v>0</v>
      </c>
      <c r="AJ813" s="10">
        <f>IF(Timeline!AJ$18=1, $F813, AI813)+AJ698+AJ790</f>
        <v>0</v>
      </c>
      <c r="AK813" s="10">
        <f>IF(Timeline!AK$18=1, $F813, AJ813)+AK698+AK790</f>
        <v>0</v>
      </c>
      <c r="AL813" s="10">
        <f>IF(Timeline!AL$18=1, $F813, AK813)+AL698+AL790</f>
        <v>0</v>
      </c>
      <c r="AM813" s="10">
        <f>IF(Timeline!AM$18=1, $F813, AL813)+AM698+AM790</f>
        <v>0</v>
      </c>
      <c r="AN813" s="10">
        <f>IF(Timeline!AN$18=1, $F813, AM813)+AN698+AN790</f>
        <v>0</v>
      </c>
      <c r="AO813" s="10">
        <f>IF(Timeline!AO$18=1, $F813, AN813)+AO698+AO790</f>
        <v>0</v>
      </c>
      <c r="AP813" s="10">
        <f>IF(Timeline!AP$18=1, $F813, AO813)+AP698+AP790</f>
        <v>0</v>
      </c>
      <c r="AQ813" s="10">
        <f>IF(Timeline!AQ$18=1, $F813, AP813)+AQ698+AQ790</f>
        <v>0</v>
      </c>
      <c r="AR813" s="10">
        <f>IF(Timeline!AR$18=1, $F813, AQ813)+AR698+AR790</f>
        <v>0</v>
      </c>
      <c r="AS813" s="10">
        <f>IF(Timeline!AS$18=1, $F813, AR813)+AS698+AS790</f>
        <v>0</v>
      </c>
      <c r="AT813" s="10">
        <f>IF(Timeline!AT$18=1, $F813, AS813)+AT698+AT790</f>
        <v>0</v>
      </c>
      <c r="AU813" s="10">
        <f>IF(Timeline!AU$18=1, $F813, AT813)+AU698+AU790</f>
        <v>0</v>
      </c>
      <c r="AV813" s="10">
        <f>IF(Timeline!AV$18=1, $F813, AU813)+AV698+AV790</f>
        <v>0</v>
      </c>
      <c r="AW813" s="10">
        <f>IF(Timeline!AW$18=1, $F813, AV813)+AW698+AW790</f>
        <v>0</v>
      </c>
      <c r="AX813" s="10">
        <f>IF(Timeline!AX$18=1, $F813, AW813)+AX698+AX790</f>
        <v>0</v>
      </c>
      <c r="AY813" s="10">
        <f>IF(Timeline!AY$18=1, $F813, AX813)+AY698+AY790</f>
        <v>0</v>
      </c>
      <c r="AZ813" s="10">
        <f>IF(Timeline!AZ$18=1, $F813, AY813)+AZ698+AZ790</f>
        <v>0</v>
      </c>
      <c r="BA813" s="10">
        <f>IF(Timeline!BA$18=1, $F813, AZ813)+BA698+BA790</f>
        <v>0</v>
      </c>
      <c r="BB813" s="10">
        <f>IF(Timeline!BB$18=1, $F813, BA813)+BB698+BB790</f>
        <v>0</v>
      </c>
      <c r="BC813" s="10">
        <f>IF(Timeline!BC$18=1, $F813, BB813)+BC698+BC790</f>
        <v>0</v>
      </c>
      <c r="BD813" s="10">
        <f>IF(Timeline!BD$18=1, $F813, BC813)+BD698+BD790</f>
        <v>0</v>
      </c>
      <c r="BE813" s="10">
        <f>IF(Timeline!BE$18=1, $F813, BD813)+BE698+BE790</f>
        <v>0</v>
      </c>
      <c r="BF813" s="10">
        <f>IF(Timeline!BF$18=1, $F813, BE813)+BF698+BF790</f>
        <v>0</v>
      </c>
      <c r="BG813" s="10">
        <f>IF(Timeline!BG$18=1, $F813, BF813)+BG698+BG790</f>
        <v>0</v>
      </c>
      <c r="BH813" s="10">
        <f>IF(Timeline!BH$18=1, $F813, BG813)+BH698+BH790</f>
        <v>0</v>
      </c>
      <c r="BI813" s="10">
        <f>IF(Timeline!BI$18=1, $F813, BH813)+BI698+BI790</f>
        <v>0</v>
      </c>
      <c r="BJ813" s="10">
        <f>IF(Timeline!BJ$18=1, $F813, BI813)+BJ698+BJ790</f>
        <v>0</v>
      </c>
      <c r="BK813" s="329"/>
      <c r="BL813" s="13">
        <f t="shared" si="962"/>
        <v>0</v>
      </c>
      <c r="BM813" s="13">
        <f t="shared" si="963"/>
        <v>0</v>
      </c>
      <c r="BN813" s="13">
        <f t="shared" si="964"/>
        <v>0</v>
      </c>
      <c r="BO813" s="13">
        <f t="shared" si="965"/>
        <v>0</v>
      </c>
      <c r="BP813" s="136"/>
      <c r="BQ813" s="136"/>
      <c r="BR813" s="136"/>
      <c r="BS813" s="136"/>
      <c r="BT813" s="136"/>
      <c r="BU813" s="136"/>
      <c r="BV813" s="136"/>
      <c r="BW813" s="136"/>
      <c r="BY813" s="12"/>
      <c r="BZ813" s="335"/>
      <c r="CA813" s="12"/>
      <c r="CB813" s="335"/>
      <c r="CC813" s="335"/>
      <c r="CD813" s="335"/>
      <c r="CE813" s="335"/>
      <c r="CJ813" s="162"/>
      <c r="CM813" s="335"/>
      <c r="CN813" s="335"/>
      <c r="CO813" s="335"/>
      <c r="CP813" s="335"/>
      <c r="CR813" s="12"/>
      <c r="CT813" s="335"/>
      <c r="CU813" s="335"/>
      <c r="EW813" s="335"/>
      <c r="EX813" s="10" t="str">
        <f t="shared" si="933"/>
        <v/>
      </c>
    </row>
    <row r="814" spans="1:154" s="5" customFormat="1" x14ac:dyDescent="0.25">
      <c r="A814" s="67"/>
      <c r="B814" s="84" t="str" cm="1">
        <f t="array" aca="1" ref="B814" ca="1">HYPERLINK(CONCATENATE("#",CELL("address",$D$294)),$D$294)</f>
        <v>Loan 14</v>
      </c>
      <c r="C814" s="380"/>
      <c r="D814" s="60">
        <f>D$26</f>
        <v>0</v>
      </c>
      <c r="E814" s="60">
        <f>E$26</f>
        <v>0</v>
      </c>
      <c r="F814" s="10">
        <f t="shared" si="960"/>
        <v>0</v>
      </c>
      <c r="G814" s="9"/>
      <c r="H814" s="50" t="s">
        <v>157</v>
      </c>
      <c r="I814" s="67"/>
      <c r="J814" s="67"/>
      <c r="K814" s="67"/>
      <c r="L814" s="67"/>
      <c r="M814" s="67"/>
      <c r="N814" s="67"/>
      <c r="O814" s="67"/>
      <c r="P814" s="67"/>
      <c r="Q814" s="67"/>
      <c r="R814" s="67"/>
      <c r="S814" s="335"/>
      <c r="T814" s="335"/>
      <c r="U814" s="335"/>
      <c r="V814" s="13">
        <f t="shared" si="966"/>
        <v>0</v>
      </c>
      <c r="W814" s="10">
        <f t="shared" si="961"/>
        <v>0</v>
      </c>
      <c r="X814" s="10">
        <f t="shared" si="961"/>
        <v>0</v>
      </c>
      <c r="Y814" s="10">
        <f t="shared" si="961"/>
        <v>0</v>
      </c>
      <c r="Z814" s="329"/>
      <c r="AA814" s="10">
        <f>IF(Timeline!AA$18=1, $F814, Z814)+AA699+AA791</f>
        <v>0</v>
      </c>
      <c r="AB814" s="10">
        <f>IF(Timeline!AB$18=1, $F814, AA814)+AB699+AB791</f>
        <v>0</v>
      </c>
      <c r="AC814" s="10">
        <f>IF(Timeline!AC$18=1, $F814, AB814)+AC699+AC791</f>
        <v>0</v>
      </c>
      <c r="AD814" s="10">
        <f>IF(Timeline!AD$18=1, $F814, AC814)+AD699+AD791</f>
        <v>0</v>
      </c>
      <c r="AE814" s="10">
        <f>IF(Timeline!AE$18=1, $F814, AD814)+AE699+AE791</f>
        <v>0</v>
      </c>
      <c r="AF814" s="10">
        <f>IF(Timeline!AF$18=1, $F814, AE814)+AF699+AF791</f>
        <v>0</v>
      </c>
      <c r="AG814" s="10">
        <f>IF(Timeline!AG$18=1, $F814, AF814)+AG699+AG791</f>
        <v>0</v>
      </c>
      <c r="AH814" s="10">
        <f>IF(Timeline!AH$18=1, $F814, AG814)+AH699+AH791</f>
        <v>0</v>
      </c>
      <c r="AI814" s="10">
        <f>IF(Timeline!AI$18=1, $F814, AH814)+AI699+AI791</f>
        <v>0</v>
      </c>
      <c r="AJ814" s="10">
        <f>IF(Timeline!AJ$18=1, $F814, AI814)+AJ699+AJ791</f>
        <v>0</v>
      </c>
      <c r="AK814" s="10">
        <f>IF(Timeline!AK$18=1, $F814, AJ814)+AK699+AK791</f>
        <v>0</v>
      </c>
      <c r="AL814" s="10">
        <f>IF(Timeline!AL$18=1, $F814, AK814)+AL699+AL791</f>
        <v>0</v>
      </c>
      <c r="AM814" s="10">
        <f>IF(Timeline!AM$18=1, $F814, AL814)+AM699+AM791</f>
        <v>0</v>
      </c>
      <c r="AN814" s="10">
        <f>IF(Timeline!AN$18=1, $F814, AM814)+AN699+AN791</f>
        <v>0</v>
      </c>
      <c r="AO814" s="10">
        <f>IF(Timeline!AO$18=1, $F814, AN814)+AO699+AO791</f>
        <v>0</v>
      </c>
      <c r="AP814" s="10">
        <f>IF(Timeline!AP$18=1, $F814, AO814)+AP699+AP791</f>
        <v>0</v>
      </c>
      <c r="AQ814" s="10">
        <f>IF(Timeline!AQ$18=1, $F814, AP814)+AQ699+AQ791</f>
        <v>0</v>
      </c>
      <c r="AR814" s="10">
        <f>IF(Timeline!AR$18=1, $F814, AQ814)+AR699+AR791</f>
        <v>0</v>
      </c>
      <c r="AS814" s="10">
        <f>IF(Timeline!AS$18=1, $F814, AR814)+AS699+AS791</f>
        <v>0</v>
      </c>
      <c r="AT814" s="10">
        <f>IF(Timeline!AT$18=1, $F814, AS814)+AT699+AT791</f>
        <v>0</v>
      </c>
      <c r="AU814" s="10">
        <f>IF(Timeline!AU$18=1, $F814, AT814)+AU699+AU791</f>
        <v>0</v>
      </c>
      <c r="AV814" s="10">
        <f>IF(Timeline!AV$18=1, $F814, AU814)+AV699+AV791</f>
        <v>0</v>
      </c>
      <c r="AW814" s="10">
        <f>IF(Timeline!AW$18=1, $F814, AV814)+AW699+AW791</f>
        <v>0</v>
      </c>
      <c r="AX814" s="10">
        <f>IF(Timeline!AX$18=1, $F814, AW814)+AX699+AX791</f>
        <v>0</v>
      </c>
      <c r="AY814" s="10">
        <f>IF(Timeline!AY$18=1, $F814, AX814)+AY699+AY791</f>
        <v>0</v>
      </c>
      <c r="AZ814" s="10">
        <f>IF(Timeline!AZ$18=1, $F814, AY814)+AZ699+AZ791</f>
        <v>0</v>
      </c>
      <c r="BA814" s="10">
        <f>IF(Timeline!BA$18=1, $F814, AZ814)+BA699+BA791</f>
        <v>0</v>
      </c>
      <c r="BB814" s="10">
        <f>IF(Timeline!BB$18=1, $F814, BA814)+BB699+BB791</f>
        <v>0</v>
      </c>
      <c r="BC814" s="10">
        <f>IF(Timeline!BC$18=1, $F814, BB814)+BC699+BC791</f>
        <v>0</v>
      </c>
      <c r="BD814" s="10">
        <f>IF(Timeline!BD$18=1, $F814, BC814)+BD699+BD791</f>
        <v>0</v>
      </c>
      <c r="BE814" s="10">
        <f>IF(Timeline!BE$18=1, $F814, BD814)+BE699+BE791</f>
        <v>0</v>
      </c>
      <c r="BF814" s="10">
        <f>IF(Timeline!BF$18=1, $F814, BE814)+BF699+BF791</f>
        <v>0</v>
      </c>
      <c r="BG814" s="10">
        <f>IF(Timeline!BG$18=1, $F814, BF814)+BG699+BG791</f>
        <v>0</v>
      </c>
      <c r="BH814" s="10">
        <f>IF(Timeline!BH$18=1, $F814, BG814)+BH699+BH791</f>
        <v>0</v>
      </c>
      <c r="BI814" s="10">
        <f>IF(Timeline!BI$18=1, $F814, BH814)+BI699+BI791</f>
        <v>0</v>
      </c>
      <c r="BJ814" s="10">
        <f>IF(Timeline!BJ$18=1, $F814, BI814)+BJ699+BJ791</f>
        <v>0</v>
      </c>
      <c r="BK814" s="329"/>
      <c r="BL814" s="13">
        <f t="shared" si="962"/>
        <v>0</v>
      </c>
      <c r="BM814" s="13">
        <f t="shared" si="963"/>
        <v>0</v>
      </c>
      <c r="BN814" s="13">
        <f t="shared" si="964"/>
        <v>0</v>
      </c>
      <c r="BO814" s="13">
        <f t="shared" si="965"/>
        <v>0</v>
      </c>
      <c r="BP814" s="136"/>
      <c r="BQ814" s="136"/>
      <c r="BR814" s="136"/>
      <c r="BS814" s="136"/>
      <c r="BT814" s="136"/>
      <c r="BU814" s="136"/>
      <c r="BV814" s="136"/>
      <c r="BW814" s="136"/>
      <c r="BX814" s="67"/>
      <c r="BY814" s="12"/>
      <c r="BZ814" s="335"/>
      <c r="CA814" s="12"/>
      <c r="CB814" s="335"/>
      <c r="CC814" s="335"/>
      <c r="CD814" s="335"/>
      <c r="CE814" s="335"/>
      <c r="CF814" s="67"/>
      <c r="CG814" s="67"/>
      <c r="CH814" s="67"/>
      <c r="CI814" s="67"/>
      <c r="CJ814" s="162"/>
      <c r="CK814" s="67"/>
      <c r="CL814" s="67"/>
      <c r="CM814" s="335"/>
      <c r="CN814" s="335"/>
      <c r="CO814" s="335"/>
      <c r="CP814" s="335"/>
      <c r="CQ814" s="67"/>
      <c r="CR814" s="12"/>
      <c r="EX814" s="10" t="str">
        <f t="shared" si="933"/>
        <v/>
      </c>
    </row>
    <row r="815" spans="1:154" s="67" customFormat="1" x14ac:dyDescent="0.25">
      <c r="B815" s="84" t="str" cm="1">
        <f t="array" aca="1" ref="B815" ca="1">HYPERLINK(CONCATENATE("#",CELL("address",$D$313)),$D$313)</f>
        <v>Loan 15</v>
      </c>
      <c r="C815" s="380"/>
      <c r="D815" s="60">
        <f>D$27</f>
        <v>0</v>
      </c>
      <c r="E815" s="60">
        <f>E$27</f>
        <v>0</v>
      </c>
      <c r="F815" s="10">
        <f t="shared" si="960"/>
        <v>0</v>
      </c>
      <c r="G815" s="9"/>
      <c r="H815" s="50" t="s">
        <v>157</v>
      </c>
      <c r="S815" s="335"/>
      <c r="T815" s="335"/>
      <c r="U815" s="335"/>
      <c r="V815" s="13">
        <f t="shared" si="966"/>
        <v>0</v>
      </c>
      <c r="W815" s="10">
        <f t="shared" si="961"/>
        <v>0</v>
      </c>
      <c r="X815" s="10">
        <f t="shared" si="961"/>
        <v>0</v>
      </c>
      <c r="Y815" s="10">
        <f t="shared" si="961"/>
        <v>0</v>
      </c>
      <c r="Z815" s="329"/>
      <c r="AA815" s="10">
        <f>IF(Timeline!AA$18=1, $F815, Z815)+AA700+AA792</f>
        <v>0</v>
      </c>
      <c r="AB815" s="10">
        <f>IF(Timeline!AB$18=1, $F815, AA815)+AB700+AB792</f>
        <v>0</v>
      </c>
      <c r="AC815" s="10">
        <f>IF(Timeline!AC$18=1, $F815, AB815)+AC700+AC792</f>
        <v>0</v>
      </c>
      <c r="AD815" s="10">
        <f>IF(Timeline!AD$18=1, $F815, AC815)+AD700+AD792</f>
        <v>0</v>
      </c>
      <c r="AE815" s="10">
        <f>IF(Timeline!AE$18=1, $F815, AD815)+AE700+AE792</f>
        <v>0</v>
      </c>
      <c r="AF815" s="10">
        <f>IF(Timeline!AF$18=1, $F815, AE815)+AF700+AF792</f>
        <v>0</v>
      </c>
      <c r="AG815" s="10">
        <f>IF(Timeline!AG$18=1, $F815, AF815)+AG700+AG792</f>
        <v>0</v>
      </c>
      <c r="AH815" s="10">
        <f>IF(Timeline!AH$18=1, $F815, AG815)+AH700+AH792</f>
        <v>0</v>
      </c>
      <c r="AI815" s="10">
        <f>IF(Timeline!AI$18=1, $F815, AH815)+AI700+AI792</f>
        <v>0</v>
      </c>
      <c r="AJ815" s="10">
        <f>IF(Timeline!AJ$18=1, $F815, AI815)+AJ700+AJ792</f>
        <v>0</v>
      </c>
      <c r="AK815" s="10">
        <f>IF(Timeline!AK$18=1, $F815, AJ815)+AK700+AK792</f>
        <v>0</v>
      </c>
      <c r="AL815" s="10">
        <f>IF(Timeline!AL$18=1, $F815, AK815)+AL700+AL792</f>
        <v>0</v>
      </c>
      <c r="AM815" s="10">
        <f>IF(Timeline!AM$18=1, $F815, AL815)+AM700+AM792</f>
        <v>0</v>
      </c>
      <c r="AN815" s="10">
        <f>IF(Timeline!AN$18=1, $F815, AM815)+AN700+AN792</f>
        <v>0</v>
      </c>
      <c r="AO815" s="10">
        <f>IF(Timeline!AO$18=1, $F815, AN815)+AO700+AO792</f>
        <v>0</v>
      </c>
      <c r="AP815" s="10">
        <f>IF(Timeline!AP$18=1, $F815, AO815)+AP700+AP792</f>
        <v>0</v>
      </c>
      <c r="AQ815" s="10">
        <f>IF(Timeline!AQ$18=1, $F815, AP815)+AQ700+AQ792</f>
        <v>0</v>
      </c>
      <c r="AR815" s="10">
        <f>IF(Timeline!AR$18=1, $F815, AQ815)+AR700+AR792</f>
        <v>0</v>
      </c>
      <c r="AS815" s="10">
        <f>IF(Timeline!AS$18=1, $F815, AR815)+AS700+AS792</f>
        <v>0</v>
      </c>
      <c r="AT815" s="10">
        <f>IF(Timeline!AT$18=1, $F815, AS815)+AT700+AT792</f>
        <v>0</v>
      </c>
      <c r="AU815" s="10">
        <f>IF(Timeline!AU$18=1, $F815, AT815)+AU700+AU792</f>
        <v>0</v>
      </c>
      <c r="AV815" s="10">
        <f>IF(Timeline!AV$18=1, $F815, AU815)+AV700+AV792</f>
        <v>0</v>
      </c>
      <c r="AW815" s="10">
        <f>IF(Timeline!AW$18=1, $F815, AV815)+AW700+AW792</f>
        <v>0</v>
      </c>
      <c r="AX815" s="10">
        <f>IF(Timeline!AX$18=1, $F815, AW815)+AX700+AX792</f>
        <v>0</v>
      </c>
      <c r="AY815" s="10">
        <f>IF(Timeline!AY$18=1, $F815, AX815)+AY700+AY792</f>
        <v>0</v>
      </c>
      <c r="AZ815" s="10">
        <f>IF(Timeline!AZ$18=1, $F815, AY815)+AZ700+AZ792</f>
        <v>0</v>
      </c>
      <c r="BA815" s="10">
        <f>IF(Timeline!BA$18=1, $F815, AZ815)+BA700+BA792</f>
        <v>0</v>
      </c>
      <c r="BB815" s="10">
        <f>IF(Timeline!BB$18=1, $F815, BA815)+BB700+BB792</f>
        <v>0</v>
      </c>
      <c r="BC815" s="10">
        <f>IF(Timeline!BC$18=1, $F815, BB815)+BC700+BC792</f>
        <v>0</v>
      </c>
      <c r="BD815" s="10">
        <f>IF(Timeline!BD$18=1, $F815, BC815)+BD700+BD792</f>
        <v>0</v>
      </c>
      <c r="BE815" s="10">
        <f>IF(Timeline!BE$18=1, $F815, BD815)+BE700+BE792</f>
        <v>0</v>
      </c>
      <c r="BF815" s="10">
        <f>IF(Timeline!BF$18=1, $F815, BE815)+BF700+BF792</f>
        <v>0</v>
      </c>
      <c r="BG815" s="10">
        <f>IF(Timeline!BG$18=1, $F815, BF815)+BG700+BG792</f>
        <v>0</v>
      </c>
      <c r="BH815" s="10">
        <f>IF(Timeline!BH$18=1, $F815, BG815)+BH700+BH792</f>
        <v>0</v>
      </c>
      <c r="BI815" s="10">
        <f>IF(Timeline!BI$18=1, $F815, BH815)+BI700+BI792</f>
        <v>0</v>
      </c>
      <c r="BJ815" s="10">
        <f>IF(Timeline!BJ$18=1, $F815, BI815)+BJ700+BJ792</f>
        <v>0</v>
      </c>
      <c r="BK815" s="329"/>
      <c r="BL815" s="13">
        <f t="shared" si="962"/>
        <v>0</v>
      </c>
      <c r="BM815" s="13">
        <f t="shared" si="963"/>
        <v>0</v>
      </c>
      <c r="BN815" s="13">
        <f t="shared" si="964"/>
        <v>0</v>
      </c>
      <c r="BO815" s="13">
        <f t="shared" si="965"/>
        <v>0</v>
      </c>
      <c r="BP815" s="136"/>
      <c r="BQ815" s="136"/>
      <c r="BR815" s="136"/>
      <c r="BS815" s="136"/>
      <c r="BT815" s="136"/>
      <c r="BU815" s="136"/>
      <c r="BV815" s="136"/>
      <c r="BW815" s="136"/>
      <c r="BY815" s="12"/>
      <c r="BZ815" s="335"/>
      <c r="CA815" s="12"/>
      <c r="CB815" s="335"/>
      <c r="CC815" s="335"/>
      <c r="CD815" s="335"/>
      <c r="CE815" s="335"/>
      <c r="CJ815" s="162"/>
      <c r="CM815" s="335"/>
      <c r="CN815" s="335"/>
      <c r="CO815" s="335"/>
      <c r="CP815" s="335"/>
      <c r="CR815" s="12"/>
      <c r="CT815" s="335"/>
      <c r="CU815" s="335"/>
      <c r="EW815" s="335"/>
      <c r="EX815" s="10" t="str">
        <f t="shared" si="933"/>
        <v/>
      </c>
    </row>
    <row r="816" spans="1:154" s="67" customFormat="1" x14ac:dyDescent="0.25">
      <c r="B816" s="84" t="str" cm="1">
        <f t="array" aca="1" ref="B816" ca="1">HYPERLINK(CONCATENATE("#",CELL("address",$D$332)),$D$332)</f>
        <v>Loan 16</v>
      </c>
      <c r="C816" s="380"/>
      <c r="D816" s="60">
        <f>D$28</f>
        <v>0</v>
      </c>
      <c r="E816" s="60">
        <f>E$28</f>
        <v>0</v>
      </c>
      <c r="F816" s="10">
        <f t="shared" si="960"/>
        <v>0</v>
      </c>
      <c r="G816" s="9"/>
      <c r="H816" s="50" t="s">
        <v>157</v>
      </c>
      <c r="S816" s="335"/>
      <c r="T816" s="335"/>
      <c r="U816" s="335"/>
      <c r="V816" s="13">
        <f t="shared" si="966"/>
        <v>0</v>
      </c>
      <c r="W816" s="10">
        <f t="shared" si="961"/>
        <v>0</v>
      </c>
      <c r="X816" s="10">
        <f t="shared" si="961"/>
        <v>0</v>
      </c>
      <c r="Y816" s="10">
        <f t="shared" si="961"/>
        <v>0</v>
      </c>
      <c r="Z816" s="329"/>
      <c r="AA816" s="10">
        <f>IF(Timeline!AA$18=1, $F816, Z816)+AA701+AA793</f>
        <v>0</v>
      </c>
      <c r="AB816" s="10">
        <f>IF(Timeline!AB$18=1, $F816, AA816)+AB701+AB793</f>
        <v>0</v>
      </c>
      <c r="AC816" s="10">
        <f>IF(Timeline!AC$18=1, $F816, AB816)+AC701+AC793</f>
        <v>0</v>
      </c>
      <c r="AD816" s="10">
        <f>IF(Timeline!AD$18=1, $F816, AC816)+AD701+AD793</f>
        <v>0</v>
      </c>
      <c r="AE816" s="10">
        <f>IF(Timeline!AE$18=1, $F816, AD816)+AE701+AE793</f>
        <v>0</v>
      </c>
      <c r="AF816" s="10">
        <f>IF(Timeline!AF$18=1, $F816, AE816)+AF701+AF793</f>
        <v>0</v>
      </c>
      <c r="AG816" s="10">
        <f>IF(Timeline!AG$18=1, $F816, AF816)+AG701+AG793</f>
        <v>0</v>
      </c>
      <c r="AH816" s="10">
        <f>IF(Timeline!AH$18=1, $F816, AG816)+AH701+AH793</f>
        <v>0</v>
      </c>
      <c r="AI816" s="10">
        <f>IF(Timeline!AI$18=1, $F816, AH816)+AI701+AI793</f>
        <v>0</v>
      </c>
      <c r="AJ816" s="10">
        <f>IF(Timeline!AJ$18=1, $F816, AI816)+AJ701+AJ793</f>
        <v>0</v>
      </c>
      <c r="AK816" s="10">
        <f>IF(Timeline!AK$18=1, $F816, AJ816)+AK701+AK793</f>
        <v>0</v>
      </c>
      <c r="AL816" s="10">
        <f>IF(Timeline!AL$18=1, $F816, AK816)+AL701+AL793</f>
        <v>0</v>
      </c>
      <c r="AM816" s="10">
        <f>IF(Timeline!AM$18=1, $F816, AL816)+AM701+AM793</f>
        <v>0</v>
      </c>
      <c r="AN816" s="10">
        <f>IF(Timeline!AN$18=1, $F816, AM816)+AN701+AN793</f>
        <v>0</v>
      </c>
      <c r="AO816" s="10">
        <f>IF(Timeline!AO$18=1, $F816, AN816)+AO701+AO793</f>
        <v>0</v>
      </c>
      <c r="AP816" s="10">
        <f>IF(Timeline!AP$18=1, $F816, AO816)+AP701+AP793</f>
        <v>0</v>
      </c>
      <c r="AQ816" s="10">
        <f>IF(Timeline!AQ$18=1, $F816, AP816)+AQ701+AQ793</f>
        <v>0</v>
      </c>
      <c r="AR816" s="10">
        <f>IF(Timeline!AR$18=1, $F816, AQ816)+AR701+AR793</f>
        <v>0</v>
      </c>
      <c r="AS816" s="10">
        <f>IF(Timeline!AS$18=1, $F816, AR816)+AS701+AS793</f>
        <v>0</v>
      </c>
      <c r="AT816" s="10">
        <f>IF(Timeline!AT$18=1, $F816, AS816)+AT701+AT793</f>
        <v>0</v>
      </c>
      <c r="AU816" s="10">
        <f>IF(Timeline!AU$18=1, $F816, AT816)+AU701+AU793</f>
        <v>0</v>
      </c>
      <c r="AV816" s="10">
        <f>IF(Timeline!AV$18=1, $F816, AU816)+AV701+AV793</f>
        <v>0</v>
      </c>
      <c r="AW816" s="10">
        <f>IF(Timeline!AW$18=1, $F816, AV816)+AW701+AW793</f>
        <v>0</v>
      </c>
      <c r="AX816" s="10">
        <f>IF(Timeline!AX$18=1, $F816, AW816)+AX701+AX793</f>
        <v>0</v>
      </c>
      <c r="AY816" s="10">
        <f>IF(Timeline!AY$18=1, $F816, AX816)+AY701+AY793</f>
        <v>0</v>
      </c>
      <c r="AZ816" s="10">
        <f>IF(Timeline!AZ$18=1, $F816, AY816)+AZ701+AZ793</f>
        <v>0</v>
      </c>
      <c r="BA816" s="10">
        <f>IF(Timeline!BA$18=1, $F816, AZ816)+BA701+BA793</f>
        <v>0</v>
      </c>
      <c r="BB816" s="10">
        <f>IF(Timeline!BB$18=1, $F816, BA816)+BB701+BB793</f>
        <v>0</v>
      </c>
      <c r="BC816" s="10">
        <f>IF(Timeline!BC$18=1, $F816, BB816)+BC701+BC793</f>
        <v>0</v>
      </c>
      <c r="BD816" s="10">
        <f>IF(Timeline!BD$18=1, $F816, BC816)+BD701+BD793</f>
        <v>0</v>
      </c>
      <c r="BE816" s="10">
        <f>IF(Timeline!BE$18=1, $F816, BD816)+BE701+BE793</f>
        <v>0</v>
      </c>
      <c r="BF816" s="10">
        <f>IF(Timeline!BF$18=1, $F816, BE816)+BF701+BF793</f>
        <v>0</v>
      </c>
      <c r="BG816" s="10">
        <f>IF(Timeline!BG$18=1, $F816, BF816)+BG701+BG793</f>
        <v>0</v>
      </c>
      <c r="BH816" s="10">
        <f>IF(Timeline!BH$18=1, $F816, BG816)+BH701+BH793</f>
        <v>0</v>
      </c>
      <c r="BI816" s="10">
        <f>IF(Timeline!BI$18=1, $F816, BH816)+BI701+BI793</f>
        <v>0</v>
      </c>
      <c r="BJ816" s="10">
        <f>IF(Timeline!BJ$18=1, $F816, BI816)+BJ701+BJ793</f>
        <v>0</v>
      </c>
      <c r="BK816" s="329"/>
      <c r="BL816" s="13">
        <f t="shared" si="962"/>
        <v>0</v>
      </c>
      <c r="BM816" s="13">
        <f t="shared" si="963"/>
        <v>0</v>
      </c>
      <c r="BN816" s="13">
        <f t="shared" si="964"/>
        <v>0</v>
      </c>
      <c r="BO816" s="13">
        <f t="shared" si="965"/>
        <v>0</v>
      </c>
      <c r="BP816" s="136"/>
      <c r="BQ816" s="136"/>
      <c r="BR816" s="136"/>
      <c r="BS816" s="136"/>
      <c r="BT816" s="136"/>
      <c r="BU816" s="136"/>
      <c r="BV816" s="136"/>
      <c r="BW816" s="136"/>
      <c r="BY816" s="12"/>
      <c r="BZ816" s="335"/>
      <c r="CA816" s="12"/>
      <c r="CB816" s="335"/>
      <c r="CC816" s="335"/>
      <c r="CD816" s="335"/>
      <c r="CE816" s="335"/>
      <c r="CJ816" s="162"/>
      <c r="CM816" s="335"/>
      <c r="CN816" s="335"/>
      <c r="CO816" s="335"/>
      <c r="CP816" s="335"/>
      <c r="CR816" s="12"/>
      <c r="CT816" s="335"/>
      <c r="CU816" s="335"/>
      <c r="EW816" s="335"/>
      <c r="EX816" s="10" t="str">
        <f t="shared" si="933"/>
        <v/>
      </c>
    </row>
    <row r="817" spans="1:154" s="67" customFormat="1" x14ac:dyDescent="0.25">
      <c r="B817" s="84" t="str" cm="1">
        <f t="array" aca="1" ref="B817" ca="1">HYPERLINK(CONCATENATE("#",CELL("address",$D$351)),$D$351)</f>
        <v>Loan 17</v>
      </c>
      <c r="C817" s="380"/>
      <c r="D817" s="60">
        <f>D$29</f>
        <v>0</v>
      </c>
      <c r="E817" s="60">
        <f>E$29</f>
        <v>0</v>
      </c>
      <c r="F817" s="10">
        <f t="shared" si="960"/>
        <v>0</v>
      </c>
      <c r="G817" s="9"/>
      <c r="H817" s="50" t="s">
        <v>157</v>
      </c>
      <c r="S817" s="335"/>
      <c r="T817" s="335"/>
      <c r="U817" s="335"/>
      <c r="V817" s="13">
        <f t="shared" si="966"/>
        <v>0</v>
      </c>
      <c r="W817" s="10">
        <f t="shared" si="961"/>
        <v>0</v>
      </c>
      <c r="X817" s="10">
        <f t="shared" si="961"/>
        <v>0</v>
      </c>
      <c r="Y817" s="10">
        <f t="shared" si="961"/>
        <v>0</v>
      </c>
      <c r="Z817" s="329"/>
      <c r="AA817" s="10">
        <f>IF(Timeline!AA$18=1, $F817, Z817)+AA702+AA794</f>
        <v>0</v>
      </c>
      <c r="AB817" s="10">
        <f>IF(Timeline!AB$18=1, $F817, AA817)+AB702+AB794</f>
        <v>0</v>
      </c>
      <c r="AC817" s="10">
        <f>IF(Timeline!AC$18=1, $F817, AB817)+AC702+AC794</f>
        <v>0</v>
      </c>
      <c r="AD817" s="10">
        <f>IF(Timeline!AD$18=1, $F817, AC817)+AD702+AD794</f>
        <v>0</v>
      </c>
      <c r="AE817" s="10">
        <f>IF(Timeline!AE$18=1, $F817, AD817)+AE702+AE794</f>
        <v>0</v>
      </c>
      <c r="AF817" s="10">
        <f>IF(Timeline!AF$18=1, $F817, AE817)+AF702+AF794</f>
        <v>0</v>
      </c>
      <c r="AG817" s="10">
        <f>IF(Timeline!AG$18=1, $F817, AF817)+AG702+AG794</f>
        <v>0</v>
      </c>
      <c r="AH817" s="10">
        <f>IF(Timeline!AH$18=1, $F817, AG817)+AH702+AH794</f>
        <v>0</v>
      </c>
      <c r="AI817" s="10">
        <f>IF(Timeline!AI$18=1, $F817, AH817)+AI702+AI794</f>
        <v>0</v>
      </c>
      <c r="AJ817" s="10">
        <f>IF(Timeline!AJ$18=1, $F817, AI817)+AJ702+AJ794</f>
        <v>0</v>
      </c>
      <c r="AK817" s="10">
        <f>IF(Timeline!AK$18=1, $F817, AJ817)+AK702+AK794</f>
        <v>0</v>
      </c>
      <c r="AL817" s="10">
        <f>IF(Timeline!AL$18=1, $F817, AK817)+AL702+AL794</f>
        <v>0</v>
      </c>
      <c r="AM817" s="10">
        <f>IF(Timeline!AM$18=1, $F817, AL817)+AM702+AM794</f>
        <v>0</v>
      </c>
      <c r="AN817" s="10">
        <f>IF(Timeline!AN$18=1, $F817, AM817)+AN702+AN794</f>
        <v>0</v>
      </c>
      <c r="AO817" s="10">
        <f>IF(Timeline!AO$18=1, $F817, AN817)+AO702+AO794</f>
        <v>0</v>
      </c>
      <c r="AP817" s="10">
        <f>IF(Timeline!AP$18=1, $F817, AO817)+AP702+AP794</f>
        <v>0</v>
      </c>
      <c r="AQ817" s="10">
        <f>IF(Timeline!AQ$18=1, $F817, AP817)+AQ702+AQ794</f>
        <v>0</v>
      </c>
      <c r="AR817" s="10">
        <f>IF(Timeline!AR$18=1, $F817, AQ817)+AR702+AR794</f>
        <v>0</v>
      </c>
      <c r="AS817" s="10">
        <f>IF(Timeline!AS$18=1, $F817, AR817)+AS702+AS794</f>
        <v>0</v>
      </c>
      <c r="AT817" s="10">
        <f>IF(Timeline!AT$18=1, $F817, AS817)+AT702+AT794</f>
        <v>0</v>
      </c>
      <c r="AU817" s="10">
        <f>IF(Timeline!AU$18=1, $F817, AT817)+AU702+AU794</f>
        <v>0</v>
      </c>
      <c r="AV817" s="10">
        <f>IF(Timeline!AV$18=1, $F817, AU817)+AV702+AV794</f>
        <v>0</v>
      </c>
      <c r="AW817" s="10">
        <f>IF(Timeline!AW$18=1, $F817, AV817)+AW702+AW794</f>
        <v>0</v>
      </c>
      <c r="AX817" s="10">
        <f>IF(Timeline!AX$18=1, $F817, AW817)+AX702+AX794</f>
        <v>0</v>
      </c>
      <c r="AY817" s="10">
        <f>IF(Timeline!AY$18=1, $F817, AX817)+AY702+AY794</f>
        <v>0</v>
      </c>
      <c r="AZ817" s="10">
        <f>IF(Timeline!AZ$18=1, $F817, AY817)+AZ702+AZ794</f>
        <v>0</v>
      </c>
      <c r="BA817" s="10">
        <f>IF(Timeline!BA$18=1, $F817, AZ817)+BA702+BA794</f>
        <v>0</v>
      </c>
      <c r="BB817" s="10">
        <f>IF(Timeline!BB$18=1, $F817, BA817)+BB702+BB794</f>
        <v>0</v>
      </c>
      <c r="BC817" s="10">
        <f>IF(Timeline!BC$18=1, $F817, BB817)+BC702+BC794</f>
        <v>0</v>
      </c>
      <c r="BD817" s="10">
        <f>IF(Timeline!BD$18=1, $F817, BC817)+BD702+BD794</f>
        <v>0</v>
      </c>
      <c r="BE817" s="10">
        <f>IF(Timeline!BE$18=1, $F817, BD817)+BE702+BE794</f>
        <v>0</v>
      </c>
      <c r="BF817" s="10">
        <f>IF(Timeline!BF$18=1, $F817, BE817)+BF702+BF794</f>
        <v>0</v>
      </c>
      <c r="BG817" s="10">
        <f>IF(Timeline!BG$18=1, $F817, BF817)+BG702+BG794</f>
        <v>0</v>
      </c>
      <c r="BH817" s="10">
        <f>IF(Timeline!BH$18=1, $F817, BG817)+BH702+BH794</f>
        <v>0</v>
      </c>
      <c r="BI817" s="10">
        <f>IF(Timeline!BI$18=1, $F817, BH817)+BI702+BI794</f>
        <v>0</v>
      </c>
      <c r="BJ817" s="10">
        <f>IF(Timeline!BJ$18=1, $F817, BI817)+BJ702+BJ794</f>
        <v>0</v>
      </c>
      <c r="BK817" s="329"/>
      <c r="BL817" s="13">
        <f t="shared" si="962"/>
        <v>0</v>
      </c>
      <c r="BM817" s="13">
        <f t="shared" si="963"/>
        <v>0</v>
      </c>
      <c r="BN817" s="13">
        <f t="shared" si="964"/>
        <v>0</v>
      </c>
      <c r="BO817" s="13">
        <f t="shared" si="965"/>
        <v>0</v>
      </c>
      <c r="BP817" s="136"/>
      <c r="BQ817" s="136"/>
      <c r="BR817" s="136"/>
      <c r="BS817" s="136"/>
      <c r="BT817" s="136"/>
      <c r="BU817" s="136"/>
      <c r="BV817" s="136"/>
      <c r="BW817" s="136"/>
      <c r="BY817" s="12"/>
      <c r="BZ817" s="335"/>
      <c r="CA817" s="12"/>
      <c r="CB817" s="335"/>
      <c r="CC817" s="335"/>
      <c r="CD817" s="335"/>
      <c r="CE817" s="335"/>
      <c r="CJ817" s="162"/>
      <c r="CM817" s="335"/>
      <c r="CN817" s="335"/>
      <c r="CO817" s="335"/>
      <c r="CP817" s="335"/>
      <c r="CR817" s="12"/>
      <c r="CT817" s="335"/>
      <c r="CU817" s="335"/>
      <c r="EW817" s="335"/>
      <c r="EX817" s="10" t="str">
        <f t="shared" si="933"/>
        <v/>
      </c>
    </row>
    <row r="818" spans="1:154" s="67" customFormat="1" x14ac:dyDescent="0.25">
      <c r="B818" s="84" t="str" cm="1">
        <f t="array" aca="1" ref="B818" ca="1">HYPERLINK(CONCATENATE("#",CELL("address",$D$370)),$D$370)</f>
        <v>Loan 18</v>
      </c>
      <c r="C818" s="380"/>
      <c r="D818" s="60">
        <f>D$30</f>
        <v>0</v>
      </c>
      <c r="E818" s="60">
        <f>E$30</f>
        <v>0</v>
      </c>
      <c r="F818" s="10">
        <f t="shared" si="960"/>
        <v>0</v>
      </c>
      <c r="G818" s="9"/>
      <c r="H818" s="50" t="s">
        <v>157</v>
      </c>
      <c r="S818" s="335"/>
      <c r="T818" s="335"/>
      <c r="U818" s="335"/>
      <c r="V818" s="13">
        <f t="shared" si="966"/>
        <v>0</v>
      </c>
      <c r="W818" s="10">
        <f t="shared" si="961"/>
        <v>0</v>
      </c>
      <c r="X818" s="10">
        <f t="shared" si="961"/>
        <v>0</v>
      </c>
      <c r="Y818" s="10">
        <f t="shared" si="961"/>
        <v>0</v>
      </c>
      <c r="Z818" s="329"/>
      <c r="AA818" s="10">
        <f>IF(Timeline!AA$18=1, $F818, Z818)+AA703+AA795</f>
        <v>0</v>
      </c>
      <c r="AB818" s="10">
        <f>IF(Timeline!AB$18=1, $F818, AA818)+AB703+AB795</f>
        <v>0</v>
      </c>
      <c r="AC818" s="10">
        <f>IF(Timeline!AC$18=1, $F818, AB818)+AC703+AC795</f>
        <v>0</v>
      </c>
      <c r="AD818" s="10">
        <f>IF(Timeline!AD$18=1, $F818, AC818)+AD703+AD795</f>
        <v>0</v>
      </c>
      <c r="AE818" s="10">
        <f>IF(Timeline!AE$18=1, $F818, AD818)+AE703+AE795</f>
        <v>0</v>
      </c>
      <c r="AF818" s="10">
        <f>IF(Timeline!AF$18=1, $F818, AE818)+AF703+AF795</f>
        <v>0</v>
      </c>
      <c r="AG818" s="10">
        <f>IF(Timeline!AG$18=1, $F818, AF818)+AG703+AG795</f>
        <v>0</v>
      </c>
      <c r="AH818" s="10">
        <f>IF(Timeline!AH$18=1, $F818, AG818)+AH703+AH795</f>
        <v>0</v>
      </c>
      <c r="AI818" s="10">
        <f>IF(Timeline!AI$18=1, $F818, AH818)+AI703+AI795</f>
        <v>0</v>
      </c>
      <c r="AJ818" s="10">
        <f>IF(Timeline!AJ$18=1, $F818, AI818)+AJ703+AJ795</f>
        <v>0</v>
      </c>
      <c r="AK818" s="10">
        <f>IF(Timeline!AK$18=1, $F818, AJ818)+AK703+AK795</f>
        <v>0</v>
      </c>
      <c r="AL818" s="10">
        <f>IF(Timeline!AL$18=1, $F818, AK818)+AL703+AL795</f>
        <v>0</v>
      </c>
      <c r="AM818" s="10">
        <f>IF(Timeline!AM$18=1, $F818, AL818)+AM703+AM795</f>
        <v>0</v>
      </c>
      <c r="AN818" s="10">
        <f>IF(Timeline!AN$18=1, $F818, AM818)+AN703+AN795</f>
        <v>0</v>
      </c>
      <c r="AO818" s="10">
        <f>IF(Timeline!AO$18=1, $F818, AN818)+AO703+AO795</f>
        <v>0</v>
      </c>
      <c r="AP818" s="10">
        <f>IF(Timeline!AP$18=1, $F818, AO818)+AP703+AP795</f>
        <v>0</v>
      </c>
      <c r="AQ818" s="10">
        <f>IF(Timeline!AQ$18=1, $F818, AP818)+AQ703+AQ795</f>
        <v>0</v>
      </c>
      <c r="AR818" s="10">
        <f>IF(Timeline!AR$18=1, $F818, AQ818)+AR703+AR795</f>
        <v>0</v>
      </c>
      <c r="AS818" s="10">
        <f>IF(Timeline!AS$18=1, $F818, AR818)+AS703+AS795</f>
        <v>0</v>
      </c>
      <c r="AT818" s="10">
        <f>IF(Timeline!AT$18=1, $F818, AS818)+AT703+AT795</f>
        <v>0</v>
      </c>
      <c r="AU818" s="10">
        <f>IF(Timeline!AU$18=1, $F818, AT818)+AU703+AU795</f>
        <v>0</v>
      </c>
      <c r="AV818" s="10">
        <f>IF(Timeline!AV$18=1, $F818, AU818)+AV703+AV795</f>
        <v>0</v>
      </c>
      <c r="AW818" s="10">
        <f>IF(Timeline!AW$18=1, $F818, AV818)+AW703+AW795</f>
        <v>0</v>
      </c>
      <c r="AX818" s="10">
        <f>IF(Timeline!AX$18=1, $F818, AW818)+AX703+AX795</f>
        <v>0</v>
      </c>
      <c r="AY818" s="10">
        <f>IF(Timeline!AY$18=1, $F818, AX818)+AY703+AY795</f>
        <v>0</v>
      </c>
      <c r="AZ818" s="10">
        <f>IF(Timeline!AZ$18=1, $F818, AY818)+AZ703+AZ795</f>
        <v>0</v>
      </c>
      <c r="BA818" s="10">
        <f>IF(Timeline!BA$18=1, $F818, AZ818)+BA703+BA795</f>
        <v>0</v>
      </c>
      <c r="BB818" s="10">
        <f>IF(Timeline!BB$18=1, $F818, BA818)+BB703+BB795</f>
        <v>0</v>
      </c>
      <c r="BC818" s="10">
        <f>IF(Timeline!BC$18=1, $F818, BB818)+BC703+BC795</f>
        <v>0</v>
      </c>
      <c r="BD818" s="10">
        <f>IF(Timeline!BD$18=1, $F818, BC818)+BD703+BD795</f>
        <v>0</v>
      </c>
      <c r="BE818" s="10">
        <f>IF(Timeline!BE$18=1, $F818, BD818)+BE703+BE795</f>
        <v>0</v>
      </c>
      <c r="BF818" s="10">
        <f>IF(Timeline!BF$18=1, $F818, BE818)+BF703+BF795</f>
        <v>0</v>
      </c>
      <c r="BG818" s="10">
        <f>IF(Timeline!BG$18=1, $F818, BF818)+BG703+BG795</f>
        <v>0</v>
      </c>
      <c r="BH818" s="10">
        <f>IF(Timeline!BH$18=1, $F818, BG818)+BH703+BH795</f>
        <v>0</v>
      </c>
      <c r="BI818" s="10">
        <f>IF(Timeline!BI$18=1, $F818, BH818)+BI703+BI795</f>
        <v>0</v>
      </c>
      <c r="BJ818" s="10">
        <f>IF(Timeline!BJ$18=1, $F818, BI818)+BJ703+BJ795</f>
        <v>0</v>
      </c>
      <c r="BK818" s="329"/>
      <c r="BL818" s="13">
        <f t="shared" si="962"/>
        <v>0</v>
      </c>
      <c r="BM818" s="13">
        <f t="shared" si="963"/>
        <v>0</v>
      </c>
      <c r="BN818" s="13">
        <f t="shared" si="964"/>
        <v>0</v>
      </c>
      <c r="BO818" s="13">
        <f t="shared" si="965"/>
        <v>0</v>
      </c>
      <c r="BP818" s="136"/>
      <c r="BQ818" s="136"/>
      <c r="BR818" s="136"/>
      <c r="BS818" s="136"/>
      <c r="BT818" s="136"/>
      <c r="BU818" s="136"/>
      <c r="BV818" s="136"/>
      <c r="BW818" s="136"/>
      <c r="BY818" s="12"/>
      <c r="BZ818" s="335"/>
      <c r="CA818" s="12"/>
      <c r="CB818" s="335"/>
      <c r="CC818" s="335"/>
      <c r="CD818" s="335"/>
      <c r="CE818" s="335"/>
      <c r="CJ818" s="162"/>
      <c r="CM818" s="335"/>
      <c r="CN818" s="335"/>
      <c r="CO818" s="335"/>
      <c r="CP818" s="335"/>
      <c r="CR818" s="12"/>
      <c r="CT818" s="335"/>
      <c r="CU818" s="335"/>
      <c r="EW818" s="335"/>
      <c r="EX818" s="10" t="str">
        <f t="shared" si="933"/>
        <v/>
      </c>
    </row>
    <row r="819" spans="1:154" s="67" customFormat="1" x14ac:dyDescent="0.25">
      <c r="B819" s="84" t="str" cm="1">
        <f t="array" aca="1" ref="B819" ca="1">HYPERLINK(CONCATENATE("#",CELL("address",$D$389)),$D$389)</f>
        <v>Loan 19</v>
      </c>
      <c r="C819" s="380"/>
      <c r="D819" s="60">
        <f>D$31</f>
        <v>0</v>
      </c>
      <c r="E819" s="60">
        <f>E$31</f>
        <v>0</v>
      </c>
      <c r="F819" s="10">
        <f t="shared" si="960"/>
        <v>0</v>
      </c>
      <c r="G819" s="9"/>
      <c r="H819" s="50" t="s">
        <v>157</v>
      </c>
      <c r="S819" s="335"/>
      <c r="T819" s="335"/>
      <c r="U819" s="335"/>
      <c r="V819" s="13">
        <f t="shared" si="966"/>
        <v>0</v>
      </c>
      <c r="W819" s="10">
        <f t="shared" si="961"/>
        <v>0</v>
      </c>
      <c r="X819" s="10">
        <f t="shared" si="961"/>
        <v>0</v>
      </c>
      <c r="Y819" s="10">
        <f t="shared" si="961"/>
        <v>0</v>
      </c>
      <c r="Z819" s="329"/>
      <c r="AA819" s="10">
        <f>IF(Timeline!AA$18=1, $F819, Z819)+AA704+AA796</f>
        <v>0</v>
      </c>
      <c r="AB819" s="10">
        <f>IF(Timeline!AB$18=1, $F819, AA819)+AB704+AB796</f>
        <v>0</v>
      </c>
      <c r="AC819" s="10">
        <f>IF(Timeline!AC$18=1, $F819, AB819)+AC704+AC796</f>
        <v>0</v>
      </c>
      <c r="AD819" s="10">
        <f>IF(Timeline!AD$18=1, $F819, AC819)+AD704+AD796</f>
        <v>0</v>
      </c>
      <c r="AE819" s="10">
        <f>IF(Timeline!AE$18=1, $F819, AD819)+AE704+AE796</f>
        <v>0</v>
      </c>
      <c r="AF819" s="10">
        <f>IF(Timeline!AF$18=1, $F819, AE819)+AF704+AF796</f>
        <v>0</v>
      </c>
      <c r="AG819" s="10">
        <f>IF(Timeline!AG$18=1, $F819, AF819)+AG704+AG796</f>
        <v>0</v>
      </c>
      <c r="AH819" s="10">
        <f>IF(Timeline!AH$18=1, $F819, AG819)+AH704+AH796</f>
        <v>0</v>
      </c>
      <c r="AI819" s="10">
        <f>IF(Timeline!AI$18=1, $F819, AH819)+AI704+AI796</f>
        <v>0</v>
      </c>
      <c r="AJ819" s="10">
        <f>IF(Timeline!AJ$18=1, $F819, AI819)+AJ704+AJ796</f>
        <v>0</v>
      </c>
      <c r="AK819" s="10">
        <f>IF(Timeline!AK$18=1, $F819, AJ819)+AK704+AK796</f>
        <v>0</v>
      </c>
      <c r="AL819" s="10">
        <f>IF(Timeline!AL$18=1, $F819, AK819)+AL704+AL796</f>
        <v>0</v>
      </c>
      <c r="AM819" s="10">
        <f>IF(Timeline!AM$18=1, $F819, AL819)+AM704+AM796</f>
        <v>0</v>
      </c>
      <c r="AN819" s="10">
        <f>IF(Timeline!AN$18=1, $F819, AM819)+AN704+AN796</f>
        <v>0</v>
      </c>
      <c r="AO819" s="10">
        <f>IF(Timeline!AO$18=1, $F819, AN819)+AO704+AO796</f>
        <v>0</v>
      </c>
      <c r="AP819" s="10">
        <f>IF(Timeline!AP$18=1, $F819, AO819)+AP704+AP796</f>
        <v>0</v>
      </c>
      <c r="AQ819" s="10">
        <f>IF(Timeline!AQ$18=1, $F819, AP819)+AQ704+AQ796</f>
        <v>0</v>
      </c>
      <c r="AR819" s="10">
        <f>IF(Timeline!AR$18=1, $F819, AQ819)+AR704+AR796</f>
        <v>0</v>
      </c>
      <c r="AS819" s="10">
        <f>IF(Timeline!AS$18=1, $F819, AR819)+AS704+AS796</f>
        <v>0</v>
      </c>
      <c r="AT819" s="10">
        <f>IF(Timeline!AT$18=1, $F819, AS819)+AT704+AT796</f>
        <v>0</v>
      </c>
      <c r="AU819" s="10">
        <f>IF(Timeline!AU$18=1, $F819, AT819)+AU704+AU796</f>
        <v>0</v>
      </c>
      <c r="AV819" s="10">
        <f>IF(Timeline!AV$18=1, $F819, AU819)+AV704+AV796</f>
        <v>0</v>
      </c>
      <c r="AW819" s="10">
        <f>IF(Timeline!AW$18=1, $F819, AV819)+AW704+AW796</f>
        <v>0</v>
      </c>
      <c r="AX819" s="10">
        <f>IF(Timeline!AX$18=1, $F819, AW819)+AX704+AX796</f>
        <v>0</v>
      </c>
      <c r="AY819" s="10">
        <f>IF(Timeline!AY$18=1, $F819, AX819)+AY704+AY796</f>
        <v>0</v>
      </c>
      <c r="AZ819" s="10">
        <f>IF(Timeline!AZ$18=1, $F819, AY819)+AZ704+AZ796</f>
        <v>0</v>
      </c>
      <c r="BA819" s="10">
        <f>IF(Timeline!BA$18=1, $F819, AZ819)+BA704+BA796</f>
        <v>0</v>
      </c>
      <c r="BB819" s="10">
        <f>IF(Timeline!BB$18=1, $F819, BA819)+BB704+BB796</f>
        <v>0</v>
      </c>
      <c r="BC819" s="10">
        <f>IF(Timeline!BC$18=1, $F819, BB819)+BC704+BC796</f>
        <v>0</v>
      </c>
      <c r="BD819" s="10">
        <f>IF(Timeline!BD$18=1, $F819, BC819)+BD704+BD796</f>
        <v>0</v>
      </c>
      <c r="BE819" s="10">
        <f>IF(Timeline!BE$18=1, $F819, BD819)+BE704+BE796</f>
        <v>0</v>
      </c>
      <c r="BF819" s="10">
        <f>IF(Timeline!BF$18=1, $F819, BE819)+BF704+BF796</f>
        <v>0</v>
      </c>
      <c r="BG819" s="10">
        <f>IF(Timeline!BG$18=1, $F819, BF819)+BG704+BG796</f>
        <v>0</v>
      </c>
      <c r="BH819" s="10">
        <f>IF(Timeline!BH$18=1, $F819, BG819)+BH704+BH796</f>
        <v>0</v>
      </c>
      <c r="BI819" s="10">
        <f>IF(Timeline!BI$18=1, $F819, BH819)+BI704+BI796</f>
        <v>0</v>
      </c>
      <c r="BJ819" s="10">
        <f>IF(Timeline!BJ$18=1, $F819, BI819)+BJ704+BJ796</f>
        <v>0</v>
      </c>
      <c r="BK819" s="329"/>
      <c r="BL819" s="13">
        <f t="shared" si="962"/>
        <v>0</v>
      </c>
      <c r="BM819" s="13">
        <f t="shared" si="963"/>
        <v>0</v>
      </c>
      <c r="BN819" s="13">
        <f t="shared" si="964"/>
        <v>0</v>
      </c>
      <c r="BO819" s="13">
        <f t="shared" si="965"/>
        <v>0</v>
      </c>
      <c r="BP819" s="136"/>
      <c r="BQ819" s="136"/>
      <c r="BR819" s="136"/>
      <c r="BS819" s="136"/>
      <c r="BT819" s="136"/>
      <c r="BU819" s="136"/>
      <c r="BV819" s="136"/>
      <c r="BW819" s="136"/>
      <c r="BY819" s="12"/>
      <c r="BZ819" s="335"/>
      <c r="CA819" s="12"/>
      <c r="CB819" s="335"/>
      <c r="CC819" s="335"/>
      <c r="CD819" s="335"/>
      <c r="CE819" s="335"/>
      <c r="CJ819" s="162"/>
      <c r="CM819" s="335"/>
      <c r="CN819" s="335"/>
      <c r="CO819" s="335"/>
      <c r="CP819" s="335"/>
      <c r="CR819" s="12"/>
      <c r="CT819" s="335"/>
      <c r="CU819" s="335"/>
      <c r="EW819" s="335"/>
      <c r="EX819" s="10" t="str">
        <f t="shared" ref="EX819:EX873" si="967">IF($C819="","",$D819)</f>
        <v/>
      </c>
    </row>
    <row r="820" spans="1:154" s="67" customFormat="1" x14ac:dyDescent="0.25">
      <c r="B820" s="84" t="str" cm="1">
        <f t="array" aca="1" ref="B820" ca="1">HYPERLINK(CONCATENATE("#",CELL("address",$D$408)),$D$408)</f>
        <v>Loan 20</v>
      </c>
      <c r="C820" s="380"/>
      <c r="D820" s="60">
        <f>D$32</f>
        <v>0</v>
      </c>
      <c r="E820" s="60">
        <f>E$32</f>
        <v>0</v>
      </c>
      <c r="F820" s="201">
        <f t="shared" si="960"/>
        <v>0</v>
      </c>
      <c r="G820" s="9"/>
      <c r="H820" s="50" t="s">
        <v>157</v>
      </c>
      <c r="S820" s="335"/>
      <c r="T820" s="335"/>
      <c r="U820" s="335"/>
      <c r="V820" s="13">
        <f t="shared" si="966"/>
        <v>0</v>
      </c>
      <c r="W820" s="10">
        <f t="shared" si="961"/>
        <v>0</v>
      </c>
      <c r="X820" s="10">
        <f t="shared" si="961"/>
        <v>0</v>
      </c>
      <c r="Y820" s="10">
        <f t="shared" si="961"/>
        <v>0</v>
      </c>
      <c r="Z820" s="329"/>
      <c r="AA820" s="10">
        <f>IF(Timeline!AA$18=1, $F820, Z820)+AA705+AA797</f>
        <v>0</v>
      </c>
      <c r="AB820" s="10">
        <f>IF(Timeline!AB$18=1, $F820, AA820)+AB705+AB797</f>
        <v>0</v>
      </c>
      <c r="AC820" s="10">
        <f>IF(Timeline!AC$18=1, $F820, AB820)+AC705+AC797</f>
        <v>0</v>
      </c>
      <c r="AD820" s="10">
        <f>IF(Timeline!AD$18=1, $F820, AC820)+AD705+AD797</f>
        <v>0</v>
      </c>
      <c r="AE820" s="10">
        <f>IF(Timeline!AE$18=1, $F820, AD820)+AE705+AE797</f>
        <v>0</v>
      </c>
      <c r="AF820" s="10">
        <f>IF(Timeline!AF$18=1, $F820, AE820)+AF705+AF797</f>
        <v>0</v>
      </c>
      <c r="AG820" s="10">
        <f>IF(Timeline!AG$18=1, $F820, AF820)+AG705+AG797</f>
        <v>0</v>
      </c>
      <c r="AH820" s="10">
        <f>IF(Timeline!AH$18=1, $F820, AG820)+AH705+AH797</f>
        <v>0</v>
      </c>
      <c r="AI820" s="10">
        <f>IF(Timeline!AI$18=1, $F820, AH820)+AI705+AI797</f>
        <v>0</v>
      </c>
      <c r="AJ820" s="10">
        <f>IF(Timeline!AJ$18=1, $F820, AI820)+AJ705+AJ797</f>
        <v>0</v>
      </c>
      <c r="AK820" s="10">
        <f>IF(Timeline!AK$18=1, $F820, AJ820)+AK705+AK797</f>
        <v>0</v>
      </c>
      <c r="AL820" s="10">
        <f>IF(Timeline!AL$18=1, $F820, AK820)+AL705+AL797</f>
        <v>0</v>
      </c>
      <c r="AM820" s="10">
        <f>IF(Timeline!AM$18=1, $F820, AL820)+AM705+AM797</f>
        <v>0</v>
      </c>
      <c r="AN820" s="10">
        <f>IF(Timeline!AN$18=1, $F820, AM820)+AN705+AN797</f>
        <v>0</v>
      </c>
      <c r="AO820" s="10">
        <f>IF(Timeline!AO$18=1, $F820, AN820)+AO705+AO797</f>
        <v>0</v>
      </c>
      <c r="AP820" s="10">
        <f>IF(Timeline!AP$18=1, $F820, AO820)+AP705+AP797</f>
        <v>0</v>
      </c>
      <c r="AQ820" s="10">
        <f>IF(Timeline!AQ$18=1, $F820, AP820)+AQ705+AQ797</f>
        <v>0</v>
      </c>
      <c r="AR820" s="10">
        <f>IF(Timeline!AR$18=1, $F820, AQ820)+AR705+AR797</f>
        <v>0</v>
      </c>
      <c r="AS820" s="10">
        <f>IF(Timeline!AS$18=1, $F820, AR820)+AS705+AS797</f>
        <v>0</v>
      </c>
      <c r="AT820" s="10">
        <f>IF(Timeline!AT$18=1, $F820, AS820)+AT705+AT797</f>
        <v>0</v>
      </c>
      <c r="AU820" s="10">
        <f>IF(Timeline!AU$18=1, $F820, AT820)+AU705+AU797</f>
        <v>0</v>
      </c>
      <c r="AV820" s="10">
        <f>IF(Timeline!AV$18=1, $F820, AU820)+AV705+AV797</f>
        <v>0</v>
      </c>
      <c r="AW820" s="10">
        <f>IF(Timeline!AW$18=1, $F820, AV820)+AW705+AW797</f>
        <v>0</v>
      </c>
      <c r="AX820" s="10">
        <f>IF(Timeline!AX$18=1, $F820, AW820)+AX705+AX797</f>
        <v>0</v>
      </c>
      <c r="AY820" s="10">
        <f>IF(Timeline!AY$18=1, $F820, AX820)+AY705+AY797</f>
        <v>0</v>
      </c>
      <c r="AZ820" s="10">
        <f>IF(Timeline!AZ$18=1, $F820, AY820)+AZ705+AZ797</f>
        <v>0</v>
      </c>
      <c r="BA820" s="10">
        <f>IF(Timeline!BA$18=1, $F820, AZ820)+BA705+BA797</f>
        <v>0</v>
      </c>
      <c r="BB820" s="10">
        <f>IF(Timeline!BB$18=1, $F820, BA820)+BB705+BB797</f>
        <v>0</v>
      </c>
      <c r="BC820" s="10">
        <f>IF(Timeline!BC$18=1, $F820, BB820)+BC705+BC797</f>
        <v>0</v>
      </c>
      <c r="BD820" s="10">
        <f>IF(Timeline!BD$18=1, $F820, BC820)+BD705+BD797</f>
        <v>0</v>
      </c>
      <c r="BE820" s="10">
        <f>IF(Timeline!BE$18=1, $F820, BD820)+BE705+BE797</f>
        <v>0</v>
      </c>
      <c r="BF820" s="10">
        <f>IF(Timeline!BF$18=1, $F820, BE820)+BF705+BF797</f>
        <v>0</v>
      </c>
      <c r="BG820" s="10">
        <f>IF(Timeline!BG$18=1, $F820, BF820)+BG705+BG797</f>
        <v>0</v>
      </c>
      <c r="BH820" s="10">
        <f>IF(Timeline!BH$18=1, $F820, BG820)+BH705+BH797</f>
        <v>0</v>
      </c>
      <c r="BI820" s="10">
        <f>IF(Timeline!BI$18=1, $F820, BH820)+BI705+BI797</f>
        <v>0</v>
      </c>
      <c r="BJ820" s="10">
        <f>IF(Timeline!BJ$18=1, $F820, BI820)+BJ705+BJ797</f>
        <v>0</v>
      </c>
      <c r="BK820" s="329"/>
      <c r="BL820" s="13">
        <f t="shared" si="962"/>
        <v>0</v>
      </c>
      <c r="BM820" s="13">
        <f t="shared" si="963"/>
        <v>0</v>
      </c>
      <c r="BN820" s="13">
        <f t="shared" si="964"/>
        <v>0</v>
      </c>
      <c r="BO820" s="13">
        <f t="shared" si="965"/>
        <v>0</v>
      </c>
      <c r="BP820" s="136"/>
      <c r="BQ820" s="136"/>
      <c r="BR820" s="136"/>
      <c r="BS820" s="136"/>
      <c r="BT820" s="136"/>
      <c r="BU820" s="136"/>
      <c r="BV820" s="136"/>
      <c r="BW820" s="136"/>
      <c r="BY820" s="12"/>
      <c r="BZ820" s="335"/>
      <c r="CA820" s="12"/>
      <c r="CB820" s="335"/>
      <c r="CC820" s="335"/>
      <c r="CD820" s="335"/>
      <c r="CE820" s="335"/>
      <c r="CJ820" s="162"/>
      <c r="CM820" s="335"/>
      <c r="CN820" s="335"/>
      <c r="CO820" s="335"/>
      <c r="CP820" s="335"/>
      <c r="CR820" s="12"/>
      <c r="CT820" s="335"/>
      <c r="CU820" s="335"/>
      <c r="EW820" s="335"/>
      <c r="EX820" s="10" t="str">
        <f t="shared" si="967"/>
        <v/>
      </c>
    </row>
    <row r="821" spans="1:154" x14ac:dyDescent="0.25">
      <c r="C821" s="380"/>
      <c r="S821" s="335"/>
      <c r="Z821" s="329"/>
      <c r="BY821" s="12"/>
      <c r="CA821" s="12"/>
      <c r="CJ821" s="162"/>
      <c r="CR821" s="12"/>
      <c r="EX821" s="10" t="str">
        <f t="shared" si="967"/>
        <v/>
      </c>
    </row>
    <row r="822" spans="1:154" x14ac:dyDescent="0.25">
      <c r="C822" s="380"/>
      <c r="S822" s="335"/>
      <c r="BY822" s="12"/>
      <c r="CA822" s="12"/>
      <c r="CJ822" s="162"/>
      <c r="CR822" s="12"/>
      <c r="EX822" s="10" t="str">
        <f t="shared" si="967"/>
        <v/>
      </c>
    </row>
    <row r="823" spans="1:154" ht="6.6" customHeight="1" x14ac:dyDescent="0.25">
      <c r="C823" s="380"/>
      <c r="D823" s="1"/>
      <c r="E823" s="11"/>
      <c r="S823" s="335"/>
      <c r="BM823" s="6"/>
      <c r="BY823" s="42"/>
      <c r="CA823" s="42"/>
      <c r="CJ823" s="162"/>
      <c r="CR823" s="42"/>
      <c r="EX823" s="10" t="str">
        <f t="shared" si="967"/>
        <v/>
      </c>
    </row>
    <row r="824" spans="1:154" x14ac:dyDescent="0.25">
      <c r="A824" s="40"/>
      <c r="B824" s="40"/>
      <c r="C824" s="414"/>
      <c r="D824" s="40" t="s">
        <v>232</v>
      </c>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12"/>
      <c r="CA824" s="12"/>
      <c r="CJ824" s="162"/>
      <c r="CR824" s="12"/>
      <c r="EX824" s="10" t="str">
        <f t="shared" si="967"/>
        <v/>
      </c>
    </row>
    <row r="825" spans="1:154" ht="6.6" customHeight="1" x14ac:dyDescent="0.25">
      <c r="C825" s="380"/>
      <c r="D825" s="1"/>
      <c r="E825" s="11"/>
      <c r="S825" s="335"/>
      <c r="BM825" s="6"/>
      <c r="BY825" s="42"/>
      <c r="CA825" s="42"/>
      <c r="CJ825" s="162"/>
      <c r="CR825" s="42"/>
      <c r="EX825" s="10" t="str">
        <f t="shared" si="967"/>
        <v/>
      </c>
    </row>
    <row r="826" spans="1:154" ht="15.75" x14ac:dyDescent="0.25">
      <c r="C826" s="380"/>
      <c r="D826" s="61" t="s">
        <v>234</v>
      </c>
      <c r="E826" s="11"/>
      <c r="S826" s="335"/>
      <c r="AA826" s="170" t="s">
        <v>335</v>
      </c>
      <c r="BY826" s="12"/>
      <c r="CA826" s="12"/>
      <c r="CJ826" s="162"/>
      <c r="CR826" s="12"/>
      <c r="EX826" s="10" t="str">
        <f t="shared" si="967"/>
        <v/>
      </c>
    </row>
    <row r="827" spans="1:154" ht="32.1" customHeight="1" x14ac:dyDescent="0.25">
      <c r="B827" s="5" t="s">
        <v>551</v>
      </c>
      <c r="C827" s="380"/>
      <c r="D827" s="5" t="s">
        <v>180</v>
      </c>
      <c r="E827" s="5" t="s">
        <v>179</v>
      </c>
      <c r="F827" s="27" t="s">
        <v>560</v>
      </c>
      <c r="S827" s="335"/>
      <c r="AA827" s="335"/>
      <c r="BY827" s="12"/>
      <c r="CA827" s="12"/>
      <c r="CJ827" s="162"/>
      <c r="CR827" s="12"/>
      <c r="EX827" s="10" t="str">
        <f t="shared" si="967"/>
        <v/>
      </c>
    </row>
    <row r="828" spans="1:154" x14ac:dyDescent="0.25">
      <c r="A828" s="67"/>
      <c r="B828" s="84" t="str" cm="1">
        <f t="array" aca="1" ref="B828" ca="1">HYPERLINK(CONCATENATE("#",CELL("address",$D$47)),$D$47)</f>
        <v>Loan 1</v>
      </c>
      <c r="C828" s="340" t="s">
        <v>1293</v>
      </c>
      <c r="D828" s="60" t="str">
        <f>D$13</f>
        <v>NatWest</v>
      </c>
      <c r="E828" s="221" t="str">
        <f>E$13</f>
        <v xml:space="preserve">Commercial </v>
      </c>
      <c r="F828" s="201">
        <f>P$13</f>
        <v>0</v>
      </c>
      <c r="G828" s="9"/>
      <c r="H828" s="50" t="s">
        <v>125</v>
      </c>
      <c r="I828" s="65"/>
      <c r="S828" s="335"/>
      <c r="T828" s="335"/>
      <c r="U828" s="335"/>
      <c r="V828" s="201">
        <f t="shared" ref="V828:Y847" si="968">IF($F828=1, V686, V546)</f>
        <v>0</v>
      </c>
      <c r="W828" s="201">
        <f t="shared" si="968"/>
        <v>0</v>
      </c>
      <c r="X828" s="201">
        <f t="shared" si="968"/>
        <v>0</v>
      </c>
      <c r="Y828" s="10">
        <f t="shared" si="968"/>
        <v>0</v>
      </c>
      <c r="Z828" s="67"/>
      <c r="AA828" s="201">
        <f>IF($F828=1, AA686, AA546)</f>
        <v>0</v>
      </c>
      <c r="AB828" s="10">
        <f t="shared" ref="AB828:BJ828" si="969">IF($F828=1, AB686, AB546)</f>
        <v>0</v>
      </c>
      <c r="AC828" s="10">
        <f t="shared" si="969"/>
        <v>0</v>
      </c>
      <c r="AD828" s="10">
        <f t="shared" si="969"/>
        <v>0</v>
      </c>
      <c r="AE828" s="10">
        <f t="shared" si="969"/>
        <v>0</v>
      </c>
      <c r="AF828" s="10">
        <f t="shared" si="969"/>
        <v>0</v>
      </c>
      <c r="AG828" s="10">
        <f t="shared" si="969"/>
        <v>0</v>
      </c>
      <c r="AH828" s="10">
        <f t="shared" si="969"/>
        <v>0</v>
      </c>
      <c r="AI828" s="10">
        <f t="shared" si="969"/>
        <v>0</v>
      </c>
      <c r="AJ828" s="10">
        <f t="shared" si="969"/>
        <v>0</v>
      </c>
      <c r="AK828" s="10">
        <f t="shared" si="969"/>
        <v>0</v>
      </c>
      <c r="AL828" s="10">
        <f t="shared" si="969"/>
        <v>0</v>
      </c>
      <c r="AM828" s="10">
        <f t="shared" si="969"/>
        <v>0</v>
      </c>
      <c r="AN828" s="10">
        <f t="shared" si="969"/>
        <v>0</v>
      </c>
      <c r="AO828" s="10">
        <f t="shared" si="969"/>
        <v>0</v>
      </c>
      <c r="AP828" s="10">
        <f t="shared" si="969"/>
        <v>0</v>
      </c>
      <c r="AQ828" s="10">
        <f t="shared" si="969"/>
        <v>0</v>
      </c>
      <c r="AR828" s="10">
        <f t="shared" si="969"/>
        <v>0</v>
      </c>
      <c r="AS828" s="10">
        <f t="shared" si="969"/>
        <v>0</v>
      </c>
      <c r="AT828" s="10">
        <f t="shared" si="969"/>
        <v>0</v>
      </c>
      <c r="AU828" s="10">
        <f t="shared" si="969"/>
        <v>0</v>
      </c>
      <c r="AV828" s="10">
        <f t="shared" si="969"/>
        <v>0</v>
      </c>
      <c r="AW828" s="10">
        <f t="shared" si="969"/>
        <v>0</v>
      </c>
      <c r="AX828" s="10">
        <f t="shared" si="969"/>
        <v>0</v>
      </c>
      <c r="AY828" s="10">
        <f t="shared" si="969"/>
        <v>0</v>
      </c>
      <c r="AZ828" s="10">
        <f t="shared" si="969"/>
        <v>0</v>
      </c>
      <c r="BA828" s="10">
        <f t="shared" si="969"/>
        <v>0</v>
      </c>
      <c r="BB828" s="10">
        <f t="shared" si="969"/>
        <v>0</v>
      </c>
      <c r="BC828" s="10">
        <f t="shared" si="969"/>
        <v>0</v>
      </c>
      <c r="BD828" s="10">
        <f t="shared" si="969"/>
        <v>0</v>
      </c>
      <c r="BE828" s="10">
        <f t="shared" si="969"/>
        <v>0</v>
      </c>
      <c r="BF828" s="10">
        <f t="shared" si="969"/>
        <v>0</v>
      </c>
      <c r="BG828" s="10">
        <f t="shared" si="969"/>
        <v>0</v>
      </c>
      <c r="BH828" s="10">
        <f t="shared" si="969"/>
        <v>0</v>
      </c>
      <c r="BI828" s="10">
        <f t="shared" si="969"/>
        <v>0</v>
      </c>
      <c r="BJ828" s="10">
        <f t="shared" si="969"/>
        <v>0</v>
      </c>
      <c r="BK828" s="67"/>
      <c r="BL828" s="10">
        <f t="shared" ref="BL828:BO847" si="970">IF($F828=1, BL686, BL546)</f>
        <v>0</v>
      </c>
      <c r="BM828" s="10">
        <f t="shared" si="970"/>
        <v>0</v>
      </c>
      <c r="BN828" s="10">
        <f t="shared" si="970"/>
        <v>0</v>
      </c>
      <c r="BO828" s="10">
        <f t="shared" si="970"/>
        <v>0</v>
      </c>
      <c r="BP828" s="13">
        <f t="shared" ref="BP828:BP847" si="971">BP546</f>
        <v>0</v>
      </c>
      <c r="BQ828" s="13">
        <f t="shared" ref="BQ828:BW828" si="972">BQ546</f>
        <v>0</v>
      </c>
      <c r="BR828" s="13">
        <f t="shared" si="972"/>
        <v>0</v>
      </c>
      <c r="BS828" s="13">
        <f t="shared" si="972"/>
        <v>0</v>
      </c>
      <c r="BT828" s="13">
        <f t="shared" si="972"/>
        <v>0</v>
      </c>
      <c r="BU828" s="13">
        <f t="shared" si="972"/>
        <v>0</v>
      </c>
      <c r="BV828" s="13">
        <f t="shared" si="972"/>
        <v>0</v>
      </c>
      <c r="BW828" s="13">
        <f t="shared" si="972"/>
        <v>0</v>
      </c>
      <c r="BY828" s="12"/>
      <c r="CA828" s="12"/>
      <c r="CJ828" s="162"/>
      <c r="CR828" s="12"/>
      <c r="EX828" s="13" t="str">
        <f t="shared" ref="EX828:EX847" ca="1" si="973">IF($C828="","",CONCATENATE(D$826," ", $B828))</f>
        <v>Accrued Interest Expense Loan 1</v>
      </c>
    </row>
    <row r="829" spans="1:154" x14ac:dyDescent="0.25">
      <c r="A829" s="67"/>
      <c r="B829" s="84" t="str" cm="1">
        <f t="array" aca="1" ref="B829" ca="1">HYPERLINK(CONCATENATE("#",CELL("address",$D$66)),$D$66)</f>
        <v>Loan 2</v>
      </c>
      <c r="C829" s="340" t="s">
        <v>1294</v>
      </c>
      <c r="D829" s="60" t="str">
        <f>D$14</f>
        <v>NatWest</v>
      </c>
      <c r="E829" s="221" t="str">
        <f>E$14</f>
        <v xml:space="preserve">Commercial </v>
      </c>
      <c r="F829" s="10">
        <f>P$14</f>
        <v>0</v>
      </c>
      <c r="G829" s="9"/>
      <c r="H829" s="50" t="s">
        <v>125</v>
      </c>
      <c r="S829" s="335"/>
      <c r="T829" s="335"/>
      <c r="U829" s="335"/>
      <c r="V829" s="201">
        <f t="shared" si="968"/>
        <v>0</v>
      </c>
      <c r="W829" s="10">
        <f t="shared" si="968"/>
        <v>37</v>
      </c>
      <c r="X829" s="201">
        <f t="shared" si="968"/>
        <v>37</v>
      </c>
      <c r="Y829" s="10">
        <f t="shared" si="968"/>
        <v>37</v>
      </c>
      <c r="Z829" s="67"/>
      <c r="AA829" s="10">
        <f t="shared" ref="AA829:BJ829" si="974">IF($F829=1, AA687, AA547)</f>
        <v>4</v>
      </c>
      <c r="AB829" s="10">
        <f t="shared" si="974"/>
        <v>3</v>
      </c>
      <c r="AC829" s="10">
        <f t="shared" si="974"/>
        <v>3</v>
      </c>
      <c r="AD829" s="10">
        <f t="shared" si="974"/>
        <v>3</v>
      </c>
      <c r="AE829" s="10">
        <f t="shared" si="974"/>
        <v>3</v>
      </c>
      <c r="AF829" s="10">
        <f t="shared" si="974"/>
        <v>3</v>
      </c>
      <c r="AG829" s="10">
        <f t="shared" si="974"/>
        <v>3</v>
      </c>
      <c r="AH829" s="10">
        <f t="shared" si="974"/>
        <v>3</v>
      </c>
      <c r="AI829" s="10">
        <f t="shared" si="974"/>
        <v>3</v>
      </c>
      <c r="AJ829" s="10">
        <f t="shared" si="974"/>
        <v>3</v>
      </c>
      <c r="AK829" s="10">
        <f t="shared" si="974"/>
        <v>3</v>
      </c>
      <c r="AL829" s="10">
        <f t="shared" si="974"/>
        <v>3</v>
      </c>
      <c r="AM829" s="10">
        <f t="shared" si="974"/>
        <v>4</v>
      </c>
      <c r="AN829" s="10">
        <f t="shared" si="974"/>
        <v>3</v>
      </c>
      <c r="AO829" s="10">
        <f t="shared" si="974"/>
        <v>3</v>
      </c>
      <c r="AP829" s="10">
        <f t="shared" si="974"/>
        <v>3</v>
      </c>
      <c r="AQ829" s="10">
        <f t="shared" si="974"/>
        <v>3</v>
      </c>
      <c r="AR829" s="10">
        <f t="shared" si="974"/>
        <v>3</v>
      </c>
      <c r="AS829" s="10">
        <f t="shared" si="974"/>
        <v>3</v>
      </c>
      <c r="AT829" s="10">
        <f t="shared" si="974"/>
        <v>3</v>
      </c>
      <c r="AU829" s="10">
        <f t="shared" si="974"/>
        <v>3</v>
      </c>
      <c r="AV829" s="10">
        <f t="shared" si="974"/>
        <v>3</v>
      </c>
      <c r="AW829" s="10">
        <f t="shared" si="974"/>
        <v>3</v>
      </c>
      <c r="AX829" s="10">
        <f t="shared" si="974"/>
        <v>3</v>
      </c>
      <c r="AY829" s="10">
        <f t="shared" si="974"/>
        <v>4</v>
      </c>
      <c r="AZ829" s="10">
        <f t="shared" si="974"/>
        <v>3</v>
      </c>
      <c r="BA829" s="10">
        <f t="shared" si="974"/>
        <v>3</v>
      </c>
      <c r="BB829" s="10">
        <f t="shared" si="974"/>
        <v>3</v>
      </c>
      <c r="BC829" s="10">
        <f t="shared" si="974"/>
        <v>3</v>
      </c>
      <c r="BD829" s="10">
        <f t="shared" si="974"/>
        <v>3</v>
      </c>
      <c r="BE829" s="10">
        <f t="shared" si="974"/>
        <v>3</v>
      </c>
      <c r="BF829" s="10">
        <f t="shared" si="974"/>
        <v>3</v>
      </c>
      <c r="BG829" s="10">
        <f t="shared" si="974"/>
        <v>3</v>
      </c>
      <c r="BH829" s="10">
        <f t="shared" si="974"/>
        <v>3</v>
      </c>
      <c r="BI829" s="10">
        <f t="shared" si="974"/>
        <v>3</v>
      </c>
      <c r="BJ829" s="10">
        <f t="shared" si="974"/>
        <v>3</v>
      </c>
      <c r="BK829" s="67"/>
      <c r="BL829" s="10">
        <f t="shared" si="970"/>
        <v>0</v>
      </c>
      <c r="BM829" s="10">
        <f t="shared" si="970"/>
        <v>37</v>
      </c>
      <c r="BN829" s="10">
        <f t="shared" si="970"/>
        <v>37</v>
      </c>
      <c r="BO829" s="10">
        <f t="shared" si="970"/>
        <v>37</v>
      </c>
      <c r="BP829" s="13">
        <f t="shared" si="971"/>
        <v>0</v>
      </c>
      <c r="BQ829" s="13">
        <f t="shared" ref="BQ829:BW838" si="975">BQ547</f>
        <v>0</v>
      </c>
      <c r="BR829" s="13">
        <f t="shared" si="975"/>
        <v>0</v>
      </c>
      <c r="BS829" s="13">
        <f t="shared" si="975"/>
        <v>0</v>
      </c>
      <c r="BT829" s="13">
        <f t="shared" si="975"/>
        <v>0</v>
      </c>
      <c r="BU829" s="13">
        <f t="shared" si="975"/>
        <v>0</v>
      </c>
      <c r="BV829" s="13">
        <f t="shared" si="975"/>
        <v>0</v>
      </c>
      <c r="BW829" s="13">
        <f t="shared" si="975"/>
        <v>0</v>
      </c>
      <c r="BY829" s="12"/>
      <c r="CA829" s="12"/>
      <c r="CJ829" s="162"/>
      <c r="CR829" s="12"/>
      <c r="EX829" s="13" t="str">
        <f t="shared" ca="1" si="973"/>
        <v>Accrued Interest Expense Loan 2</v>
      </c>
    </row>
    <row r="830" spans="1:154" x14ac:dyDescent="0.25">
      <c r="A830" s="67"/>
      <c r="B830" s="84" t="str" cm="1">
        <f t="array" aca="1" ref="B830" ca="1">HYPERLINK(CONCATENATE("#",CELL("address",$D$85)),$D$85)</f>
        <v>Loan 3</v>
      </c>
      <c r="C830" s="340" t="s">
        <v>1295</v>
      </c>
      <c r="D830" s="60" t="str">
        <f>D$15</f>
        <v>NatWest</v>
      </c>
      <c r="E830" s="221" t="str">
        <f>E$15</f>
        <v xml:space="preserve">Commercial </v>
      </c>
      <c r="F830" s="10">
        <f>P$15</f>
        <v>0</v>
      </c>
      <c r="G830" s="9"/>
      <c r="H830" s="50" t="s">
        <v>125</v>
      </c>
      <c r="S830" s="335"/>
      <c r="T830" s="335"/>
      <c r="U830" s="335"/>
      <c r="V830" s="201">
        <f t="shared" si="968"/>
        <v>0</v>
      </c>
      <c r="W830" s="10">
        <f t="shared" si="968"/>
        <v>36</v>
      </c>
      <c r="X830" s="201">
        <f t="shared" si="968"/>
        <v>36</v>
      </c>
      <c r="Y830" s="10">
        <f t="shared" si="968"/>
        <v>36</v>
      </c>
      <c r="Z830" s="67"/>
      <c r="AA830" s="10">
        <f t="shared" ref="AA830:BJ830" si="976">IF($F830=1, AA688, AA548)</f>
        <v>3</v>
      </c>
      <c r="AB830" s="10">
        <f t="shared" si="976"/>
        <v>3</v>
      </c>
      <c r="AC830" s="10">
        <f t="shared" si="976"/>
        <v>3</v>
      </c>
      <c r="AD830" s="10">
        <f t="shared" si="976"/>
        <v>3</v>
      </c>
      <c r="AE830" s="10">
        <f t="shared" si="976"/>
        <v>3</v>
      </c>
      <c r="AF830" s="10">
        <f t="shared" si="976"/>
        <v>3</v>
      </c>
      <c r="AG830" s="10">
        <f t="shared" si="976"/>
        <v>3</v>
      </c>
      <c r="AH830" s="10">
        <f t="shared" si="976"/>
        <v>3</v>
      </c>
      <c r="AI830" s="10">
        <f t="shared" si="976"/>
        <v>3</v>
      </c>
      <c r="AJ830" s="10">
        <f t="shared" si="976"/>
        <v>3</v>
      </c>
      <c r="AK830" s="10">
        <f t="shared" si="976"/>
        <v>3</v>
      </c>
      <c r="AL830" s="10">
        <f t="shared" si="976"/>
        <v>3</v>
      </c>
      <c r="AM830" s="10">
        <f t="shared" si="976"/>
        <v>3</v>
      </c>
      <c r="AN830" s="10">
        <f t="shared" si="976"/>
        <v>3</v>
      </c>
      <c r="AO830" s="10">
        <f t="shared" si="976"/>
        <v>3</v>
      </c>
      <c r="AP830" s="10">
        <f t="shared" si="976"/>
        <v>3</v>
      </c>
      <c r="AQ830" s="10">
        <f t="shared" si="976"/>
        <v>3</v>
      </c>
      <c r="AR830" s="10">
        <f t="shared" si="976"/>
        <v>3</v>
      </c>
      <c r="AS830" s="10">
        <f t="shared" si="976"/>
        <v>3</v>
      </c>
      <c r="AT830" s="10">
        <f t="shared" si="976"/>
        <v>3</v>
      </c>
      <c r="AU830" s="10">
        <f t="shared" si="976"/>
        <v>3</v>
      </c>
      <c r="AV830" s="10">
        <f t="shared" si="976"/>
        <v>3</v>
      </c>
      <c r="AW830" s="10">
        <f t="shared" si="976"/>
        <v>3</v>
      </c>
      <c r="AX830" s="10">
        <f t="shared" si="976"/>
        <v>3</v>
      </c>
      <c r="AY830" s="10">
        <f t="shared" si="976"/>
        <v>3</v>
      </c>
      <c r="AZ830" s="10">
        <f t="shared" si="976"/>
        <v>3</v>
      </c>
      <c r="BA830" s="10">
        <f t="shared" si="976"/>
        <v>3</v>
      </c>
      <c r="BB830" s="10">
        <f t="shared" si="976"/>
        <v>3</v>
      </c>
      <c r="BC830" s="10">
        <f t="shared" si="976"/>
        <v>3</v>
      </c>
      <c r="BD830" s="10">
        <f t="shared" si="976"/>
        <v>3</v>
      </c>
      <c r="BE830" s="10">
        <f t="shared" si="976"/>
        <v>3</v>
      </c>
      <c r="BF830" s="10">
        <f t="shared" si="976"/>
        <v>3</v>
      </c>
      <c r="BG830" s="10">
        <f t="shared" si="976"/>
        <v>3</v>
      </c>
      <c r="BH830" s="10">
        <f t="shared" si="976"/>
        <v>3</v>
      </c>
      <c r="BI830" s="10">
        <f t="shared" si="976"/>
        <v>3</v>
      </c>
      <c r="BJ830" s="10">
        <f t="shared" si="976"/>
        <v>3</v>
      </c>
      <c r="BK830" s="67"/>
      <c r="BL830" s="10">
        <f t="shared" si="970"/>
        <v>0</v>
      </c>
      <c r="BM830" s="10">
        <f t="shared" si="970"/>
        <v>36</v>
      </c>
      <c r="BN830" s="10">
        <f t="shared" si="970"/>
        <v>36</v>
      </c>
      <c r="BO830" s="10">
        <f t="shared" si="970"/>
        <v>36</v>
      </c>
      <c r="BP830" s="13">
        <f t="shared" si="971"/>
        <v>0</v>
      </c>
      <c r="BQ830" s="13">
        <f t="shared" si="975"/>
        <v>0</v>
      </c>
      <c r="BR830" s="13">
        <f t="shared" si="975"/>
        <v>0</v>
      </c>
      <c r="BS830" s="13">
        <f t="shared" si="975"/>
        <v>0</v>
      </c>
      <c r="BT830" s="13">
        <f t="shared" si="975"/>
        <v>0</v>
      </c>
      <c r="BU830" s="13">
        <f t="shared" si="975"/>
        <v>0</v>
      </c>
      <c r="BV830" s="13">
        <f t="shared" si="975"/>
        <v>0</v>
      </c>
      <c r="BW830" s="13">
        <f t="shared" si="975"/>
        <v>0</v>
      </c>
      <c r="BY830" s="12"/>
      <c r="CA830" s="12"/>
      <c r="CJ830" s="162"/>
      <c r="CR830" s="12"/>
      <c r="EX830" s="13" t="str">
        <f t="shared" ca="1" si="973"/>
        <v>Accrued Interest Expense Loan 3</v>
      </c>
    </row>
    <row r="831" spans="1:154" x14ac:dyDescent="0.25">
      <c r="A831" s="67"/>
      <c r="B831" s="84" t="str" cm="1">
        <f t="array" aca="1" ref="B831" ca="1">HYPERLINK(CONCATENATE("#",CELL("address",$D$104)),$D$104)</f>
        <v>Loan 4</v>
      </c>
      <c r="C831" s="340" t="s">
        <v>1296</v>
      </c>
      <c r="D831" s="60" t="str">
        <f>D$16</f>
        <v>NatWest</v>
      </c>
      <c r="E831" s="221" t="str">
        <f>E$16</f>
        <v xml:space="preserve">Commercial </v>
      </c>
      <c r="F831" s="10">
        <f>P$16</f>
        <v>0</v>
      </c>
      <c r="G831" s="9"/>
      <c r="H831" s="50" t="s">
        <v>125</v>
      </c>
      <c r="S831" s="335"/>
      <c r="T831" s="335"/>
      <c r="U831" s="335"/>
      <c r="V831" s="201">
        <f t="shared" si="968"/>
        <v>0</v>
      </c>
      <c r="W831" s="10">
        <f t="shared" si="968"/>
        <v>36</v>
      </c>
      <c r="X831" s="201">
        <f t="shared" si="968"/>
        <v>36</v>
      </c>
      <c r="Y831" s="10">
        <f t="shared" si="968"/>
        <v>36</v>
      </c>
      <c r="Z831" s="67"/>
      <c r="AA831" s="10">
        <f t="shared" ref="AA831:BJ831" si="977">IF($F831=1, AA689, AA549)</f>
        <v>9</v>
      </c>
      <c r="AB831" s="10">
        <f t="shared" si="977"/>
        <v>0</v>
      </c>
      <c r="AC831" s="10">
        <f t="shared" si="977"/>
        <v>0</v>
      </c>
      <c r="AD831" s="10">
        <f t="shared" si="977"/>
        <v>9</v>
      </c>
      <c r="AE831" s="10">
        <f t="shared" si="977"/>
        <v>0</v>
      </c>
      <c r="AF831" s="10">
        <f t="shared" si="977"/>
        <v>0</v>
      </c>
      <c r="AG831" s="10">
        <f t="shared" si="977"/>
        <v>9</v>
      </c>
      <c r="AH831" s="10">
        <f t="shared" si="977"/>
        <v>0</v>
      </c>
      <c r="AI831" s="10">
        <f t="shared" si="977"/>
        <v>0</v>
      </c>
      <c r="AJ831" s="10">
        <f t="shared" si="977"/>
        <v>9</v>
      </c>
      <c r="AK831" s="10">
        <f t="shared" si="977"/>
        <v>0</v>
      </c>
      <c r="AL831" s="10">
        <f t="shared" si="977"/>
        <v>0</v>
      </c>
      <c r="AM831" s="10">
        <f t="shared" si="977"/>
        <v>9</v>
      </c>
      <c r="AN831" s="10">
        <f t="shared" si="977"/>
        <v>0</v>
      </c>
      <c r="AO831" s="10">
        <f t="shared" si="977"/>
        <v>0</v>
      </c>
      <c r="AP831" s="10">
        <f t="shared" si="977"/>
        <v>9</v>
      </c>
      <c r="AQ831" s="10">
        <f t="shared" si="977"/>
        <v>0</v>
      </c>
      <c r="AR831" s="10">
        <f t="shared" si="977"/>
        <v>0</v>
      </c>
      <c r="AS831" s="10">
        <f t="shared" si="977"/>
        <v>9</v>
      </c>
      <c r="AT831" s="10">
        <f t="shared" si="977"/>
        <v>0</v>
      </c>
      <c r="AU831" s="10">
        <f t="shared" si="977"/>
        <v>0</v>
      </c>
      <c r="AV831" s="10">
        <f t="shared" si="977"/>
        <v>9</v>
      </c>
      <c r="AW831" s="10">
        <f t="shared" si="977"/>
        <v>0</v>
      </c>
      <c r="AX831" s="10">
        <f t="shared" si="977"/>
        <v>0</v>
      </c>
      <c r="AY831" s="10">
        <f t="shared" si="977"/>
        <v>9</v>
      </c>
      <c r="AZ831" s="10">
        <f t="shared" si="977"/>
        <v>0</v>
      </c>
      <c r="BA831" s="10">
        <f t="shared" si="977"/>
        <v>0</v>
      </c>
      <c r="BB831" s="10">
        <f t="shared" si="977"/>
        <v>9</v>
      </c>
      <c r="BC831" s="10">
        <f t="shared" si="977"/>
        <v>0</v>
      </c>
      <c r="BD831" s="10">
        <f t="shared" si="977"/>
        <v>0</v>
      </c>
      <c r="BE831" s="10">
        <f t="shared" si="977"/>
        <v>9</v>
      </c>
      <c r="BF831" s="10">
        <f t="shared" si="977"/>
        <v>0</v>
      </c>
      <c r="BG831" s="10">
        <f t="shared" si="977"/>
        <v>0</v>
      </c>
      <c r="BH831" s="10">
        <f t="shared" si="977"/>
        <v>9</v>
      </c>
      <c r="BI831" s="10">
        <f t="shared" si="977"/>
        <v>0</v>
      </c>
      <c r="BJ831" s="10">
        <f t="shared" si="977"/>
        <v>0</v>
      </c>
      <c r="BK831" s="67"/>
      <c r="BL831" s="10">
        <f t="shared" si="970"/>
        <v>0</v>
      </c>
      <c r="BM831" s="10">
        <f t="shared" si="970"/>
        <v>36</v>
      </c>
      <c r="BN831" s="10">
        <f t="shared" si="970"/>
        <v>36</v>
      </c>
      <c r="BO831" s="10">
        <f t="shared" si="970"/>
        <v>36</v>
      </c>
      <c r="BP831" s="13">
        <f t="shared" si="971"/>
        <v>0</v>
      </c>
      <c r="BQ831" s="13">
        <f t="shared" si="975"/>
        <v>0</v>
      </c>
      <c r="BR831" s="13">
        <f t="shared" si="975"/>
        <v>0</v>
      </c>
      <c r="BS831" s="13">
        <f t="shared" si="975"/>
        <v>0</v>
      </c>
      <c r="BT831" s="13">
        <f t="shared" si="975"/>
        <v>0</v>
      </c>
      <c r="BU831" s="13">
        <f t="shared" si="975"/>
        <v>0</v>
      </c>
      <c r="BV831" s="13">
        <f t="shared" si="975"/>
        <v>0</v>
      </c>
      <c r="BW831" s="13">
        <f t="shared" si="975"/>
        <v>0</v>
      </c>
      <c r="BY831" s="12"/>
      <c r="CA831" s="12"/>
      <c r="CJ831" s="162"/>
      <c r="CR831" s="12"/>
      <c r="EX831" s="13" t="str">
        <f t="shared" ca="1" si="973"/>
        <v>Accrued Interest Expense Loan 4</v>
      </c>
    </row>
    <row r="832" spans="1:154" x14ac:dyDescent="0.25">
      <c r="A832" s="67"/>
      <c r="B832" s="84" t="str" cm="1">
        <f t="array" aca="1" ref="B832" ca="1">HYPERLINK(CONCATENATE("#",CELL("address",$D$123)),$D$123)</f>
        <v>Loan 5</v>
      </c>
      <c r="C832" s="340" t="s">
        <v>1297</v>
      </c>
      <c r="D832" s="60" t="str">
        <f>D$17</f>
        <v>NatWest</v>
      </c>
      <c r="E832" s="221" t="str">
        <f>E$17</f>
        <v xml:space="preserve">Commercial </v>
      </c>
      <c r="F832" s="10">
        <f>P$17</f>
        <v>0</v>
      </c>
      <c r="G832" s="9"/>
      <c r="H832" s="50" t="s">
        <v>125</v>
      </c>
      <c r="S832" s="335"/>
      <c r="T832" s="335"/>
      <c r="U832" s="335"/>
      <c r="V832" s="201">
        <f t="shared" si="968"/>
        <v>0</v>
      </c>
      <c r="W832" s="201">
        <f t="shared" si="968"/>
        <v>36</v>
      </c>
      <c r="X832" s="201">
        <f t="shared" si="968"/>
        <v>36</v>
      </c>
      <c r="Y832" s="10">
        <f t="shared" si="968"/>
        <v>36</v>
      </c>
      <c r="Z832" s="67"/>
      <c r="AA832" s="10">
        <f t="shared" ref="AA832:BJ832" si="978">IF($F832=1, AA690, AA550)</f>
        <v>9</v>
      </c>
      <c r="AB832" s="10">
        <f t="shared" si="978"/>
        <v>0</v>
      </c>
      <c r="AC832" s="10">
        <f t="shared" si="978"/>
        <v>0</v>
      </c>
      <c r="AD832" s="10">
        <f t="shared" si="978"/>
        <v>9</v>
      </c>
      <c r="AE832" s="10">
        <f t="shared" si="978"/>
        <v>0</v>
      </c>
      <c r="AF832" s="10">
        <f t="shared" si="978"/>
        <v>0</v>
      </c>
      <c r="AG832" s="10">
        <f t="shared" si="978"/>
        <v>9</v>
      </c>
      <c r="AH832" s="10">
        <f t="shared" si="978"/>
        <v>0</v>
      </c>
      <c r="AI832" s="10">
        <f t="shared" si="978"/>
        <v>0</v>
      </c>
      <c r="AJ832" s="10">
        <f t="shared" si="978"/>
        <v>9</v>
      </c>
      <c r="AK832" s="10">
        <f t="shared" si="978"/>
        <v>0</v>
      </c>
      <c r="AL832" s="10">
        <f t="shared" si="978"/>
        <v>0</v>
      </c>
      <c r="AM832" s="10">
        <f t="shared" si="978"/>
        <v>9</v>
      </c>
      <c r="AN832" s="10">
        <f t="shared" si="978"/>
        <v>0</v>
      </c>
      <c r="AO832" s="10">
        <f t="shared" si="978"/>
        <v>0</v>
      </c>
      <c r="AP832" s="10">
        <f t="shared" si="978"/>
        <v>9</v>
      </c>
      <c r="AQ832" s="10">
        <f t="shared" si="978"/>
        <v>0</v>
      </c>
      <c r="AR832" s="10">
        <f t="shared" si="978"/>
        <v>0</v>
      </c>
      <c r="AS832" s="10">
        <f t="shared" si="978"/>
        <v>9</v>
      </c>
      <c r="AT832" s="10">
        <f t="shared" si="978"/>
        <v>0</v>
      </c>
      <c r="AU832" s="10">
        <f t="shared" si="978"/>
        <v>0</v>
      </c>
      <c r="AV832" s="10">
        <f t="shared" si="978"/>
        <v>9</v>
      </c>
      <c r="AW832" s="10">
        <f t="shared" si="978"/>
        <v>0</v>
      </c>
      <c r="AX832" s="10">
        <f t="shared" si="978"/>
        <v>0</v>
      </c>
      <c r="AY832" s="10">
        <f t="shared" si="978"/>
        <v>9</v>
      </c>
      <c r="AZ832" s="10">
        <f t="shared" si="978"/>
        <v>0</v>
      </c>
      <c r="BA832" s="10">
        <f t="shared" si="978"/>
        <v>0</v>
      </c>
      <c r="BB832" s="10">
        <f t="shared" si="978"/>
        <v>9</v>
      </c>
      <c r="BC832" s="10">
        <f t="shared" si="978"/>
        <v>0</v>
      </c>
      <c r="BD832" s="10">
        <f t="shared" si="978"/>
        <v>0</v>
      </c>
      <c r="BE832" s="10">
        <f t="shared" si="978"/>
        <v>9</v>
      </c>
      <c r="BF832" s="10">
        <f t="shared" si="978"/>
        <v>0</v>
      </c>
      <c r="BG832" s="10">
        <f t="shared" si="978"/>
        <v>0</v>
      </c>
      <c r="BH832" s="10">
        <f t="shared" si="978"/>
        <v>9</v>
      </c>
      <c r="BI832" s="10">
        <f t="shared" si="978"/>
        <v>0</v>
      </c>
      <c r="BJ832" s="10">
        <f t="shared" si="978"/>
        <v>0</v>
      </c>
      <c r="BK832" s="67"/>
      <c r="BL832" s="10">
        <f t="shared" si="970"/>
        <v>0</v>
      </c>
      <c r="BM832" s="10">
        <f t="shared" si="970"/>
        <v>36</v>
      </c>
      <c r="BN832" s="10">
        <f t="shared" si="970"/>
        <v>36</v>
      </c>
      <c r="BO832" s="10">
        <f t="shared" si="970"/>
        <v>36</v>
      </c>
      <c r="BP832" s="13">
        <f t="shared" si="971"/>
        <v>0</v>
      </c>
      <c r="BQ832" s="13">
        <f t="shared" si="975"/>
        <v>0</v>
      </c>
      <c r="BR832" s="13">
        <f t="shared" si="975"/>
        <v>0</v>
      </c>
      <c r="BS832" s="13">
        <f t="shared" si="975"/>
        <v>0</v>
      </c>
      <c r="BT832" s="13">
        <f t="shared" si="975"/>
        <v>0</v>
      </c>
      <c r="BU832" s="13">
        <f t="shared" si="975"/>
        <v>0</v>
      </c>
      <c r="BV832" s="13">
        <f t="shared" si="975"/>
        <v>0</v>
      </c>
      <c r="BW832" s="13">
        <f t="shared" si="975"/>
        <v>0</v>
      </c>
      <c r="BY832" s="12"/>
      <c r="CA832" s="12"/>
      <c r="CJ832" s="162"/>
      <c r="CR832" s="12"/>
      <c r="EX832" s="13" t="str">
        <f t="shared" ca="1" si="973"/>
        <v>Accrued Interest Expense Loan 5</v>
      </c>
    </row>
    <row r="833" spans="1:154" x14ac:dyDescent="0.25">
      <c r="A833" s="67"/>
      <c r="B833" s="84" t="str" cm="1">
        <f t="array" aca="1" ref="B833" ca="1">HYPERLINK(CONCATENATE("#",CELL("address",$D$142)),$D$142)</f>
        <v>Loan 6</v>
      </c>
      <c r="C833" s="340" t="s">
        <v>1298</v>
      </c>
      <c r="D833" s="60">
        <f>D$18</f>
        <v>0</v>
      </c>
      <c r="E833" s="221">
        <f>E$18</f>
        <v>0</v>
      </c>
      <c r="F833" s="10">
        <f>P$18</f>
        <v>0</v>
      </c>
      <c r="G833" s="9"/>
      <c r="H833" s="50" t="s">
        <v>125</v>
      </c>
      <c r="S833" s="335"/>
      <c r="T833" s="335"/>
      <c r="U833" s="335"/>
      <c r="V833" s="201">
        <f t="shared" si="968"/>
        <v>0</v>
      </c>
      <c r="W833" s="201">
        <f t="shared" si="968"/>
        <v>0</v>
      </c>
      <c r="X833" s="201">
        <f t="shared" si="968"/>
        <v>0</v>
      </c>
      <c r="Y833" s="10">
        <f t="shared" si="968"/>
        <v>0</v>
      </c>
      <c r="Z833" s="67"/>
      <c r="AA833" s="10">
        <f t="shared" ref="AA833:BJ833" si="979">IF($F833=1, AA691, AA551)</f>
        <v>0</v>
      </c>
      <c r="AB833" s="10">
        <f t="shared" si="979"/>
        <v>0</v>
      </c>
      <c r="AC833" s="10">
        <f t="shared" si="979"/>
        <v>0</v>
      </c>
      <c r="AD833" s="10">
        <f t="shared" si="979"/>
        <v>0</v>
      </c>
      <c r="AE833" s="10">
        <f t="shared" si="979"/>
        <v>0</v>
      </c>
      <c r="AF833" s="10">
        <f t="shared" si="979"/>
        <v>0</v>
      </c>
      <c r="AG833" s="10">
        <f t="shared" si="979"/>
        <v>0</v>
      </c>
      <c r="AH833" s="10">
        <f t="shared" si="979"/>
        <v>0</v>
      </c>
      <c r="AI833" s="10">
        <f t="shared" si="979"/>
        <v>0</v>
      </c>
      <c r="AJ833" s="10">
        <f t="shared" si="979"/>
        <v>0</v>
      </c>
      <c r="AK833" s="10">
        <f t="shared" si="979"/>
        <v>0</v>
      </c>
      <c r="AL833" s="10">
        <f t="shared" si="979"/>
        <v>0</v>
      </c>
      <c r="AM833" s="10">
        <f t="shared" si="979"/>
        <v>0</v>
      </c>
      <c r="AN833" s="10">
        <f t="shared" si="979"/>
        <v>0</v>
      </c>
      <c r="AO833" s="10">
        <f t="shared" si="979"/>
        <v>0</v>
      </c>
      <c r="AP833" s="10">
        <f t="shared" si="979"/>
        <v>0</v>
      </c>
      <c r="AQ833" s="10">
        <f t="shared" si="979"/>
        <v>0</v>
      </c>
      <c r="AR833" s="10">
        <f t="shared" si="979"/>
        <v>0</v>
      </c>
      <c r="AS833" s="10">
        <f t="shared" si="979"/>
        <v>0</v>
      </c>
      <c r="AT833" s="10">
        <f t="shared" si="979"/>
        <v>0</v>
      </c>
      <c r="AU833" s="10">
        <f t="shared" si="979"/>
        <v>0</v>
      </c>
      <c r="AV833" s="10">
        <f t="shared" si="979"/>
        <v>0</v>
      </c>
      <c r="AW833" s="10">
        <f t="shared" si="979"/>
        <v>0</v>
      </c>
      <c r="AX833" s="10">
        <f t="shared" si="979"/>
        <v>0</v>
      </c>
      <c r="AY833" s="10">
        <f t="shared" si="979"/>
        <v>0</v>
      </c>
      <c r="AZ833" s="10">
        <f t="shared" si="979"/>
        <v>0</v>
      </c>
      <c r="BA833" s="10">
        <f t="shared" si="979"/>
        <v>0</v>
      </c>
      <c r="BB833" s="10">
        <f t="shared" si="979"/>
        <v>0</v>
      </c>
      <c r="BC833" s="10">
        <f t="shared" si="979"/>
        <v>0</v>
      </c>
      <c r="BD833" s="10">
        <f t="shared" si="979"/>
        <v>0</v>
      </c>
      <c r="BE833" s="10">
        <f t="shared" si="979"/>
        <v>0</v>
      </c>
      <c r="BF833" s="10">
        <f t="shared" si="979"/>
        <v>0</v>
      </c>
      <c r="BG833" s="10">
        <f t="shared" si="979"/>
        <v>0</v>
      </c>
      <c r="BH833" s="10">
        <f t="shared" si="979"/>
        <v>0</v>
      </c>
      <c r="BI833" s="10">
        <f t="shared" si="979"/>
        <v>0</v>
      </c>
      <c r="BJ833" s="10">
        <f t="shared" si="979"/>
        <v>0</v>
      </c>
      <c r="BK833" s="67"/>
      <c r="BL833" s="10">
        <f t="shared" si="970"/>
        <v>0</v>
      </c>
      <c r="BM833" s="10">
        <f t="shared" si="970"/>
        <v>0</v>
      </c>
      <c r="BN833" s="10">
        <f t="shared" si="970"/>
        <v>0</v>
      </c>
      <c r="BO833" s="10">
        <f t="shared" si="970"/>
        <v>0</v>
      </c>
      <c r="BP833" s="13">
        <f t="shared" si="971"/>
        <v>0</v>
      </c>
      <c r="BQ833" s="13">
        <f t="shared" si="975"/>
        <v>0</v>
      </c>
      <c r="BR833" s="13">
        <f t="shared" si="975"/>
        <v>0</v>
      </c>
      <c r="BS833" s="13">
        <f t="shared" si="975"/>
        <v>0</v>
      </c>
      <c r="BT833" s="13">
        <f t="shared" si="975"/>
        <v>0</v>
      </c>
      <c r="BU833" s="13">
        <f t="shared" si="975"/>
        <v>0</v>
      </c>
      <c r="BV833" s="13">
        <f t="shared" si="975"/>
        <v>0</v>
      </c>
      <c r="BW833" s="13">
        <f t="shared" si="975"/>
        <v>0</v>
      </c>
      <c r="BY833" s="12"/>
      <c r="CA833" s="12"/>
      <c r="CJ833" s="162"/>
      <c r="CR833" s="12"/>
      <c r="EX833" s="13" t="str">
        <f t="shared" ca="1" si="973"/>
        <v>Accrued Interest Expense Loan 6</v>
      </c>
    </row>
    <row r="834" spans="1:154" x14ac:dyDescent="0.25">
      <c r="A834" s="67"/>
      <c r="B834" s="84" t="str" cm="1">
        <f t="array" aca="1" ref="B834" ca="1">HYPERLINK(CONCATENATE("#",CELL("address",$D$161)),$D$161)</f>
        <v>Loan 7</v>
      </c>
      <c r="C834" s="340" t="s">
        <v>1299</v>
      </c>
      <c r="D834" s="60">
        <f>D$19</f>
        <v>0</v>
      </c>
      <c r="E834" s="221">
        <f>E$19</f>
        <v>0</v>
      </c>
      <c r="F834" s="10">
        <f>P$19</f>
        <v>0</v>
      </c>
      <c r="G834" s="9"/>
      <c r="H834" s="50" t="s">
        <v>125</v>
      </c>
      <c r="S834" s="335"/>
      <c r="T834" s="335"/>
      <c r="U834" s="335"/>
      <c r="V834" s="201">
        <f t="shared" si="968"/>
        <v>0</v>
      </c>
      <c r="W834" s="201">
        <f t="shared" si="968"/>
        <v>0</v>
      </c>
      <c r="X834" s="201">
        <f t="shared" si="968"/>
        <v>0</v>
      </c>
      <c r="Y834" s="10">
        <f t="shared" si="968"/>
        <v>0</v>
      </c>
      <c r="Z834" s="67"/>
      <c r="AA834" s="10">
        <f t="shared" ref="AA834:BJ834" si="980">IF($F834=1, AA692, AA552)</f>
        <v>0</v>
      </c>
      <c r="AB834" s="10">
        <f t="shared" si="980"/>
        <v>0</v>
      </c>
      <c r="AC834" s="10">
        <f t="shared" si="980"/>
        <v>0</v>
      </c>
      <c r="AD834" s="10">
        <f t="shared" si="980"/>
        <v>0</v>
      </c>
      <c r="AE834" s="10">
        <f t="shared" si="980"/>
        <v>0</v>
      </c>
      <c r="AF834" s="10">
        <f t="shared" si="980"/>
        <v>0</v>
      </c>
      <c r="AG834" s="10">
        <f t="shared" si="980"/>
        <v>0</v>
      </c>
      <c r="AH834" s="10">
        <f t="shared" si="980"/>
        <v>0</v>
      </c>
      <c r="AI834" s="10">
        <f t="shared" si="980"/>
        <v>0</v>
      </c>
      <c r="AJ834" s="10">
        <f t="shared" si="980"/>
        <v>0</v>
      </c>
      <c r="AK834" s="10">
        <f t="shared" si="980"/>
        <v>0</v>
      </c>
      <c r="AL834" s="10">
        <f t="shared" si="980"/>
        <v>0</v>
      </c>
      <c r="AM834" s="10">
        <f t="shared" si="980"/>
        <v>0</v>
      </c>
      <c r="AN834" s="10">
        <f t="shared" si="980"/>
        <v>0</v>
      </c>
      <c r="AO834" s="10">
        <f t="shared" si="980"/>
        <v>0</v>
      </c>
      <c r="AP834" s="10">
        <f t="shared" si="980"/>
        <v>0</v>
      </c>
      <c r="AQ834" s="10">
        <f t="shared" si="980"/>
        <v>0</v>
      </c>
      <c r="AR834" s="10">
        <f t="shared" si="980"/>
        <v>0</v>
      </c>
      <c r="AS834" s="10">
        <f t="shared" si="980"/>
        <v>0</v>
      </c>
      <c r="AT834" s="10">
        <f t="shared" si="980"/>
        <v>0</v>
      </c>
      <c r="AU834" s="10">
        <f t="shared" si="980"/>
        <v>0</v>
      </c>
      <c r="AV834" s="10">
        <f t="shared" si="980"/>
        <v>0</v>
      </c>
      <c r="AW834" s="10">
        <f t="shared" si="980"/>
        <v>0</v>
      </c>
      <c r="AX834" s="10">
        <f t="shared" si="980"/>
        <v>0</v>
      </c>
      <c r="AY834" s="10">
        <f t="shared" si="980"/>
        <v>0</v>
      </c>
      <c r="AZ834" s="10">
        <f t="shared" si="980"/>
        <v>0</v>
      </c>
      <c r="BA834" s="10">
        <f t="shared" si="980"/>
        <v>0</v>
      </c>
      <c r="BB834" s="10">
        <f t="shared" si="980"/>
        <v>0</v>
      </c>
      <c r="BC834" s="10">
        <f t="shared" si="980"/>
        <v>0</v>
      </c>
      <c r="BD834" s="10">
        <f t="shared" si="980"/>
        <v>0</v>
      </c>
      <c r="BE834" s="10">
        <f t="shared" si="980"/>
        <v>0</v>
      </c>
      <c r="BF834" s="10">
        <f t="shared" si="980"/>
        <v>0</v>
      </c>
      <c r="BG834" s="10">
        <f t="shared" si="980"/>
        <v>0</v>
      </c>
      <c r="BH834" s="10">
        <f t="shared" si="980"/>
        <v>0</v>
      </c>
      <c r="BI834" s="10">
        <f t="shared" si="980"/>
        <v>0</v>
      </c>
      <c r="BJ834" s="10">
        <f t="shared" si="980"/>
        <v>0</v>
      </c>
      <c r="BK834" s="67"/>
      <c r="BL834" s="10">
        <f t="shared" si="970"/>
        <v>0</v>
      </c>
      <c r="BM834" s="10">
        <f t="shared" si="970"/>
        <v>0</v>
      </c>
      <c r="BN834" s="10">
        <f t="shared" si="970"/>
        <v>0</v>
      </c>
      <c r="BO834" s="10">
        <f t="shared" si="970"/>
        <v>0</v>
      </c>
      <c r="BP834" s="13">
        <f t="shared" si="971"/>
        <v>0</v>
      </c>
      <c r="BQ834" s="13">
        <f t="shared" si="975"/>
        <v>0</v>
      </c>
      <c r="BR834" s="13">
        <f t="shared" si="975"/>
        <v>0</v>
      </c>
      <c r="BS834" s="13">
        <f t="shared" si="975"/>
        <v>0</v>
      </c>
      <c r="BT834" s="13">
        <f t="shared" si="975"/>
        <v>0</v>
      </c>
      <c r="BU834" s="13">
        <f t="shared" si="975"/>
        <v>0</v>
      </c>
      <c r="BV834" s="13">
        <f t="shared" si="975"/>
        <v>0</v>
      </c>
      <c r="BW834" s="13">
        <f t="shared" si="975"/>
        <v>0</v>
      </c>
      <c r="BY834" s="12"/>
      <c r="CA834" s="12"/>
      <c r="CJ834" s="162"/>
      <c r="CR834" s="12"/>
      <c r="EX834" s="13" t="str">
        <f t="shared" ca="1" si="973"/>
        <v>Accrued Interest Expense Loan 7</v>
      </c>
    </row>
    <row r="835" spans="1:154" x14ac:dyDescent="0.25">
      <c r="A835" s="67"/>
      <c r="B835" s="84" t="str" cm="1">
        <f t="array" aca="1" ref="B835" ca="1">HYPERLINK(CONCATENATE("#",CELL("address",$D$180)),$D$180)</f>
        <v>Loan 8</v>
      </c>
      <c r="C835" s="340" t="s">
        <v>1300</v>
      </c>
      <c r="D835" s="60">
        <f>D$20</f>
        <v>0</v>
      </c>
      <c r="E835" s="221">
        <f>E$20</f>
        <v>0</v>
      </c>
      <c r="F835" s="10">
        <f>P$20</f>
        <v>0</v>
      </c>
      <c r="G835" s="9"/>
      <c r="H835" s="50" t="s">
        <v>125</v>
      </c>
      <c r="S835" s="335"/>
      <c r="T835" s="335"/>
      <c r="U835" s="335"/>
      <c r="V835" s="201">
        <f t="shared" si="968"/>
        <v>0</v>
      </c>
      <c r="W835" s="10">
        <f t="shared" si="968"/>
        <v>0</v>
      </c>
      <c r="X835" s="201">
        <f t="shared" si="968"/>
        <v>0</v>
      </c>
      <c r="Y835" s="10">
        <f t="shared" si="968"/>
        <v>0</v>
      </c>
      <c r="Z835" s="67"/>
      <c r="AA835" s="10">
        <f t="shared" ref="AA835:BJ835" si="981">IF($F835=1, AA693, AA553)</f>
        <v>0</v>
      </c>
      <c r="AB835" s="10">
        <f t="shared" si="981"/>
        <v>0</v>
      </c>
      <c r="AC835" s="10">
        <f t="shared" si="981"/>
        <v>0</v>
      </c>
      <c r="AD835" s="10">
        <f t="shared" si="981"/>
        <v>0</v>
      </c>
      <c r="AE835" s="10">
        <f t="shared" si="981"/>
        <v>0</v>
      </c>
      <c r="AF835" s="10">
        <f t="shared" si="981"/>
        <v>0</v>
      </c>
      <c r="AG835" s="10">
        <f t="shared" si="981"/>
        <v>0</v>
      </c>
      <c r="AH835" s="10">
        <f t="shared" si="981"/>
        <v>0</v>
      </c>
      <c r="AI835" s="10">
        <f t="shared" si="981"/>
        <v>0</v>
      </c>
      <c r="AJ835" s="10">
        <f t="shared" si="981"/>
        <v>0</v>
      </c>
      <c r="AK835" s="10">
        <f t="shared" si="981"/>
        <v>0</v>
      </c>
      <c r="AL835" s="10">
        <f t="shared" si="981"/>
        <v>0</v>
      </c>
      <c r="AM835" s="10">
        <f t="shared" si="981"/>
        <v>0</v>
      </c>
      <c r="AN835" s="10">
        <f t="shared" si="981"/>
        <v>0</v>
      </c>
      <c r="AO835" s="10">
        <f t="shared" si="981"/>
        <v>0</v>
      </c>
      <c r="AP835" s="10">
        <f t="shared" si="981"/>
        <v>0</v>
      </c>
      <c r="AQ835" s="10">
        <f t="shared" si="981"/>
        <v>0</v>
      </c>
      <c r="AR835" s="10">
        <f t="shared" si="981"/>
        <v>0</v>
      </c>
      <c r="AS835" s="10">
        <f t="shared" si="981"/>
        <v>0</v>
      </c>
      <c r="AT835" s="10">
        <f t="shared" si="981"/>
        <v>0</v>
      </c>
      <c r="AU835" s="10">
        <f t="shared" si="981"/>
        <v>0</v>
      </c>
      <c r="AV835" s="10">
        <f t="shared" si="981"/>
        <v>0</v>
      </c>
      <c r="AW835" s="10">
        <f t="shared" si="981"/>
        <v>0</v>
      </c>
      <c r="AX835" s="10">
        <f t="shared" si="981"/>
        <v>0</v>
      </c>
      <c r="AY835" s="10">
        <f t="shared" si="981"/>
        <v>0</v>
      </c>
      <c r="AZ835" s="10">
        <f t="shared" si="981"/>
        <v>0</v>
      </c>
      <c r="BA835" s="10">
        <f t="shared" si="981"/>
        <v>0</v>
      </c>
      <c r="BB835" s="10">
        <f t="shared" si="981"/>
        <v>0</v>
      </c>
      <c r="BC835" s="10">
        <f t="shared" si="981"/>
        <v>0</v>
      </c>
      <c r="BD835" s="10">
        <f t="shared" si="981"/>
        <v>0</v>
      </c>
      <c r="BE835" s="10">
        <f t="shared" si="981"/>
        <v>0</v>
      </c>
      <c r="BF835" s="10">
        <f t="shared" si="981"/>
        <v>0</v>
      </c>
      <c r="BG835" s="10">
        <f t="shared" si="981"/>
        <v>0</v>
      </c>
      <c r="BH835" s="10">
        <f t="shared" si="981"/>
        <v>0</v>
      </c>
      <c r="BI835" s="10">
        <f t="shared" si="981"/>
        <v>0</v>
      </c>
      <c r="BJ835" s="10">
        <f t="shared" si="981"/>
        <v>0</v>
      </c>
      <c r="BK835" s="67"/>
      <c r="BL835" s="10">
        <f t="shared" si="970"/>
        <v>0</v>
      </c>
      <c r="BM835" s="10">
        <f t="shared" si="970"/>
        <v>0</v>
      </c>
      <c r="BN835" s="10">
        <f t="shared" si="970"/>
        <v>0</v>
      </c>
      <c r="BO835" s="10">
        <f t="shared" si="970"/>
        <v>0</v>
      </c>
      <c r="BP835" s="13">
        <f t="shared" si="971"/>
        <v>0</v>
      </c>
      <c r="BQ835" s="13">
        <f t="shared" si="975"/>
        <v>0</v>
      </c>
      <c r="BR835" s="13">
        <f t="shared" si="975"/>
        <v>0</v>
      </c>
      <c r="BS835" s="13">
        <f t="shared" si="975"/>
        <v>0</v>
      </c>
      <c r="BT835" s="13">
        <f t="shared" si="975"/>
        <v>0</v>
      </c>
      <c r="BU835" s="13">
        <f t="shared" si="975"/>
        <v>0</v>
      </c>
      <c r="BV835" s="13">
        <f t="shared" si="975"/>
        <v>0</v>
      </c>
      <c r="BW835" s="13">
        <f t="shared" si="975"/>
        <v>0</v>
      </c>
      <c r="BY835" s="12"/>
      <c r="CA835" s="12"/>
      <c r="CJ835" s="162"/>
      <c r="CR835" s="12"/>
      <c r="EX835" s="13" t="str">
        <f t="shared" ca="1" si="973"/>
        <v>Accrued Interest Expense Loan 8</v>
      </c>
    </row>
    <row r="836" spans="1:154" x14ac:dyDescent="0.25">
      <c r="A836" s="67"/>
      <c r="B836" s="84" t="str" cm="1">
        <f t="array" aca="1" ref="B836" ca="1">HYPERLINK(CONCATENATE("#",CELL("address",$D$199)),$D$199)</f>
        <v>Loan 9</v>
      </c>
      <c r="C836" s="340" t="s">
        <v>1301</v>
      </c>
      <c r="D836" s="60">
        <f>D$21</f>
        <v>0</v>
      </c>
      <c r="E836" s="221">
        <f>E$21</f>
        <v>0</v>
      </c>
      <c r="F836" s="10">
        <f>P$21</f>
        <v>0</v>
      </c>
      <c r="G836" s="9"/>
      <c r="H836" s="50" t="s">
        <v>125</v>
      </c>
      <c r="S836" s="335"/>
      <c r="T836" s="335"/>
      <c r="U836" s="335"/>
      <c r="V836" s="201">
        <f t="shared" si="968"/>
        <v>0</v>
      </c>
      <c r="W836" s="10">
        <f t="shared" si="968"/>
        <v>0</v>
      </c>
      <c r="X836" s="201">
        <f t="shared" si="968"/>
        <v>0</v>
      </c>
      <c r="Y836" s="10">
        <f t="shared" si="968"/>
        <v>0</v>
      </c>
      <c r="Z836" s="67"/>
      <c r="AA836" s="10">
        <f t="shared" ref="AA836:BJ836" si="982">IF($F836=1, AA694, AA554)</f>
        <v>0</v>
      </c>
      <c r="AB836" s="10">
        <f t="shared" si="982"/>
        <v>0</v>
      </c>
      <c r="AC836" s="10">
        <f t="shared" si="982"/>
        <v>0</v>
      </c>
      <c r="AD836" s="10">
        <f t="shared" si="982"/>
        <v>0</v>
      </c>
      <c r="AE836" s="10">
        <f t="shared" si="982"/>
        <v>0</v>
      </c>
      <c r="AF836" s="10">
        <f t="shared" si="982"/>
        <v>0</v>
      </c>
      <c r="AG836" s="10">
        <f t="shared" si="982"/>
        <v>0</v>
      </c>
      <c r="AH836" s="10">
        <f t="shared" si="982"/>
        <v>0</v>
      </c>
      <c r="AI836" s="10">
        <f t="shared" si="982"/>
        <v>0</v>
      </c>
      <c r="AJ836" s="10">
        <f t="shared" si="982"/>
        <v>0</v>
      </c>
      <c r="AK836" s="10">
        <f t="shared" si="982"/>
        <v>0</v>
      </c>
      <c r="AL836" s="10">
        <f t="shared" si="982"/>
        <v>0</v>
      </c>
      <c r="AM836" s="10">
        <f t="shared" si="982"/>
        <v>0</v>
      </c>
      <c r="AN836" s="10">
        <f t="shared" si="982"/>
        <v>0</v>
      </c>
      <c r="AO836" s="10">
        <f t="shared" si="982"/>
        <v>0</v>
      </c>
      <c r="AP836" s="10">
        <f t="shared" si="982"/>
        <v>0</v>
      </c>
      <c r="AQ836" s="10">
        <f t="shared" si="982"/>
        <v>0</v>
      </c>
      <c r="AR836" s="10">
        <f t="shared" si="982"/>
        <v>0</v>
      </c>
      <c r="AS836" s="10">
        <f t="shared" si="982"/>
        <v>0</v>
      </c>
      <c r="AT836" s="10">
        <f t="shared" si="982"/>
        <v>0</v>
      </c>
      <c r="AU836" s="10">
        <f t="shared" si="982"/>
        <v>0</v>
      </c>
      <c r="AV836" s="10">
        <f t="shared" si="982"/>
        <v>0</v>
      </c>
      <c r="AW836" s="10">
        <f t="shared" si="982"/>
        <v>0</v>
      </c>
      <c r="AX836" s="10">
        <f t="shared" si="982"/>
        <v>0</v>
      </c>
      <c r="AY836" s="10">
        <f t="shared" si="982"/>
        <v>0</v>
      </c>
      <c r="AZ836" s="10">
        <f t="shared" si="982"/>
        <v>0</v>
      </c>
      <c r="BA836" s="10">
        <f t="shared" si="982"/>
        <v>0</v>
      </c>
      <c r="BB836" s="10">
        <f t="shared" si="982"/>
        <v>0</v>
      </c>
      <c r="BC836" s="10">
        <f t="shared" si="982"/>
        <v>0</v>
      </c>
      <c r="BD836" s="10">
        <f t="shared" si="982"/>
        <v>0</v>
      </c>
      <c r="BE836" s="10">
        <f t="shared" si="982"/>
        <v>0</v>
      </c>
      <c r="BF836" s="10">
        <f t="shared" si="982"/>
        <v>0</v>
      </c>
      <c r="BG836" s="10">
        <f t="shared" si="982"/>
        <v>0</v>
      </c>
      <c r="BH836" s="10">
        <f t="shared" si="982"/>
        <v>0</v>
      </c>
      <c r="BI836" s="10">
        <f t="shared" si="982"/>
        <v>0</v>
      </c>
      <c r="BJ836" s="10">
        <f t="shared" si="982"/>
        <v>0</v>
      </c>
      <c r="BK836" s="67"/>
      <c r="BL836" s="10">
        <f t="shared" si="970"/>
        <v>0</v>
      </c>
      <c r="BM836" s="10">
        <f t="shared" si="970"/>
        <v>0</v>
      </c>
      <c r="BN836" s="10">
        <f t="shared" si="970"/>
        <v>0</v>
      </c>
      <c r="BO836" s="10">
        <f t="shared" si="970"/>
        <v>0</v>
      </c>
      <c r="BP836" s="13">
        <f t="shared" si="971"/>
        <v>0</v>
      </c>
      <c r="BQ836" s="13">
        <f t="shared" si="975"/>
        <v>0</v>
      </c>
      <c r="BR836" s="13">
        <f t="shared" si="975"/>
        <v>0</v>
      </c>
      <c r="BS836" s="13">
        <f t="shared" si="975"/>
        <v>0</v>
      </c>
      <c r="BT836" s="13">
        <f t="shared" si="975"/>
        <v>0</v>
      </c>
      <c r="BU836" s="13">
        <f t="shared" si="975"/>
        <v>0</v>
      </c>
      <c r="BV836" s="13">
        <f t="shared" si="975"/>
        <v>0</v>
      </c>
      <c r="BW836" s="13">
        <f t="shared" si="975"/>
        <v>0</v>
      </c>
      <c r="BY836" s="12"/>
      <c r="CA836" s="12"/>
      <c r="CJ836" s="162"/>
      <c r="CR836" s="12"/>
      <c r="EX836" s="13" t="str">
        <f t="shared" ca="1" si="973"/>
        <v>Accrued Interest Expense Loan 9</v>
      </c>
    </row>
    <row r="837" spans="1:154" x14ac:dyDescent="0.25">
      <c r="A837" s="67"/>
      <c r="B837" s="84" t="str" cm="1">
        <f t="array" aca="1" ref="B837" ca="1">HYPERLINK(CONCATENATE("#",CELL("address",$D$218)),$D$218)</f>
        <v>Loan 10</v>
      </c>
      <c r="C837" s="340" t="s">
        <v>1302</v>
      </c>
      <c r="D837" s="60">
        <f>D$22</f>
        <v>0</v>
      </c>
      <c r="E837" s="221">
        <f>E$22</f>
        <v>0</v>
      </c>
      <c r="F837" s="10">
        <f>P$22</f>
        <v>0</v>
      </c>
      <c r="G837" s="9"/>
      <c r="H837" s="50" t="s">
        <v>125</v>
      </c>
      <c r="S837" s="335"/>
      <c r="T837" s="335"/>
      <c r="U837" s="335"/>
      <c r="V837" s="201">
        <f t="shared" si="968"/>
        <v>0</v>
      </c>
      <c r="W837" s="10">
        <f t="shared" si="968"/>
        <v>0</v>
      </c>
      <c r="X837" s="201">
        <f t="shared" si="968"/>
        <v>0</v>
      </c>
      <c r="Y837" s="10">
        <f t="shared" si="968"/>
        <v>0</v>
      </c>
      <c r="Z837" s="67"/>
      <c r="AA837" s="10">
        <f t="shared" ref="AA837:BJ837" si="983">IF($F837=1, AA695, AA555)</f>
        <v>0</v>
      </c>
      <c r="AB837" s="10">
        <f t="shared" si="983"/>
        <v>0</v>
      </c>
      <c r="AC837" s="10">
        <f t="shared" si="983"/>
        <v>0</v>
      </c>
      <c r="AD837" s="10">
        <f t="shared" si="983"/>
        <v>0</v>
      </c>
      <c r="AE837" s="10">
        <f t="shared" si="983"/>
        <v>0</v>
      </c>
      <c r="AF837" s="10">
        <f t="shared" si="983"/>
        <v>0</v>
      </c>
      <c r="AG837" s="10">
        <f t="shared" si="983"/>
        <v>0</v>
      </c>
      <c r="AH837" s="10">
        <f t="shared" si="983"/>
        <v>0</v>
      </c>
      <c r="AI837" s="10">
        <f t="shared" si="983"/>
        <v>0</v>
      </c>
      <c r="AJ837" s="10">
        <f t="shared" si="983"/>
        <v>0</v>
      </c>
      <c r="AK837" s="10">
        <f t="shared" si="983"/>
        <v>0</v>
      </c>
      <c r="AL837" s="10">
        <f t="shared" si="983"/>
        <v>0</v>
      </c>
      <c r="AM837" s="10">
        <f t="shared" si="983"/>
        <v>0</v>
      </c>
      <c r="AN837" s="10">
        <f t="shared" si="983"/>
        <v>0</v>
      </c>
      <c r="AO837" s="10">
        <f t="shared" si="983"/>
        <v>0</v>
      </c>
      <c r="AP837" s="10">
        <f t="shared" si="983"/>
        <v>0</v>
      </c>
      <c r="AQ837" s="10">
        <f t="shared" si="983"/>
        <v>0</v>
      </c>
      <c r="AR837" s="10">
        <f t="shared" si="983"/>
        <v>0</v>
      </c>
      <c r="AS837" s="10">
        <f t="shared" si="983"/>
        <v>0</v>
      </c>
      <c r="AT837" s="10">
        <f t="shared" si="983"/>
        <v>0</v>
      </c>
      <c r="AU837" s="10">
        <f t="shared" si="983"/>
        <v>0</v>
      </c>
      <c r="AV837" s="10">
        <f t="shared" si="983"/>
        <v>0</v>
      </c>
      <c r="AW837" s="10">
        <f t="shared" si="983"/>
        <v>0</v>
      </c>
      <c r="AX837" s="10">
        <f t="shared" si="983"/>
        <v>0</v>
      </c>
      <c r="AY837" s="10">
        <f t="shared" si="983"/>
        <v>0</v>
      </c>
      <c r="AZ837" s="10">
        <f t="shared" si="983"/>
        <v>0</v>
      </c>
      <c r="BA837" s="10">
        <f t="shared" si="983"/>
        <v>0</v>
      </c>
      <c r="BB837" s="10">
        <f t="shared" si="983"/>
        <v>0</v>
      </c>
      <c r="BC837" s="10">
        <f t="shared" si="983"/>
        <v>0</v>
      </c>
      <c r="BD837" s="10">
        <f t="shared" si="983"/>
        <v>0</v>
      </c>
      <c r="BE837" s="10">
        <f t="shared" si="983"/>
        <v>0</v>
      </c>
      <c r="BF837" s="10">
        <f t="shared" si="983"/>
        <v>0</v>
      </c>
      <c r="BG837" s="10">
        <f t="shared" si="983"/>
        <v>0</v>
      </c>
      <c r="BH837" s="10">
        <f t="shared" si="983"/>
        <v>0</v>
      </c>
      <c r="BI837" s="10">
        <f t="shared" si="983"/>
        <v>0</v>
      </c>
      <c r="BJ837" s="10">
        <f t="shared" si="983"/>
        <v>0</v>
      </c>
      <c r="BK837" s="67"/>
      <c r="BL837" s="10">
        <f t="shared" si="970"/>
        <v>0</v>
      </c>
      <c r="BM837" s="10">
        <f t="shared" si="970"/>
        <v>0</v>
      </c>
      <c r="BN837" s="10">
        <f t="shared" si="970"/>
        <v>0</v>
      </c>
      <c r="BO837" s="10">
        <f t="shared" si="970"/>
        <v>0</v>
      </c>
      <c r="BP837" s="13">
        <f t="shared" si="971"/>
        <v>0</v>
      </c>
      <c r="BQ837" s="13">
        <f t="shared" si="975"/>
        <v>0</v>
      </c>
      <c r="BR837" s="13">
        <f t="shared" si="975"/>
        <v>0</v>
      </c>
      <c r="BS837" s="13">
        <f t="shared" si="975"/>
        <v>0</v>
      </c>
      <c r="BT837" s="13">
        <f t="shared" si="975"/>
        <v>0</v>
      </c>
      <c r="BU837" s="13">
        <f t="shared" si="975"/>
        <v>0</v>
      </c>
      <c r="BV837" s="13">
        <f t="shared" si="975"/>
        <v>0</v>
      </c>
      <c r="BW837" s="13">
        <f t="shared" si="975"/>
        <v>0</v>
      </c>
      <c r="BY837" s="12"/>
      <c r="CA837" s="12"/>
      <c r="CJ837" s="162"/>
      <c r="CR837" s="12"/>
      <c r="EX837" s="13" t="str">
        <f t="shared" ca="1" si="973"/>
        <v>Accrued Interest Expense Loan 10</v>
      </c>
    </row>
    <row r="838" spans="1:154" x14ac:dyDescent="0.25">
      <c r="A838" s="67"/>
      <c r="B838" s="84" t="str" cm="1">
        <f t="array" aca="1" ref="B838" ca="1">HYPERLINK(CONCATENATE("#",CELL("address",$D$237)),$D$237)</f>
        <v>Loan 11</v>
      </c>
      <c r="C838" s="340" t="s">
        <v>1303</v>
      </c>
      <c r="D838" s="60">
        <f>D$23</f>
        <v>0</v>
      </c>
      <c r="E838" s="221">
        <f>E$23</f>
        <v>0</v>
      </c>
      <c r="F838" s="10">
        <f>P$23</f>
        <v>0</v>
      </c>
      <c r="G838" s="9"/>
      <c r="H838" s="50" t="s">
        <v>125</v>
      </c>
      <c r="S838" s="335"/>
      <c r="T838" s="335"/>
      <c r="U838" s="335"/>
      <c r="V838" s="201">
        <f t="shared" si="968"/>
        <v>0</v>
      </c>
      <c r="W838" s="10">
        <f t="shared" si="968"/>
        <v>0</v>
      </c>
      <c r="X838" s="201">
        <f t="shared" si="968"/>
        <v>0</v>
      </c>
      <c r="Y838" s="10">
        <f t="shared" si="968"/>
        <v>0</v>
      </c>
      <c r="Z838" s="67"/>
      <c r="AA838" s="10">
        <f t="shared" ref="AA838:BJ838" si="984">IF($F838=1, AA696, AA556)</f>
        <v>0</v>
      </c>
      <c r="AB838" s="10">
        <f t="shared" si="984"/>
        <v>0</v>
      </c>
      <c r="AC838" s="10">
        <f t="shared" si="984"/>
        <v>0</v>
      </c>
      <c r="AD838" s="10">
        <f t="shared" si="984"/>
        <v>0</v>
      </c>
      <c r="AE838" s="10">
        <f t="shared" si="984"/>
        <v>0</v>
      </c>
      <c r="AF838" s="10">
        <f t="shared" si="984"/>
        <v>0</v>
      </c>
      <c r="AG838" s="10">
        <f t="shared" si="984"/>
        <v>0</v>
      </c>
      <c r="AH838" s="10">
        <f t="shared" si="984"/>
        <v>0</v>
      </c>
      <c r="AI838" s="10">
        <f t="shared" si="984"/>
        <v>0</v>
      </c>
      <c r="AJ838" s="10">
        <f t="shared" si="984"/>
        <v>0</v>
      </c>
      <c r="AK838" s="10">
        <f t="shared" si="984"/>
        <v>0</v>
      </c>
      <c r="AL838" s="10">
        <f t="shared" si="984"/>
        <v>0</v>
      </c>
      <c r="AM838" s="10">
        <f t="shared" si="984"/>
        <v>0</v>
      </c>
      <c r="AN838" s="10">
        <f t="shared" si="984"/>
        <v>0</v>
      </c>
      <c r="AO838" s="10">
        <f t="shared" si="984"/>
        <v>0</v>
      </c>
      <c r="AP838" s="10">
        <f t="shared" si="984"/>
        <v>0</v>
      </c>
      <c r="AQ838" s="10">
        <f t="shared" si="984"/>
        <v>0</v>
      </c>
      <c r="AR838" s="10">
        <f t="shared" si="984"/>
        <v>0</v>
      </c>
      <c r="AS838" s="10">
        <f t="shared" si="984"/>
        <v>0</v>
      </c>
      <c r="AT838" s="10">
        <f t="shared" si="984"/>
        <v>0</v>
      </c>
      <c r="AU838" s="10">
        <f t="shared" si="984"/>
        <v>0</v>
      </c>
      <c r="AV838" s="10">
        <f t="shared" si="984"/>
        <v>0</v>
      </c>
      <c r="AW838" s="10">
        <f t="shared" si="984"/>
        <v>0</v>
      </c>
      <c r="AX838" s="10">
        <f t="shared" si="984"/>
        <v>0</v>
      </c>
      <c r="AY838" s="10">
        <f t="shared" si="984"/>
        <v>0</v>
      </c>
      <c r="AZ838" s="10">
        <f t="shared" si="984"/>
        <v>0</v>
      </c>
      <c r="BA838" s="10">
        <f t="shared" si="984"/>
        <v>0</v>
      </c>
      <c r="BB838" s="10">
        <f t="shared" si="984"/>
        <v>0</v>
      </c>
      <c r="BC838" s="10">
        <f t="shared" si="984"/>
        <v>0</v>
      </c>
      <c r="BD838" s="10">
        <f t="shared" si="984"/>
        <v>0</v>
      </c>
      <c r="BE838" s="10">
        <f t="shared" si="984"/>
        <v>0</v>
      </c>
      <c r="BF838" s="10">
        <f t="shared" si="984"/>
        <v>0</v>
      </c>
      <c r="BG838" s="10">
        <f t="shared" si="984"/>
        <v>0</v>
      </c>
      <c r="BH838" s="10">
        <f t="shared" si="984"/>
        <v>0</v>
      </c>
      <c r="BI838" s="10">
        <f t="shared" si="984"/>
        <v>0</v>
      </c>
      <c r="BJ838" s="10">
        <f t="shared" si="984"/>
        <v>0</v>
      </c>
      <c r="BK838" s="67"/>
      <c r="BL838" s="10">
        <f t="shared" si="970"/>
        <v>0</v>
      </c>
      <c r="BM838" s="10">
        <f t="shared" si="970"/>
        <v>0</v>
      </c>
      <c r="BN838" s="10">
        <f t="shared" si="970"/>
        <v>0</v>
      </c>
      <c r="BO838" s="10">
        <f t="shared" si="970"/>
        <v>0</v>
      </c>
      <c r="BP838" s="13">
        <f t="shared" si="971"/>
        <v>0</v>
      </c>
      <c r="BQ838" s="13">
        <f t="shared" si="975"/>
        <v>0</v>
      </c>
      <c r="BR838" s="13">
        <f t="shared" si="975"/>
        <v>0</v>
      </c>
      <c r="BS838" s="13">
        <f t="shared" si="975"/>
        <v>0</v>
      </c>
      <c r="BT838" s="13">
        <f t="shared" si="975"/>
        <v>0</v>
      </c>
      <c r="BU838" s="13">
        <f t="shared" si="975"/>
        <v>0</v>
      </c>
      <c r="BV838" s="13">
        <f t="shared" si="975"/>
        <v>0</v>
      </c>
      <c r="BW838" s="13">
        <f t="shared" si="975"/>
        <v>0</v>
      </c>
      <c r="BY838" s="12"/>
      <c r="CA838" s="12"/>
      <c r="CJ838" s="162"/>
      <c r="CR838" s="12"/>
      <c r="EX838" s="13" t="str">
        <f t="shared" ca="1" si="973"/>
        <v>Accrued Interest Expense Loan 11</v>
      </c>
    </row>
    <row r="839" spans="1:154" x14ac:dyDescent="0.25">
      <c r="A839" s="67"/>
      <c r="B839" s="84" t="str" cm="1">
        <f t="array" aca="1" ref="B839" ca="1">HYPERLINK(CONCATENATE("#",CELL("address",$D$256)),$D$256)</f>
        <v>Loan 12</v>
      </c>
      <c r="C839" s="340" t="s">
        <v>1304</v>
      </c>
      <c r="D839" s="60">
        <f>D$24</f>
        <v>0</v>
      </c>
      <c r="E839" s="221">
        <f>E$24</f>
        <v>0</v>
      </c>
      <c r="F839" s="10">
        <f>P$24</f>
        <v>0</v>
      </c>
      <c r="G839" s="9"/>
      <c r="H839" s="50" t="s">
        <v>125</v>
      </c>
      <c r="S839" s="335"/>
      <c r="T839" s="335"/>
      <c r="U839" s="335"/>
      <c r="V839" s="201">
        <f t="shared" si="968"/>
        <v>0</v>
      </c>
      <c r="W839" s="10">
        <f t="shared" si="968"/>
        <v>0</v>
      </c>
      <c r="X839" s="201">
        <f t="shared" si="968"/>
        <v>0</v>
      </c>
      <c r="Y839" s="10">
        <f t="shared" si="968"/>
        <v>0</v>
      </c>
      <c r="Z839" s="67"/>
      <c r="AA839" s="10">
        <f t="shared" ref="AA839:BJ839" si="985">IF($F839=1, AA697, AA557)</f>
        <v>0</v>
      </c>
      <c r="AB839" s="10">
        <f t="shared" si="985"/>
        <v>0</v>
      </c>
      <c r="AC839" s="10">
        <f t="shared" si="985"/>
        <v>0</v>
      </c>
      <c r="AD839" s="10">
        <f t="shared" si="985"/>
        <v>0</v>
      </c>
      <c r="AE839" s="10">
        <f t="shared" si="985"/>
        <v>0</v>
      </c>
      <c r="AF839" s="10">
        <f t="shared" si="985"/>
        <v>0</v>
      </c>
      <c r="AG839" s="10">
        <f t="shared" si="985"/>
        <v>0</v>
      </c>
      <c r="AH839" s="10">
        <f t="shared" si="985"/>
        <v>0</v>
      </c>
      <c r="AI839" s="10">
        <f t="shared" si="985"/>
        <v>0</v>
      </c>
      <c r="AJ839" s="10">
        <f t="shared" si="985"/>
        <v>0</v>
      </c>
      <c r="AK839" s="10">
        <f t="shared" si="985"/>
        <v>0</v>
      </c>
      <c r="AL839" s="10">
        <f t="shared" si="985"/>
        <v>0</v>
      </c>
      <c r="AM839" s="10">
        <f t="shared" si="985"/>
        <v>0</v>
      </c>
      <c r="AN839" s="10">
        <f t="shared" si="985"/>
        <v>0</v>
      </c>
      <c r="AO839" s="10">
        <f t="shared" si="985"/>
        <v>0</v>
      </c>
      <c r="AP839" s="10">
        <f t="shared" si="985"/>
        <v>0</v>
      </c>
      <c r="AQ839" s="10">
        <f t="shared" si="985"/>
        <v>0</v>
      </c>
      <c r="AR839" s="10">
        <f t="shared" si="985"/>
        <v>0</v>
      </c>
      <c r="AS839" s="10">
        <f t="shared" si="985"/>
        <v>0</v>
      </c>
      <c r="AT839" s="10">
        <f t="shared" si="985"/>
        <v>0</v>
      </c>
      <c r="AU839" s="10">
        <f t="shared" si="985"/>
        <v>0</v>
      </c>
      <c r="AV839" s="10">
        <f t="shared" si="985"/>
        <v>0</v>
      </c>
      <c r="AW839" s="10">
        <f t="shared" si="985"/>
        <v>0</v>
      </c>
      <c r="AX839" s="10">
        <f t="shared" si="985"/>
        <v>0</v>
      </c>
      <c r="AY839" s="10">
        <f t="shared" si="985"/>
        <v>0</v>
      </c>
      <c r="AZ839" s="10">
        <f t="shared" si="985"/>
        <v>0</v>
      </c>
      <c r="BA839" s="10">
        <f t="shared" si="985"/>
        <v>0</v>
      </c>
      <c r="BB839" s="10">
        <f t="shared" si="985"/>
        <v>0</v>
      </c>
      <c r="BC839" s="10">
        <f t="shared" si="985"/>
        <v>0</v>
      </c>
      <c r="BD839" s="10">
        <f t="shared" si="985"/>
        <v>0</v>
      </c>
      <c r="BE839" s="10">
        <f t="shared" si="985"/>
        <v>0</v>
      </c>
      <c r="BF839" s="10">
        <f t="shared" si="985"/>
        <v>0</v>
      </c>
      <c r="BG839" s="10">
        <f t="shared" si="985"/>
        <v>0</v>
      </c>
      <c r="BH839" s="10">
        <f t="shared" si="985"/>
        <v>0</v>
      </c>
      <c r="BI839" s="10">
        <f t="shared" si="985"/>
        <v>0</v>
      </c>
      <c r="BJ839" s="10">
        <f t="shared" si="985"/>
        <v>0</v>
      </c>
      <c r="BK839" s="67"/>
      <c r="BL839" s="10">
        <f t="shared" si="970"/>
        <v>0</v>
      </c>
      <c r="BM839" s="10">
        <f t="shared" si="970"/>
        <v>0</v>
      </c>
      <c r="BN839" s="10">
        <f t="shared" si="970"/>
        <v>0</v>
      </c>
      <c r="BO839" s="10">
        <f t="shared" si="970"/>
        <v>0</v>
      </c>
      <c r="BP839" s="13">
        <f t="shared" si="971"/>
        <v>0</v>
      </c>
      <c r="BQ839" s="13">
        <f t="shared" ref="BQ839:BW847" si="986">BQ557</f>
        <v>0</v>
      </c>
      <c r="BR839" s="13">
        <f t="shared" si="986"/>
        <v>0</v>
      </c>
      <c r="BS839" s="13">
        <f t="shared" si="986"/>
        <v>0</v>
      </c>
      <c r="BT839" s="13">
        <f t="shared" si="986"/>
        <v>0</v>
      </c>
      <c r="BU839" s="13">
        <f t="shared" si="986"/>
        <v>0</v>
      </c>
      <c r="BV839" s="13">
        <f t="shared" si="986"/>
        <v>0</v>
      </c>
      <c r="BW839" s="13">
        <f t="shared" si="986"/>
        <v>0</v>
      </c>
      <c r="BY839" s="12"/>
      <c r="CA839" s="12"/>
      <c r="CJ839" s="162"/>
      <c r="CR839" s="12"/>
      <c r="EX839" s="13" t="str">
        <f t="shared" ca="1" si="973"/>
        <v>Accrued Interest Expense Loan 12</v>
      </c>
    </row>
    <row r="840" spans="1:154" x14ac:dyDescent="0.25">
      <c r="A840" s="67"/>
      <c r="B840" s="84" t="str" cm="1">
        <f t="array" aca="1" ref="B840" ca="1">HYPERLINK(CONCATENATE("#",CELL("address",$D$275)),$D$275)</f>
        <v>Loan 13</v>
      </c>
      <c r="C840" s="340" t="s">
        <v>1305</v>
      </c>
      <c r="D840" s="60">
        <f>D$25</f>
        <v>0</v>
      </c>
      <c r="E840" s="221">
        <f>E$25</f>
        <v>0</v>
      </c>
      <c r="F840" s="10">
        <f>P$25</f>
        <v>0</v>
      </c>
      <c r="G840" s="9"/>
      <c r="H840" s="50" t="s">
        <v>125</v>
      </c>
      <c r="S840" s="335"/>
      <c r="T840" s="335"/>
      <c r="U840" s="335"/>
      <c r="V840" s="201">
        <f t="shared" si="968"/>
        <v>0</v>
      </c>
      <c r="W840" s="10">
        <f t="shared" si="968"/>
        <v>0</v>
      </c>
      <c r="X840" s="201">
        <f t="shared" si="968"/>
        <v>0</v>
      </c>
      <c r="Y840" s="10">
        <f t="shared" si="968"/>
        <v>0</v>
      </c>
      <c r="Z840" s="67"/>
      <c r="AA840" s="10">
        <f t="shared" ref="AA840:BJ840" si="987">IF($F840=1, AA698, AA558)</f>
        <v>0</v>
      </c>
      <c r="AB840" s="10">
        <f t="shared" si="987"/>
        <v>0</v>
      </c>
      <c r="AC840" s="10">
        <f t="shared" si="987"/>
        <v>0</v>
      </c>
      <c r="AD840" s="10">
        <f t="shared" si="987"/>
        <v>0</v>
      </c>
      <c r="AE840" s="10">
        <f t="shared" si="987"/>
        <v>0</v>
      </c>
      <c r="AF840" s="10">
        <f t="shared" si="987"/>
        <v>0</v>
      </c>
      <c r="AG840" s="10">
        <f t="shared" si="987"/>
        <v>0</v>
      </c>
      <c r="AH840" s="10">
        <f t="shared" si="987"/>
        <v>0</v>
      </c>
      <c r="AI840" s="10">
        <f t="shared" si="987"/>
        <v>0</v>
      </c>
      <c r="AJ840" s="10">
        <f t="shared" si="987"/>
        <v>0</v>
      </c>
      <c r="AK840" s="10">
        <f t="shared" si="987"/>
        <v>0</v>
      </c>
      <c r="AL840" s="10">
        <f t="shared" si="987"/>
        <v>0</v>
      </c>
      <c r="AM840" s="10">
        <f t="shared" si="987"/>
        <v>0</v>
      </c>
      <c r="AN840" s="10">
        <f t="shared" si="987"/>
        <v>0</v>
      </c>
      <c r="AO840" s="10">
        <f t="shared" si="987"/>
        <v>0</v>
      </c>
      <c r="AP840" s="10">
        <f t="shared" si="987"/>
        <v>0</v>
      </c>
      <c r="AQ840" s="10">
        <f t="shared" si="987"/>
        <v>0</v>
      </c>
      <c r="AR840" s="10">
        <f t="shared" si="987"/>
        <v>0</v>
      </c>
      <c r="AS840" s="10">
        <f t="shared" si="987"/>
        <v>0</v>
      </c>
      <c r="AT840" s="10">
        <f t="shared" si="987"/>
        <v>0</v>
      </c>
      <c r="AU840" s="10">
        <f t="shared" si="987"/>
        <v>0</v>
      </c>
      <c r="AV840" s="10">
        <f t="shared" si="987"/>
        <v>0</v>
      </c>
      <c r="AW840" s="10">
        <f t="shared" si="987"/>
        <v>0</v>
      </c>
      <c r="AX840" s="10">
        <f t="shared" si="987"/>
        <v>0</v>
      </c>
      <c r="AY840" s="10">
        <f t="shared" si="987"/>
        <v>0</v>
      </c>
      <c r="AZ840" s="10">
        <f t="shared" si="987"/>
        <v>0</v>
      </c>
      <c r="BA840" s="10">
        <f t="shared" si="987"/>
        <v>0</v>
      </c>
      <c r="BB840" s="10">
        <f t="shared" si="987"/>
        <v>0</v>
      </c>
      <c r="BC840" s="10">
        <f t="shared" si="987"/>
        <v>0</v>
      </c>
      <c r="BD840" s="10">
        <f t="shared" si="987"/>
        <v>0</v>
      </c>
      <c r="BE840" s="10">
        <f t="shared" si="987"/>
        <v>0</v>
      </c>
      <c r="BF840" s="10">
        <f t="shared" si="987"/>
        <v>0</v>
      </c>
      <c r="BG840" s="10">
        <f t="shared" si="987"/>
        <v>0</v>
      </c>
      <c r="BH840" s="10">
        <f t="shared" si="987"/>
        <v>0</v>
      </c>
      <c r="BI840" s="10">
        <f t="shared" si="987"/>
        <v>0</v>
      </c>
      <c r="BJ840" s="10">
        <f t="shared" si="987"/>
        <v>0</v>
      </c>
      <c r="BK840" s="67"/>
      <c r="BL840" s="10">
        <f t="shared" si="970"/>
        <v>0</v>
      </c>
      <c r="BM840" s="10">
        <f t="shared" si="970"/>
        <v>0</v>
      </c>
      <c r="BN840" s="10">
        <f t="shared" si="970"/>
        <v>0</v>
      </c>
      <c r="BO840" s="10">
        <f t="shared" si="970"/>
        <v>0</v>
      </c>
      <c r="BP840" s="13">
        <f t="shared" si="971"/>
        <v>0</v>
      </c>
      <c r="BQ840" s="13">
        <f t="shared" si="986"/>
        <v>0</v>
      </c>
      <c r="BR840" s="13">
        <f t="shared" si="986"/>
        <v>0</v>
      </c>
      <c r="BS840" s="13">
        <f t="shared" si="986"/>
        <v>0</v>
      </c>
      <c r="BT840" s="13">
        <f t="shared" si="986"/>
        <v>0</v>
      </c>
      <c r="BU840" s="13">
        <f t="shared" si="986"/>
        <v>0</v>
      </c>
      <c r="BV840" s="13">
        <f t="shared" si="986"/>
        <v>0</v>
      </c>
      <c r="BW840" s="13">
        <f t="shared" si="986"/>
        <v>0</v>
      </c>
      <c r="BY840" s="12"/>
      <c r="CA840" s="12"/>
      <c r="CJ840" s="162"/>
      <c r="CR840" s="12"/>
      <c r="EX840" s="13" t="str">
        <f t="shared" ca="1" si="973"/>
        <v>Accrued Interest Expense Loan 13</v>
      </c>
    </row>
    <row r="841" spans="1:154" s="5" customFormat="1" x14ac:dyDescent="0.25">
      <c r="A841" s="67"/>
      <c r="B841" s="84" t="str" cm="1">
        <f t="array" aca="1" ref="B841" ca="1">HYPERLINK(CONCATENATE("#",CELL("address",$D$294)),$D$294)</f>
        <v>Loan 14</v>
      </c>
      <c r="C841" s="340" t="s">
        <v>1306</v>
      </c>
      <c r="D841" s="60">
        <f>D$26</f>
        <v>0</v>
      </c>
      <c r="E841" s="221">
        <f>E$26</f>
        <v>0</v>
      </c>
      <c r="F841" s="10">
        <f>P$26</f>
        <v>0</v>
      </c>
      <c r="G841" s="9"/>
      <c r="H841" s="50" t="s">
        <v>125</v>
      </c>
      <c r="I841" s="11"/>
      <c r="J841" s="11"/>
      <c r="K841" s="11"/>
      <c r="L841" s="11"/>
      <c r="M841" s="11"/>
      <c r="N841" s="11"/>
      <c r="O841" s="11"/>
      <c r="P841" s="11"/>
      <c r="Q841" s="11"/>
      <c r="R841" s="11"/>
      <c r="S841" s="335"/>
      <c r="T841" s="335"/>
      <c r="U841" s="335"/>
      <c r="V841" s="201">
        <f t="shared" si="968"/>
        <v>0</v>
      </c>
      <c r="W841" s="10">
        <f t="shared" si="968"/>
        <v>0</v>
      </c>
      <c r="X841" s="201">
        <f t="shared" si="968"/>
        <v>0</v>
      </c>
      <c r="Y841" s="10">
        <f t="shared" si="968"/>
        <v>0</v>
      </c>
      <c r="Z841" s="67"/>
      <c r="AA841" s="10">
        <f t="shared" ref="AA841:BJ841" si="988">IF($F841=1, AA699, AA559)</f>
        <v>0</v>
      </c>
      <c r="AB841" s="10">
        <f t="shared" si="988"/>
        <v>0</v>
      </c>
      <c r="AC841" s="10">
        <f t="shared" si="988"/>
        <v>0</v>
      </c>
      <c r="AD841" s="10">
        <f t="shared" si="988"/>
        <v>0</v>
      </c>
      <c r="AE841" s="10">
        <f t="shared" si="988"/>
        <v>0</v>
      </c>
      <c r="AF841" s="10">
        <f t="shared" si="988"/>
        <v>0</v>
      </c>
      <c r="AG841" s="10">
        <f t="shared" si="988"/>
        <v>0</v>
      </c>
      <c r="AH841" s="10">
        <f t="shared" si="988"/>
        <v>0</v>
      </c>
      <c r="AI841" s="10">
        <f t="shared" si="988"/>
        <v>0</v>
      </c>
      <c r="AJ841" s="10">
        <f t="shared" si="988"/>
        <v>0</v>
      </c>
      <c r="AK841" s="10">
        <f t="shared" si="988"/>
        <v>0</v>
      </c>
      <c r="AL841" s="10">
        <f t="shared" si="988"/>
        <v>0</v>
      </c>
      <c r="AM841" s="10">
        <f t="shared" si="988"/>
        <v>0</v>
      </c>
      <c r="AN841" s="10">
        <f t="shared" si="988"/>
        <v>0</v>
      </c>
      <c r="AO841" s="10">
        <f t="shared" si="988"/>
        <v>0</v>
      </c>
      <c r="AP841" s="10">
        <f t="shared" si="988"/>
        <v>0</v>
      </c>
      <c r="AQ841" s="10">
        <f t="shared" si="988"/>
        <v>0</v>
      </c>
      <c r="AR841" s="10">
        <f t="shared" si="988"/>
        <v>0</v>
      </c>
      <c r="AS841" s="10">
        <f t="shared" si="988"/>
        <v>0</v>
      </c>
      <c r="AT841" s="10">
        <f t="shared" si="988"/>
        <v>0</v>
      </c>
      <c r="AU841" s="10">
        <f t="shared" si="988"/>
        <v>0</v>
      </c>
      <c r="AV841" s="10">
        <f t="shared" si="988"/>
        <v>0</v>
      </c>
      <c r="AW841" s="10">
        <f t="shared" si="988"/>
        <v>0</v>
      </c>
      <c r="AX841" s="10">
        <f t="shared" si="988"/>
        <v>0</v>
      </c>
      <c r="AY841" s="10">
        <f t="shared" si="988"/>
        <v>0</v>
      </c>
      <c r="AZ841" s="10">
        <f t="shared" si="988"/>
        <v>0</v>
      </c>
      <c r="BA841" s="10">
        <f t="shared" si="988"/>
        <v>0</v>
      </c>
      <c r="BB841" s="10">
        <f t="shared" si="988"/>
        <v>0</v>
      </c>
      <c r="BC841" s="10">
        <f t="shared" si="988"/>
        <v>0</v>
      </c>
      <c r="BD841" s="10">
        <f t="shared" si="988"/>
        <v>0</v>
      </c>
      <c r="BE841" s="10">
        <f t="shared" si="988"/>
        <v>0</v>
      </c>
      <c r="BF841" s="10">
        <f t="shared" si="988"/>
        <v>0</v>
      </c>
      <c r="BG841" s="10">
        <f t="shared" si="988"/>
        <v>0</v>
      </c>
      <c r="BH841" s="10">
        <f t="shared" si="988"/>
        <v>0</v>
      </c>
      <c r="BI841" s="10">
        <f t="shared" si="988"/>
        <v>0</v>
      </c>
      <c r="BJ841" s="10">
        <f t="shared" si="988"/>
        <v>0</v>
      </c>
      <c r="BK841" s="67"/>
      <c r="BL841" s="10">
        <f t="shared" si="970"/>
        <v>0</v>
      </c>
      <c r="BM841" s="10">
        <f t="shared" si="970"/>
        <v>0</v>
      </c>
      <c r="BN841" s="10">
        <f t="shared" si="970"/>
        <v>0</v>
      </c>
      <c r="BO841" s="10">
        <f t="shared" si="970"/>
        <v>0</v>
      </c>
      <c r="BP841" s="13">
        <f t="shared" si="971"/>
        <v>0</v>
      </c>
      <c r="BQ841" s="13">
        <f t="shared" si="986"/>
        <v>0</v>
      </c>
      <c r="BR841" s="13">
        <f t="shared" si="986"/>
        <v>0</v>
      </c>
      <c r="BS841" s="13">
        <f t="shared" si="986"/>
        <v>0</v>
      </c>
      <c r="BT841" s="13">
        <f t="shared" si="986"/>
        <v>0</v>
      </c>
      <c r="BU841" s="13">
        <f t="shared" si="986"/>
        <v>0</v>
      </c>
      <c r="BV841" s="13">
        <f t="shared" si="986"/>
        <v>0</v>
      </c>
      <c r="BW841" s="13">
        <f t="shared" si="986"/>
        <v>0</v>
      </c>
      <c r="BX841" s="11"/>
      <c r="BY841" s="12"/>
      <c r="BZ841" s="335"/>
      <c r="CA841" s="12"/>
      <c r="CB841" s="335"/>
      <c r="CC841" s="335"/>
      <c r="CD841" s="335"/>
      <c r="CE841" s="335"/>
      <c r="CF841" s="67"/>
      <c r="CG841" s="11"/>
      <c r="CH841" s="11"/>
      <c r="CI841" s="11"/>
      <c r="CJ841" s="162"/>
      <c r="CK841" s="11"/>
      <c r="CL841" s="11"/>
      <c r="CM841" s="335"/>
      <c r="CN841" s="335"/>
      <c r="CO841" s="335"/>
      <c r="CP841" s="335"/>
      <c r="CQ841" s="67"/>
      <c r="CR841" s="12"/>
      <c r="EX841" s="13" t="str">
        <f t="shared" ca="1" si="973"/>
        <v>Accrued Interest Expense Loan 14</v>
      </c>
    </row>
    <row r="842" spans="1:154" x14ac:dyDescent="0.25">
      <c r="A842" s="67"/>
      <c r="B842" s="84" t="str" cm="1">
        <f t="array" aca="1" ref="B842" ca="1">HYPERLINK(CONCATENATE("#",CELL("address",$D$313)),$D$313)</f>
        <v>Loan 15</v>
      </c>
      <c r="C842" s="340" t="s">
        <v>1307</v>
      </c>
      <c r="D842" s="60">
        <f>D$27</f>
        <v>0</v>
      </c>
      <c r="E842" s="221">
        <f>E$27</f>
        <v>0</v>
      </c>
      <c r="F842" s="10">
        <f>P$27</f>
        <v>0</v>
      </c>
      <c r="G842" s="9"/>
      <c r="H842" s="50" t="s">
        <v>125</v>
      </c>
      <c r="S842" s="335"/>
      <c r="T842" s="335"/>
      <c r="U842" s="335"/>
      <c r="V842" s="201">
        <f t="shared" si="968"/>
        <v>0</v>
      </c>
      <c r="W842" s="10">
        <f t="shared" si="968"/>
        <v>0</v>
      </c>
      <c r="X842" s="201">
        <f t="shared" si="968"/>
        <v>0</v>
      </c>
      <c r="Y842" s="10">
        <f t="shared" si="968"/>
        <v>0</v>
      </c>
      <c r="Z842" s="67"/>
      <c r="AA842" s="10">
        <f t="shared" ref="AA842:BJ842" si="989">IF($F842=1, AA700, AA560)</f>
        <v>0</v>
      </c>
      <c r="AB842" s="10">
        <f t="shared" si="989"/>
        <v>0</v>
      </c>
      <c r="AC842" s="10">
        <f t="shared" si="989"/>
        <v>0</v>
      </c>
      <c r="AD842" s="10">
        <f t="shared" si="989"/>
        <v>0</v>
      </c>
      <c r="AE842" s="10">
        <f t="shared" si="989"/>
        <v>0</v>
      </c>
      <c r="AF842" s="10">
        <f t="shared" si="989"/>
        <v>0</v>
      </c>
      <c r="AG842" s="10">
        <f t="shared" si="989"/>
        <v>0</v>
      </c>
      <c r="AH842" s="10">
        <f t="shared" si="989"/>
        <v>0</v>
      </c>
      <c r="AI842" s="10">
        <f t="shared" si="989"/>
        <v>0</v>
      </c>
      <c r="AJ842" s="10">
        <f t="shared" si="989"/>
        <v>0</v>
      </c>
      <c r="AK842" s="10">
        <f t="shared" si="989"/>
        <v>0</v>
      </c>
      <c r="AL842" s="10">
        <f t="shared" si="989"/>
        <v>0</v>
      </c>
      <c r="AM842" s="10">
        <f t="shared" si="989"/>
        <v>0</v>
      </c>
      <c r="AN842" s="10">
        <f t="shared" si="989"/>
        <v>0</v>
      </c>
      <c r="AO842" s="10">
        <f t="shared" si="989"/>
        <v>0</v>
      </c>
      <c r="AP842" s="10">
        <f t="shared" si="989"/>
        <v>0</v>
      </c>
      <c r="AQ842" s="10">
        <f t="shared" si="989"/>
        <v>0</v>
      </c>
      <c r="AR842" s="10">
        <f t="shared" si="989"/>
        <v>0</v>
      </c>
      <c r="AS842" s="10">
        <f t="shared" si="989"/>
        <v>0</v>
      </c>
      <c r="AT842" s="10">
        <f t="shared" si="989"/>
        <v>0</v>
      </c>
      <c r="AU842" s="10">
        <f t="shared" si="989"/>
        <v>0</v>
      </c>
      <c r="AV842" s="10">
        <f t="shared" si="989"/>
        <v>0</v>
      </c>
      <c r="AW842" s="10">
        <f t="shared" si="989"/>
        <v>0</v>
      </c>
      <c r="AX842" s="10">
        <f t="shared" si="989"/>
        <v>0</v>
      </c>
      <c r="AY842" s="10">
        <f t="shared" si="989"/>
        <v>0</v>
      </c>
      <c r="AZ842" s="10">
        <f t="shared" si="989"/>
        <v>0</v>
      </c>
      <c r="BA842" s="10">
        <f t="shared" si="989"/>
        <v>0</v>
      </c>
      <c r="BB842" s="10">
        <f t="shared" si="989"/>
        <v>0</v>
      </c>
      <c r="BC842" s="10">
        <f t="shared" si="989"/>
        <v>0</v>
      </c>
      <c r="BD842" s="10">
        <f t="shared" si="989"/>
        <v>0</v>
      </c>
      <c r="BE842" s="10">
        <f t="shared" si="989"/>
        <v>0</v>
      </c>
      <c r="BF842" s="10">
        <f t="shared" si="989"/>
        <v>0</v>
      </c>
      <c r="BG842" s="10">
        <f t="shared" si="989"/>
        <v>0</v>
      </c>
      <c r="BH842" s="10">
        <f t="shared" si="989"/>
        <v>0</v>
      </c>
      <c r="BI842" s="10">
        <f t="shared" si="989"/>
        <v>0</v>
      </c>
      <c r="BJ842" s="10">
        <f t="shared" si="989"/>
        <v>0</v>
      </c>
      <c r="BK842" s="67"/>
      <c r="BL842" s="10">
        <f t="shared" si="970"/>
        <v>0</v>
      </c>
      <c r="BM842" s="10">
        <f t="shared" si="970"/>
        <v>0</v>
      </c>
      <c r="BN842" s="10">
        <f t="shared" si="970"/>
        <v>0</v>
      </c>
      <c r="BO842" s="10">
        <f t="shared" si="970"/>
        <v>0</v>
      </c>
      <c r="BP842" s="13">
        <f t="shared" si="971"/>
        <v>0</v>
      </c>
      <c r="BQ842" s="13">
        <f t="shared" si="986"/>
        <v>0</v>
      </c>
      <c r="BR842" s="13">
        <f t="shared" si="986"/>
        <v>0</v>
      </c>
      <c r="BS842" s="13">
        <f t="shared" si="986"/>
        <v>0</v>
      </c>
      <c r="BT842" s="13">
        <f t="shared" si="986"/>
        <v>0</v>
      </c>
      <c r="BU842" s="13">
        <f t="shared" si="986"/>
        <v>0</v>
      </c>
      <c r="BV842" s="13">
        <f t="shared" si="986"/>
        <v>0</v>
      </c>
      <c r="BW842" s="13">
        <f t="shared" si="986"/>
        <v>0</v>
      </c>
      <c r="BY842" s="12"/>
      <c r="CA842" s="12"/>
      <c r="CJ842" s="162"/>
      <c r="CR842" s="12"/>
      <c r="EX842" s="13" t="str">
        <f t="shared" ca="1" si="973"/>
        <v>Accrued Interest Expense Loan 15</v>
      </c>
    </row>
    <row r="843" spans="1:154" x14ac:dyDescent="0.25">
      <c r="A843" s="67"/>
      <c r="B843" s="84" t="str" cm="1">
        <f t="array" aca="1" ref="B843" ca="1">HYPERLINK(CONCATENATE("#",CELL("address",$D$332)),$D$332)</f>
        <v>Loan 16</v>
      </c>
      <c r="C843" s="340" t="s">
        <v>1308</v>
      </c>
      <c r="D843" s="60">
        <f>D$28</f>
        <v>0</v>
      </c>
      <c r="E843" s="221">
        <f>E$28</f>
        <v>0</v>
      </c>
      <c r="F843" s="10">
        <f>P$28</f>
        <v>0</v>
      </c>
      <c r="G843" s="9"/>
      <c r="H843" s="50" t="s">
        <v>125</v>
      </c>
      <c r="S843" s="335"/>
      <c r="T843" s="335"/>
      <c r="U843" s="335"/>
      <c r="V843" s="201">
        <f t="shared" si="968"/>
        <v>0</v>
      </c>
      <c r="W843" s="10">
        <f t="shared" si="968"/>
        <v>0</v>
      </c>
      <c r="X843" s="201">
        <f t="shared" si="968"/>
        <v>0</v>
      </c>
      <c r="Y843" s="10">
        <f t="shared" si="968"/>
        <v>0</v>
      </c>
      <c r="Z843" s="67"/>
      <c r="AA843" s="10">
        <f t="shared" ref="AA843:BJ843" si="990">IF($F843=1, AA701, AA561)</f>
        <v>0</v>
      </c>
      <c r="AB843" s="10">
        <f t="shared" si="990"/>
        <v>0</v>
      </c>
      <c r="AC843" s="10">
        <f t="shared" si="990"/>
        <v>0</v>
      </c>
      <c r="AD843" s="10">
        <f t="shared" si="990"/>
        <v>0</v>
      </c>
      <c r="AE843" s="10">
        <f t="shared" si="990"/>
        <v>0</v>
      </c>
      <c r="AF843" s="10">
        <f t="shared" si="990"/>
        <v>0</v>
      </c>
      <c r="AG843" s="10">
        <f t="shared" si="990"/>
        <v>0</v>
      </c>
      <c r="AH843" s="10">
        <f t="shared" si="990"/>
        <v>0</v>
      </c>
      <c r="AI843" s="10">
        <f t="shared" si="990"/>
        <v>0</v>
      </c>
      <c r="AJ843" s="10">
        <f t="shared" si="990"/>
        <v>0</v>
      </c>
      <c r="AK843" s="10">
        <f t="shared" si="990"/>
        <v>0</v>
      </c>
      <c r="AL843" s="10">
        <f t="shared" si="990"/>
        <v>0</v>
      </c>
      <c r="AM843" s="10">
        <f t="shared" si="990"/>
        <v>0</v>
      </c>
      <c r="AN843" s="10">
        <f t="shared" si="990"/>
        <v>0</v>
      </c>
      <c r="AO843" s="10">
        <f t="shared" si="990"/>
        <v>0</v>
      </c>
      <c r="AP843" s="10">
        <f t="shared" si="990"/>
        <v>0</v>
      </c>
      <c r="AQ843" s="10">
        <f t="shared" si="990"/>
        <v>0</v>
      </c>
      <c r="AR843" s="10">
        <f t="shared" si="990"/>
        <v>0</v>
      </c>
      <c r="AS843" s="10">
        <f t="shared" si="990"/>
        <v>0</v>
      </c>
      <c r="AT843" s="10">
        <f t="shared" si="990"/>
        <v>0</v>
      </c>
      <c r="AU843" s="10">
        <f t="shared" si="990"/>
        <v>0</v>
      </c>
      <c r="AV843" s="10">
        <f t="shared" si="990"/>
        <v>0</v>
      </c>
      <c r="AW843" s="10">
        <f t="shared" si="990"/>
        <v>0</v>
      </c>
      <c r="AX843" s="10">
        <f t="shared" si="990"/>
        <v>0</v>
      </c>
      <c r="AY843" s="10">
        <f t="shared" si="990"/>
        <v>0</v>
      </c>
      <c r="AZ843" s="10">
        <f t="shared" si="990"/>
        <v>0</v>
      </c>
      <c r="BA843" s="10">
        <f t="shared" si="990"/>
        <v>0</v>
      </c>
      <c r="BB843" s="10">
        <f t="shared" si="990"/>
        <v>0</v>
      </c>
      <c r="BC843" s="10">
        <f t="shared" si="990"/>
        <v>0</v>
      </c>
      <c r="BD843" s="10">
        <f t="shared" si="990"/>
        <v>0</v>
      </c>
      <c r="BE843" s="10">
        <f t="shared" si="990"/>
        <v>0</v>
      </c>
      <c r="BF843" s="10">
        <f t="shared" si="990"/>
        <v>0</v>
      </c>
      <c r="BG843" s="10">
        <f t="shared" si="990"/>
        <v>0</v>
      </c>
      <c r="BH843" s="10">
        <f t="shared" si="990"/>
        <v>0</v>
      </c>
      <c r="BI843" s="10">
        <f t="shared" si="990"/>
        <v>0</v>
      </c>
      <c r="BJ843" s="10">
        <f t="shared" si="990"/>
        <v>0</v>
      </c>
      <c r="BK843" s="67"/>
      <c r="BL843" s="10">
        <f t="shared" si="970"/>
        <v>0</v>
      </c>
      <c r="BM843" s="10">
        <f t="shared" si="970"/>
        <v>0</v>
      </c>
      <c r="BN843" s="10">
        <f t="shared" si="970"/>
        <v>0</v>
      </c>
      <c r="BO843" s="10">
        <f t="shared" si="970"/>
        <v>0</v>
      </c>
      <c r="BP843" s="13">
        <f t="shared" si="971"/>
        <v>0</v>
      </c>
      <c r="BQ843" s="13">
        <f t="shared" si="986"/>
        <v>0</v>
      </c>
      <c r="BR843" s="13">
        <f t="shared" si="986"/>
        <v>0</v>
      </c>
      <c r="BS843" s="13">
        <f t="shared" si="986"/>
        <v>0</v>
      </c>
      <c r="BT843" s="13">
        <f t="shared" si="986"/>
        <v>0</v>
      </c>
      <c r="BU843" s="13">
        <f t="shared" si="986"/>
        <v>0</v>
      </c>
      <c r="BV843" s="13">
        <f t="shared" si="986"/>
        <v>0</v>
      </c>
      <c r="BW843" s="13">
        <f t="shared" si="986"/>
        <v>0</v>
      </c>
      <c r="BY843" s="12"/>
      <c r="CA843" s="12"/>
      <c r="CJ843" s="162"/>
      <c r="CR843" s="12"/>
      <c r="EX843" s="13" t="str">
        <f t="shared" ca="1" si="973"/>
        <v>Accrued Interest Expense Loan 16</v>
      </c>
    </row>
    <row r="844" spans="1:154" x14ac:dyDescent="0.25">
      <c r="A844" s="67"/>
      <c r="B844" s="84" t="str" cm="1">
        <f t="array" aca="1" ref="B844" ca="1">HYPERLINK(CONCATENATE("#",CELL("address",$D$351)),$D$351)</f>
        <v>Loan 17</v>
      </c>
      <c r="C844" s="340" t="s">
        <v>1309</v>
      </c>
      <c r="D844" s="60">
        <f>D$29</f>
        <v>0</v>
      </c>
      <c r="E844" s="221">
        <f>E$29</f>
        <v>0</v>
      </c>
      <c r="F844" s="10">
        <f>P$29</f>
        <v>0</v>
      </c>
      <c r="G844" s="9"/>
      <c r="H844" s="50" t="s">
        <v>125</v>
      </c>
      <c r="S844" s="335"/>
      <c r="T844" s="335"/>
      <c r="U844" s="335"/>
      <c r="V844" s="201">
        <f t="shared" si="968"/>
        <v>0</v>
      </c>
      <c r="W844" s="10">
        <f t="shared" si="968"/>
        <v>0</v>
      </c>
      <c r="X844" s="201">
        <f t="shared" si="968"/>
        <v>0</v>
      </c>
      <c r="Y844" s="10">
        <f t="shared" si="968"/>
        <v>0</v>
      </c>
      <c r="Z844" s="67"/>
      <c r="AA844" s="10">
        <f t="shared" ref="AA844:BJ844" si="991">IF($F844=1, AA702, AA562)</f>
        <v>0</v>
      </c>
      <c r="AB844" s="10">
        <f t="shared" si="991"/>
        <v>0</v>
      </c>
      <c r="AC844" s="10">
        <f t="shared" si="991"/>
        <v>0</v>
      </c>
      <c r="AD844" s="10">
        <f t="shared" si="991"/>
        <v>0</v>
      </c>
      <c r="AE844" s="10">
        <f t="shared" si="991"/>
        <v>0</v>
      </c>
      <c r="AF844" s="10">
        <f t="shared" si="991"/>
        <v>0</v>
      </c>
      <c r="AG844" s="10">
        <f t="shared" si="991"/>
        <v>0</v>
      </c>
      <c r="AH844" s="10">
        <f t="shared" si="991"/>
        <v>0</v>
      </c>
      <c r="AI844" s="10">
        <f t="shared" si="991"/>
        <v>0</v>
      </c>
      <c r="AJ844" s="10">
        <f t="shared" si="991"/>
        <v>0</v>
      </c>
      <c r="AK844" s="10">
        <f t="shared" si="991"/>
        <v>0</v>
      </c>
      <c r="AL844" s="10">
        <f t="shared" si="991"/>
        <v>0</v>
      </c>
      <c r="AM844" s="10">
        <f t="shared" si="991"/>
        <v>0</v>
      </c>
      <c r="AN844" s="10">
        <f t="shared" si="991"/>
        <v>0</v>
      </c>
      <c r="AO844" s="10">
        <f t="shared" si="991"/>
        <v>0</v>
      </c>
      <c r="AP844" s="10">
        <f t="shared" si="991"/>
        <v>0</v>
      </c>
      <c r="AQ844" s="10">
        <f t="shared" si="991"/>
        <v>0</v>
      </c>
      <c r="AR844" s="10">
        <f t="shared" si="991"/>
        <v>0</v>
      </c>
      <c r="AS844" s="10">
        <f t="shared" si="991"/>
        <v>0</v>
      </c>
      <c r="AT844" s="10">
        <f t="shared" si="991"/>
        <v>0</v>
      </c>
      <c r="AU844" s="10">
        <f t="shared" si="991"/>
        <v>0</v>
      </c>
      <c r="AV844" s="10">
        <f t="shared" si="991"/>
        <v>0</v>
      </c>
      <c r="AW844" s="10">
        <f t="shared" si="991"/>
        <v>0</v>
      </c>
      <c r="AX844" s="10">
        <f t="shared" si="991"/>
        <v>0</v>
      </c>
      <c r="AY844" s="10">
        <f t="shared" si="991"/>
        <v>0</v>
      </c>
      <c r="AZ844" s="10">
        <f t="shared" si="991"/>
        <v>0</v>
      </c>
      <c r="BA844" s="10">
        <f t="shared" si="991"/>
        <v>0</v>
      </c>
      <c r="BB844" s="10">
        <f t="shared" si="991"/>
        <v>0</v>
      </c>
      <c r="BC844" s="10">
        <f t="shared" si="991"/>
        <v>0</v>
      </c>
      <c r="BD844" s="10">
        <f t="shared" si="991"/>
        <v>0</v>
      </c>
      <c r="BE844" s="10">
        <f t="shared" si="991"/>
        <v>0</v>
      </c>
      <c r="BF844" s="10">
        <f t="shared" si="991"/>
        <v>0</v>
      </c>
      <c r="BG844" s="10">
        <f t="shared" si="991"/>
        <v>0</v>
      </c>
      <c r="BH844" s="10">
        <f t="shared" si="991"/>
        <v>0</v>
      </c>
      <c r="BI844" s="10">
        <f t="shared" si="991"/>
        <v>0</v>
      </c>
      <c r="BJ844" s="10">
        <f t="shared" si="991"/>
        <v>0</v>
      </c>
      <c r="BK844" s="67"/>
      <c r="BL844" s="10">
        <f t="shared" si="970"/>
        <v>0</v>
      </c>
      <c r="BM844" s="10">
        <f t="shared" si="970"/>
        <v>0</v>
      </c>
      <c r="BN844" s="10">
        <f t="shared" si="970"/>
        <v>0</v>
      </c>
      <c r="BO844" s="10">
        <f t="shared" si="970"/>
        <v>0</v>
      </c>
      <c r="BP844" s="13">
        <f t="shared" si="971"/>
        <v>0</v>
      </c>
      <c r="BQ844" s="13">
        <f t="shared" si="986"/>
        <v>0</v>
      </c>
      <c r="BR844" s="13">
        <f t="shared" si="986"/>
        <v>0</v>
      </c>
      <c r="BS844" s="13">
        <f t="shared" si="986"/>
        <v>0</v>
      </c>
      <c r="BT844" s="13">
        <f t="shared" si="986"/>
        <v>0</v>
      </c>
      <c r="BU844" s="13">
        <f t="shared" si="986"/>
        <v>0</v>
      </c>
      <c r="BV844" s="13">
        <f t="shared" si="986"/>
        <v>0</v>
      </c>
      <c r="BW844" s="13">
        <f t="shared" si="986"/>
        <v>0</v>
      </c>
      <c r="BY844" s="12"/>
      <c r="CA844" s="12"/>
      <c r="CJ844" s="162"/>
      <c r="CR844" s="12"/>
      <c r="EX844" s="13" t="str">
        <f t="shared" ca="1" si="973"/>
        <v>Accrued Interest Expense Loan 17</v>
      </c>
    </row>
    <row r="845" spans="1:154" x14ac:dyDescent="0.25">
      <c r="A845" s="67"/>
      <c r="B845" s="84" t="str" cm="1">
        <f t="array" aca="1" ref="B845" ca="1">HYPERLINK(CONCATENATE("#",CELL("address",$D$370)),$D$370)</f>
        <v>Loan 18</v>
      </c>
      <c r="C845" s="340" t="s">
        <v>1310</v>
      </c>
      <c r="D845" s="60">
        <f>D$30</f>
        <v>0</v>
      </c>
      <c r="E845" s="221">
        <f>E$30</f>
        <v>0</v>
      </c>
      <c r="F845" s="10">
        <f>P$30</f>
        <v>0</v>
      </c>
      <c r="G845" s="9"/>
      <c r="H845" s="50" t="s">
        <v>125</v>
      </c>
      <c r="S845" s="335"/>
      <c r="T845" s="335"/>
      <c r="U845" s="335"/>
      <c r="V845" s="201">
        <f t="shared" si="968"/>
        <v>0</v>
      </c>
      <c r="W845" s="10">
        <f t="shared" si="968"/>
        <v>0</v>
      </c>
      <c r="X845" s="201">
        <f t="shared" si="968"/>
        <v>0</v>
      </c>
      <c r="Y845" s="10">
        <f t="shared" si="968"/>
        <v>0</v>
      </c>
      <c r="Z845" s="67"/>
      <c r="AA845" s="10">
        <f t="shared" ref="AA845:BJ845" si="992">IF($F845=1, AA703, AA563)</f>
        <v>0</v>
      </c>
      <c r="AB845" s="10">
        <f t="shared" si="992"/>
        <v>0</v>
      </c>
      <c r="AC845" s="10">
        <f t="shared" si="992"/>
        <v>0</v>
      </c>
      <c r="AD845" s="10">
        <f t="shared" si="992"/>
        <v>0</v>
      </c>
      <c r="AE845" s="10">
        <f t="shared" si="992"/>
        <v>0</v>
      </c>
      <c r="AF845" s="10">
        <f t="shared" si="992"/>
        <v>0</v>
      </c>
      <c r="AG845" s="10">
        <f t="shared" si="992"/>
        <v>0</v>
      </c>
      <c r="AH845" s="10">
        <f t="shared" si="992"/>
        <v>0</v>
      </c>
      <c r="AI845" s="10">
        <f t="shared" si="992"/>
        <v>0</v>
      </c>
      <c r="AJ845" s="10">
        <f t="shared" si="992"/>
        <v>0</v>
      </c>
      <c r="AK845" s="10">
        <f t="shared" si="992"/>
        <v>0</v>
      </c>
      <c r="AL845" s="10">
        <f t="shared" si="992"/>
        <v>0</v>
      </c>
      <c r="AM845" s="10">
        <f t="shared" si="992"/>
        <v>0</v>
      </c>
      <c r="AN845" s="10">
        <f t="shared" si="992"/>
        <v>0</v>
      </c>
      <c r="AO845" s="10">
        <f t="shared" si="992"/>
        <v>0</v>
      </c>
      <c r="AP845" s="10">
        <f t="shared" si="992"/>
        <v>0</v>
      </c>
      <c r="AQ845" s="10">
        <f t="shared" si="992"/>
        <v>0</v>
      </c>
      <c r="AR845" s="10">
        <f t="shared" si="992"/>
        <v>0</v>
      </c>
      <c r="AS845" s="10">
        <f t="shared" si="992"/>
        <v>0</v>
      </c>
      <c r="AT845" s="10">
        <f t="shared" si="992"/>
        <v>0</v>
      </c>
      <c r="AU845" s="10">
        <f t="shared" si="992"/>
        <v>0</v>
      </c>
      <c r="AV845" s="10">
        <f t="shared" si="992"/>
        <v>0</v>
      </c>
      <c r="AW845" s="10">
        <f t="shared" si="992"/>
        <v>0</v>
      </c>
      <c r="AX845" s="10">
        <f t="shared" si="992"/>
        <v>0</v>
      </c>
      <c r="AY845" s="10">
        <f t="shared" si="992"/>
        <v>0</v>
      </c>
      <c r="AZ845" s="10">
        <f t="shared" si="992"/>
        <v>0</v>
      </c>
      <c r="BA845" s="10">
        <f t="shared" si="992"/>
        <v>0</v>
      </c>
      <c r="BB845" s="10">
        <f t="shared" si="992"/>
        <v>0</v>
      </c>
      <c r="BC845" s="10">
        <f t="shared" si="992"/>
        <v>0</v>
      </c>
      <c r="BD845" s="10">
        <f t="shared" si="992"/>
        <v>0</v>
      </c>
      <c r="BE845" s="10">
        <f t="shared" si="992"/>
        <v>0</v>
      </c>
      <c r="BF845" s="10">
        <f t="shared" si="992"/>
        <v>0</v>
      </c>
      <c r="BG845" s="10">
        <f t="shared" si="992"/>
        <v>0</v>
      </c>
      <c r="BH845" s="10">
        <f t="shared" si="992"/>
        <v>0</v>
      </c>
      <c r="BI845" s="10">
        <f t="shared" si="992"/>
        <v>0</v>
      </c>
      <c r="BJ845" s="10">
        <f t="shared" si="992"/>
        <v>0</v>
      </c>
      <c r="BK845" s="67"/>
      <c r="BL845" s="10">
        <f t="shared" si="970"/>
        <v>0</v>
      </c>
      <c r="BM845" s="10">
        <f t="shared" si="970"/>
        <v>0</v>
      </c>
      <c r="BN845" s="10">
        <f t="shared" si="970"/>
        <v>0</v>
      </c>
      <c r="BO845" s="10">
        <f t="shared" si="970"/>
        <v>0</v>
      </c>
      <c r="BP845" s="13">
        <f t="shared" si="971"/>
        <v>0</v>
      </c>
      <c r="BQ845" s="13">
        <f t="shared" si="986"/>
        <v>0</v>
      </c>
      <c r="BR845" s="13">
        <f t="shared" si="986"/>
        <v>0</v>
      </c>
      <c r="BS845" s="13">
        <f t="shared" si="986"/>
        <v>0</v>
      </c>
      <c r="BT845" s="13">
        <f t="shared" si="986"/>
        <v>0</v>
      </c>
      <c r="BU845" s="13">
        <f t="shared" si="986"/>
        <v>0</v>
      </c>
      <c r="BV845" s="13">
        <f t="shared" si="986"/>
        <v>0</v>
      </c>
      <c r="BW845" s="13">
        <f t="shared" si="986"/>
        <v>0</v>
      </c>
      <c r="BY845" s="12"/>
      <c r="CA845" s="12"/>
      <c r="CJ845" s="162"/>
      <c r="CR845" s="12"/>
      <c r="EX845" s="13" t="str">
        <f t="shared" ca="1" si="973"/>
        <v>Accrued Interest Expense Loan 18</v>
      </c>
    </row>
    <row r="846" spans="1:154" x14ac:dyDescent="0.25">
      <c r="A846" s="67"/>
      <c r="B846" s="84" t="str" cm="1">
        <f t="array" aca="1" ref="B846" ca="1">HYPERLINK(CONCATENATE("#",CELL("address",$D$389)),$D$389)</f>
        <v>Loan 19</v>
      </c>
      <c r="C846" s="340" t="s">
        <v>1311</v>
      </c>
      <c r="D846" s="60">
        <f>D$31</f>
        <v>0</v>
      </c>
      <c r="E846" s="221">
        <f>E$31</f>
        <v>0</v>
      </c>
      <c r="F846" s="10">
        <f>P$31</f>
        <v>0</v>
      </c>
      <c r="G846" s="9"/>
      <c r="H846" s="50" t="s">
        <v>125</v>
      </c>
      <c r="S846" s="335"/>
      <c r="T846" s="335"/>
      <c r="U846" s="335"/>
      <c r="V846" s="201">
        <f t="shared" si="968"/>
        <v>0</v>
      </c>
      <c r="W846" s="10">
        <f t="shared" si="968"/>
        <v>0</v>
      </c>
      <c r="X846" s="201">
        <f t="shared" si="968"/>
        <v>0</v>
      </c>
      <c r="Y846" s="10">
        <f t="shared" si="968"/>
        <v>0</v>
      </c>
      <c r="Z846" s="67"/>
      <c r="AA846" s="10">
        <f t="shared" ref="AA846:BJ846" si="993">IF($F846=1, AA704, AA564)</f>
        <v>0</v>
      </c>
      <c r="AB846" s="10">
        <f t="shared" si="993"/>
        <v>0</v>
      </c>
      <c r="AC846" s="10">
        <f t="shared" si="993"/>
        <v>0</v>
      </c>
      <c r="AD846" s="10">
        <f t="shared" si="993"/>
        <v>0</v>
      </c>
      <c r="AE846" s="10">
        <f t="shared" si="993"/>
        <v>0</v>
      </c>
      <c r="AF846" s="10">
        <f t="shared" si="993"/>
        <v>0</v>
      </c>
      <c r="AG846" s="10">
        <f t="shared" si="993"/>
        <v>0</v>
      </c>
      <c r="AH846" s="10">
        <f t="shared" si="993"/>
        <v>0</v>
      </c>
      <c r="AI846" s="10">
        <f t="shared" si="993"/>
        <v>0</v>
      </c>
      <c r="AJ846" s="10">
        <f t="shared" si="993"/>
        <v>0</v>
      </c>
      <c r="AK846" s="10">
        <f t="shared" si="993"/>
        <v>0</v>
      </c>
      <c r="AL846" s="10">
        <f t="shared" si="993"/>
        <v>0</v>
      </c>
      <c r="AM846" s="10">
        <f t="shared" si="993"/>
        <v>0</v>
      </c>
      <c r="AN846" s="10">
        <f t="shared" si="993"/>
        <v>0</v>
      </c>
      <c r="AO846" s="10">
        <f t="shared" si="993"/>
        <v>0</v>
      </c>
      <c r="AP846" s="10">
        <f t="shared" si="993"/>
        <v>0</v>
      </c>
      <c r="AQ846" s="10">
        <f t="shared" si="993"/>
        <v>0</v>
      </c>
      <c r="AR846" s="10">
        <f t="shared" si="993"/>
        <v>0</v>
      </c>
      <c r="AS846" s="10">
        <f t="shared" si="993"/>
        <v>0</v>
      </c>
      <c r="AT846" s="10">
        <f t="shared" si="993"/>
        <v>0</v>
      </c>
      <c r="AU846" s="10">
        <f t="shared" si="993"/>
        <v>0</v>
      </c>
      <c r="AV846" s="10">
        <f t="shared" si="993"/>
        <v>0</v>
      </c>
      <c r="AW846" s="10">
        <f t="shared" si="993"/>
        <v>0</v>
      </c>
      <c r="AX846" s="10">
        <f t="shared" si="993"/>
        <v>0</v>
      </c>
      <c r="AY846" s="10">
        <f t="shared" si="993"/>
        <v>0</v>
      </c>
      <c r="AZ846" s="10">
        <f t="shared" si="993"/>
        <v>0</v>
      </c>
      <c r="BA846" s="10">
        <f t="shared" si="993"/>
        <v>0</v>
      </c>
      <c r="BB846" s="10">
        <f t="shared" si="993"/>
        <v>0</v>
      </c>
      <c r="BC846" s="10">
        <f t="shared" si="993"/>
        <v>0</v>
      </c>
      <c r="BD846" s="10">
        <f t="shared" si="993"/>
        <v>0</v>
      </c>
      <c r="BE846" s="10">
        <f t="shared" si="993"/>
        <v>0</v>
      </c>
      <c r="BF846" s="10">
        <f t="shared" si="993"/>
        <v>0</v>
      </c>
      <c r="BG846" s="10">
        <f t="shared" si="993"/>
        <v>0</v>
      </c>
      <c r="BH846" s="10">
        <f t="shared" si="993"/>
        <v>0</v>
      </c>
      <c r="BI846" s="10">
        <f t="shared" si="993"/>
        <v>0</v>
      </c>
      <c r="BJ846" s="10">
        <f t="shared" si="993"/>
        <v>0</v>
      </c>
      <c r="BK846" s="67"/>
      <c r="BL846" s="10">
        <f t="shared" si="970"/>
        <v>0</v>
      </c>
      <c r="BM846" s="10">
        <f t="shared" si="970"/>
        <v>0</v>
      </c>
      <c r="BN846" s="10">
        <f t="shared" si="970"/>
        <v>0</v>
      </c>
      <c r="BO846" s="10">
        <f t="shared" si="970"/>
        <v>0</v>
      </c>
      <c r="BP846" s="13">
        <f t="shared" si="971"/>
        <v>0</v>
      </c>
      <c r="BQ846" s="13">
        <f t="shared" si="986"/>
        <v>0</v>
      </c>
      <c r="BR846" s="13">
        <f t="shared" si="986"/>
        <v>0</v>
      </c>
      <c r="BS846" s="13">
        <f t="shared" si="986"/>
        <v>0</v>
      </c>
      <c r="BT846" s="13">
        <f t="shared" si="986"/>
        <v>0</v>
      </c>
      <c r="BU846" s="13">
        <f t="shared" si="986"/>
        <v>0</v>
      </c>
      <c r="BV846" s="13">
        <f t="shared" si="986"/>
        <v>0</v>
      </c>
      <c r="BW846" s="13">
        <f t="shared" si="986"/>
        <v>0</v>
      </c>
      <c r="BY846" s="12"/>
      <c r="CA846" s="12"/>
      <c r="CJ846" s="162"/>
      <c r="CR846" s="12"/>
      <c r="EX846" s="13" t="str">
        <f t="shared" ca="1" si="973"/>
        <v>Accrued Interest Expense Loan 19</v>
      </c>
    </row>
    <row r="847" spans="1:154" x14ac:dyDescent="0.25">
      <c r="A847" s="67"/>
      <c r="B847" s="84" t="str" cm="1">
        <f t="array" aca="1" ref="B847" ca="1">HYPERLINK(CONCATENATE("#",CELL("address",$D$408)),$D$408)</f>
        <v>Loan 20</v>
      </c>
      <c r="C847" s="340" t="s">
        <v>1312</v>
      </c>
      <c r="D847" s="60">
        <f>D$32</f>
        <v>0</v>
      </c>
      <c r="E847" s="221">
        <f>E$32</f>
        <v>0</v>
      </c>
      <c r="F847" s="10">
        <f>P$32</f>
        <v>0</v>
      </c>
      <c r="G847" s="9"/>
      <c r="H847" s="50" t="s">
        <v>125</v>
      </c>
      <c r="S847" s="335"/>
      <c r="T847" s="335"/>
      <c r="U847" s="335"/>
      <c r="V847" s="201">
        <f t="shared" si="968"/>
        <v>0</v>
      </c>
      <c r="W847" s="10">
        <f t="shared" si="968"/>
        <v>0</v>
      </c>
      <c r="X847" s="201">
        <f t="shared" si="968"/>
        <v>0</v>
      </c>
      <c r="Y847" s="10">
        <f t="shared" si="968"/>
        <v>0</v>
      </c>
      <c r="Z847" s="67"/>
      <c r="AA847" s="10">
        <f t="shared" ref="AA847:BJ847" si="994">IF($F847=1, AA705, AA565)</f>
        <v>0</v>
      </c>
      <c r="AB847" s="10">
        <f t="shared" si="994"/>
        <v>0</v>
      </c>
      <c r="AC847" s="10">
        <f t="shared" si="994"/>
        <v>0</v>
      </c>
      <c r="AD847" s="10">
        <f t="shared" si="994"/>
        <v>0</v>
      </c>
      <c r="AE847" s="10">
        <f t="shared" si="994"/>
        <v>0</v>
      </c>
      <c r="AF847" s="10">
        <f t="shared" si="994"/>
        <v>0</v>
      </c>
      <c r="AG847" s="10">
        <f t="shared" si="994"/>
        <v>0</v>
      </c>
      <c r="AH847" s="10">
        <f t="shared" si="994"/>
        <v>0</v>
      </c>
      <c r="AI847" s="10">
        <f t="shared" si="994"/>
        <v>0</v>
      </c>
      <c r="AJ847" s="10">
        <f t="shared" si="994"/>
        <v>0</v>
      </c>
      <c r="AK847" s="10">
        <f t="shared" si="994"/>
        <v>0</v>
      </c>
      <c r="AL847" s="10">
        <f t="shared" si="994"/>
        <v>0</v>
      </c>
      <c r="AM847" s="10">
        <f t="shared" si="994"/>
        <v>0</v>
      </c>
      <c r="AN847" s="10">
        <f t="shared" si="994"/>
        <v>0</v>
      </c>
      <c r="AO847" s="10">
        <f t="shared" si="994"/>
        <v>0</v>
      </c>
      <c r="AP847" s="10">
        <f t="shared" si="994"/>
        <v>0</v>
      </c>
      <c r="AQ847" s="10">
        <f t="shared" si="994"/>
        <v>0</v>
      </c>
      <c r="AR847" s="10">
        <f t="shared" si="994"/>
        <v>0</v>
      </c>
      <c r="AS847" s="10">
        <f t="shared" si="994"/>
        <v>0</v>
      </c>
      <c r="AT847" s="10">
        <f t="shared" si="994"/>
        <v>0</v>
      </c>
      <c r="AU847" s="10">
        <f t="shared" si="994"/>
        <v>0</v>
      </c>
      <c r="AV847" s="10">
        <f t="shared" si="994"/>
        <v>0</v>
      </c>
      <c r="AW847" s="10">
        <f t="shared" si="994"/>
        <v>0</v>
      </c>
      <c r="AX847" s="10">
        <f t="shared" si="994"/>
        <v>0</v>
      </c>
      <c r="AY847" s="10">
        <f t="shared" si="994"/>
        <v>0</v>
      </c>
      <c r="AZ847" s="10">
        <f t="shared" si="994"/>
        <v>0</v>
      </c>
      <c r="BA847" s="10">
        <f t="shared" si="994"/>
        <v>0</v>
      </c>
      <c r="BB847" s="10">
        <f t="shared" si="994"/>
        <v>0</v>
      </c>
      <c r="BC847" s="10">
        <f t="shared" si="994"/>
        <v>0</v>
      </c>
      <c r="BD847" s="10">
        <f t="shared" si="994"/>
        <v>0</v>
      </c>
      <c r="BE847" s="10">
        <f t="shared" si="994"/>
        <v>0</v>
      </c>
      <c r="BF847" s="10">
        <f t="shared" si="994"/>
        <v>0</v>
      </c>
      <c r="BG847" s="10">
        <f t="shared" si="994"/>
        <v>0</v>
      </c>
      <c r="BH847" s="10">
        <f t="shared" si="994"/>
        <v>0</v>
      </c>
      <c r="BI847" s="10">
        <f t="shared" si="994"/>
        <v>0</v>
      </c>
      <c r="BJ847" s="10">
        <f t="shared" si="994"/>
        <v>0</v>
      </c>
      <c r="BK847" s="67"/>
      <c r="BL847" s="10">
        <f t="shared" si="970"/>
        <v>0</v>
      </c>
      <c r="BM847" s="10">
        <f t="shared" si="970"/>
        <v>0</v>
      </c>
      <c r="BN847" s="10">
        <f t="shared" si="970"/>
        <v>0</v>
      </c>
      <c r="BO847" s="10">
        <f t="shared" si="970"/>
        <v>0</v>
      </c>
      <c r="BP847" s="13">
        <f t="shared" si="971"/>
        <v>0</v>
      </c>
      <c r="BQ847" s="13">
        <f t="shared" si="986"/>
        <v>0</v>
      </c>
      <c r="BR847" s="13">
        <f t="shared" si="986"/>
        <v>0</v>
      </c>
      <c r="BS847" s="13">
        <f t="shared" si="986"/>
        <v>0</v>
      </c>
      <c r="BT847" s="13">
        <f t="shared" si="986"/>
        <v>0</v>
      </c>
      <c r="BU847" s="13">
        <f t="shared" si="986"/>
        <v>0</v>
      </c>
      <c r="BV847" s="13">
        <f t="shared" si="986"/>
        <v>0</v>
      </c>
      <c r="BW847" s="13">
        <f t="shared" si="986"/>
        <v>0</v>
      </c>
      <c r="BY847" s="12"/>
      <c r="CA847" s="12"/>
      <c r="CJ847" s="162"/>
      <c r="CR847" s="12"/>
      <c r="EX847" s="13" t="str">
        <f t="shared" ca="1" si="973"/>
        <v>Accrued Interest Expense Loan 20</v>
      </c>
    </row>
    <row r="848" spans="1:154" ht="6.6" customHeight="1" x14ac:dyDescent="0.25">
      <c r="C848" s="380"/>
      <c r="D848" s="1"/>
      <c r="E848" s="11"/>
      <c r="S848" s="335"/>
      <c r="T848" s="335"/>
      <c r="U848" s="335"/>
      <c r="BM848" s="6"/>
      <c r="BY848" s="42"/>
      <c r="CA848" s="42"/>
      <c r="CJ848" s="162"/>
      <c r="CR848" s="42"/>
      <c r="EX848" s="10" t="str">
        <f t="shared" si="967"/>
        <v/>
      </c>
    </row>
    <row r="849" spans="1:154" x14ac:dyDescent="0.25">
      <c r="C849" s="380"/>
      <c r="D849" s="61" t="s">
        <v>222</v>
      </c>
      <c r="E849" s="11"/>
      <c r="S849" s="335"/>
      <c r="T849" s="335"/>
      <c r="U849" s="335"/>
      <c r="BY849" s="12"/>
      <c r="CA849" s="12"/>
      <c r="CJ849" s="162"/>
      <c r="CR849" s="12"/>
      <c r="EX849" s="10" t="str">
        <f t="shared" si="967"/>
        <v/>
      </c>
    </row>
    <row r="850" spans="1:154" ht="30" x14ac:dyDescent="0.25">
      <c r="A850" s="67"/>
      <c r="B850" s="5" t="s">
        <v>551</v>
      </c>
      <c r="C850" s="380"/>
      <c r="D850" s="5" t="s">
        <v>180</v>
      </c>
      <c r="E850" s="5" t="s">
        <v>179</v>
      </c>
      <c r="F850" s="27" t="s">
        <v>560</v>
      </c>
      <c r="S850" s="335"/>
      <c r="T850" s="335"/>
      <c r="U850" s="335"/>
      <c r="AA850" s="335"/>
      <c r="BY850" s="12"/>
      <c r="CA850" s="12"/>
      <c r="CJ850" s="162"/>
      <c r="CR850" s="12"/>
      <c r="EX850" s="10" t="str">
        <f t="shared" si="967"/>
        <v/>
      </c>
    </row>
    <row r="851" spans="1:154" x14ac:dyDescent="0.25">
      <c r="A851" s="67"/>
      <c r="B851" s="84" t="str" cm="1">
        <f t="array" aca="1" ref="B851" ca="1">HYPERLINK(CONCATENATE("#",CELL("address",$D$47)),$D$47)</f>
        <v>Loan 1</v>
      </c>
      <c r="C851" s="340" t="s">
        <v>1609</v>
      </c>
      <c r="D851" s="60" t="str">
        <f>D$13</f>
        <v>NatWest</v>
      </c>
      <c r="E851" s="221" t="str">
        <f>E$13</f>
        <v xml:space="preserve">Commercial </v>
      </c>
      <c r="F851" s="201">
        <f>P$13</f>
        <v>0</v>
      </c>
      <c r="G851" s="9"/>
      <c r="H851" s="50" t="s">
        <v>125</v>
      </c>
      <c r="I851" s="65"/>
      <c r="S851" s="335"/>
      <c r="T851" s="335"/>
      <c r="U851" s="335"/>
      <c r="V851" s="201">
        <f t="shared" ref="V851:Y870" si="995">IF($F851=1, V778, V569)</f>
        <v>0</v>
      </c>
      <c r="W851" s="10">
        <f t="shared" si="995"/>
        <v>0</v>
      </c>
      <c r="X851" s="10">
        <f t="shared" si="995"/>
        <v>0</v>
      </c>
      <c r="Y851" s="10">
        <f t="shared" si="995"/>
        <v>0</v>
      </c>
      <c r="Z851" s="67"/>
      <c r="AA851" s="201">
        <f t="shared" ref="AA851:BJ851" si="996">IF($F851=1, AA778, AA569)</f>
        <v>0</v>
      </c>
      <c r="AB851" s="10">
        <f t="shared" si="996"/>
        <v>0</v>
      </c>
      <c r="AC851" s="10">
        <f t="shared" si="996"/>
        <v>0</v>
      </c>
      <c r="AD851" s="10">
        <f t="shared" si="996"/>
        <v>0</v>
      </c>
      <c r="AE851" s="10">
        <f t="shared" si="996"/>
        <v>0</v>
      </c>
      <c r="AF851" s="10">
        <f t="shared" si="996"/>
        <v>0</v>
      </c>
      <c r="AG851" s="10">
        <f t="shared" si="996"/>
        <v>0</v>
      </c>
      <c r="AH851" s="10">
        <f t="shared" si="996"/>
        <v>0</v>
      </c>
      <c r="AI851" s="10">
        <f t="shared" si="996"/>
        <v>0</v>
      </c>
      <c r="AJ851" s="10">
        <f t="shared" si="996"/>
        <v>0</v>
      </c>
      <c r="AK851" s="10">
        <f t="shared" si="996"/>
        <v>0</v>
      </c>
      <c r="AL851" s="10">
        <f t="shared" si="996"/>
        <v>0</v>
      </c>
      <c r="AM851" s="10">
        <f t="shared" si="996"/>
        <v>0</v>
      </c>
      <c r="AN851" s="10">
        <f t="shared" si="996"/>
        <v>0</v>
      </c>
      <c r="AO851" s="10">
        <f t="shared" si="996"/>
        <v>0</v>
      </c>
      <c r="AP851" s="10">
        <f t="shared" si="996"/>
        <v>0</v>
      </c>
      <c r="AQ851" s="10">
        <f t="shared" si="996"/>
        <v>0</v>
      </c>
      <c r="AR851" s="10">
        <f t="shared" si="996"/>
        <v>0</v>
      </c>
      <c r="AS851" s="10">
        <f t="shared" si="996"/>
        <v>0</v>
      </c>
      <c r="AT851" s="10">
        <f t="shared" si="996"/>
        <v>0</v>
      </c>
      <c r="AU851" s="10">
        <f t="shared" si="996"/>
        <v>0</v>
      </c>
      <c r="AV851" s="10">
        <f t="shared" si="996"/>
        <v>0</v>
      </c>
      <c r="AW851" s="10">
        <f t="shared" si="996"/>
        <v>0</v>
      </c>
      <c r="AX851" s="10">
        <f t="shared" si="996"/>
        <v>0</v>
      </c>
      <c r="AY851" s="10">
        <f t="shared" si="996"/>
        <v>0</v>
      </c>
      <c r="AZ851" s="10">
        <f t="shared" si="996"/>
        <v>0</v>
      </c>
      <c r="BA851" s="10">
        <f t="shared" si="996"/>
        <v>0</v>
      </c>
      <c r="BB851" s="10">
        <f t="shared" si="996"/>
        <v>0</v>
      </c>
      <c r="BC851" s="10">
        <f t="shared" si="996"/>
        <v>0</v>
      </c>
      <c r="BD851" s="10">
        <f t="shared" si="996"/>
        <v>0</v>
      </c>
      <c r="BE851" s="10">
        <f t="shared" si="996"/>
        <v>0</v>
      </c>
      <c r="BF851" s="10">
        <f t="shared" si="996"/>
        <v>0</v>
      </c>
      <c r="BG851" s="10">
        <f t="shared" si="996"/>
        <v>0</v>
      </c>
      <c r="BH851" s="10">
        <f t="shared" si="996"/>
        <v>0</v>
      </c>
      <c r="BI851" s="10">
        <f t="shared" si="996"/>
        <v>0</v>
      </c>
      <c r="BJ851" s="10">
        <f t="shared" si="996"/>
        <v>0</v>
      </c>
      <c r="BK851" s="67"/>
      <c r="BL851" s="10">
        <f t="shared" ref="BL851:BO870" si="997">IF($F851=1, BL778, BL569)</f>
        <v>0</v>
      </c>
      <c r="BM851" s="10">
        <f t="shared" si="997"/>
        <v>0</v>
      </c>
      <c r="BN851" s="10">
        <f t="shared" si="997"/>
        <v>0</v>
      </c>
      <c r="BO851" s="10">
        <f t="shared" si="997"/>
        <v>0</v>
      </c>
      <c r="BP851" s="13">
        <f t="shared" ref="BP851:BP870" si="998">BP569</f>
        <v>0</v>
      </c>
      <c r="BQ851" s="13">
        <f t="shared" ref="BQ851:BW851" si="999">BQ569</f>
        <v>0</v>
      </c>
      <c r="BR851" s="13">
        <f t="shared" si="999"/>
        <v>0</v>
      </c>
      <c r="BS851" s="13">
        <f t="shared" si="999"/>
        <v>0</v>
      </c>
      <c r="BT851" s="13">
        <f t="shared" si="999"/>
        <v>0</v>
      </c>
      <c r="BU851" s="13">
        <f t="shared" si="999"/>
        <v>0</v>
      </c>
      <c r="BV851" s="13">
        <f t="shared" si="999"/>
        <v>0</v>
      </c>
      <c r="BW851" s="13">
        <f t="shared" si="999"/>
        <v>0</v>
      </c>
      <c r="BY851" s="12"/>
      <c r="CA851" s="12"/>
      <c r="CJ851" s="162"/>
      <c r="CR851" s="12"/>
      <c r="EX851" s="13" t="str">
        <f t="shared" ref="EX851:EX870" ca="1" si="1000">IF($C851="","",CONCATENATE(D$849," ", $B851))</f>
        <v>Interest Payment Loan 1</v>
      </c>
    </row>
    <row r="852" spans="1:154" x14ac:dyDescent="0.25">
      <c r="A852" s="67"/>
      <c r="B852" s="84" t="str" cm="1">
        <f t="array" aca="1" ref="B852" ca="1">HYPERLINK(CONCATENATE("#",CELL("address",$D$66)),$D$66)</f>
        <v>Loan 2</v>
      </c>
      <c r="C852" s="340" t="s">
        <v>1610</v>
      </c>
      <c r="D852" s="60" t="str">
        <f>D$14</f>
        <v>NatWest</v>
      </c>
      <c r="E852" s="221" t="str">
        <f>E$14</f>
        <v xml:space="preserve">Commercial </v>
      </c>
      <c r="F852" s="10">
        <f>P$14</f>
        <v>0</v>
      </c>
      <c r="G852" s="9"/>
      <c r="H852" s="50" t="s">
        <v>125</v>
      </c>
      <c r="S852" s="335"/>
      <c r="T852" s="335"/>
      <c r="U852" s="335"/>
      <c r="V852" s="201">
        <f t="shared" si="995"/>
        <v>0</v>
      </c>
      <c r="W852" s="10">
        <f t="shared" si="995"/>
        <v>-37</v>
      </c>
      <c r="X852" s="10">
        <f t="shared" si="995"/>
        <v>-37</v>
      </c>
      <c r="Y852" s="10">
        <f t="shared" si="995"/>
        <v>-37</v>
      </c>
      <c r="Z852" s="67"/>
      <c r="AA852" s="10">
        <f t="shared" ref="AA852:BJ852" si="1001">IF($F852=1, AA779, AA570)</f>
        <v>-4</v>
      </c>
      <c r="AB852" s="10">
        <f t="shared" si="1001"/>
        <v>-3</v>
      </c>
      <c r="AC852" s="10">
        <f t="shared" si="1001"/>
        <v>-3</v>
      </c>
      <c r="AD852" s="10">
        <f t="shared" si="1001"/>
        <v>-3</v>
      </c>
      <c r="AE852" s="10">
        <f t="shared" si="1001"/>
        <v>-3</v>
      </c>
      <c r="AF852" s="10">
        <f t="shared" si="1001"/>
        <v>-3</v>
      </c>
      <c r="AG852" s="10">
        <f t="shared" si="1001"/>
        <v>-3</v>
      </c>
      <c r="AH852" s="10">
        <f t="shared" si="1001"/>
        <v>-3</v>
      </c>
      <c r="AI852" s="10">
        <f t="shared" si="1001"/>
        <v>-3</v>
      </c>
      <c r="AJ852" s="10">
        <f t="shared" si="1001"/>
        <v>-3</v>
      </c>
      <c r="AK852" s="10">
        <f t="shared" si="1001"/>
        <v>-3</v>
      </c>
      <c r="AL852" s="10">
        <f t="shared" si="1001"/>
        <v>-3</v>
      </c>
      <c r="AM852" s="10">
        <f t="shared" si="1001"/>
        <v>-4</v>
      </c>
      <c r="AN852" s="10">
        <f t="shared" si="1001"/>
        <v>-3</v>
      </c>
      <c r="AO852" s="10">
        <f t="shared" si="1001"/>
        <v>-3</v>
      </c>
      <c r="AP852" s="10">
        <f t="shared" si="1001"/>
        <v>-3</v>
      </c>
      <c r="AQ852" s="10">
        <f t="shared" si="1001"/>
        <v>-3</v>
      </c>
      <c r="AR852" s="10">
        <f t="shared" si="1001"/>
        <v>-3</v>
      </c>
      <c r="AS852" s="10">
        <f t="shared" si="1001"/>
        <v>-3</v>
      </c>
      <c r="AT852" s="10">
        <f t="shared" si="1001"/>
        <v>-3</v>
      </c>
      <c r="AU852" s="10">
        <f t="shared" si="1001"/>
        <v>-3</v>
      </c>
      <c r="AV852" s="10">
        <f t="shared" si="1001"/>
        <v>-3</v>
      </c>
      <c r="AW852" s="10">
        <f t="shared" si="1001"/>
        <v>-3</v>
      </c>
      <c r="AX852" s="10">
        <f t="shared" si="1001"/>
        <v>-3</v>
      </c>
      <c r="AY852" s="10">
        <f t="shared" si="1001"/>
        <v>-4</v>
      </c>
      <c r="AZ852" s="10">
        <f t="shared" si="1001"/>
        <v>-3</v>
      </c>
      <c r="BA852" s="10">
        <f t="shared" si="1001"/>
        <v>-3</v>
      </c>
      <c r="BB852" s="10">
        <f t="shared" si="1001"/>
        <v>-3</v>
      </c>
      <c r="BC852" s="10">
        <f t="shared" si="1001"/>
        <v>-3</v>
      </c>
      <c r="BD852" s="10">
        <f t="shared" si="1001"/>
        <v>-3</v>
      </c>
      <c r="BE852" s="10">
        <f t="shared" si="1001"/>
        <v>-3</v>
      </c>
      <c r="BF852" s="10">
        <f t="shared" si="1001"/>
        <v>-3</v>
      </c>
      <c r="BG852" s="10">
        <f t="shared" si="1001"/>
        <v>-3</v>
      </c>
      <c r="BH852" s="10">
        <f t="shared" si="1001"/>
        <v>-3</v>
      </c>
      <c r="BI852" s="10">
        <f t="shared" si="1001"/>
        <v>-3</v>
      </c>
      <c r="BJ852" s="10">
        <f t="shared" si="1001"/>
        <v>-3</v>
      </c>
      <c r="BK852" s="67"/>
      <c r="BL852" s="10">
        <f t="shared" si="997"/>
        <v>0</v>
      </c>
      <c r="BM852" s="10">
        <f t="shared" si="997"/>
        <v>-37</v>
      </c>
      <c r="BN852" s="10">
        <f t="shared" si="997"/>
        <v>-37</v>
      </c>
      <c r="BO852" s="10">
        <f t="shared" si="997"/>
        <v>-37</v>
      </c>
      <c r="BP852" s="13">
        <f t="shared" si="998"/>
        <v>0</v>
      </c>
      <c r="BQ852" s="13">
        <f t="shared" ref="BQ852:BW861" si="1002">BQ570</f>
        <v>0</v>
      </c>
      <c r="BR852" s="13">
        <f t="shared" si="1002"/>
        <v>0</v>
      </c>
      <c r="BS852" s="13">
        <f t="shared" si="1002"/>
        <v>0</v>
      </c>
      <c r="BT852" s="13">
        <f t="shared" si="1002"/>
        <v>0</v>
      </c>
      <c r="BU852" s="13">
        <f t="shared" si="1002"/>
        <v>0</v>
      </c>
      <c r="BV852" s="13">
        <f t="shared" si="1002"/>
        <v>0</v>
      </c>
      <c r="BW852" s="13">
        <f t="shared" si="1002"/>
        <v>0</v>
      </c>
      <c r="BY852" s="12"/>
      <c r="CA852" s="12"/>
      <c r="CJ852" s="162"/>
      <c r="CR852" s="12"/>
      <c r="EX852" s="13" t="str">
        <f t="shared" ca="1" si="1000"/>
        <v>Interest Payment Loan 2</v>
      </c>
    </row>
    <row r="853" spans="1:154" x14ac:dyDescent="0.25">
      <c r="A853" s="67"/>
      <c r="B853" s="84" t="str" cm="1">
        <f t="array" aca="1" ref="B853" ca="1">HYPERLINK(CONCATENATE("#",CELL("address",$D$85)),$D$85)</f>
        <v>Loan 3</v>
      </c>
      <c r="C853" s="340" t="s">
        <v>1611</v>
      </c>
      <c r="D853" s="60" t="str">
        <f>D$15</f>
        <v>NatWest</v>
      </c>
      <c r="E853" s="221" t="str">
        <f>E$15</f>
        <v xml:space="preserve">Commercial </v>
      </c>
      <c r="F853" s="10">
        <f>P$15</f>
        <v>0</v>
      </c>
      <c r="G853" s="9"/>
      <c r="H853" s="50" t="s">
        <v>125</v>
      </c>
      <c r="S853" s="335"/>
      <c r="T853" s="335"/>
      <c r="U853" s="335"/>
      <c r="V853" s="201">
        <f t="shared" si="995"/>
        <v>0</v>
      </c>
      <c r="W853" s="10">
        <f t="shared" si="995"/>
        <v>-36</v>
      </c>
      <c r="X853" s="10">
        <f t="shared" si="995"/>
        <v>-36</v>
      </c>
      <c r="Y853" s="10">
        <f t="shared" si="995"/>
        <v>-36</v>
      </c>
      <c r="Z853" s="67"/>
      <c r="AA853" s="10">
        <f t="shared" ref="AA853:BJ853" si="1003">IF($F853=1, AA780, AA571)</f>
        <v>-3</v>
      </c>
      <c r="AB853" s="10">
        <f t="shared" si="1003"/>
        <v>-3</v>
      </c>
      <c r="AC853" s="10">
        <f t="shared" si="1003"/>
        <v>-3</v>
      </c>
      <c r="AD853" s="10">
        <f t="shared" si="1003"/>
        <v>-3</v>
      </c>
      <c r="AE853" s="10">
        <f t="shared" si="1003"/>
        <v>-3</v>
      </c>
      <c r="AF853" s="10">
        <f t="shared" si="1003"/>
        <v>-3</v>
      </c>
      <c r="AG853" s="10">
        <f t="shared" si="1003"/>
        <v>-3</v>
      </c>
      <c r="AH853" s="10">
        <f t="shared" si="1003"/>
        <v>-3</v>
      </c>
      <c r="AI853" s="10">
        <f t="shared" si="1003"/>
        <v>-3</v>
      </c>
      <c r="AJ853" s="10">
        <f t="shared" si="1003"/>
        <v>-3</v>
      </c>
      <c r="AK853" s="10">
        <f t="shared" si="1003"/>
        <v>-3</v>
      </c>
      <c r="AL853" s="10">
        <f t="shared" si="1003"/>
        <v>-3</v>
      </c>
      <c r="AM853" s="10">
        <f t="shared" si="1003"/>
        <v>-3</v>
      </c>
      <c r="AN853" s="10">
        <f t="shared" si="1003"/>
        <v>-3</v>
      </c>
      <c r="AO853" s="10">
        <f t="shared" si="1003"/>
        <v>-3</v>
      </c>
      <c r="AP853" s="10">
        <f t="shared" si="1003"/>
        <v>-3</v>
      </c>
      <c r="AQ853" s="10">
        <f t="shared" si="1003"/>
        <v>-3</v>
      </c>
      <c r="AR853" s="10">
        <f t="shared" si="1003"/>
        <v>-3</v>
      </c>
      <c r="AS853" s="10">
        <f t="shared" si="1003"/>
        <v>-3</v>
      </c>
      <c r="AT853" s="10">
        <f t="shared" si="1003"/>
        <v>-3</v>
      </c>
      <c r="AU853" s="10">
        <f t="shared" si="1003"/>
        <v>-3</v>
      </c>
      <c r="AV853" s="10">
        <f t="shared" si="1003"/>
        <v>-3</v>
      </c>
      <c r="AW853" s="10">
        <f t="shared" si="1003"/>
        <v>-3</v>
      </c>
      <c r="AX853" s="10">
        <f t="shared" si="1003"/>
        <v>-3</v>
      </c>
      <c r="AY853" s="10">
        <f t="shared" si="1003"/>
        <v>-3</v>
      </c>
      <c r="AZ853" s="10">
        <f t="shared" si="1003"/>
        <v>-3</v>
      </c>
      <c r="BA853" s="10">
        <f t="shared" si="1003"/>
        <v>-3</v>
      </c>
      <c r="BB853" s="10">
        <f t="shared" si="1003"/>
        <v>-3</v>
      </c>
      <c r="BC853" s="10">
        <f t="shared" si="1003"/>
        <v>-3</v>
      </c>
      <c r="BD853" s="10">
        <f t="shared" si="1003"/>
        <v>-3</v>
      </c>
      <c r="BE853" s="10">
        <f t="shared" si="1003"/>
        <v>-3</v>
      </c>
      <c r="BF853" s="10">
        <f t="shared" si="1003"/>
        <v>-3</v>
      </c>
      <c r="BG853" s="10">
        <f t="shared" si="1003"/>
        <v>-3</v>
      </c>
      <c r="BH853" s="10">
        <f t="shared" si="1003"/>
        <v>-3</v>
      </c>
      <c r="BI853" s="10">
        <f t="shared" si="1003"/>
        <v>-3</v>
      </c>
      <c r="BJ853" s="10">
        <f t="shared" si="1003"/>
        <v>-3</v>
      </c>
      <c r="BK853" s="67"/>
      <c r="BL853" s="10">
        <f t="shared" si="997"/>
        <v>0</v>
      </c>
      <c r="BM853" s="10">
        <f t="shared" si="997"/>
        <v>-36</v>
      </c>
      <c r="BN853" s="10">
        <f t="shared" si="997"/>
        <v>-36</v>
      </c>
      <c r="BO853" s="10">
        <f t="shared" si="997"/>
        <v>-36</v>
      </c>
      <c r="BP853" s="13">
        <f t="shared" si="998"/>
        <v>0</v>
      </c>
      <c r="BQ853" s="13">
        <f t="shared" si="1002"/>
        <v>0</v>
      </c>
      <c r="BR853" s="13">
        <f t="shared" si="1002"/>
        <v>0</v>
      </c>
      <c r="BS853" s="13">
        <f t="shared" si="1002"/>
        <v>0</v>
      </c>
      <c r="BT853" s="13">
        <f t="shared" si="1002"/>
        <v>0</v>
      </c>
      <c r="BU853" s="13">
        <f t="shared" si="1002"/>
        <v>0</v>
      </c>
      <c r="BV853" s="13">
        <f t="shared" si="1002"/>
        <v>0</v>
      </c>
      <c r="BW853" s="13">
        <f t="shared" si="1002"/>
        <v>0</v>
      </c>
      <c r="BY853" s="12"/>
      <c r="CA853" s="12"/>
      <c r="CJ853" s="162"/>
      <c r="CR853" s="12"/>
      <c r="EX853" s="13" t="str">
        <f t="shared" ca="1" si="1000"/>
        <v>Interest Payment Loan 3</v>
      </c>
    </row>
    <row r="854" spans="1:154" x14ac:dyDescent="0.25">
      <c r="A854" s="67"/>
      <c r="B854" s="84" t="str" cm="1">
        <f t="array" aca="1" ref="B854" ca="1">HYPERLINK(CONCATENATE("#",CELL("address",$D$104)),$D$104)</f>
        <v>Loan 4</v>
      </c>
      <c r="C854" s="340" t="s">
        <v>1612</v>
      </c>
      <c r="D854" s="60" t="str">
        <f>D$16</f>
        <v>NatWest</v>
      </c>
      <c r="E854" s="221" t="str">
        <f>E$16</f>
        <v xml:space="preserve">Commercial </v>
      </c>
      <c r="F854" s="10">
        <f>P$16</f>
        <v>0</v>
      </c>
      <c r="G854" s="9"/>
      <c r="H854" s="50" t="s">
        <v>125</v>
      </c>
      <c r="S854" s="335"/>
      <c r="T854" s="335"/>
      <c r="U854" s="335"/>
      <c r="V854" s="201">
        <f t="shared" si="995"/>
        <v>0</v>
      </c>
      <c r="W854" s="10">
        <f t="shared" si="995"/>
        <v>-36</v>
      </c>
      <c r="X854" s="10">
        <f t="shared" si="995"/>
        <v>-36</v>
      </c>
      <c r="Y854" s="10">
        <f t="shared" si="995"/>
        <v>-36</v>
      </c>
      <c r="Z854" s="67"/>
      <c r="AA854" s="10">
        <f t="shared" ref="AA854:BJ854" si="1004">IF($F854=1, AA781, AA572)</f>
        <v>-9</v>
      </c>
      <c r="AB854" s="10">
        <f t="shared" si="1004"/>
        <v>0</v>
      </c>
      <c r="AC854" s="10">
        <f t="shared" si="1004"/>
        <v>0</v>
      </c>
      <c r="AD854" s="10">
        <f t="shared" si="1004"/>
        <v>-9</v>
      </c>
      <c r="AE854" s="10">
        <f t="shared" si="1004"/>
        <v>0</v>
      </c>
      <c r="AF854" s="10">
        <f t="shared" si="1004"/>
        <v>0</v>
      </c>
      <c r="AG854" s="10">
        <f t="shared" si="1004"/>
        <v>-9</v>
      </c>
      <c r="AH854" s="10">
        <f t="shared" si="1004"/>
        <v>0</v>
      </c>
      <c r="AI854" s="10">
        <f t="shared" si="1004"/>
        <v>0</v>
      </c>
      <c r="AJ854" s="10">
        <f t="shared" si="1004"/>
        <v>-9</v>
      </c>
      <c r="AK854" s="10">
        <f t="shared" si="1004"/>
        <v>0</v>
      </c>
      <c r="AL854" s="10">
        <f t="shared" si="1004"/>
        <v>0</v>
      </c>
      <c r="AM854" s="10">
        <f t="shared" si="1004"/>
        <v>-9</v>
      </c>
      <c r="AN854" s="10">
        <f t="shared" si="1004"/>
        <v>0</v>
      </c>
      <c r="AO854" s="10">
        <f t="shared" si="1004"/>
        <v>0</v>
      </c>
      <c r="AP854" s="10">
        <f t="shared" si="1004"/>
        <v>-9</v>
      </c>
      <c r="AQ854" s="10">
        <f t="shared" si="1004"/>
        <v>0</v>
      </c>
      <c r="AR854" s="10">
        <f t="shared" si="1004"/>
        <v>0</v>
      </c>
      <c r="AS854" s="10">
        <f t="shared" si="1004"/>
        <v>-9</v>
      </c>
      <c r="AT854" s="10">
        <f t="shared" si="1004"/>
        <v>0</v>
      </c>
      <c r="AU854" s="10">
        <f t="shared" si="1004"/>
        <v>0</v>
      </c>
      <c r="AV854" s="10">
        <f t="shared" si="1004"/>
        <v>-9</v>
      </c>
      <c r="AW854" s="10">
        <f t="shared" si="1004"/>
        <v>0</v>
      </c>
      <c r="AX854" s="10">
        <f t="shared" si="1004"/>
        <v>0</v>
      </c>
      <c r="AY854" s="10">
        <f t="shared" si="1004"/>
        <v>-9</v>
      </c>
      <c r="AZ854" s="10">
        <f t="shared" si="1004"/>
        <v>0</v>
      </c>
      <c r="BA854" s="10">
        <f t="shared" si="1004"/>
        <v>0</v>
      </c>
      <c r="BB854" s="10">
        <f t="shared" si="1004"/>
        <v>-9</v>
      </c>
      <c r="BC854" s="10">
        <f t="shared" si="1004"/>
        <v>0</v>
      </c>
      <c r="BD854" s="10">
        <f t="shared" si="1004"/>
        <v>0</v>
      </c>
      <c r="BE854" s="10">
        <f t="shared" si="1004"/>
        <v>-9</v>
      </c>
      <c r="BF854" s="10">
        <f t="shared" si="1004"/>
        <v>0</v>
      </c>
      <c r="BG854" s="10">
        <f t="shared" si="1004"/>
        <v>0</v>
      </c>
      <c r="BH854" s="10">
        <f t="shared" si="1004"/>
        <v>-9</v>
      </c>
      <c r="BI854" s="10">
        <f t="shared" si="1004"/>
        <v>0</v>
      </c>
      <c r="BJ854" s="10">
        <f t="shared" si="1004"/>
        <v>0</v>
      </c>
      <c r="BK854" s="67"/>
      <c r="BL854" s="10">
        <f t="shared" si="997"/>
        <v>0</v>
      </c>
      <c r="BM854" s="10">
        <f t="shared" si="997"/>
        <v>-36</v>
      </c>
      <c r="BN854" s="10">
        <f t="shared" si="997"/>
        <v>-36</v>
      </c>
      <c r="BO854" s="10">
        <f t="shared" si="997"/>
        <v>-36</v>
      </c>
      <c r="BP854" s="13">
        <f t="shared" si="998"/>
        <v>0</v>
      </c>
      <c r="BQ854" s="13">
        <f t="shared" si="1002"/>
        <v>0</v>
      </c>
      <c r="BR854" s="13">
        <f t="shared" si="1002"/>
        <v>0</v>
      </c>
      <c r="BS854" s="13">
        <f t="shared" si="1002"/>
        <v>0</v>
      </c>
      <c r="BT854" s="13">
        <f t="shared" si="1002"/>
        <v>0</v>
      </c>
      <c r="BU854" s="13">
        <f t="shared" si="1002"/>
        <v>0</v>
      </c>
      <c r="BV854" s="13">
        <f t="shared" si="1002"/>
        <v>0</v>
      </c>
      <c r="BW854" s="13">
        <f t="shared" si="1002"/>
        <v>0</v>
      </c>
      <c r="BY854" s="12"/>
      <c r="CA854" s="12"/>
      <c r="CJ854" s="162"/>
      <c r="CR854" s="12"/>
      <c r="EX854" s="13" t="str">
        <f t="shared" ca="1" si="1000"/>
        <v>Interest Payment Loan 4</v>
      </c>
    </row>
    <row r="855" spans="1:154" x14ac:dyDescent="0.25">
      <c r="A855" s="67"/>
      <c r="B855" s="84" t="str" cm="1">
        <f t="array" aca="1" ref="B855" ca="1">HYPERLINK(CONCATENATE("#",CELL("address",$D$123)),$D$123)</f>
        <v>Loan 5</v>
      </c>
      <c r="C855" s="340" t="s">
        <v>1613</v>
      </c>
      <c r="D855" s="60" t="str">
        <f>D$17</f>
        <v>NatWest</v>
      </c>
      <c r="E855" s="221" t="str">
        <f>E$17</f>
        <v xml:space="preserve">Commercial </v>
      </c>
      <c r="F855" s="10">
        <f>P$17</f>
        <v>0</v>
      </c>
      <c r="G855" s="9"/>
      <c r="H855" s="50" t="s">
        <v>125</v>
      </c>
      <c r="S855" s="335"/>
      <c r="T855" s="335"/>
      <c r="U855" s="335"/>
      <c r="V855" s="201">
        <f t="shared" si="995"/>
        <v>0</v>
      </c>
      <c r="W855" s="10">
        <f t="shared" si="995"/>
        <v>-36</v>
      </c>
      <c r="X855" s="10">
        <f t="shared" si="995"/>
        <v>-36</v>
      </c>
      <c r="Y855" s="10">
        <f t="shared" si="995"/>
        <v>-36</v>
      </c>
      <c r="Z855" s="67"/>
      <c r="AA855" s="10">
        <f t="shared" ref="AA855:BJ855" si="1005">IF($F855=1, AA782, AA573)</f>
        <v>-9</v>
      </c>
      <c r="AB855" s="10">
        <f t="shared" si="1005"/>
        <v>0</v>
      </c>
      <c r="AC855" s="10">
        <f t="shared" si="1005"/>
        <v>0</v>
      </c>
      <c r="AD855" s="10">
        <f t="shared" si="1005"/>
        <v>-9</v>
      </c>
      <c r="AE855" s="10">
        <f t="shared" si="1005"/>
        <v>0</v>
      </c>
      <c r="AF855" s="10">
        <f t="shared" si="1005"/>
        <v>0</v>
      </c>
      <c r="AG855" s="10">
        <f t="shared" si="1005"/>
        <v>-9</v>
      </c>
      <c r="AH855" s="10">
        <f t="shared" si="1005"/>
        <v>0</v>
      </c>
      <c r="AI855" s="10">
        <f t="shared" si="1005"/>
        <v>0</v>
      </c>
      <c r="AJ855" s="10">
        <f t="shared" si="1005"/>
        <v>-9</v>
      </c>
      <c r="AK855" s="10">
        <f t="shared" si="1005"/>
        <v>0</v>
      </c>
      <c r="AL855" s="10">
        <f t="shared" si="1005"/>
        <v>0</v>
      </c>
      <c r="AM855" s="10">
        <f t="shared" si="1005"/>
        <v>-9</v>
      </c>
      <c r="AN855" s="10">
        <f t="shared" si="1005"/>
        <v>0</v>
      </c>
      <c r="AO855" s="10">
        <f t="shared" si="1005"/>
        <v>0</v>
      </c>
      <c r="AP855" s="10">
        <f t="shared" si="1005"/>
        <v>-9</v>
      </c>
      <c r="AQ855" s="10">
        <f t="shared" si="1005"/>
        <v>0</v>
      </c>
      <c r="AR855" s="10">
        <f t="shared" si="1005"/>
        <v>0</v>
      </c>
      <c r="AS855" s="10">
        <f t="shared" si="1005"/>
        <v>-9</v>
      </c>
      <c r="AT855" s="10">
        <f t="shared" si="1005"/>
        <v>0</v>
      </c>
      <c r="AU855" s="10">
        <f t="shared" si="1005"/>
        <v>0</v>
      </c>
      <c r="AV855" s="10">
        <f t="shared" si="1005"/>
        <v>-9</v>
      </c>
      <c r="AW855" s="10">
        <f t="shared" si="1005"/>
        <v>0</v>
      </c>
      <c r="AX855" s="10">
        <f t="shared" si="1005"/>
        <v>0</v>
      </c>
      <c r="AY855" s="10">
        <f t="shared" si="1005"/>
        <v>-9</v>
      </c>
      <c r="AZ855" s="10">
        <f t="shared" si="1005"/>
        <v>0</v>
      </c>
      <c r="BA855" s="10">
        <f t="shared" si="1005"/>
        <v>0</v>
      </c>
      <c r="BB855" s="10">
        <f t="shared" si="1005"/>
        <v>-9</v>
      </c>
      <c r="BC855" s="10">
        <f t="shared" si="1005"/>
        <v>0</v>
      </c>
      <c r="BD855" s="10">
        <f t="shared" si="1005"/>
        <v>0</v>
      </c>
      <c r="BE855" s="10">
        <f t="shared" si="1005"/>
        <v>-9</v>
      </c>
      <c r="BF855" s="10">
        <f t="shared" si="1005"/>
        <v>0</v>
      </c>
      <c r="BG855" s="10">
        <f t="shared" si="1005"/>
        <v>0</v>
      </c>
      <c r="BH855" s="10">
        <f t="shared" si="1005"/>
        <v>-9</v>
      </c>
      <c r="BI855" s="10">
        <f t="shared" si="1005"/>
        <v>0</v>
      </c>
      <c r="BJ855" s="10">
        <f t="shared" si="1005"/>
        <v>0</v>
      </c>
      <c r="BK855" s="67"/>
      <c r="BL855" s="10">
        <f t="shared" si="997"/>
        <v>0</v>
      </c>
      <c r="BM855" s="10">
        <f t="shared" si="997"/>
        <v>-36</v>
      </c>
      <c r="BN855" s="10">
        <f t="shared" si="997"/>
        <v>-36</v>
      </c>
      <c r="BO855" s="10">
        <f t="shared" si="997"/>
        <v>-36</v>
      </c>
      <c r="BP855" s="13">
        <f t="shared" si="998"/>
        <v>0</v>
      </c>
      <c r="BQ855" s="13">
        <f t="shared" si="1002"/>
        <v>0</v>
      </c>
      <c r="BR855" s="13">
        <f t="shared" si="1002"/>
        <v>0</v>
      </c>
      <c r="BS855" s="13">
        <f t="shared" si="1002"/>
        <v>0</v>
      </c>
      <c r="BT855" s="13">
        <f t="shared" si="1002"/>
        <v>0</v>
      </c>
      <c r="BU855" s="13">
        <f t="shared" si="1002"/>
        <v>0</v>
      </c>
      <c r="BV855" s="13">
        <f t="shared" si="1002"/>
        <v>0</v>
      </c>
      <c r="BW855" s="13">
        <f t="shared" si="1002"/>
        <v>0</v>
      </c>
      <c r="BY855" s="12"/>
      <c r="CA855" s="12"/>
      <c r="CJ855" s="162"/>
      <c r="CR855" s="12"/>
      <c r="EX855" s="13" t="str">
        <f t="shared" ca="1" si="1000"/>
        <v>Interest Payment Loan 5</v>
      </c>
    </row>
    <row r="856" spans="1:154" x14ac:dyDescent="0.25">
      <c r="A856" s="67"/>
      <c r="B856" s="84" t="str" cm="1">
        <f t="array" aca="1" ref="B856" ca="1">HYPERLINK(CONCATENATE("#",CELL("address",$D$142)),$D$142)</f>
        <v>Loan 6</v>
      </c>
      <c r="C856" s="340" t="s">
        <v>1614</v>
      </c>
      <c r="D856" s="60">
        <f>D$18</f>
        <v>0</v>
      </c>
      <c r="E856" s="221">
        <f>E$18</f>
        <v>0</v>
      </c>
      <c r="F856" s="10">
        <f>P$18</f>
        <v>0</v>
      </c>
      <c r="G856" s="9"/>
      <c r="H856" s="50" t="s">
        <v>125</v>
      </c>
      <c r="S856" s="335"/>
      <c r="T856" s="335"/>
      <c r="U856" s="335"/>
      <c r="V856" s="201">
        <f t="shared" si="995"/>
        <v>0</v>
      </c>
      <c r="W856" s="10">
        <f t="shared" si="995"/>
        <v>0</v>
      </c>
      <c r="X856" s="10">
        <f t="shared" si="995"/>
        <v>0</v>
      </c>
      <c r="Y856" s="10">
        <f t="shared" si="995"/>
        <v>0</v>
      </c>
      <c r="Z856" s="67"/>
      <c r="AA856" s="10">
        <f t="shared" ref="AA856:BJ856" si="1006">IF($F856=1, AA783, AA574)</f>
        <v>0</v>
      </c>
      <c r="AB856" s="10">
        <f t="shared" si="1006"/>
        <v>0</v>
      </c>
      <c r="AC856" s="10">
        <f t="shared" si="1006"/>
        <v>0</v>
      </c>
      <c r="AD856" s="10">
        <f t="shared" si="1006"/>
        <v>0</v>
      </c>
      <c r="AE856" s="10">
        <f t="shared" si="1006"/>
        <v>0</v>
      </c>
      <c r="AF856" s="10">
        <f t="shared" si="1006"/>
        <v>0</v>
      </c>
      <c r="AG856" s="10">
        <f t="shared" si="1006"/>
        <v>0</v>
      </c>
      <c r="AH856" s="10">
        <f t="shared" si="1006"/>
        <v>0</v>
      </c>
      <c r="AI856" s="10">
        <f t="shared" si="1006"/>
        <v>0</v>
      </c>
      <c r="AJ856" s="10">
        <f t="shared" si="1006"/>
        <v>0</v>
      </c>
      <c r="AK856" s="10">
        <f t="shared" si="1006"/>
        <v>0</v>
      </c>
      <c r="AL856" s="10">
        <f t="shared" si="1006"/>
        <v>0</v>
      </c>
      <c r="AM856" s="10">
        <f t="shared" si="1006"/>
        <v>0</v>
      </c>
      <c r="AN856" s="10">
        <f t="shared" si="1006"/>
        <v>0</v>
      </c>
      <c r="AO856" s="10">
        <f t="shared" si="1006"/>
        <v>0</v>
      </c>
      <c r="AP856" s="10">
        <f t="shared" si="1006"/>
        <v>0</v>
      </c>
      <c r="AQ856" s="10">
        <f t="shared" si="1006"/>
        <v>0</v>
      </c>
      <c r="AR856" s="10">
        <f t="shared" si="1006"/>
        <v>0</v>
      </c>
      <c r="AS856" s="10">
        <f t="shared" si="1006"/>
        <v>0</v>
      </c>
      <c r="AT856" s="10">
        <f t="shared" si="1006"/>
        <v>0</v>
      </c>
      <c r="AU856" s="10">
        <f t="shared" si="1006"/>
        <v>0</v>
      </c>
      <c r="AV856" s="10">
        <f t="shared" si="1006"/>
        <v>0</v>
      </c>
      <c r="AW856" s="10">
        <f t="shared" si="1006"/>
        <v>0</v>
      </c>
      <c r="AX856" s="10">
        <f t="shared" si="1006"/>
        <v>0</v>
      </c>
      <c r="AY856" s="10">
        <f t="shared" si="1006"/>
        <v>0</v>
      </c>
      <c r="AZ856" s="10">
        <f t="shared" si="1006"/>
        <v>0</v>
      </c>
      <c r="BA856" s="10">
        <f t="shared" si="1006"/>
        <v>0</v>
      </c>
      <c r="BB856" s="10">
        <f t="shared" si="1006"/>
        <v>0</v>
      </c>
      <c r="BC856" s="10">
        <f t="shared" si="1006"/>
        <v>0</v>
      </c>
      <c r="BD856" s="10">
        <f t="shared" si="1006"/>
        <v>0</v>
      </c>
      <c r="BE856" s="10">
        <f t="shared" si="1006"/>
        <v>0</v>
      </c>
      <c r="BF856" s="10">
        <f t="shared" si="1006"/>
        <v>0</v>
      </c>
      <c r="BG856" s="10">
        <f t="shared" si="1006"/>
        <v>0</v>
      </c>
      <c r="BH856" s="10">
        <f t="shared" si="1006"/>
        <v>0</v>
      </c>
      <c r="BI856" s="10">
        <f t="shared" si="1006"/>
        <v>0</v>
      </c>
      <c r="BJ856" s="10">
        <f t="shared" si="1006"/>
        <v>0</v>
      </c>
      <c r="BK856" s="67"/>
      <c r="BL856" s="10">
        <f t="shared" si="997"/>
        <v>0</v>
      </c>
      <c r="BM856" s="10">
        <f t="shared" si="997"/>
        <v>0</v>
      </c>
      <c r="BN856" s="10">
        <f t="shared" si="997"/>
        <v>0</v>
      </c>
      <c r="BO856" s="10">
        <f t="shared" si="997"/>
        <v>0</v>
      </c>
      <c r="BP856" s="13">
        <f t="shared" si="998"/>
        <v>0</v>
      </c>
      <c r="BQ856" s="13">
        <f t="shared" si="1002"/>
        <v>0</v>
      </c>
      <c r="BR856" s="13">
        <f t="shared" si="1002"/>
        <v>0</v>
      </c>
      <c r="BS856" s="13">
        <f t="shared" si="1002"/>
        <v>0</v>
      </c>
      <c r="BT856" s="13">
        <f t="shared" si="1002"/>
        <v>0</v>
      </c>
      <c r="BU856" s="13">
        <f t="shared" si="1002"/>
        <v>0</v>
      </c>
      <c r="BV856" s="13">
        <f t="shared" si="1002"/>
        <v>0</v>
      </c>
      <c r="BW856" s="13">
        <f t="shared" si="1002"/>
        <v>0</v>
      </c>
      <c r="BY856" s="12"/>
      <c r="CA856" s="12"/>
      <c r="CJ856" s="162"/>
      <c r="CR856" s="12"/>
      <c r="EX856" s="13" t="str">
        <f t="shared" ca="1" si="1000"/>
        <v>Interest Payment Loan 6</v>
      </c>
    </row>
    <row r="857" spans="1:154" x14ac:dyDescent="0.25">
      <c r="A857" s="67"/>
      <c r="B857" s="84" t="str" cm="1">
        <f t="array" aca="1" ref="B857" ca="1">HYPERLINK(CONCATENATE("#",CELL("address",$D$161)),$D$161)</f>
        <v>Loan 7</v>
      </c>
      <c r="C857" s="340" t="s">
        <v>1615</v>
      </c>
      <c r="D857" s="60">
        <f>D$19</f>
        <v>0</v>
      </c>
      <c r="E857" s="221">
        <f>E$19</f>
        <v>0</v>
      </c>
      <c r="F857" s="10">
        <f>P$19</f>
        <v>0</v>
      </c>
      <c r="G857" s="9"/>
      <c r="H857" s="50" t="s">
        <v>125</v>
      </c>
      <c r="S857" s="335"/>
      <c r="T857" s="335"/>
      <c r="U857" s="335"/>
      <c r="V857" s="201">
        <f t="shared" si="995"/>
        <v>0</v>
      </c>
      <c r="W857" s="10">
        <f t="shared" si="995"/>
        <v>0</v>
      </c>
      <c r="X857" s="10">
        <f t="shared" si="995"/>
        <v>0</v>
      </c>
      <c r="Y857" s="10">
        <f t="shared" si="995"/>
        <v>0</v>
      </c>
      <c r="Z857" s="67"/>
      <c r="AA857" s="10">
        <f t="shared" ref="AA857:BJ857" si="1007">IF($F857=1, AA784, AA575)</f>
        <v>0</v>
      </c>
      <c r="AB857" s="10">
        <f t="shared" si="1007"/>
        <v>0</v>
      </c>
      <c r="AC857" s="10">
        <f t="shared" si="1007"/>
        <v>0</v>
      </c>
      <c r="AD857" s="10">
        <f t="shared" si="1007"/>
        <v>0</v>
      </c>
      <c r="AE857" s="10">
        <f t="shared" si="1007"/>
        <v>0</v>
      </c>
      <c r="AF857" s="10">
        <f t="shared" si="1007"/>
        <v>0</v>
      </c>
      <c r="AG857" s="10">
        <f t="shared" si="1007"/>
        <v>0</v>
      </c>
      <c r="AH857" s="10">
        <f t="shared" si="1007"/>
        <v>0</v>
      </c>
      <c r="AI857" s="10">
        <f t="shared" si="1007"/>
        <v>0</v>
      </c>
      <c r="AJ857" s="10">
        <f t="shared" si="1007"/>
        <v>0</v>
      </c>
      <c r="AK857" s="10">
        <f t="shared" si="1007"/>
        <v>0</v>
      </c>
      <c r="AL857" s="10">
        <f t="shared" si="1007"/>
        <v>0</v>
      </c>
      <c r="AM857" s="10">
        <f t="shared" si="1007"/>
        <v>0</v>
      </c>
      <c r="AN857" s="10">
        <f t="shared" si="1007"/>
        <v>0</v>
      </c>
      <c r="AO857" s="10">
        <f t="shared" si="1007"/>
        <v>0</v>
      </c>
      <c r="AP857" s="10">
        <f t="shared" si="1007"/>
        <v>0</v>
      </c>
      <c r="AQ857" s="10">
        <f t="shared" si="1007"/>
        <v>0</v>
      </c>
      <c r="AR857" s="10">
        <f t="shared" si="1007"/>
        <v>0</v>
      </c>
      <c r="AS857" s="10">
        <f t="shared" si="1007"/>
        <v>0</v>
      </c>
      <c r="AT857" s="10">
        <f t="shared" si="1007"/>
        <v>0</v>
      </c>
      <c r="AU857" s="10">
        <f t="shared" si="1007"/>
        <v>0</v>
      </c>
      <c r="AV857" s="10">
        <f t="shared" si="1007"/>
        <v>0</v>
      </c>
      <c r="AW857" s="10">
        <f t="shared" si="1007"/>
        <v>0</v>
      </c>
      <c r="AX857" s="10">
        <f t="shared" si="1007"/>
        <v>0</v>
      </c>
      <c r="AY857" s="10">
        <f t="shared" si="1007"/>
        <v>0</v>
      </c>
      <c r="AZ857" s="10">
        <f t="shared" si="1007"/>
        <v>0</v>
      </c>
      <c r="BA857" s="10">
        <f t="shared" si="1007"/>
        <v>0</v>
      </c>
      <c r="BB857" s="10">
        <f t="shared" si="1007"/>
        <v>0</v>
      </c>
      <c r="BC857" s="10">
        <f t="shared" si="1007"/>
        <v>0</v>
      </c>
      <c r="BD857" s="10">
        <f t="shared" si="1007"/>
        <v>0</v>
      </c>
      <c r="BE857" s="10">
        <f t="shared" si="1007"/>
        <v>0</v>
      </c>
      <c r="BF857" s="10">
        <f t="shared" si="1007"/>
        <v>0</v>
      </c>
      <c r="BG857" s="10">
        <f t="shared" si="1007"/>
        <v>0</v>
      </c>
      <c r="BH857" s="10">
        <f t="shared" si="1007"/>
        <v>0</v>
      </c>
      <c r="BI857" s="10">
        <f t="shared" si="1007"/>
        <v>0</v>
      </c>
      <c r="BJ857" s="10">
        <f t="shared" si="1007"/>
        <v>0</v>
      </c>
      <c r="BK857" s="67"/>
      <c r="BL857" s="10">
        <f t="shared" si="997"/>
        <v>0</v>
      </c>
      <c r="BM857" s="10">
        <f t="shared" si="997"/>
        <v>0</v>
      </c>
      <c r="BN857" s="10">
        <f t="shared" si="997"/>
        <v>0</v>
      </c>
      <c r="BO857" s="10">
        <f t="shared" si="997"/>
        <v>0</v>
      </c>
      <c r="BP857" s="13">
        <f t="shared" si="998"/>
        <v>0</v>
      </c>
      <c r="BQ857" s="13">
        <f t="shared" si="1002"/>
        <v>0</v>
      </c>
      <c r="BR857" s="13">
        <f t="shared" si="1002"/>
        <v>0</v>
      </c>
      <c r="BS857" s="13">
        <f t="shared" si="1002"/>
        <v>0</v>
      </c>
      <c r="BT857" s="13">
        <f t="shared" si="1002"/>
        <v>0</v>
      </c>
      <c r="BU857" s="13">
        <f t="shared" si="1002"/>
        <v>0</v>
      </c>
      <c r="BV857" s="13">
        <f t="shared" si="1002"/>
        <v>0</v>
      </c>
      <c r="BW857" s="13">
        <f t="shared" si="1002"/>
        <v>0</v>
      </c>
      <c r="BY857" s="12"/>
      <c r="CA857" s="12"/>
      <c r="CJ857" s="162"/>
      <c r="CR857" s="12"/>
      <c r="EX857" s="13" t="str">
        <f t="shared" ca="1" si="1000"/>
        <v>Interest Payment Loan 7</v>
      </c>
    </row>
    <row r="858" spans="1:154" x14ac:dyDescent="0.25">
      <c r="A858" s="67"/>
      <c r="B858" s="84" t="str" cm="1">
        <f t="array" aca="1" ref="B858" ca="1">HYPERLINK(CONCATENATE("#",CELL("address",$D$180)),$D$180)</f>
        <v>Loan 8</v>
      </c>
      <c r="C858" s="340" t="s">
        <v>1616</v>
      </c>
      <c r="D858" s="60">
        <f>D$20</f>
        <v>0</v>
      </c>
      <c r="E858" s="221">
        <f>E$20</f>
        <v>0</v>
      </c>
      <c r="F858" s="10">
        <f>P$20</f>
        <v>0</v>
      </c>
      <c r="G858" s="9"/>
      <c r="H858" s="50" t="s">
        <v>125</v>
      </c>
      <c r="S858" s="335"/>
      <c r="T858" s="335"/>
      <c r="U858" s="335"/>
      <c r="V858" s="201">
        <f t="shared" si="995"/>
        <v>0</v>
      </c>
      <c r="W858" s="10">
        <f t="shared" si="995"/>
        <v>0</v>
      </c>
      <c r="X858" s="10">
        <f t="shared" si="995"/>
        <v>0</v>
      </c>
      <c r="Y858" s="10">
        <f t="shared" si="995"/>
        <v>0</v>
      </c>
      <c r="Z858" s="67"/>
      <c r="AA858" s="10">
        <f t="shared" ref="AA858:BJ858" si="1008">IF($F858=1, AA785, AA576)</f>
        <v>0</v>
      </c>
      <c r="AB858" s="10">
        <f t="shared" si="1008"/>
        <v>0</v>
      </c>
      <c r="AC858" s="10">
        <f t="shared" si="1008"/>
        <v>0</v>
      </c>
      <c r="AD858" s="10">
        <f t="shared" si="1008"/>
        <v>0</v>
      </c>
      <c r="AE858" s="10">
        <f t="shared" si="1008"/>
        <v>0</v>
      </c>
      <c r="AF858" s="10">
        <f t="shared" si="1008"/>
        <v>0</v>
      </c>
      <c r="AG858" s="10">
        <f t="shared" si="1008"/>
        <v>0</v>
      </c>
      <c r="AH858" s="10">
        <f t="shared" si="1008"/>
        <v>0</v>
      </c>
      <c r="AI858" s="10">
        <f t="shared" si="1008"/>
        <v>0</v>
      </c>
      <c r="AJ858" s="10">
        <f t="shared" si="1008"/>
        <v>0</v>
      </c>
      <c r="AK858" s="10">
        <f t="shared" si="1008"/>
        <v>0</v>
      </c>
      <c r="AL858" s="10">
        <f t="shared" si="1008"/>
        <v>0</v>
      </c>
      <c r="AM858" s="10">
        <f t="shared" si="1008"/>
        <v>0</v>
      </c>
      <c r="AN858" s="10">
        <f t="shared" si="1008"/>
        <v>0</v>
      </c>
      <c r="AO858" s="10">
        <f t="shared" si="1008"/>
        <v>0</v>
      </c>
      <c r="AP858" s="10">
        <f t="shared" si="1008"/>
        <v>0</v>
      </c>
      <c r="AQ858" s="10">
        <f t="shared" si="1008"/>
        <v>0</v>
      </c>
      <c r="AR858" s="10">
        <f t="shared" si="1008"/>
        <v>0</v>
      </c>
      <c r="AS858" s="10">
        <f t="shared" si="1008"/>
        <v>0</v>
      </c>
      <c r="AT858" s="10">
        <f t="shared" si="1008"/>
        <v>0</v>
      </c>
      <c r="AU858" s="10">
        <f t="shared" si="1008"/>
        <v>0</v>
      </c>
      <c r="AV858" s="10">
        <f t="shared" si="1008"/>
        <v>0</v>
      </c>
      <c r="AW858" s="10">
        <f t="shared" si="1008"/>
        <v>0</v>
      </c>
      <c r="AX858" s="10">
        <f t="shared" si="1008"/>
        <v>0</v>
      </c>
      <c r="AY858" s="10">
        <f t="shared" si="1008"/>
        <v>0</v>
      </c>
      <c r="AZ858" s="10">
        <f t="shared" si="1008"/>
        <v>0</v>
      </c>
      <c r="BA858" s="10">
        <f t="shared" si="1008"/>
        <v>0</v>
      </c>
      <c r="BB858" s="10">
        <f t="shared" si="1008"/>
        <v>0</v>
      </c>
      <c r="BC858" s="10">
        <f t="shared" si="1008"/>
        <v>0</v>
      </c>
      <c r="BD858" s="10">
        <f t="shared" si="1008"/>
        <v>0</v>
      </c>
      <c r="BE858" s="10">
        <f t="shared" si="1008"/>
        <v>0</v>
      </c>
      <c r="BF858" s="10">
        <f t="shared" si="1008"/>
        <v>0</v>
      </c>
      <c r="BG858" s="10">
        <f t="shared" si="1008"/>
        <v>0</v>
      </c>
      <c r="BH858" s="10">
        <f t="shared" si="1008"/>
        <v>0</v>
      </c>
      <c r="BI858" s="10">
        <f t="shared" si="1008"/>
        <v>0</v>
      </c>
      <c r="BJ858" s="10">
        <f t="shared" si="1008"/>
        <v>0</v>
      </c>
      <c r="BK858" s="67"/>
      <c r="BL858" s="10">
        <f t="shared" si="997"/>
        <v>0</v>
      </c>
      <c r="BM858" s="10">
        <f t="shared" si="997"/>
        <v>0</v>
      </c>
      <c r="BN858" s="10">
        <f t="shared" si="997"/>
        <v>0</v>
      </c>
      <c r="BO858" s="10">
        <f t="shared" si="997"/>
        <v>0</v>
      </c>
      <c r="BP858" s="13">
        <f t="shared" si="998"/>
        <v>0</v>
      </c>
      <c r="BQ858" s="13">
        <f t="shared" si="1002"/>
        <v>0</v>
      </c>
      <c r="BR858" s="13">
        <f t="shared" si="1002"/>
        <v>0</v>
      </c>
      <c r="BS858" s="13">
        <f t="shared" si="1002"/>
        <v>0</v>
      </c>
      <c r="BT858" s="13">
        <f t="shared" si="1002"/>
        <v>0</v>
      </c>
      <c r="BU858" s="13">
        <f t="shared" si="1002"/>
        <v>0</v>
      </c>
      <c r="BV858" s="13">
        <f t="shared" si="1002"/>
        <v>0</v>
      </c>
      <c r="BW858" s="13">
        <f t="shared" si="1002"/>
        <v>0</v>
      </c>
      <c r="BY858" s="12"/>
      <c r="CA858" s="12"/>
      <c r="CJ858" s="162"/>
      <c r="CR858" s="12"/>
      <c r="EX858" s="13" t="str">
        <f t="shared" ca="1" si="1000"/>
        <v>Interest Payment Loan 8</v>
      </c>
    </row>
    <row r="859" spans="1:154" x14ac:dyDescent="0.25">
      <c r="A859" s="67"/>
      <c r="B859" s="84" t="str" cm="1">
        <f t="array" aca="1" ref="B859" ca="1">HYPERLINK(CONCATENATE("#",CELL("address",$D$199)),$D$199)</f>
        <v>Loan 9</v>
      </c>
      <c r="C859" s="340" t="s">
        <v>1617</v>
      </c>
      <c r="D859" s="60">
        <f>D$21</f>
        <v>0</v>
      </c>
      <c r="E859" s="221">
        <f>E$21</f>
        <v>0</v>
      </c>
      <c r="F859" s="10">
        <f>P$21</f>
        <v>0</v>
      </c>
      <c r="G859" s="9"/>
      <c r="H859" s="50" t="s">
        <v>125</v>
      </c>
      <c r="S859" s="335"/>
      <c r="T859" s="335"/>
      <c r="U859" s="335"/>
      <c r="V859" s="201">
        <f t="shared" si="995"/>
        <v>0</v>
      </c>
      <c r="W859" s="10">
        <f t="shared" si="995"/>
        <v>0</v>
      </c>
      <c r="X859" s="10">
        <f t="shared" si="995"/>
        <v>0</v>
      </c>
      <c r="Y859" s="10">
        <f t="shared" si="995"/>
        <v>0</v>
      </c>
      <c r="Z859" s="67"/>
      <c r="AA859" s="10">
        <f t="shared" ref="AA859:BJ859" si="1009">IF($F859=1, AA786, AA577)</f>
        <v>0</v>
      </c>
      <c r="AB859" s="10">
        <f t="shared" si="1009"/>
        <v>0</v>
      </c>
      <c r="AC859" s="10">
        <f t="shared" si="1009"/>
        <v>0</v>
      </c>
      <c r="AD859" s="10">
        <f t="shared" si="1009"/>
        <v>0</v>
      </c>
      <c r="AE859" s="10">
        <f t="shared" si="1009"/>
        <v>0</v>
      </c>
      <c r="AF859" s="10">
        <f t="shared" si="1009"/>
        <v>0</v>
      </c>
      <c r="AG859" s="10">
        <f t="shared" si="1009"/>
        <v>0</v>
      </c>
      <c r="AH859" s="10">
        <f t="shared" si="1009"/>
        <v>0</v>
      </c>
      <c r="AI859" s="10">
        <f t="shared" si="1009"/>
        <v>0</v>
      </c>
      <c r="AJ859" s="10">
        <f t="shared" si="1009"/>
        <v>0</v>
      </c>
      <c r="AK859" s="10">
        <f t="shared" si="1009"/>
        <v>0</v>
      </c>
      <c r="AL859" s="10">
        <f t="shared" si="1009"/>
        <v>0</v>
      </c>
      <c r="AM859" s="10">
        <f t="shared" si="1009"/>
        <v>0</v>
      </c>
      <c r="AN859" s="10">
        <f t="shared" si="1009"/>
        <v>0</v>
      </c>
      <c r="AO859" s="10">
        <f t="shared" si="1009"/>
        <v>0</v>
      </c>
      <c r="AP859" s="10">
        <f t="shared" si="1009"/>
        <v>0</v>
      </c>
      <c r="AQ859" s="10">
        <f t="shared" si="1009"/>
        <v>0</v>
      </c>
      <c r="AR859" s="10">
        <f t="shared" si="1009"/>
        <v>0</v>
      </c>
      <c r="AS859" s="10">
        <f t="shared" si="1009"/>
        <v>0</v>
      </c>
      <c r="AT859" s="10">
        <f t="shared" si="1009"/>
        <v>0</v>
      </c>
      <c r="AU859" s="10">
        <f t="shared" si="1009"/>
        <v>0</v>
      </c>
      <c r="AV859" s="10">
        <f t="shared" si="1009"/>
        <v>0</v>
      </c>
      <c r="AW859" s="10">
        <f t="shared" si="1009"/>
        <v>0</v>
      </c>
      <c r="AX859" s="10">
        <f t="shared" si="1009"/>
        <v>0</v>
      </c>
      <c r="AY859" s="10">
        <f t="shared" si="1009"/>
        <v>0</v>
      </c>
      <c r="AZ859" s="10">
        <f t="shared" si="1009"/>
        <v>0</v>
      </c>
      <c r="BA859" s="10">
        <f t="shared" si="1009"/>
        <v>0</v>
      </c>
      <c r="BB859" s="10">
        <f t="shared" si="1009"/>
        <v>0</v>
      </c>
      <c r="BC859" s="10">
        <f t="shared" si="1009"/>
        <v>0</v>
      </c>
      <c r="BD859" s="10">
        <f t="shared" si="1009"/>
        <v>0</v>
      </c>
      <c r="BE859" s="10">
        <f t="shared" si="1009"/>
        <v>0</v>
      </c>
      <c r="BF859" s="10">
        <f t="shared" si="1009"/>
        <v>0</v>
      </c>
      <c r="BG859" s="10">
        <f t="shared" si="1009"/>
        <v>0</v>
      </c>
      <c r="BH859" s="10">
        <f t="shared" si="1009"/>
        <v>0</v>
      </c>
      <c r="BI859" s="10">
        <f t="shared" si="1009"/>
        <v>0</v>
      </c>
      <c r="BJ859" s="10">
        <f t="shared" si="1009"/>
        <v>0</v>
      </c>
      <c r="BK859" s="67"/>
      <c r="BL859" s="10">
        <f t="shared" si="997"/>
        <v>0</v>
      </c>
      <c r="BM859" s="10">
        <f t="shared" si="997"/>
        <v>0</v>
      </c>
      <c r="BN859" s="10">
        <f t="shared" si="997"/>
        <v>0</v>
      </c>
      <c r="BO859" s="10">
        <f t="shared" si="997"/>
        <v>0</v>
      </c>
      <c r="BP859" s="13">
        <f t="shared" si="998"/>
        <v>0</v>
      </c>
      <c r="BQ859" s="13">
        <f t="shared" si="1002"/>
        <v>0</v>
      </c>
      <c r="BR859" s="13">
        <f t="shared" si="1002"/>
        <v>0</v>
      </c>
      <c r="BS859" s="13">
        <f t="shared" si="1002"/>
        <v>0</v>
      </c>
      <c r="BT859" s="13">
        <f t="shared" si="1002"/>
        <v>0</v>
      </c>
      <c r="BU859" s="13">
        <f t="shared" si="1002"/>
        <v>0</v>
      </c>
      <c r="BV859" s="13">
        <f t="shared" si="1002"/>
        <v>0</v>
      </c>
      <c r="BW859" s="13">
        <f t="shared" si="1002"/>
        <v>0</v>
      </c>
      <c r="BY859" s="12"/>
      <c r="CA859" s="12"/>
      <c r="CJ859" s="162"/>
      <c r="CR859" s="12"/>
      <c r="EX859" s="13" t="str">
        <f t="shared" ca="1" si="1000"/>
        <v>Interest Payment Loan 9</v>
      </c>
    </row>
    <row r="860" spans="1:154" x14ac:dyDescent="0.25">
      <c r="A860" s="67"/>
      <c r="B860" s="84" t="str" cm="1">
        <f t="array" aca="1" ref="B860" ca="1">HYPERLINK(CONCATENATE("#",CELL("address",$D$218)),$D$218)</f>
        <v>Loan 10</v>
      </c>
      <c r="C860" s="340" t="s">
        <v>1618</v>
      </c>
      <c r="D860" s="60">
        <f>D$22</f>
        <v>0</v>
      </c>
      <c r="E860" s="221">
        <f>E$22</f>
        <v>0</v>
      </c>
      <c r="F860" s="10">
        <f>P$22</f>
        <v>0</v>
      </c>
      <c r="G860" s="9"/>
      <c r="H860" s="50" t="s">
        <v>125</v>
      </c>
      <c r="S860" s="335"/>
      <c r="T860" s="335"/>
      <c r="U860" s="335"/>
      <c r="V860" s="201">
        <f t="shared" si="995"/>
        <v>0</v>
      </c>
      <c r="W860" s="10">
        <f t="shared" si="995"/>
        <v>0</v>
      </c>
      <c r="X860" s="10">
        <f t="shared" si="995"/>
        <v>0</v>
      </c>
      <c r="Y860" s="10">
        <f t="shared" si="995"/>
        <v>0</v>
      </c>
      <c r="Z860" s="67"/>
      <c r="AA860" s="10">
        <f t="shared" ref="AA860:BJ860" si="1010">IF($F860=1, AA787, AA578)</f>
        <v>0</v>
      </c>
      <c r="AB860" s="10">
        <f t="shared" si="1010"/>
        <v>0</v>
      </c>
      <c r="AC860" s="10">
        <f t="shared" si="1010"/>
        <v>0</v>
      </c>
      <c r="AD860" s="10">
        <f t="shared" si="1010"/>
        <v>0</v>
      </c>
      <c r="AE860" s="10">
        <f t="shared" si="1010"/>
        <v>0</v>
      </c>
      <c r="AF860" s="10">
        <f t="shared" si="1010"/>
        <v>0</v>
      </c>
      <c r="AG860" s="10">
        <f t="shared" si="1010"/>
        <v>0</v>
      </c>
      <c r="AH860" s="10">
        <f t="shared" si="1010"/>
        <v>0</v>
      </c>
      <c r="AI860" s="10">
        <f t="shared" si="1010"/>
        <v>0</v>
      </c>
      <c r="AJ860" s="10">
        <f t="shared" si="1010"/>
        <v>0</v>
      </c>
      <c r="AK860" s="10">
        <f t="shared" si="1010"/>
        <v>0</v>
      </c>
      <c r="AL860" s="10">
        <f t="shared" si="1010"/>
        <v>0</v>
      </c>
      <c r="AM860" s="10">
        <f t="shared" si="1010"/>
        <v>0</v>
      </c>
      <c r="AN860" s="10">
        <f t="shared" si="1010"/>
        <v>0</v>
      </c>
      <c r="AO860" s="10">
        <f t="shared" si="1010"/>
        <v>0</v>
      </c>
      <c r="AP860" s="10">
        <f t="shared" si="1010"/>
        <v>0</v>
      </c>
      <c r="AQ860" s="10">
        <f t="shared" si="1010"/>
        <v>0</v>
      </c>
      <c r="AR860" s="10">
        <f t="shared" si="1010"/>
        <v>0</v>
      </c>
      <c r="AS860" s="10">
        <f t="shared" si="1010"/>
        <v>0</v>
      </c>
      <c r="AT860" s="10">
        <f t="shared" si="1010"/>
        <v>0</v>
      </c>
      <c r="AU860" s="10">
        <f t="shared" si="1010"/>
        <v>0</v>
      </c>
      <c r="AV860" s="10">
        <f t="shared" si="1010"/>
        <v>0</v>
      </c>
      <c r="AW860" s="10">
        <f t="shared" si="1010"/>
        <v>0</v>
      </c>
      <c r="AX860" s="10">
        <f t="shared" si="1010"/>
        <v>0</v>
      </c>
      <c r="AY860" s="10">
        <f t="shared" si="1010"/>
        <v>0</v>
      </c>
      <c r="AZ860" s="10">
        <f t="shared" si="1010"/>
        <v>0</v>
      </c>
      <c r="BA860" s="10">
        <f t="shared" si="1010"/>
        <v>0</v>
      </c>
      <c r="BB860" s="10">
        <f t="shared" si="1010"/>
        <v>0</v>
      </c>
      <c r="BC860" s="10">
        <f t="shared" si="1010"/>
        <v>0</v>
      </c>
      <c r="BD860" s="10">
        <f t="shared" si="1010"/>
        <v>0</v>
      </c>
      <c r="BE860" s="10">
        <f t="shared" si="1010"/>
        <v>0</v>
      </c>
      <c r="BF860" s="10">
        <f t="shared" si="1010"/>
        <v>0</v>
      </c>
      <c r="BG860" s="10">
        <f t="shared" si="1010"/>
        <v>0</v>
      </c>
      <c r="BH860" s="10">
        <f t="shared" si="1010"/>
        <v>0</v>
      </c>
      <c r="BI860" s="10">
        <f t="shared" si="1010"/>
        <v>0</v>
      </c>
      <c r="BJ860" s="10">
        <f t="shared" si="1010"/>
        <v>0</v>
      </c>
      <c r="BK860" s="67"/>
      <c r="BL860" s="10">
        <f t="shared" si="997"/>
        <v>0</v>
      </c>
      <c r="BM860" s="10">
        <f t="shared" si="997"/>
        <v>0</v>
      </c>
      <c r="BN860" s="10">
        <f t="shared" si="997"/>
        <v>0</v>
      </c>
      <c r="BO860" s="10">
        <f t="shared" si="997"/>
        <v>0</v>
      </c>
      <c r="BP860" s="13">
        <f t="shared" si="998"/>
        <v>0</v>
      </c>
      <c r="BQ860" s="13">
        <f t="shared" si="1002"/>
        <v>0</v>
      </c>
      <c r="BR860" s="13">
        <f t="shared" si="1002"/>
        <v>0</v>
      </c>
      <c r="BS860" s="13">
        <f t="shared" si="1002"/>
        <v>0</v>
      </c>
      <c r="BT860" s="13">
        <f t="shared" si="1002"/>
        <v>0</v>
      </c>
      <c r="BU860" s="13">
        <f t="shared" si="1002"/>
        <v>0</v>
      </c>
      <c r="BV860" s="13">
        <f t="shared" si="1002"/>
        <v>0</v>
      </c>
      <c r="BW860" s="13">
        <f t="shared" si="1002"/>
        <v>0</v>
      </c>
      <c r="BY860" s="12"/>
      <c r="CA860" s="12"/>
      <c r="CJ860" s="162"/>
      <c r="CR860" s="12"/>
      <c r="EX860" s="13" t="str">
        <f t="shared" ca="1" si="1000"/>
        <v>Interest Payment Loan 10</v>
      </c>
    </row>
    <row r="861" spans="1:154" x14ac:dyDescent="0.25">
      <c r="A861" s="67"/>
      <c r="B861" s="84" t="str" cm="1">
        <f t="array" aca="1" ref="B861" ca="1">HYPERLINK(CONCATENATE("#",CELL("address",$D$237)),$D$237)</f>
        <v>Loan 11</v>
      </c>
      <c r="C861" s="340" t="s">
        <v>1619</v>
      </c>
      <c r="D861" s="60">
        <f>D$23</f>
        <v>0</v>
      </c>
      <c r="E861" s="221">
        <f>E$23</f>
        <v>0</v>
      </c>
      <c r="F861" s="10">
        <f>P$23</f>
        <v>0</v>
      </c>
      <c r="G861" s="9"/>
      <c r="H861" s="50" t="s">
        <v>125</v>
      </c>
      <c r="S861" s="335"/>
      <c r="T861" s="335"/>
      <c r="U861" s="335"/>
      <c r="V861" s="201">
        <f t="shared" si="995"/>
        <v>0</v>
      </c>
      <c r="W861" s="10">
        <f t="shared" si="995"/>
        <v>0</v>
      </c>
      <c r="X861" s="10">
        <f t="shared" si="995"/>
        <v>0</v>
      </c>
      <c r="Y861" s="10">
        <f t="shared" si="995"/>
        <v>0</v>
      </c>
      <c r="Z861" s="67"/>
      <c r="AA861" s="10">
        <f t="shared" ref="AA861:BJ861" si="1011">IF($F861=1, AA788, AA579)</f>
        <v>0</v>
      </c>
      <c r="AB861" s="10">
        <f t="shared" si="1011"/>
        <v>0</v>
      </c>
      <c r="AC861" s="10">
        <f t="shared" si="1011"/>
        <v>0</v>
      </c>
      <c r="AD861" s="10">
        <f t="shared" si="1011"/>
        <v>0</v>
      </c>
      <c r="AE861" s="10">
        <f t="shared" si="1011"/>
        <v>0</v>
      </c>
      <c r="AF861" s="10">
        <f t="shared" si="1011"/>
        <v>0</v>
      </c>
      <c r="AG861" s="10">
        <f t="shared" si="1011"/>
        <v>0</v>
      </c>
      <c r="AH861" s="10">
        <f t="shared" si="1011"/>
        <v>0</v>
      </c>
      <c r="AI861" s="10">
        <f t="shared" si="1011"/>
        <v>0</v>
      </c>
      <c r="AJ861" s="10">
        <f t="shared" si="1011"/>
        <v>0</v>
      </c>
      <c r="AK861" s="10">
        <f t="shared" si="1011"/>
        <v>0</v>
      </c>
      <c r="AL861" s="10">
        <f t="shared" si="1011"/>
        <v>0</v>
      </c>
      <c r="AM861" s="10">
        <f t="shared" si="1011"/>
        <v>0</v>
      </c>
      <c r="AN861" s="10">
        <f t="shared" si="1011"/>
        <v>0</v>
      </c>
      <c r="AO861" s="10">
        <f t="shared" si="1011"/>
        <v>0</v>
      </c>
      <c r="AP861" s="10">
        <f t="shared" si="1011"/>
        <v>0</v>
      </c>
      <c r="AQ861" s="10">
        <f t="shared" si="1011"/>
        <v>0</v>
      </c>
      <c r="AR861" s="10">
        <f t="shared" si="1011"/>
        <v>0</v>
      </c>
      <c r="AS861" s="10">
        <f t="shared" si="1011"/>
        <v>0</v>
      </c>
      <c r="AT861" s="10">
        <f t="shared" si="1011"/>
        <v>0</v>
      </c>
      <c r="AU861" s="10">
        <f t="shared" si="1011"/>
        <v>0</v>
      </c>
      <c r="AV861" s="10">
        <f t="shared" si="1011"/>
        <v>0</v>
      </c>
      <c r="AW861" s="10">
        <f t="shared" si="1011"/>
        <v>0</v>
      </c>
      <c r="AX861" s="10">
        <f t="shared" si="1011"/>
        <v>0</v>
      </c>
      <c r="AY861" s="10">
        <f t="shared" si="1011"/>
        <v>0</v>
      </c>
      <c r="AZ861" s="10">
        <f t="shared" si="1011"/>
        <v>0</v>
      </c>
      <c r="BA861" s="10">
        <f t="shared" si="1011"/>
        <v>0</v>
      </c>
      <c r="BB861" s="10">
        <f t="shared" si="1011"/>
        <v>0</v>
      </c>
      <c r="BC861" s="10">
        <f t="shared" si="1011"/>
        <v>0</v>
      </c>
      <c r="BD861" s="10">
        <f t="shared" si="1011"/>
        <v>0</v>
      </c>
      <c r="BE861" s="10">
        <f t="shared" si="1011"/>
        <v>0</v>
      </c>
      <c r="BF861" s="10">
        <f t="shared" si="1011"/>
        <v>0</v>
      </c>
      <c r="BG861" s="10">
        <f t="shared" si="1011"/>
        <v>0</v>
      </c>
      <c r="BH861" s="10">
        <f t="shared" si="1011"/>
        <v>0</v>
      </c>
      <c r="BI861" s="10">
        <f t="shared" si="1011"/>
        <v>0</v>
      </c>
      <c r="BJ861" s="10">
        <f t="shared" si="1011"/>
        <v>0</v>
      </c>
      <c r="BK861" s="67"/>
      <c r="BL861" s="10">
        <f t="shared" si="997"/>
        <v>0</v>
      </c>
      <c r="BM861" s="10">
        <f t="shared" si="997"/>
        <v>0</v>
      </c>
      <c r="BN861" s="10">
        <f t="shared" si="997"/>
        <v>0</v>
      </c>
      <c r="BO861" s="10">
        <f t="shared" si="997"/>
        <v>0</v>
      </c>
      <c r="BP861" s="13">
        <f t="shared" si="998"/>
        <v>0</v>
      </c>
      <c r="BQ861" s="13">
        <f t="shared" si="1002"/>
        <v>0</v>
      </c>
      <c r="BR861" s="13">
        <f t="shared" si="1002"/>
        <v>0</v>
      </c>
      <c r="BS861" s="13">
        <f t="shared" si="1002"/>
        <v>0</v>
      </c>
      <c r="BT861" s="13">
        <f t="shared" si="1002"/>
        <v>0</v>
      </c>
      <c r="BU861" s="13">
        <f t="shared" si="1002"/>
        <v>0</v>
      </c>
      <c r="BV861" s="13">
        <f t="shared" si="1002"/>
        <v>0</v>
      </c>
      <c r="BW861" s="13">
        <f t="shared" si="1002"/>
        <v>0</v>
      </c>
      <c r="BY861" s="12"/>
      <c r="CA861" s="12"/>
      <c r="CJ861" s="162"/>
      <c r="CR861" s="12"/>
      <c r="EX861" s="13" t="str">
        <f t="shared" ca="1" si="1000"/>
        <v>Interest Payment Loan 11</v>
      </c>
    </row>
    <row r="862" spans="1:154" x14ac:dyDescent="0.25">
      <c r="A862" s="67"/>
      <c r="B862" s="84" t="str" cm="1">
        <f t="array" aca="1" ref="B862" ca="1">HYPERLINK(CONCATENATE("#",CELL("address",$D$256)),$D$256)</f>
        <v>Loan 12</v>
      </c>
      <c r="C862" s="340" t="s">
        <v>1620</v>
      </c>
      <c r="D862" s="60">
        <f>D$24</f>
        <v>0</v>
      </c>
      <c r="E862" s="221">
        <f>E$24</f>
        <v>0</v>
      </c>
      <c r="F862" s="10">
        <f>P$24</f>
        <v>0</v>
      </c>
      <c r="G862" s="9"/>
      <c r="H862" s="50" t="s">
        <v>125</v>
      </c>
      <c r="S862" s="335"/>
      <c r="T862" s="335"/>
      <c r="U862" s="335"/>
      <c r="V862" s="201">
        <f t="shared" si="995"/>
        <v>0</v>
      </c>
      <c r="W862" s="10">
        <f t="shared" si="995"/>
        <v>0</v>
      </c>
      <c r="X862" s="10">
        <f t="shared" si="995"/>
        <v>0</v>
      </c>
      <c r="Y862" s="10">
        <f t="shared" si="995"/>
        <v>0</v>
      </c>
      <c r="Z862" s="67"/>
      <c r="AA862" s="10">
        <f t="shared" ref="AA862:BJ862" si="1012">IF($F862=1, AA789, AA580)</f>
        <v>0</v>
      </c>
      <c r="AB862" s="10">
        <f t="shared" si="1012"/>
        <v>0</v>
      </c>
      <c r="AC862" s="10">
        <f t="shared" si="1012"/>
        <v>0</v>
      </c>
      <c r="AD862" s="10">
        <f t="shared" si="1012"/>
        <v>0</v>
      </c>
      <c r="AE862" s="10">
        <f t="shared" si="1012"/>
        <v>0</v>
      </c>
      <c r="AF862" s="10">
        <f t="shared" si="1012"/>
        <v>0</v>
      </c>
      <c r="AG862" s="10">
        <f t="shared" si="1012"/>
        <v>0</v>
      </c>
      <c r="AH862" s="10">
        <f t="shared" si="1012"/>
        <v>0</v>
      </c>
      <c r="AI862" s="10">
        <f t="shared" si="1012"/>
        <v>0</v>
      </c>
      <c r="AJ862" s="10">
        <f t="shared" si="1012"/>
        <v>0</v>
      </c>
      <c r="AK862" s="10">
        <f t="shared" si="1012"/>
        <v>0</v>
      </c>
      <c r="AL862" s="10">
        <f t="shared" si="1012"/>
        <v>0</v>
      </c>
      <c r="AM862" s="10">
        <f t="shared" si="1012"/>
        <v>0</v>
      </c>
      <c r="AN862" s="10">
        <f t="shared" si="1012"/>
        <v>0</v>
      </c>
      <c r="AO862" s="10">
        <f t="shared" si="1012"/>
        <v>0</v>
      </c>
      <c r="AP862" s="10">
        <f t="shared" si="1012"/>
        <v>0</v>
      </c>
      <c r="AQ862" s="10">
        <f t="shared" si="1012"/>
        <v>0</v>
      </c>
      <c r="AR862" s="10">
        <f t="shared" si="1012"/>
        <v>0</v>
      </c>
      <c r="AS862" s="10">
        <f t="shared" si="1012"/>
        <v>0</v>
      </c>
      <c r="AT862" s="10">
        <f t="shared" si="1012"/>
        <v>0</v>
      </c>
      <c r="AU862" s="10">
        <f t="shared" si="1012"/>
        <v>0</v>
      </c>
      <c r="AV862" s="10">
        <f t="shared" si="1012"/>
        <v>0</v>
      </c>
      <c r="AW862" s="10">
        <f t="shared" si="1012"/>
        <v>0</v>
      </c>
      <c r="AX862" s="10">
        <f t="shared" si="1012"/>
        <v>0</v>
      </c>
      <c r="AY862" s="10">
        <f t="shared" si="1012"/>
        <v>0</v>
      </c>
      <c r="AZ862" s="10">
        <f t="shared" si="1012"/>
        <v>0</v>
      </c>
      <c r="BA862" s="10">
        <f t="shared" si="1012"/>
        <v>0</v>
      </c>
      <c r="BB862" s="10">
        <f t="shared" si="1012"/>
        <v>0</v>
      </c>
      <c r="BC862" s="10">
        <f t="shared" si="1012"/>
        <v>0</v>
      </c>
      <c r="BD862" s="10">
        <f t="shared" si="1012"/>
        <v>0</v>
      </c>
      <c r="BE862" s="10">
        <f t="shared" si="1012"/>
        <v>0</v>
      </c>
      <c r="BF862" s="10">
        <f t="shared" si="1012"/>
        <v>0</v>
      </c>
      <c r="BG862" s="10">
        <f t="shared" si="1012"/>
        <v>0</v>
      </c>
      <c r="BH862" s="10">
        <f t="shared" si="1012"/>
        <v>0</v>
      </c>
      <c r="BI862" s="10">
        <f t="shared" si="1012"/>
        <v>0</v>
      </c>
      <c r="BJ862" s="10">
        <f t="shared" si="1012"/>
        <v>0</v>
      </c>
      <c r="BK862" s="67"/>
      <c r="BL862" s="10">
        <f t="shared" si="997"/>
        <v>0</v>
      </c>
      <c r="BM862" s="10">
        <f t="shared" si="997"/>
        <v>0</v>
      </c>
      <c r="BN862" s="10">
        <f t="shared" si="997"/>
        <v>0</v>
      </c>
      <c r="BO862" s="10">
        <f t="shared" si="997"/>
        <v>0</v>
      </c>
      <c r="BP862" s="13">
        <f t="shared" si="998"/>
        <v>0</v>
      </c>
      <c r="BQ862" s="13">
        <f t="shared" ref="BQ862:BW870" si="1013">BQ580</f>
        <v>0</v>
      </c>
      <c r="BR862" s="13">
        <f t="shared" si="1013"/>
        <v>0</v>
      </c>
      <c r="BS862" s="13">
        <f t="shared" si="1013"/>
        <v>0</v>
      </c>
      <c r="BT862" s="13">
        <f t="shared" si="1013"/>
        <v>0</v>
      </c>
      <c r="BU862" s="13">
        <f t="shared" si="1013"/>
        <v>0</v>
      </c>
      <c r="BV862" s="13">
        <f t="shared" si="1013"/>
        <v>0</v>
      </c>
      <c r="BW862" s="13">
        <f t="shared" si="1013"/>
        <v>0</v>
      </c>
      <c r="BY862" s="12"/>
      <c r="CA862" s="12"/>
      <c r="CJ862" s="162"/>
      <c r="CR862" s="12"/>
      <c r="EX862" s="13" t="str">
        <f t="shared" ca="1" si="1000"/>
        <v>Interest Payment Loan 12</v>
      </c>
    </row>
    <row r="863" spans="1:154" x14ac:dyDescent="0.25">
      <c r="A863" s="67"/>
      <c r="B863" s="84" t="str" cm="1">
        <f t="array" aca="1" ref="B863" ca="1">HYPERLINK(CONCATENATE("#",CELL("address",$D$275)),$D$275)</f>
        <v>Loan 13</v>
      </c>
      <c r="C863" s="340" t="s">
        <v>1621</v>
      </c>
      <c r="D863" s="60">
        <f>D$25</f>
        <v>0</v>
      </c>
      <c r="E863" s="221">
        <f>E$25</f>
        <v>0</v>
      </c>
      <c r="F863" s="10">
        <f>P$25</f>
        <v>0</v>
      </c>
      <c r="G863" s="9"/>
      <c r="H863" s="50" t="s">
        <v>125</v>
      </c>
      <c r="S863" s="335"/>
      <c r="T863" s="335"/>
      <c r="U863" s="335"/>
      <c r="V863" s="201">
        <f t="shared" si="995"/>
        <v>0</v>
      </c>
      <c r="W863" s="10">
        <f t="shared" si="995"/>
        <v>0</v>
      </c>
      <c r="X863" s="10">
        <f t="shared" si="995"/>
        <v>0</v>
      </c>
      <c r="Y863" s="10">
        <f t="shared" si="995"/>
        <v>0</v>
      </c>
      <c r="Z863" s="67"/>
      <c r="AA863" s="10">
        <f t="shared" ref="AA863:BJ863" si="1014">IF($F863=1, AA790, AA581)</f>
        <v>0</v>
      </c>
      <c r="AB863" s="10">
        <f t="shared" si="1014"/>
        <v>0</v>
      </c>
      <c r="AC863" s="10">
        <f t="shared" si="1014"/>
        <v>0</v>
      </c>
      <c r="AD863" s="10">
        <f t="shared" si="1014"/>
        <v>0</v>
      </c>
      <c r="AE863" s="10">
        <f t="shared" si="1014"/>
        <v>0</v>
      </c>
      <c r="AF863" s="10">
        <f t="shared" si="1014"/>
        <v>0</v>
      </c>
      <c r="AG863" s="10">
        <f t="shared" si="1014"/>
        <v>0</v>
      </c>
      <c r="AH863" s="10">
        <f t="shared" si="1014"/>
        <v>0</v>
      </c>
      <c r="AI863" s="10">
        <f t="shared" si="1014"/>
        <v>0</v>
      </c>
      <c r="AJ863" s="10">
        <f t="shared" si="1014"/>
        <v>0</v>
      </c>
      <c r="AK863" s="10">
        <f t="shared" si="1014"/>
        <v>0</v>
      </c>
      <c r="AL863" s="10">
        <f t="shared" si="1014"/>
        <v>0</v>
      </c>
      <c r="AM863" s="10">
        <f t="shared" si="1014"/>
        <v>0</v>
      </c>
      <c r="AN863" s="10">
        <f t="shared" si="1014"/>
        <v>0</v>
      </c>
      <c r="AO863" s="10">
        <f t="shared" si="1014"/>
        <v>0</v>
      </c>
      <c r="AP863" s="10">
        <f t="shared" si="1014"/>
        <v>0</v>
      </c>
      <c r="AQ863" s="10">
        <f t="shared" si="1014"/>
        <v>0</v>
      </c>
      <c r="AR863" s="10">
        <f t="shared" si="1014"/>
        <v>0</v>
      </c>
      <c r="AS863" s="10">
        <f t="shared" si="1014"/>
        <v>0</v>
      </c>
      <c r="AT863" s="10">
        <f t="shared" si="1014"/>
        <v>0</v>
      </c>
      <c r="AU863" s="10">
        <f t="shared" si="1014"/>
        <v>0</v>
      </c>
      <c r="AV863" s="10">
        <f t="shared" si="1014"/>
        <v>0</v>
      </c>
      <c r="AW863" s="10">
        <f t="shared" si="1014"/>
        <v>0</v>
      </c>
      <c r="AX863" s="10">
        <f t="shared" si="1014"/>
        <v>0</v>
      </c>
      <c r="AY863" s="10">
        <f t="shared" si="1014"/>
        <v>0</v>
      </c>
      <c r="AZ863" s="10">
        <f t="shared" si="1014"/>
        <v>0</v>
      </c>
      <c r="BA863" s="10">
        <f t="shared" si="1014"/>
        <v>0</v>
      </c>
      <c r="BB863" s="10">
        <f t="shared" si="1014"/>
        <v>0</v>
      </c>
      <c r="BC863" s="10">
        <f t="shared" si="1014"/>
        <v>0</v>
      </c>
      <c r="BD863" s="10">
        <f t="shared" si="1014"/>
        <v>0</v>
      </c>
      <c r="BE863" s="10">
        <f t="shared" si="1014"/>
        <v>0</v>
      </c>
      <c r="BF863" s="10">
        <f t="shared" si="1014"/>
        <v>0</v>
      </c>
      <c r="BG863" s="10">
        <f t="shared" si="1014"/>
        <v>0</v>
      </c>
      <c r="BH863" s="10">
        <f t="shared" si="1014"/>
        <v>0</v>
      </c>
      <c r="BI863" s="10">
        <f t="shared" si="1014"/>
        <v>0</v>
      </c>
      <c r="BJ863" s="10">
        <f t="shared" si="1014"/>
        <v>0</v>
      </c>
      <c r="BK863" s="67"/>
      <c r="BL863" s="10">
        <f t="shared" si="997"/>
        <v>0</v>
      </c>
      <c r="BM863" s="10">
        <f t="shared" si="997"/>
        <v>0</v>
      </c>
      <c r="BN863" s="10">
        <f t="shared" si="997"/>
        <v>0</v>
      </c>
      <c r="BO863" s="10">
        <f t="shared" si="997"/>
        <v>0</v>
      </c>
      <c r="BP863" s="13">
        <f t="shared" si="998"/>
        <v>0</v>
      </c>
      <c r="BQ863" s="13">
        <f t="shared" si="1013"/>
        <v>0</v>
      </c>
      <c r="BR863" s="13">
        <f t="shared" si="1013"/>
        <v>0</v>
      </c>
      <c r="BS863" s="13">
        <f t="shared" si="1013"/>
        <v>0</v>
      </c>
      <c r="BT863" s="13">
        <f t="shared" si="1013"/>
        <v>0</v>
      </c>
      <c r="BU863" s="13">
        <f t="shared" si="1013"/>
        <v>0</v>
      </c>
      <c r="BV863" s="13">
        <f t="shared" si="1013"/>
        <v>0</v>
      </c>
      <c r="BW863" s="13">
        <f t="shared" si="1013"/>
        <v>0</v>
      </c>
      <c r="BY863" s="12"/>
      <c r="CA863" s="12"/>
      <c r="CJ863" s="162"/>
      <c r="CR863" s="12"/>
      <c r="EX863" s="13" t="str">
        <f t="shared" ca="1" si="1000"/>
        <v>Interest Payment Loan 13</v>
      </c>
    </row>
    <row r="864" spans="1:154" s="5" customFormat="1" x14ac:dyDescent="0.25">
      <c r="A864" s="67"/>
      <c r="B864" s="84" t="str" cm="1">
        <f t="array" aca="1" ref="B864" ca="1">HYPERLINK(CONCATENATE("#",CELL("address",$D$294)),$D$294)</f>
        <v>Loan 14</v>
      </c>
      <c r="C864" s="340" t="s">
        <v>1622</v>
      </c>
      <c r="D864" s="60">
        <f>D$26</f>
        <v>0</v>
      </c>
      <c r="E864" s="221">
        <f>E$26</f>
        <v>0</v>
      </c>
      <c r="F864" s="10">
        <f>P$26</f>
        <v>0</v>
      </c>
      <c r="G864" s="9"/>
      <c r="H864" s="50" t="s">
        <v>125</v>
      </c>
      <c r="I864" s="11"/>
      <c r="J864" s="11"/>
      <c r="K864" s="11"/>
      <c r="L864" s="11"/>
      <c r="M864" s="11"/>
      <c r="N864" s="11"/>
      <c r="O864" s="11"/>
      <c r="P864" s="11"/>
      <c r="Q864" s="11"/>
      <c r="R864" s="11"/>
      <c r="S864" s="335"/>
      <c r="T864" s="335"/>
      <c r="U864" s="335"/>
      <c r="V864" s="201">
        <f t="shared" si="995"/>
        <v>0</v>
      </c>
      <c r="W864" s="10">
        <f t="shared" si="995"/>
        <v>0</v>
      </c>
      <c r="X864" s="10">
        <f t="shared" si="995"/>
        <v>0</v>
      </c>
      <c r="Y864" s="10">
        <f t="shared" si="995"/>
        <v>0</v>
      </c>
      <c r="Z864" s="67"/>
      <c r="AA864" s="10">
        <f t="shared" ref="AA864:BJ864" si="1015">IF($F864=1, AA791, AA582)</f>
        <v>0</v>
      </c>
      <c r="AB864" s="10">
        <f t="shared" si="1015"/>
        <v>0</v>
      </c>
      <c r="AC864" s="10">
        <f t="shared" si="1015"/>
        <v>0</v>
      </c>
      <c r="AD864" s="10">
        <f t="shared" si="1015"/>
        <v>0</v>
      </c>
      <c r="AE864" s="10">
        <f t="shared" si="1015"/>
        <v>0</v>
      </c>
      <c r="AF864" s="10">
        <f t="shared" si="1015"/>
        <v>0</v>
      </c>
      <c r="AG864" s="10">
        <f t="shared" si="1015"/>
        <v>0</v>
      </c>
      <c r="AH864" s="10">
        <f t="shared" si="1015"/>
        <v>0</v>
      </c>
      <c r="AI864" s="10">
        <f t="shared" si="1015"/>
        <v>0</v>
      </c>
      <c r="AJ864" s="10">
        <f t="shared" si="1015"/>
        <v>0</v>
      </c>
      <c r="AK864" s="10">
        <f t="shared" si="1015"/>
        <v>0</v>
      </c>
      <c r="AL864" s="10">
        <f t="shared" si="1015"/>
        <v>0</v>
      </c>
      <c r="AM864" s="10">
        <f t="shared" si="1015"/>
        <v>0</v>
      </c>
      <c r="AN864" s="10">
        <f t="shared" si="1015"/>
        <v>0</v>
      </c>
      <c r="AO864" s="10">
        <f t="shared" si="1015"/>
        <v>0</v>
      </c>
      <c r="AP864" s="10">
        <f t="shared" si="1015"/>
        <v>0</v>
      </c>
      <c r="AQ864" s="10">
        <f t="shared" si="1015"/>
        <v>0</v>
      </c>
      <c r="AR864" s="10">
        <f t="shared" si="1015"/>
        <v>0</v>
      </c>
      <c r="AS864" s="10">
        <f t="shared" si="1015"/>
        <v>0</v>
      </c>
      <c r="AT864" s="10">
        <f t="shared" si="1015"/>
        <v>0</v>
      </c>
      <c r="AU864" s="10">
        <f t="shared" si="1015"/>
        <v>0</v>
      </c>
      <c r="AV864" s="10">
        <f t="shared" si="1015"/>
        <v>0</v>
      </c>
      <c r="AW864" s="10">
        <f t="shared" si="1015"/>
        <v>0</v>
      </c>
      <c r="AX864" s="10">
        <f t="shared" si="1015"/>
        <v>0</v>
      </c>
      <c r="AY864" s="10">
        <f t="shared" si="1015"/>
        <v>0</v>
      </c>
      <c r="AZ864" s="10">
        <f t="shared" si="1015"/>
        <v>0</v>
      </c>
      <c r="BA864" s="10">
        <f t="shared" si="1015"/>
        <v>0</v>
      </c>
      <c r="BB864" s="10">
        <f t="shared" si="1015"/>
        <v>0</v>
      </c>
      <c r="BC864" s="10">
        <f t="shared" si="1015"/>
        <v>0</v>
      </c>
      <c r="BD864" s="10">
        <f t="shared" si="1015"/>
        <v>0</v>
      </c>
      <c r="BE864" s="10">
        <f t="shared" si="1015"/>
        <v>0</v>
      </c>
      <c r="BF864" s="10">
        <f t="shared" si="1015"/>
        <v>0</v>
      </c>
      <c r="BG864" s="10">
        <f t="shared" si="1015"/>
        <v>0</v>
      </c>
      <c r="BH864" s="10">
        <f t="shared" si="1015"/>
        <v>0</v>
      </c>
      <c r="BI864" s="10">
        <f t="shared" si="1015"/>
        <v>0</v>
      </c>
      <c r="BJ864" s="10">
        <f t="shared" si="1015"/>
        <v>0</v>
      </c>
      <c r="BK864" s="67"/>
      <c r="BL864" s="10">
        <f t="shared" si="997"/>
        <v>0</v>
      </c>
      <c r="BM864" s="10">
        <f t="shared" si="997"/>
        <v>0</v>
      </c>
      <c r="BN864" s="10">
        <f t="shared" si="997"/>
        <v>0</v>
      </c>
      <c r="BO864" s="10">
        <f t="shared" si="997"/>
        <v>0</v>
      </c>
      <c r="BP864" s="13">
        <f t="shared" si="998"/>
        <v>0</v>
      </c>
      <c r="BQ864" s="13">
        <f t="shared" si="1013"/>
        <v>0</v>
      </c>
      <c r="BR864" s="13">
        <f t="shared" si="1013"/>
        <v>0</v>
      </c>
      <c r="BS864" s="13">
        <f t="shared" si="1013"/>
        <v>0</v>
      </c>
      <c r="BT864" s="13">
        <f t="shared" si="1013"/>
        <v>0</v>
      </c>
      <c r="BU864" s="13">
        <f t="shared" si="1013"/>
        <v>0</v>
      </c>
      <c r="BV864" s="13">
        <f t="shared" si="1013"/>
        <v>0</v>
      </c>
      <c r="BW864" s="13">
        <f t="shared" si="1013"/>
        <v>0</v>
      </c>
      <c r="BX864" s="11"/>
      <c r="BY864" s="12"/>
      <c r="BZ864" s="335"/>
      <c r="CA864" s="12"/>
      <c r="CB864" s="335"/>
      <c r="CC864" s="335"/>
      <c r="CD864" s="335"/>
      <c r="CE864" s="335"/>
      <c r="CF864" s="67"/>
      <c r="CG864" s="11"/>
      <c r="CH864" s="11"/>
      <c r="CI864" s="11"/>
      <c r="CJ864" s="162"/>
      <c r="CK864" s="11"/>
      <c r="CL864" s="11"/>
      <c r="CM864" s="335"/>
      <c r="CN864" s="335"/>
      <c r="CO864" s="335"/>
      <c r="CP864" s="335"/>
      <c r="CQ864" s="67"/>
      <c r="CR864" s="12"/>
      <c r="EX864" s="13" t="str">
        <f t="shared" ca="1" si="1000"/>
        <v>Interest Payment Loan 14</v>
      </c>
    </row>
    <row r="865" spans="1:154" x14ac:dyDescent="0.25">
      <c r="A865" s="67"/>
      <c r="B865" s="84" t="str" cm="1">
        <f t="array" aca="1" ref="B865" ca="1">HYPERLINK(CONCATENATE("#",CELL("address",$D$313)),$D$313)</f>
        <v>Loan 15</v>
      </c>
      <c r="C865" s="340" t="s">
        <v>1623</v>
      </c>
      <c r="D865" s="60">
        <f>D$27</f>
        <v>0</v>
      </c>
      <c r="E865" s="221">
        <f>E$27</f>
        <v>0</v>
      </c>
      <c r="F865" s="10">
        <f>P$27</f>
        <v>0</v>
      </c>
      <c r="G865" s="9"/>
      <c r="H865" s="50" t="s">
        <v>125</v>
      </c>
      <c r="S865" s="335"/>
      <c r="T865" s="335"/>
      <c r="U865" s="335"/>
      <c r="V865" s="201">
        <f t="shared" si="995"/>
        <v>0</v>
      </c>
      <c r="W865" s="10">
        <f t="shared" si="995"/>
        <v>0</v>
      </c>
      <c r="X865" s="10">
        <f t="shared" si="995"/>
        <v>0</v>
      </c>
      <c r="Y865" s="10">
        <f t="shared" si="995"/>
        <v>0</v>
      </c>
      <c r="Z865" s="67"/>
      <c r="AA865" s="10">
        <f t="shared" ref="AA865:BJ865" si="1016">IF($F865=1, AA792, AA583)</f>
        <v>0</v>
      </c>
      <c r="AB865" s="10">
        <f t="shared" si="1016"/>
        <v>0</v>
      </c>
      <c r="AC865" s="10">
        <f t="shared" si="1016"/>
        <v>0</v>
      </c>
      <c r="AD865" s="10">
        <f t="shared" si="1016"/>
        <v>0</v>
      </c>
      <c r="AE865" s="10">
        <f t="shared" si="1016"/>
        <v>0</v>
      </c>
      <c r="AF865" s="10">
        <f t="shared" si="1016"/>
        <v>0</v>
      </c>
      <c r="AG865" s="10">
        <f t="shared" si="1016"/>
        <v>0</v>
      </c>
      <c r="AH865" s="10">
        <f t="shared" si="1016"/>
        <v>0</v>
      </c>
      <c r="AI865" s="10">
        <f t="shared" si="1016"/>
        <v>0</v>
      </c>
      <c r="AJ865" s="10">
        <f t="shared" si="1016"/>
        <v>0</v>
      </c>
      <c r="AK865" s="10">
        <f t="shared" si="1016"/>
        <v>0</v>
      </c>
      <c r="AL865" s="10">
        <f t="shared" si="1016"/>
        <v>0</v>
      </c>
      <c r="AM865" s="10">
        <f t="shared" si="1016"/>
        <v>0</v>
      </c>
      <c r="AN865" s="10">
        <f t="shared" si="1016"/>
        <v>0</v>
      </c>
      <c r="AO865" s="10">
        <f t="shared" si="1016"/>
        <v>0</v>
      </c>
      <c r="AP865" s="10">
        <f t="shared" si="1016"/>
        <v>0</v>
      </c>
      <c r="AQ865" s="10">
        <f t="shared" si="1016"/>
        <v>0</v>
      </c>
      <c r="AR865" s="10">
        <f t="shared" si="1016"/>
        <v>0</v>
      </c>
      <c r="AS865" s="10">
        <f t="shared" si="1016"/>
        <v>0</v>
      </c>
      <c r="AT865" s="10">
        <f t="shared" si="1016"/>
        <v>0</v>
      </c>
      <c r="AU865" s="10">
        <f t="shared" si="1016"/>
        <v>0</v>
      </c>
      <c r="AV865" s="10">
        <f t="shared" si="1016"/>
        <v>0</v>
      </c>
      <c r="AW865" s="10">
        <f t="shared" si="1016"/>
        <v>0</v>
      </c>
      <c r="AX865" s="10">
        <f t="shared" si="1016"/>
        <v>0</v>
      </c>
      <c r="AY865" s="10">
        <f t="shared" si="1016"/>
        <v>0</v>
      </c>
      <c r="AZ865" s="10">
        <f t="shared" si="1016"/>
        <v>0</v>
      </c>
      <c r="BA865" s="10">
        <f t="shared" si="1016"/>
        <v>0</v>
      </c>
      <c r="BB865" s="10">
        <f t="shared" si="1016"/>
        <v>0</v>
      </c>
      <c r="BC865" s="10">
        <f t="shared" si="1016"/>
        <v>0</v>
      </c>
      <c r="BD865" s="10">
        <f t="shared" si="1016"/>
        <v>0</v>
      </c>
      <c r="BE865" s="10">
        <f t="shared" si="1016"/>
        <v>0</v>
      </c>
      <c r="BF865" s="10">
        <f t="shared" si="1016"/>
        <v>0</v>
      </c>
      <c r="BG865" s="10">
        <f t="shared" si="1016"/>
        <v>0</v>
      </c>
      <c r="BH865" s="10">
        <f t="shared" si="1016"/>
        <v>0</v>
      </c>
      <c r="BI865" s="10">
        <f t="shared" si="1016"/>
        <v>0</v>
      </c>
      <c r="BJ865" s="10">
        <f t="shared" si="1016"/>
        <v>0</v>
      </c>
      <c r="BK865" s="67"/>
      <c r="BL865" s="10">
        <f t="shared" si="997"/>
        <v>0</v>
      </c>
      <c r="BM865" s="10">
        <f t="shared" si="997"/>
        <v>0</v>
      </c>
      <c r="BN865" s="10">
        <f t="shared" si="997"/>
        <v>0</v>
      </c>
      <c r="BO865" s="10">
        <f t="shared" si="997"/>
        <v>0</v>
      </c>
      <c r="BP865" s="13">
        <f t="shared" si="998"/>
        <v>0</v>
      </c>
      <c r="BQ865" s="13">
        <f t="shared" si="1013"/>
        <v>0</v>
      </c>
      <c r="BR865" s="13">
        <f t="shared" si="1013"/>
        <v>0</v>
      </c>
      <c r="BS865" s="13">
        <f t="shared" si="1013"/>
        <v>0</v>
      </c>
      <c r="BT865" s="13">
        <f t="shared" si="1013"/>
        <v>0</v>
      </c>
      <c r="BU865" s="13">
        <f t="shared" si="1013"/>
        <v>0</v>
      </c>
      <c r="BV865" s="13">
        <f t="shared" si="1013"/>
        <v>0</v>
      </c>
      <c r="BW865" s="13">
        <f t="shared" si="1013"/>
        <v>0</v>
      </c>
      <c r="BY865" s="12"/>
      <c r="CA865" s="12"/>
      <c r="CJ865" s="162"/>
      <c r="CR865" s="12"/>
      <c r="EX865" s="13" t="str">
        <f t="shared" ca="1" si="1000"/>
        <v>Interest Payment Loan 15</v>
      </c>
    </row>
    <row r="866" spans="1:154" x14ac:dyDescent="0.25">
      <c r="A866" s="67"/>
      <c r="B866" s="84" t="str" cm="1">
        <f t="array" aca="1" ref="B866" ca="1">HYPERLINK(CONCATENATE("#",CELL("address",$D$332)),$D$332)</f>
        <v>Loan 16</v>
      </c>
      <c r="C866" s="340" t="s">
        <v>1624</v>
      </c>
      <c r="D866" s="60">
        <f>D$28</f>
        <v>0</v>
      </c>
      <c r="E866" s="221">
        <f>E$28</f>
        <v>0</v>
      </c>
      <c r="F866" s="10">
        <f>P$28</f>
        <v>0</v>
      </c>
      <c r="G866" s="9"/>
      <c r="H866" s="50" t="s">
        <v>125</v>
      </c>
      <c r="S866" s="335"/>
      <c r="T866" s="335"/>
      <c r="U866" s="335"/>
      <c r="V866" s="201">
        <f t="shared" si="995"/>
        <v>0</v>
      </c>
      <c r="W866" s="10">
        <f t="shared" si="995"/>
        <v>0</v>
      </c>
      <c r="X866" s="10">
        <f t="shared" si="995"/>
        <v>0</v>
      </c>
      <c r="Y866" s="10">
        <f t="shared" si="995"/>
        <v>0</v>
      </c>
      <c r="Z866" s="67"/>
      <c r="AA866" s="10">
        <f t="shared" ref="AA866:BJ866" si="1017">IF($F866=1, AA793, AA584)</f>
        <v>0</v>
      </c>
      <c r="AB866" s="10">
        <f t="shared" si="1017"/>
        <v>0</v>
      </c>
      <c r="AC866" s="10">
        <f t="shared" si="1017"/>
        <v>0</v>
      </c>
      <c r="AD866" s="10">
        <f t="shared" si="1017"/>
        <v>0</v>
      </c>
      <c r="AE866" s="10">
        <f t="shared" si="1017"/>
        <v>0</v>
      </c>
      <c r="AF866" s="10">
        <f t="shared" si="1017"/>
        <v>0</v>
      </c>
      <c r="AG866" s="10">
        <f t="shared" si="1017"/>
        <v>0</v>
      </c>
      <c r="AH866" s="10">
        <f t="shared" si="1017"/>
        <v>0</v>
      </c>
      <c r="AI866" s="10">
        <f t="shared" si="1017"/>
        <v>0</v>
      </c>
      <c r="AJ866" s="10">
        <f t="shared" si="1017"/>
        <v>0</v>
      </c>
      <c r="AK866" s="10">
        <f t="shared" si="1017"/>
        <v>0</v>
      </c>
      <c r="AL866" s="10">
        <f t="shared" si="1017"/>
        <v>0</v>
      </c>
      <c r="AM866" s="10">
        <f t="shared" si="1017"/>
        <v>0</v>
      </c>
      <c r="AN866" s="10">
        <f t="shared" si="1017"/>
        <v>0</v>
      </c>
      <c r="AO866" s="10">
        <f t="shared" si="1017"/>
        <v>0</v>
      </c>
      <c r="AP866" s="10">
        <f t="shared" si="1017"/>
        <v>0</v>
      </c>
      <c r="AQ866" s="10">
        <f t="shared" si="1017"/>
        <v>0</v>
      </c>
      <c r="AR866" s="10">
        <f t="shared" si="1017"/>
        <v>0</v>
      </c>
      <c r="AS866" s="10">
        <f t="shared" si="1017"/>
        <v>0</v>
      </c>
      <c r="AT866" s="10">
        <f t="shared" si="1017"/>
        <v>0</v>
      </c>
      <c r="AU866" s="10">
        <f t="shared" si="1017"/>
        <v>0</v>
      </c>
      <c r="AV866" s="10">
        <f t="shared" si="1017"/>
        <v>0</v>
      </c>
      <c r="AW866" s="10">
        <f t="shared" si="1017"/>
        <v>0</v>
      </c>
      <c r="AX866" s="10">
        <f t="shared" si="1017"/>
        <v>0</v>
      </c>
      <c r="AY866" s="10">
        <f t="shared" si="1017"/>
        <v>0</v>
      </c>
      <c r="AZ866" s="10">
        <f t="shared" si="1017"/>
        <v>0</v>
      </c>
      <c r="BA866" s="10">
        <f t="shared" si="1017"/>
        <v>0</v>
      </c>
      <c r="BB866" s="10">
        <f t="shared" si="1017"/>
        <v>0</v>
      </c>
      <c r="BC866" s="10">
        <f t="shared" si="1017"/>
        <v>0</v>
      </c>
      <c r="BD866" s="10">
        <f t="shared" si="1017"/>
        <v>0</v>
      </c>
      <c r="BE866" s="10">
        <f t="shared" si="1017"/>
        <v>0</v>
      </c>
      <c r="BF866" s="10">
        <f t="shared" si="1017"/>
        <v>0</v>
      </c>
      <c r="BG866" s="10">
        <f t="shared" si="1017"/>
        <v>0</v>
      </c>
      <c r="BH866" s="10">
        <f t="shared" si="1017"/>
        <v>0</v>
      </c>
      <c r="BI866" s="10">
        <f t="shared" si="1017"/>
        <v>0</v>
      </c>
      <c r="BJ866" s="10">
        <f t="shared" si="1017"/>
        <v>0</v>
      </c>
      <c r="BK866" s="67"/>
      <c r="BL866" s="10">
        <f t="shared" si="997"/>
        <v>0</v>
      </c>
      <c r="BM866" s="10">
        <f t="shared" si="997"/>
        <v>0</v>
      </c>
      <c r="BN866" s="10">
        <f t="shared" si="997"/>
        <v>0</v>
      </c>
      <c r="BO866" s="10">
        <f t="shared" si="997"/>
        <v>0</v>
      </c>
      <c r="BP866" s="13">
        <f t="shared" si="998"/>
        <v>0</v>
      </c>
      <c r="BQ866" s="13">
        <f t="shared" si="1013"/>
        <v>0</v>
      </c>
      <c r="BR866" s="13">
        <f t="shared" si="1013"/>
        <v>0</v>
      </c>
      <c r="BS866" s="13">
        <f t="shared" si="1013"/>
        <v>0</v>
      </c>
      <c r="BT866" s="13">
        <f t="shared" si="1013"/>
        <v>0</v>
      </c>
      <c r="BU866" s="13">
        <f t="shared" si="1013"/>
        <v>0</v>
      </c>
      <c r="BV866" s="13">
        <f t="shared" si="1013"/>
        <v>0</v>
      </c>
      <c r="BW866" s="13">
        <f t="shared" si="1013"/>
        <v>0</v>
      </c>
      <c r="BY866" s="12"/>
      <c r="CA866" s="12"/>
      <c r="CJ866" s="162"/>
      <c r="CR866" s="12"/>
      <c r="EX866" s="13" t="str">
        <f t="shared" ca="1" si="1000"/>
        <v>Interest Payment Loan 16</v>
      </c>
    </row>
    <row r="867" spans="1:154" x14ac:dyDescent="0.25">
      <c r="A867" s="67"/>
      <c r="B867" s="84" t="str" cm="1">
        <f t="array" aca="1" ref="B867" ca="1">HYPERLINK(CONCATENATE("#",CELL("address",$D$351)),$D$351)</f>
        <v>Loan 17</v>
      </c>
      <c r="C867" s="340" t="s">
        <v>1625</v>
      </c>
      <c r="D867" s="60">
        <f>D$29</f>
        <v>0</v>
      </c>
      <c r="E867" s="221">
        <f>E$29</f>
        <v>0</v>
      </c>
      <c r="F867" s="10">
        <f>P$29</f>
        <v>0</v>
      </c>
      <c r="G867" s="9"/>
      <c r="H867" s="50" t="s">
        <v>125</v>
      </c>
      <c r="S867" s="335"/>
      <c r="T867" s="335"/>
      <c r="U867" s="335"/>
      <c r="V867" s="201">
        <f t="shared" si="995"/>
        <v>0</v>
      </c>
      <c r="W867" s="10">
        <f t="shared" si="995"/>
        <v>0</v>
      </c>
      <c r="X867" s="10">
        <f t="shared" si="995"/>
        <v>0</v>
      </c>
      <c r="Y867" s="10">
        <f t="shared" si="995"/>
        <v>0</v>
      </c>
      <c r="Z867" s="67"/>
      <c r="AA867" s="10">
        <f t="shared" ref="AA867:BJ867" si="1018">IF($F867=1, AA794, AA585)</f>
        <v>0</v>
      </c>
      <c r="AB867" s="10">
        <f t="shared" si="1018"/>
        <v>0</v>
      </c>
      <c r="AC867" s="10">
        <f t="shared" si="1018"/>
        <v>0</v>
      </c>
      <c r="AD867" s="10">
        <f t="shared" si="1018"/>
        <v>0</v>
      </c>
      <c r="AE867" s="10">
        <f t="shared" si="1018"/>
        <v>0</v>
      </c>
      <c r="AF867" s="10">
        <f t="shared" si="1018"/>
        <v>0</v>
      </c>
      <c r="AG867" s="10">
        <f t="shared" si="1018"/>
        <v>0</v>
      </c>
      <c r="AH867" s="10">
        <f t="shared" si="1018"/>
        <v>0</v>
      </c>
      <c r="AI867" s="10">
        <f t="shared" si="1018"/>
        <v>0</v>
      </c>
      <c r="AJ867" s="10">
        <f t="shared" si="1018"/>
        <v>0</v>
      </c>
      <c r="AK867" s="10">
        <f t="shared" si="1018"/>
        <v>0</v>
      </c>
      <c r="AL867" s="10">
        <f t="shared" si="1018"/>
        <v>0</v>
      </c>
      <c r="AM867" s="10">
        <f t="shared" si="1018"/>
        <v>0</v>
      </c>
      <c r="AN867" s="10">
        <f t="shared" si="1018"/>
        <v>0</v>
      </c>
      <c r="AO867" s="10">
        <f t="shared" si="1018"/>
        <v>0</v>
      </c>
      <c r="AP867" s="10">
        <f t="shared" si="1018"/>
        <v>0</v>
      </c>
      <c r="AQ867" s="10">
        <f t="shared" si="1018"/>
        <v>0</v>
      </c>
      <c r="AR867" s="10">
        <f t="shared" si="1018"/>
        <v>0</v>
      </c>
      <c r="AS867" s="10">
        <f t="shared" si="1018"/>
        <v>0</v>
      </c>
      <c r="AT867" s="10">
        <f t="shared" si="1018"/>
        <v>0</v>
      </c>
      <c r="AU867" s="10">
        <f t="shared" si="1018"/>
        <v>0</v>
      </c>
      <c r="AV867" s="10">
        <f t="shared" si="1018"/>
        <v>0</v>
      </c>
      <c r="AW867" s="10">
        <f t="shared" si="1018"/>
        <v>0</v>
      </c>
      <c r="AX867" s="10">
        <f t="shared" si="1018"/>
        <v>0</v>
      </c>
      <c r="AY867" s="10">
        <f t="shared" si="1018"/>
        <v>0</v>
      </c>
      <c r="AZ867" s="10">
        <f t="shared" si="1018"/>
        <v>0</v>
      </c>
      <c r="BA867" s="10">
        <f t="shared" si="1018"/>
        <v>0</v>
      </c>
      <c r="BB867" s="10">
        <f t="shared" si="1018"/>
        <v>0</v>
      </c>
      <c r="BC867" s="10">
        <f t="shared" si="1018"/>
        <v>0</v>
      </c>
      <c r="BD867" s="10">
        <f t="shared" si="1018"/>
        <v>0</v>
      </c>
      <c r="BE867" s="10">
        <f t="shared" si="1018"/>
        <v>0</v>
      </c>
      <c r="BF867" s="10">
        <f t="shared" si="1018"/>
        <v>0</v>
      </c>
      <c r="BG867" s="10">
        <f t="shared" si="1018"/>
        <v>0</v>
      </c>
      <c r="BH867" s="10">
        <f t="shared" si="1018"/>
        <v>0</v>
      </c>
      <c r="BI867" s="10">
        <f t="shared" si="1018"/>
        <v>0</v>
      </c>
      <c r="BJ867" s="10">
        <f t="shared" si="1018"/>
        <v>0</v>
      </c>
      <c r="BK867" s="67"/>
      <c r="BL867" s="10">
        <f t="shared" si="997"/>
        <v>0</v>
      </c>
      <c r="BM867" s="10">
        <f t="shared" si="997"/>
        <v>0</v>
      </c>
      <c r="BN867" s="10">
        <f t="shared" si="997"/>
        <v>0</v>
      </c>
      <c r="BO867" s="10">
        <f t="shared" si="997"/>
        <v>0</v>
      </c>
      <c r="BP867" s="13">
        <f t="shared" si="998"/>
        <v>0</v>
      </c>
      <c r="BQ867" s="13">
        <f t="shared" si="1013"/>
        <v>0</v>
      </c>
      <c r="BR867" s="13">
        <f t="shared" si="1013"/>
        <v>0</v>
      </c>
      <c r="BS867" s="13">
        <f t="shared" si="1013"/>
        <v>0</v>
      </c>
      <c r="BT867" s="13">
        <f t="shared" si="1013"/>
        <v>0</v>
      </c>
      <c r="BU867" s="13">
        <f t="shared" si="1013"/>
        <v>0</v>
      </c>
      <c r="BV867" s="13">
        <f t="shared" si="1013"/>
        <v>0</v>
      </c>
      <c r="BW867" s="13">
        <f t="shared" si="1013"/>
        <v>0</v>
      </c>
      <c r="BY867" s="12"/>
      <c r="CA867" s="12"/>
      <c r="CJ867" s="162"/>
      <c r="CR867" s="12"/>
      <c r="EX867" s="13" t="str">
        <f t="shared" ca="1" si="1000"/>
        <v>Interest Payment Loan 17</v>
      </c>
    </row>
    <row r="868" spans="1:154" x14ac:dyDescent="0.25">
      <c r="A868" s="67"/>
      <c r="B868" s="84" t="str" cm="1">
        <f t="array" aca="1" ref="B868" ca="1">HYPERLINK(CONCATENATE("#",CELL("address",$D$370)),$D$370)</f>
        <v>Loan 18</v>
      </c>
      <c r="C868" s="340" t="s">
        <v>1626</v>
      </c>
      <c r="D868" s="60">
        <f>D$30</f>
        <v>0</v>
      </c>
      <c r="E868" s="221">
        <f>E$30</f>
        <v>0</v>
      </c>
      <c r="F868" s="10">
        <f>P$30</f>
        <v>0</v>
      </c>
      <c r="G868" s="9"/>
      <c r="H868" s="50" t="s">
        <v>125</v>
      </c>
      <c r="S868" s="335"/>
      <c r="T868" s="335"/>
      <c r="U868" s="335"/>
      <c r="V868" s="201">
        <f t="shared" si="995"/>
        <v>0</v>
      </c>
      <c r="W868" s="10">
        <f t="shared" si="995"/>
        <v>0</v>
      </c>
      <c r="X868" s="10">
        <f t="shared" si="995"/>
        <v>0</v>
      </c>
      <c r="Y868" s="10">
        <f t="shared" si="995"/>
        <v>0</v>
      </c>
      <c r="Z868" s="67"/>
      <c r="AA868" s="10">
        <f t="shared" ref="AA868:BJ868" si="1019">IF($F868=1, AA795, AA586)</f>
        <v>0</v>
      </c>
      <c r="AB868" s="10">
        <f t="shared" si="1019"/>
        <v>0</v>
      </c>
      <c r="AC868" s="10">
        <f t="shared" si="1019"/>
        <v>0</v>
      </c>
      <c r="AD868" s="10">
        <f t="shared" si="1019"/>
        <v>0</v>
      </c>
      <c r="AE868" s="10">
        <f t="shared" si="1019"/>
        <v>0</v>
      </c>
      <c r="AF868" s="10">
        <f t="shared" si="1019"/>
        <v>0</v>
      </c>
      <c r="AG868" s="10">
        <f t="shared" si="1019"/>
        <v>0</v>
      </c>
      <c r="AH868" s="10">
        <f t="shared" si="1019"/>
        <v>0</v>
      </c>
      <c r="AI868" s="10">
        <f t="shared" si="1019"/>
        <v>0</v>
      </c>
      <c r="AJ868" s="10">
        <f t="shared" si="1019"/>
        <v>0</v>
      </c>
      <c r="AK868" s="10">
        <f t="shared" si="1019"/>
        <v>0</v>
      </c>
      <c r="AL868" s="10">
        <f t="shared" si="1019"/>
        <v>0</v>
      </c>
      <c r="AM868" s="10">
        <f t="shared" si="1019"/>
        <v>0</v>
      </c>
      <c r="AN868" s="10">
        <f t="shared" si="1019"/>
        <v>0</v>
      </c>
      <c r="AO868" s="10">
        <f t="shared" si="1019"/>
        <v>0</v>
      </c>
      <c r="AP868" s="10">
        <f t="shared" si="1019"/>
        <v>0</v>
      </c>
      <c r="AQ868" s="10">
        <f t="shared" si="1019"/>
        <v>0</v>
      </c>
      <c r="AR868" s="10">
        <f t="shared" si="1019"/>
        <v>0</v>
      </c>
      <c r="AS868" s="10">
        <f t="shared" si="1019"/>
        <v>0</v>
      </c>
      <c r="AT868" s="10">
        <f t="shared" si="1019"/>
        <v>0</v>
      </c>
      <c r="AU868" s="10">
        <f t="shared" si="1019"/>
        <v>0</v>
      </c>
      <c r="AV868" s="10">
        <f t="shared" si="1019"/>
        <v>0</v>
      </c>
      <c r="AW868" s="10">
        <f t="shared" si="1019"/>
        <v>0</v>
      </c>
      <c r="AX868" s="10">
        <f t="shared" si="1019"/>
        <v>0</v>
      </c>
      <c r="AY868" s="10">
        <f t="shared" si="1019"/>
        <v>0</v>
      </c>
      <c r="AZ868" s="10">
        <f t="shared" si="1019"/>
        <v>0</v>
      </c>
      <c r="BA868" s="10">
        <f t="shared" si="1019"/>
        <v>0</v>
      </c>
      <c r="BB868" s="10">
        <f t="shared" si="1019"/>
        <v>0</v>
      </c>
      <c r="BC868" s="10">
        <f t="shared" si="1019"/>
        <v>0</v>
      </c>
      <c r="BD868" s="10">
        <f t="shared" si="1019"/>
        <v>0</v>
      </c>
      <c r="BE868" s="10">
        <f t="shared" si="1019"/>
        <v>0</v>
      </c>
      <c r="BF868" s="10">
        <f t="shared" si="1019"/>
        <v>0</v>
      </c>
      <c r="BG868" s="10">
        <f t="shared" si="1019"/>
        <v>0</v>
      </c>
      <c r="BH868" s="10">
        <f t="shared" si="1019"/>
        <v>0</v>
      </c>
      <c r="BI868" s="10">
        <f t="shared" si="1019"/>
        <v>0</v>
      </c>
      <c r="BJ868" s="10">
        <f t="shared" si="1019"/>
        <v>0</v>
      </c>
      <c r="BK868" s="67"/>
      <c r="BL868" s="10">
        <f t="shared" si="997"/>
        <v>0</v>
      </c>
      <c r="BM868" s="10">
        <f t="shared" si="997"/>
        <v>0</v>
      </c>
      <c r="BN868" s="10">
        <f t="shared" si="997"/>
        <v>0</v>
      </c>
      <c r="BO868" s="10">
        <f t="shared" si="997"/>
        <v>0</v>
      </c>
      <c r="BP868" s="13">
        <f t="shared" si="998"/>
        <v>0</v>
      </c>
      <c r="BQ868" s="13">
        <f t="shared" si="1013"/>
        <v>0</v>
      </c>
      <c r="BR868" s="13">
        <f t="shared" si="1013"/>
        <v>0</v>
      </c>
      <c r="BS868" s="13">
        <f t="shared" si="1013"/>
        <v>0</v>
      </c>
      <c r="BT868" s="13">
        <f t="shared" si="1013"/>
        <v>0</v>
      </c>
      <c r="BU868" s="13">
        <f t="shared" si="1013"/>
        <v>0</v>
      </c>
      <c r="BV868" s="13">
        <f t="shared" si="1013"/>
        <v>0</v>
      </c>
      <c r="BW868" s="13">
        <f t="shared" si="1013"/>
        <v>0</v>
      </c>
      <c r="BY868" s="12"/>
      <c r="CA868" s="12"/>
      <c r="CJ868" s="162"/>
      <c r="CR868" s="12"/>
      <c r="EX868" s="13" t="str">
        <f t="shared" ca="1" si="1000"/>
        <v>Interest Payment Loan 18</v>
      </c>
    </row>
    <row r="869" spans="1:154" x14ac:dyDescent="0.25">
      <c r="A869" s="67"/>
      <c r="B869" s="84" t="str" cm="1">
        <f t="array" aca="1" ref="B869" ca="1">HYPERLINK(CONCATENATE("#",CELL("address",$D$389)),$D$389)</f>
        <v>Loan 19</v>
      </c>
      <c r="C869" s="340" t="s">
        <v>1627</v>
      </c>
      <c r="D869" s="60">
        <f>D$31</f>
        <v>0</v>
      </c>
      <c r="E869" s="221">
        <f>E$31</f>
        <v>0</v>
      </c>
      <c r="F869" s="10">
        <f>P$31</f>
        <v>0</v>
      </c>
      <c r="G869" s="9"/>
      <c r="H869" s="50" t="s">
        <v>125</v>
      </c>
      <c r="S869" s="335"/>
      <c r="T869" s="335"/>
      <c r="U869" s="335"/>
      <c r="V869" s="201">
        <f t="shared" si="995"/>
        <v>0</v>
      </c>
      <c r="W869" s="10">
        <f t="shared" si="995"/>
        <v>0</v>
      </c>
      <c r="X869" s="10">
        <f t="shared" si="995"/>
        <v>0</v>
      </c>
      <c r="Y869" s="10">
        <f t="shared" si="995"/>
        <v>0</v>
      </c>
      <c r="Z869" s="67"/>
      <c r="AA869" s="10">
        <f t="shared" ref="AA869:BJ869" si="1020">IF($F869=1, AA796, AA587)</f>
        <v>0</v>
      </c>
      <c r="AB869" s="10">
        <f t="shared" si="1020"/>
        <v>0</v>
      </c>
      <c r="AC869" s="10">
        <f t="shared" si="1020"/>
        <v>0</v>
      </c>
      <c r="AD869" s="10">
        <f t="shared" si="1020"/>
        <v>0</v>
      </c>
      <c r="AE869" s="10">
        <f t="shared" si="1020"/>
        <v>0</v>
      </c>
      <c r="AF869" s="10">
        <f t="shared" si="1020"/>
        <v>0</v>
      </c>
      <c r="AG869" s="10">
        <f t="shared" si="1020"/>
        <v>0</v>
      </c>
      <c r="AH869" s="10">
        <f t="shared" si="1020"/>
        <v>0</v>
      </c>
      <c r="AI869" s="10">
        <f t="shared" si="1020"/>
        <v>0</v>
      </c>
      <c r="AJ869" s="10">
        <f t="shared" si="1020"/>
        <v>0</v>
      </c>
      <c r="AK869" s="10">
        <f t="shared" si="1020"/>
        <v>0</v>
      </c>
      <c r="AL869" s="10">
        <f t="shared" si="1020"/>
        <v>0</v>
      </c>
      <c r="AM869" s="10">
        <f t="shared" si="1020"/>
        <v>0</v>
      </c>
      <c r="AN869" s="10">
        <f t="shared" si="1020"/>
        <v>0</v>
      </c>
      <c r="AO869" s="10">
        <f t="shared" si="1020"/>
        <v>0</v>
      </c>
      <c r="AP869" s="10">
        <f t="shared" si="1020"/>
        <v>0</v>
      </c>
      <c r="AQ869" s="10">
        <f t="shared" si="1020"/>
        <v>0</v>
      </c>
      <c r="AR869" s="10">
        <f t="shared" si="1020"/>
        <v>0</v>
      </c>
      <c r="AS869" s="10">
        <f t="shared" si="1020"/>
        <v>0</v>
      </c>
      <c r="AT869" s="10">
        <f t="shared" si="1020"/>
        <v>0</v>
      </c>
      <c r="AU869" s="10">
        <f t="shared" si="1020"/>
        <v>0</v>
      </c>
      <c r="AV869" s="10">
        <f t="shared" si="1020"/>
        <v>0</v>
      </c>
      <c r="AW869" s="10">
        <f t="shared" si="1020"/>
        <v>0</v>
      </c>
      <c r="AX869" s="10">
        <f t="shared" si="1020"/>
        <v>0</v>
      </c>
      <c r="AY869" s="10">
        <f t="shared" si="1020"/>
        <v>0</v>
      </c>
      <c r="AZ869" s="10">
        <f t="shared" si="1020"/>
        <v>0</v>
      </c>
      <c r="BA869" s="10">
        <f t="shared" si="1020"/>
        <v>0</v>
      </c>
      <c r="BB869" s="10">
        <f t="shared" si="1020"/>
        <v>0</v>
      </c>
      <c r="BC869" s="10">
        <f t="shared" si="1020"/>
        <v>0</v>
      </c>
      <c r="BD869" s="10">
        <f t="shared" si="1020"/>
        <v>0</v>
      </c>
      <c r="BE869" s="10">
        <f t="shared" si="1020"/>
        <v>0</v>
      </c>
      <c r="BF869" s="10">
        <f t="shared" si="1020"/>
        <v>0</v>
      </c>
      <c r="BG869" s="10">
        <f t="shared" si="1020"/>
        <v>0</v>
      </c>
      <c r="BH869" s="10">
        <f t="shared" si="1020"/>
        <v>0</v>
      </c>
      <c r="BI869" s="10">
        <f t="shared" si="1020"/>
        <v>0</v>
      </c>
      <c r="BJ869" s="10">
        <f t="shared" si="1020"/>
        <v>0</v>
      </c>
      <c r="BK869" s="67"/>
      <c r="BL869" s="10">
        <f t="shared" si="997"/>
        <v>0</v>
      </c>
      <c r="BM869" s="10">
        <f t="shared" si="997"/>
        <v>0</v>
      </c>
      <c r="BN869" s="10">
        <f t="shared" si="997"/>
        <v>0</v>
      </c>
      <c r="BO869" s="10">
        <f t="shared" si="997"/>
        <v>0</v>
      </c>
      <c r="BP869" s="13">
        <f t="shared" si="998"/>
        <v>0</v>
      </c>
      <c r="BQ869" s="13">
        <f t="shared" si="1013"/>
        <v>0</v>
      </c>
      <c r="BR869" s="13">
        <f t="shared" si="1013"/>
        <v>0</v>
      </c>
      <c r="BS869" s="13">
        <f t="shared" si="1013"/>
        <v>0</v>
      </c>
      <c r="BT869" s="13">
        <f t="shared" si="1013"/>
        <v>0</v>
      </c>
      <c r="BU869" s="13">
        <f t="shared" si="1013"/>
        <v>0</v>
      </c>
      <c r="BV869" s="13">
        <f t="shared" si="1013"/>
        <v>0</v>
      </c>
      <c r="BW869" s="13">
        <f t="shared" si="1013"/>
        <v>0</v>
      </c>
      <c r="BY869" s="12"/>
      <c r="CA869" s="12"/>
      <c r="CJ869" s="162"/>
      <c r="CR869" s="12"/>
      <c r="EX869" s="13" t="str">
        <f t="shared" ca="1" si="1000"/>
        <v>Interest Payment Loan 19</v>
      </c>
    </row>
    <row r="870" spans="1:154" x14ac:dyDescent="0.25">
      <c r="A870" s="67"/>
      <c r="B870" s="84" t="str" cm="1">
        <f t="array" aca="1" ref="B870" ca="1">HYPERLINK(CONCATENATE("#",CELL("address",$D$408)),$D$408)</f>
        <v>Loan 20</v>
      </c>
      <c r="C870" s="340" t="s">
        <v>1628</v>
      </c>
      <c r="D870" s="60">
        <f>D$32</f>
        <v>0</v>
      </c>
      <c r="E870" s="221">
        <f>E$32</f>
        <v>0</v>
      </c>
      <c r="F870" s="10">
        <f>P$32</f>
        <v>0</v>
      </c>
      <c r="G870" s="9"/>
      <c r="H870" s="50" t="s">
        <v>125</v>
      </c>
      <c r="S870" s="335"/>
      <c r="T870" s="335"/>
      <c r="U870" s="335"/>
      <c r="V870" s="201">
        <f t="shared" si="995"/>
        <v>0</v>
      </c>
      <c r="W870" s="10">
        <f t="shared" si="995"/>
        <v>0</v>
      </c>
      <c r="X870" s="10">
        <f t="shared" si="995"/>
        <v>0</v>
      </c>
      <c r="Y870" s="10">
        <f t="shared" si="995"/>
        <v>0</v>
      </c>
      <c r="Z870" s="67"/>
      <c r="AA870" s="10">
        <f t="shared" ref="AA870:BJ870" si="1021">IF($F870=1, AA797, AA588)</f>
        <v>0</v>
      </c>
      <c r="AB870" s="10">
        <f t="shared" si="1021"/>
        <v>0</v>
      </c>
      <c r="AC870" s="10">
        <f t="shared" si="1021"/>
        <v>0</v>
      </c>
      <c r="AD870" s="10">
        <f t="shared" si="1021"/>
        <v>0</v>
      </c>
      <c r="AE870" s="10">
        <f t="shared" si="1021"/>
        <v>0</v>
      </c>
      <c r="AF870" s="10">
        <f t="shared" si="1021"/>
        <v>0</v>
      </c>
      <c r="AG870" s="10">
        <f t="shared" si="1021"/>
        <v>0</v>
      </c>
      <c r="AH870" s="10">
        <f t="shared" si="1021"/>
        <v>0</v>
      </c>
      <c r="AI870" s="10">
        <f t="shared" si="1021"/>
        <v>0</v>
      </c>
      <c r="AJ870" s="10">
        <f t="shared" si="1021"/>
        <v>0</v>
      </c>
      <c r="AK870" s="10">
        <f t="shared" si="1021"/>
        <v>0</v>
      </c>
      <c r="AL870" s="10">
        <f t="shared" si="1021"/>
        <v>0</v>
      </c>
      <c r="AM870" s="10">
        <f t="shared" si="1021"/>
        <v>0</v>
      </c>
      <c r="AN870" s="10">
        <f t="shared" si="1021"/>
        <v>0</v>
      </c>
      <c r="AO870" s="10">
        <f t="shared" si="1021"/>
        <v>0</v>
      </c>
      <c r="AP870" s="10">
        <f t="shared" si="1021"/>
        <v>0</v>
      </c>
      <c r="AQ870" s="10">
        <f t="shared" si="1021"/>
        <v>0</v>
      </c>
      <c r="AR870" s="10">
        <f t="shared" si="1021"/>
        <v>0</v>
      </c>
      <c r="AS870" s="10">
        <f t="shared" si="1021"/>
        <v>0</v>
      </c>
      <c r="AT870" s="10">
        <f t="shared" si="1021"/>
        <v>0</v>
      </c>
      <c r="AU870" s="10">
        <f t="shared" si="1021"/>
        <v>0</v>
      </c>
      <c r="AV870" s="10">
        <f t="shared" si="1021"/>
        <v>0</v>
      </c>
      <c r="AW870" s="10">
        <f t="shared" si="1021"/>
        <v>0</v>
      </c>
      <c r="AX870" s="10">
        <f t="shared" si="1021"/>
        <v>0</v>
      </c>
      <c r="AY870" s="10">
        <f t="shared" si="1021"/>
        <v>0</v>
      </c>
      <c r="AZ870" s="10">
        <f t="shared" si="1021"/>
        <v>0</v>
      </c>
      <c r="BA870" s="10">
        <f t="shared" si="1021"/>
        <v>0</v>
      </c>
      <c r="BB870" s="10">
        <f t="shared" si="1021"/>
        <v>0</v>
      </c>
      <c r="BC870" s="10">
        <f t="shared" si="1021"/>
        <v>0</v>
      </c>
      <c r="BD870" s="10">
        <f t="shared" si="1021"/>
        <v>0</v>
      </c>
      <c r="BE870" s="10">
        <f t="shared" si="1021"/>
        <v>0</v>
      </c>
      <c r="BF870" s="10">
        <f t="shared" si="1021"/>
        <v>0</v>
      </c>
      <c r="BG870" s="10">
        <f t="shared" si="1021"/>
        <v>0</v>
      </c>
      <c r="BH870" s="10">
        <f t="shared" si="1021"/>
        <v>0</v>
      </c>
      <c r="BI870" s="10">
        <f t="shared" si="1021"/>
        <v>0</v>
      </c>
      <c r="BJ870" s="10">
        <f t="shared" si="1021"/>
        <v>0</v>
      </c>
      <c r="BK870" s="67"/>
      <c r="BL870" s="10">
        <f t="shared" si="997"/>
        <v>0</v>
      </c>
      <c r="BM870" s="10">
        <f t="shared" si="997"/>
        <v>0</v>
      </c>
      <c r="BN870" s="10">
        <f t="shared" si="997"/>
        <v>0</v>
      </c>
      <c r="BO870" s="10">
        <f t="shared" si="997"/>
        <v>0</v>
      </c>
      <c r="BP870" s="13">
        <f t="shared" si="998"/>
        <v>0</v>
      </c>
      <c r="BQ870" s="13">
        <f t="shared" si="1013"/>
        <v>0</v>
      </c>
      <c r="BR870" s="13">
        <f t="shared" si="1013"/>
        <v>0</v>
      </c>
      <c r="BS870" s="13">
        <f t="shared" si="1013"/>
        <v>0</v>
      </c>
      <c r="BT870" s="13">
        <f t="shared" si="1013"/>
        <v>0</v>
      </c>
      <c r="BU870" s="13">
        <f t="shared" si="1013"/>
        <v>0</v>
      </c>
      <c r="BV870" s="13">
        <f t="shared" si="1013"/>
        <v>0</v>
      </c>
      <c r="BW870" s="13">
        <f t="shared" si="1013"/>
        <v>0</v>
      </c>
      <c r="BY870" s="12"/>
      <c r="CA870" s="12"/>
      <c r="CJ870" s="162"/>
      <c r="CR870" s="12"/>
      <c r="EX870" s="13" t="str">
        <f t="shared" ca="1" si="1000"/>
        <v>Interest Payment Loan 20</v>
      </c>
    </row>
    <row r="871" spans="1:154" ht="6.6" customHeight="1" x14ac:dyDescent="0.25">
      <c r="C871" s="380"/>
      <c r="D871" s="1"/>
      <c r="E871" s="11"/>
      <c r="S871" s="335"/>
      <c r="T871" s="335"/>
      <c r="U871" s="335"/>
      <c r="Z871" s="67"/>
      <c r="BK871" s="67"/>
      <c r="BM871" s="6"/>
      <c r="BY871" s="42"/>
      <c r="CA871" s="42"/>
      <c r="CJ871" s="162"/>
      <c r="CR871" s="42"/>
      <c r="EX871" s="10" t="str">
        <f t="shared" si="967"/>
        <v/>
      </c>
    </row>
    <row r="872" spans="1:154" x14ac:dyDescent="0.25">
      <c r="C872" s="380"/>
      <c r="D872" s="61" t="s">
        <v>224</v>
      </c>
      <c r="E872" s="11"/>
      <c r="S872" s="335"/>
      <c r="T872" s="335"/>
      <c r="U872" s="335"/>
      <c r="AA872" s="335"/>
      <c r="BY872" s="12"/>
      <c r="CA872" s="12"/>
      <c r="CJ872" s="162"/>
      <c r="CR872" s="12"/>
      <c r="EX872" s="10" t="str">
        <f t="shared" si="967"/>
        <v/>
      </c>
    </row>
    <row r="873" spans="1:154" ht="30" x14ac:dyDescent="0.25">
      <c r="A873" s="67"/>
      <c r="B873" s="5" t="s">
        <v>551</v>
      </c>
      <c r="C873" s="380"/>
      <c r="D873" s="5" t="s">
        <v>180</v>
      </c>
      <c r="E873" s="5" t="s">
        <v>179</v>
      </c>
      <c r="F873" s="27" t="s">
        <v>560</v>
      </c>
      <c r="S873" s="335"/>
      <c r="T873" s="335"/>
      <c r="U873" s="335"/>
      <c r="AA873" s="335"/>
      <c r="BY873" s="12"/>
      <c r="CA873" s="12"/>
      <c r="CJ873" s="162"/>
      <c r="CR873" s="12"/>
      <c r="EX873" s="10" t="str">
        <f t="shared" si="967"/>
        <v/>
      </c>
    </row>
    <row r="874" spans="1:154" x14ac:dyDescent="0.25">
      <c r="A874" s="67"/>
      <c r="B874" s="84" t="str" cm="1">
        <f t="array" aca="1" ref="B874" ca="1">HYPERLINK(CONCATENATE("#",CELL("address",$D$47)),$D$47)</f>
        <v>Loan 1</v>
      </c>
      <c r="C874" s="340" t="s">
        <v>1313</v>
      </c>
      <c r="D874" s="221" t="str">
        <f>D$13</f>
        <v>NatWest</v>
      </c>
      <c r="E874" s="60" t="str">
        <f>E$13</f>
        <v xml:space="preserve">Commercial </v>
      </c>
      <c r="F874" s="201">
        <f>P$13</f>
        <v>0</v>
      </c>
      <c r="G874" s="9"/>
      <c r="H874" s="50" t="s">
        <v>157</v>
      </c>
      <c r="I874" s="65"/>
      <c r="S874" s="335"/>
      <c r="T874" s="335"/>
      <c r="U874" s="335"/>
      <c r="V874" s="201">
        <f t="shared" ref="V874:Y893" si="1022">IF($F874=1, V801, V592)</f>
        <v>0</v>
      </c>
      <c r="W874" s="10">
        <f t="shared" si="1022"/>
        <v>0</v>
      </c>
      <c r="X874" s="201">
        <f t="shared" si="1022"/>
        <v>0</v>
      </c>
      <c r="Y874" s="201">
        <f t="shared" si="1022"/>
        <v>0</v>
      </c>
      <c r="Z874" s="67"/>
      <c r="AA874" s="10">
        <f t="shared" ref="AA874:BJ874" si="1023">IF($F874=1, AA801, AA592)</f>
        <v>0</v>
      </c>
      <c r="AB874" s="10">
        <f t="shared" si="1023"/>
        <v>0</v>
      </c>
      <c r="AC874" s="10">
        <f t="shared" si="1023"/>
        <v>0</v>
      </c>
      <c r="AD874" s="10">
        <f t="shared" si="1023"/>
        <v>0</v>
      </c>
      <c r="AE874" s="10">
        <f t="shared" si="1023"/>
        <v>0</v>
      </c>
      <c r="AF874" s="10">
        <f t="shared" si="1023"/>
        <v>0</v>
      </c>
      <c r="AG874" s="10">
        <f t="shared" si="1023"/>
        <v>0</v>
      </c>
      <c r="AH874" s="10">
        <f t="shared" si="1023"/>
        <v>0</v>
      </c>
      <c r="AI874" s="10">
        <f t="shared" si="1023"/>
        <v>0</v>
      </c>
      <c r="AJ874" s="10">
        <f t="shared" si="1023"/>
        <v>0</v>
      </c>
      <c r="AK874" s="10">
        <f t="shared" si="1023"/>
        <v>0</v>
      </c>
      <c r="AL874" s="10">
        <f t="shared" si="1023"/>
        <v>0</v>
      </c>
      <c r="AM874" s="10">
        <f t="shared" si="1023"/>
        <v>0</v>
      </c>
      <c r="AN874" s="10">
        <f t="shared" si="1023"/>
        <v>0</v>
      </c>
      <c r="AO874" s="10">
        <f t="shared" si="1023"/>
        <v>0</v>
      </c>
      <c r="AP874" s="10">
        <f t="shared" si="1023"/>
        <v>0</v>
      </c>
      <c r="AQ874" s="10">
        <f t="shared" si="1023"/>
        <v>0</v>
      </c>
      <c r="AR874" s="10">
        <f t="shared" si="1023"/>
        <v>0</v>
      </c>
      <c r="AS874" s="10">
        <f t="shared" si="1023"/>
        <v>0</v>
      </c>
      <c r="AT874" s="10">
        <f t="shared" si="1023"/>
        <v>0</v>
      </c>
      <c r="AU874" s="10">
        <f t="shared" si="1023"/>
        <v>0</v>
      </c>
      <c r="AV874" s="10">
        <f t="shared" si="1023"/>
        <v>0</v>
      </c>
      <c r="AW874" s="10">
        <f t="shared" si="1023"/>
        <v>0</v>
      </c>
      <c r="AX874" s="10">
        <f t="shared" si="1023"/>
        <v>0</v>
      </c>
      <c r="AY874" s="10">
        <f t="shared" si="1023"/>
        <v>0</v>
      </c>
      <c r="AZ874" s="10">
        <f t="shared" si="1023"/>
        <v>0</v>
      </c>
      <c r="BA874" s="10">
        <f t="shared" si="1023"/>
        <v>0</v>
      </c>
      <c r="BB874" s="10">
        <f t="shared" si="1023"/>
        <v>0</v>
      </c>
      <c r="BC874" s="10">
        <f t="shared" si="1023"/>
        <v>0</v>
      </c>
      <c r="BD874" s="10">
        <f t="shared" si="1023"/>
        <v>0</v>
      </c>
      <c r="BE874" s="10">
        <f t="shared" si="1023"/>
        <v>0</v>
      </c>
      <c r="BF874" s="10">
        <f t="shared" si="1023"/>
        <v>0</v>
      </c>
      <c r="BG874" s="10">
        <f t="shared" si="1023"/>
        <v>0</v>
      </c>
      <c r="BH874" s="10">
        <f t="shared" si="1023"/>
        <v>0</v>
      </c>
      <c r="BI874" s="10">
        <f t="shared" si="1023"/>
        <v>0</v>
      </c>
      <c r="BJ874" s="10">
        <f t="shared" si="1023"/>
        <v>0</v>
      </c>
      <c r="BK874" s="67"/>
      <c r="BL874" s="10">
        <f t="shared" ref="BL874:BO893" si="1024">IF($F874=1, BL801, BL592)</f>
        <v>0</v>
      </c>
      <c r="BM874" s="10">
        <f t="shared" si="1024"/>
        <v>0</v>
      </c>
      <c r="BN874" s="10">
        <f t="shared" si="1024"/>
        <v>0</v>
      </c>
      <c r="BO874" s="10">
        <f t="shared" si="1024"/>
        <v>0</v>
      </c>
      <c r="BP874" s="13">
        <f>IF(AND(ISBLANK(BP$58),ISBLANK(BP$59)),BO874,BP$60)</f>
        <v>0</v>
      </c>
      <c r="BQ874" s="13">
        <f t="shared" ref="BQ874:BW874" si="1025">IF(AND(ISBLANK(BQ$58),ISBLANK(BQ$59)),BP874,BQ$60)</f>
        <v>0</v>
      </c>
      <c r="BR874" s="13">
        <f t="shared" si="1025"/>
        <v>0</v>
      </c>
      <c r="BS874" s="13">
        <f t="shared" si="1025"/>
        <v>0</v>
      </c>
      <c r="BT874" s="13">
        <f t="shared" si="1025"/>
        <v>0</v>
      </c>
      <c r="BU874" s="13">
        <f>IF(AND(ISBLANK(BU$58),ISBLANK(BU$59)),BT874,BU$60)</f>
        <v>0</v>
      </c>
      <c r="BV874" s="13">
        <f t="shared" si="1025"/>
        <v>0</v>
      </c>
      <c r="BW874" s="13">
        <f t="shared" si="1025"/>
        <v>0</v>
      </c>
      <c r="BY874" s="12"/>
      <c r="CA874" s="12"/>
      <c r="CJ874" s="162"/>
      <c r="CR874" s="12"/>
      <c r="EX874" s="13" t="str">
        <f t="shared" ref="EX874:EX893" ca="1" si="1026">IF($C874="","",CONCATENATE(D$872," ", $B874))</f>
        <v>Interest Payable Closing Balance Loan 1</v>
      </c>
    </row>
    <row r="875" spans="1:154" x14ac:dyDescent="0.25">
      <c r="A875" s="67"/>
      <c r="B875" s="84" t="str" cm="1">
        <f t="array" aca="1" ref="B875" ca="1">HYPERLINK(CONCATENATE("#",CELL("address",$D$66)),$D$66)</f>
        <v>Loan 2</v>
      </c>
      <c r="C875" s="340" t="s">
        <v>1314</v>
      </c>
      <c r="D875" s="60" t="str">
        <f>D$14</f>
        <v>NatWest</v>
      </c>
      <c r="E875" s="60" t="str">
        <f>E$14</f>
        <v xml:space="preserve">Commercial </v>
      </c>
      <c r="F875" s="10">
        <f>P$14</f>
        <v>0</v>
      </c>
      <c r="G875" s="9"/>
      <c r="H875" s="50" t="s">
        <v>157</v>
      </c>
      <c r="S875" s="335"/>
      <c r="T875" s="335"/>
      <c r="U875" s="335"/>
      <c r="V875" s="201">
        <f t="shared" si="1022"/>
        <v>0</v>
      </c>
      <c r="W875" s="10">
        <f t="shared" si="1022"/>
        <v>0</v>
      </c>
      <c r="X875" s="10">
        <f t="shared" si="1022"/>
        <v>0</v>
      </c>
      <c r="Y875" s="10">
        <f t="shared" si="1022"/>
        <v>0</v>
      </c>
      <c r="Z875" s="67"/>
      <c r="AA875" s="10">
        <f t="shared" ref="AA875:BJ875" si="1027">IF($F875=1, AA802, AA593)</f>
        <v>0</v>
      </c>
      <c r="AB875" s="10">
        <f t="shared" si="1027"/>
        <v>0</v>
      </c>
      <c r="AC875" s="10">
        <f t="shared" si="1027"/>
        <v>0</v>
      </c>
      <c r="AD875" s="10">
        <f t="shared" si="1027"/>
        <v>0</v>
      </c>
      <c r="AE875" s="10">
        <f t="shared" si="1027"/>
        <v>0</v>
      </c>
      <c r="AF875" s="10">
        <f t="shared" si="1027"/>
        <v>0</v>
      </c>
      <c r="AG875" s="10">
        <f t="shared" si="1027"/>
        <v>0</v>
      </c>
      <c r="AH875" s="10">
        <f t="shared" si="1027"/>
        <v>0</v>
      </c>
      <c r="AI875" s="10">
        <f t="shared" si="1027"/>
        <v>0</v>
      </c>
      <c r="AJ875" s="10">
        <f t="shared" si="1027"/>
        <v>0</v>
      </c>
      <c r="AK875" s="10">
        <f t="shared" si="1027"/>
        <v>0</v>
      </c>
      <c r="AL875" s="10">
        <f t="shared" si="1027"/>
        <v>0</v>
      </c>
      <c r="AM875" s="10">
        <f t="shared" si="1027"/>
        <v>0</v>
      </c>
      <c r="AN875" s="10">
        <f t="shared" si="1027"/>
        <v>0</v>
      </c>
      <c r="AO875" s="10">
        <f t="shared" si="1027"/>
        <v>0</v>
      </c>
      <c r="AP875" s="10">
        <f t="shared" si="1027"/>
        <v>0</v>
      </c>
      <c r="AQ875" s="10">
        <f t="shared" si="1027"/>
        <v>0</v>
      </c>
      <c r="AR875" s="10">
        <f t="shared" si="1027"/>
        <v>0</v>
      </c>
      <c r="AS875" s="10">
        <f t="shared" si="1027"/>
        <v>0</v>
      </c>
      <c r="AT875" s="10">
        <f t="shared" si="1027"/>
        <v>0</v>
      </c>
      <c r="AU875" s="10">
        <f t="shared" si="1027"/>
        <v>0</v>
      </c>
      <c r="AV875" s="10">
        <f t="shared" si="1027"/>
        <v>0</v>
      </c>
      <c r="AW875" s="10">
        <f t="shared" si="1027"/>
        <v>0</v>
      </c>
      <c r="AX875" s="10">
        <f t="shared" si="1027"/>
        <v>0</v>
      </c>
      <c r="AY875" s="10">
        <f t="shared" si="1027"/>
        <v>0</v>
      </c>
      <c r="AZ875" s="10">
        <f t="shared" si="1027"/>
        <v>0</v>
      </c>
      <c r="BA875" s="10">
        <f t="shared" si="1027"/>
        <v>0</v>
      </c>
      <c r="BB875" s="10">
        <f t="shared" si="1027"/>
        <v>0</v>
      </c>
      <c r="BC875" s="10">
        <f t="shared" si="1027"/>
        <v>0</v>
      </c>
      <c r="BD875" s="10">
        <f t="shared" si="1027"/>
        <v>0</v>
      </c>
      <c r="BE875" s="10">
        <f t="shared" si="1027"/>
        <v>0</v>
      </c>
      <c r="BF875" s="10">
        <f t="shared" si="1027"/>
        <v>0</v>
      </c>
      <c r="BG875" s="10">
        <f t="shared" si="1027"/>
        <v>0</v>
      </c>
      <c r="BH875" s="10">
        <f t="shared" si="1027"/>
        <v>0</v>
      </c>
      <c r="BI875" s="10">
        <f t="shared" si="1027"/>
        <v>0</v>
      </c>
      <c r="BJ875" s="10">
        <f t="shared" si="1027"/>
        <v>0</v>
      </c>
      <c r="BK875" s="67"/>
      <c r="BL875" s="10">
        <f t="shared" si="1024"/>
        <v>0</v>
      </c>
      <c r="BM875" s="10">
        <f t="shared" si="1024"/>
        <v>0</v>
      </c>
      <c r="BN875" s="10">
        <f t="shared" si="1024"/>
        <v>0</v>
      </c>
      <c r="BO875" s="10">
        <f t="shared" si="1024"/>
        <v>0</v>
      </c>
      <c r="BP875" s="13">
        <f t="shared" ref="BP875" si="1028">IF(AND(ISBLANK(BP$77),ISBLANK(BP$78)),BO875,BP$79)</f>
        <v>0</v>
      </c>
      <c r="BQ875" s="13">
        <f t="shared" ref="BQ875:BW875" si="1029">IF(AND(ISBLANK(BQ$77),ISBLANK(BQ$78)),BP875,BQ$79)</f>
        <v>0</v>
      </c>
      <c r="BR875" s="13">
        <f t="shared" si="1029"/>
        <v>0</v>
      </c>
      <c r="BS875" s="13">
        <f t="shared" si="1029"/>
        <v>0</v>
      </c>
      <c r="BT875" s="13">
        <f t="shared" si="1029"/>
        <v>0</v>
      </c>
      <c r="BU875" s="13">
        <f t="shared" si="1029"/>
        <v>0</v>
      </c>
      <c r="BV875" s="13">
        <f t="shared" si="1029"/>
        <v>0</v>
      </c>
      <c r="BW875" s="13">
        <f t="shared" si="1029"/>
        <v>0</v>
      </c>
      <c r="BY875" s="12"/>
      <c r="CA875" s="12"/>
      <c r="CJ875" s="162"/>
      <c r="CR875" s="12"/>
      <c r="EX875" s="13" t="str">
        <f t="shared" ca="1" si="1026"/>
        <v>Interest Payable Closing Balance Loan 2</v>
      </c>
    </row>
    <row r="876" spans="1:154" x14ac:dyDescent="0.25">
      <c r="A876" s="67"/>
      <c r="B876" s="84" t="str" cm="1">
        <f t="array" aca="1" ref="B876" ca="1">HYPERLINK(CONCATENATE("#",CELL("address",$D$85)),$D$85)</f>
        <v>Loan 3</v>
      </c>
      <c r="C876" s="340" t="s">
        <v>1315</v>
      </c>
      <c r="D876" s="60" t="str">
        <f>D$15</f>
        <v>NatWest</v>
      </c>
      <c r="E876" s="60" t="str">
        <f>E$15</f>
        <v xml:space="preserve">Commercial </v>
      </c>
      <c r="F876" s="10">
        <f>P$15</f>
        <v>0</v>
      </c>
      <c r="G876" s="9"/>
      <c r="H876" s="50" t="s">
        <v>157</v>
      </c>
      <c r="S876" s="335"/>
      <c r="T876" s="335"/>
      <c r="U876" s="335"/>
      <c r="V876" s="201">
        <f t="shared" si="1022"/>
        <v>0</v>
      </c>
      <c r="W876" s="10">
        <f t="shared" si="1022"/>
        <v>0</v>
      </c>
      <c r="X876" s="10">
        <f t="shared" si="1022"/>
        <v>0</v>
      </c>
      <c r="Y876" s="10">
        <f t="shared" si="1022"/>
        <v>0</v>
      </c>
      <c r="Z876" s="67"/>
      <c r="AA876" s="10">
        <f t="shared" ref="AA876:BJ876" si="1030">IF($F876=1, AA803, AA594)</f>
        <v>0</v>
      </c>
      <c r="AB876" s="10">
        <f t="shared" si="1030"/>
        <v>0</v>
      </c>
      <c r="AC876" s="10">
        <f t="shared" si="1030"/>
        <v>0</v>
      </c>
      <c r="AD876" s="10">
        <f t="shared" si="1030"/>
        <v>0</v>
      </c>
      <c r="AE876" s="10">
        <f t="shared" si="1030"/>
        <v>0</v>
      </c>
      <c r="AF876" s="10">
        <f t="shared" si="1030"/>
        <v>0</v>
      </c>
      <c r="AG876" s="10">
        <f t="shared" si="1030"/>
        <v>0</v>
      </c>
      <c r="AH876" s="10">
        <f t="shared" si="1030"/>
        <v>0</v>
      </c>
      <c r="AI876" s="10">
        <f t="shared" si="1030"/>
        <v>0</v>
      </c>
      <c r="AJ876" s="10">
        <f t="shared" si="1030"/>
        <v>0</v>
      </c>
      <c r="AK876" s="10">
        <f t="shared" si="1030"/>
        <v>0</v>
      </c>
      <c r="AL876" s="10">
        <f t="shared" si="1030"/>
        <v>0</v>
      </c>
      <c r="AM876" s="10">
        <f t="shared" si="1030"/>
        <v>0</v>
      </c>
      <c r="AN876" s="10">
        <f t="shared" si="1030"/>
        <v>0</v>
      </c>
      <c r="AO876" s="10">
        <f t="shared" si="1030"/>
        <v>0</v>
      </c>
      <c r="AP876" s="10">
        <f t="shared" si="1030"/>
        <v>0</v>
      </c>
      <c r="AQ876" s="10">
        <f t="shared" si="1030"/>
        <v>0</v>
      </c>
      <c r="AR876" s="10">
        <f t="shared" si="1030"/>
        <v>0</v>
      </c>
      <c r="AS876" s="10">
        <f t="shared" si="1030"/>
        <v>0</v>
      </c>
      <c r="AT876" s="10">
        <f t="shared" si="1030"/>
        <v>0</v>
      </c>
      <c r="AU876" s="10">
        <f t="shared" si="1030"/>
        <v>0</v>
      </c>
      <c r="AV876" s="10">
        <f t="shared" si="1030"/>
        <v>0</v>
      </c>
      <c r="AW876" s="10">
        <f t="shared" si="1030"/>
        <v>0</v>
      </c>
      <c r="AX876" s="10">
        <f t="shared" si="1030"/>
        <v>0</v>
      </c>
      <c r="AY876" s="10">
        <f t="shared" si="1030"/>
        <v>0</v>
      </c>
      <c r="AZ876" s="10">
        <f t="shared" si="1030"/>
        <v>0</v>
      </c>
      <c r="BA876" s="10">
        <f t="shared" si="1030"/>
        <v>0</v>
      </c>
      <c r="BB876" s="10">
        <f t="shared" si="1030"/>
        <v>0</v>
      </c>
      <c r="BC876" s="10">
        <f t="shared" si="1030"/>
        <v>0</v>
      </c>
      <c r="BD876" s="10">
        <f t="shared" si="1030"/>
        <v>0</v>
      </c>
      <c r="BE876" s="10">
        <f t="shared" si="1030"/>
        <v>0</v>
      </c>
      <c r="BF876" s="10">
        <f t="shared" si="1030"/>
        <v>0</v>
      </c>
      <c r="BG876" s="10">
        <f t="shared" si="1030"/>
        <v>0</v>
      </c>
      <c r="BH876" s="10">
        <f t="shared" si="1030"/>
        <v>0</v>
      </c>
      <c r="BI876" s="10">
        <f t="shared" si="1030"/>
        <v>0</v>
      </c>
      <c r="BJ876" s="10">
        <f t="shared" si="1030"/>
        <v>0</v>
      </c>
      <c r="BK876" s="67"/>
      <c r="BL876" s="10">
        <f t="shared" si="1024"/>
        <v>0</v>
      </c>
      <c r="BM876" s="10">
        <f t="shared" si="1024"/>
        <v>0</v>
      </c>
      <c r="BN876" s="10">
        <f t="shared" si="1024"/>
        <v>0</v>
      </c>
      <c r="BO876" s="10">
        <f t="shared" si="1024"/>
        <v>0</v>
      </c>
      <c r="BP876" s="13">
        <f t="shared" ref="BP876" si="1031">IF(AND(ISBLANK(BP$96),ISBLANK(BP$97)),BO876,BP$98)</f>
        <v>0</v>
      </c>
      <c r="BQ876" s="13">
        <f t="shared" ref="BQ876:BW876" si="1032">IF(AND(ISBLANK(BQ$96),ISBLANK(BQ$97)),BP876,BQ$98)</f>
        <v>0</v>
      </c>
      <c r="BR876" s="13">
        <f t="shared" si="1032"/>
        <v>0</v>
      </c>
      <c r="BS876" s="13">
        <f t="shared" si="1032"/>
        <v>0</v>
      </c>
      <c r="BT876" s="13">
        <f t="shared" si="1032"/>
        <v>0</v>
      </c>
      <c r="BU876" s="13">
        <f t="shared" si="1032"/>
        <v>0</v>
      </c>
      <c r="BV876" s="13">
        <f t="shared" si="1032"/>
        <v>0</v>
      </c>
      <c r="BW876" s="13">
        <f t="shared" si="1032"/>
        <v>0</v>
      </c>
      <c r="BY876" s="12"/>
      <c r="CA876" s="12"/>
      <c r="CJ876" s="162"/>
      <c r="CR876" s="12"/>
      <c r="EX876" s="13" t="str">
        <f t="shared" ca="1" si="1026"/>
        <v>Interest Payable Closing Balance Loan 3</v>
      </c>
    </row>
    <row r="877" spans="1:154" x14ac:dyDescent="0.25">
      <c r="A877" s="67"/>
      <c r="B877" s="84" t="str" cm="1">
        <f t="array" aca="1" ref="B877" ca="1">HYPERLINK(CONCATENATE("#",CELL("address",$D$104)),$D$104)</f>
        <v>Loan 4</v>
      </c>
      <c r="C877" s="340" t="s">
        <v>1316</v>
      </c>
      <c r="D877" s="60" t="str">
        <f>D$16</f>
        <v>NatWest</v>
      </c>
      <c r="E877" s="60" t="str">
        <f>E$16</f>
        <v xml:space="preserve">Commercial </v>
      </c>
      <c r="F877" s="10">
        <f>P$16</f>
        <v>0</v>
      </c>
      <c r="G877" s="9"/>
      <c r="H877" s="50" t="s">
        <v>157</v>
      </c>
      <c r="S877" s="335"/>
      <c r="T877" s="335"/>
      <c r="U877" s="335"/>
      <c r="V877" s="201">
        <f t="shared" si="1022"/>
        <v>0</v>
      </c>
      <c r="W877" s="10">
        <f t="shared" si="1022"/>
        <v>0</v>
      </c>
      <c r="X877" s="10">
        <f t="shared" si="1022"/>
        <v>0</v>
      </c>
      <c r="Y877" s="10">
        <f t="shared" si="1022"/>
        <v>0</v>
      </c>
      <c r="Z877" s="67"/>
      <c r="AA877" s="10">
        <f t="shared" ref="AA877:BJ877" si="1033">IF($F877=1, AA804, AA595)</f>
        <v>0</v>
      </c>
      <c r="AB877" s="10">
        <f t="shared" si="1033"/>
        <v>0</v>
      </c>
      <c r="AC877" s="10">
        <f t="shared" si="1033"/>
        <v>0</v>
      </c>
      <c r="AD877" s="10">
        <f t="shared" si="1033"/>
        <v>0</v>
      </c>
      <c r="AE877" s="10">
        <f t="shared" si="1033"/>
        <v>0</v>
      </c>
      <c r="AF877" s="10">
        <f t="shared" si="1033"/>
        <v>0</v>
      </c>
      <c r="AG877" s="10">
        <f t="shared" si="1033"/>
        <v>0</v>
      </c>
      <c r="AH877" s="10">
        <f t="shared" si="1033"/>
        <v>0</v>
      </c>
      <c r="AI877" s="10">
        <f t="shared" si="1033"/>
        <v>0</v>
      </c>
      <c r="AJ877" s="10">
        <f t="shared" si="1033"/>
        <v>0</v>
      </c>
      <c r="AK877" s="10">
        <f t="shared" si="1033"/>
        <v>0</v>
      </c>
      <c r="AL877" s="10">
        <f t="shared" si="1033"/>
        <v>0</v>
      </c>
      <c r="AM877" s="10">
        <f t="shared" si="1033"/>
        <v>0</v>
      </c>
      <c r="AN877" s="10">
        <f t="shared" si="1033"/>
        <v>0</v>
      </c>
      <c r="AO877" s="10">
        <f t="shared" si="1033"/>
        <v>0</v>
      </c>
      <c r="AP877" s="10">
        <f t="shared" si="1033"/>
        <v>0</v>
      </c>
      <c r="AQ877" s="10">
        <f t="shared" si="1033"/>
        <v>0</v>
      </c>
      <c r="AR877" s="10">
        <f t="shared" si="1033"/>
        <v>0</v>
      </c>
      <c r="AS877" s="10">
        <f t="shared" si="1033"/>
        <v>0</v>
      </c>
      <c r="AT877" s="10">
        <f t="shared" si="1033"/>
        <v>0</v>
      </c>
      <c r="AU877" s="10">
        <f t="shared" si="1033"/>
        <v>0</v>
      </c>
      <c r="AV877" s="10">
        <f t="shared" si="1033"/>
        <v>0</v>
      </c>
      <c r="AW877" s="10">
        <f t="shared" si="1033"/>
        <v>0</v>
      </c>
      <c r="AX877" s="10">
        <f t="shared" si="1033"/>
        <v>0</v>
      </c>
      <c r="AY877" s="10">
        <f t="shared" si="1033"/>
        <v>0</v>
      </c>
      <c r="AZ877" s="10">
        <f t="shared" si="1033"/>
        <v>0</v>
      </c>
      <c r="BA877" s="10">
        <f t="shared" si="1033"/>
        <v>0</v>
      </c>
      <c r="BB877" s="10">
        <f t="shared" si="1033"/>
        <v>0</v>
      </c>
      <c r="BC877" s="10">
        <f t="shared" si="1033"/>
        <v>0</v>
      </c>
      <c r="BD877" s="10">
        <f t="shared" si="1033"/>
        <v>0</v>
      </c>
      <c r="BE877" s="10">
        <f t="shared" si="1033"/>
        <v>0</v>
      </c>
      <c r="BF877" s="10">
        <f t="shared" si="1033"/>
        <v>0</v>
      </c>
      <c r="BG877" s="10">
        <f t="shared" si="1033"/>
        <v>0</v>
      </c>
      <c r="BH877" s="10">
        <f t="shared" si="1033"/>
        <v>0</v>
      </c>
      <c r="BI877" s="10">
        <f t="shared" si="1033"/>
        <v>0</v>
      </c>
      <c r="BJ877" s="10">
        <f t="shared" si="1033"/>
        <v>0</v>
      </c>
      <c r="BK877" s="67"/>
      <c r="BL877" s="10">
        <f t="shared" si="1024"/>
        <v>0</v>
      </c>
      <c r="BM877" s="10">
        <f t="shared" si="1024"/>
        <v>0</v>
      </c>
      <c r="BN877" s="10">
        <f t="shared" si="1024"/>
        <v>0</v>
      </c>
      <c r="BO877" s="10">
        <f t="shared" si="1024"/>
        <v>0</v>
      </c>
      <c r="BP877" s="13">
        <f t="shared" ref="BP877:BW877" si="1034">IF(AND(ISBLANK(BP$115),ISBLANK(BP$116)),BO877,BP$117)</f>
        <v>0</v>
      </c>
      <c r="BQ877" s="13">
        <f t="shared" si="1034"/>
        <v>0</v>
      </c>
      <c r="BR877" s="13">
        <f t="shared" si="1034"/>
        <v>0</v>
      </c>
      <c r="BS877" s="13">
        <f t="shared" si="1034"/>
        <v>0</v>
      </c>
      <c r="BT877" s="13">
        <f t="shared" si="1034"/>
        <v>0</v>
      </c>
      <c r="BU877" s="13">
        <f t="shared" si="1034"/>
        <v>0</v>
      </c>
      <c r="BV877" s="13">
        <f t="shared" si="1034"/>
        <v>0</v>
      </c>
      <c r="BW877" s="13">
        <f t="shared" si="1034"/>
        <v>0</v>
      </c>
      <c r="BY877" s="12"/>
      <c r="CA877" s="12"/>
      <c r="CJ877" s="162"/>
      <c r="CR877" s="12"/>
      <c r="EX877" s="13" t="str">
        <f t="shared" ca="1" si="1026"/>
        <v>Interest Payable Closing Balance Loan 4</v>
      </c>
    </row>
    <row r="878" spans="1:154" x14ac:dyDescent="0.25">
      <c r="A878" s="67"/>
      <c r="B878" s="84" t="str" cm="1">
        <f t="array" aca="1" ref="B878" ca="1">HYPERLINK(CONCATENATE("#",CELL("address",$D$123)),$D$123)</f>
        <v>Loan 5</v>
      </c>
      <c r="C878" s="340" t="s">
        <v>1317</v>
      </c>
      <c r="D878" s="60" t="str">
        <f>D$17</f>
        <v>NatWest</v>
      </c>
      <c r="E878" s="60" t="str">
        <f>E$17</f>
        <v xml:space="preserve">Commercial </v>
      </c>
      <c r="F878" s="10">
        <f>P$17</f>
        <v>0</v>
      </c>
      <c r="G878" s="9"/>
      <c r="H878" s="50" t="s">
        <v>157</v>
      </c>
      <c r="S878" s="335"/>
      <c r="T878" s="335"/>
      <c r="U878" s="335"/>
      <c r="V878" s="201">
        <f t="shared" si="1022"/>
        <v>0</v>
      </c>
      <c r="W878" s="10">
        <f t="shared" si="1022"/>
        <v>0</v>
      </c>
      <c r="X878" s="201">
        <f t="shared" si="1022"/>
        <v>0</v>
      </c>
      <c r="Y878" s="201">
        <f t="shared" si="1022"/>
        <v>0</v>
      </c>
      <c r="Z878" s="67"/>
      <c r="AA878" s="10">
        <f t="shared" ref="AA878:BJ878" si="1035">IF($F878=1, AA805, AA596)</f>
        <v>0</v>
      </c>
      <c r="AB878" s="10">
        <f t="shared" si="1035"/>
        <v>0</v>
      </c>
      <c r="AC878" s="10">
        <f t="shared" si="1035"/>
        <v>0</v>
      </c>
      <c r="AD878" s="10">
        <f t="shared" si="1035"/>
        <v>0</v>
      </c>
      <c r="AE878" s="10">
        <f t="shared" si="1035"/>
        <v>0</v>
      </c>
      <c r="AF878" s="10">
        <f t="shared" si="1035"/>
        <v>0</v>
      </c>
      <c r="AG878" s="10">
        <f t="shared" si="1035"/>
        <v>0</v>
      </c>
      <c r="AH878" s="10">
        <f t="shared" si="1035"/>
        <v>0</v>
      </c>
      <c r="AI878" s="10">
        <f t="shared" si="1035"/>
        <v>0</v>
      </c>
      <c r="AJ878" s="10">
        <f t="shared" si="1035"/>
        <v>0</v>
      </c>
      <c r="AK878" s="10">
        <f t="shared" si="1035"/>
        <v>0</v>
      </c>
      <c r="AL878" s="10">
        <f t="shared" si="1035"/>
        <v>0</v>
      </c>
      <c r="AM878" s="10">
        <f t="shared" si="1035"/>
        <v>0</v>
      </c>
      <c r="AN878" s="10">
        <f t="shared" si="1035"/>
        <v>0</v>
      </c>
      <c r="AO878" s="10">
        <f t="shared" si="1035"/>
        <v>0</v>
      </c>
      <c r="AP878" s="10">
        <f t="shared" si="1035"/>
        <v>0</v>
      </c>
      <c r="AQ878" s="10">
        <f t="shared" si="1035"/>
        <v>0</v>
      </c>
      <c r="AR878" s="10">
        <f t="shared" si="1035"/>
        <v>0</v>
      </c>
      <c r="AS878" s="10">
        <f t="shared" si="1035"/>
        <v>0</v>
      </c>
      <c r="AT878" s="10">
        <f t="shared" si="1035"/>
        <v>0</v>
      </c>
      <c r="AU878" s="10">
        <f t="shared" si="1035"/>
        <v>0</v>
      </c>
      <c r="AV878" s="10">
        <f t="shared" si="1035"/>
        <v>0</v>
      </c>
      <c r="AW878" s="10">
        <f t="shared" si="1035"/>
        <v>0</v>
      </c>
      <c r="AX878" s="10">
        <f t="shared" si="1035"/>
        <v>0</v>
      </c>
      <c r="AY878" s="10">
        <f t="shared" si="1035"/>
        <v>0</v>
      </c>
      <c r="AZ878" s="10">
        <f t="shared" si="1035"/>
        <v>0</v>
      </c>
      <c r="BA878" s="10">
        <f t="shared" si="1035"/>
        <v>0</v>
      </c>
      <c r="BB878" s="10">
        <f t="shared" si="1035"/>
        <v>0</v>
      </c>
      <c r="BC878" s="10">
        <f t="shared" si="1035"/>
        <v>0</v>
      </c>
      <c r="BD878" s="10">
        <f t="shared" si="1035"/>
        <v>0</v>
      </c>
      <c r="BE878" s="10">
        <f t="shared" si="1035"/>
        <v>0</v>
      </c>
      <c r="BF878" s="10">
        <f t="shared" si="1035"/>
        <v>0</v>
      </c>
      <c r="BG878" s="10">
        <f t="shared" si="1035"/>
        <v>0</v>
      </c>
      <c r="BH878" s="10">
        <f t="shared" si="1035"/>
        <v>0</v>
      </c>
      <c r="BI878" s="10">
        <f t="shared" si="1035"/>
        <v>0</v>
      </c>
      <c r="BJ878" s="10">
        <f t="shared" si="1035"/>
        <v>0</v>
      </c>
      <c r="BK878" s="67"/>
      <c r="BL878" s="10">
        <f t="shared" si="1024"/>
        <v>0</v>
      </c>
      <c r="BM878" s="10">
        <f t="shared" si="1024"/>
        <v>0</v>
      </c>
      <c r="BN878" s="10">
        <f t="shared" si="1024"/>
        <v>0</v>
      </c>
      <c r="BO878" s="10">
        <f t="shared" si="1024"/>
        <v>0</v>
      </c>
      <c r="BP878" s="13">
        <f t="shared" ref="BP878:BW878" si="1036">IF(AND(ISBLANK(BP$134),ISBLANK(BP$135)),BO878,BP$136)</f>
        <v>0</v>
      </c>
      <c r="BQ878" s="13">
        <f t="shared" si="1036"/>
        <v>0</v>
      </c>
      <c r="BR878" s="13">
        <f t="shared" si="1036"/>
        <v>0</v>
      </c>
      <c r="BS878" s="13">
        <f t="shared" si="1036"/>
        <v>0</v>
      </c>
      <c r="BT878" s="13">
        <f t="shared" si="1036"/>
        <v>0</v>
      </c>
      <c r="BU878" s="13">
        <f t="shared" si="1036"/>
        <v>0</v>
      </c>
      <c r="BV878" s="13">
        <f t="shared" si="1036"/>
        <v>0</v>
      </c>
      <c r="BW878" s="13">
        <f t="shared" si="1036"/>
        <v>0</v>
      </c>
      <c r="BY878" s="12"/>
      <c r="CA878" s="12"/>
      <c r="CJ878" s="162"/>
      <c r="CR878" s="12"/>
      <c r="EX878" s="13" t="str">
        <f t="shared" ca="1" si="1026"/>
        <v>Interest Payable Closing Balance Loan 5</v>
      </c>
    </row>
    <row r="879" spans="1:154" x14ac:dyDescent="0.25">
      <c r="A879" s="67"/>
      <c r="B879" s="84" t="str" cm="1">
        <f t="array" aca="1" ref="B879" ca="1">HYPERLINK(CONCATENATE("#",CELL("address",$D$142)),$D$142)</f>
        <v>Loan 6</v>
      </c>
      <c r="C879" s="340" t="s">
        <v>1318</v>
      </c>
      <c r="D879" s="60">
        <f>D$18</f>
        <v>0</v>
      </c>
      <c r="E879" s="60">
        <f>E$18</f>
        <v>0</v>
      </c>
      <c r="F879" s="10">
        <f>P$18</f>
        <v>0</v>
      </c>
      <c r="G879" s="9"/>
      <c r="H879" s="50" t="s">
        <v>157</v>
      </c>
      <c r="S879" s="335"/>
      <c r="T879" s="335"/>
      <c r="U879" s="335"/>
      <c r="V879" s="201">
        <f t="shared" si="1022"/>
        <v>0</v>
      </c>
      <c r="W879" s="10">
        <f t="shared" si="1022"/>
        <v>0</v>
      </c>
      <c r="X879" s="201">
        <f t="shared" si="1022"/>
        <v>0</v>
      </c>
      <c r="Y879" s="201">
        <f t="shared" si="1022"/>
        <v>0</v>
      </c>
      <c r="Z879" s="67"/>
      <c r="AA879" s="10">
        <f t="shared" ref="AA879:BJ879" si="1037">IF($F879=1, AA806, AA597)</f>
        <v>0</v>
      </c>
      <c r="AB879" s="10">
        <f t="shared" si="1037"/>
        <v>0</v>
      </c>
      <c r="AC879" s="10">
        <f t="shared" si="1037"/>
        <v>0</v>
      </c>
      <c r="AD879" s="10">
        <f t="shared" si="1037"/>
        <v>0</v>
      </c>
      <c r="AE879" s="10">
        <f t="shared" si="1037"/>
        <v>0</v>
      </c>
      <c r="AF879" s="10">
        <f t="shared" si="1037"/>
        <v>0</v>
      </c>
      <c r="AG879" s="10">
        <f t="shared" si="1037"/>
        <v>0</v>
      </c>
      <c r="AH879" s="10">
        <f t="shared" si="1037"/>
        <v>0</v>
      </c>
      <c r="AI879" s="10">
        <f t="shared" si="1037"/>
        <v>0</v>
      </c>
      <c r="AJ879" s="10">
        <f t="shared" si="1037"/>
        <v>0</v>
      </c>
      <c r="AK879" s="10">
        <f t="shared" si="1037"/>
        <v>0</v>
      </c>
      <c r="AL879" s="10">
        <f t="shared" si="1037"/>
        <v>0</v>
      </c>
      <c r="AM879" s="10">
        <f t="shared" si="1037"/>
        <v>0</v>
      </c>
      <c r="AN879" s="10">
        <f t="shared" si="1037"/>
        <v>0</v>
      </c>
      <c r="AO879" s="10">
        <f t="shared" si="1037"/>
        <v>0</v>
      </c>
      <c r="AP879" s="10">
        <f t="shared" si="1037"/>
        <v>0</v>
      </c>
      <c r="AQ879" s="10">
        <f t="shared" si="1037"/>
        <v>0</v>
      </c>
      <c r="AR879" s="10">
        <f t="shared" si="1037"/>
        <v>0</v>
      </c>
      <c r="AS879" s="10">
        <f t="shared" si="1037"/>
        <v>0</v>
      </c>
      <c r="AT879" s="10">
        <f t="shared" si="1037"/>
        <v>0</v>
      </c>
      <c r="AU879" s="10">
        <f t="shared" si="1037"/>
        <v>0</v>
      </c>
      <c r="AV879" s="10">
        <f t="shared" si="1037"/>
        <v>0</v>
      </c>
      <c r="AW879" s="10">
        <f t="shared" si="1037"/>
        <v>0</v>
      </c>
      <c r="AX879" s="10">
        <f t="shared" si="1037"/>
        <v>0</v>
      </c>
      <c r="AY879" s="10">
        <f t="shared" si="1037"/>
        <v>0</v>
      </c>
      <c r="AZ879" s="10">
        <f t="shared" si="1037"/>
        <v>0</v>
      </c>
      <c r="BA879" s="10">
        <f t="shared" si="1037"/>
        <v>0</v>
      </c>
      <c r="BB879" s="10">
        <f t="shared" si="1037"/>
        <v>0</v>
      </c>
      <c r="BC879" s="10">
        <f t="shared" si="1037"/>
        <v>0</v>
      </c>
      <c r="BD879" s="10">
        <f t="shared" si="1037"/>
        <v>0</v>
      </c>
      <c r="BE879" s="10">
        <f t="shared" si="1037"/>
        <v>0</v>
      </c>
      <c r="BF879" s="10">
        <f t="shared" si="1037"/>
        <v>0</v>
      </c>
      <c r="BG879" s="10">
        <f t="shared" si="1037"/>
        <v>0</v>
      </c>
      <c r="BH879" s="10">
        <f t="shared" si="1037"/>
        <v>0</v>
      </c>
      <c r="BI879" s="10">
        <f t="shared" si="1037"/>
        <v>0</v>
      </c>
      <c r="BJ879" s="10">
        <f t="shared" si="1037"/>
        <v>0</v>
      </c>
      <c r="BK879" s="67"/>
      <c r="BL879" s="10">
        <f t="shared" si="1024"/>
        <v>0</v>
      </c>
      <c r="BM879" s="10">
        <f t="shared" si="1024"/>
        <v>0</v>
      </c>
      <c r="BN879" s="10">
        <f t="shared" si="1024"/>
        <v>0</v>
      </c>
      <c r="BO879" s="10">
        <f t="shared" si="1024"/>
        <v>0</v>
      </c>
      <c r="BP879" s="13">
        <f t="shared" ref="BP879:BW879" si="1038">IF(AND(ISBLANK(BP$153),ISBLANK(BP$154)),BO879,BP$155)</f>
        <v>0</v>
      </c>
      <c r="BQ879" s="13">
        <f t="shared" si="1038"/>
        <v>0</v>
      </c>
      <c r="BR879" s="13">
        <f t="shared" si="1038"/>
        <v>0</v>
      </c>
      <c r="BS879" s="13">
        <f t="shared" si="1038"/>
        <v>0</v>
      </c>
      <c r="BT879" s="13">
        <f t="shared" si="1038"/>
        <v>0</v>
      </c>
      <c r="BU879" s="13">
        <f t="shared" si="1038"/>
        <v>0</v>
      </c>
      <c r="BV879" s="13">
        <f t="shared" si="1038"/>
        <v>0</v>
      </c>
      <c r="BW879" s="13">
        <f t="shared" si="1038"/>
        <v>0</v>
      </c>
      <c r="BY879" s="12"/>
      <c r="CA879" s="12"/>
      <c r="CJ879" s="162"/>
      <c r="CR879" s="12"/>
      <c r="EX879" s="13" t="str">
        <f t="shared" ca="1" si="1026"/>
        <v>Interest Payable Closing Balance Loan 6</v>
      </c>
    </row>
    <row r="880" spans="1:154" x14ac:dyDescent="0.25">
      <c r="A880" s="67"/>
      <c r="B880" s="84" t="str" cm="1">
        <f t="array" aca="1" ref="B880" ca="1">HYPERLINK(CONCATENATE("#",CELL("address",$D$161)),$D$161)</f>
        <v>Loan 7</v>
      </c>
      <c r="C880" s="340" t="s">
        <v>1319</v>
      </c>
      <c r="D880" s="60">
        <f>D$19</f>
        <v>0</v>
      </c>
      <c r="E880" s="60">
        <f>E$19</f>
        <v>0</v>
      </c>
      <c r="F880" s="10">
        <f>P$19</f>
        <v>0</v>
      </c>
      <c r="G880" s="9"/>
      <c r="H880" s="50" t="s">
        <v>157</v>
      </c>
      <c r="S880" s="335"/>
      <c r="T880" s="335"/>
      <c r="U880" s="335"/>
      <c r="V880" s="201">
        <f t="shared" si="1022"/>
        <v>0</v>
      </c>
      <c r="W880" s="10">
        <f t="shared" si="1022"/>
        <v>0</v>
      </c>
      <c r="X880" s="201">
        <f t="shared" si="1022"/>
        <v>0</v>
      </c>
      <c r="Y880" s="201">
        <f t="shared" si="1022"/>
        <v>0</v>
      </c>
      <c r="Z880" s="67"/>
      <c r="AA880" s="10">
        <f t="shared" ref="AA880:BJ880" si="1039">IF($F880=1, AA807, AA598)</f>
        <v>0</v>
      </c>
      <c r="AB880" s="10">
        <f t="shared" si="1039"/>
        <v>0</v>
      </c>
      <c r="AC880" s="10">
        <f t="shared" si="1039"/>
        <v>0</v>
      </c>
      <c r="AD880" s="10">
        <f t="shared" si="1039"/>
        <v>0</v>
      </c>
      <c r="AE880" s="10">
        <f t="shared" si="1039"/>
        <v>0</v>
      </c>
      <c r="AF880" s="10">
        <f t="shared" si="1039"/>
        <v>0</v>
      </c>
      <c r="AG880" s="10">
        <f t="shared" si="1039"/>
        <v>0</v>
      </c>
      <c r="AH880" s="10">
        <f t="shared" si="1039"/>
        <v>0</v>
      </c>
      <c r="AI880" s="10">
        <f t="shared" si="1039"/>
        <v>0</v>
      </c>
      <c r="AJ880" s="10">
        <f t="shared" si="1039"/>
        <v>0</v>
      </c>
      <c r="AK880" s="10">
        <f t="shared" si="1039"/>
        <v>0</v>
      </c>
      <c r="AL880" s="10">
        <f t="shared" si="1039"/>
        <v>0</v>
      </c>
      <c r="AM880" s="10">
        <f t="shared" si="1039"/>
        <v>0</v>
      </c>
      <c r="AN880" s="10">
        <f t="shared" si="1039"/>
        <v>0</v>
      </c>
      <c r="AO880" s="10">
        <f t="shared" si="1039"/>
        <v>0</v>
      </c>
      <c r="AP880" s="10">
        <f t="shared" si="1039"/>
        <v>0</v>
      </c>
      <c r="AQ880" s="10">
        <f t="shared" si="1039"/>
        <v>0</v>
      </c>
      <c r="AR880" s="10">
        <f t="shared" si="1039"/>
        <v>0</v>
      </c>
      <c r="AS880" s="10">
        <f t="shared" si="1039"/>
        <v>0</v>
      </c>
      <c r="AT880" s="10">
        <f t="shared" si="1039"/>
        <v>0</v>
      </c>
      <c r="AU880" s="10">
        <f t="shared" si="1039"/>
        <v>0</v>
      </c>
      <c r="AV880" s="10">
        <f t="shared" si="1039"/>
        <v>0</v>
      </c>
      <c r="AW880" s="10">
        <f t="shared" si="1039"/>
        <v>0</v>
      </c>
      <c r="AX880" s="10">
        <f t="shared" si="1039"/>
        <v>0</v>
      </c>
      <c r="AY880" s="10">
        <f t="shared" si="1039"/>
        <v>0</v>
      </c>
      <c r="AZ880" s="10">
        <f t="shared" si="1039"/>
        <v>0</v>
      </c>
      <c r="BA880" s="10">
        <f t="shared" si="1039"/>
        <v>0</v>
      </c>
      <c r="BB880" s="10">
        <f t="shared" si="1039"/>
        <v>0</v>
      </c>
      <c r="BC880" s="10">
        <f t="shared" si="1039"/>
        <v>0</v>
      </c>
      <c r="BD880" s="10">
        <f t="shared" si="1039"/>
        <v>0</v>
      </c>
      <c r="BE880" s="10">
        <f t="shared" si="1039"/>
        <v>0</v>
      </c>
      <c r="BF880" s="10">
        <f t="shared" si="1039"/>
        <v>0</v>
      </c>
      <c r="BG880" s="10">
        <f t="shared" si="1039"/>
        <v>0</v>
      </c>
      <c r="BH880" s="10">
        <f t="shared" si="1039"/>
        <v>0</v>
      </c>
      <c r="BI880" s="10">
        <f t="shared" si="1039"/>
        <v>0</v>
      </c>
      <c r="BJ880" s="10">
        <f t="shared" si="1039"/>
        <v>0</v>
      </c>
      <c r="BK880" s="67"/>
      <c r="BL880" s="10">
        <f t="shared" si="1024"/>
        <v>0</v>
      </c>
      <c r="BM880" s="10">
        <f t="shared" si="1024"/>
        <v>0</v>
      </c>
      <c r="BN880" s="10">
        <f t="shared" si="1024"/>
        <v>0</v>
      </c>
      <c r="BO880" s="10">
        <f t="shared" si="1024"/>
        <v>0</v>
      </c>
      <c r="BP880" s="13">
        <f t="shared" ref="BP880:BW880" si="1040">IF(AND(ISBLANK(BP$172),ISBLANK(BP$173)),BO880,BP$174)</f>
        <v>0</v>
      </c>
      <c r="BQ880" s="13">
        <f t="shared" si="1040"/>
        <v>0</v>
      </c>
      <c r="BR880" s="13">
        <f t="shared" si="1040"/>
        <v>0</v>
      </c>
      <c r="BS880" s="13">
        <f t="shared" si="1040"/>
        <v>0</v>
      </c>
      <c r="BT880" s="13">
        <f t="shared" si="1040"/>
        <v>0</v>
      </c>
      <c r="BU880" s="13">
        <f t="shared" si="1040"/>
        <v>0</v>
      </c>
      <c r="BV880" s="13">
        <f t="shared" si="1040"/>
        <v>0</v>
      </c>
      <c r="BW880" s="13">
        <f t="shared" si="1040"/>
        <v>0</v>
      </c>
      <c r="BY880" s="12"/>
      <c r="CA880" s="12"/>
      <c r="CJ880" s="162"/>
      <c r="CR880" s="12"/>
      <c r="EX880" s="13" t="str">
        <f t="shared" ca="1" si="1026"/>
        <v>Interest Payable Closing Balance Loan 7</v>
      </c>
    </row>
    <row r="881" spans="1:154" x14ac:dyDescent="0.25">
      <c r="A881" s="67"/>
      <c r="B881" s="84" t="str" cm="1">
        <f t="array" aca="1" ref="B881" ca="1">HYPERLINK(CONCATENATE("#",CELL("address",$D$180)),$D$180)</f>
        <v>Loan 8</v>
      </c>
      <c r="C881" s="340" t="s">
        <v>1320</v>
      </c>
      <c r="D881" s="60">
        <f>D$20</f>
        <v>0</v>
      </c>
      <c r="E881" s="60">
        <f>E$20</f>
        <v>0</v>
      </c>
      <c r="F881" s="10">
        <f>P$20</f>
        <v>0</v>
      </c>
      <c r="G881" s="9"/>
      <c r="H881" s="50" t="s">
        <v>157</v>
      </c>
      <c r="S881" s="335"/>
      <c r="T881" s="335"/>
      <c r="U881" s="335"/>
      <c r="V881" s="201">
        <f t="shared" si="1022"/>
        <v>0</v>
      </c>
      <c r="W881" s="10">
        <f t="shared" si="1022"/>
        <v>0</v>
      </c>
      <c r="X881" s="10">
        <f t="shared" si="1022"/>
        <v>0</v>
      </c>
      <c r="Y881" s="10">
        <f t="shared" si="1022"/>
        <v>0</v>
      </c>
      <c r="Z881" s="67"/>
      <c r="AA881" s="10">
        <f t="shared" ref="AA881:BJ881" si="1041">IF($F881=1, AA808, AA599)</f>
        <v>0</v>
      </c>
      <c r="AB881" s="10">
        <f t="shared" si="1041"/>
        <v>0</v>
      </c>
      <c r="AC881" s="10">
        <f t="shared" si="1041"/>
        <v>0</v>
      </c>
      <c r="AD881" s="10">
        <f t="shared" si="1041"/>
        <v>0</v>
      </c>
      <c r="AE881" s="10">
        <f t="shared" si="1041"/>
        <v>0</v>
      </c>
      <c r="AF881" s="10">
        <f t="shared" si="1041"/>
        <v>0</v>
      </c>
      <c r="AG881" s="10">
        <f t="shared" si="1041"/>
        <v>0</v>
      </c>
      <c r="AH881" s="10">
        <f t="shared" si="1041"/>
        <v>0</v>
      </c>
      <c r="AI881" s="10">
        <f t="shared" si="1041"/>
        <v>0</v>
      </c>
      <c r="AJ881" s="10">
        <f t="shared" si="1041"/>
        <v>0</v>
      </c>
      <c r="AK881" s="10">
        <f t="shared" si="1041"/>
        <v>0</v>
      </c>
      <c r="AL881" s="10">
        <f t="shared" si="1041"/>
        <v>0</v>
      </c>
      <c r="AM881" s="10">
        <f t="shared" si="1041"/>
        <v>0</v>
      </c>
      <c r="AN881" s="10">
        <f t="shared" si="1041"/>
        <v>0</v>
      </c>
      <c r="AO881" s="10">
        <f t="shared" si="1041"/>
        <v>0</v>
      </c>
      <c r="AP881" s="10">
        <f t="shared" si="1041"/>
        <v>0</v>
      </c>
      <c r="AQ881" s="10">
        <f t="shared" si="1041"/>
        <v>0</v>
      </c>
      <c r="AR881" s="10">
        <f t="shared" si="1041"/>
        <v>0</v>
      </c>
      <c r="AS881" s="10">
        <f t="shared" si="1041"/>
        <v>0</v>
      </c>
      <c r="AT881" s="10">
        <f t="shared" si="1041"/>
        <v>0</v>
      </c>
      <c r="AU881" s="10">
        <f t="shared" si="1041"/>
        <v>0</v>
      </c>
      <c r="AV881" s="10">
        <f t="shared" si="1041"/>
        <v>0</v>
      </c>
      <c r="AW881" s="10">
        <f t="shared" si="1041"/>
        <v>0</v>
      </c>
      <c r="AX881" s="10">
        <f t="shared" si="1041"/>
        <v>0</v>
      </c>
      <c r="AY881" s="10">
        <f t="shared" si="1041"/>
        <v>0</v>
      </c>
      <c r="AZ881" s="10">
        <f t="shared" si="1041"/>
        <v>0</v>
      </c>
      <c r="BA881" s="10">
        <f t="shared" si="1041"/>
        <v>0</v>
      </c>
      <c r="BB881" s="10">
        <f t="shared" si="1041"/>
        <v>0</v>
      </c>
      <c r="BC881" s="10">
        <f t="shared" si="1041"/>
        <v>0</v>
      </c>
      <c r="BD881" s="10">
        <f t="shared" si="1041"/>
        <v>0</v>
      </c>
      <c r="BE881" s="10">
        <f t="shared" si="1041"/>
        <v>0</v>
      </c>
      <c r="BF881" s="10">
        <f t="shared" si="1041"/>
        <v>0</v>
      </c>
      <c r="BG881" s="10">
        <f t="shared" si="1041"/>
        <v>0</v>
      </c>
      <c r="BH881" s="10">
        <f t="shared" si="1041"/>
        <v>0</v>
      </c>
      <c r="BI881" s="10">
        <f t="shared" si="1041"/>
        <v>0</v>
      </c>
      <c r="BJ881" s="10">
        <f t="shared" si="1041"/>
        <v>0</v>
      </c>
      <c r="BK881" s="67"/>
      <c r="BL881" s="10">
        <f t="shared" si="1024"/>
        <v>0</v>
      </c>
      <c r="BM881" s="10">
        <f t="shared" si="1024"/>
        <v>0</v>
      </c>
      <c r="BN881" s="10">
        <f t="shared" si="1024"/>
        <v>0</v>
      </c>
      <c r="BO881" s="10">
        <f t="shared" si="1024"/>
        <v>0</v>
      </c>
      <c r="BP881" s="13">
        <f t="shared" ref="BP881:BW881" si="1042">IF(AND(ISBLANK(BP$191),ISBLANK(BP$192)),BO881,BP$193)</f>
        <v>0</v>
      </c>
      <c r="BQ881" s="13">
        <f t="shared" si="1042"/>
        <v>0</v>
      </c>
      <c r="BR881" s="13">
        <f t="shared" si="1042"/>
        <v>0</v>
      </c>
      <c r="BS881" s="13">
        <f t="shared" si="1042"/>
        <v>0</v>
      </c>
      <c r="BT881" s="13">
        <f t="shared" si="1042"/>
        <v>0</v>
      </c>
      <c r="BU881" s="13">
        <f t="shared" si="1042"/>
        <v>0</v>
      </c>
      <c r="BV881" s="13">
        <f t="shared" si="1042"/>
        <v>0</v>
      </c>
      <c r="BW881" s="13">
        <f t="shared" si="1042"/>
        <v>0</v>
      </c>
      <c r="BY881" s="12"/>
      <c r="CA881" s="12"/>
      <c r="CJ881" s="162"/>
      <c r="CR881" s="12"/>
      <c r="EX881" s="13" t="str">
        <f t="shared" ca="1" si="1026"/>
        <v>Interest Payable Closing Balance Loan 8</v>
      </c>
    </row>
    <row r="882" spans="1:154" x14ac:dyDescent="0.25">
      <c r="A882" s="67"/>
      <c r="B882" s="84" t="str" cm="1">
        <f t="array" aca="1" ref="B882" ca="1">HYPERLINK(CONCATENATE("#",CELL("address",$D$199)),$D$199)</f>
        <v>Loan 9</v>
      </c>
      <c r="C882" s="340" t="s">
        <v>1321</v>
      </c>
      <c r="D882" s="60">
        <f>D$21</f>
        <v>0</v>
      </c>
      <c r="E882" s="60">
        <f>E$21</f>
        <v>0</v>
      </c>
      <c r="F882" s="10">
        <f>P$21</f>
        <v>0</v>
      </c>
      <c r="G882" s="9"/>
      <c r="H882" s="50" t="s">
        <v>157</v>
      </c>
      <c r="S882" s="335"/>
      <c r="T882" s="335"/>
      <c r="U882" s="335"/>
      <c r="V882" s="201">
        <f t="shared" si="1022"/>
        <v>0</v>
      </c>
      <c r="W882" s="10">
        <f t="shared" si="1022"/>
        <v>0</v>
      </c>
      <c r="X882" s="10">
        <f t="shared" si="1022"/>
        <v>0</v>
      </c>
      <c r="Y882" s="10">
        <f t="shared" si="1022"/>
        <v>0</v>
      </c>
      <c r="Z882" s="67"/>
      <c r="AA882" s="10">
        <f t="shared" ref="AA882:BJ882" si="1043">IF($F882=1, AA809, AA600)</f>
        <v>0</v>
      </c>
      <c r="AB882" s="10">
        <f t="shared" si="1043"/>
        <v>0</v>
      </c>
      <c r="AC882" s="10">
        <f t="shared" si="1043"/>
        <v>0</v>
      </c>
      <c r="AD882" s="10">
        <f t="shared" si="1043"/>
        <v>0</v>
      </c>
      <c r="AE882" s="10">
        <f t="shared" si="1043"/>
        <v>0</v>
      </c>
      <c r="AF882" s="10">
        <f t="shared" si="1043"/>
        <v>0</v>
      </c>
      <c r="AG882" s="10">
        <f t="shared" si="1043"/>
        <v>0</v>
      </c>
      <c r="AH882" s="10">
        <f t="shared" si="1043"/>
        <v>0</v>
      </c>
      <c r="AI882" s="10">
        <f t="shared" si="1043"/>
        <v>0</v>
      </c>
      <c r="AJ882" s="10">
        <f t="shared" si="1043"/>
        <v>0</v>
      </c>
      <c r="AK882" s="10">
        <f t="shared" si="1043"/>
        <v>0</v>
      </c>
      <c r="AL882" s="10">
        <f t="shared" si="1043"/>
        <v>0</v>
      </c>
      <c r="AM882" s="10">
        <f t="shared" si="1043"/>
        <v>0</v>
      </c>
      <c r="AN882" s="10">
        <f t="shared" si="1043"/>
        <v>0</v>
      </c>
      <c r="AO882" s="10">
        <f t="shared" si="1043"/>
        <v>0</v>
      </c>
      <c r="AP882" s="10">
        <f t="shared" si="1043"/>
        <v>0</v>
      </c>
      <c r="AQ882" s="10">
        <f t="shared" si="1043"/>
        <v>0</v>
      </c>
      <c r="AR882" s="10">
        <f t="shared" si="1043"/>
        <v>0</v>
      </c>
      <c r="AS882" s="10">
        <f t="shared" si="1043"/>
        <v>0</v>
      </c>
      <c r="AT882" s="10">
        <f t="shared" si="1043"/>
        <v>0</v>
      </c>
      <c r="AU882" s="10">
        <f t="shared" si="1043"/>
        <v>0</v>
      </c>
      <c r="AV882" s="10">
        <f t="shared" si="1043"/>
        <v>0</v>
      </c>
      <c r="AW882" s="10">
        <f t="shared" si="1043"/>
        <v>0</v>
      </c>
      <c r="AX882" s="10">
        <f t="shared" si="1043"/>
        <v>0</v>
      </c>
      <c r="AY882" s="10">
        <f t="shared" si="1043"/>
        <v>0</v>
      </c>
      <c r="AZ882" s="10">
        <f t="shared" si="1043"/>
        <v>0</v>
      </c>
      <c r="BA882" s="10">
        <f t="shared" si="1043"/>
        <v>0</v>
      </c>
      <c r="BB882" s="10">
        <f t="shared" si="1043"/>
        <v>0</v>
      </c>
      <c r="BC882" s="10">
        <f t="shared" si="1043"/>
        <v>0</v>
      </c>
      <c r="BD882" s="10">
        <f t="shared" si="1043"/>
        <v>0</v>
      </c>
      <c r="BE882" s="10">
        <f t="shared" si="1043"/>
        <v>0</v>
      </c>
      <c r="BF882" s="10">
        <f t="shared" si="1043"/>
        <v>0</v>
      </c>
      <c r="BG882" s="10">
        <f t="shared" si="1043"/>
        <v>0</v>
      </c>
      <c r="BH882" s="10">
        <f t="shared" si="1043"/>
        <v>0</v>
      </c>
      <c r="BI882" s="10">
        <f t="shared" si="1043"/>
        <v>0</v>
      </c>
      <c r="BJ882" s="10">
        <f t="shared" si="1043"/>
        <v>0</v>
      </c>
      <c r="BK882" s="67"/>
      <c r="BL882" s="10">
        <f t="shared" si="1024"/>
        <v>0</v>
      </c>
      <c r="BM882" s="10">
        <f t="shared" si="1024"/>
        <v>0</v>
      </c>
      <c r="BN882" s="10">
        <f t="shared" si="1024"/>
        <v>0</v>
      </c>
      <c r="BO882" s="10">
        <f t="shared" si="1024"/>
        <v>0</v>
      </c>
      <c r="BP882" s="13">
        <f t="shared" ref="BP882:BW882" si="1044">IF(AND(ISBLANK(BP$75),ISBLANK(BP$211)),BO882,BP$212)</f>
        <v>0</v>
      </c>
      <c r="BQ882" s="13">
        <f t="shared" si="1044"/>
        <v>0</v>
      </c>
      <c r="BR882" s="13">
        <f t="shared" si="1044"/>
        <v>0</v>
      </c>
      <c r="BS882" s="13">
        <f t="shared" si="1044"/>
        <v>0</v>
      </c>
      <c r="BT882" s="13">
        <f t="shared" si="1044"/>
        <v>0</v>
      </c>
      <c r="BU882" s="13">
        <f t="shared" si="1044"/>
        <v>0</v>
      </c>
      <c r="BV882" s="13">
        <f t="shared" si="1044"/>
        <v>0</v>
      </c>
      <c r="BW882" s="13">
        <f t="shared" si="1044"/>
        <v>0</v>
      </c>
      <c r="BY882" s="12"/>
      <c r="CA882" s="12"/>
      <c r="CJ882" s="162"/>
      <c r="CR882" s="12"/>
      <c r="EX882" s="13" t="str">
        <f t="shared" ca="1" si="1026"/>
        <v>Interest Payable Closing Balance Loan 9</v>
      </c>
    </row>
    <row r="883" spans="1:154" x14ac:dyDescent="0.25">
      <c r="A883" s="67"/>
      <c r="B883" s="84" t="str" cm="1">
        <f t="array" aca="1" ref="B883" ca="1">HYPERLINK(CONCATENATE("#",CELL("address",$D$218)),$D$218)</f>
        <v>Loan 10</v>
      </c>
      <c r="C883" s="340" t="s">
        <v>1322</v>
      </c>
      <c r="D883" s="60">
        <f>D$22</f>
        <v>0</v>
      </c>
      <c r="E883" s="60">
        <f>E$22</f>
        <v>0</v>
      </c>
      <c r="F883" s="10">
        <f>P$22</f>
        <v>0</v>
      </c>
      <c r="G883" s="9"/>
      <c r="H883" s="50" t="s">
        <v>157</v>
      </c>
      <c r="S883" s="335"/>
      <c r="T883" s="335"/>
      <c r="U883" s="335"/>
      <c r="V883" s="201">
        <f t="shared" si="1022"/>
        <v>0</v>
      </c>
      <c r="W883" s="10">
        <f t="shared" si="1022"/>
        <v>0</v>
      </c>
      <c r="X883" s="10">
        <f t="shared" si="1022"/>
        <v>0</v>
      </c>
      <c r="Y883" s="10">
        <f t="shared" si="1022"/>
        <v>0</v>
      </c>
      <c r="Z883" s="67"/>
      <c r="AA883" s="10">
        <f t="shared" ref="AA883:BJ883" si="1045">IF($F883=1, AA810, AA601)</f>
        <v>0</v>
      </c>
      <c r="AB883" s="10">
        <f t="shared" si="1045"/>
        <v>0</v>
      </c>
      <c r="AC883" s="10">
        <f t="shared" si="1045"/>
        <v>0</v>
      </c>
      <c r="AD883" s="10">
        <f t="shared" si="1045"/>
        <v>0</v>
      </c>
      <c r="AE883" s="10">
        <f t="shared" si="1045"/>
        <v>0</v>
      </c>
      <c r="AF883" s="10">
        <f t="shared" si="1045"/>
        <v>0</v>
      </c>
      <c r="AG883" s="10">
        <f t="shared" si="1045"/>
        <v>0</v>
      </c>
      <c r="AH883" s="10">
        <f t="shared" si="1045"/>
        <v>0</v>
      </c>
      <c r="AI883" s="10">
        <f t="shared" si="1045"/>
        <v>0</v>
      </c>
      <c r="AJ883" s="10">
        <f t="shared" si="1045"/>
        <v>0</v>
      </c>
      <c r="AK883" s="10">
        <f t="shared" si="1045"/>
        <v>0</v>
      </c>
      <c r="AL883" s="10">
        <f t="shared" si="1045"/>
        <v>0</v>
      </c>
      <c r="AM883" s="10">
        <f t="shared" si="1045"/>
        <v>0</v>
      </c>
      <c r="AN883" s="10">
        <f t="shared" si="1045"/>
        <v>0</v>
      </c>
      <c r="AO883" s="10">
        <f t="shared" si="1045"/>
        <v>0</v>
      </c>
      <c r="AP883" s="10">
        <f t="shared" si="1045"/>
        <v>0</v>
      </c>
      <c r="AQ883" s="10">
        <f t="shared" si="1045"/>
        <v>0</v>
      </c>
      <c r="AR883" s="10">
        <f t="shared" si="1045"/>
        <v>0</v>
      </c>
      <c r="AS883" s="10">
        <f t="shared" si="1045"/>
        <v>0</v>
      </c>
      <c r="AT883" s="10">
        <f t="shared" si="1045"/>
        <v>0</v>
      </c>
      <c r="AU883" s="10">
        <f t="shared" si="1045"/>
        <v>0</v>
      </c>
      <c r="AV883" s="10">
        <f t="shared" si="1045"/>
        <v>0</v>
      </c>
      <c r="AW883" s="10">
        <f t="shared" si="1045"/>
        <v>0</v>
      </c>
      <c r="AX883" s="10">
        <f t="shared" si="1045"/>
        <v>0</v>
      </c>
      <c r="AY883" s="10">
        <f t="shared" si="1045"/>
        <v>0</v>
      </c>
      <c r="AZ883" s="10">
        <f t="shared" si="1045"/>
        <v>0</v>
      </c>
      <c r="BA883" s="10">
        <f t="shared" si="1045"/>
        <v>0</v>
      </c>
      <c r="BB883" s="10">
        <f t="shared" si="1045"/>
        <v>0</v>
      </c>
      <c r="BC883" s="10">
        <f t="shared" si="1045"/>
        <v>0</v>
      </c>
      <c r="BD883" s="10">
        <f t="shared" si="1045"/>
        <v>0</v>
      </c>
      <c r="BE883" s="10">
        <f t="shared" si="1045"/>
        <v>0</v>
      </c>
      <c r="BF883" s="10">
        <f t="shared" si="1045"/>
        <v>0</v>
      </c>
      <c r="BG883" s="10">
        <f t="shared" si="1045"/>
        <v>0</v>
      </c>
      <c r="BH883" s="10">
        <f t="shared" si="1045"/>
        <v>0</v>
      </c>
      <c r="BI883" s="10">
        <f t="shared" si="1045"/>
        <v>0</v>
      </c>
      <c r="BJ883" s="10">
        <f t="shared" si="1045"/>
        <v>0</v>
      </c>
      <c r="BK883" s="67"/>
      <c r="BL883" s="10">
        <f t="shared" si="1024"/>
        <v>0</v>
      </c>
      <c r="BM883" s="10">
        <f t="shared" si="1024"/>
        <v>0</v>
      </c>
      <c r="BN883" s="10">
        <f t="shared" si="1024"/>
        <v>0</v>
      </c>
      <c r="BO883" s="10">
        <f t="shared" si="1024"/>
        <v>0</v>
      </c>
      <c r="BP883" s="13">
        <f t="shared" ref="BP883:BW883" si="1046">IF(AND(ISBLANK(BP$229),ISBLANK(BP$230)),BO883,BP$231)</f>
        <v>0</v>
      </c>
      <c r="BQ883" s="13">
        <f t="shared" si="1046"/>
        <v>0</v>
      </c>
      <c r="BR883" s="13">
        <f t="shared" si="1046"/>
        <v>0</v>
      </c>
      <c r="BS883" s="13">
        <f t="shared" si="1046"/>
        <v>0</v>
      </c>
      <c r="BT883" s="13">
        <f t="shared" si="1046"/>
        <v>0</v>
      </c>
      <c r="BU883" s="13">
        <f t="shared" si="1046"/>
        <v>0</v>
      </c>
      <c r="BV883" s="13">
        <f t="shared" si="1046"/>
        <v>0</v>
      </c>
      <c r="BW883" s="13">
        <f t="shared" si="1046"/>
        <v>0</v>
      </c>
      <c r="BY883" s="12"/>
      <c r="CA883" s="12"/>
      <c r="CJ883" s="162"/>
      <c r="CR883" s="12"/>
      <c r="EX883" s="13" t="str">
        <f t="shared" ca="1" si="1026"/>
        <v>Interest Payable Closing Balance Loan 10</v>
      </c>
    </row>
    <row r="884" spans="1:154" x14ac:dyDescent="0.25">
      <c r="A884" s="67"/>
      <c r="B884" s="84" t="str" cm="1">
        <f t="array" aca="1" ref="B884" ca="1">HYPERLINK(CONCATENATE("#",CELL("address",$D$237)),$D$237)</f>
        <v>Loan 11</v>
      </c>
      <c r="C884" s="340" t="s">
        <v>1323</v>
      </c>
      <c r="D884" s="60">
        <f>D$23</f>
        <v>0</v>
      </c>
      <c r="E884" s="60">
        <f>E$23</f>
        <v>0</v>
      </c>
      <c r="F884" s="10">
        <f>P$23</f>
        <v>0</v>
      </c>
      <c r="G884" s="9"/>
      <c r="H884" s="50" t="s">
        <v>157</v>
      </c>
      <c r="S884" s="335"/>
      <c r="T884" s="335"/>
      <c r="U884" s="335"/>
      <c r="V884" s="201">
        <f t="shared" si="1022"/>
        <v>0</v>
      </c>
      <c r="W884" s="10">
        <f t="shared" si="1022"/>
        <v>0</v>
      </c>
      <c r="X884" s="10">
        <f t="shared" si="1022"/>
        <v>0</v>
      </c>
      <c r="Y884" s="10">
        <f t="shared" si="1022"/>
        <v>0</v>
      </c>
      <c r="Z884" s="67"/>
      <c r="AA884" s="10">
        <f t="shared" ref="AA884:BJ884" si="1047">IF($F884=1, AA811, AA602)</f>
        <v>0</v>
      </c>
      <c r="AB884" s="10">
        <f t="shared" si="1047"/>
        <v>0</v>
      </c>
      <c r="AC884" s="10">
        <f t="shared" si="1047"/>
        <v>0</v>
      </c>
      <c r="AD884" s="10">
        <f t="shared" si="1047"/>
        <v>0</v>
      </c>
      <c r="AE884" s="10">
        <f t="shared" si="1047"/>
        <v>0</v>
      </c>
      <c r="AF884" s="10">
        <f t="shared" si="1047"/>
        <v>0</v>
      </c>
      <c r="AG884" s="10">
        <f t="shared" si="1047"/>
        <v>0</v>
      </c>
      <c r="AH884" s="10">
        <f t="shared" si="1047"/>
        <v>0</v>
      </c>
      <c r="AI884" s="10">
        <f t="shared" si="1047"/>
        <v>0</v>
      </c>
      <c r="AJ884" s="10">
        <f t="shared" si="1047"/>
        <v>0</v>
      </c>
      <c r="AK884" s="10">
        <f t="shared" si="1047"/>
        <v>0</v>
      </c>
      <c r="AL884" s="10">
        <f t="shared" si="1047"/>
        <v>0</v>
      </c>
      <c r="AM884" s="10">
        <f t="shared" si="1047"/>
        <v>0</v>
      </c>
      <c r="AN884" s="10">
        <f t="shared" si="1047"/>
        <v>0</v>
      </c>
      <c r="AO884" s="10">
        <f t="shared" si="1047"/>
        <v>0</v>
      </c>
      <c r="AP884" s="10">
        <f t="shared" si="1047"/>
        <v>0</v>
      </c>
      <c r="AQ884" s="10">
        <f t="shared" si="1047"/>
        <v>0</v>
      </c>
      <c r="AR884" s="10">
        <f t="shared" si="1047"/>
        <v>0</v>
      </c>
      <c r="AS884" s="10">
        <f t="shared" si="1047"/>
        <v>0</v>
      </c>
      <c r="AT884" s="10">
        <f t="shared" si="1047"/>
        <v>0</v>
      </c>
      <c r="AU884" s="10">
        <f t="shared" si="1047"/>
        <v>0</v>
      </c>
      <c r="AV884" s="10">
        <f t="shared" si="1047"/>
        <v>0</v>
      </c>
      <c r="AW884" s="10">
        <f t="shared" si="1047"/>
        <v>0</v>
      </c>
      <c r="AX884" s="10">
        <f t="shared" si="1047"/>
        <v>0</v>
      </c>
      <c r="AY884" s="10">
        <f t="shared" si="1047"/>
        <v>0</v>
      </c>
      <c r="AZ884" s="10">
        <f t="shared" si="1047"/>
        <v>0</v>
      </c>
      <c r="BA884" s="10">
        <f t="shared" si="1047"/>
        <v>0</v>
      </c>
      <c r="BB884" s="10">
        <f t="shared" si="1047"/>
        <v>0</v>
      </c>
      <c r="BC884" s="10">
        <f t="shared" si="1047"/>
        <v>0</v>
      </c>
      <c r="BD884" s="10">
        <f t="shared" si="1047"/>
        <v>0</v>
      </c>
      <c r="BE884" s="10">
        <f t="shared" si="1047"/>
        <v>0</v>
      </c>
      <c r="BF884" s="10">
        <f t="shared" si="1047"/>
        <v>0</v>
      </c>
      <c r="BG884" s="10">
        <f t="shared" si="1047"/>
        <v>0</v>
      </c>
      <c r="BH884" s="10">
        <f t="shared" si="1047"/>
        <v>0</v>
      </c>
      <c r="BI884" s="10">
        <f t="shared" si="1047"/>
        <v>0</v>
      </c>
      <c r="BJ884" s="10">
        <f t="shared" si="1047"/>
        <v>0</v>
      </c>
      <c r="BK884" s="67"/>
      <c r="BL884" s="10">
        <f t="shared" si="1024"/>
        <v>0</v>
      </c>
      <c r="BM884" s="10">
        <f t="shared" si="1024"/>
        <v>0</v>
      </c>
      <c r="BN884" s="10">
        <f t="shared" si="1024"/>
        <v>0</v>
      </c>
      <c r="BO884" s="10">
        <f t="shared" si="1024"/>
        <v>0</v>
      </c>
      <c r="BP884" s="13">
        <f t="shared" ref="BP884:BW884" si="1048">IF(AND(ISBLANK(BP$248),ISBLANK(BP$249)),BO884,BP$250)</f>
        <v>0</v>
      </c>
      <c r="BQ884" s="13">
        <f t="shared" si="1048"/>
        <v>0</v>
      </c>
      <c r="BR884" s="13">
        <f t="shared" si="1048"/>
        <v>0</v>
      </c>
      <c r="BS884" s="13">
        <f t="shared" si="1048"/>
        <v>0</v>
      </c>
      <c r="BT884" s="13">
        <f t="shared" si="1048"/>
        <v>0</v>
      </c>
      <c r="BU884" s="13">
        <f t="shared" si="1048"/>
        <v>0</v>
      </c>
      <c r="BV884" s="13">
        <f t="shared" si="1048"/>
        <v>0</v>
      </c>
      <c r="BW884" s="13">
        <f t="shared" si="1048"/>
        <v>0</v>
      </c>
      <c r="BY884" s="12"/>
      <c r="CA884" s="12"/>
      <c r="CJ884" s="162"/>
      <c r="CR884" s="12"/>
      <c r="EX884" s="13" t="str">
        <f t="shared" ca="1" si="1026"/>
        <v>Interest Payable Closing Balance Loan 11</v>
      </c>
    </row>
    <row r="885" spans="1:154" x14ac:dyDescent="0.25">
      <c r="A885" s="67"/>
      <c r="B885" s="84" t="str" cm="1">
        <f t="array" aca="1" ref="B885" ca="1">HYPERLINK(CONCATENATE("#",CELL("address",$D$256)),$D$256)</f>
        <v>Loan 12</v>
      </c>
      <c r="C885" s="340" t="s">
        <v>1324</v>
      </c>
      <c r="D885" s="60">
        <f>D$24</f>
        <v>0</v>
      </c>
      <c r="E885" s="60">
        <f>E$24</f>
        <v>0</v>
      </c>
      <c r="F885" s="10">
        <f>P$24</f>
        <v>0</v>
      </c>
      <c r="G885" s="9"/>
      <c r="H885" s="50" t="s">
        <v>157</v>
      </c>
      <c r="S885" s="335"/>
      <c r="T885" s="335"/>
      <c r="U885" s="335"/>
      <c r="V885" s="201">
        <f t="shared" si="1022"/>
        <v>0</v>
      </c>
      <c r="W885" s="10">
        <f t="shared" si="1022"/>
        <v>0</v>
      </c>
      <c r="X885" s="10">
        <f t="shared" si="1022"/>
        <v>0</v>
      </c>
      <c r="Y885" s="10">
        <f t="shared" si="1022"/>
        <v>0</v>
      </c>
      <c r="Z885" s="67"/>
      <c r="AA885" s="10">
        <f t="shared" ref="AA885:BJ885" si="1049">IF($F885=1, AA812, AA603)</f>
        <v>0</v>
      </c>
      <c r="AB885" s="10">
        <f t="shared" si="1049"/>
        <v>0</v>
      </c>
      <c r="AC885" s="10">
        <f t="shared" si="1049"/>
        <v>0</v>
      </c>
      <c r="AD885" s="10">
        <f t="shared" si="1049"/>
        <v>0</v>
      </c>
      <c r="AE885" s="10">
        <f t="shared" si="1049"/>
        <v>0</v>
      </c>
      <c r="AF885" s="10">
        <f t="shared" si="1049"/>
        <v>0</v>
      </c>
      <c r="AG885" s="10">
        <f t="shared" si="1049"/>
        <v>0</v>
      </c>
      <c r="AH885" s="10">
        <f t="shared" si="1049"/>
        <v>0</v>
      </c>
      <c r="AI885" s="10">
        <f t="shared" si="1049"/>
        <v>0</v>
      </c>
      <c r="AJ885" s="10">
        <f t="shared" si="1049"/>
        <v>0</v>
      </c>
      <c r="AK885" s="10">
        <f t="shared" si="1049"/>
        <v>0</v>
      </c>
      <c r="AL885" s="10">
        <f t="shared" si="1049"/>
        <v>0</v>
      </c>
      <c r="AM885" s="10">
        <f t="shared" si="1049"/>
        <v>0</v>
      </c>
      <c r="AN885" s="10">
        <f t="shared" si="1049"/>
        <v>0</v>
      </c>
      <c r="AO885" s="10">
        <f t="shared" si="1049"/>
        <v>0</v>
      </c>
      <c r="AP885" s="10">
        <f t="shared" si="1049"/>
        <v>0</v>
      </c>
      <c r="AQ885" s="10">
        <f t="shared" si="1049"/>
        <v>0</v>
      </c>
      <c r="AR885" s="10">
        <f t="shared" si="1049"/>
        <v>0</v>
      </c>
      <c r="AS885" s="10">
        <f t="shared" si="1049"/>
        <v>0</v>
      </c>
      <c r="AT885" s="10">
        <f t="shared" si="1049"/>
        <v>0</v>
      </c>
      <c r="AU885" s="10">
        <f t="shared" si="1049"/>
        <v>0</v>
      </c>
      <c r="AV885" s="10">
        <f t="shared" si="1049"/>
        <v>0</v>
      </c>
      <c r="AW885" s="10">
        <f t="shared" si="1049"/>
        <v>0</v>
      </c>
      <c r="AX885" s="10">
        <f t="shared" si="1049"/>
        <v>0</v>
      </c>
      <c r="AY885" s="10">
        <f t="shared" si="1049"/>
        <v>0</v>
      </c>
      <c r="AZ885" s="10">
        <f t="shared" si="1049"/>
        <v>0</v>
      </c>
      <c r="BA885" s="10">
        <f t="shared" si="1049"/>
        <v>0</v>
      </c>
      <c r="BB885" s="10">
        <f t="shared" si="1049"/>
        <v>0</v>
      </c>
      <c r="BC885" s="10">
        <f t="shared" si="1049"/>
        <v>0</v>
      </c>
      <c r="BD885" s="10">
        <f t="shared" si="1049"/>
        <v>0</v>
      </c>
      <c r="BE885" s="10">
        <f t="shared" si="1049"/>
        <v>0</v>
      </c>
      <c r="BF885" s="10">
        <f t="shared" si="1049"/>
        <v>0</v>
      </c>
      <c r="BG885" s="10">
        <f t="shared" si="1049"/>
        <v>0</v>
      </c>
      <c r="BH885" s="10">
        <f t="shared" si="1049"/>
        <v>0</v>
      </c>
      <c r="BI885" s="10">
        <f t="shared" si="1049"/>
        <v>0</v>
      </c>
      <c r="BJ885" s="10">
        <f t="shared" si="1049"/>
        <v>0</v>
      </c>
      <c r="BK885" s="67"/>
      <c r="BL885" s="10">
        <f t="shared" si="1024"/>
        <v>0</v>
      </c>
      <c r="BM885" s="10">
        <f t="shared" si="1024"/>
        <v>0</v>
      </c>
      <c r="BN885" s="10">
        <f t="shared" si="1024"/>
        <v>0</v>
      </c>
      <c r="BO885" s="10">
        <f t="shared" si="1024"/>
        <v>0</v>
      </c>
      <c r="BP885" s="13">
        <f t="shared" ref="BP885:BW885" si="1050">IF(AND(ISBLANK(BP$267),ISBLANK(BP$268)),BO885,BP$269)</f>
        <v>0</v>
      </c>
      <c r="BQ885" s="13">
        <f t="shared" si="1050"/>
        <v>0</v>
      </c>
      <c r="BR885" s="13">
        <f t="shared" si="1050"/>
        <v>0</v>
      </c>
      <c r="BS885" s="13">
        <f t="shared" si="1050"/>
        <v>0</v>
      </c>
      <c r="BT885" s="13">
        <f t="shared" si="1050"/>
        <v>0</v>
      </c>
      <c r="BU885" s="13">
        <f t="shared" si="1050"/>
        <v>0</v>
      </c>
      <c r="BV885" s="13">
        <f t="shared" si="1050"/>
        <v>0</v>
      </c>
      <c r="BW885" s="13">
        <f t="shared" si="1050"/>
        <v>0</v>
      </c>
      <c r="BY885" s="12"/>
      <c r="CA885" s="12"/>
      <c r="CJ885" s="162"/>
      <c r="CR885" s="12"/>
      <c r="EX885" s="13" t="str">
        <f t="shared" ca="1" si="1026"/>
        <v>Interest Payable Closing Balance Loan 12</v>
      </c>
    </row>
    <row r="886" spans="1:154" x14ac:dyDescent="0.25">
      <c r="A886" s="67"/>
      <c r="B886" s="84" t="str" cm="1">
        <f t="array" aca="1" ref="B886" ca="1">HYPERLINK(CONCATENATE("#",CELL("address",$D$275)),$D$275)</f>
        <v>Loan 13</v>
      </c>
      <c r="C886" s="340" t="s">
        <v>1325</v>
      </c>
      <c r="D886" s="60">
        <f>D$25</f>
        <v>0</v>
      </c>
      <c r="E886" s="60">
        <f>E$25</f>
        <v>0</v>
      </c>
      <c r="F886" s="10">
        <f>P$25</f>
        <v>0</v>
      </c>
      <c r="G886" s="9"/>
      <c r="H886" s="50" t="s">
        <v>157</v>
      </c>
      <c r="S886" s="335"/>
      <c r="T886" s="335"/>
      <c r="U886" s="335"/>
      <c r="V886" s="201">
        <f t="shared" si="1022"/>
        <v>0</v>
      </c>
      <c r="W886" s="10">
        <f t="shared" si="1022"/>
        <v>0</v>
      </c>
      <c r="X886" s="10">
        <f t="shared" si="1022"/>
        <v>0</v>
      </c>
      <c r="Y886" s="10">
        <f t="shared" si="1022"/>
        <v>0</v>
      </c>
      <c r="Z886" s="67"/>
      <c r="AA886" s="10">
        <f t="shared" ref="AA886:BJ886" si="1051">IF($F886=1, AA813, AA604)</f>
        <v>0</v>
      </c>
      <c r="AB886" s="10">
        <f t="shared" si="1051"/>
        <v>0</v>
      </c>
      <c r="AC886" s="10">
        <f t="shared" si="1051"/>
        <v>0</v>
      </c>
      <c r="AD886" s="10">
        <f t="shared" si="1051"/>
        <v>0</v>
      </c>
      <c r="AE886" s="10">
        <f t="shared" si="1051"/>
        <v>0</v>
      </c>
      <c r="AF886" s="10">
        <f t="shared" si="1051"/>
        <v>0</v>
      </c>
      <c r="AG886" s="10">
        <f t="shared" si="1051"/>
        <v>0</v>
      </c>
      <c r="AH886" s="10">
        <f t="shared" si="1051"/>
        <v>0</v>
      </c>
      <c r="AI886" s="10">
        <f t="shared" si="1051"/>
        <v>0</v>
      </c>
      <c r="AJ886" s="10">
        <f t="shared" si="1051"/>
        <v>0</v>
      </c>
      <c r="AK886" s="10">
        <f t="shared" si="1051"/>
        <v>0</v>
      </c>
      <c r="AL886" s="10">
        <f t="shared" si="1051"/>
        <v>0</v>
      </c>
      <c r="AM886" s="10">
        <f t="shared" si="1051"/>
        <v>0</v>
      </c>
      <c r="AN886" s="10">
        <f t="shared" si="1051"/>
        <v>0</v>
      </c>
      <c r="AO886" s="10">
        <f t="shared" si="1051"/>
        <v>0</v>
      </c>
      <c r="AP886" s="10">
        <f t="shared" si="1051"/>
        <v>0</v>
      </c>
      <c r="AQ886" s="10">
        <f t="shared" si="1051"/>
        <v>0</v>
      </c>
      <c r="AR886" s="10">
        <f t="shared" si="1051"/>
        <v>0</v>
      </c>
      <c r="AS886" s="10">
        <f t="shared" si="1051"/>
        <v>0</v>
      </c>
      <c r="AT886" s="10">
        <f t="shared" si="1051"/>
        <v>0</v>
      </c>
      <c r="AU886" s="10">
        <f t="shared" si="1051"/>
        <v>0</v>
      </c>
      <c r="AV886" s="10">
        <f t="shared" si="1051"/>
        <v>0</v>
      </c>
      <c r="AW886" s="10">
        <f t="shared" si="1051"/>
        <v>0</v>
      </c>
      <c r="AX886" s="10">
        <f t="shared" si="1051"/>
        <v>0</v>
      </c>
      <c r="AY886" s="10">
        <f t="shared" si="1051"/>
        <v>0</v>
      </c>
      <c r="AZ886" s="10">
        <f t="shared" si="1051"/>
        <v>0</v>
      </c>
      <c r="BA886" s="10">
        <f t="shared" si="1051"/>
        <v>0</v>
      </c>
      <c r="BB886" s="10">
        <f t="shared" si="1051"/>
        <v>0</v>
      </c>
      <c r="BC886" s="10">
        <f t="shared" si="1051"/>
        <v>0</v>
      </c>
      <c r="BD886" s="10">
        <f t="shared" si="1051"/>
        <v>0</v>
      </c>
      <c r="BE886" s="10">
        <f t="shared" si="1051"/>
        <v>0</v>
      </c>
      <c r="BF886" s="10">
        <f t="shared" si="1051"/>
        <v>0</v>
      </c>
      <c r="BG886" s="10">
        <f t="shared" si="1051"/>
        <v>0</v>
      </c>
      <c r="BH886" s="10">
        <f t="shared" si="1051"/>
        <v>0</v>
      </c>
      <c r="BI886" s="10">
        <f t="shared" si="1051"/>
        <v>0</v>
      </c>
      <c r="BJ886" s="10">
        <f t="shared" si="1051"/>
        <v>0</v>
      </c>
      <c r="BK886" s="67"/>
      <c r="BL886" s="10">
        <f t="shared" si="1024"/>
        <v>0</v>
      </c>
      <c r="BM886" s="10">
        <f t="shared" si="1024"/>
        <v>0</v>
      </c>
      <c r="BN886" s="10">
        <f t="shared" si="1024"/>
        <v>0</v>
      </c>
      <c r="BO886" s="10">
        <f t="shared" si="1024"/>
        <v>0</v>
      </c>
      <c r="BP886" s="13">
        <f t="shared" ref="BP886:BW886" si="1052">IF(AND(ISBLANK(BP$286),ISBLANK(BP$287)),BO886,BP$288)</f>
        <v>0</v>
      </c>
      <c r="BQ886" s="13">
        <f t="shared" si="1052"/>
        <v>0</v>
      </c>
      <c r="BR886" s="13">
        <f t="shared" si="1052"/>
        <v>0</v>
      </c>
      <c r="BS886" s="13">
        <f t="shared" si="1052"/>
        <v>0</v>
      </c>
      <c r="BT886" s="13">
        <f t="shared" si="1052"/>
        <v>0</v>
      </c>
      <c r="BU886" s="13">
        <f t="shared" si="1052"/>
        <v>0</v>
      </c>
      <c r="BV886" s="13">
        <f t="shared" si="1052"/>
        <v>0</v>
      </c>
      <c r="BW886" s="13">
        <f t="shared" si="1052"/>
        <v>0</v>
      </c>
      <c r="BY886" s="12"/>
      <c r="CA886" s="12"/>
      <c r="CJ886" s="162"/>
      <c r="CR886" s="12"/>
      <c r="EX886" s="13" t="str">
        <f t="shared" ca="1" si="1026"/>
        <v>Interest Payable Closing Balance Loan 13</v>
      </c>
    </row>
    <row r="887" spans="1:154" s="5" customFormat="1" x14ac:dyDescent="0.25">
      <c r="A887" s="67"/>
      <c r="B887" s="84" t="str" cm="1">
        <f t="array" aca="1" ref="B887" ca="1">HYPERLINK(CONCATENATE("#",CELL("address",$D$294)),$D$294)</f>
        <v>Loan 14</v>
      </c>
      <c r="C887" s="340" t="s">
        <v>1326</v>
      </c>
      <c r="D887" s="60">
        <f>D$26</f>
        <v>0</v>
      </c>
      <c r="E887" s="60">
        <f>E$26</f>
        <v>0</v>
      </c>
      <c r="F887" s="10">
        <f>P$26</f>
        <v>0</v>
      </c>
      <c r="G887" s="9"/>
      <c r="H887" s="50" t="s">
        <v>157</v>
      </c>
      <c r="I887" s="11"/>
      <c r="J887" s="11"/>
      <c r="K887" s="11"/>
      <c r="L887" s="11"/>
      <c r="M887" s="11"/>
      <c r="N887" s="11"/>
      <c r="O887" s="11"/>
      <c r="P887" s="11"/>
      <c r="Q887" s="11"/>
      <c r="R887" s="11"/>
      <c r="S887" s="335"/>
      <c r="T887" s="335"/>
      <c r="U887" s="335"/>
      <c r="V887" s="201">
        <f t="shared" si="1022"/>
        <v>0</v>
      </c>
      <c r="W887" s="10">
        <f t="shared" si="1022"/>
        <v>0</v>
      </c>
      <c r="X887" s="10">
        <f t="shared" si="1022"/>
        <v>0</v>
      </c>
      <c r="Y887" s="10">
        <f t="shared" si="1022"/>
        <v>0</v>
      </c>
      <c r="Z887" s="67"/>
      <c r="AA887" s="10">
        <f t="shared" ref="AA887:BJ887" si="1053">IF($F887=1, AA814, AA605)</f>
        <v>0</v>
      </c>
      <c r="AB887" s="10">
        <f t="shared" si="1053"/>
        <v>0</v>
      </c>
      <c r="AC887" s="10">
        <f t="shared" si="1053"/>
        <v>0</v>
      </c>
      <c r="AD887" s="10">
        <f t="shared" si="1053"/>
        <v>0</v>
      </c>
      <c r="AE887" s="10">
        <f t="shared" si="1053"/>
        <v>0</v>
      </c>
      <c r="AF887" s="10">
        <f t="shared" si="1053"/>
        <v>0</v>
      </c>
      <c r="AG887" s="10">
        <f t="shared" si="1053"/>
        <v>0</v>
      </c>
      <c r="AH887" s="10">
        <f t="shared" si="1053"/>
        <v>0</v>
      </c>
      <c r="AI887" s="10">
        <f t="shared" si="1053"/>
        <v>0</v>
      </c>
      <c r="AJ887" s="10">
        <f t="shared" si="1053"/>
        <v>0</v>
      </c>
      <c r="AK887" s="10">
        <f t="shared" si="1053"/>
        <v>0</v>
      </c>
      <c r="AL887" s="10">
        <f t="shared" si="1053"/>
        <v>0</v>
      </c>
      <c r="AM887" s="10">
        <f t="shared" si="1053"/>
        <v>0</v>
      </c>
      <c r="AN887" s="10">
        <f t="shared" si="1053"/>
        <v>0</v>
      </c>
      <c r="AO887" s="10">
        <f t="shared" si="1053"/>
        <v>0</v>
      </c>
      <c r="AP887" s="10">
        <f t="shared" si="1053"/>
        <v>0</v>
      </c>
      <c r="AQ887" s="10">
        <f t="shared" si="1053"/>
        <v>0</v>
      </c>
      <c r="AR887" s="10">
        <f t="shared" si="1053"/>
        <v>0</v>
      </c>
      <c r="AS887" s="10">
        <f t="shared" si="1053"/>
        <v>0</v>
      </c>
      <c r="AT887" s="10">
        <f t="shared" si="1053"/>
        <v>0</v>
      </c>
      <c r="AU887" s="10">
        <f t="shared" si="1053"/>
        <v>0</v>
      </c>
      <c r="AV887" s="10">
        <f t="shared" si="1053"/>
        <v>0</v>
      </c>
      <c r="AW887" s="10">
        <f t="shared" si="1053"/>
        <v>0</v>
      </c>
      <c r="AX887" s="10">
        <f t="shared" si="1053"/>
        <v>0</v>
      </c>
      <c r="AY887" s="10">
        <f t="shared" si="1053"/>
        <v>0</v>
      </c>
      <c r="AZ887" s="10">
        <f t="shared" si="1053"/>
        <v>0</v>
      </c>
      <c r="BA887" s="10">
        <f t="shared" si="1053"/>
        <v>0</v>
      </c>
      <c r="BB887" s="10">
        <f t="shared" si="1053"/>
        <v>0</v>
      </c>
      <c r="BC887" s="10">
        <f t="shared" si="1053"/>
        <v>0</v>
      </c>
      <c r="BD887" s="10">
        <f t="shared" si="1053"/>
        <v>0</v>
      </c>
      <c r="BE887" s="10">
        <f t="shared" si="1053"/>
        <v>0</v>
      </c>
      <c r="BF887" s="10">
        <f t="shared" si="1053"/>
        <v>0</v>
      </c>
      <c r="BG887" s="10">
        <f t="shared" si="1053"/>
        <v>0</v>
      </c>
      <c r="BH887" s="10">
        <f t="shared" si="1053"/>
        <v>0</v>
      </c>
      <c r="BI887" s="10">
        <f t="shared" si="1053"/>
        <v>0</v>
      </c>
      <c r="BJ887" s="10">
        <f t="shared" si="1053"/>
        <v>0</v>
      </c>
      <c r="BK887" s="67"/>
      <c r="BL887" s="10">
        <f t="shared" si="1024"/>
        <v>0</v>
      </c>
      <c r="BM887" s="10">
        <f t="shared" si="1024"/>
        <v>0</v>
      </c>
      <c r="BN887" s="10">
        <f t="shared" si="1024"/>
        <v>0</v>
      </c>
      <c r="BO887" s="10">
        <f t="shared" si="1024"/>
        <v>0</v>
      </c>
      <c r="BP887" s="13">
        <f t="shared" ref="BP887:BW887" si="1054">IF(AND(ISBLANK(BP$305),ISBLANK(BP$306)),BO887,BP$307)</f>
        <v>0</v>
      </c>
      <c r="BQ887" s="13">
        <f t="shared" si="1054"/>
        <v>0</v>
      </c>
      <c r="BR887" s="13">
        <f t="shared" si="1054"/>
        <v>0</v>
      </c>
      <c r="BS887" s="13">
        <f t="shared" si="1054"/>
        <v>0</v>
      </c>
      <c r="BT887" s="13">
        <f t="shared" si="1054"/>
        <v>0</v>
      </c>
      <c r="BU887" s="13">
        <f t="shared" si="1054"/>
        <v>0</v>
      </c>
      <c r="BV887" s="13">
        <f t="shared" si="1054"/>
        <v>0</v>
      </c>
      <c r="BW887" s="13">
        <f t="shared" si="1054"/>
        <v>0</v>
      </c>
      <c r="BX887" s="11"/>
      <c r="BY887" s="12"/>
      <c r="BZ887" s="335"/>
      <c r="CA887" s="12"/>
      <c r="CB887" s="335"/>
      <c r="CC887" s="335"/>
      <c r="CD887" s="335"/>
      <c r="CE887" s="335"/>
      <c r="CF887" s="67"/>
      <c r="CG887" s="11"/>
      <c r="CH887" s="11"/>
      <c r="CI887" s="11"/>
      <c r="CJ887" s="162"/>
      <c r="CK887" s="11"/>
      <c r="CL887" s="11"/>
      <c r="CM887" s="335"/>
      <c r="CN887" s="335"/>
      <c r="CO887" s="335"/>
      <c r="CP887" s="335"/>
      <c r="CQ887" s="67"/>
      <c r="CR887" s="12"/>
      <c r="EX887" s="13" t="str">
        <f t="shared" ca="1" si="1026"/>
        <v>Interest Payable Closing Balance Loan 14</v>
      </c>
    </row>
    <row r="888" spans="1:154" x14ac:dyDescent="0.25">
      <c r="A888" s="67"/>
      <c r="B888" s="84" t="str" cm="1">
        <f t="array" aca="1" ref="B888" ca="1">HYPERLINK(CONCATENATE("#",CELL("address",$D$313)),$D$313)</f>
        <v>Loan 15</v>
      </c>
      <c r="C888" s="340" t="s">
        <v>1327</v>
      </c>
      <c r="D888" s="60">
        <f>D$27</f>
        <v>0</v>
      </c>
      <c r="E888" s="60">
        <f>E$27</f>
        <v>0</v>
      </c>
      <c r="F888" s="10">
        <f>P$27</f>
        <v>0</v>
      </c>
      <c r="G888" s="9"/>
      <c r="H888" s="50" t="s">
        <v>157</v>
      </c>
      <c r="S888" s="335"/>
      <c r="T888" s="335"/>
      <c r="U888" s="335"/>
      <c r="V888" s="201">
        <f t="shared" si="1022"/>
        <v>0</v>
      </c>
      <c r="W888" s="10">
        <f t="shared" si="1022"/>
        <v>0</v>
      </c>
      <c r="X888" s="10">
        <f t="shared" si="1022"/>
        <v>0</v>
      </c>
      <c r="Y888" s="10">
        <f t="shared" si="1022"/>
        <v>0</v>
      </c>
      <c r="Z888" s="67"/>
      <c r="AA888" s="10">
        <f t="shared" ref="AA888:BJ888" si="1055">IF($F888=1, AA815, AA606)</f>
        <v>0</v>
      </c>
      <c r="AB888" s="10">
        <f t="shared" si="1055"/>
        <v>0</v>
      </c>
      <c r="AC888" s="10">
        <f t="shared" si="1055"/>
        <v>0</v>
      </c>
      <c r="AD888" s="10">
        <f t="shared" si="1055"/>
        <v>0</v>
      </c>
      <c r="AE888" s="10">
        <f t="shared" si="1055"/>
        <v>0</v>
      </c>
      <c r="AF888" s="10">
        <f t="shared" si="1055"/>
        <v>0</v>
      </c>
      <c r="AG888" s="10">
        <f t="shared" si="1055"/>
        <v>0</v>
      </c>
      <c r="AH888" s="10">
        <f t="shared" si="1055"/>
        <v>0</v>
      </c>
      <c r="AI888" s="10">
        <f t="shared" si="1055"/>
        <v>0</v>
      </c>
      <c r="AJ888" s="10">
        <f t="shared" si="1055"/>
        <v>0</v>
      </c>
      <c r="AK888" s="10">
        <f t="shared" si="1055"/>
        <v>0</v>
      </c>
      <c r="AL888" s="10">
        <f t="shared" si="1055"/>
        <v>0</v>
      </c>
      <c r="AM888" s="10">
        <f t="shared" si="1055"/>
        <v>0</v>
      </c>
      <c r="AN888" s="10">
        <f t="shared" si="1055"/>
        <v>0</v>
      </c>
      <c r="AO888" s="10">
        <f t="shared" si="1055"/>
        <v>0</v>
      </c>
      <c r="AP888" s="10">
        <f t="shared" si="1055"/>
        <v>0</v>
      </c>
      <c r="AQ888" s="10">
        <f t="shared" si="1055"/>
        <v>0</v>
      </c>
      <c r="AR888" s="10">
        <f t="shared" si="1055"/>
        <v>0</v>
      </c>
      <c r="AS888" s="10">
        <f t="shared" si="1055"/>
        <v>0</v>
      </c>
      <c r="AT888" s="10">
        <f t="shared" si="1055"/>
        <v>0</v>
      </c>
      <c r="AU888" s="10">
        <f t="shared" si="1055"/>
        <v>0</v>
      </c>
      <c r="AV888" s="10">
        <f t="shared" si="1055"/>
        <v>0</v>
      </c>
      <c r="AW888" s="10">
        <f t="shared" si="1055"/>
        <v>0</v>
      </c>
      <c r="AX888" s="10">
        <f t="shared" si="1055"/>
        <v>0</v>
      </c>
      <c r="AY888" s="10">
        <f t="shared" si="1055"/>
        <v>0</v>
      </c>
      <c r="AZ888" s="10">
        <f t="shared" si="1055"/>
        <v>0</v>
      </c>
      <c r="BA888" s="10">
        <f t="shared" si="1055"/>
        <v>0</v>
      </c>
      <c r="BB888" s="10">
        <f t="shared" si="1055"/>
        <v>0</v>
      </c>
      <c r="BC888" s="10">
        <f t="shared" si="1055"/>
        <v>0</v>
      </c>
      <c r="BD888" s="10">
        <f t="shared" si="1055"/>
        <v>0</v>
      </c>
      <c r="BE888" s="10">
        <f t="shared" si="1055"/>
        <v>0</v>
      </c>
      <c r="BF888" s="10">
        <f t="shared" si="1055"/>
        <v>0</v>
      </c>
      <c r="BG888" s="10">
        <f t="shared" si="1055"/>
        <v>0</v>
      </c>
      <c r="BH888" s="10">
        <f t="shared" si="1055"/>
        <v>0</v>
      </c>
      <c r="BI888" s="10">
        <f t="shared" si="1055"/>
        <v>0</v>
      </c>
      <c r="BJ888" s="10">
        <f t="shared" si="1055"/>
        <v>0</v>
      </c>
      <c r="BK888" s="67"/>
      <c r="BL888" s="10">
        <f t="shared" si="1024"/>
        <v>0</v>
      </c>
      <c r="BM888" s="10">
        <f t="shared" si="1024"/>
        <v>0</v>
      </c>
      <c r="BN888" s="10">
        <f t="shared" si="1024"/>
        <v>0</v>
      </c>
      <c r="BO888" s="10">
        <f t="shared" si="1024"/>
        <v>0</v>
      </c>
      <c r="BP888" s="13">
        <f t="shared" ref="BP888:BW888" si="1056">IF(AND(ISBLANK(BP$324),ISBLANK(BP$325)),BO888,BP$326)</f>
        <v>0</v>
      </c>
      <c r="BQ888" s="13">
        <f t="shared" si="1056"/>
        <v>0</v>
      </c>
      <c r="BR888" s="13">
        <f t="shared" si="1056"/>
        <v>0</v>
      </c>
      <c r="BS888" s="13">
        <f t="shared" si="1056"/>
        <v>0</v>
      </c>
      <c r="BT888" s="13">
        <f t="shared" si="1056"/>
        <v>0</v>
      </c>
      <c r="BU888" s="13">
        <f t="shared" si="1056"/>
        <v>0</v>
      </c>
      <c r="BV888" s="13">
        <f t="shared" si="1056"/>
        <v>0</v>
      </c>
      <c r="BW888" s="13">
        <f t="shared" si="1056"/>
        <v>0</v>
      </c>
      <c r="BY888" s="12"/>
      <c r="CA888" s="12"/>
      <c r="CJ888" s="162"/>
      <c r="CR888" s="12"/>
      <c r="EX888" s="13" t="str">
        <f t="shared" ca="1" si="1026"/>
        <v>Interest Payable Closing Balance Loan 15</v>
      </c>
    </row>
    <row r="889" spans="1:154" x14ac:dyDescent="0.25">
      <c r="A889" s="67"/>
      <c r="B889" s="84" t="str" cm="1">
        <f t="array" aca="1" ref="B889" ca="1">HYPERLINK(CONCATENATE("#",CELL("address",$D$332)),$D$332)</f>
        <v>Loan 16</v>
      </c>
      <c r="C889" s="340" t="s">
        <v>1328</v>
      </c>
      <c r="D889" s="60">
        <f>D$28</f>
        <v>0</v>
      </c>
      <c r="E889" s="60">
        <f>E$28</f>
        <v>0</v>
      </c>
      <c r="F889" s="10">
        <f>P$28</f>
        <v>0</v>
      </c>
      <c r="G889" s="9"/>
      <c r="H889" s="50" t="s">
        <v>157</v>
      </c>
      <c r="S889" s="335"/>
      <c r="T889" s="335"/>
      <c r="U889" s="335"/>
      <c r="V889" s="201">
        <f t="shared" si="1022"/>
        <v>0</v>
      </c>
      <c r="W889" s="10">
        <f t="shared" si="1022"/>
        <v>0</v>
      </c>
      <c r="X889" s="10">
        <f t="shared" si="1022"/>
        <v>0</v>
      </c>
      <c r="Y889" s="10">
        <f t="shared" si="1022"/>
        <v>0</v>
      </c>
      <c r="Z889" s="67"/>
      <c r="AA889" s="10">
        <f t="shared" ref="AA889:BJ889" si="1057">IF($F889=1, AA816, AA607)</f>
        <v>0</v>
      </c>
      <c r="AB889" s="10">
        <f t="shared" si="1057"/>
        <v>0</v>
      </c>
      <c r="AC889" s="10">
        <f t="shared" si="1057"/>
        <v>0</v>
      </c>
      <c r="AD889" s="10">
        <f t="shared" si="1057"/>
        <v>0</v>
      </c>
      <c r="AE889" s="10">
        <f t="shared" si="1057"/>
        <v>0</v>
      </c>
      <c r="AF889" s="10">
        <f t="shared" si="1057"/>
        <v>0</v>
      </c>
      <c r="AG889" s="10">
        <f t="shared" si="1057"/>
        <v>0</v>
      </c>
      <c r="AH889" s="10">
        <f t="shared" si="1057"/>
        <v>0</v>
      </c>
      <c r="AI889" s="10">
        <f t="shared" si="1057"/>
        <v>0</v>
      </c>
      <c r="AJ889" s="10">
        <f t="shared" si="1057"/>
        <v>0</v>
      </c>
      <c r="AK889" s="10">
        <f t="shared" si="1057"/>
        <v>0</v>
      </c>
      <c r="AL889" s="10">
        <f t="shared" si="1057"/>
        <v>0</v>
      </c>
      <c r="AM889" s="10">
        <f t="shared" si="1057"/>
        <v>0</v>
      </c>
      <c r="AN889" s="10">
        <f t="shared" si="1057"/>
        <v>0</v>
      </c>
      <c r="AO889" s="10">
        <f t="shared" si="1057"/>
        <v>0</v>
      </c>
      <c r="AP889" s="10">
        <f t="shared" si="1057"/>
        <v>0</v>
      </c>
      <c r="AQ889" s="10">
        <f t="shared" si="1057"/>
        <v>0</v>
      </c>
      <c r="AR889" s="10">
        <f t="shared" si="1057"/>
        <v>0</v>
      </c>
      <c r="AS889" s="10">
        <f t="shared" si="1057"/>
        <v>0</v>
      </c>
      <c r="AT889" s="10">
        <f t="shared" si="1057"/>
        <v>0</v>
      </c>
      <c r="AU889" s="10">
        <f t="shared" si="1057"/>
        <v>0</v>
      </c>
      <c r="AV889" s="10">
        <f t="shared" si="1057"/>
        <v>0</v>
      </c>
      <c r="AW889" s="10">
        <f t="shared" si="1057"/>
        <v>0</v>
      </c>
      <c r="AX889" s="10">
        <f t="shared" si="1057"/>
        <v>0</v>
      </c>
      <c r="AY889" s="10">
        <f t="shared" si="1057"/>
        <v>0</v>
      </c>
      <c r="AZ889" s="10">
        <f t="shared" si="1057"/>
        <v>0</v>
      </c>
      <c r="BA889" s="10">
        <f t="shared" si="1057"/>
        <v>0</v>
      </c>
      <c r="BB889" s="10">
        <f t="shared" si="1057"/>
        <v>0</v>
      </c>
      <c r="BC889" s="10">
        <f t="shared" si="1057"/>
        <v>0</v>
      </c>
      <c r="BD889" s="10">
        <f t="shared" si="1057"/>
        <v>0</v>
      </c>
      <c r="BE889" s="10">
        <f t="shared" si="1057"/>
        <v>0</v>
      </c>
      <c r="BF889" s="10">
        <f t="shared" si="1057"/>
        <v>0</v>
      </c>
      <c r="BG889" s="10">
        <f t="shared" si="1057"/>
        <v>0</v>
      </c>
      <c r="BH889" s="10">
        <f t="shared" si="1057"/>
        <v>0</v>
      </c>
      <c r="BI889" s="10">
        <f t="shared" si="1057"/>
        <v>0</v>
      </c>
      <c r="BJ889" s="10">
        <f t="shared" si="1057"/>
        <v>0</v>
      </c>
      <c r="BK889" s="67"/>
      <c r="BL889" s="10">
        <f t="shared" si="1024"/>
        <v>0</v>
      </c>
      <c r="BM889" s="10">
        <f t="shared" si="1024"/>
        <v>0</v>
      </c>
      <c r="BN889" s="10">
        <f t="shared" si="1024"/>
        <v>0</v>
      </c>
      <c r="BO889" s="10">
        <f t="shared" si="1024"/>
        <v>0</v>
      </c>
      <c r="BP889" s="13">
        <f t="shared" ref="BP889:BW889" si="1058">IF(AND(ISBLANK(BP$343),ISBLANK(BP$344)),BO889,BP$345)</f>
        <v>0</v>
      </c>
      <c r="BQ889" s="13">
        <f t="shared" si="1058"/>
        <v>0</v>
      </c>
      <c r="BR889" s="13">
        <f t="shared" si="1058"/>
        <v>0</v>
      </c>
      <c r="BS889" s="13">
        <f t="shared" si="1058"/>
        <v>0</v>
      </c>
      <c r="BT889" s="13">
        <f t="shared" si="1058"/>
        <v>0</v>
      </c>
      <c r="BU889" s="13">
        <f t="shared" si="1058"/>
        <v>0</v>
      </c>
      <c r="BV889" s="13">
        <f t="shared" si="1058"/>
        <v>0</v>
      </c>
      <c r="BW889" s="13">
        <f t="shared" si="1058"/>
        <v>0</v>
      </c>
      <c r="BY889" s="12"/>
      <c r="CA889" s="12"/>
      <c r="CJ889" s="162"/>
      <c r="CR889" s="12"/>
      <c r="EX889" s="13" t="str">
        <f t="shared" ca="1" si="1026"/>
        <v>Interest Payable Closing Balance Loan 16</v>
      </c>
    </row>
    <row r="890" spans="1:154" x14ac:dyDescent="0.25">
      <c r="A890" s="67"/>
      <c r="B890" s="84" t="str" cm="1">
        <f t="array" aca="1" ref="B890" ca="1">HYPERLINK(CONCATENATE("#",CELL("address",$D$351)),$D$351)</f>
        <v>Loan 17</v>
      </c>
      <c r="C890" s="340" t="s">
        <v>1329</v>
      </c>
      <c r="D890" s="60">
        <f>D$29</f>
        <v>0</v>
      </c>
      <c r="E890" s="60">
        <f>E$29</f>
        <v>0</v>
      </c>
      <c r="F890" s="10">
        <f>P$29</f>
        <v>0</v>
      </c>
      <c r="G890" s="9"/>
      <c r="H890" s="50" t="s">
        <v>157</v>
      </c>
      <c r="S890" s="335"/>
      <c r="T890" s="335"/>
      <c r="U890" s="335"/>
      <c r="V890" s="201">
        <f t="shared" si="1022"/>
        <v>0</v>
      </c>
      <c r="W890" s="10">
        <f t="shared" si="1022"/>
        <v>0</v>
      </c>
      <c r="X890" s="10">
        <f t="shared" si="1022"/>
        <v>0</v>
      </c>
      <c r="Y890" s="10">
        <f t="shared" si="1022"/>
        <v>0</v>
      </c>
      <c r="Z890" s="67"/>
      <c r="AA890" s="10">
        <f t="shared" ref="AA890:BJ890" si="1059">IF($F890=1, AA817, AA608)</f>
        <v>0</v>
      </c>
      <c r="AB890" s="10">
        <f t="shared" si="1059"/>
        <v>0</v>
      </c>
      <c r="AC890" s="10">
        <f t="shared" si="1059"/>
        <v>0</v>
      </c>
      <c r="AD890" s="10">
        <f t="shared" si="1059"/>
        <v>0</v>
      </c>
      <c r="AE890" s="10">
        <f t="shared" si="1059"/>
        <v>0</v>
      </c>
      <c r="AF890" s="10">
        <f t="shared" si="1059"/>
        <v>0</v>
      </c>
      <c r="AG890" s="10">
        <f t="shared" si="1059"/>
        <v>0</v>
      </c>
      <c r="AH890" s="10">
        <f t="shared" si="1059"/>
        <v>0</v>
      </c>
      <c r="AI890" s="10">
        <f t="shared" si="1059"/>
        <v>0</v>
      </c>
      <c r="AJ890" s="10">
        <f t="shared" si="1059"/>
        <v>0</v>
      </c>
      <c r="AK890" s="10">
        <f t="shared" si="1059"/>
        <v>0</v>
      </c>
      <c r="AL890" s="10">
        <f t="shared" si="1059"/>
        <v>0</v>
      </c>
      <c r="AM890" s="10">
        <f t="shared" si="1059"/>
        <v>0</v>
      </c>
      <c r="AN890" s="10">
        <f t="shared" si="1059"/>
        <v>0</v>
      </c>
      <c r="AO890" s="10">
        <f t="shared" si="1059"/>
        <v>0</v>
      </c>
      <c r="AP890" s="10">
        <f t="shared" si="1059"/>
        <v>0</v>
      </c>
      <c r="AQ890" s="10">
        <f t="shared" si="1059"/>
        <v>0</v>
      </c>
      <c r="AR890" s="10">
        <f t="shared" si="1059"/>
        <v>0</v>
      </c>
      <c r="AS890" s="10">
        <f t="shared" si="1059"/>
        <v>0</v>
      </c>
      <c r="AT890" s="10">
        <f t="shared" si="1059"/>
        <v>0</v>
      </c>
      <c r="AU890" s="10">
        <f t="shared" si="1059"/>
        <v>0</v>
      </c>
      <c r="AV890" s="10">
        <f t="shared" si="1059"/>
        <v>0</v>
      </c>
      <c r="AW890" s="10">
        <f t="shared" si="1059"/>
        <v>0</v>
      </c>
      <c r="AX890" s="10">
        <f t="shared" si="1059"/>
        <v>0</v>
      </c>
      <c r="AY890" s="10">
        <f t="shared" si="1059"/>
        <v>0</v>
      </c>
      <c r="AZ890" s="10">
        <f t="shared" si="1059"/>
        <v>0</v>
      </c>
      <c r="BA890" s="10">
        <f t="shared" si="1059"/>
        <v>0</v>
      </c>
      <c r="BB890" s="10">
        <f t="shared" si="1059"/>
        <v>0</v>
      </c>
      <c r="BC890" s="10">
        <f t="shared" si="1059"/>
        <v>0</v>
      </c>
      <c r="BD890" s="10">
        <f t="shared" si="1059"/>
        <v>0</v>
      </c>
      <c r="BE890" s="10">
        <f t="shared" si="1059"/>
        <v>0</v>
      </c>
      <c r="BF890" s="10">
        <f t="shared" si="1059"/>
        <v>0</v>
      </c>
      <c r="BG890" s="10">
        <f t="shared" si="1059"/>
        <v>0</v>
      </c>
      <c r="BH890" s="10">
        <f t="shared" si="1059"/>
        <v>0</v>
      </c>
      <c r="BI890" s="10">
        <f t="shared" si="1059"/>
        <v>0</v>
      </c>
      <c r="BJ890" s="10">
        <f t="shared" si="1059"/>
        <v>0</v>
      </c>
      <c r="BK890" s="67"/>
      <c r="BL890" s="10">
        <f t="shared" si="1024"/>
        <v>0</v>
      </c>
      <c r="BM890" s="10">
        <f t="shared" si="1024"/>
        <v>0</v>
      </c>
      <c r="BN890" s="10">
        <f t="shared" si="1024"/>
        <v>0</v>
      </c>
      <c r="BO890" s="10">
        <f t="shared" si="1024"/>
        <v>0</v>
      </c>
      <c r="BP890" s="13">
        <f t="shared" ref="BP890:BW890" si="1060">IF(AND(ISBLANK(BP$362),ISBLANK(BP$363)),BO890,BP$364)</f>
        <v>0</v>
      </c>
      <c r="BQ890" s="13">
        <f t="shared" si="1060"/>
        <v>0</v>
      </c>
      <c r="BR890" s="13">
        <f t="shared" si="1060"/>
        <v>0</v>
      </c>
      <c r="BS890" s="13">
        <f t="shared" si="1060"/>
        <v>0</v>
      </c>
      <c r="BT890" s="13">
        <f t="shared" si="1060"/>
        <v>0</v>
      </c>
      <c r="BU890" s="13">
        <f t="shared" si="1060"/>
        <v>0</v>
      </c>
      <c r="BV890" s="13">
        <f t="shared" si="1060"/>
        <v>0</v>
      </c>
      <c r="BW890" s="13">
        <f t="shared" si="1060"/>
        <v>0</v>
      </c>
      <c r="BY890" s="12"/>
      <c r="CA890" s="12"/>
      <c r="CJ890" s="162"/>
      <c r="CR890" s="12"/>
      <c r="EX890" s="13" t="str">
        <f t="shared" ca="1" si="1026"/>
        <v>Interest Payable Closing Balance Loan 17</v>
      </c>
    </row>
    <row r="891" spans="1:154" x14ac:dyDescent="0.25">
      <c r="A891" s="67"/>
      <c r="B891" s="84" t="str" cm="1">
        <f t="array" aca="1" ref="B891" ca="1">HYPERLINK(CONCATENATE("#",CELL("address",$D$370)),$D$370)</f>
        <v>Loan 18</v>
      </c>
      <c r="C891" s="340" t="s">
        <v>1330</v>
      </c>
      <c r="D891" s="60">
        <f>D$30</f>
        <v>0</v>
      </c>
      <c r="E891" s="60">
        <f>E$30</f>
        <v>0</v>
      </c>
      <c r="F891" s="10">
        <f>P$30</f>
        <v>0</v>
      </c>
      <c r="G891" s="9"/>
      <c r="H891" s="50" t="s">
        <v>157</v>
      </c>
      <c r="S891" s="335"/>
      <c r="T891" s="335"/>
      <c r="U891" s="335"/>
      <c r="V891" s="201">
        <f t="shared" si="1022"/>
        <v>0</v>
      </c>
      <c r="W891" s="10">
        <f t="shared" si="1022"/>
        <v>0</v>
      </c>
      <c r="X891" s="10">
        <f t="shared" si="1022"/>
        <v>0</v>
      </c>
      <c r="Y891" s="10">
        <f t="shared" si="1022"/>
        <v>0</v>
      </c>
      <c r="Z891" s="67"/>
      <c r="AA891" s="10">
        <f t="shared" ref="AA891:BJ891" si="1061">IF($F891=1, AA818, AA609)</f>
        <v>0</v>
      </c>
      <c r="AB891" s="10">
        <f t="shared" si="1061"/>
        <v>0</v>
      </c>
      <c r="AC891" s="10">
        <f t="shared" si="1061"/>
        <v>0</v>
      </c>
      <c r="AD891" s="10">
        <f t="shared" si="1061"/>
        <v>0</v>
      </c>
      <c r="AE891" s="10">
        <f t="shared" si="1061"/>
        <v>0</v>
      </c>
      <c r="AF891" s="10">
        <f t="shared" si="1061"/>
        <v>0</v>
      </c>
      <c r="AG891" s="10">
        <f t="shared" si="1061"/>
        <v>0</v>
      </c>
      <c r="AH891" s="10">
        <f t="shared" si="1061"/>
        <v>0</v>
      </c>
      <c r="AI891" s="10">
        <f t="shared" si="1061"/>
        <v>0</v>
      </c>
      <c r="AJ891" s="10">
        <f t="shared" si="1061"/>
        <v>0</v>
      </c>
      <c r="AK891" s="10">
        <f t="shared" si="1061"/>
        <v>0</v>
      </c>
      <c r="AL891" s="10">
        <f t="shared" si="1061"/>
        <v>0</v>
      </c>
      <c r="AM891" s="10">
        <f t="shared" si="1061"/>
        <v>0</v>
      </c>
      <c r="AN891" s="10">
        <f t="shared" si="1061"/>
        <v>0</v>
      </c>
      <c r="AO891" s="10">
        <f t="shared" si="1061"/>
        <v>0</v>
      </c>
      <c r="AP891" s="10">
        <f t="shared" si="1061"/>
        <v>0</v>
      </c>
      <c r="AQ891" s="10">
        <f t="shared" si="1061"/>
        <v>0</v>
      </c>
      <c r="AR891" s="10">
        <f t="shared" si="1061"/>
        <v>0</v>
      </c>
      <c r="AS891" s="10">
        <f t="shared" si="1061"/>
        <v>0</v>
      </c>
      <c r="AT891" s="10">
        <f t="shared" si="1061"/>
        <v>0</v>
      </c>
      <c r="AU891" s="10">
        <f t="shared" si="1061"/>
        <v>0</v>
      </c>
      <c r="AV891" s="10">
        <f t="shared" si="1061"/>
        <v>0</v>
      </c>
      <c r="AW891" s="10">
        <f t="shared" si="1061"/>
        <v>0</v>
      </c>
      <c r="AX891" s="10">
        <f t="shared" si="1061"/>
        <v>0</v>
      </c>
      <c r="AY891" s="10">
        <f t="shared" si="1061"/>
        <v>0</v>
      </c>
      <c r="AZ891" s="10">
        <f t="shared" si="1061"/>
        <v>0</v>
      </c>
      <c r="BA891" s="10">
        <f t="shared" si="1061"/>
        <v>0</v>
      </c>
      <c r="BB891" s="10">
        <f t="shared" si="1061"/>
        <v>0</v>
      </c>
      <c r="BC891" s="10">
        <f t="shared" si="1061"/>
        <v>0</v>
      </c>
      <c r="BD891" s="10">
        <f t="shared" si="1061"/>
        <v>0</v>
      </c>
      <c r="BE891" s="10">
        <f t="shared" si="1061"/>
        <v>0</v>
      </c>
      <c r="BF891" s="10">
        <f t="shared" si="1061"/>
        <v>0</v>
      </c>
      <c r="BG891" s="10">
        <f t="shared" si="1061"/>
        <v>0</v>
      </c>
      <c r="BH891" s="10">
        <f t="shared" si="1061"/>
        <v>0</v>
      </c>
      <c r="BI891" s="10">
        <f t="shared" si="1061"/>
        <v>0</v>
      </c>
      <c r="BJ891" s="10">
        <f t="shared" si="1061"/>
        <v>0</v>
      </c>
      <c r="BK891" s="67"/>
      <c r="BL891" s="10">
        <f t="shared" si="1024"/>
        <v>0</v>
      </c>
      <c r="BM891" s="10">
        <f t="shared" si="1024"/>
        <v>0</v>
      </c>
      <c r="BN891" s="10">
        <f t="shared" si="1024"/>
        <v>0</v>
      </c>
      <c r="BO891" s="10">
        <f t="shared" si="1024"/>
        <v>0</v>
      </c>
      <c r="BP891" s="13">
        <f t="shared" ref="BP891:BW891" si="1062">IF(AND(ISBLANK(BP$381),ISBLANK(BP$382)),BO891,BP$383)</f>
        <v>0</v>
      </c>
      <c r="BQ891" s="13">
        <f t="shared" si="1062"/>
        <v>0</v>
      </c>
      <c r="BR891" s="13">
        <f t="shared" si="1062"/>
        <v>0</v>
      </c>
      <c r="BS891" s="13">
        <f t="shared" si="1062"/>
        <v>0</v>
      </c>
      <c r="BT891" s="13">
        <f t="shared" si="1062"/>
        <v>0</v>
      </c>
      <c r="BU891" s="13">
        <f t="shared" si="1062"/>
        <v>0</v>
      </c>
      <c r="BV891" s="13">
        <f t="shared" si="1062"/>
        <v>0</v>
      </c>
      <c r="BW891" s="13">
        <f t="shared" si="1062"/>
        <v>0</v>
      </c>
      <c r="BY891" s="12"/>
      <c r="CA891" s="12"/>
      <c r="CJ891" s="162"/>
      <c r="CR891" s="12"/>
      <c r="EX891" s="13" t="str">
        <f t="shared" ca="1" si="1026"/>
        <v>Interest Payable Closing Balance Loan 18</v>
      </c>
    </row>
    <row r="892" spans="1:154" x14ac:dyDescent="0.25">
      <c r="A892" s="67"/>
      <c r="B892" s="84" t="str" cm="1">
        <f t="array" aca="1" ref="B892" ca="1">HYPERLINK(CONCATENATE("#",CELL("address",$D$389)),$D$389)</f>
        <v>Loan 19</v>
      </c>
      <c r="C892" s="340" t="s">
        <v>1331</v>
      </c>
      <c r="D892" s="60">
        <f>D$31</f>
        <v>0</v>
      </c>
      <c r="E892" s="60">
        <f>E$31</f>
        <v>0</v>
      </c>
      <c r="F892" s="10">
        <f>P$31</f>
        <v>0</v>
      </c>
      <c r="G892" s="9"/>
      <c r="H892" s="50" t="s">
        <v>157</v>
      </c>
      <c r="S892" s="335"/>
      <c r="T892" s="335"/>
      <c r="U892" s="335"/>
      <c r="V892" s="201">
        <f t="shared" si="1022"/>
        <v>0</v>
      </c>
      <c r="W892" s="10">
        <f t="shared" si="1022"/>
        <v>0</v>
      </c>
      <c r="X892" s="10">
        <f t="shared" si="1022"/>
        <v>0</v>
      </c>
      <c r="Y892" s="10">
        <f t="shared" si="1022"/>
        <v>0</v>
      </c>
      <c r="Z892" s="67"/>
      <c r="AA892" s="10">
        <f t="shared" ref="AA892:BJ892" si="1063">IF($F892=1, AA819, AA610)</f>
        <v>0</v>
      </c>
      <c r="AB892" s="10">
        <f t="shared" si="1063"/>
        <v>0</v>
      </c>
      <c r="AC892" s="10">
        <f t="shared" si="1063"/>
        <v>0</v>
      </c>
      <c r="AD892" s="10">
        <f t="shared" si="1063"/>
        <v>0</v>
      </c>
      <c r="AE892" s="10">
        <f t="shared" si="1063"/>
        <v>0</v>
      </c>
      <c r="AF892" s="10">
        <f t="shared" si="1063"/>
        <v>0</v>
      </c>
      <c r="AG892" s="10">
        <f t="shared" si="1063"/>
        <v>0</v>
      </c>
      <c r="AH892" s="10">
        <f t="shared" si="1063"/>
        <v>0</v>
      </c>
      <c r="AI892" s="10">
        <f t="shared" si="1063"/>
        <v>0</v>
      </c>
      <c r="AJ892" s="10">
        <f t="shared" si="1063"/>
        <v>0</v>
      </c>
      <c r="AK892" s="10">
        <f t="shared" si="1063"/>
        <v>0</v>
      </c>
      <c r="AL892" s="10">
        <f t="shared" si="1063"/>
        <v>0</v>
      </c>
      <c r="AM892" s="10">
        <f t="shared" si="1063"/>
        <v>0</v>
      </c>
      <c r="AN892" s="10">
        <f t="shared" si="1063"/>
        <v>0</v>
      </c>
      <c r="AO892" s="10">
        <f t="shared" si="1063"/>
        <v>0</v>
      </c>
      <c r="AP892" s="10">
        <f t="shared" si="1063"/>
        <v>0</v>
      </c>
      <c r="AQ892" s="10">
        <f t="shared" si="1063"/>
        <v>0</v>
      </c>
      <c r="AR892" s="10">
        <f t="shared" si="1063"/>
        <v>0</v>
      </c>
      <c r="AS892" s="10">
        <f t="shared" si="1063"/>
        <v>0</v>
      </c>
      <c r="AT892" s="10">
        <f t="shared" si="1063"/>
        <v>0</v>
      </c>
      <c r="AU892" s="10">
        <f t="shared" si="1063"/>
        <v>0</v>
      </c>
      <c r="AV892" s="10">
        <f t="shared" si="1063"/>
        <v>0</v>
      </c>
      <c r="AW892" s="10">
        <f t="shared" si="1063"/>
        <v>0</v>
      </c>
      <c r="AX892" s="10">
        <f t="shared" si="1063"/>
        <v>0</v>
      </c>
      <c r="AY892" s="10">
        <f t="shared" si="1063"/>
        <v>0</v>
      </c>
      <c r="AZ892" s="10">
        <f t="shared" si="1063"/>
        <v>0</v>
      </c>
      <c r="BA892" s="10">
        <f t="shared" si="1063"/>
        <v>0</v>
      </c>
      <c r="BB892" s="10">
        <f t="shared" si="1063"/>
        <v>0</v>
      </c>
      <c r="BC892" s="10">
        <f t="shared" si="1063"/>
        <v>0</v>
      </c>
      <c r="BD892" s="10">
        <f t="shared" si="1063"/>
        <v>0</v>
      </c>
      <c r="BE892" s="10">
        <f t="shared" si="1063"/>
        <v>0</v>
      </c>
      <c r="BF892" s="10">
        <f t="shared" si="1063"/>
        <v>0</v>
      </c>
      <c r="BG892" s="10">
        <f t="shared" si="1063"/>
        <v>0</v>
      </c>
      <c r="BH892" s="10">
        <f t="shared" si="1063"/>
        <v>0</v>
      </c>
      <c r="BI892" s="10">
        <f t="shared" si="1063"/>
        <v>0</v>
      </c>
      <c r="BJ892" s="10">
        <f t="shared" si="1063"/>
        <v>0</v>
      </c>
      <c r="BK892" s="67"/>
      <c r="BL892" s="10">
        <f t="shared" si="1024"/>
        <v>0</v>
      </c>
      <c r="BM892" s="10">
        <f t="shared" si="1024"/>
        <v>0</v>
      </c>
      <c r="BN892" s="10">
        <f t="shared" si="1024"/>
        <v>0</v>
      </c>
      <c r="BO892" s="10">
        <f t="shared" si="1024"/>
        <v>0</v>
      </c>
      <c r="BP892" s="13">
        <f t="shared" ref="BP892:BW892" si="1064">IF(AND(ISBLANK(BP$400),ISBLANK(BP$401)),BO892,BP$402)</f>
        <v>0</v>
      </c>
      <c r="BQ892" s="13">
        <f t="shared" si="1064"/>
        <v>0</v>
      </c>
      <c r="BR892" s="13">
        <f t="shared" si="1064"/>
        <v>0</v>
      </c>
      <c r="BS892" s="13">
        <f t="shared" si="1064"/>
        <v>0</v>
      </c>
      <c r="BT892" s="13">
        <f t="shared" si="1064"/>
        <v>0</v>
      </c>
      <c r="BU892" s="13">
        <f t="shared" si="1064"/>
        <v>0</v>
      </c>
      <c r="BV892" s="13">
        <f t="shared" si="1064"/>
        <v>0</v>
      </c>
      <c r="BW892" s="13">
        <f t="shared" si="1064"/>
        <v>0</v>
      </c>
      <c r="BY892" s="12"/>
      <c r="CA892" s="12"/>
      <c r="CJ892" s="162"/>
      <c r="CR892" s="12"/>
      <c r="EX892" s="13" t="str">
        <f t="shared" ca="1" si="1026"/>
        <v>Interest Payable Closing Balance Loan 19</v>
      </c>
    </row>
    <row r="893" spans="1:154" x14ac:dyDescent="0.25">
      <c r="A893" s="67"/>
      <c r="B893" s="84" t="str" cm="1">
        <f t="array" aca="1" ref="B893" ca="1">HYPERLINK(CONCATENATE("#",CELL("address",$D$408)),$D$408)</f>
        <v>Loan 20</v>
      </c>
      <c r="C893" s="340" t="s">
        <v>1332</v>
      </c>
      <c r="D893" s="60">
        <f>D$32</f>
        <v>0</v>
      </c>
      <c r="E893" s="60">
        <f>E$32</f>
        <v>0</v>
      </c>
      <c r="F893" s="10">
        <f>P$32</f>
        <v>0</v>
      </c>
      <c r="G893" s="9"/>
      <c r="H893" s="50" t="s">
        <v>157</v>
      </c>
      <c r="S893" s="335"/>
      <c r="T893" s="335"/>
      <c r="U893" s="335"/>
      <c r="V893" s="201">
        <f t="shared" si="1022"/>
        <v>0</v>
      </c>
      <c r="W893" s="10">
        <f t="shared" si="1022"/>
        <v>0</v>
      </c>
      <c r="X893" s="10">
        <f t="shared" si="1022"/>
        <v>0</v>
      </c>
      <c r="Y893" s="10">
        <f t="shared" si="1022"/>
        <v>0</v>
      </c>
      <c r="Z893" s="67"/>
      <c r="AA893" s="10">
        <f t="shared" ref="AA893:BJ893" si="1065">IF($F893=1, AA820, AA611)</f>
        <v>0</v>
      </c>
      <c r="AB893" s="10">
        <f t="shared" si="1065"/>
        <v>0</v>
      </c>
      <c r="AC893" s="10">
        <f t="shared" si="1065"/>
        <v>0</v>
      </c>
      <c r="AD893" s="10">
        <f t="shared" si="1065"/>
        <v>0</v>
      </c>
      <c r="AE893" s="10">
        <f t="shared" si="1065"/>
        <v>0</v>
      </c>
      <c r="AF893" s="10">
        <f t="shared" si="1065"/>
        <v>0</v>
      </c>
      <c r="AG893" s="10">
        <f t="shared" si="1065"/>
        <v>0</v>
      </c>
      <c r="AH893" s="10">
        <f t="shared" si="1065"/>
        <v>0</v>
      </c>
      <c r="AI893" s="10">
        <f t="shared" si="1065"/>
        <v>0</v>
      </c>
      <c r="AJ893" s="10">
        <f t="shared" si="1065"/>
        <v>0</v>
      </c>
      <c r="AK893" s="10">
        <f t="shared" si="1065"/>
        <v>0</v>
      </c>
      <c r="AL893" s="10">
        <f t="shared" si="1065"/>
        <v>0</v>
      </c>
      <c r="AM893" s="10">
        <f t="shared" si="1065"/>
        <v>0</v>
      </c>
      <c r="AN893" s="10">
        <f t="shared" si="1065"/>
        <v>0</v>
      </c>
      <c r="AO893" s="10">
        <f t="shared" si="1065"/>
        <v>0</v>
      </c>
      <c r="AP893" s="10">
        <f t="shared" si="1065"/>
        <v>0</v>
      </c>
      <c r="AQ893" s="10">
        <f t="shared" si="1065"/>
        <v>0</v>
      </c>
      <c r="AR893" s="10">
        <f t="shared" si="1065"/>
        <v>0</v>
      </c>
      <c r="AS893" s="10">
        <f t="shared" si="1065"/>
        <v>0</v>
      </c>
      <c r="AT893" s="10">
        <f t="shared" si="1065"/>
        <v>0</v>
      </c>
      <c r="AU893" s="10">
        <f t="shared" si="1065"/>
        <v>0</v>
      </c>
      <c r="AV893" s="10">
        <f t="shared" si="1065"/>
        <v>0</v>
      </c>
      <c r="AW893" s="10">
        <f t="shared" si="1065"/>
        <v>0</v>
      </c>
      <c r="AX893" s="10">
        <f t="shared" si="1065"/>
        <v>0</v>
      </c>
      <c r="AY893" s="10">
        <f t="shared" si="1065"/>
        <v>0</v>
      </c>
      <c r="AZ893" s="10">
        <f t="shared" si="1065"/>
        <v>0</v>
      </c>
      <c r="BA893" s="10">
        <f t="shared" si="1065"/>
        <v>0</v>
      </c>
      <c r="BB893" s="10">
        <f t="shared" si="1065"/>
        <v>0</v>
      </c>
      <c r="BC893" s="10">
        <f t="shared" si="1065"/>
        <v>0</v>
      </c>
      <c r="BD893" s="10">
        <f t="shared" si="1065"/>
        <v>0</v>
      </c>
      <c r="BE893" s="10">
        <f t="shared" si="1065"/>
        <v>0</v>
      </c>
      <c r="BF893" s="10">
        <f t="shared" si="1065"/>
        <v>0</v>
      </c>
      <c r="BG893" s="10">
        <f t="shared" si="1065"/>
        <v>0</v>
      </c>
      <c r="BH893" s="10">
        <f t="shared" si="1065"/>
        <v>0</v>
      </c>
      <c r="BI893" s="10">
        <f t="shared" si="1065"/>
        <v>0</v>
      </c>
      <c r="BJ893" s="10">
        <f t="shared" si="1065"/>
        <v>0</v>
      </c>
      <c r="BK893" s="67"/>
      <c r="BL893" s="10">
        <f t="shared" si="1024"/>
        <v>0</v>
      </c>
      <c r="BM893" s="10">
        <f t="shared" si="1024"/>
        <v>0</v>
      </c>
      <c r="BN893" s="10">
        <f t="shared" si="1024"/>
        <v>0</v>
      </c>
      <c r="BO893" s="10">
        <f t="shared" si="1024"/>
        <v>0</v>
      </c>
      <c r="BP893" s="13">
        <f t="shared" ref="BP893:BW893" si="1066">IF(AND(ISBLANK(BP$419),ISBLANK(BP$420)),BO893,BP$421)</f>
        <v>0</v>
      </c>
      <c r="BQ893" s="13">
        <f t="shared" si="1066"/>
        <v>0</v>
      </c>
      <c r="BR893" s="13">
        <f t="shared" si="1066"/>
        <v>0</v>
      </c>
      <c r="BS893" s="13">
        <f t="shared" si="1066"/>
        <v>0</v>
      </c>
      <c r="BT893" s="13">
        <f t="shared" si="1066"/>
        <v>0</v>
      </c>
      <c r="BU893" s="13">
        <f t="shared" si="1066"/>
        <v>0</v>
      </c>
      <c r="BV893" s="13">
        <f t="shared" si="1066"/>
        <v>0</v>
      </c>
      <c r="BW893" s="13">
        <f t="shared" si="1066"/>
        <v>0</v>
      </c>
      <c r="BY893" s="12"/>
      <c r="CA893" s="12"/>
      <c r="CJ893" s="162"/>
      <c r="CR893" s="12"/>
      <c r="EX893" s="13" t="str">
        <f t="shared" ca="1" si="1026"/>
        <v>Interest Payable Closing Balance Loan 20</v>
      </c>
    </row>
    <row r="894" spans="1:154" s="67" customFormat="1" ht="6.6" customHeight="1" x14ac:dyDescent="0.25">
      <c r="C894" s="380"/>
      <c r="D894" s="1"/>
      <c r="S894" s="335"/>
      <c r="BM894" s="6"/>
      <c r="BY894" s="42"/>
      <c r="BZ894" s="335"/>
      <c r="CA894" s="42"/>
      <c r="CB894" s="335"/>
      <c r="CC894" s="335"/>
      <c r="CD894" s="335"/>
      <c r="CE894" s="335"/>
      <c r="CM894" s="335"/>
      <c r="CN894" s="335"/>
      <c r="CO894" s="335"/>
      <c r="CP894" s="335"/>
      <c r="CR894" s="42"/>
      <c r="CT894" s="335"/>
      <c r="CU894" s="335"/>
      <c r="EW894" s="335"/>
      <c r="EX894" s="10" t="str">
        <f t="shared" ref="EX894:EX944" si="1067">IF($C894="","",$D894)</f>
        <v/>
      </c>
    </row>
    <row r="895" spans="1:154" s="67" customFormat="1" x14ac:dyDescent="0.25">
      <c r="A895" s="40"/>
      <c r="B895" s="40"/>
      <c r="C895" s="414"/>
      <c r="D895" s="40" t="s">
        <v>883</v>
      </c>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12"/>
      <c r="BZ895" s="335"/>
      <c r="CA895" s="12"/>
      <c r="CB895" s="335"/>
      <c r="CC895" s="335"/>
      <c r="CD895" s="335"/>
      <c r="CE895" s="335"/>
      <c r="CM895" s="335"/>
      <c r="CN895" s="335"/>
      <c r="CO895" s="335"/>
      <c r="CP895" s="335"/>
      <c r="CR895" s="12"/>
      <c r="CT895" s="335"/>
      <c r="CU895" s="335"/>
      <c r="EW895" s="335"/>
      <c r="EX895" s="10" t="str">
        <f t="shared" si="1067"/>
        <v/>
      </c>
    </row>
    <row r="896" spans="1:154" s="67" customFormat="1" ht="6.6" customHeight="1" x14ac:dyDescent="0.25">
      <c r="C896" s="380"/>
      <c r="D896" s="1"/>
      <c r="S896" s="335"/>
      <c r="BM896" s="6"/>
      <c r="BY896" s="42"/>
      <c r="BZ896" s="335"/>
      <c r="CA896" s="42"/>
      <c r="CB896" s="335"/>
      <c r="CC896" s="335"/>
      <c r="CD896" s="335"/>
      <c r="CE896" s="335"/>
      <c r="CM896" s="335"/>
      <c r="CN896" s="335"/>
      <c r="CO896" s="335"/>
      <c r="CP896" s="335"/>
      <c r="CR896" s="42"/>
      <c r="CT896" s="335"/>
      <c r="CU896" s="335"/>
      <c r="EW896" s="335"/>
      <c r="EX896" s="10" t="str">
        <f t="shared" si="1067"/>
        <v/>
      </c>
    </row>
    <row r="897" spans="1:154" s="67" customFormat="1" x14ac:dyDescent="0.25">
      <c r="C897" s="380"/>
      <c r="D897" s="61" t="s">
        <v>764</v>
      </c>
      <c r="S897" s="335"/>
      <c r="BY897" s="12"/>
      <c r="BZ897" s="335"/>
      <c r="CA897" s="12"/>
      <c r="CB897" s="335"/>
      <c r="CC897" s="335"/>
      <c r="CD897" s="335"/>
      <c r="CE897" s="335"/>
      <c r="CM897" s="335"/>
      <c r="CN897" s="335"/>
      <c r="CO897" s="335"/>
      <c r="CP897" s="335"/>
      <c r="CR897" s="12"/>
      <c r="CT897" s="335"/>
      <c r="CU897" s="335"/>
      <c r="EW897" s="335"/>
      <c r="EX897" s="10" t="str">
        <f t="shared" si="1067"/>
        <v/>
      </c>
    </row>
    <row r="898" spans="1:154" s="67" customFormat="1" ht="15.75" x14ac:dyDescent="0.25">
      <c r="B898" s="138" t="s">
        <v>551</v>
      </c>
      <c r="C898" s="380"/>
      <c r="D898" s="5" t="str">
        <f>D$11</f>
        <v>Lender</v>
      </c>
      <c r="E898" s="5" t="str">
        <f>E$11</f>
        <v>Loan Category</v>
      </c>
      <c r="S898" s="335"/>
      <c r="AA898" s="170" t="s">
        <v>335</v>
      </c>
      <c r="BY898" s="12"/>
      <c r="BZ898" s="335"/>
      <c r="CA898" s="12"/>
      <c r="CB898" s="335"/>
      <c r="CC898" s="335"/>
      <c r="CD898" s="335"/>
      <c r="CE898" s="335"/>
      <c r="CM898" s="335"/>
      <c r="CN898" s="335"/>
      <c r="CO898" s="335"/>
      <c r="CP898" s="335"/>
      <c r="CR898" s="12"/>
      <c r="CT898" s="335"/>
      <c r="CU898" s="335"/>
      <c r="EW898" s="335"/>
      <c r="EX898" s="10" t="str">
        <f t="shared" si="1067"/>
        <v/>
      </c>
    </row>
    <row r="899" spans="1:154" s="67" customFormat="1" x14ac:dyDescent="0.25">
      <c r="B899" s="84" t="str" cm="1">
        <f t="array" aca="1" ref="B899" ca="1">HYPERLINK(CONCATENATE("#",CELL("address",$D$47)),$D$47)</f>
        <v>Loan 1</v>
      </c>
      <c r="C899" s="380"/>
      <c r="D899" s="221" t="str">
        <f>D$13</f>
        <v>NatWest</v>
      </c>
      <c r="E899" s="221" t="str">
        <f>E$13</f>
        <v xml:space="preserve">Commercial </v>
      </c>
      <c r="G899" s="9"/>
      <c r="H899" s="50" t="s">
        <v>125</v>
      </c>
      <c r="I899" s="65"/>
      <c r="S899" s="335"/>
      <c r="T899" s="335"/>
      <c r="U899" s="335"/>
      <c r="V899" s="136"/>
      <c r="W899" s="201">
        <f t="shared" ref="W899:Y918" ca="1" si="1068">INDEX($AA899:$BJ899, MATCH(W$5, $AA$5:$BJ$5, 0))</f>
        <v>0</v>
      </c>
      <c r="X899" s="201">
        <f t="shared" ca="1" si="1068"/>
        <v>0</v>
      </c>
      <c r="Y899" s="201">
        <f t="shared" si="1068"/>
        <v>0</v>
      </c>
      <c r="AA899" s="201">
        <f ca="1">IF($E899=Parameters!$D$68, AA991, MIN(AA991,-SUM(OFFSET(AA968, 0, MIN(12, COUNTA(AB$3:$BJ$3)), , -MIN(12, COUNTA(AB$3:$BJ$3)) )) ))</f>
        <v>46</v>
      </c>
      <c r="AB899" s="201">
        <f ca="1">IF($E899=Parameters!$D$68, AB991, MIN(AB991,-SUM(OFFSET(AB968, 0, MIN(12, COUNTA(AC$3:$BJ$3)), , -MIN(12, COUNTA(AC$3:$BJ$3)) )) ))</f>
        <v>35</v>
      </c>
      <c r="AC899" s="201">
        <f ca="1">IF($E899=Parameters!$D$68, AC991, MIN(AC991,-SUM(OFFSET(AC968, 0, MIN(12, COUNTA(AD$3:$BJ$3)), , -MIN(12, COUNTA(AD$3:$BJ$3)) )) ))</f>
        <v>24</v>
      </c>
      <c r="AD899" s="201">
        <f ca="1">IF($E899=Parameters!$D$68, AD991, MIN(AD991,-SUM(OFFSET(AD968, 0, MIN(12, COUNTA(AE$3:$BJ$3)), , -MIN(12, COUNTA(AE$3:$BJ$3)) )) ))</f>
        <v>13</v>
      </c>
      <c r="AE899" s="201">
        <f ca="1">IF($E899=Parameters!$D$68, AE991, MIN(AE991,-SUM(OFFSET(AE968, 0, MIN(12, COUNTA(AF$3:$BJ$3)), , -MIN(12, COUNTA(AF$3:$BJ$3)) )) ))</f>
        <v>2</v>
      </c>
      <c r="AF899" s="201">
        <f ca="1">IF($E899=Parameters!$D$68, AF991, MIN(AF991,-SUM(OFFSET(AF968, 0, MIN(12, COUNTA(AG$3:$BJ$3)), , -MIN(12, COUNTA(AG$3:$BJ$3)) )) ))</f>
        <v>0</v>
      </c>
      <c r="AG899" s="201">
        <f ca="1">IF($E899=Parameters!$D$68, AG991, MIN(AG991,-SUM(OFFSET(AG968, 0, MIN(12, COUNTA(AH$3:$BJ$3)), , -MIN(12, COUNTA(AH$3:$BJ$3)) )) ))</f>
        <v>0</v>
      </c>
      <c r="AH899" s="201">
        <f ca="1">IF($E899=Parameters!$D$68, AH991, MIN(AH991,-SUM(OFFSET(AH968, 0, MIN(12, COUNTA(AI$3:$BJ$3)), , -MIN(12, COUNTA(AI$3:$BJ$3)) )) ))</f>
        <v>0</v>
      </c>
      <c r="AI899" s="201">
        <f ca="1">IF($E899=Parameters!$D$68, AI991, MIN(AI991,-SUM(OFFSET(AI968, 0, MIN(12, COUNTA(AJ$3:$BJ$3)), , -MIN(12, COUNTA(AJ$3:$BJ$3)) )) ))</f>
        <v>0</v>
      </c>
      <c r="AJ899" s="201">
        <f ca="1">IF($E899=Parameters!$D$68, AJ991, MIN(AJ991,-SUM(OFFSET(AJ968, 0, MIN(12, COUNTA(AK$3:$BJ$3)), , -MIN(12, COUNTA(AK$3:$BJ$3)) )) ))</f>
        <v>0</v>
      </c>
      <c r="AK899" s="201">
        <f ca="1">IF($E899=Parameters!$D$68, AK991, MIN(AK991,-SUM(OFFSET(AK968, 0, MIN(12, COUNTA(AL$3:$BJ$3)), , -MIN(12, COUNTA(AL$3:$BJ$3)) )) ))</f>
        <v>0</v>
      </c>
      <c r="AL899" s="201">
        <f ca="1">IF($E899=Parameters!$D$68, AL991, MIN(AL991,-SUM(OFFSET(AL968, 0, MIN(12, COUNTA(AM$3:$BJ$3)), , -MIN(12, COUNTA(AM$3:$BJ$3)) )) ))</f>
        <v>0</v>
      </c>
      <c r="AM899" s="201">
        <f ca="1">IF($E899=Parameters!$D$68, AM991, MIN(AM991,-SUM(OFFSET(AM968, 0, MIN(12, COUNTA(AN$3:$BJ$3)), , -MIN(12, COUNTA(AN$3:$BJ$3)) )) ))</f>
        <v>0</v>
      </c>
      <c r="AN899" s="201">
        <f ca="1">IF($E899=Parameters!$D$68, AN991, MIN(AN991,-SUM(OFFSET(AN968, 0, MIN(12, COUNTA(AO$3:$BJ$3)), , -MIN(12, COUNTA(AO$3:$BJ$3)) )) ))</f>
        <v>0</v>
      </c>
      <c r="AO899" s="201">
        <f ca="1">IF($E899=Parameters!$D$68, AO991, MIN(AO991,-SUM(OFFSET(AO968, 0, MIN(12, COUNTA(AP$3:$BJ$3)), , -MIN(12, COUNTA(AP$3:$BJ$3)) )) ))</f>
        <v>0</v>
      </c>
      <c r="AP899" s="201">
        <f ca="1">IF($E899=Parameters!$D$68, AP991, MIN(AP991,-SUM(OFFSET(AP968, 0, MIN(12, COUNTA(AQ$3:$BJ$3)), , -MIN(12, COUNTA(AQ$3:$BJ$3)) )) ))</f>
        <v>0</v>
      </c>
      <c r="AQ899" s="201">
        <f ca="1">IF($E899=Parameters!$D$68, AQ991, MIN(AQ991,-SUM(OFFSET(AQ968, 0, MIN(12, COUNTA(AR$3:$BJ$3)), , -MIN(12, COUNTA(AR$3:$BJ$3)) )) ))</f>
        <v>0</v>
      </c>
      <c r="AR899" s="201">
        <f ca="1">IF($E899=Parameters!$D$68, AR991, MIN(AR991,-SUM(OFFSET(AR968, 0, MIN(12, COUNTA(AS$3:$BJ$3)), , -MIN(12, COUNTA(AS$3:$BJ$3)) )) ))</f>
        <v>0</v>
      </c>
      <c r="AS899" s="201">
        <f ca="1">IF($E899=Parameters!$D$68, AS991, MIN(AS991,-SUM(OFFSET(AS968, 0, MIN(12, COUNTA(AT$3:$BJ$3)), , -MIN(12, COUNTA(AT$3:$BJ$3)) )) ))</f>
        <v>0</v>
      </c>
      <c r="AT899" s="201">
        <f ca="1">IF($E899=Parameters!$D$68, AT991, MIN(AT991,-SUM(OFFSET(AT968, 0, MIN(12, COUNTA(AU$3:$BJ$3)), , -MIN(12, COUNTA(AU$3:$BJ$3)) )) ))</f>
        <v>0</v>
      </c>
      <c r="AU899" s="201">
        <f ca="1">IF($E899=Parameters!$D$68, AU991, MIN(AU991,-SUM(OFFSET(AU968, 0, MIN(12, COUNTA(AV$3:$BJ$3)), , -MIN(12, COUNTA(AV$3:$BJ$3)) )) ))</f>
        <v>0</v>
      </c>
      <c r="AV899" s="201">
        <f ca="1">IF($E899=Parameters!$D$68, AV991, MIN(AV991,-SUM(OFFSET(AV968, 0, MIN(12, COUNTA(AW$3:$BJ$3)), , -MIN(12, COUNTA(AW$3:$BJ$3)) )) ))</f>
        <v>0</v>
      </c>
      <c r="AW899" s="201">
        <f ca="1">IF($E899=Parameters!$D$68, AW991, MIN(AW991,-SUM(OFFSET(AW968, 0, MIN(12, COUNTA(AX$3:$BJ$3)), , -MIN(12, COUNTA(AX$3:$BJ$3)) )) ))</f>
        <v>0</v>
      </c>
      <c r="AX899" s="201">
        <f ca="1">IF($E899=Parameters!$D$68, AX991, MIN(AX991,-SUM(OFFSET(AX968, 0, MIN(12, COUNTA(AY$3:$BJ$3)), , -MIN(12, COUNTA(AY$3:$BJ$3)) )) ))</f>
        <v>0</v>
      </c>
      <c r="AY899" s="201">
        <f ca="1">IF($E899=Parameters!$D$68, AY991, MIN(AY991,-SUM(OFFSET(AY968, 0, MIN(12, COUNTA(AZ$3:$BJ$3)), , -MIN(12, COUNTA(AZ$3:$BJ$3)) )) ))</f>
        <v>0</v>
      </c>
      <c r="AZ899" s="201">
        <f ca="1">IF($E899=Parameters!$D$68, AZ991, MIN(AZ991,-SUM(OFFSET(AZ968, 0, MIN(12, COUNTA(BA$3:$BJ$3)), , -MIN(12, COUNTA(BA$3:$BJ$3)) )) ))</f>
        <v>0</v>
      </c>
      <c r="BA899" s="201">
        <f ca="1">IF($E899=Parameters!$D$68, BA991, MIN(BA991,-SUM(OFFSET(BA968, 0, MIN(12, COUNTA(BB$3:$BJ$3)), , -MIN(12, COUNTA(BB$3:$BJ$3)) )) ))</f>
        <v>0</v>
      </c>
      <c r="BB899" s="201">
        <f ca="1">IF($E899=Parameters!$D$68, BB991, MIN(BB991,-SUM(OFFSET(BB968, 0, MIN(12, COUNTA(BC$3:$BJ$3)), , -MIN(12, COUNTA(BC$3:$BJ$3)) )) ))</f>
        <v>0</v>
      </c>
      <c r="BC899" s="201">
        <f ca="1">IF($E899=Parameters!$D$68, BC991, MIN(BC991,-SUM(OFFSET(BC968, 0, MIN(12, COUNTA(BD$3:$BJ$3)), , -MIN(12, COUNTA(BD$3:$BJ$3)) )) ))</f>
        <v>0</v>
      </c>
      <c r="BD899" s="201">
        <f ca="1">IF($E899=Parameters!$D$68, BD991, MIN(BD991,-SUM(OFFSET(BD968, 0, MIN(12, COUNTA(BE$3:$BJ$3)), , -MIN(12, COUNTA(BE$3:$BJ$3)) )) ))</f>
        <v>0</v>
      </c>
      <c r="BE899" s="201">
        <f ca="1">IF($E899=Parameters!$D$68, BE991, MIN(BE991,-SUM(OFFSET(BE968, 0, MIN(12, COUNTA(BF$3:$BJ$3)), , -MIN(12, COUNTA(BF$3:$BJ$3)) )) ))</f>
        <v>0</v>
      </c>
      <c r="BF899" s="201">
        <f ca="1">IF($E899=Parameters!$D$68, BF991, MIN(BF991,-SUM(OFFSET(BF968, 0, MIN(12, COUNTA(BG$3:$BJ$3)), , -MIN(12, COUNTA(BG$3:$BJ$3)) )) ))</f>
        <v>0</v>
      </c>
      <c r="BG899" s="201">
        <f ca="1">IF($E899=Parameters!$D$68, BG991, MIN(BG991,-SUM(OFFSET(BG968, 0, MIN(12, COUNTA(BH$3:$BJ$3)), , -MIN(12, COUNTA(BH$3:$BJ$3)) )) ))</f>
        <v>0</v>
      </c>
      <c r="BH899" s="201">
        <f ca="1">IF($E899=Parameters!$D$68, BH991, MIN(BH991,-SUM(OFFSET(BH968, 0, MIN(12, COUNTA(BI$3:$BJ$3)), , -MIN(12, COUNTA(BI$3:$BJ$3)) )) ))</f>
        <v>0</v>
      </c>
      <c r="BI899" s="201">
        <f ca="1">IF($E899=Parameters!$D$68, BI991, MIN(BI991,-SUM(OFFSET(BI968, 0, MIN(12, COUNTA(BJ$3:$BJ$3)), , -MIN(12, COUNTA(BJ$3:$BJ$3)) )) ))</f>
        <v>0</v>
      </c>
      <c r="BJ899" s="13">
        <f>-BP968</f>
        <v>0</v>
      </c>
      <c r="BL899" s="136"/>
      <c r="BM899" s="13">
        <f t="shared" ref="BM899:BM918" ca="1" si="1069">W899</f>
        <v>0</v>
      </c>
      <c r="BN899" s="13">
        <f t="shared" ref="BN899:BN918" ca="1" si="1070">X899</f>
        <v>0</v>
      </c>
      <c r="BO899" s="13">
        <f t="shared" ref="BO899:BO918" si="1071">Y899</f>
        <v>0</v>
      </c>
      <c r="BP899" s="136"/>
      <c r="BQ899" s="136"/>
      <c r="BR899" s="136"/>
      <c r="BS899" s="136"/>
      <c r="BT899" s="136"/>
      <c r="BU899" s="136"/>
      <c r="BV899" s="136"/>
      <c r="BW899" s="136"/>
      <c r="BY899" s="12"/>
      <c r="BZ899" s="335"/>
      <c r="CA899" s="12"/>
      <c r="CB899" s="335"/>
      <c r="CC899" s="335"/>
      <c r="CD899" s="335"/>
      <c r="CE899" s="335"/>
      <c r="CM899" s="335"/>
      <c r="CN899" s="335"/>
      <c r="CO899" s="335"/>
      <c r="CP899" s="335"/>
      <c r="CR899" s="12"/>
      <c r="CT899" s="335"/>
      <c r="CU899" s="335"/>
      <c r="EW899" s="335"/>
      <c r="EX899" s="10" t="str">
        <f t="shared" si="1067"/>
        <v/>
      </c>
    </row>
    <row r="900" spans="1:154" s="67" customFormat="1" x14ac:dyDescent="0.25">
      <c r="B900" s="84" t="str" cm="1">
        <f t="array" aca="1" ref="B900" ca="1">HYPERLINK(CONCATENATE("#",CELL("address",$D$66)),$D$66)</f>
        <v>Loan 2</v>
      </c>
      <c r="C900" s="380"/>
      <c r="D900" s="60" t="str">
        <f>D$14</f>
        <v>NatWest</v>
      </c>
      <c r="E900" s="221" t="str">
        <f>E$14</f>
        <v xml:space="preserve">Commercial </v>
      </c>
      <c r="G900" s="9"/>
      <c r="H900" s="50" t="s">
        <v>125</v>
      </c>
      <c r="S900" s="335"/>
      <c r="T900" s="335"/>
      <c r="U900" s="335"/>
      <c r="V900" s="136"/>
      <c r="W900" s="201">
        <f t="shared" ca="1" si="1068"/>
        <v>89</v>
      </c>
      <c r="X900" s="201">
        <f t="shared" ca="1" si="1068"/>
        <v>89</v>
      </c>
      <c r="Y900" s="201">
        <f t="shared" si="1068"/>
        <v>0</v>
      </c>
      <c r="AA900" s="201">
        <f ca="1">IF($E900=Parameters!$D$68, AA992, MIN(AA992,-SUM(OFFSET(AA969, 0, MIN(12, COUNTA(AB$3:$BJ$3)), , -MIN(12, COUNTA(AB$3:$BJ$3)) )) ))</f>
        <v>89</v>
      </c>
      <c r="AB900" s="201">
        <f ca="1">IF($E900=Parameters!$D$68, AB992, MIN(AB992,-SUM(OFFSET(AB969, 0, MIN(12, COUNTA(AC$3:$BJ$3)), , -MIN(12, COUNTA(AC$3:$BJ$3)) )) ))</f>
        <v>89</v>
      </c>
      <c r="AC900" s="201">
        <f ca="1">IF($E900=Parameters!$D$68, AC992, MIN(AC992,-SUM(OFFSET(AC969, 0, MIN(12, COUNTA(AD$3:$BJ$3)), , -MIN(12, COUNTA(AD$3:$BJ$3)) )) ))</f>
        <v>89</v>
      </c>
      <c r="AD900" s="201">
        <f ca="1">IF($E900=Parameters!$D$68, AD992, MIN(AD992,-SUM(OFFSET(AD969, 0, MIN(12, COUNTA(AE$3:$BJ$3)), , -MIN(12, COUNTA(AE$3:$BJ$3)) )) ))</f>
        <v>89</v>
      </c>
      <c r="AE900" s="201">
        <f ca="1">IF($E900=Parameters!$D$68, AE992, MIN(AE992,-SUM(OFFSET(AE969, 0, MIN(12, COUNTA(AF$3:$BJ$3)), , -MIN(12, COUNTA(AF$3:$BJ$3)) )) ))</f>
        <v>89</v>
      </c>
      <c r="AF900" s="201">
        <f ca="1">IF($E900=Parameters!$D$68, AF992, MIN(AF992,-SUM(OFFSET(AF969, 0, MIN(12, COUNTA(AG$3:$BJ$3)), , -MIN(12, COUNTA(AG$3:$BJ$3)) )) ))</f>
        <v>89</v>
      </c>
      <c r="AG900" s="201">
        <f ca="1">IF($E900=Parameters!$D$68, AG992, MIN(AG992,-SUM(OFFSET(AG969, 0, MIN(12, COUNTA(AH$3:$BJ$3)), , -MIN(12, COUNTA(AH$3:$BJ$3)) )) ))</f>
        <v>89</v>
      </c>
      <c r="AH900" s="201">
        <f ca="1">IF($E900=Parameters!$D$68, AH992, MIN(AH992,-SUM(OFFSET(AH969, 0, MIN(12, COUNTA(AI$3:$BJ$3)), , -MIN(12, COUNTA(AI$3:$BJ$3)) )) ))</f>
        <v>89</v>
      </c>
      <c r="AI900" s="201">
        <f ca="1">IF($E900=Parameters!$D$68, AI992, MIN(AI992,-SUM(OFFSET(AI969, 0, MIN(12, COUNTA(AJ$3:$BJ$3)), , -MIN(12, COUNTA(AJ$3:$BJ$3)) )) ))</f>
        <v>89</v>
      </c>
      <c r="AJ900" s="201">
        <f ca="1">IF($E900=Parameters!$D$68, AJ992, MIN(AJ992,-SUM(OFFSET(AJ969, 0, MIN(12, COUNTA(AK$3:$BJ$3)), , -MIN(12, COUNTA(AK$3:$BJ$3)) )) ))</f>
        <v>89</v>
      </c>
      <c r="AK900" s="201">
        <f ca="1">IF($E900=Parameters!$D$68, AK992, MIN(AK992,-SUM(OFFSET(AK969, 0, MIN(12, COUNTA(AL$3:$BJ$3)), , -MIN(12, COUNTA(AL$3:$BJ$3)) )) ))</f>
        <v>89</v>
      </c>
      <c r="AL900" s="201">
        <f ca="1">IF($E900=Parameters!$D$68, AL992, MIN(AL992,-SUM(OFFSET(AL969, 0, MIN(12, COUNTA(AM$3:$BJ$3)), , -MIN(12, COUNTA(AM$3:$BJ$3)) )) ))</f>
        <v>89</v>
      </c>
      <c r="AM900" s="201">
        <f ca="1">IF($E900=Parameters!$D$68, AM992, MIN(AM992,-SUM(OFFSET(AM969, 0, MIN(12, COUNTA(AN$3:$BJ$3)), , -MIN(12, COUNTA(AN$3:$BJ$3)) )) ))</f>
        <v>89</v>
      </c>
      <c r="AN900" s="201">
        <f ca="1">IF($E900=Parameters!$D$68, AN992, MIN(AN992,-SUM(OFFSET(AN969, 0, MIN(12, COUNTA(AO$3:$BJ$3)), , -MIN(12, COUNTA(AO$3:$BJ$3)) )) ))</f>
        <v>89</v>
      </c>
      <c r="AO900" s="201">
        <f ca="1">IF($E900=Parameters!$D$68, AO992, MIN(AO992,-SUM(OFFSET(AO969, 0, MIN(12, COUNTA(AP$3:$BJ$3)), , -MIN(12, COUNTA(AP$3:$BJ$3)) )) ))</f>
        <v>89</v>
      </c>
      <c r="AP900" s="201">
        <f ca="1">IF($E900=Parameters!$D$68, AP992, MIN(AP992,-SUM(OFFSET(AP969, 0, MIN(12, COUNTA(AQ$3:$BJ$3)), , -MIN(12, COUNTA(AQ$3:$BJ$3)) )) ))</f>
        <v>89</v>
      </c>
      <c r="AQ900" s="201">
        <f ca="1">IF($E900=Parameters!$D$68, AQ992, MIN(AQ992,-SUM(OFFSET(AQ969, 0, MIN(12, COUNTA(AR$3:$BJ$3)), , -MIN(12, COUNTA(AR$3:$BJ$3)) )) ))</f>
        <v>89</v>
      </c>
      <c r="AR900" s="201">
        <f ca="1">IF($E900=Parameters!$D$68, AR992, MIN(AR992,-SUM(OFFSET(AR969, 0, MIN(12, COUNTA(AS$3:$BJ$3)), , -MIN(12, COUNTA(AS$3:$BJ$3)) )) ))</f>
        <v>89</v>
      </c>
      <c r="AS900" s="201">
        <f ca="1">IF($E900=Parameters!$D$68, AS992, MIN(AS992,-SUM(OFFSET(AS969, 0, MIN(12, COUNTA(AT$3:$BJ$3)), , -MIN(12, COUNTA(AT$3:$BJ$3)) )) ))</f>
        <v>89</v>
      </c>
      <c r="AT900" s="201">
        <f ca="1">IF($E900=Parameters!$D$68, AT992, MIN(AT992,-SUM(OFFSET(AT969, 0, MIN(12, COUNTA(AU$3:$BJ$3)), , -MIN(12, COUNTA(AU$3:$BJ$3)) )) ))</f>
        <v>89</v>
      </c>
      <c r="AU900" s="201">
        <f ca="1">IF($E900=Parameters!$D$68, AU992, MIN(AU992,-SUM(OFFSET(AU969, 0, MIN(12, COUNTA(AV$3:$BJ$3)), , -MIN(12, COUNTA(AV$3:$BJ$3)) )) ))</f>
        <v>89</v>
      </c>
      <c r="AV900" s="201">
        <f ca="1">IF($E900=Parameters!$D$68, AV992, MIN(AV992,-SUM(OFFSET(AV969, 0, MIN(12, COUNTA(AW$3:$BJ$3)), , -MIN(12, COUNTA(AW$3:$BJ$3)) )) ))</f>
        <v>89</v>
      </c>
      <c r="AW900" s="201">
        <f ca="1">IF($E900=Parameters!$D$68, AW992, MIN(AW992,-SUM(OFFSET(AW969, 0, MIN(12, COUNTA(AX$3:$BJ$3)), , -MIN(12, COUNTA(AX$3:$BJ$3)) )) ))</f>
        <v>89</v>
      </c>
      <c r="AX900" s="201">
        <f ca="1">IF($E900=Parameters!$D$68, AX992, MIN(AX992,-SUM(OFFSET(AX969, 0, MIN(12, COUNTA(AY$3:$BJ$3)), , -MIN(12, COUNTA(AY$3:$BJ$3)) )) ))</f>
        <v>89</v>
      </c>
      <c r="AY900" s="201">
        <f ca="1">IF($E900=Parameters!$D$68, AY992, MIN(AY992,-SUM(OFFSET(AY969, 0, MIN(12, COUNTA(AZ$3:$BJ$3)), , -MIN(12, COUNTA(AZ$3:$BJ$3)) )) ))</f>
        <v>81</v>
      </c>
      <c r="AZ900" s="201">
        <f ca="1">IF($E900=Parameters!$D$68, AZ992, MIN(AZ992,-SUM(OFFSET(AZ969, 0, MIN(12, COUNTA(BA$3:$BJ$3)), , -MIN(12, COUNTA(BA$3:$BJ$3)) )) ))</f>
        <v>73</v>
      </c>
      <c r="BA900" s="201">
        <f ca="1">IF($E900=Parameters!$D$68, BA992, MIN(BA992,-SUM(OFFSET(BA969, 0, MIN(12, COUNTA(BB$3:$BJ$3)), , -MIN(12, COUNTA(BB$3:$BJ$3)) )) ))</f>
        <v>65</v>
      </c>
      <c r="BB900" s="201">
        <f ca="1">IF($E900=Parameters!$D$68, BB992, MIN(BB992,-SUM(OFFSET(BB969, 0, MIN(12, COUNTA(BC$3:$BJ$3)), , -MIN(12, COUNTA(BC$3:$BJ$3)) )) ))</f>
        <v>57</v>
      </c>
      <c r="BC900" s="201">
        <f ca="1">IF($E900=Parameters!$D$68, BC992, MIN(BC992,-SUM(OFFSET(BC969, 0, MIN(12, COUNTA(BD$3:$BJ$3)), , -MIN(12, COUNTA(BD$3:$BJ$3)) )) ))</f>
        <v>49</v>
      </c>
      <c r="BD900" s="201">
        <f ca="1">IF($E900=Parameters!$D$68, BD992, MIN(BD992,-SUM(OFFSET(BD969, 0, MIN(12, COUNTA(BE$3:$BJ$3)), , -MIN(12, COUNTA(BE$3:$BJ$3)) )) ))</f>
        <v>42</v>
      </c>
      <c r="BE900" s="201">
        <f ca="1">IF($E900=Parameters!$D$68, BE992, MIN(BE992,-SUM(OFFSET(BE969, 0, MIN(12, COUNTA(BF$3:$BJ$3)), , -MIN(12, COUNTA(BF$3:$BJ$3)) )) ))</f>
        <v>35</v>
      </c>
      <c r="BF900" s="201">
        <f ca="1">IF($E900=Parameters!$D$68, BF992, MIN(BF992,-SUM(OFFSET(BF969, 0, MIN(12, COUNTA(BG$3:$BJ$3)), , -MIN(12, COUNTA(BG$3:$BJ$3)) )) ))</f>
        <v>28</v>
      </c>
      <c r="BG900" s="201">
        <f ca="1">IF($E900=Parameters!$D$68, BG992, MIN(BG992,-SUM(OFFSET(BG969, 0, MIN(12, COUNTA(BH$3:$BJ$3)), , -MIN(12, COUNTA(BH$3:$BJ$3)) )) ))</f>
        <v>21</v>
      </c>
      <c r="BH900" s="201">
        <f ca="1">IF($E900=Parameters!$D$68, BH992, MIN(BH992,-SUM(OFFSET(BH969, 0, MIN(12, COUNTA(BI$3:$BJ$3)), , -MIN(12, COUNTA(BI$3:$BJ$3)) )) ))</f>
        <v>14</v>
      </c>
      <c r="BI900" s="201">
        <f ca="1">IF($E900=Parameters!$D$68, BI992, MIN(BI992,-SUM(OFFSET(BI969, 0, MIN(12, COUNTA(BJ$3:$BJ$3)), , -MIN(12, COUNTA(BJ$3:$BJ$3)) )) ))</f>
        <v>7</v>
      </c>
      <c r="BJ900" s="13">
        <f t="shared" ref="BJ900:BJ918" si="1072">-BP969</f>
        <v>0</v>
      </c>
      <c r="BL900" s="136"/>
      <c r="BM900" s="13">
        <f t="shared" ca="1" si="1069"/>
        <v>89</v>
      </c>
      <c r="BN900" s="13">
        <f t="shared" ca="1" si="1070"/>
        <v>89</v>
      </c>
      <c r="BO900" s="13">
        <f t="shared" si="1071"/>
        <v>0</v>
      </c>
      <c r="BP900" s="136"/>
      <c r="BQ900" s="136"/>
      <c r="BR900" s="136"/>
      <c r="BS900" s="136"/>
      <c r="BT900" s="136"/>
      <c r="BU900" s="136"/>
      <c r="BV900" s="136"/>
      <c r="BW900" s="136"/>
      <c r="BY900" s="12"/>
      <c r="BZ900" s="335"/>
      <c r="CA900" s="12"/>
      <c r="CB900" s="335"/>
      <c r="CC900" s="335"/>
      <c r="CD900" s="335"/>
      <c r="CE900" s="335"/>
      <c r="CM900" s="335"/>
      <c r="CN900" s="335"/>
      <c r="CO900" s="335"/>
      <c r="CP900" s="335"/>
      <c r="CR900" s="12"/>
      <c r="CT900" s="335"/>
      <c r="CU900" s="335"/>
      <c r="EW900" s="335"/>
      <c r="EX900" s="10" t="str">
        <f t="shared" si="1067"/>
        <v/>
      </c>
    </row>
    <row r="901" spans="1:154" s="67" customFormat="1" x14ac:dyDescent="0.25">
      <c r="B901" s="84" t="str" cm="1">
        <f t="array" aca="1" ref="B901" ca="1">HYPERLINK(CONCATENATE("#",CELL("address",$D$85)),$D$85)</f>
        <v>Loan 3</v>
      </c>
      <c r="C901" s="380"/>
      <c r="D901" s="60" t="str">
        <f>D$15</f>
        <v>NatWest</v>
      </c>
      <c r="E901" s="221" t="str">
        <f>E$15</f>
        <v xml:space="preserve">Commercial </v>
      </c>
      <c r="G901" s="9"/>
      <c r="H901" s="50" t="s">
        <v>125</v>
      </c>
      <c r="S901" s="335"/>
      <c r="T901" s="335"/>
      <c r="U901" s="335"/>
      <c r="V901" s="136"/>
      <c r="W901" s="201">
        <f t="shared" ca="1" si="1068"/>
        <v>69</v>
      </c>
      <c r="X901" s="201">
        <f t="shared" ca="1" si="1068"/>
        <v>69</v>
      </c>
      <c r="Y901" s="201">
        <f t="shared" si="1068"/>
        <v>0</v>
      </c>
      <c r="AA901" s="201">
        <f ca="1">IF($E901=Parameters!$D$68, AA993, MIN(AA993,-SUM(OFFSET(AA970, 0, MIN(12, COUNTA(AB$3:$BJ$3)), , -MIN(12, COUNTA(AB$3:$BJ$3)) )) ))</f>
        <v>69</v>
      </c>
      <c r="AB901" s="201">
        <f ca="1">IF($E901=Parameters!$D$68, AB993, MIN(AB993,-SUM(OFFSET(AB970, 0, MIN(12, COUNTA(AC$3:$BJ$3)), , -MIN(12, COUNTA(AC$3:$BJ$3)) )) ))</f>
        <v>69</v>
      </c>
      <c r="AC901" s="201">
        <f ca="1">IF($E901=Parameters!$D$68, AC993, MIN(AC993,-SUM(OFFSET(AC970, 0, MIN(12, COUNTA(AD$3:$BJ$3)), , -MIN(12, COUNTA(AD$3:$BJ$3)) )) ))</f>
        <v>69</v>
      </c>
      <c r="AD901" s="201">
        <f ca="1">IF($E901=Parameters!$D$68, AD993, MIN(AD993,-SUM(OFFSET(AD970, 0, MIN(12, COUNTA(AE$3:$BJ$3)), , -MIN(12, COUNTA(AE$3:$BJ$3)) )) ))</f>
        <v>69</v>
      </c>
      <c r="AE901" s="201">
        <f ca="1">IF($E901=Parameters!$D$68, AE993, MIN(AE993,-SUM(OFFSET(AE970, 0, MIN(12, COUNTA(AF$3:$BJ$3)), , -MIN(12, COUNTA(AF$3:$BJ$3)) )) ))</f>
        <v>69</v>
      </c>
      <c r="AF901" s="201">
        <f ca="1">IF($E901=Parameters!$D$68, AF993, MIN(AF993,-SUM(OFFSET(AF970, 0, MIN(12, COUNTA(AG$3:$BJ$3)), , -MIN(12, COUNTA(AG$3:$BJ$3)) )) ))</f>
        <v>69</v>
      </c>
      <c r="AG901" s="201">
        <f ca="1">IF($E901=Parameters!$D$68, AG993, MIN(AG993,-SUM(OFFSET(AG970, 0, MIN(12, COUNTA(AH$3:$BJ$3)), , -MIN(12, COUNTA(AH$3:$BJ$3)) )) ))</f>
        <v>69</v>
      </c>
      <c r="AH901" s="201">
        <f ca="1">IF($E901=Parameters!$D$68, AH993, MIN(AH993,-SUM(OFFSET(AH970, 0, MIN(12, COUNTA(AI$3:$BJ$3)), , -MIN(12, COUNTA(AI$3:$BJ$3)) )) ))</f>
        <v>69</v>
      </c>
      <c r="AI901" s="201">
        <f ca="1">IF($E901=Parameters!$D$68, AI993, MIN(AI993,-SUM(OFFSET(AI970, 0, MIN(12, COUNTA(AJ$3:$BJ$3)), , -MIN(12, COUNTA(AJ$3:$BJ$3)) )) ))</f>
        <v>69</v>
      </c>
      <c r="AJ901" s="201">
        <f ca="1">IF($E901=Parameters!$D$68, AJ993, MIN(AJ993,-SUM(OFFSET(AJ970, 0, MIN(12, COUNTA(AK$3:$BJ$3)), , -MIN(12, COUNTA(AK$3:$BJ$3)) )) ))</f>
        <v>69</v>
      </c>
      <c r="AK901" s="201">
        <f ca="1">IF($E901=Parameters!$D$68, AK993, MIN(AK993,-SUM(OFFSET(AK970, 0, MIN(12, COUNTA(AL$3:$BJ$3)), , -MIN(12, COUNTA(AL$3:$BJ$3)) )) ))</f>
        <v>69</v>
      </c>
      <c r="AL901" s="201">
        <f ca="1">IF($E901=Parameters!$D$68, AL993, MIN(AL993,-SUM(OFFSET(AL970, 0, MIN(12, COUNTA(AM$3:$BJ$3)), , -MIN(12, COUNTA(AM$3:$BJ$3)) )) ))</f>
        <v>69</v>
      </c>
      <c r="AM901" s="201">
        <f ca="1">IF($E901=Parameters!$D$68, AM993, MIN(AM993,-SUM(OFFSET(AM970, 0, MIN(12, COUNTA(AN$3:$BJ$3)), , -MIN(12, COUNTA(AN$3:$BJ$3)) )) ))</f>
        <v>69</v>
      </c>
      <c r="AN901" s="201">
        <f ca="1">IF($E901=Parameters!$D$68, AN993, MIN(AN993,-SUM(OFFSET(AN970, 0, MIN(12, COUNTA(AO$3:$BJ$3)), , -MIN(12, COUNTA(AO$3:$BJ$3)) )) ))</f>
        <v>69</v>
      </c>
      <c r="AO901" s="201">
        <f ca="1">IF($E901=Parameters!$D$68, AO993, MIN(AO993,-SUM(OFFSET(AO970, 0, MIN(12, COUNTA(AP$3:$BJ$3)), , -MIN(12, COUNTA(AP$3:$BJ$3)) )) ))</f>
        <v>69</v>
      </c>
      <c r="AP901" s="201">
        <f ca="1">IF($E901=Parameters!$D$68, AP993, MIN(AP993,-SUM(OFFSET(AP970, 0, MIN(12, COUNTA(AQ$3:$BJ$3)), , -MIN(12, COUNTA(AQ$3:$BJ$3)) )) ))</f>
        <v>69</v>
      </c>
      <c r="AQ901" s="201">
        <f ca="1">IF($E901=Parameters!$D$68, AQ993, MIN(AQ993,-SUM(OFFSET(AQ970, 0, MIN(12, COUNTA(AR$3:$BJ$3)), , -MIN(12, COUNTA(AR$3:$BJ$3)) )) ))</f>
        <v>69</v>
      </c>
      <c r="AR901" s="201">
        <f ca="1">IF($E901=Parameters!$D$68, AR993, MIN(AR993,-SUM(OFFSET(AR970, 0, MIN(12, COUNTA(AS$3:$BJ$3)), , -MIN(12, COUNTA(AS$3:$BJ$3)) )) ))</f>
        <v>69</v>
      </c>
      <c r="AS901" s="201">
        <f ca="1">IF($E901=Parameters!$D$68, AS993, MIN(AS993,-SUM(OFFSET(AS970, 0, MIN(12, COUNTA(AT$3:$BJ$3)), , -MIN(12, COUNTA(AT$3:$BJ$3)) )) ))</f>
        <v>69</v>
      </c>
      <c r="AT901" s="201">
        <f ca="1">IF($E901=Parameters!$D$68, AT993, MIN(AT993,-SUM(OFFSET(AT970, 0, MIN(12, COUNTA(AU$3:$BJ$3)), , -MIN(12, COUNTA(AU$3:$BJ$3)) )) ))</f>
        <v>69</v>
      </c>
      <c r="AU901" s="201">
        <f ca="1">IF($E901=Parameters!$D$68, AU993, MIN(AU993,-SUM(OFFSET(AU970, 0, MIN(12, COUNTA(AV$3:$BJ$3)), , -MIN(12, COUNTA(AV$3:$BJ$3)) )) ))</f>
        <v>69</v>
      </c>
      <c r="AV901" s="201">
        <f ca="1">IF($E901=Parameters!$D$68, AV993, MIN(AV993,-SUM(OFFSET(AV970, 0, MIN(12, COUNTA(AW$3:$BJ$3)), , -MIN(12, COUNTA(AW$3:$BJ$3)) )) ))</f>
        <v>69</v>
      </c>
      <c r="AW901" s="201">
        <f ca="1">IF($E901=Parameters!$D$68, AW993, MIN(AW993,-SUM(OFFSET(AW970, 0, MIN(12, COUNTA(AX$3:$BJ$3)), , -MIN(12, COUNTA(AX$3:$BJ$3)) )) ))</f>
        <v>69</v>
      </c>
      <c r="AX901" s="201">
        <f ca="1">IF($E901=Parameters!$D$68, AX993, MIN(AX993,-SUM(OFFSET(AX970, 0, MIN(12, COUNTA(AY$3:$BJ$3)), , -MIN(12, COUNTA(AY$3:$BJ$3)) )) ))</f>
        <v>69</v>
      </c>
      <c r="AY901" s="201">
        <f ca="1">IF($E901=Parameters!$D$68, AY993, MIN(AY993,-SUM(OFFSET(AY970, 0, MIN(12, COUNTA(AZ$3:$BJ$3)), , -MIN(12, COUNTA(AZ$3:$BJ$3)) )) ))</f>
        <v>64</v>
      </c>
      <c r="AZ901" s="201">
        <f ca="1">IF($E901=Parameters!$D$68, AZ993, MIN(AZ993,-SUM(OFFSET(AZ970, 0, MIN(12, COUNTA(BA$3:$BJ$3)), , -MIN(12, COUNTA(BA$3:$BJ$3)) )) ))</f>
        <v>59</v>
      </c>
      <c r="BA901" s="201">
        <f ca="1">IF($E901=Parameters!$D$68, BA993, MIN(BA993,-SUM(OFFSET(BA970, 0, MIN(12, COUNTA(BB$3:$BJ$3)), , -MIN(12, COUNTA(BB$3:$BJ$3)) )) ))</f>
        <v>54</v>
      </c>
      <c r="BB901" s="201">
        <f ca="1">IF($E901=Parameters!$D$68, BB993, MIN(BB993,-SUM(OFFSET(BB970, 0, MIN(12, COUNTA(BC$3:$BJ$3)), , -MIN(12, COUNTA(BC$3:$BJ$3)) )) ))</f>
        <v>48</v>
      </c>
      <c r="BC901" s="201">
        <f ca="1">IF($E901=Parameters!$D$68, BC993, MIN(BC993,-SUM(OFFSET(BC970, 0, MIN(12, COUNTA(BD$3:$BJ$3)), , -MIN(12, COUNTA(BD$3:$BJ$3)) )) ))</f>
        <v>42</v>
      </c>
      <c r="BD901" s="201">
        <f ca="1">IF($E901=Parameters!$D$68, BD993, MIN(BD993,-SUM(OFFSET(BD970, 0, MIN(12, COUNTA(BE$3:$BJ$3)), , -MIN(12, COUNTA(BE$3:$BJ$3)) )) ))</f>
        <v>36</v>
      </c>
      <c r="BE901" s="201">
        <f ca="1">IF($E901=Parameters!$D$68, BE993, MIN(BE993,-SUM(OFFSET(BE970, 0, MIN(12, COUNTA(BF$3:$BJ$3)), , -MIN(12, COUNTA(BF$3:$BJ$3)) )) ))</f>
        <v>30</v>
      </c>
      <c r="BF901" s="201">
        <f ca="1">IF($E901=Parameters!$D$68, BF993, MIN(BF993,-SUM(OFFSET(BF970, 0, MIN(12, COUNTA(BG$3:$BJ$3)), , -MIN(12, COUNTA(BG$3:$BJ$3)) )) ))</f>
        <v>24</v>
      </c>
      <c r="BG901" s="201">
        <f ca="1">IF($E901=Parameters!$D$68, BG993, MIN(BG993,-SUM(OFFSET(BG970, 0, MIN(12, COUNTA(BH$3:$BJ$3)), , -MIN(12, COUNTA(BH$3:$BJ$3)) )) ))</f>
        <v>18</v>
      </c>
      <c r="BH901" s="201">
        <f ca="1">IF($E901=Parameters!$D$68, BH993, MIN(BH993,-SUM(OFFSET(BH970, 0, MIN(12, COUNTA(BI$3:$BJ$3)), , -MIN(12, COUNTA(BI$3:$BJ$3)) )) ))</f>
        <v>12</v>
      </c>
      <c r="BI901" s="201">
        <f ca="1">IF($E901=Parameters!$D$68, BI993, MIN(BI993,-SUM(OFFSET(BI970, 0, MIN(12, COUNTA(BJ$3:$BJ$3)), , -MIN(12, COUNTA(BJ$3:$BJ$3)) )) ))</f>
        <v>6</v>
      </c>
      <c r="BJ901" s="13">
        <f t="shared" si="1072"/>
        <v>0</v>
      </c>
      <c r="BL901" s="136"/>
      <c r="BM901" s="13">
        <f t="shared" ca="1" si="1069"/>
        <v>69</v>
      </c>
      <c r="BN901" s="13">
        <f t="shared" ca="1" si="1070"/>
        <v>69</v>
      </c>
      <c r="BO901" s="13">
        <f t="shared" si="1071"/>
        <v>0</v>
      </c>
      <c r="BP901" s="136"/>
      <c r="BQ901" s="136"/>
      <c r="BR901" s="136"/>
      <c r="BS901" s="136"/>
      <c r="BT901" s="136"/>
      <c r="BU901" s="136"/>
      <c r="BV901" s="136"/>
      <c r="BW901" s="136"/>
      <c r="BY901" s="12"/>
      <c r="BZ901" s="335"/>
      <c r="CA901" s="12"/>
      <c r="CB901" s="335"/>
      <c r="CC901" s="335"/>
      <c r="CD901" s="335"/>
      <c r="CE901" s="335"/>
      <c r="CM901" s="335"/>
      <c r="CN901" s="335"/>
      <c r="CO901" s="335"/>
      <c r="CP901" s="335"/>
      <c r="CR901" s="12"/>
      <c r="CT901" s="335"/>
      <c r="CU901" s="335"/>
      <c r="EW901" s="335"/>
      <c r="EX901" s="10" t="str">
        <f t="shared" si="1067"/>
        <v/>
      </c>
    </row>
    <row r="902" spans="1:154" s="67" customFormat="1" x14ac:dyDescent="0.25">
      <c r="B902" s="84" t="str" cm="1">
        <f t="array" aca="1" ref="B902" ca="1">HYPERLINK(CONCATENATE("#",CELL("address",$D$104)),$D$104)</f>
        <v>Loan 4</v>
      </c>
      <c r="C902" s="380"/>
      <c r="D902" s="60" t="str">
        <f>D$16</f>
        <v>NatWest</v>
      </c>
      <c r="E902" s="221" t="str">
        <f>E$16</f>
        <v xml:space="preserve">Commercial </v>
      </c>
      <c r="G902" s="9"/>
      <c r="H902" s="50" t="s">
        <v>125</v>
      </c>
      <c r="S902" s="335"/>
      <c r="T902" s="335"/>
      <c r="U902" s="335"/>
      <c r="V902" s="136"/>
      <c r="W902" s="201">
        <f t="shared" ca="1" si="1068"/>
        <v>62</v>
      </c>
      <c r="X902" s="201">
        <f t="shared" ca="1" si="1068"/>
        <v>62</v>
      </c>
      <c r="Y902" s="201">
        <f t="shared" si="1068"/>
        <v>0</v>
      </c>
      <c r="AA902" s="201">
        <f ca="1">IF($E902=Parameters!$D$68, AA994, MIN(AA994,-SUM(OFFSET(AA971, 0, MIN(12, COUNTA(AB$3:$BJ$3)), , -MIN(12, COUNTA(AB$3:$BJ$3)) )) ))</f>
        <v>62</v>
      </c>
      <c r="AB902" s="201">
        <f ca="1">IF($E902=Parameters!$D$68, AB994, MIN(AB994,-SUM(OFFSET(AB971, 0, MIN(12, COUNTA(AC$3:$BJ$3)), , -MIN(12, COUNTA(AC$3:$BJ$3)) )) ))</f>
        <v>62</v>
      </c>
      <c r="AC902" s="201">
        <f ca="1">IF($E902=Parameters!$D$68, AC994, MIN(AC994,-SUM(OFFSET(AC971, 0, MIN(12, COUNTA(AD$3:$BJ$3)), , -MIN(12, COUNTA(AD$3:$BJ$3)) )) ))</f>
        <v>62</v>
      </c>
      <c r="AD902" s="201">
        <f ca="1">IF($E902=Parameters!$D$68, AD994, MIN(AD994,-SUM(OFFSET(AD971, 0, MIN(12, COUNTA(AE$3:$BJ$3)), , -MIN(12, COUNTA(AE$3:$BJ$3)) )) ))</f>
        <v>62</v>
      </c>
      <c r="AE902" s="201">
        <f ca="1">IF($E902=Parameters!$D$68, AE994, MIN(AE994,-SUM(OFFSET(AE971, 0, MIN(12, COUNTA(AF$3:$BJ$3)), , -MIN(12, COUNTA(AF$3:$BJ$3)) )) ))</f>
        <v>62</v>
      </c>
      <c r="AF902" s="201">
        <f ca="1">IF($E902=Parameters!$D$68, AF994, MIN(AF994,-SUM(OFFSET(AF971, 0, MIN(12, COUNTA(AG$3:$BJ$3)), , -MIN(12, COUNTA(AG$3:$BJ$3)) )) ))</f>
        <v>62</v>
      </c>
      <c r="AG902" s="201">
        <f ca="1">IF($E902=Parameters!$D$68, AG994, MIN(AG994,-SUM(OFFSET(AG971, 0, MIN(12, COUNTA(AH$3:$BJ$3)), , -MIN(12, COUNTA(AH$3:$BJ$3)) )) ))</f>
        <v>62</v>
      </c>
      <c r="AH902" s="201">
        <f ca="1">IF($E902=Parameters!$D$68, AH994, MIN(AH994,-SUM(OFFSET(AH971, 0, MIN(12, COUNTA(AI$3:$BJ$3)), , -MIN(12, COUNTA(AI$3:$BJ$3)) )) ))</f>
        <v>62</v>
      </c>
      <c r="AI902" s="201">
        <f ca="1">IF($E902=Parameters!$D$68, AI994, MIN(AI994,-SUM(OFFSET(AI971, 0, MIN(12, COUNTA(AJ$3:$BJ$3)), , -MIN(12, COUNTA(AJ$3:$BJ$3)) )) ))</f>
        <v>62</v>
      </c>
      <c r="AJ902" s="201">
        <f ca="1">IF($E902=Parameters!$D$68, AJ994, MIN(AJ994,-SUM(OFFSET(AJ971, 0, MIN(12, COUNTA(AK$3:$BJ$3)), , -MIN(12, COUNTA(AK$3:$BJ$3)) )) ))</f>
        <v>62</v>
      </c>
      <c r="AK902" s="201">
        <f ca="1">IF($E902=Parameters!$D$68, AK994, MIN(AK994,-SUM(OFFSET(AK971, 0, MIN(12, COUNTA(AL$3:$BJ$3)), , -MIN(12, COUNTA(AL$3:$BJ$3)) )) ))</f>
        <v>62</v>
      </c>
      <c r="AL902" s="201">
        <f ca="1">IF($E902=Parameters!$D$68, AL994, MIN(AL994,-SUM(OFFSET(AL971, 0, MIN(12, COUNTA(AM$3:$BJ$3)), , -MIN(12, COUNTA(AM$3:$BJ$3)) )) ))</f>
        <v>62</v>
      </c>
      <c r="AM902" s="201">
        <f ca="1">IF($E902=Parameters!$D$68, AM994, MIN(AM994,-SUM(OFFSET(AM971, 0, MIN(12, COUNTA(AN$3:$BJ$3)), , -MIN(12, COUNTA(AN$3:$BJ$3)) )) ))</f>
        <v>62</v>
      </c>
      <c r="AN902" s="201">
        <f ca="1">IF($E902=Parameters!$D$68, AN994, MIN(AN994,-SUM(OFFSET(AN971, 0, MIN(12, COUNTA(AO$3:$BJ$3)), , -MIN(12, COUNTA(AO$3:$BJ$3)) )) ))</f>
        <v>62</v>
      </c>
      <c r="AO902" s="201">
        <f ca="1">IF($E902=Parameters!$D$68, AO994, MIN(AO994,-SUM(OFFSET(AO971, 0, MIN(12, COUNTA(AP$3:$BJ$3)), , -MIN(12, COUNTA(AP$3:$BJ$3)) )) ))</f>
        <v>62</v>
      </c>
      <c r="AP902" s="201">
        <f ca="1">IF($E902=Parameters!$D$68, AP994, MIN(AP994,-SUM(OFFSET(AP971, 0, MIN(12, COUNTA(AQ$3:$BJ$3)), , -MIN(12, COUNTA(AQ$3:$BJ$3)) )) ))</f>
        <v>62</v>
      </c>
      <c r="AQ902" s="201">
        <f ca="1">IF($E902=Parameters!$D$68, AQ994, MIN(AQ994,-SUM(OFFSET(AQ971, 0, MIN(12, COUNTA(AR$3:$BJ$3)), , -MIN(12, COUNTA(AR$3:$BJ$3)) )) ))</f>
        <v>62</v>
      </c>
      <c r="AR902" s="201">
        <f ca="1">IF($E902=Parameters!$D$68, AR994, MIN(AR994,-SUM(OFFSET(AR971, 0, MIN(12, COUNTA(AS$3:$BJ$3)), , -MIN(12, COUNTA(AS$3:$BJ$3)) )) ))</f>
        <v>62</v>
      </c>
      <c r="AS902" s="201">
        <f ca="1">IF($E902=Parameters!$D$68, AS994, MIN(AS994,-SUM(OFFSET(AS971, 0, MIN(12, COUNTA(AT$3:$BJ$3)), , -MIN(12, COUNTA(AT$3:$BJ$3)) )) ))</f>
        <v>62</v>
      </c>
      <c r="AT902" s="201">
        <f ca="1">IF($E902=Parameters!$D$68, AT994, MIN(AT994,-SUM(OFFSET(AT971, 0, MIN(12, COUNTA(AU$3:$BJ$3)), , -MIN(12, COUNTA(AU$3:$BJ$3)) )) ))</f>
        <v>62</v>
      </c>
      <c r="AU902" s="201">
        <f ca="1">IF($E902=Parameters!$D$68, AU994, MIN(AU994,-SUM(OFFSET(AU971, 0, MIN(12, COUNTA(AV$3:$BJ$3)), , -MIN(12, COUNTA(AV$3:$BJ$3)) )) ))</f>
        <v>62</v>
      </c>
      <c r="AV902" s="201">
        <f ca="1">IF($E902=Parameters!$D$68, AV994, MIN(AV994,-SUM(OFFSET(AV971, 0, MIN(12, COUNTA(AW$3:$BJ$3)), , -MIN(12, COUNTA(AW$3:$BJ$3)) )) ))</f>
        <v>62</v>
      </c>
      <c r="AW902" s="201">
        <f ca="1">IF($E902=Parameters!$D$68, AW994, MIN(AW994,-SUM(OFFSET(AW971, 0, MIN(12, COUNTA(AX$3:$BJ$3)), , -MIN(12, COUNTA(AX$3:$BJ$3)) )) ))</f>
        <v>62</v>
      </c>
      <c r="AX902" s="201">
        <f ca="1">IF($E902=Parameters!$D$68, AX994, MIN(AX994,-SUM(OFFSET(AX971, 0, MIN(12, COUNTA(AY$3:$BJ$3)), , -MIN(12, COUNTA(AY$3:$BJ$3)) )) ))</f>
        <v>62</v>
      </c>
      <c r="AY902" s="201">
        <f ca="1">IF($E902=Parameters!$D$68, AY994, MIN(AY994,-SUM(OFFSET(AY971, 0, MIN(12, COUNTA(AZ$3:$BJ$3)), , -MIN(12, COUNTA(AZ$3:$BJ$3)) )) ))</f>
        <v>47</v>
      </c>
      <c r="AZ902" s="201">
        <f ca="1">IF($E902=Parameters!$D$68, AZ994, MIN(AZ994,-SUM(OFFSET(AZ971, 0, MIN(12, COUNTA(BA$3:$BJ$3)), , -MIN(12, COUNTA(BA$3:$BJ$3)) )) ))</f>
        <v>47</v>
      </c>
      <c r="BA902" s="201">
        <f ca="1">IF($E902=Parameters!$D$68, BA994, MIN(BA994,-SUM(OFFSET(BA971, 0, MIN(12, COUNTA(BB$3:$BJ$3)), , -MIN(12, COUNTA(BB$3:$BJ$3)) )) ))</f>
        <v>47</v>
      </c>
      <c r="BB902" s="201">
        <f ca="1">IF($E902=Parameters!$D$68, BB994, MIN(BB994,-SUM(OFFSET(BB971, 0, MIN(12, COUNTA(BC$3:$BJ$3)), , -MIN(12, COUNTA(BC$3:$BJ$3)) )) ))</f>
        <v>32</v>
      </c>
      <c r="BC902" s="201">
        <f ca="1">IF($E902=Parameters!$D$68, BC994, MIN(BC994,-SUM(OFFSET(BC971, 0, MIN(12, COUNTA(BD$3:$BJ$3)), , -MIN(12, COUNTA(BD$3:$BJ$3)) )) ))</f>
        <v>32</v>
      </c>
      <c r="BD902" s="201">
        <f ca="1">IF($E902=Parameters!$D$68, BD994, MIN(BD994,-SUM(OFFSET(BD971, 0, MIN(12, COUNTA(BE$3:$BJ$3)), , -MIN(12, COUNTA(BE$3:$BJ$3)) )) ))</f>
        <v>32</v>
      </c>
      <c r="BE902" s="201">
        <f ca="1">IF($E902=Parameters!$D$68, BE994, MIN(BE994,-SUM(OFFSET(BE971, 0, MIN(12, COUNTA(BF$3:$BJ$3)), , -MIN(12, COUNTA(BF$3:$BJ$3)) )) ))</f>
        <v>16</v>
      </c>
      <c r="BF902" s="201">
        <f ca="1">IF($E902=Parameters!$D$68, BF994, MIN(BF994,-SUM(OFFSET(BF971, 0, MIN(12, COUNTA(BG$3:$BJ$3)), , -MIN(12, COUNTA(BG$3:$BJ$3)) )) ))</f>
        <v>16</v>
      </c>
      <c r="BG902" s="201">
        <f ca="1">IF($E902=Parameters!$D$68, BG994, MIN(BG994,-SUM(OFFSET(BG971, 0, MIN(12, COUNTA(BH$3:$BJ$3)), , -MIN(12, COUNTA(BH$3:$BJ$3)) )) ))</f>
        <v>16</v>
      </c>
      <c r="BH902" s="201">
        <f ca="1">IF($E902=Parameters!$D$68, BH994, MIN(BH994,-SUM(OFFSET(BH971, 0, MIN(12, COUNTA(BI$3:$BJ$3)), , -MIN(12, COUNTA(BI$3:$BJ$3)) )) ))</f>
        <v>0</v>
      </c>
      <c r="BI902" s="201">
        <f ca="1">IF($E902=Parameters!$D$68, BI994, MIN(BI994,-SUM(OFFSET(BI971, 0, MIN(12, COUNTA(BJ$3:$BJ$3)), , -MIN(12, COUNTA(BJ$3:$BJ$3)) )) ))</f>
        <v>0</v>
      </c>
      <c r="BJ902" s="13">
        <f t="shared" si="1072"/>
        <v>0</v>
      </c>
      <c r="BL902" s="136"/>
      <c r="BM902" s="13">
        <f t="shared" ca="1" si="1069"/>
        <v>62</v>
      </c>
      <c r="BN902" s="13">
        <f t="shared" ca="1" si="1070"/>
        <v>62</v>
      </c>
      <c r="BO902" s="13">
        <f t="shared" si="1071"/>
        <v>0</v>
      </c>
      <c r="BP902" s="136"/>
      <c r="BQ902" s="136"/>
      <c r="BR902" s="136"/>
      <c r="BS902" s="136"/>
      <c r="BT902" s="136"/>
      <c r="BU902" s="136"/>
      <c r="BV902" s="136"/>
      <c r="BW902" s="136"/>
      <c r="BY902" s="12"/>
      <c r="BZ902" s="335"/>
      <c r="CA902" s="12"/>
      <c r="CB902" s="335"/>
      <c r="CC902" s="335"/>
      <c r="CD902" s="335"/>
      <c r="CE902" s="335"/>
      <c r="CM902" s="335"/>
      <c r="CN902" s="335"/>
      <c r="CO902" s="335"/>
      <c r="CP902" s="335"/>
      <c r="CR902" s="12"/>
      <c r="CT902" s="335"/>
      <c r="CU902" s="335"/>
      <c r="EW902" s="335"/>
      <c r="EX902" s="10" t="str">
        <f t="shared" si="1067"/>
        <v/>
      </c>
    </row>
    <row r="903" spans="1:154" s="67" customFormat="1" x14ac:dyDescent="0.25">
      <c r="B903" s="84" t="str" cm="1">
        <f t="array" aca="1" ref="B903" ca="1">HYPERLINK(CONCATENATE("#",CELL("address",$D$123)),$D$123)</f>
        <v>Loan 5</v>
      </c>
      <c r="C903" s="380"/>
      <c r="D903" s="60" t="str">
        <f>D$17</f>
        <v>NatWest</v>
      </c>
      <c r="E903" s="221" t="str">
        <f>E$17</f>
        <v xml:space="preserve">Commercial </v>
      </c>
      <c r="G903" s="9"/>
      <c r="H903" s="50" t="s">
        <v>125</v>
      </c>
      <c r="S903" s="335"/>
      <c r="T903" s="335"/>
      <c r="U903" s="335"/>
      <c r="V903" s="136"/>
      <c r="W903" s="201">
        <f t="shared" ca="1" si="1068"/>
        <v>64</v>
      </c>
      <c r="X903" s="201">
        <f t="shared" ca="1" si="1068"/>
        <v>64</v>
      </c>
      <c r="Y903" s="201">
        <f t="shared" si="1068"/>
        <v>0</v>
      </c>
      <c r="AA903" s="201">
        <f ca="1">IF($E903=Parameters!$D$68, AA995, MIN(AA995,-SUM(OFFSET(AA972, 0, MIN(12, COUNTA(AB$3:$BJ$3)), , -MIN(12, COUNTA(AB$3:$BJ$3)) )) ))</f>
        <v>64</v>
      </c>
      <c r="AB903" s="201">
        <f ca="1">IF($E903=Parameters!$D$68, AB995, MIN(AB995,-SUM(OFFSET(AB972, 0, MIN(12, COUNTA(AC$3:$BJ$3)), , -MIN(12, COUNTA(AC$3:$BJ$3)) )) ))</f>
        <v>64</v>
      </c>
      <c r="AC903" s="201">
        <f ca="1">IF($E903=Parameters!$D$68, AC995, MIN(AC995,-SUM(OFFSET(AC972, 0, MIN(12, COUNTA(AD$3:$BJ$3)), , -MIN(12, COUNTA(AD$3:$BJ$3)) )) ))</f>
        <v>64</v>
      </c>
      <c r="AD903" s="201">
        <f ca="1">IF($E903=Parameters!$D$68, AD995, MIN(AD995,-SUM(OFFSET(AD972, 0, MIN(12, COUNTA(AE$3:$BJ$3)), , -MIN(12, COUNTA(AE$3:$BJ$3)) )) ))</f>
        <v>64</v>
      </c>
      <c r="AE903" s="201">
        <f ca="1">IF($E903=Parameters!$D$68, AE995, MIN(AE995,-SUM(OFFSET(AE972, 0, MIN(12, COUNTA(AF$3:$BJ$3)), , -MIN(12, COUNTA(AF$3:$BJ$3)) )) ))</f>
        <v>64</v>
      </c>
      <c r="AF903" s="201">
        <f ca="1">IF($E903=Parameters!$D$68, AF995, MIN(AF995,-SUM(OFFSET(AF972, 0, MIN(12, COUNTA(AG$3:$BJ$3)), , -MIN(12, COUNTA(AG$3:$BJ$3)) )) ))</f>
        <v>64</v>
      </c>
      <c r="AG903" s="201">
        <f ca="1">IF($E903=Parameters!$D$68, AG995, MIN(AG995,-SUM(OFFSET(AG972, 0, MIN(12, COUNTA(AH$3:$BJ$3)), , -MIN(12, COUNTA(AH$3:$BJ$3)) )) ))</f>
        <v>64</v>
      </c>
      <c r="AH903" s="201">
        <f ca="1">IF($E903=Parameters!$D$68, AH995, MIN(AH995,-SUM(OFFSET(AH972, 0, MIN(12, COUNTA(AI$3:$BJ$3)), , -MIN(12, COUNTA(AI$3:$BJ$3)) )) ))</f>
        <v>64</v>
      </c>
      <c r="AI903" s="201">
        <f ca="1">IF($E903=Parameters!$D$68, AI995, MIN(AI995,-SUM(OFFSET(AI972, 0, MIN(12, COUNTA(AJ$3:$BJ$3)), , -MIN(12, COUNTA(AJ$3:$BJ$3)) )) ))</f>
        <v>64</v>
      </c>
      <c r="AJ903" s="201">
        <f ca="1">IF($E903=Parameters!$D$68, AJ995, MIN(AJ995,-SUM(OFFSET(AJ972, 0, MIN(12, COUNTA(AK$3:$BJ$3)), , -MIN(12, COUNTA(AK$3:$BJ$3)) )) ))</f>
        <v>64</v>
      </c>
      <c r="AK903" s="201">
        <f ca="1">IF($E903=Parameters!$D$68, AK995, MIN(AK995,-SUM(OFFSET(AK972, 0, MIN(12, COUNTA(AL$3:$BJ$3)), , -MIN(12, COUNTA(AL$3:$BJ$3)) )) ))</f>
        <v>64</v>
      </c>
      <c r="AL903" s="201">
        <f ca="1">IF($E903=Parameters!$D$68, AL995, MIN(AL995,-SUM(OFFSET(AL972, 0, MIN(12, COUNTA(AM$3:$BJ$3)), , -MIN(12, COUNTA(AM$3:$BJ$3)) )) ))</f>
        <v>64</v>
      </c>
      <c r="AM903" s="201">
        <f ca="1">IF($E903=Parameters!$D$68, AM995, MIN(AM995,-SUM(OFFSET(AM972, 0, MIN(12, COUNTA(AN$3:$BJ$3)), , -MIN(12, COUNTA(AN$3:$BJ$3)) )) ))</f>
        <v>64</v>
      </c>
      <c r="AN903" s="201">
        <f ca="1">IF($E903=Parameters!$D$68, AN995, MIN(AN995,-SUM(OFFSET(AN972, 0, MIN(12, COUNTA(AO$3:$BJ$3)), , -MIN(12, COUNTA(AO$3:$BJ$3)) )) ))</f>
        <v>64</v>
      </c>
      <c r="AO903" s="201">
        <f ca="1">IF($E903=Parameters!$D$68, AO995, MIN(AO995,-SUM(OFFSET(AO972, 0, MIN(12, COUNTA(AP$3:$BJ$3)), , -MIN(12, COUNTA(AP$3:$BJ$3)) )) ))</f>
        <v>64</v>
      </c>
      <c r="AP903" s="201">
        <f ca="1">IF($E903=Parameters!$D$68, AP995, MIN(AP995,-SUM(OFFSET(AP972, 0, MIN(12, COUNTA(AQ$3:$BJ$3)), , -MIN(12, COUNTA(AQ$3:$BJ$3)) )) ))</f>
        <v>64</v>
      </c>
      <c r="AQ903" s="201">
        <f ca="1">IF($E903=Parameters!$D$68, AQ995, MIN(AQ995,-SUM(OFFSET(AQ972, 0, MIN(12, COUNTA(AR$3:$BJ$3)), , -MIN(12, COUNTA(AR$3:$BJ$3)) )) ))</f>
        <v>64</v>
      </c>
      <c r="AR903" s="201">
        <f ca="1">IF($E903=Parameters!$D$68, AR995, MIN(AR995,-SUM(OFFSET(AR972, 0, MIN(12, COUNTA(AS$3:$BJ$3)), , -MIN(12, COUNTA(AS$3:$BJ$3)) )) ))</f>
        <v>64</v>
      </c>
      <c r="AS903" s="201">
        <f ca="1">IF($E903=Parameters!$D$68, AS995, MIN(AS995,-SUM(OFFSET(AS972, 0, MIN(12, COUNTA(AT$3:$BJ$3)), , -MIN(12, COUNTA(AT$3:$BJ$3)) )) ))</f>
        <v>64</v>
      </c>
      <c r="AT903" s="201">
        <f ca="1">IF($E903=Parameters!$D$68, AT995, MIN(AT995,-SUM(OFFSET(AT972, 0, MIN(12, COUNTA(AU$3:$BJ$3)), , -MIN(12, COUNTA(AU$3:$BJ$3)) )) ))</f>
        <v>64</v>
      </c>
      <c r="AU903" s="201">
        <f ca="1">IF($E903=Parameters!$D$68, AU995, MIN(AU995,-SUM(OFFSET(AU972, 0, MIN(12, COUNTA(AV$3:$BJ$3)), , -MIN(12, COUNTA(AV$3:$BJ$3)) )) ))</f>
        <v>64</v>
      </c>
      <c r="AV903" s="201">
        <f ca="1">IF($E903=Parameters!$D$68, AV995, MIN(AV995,-SUM(OFFSET(AV972, 0, MIN(12, COUNTA(AW$3:$BJ$3)), , -MIN(12, COUNTA(AW$3:$BJ$3)) )) ))</f>
        <v>64</v>
      </c>
      <c r="AW903" s="201">
        <f ca="1">IF($E903=Parameters!$D$68, AW995, MIN(AW995,-SUM(OFFSET(AW972, 0, MIN(12, COUNTA(AX$3:$BJ$3)), , -MIN(12, COUNTA(AX$3:$BJ$3)) )) ))</f>
        <v>64</v>
      </c>
      <c r="AX903" s="201">
        <f ca="1">IF($E903=Parameters!$D$68, AX995, MIN(AX995,-SUM(OFFSET(AX972, 0, MIN(12, COUNTA(AY$3:$BJ$3)), , -MIN(12, COUNTA(AY$3:$BJ$3)) )) ))</f>
        <v>64</v>
      </c>
      <c r="AY903" s="201">
        <f ca="1">IF($E903=Parameters!$D$68, AY995, MIN(AY995,-SUM(OFFSET(AY972, 0, MIN(12, COUNTA(AZ$3:$BJ$3)), , -MIN(12, COUNTA(AZ$3:$BJ$3)) )) ))</f>
        <v>48</v>
      </c>
      <c r="AZ903" s="201">
        <f ca="1">IF($E903=Parameters!$D$68, AZ995, MIN(AZ995,-SUM(OFFSET(AZ972, 0, MIN(12, COUNTA(BA$3:$BJ$3)), , -MIN(12, COUNTA(BA$3:$BJ$3)) )) ))</f>
        <v>48</v>
      </c>
      <c r="BA903" s="201">
        <f ca="1">IF($E903=Parameters!$D$68, BA995, MIN(BA995,-SUM(OFFSET(BA972, 0, MIN(12, COUNTA(BB$3:$BJ$3)), , -MIN(12, COUNTA(BB$3:$BJ$3)) )) ))</f>
        <v>48</v>
      </c>
      <c r="BB903" s="201">
        <f ca="1">IF($E903=Parameters!$D$68, BB995, MIN(BB995,-SUM(OFFSET(BB972, 0, MIN(12, COUNTA(BC$3:$BJ$3)), , -MIN(12, COUNTA(BC$3:$BJ$3)) )) ))</f>
        <v>32</v>
      </c>
      <c r="BC903" s="201">
        <f ca="1">IF($E903=Parameters!$D$68, BC995, MIN(BC995,-SUM(OFFSET(BC972, 0, MIN(12, COUNTA(BD$3:$BJ$3)), , -MIN(12, COUNTA(BD$3:$BJ$3)) )) ))</f>
        <v>32</v>
      </c>
      <c r="BD903" s="201">
        <f ca="1">IF($E903=Parameters!$D$68, BD995, MIN(BD995,-SUM(OFFSET(BD972, 0, MIN(12, COUNTA(BE$3:$BJ$3)), , -MIN(12, COUNTA(BE$3:$BJ$3)) )) ))</f>
        <v>32</v>
      </c>
      <c r="BE903" s="201">
        <f ca="1">IF($E903=Parameters!$D$68, BE995, MIN(BE995,-SUM(OFFSET(BE972, 0, MIN(12, COUNTA(BF$3:$BJ$3)), , -MIN(12, COUNTA(BF$3:$BJ$3)) )) ))</f>
        <v>16</v>
      </c>
      <c r="BF903" s="201">
        <f ca="1">IF($E903=Parameters!$D$68, BF995, MIN(BF995,-SUM(OFFSET(BF972, 0, MIN(12, COUNTA(BG$3:$BJ$3)), , -MIN(12, COUNTA(BG$3:$BJ$3)) )) ))</f>
        <v>16</v>
      </c>
      <c r="BG903" s="201">
        <f ca="1">IF($E903=Parameters!$D$68, BG995, MIN(BG995,-SUM(OFFSET(BG972, 0, MIN(12, COUNTA(BH$3:$BJ$3)), , -MIN(12, COUNTA(BH$3:$BJ$3)) )) ))</f>
        <v>16</v>
      </c>
      <c r="BH903" s="201">
        <f ca="1">IF($E903=Parameters!$D$68, BH995, MIN(BH995,-SUM(OFFSET(BH972, 0, MIN(12, COUNTA(BI$3:$BJ$3)), , -MIN(12, COUNTA(BI$3:$BJ$3)) )) ))</f>
        <v>0</v>
      </c>
      <c r="BI903" s="201">
        <f ca="1">IF($E903=Parameters!$D$68, BI995, MIN(BI995,-SUM(OFFSET(BI972, 0, MIN(12, COUNTA(BJ$3:$BJ$3)), , -MIN(12, COUNTA(BJ$3:$BJ$3)) )) ))</f>
        <v>0</v>
      </c>
      <c r="BJ903" s="13">
        <f t="shared" si="1072"/>
        <v>0</v>
      </c>
      <c r="BL903" s="136"/>
      <c r="BM903" s="13">
        <f t="shared" ca="1" si="1069"/>
        <v>64</v>
      </c>
      <c r="BN903" s="13">
        <f t="shared" ca="1" si="1070"/>
        <v>64</v>
      </c>
      <c r="BO903" s="13">
        <f t="shared" si="1071"/>
        <v>0</v>
      </c>
      <c r="BP903" s="136"/>
      <c r="BQ903" s="136"/>
      <c r="BR903" s="136"/>
      <c r="BS903" s="136"/>
      <c r="BT903" s="136"/>
      <c r="BU903" s="136"/>
      <c r="BV903" s="136"/>
      <c r="BW903" s="136"/>
      <c r="BY903" s="12"/>
      <c r="BZ903" s="335"/>
      <c r="CA903" s="12"/>
      <c r="CB903" s="335"/>
      <c r="CC903" s="335"/>
      <c r="CD903" s="335"/>
      <c r="CE903" s="335"/>
      <c r="CM903" s="335"/>
      <c r="CN903" s="335"/>
      <c r="CO903" s="335"/>
      <c r="CP903" s="335"/>
      <c r="CR903" s="12"/>
      <c r="CT903" s="335"/>
      <c r="CU903" s="335"/>
      <c r="EW903" s="335"/>
      <c r="EX903" s="10" t="str">
        <f t="shared" si="1067"/>
        <v/>
      </c>
    </row>
    <row r="904" spans="1:154" s="67" customFormat="1" x14ac:dyDescent="0.25">
      <c r="B904" s="84" t="str" cm="1">
        <f t="array" aca="1" ref="B904" ca="1">HYPERLINK(CONCATENATE("#",CELL("address",$D$142)),$D$142)</f>
        <v>Loan 6</v>
      </c>
      <c r="C904" s="380"/>
      <c r="D904" s="60">
        <f>D$18</f>
        <v>0</v>
      </c>
      <c r="E904" s="221">
        <f>E$18</f>
        <v>0</v>
      </c>
      <c r="G904" s="9"/>
      <c r="H904" s="50" t="s">
        <v>125</v>
      </c>
      <c r="S904" s="335"/>
      <c r="T904" s="335"/>
      <c r="U904" s="335"/>
      <c r="V904" s="136"/>
      <c r="W904" s="201">
        <f t="shared" ca="1" si="1068"/>
        <v>0</v>
      </c>
      <c r="X904" s="201">
        <f t="shared" ca="1" si="1068"/>
        <v>0</v>
      </c>
      <c r="Y904" s="201">
        <f t="shared" si="1068"/>
        <v>0</v>
      </c>
      <c r="AA904" s="201">
        <f ca="1">IF($E904=Parameters!$D$68, AA996, MIN(AA996,-SUM(OFFSET(AA973, 0, MIN(12, COUNTA(AB$3:$BJ$3)), , -MIN(12, COUNTA(AB$3:$BJ$3)) )) ))</f>
        <v>0</v>
      </c>
      <c r="AB904" s="201">
        <f ca="1">IF($E904=Parameters!$D$68, AB996, MIN(AB996,-SUM(OFFSET(AB973, 0, MIN(12, COUNTA(AC$3:$BJ$3)), , -MIN(12, COUNTA(AC$3:$BJ$3)) )) ))</f>
        <v>0</v>
      </c>
      <c r="AC904" s="201">
        <f ca="1">IF($E904=Parameters!$D$68, AC996, MIN(AC996,-SUM(OFFSET(AC973, 0, MIN(12, COUNTA(AD$3:$BJ$3)), , -MIN(12, COUNTA(AD$3:$BJ$3)) )) ))</f>
        <v>0</v>
      </c>
      <c r="AD904" s="201">
        <f ca="1">IF($E904=Parameters!$D$68, AD996, MIN(AD996,-SUM(OFFSET(AD973, 0, MIN(12, COUNTA(AE$3:$BJ$3)), , -MIN(12, COUNTA(AE$3:$BJ$3)) )) ))</f>
        <v>0</v>
      </c>
      <c r="AE904" s="201">
        <f ca="1">IF($E904=Parameters!$D$68, AE996, MIN(AE996,-SUM(OFFSET(AE973, 0, MIN(12, COUNTA(AF$3:$BJ$3)), , -MIN(12, COUNTA(AF$3:$BJ$3)) )) ))</f>
        <v>0</v>
      </c>
      <c r="AF904" s="201">
        <f ca="1">IF($E904=Parameters!$D$68, AF996, MIN(AF996,-SUM(OFFSET(AF973, 0, MIN(12, COUNTA(AG$3:$BJ$3)), , -MIN(12, COUNTA(AG$3:$BJ$3)) )) ))</f>
        <v>0</v>
      </c>
      <c r="AG904" s="201">
        <f ca="1">IF($E904=Parameters!$D$68, AG996, MIN(AG996,-SUM(OFFSET(AG973, 0, MIN(12, COUNTA(AH$3:$BJ$3)), , -MIN(12, COUNTA(AH$3:$BJ$3)) )) ))</f>
        <v>0</v>
      </c>
      <c r="AH904" s="201">
        <f ca="1">IF($E904=Parameters!$D$68, AH996, MIN(AH996,-SUM(OFFSET(AH973, 0, MIN(12, COUNTA(AI$3:$BJ$3)), , -MIN(12, COUNTA(AI$3:$BJ$3)) )) ))</f>
        <v>0</v>
      </c>
      <c r="AI904" s="201">
        <f ca="1">IF($E904=Parameters!$D$68, AI996, MIN(AI996,-SUM(OFFSET(AI973, 0, MIN(12, COUNTA(AJ$3:$BJ$3)), , -MIN(12, COUNTA(AJ$3:$BJ$3)) )) ))</f>
        <v>0</v>
      </c>
      <c r="AJ904" s="201">
        <f ca="1">IF($E904=Parameters!$D$68, AJ996, MIN(AJ996,-SUM(OFFSET(AJ973, 0, MIN(12, COUNTA(AK$3:$BJ$3)), , -MIN(12, COUNTA(AK$3:$BJ$3)) )) ))</f>
        <v>0</v>
      </c>
      <c r="AK904" s="201">
        <f ca="1">IF($E904=Parameters!$D$68, AK996, MIN(AK996,-SUM(OFFSET(AK973, 0, MIN(12, COUNTA(AL$3:$BJ$3)), , -MIN(12, COUNTA(AL$3:$BJ$3)) )) ))</f>
        <v>0</v>
      </c>
      <c r="AL904" s="201">
        <f ca="1">IF($E904=Parameters!$D$68, AL996, MIN(AL996,-SUM(OFFSET(AL973, 0, MIN(12, COUNTA(AM$3:$BJ$3)), , -MIN(12, COUNTA(AM$3:$BJ$3)) )) ))</f>
        <v>0</v>
      </c>
      <c r="AM904" s="201">
        <f ca="1">IF($E904=Parameters!$D$68, AM996, MIN(AM996,-SUM(OFFSET(AM973, 0, MIN(12, COUNTA(AN$3:$BJ$3)), , -MIN(12, COUNTA(AN$3:$BJ$3)) )) ))</f>
        <v>0</v>
      </c>
      <c r="AN904" s="201">
        <f ca="1">IF($E904=Parameters!$D$68, AN996, MIN(AN996,-SUM(OFFSET(AN973, 0, MIN(12, COUNTA(AO$3:$BJ$3)), , -MIN(12, COUNTA(AO$3:$BJ$3)) )) ))</f>
        <v>0</v>
      </c>
      <c r="AO904" s="201">
        <f ca="1">IF($E904=Parameters!$D$68, AO996, MIN(AO996,-SUM(OFFSET(AO973, 0, MIN(12, COUNTA(AP$3:$BJ$3)), , -MIN(12, COUNTA(AP$3:$BJ$3)) )) ))</f>
        <v>0</v>
      </c>
      <c r="AP904" s="201">
        <f ca="1">IF($E904=Parameters!$D$68, AP996, MIN(AP996,-SUM(OFFSET(AP973, 0, MIN(12, COUNTA(AQ$3:$BJ$3)), , -MIN(12, COUNTA(AQ$3:$BJ$3)) )) ))</f>
        <v>0</v>
      </c>
      <c r="AQ904" s="201">
        <f ca="1">IF($E904=Parameters!$D$68, AQ996, MIN(AQ996,-SUM(OFFSET(AQ973, 0, MIN(12, COUNTA(AR$3:$BJ$3)), , -MIN(12, COUNTA(AR$3:$BJ$3)) )) ))</f>
        <v>0</v>
      </c>
      <c r="AR904" s="201">
        <f ca="1">IF($E904=Parameters!$D$68, AR996, MIN(AR996,-SUM(OFFSET(AR973, 0, MIN(12, COUNTA(AS$3:$BJ$3)), , -MIN(12, COUNTA(AS$3:$BJ$3)) )) ))</f>
        <v>0</v>
      </c>
      <c r="AS904" s="201">
        <f ca="1">IF($E904=Parameters!$D$68, AS996, MIN(AS996,-SUM(OFFSET(AS973, 0, MIN(12, COUNTA(AT$3:$BJ$3)), , -MIN(12, COUNTA(AT$3:$BJ$3)) )) ))</f>
        <v>0</v>
      </c>
      <c r="AT904" s="201">
        <f ca="1">IF($E904=Parameters!$D$68, AT996, MIN(AT996,-SUM(OFFSET(AT973, 0, MIN(12, COUNTA(AU$3:$BJ$3)), , -MIN(12, COUNTA(AU$3:$BJ$3)) )) ))</f>
        <v>0</v>
      </c>
      <c r="AU904" s="201">
        <f ca="1">IF($E904=Parameters!$D$68, AU996, MIN(AU996,-SUM(OFFSET(AU973, 0, MIN(12, COUNTA(AV$3:$BJ$3)), , -MIN(12, COUNTA(AV$3:$BJ$3)) )) ))</f>
        <v>0</v>
      </c>
      <c r="AV904" s="201">
        <f ca="1">IF($E904=Parameters!$D$68, AV996, MIN(AV996,-SUM(OFFSET(AV973, 0, MIN(12, COUNTA(AW$3:$BJ$3)), , -MIN(12, COUNTA(AW$3:$BJ$3)) )) ))</f>
        <v>0</v>
      </c>
      <c r="AW904" s="201">
        <f ca="1">IF($E904=Parameters!$D$68, AW996, MIN(AW996,-SUM(OFFSET(AW973, 0, MIN(12, COUNTA(AX$3:$BJ$3)), , -MIN(12, COUNTA(AX$3:$BJ$3)) )) ))</f>
        <v>0</v>
      </c>
      <c r="AX904" s="201">
        <f ca="1">IF($E904=Parameters!$D$68, AX996, MIN(AX996,-SUM(OFFSET(AX973, 0, MIN(12, COUNTA(AY$3:$BJ$3)), , -MIN(12, COUNTA(AY$3:$BJ$3)) )) ))</f>
        <v>0</v>
      </c>
      <c r="AY904" s="201">
        <f ca="1">IF($E904=Parameters!$D$68, AY996, MIN(AY996,-SUM(OFFSET(AY973, 0, MIN(12, COUNTA(AZ$3:$BJ$3)), , -MIN(12, COUNTA(AZ$3:$BJ$3)) )) ))</f>
        <v>0</v>
      </c>
      <c r="AZ904" s="201">
        <f ca="1">IF($E904=Parameters!$D$68, AZ996, MIN(AZ996,-SUM(OFFSET(AZ973, 0, MIN(12, COUNTA(BA$3:$BJ$3)), , -MIN(12, COUNTA(BA$3:$BJ$3)) )) ))</f>
        <v>0</v>
      </c>
      <c r="BA904" s="201">
        <f ca="1">IF($E904=Parameters!$D$68, BA996, MIN(BA996,-SUM(OFFSET(BA973, 0, MIN(12, COUNTA(BB$3:$BJ$3)), , -MIN(12, COUNTA(BB$3:$BJ$3)) )) ))</f>
        <v>0</v>
      </c>
      <c r="BB904" s="201">
        <f ca="1">IF($E904=Parameters!$D$68, BB996, MIN(BB996,-SUM(OFFSET(BB973, 0, MIN(12, COUNTA(BC$3:$BJ$3)), , -MIN(12, COUNTA(BC$3:$BJ$3)) )) ))</f>
        <v>0</v>
      </c>
      <c r="BC904" s="201">
        <f ca="1">IF($E904=Parameters!$D$68, BC996, MIN(BC996,-SUM(OFFSET(BC973, 0, MIN(12, COUNTA(BD$3:$BJ$3)), , -MIN(12, COUNTA(BD$3:$BJ$3)) )) ))</f>
        <v>0</v>
      </c>
      <c r="BD904" s="201">
        <f ca="1">IF($E904=Parameters!$D$68, BD996, MIN(BD996,-SUM(OFFSET(BD973, 0, MIN(12, COUNTA(BE$3:$BJ$3)), , -MIN(12, COUNTA(BE$3:$BJ$3)) )) ))</f>
        <v>0</v>
      </c>
      <c r="BE904" s="201">
        <f ca="1">IF($E904=Parameters!$D$68, BE996, MIN(BE996,-SUM(OFFSET(BE973, 0, MIN(12, COUNTA(BF$3:$BJ$3)), , -MIN(12, COUNTA(BF$3:$BJ$3)) )) ))</f>
        <v>0</v>
      </c>
      <c r="BF904" s="201">
        <f ca="1">IF($E904=Parameters!$D$68, BF996, MIN(BF996,-SUM(OFFSET(BF973, 0, MIN(12, COUNTA(BG$3:$BJ$3)), , -MIN(12, COUNTA(BG$3:$BJ$3)) )) ))</f>
        <v>0</v>
      </c>
      <c r="BG904" s="201">
        <f ca="1">IF($E904=Parameters!$D$68, BG996, MIN(BG996,-SUM(OFFSET(BG973, 0, MIN(12, COUNTA(BH$3:$BJ$3)), , -MIN(12, COUNTA(BH$3:$BJ$3)) )) ))</f>
        <v>0</v>
      </c>
      <c r="BH904" s="201">
        <f ca="1">IF($E904=Parameters!$D$68, BH996, MIN(BH996,-SUM(OFFSET(BH973, 0, MIN(12, COUNTA(BI$3:$BJ$3)), , -MIN(12, COUNTA(BI$3:$BJ$3)) )) ))</f>
        <v>0</v>
      </c>
      <c r="BI904" s="201">
        <f ca="1">IF($E904=Parameters!$D$68, BI996, MIN(BI996,-SUM(OFFSET(BI973, 0, MIN(12, COUNTA(BJ$3:$BJ$3)), , -MIN(12, COUNTA(BJ$3:$BJ$3)) )) ))</f>
        <v>0</v>
      </c>
      <c r="BJ904" s="13">
        <f t="shared" si="1072"/>
        <v>0</v>
      </c>
      <c r="BL904" s="136"/>
      <c r="BM904" s="13">
        <f t="shared" ca="1" si="1069"/>
        <v>0</v>
      </c>
      <c r="BN904" s="13">
        <f t="shared" ca="1" si="1070"/>
        <v>0</v>
      </c>
      <c r="BO904" s="13">
        <f t="shared" si="1071"/>
        <v>0</v>
      </c>
      <c r="BP904" s="136"/>
      <c r="BQ904" s="136"/>
      <c r="BR904" s="136"/>
      <c r="BS904" s="136"/>
      <c r="BT904" s="136"/>
      <c r="BU904" s="136"/>
      <c r="BV904" s="136"/>
      <c r="BW904" s="136"/>
      <c r="BY904" s="12"/>
      <c r="BZ904" s="335"/>
      <c r="CA904" s="12"/>
      <c r="CB904" s="335"/>
      <c r="CC904" s="335"/>
      <c r="CD904" s="335"/>
      <c r="CE904" s="335"/>
      <c r="CM904" s="335"/>
      <c r="CN904" s="335"/>
      <c r="CO904" s="335"/>
      <c r="CP904" s="335"/>
      <c r="CR904" s="12"/>
      <c r="CT904" s="335"/>
      <c r="CU904" s="335"/>
      <c r="EW904" s="335"/>
      <c r="EX904" s="10" t="str">
        <f t="shared" si="1067"/>
        <v/>
      </c>
    </row>
    <row r="905" spans="1:154" s="67" customFormat="1" x14ac:dyDescent="0.25">
      <c r="B905" s="84" t="str" cm="1">
        <f t="array" aca="1" ref="B905" ca="1">HYPERLINK(CONCATENATE("#",CELL("address",$D$161)),$D$161)</f>
        <v>Loan 7</v>
      </c>
      <c r="C905" s="380"/>
      <c r="D905" s="60">
        <f>D$19</f>
        <v>0</v>
      </c>
      <c r="E905" s="221">
        <f>E$19</f>
        <v>0</v>
      </c>
      <c r="G905" s="9"/>
      <c r="H905" s="50" t="s">
        <v>125</v>
      </c>
      <c r="S905" s="335"/>
      <c r="T905" s="335"/>
      <c r="U905" s="335"/>
      <c r="V905" s="136"/>
      <c r="W905" s="201">
        <f t="shared" ca="1" si="1068"/>
        <v>0</v>
      </c>
      <c r="X905" s="201">
        <f t="shared" ca="1" si="1068"/>
        <v>0</v>
      </c>
      <c r="Y905" s="201">
        <f t="shared" si="1068"/>
        <v>0</v>
      </c>
      <c r="AA905" s="201">
        <f ca="1">IF($E905=Parameters!$D$68, AA997, MIN(AA997,-SUM(OFFSET(AA974, 0, MIN(12, COUNTA(AB$3:$BJ$3)), , -MIN(12, COUNTA(AB$3:$BJ$3)) )) ))</f>
        <v>0</v>
      </c>
      <c r="AB905" s="201">
        <f ca="1">IF($E905=Parameters!$D$68, AB997, MIN(AB997,-SUM(OFFSET(AB974, 0, MIN(12, COUNTA(AC$3:$BJ$3)), , -MIN(12, COUNTA(AC$3:$BJ$3)) )) ))</f>
        <v>0</v>
      </c>
      <c r="AC905" s="201">
        <f ca="1">IF($E905=Parameters!$D$68, AC997, MIN(AC997,-SUM(OFFSET(AC974, 0, MIN(12, COUNTA(AD$3:$BJ$3)), , -MIN(12, COUNTA(AD$3:$BJ$3)) )) ))</f>
        <v>0</v>
      </c>
      <c r="AD905" s="201">
        <f ca="1">IF($E905=Parameters!$D$68, AD997, MIN(AD997,-SUM(OFFSET(AD974, 0, MIN(12, COUNTA(AE$3:$BJ$3)), , -MIN(12, COUNTA(AE$3:$BJ$3)) )) ))</f>
        <v>0</v>
      </c>
      <c r="AE905" s="201">
        <f ca="1">IF($E905=Parameters!$D$68, AE997, MIN(AE997,-SUM(OFFSET(AE974, 0, MIN(12, COUNTA(AF$3:$BJ$3)), , -MIN(12, COUNTA(AF$3:$BJ$3)) )) ))</f>
        <v>0</v>
      </c>
      <c r="AF905" s="201">
        <f ca="1">IF($E905=Parameters!$D$68, AF997, MIN(AF997,-SUM(OFFSET(AF974, 0, MIN(12, COUNTA(AG$3:$BJ$3)), , -MIN(12, COUNTA(AG$3:$BJ$3)) )) ))</f>
        <v>0</v>
      </c>
      <c r="AG905" s="201">
        <f ca="1">IF($E905=Parameters!$D$68, AG997, MIN(AG997,-SUM(OFFSET(AG974, 0, MIN(12, COUNTA(AH$3:$BJ$3)), , -MIN(12, COUNTA(AH$3:$BJ$3)) )) ))</f>
        <v>0</v>
      </c>
      <c r="AH905" s="201">
        <f ca="1">IF($E905=Parameters!$D$68, AH997, MIN(AH997,-SUM(OFFSET(AH974, 0, MIN(12, COUNTA(AI$3:$BJ$3)), , -MIN(12, COUNTA(AI$3:$BJ$3)) )) ))</f>
        <v>0</v>
      </c>
      <c r="AI905" s="201">
        <f ca="1">IF($E905=Parameters!$D$68, AI997, MIN(AI997,-SUM(OFFSET(AI974, 0, MIN(12, COUNTA(AJ$3:$BJ$3)), , -MIN(12, COUNTA(AJ$3:$BJ$3)) )) ))</f>
        <v>0</v>
      </c>
      <c r="AJ905" s="201">
        <f ca="1">IF($E905=Parameters!$D$68, AJ997, MIN(AJ997,-SUM(OFFSET(AJ974, 0, MIN(12, COUNTA(AK$3:$BJ$3)), , -MIN(12, COUNTA(AK$3:$BJ$3)) )) ))</f>
        <v>0</v>
      </c>
      <c r="AK905" s="201">
        <f ca="1">IF($E905=Parameters!$D$68, AK997, MIN(AK997,-SUM(OFFSET(AK974, 0, MIN(12, COUNTA(AL$3:$BJ$3)), , -MIN(12, COUNTA(AL$3:$BJ$3)) )) ))</f>
        <v>0</v>
      </c>
      <c r="AL905" s="201">
        <f ca="1">IF($E905=Parameters!$D$68, AL997, MIN(AL997,-SUM(OFFSET(AL974, 0, MIN(12, COUNTA(AM$3:$BJ$3)), , -MIN(12, COUNTA(AM$3:$BJ$3)) )) ))</f>
        <v>0</v>
      </c>
      <c r="AM905" s="201">
        <f ca="1">IF($E905=Parameters!$D$68, AM997, MIN(AM997,-SUM(OFFSET(AM974, 0, MIN(12, COUNTA(AN$3:$BJ$3)), , -MIN(12, COUNTA(AN$3:$BJ$3)) )) ))</f>
        <v>0</v>
      </c>
      <c r="AN905" s="201">
        <f ca="1">IF($E905=Parameters!$D$68, AN997, MIN(AN997,-SUM(OFFSET(AN974, 0, MIN(12, COUNTA(AO$3:$BJ$3)), , -MIN(12, COUNTA(AO$3:$BJ$3)) )) ))</f>
        <v>0</v>
      </c>
      <c r="AO905" s="201">
        <f ca="1">IF($E905=Parameters!$D$68, AO997, MIN(AO997,-SUM(OFFSET(AO974, 0, MIN(12, COUNTA(AP$3:$BJ$3)), , -MIN(12, COUNTA(AP$3:$BJ$3)) )) ))</f>
        <v>0</v>
      </c>
      <c r="AP905" s="201">
        <f ca="1">IF($E905=Parameters!$D$68, AP997, MIN(AP997,-SUM(OFFSET(AP974, 0, MIN(12, COUNTA(AQ$3:$BJ$3)), , -MIN(12, COUNTA(AQ$3:$BJ$3)) )) ))</f>
        <v>0</v>
      </c>
      <c r="AQ905" s="201">
        <f ca="1">IF($E905=Parameters!$D$68, AQ997, MIN(AQ997,-SUM(OFFSET(AQ974, 0, MIN(12, COUNTA(AR$3:$BJ$3)), , -MIN(12, COUNTA(AR$3:$BJ$3)) )) ))</f>
        <v>0</v>
      </c>
      <c r="AR905" s="201">
        <f ca="1">IF($E905=Parameters!$D$68, AR997, MIN(AR997,-SUM(OFFSET(AR974, 0, MIN(12, COUNTA(AS$3:$BJ$3)), , -MIN(12, COUNTA(AS$3:$BJ$3)) )) ))</f>
        <v>0</v>
      </c>
      <c r="AS905" s="201">
        <f ca="1">IF($E905=Parameters!$D$68, AS997, MIN(AS997,-SUM(OFFSET(AS974, 0, MIN(12, COUNTA(AT$3:$BJ$3)), , -MIN(12, COUNTA(AT$3:$BJ$3)) )) ))</f>
        <v>0</v>
      </c>
      <c r="AT905" s="201">
        <f ca="1">IF($E905=Parameters!$D$68, AT997, MIN(AT997,-SUM(OFFSET(AT974, 0, MIN(12, COUNTA(AU$3:$BJ$3)), , -MIN(12, COUNTA(AU$3:$BJ$3)) )) ))</f>
        <v>0</v>
      </c>
      <c r="AU905" s="201">
        <f ca="1">IF($E905=Parameters!$D$68, AU997, MIN(AU997,-SUM(OFFSET(AU974, 0, MIN(12, COUNTA(AV$3:$BJ$3)), , -MIN(12, COUNTA(AV$3:$BJ$3)) )) ))</f>
        <v>0</v>
      </c>
      <c r="AV905" s="201">
        <f ca="1">IF($E905=Parameters!$D$68, AV997, MIN(AV997,-SUM(OFFSET(AV974, 0, MIN(12, COUNTA(AW$3:$BJ$3)), , -MIN(12, COUNTA(AW$3:$BJ$3)) )) ))</f>
        <v>0</v>
      </c>
      <c r="AW905" s="201">
        <f ca="1">IF($E905=Parameters!$D$68, AW997, MIN(AW997,-SUM(OFFSET(AW974, 0, MIN(12, COUNTA(AX$3:$BJ$3)), , -MIN(12, COUNTA(AX$3:$BJ$3)) )) ))</f>
        <v>0</v>
      </c>
      <c r="AX905" s="201">
        <f ca="1">IF($E905=Parameters!$D$68, AX997, MIN(AX997,-SUM(OFFSET(AX974, 0, MIN(12, COUNTA(AY$3:$BJ$3)), , -MIN(12, COUNTA(AY$3:$BJ$3)) )) ))</f>
        <v>0</v>
      </c>
      <c r="AY905" s="201">
        <f ca="1">IF($E905=Parameters!$D$68, AY997, MIN(AY997,-SUM(OFFSET(AY974, 0, MIN(12, COUNTA(AZ$3:$BJ$3)), , -MIN(12, COUNTA(AZ$3:$BJ$3)) )) ))</f>
        <v>0</v>
      </c>
      <c r="AZ905" s="201">
        <f ca="1">IF($E905=Parameters!$D$68, AZ997, MIN(AZ997,-SUM(OFFSET(AZ974, 0, MIN(12, COUNTA(BA$3:$BJ$3)), , -MIN(12, COUNTA(BA$3:$BJ$3)) )) ))</f>
        <v>0</v>
      </c>
      <c r="BA905" s="201">
        <f ca="1">IF($E905=Parameters!$D$68, BA997, MIN(BA997,-SUM(OFFSET(BA974, 0, MIN(12, COUNTA(BB$3:$BJ$3)), , -MIN(12, COUNTA(BB$3:$BJ$3)) )) ))</f>
        <v>0</v>
      </c>
      <c r="BB905" s="201">
        <f ca="1">IF($E905=Parameters!$D$68, BB997, MIN(BB997,-SUM(OFFSET(BB974, 0, MIN(12, COUNTA(BC$3:$BJ$3)), , -MIN(12, COUNTA(BC$3:$BJ$3)) )) ))</f>
        <v>0</v>
      </c>
      <c r="BC905" s="201">
        <f ca="1">IF($E905=Parameters!$D$68, BC997, MIN(BC997,-SUM(OFFSET(BC974, 0, MIN(12, COUNTA(BD$3:$BJ$3)), , -MIN(12, COUNTA(BD$3:$BJ$3)) )) ))</f>
        <v>0</v>
      </c>
      <c r="BD905" s="201">
        <f ca="1">IF($E905=Parameters!$D$68, BD997, MIN(BD997,-SUM(OFFSET(BD974, 0, MIN(12, COUNTA(BE$3:$BJ$3)), , -MIN(12, COUNTA(BE$3:$BJ$3)) )) ))</f>
        <v>0</v>
      </c>
      <c r="BE905" s="201">
        <f ca="1">IF($E905=Parameters!$D$68, BE997, MIN(BE997,-SUM(OFFSET(BE974, 0, MIN(12, COUNTA(BF$3:$BJ$3)), , -MIN(12, COUNTA(BF$3:$BJ$3)) )) ))</f>
        <v>0</v>
      </c>
      <c r="BF905" s="201">
        <f ca="1">IF($E905=Parameters!$D$68, BF997, MIN(BF997,-SUM(OFFSET(BF974, 0, MIN(12, COUNTA(BG$3:$BJ$3)), , -MIN(12, COUNTA(BG$3:$BJ$3)) )) ))</f>
        <v>0</v>
      </c>
      <c r="BG905" s="201">
        <f ca="1">IF($E905=Parameters!$D$68, BG997, MIN(BG997,-SUM(OFFSET(BG974, 0, MIN(12, COUNTA(BH$3:$BJ$3)), , -MIN(12, COUNTA(BH$3:$BJ$3)) )) ))</f>
        <v>0</v>
      </c>
      <c r="BH905" s="201">
        <f ca="1">IF($E905=Parameters!$D$68, BH997, MIN(BH997,-SUM(OFFSET(BH974, 0, MIN(12, COUNTA(BI$3:$BJ$3)), , -MIN(12, COUNTA(BI$3:$BJ$3)) )) ))</f>
        <v>0</v>
      </c>
      <c r="BI905" s="201">
        <f ca="1">IF($E905=Parameters!$D$68, BI997, MIN(BI997,-SUM(OFFSET(BI974, 0, MIN(12, COUNTA(BJ$3:$BJ$3)), , -MIN(12, COUNTA(BJ$3:$BJ$3)) )) ))</f>
        <v>0</v>
      </c>
      <c r="BJ905" s="13">
        <f t="shared" si="1072"/>
        <v>0</v>
      </c>
      <c r="BL905" s="136"/>
      <c r="BM905" s="13">
        <f t="shared" ca="1" si="1069"/>
        <v>0</v>
      </c>
      <c r="BN905" s="13">
        <f t="shared" ca="1" si="1070"/>
        <v>0</v>
      </c>
      <c r="BO905" s="13">
        <f t="shared" si="1071"/>
        <v>0</v>
      </c>
      <c r="BP905" s="136"/>
      <c r="BQ905" s="136"/>
      <c r="BR905" s="136"/>
      <c r="BS905" s="136"/>
      <c r="BT905" s="136"/>
      <c r="BU905" s="136"/>
      <c r="BV905" s="136"/>
      <c r="BW905" s="136"/>
      <c r="BY905" s="12"/>
      <c r="BZ905" s="335"/>
      <c r="CA905" s="12"/>
      <c r="CB905" s="335"/>
      <c r="CC905" s="335"/>
      <c r="CD905" s="335"/>
      <c r="CE905" s="335"/>
      <c r="CM905" s="335"/>
      <c r="CN905" s="335"/>
      <c r="CO905" s="335"/>
      <c r="CP905" s="335"/>
      <c r="CR905" s="12"/>
      <c r="CT905" s="335"/>
      <c r="CU905" s="335"/>
      <c r="EW905" s="335"/>
      <c r="EX905" s="10" t="str">
        <f t="shared" si="1067"/>
        <v/>
      </c>
    </row>
    <row r="906" spans="1:154" s="67" customFormat="1" x14ac:dyDescent="0.25">
      <c r="B906" s="84" t="str" cm="1">
        <f t="array" aca="1" ref="B906" ca="1">HYPERLINK(CONCATENATE("#",CELL("address",$D$180)),$D$180)</f>
        <v>Loan 8</v>
      </c>
      <c r="C906" s="380"/>
      <c r="D906" s="60">
        <f>D$20</f>
        <v>0</v>
      </c>
      <c r="E906" s="221">
        <f>E$20</f>
        <v>0</v>
      </c>
      <c r="G906" s="9"/>
      <c r="H906" s="50" t="s">
        <v>125</v>
      </c>
      <c r="S906" s="335"/>
      <c r="T906" s="335"/>
      <c r="U906" s="335"/>
      <c r="V906" s="136"/>
      <c r="W906" s="201">
        <f t="shared" ca="1" si="1068"/>
        <v>0</v>
      </c>
      <c r="X906" s="201">
        <f t="shared" ca="1" si="1068"/>
        <v>0</v>
      </c>
      <c r="Y906" s="201">
        <f t="shared" si="1068"/>
        <v>0</v>
      </c>
      <c r="AA906" s="201">
        <f ca="1">IF($E906=Parameters!$D$68, AA998, MIN(AA998,-SUM(OFFSET(AA975, 0, MIN(12, COUNTA(AB$3:$BJ$3)), , -MIN(12, COUNTA(AB$3:$BJ$3)) )) ))</f>
        <v>0</v>
      </c>
      <c r="AB906" s="201">
        <f ca="1">IF($E906=Parameters!$D$68, AB998, MIN(AB998,-SUM(OFFSET(AB975, 0, MIN(12, COUNTA(AC$3:$BJ$3)), , -MIN(12, COUNTA(AC$3:$BJ$3)) )) ))</f>
        <v>0</v>
      </c>
      <c r="AC906" s="201">
        <f ca="1">IF($E906=Parameters!$D$68, AC998, MIN(AC998,-SUM(OFFSET(AC975, 0, MIN(12, COUNTA(AD$3:$BJ$3)), , -MIN(12, COUNTA(AD$3:$BJ$3)) )) ))</f>
        <v>0</v>
      </c>
      <c r="AD906" s="201">
        <f ca="1">IF($E906=Parameters!$D$68, AD998, MIN(AD998,-SUM(OFFSET(AD975, 0, MIN(12, COUNTA(AE$3:$BJ$3)), , -MIN(12, COUNTA(AE$3:$BJ$3)) )) ))</f>
        <v>0</v>
      </c>
      <c r="AE906" s="201">
        <f ca="1">IF($E906=Parameters!$D$68, AE998, MIN(AE998,-SUM(OFFSET(AE975, 0, MIN(12, COUNTA(AF$3:$BJ$3)), , -MIN(12, COUNTA(AF$3:$BJ$3)) )) ))</f>
        <v>0</v>
      </c>
      <c r="AF906" s="201">
        <f ca="1">IF($E906=Parameters!$D$68, AF998, MIN(AF998,-SUM(OFFSET(AF975, 0, MIN(12, COUNTA(AG$3:$BJ$3)), , -MIN(12, COUNTA(AG$3:$BJ$3)) )) ))</f>
        <v>0</v>
      </c>
      <c r="AG906" s="201">
        <f ca="1">IF($E906=Parameters!$D$68, AG998, MIN(AG998,-SUM(OFFSET(AG975, 0, MIN(12, COUNTA(AH$3:$BJ$3)), , -MIN(12, COUNTA(AH$3:$BJ$3)) )) ))</f>
        <v>0</v>
      </c>
      <c r="AH906" s="201">
        <f ca="1">IF($E906=Parameters!$D$68, AH998, MIN(AH998,-SUM(OFFSET(AH975, 0, MIN(12, COUNTA(AI$3:$BJ$3)), , -MIN(12, COUNTA(AI$3:$BJ$3)) )) ))</f>
        <v>0</v>
      </c>
      <c r="AI906" s="201">
        <f ca="1">IF($E906=Parameters!$D$68, AI998, MIN(AI998,-SUM(OFFSET(AI975, 0, MIN(12, COUNTA(AJ$3:$BJ$3)), , -MIN(12, COUNTA(AJ$3:$BJ$3)) )) ))</f>
        <v>0</v>
      </c>
      <c r="AJ906" s="201">
        <f ca="1">IF($E906=Parameters!$D$68, AJ998, MIN(AJ998,-SUM(OFFSET(AJ975, 0, MIN(12, COUNTA(AK$3:$BJ$3)), , -MIN(12, COUNTA(AK$3:$BJ$3)) )) ))</f>
        <v>0</v>
      </c>
      <c r="AK906" s="201">
        <f ca="1">IF($E906=Parameters!$D$68, AK998, MIN(AK998,-SUM(OFFSET(AK975, 0, MIN(12, COUNTA(AL$3:$BJ$3)), , -MIN(12, COUNTA(AL$3:$BJ$3)) )) ))</f>
        <v>0</v>
      </c>
      <c r="AL906" s="201">
        <f ca="1">IF($E906=Parameters!$D$68, AL998, MIN(AL998,-SUM(OFFSET(AL975, 0, MIN(12, COUNTA(AM$3:$BJ$3)), , -MIN(12, COUNTA(AM$3:$BJ$3)) )) ))</f>
        <v>0</v>
      </c>
      <c r="AM906" s="201">
        <f ca="1">IF($E906=Parameters!$D$68, AM998, MIN(AM998,-SUM(OFFSET(AM975, 0, MIN(12, COUNTA(AN$3:$BJ$3)), , -MIN(12, COUNTA(AN$3:$BJ$3)) )) ))</f>
        <v>0</v>
      </c>
      <c r="AN906" s="201">
        <f ca="1">IF($E906=Parameters!$D$68, AN998, MIN(AN998,-SUM(OFFSET(AN975, 0, MIN(12, COUNTA(AO$3:$BJ$3)), , -MIN(12, COUNTA(AO$3:$BJ$3)) )) ))</f>
        <v>0</v>
      </c>
      <c r="AO906" s="201">
        <f ca="1">IF($E906=Parameters!$D$68, AO998, MIN(AO998,-SUM(OFFSET(AO975, 0, MIN(12, COUNTA(AP$3:$BJ$3)), , -MIN(12, COUNTA(AP$3:$BJ$3)) )) ))</f>
        <v>0</v>
      </c>
      <c r="AP906" s="201">
        <f ca="1">IF($E906=Parameters!$D$68, AP998, MIN(AP998,-SUM(OFFSET(AP975, 0, MIN(12, COUNTA(AQ$3:$BJ$3)), , -MIN(12, COUNTA(AQ$3:$BJ$3)) )) ))</f>
        <v>0</v>
      </c>
      <c r="AQ906" s="201">
        <f ca="1">IF($E906=Parameters!$D$68, AQ998, MIN(AQ998,-SUM(OFFSET(AQ975, 0, MIN(12, COUNTA(AR$3:$BJ$3)), , -MIN(12, COUNTA(AR$3:$BJ$3)) )) ))</f>
        <v>0</v>
      </c>
      <c r="AR906" s="201">
        <f ca="1">IF($E906=Parameters!$D$68, AR998, MIN(AR998,-SUM(OFFSET(AR975, 0, MIN(12, COUNTA(AS$3:$BJ$3)), , -MIN(12, COUNTA(AS$3:$BJ$3)) )) ))</f>
        <v>0</v>
      </c>
      <c r="AS906" s="201">
        <f ca="1">IF($E906=Parameters!$D$68, AS998, MIN(AS998,-SUM(OFFSET(AS975, 0, MIN(12, COUNTA(AT$3:$BJ$3)), , -MIN(12, COUNTA(AT$3:$BJ$3)) )) ))</f>
        <v>0</v>
      </c>
      <c r="AT906" s="201">
        <f ca="1">IF($E906=Parameters!$D$68, AT998, MIN(AT998,-SUM(OFFSET(AT975, 0, MIN(12, COUNTA(AU$3:$BJ$3)), , -MIN(12, COUNTA(AU$3:$BJ$3)) )) ))</f>
        <v>0</v>
      </c>
      <c r="AU906" s="201">
        <f ca="1">IF($E906=Parameters!$D$68, AU998, MIN(AU998,-SUM(OFFSET(AU975, 0, MIN(12, COUNTA(AV$3:$BJ$3)), , -MIN(12, COUNTA(AV$3:$BJ$3)) )) ))</f>
        <v>0</v>
      </c>
      <c r="AV906" s="201">
        <f ca="1">IF($E906=Parameters!$D$68, AV998, MIN(AV998,-SUM(OFFSET(AV975, 0, MIN(12, COUNTA(AW$3:$BJ$3)), , -MIN(12, COUNTA(AW$3:$BJ$3)) )) ))</f>
        <v>0</v>
      </c>
      <c r="AW906" s="201">
        <f ca="1">IF($E906=Parameters!$D$68, AW998, MIN(AW998,-SUM(OFFSET(AW975, 0, MIN(12, COUNTA(AX$3:$BJ$3)), , -MIN(12, COUNTA(AX$3:$BJ$3)) )) ))</f>
        <v>0</v>
      </c>
      <c r="AX906" s="201">
        <f ca="1">IF($E906=Parameters!$D$68, AX998, MIN(AX998,-SUM(OFFSET(AX975, 0, MIN(12, COUNTA(AY$3:$BJ$3)), , -MIN(12, COUNTA(AY$3:$BJ$3)) )) ))</f>
        <v>0</v>
      </c>
      <c r="AY906" s="201">
        <f ca="1">IF($E906=Parameters!$D$68, AY998, MIN(AY998,-SUM(OFFSET(AY975, 0, MIN(12, COUNTA(AZ$3:$BJ$3)), , -MIN(12, COUNTA(AZ$3:$BJ$3)) )) ))</f>
        <v>0</v>
      </c>
      <c r="AZ906" s="201">
        <f ca="1">IF($E906=Parameters!$D$68, AZ998, MIN(AZ998,-SUM(OFFSET(AZ975, 0, MIN(12, COUNTA(BA$3:$BJ$3)), , -MIN(12, COUNTA(BA$3:$BJ$3)) )) ))</f>
        <v>0</v>
      </c>
      <c r="BA906" s="201">
        <f ca="1">IF($E906=Parameters!$D$68, BA998, MIN(BA998,-SUM(OFFSET(BA975, 0, MIN(12, COUNTA(BB$3:$BJ$3)), , -MIN(12, COUNTA(BB$3:$BJ$3)) )) ))</f>
        <v>0</v>
      </c>
      <c r="BB906" s="201">
        <f ca="1">IF($E906=Parameters!$D$68, BB998, MIN(BB998,-SUM(OFFSET(BB975, 0, MIN(12, COUNTA(BC$3:$BJ$3)), , -MIN(12, COUNTA(BC$3:$BJ$3)) )) ))</f>
        <v>0</v>
      </c>
      <c r="BC906" s="201">
        <f ca="1">IF($E906=Parameters!$D$68, BC998, MIN(BC998,-SUM(OFFSET(BC975, 0, MIN(12, COUNTA(BD$3:$BJ$3)), , -MIN(12, COUNTA(BD$3:$BJ$3)) )) ))</f>
        <v>0</v>
      </c>
      <c r="BD906" s="201">
        <f ca="1">IF($E906=Parameters!$D$68, BD998, MIN(BD998,-SUM(OFFSET(BD975, 0, MIN(12, COUNTA(BE$3:$BJ$3)), , -MIN(12, COUNTA(BE$3:$BJ$3)) )) ))</f>
        <v>0</v>
      </c>
      <c r="BE906" s="201">
        <f ca="1">IF($E906=Parameters!$D$68, BE998, MIN(BE998,-SUM(OFFSET(BE975, 0, MIN(12, COUNTA(BF$3:$BJ$3)), , -MIN(12, COUNTA(BF$3:$BJ$3)) )) ))</f>
        <v>0</v>
      </c>
      <c r="BF906" s="201">
        <f ca="1">IF($E906=Parameters!$D$68, BF998, MIN(BF998,-SUM(OFFSET(BF975, 0, MIN(12, COUNTA(BG$3:$BJ$3)), , -MIN(12, COUNTA(BG$3:$BJ$3)) )) ))</f>
        <v>0</v>
      </c>
      <c r="BG906" s="201">
        <f ca="1">IF($E906=Parameters!$D$68, BG998, MIN(BG998,-SUM(OFFSET(BG975, 0, MIN(12, COUNTA(BH$3:$BJ$3)), , -MIN(12, COUNTA(BH$3:$BJ$3)) )) ))</f>
        <v>0</v>
      </c>
      <c r="BH906" s="201">
        <f ca="1">IF($E906=Parameters!$D$68, BH998, MIN(BH998,-SUM(OFFSET(BH975, 0, MIN(12, COUNTA(BI$3:$BJ$3)), , -MIN(12, COUNTA(BI$3:$BJ$3)) )) ))</f>
        <v>0</v>
      </c>
      <c r="BI906" s="201">
        <f ca="1">IF($E906=Parameters!$D$68, BI998, MIN(BI998,-SUM(OFFSET(BI975, 0, MIN(12, COUNTA(BJ$3:$BJ$3)), , -MIN(12, COUNTA(BJ$3:$BJ$3)) )) ))</f>
        <v>0</v>
      </c>
      <c r="BJ906" s="13">
        <f t="shared" si="1072"/>
        <v>0</v>
      </c>
      <c r="BL906" s="136"/>
      <c r="BM906" s="13">
        <f t="shared" ca="1" si="1069"/>
        <v>0</v>
      </c>
      <c r="BN906" s="13">
        <f t="shared" ca="1" si="1070"/>
        <v>0</v>
      </c>
      <c r="BO906" s="13">
        <f t="shared" si="1071"/>
        <v>0</v>
      </c>
      <c r="BP906" s="136"/>
      <c r="BQ906" s="136"/>
      <c r="BR906" s="136"/>
      <c r="BS906" s="136"/>
      <c r="BT906" s="136"/>
      <c r="BU906" s="136"/>
      <c r="BV906" s="136"/>
      <c r="BW906" s="136"/>
      <c r="BY906" s="12"/>
      <c r="BZ906" s="335"/>
      <c r="CA906" s="12"/>
      <c r="CB906" s="335"/>
      <c r="CC906" s="335"/>
      <c r="CD906" s="335"/>
      <c r="CE906" s="335"/>
      <c r="CM906" s="335"/>
      <c r="CN906" s="335"/>
      <c r="CO906" s="335"/>
      <c r="CP906" s="335"/>
      <c r="CR906" s="12"/>
      <c r="CT906" s="335"/>
      <c r="CU906" s="335"/>
      <c r="EW906" s="335"/>
      <c r="EX906" s="10" t="str">
        <f t="shared" si="1067"/>
        <v/>
      </c>
    </row>
    <row r="907" spans="1:154" s="67" customFormat="1" x14ac:dyDescent="0.25">
      <c r="B907" s="84" t="str" cm="1">
        <f t="array" aca="1" ref="B907" ca="1">HYPERLINK(CONCATENATE("#",CELL("address",$D$199)),$D$199)</f>
        <v>Loan 9</v>
      </c>
      <c r="C907" s="380"/>
      <c r="D907" s="60">
        <f>D$21</f>
        <v>0</v>
      </c>
      <c r="E907" s="221">
        <f>E$21</f>
        <v>0</v>
      </c>
      <c r="G907" s="9"/>
      <c r="H907" s="50" t="s">
        <v>125</v>
      </c>
      <c r="S907" s="335"/>
      <c r="T907" s="335"/>
      <c r="U907" s="335"/>
      <c r="V907" s="136"/>
      <c r="W907" s="201">
        <f t="shared" ca="1" si="1068"/>
        <v>0</v>
      </c>
      <c r="X907" s="201">
        <f t="shared" ca="1" si="1068"/>
        <v>0</v>
      </c>
      <c r="Y907" s="201">
        <f t="shared" si="1068"/>
        <v>0</v>
      </c>
      <c r="AA907" s="201">
        <f ca="1">IF($E907=Parameters!$D$68, AA999, MIN(AA999,-SUM(OFFSET(AA976, 0, MIN(12, COUNTA(AB$3:$BJ$3)), , -MIN(12, COUNTA(AB$3:$BJ$3)) )) ))</f>
        <v>0</v>
      </c>
      <c r="AB907" s="201">
        <f ca="1">IF($E907=Parameters!$D$68, AB999, MIN(AB999,-SUM(OFFSET(AB976, 0, MIN(12, COUNTA(AC$3:$BJ$3)), , -MIN(12, COUNTA(AC$3:$BJ$3)) )) ))</f>
        <v>0</v>
      </c>
      <c r="AC907" s="201">
        <f ca="1">IF($E907=Parameters!$D$68, AC999, MIN(AC999,-SUM(OFFSET(AC976, 0, MIN(12, COUNTA(AD$3:$BJ$3)), , -MIN(12, COUNTA(AD$3:$BJ$3)) )) ))</f>
        <v>0</v>
      </c>
      <c r="AD907" s="201">
        <f ca="1">IF($E907=Parameters!$D$68, AD999, MIN(AD999,-SUM(OFFSET(AD976, 0, MIN(12, COUNTA(AE$3:$BJ$3)), , -MIN(12, COUNTA(AE$3:$BJ$3)) )) ))</f>
        <v>0</v>
      </c>
      <c r="AE907" s="201">
        <f ca="1">IF($E907=Parameters!$D$68, AE999, MIN(AE999,-SUM(OFFSET(AE976, 0, MIN(12, COUNTA(AF$3:$BJ$3)), , -MIN(12, COUNTA(AF$3:$BJ$3)) )) ))</f>
        <v>0</v>
      </c>
      <c r="AF907" s="201">
        <f ca="1">IF($E907=Parameters!$D$68, AF999, MIN(AF999,-SUM(OFFSET(AF976, 0, MIN(12, COUNTA(AG$3:$BJ$3)), , -MIN(12, COUNTA(AG$3:$BJ$3)) )) ))</f>
        <v>0</v>
      </c>
      <c r="AG907" s="201">
        <f ca="1">IF($E907=Parameters!$D$68, AG999, MIN(AG999,-SUM(OFFSET(AG976, 0, MIN(12, COUNTA(AH$3:$BJ$3)), , -MIN(12, COUNTA(AH$3:$BJ$3)) )) ))</f>
        <v>0</v>
      </c>
      <c r="AH907" s="201">
        <f ca="1">IF($E907=Parameters!$D$68, AH999, MIN(AH999,-SUM(OFFSET(AH976, 0, MIN(12, COUNTA(AI$3:$BJ$3)), , -MIN(12, COUNTA(AI$3:$BJ$3)) )) ))</f>
        <v>0</v>
      </c>
      <c r="AI907" s="201">
        <f ca="1">IF($E907=Parameters!$D$68, AI999, MIN(AI999,-SUM(OFFSET(AI976, 0, MIN(12, COUNTA(AJ$3:$BJ$3)), , -MIN(12, COUNTA(AJ$3:$BJ$3)) )) ))</f>
        <v>0</v>
      </c>
      <c r="AJ907" s="201">
        <f ca="1">IF($E907=Parameters!$D$68, AJ999, MIN(AJ999,-SUM(OFFSET(AJ976, 0, MIN(12, COUNTA(AK$3:$BJ$3)), , -MIN(12, COUNTA(AK$3:$BJ$3)) )) ))</f>
        <v>0</v>
      </c>
      <c r="AK907" s="201">
        <f ca="1">IF($E907=Parameters!$D$68, AK999, MIN(AK999,-SUM(OFFSET(AK976, 0, MIN(12, COUNTA(AL$3:$BJ$3)), , -MIN(12, COUNTA(AL$3:$BJ$3)) )) ))</f>
        <v>0</v>
      </c>
      <c r="AL907" s="201">
        <f ca="1">IF($E907=Parameters!$D$68, AL999, MIN(AL999,-SUM(OFFSET(AL976, 0, MIN(12, COUNTA(AM$3:$BJ$3)), , -MIN(12, COUNTA(AM$3:$BJ$3)) )) ))</f>
        <v>0</v>
      </c>
      <c r="AM907" s="201">
        <f ca="1">IF($E907=Parameters!$D$68, AM999, MIN(AM999,-SUM(OFFSET(AM976, 0, MIN(12, COUNTA(AN$3:$BJ$3)), , -MIN(12, COUNTA(AN$3:$BJ$3)) )) ))</f>
        <v>0</v>
      </c>
      <c r="AN907" s="201">
        <f ca="1">IF($E907=Parameters!$D$68, AN999, MIN(AN999,-SUM(OFFSET(AN976, 0, MIN(12, COUNTA(AO$3:$BJ$3)), , -MIN(12, COUNTA(AO$3:$BJ$3)) )) ))</f>
        <v>0</v>
      </c>
      <c r="AO907" s="201">
        <f ca="1">IF($E907=Parameters!$D$68, AO999, MIN(AO999,-SUM(OFFSET(AO976, 0, MIN(12, COUNTA(AP$3:$BJ$3)), , -MIN(12, COUNTA(AP$3:$BJ$3)) )) ))</f>
        <v>0</v>
      </c>
      <c r="AP907" s="201">
        <f ca="1">IF($E907=Parameters!$D$68, AP999, MIN(AP999,-SUM(OFFSET(AP976, 0, MIN(12, COUNTA(AQ$3:$BJ$3)), , -MIN(12, COUNTA(AQ$3:$BJ$3)) )) ))</f>
        <v>0</v>
      </c>
      <c r="AQ907" s="201">
        <f ca="1">IF($E907=Parameters!$D$68, AQ999, MIN(AQ999,-SUM(OFFSET(AQ976, 0, MIN(12, COUNTA(AR$3:$BJ$3)), , -MIN(12, COUNTA(AR$3:$BJ$3)) )) ))</f>
        <v>0</v>
      </c>
      <c r="AR907" s="201">
        <f ca="1">IF($E907=Parameters!$D$68, AR999, MIN(AR999,-SUM(OFFSET(AR976, 0, MIN(12, COUNTA(AS$3:$BJ$3)), , -MIN(12, COUNTA(AS$3:$BJ$3)) )) ))</f>
        <v>0</v>
      </c>
      <c r="AS907" s="201">
        <f ca="1">IF($E907=Parameters!$D$68, AS999, MIN(AS999,-SUM(OFFSET(AS976, 0, MIN(12, COUNTA(AT$3:$BJ$3)), , -MIN(12, COUNTA(AT$3:$BJ$3)) )) ))</f>
        <v>0</v>
      </c>
      <c r="AT907" s="201">
        <f ca="1">IF($E907=Parameters!$D$68, AT999, MIN(AT999,-SUM(OFFSET(AT976, 0, MIN(12, COUNTA(AU$3:$BJ$3)), , -MIN(12, COUNTA(AU$3:$BJ$3)) )) ))</f>
        <v>0</v>
      </c>
      <c r="AU907" s="201">
        <f ca="1">IF($E907=Parameters!$D$68, AU999, MIN(AU999,-SUM(OFFSET(AU976, 0, MIN(12, COUNTA(AV$3:$BJ$3)), , -MIN(12, COUNTA(AV$3:$BJ$3)) )) ))</f>
        <v>0</v>
      </c>
      <c r="AV907" s="201">
        <f ca="1">IF($E907=Parameters!$D$68, AV999, MIN(AV999,-SUM(OFFSET(AV976, 0, MIN(12, COUNTA(AW$3:$BJ$3)), , -MIN(12, COUNTA(AW$3:$BJ$3)) )) ))</f>
        <v>0</v>
      </c>
      <c r="AW907" s="201">
        <f ca="1">IF($E907=Parameters!$D$68, AW999, MIN(AW999,-SUM(OFFSET(AW976, 0, MIN(12, COUNTA(AX$3:$BJ$3)), , -MIN(12, COUNTA(AX$3:$BJ$3)) )) ))</f>
        <v>0</v>
      </c>
      <c r="AX907" s="201">
        <f ca="1">IF($E907=Parameters!$D$68, AX999, MIN(AX999,-SUM(OFFSET(AX976, 0, MIN(12, COUNTA(AY$3:$BJ$3)), , -MIN(12, COUNTA(AY$3:$BJ$3)) )) ))</f>
        <v>0</v>
      </c>
      <c r="AY907" s="201">
        <f ca="1">IF($E907=Parameters!$D$68, AY999, MIN(AY999,-SUM(OFFSET(AY976, 0, MIN(12, COUNTA(AZ$3:$BJ$3)), , -MIN(12, COUNTA(AZ$3:$BJ$3)) )) ))</f>
        <v>0</v>
      </c>
      <c r="AZ907" s="201">
        <f ca="1">IF($E907=Parameters!$D$68, AZ999, MIN(AZ999,-SUM(OFFSET(AZ976, 0, MIN(12, COUNTA(BA$3:$BJ$3)), , -MIN(12, COUNTA(BA$3:$BJ$3)) )) ))</f>
        <v>0</v>
      </c>
      <c r="BA907" s="201">
        <f ca="1">IF($E907=Parameters!$D$68, BA999, MIN(BA999,-SUM(OFFSET(BA976, 0, MIN(12, COUNTA(BB$3:$BJ$3)), , -MIN(12, COUNTA(BB$3:$BJ$3)) )) ))</f>
        <v>0</v>
      </c>
      <c r="BB907" s="201">
        <f ca="1">IF($E907=Parameters!$D$68, BB999, MIN(BB999,-SUM(OFFSET(BB976, 0, MIN(12, COUNTA(BC$3:$BJ$3)), , -MIN(12, COUNTA(BC$3:$BJ$3)) )) ))</f>
        <v>0</v>
      </c>
      <c r="BC907" s="201">
        <f ca="1">IF($E907=Parameters!$D$68, BC999, MIN(BC999,-SUM(OFFSET(BC976, 0, MIN(12, COUNTA(BD$3:$BJ$3)), , -MIN(12, COUNTA(BD$3:$BJ$3)) )) ))</f>
        <v>0</v>
      </c>
      <c r="BD907" s="201">
        <f ca="1">IF($E907=Parameters!$D$68, BD999, MIN(BD999,-SUM(OFFSET(BD976, 0, MIN(12, COUNTA(BE$3:$BJ$3)), , -MIN(12, COUNTA(BE$3:$BJ$3)) )) ))</f>
        <v>0</v>
      </c>
      <c r="BE907" s="201">
        <f ca="1">IF($E907=Parameters!$D$68, BE999, MIN(BE999,-SUM(OFFSET(BE976, 0, MIN(12, COUNTA(BF$3:$BJ$3)), , -MIN(12, COUNTA(BF$3:$BJ$3)) )) ))</f>
        <v>0</v>
      </c>
      <c r="BF907" s="201">
        <f ca="1">IF($E907=Parameters!$D$68, BF999, MIN(BF999,-SUM(OFFSET(BF976, 0, MIN(12, COUNTA(BG$3:$BJ$3)), , -MIN(12, COUNTA(BG$3:$BJ$3)) )) ))</f>
        <v>0</v>
      </c>
      <c r="BG907" s="201">
        <f ca="1">IF($E907=Parameters!$D$68, BG999, MIN(BG999,-SUM(OFFSET(BG976, 0, MIN(12, COUNTA(BH$3:$BJ$3)), , -MIN(12, COUNTA(BH$3:$BJ$3)) )) ))</f>
        <v>0</v>
      </c>
      <c r="BH907" s="201">
        <f ca="1">IF($E907=Parameters!$D$68, BH999, MIN(BH999,-SUM(OFFSET(BH976, 0, MIN(12, COUNTA(BI$3:$BJ$3)), , -MIN(12, COUNTA(BI$3:$BJ$3)) )) ))</f>
        <v>0</v>
      </c>
      <c r="BI907" s="201">
        <f ca="1">IF($E907=Parameters!$D$68, BI999, MIN(BI999,-SUM(OFFSET(BI976, 0, MIN(12, COUNTA(BJ$3:$BJ$3)), , -MIN(12, COUNTA(BJ$3:$BJ$3)) )) ))</f>
        <v>0</v>
      </c>
      <c r="BJ907" s="13">
        <f t="shared" si="1072"/>
        <v>0</v>
      </c>
      <c r="BL907" s="136"/>
      <c r="BM907" s="13">
        <f t="shared" ca="1" si="1069"/>
        <v>0</v>
      </c>
      <c r="BN907" s="13">
        <f t="shared" ca="1" si="1070"/>
        <v>0</v>
      </c>
      <c r="BO907" s="13">
        <f t="shared" si="1071"/>
        <v>0</v>
      </c>
      <c r="BP907" s="136"/>
      <c r="BQ907" s="136"/>
      <c r="BR907" s="136"/>
      <c r="BS907" s="136"/>
      <c r="BT907" s="136"/>
      <c r="BU907" s="136"/>
      <c r="BV907" s="136"/>
      <c r="BW907" s="136"/>
      <c r="BY907" s="12"/>
      <c r="BZ907" s="335"/>
      <c r="CA907" s="12"/>
      <c r="CB907" s="335"/>
      <c r="CC907" s="335"/>
      <c r="CD907" s="335"/>
      <c r="CE907" s="335"/>
      <c r="CM907" s="335"/>
      <c r="CN907" s="335"/>
      <c r="CO907" s="335"/>
      <c r="CP907" s="335"/>
      <c r="CR907" s="12"/>
      <c r="CT907" s="335"/>
      <c r="CU907" s="335"/>
      <c r="EW907" s="335"/>
      <c r="EX907" s="10" t="str">
        <f t="shared" si="1067"/>
        <v/>
      </c>
    </row>
    <row r="908" spans="1:154" s="67" customFormat="1" x14ac:dyDescent="0.25">
      <c r="B908" s="84" t="str" cm="1">
        <f t="array" aca="1" ref="B908" ca="1">HYPERLINK(CONCATENATE("#",CELL("address",$D$218)),$D$218)</f>
        <v>Loan 10</v>
      </c>
      <c r="C908" s="380"/>
      <c r="D908" s="60">
        <f>D$22</f>
        <v>0</v>
      </c>
      <c r="E908" s="221">
        <f>E$22</f>
        <v>0</v>
      </c>
      <c r="G908" s="9"/>
      <c r="H908" s="50" t="s">
        <v>125</v>
      </c>
      <c r="S908" s="335"/>
      <c r="T908" s="335"/>
      <c r="U908" s="335"/>
      <c r="V908" s="136"/>
      <c r="W908" s="201">
        <f t="shared" ca="1" si="1068"/>
        <v>0</v>
      </c>
      <c r="X908" s="201">
        <f t="shared" ca="1" si="1068"/>
        <v>0</v>
      </c>
      <c r="Y908" s="201">
        <f t="shared" si="1068"/>
        <v>0</v>
      </c>
      <c r="AA908" s="201">
        <f ca="1">IF($E908=Parameters!$D$68, AA1000, MIN(AA1000,-SUM(OFFSET(AA977, 0, MIN(12, COUNTA(AB$3:$BJ$3)), , -MIN(12, COUNTA(AB$3:$BJ$3)) )) ))</f>
        <v>0</v>
      </c>
      <c r="AB908" s="201">
        <f ca="1">IF($E908=Parameters!$D$68, AB1000, MIN(AB1000,-SUM(OFFSET(AB977, 0, MIN(12, COUNTA(AC$3:$BJ$3)), , -MIN(12, COUNTA(AC$3:$BJ$3)) )) ))</f>
        <v>0</v>
      </c>
      <c r="AC908" s="201">
        <f ca="1">IF($E908=Parameters!$D$68, AC1000, MIN(AC1000,-SUM(OFFSET(AC977, 0, MIN(12, COUNTA(AD$3:$BJ$3)), , -MIN(12, COUNTA(AD$3:$BJ$3)) )) ))</f>
        <v>0</v>
      </c>
      <c r="AD908" s="201">
        <f ca="1">IF($E908=Parameters!$D$68, AD1000, MIN(AD1000,-SUM(OFFSET(AD977, 0, MIN(12, COUNTA(AE$3:$BJ$3)), , -MIN(12, COUNTA(AE$3:$BJ$3)) )) ))</f>
        <v>0</v>
      </c>
      <c r="AE908" s="201">
        <f ca="1">IF($E908=Parameters!$D$68, AE1000, MIN(AE1000,-SUM(OFFSET(AE977, 0, MIN(12, COUNTA(AF$3:$BJ$3)), , -MIN(12, COUNTA(AF$3:$BJ$3)) )) ))</f>
        <v>0</v>
      </c>
      <c r="AF908" s="201">
        <f ca="1">IF($E908=Parameters!$D$68, AF1000, MIN(AF1000,-SUM(OFFSET(AF977, 0, MIN(12, COUNTA(AG$3:$BJ$3)), , -MIN(12, COUNTA(AG$3:$BJ$3)) )) ))</f>
        <v>0</v>
      </c>
      <c r="AG908" s="201">
        <f ca="1">IF($E908=Parameters!$D$68, AG1000, MIN(AG1000,-SUM(OFFSET(AG977, 0, MIN(12, COUNTA(AH$3:$BJ$3)), , -MIN(12, COUNTA(AH$3:$BJ$3)) )) ))</f>
        <v>0</v>
      </c>
      <c r="AH908" s="201">
        <f ca="1">IF($E908=Parameters!$D$68, AH1000, MIN(AH1000,-SUM(OFFSET(AH977, 0, MIN(12, COUNTA(AI$3:$BJ$3)), , -MIN(12, COUNTA(AI$3:$BJ$3)) )) ))</f>
        <v>0</v>
      </c>
      <c r="AI908" s="201">
        <f ca="1">IF($E908=Parameters!$D$68, AI1000, MIN(AI1000,-SUM(OFFSET(AI977, 0, MIN(12, COUNTA(AJ$3:$BJ$3)), , -MIN(12, COUNTA(AJ$3:$BJ$3)) )) ))</f>
        <v>0</v>
      </c>
      <c r="AJ908" s="201">
        <f ca="1">IF($E908=Parameters!$D$68, AJ1000, MIN(AJ1000,-SUM(OFFSET(AJ977, 0, MIN(12, COUNTA(AK$3:$BJ$3)), , -MIN(12, COUNTA(AK$3:$BJ$3)) )) ))</f>
        <v>0</v>
      </c>
      <c r="AK908" s="201">
        <f ca="1">IF($E908=Parameters!$D$68, AK1000, MIN(AK1000,-SUM(OFFSET(AK977, 0, MIN(12, COUNTA(AL$3:$BJ$3)), , -MIN(12, COUNTA(AL$3:$BJ$3)) )) ))</f>
        <v>0</v>
      </c>
      <c r="AL908" s="201">
        <f ca="1">IF($E908=Parameters!$D$68, AL1000, MIN(AL1000,-SUM(OFFSET(AL977, 0, MIN(12, COUNTA(AM$3:$BJ$3)), , -MIN(12, COUNTA(AM$3:$BJ$3)) )) ))</f>
        <v>0</v>
      </c>
      <c r="AM908" s="201">
        <f ca="1">IF($E908=Parameters!$D$68, AM1000, MIN(AM1000,-SUM(OFFSET(AM977, 0, MIN(12, COUNTA(AN$3:$BJ$3)), , -MIN(12, COUNTA(AN$3:$BJ$3)) )) ))</f>
        <v>0</v>
      </c>
      <c r="AN908" s="201">
        <f ca="1">IF($E908=Parameters!$D$68, AN1000, MIN(AN1000,-SUM(OFFSET(AN977, 0, MIN(12, COUNTA(AO$3:$BJ$3)), , -MIN(12, COUNTA(AO$3:$BJ$3)) )) ))</f>
        <v>0</v>
      </c>
      <c r="AO908" s="201">
        <f ca="1">IF($E908=Parameters!$D$68, AO1000, MIN(AO1000,-SUM(OFFSET(AO977, 0, MIN(12, COUNTA(AP$3:$BJ$3)), , -MIN(12, COUNTA(AP$3:$BJ$3)) )) ))</f>
        <v>0</v>
      </c>
      <c r="AP908" s="201">
        <f ca="1">IF($E908=Parameters!$D$68, AP1000, MIN(AP1000,-SUM(OFFSET(AP977, 0, MIN(12, COUNTA(AQ$3:$BJ$3)), , -MIN(12, COUNTA(AQ$3:$BJ$3)) )) ))</f>
        <v>0</v>
      </c>
      <c r="AQ908" s="201">
        <f ca="1">IF($E908=Parameters!$D$68, AQ1000, MIN(AQ1000,-SUM(OFFSET(AQ977, 0, MIN(12, COUNTA(AR$3:$BJ$3)), , -MIN(12, COUNTA(AR$3:$BJ$3)) )) ))</f>
        <v>0</v>
      </c>
      <c r="AR908" s="201">
        <f ca="1">IF($E908=Parameters!$D$68, AR1000, MIN(AR1000,-SUM(OFFSET(AR977, 0, MIN(12, COUNTA(AS$3:$BJ$3)), , -MIN(12, COUNTA(AS$3:$BJ$3)) )) ))</f>
        <v>0</v>
      </c>
      <c r="AS908" s="201">
        <f ca="1">IF($E908=Parameters!$D$68, AS1000, MIN(AS1000,-SUM(OFFSET(AS977, 0, MIN(12, COUNTA(AT$3:$BJ$3)), , -MIN(12, COUNTA(AT$3:$BJ$3)) )) ))</f>
        <v>0</v>
      </c>
      <c r="AT908" s="201">
        <f ca="1">IF($E908=Parameters!$D$68, AT1000, MIN(AT1000,-SUM(OFFSET(AT977, 0, MIN(12, COUNTA(AU$3:$BJ$3)), , -MIN(12, COUNTA(AU$3:$BJ$3)) )) ))</f>
        <v>0</v>
      </c>
      <c r="AU908" s="201">
        <f ca="1">IF($E908=Parameters!$D$68, AU1000, MIN(AU1000,-SUM(OFFSET(AU977, 0, MIN(12, COUNTA(AV$3:$BJ$3)), , -MIN(12, COUNTA(AV$3:$BJ$3)) )) ))</f>
        <v>0</v>
      </c>
      <c r="AV908" s="201">
        <f ca="1">IF($E908=Parameters!$D$68, AV1000, MIN(AV1000,-SUM(OFFSET(AV977, 0, MIN(12, COUNTA(AW$3:$BJ$3)), , -MIN(12, COUNTA(AW$3:$BJ$3)) )) ))</f>
        <v>0</v>
      </c>
      <c r="AW908" s="201">
        <f ca="1">IF($E908=Parameters!$D$68, AW1000, MIN(AW1000,-SUM(OFFSET(AW977, 0, MIN(12, COUNTA(AX$3:$BJ$3)), , -MIN(12, COUNTA(AX$3:$BJ$3)) )) ))</f>
        <v>0</v>
      </c>
      <c r="AX908" s="201">
        <f ca="1">IF($E908=Parameters!$D$68, AX1000, MIN(AX1000,-SUM(OFFSET(AX977, 0, MIN(12, COUNTA(AY$3:$BJ$3)), , -MIN(12, COUNTA(AY$3:$BJ$3)) )) ))</f>
        <v>0</v>
      </c>
      <c r="AY908" s="201">
        <f ca="1">IF($E908=Parameters!$D$68, AY1000, MIN(AY1000,-SUM(OFFSET(AY977, 0, MIN(12, COUNTA(AZ$3:$BJ$3)), , -MIN(12, COUNTA(AZ$3:$BJ$3)) )) ))</f>
        <v>0</v>
      </c>
      <c r="AZ908" s="201">
        <f ca="1">IF($E908=Parameters!$D$68, AZ1000, MIN(AZ1000,-SUM(OFFSET(AZ977, 0, MIN(12, COUNTA(BA$3:$BJ$3)), , -MIN(12, COUNTA(BA$3:$BJ$3)) )) ))</f>
        <v>0</v>
      </c>
      <c r="BA908" s="201">
        <f ca="1">IF($E908=Parameters!$D$68, BA1000, MIN(BA1000,-SUM(OFFSET(BA977, 0, MIN(12, COUNTA(BB$3:$BJ$3)), , -MIN(12, COUNTA(BB$3:$BJ$3)) )) ))</f>
        <v>0</v>
      </c>
      <c r="BB908" s="201">
        <f ca="1">IF($E908=Parameters!$D$68, BB1000, MIN(BB1000,-SUM(OFFSET(BB977, 0, MIN(12, COUNTA(BC$3:$BJ$3)), , -MIN(12, COUNTA(BC$3:$BJ$3)) )) ))</f>
        <v>0</v>
      </c>
      <c r="BC908" s="201">
        <f ca="1">IF($E908=Parameters!$D$68, BC1000, MIN(BC1000,-SUM(OFFSET(BC977, 0, MIN(12, COUNTA(BD$3:$BJ$3)), , -MIN(12, COUNTA(BD$3:$BJ$3)) )) ))</f>
        <v>0</v>
      </c>
      <c r="BD908" s="201">
        <f ca="1">IF($E908=Parameters!$D$68, BD1000, MIN(BD1000,-SUM(OFFSET(BD977, 0, MIN(12, COUNTA(BE$3:$BJ$3)), , -MIN(12, COUNTA(BE$3:$BJ$3)) )) ))</f>
        <v>0</v>
      </c>
      <c r="BE908" s="201">
        <f ca="1">IF($E908=Parameters!$D$68, BE1000, MIN(BE1000,-SUM(OFFSET(BE977, 0, MIN(12, COUNTA(BF$3:$BJ$3)), , -MIN(12, COUNTA(BF$3:$BJ$3)) )) ))</f>
        <v>0</v>
      </c>
      <c r="BF908" s="201">
        <f ca="1">IF($E908=Parameters!$D$68, BF1000, MIN(BF1000,-SUM(OFFSET(BF977, 0, MIN(12, COUNTA(BG$3:$BJ$3)), , -MIN(12, COUNTA(BG$3:$BJ$3)) )) ))</f>
        <v>0</v>
      </c>
      <c r="BG908" s="201">
        <f ca="1">IF($E908=Parameters!$D$68, BG1000, MIN(BG1000,-SUM(OFFSET(BG977, 0, MIN(12, COUNTA(BH$3:$BJ$3)), , -MIN(12, COUNTA(BH$3:$BJ$3)) )) ))</f>
        <v>0</v>
      </c>
      <c r="BH908" s="201">
        <f ca="1">IF($E908=Parameters!$D$68, BH1000, MIN(BH1000,-SUM(OFFSET(BH977, 0, MIN(12, COUNTA(BI$3:$BJ$3)), , -MIN(12, COUNTA(BI$3:$BJ$3)) )) ))</f>
        <v>0</v>
      </c>
      <c r="BI908" s="201">
        <f ca="1">IF($E908=Parameters!$D$68, BI1000, MIN(BI1000,-SUM(OFFSET(BI977, 0, MIN(12, COUNTA(BJ$3:$BJ$3)), , -MIN(12, COUNTA(BJ$3:$BJ$3)) )) ))</f>
        <v>0</v>
      </c>
      <c r="BJ908" s="13">
        <f t="shared" si="1072"/>
        <v>0</v>
      </c>
      <c r="BL908" s="136"/>
      <c r="BM908" s="13">
        <f t="shared" ca="1" si="1069"/>
        <v>0</v>
      </c>
      <c r="BN908" s="13">
        <f t="shared" ca="1" si="1070"/>
        <v>0</v>
      </c>
      <c r="BO908" s="13">
        <f t="shared" si="1071"/>
        <v>0</v>
      </c>
      <c r="BP908" s="136"/>
      <c r="BQ908" s="136"/>
      <c r="BR908" s="136"/>
      <c r="BS908" s="136"/>
      <c r="BT908" s="136"/>
      <c r="BU908" s="136"/>
      <c r="BV908" s="136"/>
      <c r="BW908" s="136"/>
      <c r="BY908" s="12"/>
      <c r="BZ908" s="335"/>
      <c r="CA908" s="12"/>
      <c r="CB908" s="335"/>
      <c r="CC908" s="335"/>
      <c r="CD908" s="335"/>
      <c r="CE908" s="335"/>
      <c r="CM908" s="335"/>
      <c r="CN908" s="335"/>
      <c r="CO908" s="335"/>
      <c r="CP908" s="335"/>
      <c r="CR908" s="12"/>
      <c r="CT908" s="335"/>
      <c r="CU908" s="335"/>
      <c r="EW908" s="335"/>
      <c r="EX908" s="10" t="str">
        <f t="shared" si="1067"/>
        <v/>
      </c>
    </row>
    <row r="909" spans="1:154" s="67" customFormat="1" x14ac:dyDescent="0.25">
      <c r="B909" s="84" t="str" cm="1">
        <f t="array" aca="1" ref="B909" ca="1">HYPERLINK(CONCATENATE("#",CELL("address",$D$237)),$D$237)</f>
        <v>Loan 11</v>
      </c>
      <c r="C909" s="380"/>
      <c r="D909" s="60">
        <f>D$23</f>
        <v>0</v>
      </c>
      <c r="E909" s="221">
        <f>E$23</f>
        <v>0</v>
      </c>
      <c r="G909" s="9"/>
      <c r="H909" s="50" t="s">
        <v>125</v>
      </c>
      <c r="S909" s="335"/>
      <c r="T909" s="335"/>
      <c r="U909" s="335"/>
      <c r="V909" s="136"/>
      <c r="W909" s="201">
        <f t="shared" ca="1" si="1068"/>
        <v>0</v>
      </c>
      <c r="X909" s="201">
        <f t="shared" ca="1" si="1068"/>
        <v>0</v>
      </c>
      <c r="Y909" s="201">
        <f t="shared" si="1068"/>
        <v>0</v>
      </c>
      <c r="AA909" s="201">
        <f ca="1">IF($E909=Parameters!$D$68, AA1001, MIN(AA1001,-SUM(OFFSET(AA978, 0, MIN(12, COUNTA(AB$3:$BJ$3)), , -MIN(12, COUNTA(AB$3:$BJ$3)) )) ))</f>
        <v>0</v>
      </c>
      <c r="AB909" s="201">
        <f ca="1">IF($E909=Parameters!$D$68, AB1001, MIN(AB1001,-SUM(OFFSET(AB978, 0, MIN(12, COUNTA(AC$3:$BJ$3)), , -MIN(12, COUNTA(AC$3:$BJ$3)) )) ))</f>
        <v>0</v>
      </c>
      <c r="AC909" s="201">
        <f ca="1">IF($E909=Parameters!$D$68, AC1001, MIN(AC1001,-SUM(OFFSET(AC978, 0, MIN(12, COUNTA(AD$3:$BJ$3)), , -MIN(12, COUNTA(AD$3:$BJ$3)) )) ))</f>
        <v>0</v>
      </c>
      <c r="AD909" s="201">
        <f ca="1">IF($E909=Parameters!$D$68, AD1001, MIN(AD1001,-SUM(OFFSET(AD978, 0, MIN(12, COUNTA(AE$3:$BJ$3)), , -MIN(12, COUNTA(AE$3:$BJ$3)) )) ))</f>
        <v>0</v>
      </c>
      <c r="AE909" s="201">
        <f ca="1">IF($E909=Parameters!$D$68, AE1001, MIN(AE1001,-SUM(OFFSET(AE978, 0, MIN(12, COUNTA(AF$3:$BJ$3)), , -MIN(12, COUNTA(AF$3:$BJ$3)) )) ))</f>
        <v>0</v>
      </c>
      <c r="AF909" s="201">
        <f ca="1">IF($E909=Parameters!$D$68, AF1001, MIN(AF1001,-SUM(OFFSET(AF978, 0, MIN(12, COUNTA(AG$3:$BJ$3)), , -MIN(12, COUNTA(AG$3:$BJ$3)) )) ))</f>
        <v>0</v>
      </c>
      <c r="AG909" s="201">
        <f ca="1">IF($E909=Parameters!$D$68, AG1001, MIN(AG1001,-SUM(OFFSET(AG978, 0, MIN(12, COUNTA(AH$3:$BJ$3)), , -MIN(12, COUNTA(AH$3:$BJ$3)) )) ))</f>
        <v>0</v>
      </c>
      <c r="AH909" s="201">
        <f ca="1">IF($E909=Parameters!$D$68, AH1001, MIN(AH1001,-SUM(OFFSET(AH978, 0, MIN(12, COUNTA(AI$3:$BJ$3)), , -MIN(12, COUNTA(AI$3:$BJ$3)) )) ))</f>
        <v>0</v>
      </c>
      <c r="AI909" s="201">
        <f ca="1">IF($E909=Parameters!$D$68, AI1001, MIN(AI1001,-SUM(OFFSET(AI978, 0, MIN(12, COUNTA(AJ$3:$BJ$3)), , -MIN(12, COUNTA(AJ$3:$BJ$3)) )) ))</f>
        <v>0</v>
      </c>
      <c r="AJ909" s="201">
        <f ca="1">IF($E909=Parameters!$D$68, AJ1001, MIN(AJ1001,-SUM(OFFSET(AJ978, 0, MIN(12, COUNTA(AK$3:$BJ$3)), , -MIN(12, COUNTA(AK$3:$BJ$3)) )) ))</f>
        <v>0</v>
      </c>
      <c r="AK909" s="201">
        <f ca="1">IF($E909=Parameters!$D$68, AK1001, MIN(AK1001,-SUM(OFFSET(AK978, 0, MIN(12, COUNTA(AL$3:$BJ$3)), , -MIN(12, COUNTA(AL$3:$BJ$3)) )) ))</f>
        <v>0</v>
      </c>
      <c r="AL909" s="201">
        <f ca="1">IF($E909=Parameters!$D$68, AL1001, MIN(AL1001,-SUM(OFFSET(AL978, 0, MIN(12, COUNTA(AM$3:$BJ$3)), , -MIN(12, COUNTA(AM$3:$BJ$3)) )) ))</f>
        <v>0</v>
      </c>
      <c r="AM909" s="201">
        <f ca="1">IF($E909=Parameters!$D$68, AM1001, MIN(AM1001,-SUM(OFFSET(AM978, 0, MIN(12, COUNTA(AN$3:$BJ$3)), , -MIN(12, COUNTA(AN$3:$BJ$3)) )) ))</f>
        <v>0</v>
      </c>
      <c r="AN909" s="201">
        <f ca="1">IF($E909=Parameters!$D$68, AN1001, MIN(AN1001,-SUM(OFFSET(AN978, 0, MIN(12, COUNTA(AO$3:$BJ$3)), , -MIN(12, COUNTA(AO$3:$BJ$3)) )) ))</f>
        <v>0</v>
      </c>
      <c r="AO909" s="201">
        <f ca="1">IF($E909=Parameters!$D$68, AO1001, MIN(AO1001,-SUM(OFFSET(AO978, 0, MIN(12, COUNTA(AP$3:$BJ$3)), , -MIN(12, COUNTA(AP$3:$BJ$3)) )) ))</f>
        <v>0</v>
      </c>
      <c r="AP909" s="201">
        <f ca="1">IF($E909=Parameters!$D$68, AP1001, MIN(AP1001,-SUM(OFFSET(AP978, 0, MIN(12, COUNTA(AQ$3:$BJ$3)), , -MIN(12, COUNTA(AQ$3:$BJ$3)) )) ))</f>
        <v>0</v>
      </c>
      <c r="AQ909" s="201">
        <f ca="1">IF($E909=Parameters!$D$68, AQ1001, MIN(AQ1001,-SUM(OFFSET(AQ978, 0, MIN(12, COUNTA(AR$3:$BJ$3)), , -MIN(12, COUNTA(AR$3:$BJ$3)) )) ))</f>
        <v>0</v>
      </c>
      <c r="AR909" s="201">
        <f ca="1">IF($E909=Parameters!$D$68, AR1001, MIN(AR1001,-SUM(OFFSET(AR978, 0, MIN(12, COUNTA(AS$3:$BJ$3)), , -MIN(12, COUNTA(AS$3:$BJ$3)) )) ))</f>
        <v>0</v>
      </c>
      <c r="AS909" s="201">
        <f ca="1">IF($E909=Parameters!$D$68, AS1001, MIN(AS1001,-SUM(OFFSET(AS978, 0, MIN(12, COUNTA(AT$3:$BJ$3)), , -MIN(12, COUNTA(AT$3:$BJ$3)) )) ))</f>
        <v>0</v>
      </c>
      <c r="AT909" s="201">
        <f ca="1">IF($E909=Parameters!$D$68, AT1001, MIN(AT1001,-SUM(OFFSET(AT978, 0, MIN(12, COUNTA(AU$3:$BJ$3)), , -MIN(12, COUNTA(AU$3:$BJ$3)) )) ))</f>
        <v>0</v>
      </c>
      <c r="AU909" s="201">
        <f ca="1">IF($E909=Parameters!$D$68, AU1001, MIN(AU1001,-SUM(OFFSET(AU978, 0, MIN(12, COUNTA(AV$3:$BJ$3)), , -MIN(12, COUNTA(AV$3:$BJ$3)) )) ))</f>
        <v>0</v>
      </c>
      <c r="AV909" s="201">
        <f ca="1">IF($E909=Parameters!$D$68, AV1001, MIN(AV1001,-SUM(OFFSET(AV978, 0, MIN(12, COUNTA(AW$3:$BJ$3)), , -MIN(12, COUNTA(AW$3:$BJ$3)) )) ))</f>
        <v>0</v>
      </c>
      <c r="AW909" s="201">
        <f ca="1">IF($E909=Parameters!$D$68, AW1001, MIN(AW1001,-SUM(OFFSET(AW978, 0, MIN(12, COUNTA(AX$3:$BJ$3)), , -MIN(12, COUNTA(AX$3:$BJ$3)) )) ))</f>
        <v>0</v>
      </c>
      <c r="AX909" s="201">
        <f ca="1">IF($E909=Parameters!$D$68, AX1001, MIN(AX1001,-SUM(OFFSET(AX978, 0, MIN(12, COUNTA(AY$3:$BJ$3)), , -MIN(12, COUNTA(AY$3:$BJ$3)) )) ))</f>
        <v>0</v>
      </c>
      <c r="AY909" s="201">
        <f ca="1">IF($E909=Parameters!$D$68, AY1001, MIN(AY1001,-SUM(OFFSET(AY978, 0, MIN(12, COUNTA(AZ$3:$BJ$3)), , -MIN(12, COUNTA(AZ$3:$BJ$3)) )) ))</f>
        <v>0</v>
      </c>
      <c r="AZ909" s="201">
        <f ca="1">IF($E909=Parameters!$D$68, AZ1001, MIN(AZ1001,-SUM(OFFSET(AZ978, 0, MIN(12, COUNTA(BA$3:$BJ$3)), , -MIN(12, COUNTA(BA$3:$BJ$3)) )) ))</f>
        <v>0</v>
      </c>
      <c r="BA909" s="201">
        <f ca="1">IF($E909=Parameters!$D$68, BA1001, MIN(BA1001,-SUM(OFFSET(BA978, 0, MIN(12, COUNTA(BB$3:$BJ$3)), , -MIN(12, COUNTA(BB$3:$BJ$3)) )) ))</f>
        <v>0</v>
      </c>
      <c r="BB909" s="201">
        <f ca="1">IF($E909=Parameters!$D$68, BB1001, MIN(BB1001,-SUM(OFFSET(BB978, 0, MIN(12, COUNTA(BC$3:$BJ$3)), , -MIN(12, COUNTA(BC$3:$BJ$3)) )) ))</f>
        <v>0</v>
      </c>
      <c r="BC909" s="201">
        <f ca="1">IF($E909=Parameters!$D$68, BC1001, MIN(BC1001,-SUM(OFFSET(BC978, 0, MIN(12, COUNTA(BD$3:$BJ$3)), , -MIN(12, COUNTA(BD$3:$BJ$3)) )) ))</f>
        <v>0</v>
      </c>
      <c r="BD909" s="201">
        <f ca="1">IF($E909=Parameters!$D$68, BD1001, MIN(BD1001,-SUM(OFFSET(BD978, 0, MIN(12, COUNTA(BE$3:$BJ$3)), , -MIN(12, COUNTA(BE$3:$BJ$3)) )) ))</f>
        <v>0</v>
      </c>
      <c r="BE909" s="201">
        <f ca="1">IF($E909=Parameters!$D$68, BE1001, MIN(BE1001,-SUM(OFFSET(BE978, 0, MIN(12, COUNTA(BF$3:$BJ$3)), , -MIN(12, COUNTA(BF$3:$BJ$3)) )) ))</f>
        <v>0</v>
      </c>
      <c r="BF909" s="201">
        <f ca="1">IF($E909=Parameters!$D$68, BF1001, MIN(BF1001,-SUM(OFFSET(BF978, 0, MIN(12, COUNTA(BG$3:$BJ$3)), , -MIN(12, COUNTA(BG$3:$BJ$3)) )) ))</f>
        <v>0</v>
      </c>
      <c r="BG909" s="201">
        <f ca="1">IF($E909=Parameters!$D$68, BG1001, MIN(BG1001,-SUM(OFFSET(BG978, 0, MIN(12, COUNTA(BH$3:$BJ$3)), , -MIN(12, COUNTA(BH$3:$BJ$3)) )) ))</f>
        <v>0</v>
      </c>
      <c r="BH909" s="201">
        <f ca="1">IF($E909=Parameters!$D$68, BH1001, MIN(BH1001,-SUM(OFFSET(BH978, 0, MIN(12, COUNTA(BI$3:$BJ$3)), , -MIN(12, COUNTA(BI$3:$BJ$3)) )) ))</f>
        <v>0</v>
      </c>
      <c r="BI909" s="201">
        <f ca="1">IF($E909=Parameters!$D$68, BI1001, MIN(BI1001,-SUM(OFFSET(BI978, 0, MIN(12, COUNTA(BJ$3:$BJ$3)), , -MIN(12, COUNTA(BJ$3:$BJ$3)) )) ))</f>
        <v>0</v>
      </c>
      <c r="BJ909" s="13">
        <f t="shared" si="1072"/>
        <v>0</v>
      </c>
      <c r="BL909" s="136"/>
      <c r="BM909" s="13">
        <f t="shared" ca="1" si="1069"/>
        <v>0</v>
      </c>
      <c r="BN909" s="13">
        <f t="shared" ca="1" si="1070"/>
        <v>0</v>
      </c>
      <c r="BO909" s="13">
        <f t="shared" si="1071"/>
        <v>0</v>
      </c>
      <c r="BP909" s="136"/>
      <c r="BQ909" s="136"/>
      <c r="BR909" s="136"/>
      <c r="BS909" s="136"/>
      <c r="BT909" s="136"/>
      <c r="BU909" s="136"/>
      <c r="BV909" s="136"/>
      <c r="BW909" s="136"/>
      <c r="BY909" s="12"/>
      <c r="BZ909" s="335"/>
      <c r="CA909" s="12"/>
      <c r="CB909" s="335"/>
      <c r="CC909" s="335"/>
      <c r="CD909" s="335"/>
      <c r="CE909" s="335"/>
      <c r="CM909" s="335"/>
      <c r="CN909" s="335"/>
      <c r="CO909" s="335"/>
      <c r="CP909" s="335"/>
      <c r="CR909" s="12"/>
      <c r="CT909" s="335"/>
      <c r="CU909" s="335"/>
      <c r="EW909" s="335"/>
      <c r="EX909" s="10" t="str">
        <f t="shared" si="1067"/>
        <v/>
      </c>
    </row>
    <row r="910" spans="1:154" s="67" customFormat="1" x14ac:dyDescent="0.25">
      <c r="B910" s="84" t="str" cm="1">
        <f t="array" aca="1" ref="B910" ca="1">HYPERLINK(CONCATENATE("#",CELL("address",$D$256)),$D$256)</f>
        <v>Loan 12</v>
      </c>
      <c r="C910" s="380"/>
      <c r="D910" s="60">
        <f>D$24</f>
        <v>0</v>
      </c>
      <c r="E910" s="221">
        <f>E$24</f>
        <v>0</v>
      </c>
      <c r="G910" s="9"/>
      <c r="H910" s="50" t="s">
        <v>125</v>
      </c>
      <c r="S910" s="335"/>
      <c r="T910" s="335"/>
      <c r="U910" s="335"/>
      <c r="V910" s="136"/>
      <c r="W910" s="201">
        <f t="shared" ca="1" si="1068"/>
        <v>0</v>
      </c>
      <c r="X910" s="201">
        <f t="shared" ca="1" si="1068"/>
        <v>0</v>
      </c>
      <c r="Y910" s="201">
        <f t="shared" si="1068"/>
        <v>0</v>
      </c>
      <c r="AA910" s="201">
        <f ca="1">IF($E910=Parameters!$D$68, AA1002, MIN(AA1002,-SUM(OFFSET(AA979, 0, MIN(12, COUNTA(AB$3:$BJ$3)), , -MIN(12, COUNTA(AB$3:$BJ$3)) )) ))</f>
        <v>0</v>
      </c>
      <c r="AB910" s="201">
        <f ca="1">IF($E910=Parameters!$D$68, AB1002, MIN(AB1002,-SUM(OFFSET(AB979, 0, MIN(12, COUNTA(AC$3:$BJ$3)), , -MIN(12, COUNTA(AC$3:$BJ$3)) )) ))</f>
        <v>0</v>
      </c>
      <c r="AC910" s="201">
        <f ca="1">IF($E910=Parameters!$D$68, AC1002, MIN(AC1002,-SUM(OFFSET(AC979, 0, MIN(12, COUNTA(AD$3:$BJ$3)), , -MIN(12, COUNTA(AD$3:$BJ$3)) )) ))</f>
        <v>0</v>
      </c>
      <c r="AD910" s="201">
        <f ca="1">IF($E910=Parameters!$D$68, AD1002, MIN(AD1002,-SUM(OFFSET(AD979, 0, MIN(12, COUNTA(AE$3:$BJ$3)), , -MIN(12, COUNTA(AE$3:$BJ$3)) )) ))</f>
        <v>0</v>
      </c>
      <c r="AE910" s="201">
        <f ca="1">IF($E910=Parameters!$D$68, AE1002, MIN(AE1002,-SUM(OFFSET(AE979, 0, MIN(12, COUNTA(AF$3:$BJ$3)), , -MIN(12, COUNTA(AF$3:$BJ$3)) )) ))</f>
        <v>0</v>
      </c>
      <c r="AF910" s="201">
        <f ca="1">IF($E910=Parameters!$D$68, AF1002, MIN(AF1002,-SUM(OFFSET(AF979, 0, MIN(12, COUNTA(AG$3:$BJ$3)), , -MIN(12, COUNTA(AG$3:$BJ$3)) )) ))</f>
        <v>0</v>
      </c>
      <c r="AG910" s="201">
        <f ca="1">IF($E910=Parameters!$D$68, AG1002, MIN(AG1002,-SUM(OFFSET(AG979, 0, MIN(12, COUNTA(AH$3:$BJ$3)), , -MIN(12, COUNTA(AH$3:$BJ$3)) )) ))</f>
        <v>0</v>
      </c>
      <c r="AH910" s="201">
        <f ca="1">IF($E910=Parameters!$D$68, AH1002, MIN(AH1002,-SUM(OFFSET(AH979, 0, MIN(12, COUNTA(AI$3:$BJ$3)), , -MIN(12, COUNTA(AI$3:$BJ$3)) )) ))</f>
        <v>0</v>
      </c>
      <c r="AI910" s="201">
        <f ca="1">IF($E910=Parameters!$D$68, AI1002, MIN(AI1002,-SUM(OFFSET(AI979, 0, MIN(12, COUNTA(AJ$3:$BJ$3)), , -MIN(12, COUNTA(AJ$3:$BJ$3)) )) ))</f>
        <v>0</v>
      </c>
      <c r="AJ910" s="201">
        <f ca="1">IF($E910=Parameters!$D$68, AJ1002, MIN(AJ1002,-SUM(OFFSET(AJ979, 0, MIN(12, COUNTA(AK$3:$BJ$3)), , -MIN(12, COUNTA(AK$3:$BJ$3)) )) ))</f>
        <v>0</v>
      </c>
      <c r="AK910" s="201">
        <f ca="1">IF($E910=Parameters!$D$68, AK1002, MIN(AK1002,-SUM(OFFSET(AK979, 0, MIN(12, COUNTA(AL$3:$BJ$3)), , -MIN(12, COUNTA(AL$3:$BJ$3)) )) ))</f>
        <v>0</v>
      </c>
      <c r="AL910" s="201">
        <f ca="1">IF($E910=Parameters!$D$68, AL1002, MIN(AL1002,-SUM(OFFSET(AL979, 0, MIN(12, COUNTA(AM$3:$BJ$3)), , -MIN(12, COUNTA(AM$3:$BJ$3)) )) ))</f>
        <v>0</v>
      </c>
      <c r="AM910" s="201">
        <f ca="1">IF($E910=Parameters!$D$68, AM1002, MIN(AM1002,-SUM(OFFSET(AM979, 0, MIN(12, COUNTA(AN$3:$BJ$3)), , -MIN(12, COUNTA(AN$3:$BJ$3)) )) ))</f>
        <v>0</v>
      </c>
      <c r="AN910" s="201">
        <f ca="1">IF($E910=Parameters!$D$68, AN1002, MIN(AN1002,-SUM(OFFSET(AN979, 0, MIN(12, COUNTA(AO$3:$BJ$3)), , -MIN(12, COUNTA(AO$3:$BJ$3)) )) ))</f>
        <v>0</v>
      </c>
      <c r="AO910" s="201">
        <f ca="1">IF($E910=Parameters!$D$68, AO1002, MIN(AO1002,-SUM(OFFSET(AO979, 0, MIN(12, COUNTA(AP$3:$BJ$3)), , -MIN(12, COUNTA(AP$3:$BJ$3)) )) ))</f>
        <v>0</v>
      </c>
      <c r="AP910" s="201">
        <f ca="1">IF($E910=Parameters!$D$68, AP1002, MIN(AP1002,-SUM(OFFSET(AP979, 0, MIN(12, COUNTA(AQ$3:$BJ$3)), , -MIN(12, COUNTA(AQ$3:$BJ$3)) )) ))</f>
        <v>0</v>
      </c>
      <c r="AQ910" s="201">
        <f ca="1">IF($E910=Parameters!$D$68, AQ1002, MIN(AQ1002,-SUM(OFFSET(AQ979, 0, MIN(12, COUNTA(AR$3:$BJ$3)), , -MIN(12, COUNTA(AR$3:$BJ$3)) )) ))</f>
        <v>0</v>
      </c>
      <c r="AR910" s="201">
        <f ca="1">IF($E910=Parameters!$D$68, AR1002, MIN(AR1002,-SUM(OFFSET(AR979, 0, MIN(12, COUNTA(AS$3:$BJ$3)), , -MIN(12, COUNTA(AS$3:$BJ$3)) )) ))</f>
        <v>0</v>
      </c>
      <c r="AS910" s="201">
        <f ca="1">IF($E910=Parameters!$D$68, AS1002, MIN(AS1002,-SUM(OFFSET(AS979, 0, MIN(12, COUNTA(AT$3:$BJ$3)), , -MIN(12, COUNTA(AT$3:$BJ$3)) )) ))</f>
        <v>0</v>
      </c>
      <c r="AT910" s="201">
        <f ca="1">IF($E910=Parameters!$D$68, AT1002, MIN(AT1002,-SUM(OFFSET(AT979, 0, MIN(12, COUNTA(AU$3:$BJ$3)), , -MIN(12, COUNTA(AU$3:$BJ$3)) )) ))</f>
        <v>0</v>
      </c>
      <c r="AU910" s="201">
        <f ca="1">IF($E910=Parameters!$D$68, AU1002, MIN(AU1002,-SUM(OFFSET(AU979, 0, MIN(12, COUNTA(AV$3:$BJ$3)), , -MIN(12, COUNTA(AV$3:$BJ$3)) )) ))</f>
        <v>0</v>
      </c>
      <c r="AV910" s="201">
        <f ca="1">IF($E910=Parameters!$D$68, AV1002, MIN(AV1002,-SUM(OFFSET(AV979, 0, MIN(12, COUNTA(AW$3:$BJ$3)), , -MIN(12, COUNTA(AW$3:$BJ$3)) )) ))</f>
        <v>0</v>
      </c>
      <c r="AW910" s="201">
        <f ca="1">IF($E910=Parameters!$D$68, AW1002, MIN(AW1002,-SUM(OFFSET(AW979, 0, MIN(12, COUNTA(AX$3:$BJ$3)), , -MIN(12, COUNTA(AX$3:$BJ$3)) )) ))</f>
        <v>0</v>
      </c>
      <c r="AX910" s="201">
        <f ca="1">IF($E910=Parameters!$D$68, AX1002, MIN(AX1002,-SUM(OFFSET(AX979, 0, MIN(12, COUNTA(AY$3:$BJ$3)), , -MIN(12, COUNTA(AY$3:$BJ$3)) )) ))</f>
        <v>0</v>
      </c>
      <c r="AY910" s="201">
        <f ca="1">IF($E910=Parameters!$D$68, AY1002, MIN(AY1002,-SUM(OFFSET(AY979, 0, MIN(12, COUNTA(AZ$3:$BJ$3)), , -MIN(12, COUNTA(AZ$3:$BJ$3)) )) ))</f>
        <v>0</v>
      </c>
      <c r="AZ910" s="201">
        <f ca="1">IF($E910=Parameters!$D$68, AZ1002, MIN(AZ1002,-SUM(OFFSET(AZ979, 0, MIN(12, COUNTA(BA$3:$BJ$3)), , -MIN(12, COUNTA(BA$3:$BJ$3)) )) ))</f>
        <v>0</v>
      </c>
      <c r="BA910" s="201">
        <f ca="1">IF($E910=Parameters!$D$68, BA1002, MIN(BA1002,-SUM(OFFSET(BA979, 0, MIN(12, COUNTA(BB$3:$BJ$3)), , -MIN(12, COUNTA(BB$3:$BJ$3)) )) ))</f>
        <v>0</v>
      </c>
      <c r="BB910" s="201">
        <f ca="1">IF($E910=Parameters!$D$68, BB1002, MIN(BB1002,-SUM(OFFSET(BB979, 0, MIN(12, COUNTA(BC$3:$BJ$3)), , -MIN(12, COUNTA(BC$3:$BJ$3)) )) ))</f>
        <v>0</v>
      </c>
      <c r="BC910" s="201">
        <f ca="1">IF($E910=Parameters!$D$68, BC1002, MIN(BC1002,-SUM(OFFSET(BC979, 0, MIN(12, COUNTA(BD$3:$BJ$3)), , -MIN(12, COUNTA(BD$3:$BJ$3)) )) ))</f>
        <v>0</v>
      </c>
      <c r="BD910" s="201">
        <f ca="1">IF($E910=Parameters!$D$68, BD1002, MIN(BD1002,-SUM(OFFSET(BD979, 0, MIN(12, COUNTA(BE$3:$BJ$3)), , -MIN(12, COUNTA(BE$3:$BJ$3)) )) ))</f>
        <v>0</v>
      </c>
      <c r="BE910" s="201">
        <f ca="1">IF($E910=Parameters!$D$68, BE1002, MIN(BE1002,-SUM(OFFSET(BE979, 0, MIN(12, COUNTA(BF$3:$BJ$3)), , -MIN(12, COUNTA(BF$3:$BJ$3)) )) ))</f>
        <v>0</v>
      </c>
      <c r="BF910" s="201">
        <f ca="1">IF($E910=Parameters!$D$68, BF1002, MIN(BF1002,-SUM(OFFSET(BF979, 0, MIN(12, COUNTA(BG$3:$BJ$3)), , -MIN(12, COUNTA(BG$3:$BJ$3)) )) ))</f>
        <v>0</v>
      </c>
      <c r="BG910" s="201">
        <f ca="1">IF($E910=Parameters!$D$68, BG1002, MIN(BG1002,-SUM(OFFSET(BG979, 0, MIN(12, COUNTA(BH$3:$BJ$3)), , -MIN(12, COUNTA(BH$3:$BJ$3)) )) ))</f>
        <v>0</v>
      </c>
      <c r="BH910" s="201">
        <f ca="1">IF($E910=Parameters!$D$68, BH1002, MIN(BH1002,-SUM(OFFSET(BH979, 0, MIN(12, COUNTA(BI$3:$BJ$3)), , -MIN(12, COUNTA(BI$3:$BJ$3)) )) ))</f>
        <v>0</v>
      </c>
      <c r="BI910" s="201">
        <f ca="1">IF($E910=Parameters!$D$68, BI1002, MIN(BI1002,-SUM(OFFSET(BI979, 0, MIN(12, COUNTA(BJ$3:$BJ$3)), , -MIN(12, COUNTA(BJ$3:$BJ$3)) )) ))</f>
        <v>0</v>
      </c>
      <c r="BJ910" s="13">
        <f t="shared" si="1072"/>
        <v>0</v>
      </c>
      <c r="BL910" s="136"/>
      <c r="BM910" s="13">
        <f t="shared" ca="1" si="1069"/>
        <v>0</v>
      </c>
      <c r="BN910" s="13">
        <f t="shared" ca="1" si="1070"/>
        <v>0</v>
      </c>
      <c r="BO910" s="13">
        <f t="shared" si="1071"/>
        <v>0</v>
      </c>
      <c r="BP910" s="136"/>
      <c r="BQ910" s="136"/>
      <c r="BR910" s="136"/>
      <c r="BS910" s="136"/>
      <c r="BT910" s="136"/>
      <c r="BU910" s="136"/>
      <c r="BV910" s="136"/>
      <c r="BW910" s="136"/>
      <c r="BY910" s="12"/>
      <c r="BZ910" s="335"/>
      <c r="CA910" s="12"/>
      <c r="CB910" s="335"/>
      <c r="CC910" s="335"/>
      <c r="CD910" s="335"/>
      <c r="CE910" s="335"/>
      <c r="CM910" s="335"/>
      <c r="CN910" s="335"/>
      <c r="CO910" s="335"/>
      <c r="CP910" s="335"/>
      <c r="CR910" s="12"/>
      <c r="CT910" s="335"/>
      <c r="CU910" s="335"/>
      <c r="EW910" s="335"/>
      <c r="EX910" s="10" t="str">
        <f t="shared" si="1067"/>
        <v/>
      </c>
    </row>
    <row r="911" spans="1:154" s="67" customFormat="1" x14ac:dyDescent="0.25">
      <c r="B911" s="84" t="str" cm="1">
        <f t="array" aca="1" ref="B911" ca="1">HYPERLINK(CONCATENATE("#",CELL("address",$D$275)),$D$275)</f>
        <v>Loan 13</v>
      </c>
      <c r="C911" s="380"/>
      <c r="D911" s="60">
        <f>D$25</f>
        <v>0</v>
      </c>
      <c r="E911" s="221">
        <f>E$25</f>
        <v>0</v>
      </c>
      <c r="G911" s="9"/>
      <c r="H911" s="50" t="s">
        <v>125</v>
      </c>
      <c r="S911" s="335"/>
      <c r="T911" s="335"/>
      <c r="U911" s="335"/>
      <c r="V911" s="136"/>
      <c r="W911" s="201">
        <f t="shared" ca="1" si="1068"/>
        <v>0</v>
      </c>
      <c r="X911" s="201">
        <f t="shared" ca="1" si="1068"/>
        <v>0</v>
      </c>
      <c r="Y911" s="201">
        <f t="shared" si="1068"/>
        <v>0</v>
      </c>
      <c r="AA911" s="201">
        <f ca="1">IF($E911=Parameters!$D$68, AA1003, MIN(AA1003,-SUM(OFFSET(AA980, 0, MIN(12, COUNTA(AB$3:$BJ$3)), , -MIN(12, COUNTA(AB$3:$BJ$3)) )) ))</f>
        <v>0</v>
      </c>
      <c r="AB911" s="201">
        <f ca="1">IF($E911=Parameters!$D$68, AB1003, MIN(AB1003,-SUM(OFFSET(AB980, 0, MIN(12, COUNTA(AC$3:$BJ$3)), , -MIN(12, COUNTA(AC$3:$BJ$3)) )) ))</f>
        <v>0</v>
      </c>
      <c r="AC911" s="201">
        <f ca="1">IF($E911=Parameters!$D$68, AC1003, MIN(AC1003,-SUM(OFFSET(AC980, 0, MIN(12, COUNTA(AD$3:$BJ$3)), , -MIN(12, COUNTA(AD$3:$BJ$3)) )) ))</f>
        <v>0</v>
      </c>
      <c r="AD911" s="201">
        <f ca="1">IF($E911=Parameters!$D$68, AD1003, MIN(AD1003,-SUM(OFFSET(AD980, 0, MIN(12, COUNTA(AE$3:$BJ$3)), , -MIN(12, COUNTA(AE$3:$BJ$3)) )) ))</f>
        <v>0</v>
      </c>
      <c r="AE911" s="201">
        <f ca="1">IF($E911=Parameters!$D$68, AE1003, MIN(AE1003,-SUM(OFFSET(AE980, 0, MIN(12, COUNTA(AF$3:$BJ$3)), , -MIN(12, COUNTA(AF$3:$BJ$3)) )) ))</f>
        <v>0</v>
      </c>
      <c r="AF911" s="201">
        <f ca="1">IF($E911=Parameters!$D$68, AF1003, MIN(AF1003,-SUM(OFFSET(AF980, 0, MIN(12, COUNTA(AG$3:$BJ$3)), , -MIN(12, COUNTA(AG$3:$BJ$3)) )) ))</f>
        <v>0</v>
      </c>
      <c r="AG911" s="201">
        <f ca="1">IF($E911=Parameters!$D$68, AG1003, MIN(AG1003,-SUM(OFFSET(AG980, 0, MIN(12, COUNTA(AH$3:$BJ$3)), , -MIN(12, COUNTA(AH$3:$BJ$3)) )) ))</f>
        <v>0</v>
      </c>
      <c r="AH911" s="201">
        <f ca="1">IF($E911=Parameters!$D$68, AH1003, MIN(AH1003,-SUM(OFFSET(AH980, 0, MIN(12, COUNTA(AI$3:$BJ$3)), , -MIN(12, COUNTA(AI$3:$BJ$3)) )) ))</f>
        <v>0</v>
      </c>
      <c r="AI911" s="201">
        <f ca="1">IF($E911=Parameters!$D$68, AI1003, MIN(AI1003,-SUM(OFFSET(AI980, 0, MIN(12, COUNTA(AJ$3:$BJ$3)), , -MIN(12, COUNTA(AJ$3:$BJ$3)) )) ))</f>
        <v>0</v>
      </c>
      <c r="AJ911" s="201">
        <f ca="1">IF($E911=Parameters!$D$68, AJ1003, MIN(AJ1003,-SUM(OFFSET(AJ980, 0, MIN(12, COUNTA(AK$3:$BJ$3)), , -MIN(12, COUNTA(AK$3:$BJ$3)) )) ))</f>
        <v>0</v>
      </c>
      <c r="AK911" s="201">
        <f ca="1">IF($E911=Parameters!$D$68, AK1003, MIN(AK1003,-SUM(OFFSET(AK980, 0, MIN(12, COUNTA(AL$3:$BJ$3)), , -MIN(12, COUNTA(AL$3:$BJ$3)) )) ))</f>
        <v>0</v>
      </c>
      <c r="AL911" s="201">
        <f ca="1">IF($E911=Parameters!$D$68, AL1003, MIN(AL1003,-SUM(OFFSET(AL980, 0, MIN(12, COUNTA(AM$3:$BJ$3)), , -MIN(12, COUNTA(AM$3:$BJ$3)) )) ))</f>
        <v>0</v>
      </c>
      <c r="AM911" s="201">
        <f ca="1">IF($E911=Parameters!$D$68, AM1003, MIN(AM1003,-SUM(OFFSET(AM980, 0, MIN(12, COUNTA(AN$3:$BJ$3)), , -MIN(12, COUNTA(AN$3:$BJ$3)) )) ))</f>
        <v>0</v>
      </c>
      <c r="AN911" s="201">
        <f ca="1">IF($E911=Parameters!$D$68, AN1003, MIN(AN1003,-SUM(OFFSET(AN980, 0, MIN(12, COUNTA(AO$3:$BJ$3)), , -MIN(12, COUNTA(AO$3:$BJ$3)) )) ))</f>
        <v>0</v>
      </c>
      <c r="AO911" s="201">
        <f ca="1">IF($E911=Parameters!$D$68, AO1003, MIN(AO1003,-SUM(OFFSET(AO980, 0, MIN(12, COUNTA(AP$3:$BJ$3)), , -MIN(12, COUNTA(AP$3:$BJ$3)) )) ))</f>
        <v>0</v>
      </c>
      <c r="AP911" s="201">
        <f ca="1">IF($E911=Parameters!$D$68, AP1003, MIN(AP1003,-SUM(OFFSET(AP980, 0, MIN(12, COUNTA(AQ$3:$BJ$3)), , -MIN(12, COUNTA(AQ$3:$BJ$3)) )) ))</f>
        <v>0</v>
      </c>
      <c r="AQ911" s="201">
        <f ca="1">IF($E911=Parameters!$D$68, AQ1003, MIN(AQ1003,-SUM(OFFSET(AQ980, 0, MIN(12, COUNTA(AR$3:$BJ$3)), , -MIN(12, COUNTA(AR$3:$BJ$3)) )) ))</f>
        <v>0</v>
      </c>
      <c r="AR911" s="201">
        <f ca="1">IF($E911=Parameters!$D$68, AR1003, MIN(AR1003,-SUM(OFFSET(AR980, 0, MIN(12, COUNTA(AS$3:$BJ$3)), , -MIN(12, COUNTA(AS$3:$BJ$3)) )) ))</f>
        <v>0</v>
      </c>
      <c r="AS911" s="201">
        <f ca="1">IF($E911=Parameters!$D$68, AS1003, MIN(AS1003,-SUM(OFFSET(AS980, 0, MIN(12, COUNTA(AT$3:$BJ$3)), , -MIN(12, COUNTA(AT$3:$BJ$3)) )) ))</f>
        <v>0</v>
      </c>
      <c r="AT911" s="201">
        <f ca="1">IF($E911=Parameters!$D$68, AT1003, MIN(AT1003,-SUM(OFFSET(AT980, 0, MIN(12, COUNTA(AU$3:$BJ$3)), , -MIN(12, COUNTA(AU$3:$BJ$3)) )) ))</f>
        <v>0</v>
      </c>
      <c r="AU911" s="201">
        <f ca="1">IF($E911=Parameters!$D$68, AU1003, MIN(AU1003,-SUM(OFFSET(AU980, 0, MIN(12, COUNTA(AV$3:$BJ$3)), , -MIN(12, COUNTA(AV$3:$BJ$3)) )) ))</f>
        <v>0</v>
      </c>
      <c r="AV911" s="201">
        <f ca="1">IF($E911=Parameters!$D$68, AV1003, MIN(AV1003,-SUM(OFFSET(AV980, 0, MIN(12, COUNTA(AW$3:$BJ$3)), , -MIN(12, COUNTA(AW$3:$BJ$3)) )) ))</f>
        <v>0</v>
      </c>
      <c r="AW911" s="201">
        <f ca="1">IF($E911=Parameters!$D$68, AW1003, MIN(AW1003,-SUM(OFFSET(AW980, 0, MIN(12, COUNTA(AX$3:$BJ$3)), , -MIN(12, COUNTA(AX$3:$BJ$3)) )) ))</f>
        <v>0</v>
      </c>
      <c r="AX911" s="201">
        <f ca="1">IF($E911=Parameters!$D$68, AX1003, MIN(AX1003,-SUM(OFFSET(AX980, 0, MIN(12, COUNTA(AY$3:$BJ$3)), , -MIN(12, COUNTA(AY$3:$BJ$3)) )) ))</f>
        <v>0</v>
      </c>
      <c r="AY911" s="201">
        <f ca="1">IF($E911=Parameters!$D$68, AY1003, MIN(AY1003,-SUM(OFFSET(AY980, 0, MIN(12, COUNTA(AZ$3:$BJ$3)), , -MIN(12, COUNTA(AZ$3:$BJ$3)) )) ))</f>
        <v>0</v>
      </c>
      <c r="AZ911" s="201">
        <f ca="1">IF($E911=Parameters!$D$68, AZ1003, MIN(AZ1003,-SUM(OFFSET(AZ980, 0, MIN(12, COUNTA(BA$3:$BJ$3)), , -MIN(12, COUNTA(BA$3:$BJ$3)) )) ))</f>
        <v>0</v>
      </c>
      <c r="BA911" s="201">
        <f ca="1">IF($E911=Parameters!$D$68, BA1003, MIN(BA1003,-SUM(OFFSET(BA980, 0, MIN(12, COUNTA(BB$3:$BJ$3)), , -MIN(12, COUNTA(BB$3:$BJ$3)) )) ))</f>
        <v>0</v>
      </c>
      <c r="BB911" s="201">
        <f ca="1">IF($E911=Parameters!$D$68, BB1003, MIN(BB1003,-SUM(OFFSET(BB980, 0, MIN(12, COUNTA(BC$3:$BJ$3)), , -MIN(12, COUNTA(BC$3:$BJ$3)) )) ))</f>
        <v>0</v>
      </c>
      <c r="BC911" s="201">
        <f ca="1">IF($E911=Parameters!$D$68, BC1003, MIN(BC1003,-SUM(OFFSET(BC980, 0, MIN(12, COUNTA(BD$3:$BJ$3)), , -MIN(12, COUNTA(BD$3:$BJ$3)) )) ))</f>
        <v>0</v>
      </c>
      <c r="BD911" s="201">
        <f ca="1">IF($E911=Parameters!$D$68, BD1003, MIN(BD1003,-SUM(OFFSET(BD980, 0, MIN(12, COUNTA(BE$3:$BJ$3)), , -MIN(12, COUNTA(BE$3:$BJ$3)) )) ))</f>
        <v>0</v>
      </c>
      <c r="BE911" s="201">
        <f ca="1">IF($E911=Parameters!$D$68, BE1003, MIN(BE1003,-SUM(OFFSET(BE980, 0, MIN(12, COUNTA(BF$3:$BJ$3)), , -MIN(12, COUNTA(BF$3:$BJ$3)) )) ))</f>
        <v>0</v>
      </c>
      <c r="BF911" s="201">
        <f ca="1">IF($E911=Parameters!$D$68, BF1003, MIN(BF1003,-SUM(OFFSET(BF980, 0, MIN(12, COUNTA(BG$3:$BJ$3)), , -MIN(12, COUNTA(BG$3:$BJ$3)) )) ))</f>
        <v>0</v>
      </c>
      <c r="BG911" s="201">
        <f ca="1">IF($E911=Parameters!$D$68, BG1003, MIN(BG1003,-SUM(OFFSET(BG980, 0, MIN(12, COUNTA(BH$3:$BJ$3)), , -MIN(12, COUNTA(BH$3:$BJ$3)) )) ))</f>
        <v>0</v>
      </c>
      <c r="BH911" s="201">
        <f ca="1">IF($E911=Parameters!$D$68, BH1003, MIN(BH1003,-SUM(OFFSET(BH980, 0, MIN(12, COUNTA(BI$3:$BJ$3)), , -MIN(12, COUNTA(BI$3:$BJ$3)) )) ))</f>
        <v>0</v>
      </c>
      <c r="BI911" s="201">
        <f ca="1">IF($E911=Parameters!$D$68, BI1003, MIN(BI1003,-SUM(OFFSET(BI980, 0, MIN(12, COUNTA(BJ$3:$BJ$3)), , -MIN(12, COUNTA(BJ$3:$BJ$3)) )) ))</f>
        <v>0</v>
      </c>
      <c r="BJ911" s="13">
        <f t="shared" si="1072"/>
        <v>0</v>
      </c>
      <c r="BL911" s="136"/>
      <c r="BM911" s="13">
        <f t="shared" ca="1" si="1069"/>
        <v>0</v>
      </c>
      <c r="BN911" s="13">
        <f t="shared" ca="1" si="1070"/>
        <v>0</v>
      </c>
      <c r="BO911" s="13">
        <f t="shared" si="1071"/>
        <v>0</v>
      </c>
      <c r="BP911" s="136"/>
      <c r="BQ911" s="136"/>
      <c r="BR911" s="136"/>
      <c r="BS911" s="136"/>
      <c r="BT911" s="136"/>
      <c r="BU911" s="136"/>
      <c r="BV911" s="136"/>
      <c r="BW911" s="136"/>
      <c r="BY911" s="12"/>
      <c r="BZ911" s="335"/>
      <c r="CA911" s="12"/>
      <c r="CB911" s="335"/>
      <c r="CC911" s="335"/>
      <c r="CD911" s="335"/>
      <c r="CE911" s="335"/>
      <c r="CM911" s="335"/>
      <c r="CN911" s="335"/>
      <c r="CO911" s="335"/>
      <c r="CP911" s="335"/>
      <c r="CR911" s="12"/>
      <c r="CT911" s="335"/>
      <c r="CU911" s="335"/>
      <c r="EW911" s="335"/>
      <c r="EX911" s="10" t="str">
        <f t="shared" si="1067"/>
        <v/>
      </c>
    </row>
    <row r="912" spans="1:154" s="5" customFormat="1" x14ac:dyDescent="0.25">
      <c r="A912" s="67"/>
      <c r="B912" s="84" t="str" cm="1">
        <f t="array" aca="1" ref="B912" ca="1">HYPERLINK(CONCATENATE("#",CELL("address",$D$294)),$D$294)</f>
        <v>Loan 14</v>
      </c>
      <c r="C912" s="380"/>
      <c r="D912" s="60">
        <f>D$26</f>
        <v>0</v>
      </c>
      <c r="E912" s="221">
        <f>E$26</f>
        <v>0</v>
      </c>
      <c r="F912" s="67"/>
      <c r="G912" s="9"/>
      <c r="H912" s="50" t="s">
        <v>125</v>
      </c>
      <c r="I912" s="67"/>
      <c r="J912" s="67"/>
      <c r="K912" s="67"/>
      <c r="L912" s="67"/>
      <c r="M912" s="67"/>
      <c r="N912" s="67"/>
      <c r="O912" s="67"/>
      <c r="P912" s="67"/>
      <c r="Q912" s="67"/>
      <c r="R912" s="67"/>
      <c r="S912" s="335"/>
      <c r="T912" s="335"/>
      <c r="U912" s="335"/>
      <c r="V912" s="136"/>
      <c r="W912" s="201">
        <f t="shared" ca="1" si="1068"/>
        <v>0</v>
      </c>
      <c r="X912" s="201">
        <f t="shared" ca="1" si="1068"/>
        <v>0</v>
      </c>
      <c r="Y912" s="201">
        <f t="shared" si="1068"/>
        <v>0</v>
      </c>
      <c r="Z912" s="67"/>
      <c r="AA912" s="201">
        <f ca="1">IF($E912=Parameters!$D$68, AA1004, MIN(AA1004,-SUM(OFFSET(AA981, 0, MIN(12, COUNTA(AB$3:$BJ$3)), , -MIN(12, COUNTA(AB$3:$BJ$3)) )) ))</f>
        <v>0</v>
      </c>
      <c r="AB912" s="201">
        <f ca="1">IF($E912=Parameters!$D$68, AB1004, MIN(AB1004,-SUM(OFFSET(AB981, 0, MIN(12, COUNTA(AC$3:$BJ$3)), , -MIN(12, COUNTA(AC$3:$BJ$3)) )) ))</f>
        <v>0</v>
      </c>
      <c r="AC912" s="201">
        <f ca="1">IF($E912=Parameters!$D$68, AC1004, MIN(AC1004,-SUM(OFFSET(AC981, 0, MIN(12, COUNTA(AD$3:$BJ$3)), , -MIN(12, COUNTA(AD$3:$BJ$3)) )) ))</f>
        <v>0</v>
      </c>
      <c r="AD912" s="201">
        <f ca="1">IF($E912=Parameters!$D$68, AD1004, MIN(AD1004,-SUM(OFFSET(AD981, 0, MIN(12, COUNTA(AE$3:$BJ$3)), , -MIN(12, COUNTA(AE$3:$BJ$3)) )) ))</f>
        <v>0</v>
      </c>
      <c r="AE912" s="201">
        <f ca="1">IF($E912=Parameters!$D$68, AE1004, MIN(AE1004,-SUM(OFFSET(AE981, 0, MIN(12, COUNTA(AF$3:$BJ$3)), , -MIN(12, COUNTA(AF$3:$BJ$3)) )) ))</f>
        <v>0</v>
      </c>
      <c r="AF912" s="201">
        <f ca="1">IF($E912=Parameters!$D$68, AF1004, MIN(AF1004,-SUM(OFFSET(AF981, 0, MIN(12, COUNTA(AG$3:$BJ$3)), , -MIN(12, COUNTA(AG$3:$BJ$3)) )) ))</f>
        <v>0</v>
      </c>
      <c r="AG912" s="201">
        <f ca="1">IF($E912=Parameters!$D$68, AG1004, MIN(AG1004,-SUM(OFFSET(AG981, 0, MIN(12, COUNTA(AH$3:$BJ$3)), , -MIN(12, COUNTA(AH$3:$BJ$3)) )) ))</f>
        <v>0</v>
      </c>
      <c r="AH912" s="201">
        <f ca="1">IF($E912=Parameters!$D$68, AH1004, MIN(AH1004,-SUM(OFFSET(AH981, 0, MIN(12, COUNTA(AI$3:$BJ$3)), , -MIN(12, COUNTA(AI$3:$BJ$3)) )) ))</f>
        <v>0</v>
      </c>
      <c r="AI912" s="201">
        <f ca="1">IF($E912=Parameters!$D$68, AI1004, MIN(AI1004,-SUM(OFFSET(AI981, 0, MIN(12, COUNTA(AJ$3:$BJ$3)), , -MIN(12, COUNTA(AJ$3:$BJ$3)) )) ))</f>
        <v>0</v>
      </c>
      <c r="AJ912" s="201">
        <f ca="1">IF($E912=Parameters!$D$68, AJ1004, MIN(AJ1004,-SUM(OFFSET(AJ981, 0, MIN(12, COUNTA(AK$3:$BJ$3)), , -MIN(12, COUNTA(AK$3:$BJ$3)) )) ))</f>
        <v>0</v>
      </c>
      <c r="AK912" s="201">
        <f ca="1">IF($E912=Parameters!$D$68, AK1004, MIN(AK1004,-SUM(OFFSET(AK981, 0, MIN(12, COUNTA(AL$3:$BJ$3)), , -MIN(12, COUNTA(AL$3:$BJ$3)) )) ))</f>
        <v>0</v>
      </c>
      <c r="AL912" s="201">
        <f ca="1">IF($E912=Parameters!$D$68, AL1004, MIN(AL1004,-SUM(OFFSET(AL981, 0, MIN(12, COUNTA(AM$3:$BJ$3)), , -MIN(12, COUNTA(AM$3:$BJ$3)) )) ))</f>
        <v>0</v>
      </c>
      <c r="AM912" s="201">
        <f ca="1">IF($E912=Parameters!$D$68, AM1004, MIN(AM1004,-SUM(OFFSET(AM981, 0, MIN(12, COUNTA(AN$3:$BJ$3)), , -MIN(12, COUNTA(AN$3:$BJ$3)) )) ))</f>
        <v>0</v>
      </c>
      <c r="AN912" s="201">
        <f ca="1">IF($E912=Parameters!$D$68, AN1004, MIN(AN1004,-SUM(OFFSET(AN981, 0, MIN(12, COUNTA(AO$3:$BJ$3)), , -MIN(12, COUNTA(AO$3:$BJ$3)) )) ))</f>
        <v>0</v>
      </c>
      <c r="AO912" s="201">
        <f ca="1">IF($E912=Parameters!$D$68, AO1004, MIN(AO1004,-SUM(OFFSET(AO981, 0, MIN(12, COUNTA(AP$3:$BJ$3)), , -MIN(12, COUNTA(AP$3:$BJ$3)) )) ))</f>
        <v>0</v>
      </c>
      <c r="AP912" s="201">
        <f ca="1">IF($E912=Parameters!$D$68, AP1004, MIN(AP1004,-SUM(OFFSET(AP981, 0, MIN(12, COUNTA(AQ$3:$BJ$3)), , -MIN(12, COUNTA(AQ$3:$BJ$3)) )) ))</f>
        <v>0</v>
      </c>
      <c r="AQ912" s="201">
        <f ca="1">IF($E912=Parameters!$D$68, AQ1004, MIN(AQ1004,-SUM(OFFSET(AQ981, 0, MIN(12, COUNTA(AR$3:$BJ$3)), , -MIN(12, COUNTA(AR$3:$BJ$3)) )) ))</f>
        <v>0</v>
      </c>
      <c r="AR912" s="201">
        <f ca="1">IF($E912=Parameters!$D$68, AR1004, MIN(AR1004,-SUM(OFFSET(AR981, 0, MIN(12, COUNTA(AS$3:$BJ$3)), , -MIN(12, COUNTA(AS$3:$BJ$3)) )) ))</f>
        <v>0</v>
      </c>
      <c r="AS912" s="201">
        <f ca="1">IF($E912=Parameters!$D$68, AS1004, MIN(AS1004,-SUM(OFFSET(AS981, 0, MIN(12, COUNTA(AT$3:$BJ$3)), , -MIN(12, COUNTA(AT$3:$BJ$3)) )) ))</f>
        <v>0</v>
      </c>
      <c r="AT912" s="201">
        <f ca="1">IF($E912=Parameters!$D$68, AT1004, MIN(AT1004,-SUM(OFFSET(AT981, 0, MIN(12, COUNTA(AU$3:$BJ$3)), , -MIN(12, COUNTA(AU$3:$BJ$3)) )) ))</f>
        <v>0</v>
      </c>
      <c r="AU912" s="201">
        <f ca="1">IF($E912=Parameters!$D$68, AU1004, MIN(AU1004,-SUM(OFFSET(AU981, 0, MIN(12, COUNTA(AV$3:$BJ$3)), , -MIN(12, COUNTA(AV$3:$BJ$3)) )) ))</f>
        <v>0</v>
      </c>
      <c r="AV912" s="201">
        <f ca="1">IF($E912=Parameters!$D$68, AV1004, MIN(AV1004,-SUM(OFFSET(AV981, 0, MIN(12, COUNTA(AW$3:$BJ$3)), , -MIN(12, COUNTA(AW$3:$BJ$3)) )) ))</f>
        <v>0</v>
      </c>
      <c r="AW912" s="201">
        <f ca="1">IF($E912=Parameters!$D$68, AW1004, MIN(AW1004,-SUM(OFFSET(AW981, 0, MIN(12, COUNTA(AX$3:$BJ$3)), , -MIN(12, COUNTA(AX$3:$BJ$3)) )) ))</f>
        <v>0</v>
      </c>
      <c r="AX912" s="201">
        <f ca="1">IF($E912=Parameters!$D$68, AX1004, MIN(AX1004,-SUM(OFFSET(AX981, 0, MIN(12, COUNTA(AY$3:$BJ$3)), , -MIN(12, COUNTA(AY$3:$BJ$3)) )) ))</f>
        <v>0</v>
      </c>
      <c r="AY912" s="201">
        <f ca="1">IF($E912=Parameters!$D$68, AY1004, MIN(AY1004,-SUM(OFFSET(AY981, 0, MIN(12, COUNTA(AZ$3:$BJ$3)), , -MIN(12, COUNTA(AZ$3:$BJ$3)) )) ))</f>
        <v>0</v>
      </c>
      <c r="AZ912" s="201">
        <f ca="1">IF($E912=Parameters!$D$68, AZ1004, MIN(AZ1004,-SUM(OFFSET(AZ981, 0, MIN(12, COUNTA(BA$3:$BJ$3)), , -MIN(12, COUNTA(BA$3:$BJ$3)) )) ))</f>
        <v>0</v>
      </c>
      <c r="BA912" s="201">
        <f ca="1">IF($E912=Parameters!$D$68, BA1004, MIN(BA1004,-SUM(OFFSET(BA981, 0, MIN(12, COUNTA(BB$3:$BJ$3)), , -MIN(12, COUNTA(BB$3:$BJ$3)) )) ))</f>
        <v>0</v>
      </c>
      <c r="BB912" s="201">
        <f ca="1">IF($E912=Parameters!$D$68, BB1004, MIN(BB1004,-SUM(OFFSET(BB981, 0, MIN(12, COUNTA(BC$3:$BJ$3)), , -MIN(12, COUNTA(BC$3:$BJ$3)) )) ))</f>
        <v>0</v>
      </c>
      <c r="BC912" s="201">
        <f ca="1">IF($E912=Parameters!$D$68, BC1004, MIN(BC1004,-SUM(OFFSET(BC981, 0, MIN(12, COUNTA(BD$3:$BJ$3)), , -MIN(12, COUNTA(BD$3:$BJ$3)) )) ))</f>
        <v>0</v>
      </c>
      <c r="BD912" s="201">
        <f ca="1">IF($E912=Parameters!$D$68, BD1004, MIN(BD1004,-SUM(OFFSET(BD981, 0, MIN(12, COUNTA(BE$3:$BJ$3)), , -MIN(12, COUNTA(BE$3:$BJ$3)) )) ))</f>
        <v>0</v>
      </c>
      <c r="BE912" s="201">
        <f ca="1">IF($E912=Parameters!$D$68, BE1004, MIN(BE1004,-SUM(OFFSET(BE981, 0, MIN(12, COUNTA(BF$3:$BJ$3)), , -MIN(12, COUNTA(BF$3:$BJ$3)) )) ))</f>
        <v>0</v>
      </c>
      <c r="BF912" s="201">
        <f ca="1">IF($E912=Parameters!$D$68, BF1004, MIN(BF1004,-SUM(OFFSET(BF981, 0, MIN(12, COUNTA(BG$3:$BJ$3)), , -MIN(12, COUNTA(BG$3:$BJ$3)) )) ))</f>
        <v>0</v>
      </c>
      <c r="BG912" s="201">
        <f ca="1">IF($E912=Parameters!$D$68, BG1004, MIN(BG1004,-SUM(OFFSET(BG981, 0, MIN(12, COUNTA(BH$3:$BJ$3)), , -MIN(12, COUNTA(BH$3:$BJ$3)) )) ))</f>
        <v>0</v>
      </c>
      <c r="BH912" s="201">
        <f ca="1">IF($E912=Parameters!$D$68, BH1004, MIN(BH1004,-SUM(OFFSET(BH981, 0, MIN(12, COUNTA(BI$3:$BJ$3)), , -MIN(12, COUNTA(BI$3:$BJ$3)) )) ))</f>
        <v>0</v>
      </c>
      <c r="BI912" s="201">
        <f ca="1">IF($E912=Parameters!$D$68, BI1004, MIN(BI1004,-SUM(OFFSET(BI981, 0, MIN(12, COUNTA(BJ$3:$BJ$3)), , -MIN(12, COUNTA(BJ$3:$BJ$3)) )) ))</f>
        <v>0</v>
      </c>
      <c r="BJ912" s="13">
        <f t="shared" si="1072"/>
        <v>0</v>
      </c>
      <c r="BK912" s="67"/>
      <c r="BL912" s="136"/>
      <c r="BM912" s="13">
        <f t="shared" ca="1" si="1069"/>
        <v>0</v>
      </c>
      <c r="BN912" s="13">
        <f t="shared" ca="1" si="1070"/>
        <v>0</v>
      </c>
      <c r="BO912" s="13">
        <f t="shared" si="1071"/>
        <v>0</v>
      </c>
      <c r="BP912" s="136"/>
      <c r="BQ912" s="136"/>
      <c r="BR912" s="136"/>
      <c r="BS912" s="136"/>
      <c r="BT912" s="136"/>
      <c r="BU912" s="136"/>
      <c r="BV912" s="136"/>
      <c r="BW912" s="136"/>
      <c r="BX912" s="67"/>
      <c r="BY912" s="12"/>
      <c r="BZ912" s="335"/>
      <c r="CA912" s="12"/>
      <c r="CB912" s="335"/>
      <c r="CC912" s="335"/>
      <c r="CD912" s="335"/>
      <c r="CE912" s="335"/>
      <c r="CF912" s="67"/>
      <c r="CG912" s="67"/>
      <c r="CH912" s="67"/>
      <c r="CI912" s="67"/>
      <c r="CJ912" s="67"/>
      <c r="CK912" s="67"/>
      <c r="CL912" s="67"/>
      <c r="CM912" s="335"/>
      <c r="CN912" s="335"/>
      <c r="CO912" s="335"/>
      <c r="CP912" s="335"/>
      <c r="CQ912" s="67"/>
      <c r="CR912" s="12"/>
      <c r="EX912" s="10" t="str">
        <f t="shared" si="1067"/>
        <v/>
      </c>
    </row>
    <row r="913" spans="2:154" s="67" customFormat="1" x14ac:dyDescent="0.25">
      <c r="B913" s="84" t="str" cm="1">
        <f t="array" aca="1" ref="B913" ca="1">HYPERLINK(CONCATENATE("#",CELL("address",$D$313)),$D$313)</f>
        <v>Loan 15</v>
      </c>
      <c r="C913" s="380"/>
      <c r="D913" s="60">
        <f>D$27</f>
        <v>0</v>
      </c>
      <c r="E913" s="221">
        <f>E$27</f>
        <v>0</v>
      </c>
      <c r="G913" s="9"/>
      <c r="H913" s="50" t="s">
        <v>125</v>
      </c>
      <c r="S913" s="335"/>
      <c r="T913" s="335"/>
      <c r="U913" s="335"/>
      <c r="V913" s="136"/>
      <c r="W913" s="201">
        <f t="shared" ca="1" si="1068"/>
        <v>0</v>
      </c>
      <c r="X913" s="201">
        <f t="shared" ca="1" si="1068"/>
        <v>0</v>
      </c>
      <c r="Y913" s="201">
        <f t="shared" si="1068"/>
        <v>0</v>
      </c>
      <c r="AA913" s="201">
        <f ca="1">IF($E913=Parameters!$D$68, AA1005, MIN(AA1005,-SUM(OFFSET(AA982, 0, MIN(12, COUNTA(AB$3:$BJ$3)), , -MIN(12, COUNTA(AB$3:$BJ$3)) )) ))</f>
        <v>0</v>
      </c>
      <c r="AB913" s="201">
        <f ca="1">IF($E913=Parameters!$D$68, AB1005, MIN(AB1005,-SUM(OFFSET(AB982, 0, MIN(12, COUNTA(AC$3:$BJ$3)), , -MIN(12, COUNTA(AC$3:$BJ$3)) )) ))</f>
        <v>0</v>
      </c>
      <c r="AC913" s="201">
        <f ca="1">IF($E913=Parameters!$D$68, AC1005, MIN(AC1005,-SUM(OFFSET(AC982, 0, MIN(12, COUNTA(AD$3:$BJ$3)), , -MIN(12, COUNTA(AD$3:$BJ$3)) )) ))</f>
        <v>0</v>
      </c>
      <c r="AD913" s="201">
        <f ca="1">IF($E913=Parameters!$D$68, AD1005, MIN(AD1005,-SUM(OFFSET(AD982, 0, MIN(12, COUNTA(AE$3:$BJ$3)), , -MIN(12, COUNTA(AE$3:$BJ$3)) )) ))</f>
        <v>0</v>
      </c>
      <c r="AE913" s="201">
        <f ca="1">IF($E913=Parameters!$D$68, AE1005, MIN(AE1005,-SUM(OFFSET(AE982, 0, MIN(12, COUNTA(AF$3:$BJ$3)), , -MIN(12, COUNTA(AF$3:$BJ$3)) )) ))</f>
        <v>0</v>
      </c>
      <c r="AF913" s="201">
        <f ca="1">IF($E913=Parameters!$D$68, AF1005, MIN(AF1005,-SUM(OFFSET(AF982, 0, MIN(12, COUNTA(AG$3:$BJ$3)), , -MIN(12, COUNTA(AG$3:$BJ$3)) )) ))</f>
        <v>0</v>
      </c>
      <c r="AG913" s="201">
        <f ca="1">IF($E913=Parameters!$D$68, AG1005, MIN(AG1005,-SUM(OFFSET(AG982, 0, MIN(12, COUNTA(AH$3:$BJ$3)), , -MIN(12, COUNTA(AH$3:$BJ$3)) )) ))</f>
        <v>0</v>
      </c>
      <c r="AH913" s="201">
        <f ca="1">IF($E913=Parameters!$D$68, AH1005, MIN(AH1005,-SUM(OFFSET(AH982, 0, MIN(12, COUNTA(AI$3:$BJ$3)), , -MIN(12, COUNTA(AI$3:$BJ$3)) )) ))</f>
        <v>0</v>
      </c>
      <c r="AI913" s="201">
        <f ca="1">IF($E913=Parameters!$D$68, AI1005, MIN(AI1005,-SUM(OFFSET(AI982, 0, MIN(12, COUNTA(AJ$3:$BJ$3)), , -MIN(12, COUNTA(AJ$3:$BJ$3)) )) ))</f>
        <v>0</v>
      </c>
      <c r="AJ913" s="201">
        <f ca="1">IF($E913=Parameters!$D$68, AJ1005, MIN(AJ1005,-SUM(OFFSET(AJ982, 0, MIN(12, COUNTA(AK$3:$BJ$3)), , -MIN(12, COUNTA(AK$3:$BJ$3)) )) ))</f>
        <v>0</v>
      </c>
      <c r="AK913" s="201">
        <f ca="1">IF($E913=Parameters!$D$68, AK1005, MIN(AK1005,-SUM(OFFSET(AK982, 0, MIN(12, COUNTA(AL$3:$BJ$3)), , -MIN(12, COUNTA(AL$3:$BJ$3)) )) ))</f>
        <v>0</v>
      </c>
      <c r="AL913" s="201">
        <f ca="1">IF($E913=Parameters!$D$68, AL1005, MIN(AL1005,-SUM(OFFSET(AL982, 0, MIN(12, COUNTA(AM$3:$BJ$3)), , -MIN(12, COUNTA(AM$3:$BJ$3)) )) ))</f>
        <v>0</v>
      </c>
      <c r="AM913" s="201">
        <f ca="1">IF($E913=Parameters!$D$68, AM1005, MIN(AM1005,-SUM(OFFSET(AM982, 0, MIN(12, COUNTA(AN$3:$BJ$3)), , -MIN(12, COUNTA(AN$3:$BJ$3)) )) ))</f>
        <v>0</v>
      </c>
      <c r="AN913" s="201">
        <f ca="1">IF($E913=Parameters!$D$68, AN1005, MIN(AN1005,-SUM(OFFSET(AN982, 0, MIN(12, COUNTA(AO$3:$BJ$3)), , -MIN(12, COUNTA(AO$3:$BJ$3)) )) ))</f>
        <v>0</v>
      </c>
      <c r="AO913" s="201">
        <f ca="1">IF($E913=Parameters!$D$68, AO1005, MIN(AO1005,-SUM(OFFSET(AO982, 0, MIN(12, COUNTA(AP$3:$BJ$3)), , -MIN(12, COUNTA(AP$3:$BJ$3)) )) ))</f>
        <v>0</v>
      </c>
      <c r="AP913" s="201">
        <f ca="1">IF($E913=Parameters!$D$68, AP1005, MIN(AP1005,-SUM(OFFSET(AP982, 0, MIN(12, COUNTA(AQ$3:$BJ$3)), , -MIN(12, COUNTA(AQ$3:$BJ$3)) )) ))</f>
        <v>0</v>
      </c>
      <c r="AQ913" s="201">
        <f ca="1">IF($E913=Parameters!$D$68, AQ1005, MIN(AQ1005,-SUM(OFFSET(AQ982, 0, MIN(12, COUNTA(AR$3:$BJ$3)), , -MIN(12, COUNTA(AR$3:$BJ$3)) )) ))</f>
        <v>0</v>
      </c>
      <c r="AR913" s="201">
        <f ca="1">IF($E913=Parameters!$D$68, AR1005, MIN(AR1005,-SUM(OFFSET(AR982, 0, MIN(12, COUNTA(AS$3:$BJ$3)), , -MIN(12, COUNTA(AS$3:$BJ$3)) )) ))</f>
        <v>0</v>
      </c>
      <c r="AS913" s="201">
        <f ca="1">IF($E913=Parameters!$D$68, AS1005, MIN(AS1005,-SUM(OFFSET(AS982, 0, MIN(12, COUNTA(AT$3:$BJ$3)), , -MIN(12, COUNTA(AT$3:$BJ$3)) )) ))</f>
        <v>0</v>
      </c>
      <c r="AT913" s="201">
        <f ca="1">IF($E913=Parameters!$D$68, AT1005, MIN(AT1005,-SUM(OFFSET(AT982, 0, MIN(12, COUNTA(AU$3:$BJ$3)), , -MIN(12, COUNTA(AU$3:$BJ$3)) )) ))</f>
        <v>0</v>
      </c>
      <c r="AU913" s="201">
        <f ca="1">IF($E913=Parameters!$D$68, AU1005, MIN(AU1005,-SUM(OFFSET(AU982, 0, MIN(12, COUNTA(AV$3:$BJ$3)), , -MIN(12, COUNTA(AV$3:$BJ$3)) )) ))</f>
        <v>0</v>
      </c>
      <c r="AV913" s="201">
        <f ca="1">IF($E913=Parameters!$D$68, AV1005, MIN(AV1005,-SUM(OFFSET(AV982, 0, MIN(12, COUNTA(AW$3:$BJ$3)), , -MIN(12, COUNTA(AW$3:$BJ$3)) )) ))</f>
        <v>0</v>
      </c>
      <c r="AW913" s="201">
        <f ca="1">IF($E913=Parameters!$D$68, AW1005, MIN(AW1005,-SUM(OFFSET(AW982, 0, MIN(12, COUNTA(AX$3:$BJ$3)), , -MIN(12, COUNTA(AX$3:$BJ$3)) )) ))</f>
        <v>0</v>
      </c>
      <c r="AX913" s="201">
        <f ca="1">IF($E913=Parameters!$D$68, AX1005, MIN(AX1005,-SUM(OFFSET(AX982, 0, MIN(12, COUNTA(AY$3:$BJ$3)), , -MIN(12, COUNTA(AY$3:$BJ$3)) )) ))</f>
        <v>0</v>
      </c>
      <c r="AY913" s="201">
        <f ca="1">IF($E913=Parameters!$D$68, AY1005, MIN(AY1005,-SUM(OFFSET(AY982, 0, MIN(12, COUNTA(AZ$3:$BJ$3)), , -MIN(12, COUNTA(AZ$3:$BJ$3)) )) ))</f>
        <v>0</v>
      </c>
      <c r="AZ913" s="201">
        <f ca="1">IF($E913=Parameters!$D$68, AZ1005, MIN(AZ1005,-SUM(OFFSET(AZ982, 0, MIN(12, COUNTA(BA$3:$BJ$3)), , -MIN(12, COUNTA(BA$3:$BJ$3)) )) ))</f>
        <v>0</v>
      </c>
      <c r="BA913" s="201">
        <f ca="1">IF($E913=Parameters!$D$68, BA1005, MIN(BA1005,-SUM(OFFSET(BA982, 0, MIN(12, COUNTA(BB$3:$BJ$3)), , -MIN(12, COUNTA(BB$3:$BJ$3)) )) ))</f>
        <v>0</v>
      </c>
      <c r="BB913" s="201">
        <f ca="1">IF($E913=Parameters!$D$68, BB1005, MIN(BB1005,-SUM(OFFSET(BB982, 0, MIN(12, COUNTA(BC$3:$BJ$3)), , -MIN(12, COUNTA(BC$3:$BJ$3)) )) ))</f>
        <v>0</v>
      </c>
      <c r="BC913" s="201">
        <f ca="1">IF($E913=Parameters!$D$68, BC1005, MIN(BC1005,-SUM(OFFSET(BC982, 0, MIN(12, COUNTA(BD$3:$BJ$3)), , -MIN(12, COUNTA(BD$3:$BJ$3)) )) ))</f>
        <v>0</v>
      </c>
      <c r="BD913" s="201">
        <f ca="1">IF($E913=Parameters!$D$68, BD1005, MIN(BD1005,-SUM(OFFSET(BD982, 0, MIN(12, COUNTA(BE$3:$BJ$3)), , -MIN(12, COUNTA(BE$3:$BJ$3)) )) ))</f>
        <v>0</v>
      </c>
      <c r="BE913" s="201">
        <f ca="1">IF($E913=Parameters!$D$68, BE1005, MIN(BE1005,-SUM(OFFSET(BE982, 0, MIN(12, COUNTA(BF$3:$BJ$3)), , -MIN(12, COUNTA(BF$3:$BJ$3)) )) ))</f>
        <v>0</v>
      </c>
      <c r="BF913" s="201">
        <f ca="1">IF($E913=Parameters!$D$68, BF1005, MIN(BF1005,-SUM(OFFSET(BF982, 0, MIN(12, COUNTA(BG$3:$BJ$3)), , -MIN(12, COUNTA(BG$3:$BJ$3)) )) ))</f>
        <v>0</v>
      </c>
      <c r="BG913" s="201">
        <f ca="1">IF($E913=Parameters!$D$68, BG1005, MIN(BG1005,-SUM(OFFSET(BG982, 0, MIN(12, COUNTA(BH$3:$BJ$3)), , -MIN(12, COUNTA(BH$3:$BJ$3)) )) ))</f>
        <v>0</v>
      </c>
      <c r="BH913" s="201">
        <f ca="1">IF($E913=Parameters!$D$68, BH1005, MIN(BH1005,-SUM(OFFSET(BH982, 0, MIN(12, COUNTA(BI$3:$BJ$3)), , -MIN(12, COUNTA(BI$3:$BJ$3)) )) ))</f>
        <v>0</v>
      </c>
      <c r="BI913" s="201">
        <f ca="1">IF($E913=Parameters!$D$68, BI1005, MIN(BI1005,-SUM(OFFSET(BI982, 0, MIN(12, COUNTA(BJ$3:$BJ$3)), , -MIN(12, COUNTA(BJ$3:$BJ$3)) )) ))</f>
        <v>0</v>
      </c>
      <c r="BJ913" s="13">
        <f t="shared" si="1072"/>
        <v>0</v>
      </c>
      <c r="BL913" s="136"/>
      <c r="BM913" s="13">
        <f t="shared" ca="1" si="1069"/>
        <v>0</v>
      </c>
      <c r="BN913" s="13">
        <f t="shared" ca="1" si="1070"/>
        <v>0</v>
      </c>
      <c r="BO913" s="13">
        <f t="shared" si="1071"/>
        <v>0</v>
      </c>
      <c r="BP913" s="136"/>
      <c r="BQ913" s="136"/>
      <c r="BR913" s="136"/>
      <c r="BS913" s="136"/>
      <c r="BT913" s="136"/>
      <c r="BU913" s="136"/>
      <c r="BV913" s="136"/>
      <c r="BW913" s="136"/>
      <c r="BY913" s="12"/>
      <c r="BZ913" s="335"/>
      <c r="CA913" s="12"/>
      <c r="CB913" s="335"/>
      <c r="CC913" s="335"/>
      <c r="CD913" s="335"/>
      <c r="CE913" s="335"/>
      <c r="CM913" s="335"/>
      <c r="CN913" s="335"/>
      <c r="CO913" s="335"/>
      <c r="CP913" s="335"/>
      <c r="CR913" s="12"/>
      <c r="CT913" s="335"/>
      <c r="CU913" s="335"/>
      <c r="EW913" s="335"/>
      <c r="EX913" s="10" t="str">
        <f t="shared" si="1067"/>
        <v/>
      </c>
    </row>
    <row r="914" spans="2:154" s="67" customFormat="1" x14ac:dyDescent="0.25">
      <c r="B914" s="84" t="str" cm="1">
        <f t="array" aca="1" ref="B914" ca="1">HYPERLINK(CONCATENATE("#",CELL("address",$D$332)),$D$332)</f>
        <v>Loan 16</v>
      </c>
      <c r="C914" s="380"/>
      <c r="D914" s="60">
        <f>D$28</f>
        <v>0</v>
      </c>
      <c r="E914" s="221">
        <f>E$28</f>
        <v>0</v>
      </c>
      <c r="G914" s="9"/>
      <c r="H914" s="50" t="s">
        <v>125</v>
      </c>
      <c r="S914" s="335"/>
      <c r="T914" s="335"/>
      <c r="U914" s="335"/>
      <c r="V914" s="136"/>
      <c r="W914" s="201">
        <f t="shared" ca="1" si="1068"/>
        <v>0</v>
      </c>
      <c r="X914" s="201">
        <f t="shared" ca="1" si="1068"/>
        <v>0</v>
      </c>
      <c r="Y914" s="201">
        <f t="shared" si="1068"/>
        <v>0</v>
      </c>
      <c r="AA914" s="201">
        <f ca="1">IF($E914=Parameters!$D$68, AA1006, MIN(AA1006,-SUM(OFFSET(AA983, 0, MIN(12, COUNTA(AB$3:$BJ$3)), , -MIN(12, COUNTA(AB$3:$BJ$3)) )) ))</f>
        <v>0</v>
      </c>
      <c r="AB914" s="201">
        <f ca="1">IF($E914=Parameters!$D$68, AB1006, MIN(AB1006,-SUM(OFFSET(AB983, 0, MIN(12, COUNTA(AC$3:$BJ$3)), , -MIN(12, COUNTA(AC$3:$BJ$3)) )) ))</f>
        <v>0</v>
      </c>
      <c r="AC914" s="201">
        <f ca="1">IF($E914=Parameters!$D$68, AC1006, MIN(AC1006,-SUM(OFFSET(AC983, 0, MIN(12, COUNTA(AD$3:$BJ$3)), , -MIN(12, COUNTA(AD$3:$BJ$3)) )) ))</f>
        <v>0</v>
      </c>
      <c r="AD914" s="201">
        <f ca="1">IF($E914=Parameters!$D$68, AD1006, MIN(AD1006,-SUM(OFFSET(AD983, 0, MIN(12, COUNTA(AE$3:$BJ$3)), , -MIN(12, COUNTA(AE$3:$BJ$3)) )) ))</f>
        <v>0</v>
      </c>
      <c r="AE914" s="201">
        <f ca="1">IF($E914=Parameters!$D$68, AE1006, MIN(AE1006,-SUM(OFFSET(AE983, 0, MIN(12, COUNTA(AF$3:$BJ$3)), , -MIN(12, COUNTA(AF$3:$BJ$3)) )) ))</f>
        <v>0</v>
      </c>
      <c r="AF914" s="201">
        <f ca="1">IF($E914=Parameters!$D$68, AF1006, MIN(AF1006,-SUM(OFFSET(AF983, 0, MIN(12, COUNTA(AG$3:$BJ$3)), , -MIN(12, COUNTA(AG$3:$BJ$3)) )) ))</f>
        <v>0</v>
      </c>
      <c r="AG914" s="201">
        <f ca="1">IF($E914=Parameters!$D$68, AG1006, MIN(AG1006,-SUM(OFFSET(AG983, 0, MIN(12, COUNTA(AH$3:$BJ$3)), , -MIN(12, COUNTA(AH$3:$BJ$3)) )) ))</f>
        <v>0</v>
      </c>
      <c r="AH914" s="201">
        <f ca="1">IF($E914=Parameters!$D$68, AH1006, MIN(AH1006,-SUM(OFFSET(AH983, 0, MIN(12, COUNTA(AI$3:$BJ$3)), , -MIN(12, COUNTA(AI$3:$BJ$3)) )) ))</f>
        <v>0</v>
      </c>
      <c r="AI914" s="201">
        <f ca="1">IF($E914=Parameters!$D$68, AI1006, MIN(AI1006,-SUM(OFFSET(AI983, 0, MIN(12, COUNTA(AJ$3:$BJ$3)), , -MIN(12, COUNTA(AJ$3:$BJ$3)) )) ))</f>
        <v>0</v>
      </c>
      <c r="AJ914" s="201">
        <f ca="1">IF($E914=Parameters!$D$68, AJ1006, MIN(AJ1006,-SUM(OFFSET(AJ983, 0, MIN(12, COUNTA(AK$3:$BJ$3)), , -MIN(12, COUNTA(AK$3:$BJ$3)) )) ))</f>
        <v>0</v>
      </c>
      <c r="AK914" s="201">
        <f ca="1">IF($E914=Parameters!$D$68, AK1006, MIN(AK1006,-SUM(OFFSET(AK983, 0, MIN(12, COUNTA(AL$3:$BJ$3)), , -MIN(12, COUNTA(AL$3:$BJ$3)) )) ))</f>
        <v>0</v>
      </c>
      <c r="AL914" s="201">
        <f ca="1">IF($E914=Parameters!$D$68, AL1006, MIN(AL1006,-SUM(OFFSET(AL983, 0, MIN(12, COUNTA(AM$3:$BJ$3)), , -MIN(12, COUNTA(AM$3:$BJ$3)) )) ))</f>
        <v>0</v>
      </c>
      <c r="AM914" s="201">
        <f ca="1">IF($E914=Parameters!$D$68, AM1006, MIN(AM1006,-SUM(OFFSET(AM983, 0, MIN(12, COUNTA(AN$3:$BJ$3)), , -MIN(12, COUNTA(AN$3:$BJ$3)) )) ))</f>
        <v>0</v>
      </c>
      <c r="AN914" s="201">
        <f ca="1">IF($E914=Parameters!$D$68, AN1006, MIN(AN1006,-SUM(OFFSET(AN983, 0, MIN(12, COUNTA(AO$3:$BJ$3)), , -MIN(12, COUNTA(AO$3:$BJ$3)) )) ))</f>
        <v>0</v>
      </c>
      <c r="AO914" s="201">
        <f ca="1">IF($E914=Parameters!$D$68, AO1006, MIN(AO1006,-SUM(OFFSET(AO983, 0, MIN(12, COUNTA(AP$3:$BJ$3)), , -MIN(12, COUNTA(AP$3:$BJ$3)) )) ))</f>
        <v>0</v>
      </c>
      <c r="AP914" s="201">
        <f ca="1">IF($E914=Parameters!$D$68, AP1006, MIN(AP1006,-SUM(OFFSET(AP983, 0, MIN(12, COUNTA(AQ$3:$BJ$3)), , -MIN(12, COUNTA(AQ$3:$BJ$3)) )) ))</f>
        <v>0</v>
      </c>
      <c r="AQ914" s="201">
        <f ca="1">IF($E914=Parameters!$D$68, AQ1006, MIN(AQ1006,-SUM(OFFSET(AQ983, 0, MIN(12, COUNTA(AR$3:$BJ$3)), , -MIN(12, COUNTA(AR$3:$BJ$3)) )) ))</f>
        <v>0</v>
      </c>
      <c r="AR914" s="201">
        <f ca="1">IF($E914=Parameters!$D$68, AR1006, MIN(AR1006,-SUM(OFFSET(AR983, 0, MIN(12, COUNTA(AS$3:$BJ$3)), , -MIN(12, COUNTA(AS$3:$BJ$3)) )) ))</f>
        <v>0</v>
      </c>
      <c r="AS914" s="201">
        <f ca="1">IF($E914=Parameters!$D$68, AS1006, MIN(AS1006,-SUM(OFFSET(AS983, 0, MIN(12, COUNTA(AT$3:$BJ$3)), , -MIN(12, COUNTA(AT$3:$BJ$3)) )) ))</f>
        <v>0</v>
      </c>
      <c r="AT914" s="201">
        <f ca="1">IF($E914=Parameters!$D$68, AT1006, MIN(AT1006,-SUM(OFFSET(AT983, 0, MIN(12, COUNTA(AU$3:$BJ$3)), , -MIN(12, COUNTA(AU$3:$BJ$3)) )) ))</f>
        <v>0</v>
      </c>
      <c r="AU914" s="201">
        <f ca="1">IF($E914=Parameters!$D$68, AU1006, MIN(AU1006,-SUM(OFFSET(AU983, 0, MIN(12, COUNTA(AV$3:$BJ$3)), , -MIN(12, COUNTA(AV$3:$BJ$3)) )) ))</f>
        <v>0</v>
      </c>
      <c r="AV914" s="201">
        <f ca="1">IF($E914=Parameters!$D$68, AV1006, MIN(AV1006,-SUM(OFFSET(AV983, 0, MIN(12, COUNTA(AW$3:$BJ$3)), , -MIN(12, COUNTA(AW$3:$BJ$3)) )) ))</f>
        <v>0</v>
      </c>
      <c r="AW914" s="201">
        <f ca="1">IF($E914=Parameters!$D$68, AW1006, MIN(AW1006,-SUM(OFFSET(AW983, 0, MIN(12, COUNTA(AX$3:$BJ$3)), , -MIN(12, COUNTA(AX$3:$BJ$3)) )) ))</f>
        <v>0</v>
      </c>
      <c r="AX914" s="201">
        <f ca="1">IF($E914=Parameters!$D$68, AX1006, MIN(AX1006,-SUM(OFFSET(AX983, 0, MIN(12, COUNTA(AY$3:$BJ$3)), , -MIN(12, COUNTA(AY$3:$BJ$3)) )) ))</f>
        <v>0</v>
      </c>
      <c r="AY914" s="201">
        <f ca="1">IF($E914=Parameters!$D$68, AY1006, MIN(AY1006,-SUM(OFFSET(AY983, 0, MIN(12, COUNTA(AZ$3:$BJ$3)), , -MIN(12, COUNTA(AZ$3:$BJ$3)) )) ))</f>
        <v>0</v>
      </c>
      <c r="AZ914" s="201">
        <f ca="1">IF($E914=Parameters!$D$68, AZ1006, MIN(AZ1006,-SUM(OFFSET(AZ983, 0, MIN(12, COUNTA(BA$3:$BJ$3)), , -MIN(12, COUNTA(BA$3:$BJ$3)) )) ))</f>
        <v>0</v>
      </c>
      <c r="BA914" s="201">
        <f ca="1">IF($E914=Parameters!$D$68, BA1006, MIN(BA1006,-SUM(OFFSET(BA983, 0, MIN(12, COUNTA(BB$3:$BJ$3)), , -MIN(12, COUNTA(BB$3:$BJ$3)) )) ))</f>
        <v>0</v>
      </c>
      <c r="BB914" s="201">
        <f ca="1">IF($E914=Parameters!$D$68, BB1006, MIN(BB1006,-SUM(OFFSET(BB983, 0, MIN(12, COUNTA(BC$3:$BJ$3)), , -MIN(12, COUNTA(BC$3:$BJ$3)) )) ))</f>
        <v>0</v>
      </c>
      <c r="BC914" s="201">
        <f ca="1">IF($E914=Parameters!$D$68, BC1006, MIN(BC1006,-SUM(OFFSET(BC983, 0, MIN(12, COUNTA(BD$3:$BJ$3)), , -MIN(12, COUNTA(BD$3:$BJ$3)) )) ))</f>
        <v>0</v>
      </c>
      <c r="BD914" s="201">
        <f ca="1">IF($E914=Parameters!$D$68, BD1006, MIN(BD1006,-SUM(OFFSET(BD983, 0, MIN(12, COUNTA(BE$3:$BJ$3)), , -MIN(12, COUNTA(BE$3:$BJ$3)) )) ))</f>
        <v>0</v>
      </c>
      <c r="BE914" s="201">
        <f ca="1">IF($E914=Parameters!$D$68, BE1006, MIN(BE1006,-SUM(OFFSET(BE983, 0, MIN(12, COUNTA(BF$3:$BJ$3)), , -MIN(12, COUNTA(BF$3:$BJ$3)) )) ))</f>
        <v>0</v>
      </c>
      <c r="BF914" s="201">
        <f ca="1">IF($E914=Parameters!$D$68, BF1006, MIN(BF1006,-SUM(OFFSET(BF983, 0, MIN(12, COUNTA(BG$3:$BJ$3)), , -MIN(12, COUNTA(BG$3:$BJ$3)) )) ))</f>
        <v>0</v>
      </c>
      <c r="BG914" s="201">
        <f ca="1">IF($E914=Parameters!$D$68, BG1006, MIN(BG1006,-SUM(OFFSET(BG983, 0, MIN(12, COUNTA(BH$3:$BJ$3)), , -MIN(12, COUNTA(BH$3:$BJ$3)) )) ))</f>
        <v>0</v>
      </c>
      <c r="BH914" s="201">
        <f ca="1">IF($E914=Parameters!$D$68, BH1006, MIN(BH1006,-SUM(OFFSET(BH983, 0, MIN(12, COUNTA(BI$3:$BJ$3)), , -MIN(12, COUNTA(BI$3:$BJ$3)) )) ))</f>
        <v>0</v>
      </c>
      <c r="BI914" s="201">
        <f ca="1">IF($E914=Parameters!$D$68, BI1006, MIN(BI1006,-SUM(OFFSET(BI983, 0, MIN(12, COUNTA(BJ$3:$BJ$3)), , -MIN(12, COUNTA(BJ$3:$BJ$3)) )) ))</f>
        <v>0</v>
      </c>
      <c r="BJ914" s="13">
        <f t="shared" si="1072"/>
        <v>0</v>
      </c>
      <c r="BL914" s="136"/>
      <c r="BM914" s="13">
        <f t="shared" ca="1" si="1069"/>
        <v>0</v>
      </c>
      <c r="BN914" s="13">
        <f t="shared" ca="1" si="1070"/>
        <v>0</v>
      </c>
      <c r="BO914" s="13">
        <f t="shared" si="1071"/>
        <v>0</v>
      </c>
      <c r="BP914" s="136"/>
      <c r="BQ914" s="136"/>
      <c r="BR914" s="136"/>
      <c r="BS914" s="136"/>
      <c r="BT914" s="136"/>
      <c r="BU914" s="136"/>
      <c r="BV914" s="136"/>
      <c r="BW914" s="136"/>
      <c r="BY914" s="12"/>
      <c r="BZ914" s="335"/>
      <c r="CA914" s="12"/>
      <c r="CB914" s="335"/>
      <c r="CC914" s="335"/>
      <c r="CD914" s="335"/>
      <c r="CE914" s="335"/>
      <c r="CM914" s="335"/>
      <c r="CN914" s="335"/>
      <c r="CO914" s="335"/>
      <c r="CP914" s="335"/>
      <c r="CR914" s="12"/>
      <c r="CT914" s="335"/>
      <c r="CU914" s="335"/>
      <c r="EW914" s="335"/>
      <c r="EX914" s="10" t="str">
        <f t="shared" si="1067"/>
        <v/>
      </c>
    </row>
    <row r="915" spans="2:154" s="67" customFormat="1" x14ac:dyDescent="0.25">
      <c r="B915" s="84" t="str" cm="1">
        <f t="array" aca="1" ref="B915" ca="1">HYPERLINK(CONCATENATE("#",CELL("address",$D$351)),$D$351)</f>
        <v>Loan 17</v>
      </c>
      <c r="C915" s="380"/>
      <c r="D915" s="60">
        <f>D$29</f>
        <v>0</v>
      </c>
      <c r="E915" s="221">
        <f>E$29</f>
        <v>0</v>
      </c>
      <c r="G915" s="9"/>
      <c r="H915" s="50" t="s">
        <v>125</v>
      </c>
      <c r="S915" s="335"/>
      <c r="T915" s="335"/>
      <c r="U915" s="335"/>
      <c r="V915" s="136"/>
      <c r="W915" s="201">
        <f t="shared" ca="1" si="1068"/>
        <v>0</v>
      </c>
      <c r="X915" s="201">
        <f t="shared" ca="1" si="1068"/>
        <v>0</v>
      </c>
      <c r="Y915" s="201">
        <f t="shared" si="1068"/>
        <v>0</v>
      </c>
      <c r="AA915" s="201">
        <f ca="1">IF($E915=Parameters!$D$68, AA1007, MIN(AA1007,-SUM(OFFSET(AA984, 0, MIN(12, COUNTA(AB$3:$BJ$3)), , -MIN(12, COUNTA(AB$3:$BJ$3)) )) ))</f>
        <v>0</v>
      </c>
      <c r="AB915" s="201">
        <f ca="1">IF($E915=Parameters!$D$68, AB1007, MIN(AB1007,-SUM(OFFSET(AB984, 0, MIN(12, COUNTA(AC$3:$BJ$3)), , -MIN(12, COUNTA(AC$3:$BJ$3)) )) ))</f>
        <v>0</v>
      </c>
      <c r="AC915" s="201">
        <f ca="1">IF($E915=Parameters!$D$68, AC1007, MIN(AC1007,-SUM(OFFSET(AC984, 0, MIN(12, COUNTA(AD$3:$BJ$3)), , -MIN(12, COUNTA(AD$3:$BJ$3)) )) ))</f>
        <v>0</v>
      </c>
      <c r="AD915" s="201">
        <f ca="1">IF($E915=Parameters!$D$68, AD1007, MIN(AD1007,-SUM(OFFSET(AD984, 0, MIN(12, COUNTA(AE$3:$BJ$3)), , -MIN(12, COUNTA(AE$3:$BJ$3)) )) ))</f>
        <v>0</v>
      </c>
      <c r="AE915" s="201">
        <f ca="1">IF($E915=Parameters!$D$68, AE1007, MIN(AE1007,-SUM(OFFSET(AE984, 0, MIN(12, COUNTA(AF$3:$BJ$3)), , -MIN(12, COUNTA(AF$3:$BJ$3)) )) ))</f>
        <v>0</v>
      </c>
      <c r="AF915" s="201">
        <f ca="1">IF($E915=Parameters!$D$68, AF1007, MIN(AF1007,-SUM(OFFSET(AF984, 0, MIN(12, COUNTA(AG$3:$BJ$3)), , -MIN(12, COUNTA(AG$3:$BJ$3)) )) ))</f>
        <v>0</v>
      </c>
      <c r="AG915" s="201">
        <f ca="1">IF($E915=Parameters!$D$68, AG1007, MIN(AG1007,-SUM(OFFSET(AG984, 0, MIN(12, COUNTA(AH$3:$BJ$3)), , -MIN(12, COUNTA(AH$3:$BJ$3)) )) ))</f>
        <v>0</v>
      </c>
      <c r="AH915" s="201">
        <f ca="1">IF($E915=Parameters!$D$68, AH1007, MIN(AH1007,-SUM(OFFSET(AH984, 0, MIN(12, COUNTA(AI$3:$BJ$3)), , -MIN(12, COUNTA(AI$3:$BJ$3)) )) ))</f>
        <v>0</v>
      </c>
      <c r="AI915" s="201">
        <f ca="1">IF($E915=Parameters!$D$68, AI1007, MIN(AI1007,-SUM(OFFSET(AI984, 0, MIN(12, COUNTA(AJ$3:$BJ$3)), , -MIN(12, COUNTA(AJ$3:$BJ$3)) )) ))</f>
        <v>0</v>
      </c>
      <c r="AJ915" s="201">
        <f ca="1">IF($E915=Parameters!$D$68, AJ1007, MIN(AJ1007,-SUM(OFFSET(AJ984, 0, MIN(12, COUNTA(AK$3:$BJ$3)), , -MIN(12, COUNTA(AK$3:$BJ$3)) )) ))</f>
        <v>0</v>
      </c>
      <c r="AK915" s="201">
        <f ca="1">IF($E915=Parameters!$D$68, AK1007, MIN(AK1007,-SUM(OFFSET(AK984, 0, MIN(12, COUNTA(AL$3:$BJ$3)), , -MIN(12, COUNTA(AL$3:$BJ$3)) )) ))</f>
        <v>0</v>
      </c>
      <c r="AL915" s="201">
        <f ca="1">IF($E915=Parameters!$D$68, AL1007, MIN(AL1007,-SUM(OFFSET(AL984, 0, MIN(12, COUNTA(AM$3:$BJ$3)), , -MIN(12, COUNTA(AM$3:$BJ$3)) )) ))</f>
        <v>0</v>
      </c>
      <c r="AM915" s="201">
        <f ca="1">IF($E915=Parameters!$D$68, AM1007, MIN(AM1007,-SUM(OFFSET(AM984, 0, MIN(12, COUNTA(AN$3:$BJ$3)), , -MIN(12, COUNTA(AN$3:$BJ$3)) )) ))</f>
        <v>0</v>
      </c>
      <c r="AN915" s="201">
        <f ca="1">IF($E915=Parameters!$D$68, AN1007, MIN(AN1007,-SUM(OFFSET(AN984, 0, MIN(12, COUNTA(AO$3:$BJ$3)), , -MIN(12, COUNTA(AO$3:$BJ$3)) )) ))</f>
        <v>0</v>
      </c>
      <c r="AO915" s="201">
        <f ca="1">IF($E915=Parameters!$D$68, AO1007, MIN(AO1007,-SUM(OFFSET(AO984, 0, MIN(12, COUNTA(AP$3:$BJ$3)), , -MIN(12, COUNTA(AP$3:$BJ$3)) )) ))</f>
        <v>0</v>
      </c>
      <c r="AP915" s="201">
        <f ca="1">IF($E915=Parameters!$D$68, AP1007, MIN(AP1007,-SUM(OFFSET(AP984, 0, MIN(12, COUNTA(AQ$3:$BJ$3)), , -MIN(12, COUNTA(AQ$3:$BJ$3)) )) ))</f>
        <v>0</v>
      </c>
      <c r="AQ915" s="201">
        <f ca="1">IF($E915=Parameters!$D$68, AQ1007, MIN(AQ1007,-SUM(OFFSET(AQ984, 0, MIN(12, COUNTA(AR$3:$BJ$3)), , -MIN(12, COUNTA(AR$3:$BJ$3)) )) ))</f>
        <v>0</v>
      </c>
      <c r="AR915" s="201">
        <f ca="1">IF($E915=Parameters!$D$68, AR1007, MIN(AR1007,-SUM(OFFSET(AR984, 0, MIN(12, COUNTA(AS$3:$BJ$3)), , -MIN(12, COUNTA(AS$3:$BJ$3)) )) ))</f>
        <v>0</v>
      </c>
      <c r="AS915" s="201">
        <f ca="1">IF($E915=Parameters!$D$68, AS1007, MIN(AS1007,-SUM(OFFSET(AS984, 0, MIN(12, COUNTA(AT$3:$BJ$3)), , -MIN(12, COUNTA(AT$3:$BJ$3)) )) ))</f>
        <v>0</v>
      </c>
      <c r="AT915" s="201">
        <f ca="1">IF($E915=Parameters!$D$68, AT1007, MIN(AT1007,-SUM(OFFSET(AT984, 0, MIN(12, COUNTA(AU$3:$BJ$3)), , -MIN(12, COUNTA(AU$3:$BJ$3)) )) ))</f>
        <v>0</v>
      </c>
      <c r="AU915" s="201">
        <f ca="1">IF($E915=Parameters!$D$68, AU1007, MIN(AU1007,-SUM(OFFSET(AU984, 0, MIN(12, COUNTA(AV$3:$BJ$3)), , -MIN(12, COUNTA(AV$3:$BJ$3)) )) ))</f>
        <v>0</v>
      </c>
      <c r="AV915" s="201">
        <f ca="1">IF($E915=Parameters!$D$68, AV1007, MIN(AV1007,-SUM(OFFSET(AV984, 0, MIN(12, COUNTA(AW$3:$BJ$3)), , -MIN(12, COUNTA(AW$3:$BJ$3)) )) ))</f>
        <v>0</v>
      </c>
      <c r="AW915" s="201">
        <f ca="1">IF($E915=Parameters!$D$68, AW1007, MIN(AW1007,-SUM(OFFSET(AW984, 0, MIN(12, COUNTA(AX$3:$BJ$3)), , -MIN(12, COUNTA(AX$3:$BJ$3)) )) ))</f>
        <v>0</v>
      </c>
      <c r="AX915" s="201">
        <f ca="1">IF($E915=Parameters!$D$68, AX1007, MIN(AX1007,-SUM(OFFSET(AX984, 0, MIN(12, COUNTA(AY$3:$BJ$3)), , -MIN(12, COUNTA(AY$3:$BJ$3)) )) ))</f>
        <v>0</v>
      </c>
      <c r="AY915" s="201">
        <f ca="1">IF($E915=Parameters!$D$68, AY1007, MIN(AY1007,-SUM(OFFSET(AY984, 0, MIN(12, COUNTA(AZ$3:$BJ$3)), , -MIN(12, COUNTA(AZ$3:$BJ$3)) )) ))</f>
        <v>0</v>
      </c>
      <c r="AZ915" s="201">
        <f ca="1">IF($E915=Parameters!$D$68, AZ1007, MIN(AZ1007,-SUM(OFFSET(AZ984, 0, MIN(12, COUNTA(BA$3:$BJ$3)), , -MIN(12, COUNTA(BA$3:$BJ$3)) )) ))</f>
        <v>0</v>
      </c>
      <c r="BA915" s="201">
        <f ca="1">IF($E915=Parameters!$D$68, BA1007, MIN(BA1007,-SUM(OFFSET(BA984, 0, MIN(12, COUNTA(BB$3:$BJ$3)), , -MIN(12, COUNTA(BB$3:$BJ$3)) )) ))</f>
        <v>0</v>
      </c>
      <c r="BB915" s="201">
        <f ca="1">IF($E915=Parameters!$D$68, BB1007, MIN(BB1007,-SUM(OFFSET(BB984, 0, MIN(12, COUNTA(BC$3:$BJ$3)), , -MIN(12, COUNTA(BC$3:$BJ$3)) )) ))</f>
        <v>0</v>
      </c>
      <c r="BC915" s="201">
        <f ca="1">IF($E915=Parameters!$D$68, BC1007, MIN(BC1007,-SUM(OFFSET(BC984, 0, MIN(12, COUNTA(BD$3:$BJ$3)), , -MIN(12, COUNTA(BD$3:$BJ$3)) )) ))</f>
        <v>0</v>
      </c>
      <c r="BD915" s="201">
        <f ca="1">IF($E915=Parameters!$D$68, BD1007, MIN(BD1007,-SUM(OFFSET(BD984, 0, MIN(12, COUNTA(BE$3:$BJ$3)), , -MIN(12, COUNTA(BE$3:$BJ$3)) )) ))</f>
        <v>0</v>
      </c>
      <c r="BE915" s="201">
        <f ca="1">IF($E915=Parameters!$D$68, BE1007, MIN(BE1007,-SUM(OFFSET(BE984, 0, MIN(12, COUNTA(BF$3:$BJ$3)), , -MIN(12, COUNTA(BF$3:$BJ$3)) )) ))</f>
        <v>0</v>
      </c>
      <c r="BF915" s="201">
        <f ca="1">IF($E915=Parameters!$D$68, BF1007, MIN(BF1007,-SUM(OFFSET(BF984, 0, MIN(12, COUNTA(BG$3:$BJ$3)), , -MIN(12, COUNTA(BG$3:$BJ$3)) )) ))</f>
        <v>0</v>
      </c>
      <c r="BG915" s="201">
        <f ca="1">IF($E915=Parameters!$D$68, BG1007, MIN(BG1007,-SUM(OFFSET(BG984, 0, MIN(12, COUNTA(BH$3:$BJ$3)), , -MIN(12, COUNTA(BH$3:$BJ$3)) )) ))</f>
        <v>0</v>
      </c>
      <c r="BH915" s="201">
        <f ca="1">IF($E915=Parameters!$D$68, BH1007, MIN(BH1007,-SUM(OFFSET(BH984, 0, MIN(12, COUNTA(BI$3:$BJ$3)), , -MIN(12, COUNTA(BI$3:$BJ$3)) )) ))</f>
        <v>0</v>
      </c>
      <c r="BI915" s="201">
        <f ca="1">IF($E915=Parameters!$D$68, BI1007, MIN(BI1007,-SUM(OFFSET(BI984, 0, MIN(12, COUNTA(BJ$3:$BJ$3)), , -MIN(12, COUNTA(BJ$3:$BJ$3)) )) ))</f>
        <v>0</v>
      </c>
      <c r="BJ915" s="13">
        <f t="shared" si="1072"/>
        <v>0</v>
      </c>
      <c r="BL915" s="136"/>
      <c r="BM915" s="13">
        <f t="shared" ca="1" si="1069"/>
        <v>0</v>
      </c>
      <c r="BN915" s="13">
        <f t="shared" ca="1" si="1070"/>
        <v>0</v>
      </c>
      <c r="BO915" s="13">
        <f t="shared" si="1071"/>
        <v>0</v>
      </c>
      <c r="BP915" s="136"/>
      <c r="BQ915" s="136"/>
      <c r="BR915" s="136"/>
      <c r="BS915" s="136"/>
      <c r="BT915" s="136"/>
      <c r="BU915" s="136"/>
      <c r="BV915" s="136"/>
      <c r="BW915" s="136"/>
      <c r="BY915" s="12"/>
      <c r="BZ915" s="335"/>
      <c r="CA915" s="12"/>
      <c r="CB915" s="335"/>
      <c r="CC915" s="335"/>
      <c r="CD915" s="335"/>
      <c r="CE915" s="335"/>
      <c r="CM915" s="335"/>
      <c r="CN915" s="335"/>
      <c r="CO915" s="335"/>
      <c r="CP915" s="335"/>
      <c r="CR915" s="12"/>
      <c r="CT915" s="335"/>
      <c r="CU915" s="335"/>
      <c r="EW915" s="335"/>
      <c r="EX915" s="10" t="str">
        <f t="shared" si="1067"/>
        <v/>
      </c>
    </row>
    <row r="916" spans="2:154" s="67" customFormat="1" x14ac:dyDescent="0.25">
      <c r="B916" s="84" t="str" cm="1">
        <f t="array" aca="1" ref="B916" ca="1">HYPERLINK(CONCATENATE("#",CELL("address",$D$370)),$D$370)</f>
        <v>Loan 18</v>
      </c>
      <c r="C916" s="380"/>
      <c r="D916" s="60">
        <f>D$30</f>
        <v>0</v>
      </c>
      <c r="E916" s="221">
        <f>E$30</f>
        <v>0</v>
      </c>
      <c r="G916" s="9"/>
      <c r="H916" s="50" t="s">
        <v>125</v>
      </c>
      <c r="S916" s="335"/>
      <c r="T916" s="335"/>
      <c r="U916" s="335"/>
      <c r="V916" s="136"/>
      <c r="W916" s="201">
        <f t="shared" ca="1" si="1068"/>
        <v>0</v>
      </c>
      <c r="X916" s="201">
        <f t="shared" ca="1" si="1068"/>
        <v>0</v>
      </c>
      <c r="Y916" s="201">
        <f t="shared" si="1068"/>
        <v>0</v>
      </c>
      <c r="AA916" s="201">
        <f ca="1">IF($E916=Parameters!$D$68, AA1008, MIN(AA1008,-SUM(OFFSET(AA985, 0, MIN(12, COUNTA(AB$3:$BJ$3)), , -MIN(12, COUNTA(AB$3:$BJ$3)) )) ))</f>
        <v>0</v>
      </c>
      <c r="AB916" s="201">
        <f ca="1">IF($E916=Parameters!$D$68, AB1008, MIN(AB1008,-SUM(OFFSET(AB985, 0, MIN(12, COUNTA(AC$3:$BJ$3)), , -MIN(12, COUNTA(AC$3:$BJ$3)) )) ))</f>
        <v>0</v>
      </c>
      <c r="AC916" s="201">
        <f ca="1">IF($E916=Parameters!$D$68, AC1008, MIN(AC1008,-SUM(OFFSET(AC985, 0, MIN(12, COUNTA(AD$3:$BJ$3)), , -MIN(12, COUNTA(AD$3:$BJ$3)) )) ))</f>
        <v>0</v>
      </c>
      <c r="AD916" s="201">
        <f ca="1">IF($E916=Parameters!$D$68, AD1008, MIN(AD1008,-SUM(OFFSET(AD985, 0, MIN(12, COUNTA(AE$3:$BJ$3)), , -MIN(12, COUNTA(AE$3:$BJ$3)) )) ))</f>
        <v>0</v>
      </c>
      <c r="AE916" s="201">
        <f ca="1">IF($E916=Parameters!$D$68, AE1008, MIN(AE1008,-SUM(OFFSET(AE985, 0, MIN(12, COUNTA(AF$3:$BJ$3)), , -MIN(12, COUNTA(AF$3:$BJ$3)) )) ))</f>
        <v>0</v>
      </c>
      <c r="AF916" s="201">
        <f ca="1">IF($E916=Parameters!$D$68, AF1008, MIN(AF1008,-SUM(OFFSET(AF985, 0, MIN(12, COUNTA(AG$3:$BJ$3)), , -MIN(12, COUNTA(AG$3:$BJ$3)) )) ))</f>
        <v>0</v>
      </c>
      <c r="AG916" s="201">
        <f ca="1">IF($E916=Parameters!$D$68, AG1008, MIN(AG1008,-SUM(OFFSET(AG985, 0, MIN(12, COUNTA(AH$3:$BJ$3)), , -MIN(12, COUNTA(AH$3:$BJ$3)) )) ))</f>
        <v>0</v>
      </c>
      <c r="AH916" s="201">
        <f ca="1">IF($E916=Parameters!$D$68, AH1008, MIN(AH1008,-SUM(OFFSET(AH985, 0, MIN(12, COUNTA(AI$3:$BJ$3)), , -MIN(12, COUNTA(AI$3:$BJ$3)) )) ))</f>
        <v>0</v>
      </c>
      <c r="AI916" s="201">
        <f ca="1">IF($E916=Parameters!$D$68, AI1008, MIN(AI1008,-SUM(OFFSET(AI985, 0, MIN(12, COUNTA(AJ$3:$BJ$3)), , -MIN(12, COUNTA(AJ$3:$BJ$3)) )) ))</f>
        <v>0</v>
      </c>
      <c r="AJ916" s="201">
        <f ca="1">IF($E916=Parameters!$D$68, AJ1008, MIN(AJ1008,-SUM(OFFSET(AJ985, 0, MIN(12, COUNTA(AK$3:$BJ$3)), , -MIN(12, COUNTA(AK$3:$BJ$3)) )) ))</f>
        <v>0</v>
      </c>
      <c r="AK916" s="201">
        <f ca="1">IF($E916=Parameters!$D$68, AK1008, MIN(AK1008,-SUM(OFFSET(AK985, 0, MIN(12, COUNTA(AL$3:$BJ$3)), , -MIN(12, COUNTA(AL$3:$BJ$3)) )) ))</f>
        <v>0</v>
      </c>
      <c r="AL916" s="201">
        <f ca="1">IF($E916=Parameters!$D$68, AL1008, MIN(AL1008,-SUM(OFFSET(AL985, 0, MIN(12, COUNTA(AM$3:$BJ$3)), , -MIN(12, COUNTA(AM$3:$BJ$3)) )) ))</f>
        <v>0</v>
      </c>
      <c r="AM916" s="201">
        <f ca="1">IF($E916=Parameters!$D$68, AM1008, MIN(AM1008,-SUM(OFFSET(AM985, 0, MIN(12, COUNTA(AN$3:$BJ$3)), , -MIN(12, COUNTA(AN$3:$BJ$3)) )) ))</f>
        <v>0</v>
      </c>
      <c r="AN916" s="201">
        <f ca="1">IF($E916=Parameters!$D$68, AN1008, MIN(AN1008,-SUM(OFFSET(AN985, 0, MIN(12, COUNTA(AO$3:$BJ$3)), , -MIN(12, COUNTA(AO$3:$BJ$3)) )) ))</f>
        <v>0</v>
      </c>
      <c r="AO916" s="201">
        <f ca="1">IF($E916=Parameters!$D$68, AO1008, MIN(AO1008,-SUM(OFFSET(AO985, 0, MIN(12, COUNTA(AP$3:$BJ$3)), , -MIN(12, COUNTA(AP$3:$BJ$3)) )) ))</f>
        <v>0</v>
      </c>
      <c r="AP916" s="201">
        <f ca="1">IF($E916=Parameters!$D$68, AP1008, MIN(AP1008,-SUM(OFFSET(AP985, 0, MIN(12, COUNTA(AQ$3:$BJ$3)), , -MIN(12, COUNTA(AQ$3:$BJ$3)) )) ))</f>
        <v>0</v>
      </c>
      <c r="AQ916" s="201">
        <f ca="1">IF($E916=Parameters!$D$68, AQ1008, MIN(AQ1008,-SUM(OFFSET(AQ985, 0, MIN(12, COUNTA(AR$3:$BJ$3)), , -MIN(12, COUNTA(AR$3:$BJ$3)) )) ))</f>
        <v>0</v>
      </c>
      <c r="AR916" s="201">
        <f ca="1">IF($E916=Parameters!$D$68, AR1008, MIN(AR1008,-SUM(OFFSET(AR985, 0, MIN(12, COUNTA(AS$3:$BJ$3)), , -MIN(12, COUNTA(AS$3:$BJ$3)) )) ))</f>
        <v>0</v>
      </c>
      <c r="AS916" s="201">
        <f ca="1">IF($E916=Parameters!$D$68, AS1008, MIN(AS1008,-SUM(OFFSET(AS985, 0, MIN(12, COUNTA(AT$3:$BJ$3)), , -MIN(12, COUNTA(AT$3:$BJ$3)) )) ))</f>
        <v>0</v>
      </c>
      <c r="AT916" s="201">
        <f ca="1">IF($E916=Parameters!$D$68, AT1008, MIN(AT1008,-SUM(OFFSET(AT985, 0, MIN(12, COUNTA(AU$3:$BJ$3)), , -MIN(12, COUNTA(AU$3:$BJ$3)) )) ))</f>
        <v>0</v>
      </c>
      <c r="AU916" s="201">
        <f ca="1">IF($E916=Parameters!$D$68, AU1008, MIN(AU1008,-SUM(OFFSET(AU985, 0, MIN(12, COUNTA(AV$3:$BJ$3)), , -MIN(12, COUNTA(AV$3:$BJ$3)) )) ))</f>
        <v>0</v>
      </c>
      <c r="AV916" s="201">
        <f ca="1">IF($E916=Parameters!$D$68, AV1008, MIN(AV1008,-SUM(OFFSET(AV985, 0, MIN(12, COUNTA(AW$3:$BJ$3)), , -MIN(12, COUNTA(AW$3:$BJ$3)) )) ))</f>
        <v>0</v>
      </c>
      <c r="AW916" s="201">
        <f ca="1">IF($E916=Parameters!$D$68, AW1008, MIN(AW1008,-SUM(OFFSET(AW985, 0, MIN(12, COUNTA(AX$3:$BJ$3)), , -MIN(12, COUNTA(AX$3:$BJ$3)) )) ))</f>
        <v>0</v>
      </c>
      <c r="AX916" s="201">
        <f ca="1">IF($E916=Parameters!$D$68, AX1008, MIN(AX1008,-SUM(OFFSET(AX985, 0, MIN(12, COUNTA(AY$3:$BJ$3)), , -MIN(12, COUNTA(AY$3:$BJ$3)) )) ))</f>
        <v>0</v>
      </c>
      <c r="AY916" s="201">
        <f ca="1">IF($E916=Parameters!$D$68, AY1008, MIN(AY1008,-SUM(OFFSET(AY985, 0, MIN(12, COUNTA(AZ$3:$BJ$3)), , -MIN(12, COUNTA(AZ$3:$BJ$3)) )) ))</f>
        <v>0</v>
      </c>
      <c r="AZ916" s="201">
        <f ca="1">IF($E916=Parameters!$D$68, AZ1008, MIN(AZ1008,-SUM(OFFSET(AZ985, 0, MIN(12, COUNTA(BA$3:$BJ$3)), , -MIN(12, COUNTA(BA$3:$BJ$3)) )) ))</f>
        <v>0</v>
      </c>
      <c r="BA916" s="201">
        <f ca="1">IF($E916=Parameters!$D$68, BA1008, MIN(BA1008,-SUM(OFFSET(BA985, 0, MIN(12, COUNTA(BB$3:$BJ$3)), , -MIN(12, COUNTA(BB$3:$BJ$3)) )) ))</f>
        <v>0</v>
      </c>
      <c r="BB916" s="201">
        <f ca="1">IF($E916=Parameters!$D$68, BB1008, MIN(BB1008,-SUM(OFFSET(BB985, 0, MIN(12, COUNTA(BC$3:$BJ$3)), , -MIN(12, COUNTA(BC$3:$BJ$3)) )) ))</f>
        <v>0</v>
      </c>
      <c r="BC916" s="201">
        <f ca="1">IF($E916=Parameters!$D$68, BC1008, MIN(BC1008,-SUM(OFFSET(BC985, 0, MIN(12, COUNTA(BD$3:$BJ$3)), , -MIN(12, COUNTA(BD$3:$BJ$3)) )) ))</f>
        <v>0</v>
      </c>
      <c r="BD916" s="201">
        <f ca="1">IF($E916=Parameters!$D$68, BD1008, MIN(BD1008,-SUM(OFFSET(BD985, 0, MIN(12, COUNTA(BE$3:$BJ$3)), , -MIN(12, COUNTA(BE$3:$BJ$3)) )) ))</f>
        <v>0</v>
      </c>
      <c r="BE916" s="201">
        <f ca="1">IF($E916=Parameters!$D$68, BE1008, MIN(BE1008,-SUM(OFFSET(BE985, 0, MIN(12, COUNTA(BF$3:$BJ$3)), , -MIN(12, COUNTA(BF$3:$BJ$3)) )) ))</f>
        <v>0</v>
      </c>
      <c r="BF916" s="201">
        <f ca="1">IF($E916=Parameters!$D$68, BF1008, MIN(BF1008,-SUM(OFFSET(BF985, 0, MIN(12, COUNTA(BG$3:$BJ$3)), , -MIN(12, COUNTA(BG$3:$BJ$3)) )) ))</f>
        <v>0</v>
      </c>
      <c r="BG916" s="201">
        <f ca="1">IF($E916=Parameters!$D$68, BG1008, MIN(BG1008,-SUM(OFFSET(BG985, 0, MIN(12, COUNTA(BH$3:$BJ$3)), , -MIN(12, COUNTA(BH$3:$BJ$3)) )) ))</f>
        <v>0</v>
      </c>
      <c r="BH916" s="201">
        <f ca="1">IF($E916=Parameters!$D$68, BH1008, MIN(BH1008,-SUM(OFFSET(BH985, 0, MIN(12, COUNTA(BI$3:$BJ$3)), , -MIN(12, COUNTA(BI$3:$BJ$3)) )) ))</f>
        <v>0</v>
      </c>
      <c r="BI916" s="201">
        <f ca="1">IF($E916=Parameters!$D$68, BI1008, MIN(BI1008,-SUM(OFFSET(BI985, 0, MIN(12, COUNTA(BJ$3:$BJ$3)), , -MIN(12, COUNTA(BJ$3:$BJ$3)) )) ))</f>
        <v>0</v>
      </c>
      <c r="BJ916" s="13">
        <f t="shared" si="1072"/>
        <v>0</v>
      </c>
      <c r="BL916" s="136"/>
      <c r="BM916" s="13">
        <f t="shared" ca="1" si="1069"/>
        <v>0</v>
      </c>
      <c r="BN916" s="13">
        <f t="shared" ca="1" si="1070"/>
        <v>0</v>
      </c>
      <c r="BO916" s="13">
        <f t="shared" si="1071"/>
        <v>0</v>
      </c>
      <c r="BP916" s="136"/>
      <c r="BQ916" s="136"/>
      <c r="BR916" s="136"/>
      <c r="BS916" s="136"/>
      <c r="BT916" s="136"/>
      <c r="BU916" s="136"/>
      <c r="BV916" s="136"/>
      <c r="BW916" s="136"/>
      <c r="BY916" s="12"/>
      <c r="BZ916" s="335"/>
      <c r="CA916" s="12"/>
      <c r="CB916" s="335"/>
      <c r="CC916" s="335"/>
      <c r="CD916" s="335"/>
      <c r="CE916" s="335"/>
      <c r="CM916" s="335"/>
      <c r="CN916" s="335"/>
      <c r="CO916" s="335"/>
      <c r="CP916" s="335"/>
      <c r="CR916" s="12"/>
      <c r="CT916" s="335"/>
      <c r="CU916" s="335"/>
      <c r="EW916" s="335"/>
      <c r="EX916" s="10" t="str">
        <f t="shared" si="1067"/>
        <v/>
      </c>
    </row>
    <row r="917" spans="2:154" s="67" customFormat="1" x14ac:dyDescent="0.25">
      <c r="B917" s="84" t="str" cm="1">
        <f t="array" aca="1" ref="B917" ca="1">HYPERLINK(CONCATENATE("#",CELL("address",$D$389)),$D$389)</f>
        <v>Loan 19</v>
      </c>
      <c r="C917" s="380"/>
      <c r="D917" s="60">
        <f>D$31</f>
        <v>0</v>
      </c>
      <c r="E917" s="221">
        <f>E$31</f>
        <v>0</v>
      </c>
      <c r="G917" s="9"/>
      <c r="H917" s="50" t="s">
        <v>125</v>
      </c>
      <c r="S917" s="335"/>
      <c r="T917" s="335"/>
      <c r="U917" s="335"/>
      <c r="V917" s="136"/>
      <c r="W917" s="201">
        <f t="shared" ca="1" si="1068"/>
        <v>0</v>
      </c>
      <c r="X917" s="201">
        <f t="shared" ca="1" si="1068"/>
        <v>0</v>
      </c>
      <c r="Y917" s="201">
        <f t="shared" si="1068"/>
        <v>0</v>
      </c>
      <c r="AA917" s="201">
        <f ca="1">IF($E917=Parameters!$D$68, AA1009, MIN(AA1009,-SUM(OFFSET(AA986, 0, MIN(12, COUNTA(AB$3:$BJ$3)), , -MIN(12, COUNTA(AB$3:$BJ$3)) )) ))</f>
        <v>0</v>
      </c>
      <c r="AB917" s="201">
        <f ca="1">IF($E917=Parameters!$D$68, AB1009, MIN(AB1009,-SUM(OFFSET(AB986, 0, MIN(12, COUNTA(AC$3:$BJ$3)), , -MIN(12, COUNTA(AC$3:$BJ$3)) )) ))</f>
        <v>0</v>
      </c>
      <c r="AC917" s="201">
        <f ca="1">IF($E917=Parameters!$D$68, AC1009, MIN(AC1009,-SUM(OFFSET(AC986, 0, MIN(12, COUNTA(AD$3:$BJ$3)), , -MIN(12, COUNTA(AD$3:$BJ$3)) )) ))</f>
        <v>0</v>
      </c>
      <c r="AD917" s="201">
        <f ca="1">IF($E917=Parameters!$D$68, AD1009, MIN(AD1009,-SUM(OFFSET(AD986, 0, MIN(12, COUNTA(AE$3:$BJ$3)), , -MIN(12, COUNTA(AE$3:$BJ$3)) )) ))</f>
        <v>0</v>
      </c>
      <c r="AE917" s="201">
        <f ca="1">IF($E917=Parameters!$D$68, AE1009, MIN(AE1009,-SUM(OFFSET(AE986, 0, MIN(12, COUNTA(AF$3:$BJ$3)), , -MIN(12, COUNTA(AF$3:$BJ$3)) )) ))</f>
        <v>0</v>
      </c>
      <c r="AF917" s="201">
        <f ca="1">IF($E917=Parameters!$D$68, AF1009, MIN(AF1009,-SUM(OFFSET(AF986, 0, MIN(12, COUNTA(AG$3:$BJ$3)), , -MIN(12, COUNTA(AG$3:$BJ$3)) )) ))</f>
        <v>0</v>
      </c>
      <c r="AG917" s="201">
        <f ca="1">IF($E917=Parameters!$D$68, AG1009, MIN(AG1009,-SUM(OFFSET(AG986, 0, MIN(12, COUNTA(AH$3:$BJ$3)), , -MIN(12, COUNTA(AH$3:$BJ$3)) )) ))</f>
        <v>0</v>
      </c>
      <c r="AH917" s="201">
        <f ca="1">IF($E917=Parameters!$D$68, AH1009, MIN(AH1009,-SUM(OFFSET(AH986, 0, MIN(12, COUNTA(AI$3:$BJ$3)), , -MIN(12, COUNTA(AI$3:$BJ$3)) )) ))</f>
        <v>0</v>
      </c>
      <c r="AI917" s="201">
        <f ca="1">IF($E917=Parameters!$D$68, AI1009, MIN(AI1009,-SUM(OFFSET(AI986, 0, MIN(12, COUNTA(AJ$3:$BJ$3)), , -MIN(12, COUNTA(AJ$3:$BJ$3)) )) ))</f>
        <v>0</v>
      </c>
      <c r="AJ917" s="201">
        <f ca="1">IF($E917=Parameters!$D$68, AJ1009, MIN(AJ1009,-SUM(OFFSET(AJ986, 0, MIN(12, COUNTA(AK$3:$BJ$3)), , -MIN(12, COUNTA(AK$3:$BJ$3)) )) ))</f>
        <v>0</v>
      </c>
      <c r="AK917" s="201">
        <f ca="1">IF($E917=Parameters!$D$68, AK1009, MIN(AK1009,-SUM(OFFSET(AK986, 0, MIN(12, COUNTA(AL$3:$BJ$3)), , -MIN(12, COUNTA(AL$3:$BJ$3)) )) ))</f>
        <v>0</v>
      </c>
      <c r="AL917" s="201">
        <f ca="1">IF($E917=Parameters!$D$68, AL1009, MIN(AL1009,-SUM(OFFSET(AL986, 0, MIN(12, COUNTA(AM$3:$BJ$3)), , -MIN(12, COUNTA(AM$3:$BJ$3)) )) ))</f>
        <v>0</v>
      </c>
      <c r="AM917" s="201">
        <f ca="1">IF($E917=Parameters!$D$68, AM1009, MIN(AM1009,-SUM(OFFSET(AM986, 0, MIN(12, COUNTA(AN$3:$BJ$3)), , -MIN(12, COUNTA(AN$3:$BJ$3)) )) ))</f>
        <v>0</v>
      </c>
      <c r="AN917" s="201">
        <f ca="1">IF($E917=Parameters!$D$68, AN1009, MIN(AN1009,-SUM(OFFSET(AN986, 0, MIN(12, COUNTA(AO$3:$BJ$3)), , -MIN(12, COUNTA(AO$3:$BJ$3)) )) ))</f>
        <v>0</v>
      </c>
      <c r="AO917" s="201">
        <f ca="1">IF($E917=Parameters!$D$68, AO1009, MIN(AO1009,-SUM(OFFSET(AO986, 0, MIN(12, COUNTA(AP$3:$BJ$3)), , -MIN(12, COUNTA(AP$3:$BJ$3)) )) ))</f>
        <v>0</v>
      </c>
      <c r="AP917" s="201">
        <f ca="1">IF($E917=Parameters!$D$68, AP1009, MIN(AP1009,-SUM(OFFSET(AP986, 0, MIN(12, COUNTA(AQ$3:$BJ$3)), , -MIN(12, COUNTA(AQ$3:$BJ$3)) )) ))</f>
        <v>0</v>
      </c>
      <c r="AQ917" s="201">
        <f ca="1">IF($E917=Parameters!$D$68, AQ1009, MIN(AQ1009,-SUM(OFFSET(AQ986, 0, MIN(12, COUNTA(AR$3:$BJ$3)), , -MIN(12, COUNTA(AR$3:$BJ$3)) )) ))</f>
        <v>0</v>
      </c>
      <c r="AR917" s="201">
        <f ca="1">IF($E917=Parameters!$D$68, AR1009, MIN(AR1009,-SUM(OFFSET(AR986, 0, MIN(12, COUNTA(AS$3:$BJ$3)), , -MIN(12, COUNTA(AS$3:$BJ$3)) )) ))</f>
        <v>0</v>
      </c>
      <c r="AS917" s="201">
        <f ca="1">IF($E917=Parameters!$D$68, AS1009, MIN(AS1009,-SUM(OFFSET(AS986, 0, MIN(12, COUNTA(AT$3:$BJ$3)), , -MIN(12, COUNTA(AT$3:$BJ$3)) )) ))</f>
        <v>0</v>
      </c>
      <c r="AT917" s="201">
        <f ca="1">IF($E917=Parameters!$D$68, AT1009, MIN(AT1009,-SUM(OFFSET(AT986, 0, MIN(12, COUNTA(AU$3:$BJ$3)), , -MIN(12, COUNTA(AU$3:$BJ$3)) )) ))</f>
        <v>0</v>
      </c>
      <c r="AU917" s="201">
        <f ca="1">IF($E917=Parameters!$D$68, AU1009, MIN(AU1009,-SUM(OFFSET(AU986, 0, MIN(12, COUNTA(AV$3:$BJ$3)), , -MIN(12, COUNTA(AV$3:$BJ$3)) )) ))</f>
        <v>0</v>
      </c>
      <c r="AV917" s="201">
        <f ca="1">IF($E917=Parameters!$D$68, AV1009, MIN(AV1009,-SUM(OFFSET(AV986, 0, MIN(12, COUNTA(AW$3:$BJ$3)), , -MIN(12, COUNTA(AW$3:$BJ$3)) )) ))</f>
        <v>0</v>
      </c>
      <c r="AW917" s="201">
        <f ca="1">IF($E917=Parameters!$D$68, AW1009, MIN(AW1009,-SUM(OFFSET(AW986, 0, MIN(12, COUNTA(AX$3:$BJ$3)), , -MIN(12, COUNTA(AX$3:$BJ$3)) )) ))</f>
        <v>0</v>
      </c>
      <c r="AX917" s="201">
        <f ca="1">IF($E917=Parameters!$D$68, AX1009, MIN(AX1009,-SUM(OFFSET(AX986, 0, MIN(12, COUNTA(AY$3:$BJ$3)), , -MIN(12, COUNTA(AY$3:$BJ$3)) )) ))</f>
        <v>0</v>
      </c>
      <c r="AY917" s="201">
        <f ca="1">IF($E917=Parameters!$D$68, AY1009, MIN(AY1009,-SUM(OFFSET(AY986, 0, MIN(12, COUNTA(AZ$3:$BJ$3)), , -MIN(12, COUNTA(AZ$3:$BJ$3)) )) ))</f>
        <v>0</v>
      </c>
      <c r="AZ917" s="201">
        <f ca="1">IF($E917=Parameters!$D$68, AZ1009, MIN(AZ1009,-SUM(OFFSET(AZ986, 0, MIN(12, COUNTA(BA$3:$BJ$3)), , -MIN(12, COUNTA(BA$3:$BJ$3)) )) ))</f>
        <v>0</v>
      </c>
      <c r="BA917" s="201">
        <f ca="1">IF($E917=Parameters!$D$68, BA1009, MIN(BA1009,-SUM(OFFSET(BA986, 0, MIN(12, COUNTA(BB$3:$BJ$3)), , -MIN(12, COUNTA(BB$3:$BJ$3)) )) ))</f>
        <v>0</v>
      </c>
      <c r="BB917" s="201">
        <f ca="1">IF($E917=Parameters!$D$68, BB1009, MIN(BB1009,-SUM(OFFSET(BB986, 0, MIN(12, COUNTA(BC$3:$BJ$3)), , -MIN(12, COUNTA(BC$3:$BJ$3)) )) ))</f>
        <v>0</v>
      </c>
      <c r="BC917" s="201">
        <f ca="1">IF($E917=Parameters!$D$68, BC1009, MIN(BC1009,-SUM(OFFSET(BC986, 0, MIN(12, COUNTA(BD$3:$BJ$3)), , -MIN(12, COUNTA(BD$3:$BJ$3)) )) ))</f>
        <v>0</v>
      </c>
      <c r="BD917" s="201">
        <f ca="1">IF($E917=Parameters!$D$68, BD1009, MIN(BD1009,-SUM(OFFSET(BD986, 0, MIN(12, COUNTA(BE$3:$BJ$3)), , -MIN(12, COUNTA(BE$3:$BJ$3)) )) ))</f>
        <v>0</v>
      </c>
      <c r="BE917" s="201">
        <f ca="1">IF($E917=Parameters!$D$68, BE1009, MIN(BE1009,-SUM(OFFSET(BE986, 0, MIN(12, COUNTA(BF$3:$BJ$3)), , -MIN(12, COUNTA(BF$3:$BJ$3)) )) ))</f>
        <v>0</v>
      </c>
      <c r="BF917" s="201">
        <f ca="1">IF($E917=Parameters!$D$68, BF1009, MIN(BF1009,-SUM(OFFSET(BF986, 0, MIN(12, COUNTA(BG$3:$BJ$3)), , -MIN(12, COUNTA(BG$3:$BJ$3)) )) ))</f>
        <v>0</v>
      </c>
      <c r="BG917" s="201">
        <f ca="1">IF($E917=Parameters!$D$68, BG1009, MIN(BG1009,-SUM(OFFSET(BG986, 0, MIN(12, COUNTA(BH$3:$BJ$3)), , -MIN(12, COUNTA(BH$3:$BJ$3)) )) ))</f>
        <v>0</v>
      </c>
      <c r="BH917" s="201">
        <f ca="1">IF($E917=Parameters!$D$68, BH1009, MIN(BH1009,-SUM(OFFSET(BH986, 0, MIN(12, COUNTA(BI$3:$BJ$3)), , -MIN(12, COUNTA(BI$3:$BJ$3)) )) ))</f>
        <v>0</v>
      </c>
      <c r="BI917" s="201">
        <f ca="1">IF($E917=Parameters!$D$68, BI1009, MIN(BI1009,-SUM(OFFSET(BI986, 0, MIN(12, COUNTA(BJ$3:$BJ$3)), , -MIN(12, COUNTA(BJ$3:$BJ$3)) )) ))</f>
        <v>0</v>
      </c>
      <c r="BJ917" s="13">
        <f t="shared" si="1072"/>
        <v>0</v>
      </c>
      <c r="BL917" s="136"/>
      <c r="BM917" s="13">
        <f t="shared" ca="1" si="1069"/>
        <v>0</v>
      </c>
      <c r="BN917" s="13">
        <f t="shared" ca="1" si="1070"/>
        <v>0</v>
      </c>
      <c r="BO917" s="13">
        <f t="shared" si="1071"/>
        <v>0</v>
      </c>
      <c r="BP917" s="136"/>
      <c r="BQ917" s="136"/>
      <c r="BR917" s="136"/>
      <c r="BS917" s="136"/>
      <c r="BT917" s="136"/>
      <c r="BU917" s="136"/>
      <c r="BV917" s="136"/>
      <c r="BW917" s="136"/>
      <c r="BY917" s="12"/>
      <c r="BZ917" s="335"/>
      <c r="CA917" s="12"/>
      <c r="CB917" s="335"/>
      <c r="CC917" s="335"/>
      <c r="CD917" s="335"/>
      <c r="CE917" s="335"/>
      <c r="CM917" s="335"/>
      <c r="CN917" s="335"/>
      <c r="CO917" s="335"/>
      <c r="CP917" s="335"/>
      <c r="CR917" s="12"/>
      <c r="CT917" s="335"/>
      <c r="CU917" s="335"/>
      <c r="EW917" s="335"/>
      <c r="EX917" s="10" t="str">
        <f t="shared" si="1067"/>
        <v/>
      </c>
    </row>
    <row r="918" spans="2:154" s="67" customFormat="1" x14ac:dyDescent="0.25">
      <c r="B918" s="84" t="str" cm="1">
        <f t="array" aca="1" ref="B918" ca="1">HYPERLINK(CONCATENATE("#",CELL("address",$D$408)),$D$408)</f>
        <v>Loan 20</v>
      </c>
      <c r="C918" s="380"/>
      <c r="D918" s="60">
        <f>D$32</f>
        <v>0</v>
      </c>
      <c r="E918" s="221">
        <f>E$32</f>
        <v>0</v>
      </c>
      <c r="G918" s="9"/>
      <c r="H918" s="50" t="s">
        <v>125</v>
      </c>
      <c r="S918" s="335"/>
      <c r="T918" s="335"/>
      <c r="U918" s="335"/>
      <c r="V918" s="136"/>
      <c r="W918" s="201">
        <f t="shared" ca="1" si="1068"/>
        <v>0</v>
      </c>
      <c r="X918" s="201">
        <f t="shared" ca="1" si="1068"/>
        <v>0</v>
      </c>
      <c r="Y918" s="201">
        <f t="shared" si="1068"/>
        <v>0</v>
      </c>
      <c r="AA918" s="201">
        <f ca="1">IF($E918=Parameters!$D$68, AA1010, MIN(AA1010,-SUM(OFFSET(AA987, 0, MIN(12, COUNTA(AB$3:$BJ$3)), , -MIN(12, COUNTA(AB$3:$BJ$3)) )) ))</f>
        <v>0</v>
      </c>
      <c r="AB918" s="201">
        <f ca="1">IF($E918=Parameters!$D$68, AB1010, MIN(AB1010,-SUM(OFFSET(AB987, 0, MIN(12, COUNTA(AC$3:$BJ$3)), , -MIN(12, COUNTA(AC$3:$BJ$3)) )) ))</f>
        <v>0</v>
      </c>
      <c r="AC918" s="201">
        <f ca="1">IF($E918=Parameters!$D$68, AC1010, MIN(AC1010,-SUM(OFFSET(AC987, 0, MIN(12, COUNTA(AD$3:$BJ$3)), , -MIN(12, COUNTA(AD$3:$BJ$3)) )) ))</f>
        <v>0</v>
      </c>
      <c r="AD918" s="201">
        <f ca="1">IF($E918=Parameters!$D$68, AD1010, MIN(AD1010,-SUM(OFFSET(AD987, 0, MIN(12, COUNTA(AE$3:$BJ$3)), , -MIN(12, COUNTA(AE$3:$BJ$3)) )) ))</f>
        <v>0</v>
      </c>
      <c r="AE918" s="201">
        <f ca="1">IF($E918=Parameters!$D$68, AE1010, MIN(AE1010,-SUM(OFFSET(AE987, 0, MIN(12, COUNTA(AF$3:$BJ$3)), , -MIN(12, COUNTA(AF$3:$BJ$3)) )) ))</f>
        <v>0</v>
      </c>
      <c r="AF918" s="201">
        <f ca="1">IF($E918=Parameters!$D$68, AF1010, MIN(AF1010,-SUM(OFFSET(AF987, 0, MIN(12, COUNTA(AG$3:$BJ$3)), , -MIN(12, COUNTA(AG$3:$BJ$3)) )) ))</f>
        <v>0</v>
      </c>
      <c r="AG918" s="201">
        <f ca="1">IF($E918=Parameters!$D$68, AG1010, MIN(AG1010,-SUM(OFFSET(AG987, 0, MIN(12, COUNTA(AH$3:$BJ$3)), , -MIN(12, COUNTA(AH$3:$BJ$3)) )) ))</f>
        <v>0</v>
      </c>
      <c r="AH918" s="201">
        <f ca="1">IF($E918=Parameters!$D$68, AH1010, MIN(AH1010,-SUM(OFFSET(AH987, 0, MIN(12, COUNTA(AI$3:$BJ$3)), , -MIN(12, COUNTA(AI$3:$BJ$3)) )) ))</f>
        <v>0</v>
      </c>
      <c r="AI918" s="201">
        <f ca="1">IF($E918=Parameters!$D$68, AI1010, MIN(AI1010,-SUM(OFFSET(AI987, 0, MIN(12, COUNTA(AJ$3:$BJ$3)), , -MIN(12, COUNTA(AJ$3:$BJ$3)) )) ))</f>
        <v>0</v>
      </c>
      <c r="AJ918" s="201">
        <f ca="1">IF($E918=Parameters!$D$68, AJ1010, MIN(AJ1010,-SUM(OFFSET(AJ987, 0, MIN(12, COUNTA(AK$3:$BJ$3)), , -MIN(12, COUNTA(AK$3:$BJ$3)) )) ))</f>
        <v>0</v>
      </c>
      <c r="AK918" s="201">
        <f ca="1">IF($E918=Parameters!$D$68, AK1010, MIN(AK1010,-SUM(OFFSET(AK987, 0, MIN(12, COUNTA(AL$3:$BJ$3)), , -MIN(12, COUNTA(AL$3:$BJ$3)) )) ))</f>
        <v>0</v>
      </c>
      <c r="AL918" s="201">
        <f ca="1">IF($E918=Parameters!$D$68, AL1010, MIN(AL1010,-SUM(OFFSET(AL987, 0, MIN(12, COUNTA(AM$3:$BJ$3)), , -MIN(12, COUNTA(AM$3:$BJ$3)) )) ))</f>
        <v>0</v>
      </c>
      <c r="AM918" s="201">
        <f ca="1">IF($E918=Parameters!$D$68, AM1010, MIN(AM1010,-SUM(OFFSET(AM987, 0, MIN(12, COUNTA(AN$3:$BJ$3)), , -MIN(12, COUNTA(AN$3:$BJ$3)) )) ))</f>
        <v>0</v>
      </c>
      <c r="AN918" s="201">
        <f ca="1">IF($E918=Parameters!$D$68, AN1010, MIN(AN1010,-SUM(OFFSET(AN987, 0, MIN(12, COUNTA(AO$3:$BJ$3)), , -MIN(12, COUNTA(AO$3:$BJ$3)) )) ))</f>
        <v>0</v>
      </c>
      <c r="AO918" s="201">
        <f ca="1">IF($E918=Parameters!$D$68, AO1010, MIN(AO1010,-SUM(OFFSET(AO987, 0, MIN(12, COUNTA(AP$3:$BJ$3)), , -MIN(12, COUNTA(AP$3:$BJ$3)) )) ))</f>
        <v>0</v>
      </c>
      <c r="AP918" s="201">
        <f ca="1">IF($E918=Parameters!$D$68, AP1010, MIN(AP1010,-SUM(OFFSET(AP987, 0, MIN(12, COUNTA(AQ$3:$BJ$3)), , -MIN(12, COUNTA(AQ$3:$BJ$3)) )) ))</f>
        <v>0</v>
      </c>
      <c r="AQ918" s="201">
        <f ca="1">IF($E918=Parameters!$D$68, AQ1010, MIN(AQ1010,-SUM(OFFSET(AQ987, 0, MIN(12, COUNTA(AR$3:$BJ$3)), , -MIN(12, COUNTA(AR$3:$BJ$3)) )) ))</f>
        <v>0</v>
      </c>
      <c r="AR918" s="201">
        <f ca="1">IF($E918=Parameters!$D$68, AR1010, MIN(AR1010,-SUM(OFFSET(AR987, 0, MIN(12, COUNTA(AS$3:$BJ$3)), , -MIN(12, COUNTA(AS$3:$BJ$3)) )) ))</f>
        <v>0</v>
      </c>
      <c r="AS918" s="201">
        <f ca="1">IF($E918=Parameters!$D$68, AS1010, MIN(AS1010,-SUM(OFFSET(AS987, 0, MIN(12, COUNTA(AT$3:$BJ$3)), , -MIN(12, COUNTA(AT$3:$BJ$3)) )) ))</f>
        <v>0</v>
      </c>
      <c r="AT918" s="201">
        <f ca="1">IF($E918=Parameters!$D$68, AT1010, MIN(AT1010,-SUM(OFFSET(AT987, 0, MIN(12, COUNTA(AU$3:$BJ$3)), , -MIN(12, COUNTA(AU$3:$BJ$3)) )) ))</f>
        <v>0</v>
      </c>
      <c r="AU918" s="201">
        <f ca="1">IF($E918=Parameters!$D$68, AU1010, MIN(AU1010,-SUM(OFFSET(AU987, 0, MIN(12, COUNTA(AV$3:$BJ$3)), , -MIN(12, COUNTA(AV$3:$BJ$3)) )) ))</f>
        <v>0</v>
      </c>
      <c r="AV918" s="201">
        <f ca="1">IF($E918=Parameters!$D$68, AV1010, MIN(AV1010,-SUM(OFFSET(AV987, 0, MIN(12, COUNTA(AW$3:$BJ$3)), , -MIN(12, COUNTA(AW$3:$BJ$3)) )) ))</f>
        <v>0</v>
      </c>
      <c r="AW918" s="201">
        <f ca="1">IF($E918=Parameters!$D$68, AW1010, MIN(AW1010,-SUM(OFFSET(AW987, 0, MIN(12, COUNTA(AX$3:$BJ$3)), , -MIN(12, COUNTA(AX$3:$BJ$3)) )) ))</f>
        <v>0</v>
      </c>
      <c r="AX918" s="201">
        <f ca="1">IF($E918=Parameters!$D$68, AX1010, MIN(AX1010,-SUM(OFFSET(AX987, 0, MIN(12, COUNTA(AY$3:$BJ$3)), , -MIN(12, COUNTA(AY$3:$BJ$3)) )) ))</f>
        <v>0</v>
      </c>
      <c r="AY918" s="201">
        <f ca="1">IF($E918=Parameters!$D$68, AY1010, MIN(AY1010,-SUM(OFFSET(AY987, 0, MIN(12, COUNTA(AZ$3:$BJ$3)), , -MIN(12, COUNTA(AZ$3:$BJ$3)) )) ))</f>
        <v>0</v>
      </c>
      <c r="AZ918" s="201">
        <f ca="1">IF($E918=Parameters!$D$68, AZ1010, MIN(AZ1010,-SUM(OFFSET(AZ987, 0, MIN(12, COUNTA(BA$3:$BJ$3)), , -MIN(12, COUNTA(BA$3:$BJ$3)) )) ))</f>
        <v>0</v>
      </c>
      <c r="BA918" s="201">
        <f ca="1">IF($E918=Parameters!$D$68, BA1010, MIN(BA1010,-SUM(OFFSET(BA987, 0, MIN(12, COUNTA(BB$3:$BJ$3)), , -MIN(12, COUNTA(BB$3:$BJ$3)) )) ))</f>
        <v>0</v>
      </c>
      <c r="BB918" s="201">
        <f ca="1">IF($E918=Parameters!$D$68, BB1010, MIN(BB1010,-SUM(OFFSET(BB987, 0, MIN(12, COUNTA(BC$3:$BJ$3)), , -MIN(12, COUNTA(BC$3:$BJ$3)) )) ))</f>
        <v>0</v>
      </c>
      <c r="BC918" s="201">
        <f ca="1">IF($E918=Parameters!$D$68, BC1010, MIN(BC1010,-SUM(OFFSET(BC987, 0, MIN(12, COUNTA(BD$3:$BJ$3)), , -MIN(12, COUNTA(BD$3:$BJ$3)) )) ))</f>
        <v>0</v>
      </c>
      <c r="BD918" s="201">
        <f ca="1">IF($E918=Parameters!$D$68, BD1010, MIN(BD1010,-SUM(OFFSET(BD987, 0, MIN(12, COUNTA(BE$3:$BJ$3)), , -MIN(12, COUNTA(BE$3:$BJ$3)) )) ))</f>
        <v>0</v>
      </c>
      <c r="BE918" s="201">
        <f ca="1">IF($E918=Parameters!$D$68, BE1010, MIN(BE1010,-SUM(OFFSET(BE987, 0, MIN(12, COUNTA(BF$3:$BJ$3)), , -MIN(12, COUNTA(BF$3:$BJ$3)) )) ))</f>
        <v>0</v>
      </c>
      <c r="BF918" s="201">
        <f ca="1">IF($E918=Parameters!$D$68, BF1010, MIN(BF1010,-SUM(OFFSET(BF987, 0, MIN(12, COUNTA(BG$3:$BJ$3)), , -MIN(12, COUNTA(BG$3:$BJ$3)) )) ))</f>
        <v>0</v>
      </c>
      <c r="BG918" s="201">
        <f ca="1">IF($E918=Parameters!$D$68, BG1010, MIN(BG1010,-SUM(OFFSET(BG987, 0, MIN(12, COUNTA(BH$3:$BJ$3)), , -MIN(12, COUNTA(BH$3:$BJ$3)) )) ))</f>
        <v>0</v>
      </c>
      <c r="BH918" s="201">
        <f ca="1">IF($E918=Parameters!$D$68, BH1010, MIN(BH1010,-SUM(OFFSET(BH987, 0, MIN(12, COUNTA(BI$3:$BJ$3)), , -MIN(12, COUNTA(BI$3:$BJ$3)) )) ))</f>
        <v>0</v>
      </c>
      <c r="BI918" s="201">
        <f ca="1">IF($E918=Parameters!$D$68, BI1010, MIN(BI1010,-SUM(OFFSET(BI987, 0, MIN(12, COUNTA(BJ$3:$BJ$3)), , -MIN(12, COUNTA(BJ$3:$BJ$3)) )) ))</f>
        <v>0</v>
      </c>
      <c r="BJ918" s="13">
        <f t="shared" si="1072"/>
        <v>0</v>
      </c>
      <c r="BL918" s="136"/>
      <c r="BM918" s="13">
        <f t="shared" ca="1" si="1069"/>
        <v>0</v>
      </c>
      <c r="BN918" s="13">
        <f t="shared" ca="1" si="1070"/>
        <v>0</v>
      </c>
      <c r="BO918" s="13">
        <f t="shared" si="1071"/>
        <v>0</v>
      </c>
      <c r="BP918" s="136"/>
      <c r="BQ918" s="136"/>
      <c r="BR918" s="136"/>
      <c r="BS918" s="136"/>
      <c r="BT918" s="136"/>
      <c r="BU918" s="136"/>
      <c r="BV918" s="136"/>
      <c r="BW918" s="136"/>
      <c r="BY918" s="12"/>
      <c r="BZ918" s="335"/>
      <c r="CA918" s="12"/>
      <c r="CB918" s="335"/>
      <c r="CC918" s="335"/>
      <c r="CD918" s="335"/>
      <c r="CE918" s="335"/>
      <c r="CM918" s="335"/>
      <c r="CN918" s="335"/>
      <c r="CO918" s="335"/>
      <c r="CP918" s="335"/>
      <c r="CR918" s="12"/>
      <c r="CT918" s="335"/>
      <c r="CU918" s="335"/>
      <c r="EW918" s="335"/>
      <c r="EX918" s="10" t="str">
        <f t="shared" si="1067"/>
        <v/>
      </c>
    </row>
    <row r="919" spans="2:154" s="67" customFormat="1" ht="6.6" customHeight="1" x14ac:dyDescent="0.25">
      <c r="C919" s="380"/>
      <c r="D919" s="1"/>
      <c r="S919" s="335"/>
      <c r="T919" s="335"/>
      <c r="U919" s="335"/>
      <c r="V919" s="93"/>
      <c r="BM919" s="6"/>
      <c r="BY919" s="42"/>
      <c r="BZ919" s="335"/>
      <c r="CA919" s="42"/>
      <c r="CB919" s="335"/>
      <c r="CC919" s="335"/>
      <c r="CD919" s="335"/>
      <c r="CE919" s="335"/>
      <c r="CM919" s="335"/>
      <c r="CN919" s="335"/>
      <c r="CO919" s="335"/>
      <c r="CP919" s="335"/>
      <c r="CR919" s="42"/>
      <c r="CT919" s="335"/>
      <c r="CU919" s="335"/>
      <c r="EW919" s="335"/>
      <c r="EX919" s="10" t="str">
        <f t="shared" si="1067"/>
        <v/>
      </c>
    </row>
    <row r="920" spans="2:154" s="67" customFormat="1" x14ac:dyDescent="0.25">
      <c r="C920" s="380"/>
      <c r="D920" s="61" t="s">
        <v>763</v>
      </c>
      <c r="S920" s="335"/>
      <c r="T920" s="335"/>
      <c r="U920" s="335"/>
      <c r="V920" s="93"/>
      <c r="BY920" s="12"/>
      <c r="BZ920" s="335"/>
      <c r="CA920" s="12"/>
      <c r="CB920" s="335"/>
      <c r="CC920" s="335"/>
      <c r="CD920" s="335"/>
      <c r="CE920" s="335"/>
      <c r="CM920" s="335"/>
      <c r="CN920" s="335"/>
      <c r="CO920" s="335"/>
      <c r="CP920" s="335"/>
      <c r="CR920" s="12"/>
      <c r="CT920" s="335"/>
      <c r="CU920" s="335"/>
      <c r="EW920" s="335"/>
      <c r="EX920" s="10" t="str">
        <f t="shared" si="1067"/>
        <v/>
      </c>
    </row>
    <row r="921" spans="2:154" s="67" customFormat="1" ht="15.75" x14ac:dyDescent="0.25">
      <c r="B921" s="138" t="s">
        <v>551</v>
      </c>
      <c r="C921" s="380"/>
      <c r="D921" s="5" t="str">
        <f>D$11</f>
        <v>Lender</v>
      </c>
      <c r="E921" s="5" t="str">
        <f>E$11</f>
        <v>Loan Category</v>
      </c>
      <c r="S921" s="335"/>
      <c r="T921" s="335"/>
      <c r="U921" s="335"/>
      <c r="V921" s="93"/>
      <c r="AA921" s="170" t="s">
        <v>335</v>
      </c>
      <c r="BY921" s="12"/>
      <c r="BZ921" s="335"/>
      <c r="CA921" s="12"/>
      <c r="CB921" s="335"/>
      <c r="CC921" s="335"/>
      <c r="CD921" s="335"/>
      <c r="CE921" s="335"/>
      <c r="CM921" s="335"/>
      <c r="CN921" s="335"/>
      <c r="CO921" s="335"/>
      <c r="CP921" s="335"/>
      <c r="CR921" s="12"/>
      <c r="CT921" s="335"/>
      <c r="CU921" s="335"/>
      <c r="EW921" s="335"/>
      <c r="EX921" s="10" t="str">
        <f t="shared" si="1067"/>
        <v/>
      </c>
    </row>
    <row r="922" spans="2:154" s="67" customFormat="1" x14ac:dyDescent="0.25">
      <c r="B922" s="84" t="str" cm="1">
        <f t="array" aca="1" ref="B922" ca="1">HYPERLINK(CONCATENATE("#",CELL("address",$D$47)),$D$47)</f>
        <v>Loan 1</v>
      </c>
      <c r="C922" s="380"/>
      <c r="D922" s="60" t="str">
        <f>D$13</f>
        <v>NatWest</v>
      </c>
      <c r="E922" s="221" t="str">
        <f>E$13</f>
        <v xml:space="preserve">Commercial </v>
      </c>
      <c r="G922" s="9"/>
      <c r="H922" s="50" t="s">
        <v>125</v>
      </c>
      <c r="I922" s="65"/>
      <c r="S922" s="335"/>
      <c r="T922" s="335"/>
      <c r="U922" s="335"/>
      <c r="V922" s="136"/>
      <c r="W922" s="201">
        <f t="shared" ref="W922:Y941" ca="1" si="1073">INDEX($AA922:$BJ922, MATCH(W$5, $AA$5:$BJ$5, 0))</f>
        <v>0</v>
      </c>
      <c r="X922" s="201">
        <f t="shared" ca="1" si="1073"/>
        <v>0</v>
      </c>
      <c r="Y922" s="201">
        <f t="shared" si="1073"/>
        <v>0</v>
      </c>
      <c r="AA922" s="201">
        <f ca="1">AA991-AA899</f>
        <v>0</v>
      </c>
      <c r="AB922" s="201">
        <f ca="1">AB991-AB899</f>
        <v>0</v>
      </c>
      <c r="AC922" s="201">
        <f t="shared" ref="AC922:BJ922" ca="1" si="1074">AC991-AC899</f>
        <v>0</v>
      </c>
      <c r="AD922" s="201">
        <f t="shared" ca="1" si="1074"/>
        <v>0</v>
      </c>
      <c r="AE922" s="201">
        <f t="shared" ca="1" si="1074"/>
        <v>0</v>
      </c>
      <c r="AF922" s="201">
        <f t="shared" ca="1" si="1074"/>
        <v>0</v>
      </c>
      <c r="AG922" s="201">
        <f t="shared" ca="1" si="1074"/>
        <v>0</v>
      </c>
      <c r="AH922" s="201">
        <f t="shared" ca="1" si="1074"/>
        <v>0</v>
      </c>
      <c r="AI922" s="201">
        <f t="shared" ca="1" si="1074"/>
        <v>0</v>
      </c>
      <c r="AJ922" s="201">
        <f t="shared" ca="1" si="1074"/>
        <v>0</v>
      </c>
      <c r="AK922" s="201">
        <f t="shared" ca="1" si="1074"/>
        <v>0</v>
      </c>
      <c r="AL922" s="201">
        <f t="shared" ca="1" si="1074"/>
        <v>0</v>
      </c>
      <c r="AM922" s="201">
        <f t="shared" ca="1" si="1074"/>
        <v>0</v>
      </c>
      <c r="AN922" s="201">
        <f t="shared" ca="1" si="1074"/>
        <v>0</v>
      </c>
      <c r="AO922" s="201">
        <f t="shared" ca="1" si="1074"/>
        <v>0</v>
      </c>
      <c r="AP922" s="201">
        <f t="shared" ca="1" si="1074"/>
        <v>0</v>
      </c>
      <c r="AQ922" s="201">
        <f t="shared" ca="1" si="1074"/>
        <v>0</v>
      </c>
      <c r="AR922" s="201">
        <f t="shared" ca="1" si="1074"/>
        <v>0</v>
      </c>
      <c r="AS922" s="201">
        <f t="shared" ca="1" si="1074"/>
        <v>0</v>
      </c>
      <c r="AT922" s="201">
        <f t="shared" ca="1" si="1074"/>
        <v>0</v>
      </c>
      <c r="AU922" s="201">
        <f t="shared" ca="1" si="1074"/>
        <v>0</v>
      </c>
      <c r="AV922" s="201">
        <f t="shared" ca="1" si="1074"/>
        <v>0</v>
      </c>
      <c r="AW922" s="201">
        <f t="shared" ca="1" si="1074"/>
        <v>0</v>
      </c>
      <c r="AX922" s="201">
        <f t="shared" ca="1" si="1074"/>
        <v>0</v>
      </c>
      <c r="AY922" s="201">
        <f t="shared" ca="1" si="1074"/>
        <v>0</v>
      </c>
      <c r="AZ922" s="201">
        <f t="shared" ca="1" si="1074"/>
        <v>0</v>
      </c>
      <c r="BA922" s="201">
        <f t="shared" ca="1" si="1074"/>
        <v>0</v>
      </c>
      <c r="BB922" s="201">
        <f t="shared" ca="1" si="1074"/>
        <v>0</v>
      </c>
      <c r="BC922" s="201">
        <f t="shared" ca="1" si="1074"/>
        <v>0</v>
      </c>
      <c r="BD922" s="201">
        <f t="shared" ca="1" si="1074"/>
        <v>0</v>
      </c>
      <c r="BE922" s="201">
        <f t="shared" ca="1" si="1074"/>
        <v>0</v>
      </c>
      <c r="BF922" s="201">
        <f t="shared" ca="1" si="1074"/>
        <v>0</v>
      </c>
      <c r="BG922" s="201">
        <f t="shared" ca="1" si="1074"/>
        <v>0</v>
      </c>
      <c r="BH922" s="201">
        <f t="shared" ca="1" si="1074"/>
        <v>0</v>
      </c>
      <c r="BI922" s="201">
        <f t="shared" ca="1" si="1074"/>
        <v>0</v>
      </c>
      <c r="BJ922" s="201">
        <f t="shared" si="1074"/>
        <v>0</v>
      </c>
      <c r="BL922" s="136"/>
      <c r="BM922" s="13">
        <f t="shared" ref="BM922:BM941" ca="1" si="1075">W922</f>
        <v>0</v>
      </c>
      <c r="BN922" s="13">
        <f t="shared" ref="BN922:BN941" ca="1" si="1076">X922</f>
        <v>0</v>
      </c>
      <c r="BO922" s="13">
        <f t="shared" ref="BO922:BO941" si="1077">Y922</f>
        <v>0</v>
      </c>
      <c r="BP922" s="136"/>
      <c r="BQ922" s="136"/>
      <c r="BR922" s="136"/>
      <c r="BS922" s="136"/>
      <c r="BT922" s="136"/>
      <c r="BU922" s="136"/>
      <c r="BV922" s="136"/>
      <c r="BW922" s="136"/>
      <c r="BY922" s="12"/>
      <c r="BZ922" s="335"/>
      <c r="CA922" s="12"/>
      <c r="CB922" s="335"/>
      <c r="CC922" s="335"/>
      <c r="CD922" s="335"/>
      <c r="CE922" s="335"/>
      <c r="CM922" s="335"/>
      <c r="CN922" s="335"/>
      <c r="CO922" s="335"/>
      <c r="CP922" s="335"/>
      <c r="CR922" s="12"/>
      <c r="CT922" s="335"/>
      <c r="CU922" s="335"/>
      <c r="EW922" s="335"/>
      <c r="EX922" s="10" t="str">
        <f t="shared" si="1067"/>
        <v/>
      </c>
    </row>
    <row r="923" spans="2:154" s="67" customFormat="1" x14ac:dyDescent="0.25">
      <c r="B923" s="84" t="str" cm="1">
        <f t="array" aca="1" ref="B923" ca="1">HYPERLINK(CONCATENATE("#",CELL("address",$D$66)),$D$66)</f>
        <v>Loan 2</v>
      </c>
      <c r="C923" s="380"/>
      <c r="D923" s="60" t="str">
        <f>D$14</f>
        <v>NatWest</v>
      </c>
      <c r="E923" s="221" t="str">
        <f>E$14</f>
        <v xml:space="preserve">Commercial </v>
      </c>
      <c r="G923" s="9"/>
      <c r="H923" s="50" t="s">
        <v>125</v>
      </c>
      <c r="S923" s="335"/>
      <c r="T923" s="335"/>
      <c r="U923" s="335"/>
      <c r="V923" s="136"/>
      <c r="W923" s="201">
        <f t="shared" ca="1" si="1073"/>
        <v>551</v>
      </c>
      <c r="X923" s="201">
        <f t="shared" ca="1" si="1073"/>
        <v>462</v>
      </c>
      <c r="Y923" s="201">
        <f t="shared" si="1073"/>
        <v>462</v>
      </c>
      <c r="AA923" s="201">
        <f t="shared" ref="AA923:BJ923" ca="1" si="1078">AA992-AA900</f>
        <v>632</v>
      </c>
      <c r="AB923" s="201">
        <f t="shared" ca="1" si="1078"/>
        <v>624</v>
      </c>
      <c r="AC923" s="201">
        <f t="shared" ca="1" si="1078"/>
        <v>616</v>
      </c>
      <c r="AD923" s="201">
        <f t="shared" ca="1" si="1078"/>
        <v>608</v>
      </c>
      <c r="AE923" s="201">
        <f t="shared" ca="1" si="1078"/>
        <v>600</v>
      </c>
      <c r="AF923" s="201">
        <f t="shared" ca="1" si="1078"/>
        <v>593</v>
      </c>
      <c r="AG923" s="201">
        <f t="shared" ca="1" si="1078"/>
        <v>586</v>
      </c>
      <c r="AH923" s="201">
        <f t="shared" ca="1" si="1078"/>
        <v>579</v>
      </c>
      <c r="AI923" s="201">
        <f t="shared" ca="1" si="1078"/>
        <v>572</v>
      </c>
      <c r="AJ923" s="201">
        <f t="shared" ca="1" si="1078"/>
        <v>565</v>
      </c>
      <c r="AK923" s="201">
        <f t="shared" ca="1" si="1078"/>
        <v>558</v>
      </c>
      <c r="AL923" s="201">
        <f t="shared" ca="1" si="1078"/>
        <v>551</v>
      </c>
      <c r="AM923" s="201">
        <f t="shared" ca="1" si="1078"/>
        <v>543</v>
      </c>
      <c r="AN923" s="201">
        <f t="shared" ca="1" si="1078"/>
        <v>535</v>
      </c>
      <c r="AO923" s="201">
        <f t="shared" ca="1" si="1078"/>
        <v>527</v>
      </c>
      <c r="AP923" s="201">
        <f t="shared" ca="1" si="1078"/>
        <v>519</v>
      </c>
      <c r="AQ923" s="201">
        <f t="shared" ca="1" si="1078"/>
        <v>511</v>
      </c>
      <c r="AR923" s="201">
        <f t="shared" ca="1" si="1078"/>
        <v>504</v>
      </c>
      <c r="AS923" s="201">
        <f t="shared" ca="1" si="1078"/>
        <v>497</v>
      </c>
      <c r="AT923" s="201">
        <f t="shared" ca="1" si="1078"/>
        <v>490</v>
      </c>
      <c r="AU923" s="201">
        <f t="shared" ca="1" si="1078"/>
        <v>483</v>
      </c>
      <c r="AV923" s="201">
        <f t="shared" ca="1" si="1078"/>
        <v>476</v>
      </c>
      <c r="AW923" s="201">
        <f t="shared" ca="1" si="1078"/>
        <v>469</v>
      </c>
      <c r="AX923" s="201">
        <f t="shared" ca="1" si="1078"/>
        <v>462</v>
      </c>
      <c r="AY923" s="201">
        <f t="shared" ca="1" si="1078"/>
        <v>462</v>
      </c>
      <c r="AZ923" s="201">
        <f t="shared" ca="1" si="1078"/>
        <v>462</v>
      </c>
      <c r="BA923" s="201">
        <f t="shared" ca="1" si="1078"/>
        <v>462</v>
      </c>
      <c r="BB923" s="201">
        <f t="shared" ca="1" si="1078"/>
        <v>462</v>
      </c>
      <c r="BC923" s="201">
        <f t="shared" ca="1" si="1078"/>
        <v>462</v>
      </c>
      <c r="BD923" s="201">
        <f t="shared" ca="1" si="1078"/>
        <v>462</v>
      </c>
      <c r="BE923" s="201">
        <f t="shared" ca="1" si="1078"/>
        <v>462</v>
      </c>
      <c r="BF923" s="201">
        <f t="shared" ca="1" si="1078"/>
        <v>462</v>
      </c>
      <c r="BG923" s="201">
        <f t="shared" ca="1" si="1078"/>
        <v>462</v>
      </c>
      <c r="BH923" s="201">
        <f t="shared" ca="1" si="1078"/>
        <v>462</v>
      </c>
      <c r="BI923" s="201">
        <f t="shared" ca="1" si="1078"/>
        <v>462</v>
      </c>
      <c r="BJ923" s="201">
        <f t="shared" si="1078"/>
        <v>462</v>
      </c>
      <c r="BL923" s="136"/>
      <c r="BM923" s="13">
        <f t="shared" ca="1" si="1075"/>
        <v>551</v>
      </c>
      <c r="BN923" s="13">
        <f t="shared" ca="1" si="1076"/>
        <v>462</v>
      </c>
      <c r="BO923" s="13">
        <f t="shared" si="1077"/>
        <v>462</v>
      </c>
      <c r="BP923" s="136"/>
      <c r="BQ923" s="136"/>
      <c r="BR923" s="136"/>
      <c r="BS923" s="136"/>
      <c r="BT923" s="136"/>
      <c r="BU923" s="136"/>
      <c r="BV923" s="136"/>
      <c r="BW923" s="136"/>
      <c r="BY923" s="12"/>
      <c r="BZ923" s="335"/>
      <c r="CA923" s="12"/>
      <c r="CB923" s="335"/>
      <c r="CC923" s="335"/>
      <c r="CD923" s="335"/>
      <c r="CE923" s="335"/>
      <c r="CM923" s="335"/>
      <c r="CN923" s="335"/>
      <c r="CO923" s="335"/>
      <c r="CP923" s="335"/>
      <c r="CR923" s="12"/>
      <c r="CT923" s="335"/>
      <c r="CU923" s="335"/>
      <c r="EW923" s="335"/>
      <c r="EX923" s="10" t="str">
        <f t="shared" si="1067"/>
        <v/>
      </c>
    </row>
    <row r="924" spans="2:154" s="67" customFormat="1" x14ac:dyDescent="0.25">
      <c r="B924" s="84" t="str" cm="1">
        <f t="array" aca="1" ref="B924" ca="1">HYPERLINK(CONCATENATE("#",CELL("address",$D$85)),$D$85)</f>
        <v>Loan 3</v>
      </c>
      <c r="C924" s="380"/>
      <c r="D924" s="60" t="str">
        <f>D$15</f>
        <v>NatWest</v>
      </c>
      <c r="E924" s="221" t="str">
        <f>E$15</f>
        <v xml:space="preserve">Commercial </v>
      </c>
      <c r="G924" s="9"/>
      <c r="H924" s="50" t="s">
        <v>125</v>
      </c>
      <c r="S924" s="335"/>
      <c r="T924" s="335"/>
      <c r="U924" s="335"/>
      <c r="V924" s="136"/>
      <c r="W924" s="201">
        <f t="shared" ca="1" si="1073"/>
        <v>574</v>
      </c>
      <c r="X924" s="201">
        <f t="shared" ca="1" si="1073"/>
        <v>505</v>
      </c>
      <c r="Y924" s="201">
        <f t="shared" si="1073"/>
        <v>505</v>
      </c>
      <c r="AA924" s="201">
        <f t="shared" ref="AA924:BJ924" ca="1" si="1079">AA993-AA901</f>
        <v>638</v>
      </c>
      <c r="AB924" s="201">
        <f t="shared" ca="1" si="1079"/>
        <v>633</v>
      </c>
      <c r="AC924" s="201">
        <f t="shared" ca="1" si="1079"/>
        <v>628</v>
      </c>
      <c r="AD924" s="201">
        <f t="shared" ca="1" si="1079"/>
        <v>622</v>
      </c>
      <c r="AE924" s="201">
        <f t="shared" ca="1" si="1079"/>
        <v>616</v>
      </c>
      <c r="AF924" s="201">
        <f t="shared" ca="1" si="1079"/>
        <v>610</v>
      </c>
      <c r="AG924" s="201">
        <f t="shared" ca="1" si="1079"/>
        <v>604</v>
      </c>
      <c r="AH924" s="201">
        <f t="shared" ca="1" si="1079"/>
        <v>598</v>
      </c>
      <c r="AI924" s="201">
        <f t="shared" ca="1" si="1079"/>
        <v>592</v>
      </c>
      <c r="AJ924" s="201">
        <f t="shared" ca="1" si="1079"/>
        <v>586</v>
      </c>
      <c r="AK924" s="201">
        <f t="shared" ca="1" si="1079"/>
        <v>580</v>
      </c>
      <c r="AL924" s="201">
        <f t="shared" ca="1" si="1079"/>
        <v>574</v>
      </c>
      <c r="AM924" s="201">
        <f t="shared" ca="1" si="1079"/>
        <v>569</v>
      </c>
      <c r="AN924" s="201">
        <f t="shared" ca="1" si="1079"/>
        <v>564</v>
      </c>
      <c r="AO924" s="201">
        <f t="shared" ca="1" si="1079"/>
        <v>559</v>
      </c>
      <c r="AP924" s="201">
        <f t="shared" ca="1" si="1079"/>
        <v>553</v>
      </c>
      <c r="AQ924" s="201">
        <f t="shared" ca="1" si="1079"/>
        <v>547</v>
      </c>
      <c r="AR924" s="201">
        <f t="shared" ca="1" si="1079"/>
        <v>541</v>
      </c>
      <c r="AS924" s="201">
        <f t="shared" ca="1" si="1079"/>
        <v>535</v>
      </c>
      <c r="AT924" s="201">
        <f t="shared" ca="1" si="1079"/>
        <v>529</v>
      </c>
      <c r="AU924" s="201">
        <f t="shared" ca="1" si="1079"/>
        <v>523</v>
      </c>
      <c r="AV924" s="201">
        <f t="shared" ca="1" si="1079"/>
        <v>517</v>
      </c>
      <c r="AW924" s="201">
        <f t="shared" ca="1" si="1079"/>
        <v>511</v>
      </c>
      <c r="AX924" s="201">
        <f t="shared" ca="1" si="1079"/>
        <v>505</v>
      </c>
      <c r="AY924" s="201">
        <f t="shared" ca="1" si="1079"/>
        <v>505</v>
      </c>
      <c r="AZ924" s="201">
        <f t="shared" ca="1" si="1079"/>
        <v>505</v>
      </c>
      <c r="BA924" s="201">
        <f t="shared" ca="1" si="1079"/>
        <v>505</v>
      </c>
      <c r="BB924" s="201">
        <f t="shared" ca="1" si="1079"/>
        <v>505</v>
      </c>
      <c r="BC924" s="201">
        <f t="shared" ca="1" si="1079"/>
        <v>505</v>
      </c>
      <c r="BD924" s="201">
        <f t="shared" ca="1" si="1079"/>
        <v>505</v>
      </c>
      <c r="BE924" s="201">
        <f t="shared" ca="1" si="1079"/>
        <v>505</v>
      </c>
      <c r="BF924" s="201">
        <f t="shared" ca="1" si="1079"/>
        <v>505</v>
      </c>
      <c r="BG924" s="201">
        <f t="shared" ca="1" si="1079"/>
        <v>505</v>
      </c>
      <c r="BH924" s="201">
        <f t="shared" ca="1" si="1079"/>
        <v>505</v>
      </c>
      <c r="BI924" s="201">
        <f t="shared" ca="1" si="1079"/>
        <v>505</v>
      </c>
      <c r="BJ924" s="201">
        <f t="shared" si="1079"/>
        <v>505</v>
      </c>
      <c r="BL924" s="136"/>
      <c r="BM924" s="13">
        <f t="shared" ca="1" si="1075"/>
        <v>574</v>
      </c>
      <c r="BN924" s="13">
        <f t="shared" ca="1" si="1076"/>
        <v>505</v>
      </c>
      <c r="BO924" s="13">
        <f t="shared" si="1077"/>
        <v>505</v>
      </c>
      <c r="BP924" s="136"/>
      <c r="BQ924" s="136"/>
      <c r="BR924" s="136"/>
      <c r="BS924" s="136"/>
      <c r="BT924" s="136"/>
      <c r="BU924" s="136"/>
      <c r="BV924" s="136"/>
      <c r="BW924" s="136"/>
      <c r="BY924" s="12"/>
      <c r="BZ924" s="335"/>
      <c r="CA924" s="12"/>
      <c r="CB924" s="335"/>
      <c r="CC924" s="335"/>
      <c r="CD924" s="335"/>
      <c r="CE924" s="335"/>
      <c r="CM924" s="335"/>
      <c r="CN924" s="335"/>
      <c r="CO924" s="335"/>
      <c r="CP924" s="335"/>
      <c r="CR924" s="12"/>
      <c r="CT924" s="335"/>
      <c r="CU924" s="335"/>
      <c r="EW924" s="335"/>
      <c r="EX924" s="10" t="str">
        <f t="shared" si="1067"/>
        <v/>
      </c>
    </row>
    <row r="925" spans="2:154" s="67" customFormat="1" x14ac:dyDescent="0.25">
      <c r="B925" s="84" t="str" cm="1">
        <f t="array" aca="1" ref="B925" ca="1">HYPERLINK(CONCATENATE("#",CELL("address",$D$104)),$D$104)</f>
        <v>Loan 4</v>
      </c>
      <c r="C925" s="380"/>
      <c r="D925" s="60" t="str">
        <f>D$16</f>
        <v>NatWest</v>
      </c>
      <c r="E925" s="221" t="str">
        <f>E$16</f>
        <v xml:space="preserve">Commercial </v>
      </c>
      <c r="G925" s="9"/>
      <c r="H925" s="50" t="s">
        <v>125</v>
      </c>
      <c r="S925" s="335"/>
      <c r="T925" s="335"/>
      <c r="U925" s="335"/>
      <c r="V925" s="136"/>
      <c r="W925" s="201">
        <f t="shared" ca="1" si="1073"/>
        <v>603</v>
      </c>
      <c r="X925" s="201">
        <f t="shared" ca="1" si="1073"/>
        <v>541</v>
      </c>
      <c r="Y925" s="201">
        <f t="shared" si="1073"/>
        <v>541</v>
      </c>
      <c r="AA925" s="201">
        <f t="shared" ref="AA925:BJ925" ca="1" si="1080">AA994-AA902</f>
        <v>650</v>
      </c>
      <c r="AB925" s="201">
        <f t="shared" ca="1" si="1080"/>
        <v>650</v>
      </c>
      <c r="AC925" s="201">
        <f t="shared" ca="1" si="1080"/>
        <v>650</v>
      </c>
      <c r="AD925" s="201">
        <f t="shared" ca="1" si="1080"/>
        <v>635</v>
      </c>
      <c r="AE925" s="201">
        <f t="shared" ca="1" si="1080"/>
        <v>635</v>
      </c>
      <c r="AF925" s="201">
        <f t="shared" ca="1" si="1080"/>
        <v>635</v>
      </c>
      <c r="AG925" s="201">
        <f t="shared" ca="1" si="1080"/>
        <v>619</v>
      </c>
      <c r="AH925" s="201">
        <f t="shared" ca="1" si="1080"/>
        <v>619</v>
      </c>
      <c r="AI925" s="201">
        <f t="shared" ca="1" si="1080"/>
        <v>619</v>
      </c>
      <c r="AJ925" s="201">
        <f t="shared" ca="1" si="1080"/>
        <v>603</v>
      </c>
      <c r="AK925" s="201">
        <f t="shared" ca="1" si="1080"/>
        <v>603</v>
      </c>
      <c r="AL925" s="201">
        <f t="shared" ca="1" si="1080"/>
        <v>603</v>
      </c>
      <c r="AM925" s="201">
        <f t="shared" ca="1" si="1080"/>
        <v>588</v>
      </c>
      <c r="AN925" s="201">
        <f t="shared" ca="1" si="1080"/>
        <v>588</v>
      </c>
      <c r="AO925" s="201">
        <f t="shared" ca="1" si="1080"/>
        <v>588</v>
      </c>
      <c r="AP925" s="201">
        <f t="shared" ca="1" si="1080"/>
        <v>573</v>
      </c>
      <c r="AQ925" s="201">
        <f t="shared" ca="1" si="1080"/>
        <v>573</v>
      </c>
      <c r="AR925" s="201">
        <f t="shared" ca="1" si="1080"/>
        <v>573</v>
      </c>
      <c r="AS925" s="201">
        <f t="shared" ca="1" si="1080"/>
        <v>557</v>
      </c>
      <c r="AT925" s="201">
        <f t="shared" ca="1" si="1080"/>
        <v>557</v>
      </c>
      <c r="AU925" s="201">
        <f t="shared" ca="1" si="1080"/>
        <v>557</v>
      </c>
      <c r="AV925" s="201">
        <f t="shared" ca="1" si="1080"/>
        <v>541</v>
      </c>
      <c r="AW925" s="201">
        <f t="shared" ca="1" si="1080"/>
        <v>541</v>
      </c>
      <c r="AX925" s="201">
        <f t="shared" ca="1" si="1080"/>
        <v>541</v>
      </c>
      <c r="AY925" s="201">
        <f t="shared" ca="1" si="1080"/>
        <v>541</v>
      </c>
      <c r="AZ925" s="201">
        <f t="shared" ca="1" si="1080"/>
        <v>541</v>
      </c>
      <c r="BA925" s="201">
        <f t="shared" ca="1" si="1080"/>
        <v>541</v>
      </c>
      <c r="BB925" s="201">
        <f t="shared" ca="1" si="1080"/>
        <v>541</v>
      </c>
      <c r="BC925" s="201">
        <f t="shared" ca="1" si="1080"/>
        <v>541</v>
      </c>
      <c r="BD925" s="201">
        <f t="shared" ca="1" si="1080"/>
        <v>541</v>
      </c>
      <c r="BE925" s="201">
        <f t="shared" ca="1" si="1080"/>
        <v>541</v>
      </c>
      <c r="BF925" s="201">
        <f t="shared" ca="1" si="1080"/>
        <v>541</v>
      </c>
      <c r="BG925" s="201">
        <f t="shared" ca="1" si="1080"/>
        <v>541</v>
      </c>
      <c r="BH925" s="201">
        <f t="shared" ca="1" si="1080"/>
        <v>541</v>
      </c>
      <c r="BI925" s="201">
        <f t="shared" ca="1" si="1080"/>
        <v>541</v>
      </c>
      <c r="BJ925" s="201">
        <f t="shared" si="1080"/>
        <v>541</v>
      </c>
      <c r="BL925" s="136"/>
      <c r="BM925" s="13">
        <f t="shared" ca="1" si="1075"/>
        <v>603</v>
      </c>
      <c r="BN925" s="13">
        <f t="shared" ca="1" si="1076"/>
        <v>541</v>
      </c>
      <c r="BO925" s="13">
        <f t="shared" si="1077"/>
        <v>541</v>
      </c>
      <c r="BP925" s="136"/>
      <c r="BQ925" s="136"/>
      <c r="BR925" s="136"/>
      <c r="BS925" s="136"/>
      <c r="BT925" s="136"/>
      <c r="BU925" s="136"/>
      <c r="BV925" s="136"/>
      <c r="BW925" s="136"/>
      <c r="BY925" s="12"/>
      <c r="BZ925" s="335"/>
      <c r="CA925" s="12"/>
      <c r="CB925" s="335"/>
      <c r="CC925" s="335"/>
      <c r="CD925" s="335"/>
      <c r="CE925" s="335"/>
      <c r="CM925" s="335"/>
      <c r="CN925" s="335"/>
      <c r="CO925" s="335"/>
      <c r="CP925" s="335"/>
      <c r="CR925" s="12"/>
      <c r="CT925" s="335"/>
      <c r="CU925" s="335"/>
      <c r="EW925" s="335"/>
      <c r="EX925" s="10" t="str">
        <f t="shared" si="1067"/>
        <v/>
      </c>
    </row>
    <row r="926" spans="2:154" s="67" customFormat="1" x14ac:dyDescent="0.25">
      <c r="B926" s="84" t="str" cm="1">
        <f t="array" aca="1" ref="B926" ca="1">HYPERLINK(CONCATENATE("#",CELL("address",$D$123)),$D$123)</f>
        <v>Loan 5</v>
      </c>
      <c r="C926" s="380"/>
      <c r="D926" s="60" t="str">
        <f>D$17</f>
        <v>NatWest</v>
      </c>
      <c r="E926" s="221" t="str">
        <f>E$17</f>
        <v xml:space="preserve">Commercial </v>
      </c>
      <c r="G926" s="9"/>
      <c r="H926" s="50" t="s">
        <v>125</v>
      </c>
      <c r="S926" s="335"/>
      <c r="T926" s="335"/>
      <c r="U926" s="335"/>
      <c r="V926" s="136"/>
      <c r="W926" s="201">
        <f t="shared" ca="1" si="1073"/>
        <v>689</v>
      </c>
      <c r="X926" s="201">
        <f t="shared" ca="1" si="1073"/>
        <v>625</v>
      </c>
      <c r="Y926" s="201">
        <f t="shared" si="1073"/>
        <v>625</v>
      </c>
      <c r="AA926" s="201">
        <f t="shared" ref="AA926:BJ926" ca="1" si="1081">AA995-AA903</f>
        <v>737</v>
      </c>
      <c r="AB926" s="201">
        <f t="shared" ca="1" si="1081"/>
        <v>737</v>
      </c>
      <c r="AC926" s="201">
        <f t="shared" ca="1" si="1081"/>
        <v>737</v>
      </c>
      <c r="AD926" s="201">
        <f t="shared" ca="1" si="1081"/>
        <v>721</v>
      </c>
      <c r="AE926" s="201">
        <f t="shared" ca="1" si="1081"/>
        <v>721</v>
      </c>
      <c r="AF926" s="201">
        <f t="shared" ca="1" si="1081"/>
        <v>721</v>
      </c>
      <c r="AG926" s="201">
        <f t="shared" ca="1" si="1081"/>
        <v>705</v>
      </c>
      <c r="AH926" s="201">
        <f t="shared" ca="1" si="1081"/>
        <v>705</v>
      </c>
      <c r="AI926" s="201">
        <f t="shared" ca="1" si="1081"/>
        <v>705</v>
      </c>
      <c r="AJ926" s="201">
        <f t="shared" ca="1" si="1081"/>
        <v>689</v>
      </c>
      <c r="AK926" s="201">
        <f t="shared" ca="1" si="1081"/>
        <v>689</v>
      </c>
      <c r="AL926" s="201">
        <f t="shared" ca="1" si="1081"/>
        <v>689</v>
      </c>
      <c r="AM926" s="201">
        <f t="shared" ca="1" si="1081"/>
        <v>673</v>
      </c>
      <c r="AN926" s="201">
        <f t="shared" ca="1" si="1081"/>
        <v>673</v>
      </c>
      <c r="AO926" s="201">
        <f t="shared" ca="1" si="1081"/>
        <v>673</v>
      </c>
      <c r="AP926" s="201">
        <f t="shared" ca="1" si="1081"/>
        <v>657</v>
      </c>
      <c r="AQ926" s="201">
        <f t="shared" ca="1" si="1081"/>
        <v>657</v>
      </c>
      <c r="AR926" s="201">
        <f t="shared" ca="1" si="1081"/>
        <v>657</v>
      </c>
      <c r="AS926" s="201">
        <f t="shared" ca="1" si="1081"/>
        <v>641</v>
      </c>
      <c r="AT926" s="201">
        <f t="shared" ca="1" si="1081"/>
        <v>641</v>
      </c>
      <c r="AU926" s="201">
        <f t="shared" ca="1" si="1081"/>
        <v>641</v>
      </c>
      <c r="AV926" s="201">
        <f t="shared" ca="1" si="1081"/>
        <v>625</v>
      </c>
      <c r="AW926" s="201">
        <f t="shared" ca="1" si="1081"/>
        <v>625</v>
      </c>
      <c r="AX926" s="201">
        <f t="shared" ca="1" si="1081"/>
        <v>625</v>
      </c>
      <c r="AY926" s="201">
        <f t="shared" ca="1" si="1081"/>
        <v>625</v>
      </c>
      <c r="AZ926" s="201">
        <f t="shared" ca="1" si="1081"/>
        <v>625</v>
      </c>
      <c r="BA926" s="201">
        <f t="shared" ca="1" si="1081"/>
        <v>625</v>
      </c>
      <c r="BB926" s="201">
        <f t="shared" ca="1" si="1081"/>
        <v>625</v>
      </c>
      <c r="BC926" s="201">
        <f t="shared" ca="1" si="1081"/>
        <v>625</v>
      </c>
      <c r="BD926" s="201">
        <f t="shared" ca="1" si="1081"/>
        <v>625</v>
      </c>
      <c r="BE926" s="201">
        <f t="shared" ca="1" si="1081"/>
        <v>625</v>
      </c>
      <c r="BF926" s="201">
        <f t="shared" ca="1" si="1081"/>
        <v>625</v>
      </c>
      <c r="BG926" s="201">
        <f t="shared" ca="1" si="1081"/>
        <v>625</v>
      </c>
      <c r="BH926" s="201">
        <f t="shared" ca="1" si="1081"/>
        <v>625</v>
      </c>
      <c r="BI926" s="201">
        <f t="shared" ca="1" si="1081"/>
        <v>625</v>
      </c>
      <c r="BJ926" s="201">
        <f t="shared" si="1081"/>
        <v>625</v>
      </c>
      <c r="BL926" s="136"/>
      <c r="BM926" s="13">
        <f t="shared" ca="1" si="1075"/>
        <v>689</v>
      </c>
      <c r="BN926" s="13">
        <f t="shared" ca="1" si="1076"/>
        <v>625</v>
      </c>
      <c r="BO926" s="13">
        <f t="shared" si="1077"/>
        <v>625</v>
      </c>
      <c r="BP926" s="136"/>
      <c r="BQ926" s="136"/>
      <c r="BR926" s="136"/>
      <c r="BS926" s="136"/>
      <c r="BT926" s="136"/>
      <c r="BU926" s="136"/>
      <c r="BV926" s="136"/>
      <c r="BW926" s="136"/>
      <c r="BY926" s="12"/>
      <c r="BZ926" s="335"/>
      <c r="CA926" s="12"/>
      <c r="CB926" s="335"/>
      <c r="CC926" s="335"/>
      <c r="CD926" s="335"/>
      <c r="CE926" s="335"/>
      <c r="CM926" s="335"/>
      <c r="CN926" s="335"/>
      <c r="CO926" s="335"/>
      <c r="CP926" s="335"/>
      <c r="CR926" s="12"/>
      <c r="CT926" s="335"/>
      <c r="CU926" s="335"/>
      <c r="EW926" s="335"/>
      <c r="EX926" s="10" t="str">
        <f t="shared" si="1067"/>
        <v/>
      </c>
    </row>
    <row r="927" spans="2:154" s="67" customFormat="1" x14ac:dyDescent="0.25">
      <c r="B927" s="84" t="str" cm="1">
        <f t="array" aca="1" ref="B927" ca="1">HYPERLINK(CONCATENATE("#",CELL("address",$D$142)),$D$142)</f>
        <v>Loan 6</v>
      </c>
      <c r="C927" s="380"/>
      <c r="D927" s="60">
        <f>D$18</f>
        <v>0</v>
      </c>
      <c r="E927" s="221">
        <f>E$18</f>
        <v>0</v>
      </c>
      <c r="G927" s="9"/>
      <c r="H927" s="50" t="s">
        <v>125</v>
      </c>
      <c r="S927" s="335"/>
      <c r="T927" s="335"/>
      <c r="U927" s="335"/>
      <c r="V927" s="136"/>
      <c r="W927" s="201">
        <f t="shared" ca="1" si="1073"/>
        <v>0</v>
      </c>
      <c r="X927" s="201">
        <f t="shared" ca="1" si="1073"/>
        <v>0</v>
      </c>
      <c r="Y927" s="201">
        <f t="shared" si="1073"/>
        <v>0</v>
      </c>
      <c r="AA927" s="201">
        <f t="shared" ref="AA927:BJ927" ca="1" si="1082">AA996-AA904</f>
        <v>0</v>
      </c>
      <c r="AB927" s="201">
        <f t="shared" ca="1" si="1082"/>
        <v>0</v>
      </c>
      <c r="AC927" s="201">
        <f t="shared" ca="1" si="1082"/>
        <v>0</v>
      </c>
      <c r="AD927" s="201">
        <f t="shared" ca="1" si="1082"/>
        <v>0</v>
      </c>
      <c r="AE927" s="201">
        <f t="shared" ca="1" si="1082"/>
        <v>0</v>
      </c>
      <c r="AF927" s="201">
        <f t="shared" ca="1" si="1082"/>
        <v>0</v>
      </c>
      <c r="AG927" s="201">
        <f t="shared" ca="1" si="1082"/>
        <v>0</v>
      </c>
      <c r="AH927" s="201">
        <f t="shared" ca="1" si="1082"/>
        <v>0</v>
      </c>
      <c r="AI927" s="201">
        <f t="shared" ca="1" si="1082"/>
        <v>0</v>
      </c>
      <c r="AJ927" s="201">
        <f t="shared" ca="1" si="1082"/>
        <v>0</v>
      </c>
      <c r="AK927" s="201">
        <f t="shared" ca="1" si="1082"/>
        <v>0</v>
      </c>
      <c r="AL927" s="201">
        <f t="shared" ca="1" si="1082"/>
        <v>0</v>
      </c>
      <c r="AM927" s="201">
        <f t="shared" ca="1" si="1082"/>
        <v>0</v>
      </c>
      <c r="AN927" s="201">
        <f t="shared" ca="1" si="1082"/>
        <v>0</v>
      </c>
      <c r="AO927" s="201">
        <f t="shared" ca="1" si="1082"/>
        <v>0</v>
      </c>
      <c r="AP927" s="201">
        <f t="shared" ca="1" si="1082"/>
        <v>0</v>
      </c>
      <c r="AQ927" s="201">
        <f t="shared" ca="1" si="1082"/>
        <v>0</v>
      </c>
      <c r="AR927" s="201">
        <f t="shared" ca="1" si="1082"/>
        <v>0</v>
      </c>
      <c r="AS927" s="201">
        <f t="shared" ca="1" si="1082"/>
        <v>0</v>
      </c>
      <c r="AT927" s="201">
        <f t="shared" ca="1" si="1082"/>
        <v>0</v>
      </c>
      <c r="AU927" s="201">
        <f t="shared" ca="1" si="1082"/>
        <v>0</v>
      </c>
      <c r="AV927" s="201">
        <f t="shared" ca="1" si="1082"/>
        <v>0</v>
      </c>
      <c r="AW927" s="201">
        <f t="shared" ca="1" si="1082"/>
        <v>0</v>
      </c>
      <c r="AX927" s="201">
        <f t="shared" ca="1" si="1082"/>
        <v>0</v>
      </c>
      <c r="AY927" s="201">
        <f t="shared" ca="1" si="1082"/>
        <v>0</v>
      </c>
      <c r="AZ927" s="201">
        <f t="shared" ca="1" si="1082"/>
        <v>0</v>
      </c>
      <c r="BA927" s="201">
        <f t="shared" ca="1" si="1082"/>
        <v>0</v>
      </c>
      <c r="BB927" s="201">
        <f t="shared" ca="1" si="1082"/>
        <v>0</v>
      </c>
      <c r="BC927" s="201">
        <f t="shared" ca="1" si="1082"/>
        <v>0</v>
      </c>
      <c r="BD927" s="201">
        <f t="shared" ca="1" si="1082"/>
        <v>0</v>
      </c>
      <c r="BE927" s="201">
        <f t="shared" ca="1" si="1082"/>
        <v>0</v>
      </c>
      <c r="BF927" s="201">
        <f t="shared" ca="1" si="1082"/>
        <v>0</v>
      </c>
      <c r="BG927" s="201">
        <f t="shared" ca="1" si="1082"/>
        <v>0</v>
      </c>
      <c r="BH927" s="201">
        <f t="shared" ca="1" si="1082"/>
        <v>0</v>
      </c>
      <c r="BI927" s="201">
        <f t="shared" ca="1" si="1082"/>
        <v>0</v>
      </c>
      <c r="BJ927" s="201">
        <f t="shared" si="1082"/>
        <v>0</v>
      </c>
      <c r="BL927" s="136"/>
      <c r="BM927" s="13">
        <f t="shared" ca="1" si="1075"/>
        <v>0</v>
      </c>
      <c r="BN927" s="13">
        <f t="shared" ca="1" si="1076"/>
        <v>0</v>
      </c>
      <c r="BO927" s="13">
        <f t="shared" si="1077"/>
        <v>0</v>
      </c>
      <c r="BP927" s="136"/>
      <c r="BQ927" s="136"/>
      <c r="BR927" s="136"/>
      <c r="BS927" s="136"/>
      <c r="BT927" s="136"/>
      <c r="BU927" s="136"/>
      <c r="BV927" s="136"/>
      <c r="BW927" s="136"/>
      <c r="BY927" s="12"/>
      <c r="BZ927" s="335"/>
      <c r="CA927" s="12"/>
      <c r="CB927" s="335"/>
      <c r="CC927" s="335"/>
      <c r="CD927" s="335"/>
      <c r="CE927" s="335"/>
      <c r="CM927" s="335"/>
      <c r="CN927" s="335"/>
      <c r="CO927" s="335"/>
      <c r="CP927" s="335"/>
      <c r="CR927" s="12"/>
      <c r="CT927" s="335"/>
      <c r="CU927" s="335"/>
      <c r="EW927" s="335"/>
      <c r="EX927" s="10" t="str">
        <f t="shared" si="1067"/>
        <v/>
      </c>
    </row>
    <row r="928" spans="2:154" s="67" customFormat="1" x14ac:dyDescent="0.25">
      <c r="B928" s="84" t="str" cm="1">
        <f t="array" aca="1" ref="B928" ca="1">HYPERLINK(CONCATENATE("#",CELL("address",$D$161)),$D$161)</f>
        <v>Loan 7</v>
      </c>
      <c r="C928" s="380"/>
      <c r="D928" s="60">
        <f>D$19</f>
        <v>0</v>
      </c>
      <c r="E928" s="221">
        <f>E$19</f>
        <v>0</v>
      </c>
      <c r="G928" s="9"/>
      <c r="H928" s="50" t="s">
        <v>125</v>
      </c>
      <c r="S928" s="335"/>
      <c r="T928" s="335"/>
      <c r="U928" s="335"/>
      <c r="V928" s="136"/>
      <c r="W928" s="201">
        <f t="shared" ca="1" si="1073"/>
        <v>0</v>
      </c>
      <c r="X928" s="201">
        <f t="shared" ca="1" si="1073"/>
        <v>0</v>
      </c>
      <c r="Y928" s="201">
        <f t="shared" si="1073"/>
        <v>0</v>
      </c>
      <c r="AA928" s="201">
        <f t="shared" ref="AA928:BJ928" ca="1" si="1083">AA997-AA905</f>
        <v>0</v>
      </c>
      <c r="AB928" s="201">
        <f t="shared" ca="1" si="1083"/>
        <v>0</v>
      </c>
      <c r="AC928" s="201">
        <f t="shared" ca="1" si="1083"/>
        <v>0</v>
      </c>
      <c r="AD928" s="201">
        <f t="shared" ca="1" si="1083"/>
        <v>0</v>
      </c>
      <c r="AE928" s="201">
        <f t="shared" ca="1" si="1083"/>
        <v>0</v>
      </c>
      <c r="AF928" s="201">
        <f t="shared" ca="1" si="1083"/>
        <v>0</v>
      </c>
      <c r="AG928" s="201">
        <f t="shared" ca="1" si="1083"/>
        <v>0</v>
      </c>
      <c r="AH928" s="201">
        <f t="shared" ca="1" si="1083"/>
        <v>0</v>
      </c>
      <c r="AI928" s="201">
        <f t="shared" ca="1" si="1083"/>
        <v>0</v>
      </c>
      <c r="AJ928" s="201">
        <f t="shared" ca="1" si="1083"/>
        <v>0</v>
      </c>
      <c r="AK928" s="201">
        <f t="shared" ca="1" si="1083"/>
        <v>0</v>
      </c>
      <c r="AL928" s="201">
        <f t="shared" ca="1" si="1083"/>
        <v>0</v>
      </c>
      <c r="AM928" s="201">
        <f t="shared" ca="1" si="1083"/>
        <v>0</v>
      </c>
      <c r="AN928" s="201">
        <f t="shared" ca="1" si="1083"/>
        <v>0</v>
      </c>
      <c r="AO928" s="201">
        <f t="shared" ca="1" si="1083"/>
        <v>0</v>
      </c>
      <c r="AP928" s="201">
        <f t="shared" ca="1" si="1083"/>
        <v>0</v>
      </c>
      <c r="AQ928" s="201">
        <f t="shared" ca="1" si="1083"/>
        <v>0</v>
      </c>
      <c r="AR928" s="201">
        <f t="shared" ca="1" si="1083"/>
        <v>0</v>
      </c>
      <c r="AS928" s="201">
        <f t="shared" ca="1" si="1083"/>
        <v>0</v>
      </c>
      <c r="AT928" s="201">
        <f t="shared" ca="1" si="1083"/>
        <v>0</v>
      </c>
      <c r="AU928" s="201">
        <f t="shared" ca="1" si="1083"/>
        <v>0</v>
      </c>
      <c r="AV928" s="201">
        <f t="shared" ca="1" si="1083"/>
        <v>0</v>
      </c>
      <c r="AW928" s="201">
        <f t="shared" ca="1" si="1083"/>
        <v>0</v>
      </c>
      <c r="AX928" s="201">
        <f t="shared" ca="1" si="1083"/>
        <v>0</v>
      </c>
      <c r="AY928" s="201">
        <f t="shared" ca="1" si="1083"/>
        <v>0</v>
      </c>
      <c r="AZ928" s="201">
        <f t="shared" ca="1" si="1083"/>
        <v>0</v>
      </c>
      <c r="BA928" s="201">
        <f t="shared" ca="1" si="1083"/>
        <v>0</v>
      </c>
      <c r="BB928" s="201">
        <f t="shared" ca="1" si="1083"/>
        <v>0</v>
      </c>
      <c r="BC928" s="201">
        <f t="shared" ca="1" si="1083"/>
        <v>0</v>
      </c>
      <c r="BD928" s="201">
        <f t="shared" ca="1" si="1083"/>
        <v>0</v>
      </c>
      <c r="BE928" s="201">
        <f t="shared" ca="1" si="1083"/>
        <v>0</v>
      </c>
      <c r="BF928" s="201">
        <f t="shared" ca="1" si="1083"/>
        <v>0</v>
      </c>
      <c r="BG928" s="201">
        <f t="shared" ca="1" si="1083"/>
        <v>0</v>
      </c>
      <c r="BH928" s="201">
        <f t="shared" ca="1" si="1083"/>
        <v>0</v>
      </c>
      <c r="BI928" s="201">
        <f t="shared" ca="1" si="1083"/>
        <v>0</v>
      </c>
      <c r="BJ928" s="201">
        <f t="shared" si="1083"/>
        <v>0</v>
      </c>
      <c r="BL928" s="136"/>
      <c r="BM928" s="13">
        <f t="shared" ca="1" si="1075"/>
        <v>0</v>
      </c>
      <c r="BN928" s="13">
        <f t="shared" ca="1" si="1076"/>
        <v>0</v>
      </c>
      <c r="BO928" s="13">
        <f t="shared" si="1077"/>
        <v>0</v>
      </c>
      <c r="BP928" s="136"/>
      <c r="BQ928" s="136"/>
      <c r="BR928" s="136"/>
      <c r="BS928" s="136"/>
      <c r="BT928" s="136"/>
      <c r="BU928" s="136"/>
      <c r="BV928" s="136"/>
      <c r="BW928" s="136"/>
      <c r="BY928" s="12"/>
      <c r="BZ928" s="335"/>
      <c r="CA928" s="12"/>
      <c r="CB928" s="335"/>
      <c r="CC928" s="335"/>
      <c r="CD928" s="335"/>
      <c r="CE928" s="335"/>
      <c r="CM928" s="335"/>
      <c r="CN928" s="335"/>
      <c r="CO928" s="335"/>
      <c r="CP928" s="335"/>
      <c r="CR928" s="12"/>
      <c r="CT928" s="335"/>
      <c r="CU928" s="335"/>
      <c r="EW928" s="335"/>
      <c r="EX928" s="10" t="str">
        <f t="shared" si="1067"/>
        <v/>
      </c>
    </row>
    <row r="929" spans="1:154" s="67" customFormat="1" x14ac:dyDescent="0.25">
      <c r="B929" s="84" t="str" cm="1">
        <f t="array" aca="1" ref="B929" ca="1">HYPERLINK(CONCATENATE("#",CELL("address",$D$180)),$D$180)</f>
        <v>Loan 8</v>
      </c>
      <c r="C929" s="380"/>
      <c r="D929" s="60">
        <f>D$20</f>
        <v>0</v>
      </c>
      <c r="E929" s="221">
        <f>E$20</f>
        <v>0</v>
      </c>
      <c r="G929" s="9"/>
      <c r="H929" s="50" t="s">
        <v>125</v>
      </c>
      <c r="S929" s="335"/>
      <c r="T929" s="335"/>
      <c r="U929" s="335"/>
      <c r="V929" s="136"/>
      <c r="W929" s="201">
        <f t="shared" ca="1" si="1073"/>
        <v>0</v>
      </c>
      <c r="X929" s="201">
        <f t="shared" ca="1" si="1073"/>
        <v>0</v>
      </c>
      <c r="Y929" s="201">
        <f t="shared" si="1073"/>
        <v>0</v>
      </c>
      <c r="AA929" s="201">
        <f t="shared" ref="AA929:BJ929" ca="1" si="1084">AA998-AA906</f>
        <v>0</v>
      </c>
      <c r="AB929" s="201">
        <f t="shared" ca="1" si="1084"/>
        <v>0</v>
      </c>
      <c r="AC929" s="201">
        <f t="shared" ca="1" si="1084"/>
        <v>0</v>
      </c>
      <c r="AD929" s="201">
        <f t="shared" ca="1" si="1084"/>
        <v>0</v>
      </c>
      <c r="AE929" s="201">
        <f t="shared" ca="1" si="1084"/>
        <v>0</v>
      </c>
      <c r="AF929" s="201">
        <f t="shared" ca="1" si="1084"/>
        <v>0</v>
      </c>
      <c r="AG929" s="201">
        <f t="shared" ca="1" si="1084"/>
        <v>0</v>
      </c>
      <c r="AH929" s="201">
        <f t="shared" ca="1" si="1084"/>
        <v>0</v>
      </c>
      <c r="AI929" s="201">
        <f t="shared" ca="1" si="1084"/>
        <v>0</v>
      </c>
      <c r="AJ929" s="201">
        <f t="shared" ca="1" si="1084"/>
        <v>0</v>
      </c>
      <c r="AK929" s="201">
        <f t="shared" ca="1" si="1084"/>
        <v>0</v>
      </c>
      <c r="AL929" s="201">
        <f t="shared" ca="1" si="1084"/>
        <v>0</v>
      </c>
      <c r="AM929" s="201">
        <f t="shared" ca="1" si="1084"/>
        <v>0</v>
      </c>
      <c r="AN929" s="201">
        <f t="shared" ca="1" si="1084"/>
        <v>0</v>
      </c>
      <c r="AO929" s="201">
        <f t="shared" ca="1" si="1084"/>
        <v>0</v>
      </c>
      <c r="AP929" s="201">
        <f t="shared" ca="1" si="1084"/>
        <v>0</v>
      </c>
      <c r="AQ929" s="201">
        <f t="shared" ca="1" si="1084"/>
        <v>0</v>
      </c>
      <c r="AR929" s="201">
        <f t="shared" ca="1" si="1084"/>
        <v>0</v>
      </c>
      <c r="AS929" s="201">
        <f t="shared" ca="1" si="1084"/>
        <v>0</v>
      </c>
      <c r="AT929" s="201">
        <f t="shared" ca="1" si="1084"/>
        <v>0</v>
      </c>
      <c r="AU929" s="201">
        <f t="shared" ca="1" si="1084"/>
        <v>0</v>
      </c>
      <c r="AV929" s="201">
        <f t="shared" ca="1" si="1084"/>
        <v>0</v>
      </c>
      <c r="AW929" s="201">
        <f t="shared" ca="1" si="1084"/>
        <v>0</v>
      </c>
      <c r="AX929" s="201">
        <f t="shared" ca="1" si="1084"/>
        <v>0</v>
      </c>
      <c r="AY929" s="201">
        <f t="shared" ca="1" si="1084"/>
        <v>0</v>
      </c>
      <c r="AZ929" s="201">
        <f t="shared" ca="1" si="1084"/>
        <v>0</v>
      </c>
      <c r="BA929" s="201">
        <f t="shared" ca="1" si="1084"/>
        <v>0</v>
      </c>
      <c r="BB929" s="201">
        <f t="shared" ca="1" si="1084"/>
        <v>0</v>
      </c>
      <c r="BC929" s="201">
        <f t="shared" ca="1" si="1084"/>
        <v>0</v>
      </c>
      <c r="BD929" s="201">
        <f t="shared" ca="1" si="1084"/>
        <v>0</v>
      </c>
      <c r="BE929" s="201">
        <f t="shared" ca="1" si="1084"/>
        <v>0</v>
      </c>
      <c r="BF929" s="201">
        <f t="shared" ca="1" si="1084"/>
        <v>0</v>
      </c>
      <c r="BG929" s="201">
        <f t="shared" ca="1" si="1084"/>
        <v>0</v>
      </c>
      <c r="BH929" s="201">
        <f t="shared" ca="1" si="1084"/>
        <v>0</v>
      </c>
      <c r="BI929" s="201">
        <f t="shared" ca="1" si="1084"/>
        <v>0</v>
      </c>
      <c r="BJ929" s="201">
        <f t="shared" si="1084"/>
        <v>0</v>
      </c>
      <c r="BL929" s="136"/>
      <c r="BM929" s="13">
        <f t="shared" ca="1" si="1075"/>
        <v>0</v>
      </c>
      <c r="BN929" s="13">
        <f t="shared" ca="1" si="1076"/>
        <v>0</v>
      </c>
      <c r="BO929" s="13">
        <f t="shared" si="1077"/>
        <v>0</v>
      </c>
      <c r="BP929" s="136"/>
      <c r="BQ929" s="136"/>
      <c r="BR929" s="136"/>
      <c r="BS929" s="136"/>
      <c r="BT929" s="136"/>
      <c r="BU929" s="136"/>
      <c r="BV929" s="136"/>
      <c r="BW929" s="136"/>
      <c r="BY929" s="12"/>
      <c r="BZ929" s="335"/>
      <c r="CA929" s="12"/>
      <c r="CB929" s="335"/>
      <c r="CC929" s="335"/>
      <c r="CD929" s="335"/>
      <c r="CE929" s="335"/>
      <c r="CM929" s="335"/>
      <c r="CN929" s="335"/>
      <c r="CO929" s="335"/>
      <c r="CP929" s="335"/>
      <c r="CR929" s="12"/>
      <c r="CT929" s="335"/>
      <c r="CU929" s="335"/>
      <c r="EW929" s="335"/>
      <c r="EX929" s="10" t="str">
        <f t="shared" si="1067"/>
        <v/>
      </c>
    </row>
    <row r="930" spans="1:154" s="67" customFormat="1" x14ac:dyDescent="0.25">
      <c r="B930" s="84" t="str" cm="1">
        <f t="array" aca="1" ref="B930" ca="1">HYPERLINK(CONCATENATE("#",CELL("address",$D$199)),$D$199)</f>
        <v>Loan 9</v>
      </c>
      <c r="C930" s="380"/>
      <c r="D930" s="60">
        <f>D$21</f>
        <v>0</v>
      </c>
      <c r="E930" s="221">
        <f>E$21</f>
        <v>0</v>
      </c>
      <c r="G930" s="9"/>
      <c r="H930" s="50" t="s">
        <v>125</v>
      </c>
      <c r="S930" s="335"/>
      <c r="T930" s="335"/>
      <c r="U930" s="335"/>
      <c r="V930" s="136"/>
      <c r="W930" s="201">
        <f t="shared" ca="1" si="1073"/>
        <v>0</v>
      </c>
      <c r="X930" s="201">
        <f t="shared" ca="1" si="1073"/>
        <v>0</v>
      </c>
      <c r="Y930" s="201">
        <f t="shared" si="1073"/>
        <v>0</v>
      </c>
      <c r="AA930" s="201">
        <f t="shared" ref="AA930:BJ930" ca="1" si="1085">AA999-AA907</f>
        <v>0</v>
      </c>
      <c r="AB930" s="201">
        <f t="shared" ca="1" si="1085"/>
        <v>0</v>
      </c>
      <c r="AC930" s="201">
        <f t="shared" ca="1" si="1085"/>
        <v>0</v>
      </c>
      <c r="AD930" s="201">
        <f t="shared" ca="1" si="1085"/>
        <v>0</v>
      </c>
      <c r="AE930" s="201">
        <f t="shared" ca="1" si="1085"/>
        <v>0</v>
      </c>
      <c r="AF930" s="201">
        <f t="shared" ca="1" si="1085"/>
        <v>0</v>
      </c>
      <c r="AG930" s="201">
        <f t="shared" ca="1" si="1085"/>
        <v>0</v>
      </c>
      <c r="AH930" s="201">
        <f t="shared" ca="1" si="1085"/>
        <v>0</v>
      </c>
      <c r="AI930" s="201">
        <f t="shared" ca="1" si="1085"/>
        <v>0</v>
      </c>
      <c r="AJ930" s="201">
        <f t="shared" ca="1" si="1085"/>
        <v>0</v>
      </c>
      <c r="AK930" s="201">
        <f t="shared" ca="1" si="1085"/>
        <v>0</v>
      </c>
      <c r="AL930" s="201">
        <f t="shared" ca="1" si="1085"/>
        <v>0</v>
      </c>
      <c r="AM930" s="201">
        <f t="shared" ca="1" si="1085"/>
        <v>0</v>
      </c>
      <c r="AN930" s="201">
        <f t="shared" ca="1" si="1085"/>
        <v>0</v>
      </c>
      <c r="AO930" s="201">
        <f t="shared" ca="1" si="1085"/>
        <v>0</v>
      </c>
      <c r="AP930" s="201">
        <f t="shared" ca="1" si="1085"/>
        <v>0</v>
      </c>
      <c r="AQ930" s="201">
        <f t="shared" ca="1" si="1085"/>
        <v>0</v>
      </c>
      <c r="AR930" s="201">
        <f t="shared" ca="1" si="1085"/>
        <v>0</v>
      </c>
      <c r="AS930" s="201">
        <f t="shared" ca="1" si="1085"/>
        <v>0</v>
      </c>
      <c r="AT930" s="201">
        <f t="shared" ca="1" si="1085"/>
        <v>0</v>
      </c>
      <c r="AU930" s="201">
        <f t="shared" ca="1" si="1085"/>
        <v>0</v>
      </c>
      <c r="AV930" s="201">
        <f t="shared" ca="1" si="1085"/>
        <v>0</v>
      </c>
      <c r="AW930" s="201">
        <f t="shared" ca="1" si="1085"/>
        <v>0</v>
      </c>
      <c r="AX930" s="201">
        <f t="shared" ca="1" si="1085"/>
        <v>0</v>
      </c>
      <c r="AY930" s="201">
        <f t="shared" ca="1" si="1085"/>
        <v>0</v>
      </c>
      <c r="AZ930" s="201">
        <f t="shared" ca="1" si="1085"/>
        <v>0</v>
      </c>
      <c r="BA930" s="201">
        <f t="shared" ca="1" si="1085"/>
        <v>0</v>
      </c>
      <c r="BB930" s="201">
        <f t="shared" ca="1" si="1085"/>
        <v>0</v>
      </c>
      <c r="BC930" s="201">
        <f t="shared" ca="1" si="1085"/>
        <v>0</v>
      </c>
      <c r="BD930" s="201">
        <f t="shared" ca="1" si="1085"/>
        <v>0</v>
      </c>
      <c r="BE930" s="201">
        <f t="shared" ca="1" si="1085"/>
        <v>0</v>
      </c>
      <c r="BF930" s="201">
        <f t="shared" ca="1" si="1085"/>
        <v>0</v>
      </c>
      <c r="BG930" s="201">
        <f t="shared" ca="1" si="1085"/>
        <v>0</v>
      </c>
      <c r="BH930" s="201">
        <f t="shared" ca="1" si="1085"/>
        <v>0</v>
      </c>
      <c r="BI930" s="201">
        <f t="shared" ca="1" si="1085"/>
        <v>0</v>
      </c>
      <c r="BJ930" s="201">
        <f t="shared" si="1085"/>
        <v>0</v>
      </c>
      <c r="BL930" s="136"/>
      <c r="BM930" s="13">
        <f t="shared" ca="1" si="1075"/>
        <v>0</v>
      </c>
      <c r="BN930" s="13">
        <f t="shared" ca="1" si="1076"/>
        <v>0</v>
      </c>
      <c r="BO930" s="13">
        <f t="shared" si="1077"/>
        <v>0</v>
      </c>
      <c r="BP930" s="136"/>
      <c r="BQ930" s="136"/>
      <c r="BR930" s="136"/>
      <c r="BS930" s="136"/>
      <c r="BT930" s="136"/>
      <c r="BU930" s="136"/>
      <c r="BV930" s="136"/>
      <c r="BW930" s="136"/>
      <c r="BY930" s="12"/>
      <c r="BZ930" s="335"/>
      <c r="CA930" s="12"/>
      <c r="CB930" s="335"/>
      <c r="CC930" s="335"/>
      <c r="CD930" s="335"/>
      <c r="CE930" s="335"/>
      <c r="CM930" s="335"/>
      <c r="CN930" s="335"/>
      <c r="CO930" s="335"/>
      <c r="CP930" s="335"/>
      <c r="CR930" s="12"/>
      <c r="CT930" s="335"/>
      <c r="CU930" s="335"/>
      <c r="EW930" s="335"/>
      <c r="EX930" s="10" t="str">
        <f t="shared" si="1067"/>
        <v/>
      </c>
    </row>
    <row r="931" spans="1:154" s="67" customFormat="1" x14ac:dyDescent="0.25">
      <c r="B931" s="84" t="str" cm="1">
        <f t="array" aca="1" ref="B931" ca="1">HYPERLINK(CONCATENATE("#",CELL("address",$D$218)),$D$218)</f>
        <v>Loan 10</v>
      </c>
      <c r="C931" s="380"/>
      <c r="D931" s="60">
        <f>D$22</f>
        <v>0</v>
      </c>
      <c r="E931" s="221">
        <f>E$22</f>
        <v>0</v>
      </c>
      <c r="G931" s="9"/>
      <c r="H931" s="50" t="s">
        <v>125</v>
      </c>
      <c r="S931" s="335"/>
      <c r="T931" s="335"/>
      <c r="U931" s="335"/>
      <c r="V931" s="136"/>
      <c r="W931" s="201">
        <f t="shared" ca="1" si="1073"/>
        <v>0</v>
      </c>
      <c r="X931" s="201">
        <f t="shared" ca="1" si="1073"/>
        <v>0</v>
      </c>
      <c r="Y931" s="201">
        <f t="shared" si="1073"/>
        <v>0</v>
      </c>
      <c r="AA931" s="201">
        <f t="shared" ref="AA931:BJ931" ca="1" si="1086">AA1000-AA908</f>
        <v>0</v>
      </c>
      <c r="AB931" s="201">
        <f t="shared" ca="1" si="1086"/>
        <v>0</v>
      </c>
      <c r="AC931" s="201">
        <f t="shared" ca="1" si="1086"/>
        <v>0</v>
      </c>
      <c r="AD931" s="201">
        <f t="shared" ca="1" si="1086"/>
        <v>0</v>
      </c>
      <c r="AE931" s="201">
        <f t="shared" ca="1" si="1086"/>
        <v>0</v>
      </c>
      <c r="AF931" s="201">
        <f t="shared" ca="1" si="1086"/>
        <v>0</v>
      </c>
      <c r="AG931" s="201">
        <f t="shared" ca="1" si="1086"/>
        <v>0</v>
      </c>
      <c r="AH931" s="201">
        <f t="shared" ca="1" si="1086"/>
        <v>0</v>
      </c>
      <c r="AI931" s="201">
        <f t="shared" ca="1" si="1086"/>
        <v>0</v>
      </c>
      <c r="AJ931" s="201">
        <f t="shared" ca="1" si="1086"/>
        <v>0</v>
      </c>
      <c r="AK931" s="201">
        <f t="shared" ca="1" si="1086"/>
        <v>0</v>
      </c>
      <c r="AL931" s="201">
        <f t="shared" ca="1" si="1086"/>
        <v>0</v>
      </c>
      <c r="AM931" s="201">
        <f t="shared" ca="1" si="1086"/>
        <v>0</v>
      </c>
      <c r="AN931" s="201">
        <f t="shared" ca="1" si="1086"/>
        <v>0</v>
      </c>
      <c r="AO931" s="201">
        <f t="shared" ca="1" si="1086"/>
        <v>0</v>
      </c>
      <c r="AP931" s="201">
        <f t="shared" ca="1" si="1086"/>
        <v>0</v>
      </c>
      <c r="AQ931" s="201">
        <f t="shared" ca="1" si="1086"/>
        <v>0</v>
      </c>
      <c r="AR931" s="201">
        <f t="shared" ca="1" si="1086"/>
        <v>0</v>
      </c>
      <c r="AS931" s="201">
        <f t="shared" ca="1" si="1086"/>
        <v>0</v>
      </c>
      <c r="AT931" s="201">
        <f t="shared" ca="1" si="1086"/>
        <v>0</v>
      </c>
      <c r="AU931" s="201">
        <f t="shared" ca="1" si="1086"/>
        <v>0</v>
      </c>
      <c r="AV931" s="201">
        <f t="shared" ca="1" si="1086"/>
        <v>0</v>
      </c>
      <c r="AW931" s="201">
        <f t="shared" ca="1" si="1086"/>
        <v>0</v>
      </c>
      <c r="AX931" s="201">
        <f t="shared" ca="1" si="1086"/>
        <v>0</v>
      </c>
      <c r="AY931" s="201">
        <f t="shared" ca="1" si="1086"/>
        <v>0</v>
      </c>
      <c r="AZ931" s="201">
        <f t="shared" ca="1" si="1086"/>
        <v>0</v>
      </c>
      <c r="BA931" s="201">
        <f t="shared" ca="1" si="1086"/>
        <v>0</v>
      </c>
      <c r="BB931" s="201">
        <f t="shared" ca="1" si="1086"/>
        <v>0</v>
      </c>
      <c r="BC931" s="201">
        <f t="shared" ca="1" si="1086"/>
        <v>0</v>
      </c>
      <c r="BD931" s="201">
        <f t="shared" ca="1" si="1086"/>
        <v>0</v>
      </c>
      <c r="BE931" s="201">
        <f t="shared" ca="1" si="1086"/>
        <v>0</v>
      </c>
      <c r="BF931" s="201">
        <f t="shared" ca="1" si="1086"/>
        <v>0</v>
      </c>
      <c r="BG931" s="201">
        <f t="shared" ca="1" si="1086"/>
        <v>0</v>
      </c>
      <c r="BH931" s="201">
        <f t="shared" ca="1" si="1086"/>
        <v>0</v>
      </c>
      <c r="BI931" s="201">
        <f t="shared" ca="1" si="1086"/>
        <v>0</v>
      </c>
      <c r="BJ931" s="201">
        <f t="shared" si="1086"/>
        <v>0</v>
      </c>
      <c r="BL931" s="136"/>
      <c r="BM931" s="13">
        <f t="shared" ca="1" si="1075"/>
        <v>0</v>
      </c>
      <c r="BN931" s="13">
        <f t="shared" ca="1" si="1076"/>
        <v>0</v>
      </c>
      <c r="BO931" s="13">
        <f t="shared" si="1077"/>
        <v>0</v>
      </c>
      <c r="BP931" s="136"/>
      <c r="BQ931" s="136"/>
      <c r="BR931" s="136"/>
      <c r="BS931" s="136"/>
      <c r="BT931" s="136"/>
      <c r="BU931" s="136"/>
      <c r="BV931" s="136"/>
      <c r="BW931" s="136"/>
      <c r="BY931" s="12"/>
      <c r="BZ931" s="335"/>
      <c r="CA931" s="12"/>
      <c r="CB931" s="335"/>
      <c r="CC931" s="335"/>
      <c r="CD931" s="335"/>
      <c r="CE931" s="335"/>
      <c r="CM931" s="335"/>
      <c r="CN931" s="335"/>
      <c r="CO931" s="335"/>
      <c r="CP931" s="335"/>
      <c r="CR931" s="12"/>
      <c r="CT931" s="335"/>
      <c r="CU931" s="335"/>
      <c r="EW931" s="335"/>
      <c r="EX931" s="10" t="str">
        <f t="shared" si="1067"/>
        <v/>
      </c>
    </row>
    <row r="932" spans="1:154" s="67" customFormat="1" x14ac:dyDescent="0.25">
      <c r="B932" s="84" t="str" cm="1">
        <f t="array" aca="1" ref="B932" ca="1">HYPERLINK(CONCATENATE("#",CELL("address",$D$237)),$D$237)</f>
        <v>Loan 11</v>
      </c>
      <c r="C932" s="380"/>
      <c r="D932" s="60">
        <f>D$23</f>
        <v>0</v>
      </c>
      <c r="E932" s="221">
        <f>E$23</f>
        <v>0</v>
      </c>
      <c r="G932" s="9"/>
      <c r="H932" s="50" t="s">
        <v>125</v>
      </c>
      <c r="S932" s="335"/>
      <c r="T932" s="335"/>
      <c r="U932" s="335"/>
      <c r="V932" s="136"/>
      <c r="W932" s="201">
        <f t="shared" ca="1" si="1073"/>
        <v>0</v>
      </c>
      <c r="X932" s="201">
        <f t="shared" ca="1" si="1073"/>
        <v>0</v>
      </c>
      <c r="Y932" s="201">
        <f t="shared" si="1073"/>
        <v>0</v>
      </c>
      <c r="AA932" s="201">
        <f t="shared" ref="AA932:BJ932" ca="1" si="1087">AA1001-AA909</f>
        <v>0</v>
      </c>
      <c r="AB932" s="201">
        <f t="shared" ca="1" si="1087"/>
        <v>0</v>
      </c>
      <c r="AC932" s="201">
        <f t="shared" ca="1" si="1087"/>
        <v>0</v>
      </c>
      <c r="AD932" s="201">
        <f t="shared" ca="1" si="1087"/>
        <v>0</v>
      </c>
      <c r="AE932" s="201">
        <f t="shared" ca="1" si="1087"/>
        <v>0</v>
      </c>
      <c r="AF932" s="201">
        <f t="shared" ca="1" si="1087"/>
        <v>0</v>
      </c>
      <c r="AG932" s="201">
        <f t="shared" ca="1" si="1087"/>
        <v>0</v>
      </c>
      <c r="AH932" s="201">
        <f t="shared" ca="1" si="1087"/>
        <v>0</v>
      </c>
      <c r="AI932" s="201">
        <f t="shared" ca="1" si="1087"/>
        <v>0</v>
      </c>
      <c r="AJ932" s="201">
        <f t="shared" ca="1" si="1087"/>
        <v>0</v>
      </c>
      <c r="AK932" s="201">
        <f t="shared" ca="1" si="1087"/>
        <v>0</v>
      </c>
      <c r="AL932" s="201">
        <f t="shared" ca="1" si="1087"/>
        <v>0</v>
      </c>
      <c r="AM932" s="201">
        <f t="shared" ca="1" si="1087"/>
        <v>0</v>
      </c>
      <c r="AN932" s="201">
        <f t="shared" ca="1" si="1087"/>
        <v>0</v>
      </c>
      <c r="AO932" s="201">
        <f t="shared" ca="1" si="1087"/>
        <v>0</v>
      </c>
      <c r="AP932" s="201">
        <f t="shared" ca="1" si="1087"/>
        <v>0</v>
      </c>
      <c r="AQ932" s="201">
        <f t="shared" ca="1" si="1087"/>
        <v>0</v>
      </c>
      <c r="AR932" s="201">
        <f t="shared" ca="1" si="1087"/>
        <v>0</v>
      </c>
      <c r="AS932" s="201">
        <f t="shared" ca="1" si="1087"/>
        <v>0</v>
      </c>
      <c r="AT932" s="201">
        <f t="shared" ca="1" si="1087"/>
        <v>0</v>
      </c>
      <c r="AU932" s="201">
        <f t="shared" ca="1" si="1087"/>
        <v>0</v>
      </c>
      <c r="AV932" s="201">
        <f t="shared" ca="1" si="1087"/>
        <v>0</v>
      </c>
      <c r="AW932" s="201">
        <f t="shared" ca="1" si="1087"/>
        <v>0</v>
      </c>
      <c r="AX932" s="201">
        <f t="shared" ca="1" si="1087"/>
        <v>0</v>
      </c>
      <c r="AY932" s="201">
        <f t="shared" ca="1" si="1087"/>
        <v>0</v>
      </c>
      <c r="AZ932" s="201">
        <f t="shared" ca="1" si="1087"/>
        <v>0</v>
      </c>
      <c r="BA932" s="201">
        <f t="shared" ca="1" si="1087"/>
        <v>0</v>
      </c>
      <c r="BB932" s="201">
        <f t="shared" ca="1" si="1087"/>
        <v>0</v>
      </c>
      <c r="BC932" s="201">
        <f t="shared" ca="1" si="1087"/>
        <v>0</v>
      </c>
      <c r="BD932" s="201">
        <f t="shared" ca="1" si="1087"/>
        <v>0</v>
      </c>
      <c r="BE932" s="201">
        <f t="shared" ca="1" si="1087"/>
        <v>0</v>
      </c>
      <c r="BF932" s="201">
        <f t="shared" ca="1" si="1087"/>
        <v>0</v>
      </c>
      <c r="BG932" s="201">
        <f t="shared" ca="1" si="1087"/>
        <v>0</v>
      </c>
      <c r="BH932" s="201">
        <f t="shared" ca="1" si="1087"/>
        <v>0</v>
      </c>
      <c r="BI932" s="201">
        <f t="shared" ca="1" si="1087"/>
        <v>0</v>
      </c>
      <c r="BJ932" s="201">
        <f t="shared" si="1087"/>
        <v>0</v>
      </c>
      <c r="BL932" s="136"/>
      <c r="BM932" s="13">
        <f t="shared" ca="1" si="1075"/>
        <v>0</v>
      </c>
      <c r="BN932" s="13">
        <f t="shared" ca="1" si="1076"/>
        <v>0</v>
      </c>
      <c r="BO932" s="13">
        <f t="shared" si="1077"/>
        <v>0</v>
      </c>
      <c r="BP932" s="136"/>
      <c r="BQ932" s="136"/>
      <c r="BR932" s="136"/>
      <c r="BS932" s="136"/>
      <c r="BT932" s="136"/>
      <c r="BU932" s="136"/>
      <c r="BV932" s="136"/>
      <c r="BW932" s="136"/>
      <c r="BY932" s="12"/>
      <c r="BZ932" s="335"/>
      <c r="CA932" s="12"/>
      <c r="CB932" s="335"/>
      <c r="CC932" s="335"/>
      <c r="CD932" s="335"/>
      <c r="CE932" s="335"/>
      <c r="CM932" s="335"/>
      <c r="CN932" s="335"/>
      <c r="CO932" s="335"/>
      <c r="CP932" s="335"/>
      <c r="CR932" s="12"/>
      <c r="CT932" s="335"/>
      <c r="CU932" s="335"/>
      <c r="EW932" s="335"/>
      <c r="EX932" s="10" t="str">
        <f t="shared" si="1067"/>
        <v/>
      </c>
    </row>
    <row r="933" spans="1:154" s="67" customFormat="1" x14ac:dyDescent="0.25">
      <c r="B933" s="84" t="str" cm="1">
        <f t="array" aca="1" ref="B933" ca="1">HYPERLINK(CONCATENATE("#",CELL("address",$D$256)),$D$256)</f>
        <v>Loan 12</v>
      </c>
      <c r="C933" s="380"/>
      <c r="D933" s="60">
        <f>D$24</f>
        <v>0</v>
      </c>
      <c r="E933" s="221">
        <f>E$24</f>
        <v>0</v>
      </c>
      <c r="G933" s="9"/>
      <c r="H933" s="50" t="s">
        <v>125</v>
      </c>
      <c r="S933" s="335"/>
      <c r="T933" s="335"/>
      <c r="U933" s="335"/>
      <c r="V933" s="136"/>
      <c r="W933" s="201">
        <f t="shared" ca="1" si="1073"/>
        <v>0</v>
      </c>
      <c r="X933" s="201">
        <f t="shared" ca="1" si="1073"/>
        <v>0</v>
      </c>
      <c r="Y933" s="201">
        <f t="shared" si="1073"/>
        <v>0</v>
      </c>
      <c r="AA933" s="201">
        <f t="shared" ref="AA933:BJ933" ca="1" si="1088">AA1002-AA910</f>
        <v>0</v>
      </c>
      <c r="AB933" s="201">
        <f t="shared" ca="1" si="1088"/>
        <v>0</v>
      </c>
      <c r="AC933" s="201">
        <f t="shared" ca="1" si="1088"/>
        <v>0</v>
      </c>
      <c r="AD933" s="201">
        <f t="shared" ca="1" si="1088"/>
        <v>0</v>
      </c>
      <c r="AE933" s="201">
        <f t="shared" ca="1" si="1088"/>
        <v>0</v>
      </c>
      <c r="AF933" s="201">
        <f t="shared" ca="1" si="1088"/>
        <v>0</v>
      </c>
      <c r="AG933" s="201">
        <f t="shared" ca="1" si="1088"/>
        <v>0</v>
      </c>
      <c r="AH933" s="201">
        <f t="shared" ca="1" si="1088"/>
        <v>0</v>
      </c>
      <c r="AI933" s="201">
        <f t="shared" ca="1" si="1088"/>
        <v>0</v>
      </c>
      <c r="AJ933" s="201">
        <f t="shared" ca="1" si="1088"/>
        <v>0</v>
      </c>
      <c r="AK933" s="201">
        <f t="shared" ca="1" si="1088"/>
        <v>0</v>
      </c>
      <c r="AL933" s="201">
        <f t="shared" ca="1" si="1088"/>
        <v>0</v>
      </c>
      <c r="AM933" s="201">
        <f t="shared" ca="1" si="1088"/>
        <v>0</v>
      </c>
      <c r="AN933" s="201">
        <f t="shared" ca="1" si="1088"/>
        <v>0</v>
      </c>
      <c r="AO933" s="201">
        <f t="shared" ca="1" si="1088"/>
        <v>0</v>
      </c>
      <c r="AP933" s="201">
        <f t="shared" ca="1" si="1088"/>
        <v>0</v>
      </c>
      <c r="AQ933" s="201">
        <f t="shared" ca="1" si="1088"/>
        <v>0</v>
      </c>
      <c r="AR933" s="201">
        <f t="shared" ca="1" si="1088"/>
        <v>0</v>
      </c>
      <c r="AS933" s="201">
        <f t="shared" ca="1" si="1088"/>
        <v>0</v>
      </c>
      <c r="AT933" s="201">
        <f t="shared" ca="1" si="1088"/>
        <v>0</v>
      </c>
      <c r="AU933" s="201">
        <f t="shared" ca="1" si="1088"/>
        <v>0</v>
      </c>
      <c r="AV933" s="201">
        <f t="shared" ca="1" si="1088"/>
        <v>0</v>
      </c>
      <c r="AW933" s="201">
        <f t="shared" ca="1" si="1088"/>
        <v>0</v>
      </c>
      <c r="AX933" s="201">
        <f t="shared" ca="1" si="1088"/>
        <v>0</v>
      </c>
      <c r="AY933" s="201">
        <f t="shared" ca="1" si="1088"/>
        <v>0</v>
      </c>
      <c r="AZ933" s="201">
        <f t="shared" ca="1" si="1088"/>
        <v>0</v>
      </c>
      <c r="BA933" s="201">
        <f t="shared" ca="1" si="1088"/>
        <v>0</v>
      </c>
      <c r="BB933" s="201">
        <f t="shared" ca="1" si="1088"/>
        <v>0</v>
      </c>
      <c r="BC933" s="201">
        <f t="shared" ca="1" si="1088"/>
        <v>0</v>
      </c>
      <c r="BD933" s="201">
        <f t="shared" ca="1" si="1088"/>
        <v>0</v>
      </c>
      <c r="BE933" s="201">
        <f t="shared" ca="1" si="1088"/>
        <v>0</v>
      </c>
      <c r="BF933" s="201">
        <f t="shared" ca="1" si="1088"/>
        <v>0</v>
      </c>
      <c r="BG933" s="201">
        <f t="shared" ca="1" si="1088"/>
        <v>0</v>
      </c>
      <c r="BH933" s="201">
        <f t="shared" ca="1" si="1088"/>
        <v>0</v>
      </c>
      <c r="BI933" s="201">
        <f t="shared" ca="1" si="1088"/>
        <v>0</v>
      </c>
      <c r="BJ933" s="201">
        <f t="shared" si="1088"/>
        <v>0</v>
      </c>
      <c r="BL933" s="136"/>
      <c r="BM933" s="13">
        <f t="shared" ca="1" si="1075"/>
        <v>0</v>
      </c>
      <c r="BN933" s="13">
        <f t="shared" ca="1" si="1076"/>
        <v>0</v>
      </c>
      <c r="BO933" s="13">
        <f t="shared" si="1077"/>
        <v>0</v>
      </c>
      <c r="BP933" s="136"/>
      <c r="BQ933" s="136"/>
      <c r="BR933" s="136"/>
      <c r="BS933" s="136"/>
      <c r="BT933" s="136"/>
      <c r="BU933" s="136"/>
      <c r="BV933" s="136"/>
      <c r="BW933" s="136"/>
      <c r="BY933" s="12"/>
      <c r="BZ933" s="335"/>
      <c r="CA933" s="12"/>
      <c r="CB933" s="335"/>
      <c r="CC933" s="335"/>
      <c r="CD933" s="335"/>
      <c r="CE933" s="335"/>
      <c r="CM933" s="335"/>
      <c r="CN933" s="335"/>
      <c r="CO933" s="335"/>
      <c r="CP933" s="335"/>
      <c r="CR933" s="12"/>
      <c r="CT933" s="335"/>
      <c r="CU933" s="335"/>
      <c r="EW933" s="335"/>
      <c r="EX933" s="10" t="str">
        <f t="shared" si="1067"/>
        <v/>
      </c>
    </row>
    <row r="934" spans="1:154" s="67" customFormat="1" x14ac:dyDescent="0.25">
      <c r="B934" s="84" t="str" cm="1">
        <f t="array" aca="1" ref="B934" ca="1">HYPERLINK(CONCATENATE("#",CELL("address",$D$275)),$D$275)</f>
        <v>Loan 13</v>
      </c>
      <c r="C934" s="380"/>
      <c r="D934" s="60">
        <f>D$25</f>
        <v>0</v>
      </c>
      <c r="E934" s="221">
        <f>E$25</f>
        <v>0</v>
      </c>
      <c r="G934" s="9"/>
      <c r="H934" s="50" t="s">
        <v>125</v>
      </c>
      <c r="S934" s="335"/>
      <c r="T934" s="335"/>
      <c r="U934" s="335"/>
      <c r="V934" s="136"/>
      <c r="W934" s="201">
        <f t="shared" ca="1" si="1073"/>
        <v>0</v>
      </c>
      <c r="X934" s="201">
        <f t="shared" ca="1" si="1073"/>
        <v>0</v>
      </c>
      <c r="Y934" s="201">
        <f t="shared" si="1073"/>
        <v>0</v>
      </c>
      <c r="AA934" s="201">
        <f t="shared" ref="AA934:BJ934" ca="1" si="1089">AA1003-AA911</f>
        <v>0</v>
      </c>
      <c r="AB934" s="201">
        <f t="shared" ca="1" si="1089"/>
        <v>0</v>
      </c>
      <c r="AC934" s="201">
        <f t="shared" ca="1" si="1089"/>
        <v>0</v>
      </c>
      <c r="AD934" s="201">
        <f t="shared" ca="1" si="1089"/>
        <v>0</v>
      </c>
      <c r="AE934" s="201">
        <f t="shared" ca="1" si="1089"/>
        <v>0</v>
      </c>
      <c r="AF934" s="201">
        <f t="shared" ca="1" si="1089"/>
        <v>0</v>
      </c>
      <c r="AG934" s="201">
        <f t="shared" ca="1" si="1089"/>
        <v>0</v>
      </c>
      <c r="AH934" s="201">
        <f t="shared" ca="1" si="1089"/>
        <v>0</v>
      </c>
      <c r="AI934" s="201">
        <f t="shared" ca="1" si="1089"/>
        <v>0</v>
      </c>
      <c r="AJ934" s="201">
        <f t="shared" ca="1" si="1089"/>
        <v>0</v>
      </c>
      <c r="AK934" s="201">
        <f t="shared" ca="1" si="1089"/>
        <v>0</v>
      </c>
      <c r="AL934" s="201">
        <f t="shared" ca="1" si="1089"/>
        <v>0</v>
      </c>
      <c r="AM934" s="201">
        <f t="shared" ca="1" si="1089"/>
        <v>0</v>
      </c>
      <c r="AN934" s="201">
        <f t="shared" ca="1" si="1089"/>
        <v>0</v>
      </c>
      <c r="AO934" s="201">
        <f t="shared" ca="1" si="1089"/>
        <v>0</v>
      </c>
      <c r="AP934" s="201">
        <f t="shared" ca="1" si="1089"/>
        <v>0</v>
      </c>
      <c r="AQ934" s="201">
        <f t="shared" ca="1" si="1089"/>
        <v>0</v>
      </c>
      <c r="AR934" s="201">
        <f t="shared" ca="1" si="1089"/>
        <v>0</v>
      </c>
      <c r="AS934" s="201">
        <f t="shared" ca="1" si="1089"/>
        <v>0</v>
      </c>
      <c r="AT934" s="201">
        <f t="shared" ca="1" si="1089"/>
        <v>0</v>
      </c>
      <c r="AU934" s="201">
        <f t="shared" ca="1" si="1089"/>
        <v>0</v>
      </c>
      <c r="AV934" s="201">
        <f t="shared" ca="1" si="1089"/>
        <v>0</v>
      </c>
      <c r="AW934" s="201">
        <f t="shared" ca="1" si="1089"/>
        <v>0</v>
      </c>
      <c r="AX934" s="201">
        <f t="shared" ca="1" si="1089"/>
        <v>0</v>
      </c>
      <c r="AY934" s="201">
        <f t="shared" ca="1" si="1089"/>
        <v>0</v>
      </c>
      <c r="AZ934" s="201">
        <f t="shared" ca="1" si="1089"/>
        <v>0</v>
      </c>
      <c r="BA934" s="201">
        <f t="shared" ca="1" si="1089"/>
        <v>0</v>
      </c>
      <c r="BB934" s="201">
        <f t="shared" ca="1" si="1089"/>
        <v>0</v>
      </c>
      <c r="BC934" s="201">
        <f t="shared" ca="1" si="1089"/>
        <v>0</v>
      </c>
      <c r="BD934" s="201">
        <f t="shared" ca="1" si="1089"/>
        <v>0</v>
      </c>
      <c r="BE934" s="201">
        <f t="shared" ca="1" si="1089"/>
        <v>0</v>
      </c>
      <c r="BF934" s="201">
        <f t="shared" ca="1" si="1089"/>
        <v>0</v>
      </c>
      <c r="BG934" s="201">
        <f t="shared" ca="1" si="1089"/>
        <v>0</v>
      </c>
      <c r="BH934" s="201">
        <f t="shared" ca="1" si="1089"/>
        <v>0</v>
      </c>
      <c r="BI934" s="201">
        <f t="shared" ca="1" si="1089"/>
        <v>0</v>
      </c>
      <c r="BJ934" s="201">
        <f t="shared" si="1089"/>
        <v>0</v>
      </c>
      <c r="BL934" s="136"/>
      <c r="BM934" s="13">
        <f t="shared" ca="1" si="1075"/>
        <v>0</v>
      </c>
      <c r="BN934" s="13">
        <f t="shared" ca="1" si="1076"/>
        <v>0</v>
      </c>
      <c r="BO934" s="13">
        <f t="shared" si="1077"/>
        <v>0</v>
      </c>
      <c r="BP934" s="136"/>
      <c r="BQ934" s="136"/>
      <c r="BR934" s="136"/>
      <c r="BS934" s="136"/>
      <c r="BT934" s="136"/>
      <c r="BU934" s="136"/>
      <c r="BV934" s="136"/>
      <c r="BW934" s="136"/>
      <c r="BY934" s="12"/>
      <c r="BZ934" s="335"/>
      <c r="CA934" s="12"/>
      <c r="CB934" s="335"/>
      <c r="CC934" s="335"/>
      <c r="CD934" s="335"/>
      <c r="CE934" s="335"/>
      <c r="CM934" s="335"/>
      <c r="CN934" s="335"/>
      <c r="CO934" s="335"/>
      <c r="CP934" s="335"/>
      <c r="CR934" s="12"/>
      <c r="CT934" s="335"/>
      <c r="CU934" s="335"/>
      <c r="EW934" s="335"/>
      <c r="EX934" s="10" t="str">
        <f t="shared" si="1067"/>
        <v/>
      </c>
    </row>
    <row r="935" spans="1:154" s="5" customFormat="1" x14ac:dyDescent="0.25">
      <c r="A935" s="67"/>
      <c r="B935" s="84" t="str" cm="1">
        <f t="array" aca="1" ref="B935" ca="1">HYPERLINK(CONCATENATE("#",CELL("address",$D$294)),$D$294)</f>
        <v>Loan 14</v>
      </c>
      <c r="C935" s="380"/>
      <c r="D935" s="60">
        <f>D$26</f>
        <v>0</v>
      </c>
      <c r="E935" s="221">
        <f>E$26</f>
        <v>0</v>
      </c>
      <c r="F935" s="67"/>
      <c r="G935" s="9"/>
      <c r="H935" s="50" t="s">
        <v>125</v>
      </c>
      <c r="I935" s="67"/>
      <c r="J935" s="67"/>
      <c r="K935" s="67"/>
      <c r="L935" s="67"/>
      <c r="M935" s="67"/>
      <c r="N935" s="67"/>
      <c r="O935" s="67"/>
      <c r="P935" s="67"/>
      <c r="Q935" s="67"/>
      <c r="R935" s="67"/>
      <c r="S935" s="335"/>
      <c r="T935" s="335"/>
      <c r="U935" s="335"/>
      <c r="V935" s="136"/>
      <c r="W935" s="201">
        <f t="shared" ca="1" si="1073"/>
        <v>0</v>
      </c>
      <c r="X935" s="201">
        <f t="shared" ca="1" si="1073"/>
        <v>0</v>
      </c>
      <c r="Y935" s="201">
        <f t="shared" si="1073"/>
        <v>0</v>
      </c>
      <c r="Z935" s="67"/>
      <c r="AA935" s="201">
        <f t="shared" ref="AA935:BJ935" ca="1" si="1090">AA1004-AA912</f>
        <v>0</v>
      </c>
      <c r="AB935" s="201">
        <f t="shared" ca="1" si="1090"/>
        <v>0</v>
      </c>
      <c r="AC935" s="201">
        <f t="shared" ca="1" si="1090"/>
        <v>0</v>
      </c>
      <c r="AD935" s="201">
        <f t="shared" ca="1" si="1090"/>
        <v>0</v>
      </c>
      <c r="AE935" s="201">
        <f t="shared" ca="1" si="1090"/>
        <v>0</v>
      </c>
      <c r="AF935" s="201">
        <f t="shared" ca="1" si="1090"/>
        <v>0</v>
      </c>
      <c r="AG935" s="201">
        <f t="shared" ca="1" si="1090"/>
        <v>0</v>
      </c>
      <c r="AH935" s="201">
        <f t="shared" ca="1" si="1090"/>
        <v>0</v>
      </c>
      <c r="AI935" s="201">
        <f t="shared" ca="1" si="1090"/>
        <v>0</v>
      </c>
      <c r="AJ935" s="201">
        <f t="shared" ca="1" si="1090"/>
        <v>0</v>
      </c>
      <c r="AK935" s="201">
        <f t="shared" ca="1" si="1090"/>
        <v>0</v>
      </c>
      <c r="AL935" s="201">
        <f t="shared" ca="1" si="1090"/>
        <v>0</v>
      </c>
      <c r="AM935" s="201">
        <f t="shared" ca="1" si="1090"/>
        <v>0</v>
      </c>
      <c r="AN935" s="201">
        <f t="shared" ca="1" si="1090"/>
        <v>0</v>
      </c>
      <c r="AO935" s="201">
        <f t="shared" ca="1" si="1090"/>
        <v>0</v>
      </c>
      <c r="AP935" s="201">
        <f t="shared" ca="1" si="1090"/>
        <v>0</v>
      </c>
      <c r="AQ935" s="201">
        <f t="shared" ca="1" si="1090"/>
        <v>0</v>
      </c>
      <c r="AR935" s="201">
        <f t="shared" ca="1" si="1090"/>
        <v>0</v>
      </c>
      <c r="AS935" s="201">
        <f t="shared" ca="1" si="1090"/>
        <v>0</v>
      </c>
      <c r="AT935" s="201">
        <f t="shared" ca="1" si="1090"/>
        <v>0</v>
      </c>
      <c r="AU935" s="201">
        <f t="shared" ca="1" si="1090"/>
        <v>0</v>
      </c>
      <c r="AV935" s="201">
        <f t="shared" ca="1" si="1090"/>
        <v>0</v>
      </c>
      <c r="AW935" s="201">
        <f t="shared" ca="1" si="1090"/>
        <v>0</v>
      </c>
      <c r="AX935" s="201">
        <f t="shared" ca="1" si="1090"/>
        <v>0</v>
      </c>
      <c r="AY935" s="201">
        <f t="shared" ca="1" si="1090"/>
        <v>0</v>
      </c>
      <c r="AZ935" s="201">
        <f t="shared" ca="1" si="1090"/>
        <v>0</v>
      </c>
      <c r="BA935" s="201">
        <f t="shared" ca="1" si="1090"/>
        <v>0</v>
      </c>
      <c r="BB935" s="201">
        <f t="shared" ca="1" si="1090"/>
        <v>0</v>
      </c>
      <c r="BC935" s="201">
        <f t="shared" ca="1" si="1090"/>
        <v>0</v>
      </c>
      <c r="BD935" s="201">
        <f t="shared" ca="1" si="1090"/>
        <v>0</v>
      </c>
      <c r="BE935" s="201">
        <f t="shared" ca="1" si="1090"/>
        <v>0</v>
      </c>
      <c r="BF935" s="201">
        <f t="shared" ca="1" si="1090"/>
        <v>0</v>
      </c>
      <c r="BG935" s="201">
        <f t="shared" ca="1" si="1090"/>
        <v>0</v>
      </c>
      <c r="BH935" s="201">
        <f t="shared" ca="1" si="1090"/>
        <v>0</v>
      </c>
      <c r="BI935" s="201">
        <f t="shared" ca="1" si="1090"/>
        <v>0</v>
      </c>
      <c r="BJ935" s="201">
        <f t="shared" si="1090"/>
        <v>0</v>
      </c>
      <c r="BK935" s="67"/>
      <c r="BL935" s="136"/>
      <c r="BM935" s="13">
        <f t="shared" ca="1" si="1075"/>
        <v>0</v>
      </c>
      <c r="BN935" s="13">
        <f t="shared" ca="1" si="1076"/>
        <v>0</v>
      </c>
      <c r="BO935" s="13">
        <f t="shared" si="1077"/>
        <v>0</v>
      </c>
      <c r="BP935" s="136"/>
      <c r="BQ935" s="136"/>
      <c r="BR935" s="136"/>
      <c r="BS935" s="136"/>
      <c r="BT935" s="136"/>
      <c r="BU935" s="136"/>
      <c r="BV935" s="136"/>
      <c r="BW935" s="136"/>
      <c r="BX935" s="67"/>
      <c r="BY935" s="12"/>
      <c r="BZ935" s="335"/>
      <c r="CA935" s="12"/>
      <c r="CB935" s="335"/>
      <c r="CC935" s="335"/>
      <c r="CD935" s="335"/>
      <c r="CE935" s="335"/>
      <c r="CF935" s="67"/>
      <c r="CG935" s="67"/>
      <c r="CH935" s="67"/>
      <c r="CI935" s="67"/>
      <c r="CJ935" s="67"/>
      <c r="CK935" s="67"/>
      <c r="CL935" s="67"/>
      <c r="CM935" s="335"/>
      <c r="CN935" s="335"/>
      <c r="CO935" s="335"/>
      <c r="CP935" s="335"/>
      <c r="CQ935" s="67"/>
      <c r="CR935" s="12"/>
      <c r="EX935" s="10" t="str">
        <f t="shared" si="1067"/>
        <v/>
      </c>
    </row>
    <row r="936" spans="1:154" s="67" customFormat="1" x14ac:dyDescent="0.25">
      <c r="B936" s="84" t="str" cm="1">
        <f t="array" aca="1" ref="B936" ca="1">HYPERLINK(CONCATENATE("#",CELL("address",$D$313)),$D$313)</f>
        <v>Loan 15</v>
      </c>
      <c r="C936" s="380"/>
      <c r="D936" s="60">
        <f>D$27</f>
        <v>0</v>
      </c>
      <c r="E936" s="221">
        <f>E$27</f>
        <v>0</v>
      </c>
      <c r="G936" s="9"/>
      <c r="H936" s="50" t="s">
        <v>125</v>
      </c>
      <c r="S936" s="335"/>
      <c r="T936" s="335"/>
      <c r="U936" s="335"/>
      <c r="V936" s="136"/>
      <c r="W936" s="201">
        <f t="shared" ca="1" si="1073"/>
        <v>0</v>
      </c>
      <c r="X936" s="201">
        <f t="shared" ca="1" si="1073"/>
        <v>0</v>
      </c>
      <c r="Y936" s="201">
        <f t="shared" si="1073"/>
        <v>0</v>
      </c>
      <c r="AA936" s="201">
        <f t="shared" ref="AA936:BJ936" ca="1" si="1091">AA1005-AA913</f>
        <v>0</v>
      </c>
      <c r="AB936" s="201">
        <f t="shared" ca="1" si="1091"/>
        <v>0</v>
      </c>
      <c r="AC936" s="201">
        <f t="shared" ca="1" si="1091"/>
        <v>0</v>
      </c>
      <c r="AD936" s="201">
        <f t="shared" ca="1" si="1091"/>
        <v>0</v>
      </c>
      <c r="AE936" s="201">
        <f t="shared" ca="1" si="1091"/>
        <v>0</v>
      </c>
      <c r="AF936" s="201">
        <f t="shared" ca="1" si="1091"/>
        <v>0</v>
      </c>
      <c r="AG936" s="201">
        <f t="shared" ca="1" si="1091"/>
        <v>0</v>
      </c>
      <c r="AH936" s="201">
        <f t="shared" ca="1" si="1091"/>
        <v>0</v>
      </c>
      <c r="AI936" s="201">
        <f t="shared" ca="1" si="1091"/>
        <v>0</v>
      </c>
      <c r="AJ936" s="201">
        <f t="shared" ca="1" si="1091"/>
        <v>0</v>
      </c>
      <c r="AK936" s="201">
        <f t="shared" ca="1" si="1091"/>
        <v>0</v>
      </c>
      <c r="AL936" s="201">
        <f t="shared" ca="1" si="1091"/>
        <v>0</v>
      </c>
      <c r="AM936" s="201">
        <f t="shared" ca="1" si="1091"/>
        <v>0</v>
      </c>
      <c r="AN936" s="201">
        <f t="shared" ca="1" si="1091"/>
        <v>0</v>
      </c>
      <c r="AO936" s="201">
        <f t="shared" ca="1" si="1091"/>
        <v>0</v>
      </c>
      <c r="AP936" s="201">
        <f t="shared" ca="1" si="1091"/>
        <v>0</v>
      </c>
      <c r="AQ936" s="201">
        <f t="shared" ca="1" si="1091"/>
        <v>0</v>
      </c>
      <c r="AR936" s="201">
        <f t="shared" ca="1" si="1091"/>
        <v>0</v>
      </c>
      <c r="AS936" s="201">
        <f t="shared" ca="1" si="1091"/>
        <v>0</v>
      </c>
      <c r="AT936" s="201">
        <f t="shared" ca="1" si="1091"/>
        <v>0</v>
      </c>
      <c r="AU936" s="201">
        <f t="shared" ca="1" si="1091"/>
        <v>0</v>
      </c>
      <c r="AV936" s="201">
        <f t="shared" ca="1" si="1091"/>
        <v>0</v>
      </c>
      <c r="AW936" s="201">
        <f t="shared" ca="1" si="1091"/>
        <v>0</v>
      </c>
      <c r="AX936" s="201">
        <f t="shared" ca="1" si="1091"/>
        <v>0</v>
      </c>
      <c r="AY936" s="201">
        <f t="shared" ca="1" si="1091"/>
        <v>0</v>
      </c>
      <c r="AZ936" s="201">
        <f t="shared" ca="1" si="1091"/>
        <v>0</v>
      </c>
      <c r="BA936" s="201">
        <f t="shared" ca="1" si="1091"/>
        <v>0</v>
      </c>
      <c r="BB936" s="201">
        <f t="shared" ca="1" si="1091"/>
        <v>0</v>
      </c>
      <c r="BC936" s="201">
        <f t="shared" ca="1" si="1091"/>
        <v>0</v>
      </c>
      <c r="BD936" s="201">
        <f t="shared" ca="1" si="1091"/>
        <v>0</v>
      </c>
      <c r="BE936" s="201">
        <f t="shared" ca="1" si="1091"/>
        <v>0</v>
      </c>
      <c r="BF936" s="201">
        <f t="shared" ca="1" si="1091"/>
        <v>0</v>
      </c>
      <c r="BG936" s="201">
        <f t="shared" ca="1" si="1091"/>
        <v>0</v>
      </c>
      <c r="BH936" s="201">
        <f t="shared" ca="1" si="1091"/>
        <v>0</v>
      </c>
      <c r="BI936" s="201">
        <f t="shared" ca="1" si="1091"/>
        <v>0</v>
      </c>
      <c r="BJ936" s="201">
        <f t="shared" si="1091"/>
        <v>0</v>
      </c>
      <c r="BL936" s="136"/>
      <c r="BM936" s="13">
        <f t="shared" ca="1" si="1075"/>
        <v>0</v>
      </c>
      <c r="BN936" s="13">
        <f t="shared" ca="1" si="1076"/>
        <v>0</v>
      </c>
      <c r="BO936" s="13">
        <f t="shared" si="1077"/>
        <v>0</v>
      </c>
      <c r="BP936" s="136"/>
      <c r="BQ936" s="136"/>
      <c r="BR936" s="136"/>
      <c r="BS936" s="136"/>
      <c r="BT936" s="136"/>
      <c r="BU936" s="136"/>
      <c r="BV936" s="136"/>
      <c r="BW936" s="136"/>
      <c r="BY936" s="12"/>
      <c r="BZ936" s="335"/>
      <c r="CA936" s="12"/>
      <c r="CB936" s="335"/>
      <c r="CC936" s="335"/>
      <c r="CD936" s="335"/>
      <c r="CE936" s="335"/>
      <c r="CM936" s="335"/>
      <c r="CN936" s="335"/>
      <c r="CO936" s="335"/>
      <c r="CP936" s="335"/>
      <c r="CR936" s="12"/>
      <c r="CT936" s="335"/>
      <c r="CU936" s="335"/>
      <c r="EW936" s="335"/>
      <c r="EX936" s="10" t="str">
        <f t="shared" si="1067"/>
        <v/>
      </c>
    </row>
    <row r="937" spans="1:154" s="67" customFormat="1" x14ac:dyDescent="0.25">
      <c r="B937" s="84" t="str" cm="1">
        <f t="array" aca="1" ref="B937" ca="1">HYPERLINK(CONCATENATE("#",CELL("address",$D$332)),$D$332)</f>
        <v>Loan 16</v>
      </c>
      <c r="C937" s="380"/>
      <c r="D937" s="60">
        <f>D$28</f>
        <v>0</v>
      </c>
      <c r="E937" s="221">
        <f>E$28</f>
        <v>0</v>
      </c>
      <c r="G937" s="9"/>
      <c r="H937" s="50" t="s">
        <v>125</v>
      </c>
      <c r="S937" s="335"/>
      <c r="T937" s="335"/>
      <c r="U937" s="335"/>
      <c r="V937" s="136"/>
      <c r="W937" s="201">
        <f t="shared" ca="1" si="1073"/>
        <v>0</v>
      </c>
      <c r="X937" s="201">
        <f t="shared" ca="1" si="1073"/>
        <v>0</v>
      </c>
      <c r="Y937" s="201">
        <f t="shared" si="1073"/>
        <v>0</v>
      </c>
      <c r="AA937" s="201">
        <f t="shared" ref="AA937:BJ937" ca="1" si="1092">AA1006-AA914</f>
        <v>0</v>
      </c>
      <c r="AB937" s="201">
        <f t="shared" ca="1" si="1092"/>
        <v>0</v>
      </c>
      <c r="AC937" s="201">
        <f t="shared" ca="1" si="1092"/>
        <v>0</v>
      </c>
      <c r="AD937" s="201">
        <f t="shared" ca="1" si="1092"/>
        <v>0</v>
      </c>
      <c r="AE937" s="201">
        <f t="shared" ca="1" si="1092"/>
        <v>0</v>
      </c>
      <c r="AF937" s="201">
        <f t="shared" ca="1" si="1092"/>
        <v>0</v>
      </c>
      <c r="AG937" s="201">
        <f t="shared" ca="1" si="1092"/>
        <v>0</v>
      </c>
      <c r="AH937" s="201">
        <f t="shared" ca="1" si="1092"/>
        <v>0</v>
      </c>
      <c r="AI937" s="201">
        <f t="shared" ca="1" si="1092"/>
        <v>0</v>
      </c>
      <c r="AJ937" s="201">
        <f t="shared" ca="1" si="1092"/>
        <v>0</v>
      </c>
      <c r="AK937" s="201">
        <f t="shared" ca="1" si="1092"/>
        <v>0</v>
      </c>
      <c r="AL937" s="201">
        <f t="shared" ca="1" si="1092"/>
        <v>0</v>
      </c>
      <c r="AM937" s="201">
        <f t="shared" ca="1" si="1092"/>
        <v>0</v>
      </c>
      <c r="AN937" s="201">
        <f t="shared" ca="1" si="1092"/>
        <v>0</v>
      </c>
      <c r="AO937" s="201">
        <f t="shared" ca="1" si="1092"/>
        <v>0</v>
      </c>
      <c r="AP937" s="201">
        <f t="shared" ca="1" si="1092"/>
        <v>0</v>
      </c>
      <c r="AQ937" s="201">
        <f t="shared" ca="1" si="1092"/>
        <v>0</v>
      </c>
      <c r="AR937" s="201">
        <f t="shared" ca="1" si="1092"/>
        <v>0</v>
      </c>
      <c r="AS937" s="201">
        <f t="shared" ca="1" si="1092"/>
        <v>0</v>
      </c>
      <c r="AT937" s="201">
        <f t="shared" ca="1" si="1092"/>
        <v>0</v>
      </c>
      <c r="AU937" s="201">
        <f t="shared" ca="1" si="1092"/>
        <v>0</v>
      </c>
      <c r="AV937" s="201">
        <f t="shared" ca="1" si="1092"/>
        <v>0</v>
      </c>
      <c r="AW937" s="201">
        <f t="shared" ca="1" si="1092"/>
        <v>0</v>
      </c>
      <c r="AX937" s="201">
        <f t="shared" ca="1" si="1092"/>
        <v>0</v>
      </c>
      <c r="AY937" s="201">
        <f t="shared" ca="1" si="1092"/>
        <v>0</v>
      </c>
      <c r="AZ937" s="201">
        <f t="shared" ca="1" si="1092"/>
        <v>0</v>
      </c>
      <c r="BA937" s="201">
        <f t="shared" ca="1" si="1092"/>
        <v>0</v>
      </c>
      <c r="BB937" s="201">
        <f t="shared" ca="1" si="1092"/>
        <v>0</v>
      </c>
      <c r="BC937" s="201">
        <f t="shared" ca="1" si="1092"/>
        <v>0</v>
      </c>
      <c r="BD937" s="201">
        <f t="shared" ca="1" si="1092"/>
        <v>0</v>
      </c>
      <c r="BE937" s="201">
        <f t="shared" ca="1" si="1092"/>
        <v>0</v>
      </c>
      <c r="BF937" s="201">
        <f t="shared" ca="1" si="1092"/>
        <v>0</v>
      </c>
      <c r="BG937" s="201">
        <f t="shared" ca="1" si="1092"/>
        <v>0</v>
      </c>
      <c r="BH937" s="201">
        <f t="shared" ca="1" si="1092"/>
        <v>0</v>
      </c>
      <c r="BI937" s="201">
        <f t="shared" ca="1" si="1092"/>
        <v>0</v>
      </c>
      <c r="BJ937" s="201">
        <f t="shared" si="1092"/>
        <v>0</v>
      </c>
      <c r="BL937" s="136"/>
      <c r="BM937" s="13">
        <f t="shared" ca="1" si="1075"/>
        <v>0</v>
      </c>
      <c r="BN937" s="13">
        <f t="shared" ca="1" si="1076"/>
        <v>0</v>
      </c>
      <c r="BO937" s="13">
        <f t="shared" si="1077"/>
        <v>0</v>
      </c>
      <c r="BP937" s="136"/>
      <c r="BQ937" s="136"/>
      <c r="BR937" s="136"/>
      <c r="BS937" s="136"/>
      <c r="BT937" s="136"/>
      <c r="BU937" s="136"/>
      <c r="BV937" s="136"/>
      <c r="BW937" s="136"/>
      <c r="BY937" s="12"/>
      <c r="BZ937" s="335"/>
      <c r="CA937" s="12"/>
      <c r="CB937" s="335"/>
      <c r="CC937" s="335"/>
      <c r="CD937" s="335"/>
      <c r="CE937" s="335"/>
      <c r="CM937" s="335"/>
      <c r="CN937" s="335"/>
      <c r="CO937" s="335"/>
      <c r="CP937" s="335"/>
      <c r="CR937" s="12"/>
      <c r="CT937" s="335"/>
      <c r="CU937" s="335"/>
      <c r="EW937" s="335"/>
      <c r="EX937" s="10" t="str">
        <f t="shared" si="1067"/>
        <v/>
      </c>
    </row>
    <row r="938" spans="1:154" s="67" customFormat="1" x14ac:dyDescent="0.25">
      <c r="B938" s="84" t="str" cm="1">
        <f t="array" aca="1" ref="B938" ca="1">HYPERLINK(CONCATENATE("#",CELL("address",$D$351)),$D$351)</f>
        <v>Loan 17</v>
      </c>
      <c r="C938" s="380"/>
      <c r="D938" s="60">
        <f>D$29</f>
        <v>0</v>
      </c>
      <c r="E938" s="221">
        <f>E$29</f>
        <v>0</v>
      </c>
      <c r="G938" s="9"/>
      <c r="H938" s="50" t="s">
        <v>125</v>
      </c>
      <c r="S938" s="335"/>
      <c r="T938" s="335"/>
      <c r="U938" s="335"/>
      <c r="V938" s="136"/>
      <c r="W938" s="201">
        <f t="shared" ca="1" si="1073"/>
        <v>0</v>
      </c>
      <c r="X938" s="201">
        <f t="shared" ca="1" si="1073"/>
        <v>0</v>
      </c>
      <c r="Y938" s="201">
        <f t="shared" si="1073"/>
        <v>0</v>
      </c>
      <c r="AA938" s="201">
        <f t="shared" ref="AA938:BJ938" ca="1" si="1093">AA1007-AA915</f>
        <v>0</v>
      </c>
      <c r="AB938" s="201">
        <f t="shared" ca="1" si="1093"/>
        <v>0</v>
      </c>
      <c r="AC938" s="201">
        <f t="shared" ca="1" si="1093"/>
        <v>0</v>
      </c>
      <c r="AD938" s="201">
        <f t="shared" ca="1" si="1093"/>
        <v>0</v>
      </c>
      <c r="AE938" s="201">
        <f t="shared" ca="1" si="1093"/>
        <v>0</v>
      </c>
      <c r="AF938" s="201">
        <f t="shared" ca="1" si="1093"/>
        <v>0</v>
      </c>
      <c r="AG938" s="201">
        <f t="shared" ca="1" si="1093"/>
        <v>0</v>
      </c>
      <c r="AH938" s="201">
        <f t="shared" ca="1" si="1093"/>
        <v>0</v>
      </c>
      <c r="AI938" s="201">
        <f t="shared" ca="1" si="1093"/>
        <v>0</v>
      </c>
      <c r="AJ938" s="201">
        <f t="shared" ca="1" si="1093"/>
        <v>0</v>
      </c>
      <c r="AK938" s="201">
        <f t="shared" ca="1" si="1093"/>
        <v>0</v>
      </c>
      <c r="AL938" s="201">
        <f t="shared" ca="1" si="1093"/>
        <v>0</v>
      </c>
      <c r="AM938" s="201">
        <f t="shared" ca="1" si="1093"/>
        <v>0</v>
      </c>
      <c r="AN938" s="201">
        <f t="shared" ca="1" si="1093"/>
        <v>0</v>
      </c>
      <c r="AO938" s="201">
        <f t="shared" ca="1" si="1093"/>
        <v>0</v>
      </c>
      <c r="AP938" s="201">
        <f t="shared" ca="1" si="1093"/>
        <v>0</v>
      </c>
      <c r="AQ938" s="201">
        <f t="shared" ca="1" si="1093"/>
        <v>0</v>
      </c>
      <c r="AR938" s="201">
        <f t="shared" ca="1" si="1093"/>
        <v>0</v>
      </c>
      <c r="AS938" s="201">
        <f t="shared" ca="1" si="1093"/>
        <v>0</v>
      </c>
      <c r="AT938" s="201">
        <f t="shared" ca="1" si="1093"/>
        <v>0</v>
      </c>
      <c r="AU938" s="201">
        <f t="shared" ca="1" si="1093"/>
        <v>0</v>
      </c>
      <c r="AV938" s="201">
        <f t="shared" ca="1" si="1093"/>
        <v>0</v>
      </c>
      <c r="AW938" s="201">
        <f t="shared" ca="1" si="1093"/>
        <v>0</v>
      </c>
      <c r="AX938" s="201">
        <f t="shared" ca="1" si="1093"/>
        <v>0</v>
      </c>
      <c r="AY938" s="201">
        <f t="shared" ca="1" si="1093"/>
        <v>0</v>
      </c>
      <c r="AZ938" s="201">
        <f t="shared" ca="1" si="1093"/>
        <v>0</v>
      </c>
      <c r="BA938" s="201">
        <f t="shared" ca="1" si="1093"/>
        <v>0</v>
      </c>
      <c r="BB938" s="201">
        <f t="shared" ca="1" si="1093"/>
        <v>0</v>
      </c>
      <c r="BC938" s="201">
        <f t="shared" ca="1" si="1093"/>
        <v>0</v>
      </c>
      <c r="BD938" s="201">
        <f t="shared" ca="1" si="1093"/>
        <v>0</v>
      </c>
      <c r="BE938" s="201">
        <f t="shared" ca="1" si="1093"/>
        <v>0</v>
      </c>
      <c r="BF938" s="201">
        <f t="shared" ca="1" si="1093"/>
        <v>0</v>
      </c>
      <c r="BG938" s="201">
        <f t="shared" ca="1" si="1093"/>
        <v>0</v>
      </c>
      <c r="BH938" s="201">
        <f t="shared" ca="1" si="1093"/>
        <v>0</v>
      </c>
      <c r="BI938" s="201">
        <f t="shared" ca="1" si="1093"/>
        <v>0</v>
      </c>
      <c r="BJ938" s="201">
        <f t="shared" si="1093"/>
        <v>0</v>
      </c>
      <c r="BL938" s="136"/>
      <c r="BM938" s="13">
        <f t="shared" ca="1" si="1075"/>
        <v>0</v>
      </c>
      <c r="BN938" s="13">
        <f t="shared" ca="1" si="1076"/>
        <v>0</v>
      </c>
      <c r="BO938" s="13">
        <f t="shared" si="1077"/>
        <v>0</v>
      </c>
      <c r="BP938" s="136"/>
      <c r="BQ938" s="136"/>
      <c r="BR938" s="136"/>
      <c r="BS938" s="136"/>
      <c r="BT938" s="136"/>
      <c r="BU938" s="136"/>
      <c r="BV938" s="136"/>
      <c r="BW938" s="136"/>
      <c r="BY938" s="12"/>
      <c r="BZ938" s="335"/>
      <c r="CA938" s="12"/>
      <c r="CB938" s="335"/>
      <c r="CC938" s="335"/>
      <c r="CD938" s="335"/>
      <c r="CE938" s="335"/>
      <c r="CM938" s="335"/>
      <c r="CN938" s="335"/>
      <c r="CO938" s="335"/>
      <c r="CP938" s="335"/>
      <c r="CR938" s="12"/>
      <c r="CT938" s="335"/>
      <c r="CU938" s="335"/>
      <c r="EW938" s="335"/>
      <c r="EX938" s="10" t="str">
        <f t="shared" si="1067"/>
        <v/>
      </c>
    </row>
    <row r="939" spans="1:154" s="67" customFormat="1" x14ac:dyDescent="0.25">
      <c r="B939" s="84" t="str" cm="1">
        <f t="array" aca="1" ref="B939" ca="1">HYPERLINK(CONCATENATE("#",CELL("address",$D$370)),$D$370)</f>
        <v>Loan 18</v>
      </c>
      <c r="C939" s="380"/>
      <c r="D939" s="60">
        <f>D$30</f>
        <v>0</v>
      </c>
      <c r="E939" s="221">
        <f>E$30</f>
        <v>0</v>
      </c>
      <c r="G939" s="9"/>
      <c r="H939" s="50" t="s">
        <v>125</v>
      </c>
      <c r="S939" s="335"/>
      <c r="T939" s="335"/>
      <c r="U939" s="335"/>
      <c r="V939" s="136"/>
      <c r="W939" s="201">
        <f t="shared" ca="1" si="1073"/>
        <v>0</v>
      </c>
      <c r="X939" s="201">
        <f t="shared" ca="1" si="1073"/>
        <v>0</v>
      </c>
      <c r="Y939" s="201">
        <f t="shared" si="1073"/>
        <v>0</v>
      </c>
      <c r="AA939" s="201">
        <f t="shared" ref="AA939:BJ939" ca="1" si="1094">AA1008-AA916</f>
        <v>0</v>
      </c>
      <c r="AB939" s="201">
        <f t="shared" ca="1" si="1094"/>
        <v>0</v>
      </c>
      <c r="AC939" s="201">
        <f t="shared" ca="1" si="1094"/>
        <v>0</v>
      </c>
      <c r="AD939" s="201">
        <f t="shared" ca="1" si="1094"/>
        <v>0</v>
      </c>
      <c r="AE939" s="201">
        <f t="shared" ca="1" si="1094"/>
        <v>0</v>
      </c>
      <c r="AF939" s="201">
        <f t="shared" ca="1" si="1094"/>
        <v>0</v>
      </c>
      <c r="AG939" s="201">
        <f t="shared" ca="1" si="1094"/>
        <v>0</v>
      </c>
      <c r="AH939" s="201">
        <f t="shared" ca="1" si="1094"/>
        <v>0</v>
      </c>
      <c r="AI939" s="201">
        <f t="shared" ca="1" si="1094"/>
        <v>0</v>
      </c>
      <c r="AJ939" s="201">
        <f t="shared" ca="1" si="1094"/>
        <v>0</v>
      </c>
      <c r="AK939" s="201">
        <f t="shared" ca="1" si="1094"/>
        <v>0</v>
      </c>
      <c r="AL939" s="201">
        <f t="shared" ca="1" si="1094"/>
        <v>0</v>
      </c>
      <c r="AM939" s="201">
        <f t="shared" ca="1" si="1094"/>
        <v>0</v>
      </c>
      <c r="AN939" s="201">
        <f t="shared" ca="1" si="1094"/>
        <v>0</v>
      </c>
      <c r="AO939" s="201">
        <f t="shared" ca="1" si="1094"/>
        <v>0</v>
      </c>
      <c r="AP939" s="201">
        <f t="shared" ca="1" si="1094"/>
        <v>0</v>
      </c>
      <c r="AQ939" s="201">
        <f t="shared" ca="1" si="1094"/>
        <v>0</v>
      </c>
      <c r="AR939" s="201">
        <f t="shared" ca="1" si="1094"/>
        <v>0</v>
      </c>
      <c r="AS939" s="201">
        <f t="shared" ca="1" si="1094"/>
        <v>0</v>
      </c>
      <c r="AT939" s="201">
        <f t="shared" ca="1" si="1094"/>
        <v>0</v>
      </c>
      <c r="AU939" s="201">
        <f t="shared" ca="1" si="1094"/>
        <v>0</v>
      </c>
      <c r="AV939" s="201">
        <f t="shared" ca="1" si="1094"/>
        <v>0</v>
      </c>
      <c r="AW939" s="201">
        <f t="shared" ca="1" si="1094"/>
        <v>0</v>
      </c>
      <c r="AX939" s="201">
        <f t="shared" ca="1" si="1094"/>
        <v>0</v>
      </c>
      <c r="AY939" s="201">
        <f t="shared" ca="1" si="1094"/>
        <v>0</v>
      </c>
      <c r="AZ939" s="201">
        <f t="shared" ca="1" si="1094"/>
        <v>0</v>
      </c>
      <c r="BA939" s="201">
        <f t="shared" ca="1" si="1094"/>
        <v>0</v>
      </c>
      <c r="BB939" s="201">
        <f t="shared" ca="1" si="1094"/>
        <v>0</v>
      </c>
      <c r="BC939" s="201">
        <f t="shared" ca="1" si="1094"/>
        <v>0</v>
      </c>
      <c r="BD939" s="201">
        <f t="shared" ca="1" si="1094"/>
        <v>0</v>
      </c>
      <c r="BE939" s="201">
        <f t="shared" ca="1" si="1094"/>
        <v>0</v>
      </c>
      <c r="BF939" s="201">
        <f t="shared" ca="1" si="1094"/>
        <v>0</v>
      </c>
      <c r="BG939" s="201">
        <f t="shared" ca="1" si="1094"/>
        <v>0</v>
      </c>
      <c r="BH939" s="201">
        <f t="shared" ca="1" si="1094"/>
        <v>0</v>
      </c>
      <c r="BI939" s="201">
        <f t="shared" ca="1" si="1094"/>
        <v>0</v>
      </c>
      <c r="BJ939" s="201">
        <f t="shared" si="1094"/>
        <v>0</v>
      </c>
      <c r="BL939" s="136"/>
      <c r="BM939" s="13">
        <f t="shared" ca="1" si="1075"/>
        <v>0</v>
      </c>
      <c r="BN939" s="13">
        <f t="shared" ca="1" si="1076"/>
        <v>0</v>
      </c>
      <c r="BO939" s="13">
        <f t="shared" si="1077"/>
        <v>0</v>
      </c>
      <c r="BP939" s="136"/>
      <c r="BQ939" s="136"/>
      <c r="BR939" s="136"/>
      <c r="BS939" s="136"/>
      <c r="BT939" s="136"/>
      <c r="BU939" s="136"/>
      <c r="BV939" s="136"/>
      <c r="BW939" s="136"/>
      <c r="BY939" s="12"/>
      <c r="BZ939" s="335"/>
      <c r="CA939" s="12"/>
      <c r="CB939" s="335"/>
      <c r="CC939" s="335"/>
      <c r="CD939" s="335"/>
      <c r="CE939" s="335"/>
      <c r="CM939" s="335"/>
      <c r="CN939" s="335"/>
      <c r="CO939" s="335"/>
      <c r="CP939" s="335"/>
      <c r="CR939" s="12"/>
      <c r="CT939" s="335"/>
      <c r="CU939" s="335"/>
      <c r="EW939" s="335"/>
      <c r="EX939" s="10" t="str">
        <f t="shared" si="1067"/>
        <v/>
      </c>
    </row>
    <row r="940" spans="1:154" s="67" customFormat="1" x14ac:dyDescent="0.25">
      <c r="B940" s="84" t="str" cm="1">
        <f t="array" aca="1" ref="B940" ca="1">HYPERLINK(CONCATENATE("#",CELL("address",$D$389)),$D$389)</f>
        <v>Loan 19</v>
      </c>
      <c r="C940" s="380"/>
      <c r="D940" s="60">
        <f>D$31</f>
        <v>0</v>
      </c>
      <c r="E940" s="221">
        <f>E$31</f>
        <v>0</v>
      </c>
      <c r="G940" s="9"/>
      <c r="H940" s="50" t="s">
        <v>125</v>
      </c>
      <c r="S940" s="335"/>
      <c r="T940" s="335"/>
      <c r="U940" s="335"/>
      <c r="V940" s="136"/>
      <c r="W940" s="201">
        <f t="shared" ca="1" si="1073"/>
        <v>0</v>
      </c>
      <c r="X940" s="201">
        <f t="shared" ca="1" si="1073"/>
        <v>0</v>
      </c>
      <c r="Y940" s="201">
        <f t="shared" si="1073"/>
        <v>0</v>
      </c>
      <c r="AA940" s="201">
        <f t="shared" ref="AA940:BJ940" ca="1" si="1095">AA1009-AA917</f>
        <v>0</v>
      </c>
      <c r="AB940" s="201">
        <f t="shared" ca="1" si="1095"/>
        <v>0</v>
      </c>
      <c r="AC940" s="201">
        <f t="shared" ca="1" si="1095"/>
        <v>0</v>
      </c>
      <c r="AD940" s="201">
        <f t="shared" ca="1" si="1095"/>
        <v>0</v>
      </c>
      <c r="AE940" s="201">
        <f t="shared" ca="1" si="1095"/>
        <v>0</v>
      </c>
      <c r="AF940" s="201">
        <f t="shared" ca="1" si="1095"/>
        <v>0</v>
      </c>
      <c r="AG940" s="201">
        <f t="shared" ca="1" si="1095"/>
        <v>0</v>
      </c>
      <c r="AH940" s="201">
        <f t="shared" ca="1" si="1095"/>
        <v>0</v>
      </c>
      <c r="AI940" s="201">
        <f t="shared" ca="1" si="1095"/>
        <v>0</v>
      </c>
      <c r="AJ940" s="201">
        <f t="shared" ca="1" si="1095"/>
        <v>0</v>
      </c>
      <c r="AK940" s="201">
        <f t="shared" ca="1" si="1095"/>
        <v>0</v>
      </c>
      <c r="AL940" s="201">
        <f t="shared" ca="1" si="1095"/>
        <v>0</v>
      </c>
      <c r="AM940" s="201">
        <f t="shared" ca="1" si="1095"/>
        <v>0</v>
      </c>
      <c r="AN940" s="201">
        <f t="shared" ca="1" si="1095"/>
        <v>0</v>
      </c>
      <c r="AO940" s="201">
        <f t="shared" ca="1" si="1095"/>
        <v>0</v>
      </c>
      <c r="AP940" s="201">
        <f t="shared" ca="1" si="1095"/>
        <v>0</v>
      </c>
      <c r="AQ940" s="201">
        <f t="shared" ca="1" si="1095"/>
        <v>0</v>
      </c>
      <c r="AR940" s="201">
        <f t="shared" ca="1" si="1095"/>
        <v>0</v>
      </c>
      <c r="AS940" s="201">
        <f t="shared" ca="1" si="1095"/>
        <v>0</v>
      </c>
      <c r="AT940" s="201">
        <f t="shared" ca="1" si="1095"/>
        <v>0</v>
      </c>
      <c r="AU940" s="201">
        <f t="shared" ca="1" si="1095"/>
        <v>0</v>
      </c>
      <c r="AV940" s="201">
        <f t="shared" ca="1" si="1095"/>
        <v>0</v>
      </c>
      <c r="AW940" s="201">
        <f t="shared" ca="1" si="1095"/>
        <v>0</v>
      </c>
      <c r="AX940" s="201">
        <f t="shared" ca="1" si="1095"/>
        <v>0</v>
      </c>
      <c r="AY940" s="201">
        <f t="shared" ca="1" si="1095"/>
        <v>0</v>
      </c>
      <c r="AZ940" s="201">
        <f t="shared" ca="1" si="1095"/>
        <v>0</v>
      </c>
      <c r="BA940" s="201">
        <f t="shared" ca="1" si="1095"/>
        <v>0</v>
      </c>
      <c r="BB940" s="201">
        <f t="shared" ca="1" si="1095"/>
        <v>0</v>
      </c>
      <c r="BC940" s="201">
        <f t="shared" ca="1" si="1095"/>
        <v>0</v>
      </c>
      <c r="BD940" s="201">
        <f t="shared" ca="1" si="1095"/>
        <v>0</v>
      </c>
      <c r="BE940" s="201">
        <f t="shared" ca="1" si="1095"/>
        <v>0</v>
      </c>
      <c r="BF940" s="201">
        <f t="shared" ca="1" si="1095"/>
        <v>0</v>
      </c>
      <c r="BG940" s="201">
        <f t="shared" ca="1" si="1095"/>
        <v>0</v>
      </c>
      <c r="BH940" s="201">
        <f t="shared" ca="1" si="1095"/>
        <v>0</v>
      </c>
      <c r="BI940" s="201">
        <f t="shared" ca="1" si="1095"/>
        <v>0</v>
      </c>
      <c r="BJ940" s="201">
        <f t="shared" si="1095"/>
        <v>0</v>
      </c>
      <c r="BL940" s="136"/>
      <c r="BM940" s="13">
        <f t="shared" ca="1" si="1075"/>
        <v>0</v>
      </c>
      <c r="BN940" s="13">
        <f t="shared" ca="1" si="1076"/>
        <v>0</v>
      </c>
      <c r="BO940" s="13">
        <f t="shared" si="1077"/>
        <v>0</v>
      </c>
      <c r="BP940" s="136"/>
      <c r="BQ940" s="136"/>
      <c r="BR940" s="136"/>
      <c r="BS940" s="136"/>
      <c r="BT940" s="136"/>
      <c r="BU940" s="136"/>
      <c r="BV940" s="136"/>
      <c r="BW940" s="136"/>
      <c r="BY940" s="12"/>
      <c r="BZ940" s="335"/>
      <c r="CA940" s="12"/>
      <c r="CB940" s="335"/>
      <c r="CC940" s="335"/>
      <c r="CD940" s="335"/>
      <c r="CE940" s="335"/>
      <c r="CM940" s="335"/>
      <c r="CN940" s="335"/>
      <c r="CO940" s="335"/>
      <c r="CP940" s="335"/>
      <c r="CR940" s="12"/>
      <c r="CT940" s="335"/>
      <c r="CU940" s="335"/>
      <c r="EW940" s="335"/>
      <c r="EX940" s="10" t="str">
        <f t="shared" si="1067"/>
        <v/>
      </c>
    </row>
    <row r="941" spans="1:154" s="67" customFormat="1" x14ac:dyDescent="0.25">
      <c r="B941" s="84" t="str" cm="1">
        <f t="array" aca="1" ref="B941" ca="1">HYPERLINK(CONCATENATE("#",CELL("address",$D$408)),$D$408)</f>
        <v>Loan 20</v>
      </c>
      <c r="C941" s="380"/>
      <c r="D941" s="60">
        <f>D$32</f>
        <v>0</v>
      </c>
      <c r="E941" s="221">
        <f>E$32</f>
        <v>0</v>
      </c>
      <c r="G941" s="9"/>
      <c r="H941" s="50" t="s">
        <v>125</v>
      </c>
      <c r="S941" s="335"/>
      <c r="T941" s="335"/>
      <c r="U941" s="335"/>
      <c r="V941" s="136"/>
      <c r="W941" s="201">
        <f t="shared" ca="1" si="1073"/>
        <v>0</v>
      </c>
      <c r="X941" s="201">
        <f t="shared" ca="1" si="1073"/>
        <v>0</v>
      </c>
      <c r="Y941" s="201">
        <f t="shared" si="1073"/>
        <v>0</v>
      </c>
      <c r="AA941" s="201">
        <f t="shared" ref="AA941:BJ941" ca="1" si="1096">AA1010-AA918</f>
        <v>0</v>
      </c>
      <c r="AB941" s="201">
        <f t="shared" ca="1" si="1096"/>
        <v>0</v>
      </c>
      <c r="AC941" s="201">
        <f t="shared" ca="1" si="1096"/>
        <v>0</v>
      </c>
      <c r="AD941" s="201">
        <f t="shared" ca="1" si="1096"/>
        <v>0</v>
      </c>
      <c r="AE941" s="201">
        <f t="shared" ca="1" si="1096"/>
        <v>0</v>
      </c>
      <c r="AF941" s="201">
        <f t="shared" ca="1" si="1096"/>
        <v>0</v>
      </c>
      <c r="AG941" s="201">
        <f t="shared" ca="1" si="1096"/>
        <v>0</v>
      </c>
      <c r="AH941" s="201">
        <f t="shared" ca="1" si="1096"/>
        <v>0</v>
      </c>
      <c r="AI941" s="201">
        <f t="shared" ca="1" si="1096"/>
        <v>0</v>
      </c>
      <c r="AJ941" s="201">
        <f t="shared" ca="1" si="1096"/>
        <v>0</v>
      </c>
      <c r="AK941" s="201">
        <f t="shared" ca="1" si="1096"/>
        <v>0</v>
      </c>
      <c r="AL941" s="201">
        <f t="shared" ca="1" si="1096"/>
        <v>0</v>
      </c>
      <c r="AM941" s="201">
        <f t="shared" ca="1" si="1096"/>
        <v>0</v>
      </c>
      <c r="AN941" s="201">
        <f t="shared" ca="1" si="1096"/>
        <v>0</v>
      </c>
      <c r="AO941" s="201">
        <f t="shared" ca="1" si="1096"/>
        <v>0</v>
      </c>
      <c r="AP941" s="201">
        <f t="shared" ca="1" si="1096"/>
        <v>0</v>
      </c>
      <c r="AQ941" s="201">
        <f t="shared" ca="1" si="1096"/>
        <v>0</v>
      </c>
      <c r="AR941" s="201">
        <f t="shared" ca="1" si="1096"/>
        <v>0</v>
      </c>
      <c r="AS941" s="201">
        <f t="shared" ca="1" si="1096"/>
        <v>0</v>
      </c>
      <c r="AT941" s="201">
        <f t="shared" ca="1" si="1096"/>
        <v>0</v>
      </c>
      <c r="AU941" s="201">
        <f t="shared" ca="1" si="1096"/>
        <v>0</v>
      </c>
      <c r="AV941" s="201">
        <f t="shared" ca="1" si="1096"/>
        <v>0</v>
      </c>
      <c r="AW941" s="201">
        <f t="shared" ca="1" si="1096"/>
        <v>0</v>
      </c>
      <c r="AX941" s="201">
        <f t="shared" ca="1" si="1096"/>
        <v>0</v>
      </c>
      <c r="AY941" s="201">
        <f t="shared" ca="1" si="1096"/>
        <v>0</v>
      </c>
      <c r="AZ941" s="201">
        <f t="shared" ca="1" si="1096"/>
        <v>0</v>
      </c>
      <c r="BA941" s="201">
        <f t="shared" ca="1" si="1096"/>
        <v>0</v>
      </c>
      <c r="BB941" s="201">
        <f t="shared" ca="1" si="1096"/>
        <v>0</v>
      </c>
      <c r="BC941" s="201">
        <f t="shared" ca="1" si="1096"/>
        <v>0</v>
      </c>
      <c r="BD941" s="201">
        <f t="shared" ca="1" si="1096"/>
        <v>0</v>
      </c>
      <c r="BE941" s="201">
        <f t="shared" ca="1" si="1096"/>
        <v>0</v>
      </c>
      <c r="BF941" s="201">
        <f t="shared" ca="1" si="1096"/>
        <v>0</v>
      </c>
      <c r="BG941" s="201">
        <f t="shared" ca="1" si="1096"/>
        <v>0</v>
      </c>
      <c r="BH941" s="201">
        <f t="shared" ca="1" si="1096"/>
        <v>0</v>
      </c>
      <c r="BI941" s="201">
        <f t="shared" ca="1" si="1096"/>
        <v>0</v>
      </c>
      <c r="BJ941" s="201">
        <f t="shared" si="1096"/>
        <v>0</v>
      </c>
      <c r="BL941" s="136"/>
      <c r="BM941" s="13">
        <f t="shared" ca="1" si="1075"/>
        <v>0</v>
      </c>
      <c r="BN941" s="13">
        <f t="shared" ca="1" si="1076"/>
        <v>0</v>
      </c>
      <c r="BO941" s="13">
        <f t="shared" si="1077"/>
        <v>0</v>
      </c>
      <c r="BP941" s="136"/>
      <c r="BQ941" s="136"/>
      <c r="BR941" s="136"/>
      <c r="BS941" s="136"/>
      <c r="BT941" s="136"/>
      <c r="BU941" s="136"/>
      <c r="BV941" s="136"/>
      <c r="BW941" s="136"/>
      <c r="BY941" s="12"/>
      <c r="BZ941" s="335"/>
      <c r="CA941" s="12"/>
      <c r="CB941" s="335"/>
      <c r="CC941" s="335"/>
      <c r="CD941" s="335"/>
      <c r="CE941" s="335"/>
      <c r="CM941" s="335"/>
      <c r="CN941" s="335"/>
      <c r="CO941" s="335"/>
      <c r="CP941" s="335"/>
      <c r="CR941" s="12"/>
      <c r="CT941" s="335"/>
      <c r="CU941" s="335"/>
      <c r="EW941" s="335"/>
      <c r="EX941" s="10" t="str">
        <f t="shared" si="1067"/>
        <v/>
      </c>
    </row>
    <row r="942" spans="1:154" s="67" customFormat="1" ht="6.6" customHeight="1" x14ac:dyDescent="0.25">
      <c r="C942" s="380"/>
      <c r="D942" s="1"/>
      <c r="S942" s="335"/>
      <c r="T942" s="335"/>
      <c r="U942" s="335"/>
      <c r="BM942" s="6"/>
      <c r="BY942" s="42"/>
      <c r="BZ942" s="335"/>
      <c r="CA942" s="42"/>
      <c r="CB942" s="335"/>
      <c r="CC942" s="335"/>
      <c r="CD942" s="335"/>
      <c r="CE942" s="335"/>
      <c r="CM942" s="335"/>
      <c r="CN942" s="335"/>
      <c r="CO942" s="335"/>
      <c r="CP942" s="335"/>
      <c r="CR942" s="42"/>
      <c r="CT942" s="335"/>
      <c r="CU942" s="335"/>
      <c r="EW942" s="335"/>
      <c r="EX942" s="10" t="str">
        <f t="shared" si="1067"/>
        <v/>
      </c>
    </row>
    <row r="943" spans="1:154" s="67" customFormat="1" ht="30" x14ac:dyDescent="0.25">
      <c r="C943" s="380"/>
      <c r="D943" s="61" t="s">
        <v>770</v>
      </c>
      <c r="S943" s="335"/>
      <c r="T943" s="335"/>
      <c r="U943" s="335"/>
      <c r="BY943" s="12"/>
      <c r="BZ943" s="335"/>
      <c r="CA943" s="12"/>
      <c r="CB943" s="335"/>
      <c r="CC943" s="335"/>
      <c r="CD943" s="335"/>
      <c r="CE943" s="335"/>
      <c r="CM943" s="335"/>
      <c r="CN943" s="335"/>
      <c r="CO943" s="335"/>
      <c r="CP943" s="335"/>
      <c r="CR943" s="12"/>
      <c r="CT943" s="335"/>
      <c r="CU943" s="335"/>
      <c r="EW943" s="335"/>
      <c r="EX943" s="10" t="str">
        <f t="shared" si="1067"/>
        <v/>
      </c>
    </row>
    <row r="944" spans="1:154" s="67" customFormat="1" ht="15.75" x14ac:dyDescent="0.25">
      <c r="B944" s="138" t="s">
        <v>551</v>
      </c>
      <c r="C944" s="380"/>
      <c r="D944" s="5" t="str">
        <f>D$11</f>
        <v>Lender</v>
      </c>
      <c r="E944" s="5" t="str">
        <f>E$11</f>
        <v>Loan Category</v>
      </c>
      <c r="S944" s="335"/>
      <c r="T944" s="335"/>
      <c r="U944" s="335"/>
      <c r="AA944" s="170" t="s">
        <v>335</v>
      </c>
      <c r="BY944" s="12"/>
      <c r="BZ944" s="335"/>
      <c r="CA944" s="12"/>
      <c r="CB944" s="335"/>
      <c r="CC944" s="335"/>
      <c r="CD944" s="335"/>
      <c r="CE944" s="335"/>
      <c r="CM944" s="335"/>
      <c r="CN944" s="335"/>
      <c r="CO944" s="335"/>
      <c r="CP944" s="335"/>
      <c r="CR944" s="12"/>
      <c r="CT944" s="335"/>
      <c r="CU944" s="335"/>
      <c r="EW944" s="335"/>
      <c r="EX944" s="10" t="str">
        <f t="shared" si="1067"/>
        <v/>
      </c>
    </row>
    <row r="945" spans="1:154" s="67" customFormat="1" x14ac:dyDescent="0.25">
      <c r="B945" s="84" t="str" cm="1">
        <f t="array" aca="1" ref="B945" ca="1">HYPERLINK(CONCATENATE("#",CELL("address",$D$47)),$D$47)</f>
        <v>Loan 1</v>
      </c>
      <c r="C945" s="340" t="s">
        <v>1333</v>
      </c>
      <c r="D945" s="221" t="str">
        <f>D$13</f>
        <v>NatWest</v>
      </c>
      <c r="E945" s="221" t="str">
        <f>E$13</f>
        <v xml:space="preserve">Commercial </v>
      </c>
      <c r="G945" s="9"/>
      <c r="H945" s="50" t="s">
        <v>125</v>
      </c>
      <c r="I945" s="65"/>
      <c r="S945" s="335"/>
      <c r="T945" s="335"/>
      <c r="U945" s="335"/>
      <c r="V945" s="136"/>
      <c r="W945" s="201">
        <f t="shared" ref="W945:Y964" ca="1" si="1097">INDEX($AA945:$BJ945, MATCH(W$5, $AA$5:$BJ$5, 0))</f>
        <v>0</v>
      </c>
      <c r="X945" s="201">
        <f t="shared" ca="1" si="1097"/>
        <v>0</v>
      </c>
      <c r="Y945" s="201">
        <f t="shared" si="1097"/>
        <v>0</v>
      </c>
      <c r="AA945" s="201">
        <f ca="1">AA899+AA922*Timeline!AA369</f>
        <v>46</v>
      </c>
      <c r="AB945" s="201">
        <f ca="1">AB899+AB922*Timeline!AB369</f>
        <v>35</v>
      </c>
      <c r="AC945" s="201">
        <f ca="1">AC899+AC922*Timeline!AC369</f>
        <v>24</v>
      </c>
      <c r="AD945" s="201">
        <f ca="1">AD899+AD922*Timeline!AD369</f>
        <v>13</v>
      </c>
      <c r="AE945" s="201">
        <f ca="1">AE899+AE922*Timeline!AE369</f>
        <v>2</v>
      </c>
      <c r="AF945" s="201">
        <f ca="1">AF899+AF922*Timeline!AF369</f>
        <v>0</v>
      </c>
      <c r="AG945" s="201">
        <f ca="1">AG899+AG922*Timeline!AG369</f>
        <v>0</v>
      </c>
      <c r="AH945" s="201">
        <f ca="1">AH899+AH922*Timeline!AH369</f>
        <v>0</v>
      </c>
      <c r="AI945" s="201">
        <f ca="1">AI899+AI922*Timeline!AI369</f>
        <v>0</v>
      </c>
      <c r="AJ945" s="201">
        <f ca="1">AJ899+AJ922*Timeline!AJ369</f>
        <v>0</v>
      </c>
      <c r="AK945" s="201">
        <f ca="1">AK899+AK922*Timeline!AK369</f>
        <v>0</v>
      </c>
      <c r="AL945" s="201">
        <f ca="1">AL899+AL922*Timeline!AL369</f>
        <v>0</v>
      </c>
      <c r="AM945" s="201">
        <f ca="1">AM899+AM922*Timeline!AM369</f>
        <v>0</v>
      </c>
      <c r="AN945" s="201">
        <f ca="1">AN899+AN922*Timeline!AN369</f>
        <v>0</v>
      </c>
      <c r="AO945" s="201">
        <f ca="1">AO899+AO922*Timeline!AO369</f>
        <v>0</v>
      </c>
      <c r="AP945" s="201">
        <f ca="1">AP899+AP922*Timeline!AP369</f>
        <v>0</v>
      </c>
      <c r="AQ945" s="201">
        <f ca="1">AQ899+AQ922*Timeline!AQ369</f>
        <v>0</v>
      </c>
      <c r="AR945" s="201">
        <f ca="1">AR899+AR922*Timeline!AR369</f>
        <v>0</v>
      </c>
      <c r="AS945" s="201">
        <f ca="1">AS899+AS922*Timeline!AS369</f>
        <v>0</v>
      </c>
      <c r="AT945" s="201">
        <f ca="1">AT899+AT922*Timeline!AT369</f>
        <v>0</v>
      </c>
      <c r="AU945" s="201">
        <f ca="1">AU899+AU922*Timeline!AU369</f>
        <v>0</v>
      </c>
      <c r="AV945" s="201">
        <f ca="1">AV899+AV922*Timeline!AV369</f>
        <v>0</v>
      </c>
      <c r="AW945" s="201">
        <f ca="1">AW899+AW922*Timeline!AW369</f>
        <v>0</v>
      </c>
      <c r="AX945" s="201">
        <f ca="1">AX899+AX922*Timeline!AX369</f>
        <v>0</v>
      </c>
      <c r="AY945" s="201">
        <f ca="1">AY899+AY922*Timeline!AY369</f>
        <v>0</v>
      </c>
      <c r="AZ945" s="201">
        <f ca="1">AZ899+AZ922*Timeline!AZ369</f>
        <v>0</v>
      </c>
      <c r="BA945" s="201">
        <f ca="1">BA899+BA922*Timeline!BA369</f>
        <v>0</v>
      </c>
      <c r="BB945" s="201">
        <f ca="1">BB899+BB922*Timeline!BB369</f>
        <v>0</v>
      </c>
      <c r="BC945" s="201">
        <f ca="1">BC899+BC922*Timeline!BC369</f>
        <v>0</v>
      </c>
      <c r="BD945" s="201">
        <f ca="1">BD899+BD922*Timeline!BD369</f>
        <v>0</v>
      </c>
      <c r="BE945" s="201">
        <f ca="1">BE899+BE922*Timeline!BE369</f>
        <v>0</v>
      </c>
      <c r="BF945" s="201">
        <f ca="1">BF899+BF922*Timeline!BF369</f>
        <v>0</v>
      </c>
      <c r="BG945" s="201">
        <f ca="1">BG899+BG922*Timeline!BG369</f>
        <v>0</v>
      </c>
      <c r="BH945" s="201">
        <f ca="1">BH899+BH922*Timeline!BH369</f>
        <v>0</v>
      </c>
      <c r="BI945" s="201">
        <f ca="1">BI899+BI922*Timeline!BI369</f>
        <v>0</v>
      </c>
      <c r="BJ945" s="201">
        <f>BJ899+BJ922*Timeline!BJ369</f>
        <v>0</v>
      </c>
      <c r="BL945" s="136"/>
      <c r="BM945" s="13">
        <f t="shared" ref="BM945:BM964" ca="1" si="1098">W945</f>
        <v>0</v>
      </c>
      <c r="BN945" s="13">
        <f t="shared" ref="BN945:BN964" ca="1" si="1099">X945</f>
        <v>0</v>
      </c>
      <c r="BO945" s="13">
        <f t="shared" ref="BO945:BO964" si="1100">Y945</f>
        <v>0</v>
      </c>
      <c r="BP945" s="136"/>
      <c r="BQ945" s="136"/>
      <c r="BR945" s="136"/>
      <c r="BS945" s="136"/>
      <c r="BT945" s="136"/>
      <c r="BU945" s="136"/>
      <c r="BV945" s="136"/>
      <c r="BW945" s="136"/>
      <c r="BY945" s="12"/>
      <c r="BZ945" s="335"/>
      <c r="CA945" s="12"/>
      <c r="CB945" s="335"/>
      <c r="CC945" s="335"/>
      <c r="CD945" s="335"/>
      <c r="CE945" s="335"/>
      <c r="CM945" s="335"/>
      <c r="CN945" s="335"/>
      <c r="CO945" s="335"/>
      <c r="CP945" s="335"/>
      <c r="CR945" s="12"/>
      <c r="CT945" s="335"/>
      <c r="CU945" s="335"/>
      <c r="EW945" s="335"/>
      <c r="EX945" s="13" t="str">
        <f t="shared" ref="EX945:EX964" ca="1" si="1101">IF($C945="","",CONCATENATE(D$943," ", $B945))</f>
        <v>Amount Due Within One Year after Covenant Breach Adjustment Loan 1</v>
      </c>
    </row>
    <row r="946" spans="1:154" s="67" customFormat="1" x14ac:dyDescent="0.25">
      <c r="B946" s="84" t="str" cm="1">
        <f t="array" aca="1" ref="B946" ca="1">HYPERLINK(CONCATENATE("#",CELL("address",$D$66)),$D$66)</f>
        <v>Loan 2</v>
      </c>
      <c r="C946" s="340" t="s">
        <v>1334</v>
      </c>
      <c r="D946" s="60" t="str">
        <f>D$14</f>
        <v>NatWest</v>
      </c>
      <c r="E946" s="221" t="str">
        <f>E$14</f>
        <v xml:space="preserve">Commercial </v>
      </c>
      <c r="G946" s="9"/>
      <c r="H946" s="50" t="s">
        <v>125</v>
      </c>
      <c r="S946" s="335"/>
      <c r="T946" s="335"/>
      <c r="U946" s="335"/>
      <c r="V946" s="136"/>
      <c r="W946" s="201">
        <f t="shared" ca="1" si="1097"/>
        <v>89</v>
      </c>
      <c r="X946" s="201">
        <f t="shared" ca="1" si="1097"/>
        <v>89</v>
      </c>
      <c r="Y946" s="201">
        <f t="shared" si="1097"/>
        <v>0</v>
      </c>
      <c r="AA946" s="201">
        <f ca="1">AA900+AA923*Timeline!AA370</f>
        <v>89</v>
      </c>
      <c r="AB946" s="201">
        <f ca="1">AB900+AB923*Timeline!AB370</f>
        <v>89</v>
      </c>
      <c r="AC946" s="201">
        <f ca="1">AC900+AC923*Timeline!AC370</f>
        <v>89</v>
      </c>
      <c r="AD946" s="201">
        <f ca="1">AD900+AD923*Timeline!AD370</f>
        <v>89</v>
      </c>
      <c r="AE946" s="201">
        <f ca="1">AE900+AE923*Timeline!AE370</f>
        <v>89</v>
      </c>
      <c r="AF946" s="201">
        <f ca="1">AF900+AF923*Timeline!AF370</f>
        <v>89</v>
      </c>
      <c r="AG946" s="201">
        <f ca="1">AG900+AG923*Timeline!AG370</f>
        <v>89</v>
      </c>
      <c r="AH946" s="201">
        <f ca="1">AH900+AH923*Timeline!AH370</f>
        <v>89</v>
      </c>
      <c r="AI946" s="201">
        <f ca="1">AI900+AI923*Timeline!AI370</f>
        <v>89</v>
      </c>
      <c r="AJ946" s="201">
        <f ca="1">AJ900+AJ923*Timeline!AJ370</f>
        <v>89</v>
      </c>
      <c r="AK946" s="201">
        <f ca="1">AK900+AK923*Timeline!AK370</f>
        <v>89</v>
      </c>
      <c r="AL946" s="201">
        <f ca="1">AL900+AL923*Timeline!AL370</f>
        <v>89</v>
      </c>
      <c r="AM946" s="201">
        <f ca="1">AM900+AM923*Timeline!AM370</f>
        <v>89</v>
      </c>
      <c r="AN946" s="201">
        <f ca="1">AN900+AN923*Timeline!AN370</f>
        <v>89</v>
      </c>
      <c r="AO946" s="201">
        <f ca="1">AO900+AO923*Timeline!AO370</f>
        <v>89</v>
      </c>
      <c r="AP946" s="201">
        <f ca="1">AP900+AP923*Timeline!AP370</f>
        <v>89</v>
      </c>
      <c r="AQ946" s="201">
        <f ca="1">AQ900+AQ923*Timeline!AQ370</f>
        <v>89</v>
      </c>
      <c r="AR946" s="201">
        <f ca="1">AR900+AR923*Timeline!AR370</f>
        <v>89</v>
      </c>
      <c r="AS946" s="201">
        <f ca="1">AS900+AS923*Timeline!AS370</f>
        <v>89</v>
      </c>
      <c r="AT946" s="201">
        <f ca="1">AT900+AT923*Timeline!AT370</f>
        <v>89</v>
      </c>
      <c r="AU946" s="201">
        <f ca="1">AU900+AU923*Timeline!AU370</f>
        <v>89</v>
      </c>
      <c r="AV946" s="201">
        <f ca="1">AV900+AV923*Timeline!AV370</f>
        <v>89</v>
      </c>
      <c r="AW946" s="201">
        <f ca="1">AW900+AW923*Timeline!AW370</f>
        <v>89</v>
      </c>
      <c r="AX946" s="201">
        <f ca="1">AX900+AX923*Timeline!AX370</f>
        <v>89</v>
      </c>
      <c r="AY946" s="201">
        <f ca="1">AY900+AY923*Timeline!AY370</f>
        <v>81</v>
      </c>
      <c r="AZ946" s="201">
        <f ca="1">AZ900+AZ923*Timeline!AZ370</f>
        <v>73</v>
      </c>
      <c r="BA946" s="201">
        <f ca="1">BA900+BA923*Timeline!BA370</f>
        <v>65</v>
      </c>
      <c r="BB946" s="201">
        <f ca="1">BB900+BB923*Timeline!BB370</f>
        <v>57</v>
      </c>
      <c r="BC946" s="201">
        <f ca="1">BC900+BC923*Timeline!BC370</f>
        <v>49</v>
      </c>
      <c r="BD946" s="201">
        <f ca="1">BD900+BD923*Timeline!BD370</f>
        <v>42</v>
      </c>
      <c r="BE946" s="201">
        <f ca="1">BE900+BE923*Timeline!BE370</f>
        <v>35</v>
      </c>
      <c r="BF946" s="201">
        <f ca="1">BF900+BF923*Timeline!BF370</f>
        <v>28</v>
      </c>
      <c r="BG946" s="201">
        <f ca="1">BG900+BG923*Timeline!BG370</f>
        <v>21</v>
      </c>
      <c r="BH946" s="201">
        <f ca="1">BH900+BH923*Timeline!BH370</f>
        <v>14</v>
      </c>
      <c r="BI946" s="201">
        <f ca="1">BI900+BI923*Timeline!BI370</f>
        <v>7</v>
      </c>
      <c r="BJ946" s="201">
        <f>BJ900+BJ923*Timeline!BJ370</f>
        <v>0</v>
      </c>
      <c r="BL946" s="136"/>
      <c r="BM946" s="13">
        <f t="shared" ca="1" si="1098"/>
        <v>89</v>
      </c>
      <c r="BN946" s="13">
        <f t="shared" ca="1" si="1099"/>
        <v>89</v>
      </c>
      <c r="BO946" s="13">
        <f t="shared" si="1100"/>
        <v>0</v>
      </c>
      <c r="BP946" s="136"/>
      <c r="BQ946" s="136"/>
      <c r="BR946" s="136"/>
      <c r="BS946" s="136"/>
      <c r="BT946" s="136"/>
      <c r="BU946" s="136"/>
      <c r="BV946" s="136"/>
      <c r="BW946" s="136"/>
      <c r="BY946" s="12"/>
      <c r="BZ946" s="335"/>
      <c r="CA946" s="12"/>
      <c r="CB946" s="335"/>
      <c r="CC946" s="335"/>
      <c r="CD946" s="335"/>
      <c r="CE946" s="335"/>
      <c r="CM946" s="335"/>
      <c r="CN946" s="335"/>
      <c r="CO946" s="335"/>
      <c r="CP946" s="335"/>
      <c r="CR946" s="12"/>
      <c r="CT946" s="335"/>
      <c r="CU946" s="335"/>
      <c r="EW946" s="335"/>
      <c r="EX946" s="13" t="str">
        <f t="shared" ca="1" si="1101"/>
        <v>Amount Due Within One Year after Covenant Breach Adjustment Loan 2</v>
      </c>
    </row>
    <row r="947" spans="1:154" s="67" customFormat="1" x14ac:dyDescent="0.25">
      <c r="B947" s="84" t="str" cm="1">
        <f t="array" aca="1" ref="B947" ca="1">HYPERLINK(CONCATENATE("#",CELL("address",$D$85)),$D$85)</f>
        <v>Loan 3</v>
      </c>
      <c r="C947" s="340" t="s">
        <v>1335</v>
      </c>
      <c r="D947" s="60" t="str">
        <f>D$15</f>
        <v>NatWest</v>
      </c>
      <c r="E947" s="221" t="str">
        <f>E$15</f>
        <v xml:space="preserve">Commercial </v>
      </c>
      <c r="G947" s="9"/>
      <c r="H947" s="50" t="s">
        <v>125</v>
      </c>
      <c r="S947" s="335"/>
      <c r="T947" s="335"/>
      <c r="U947" s="335"/>
      <c r="V947" s="136"/>
      <c r="W947" s="201">
        <f t="shared" ca="1" si="1097"/>
        <v>69</v>
      </c>
      <c r="X947" s="201">
        <f t="shared" ca="1" si="1097"/>
        <v>69</v>
      </c>
      <c r="Y947" s="201">
        <f t="shared" si="1097"/>
        <v>0</v>
      </c>
      <c r="AA947" s="201">
        <f ca="1">AA901+AA924*Timeline!AA371</f>
        <v>69</v>
      </c>
      <c r="AB947" s="201">
        <f ca="1">AB901+AB924*Timeline!AB371</f>
        <v>69</v>
      </c>
      <c r="AC947" s="201">
        <f ca="1">AC901+AC924*Timeline!AC371</f>
        <v>69</v>
      </c>
      <c r="AD947" s="201">
        <f ca="1">AD901+AD924*Timeline!AD371</f>
        <v>69</v>
      </c>
      <c r="AE947" s="201">
        <f ca="1">AE901+AE924*Timeline!AE371</f>
        <v>69</v>
      </c>
      <c r="AF947" s="201">
        <f ca="1">AF901+AF924*Timeline!AF371</f>
        <v>69</v>
      </c>
      <c r="AG947" s="201">
        <f ca="1">AG901+AG924*Timeline!AG371</f>
        <v>69</v>
      </c>
      <c r="AH947" s="201">
        <f ca="1">AH901+AH924*Timeline!AH371</f>
        <v>69</v>
      </c>
      <c r="AI947" s="201">
        <f ca="1">AI901+AI924*Timeline!AI371</f>
        <v>69</v>
      </c>
      <c r="AJ947" s="201">
        <f ca="1">AJ901+AJ924*Timeline!AJ371</f>
        <v>69</v>
      </c>
      <c r="AK947" s="201">
        <f ca="1">AK901+AK924*Timeline!AK371</f>
        <v>69</v>
      </c>
      <c r="AL947" s="201">
        <f ca="1">AL901+AL924*Timeline!AL371</f>
        <v>69</v>
      </c>
      <c r="AM947" s="201">
        <f ca="1">AM901+AM924*Timeline!AM371</f>
        <v>69</v>
      </c>
      <c r="AN947" s="201">
        <f ca="1">AN901+AN924*Timeline!AN371</f>
        <v>69</v>
      </c>
      <c r="AO947" s="201">
        <f ca="1">AO901+AO924*Timeline!AO371</f>
        <v>69</v>
      </c>
      <c r="AP947" s="201">
        <f ca="1">AP901+AP924*Timeline!AP371</f>
        <v>69</v>
      </c>
      <c r="AQ947" s="201">
        <f ca="1">AQ901+AQ924*Timeline!AQ371</f>
        <v>69</v>
      </c>
      <c r="AR947" s="201">
        <f ca="1">AR901+AR924*Timeline!AR371</f>
        <v>69</v>
      </c>
      <c r="AS947" s="201">
        <f ca="1">AS901+AS924*Timeline!AS371</f>
        <v>69</v>
      </c>
      <c r="AT947" s="201">
        <f ca="1">AT901+AT924*Timeline!AT371</f>
        <v>69</v>
      </c>
      <c r="AU947" s="201">
        <f ca="1">AU901+AU924*Timeline!AU371</f>
        <v>69</v>
      </c>
      <c r="AV947" s="201">
        <f ca="1">AV901+AV924*Timeline!AV371</f>
        <v>69</v>
      </c>
      <c r="AW947" s="201">
        <f ca="1">AW901+AW924*Timeline!AW371</f>
        <v>69</v>
      </c>
      <c r="AX947" s="201">
        <f ca="1">AX901+AX924*Timeline!AX371</f>
        <v>69</v>
      </c>
      <c r="AY947" s="201">
        <f ca="1">AY901+AY924*Timeline!AY371</f>
        <v>64</v>
      </c>
      <c r="AZ947" s="201">
        <f ca="1">AZ901+AZ924*Timeline!AZ371</f>
        <v>59</v>
      </c>
      <c r="BA947" s="201">
        <f ca="1">BA901+BA924*Timeline!BA371</f>
        <v>54</v>
      </c>
      <c r="BB947" s="201">
        <f ca="1">BB901+BB924*Timeline!BB371</f>
        <v>48</v>
      </c>
      <c r="BC947" s="201">
        <f ca="1">BC901+BC924*Timeline!BC371</f>
        <v>42</v>
      </c>
      <c r="BD947" s="201">
        <f ca="1">BD901+BD924*Timeline!BD371</f>
        <v>36</v>
      </c>
      <c r="BE947" s="201">
        <f ca="1">BE901+BE924*Timeline!BE371</f>
        <v>30</v>
      </c>
      <c r="BF947" s="201">
        <f ca="1">BF901+BF924*Timeline!BF371</f>
        <v>24</v>
      </c>
      <c r="BG947" s="201">
        <f ca="1">BG901+BG924*Timeline!BG371</f>
        <v>18</v>
      </c>
      <c r="BH947" s="201">
        <f ca="1">BH901+BH924*Timeline!BH371</f>
        <v>12</v>
      </c>
      <c r="BI947" s="201">
        <f ca="1">BI901+BI924*Timeline!BI371</f>
        <v>6</v>
      </c>
      <c r="BJ947" s="201">
        <f>BJ901+BJ924*Timeline!BJ371</f>
        <v>0</v>
      </c>
      <c r="BL947" s="136"/>
      <c r="BM947" s="13">
        <f t="shared" ca="1" si="1098"/>
        <v>69</v>
      </c>
      <c r="BN947" s="13">
        <f t="shared" ca="1" si="1099"/>
        <v>69</v>
      </c>
      <c r="BO947" s="13">
        <f t="shared" si="1100"/>
        <v>0</v>
      </c>
      <c r="BP947" s="136"/>
      <c r="BQ947" s="136"/>
      <c r="BR947" s="136"/>
      <c r="BS947" s="136"/>
      <c r="BT947" s="136"/>
      <c r="BU947" s="136"/>
      <c r="BV947" s="136"/>
      <c r="BW947" s="136"/>
      <c r="BY947" s="12"/>
      <c r="BZ947" s="335"/>
      <c r="CA947" s="12"/>
      <c r="CB947" s="335"/>
      <c r="CC947" s="335"/>
      <c r="CD947" s="335"/>
      <c r="CE947" s="335"/>
      <c r="CM947" s="335"/>
      <c r="CN947" s="335"/>
      <c r="CO947" s="335"/>
      <c r="CP947" s="335"/>
      <c r="CR947" s="12"/>
      <c r="CT947" s="335"/>
      <c r="CU947" s="335"/>
      <c r="EW947" s="335"/>
      <c r="EX947" s="13" t="str">
        <f t="shared" ca="1" si="1101"/>
        <v>Amount Due Within One Year after Covenant Breach Adjustment Loan 3</v>
      </c>
    </row>
    <row r="948" spans="1:154" s="67" customFormat="1" x14ac:dyDescent="0.25">
      <c r="B948" s="84" t="str" cm="1">
        <f t="array" aca="1" ref="B948" ca="1">HYPERLINK(CONCATENATE("#",CELL("address",$D$104)),$D$104)</f>
        <v>Loan 4</v>
      </c>
      <c r="C948" s="340" t="s">
        <v>1336</v>
      </c>
      <c r="D948" s="60" t="str">
        <f>D$16</f>
        <v>NatWest</v>
      </c>
      <c r="E948" s="221" t="str">
        <f>E$16</f>
        <v xml:space="preserve">Commercial </v>
      </c>
      <c r="G948" s="9"/>
      <c r="H948" s="50" t="s">
        <v>125</v>
      </c>
      <c r="S948" s="335"/>
      <c r="T948" s="335"/>
      <c r="U948" s="335"/>
      <c r="V948" s="136"/>
      <c r="W948" s="201">
        <f t="shared" ca="1" si="1097"/>
        <v>62</v>
      </c>
      <c r="X948" s="201">
        <f t="shared" ca="1" si="1097"/>
        <v>62</v>
      </c>
      <c r="Y948" s="201">
        <f t="shared" si="1097"/>
        <v>0</v>
      </c>
      <c r="AA948" s="201">
        <f ca="1">AA902+AA925*Timeline!AA372</f>
        <v>62</v>
      </c>
      <c r="AB948" s="201">
        <f ca="1">AB902+AB925*Timeline!AB372</f>
        <v>62</v>
      </c>
      <c r="AC948" s="201">
        <f ca="1">AC902+AC925*Timeline!AC372</f>
        <v>62</v>
      </c>
      <c r="AD948" s="201">
        <f ca="1">AD902+AD925*Timeline!AD372</f>
        <v>62</v>
      </c>
      <c r="AE948" s="201">
        <f ca="1">AE902+AE925*Timeline!AE372</f>
        <v>62</v>
      </c>
      <c r="AF948" s="201">
        <f ca="1">AF902+AF925*Timeline!AF372</f>
        <v>62</v>
      </c>
      <c r="AG948" s="201">
        <f ca="1">AG902+AG925*Timeline!AG372</f>
        <v>62</v>
      </c>
      <c r="AH948" s="201">
        <f ca="1">AH902+AH925*Timeline!AH372</f>
        <v>62</v>
      </c>
      <c r="AI948" s="201">
        <f ca="1">AI902+AI925*Timeline!AI372</f>
        <v>62</v>
      </c>
      <c r="AJ948" s="201">
        <f ca="1">AJ902+AJ925*Timeline!AJ372</f>
        <v>62</v>
      </c>
      <c r="AK948" s="201">
        <f ca="1">AK902+AK925*Timeline!AK372</f>
        <v>62</v>
      </c>
      <c r="AL948" s="201">
        <f ca="1">AL902+AL925*Timeline!AL372</f>
        <v>62</v>
      </c>
      <c r="AM948" s="201">
        <f ca="1">AM902+AM925*Timeline!AM372</f>
        <v>62</v>
      </c>
      <c r="AN948" s="201">
        <f ca="1">AN902+AN925*Timeline!AN372</f>
        <v>62</v>
      </c>
      <c r="AO948" s="201">
        <f ca="1">AO902+AO925*Timeline!AO372</f>
        <v>62</v>
      </c>
      <c r="AP948" s="201">
        <f ca="1">AP902+AP925*Timeline!AP372</f>
        <v>62</v>
      </c>
      <c r="AQ948" s="201">
        <f ca="1">AQ902+AQ925*Timeline!AQ372</f>
        <v>62</v>
      </c>
      <c r="AR948" s="201">
        <f ca="1">AR902+AR925*Timeline!AR372</f>
        <v>62</v>
      </c>
      <c r="AS948" s="201">
        <f ca="1">AS902+AS925*Timeline!AS372</f>
        <v>62</v>
      </c>
      <c r="AT948" s="201">
        <f ca="1">AT902+AT925*Timeline!AT372</f>
        <v>62</v>
      </c>
      <c r="AU948" s="201">
        <f ca="1">AU902+AU925*Timeline!AU372</f>
        <v>62</v>
      </c>
      <c r="AV948" s="201">
        <f ca="1">AV902+AV925*Timeline!AV372</f>
        <v>62</v>
      </c>
      <c r="AW948" s="201">
        <f ca="1">AW902+AW925*Timeline!AW372</f>
        <v>62</v>
      </c>
      <c r="AX948" s="201">
        <f ca="1">AX902+AX925*Timeline!AX372</f>
        <v>62</v>
      </c>
      <c r="AY948" s="201">
        <f ca="1">AY902+AY925*Timeline!AY372</f>
        <v>47</v>
      </c>
      <c r="AZ948" s="201">
        <f ca="1">AZ902+AZ925*Timeline!AZ372</f>
        <v>47</v>
      </c>
      <c r="BA948" s="201">
        <f ca="1">BA902+BA925*Timeline!BA372</f>
        <v>47</v>
      </c>
      <c r="BB948" s="201">
        <f ca="1">BB902+BB925*Timeline!BB372</f>
        <v>32</v>
      </c>
      <c r="BC948" s="201">
        <f ca="1">BC902+BC925*Timeline!BC372</f>
        <v>32</v>
      </c>
      <c r="BD948" s="201">
        <f ca="1">BD902+BD925*Timeline!BD372</f>
        <v>32</v>
      </c>
      <c r="BE948" s="201">
        <f ca="1">BE902+BE925*Timeline!BE372</f>
        <v>16</v>
      </c>
      <c r="BF948" s="201">
        <f ca="1">BF902+BF925*Timeline!BF372</f>
        <v>16</v>
      </c>
      <c r="BG948" s="201">
        <f ca="1">BG902+BG925*Timeline!BG372</f>
        <v>16</v>
      </c>
      <c r="BH948" s="201">
        <f ca="1">BH902+BH925*Timeline!BH372</f>
        <v>0</v>
      </c>
      <c r="BI948" s="201">
        <f ca="1">BI902+BI925*Timeline!BI372</f>
        <v>0</v>
      </c>
      <c r="BJ948" s="201">
        <f>BJ902+BJ925*Timeline!BJ372</f>
        <v>0</v>
      </c>
      <c r="BL948" s="136"/>
      <c r="BM948" s="13">
        <f t="shared" ca="1" si="1098"/>
        <v>62</v>
      </c>
      <c r="BN948" s="13">
        <f t="shared" ca="1" si="1099"/>
        <v>62</v>
      </c>
      <c r="BO948" s="13">
        <f t="shared" si="1100"/>
        <v>0</v>
      </c>
      <c r="BP948" s="136"/>
      <c r="BQ948" s="136"/>
      <c r="BR948" s="136"/>
      <c r="BS948" s="136"/>
      <c r="BT948" s="136"/>
      <c r="BU948" s="136"/>
      <c r="BV948" s="136"/>
      <c r="BW948" s="136"/>
      <c r="BY948" s="12"/>
      <c r="BZ948" s="335"/>
      <c r="CA948" s="12"/>
      <c r="CB948" s="335"/>
      <c r="CC948" s="335"/>
      <c r="CD948" s="335"/>
      <c r="CE948" s="335"/>
      <c r="CM948" s="335"/>
      <c r="CN948" s="335"/>
      <c r="CO948" s="335"/>
      <c r="CP948" s="335"/>
      <c r="CR948" s="12"/>
      <c r="CT948" s="335"/>
      <c r="CU948" s="335"/>
      <c r="EW948" s="335"/>
      <c r="EX948" s="13" t="str">
        <f t="shared" ca="1" si="1101"/>
        <v>Amount Due Within One Year after Covenant Breach Adjustment Loan 4</v>
      </c>
    </row>
    <row r="949" spans="1:154" s="67" customFormat="1" x14ac:dyDescent="0.25">
      <c r="B949" s="84" t="str" cm="1">
        <f t="array" aca="1" ref="B949" ca="1">HYPERLINK(CONCATENATE("#",CELL("address",$D$123)),$D$123)</f>
        <v>Loan 5</v>
      </c>
      <c r="C949" s="340" t="s">
        <v>1337</v>
      </c>
      <c r="D949" s="60" t="str">
        <f>D$17</f>
        <v>NatWest</v>
      </c>
      <c r="E949" s="221" t="str">
        <f>E$17</f>
        <v xml:space="preserve">Commercial </v>
      </c>
      <c r="G949" s="9"/>
      <c r="H949" s="50" t="s">
        <v>125</v>
      </c>
      <c r="S949" s="335"/>
      <c r="T949" s="335"/>
      <c r="U949" s="335"/>
      <c r="V949" s="136"/>
      <c r="W949" s="201">
        <f t="shared" ca="1" si="1097"/>
        <v>64</v>
      </c>
      <c r="X949" s="201">
        <f t="shared" ca="1" si="1097"/>
        <v>64</v>
      </c>
      <c r="Y949" s="201">
        <f t="shared" si="1097"/>
        <v>0</v>
      </c>
      <c r="AA949" s="201">
        <f ca="1">AA903+AA926*Timeline!AA373</f>
        <v>64</v>
      </c>
      <c r="AB949" s="201">
        <f ca="1">AB903+AB926*Timeline!AB373</f>
        <v>64</v>
      </c>
      <c r="AC949" s="201">
        <f ca="1">AC903+AC926*Timeline!AC373</f>
        <v>64</v>
      </c>
      <c r="AD949" s="201">
        <f ca="1">AD903+AD926*Timeline!AD373</f>
        <v>64</v>
      </c>
      <c r="AE949" s="201">
        <f ca="1">AE903+AE926*Timeline!AE373</f>
        <v>64</v>
      </c>
      <c r="AF949" s="201">
        <f ca="1">AF903+AF926*Timeline!AF373</f>
        <v>64</v>
      </c>
      <c r="AG949" s="201">
        <f ca="1">AG903+AG926*Timeline!AG373</f>
        <v>64</v>
      </c>
      <c r="AH949" s="201">
        <f ca="1">AH903+AH926*Timeline!AH373</f>
        <v>64</v>
      </c>
      <c r="AI949" s="201">
        <f ca="1">AI903+AI926*Timeline!AI373</f>
        <v>64</v>
      </c>
      <c r="AJ949" s="201">
        <f ca="1">AJ903+AJ926*Timeline!AJ373</f>
        <v>64</v>
      </c>
      <c r="AK949" s="201">
        <f ca="1">AK903+AK926*Timeline!AK373</f>
        <v>64</v>
      </c>
      <c r="AL949" s="201">
        <f ca="1">AL903+AL926*Timeline!AL373</f>
        <v>64</v>
      </c>
      <c r="AM949" s="201">
        <f ca="1">AM903+AM926*Timeline!AM373</f>
        <v>64</v>
      </c>
      <c r="AN949" s="201">
        <f ca="1">AN903+AN926*Timeline!AN373</f>
        <v>64</v>
      </c>
      <c r="AO949" s="201">
        <f ca="1">AO903+AO926*Timeline!AO373</f>
        <v>64</v>
      </c>
      <c r="AP949" s="201">
        <f ca="1">AP903+AP926*Timeline!AP373</f>
        <v>64</v>
      </c>
      <c r="AQ949" s="201">
        <f ca="1">AQ903+AQ926*Timeline!AQ373</f>
        <v>64</v>
      </c>
      <c r="AR949" s="201">
        <f ca="1">AR903+AR926*Timeline!AR373</f>
        <v>64</v>
      </c>
      <c r="AS949" s="201">
        <f ca="1">AS903+AS926*Timeline!AS373</f>
        <v>64</v>
      </c>
      <c r="AT949" s="201">
        <f ca="1">AT903+AT926*Timeline!AT373</f>
        <v>64</v>
      </c>
      <c r="AU949" s="201">
        <f ca="1">AU903+AU926*Timeline!AU373</f>
        <v>64</v>
      </c>
      <c r="AV949" s="201">
        <f ca="1">AV903+AV926*Timeline!AV373</f>
        <v>64</v>
      </c>
      <c r="AW949" s="201">
        <f ca="1">AW903+AW926*Timeline!AW373</f>
        <v>64</v>
      </c>
      <c r="AX949" s="201">
        <f ca="1">AX903+AX926*Timeline!AX373</f>
        <v>64</v>
      </c>
      <c r="AY949" s="201">
        <f ca="1">AY903+AY926*Timeline!AY373</f>
        <v>48</v>
      </c>
      <c r="AZ949" s="201">
        <f ca="1">AZ903+AZ926*Timeline!AZ373</f>
        <v>48</v>
      </c>
      <c r="BA949" s="201">
        <f ca="1">BA903+BA926*Timeline!BA373</f>
        <v>48</v>
      </c>
      <c r="BB949" s="201">
        <f ca="1">BB903+BB926*Timeline!BB373</f>
        <v>32</v>
      </c>
      <c r="BC949" s="201">
        <f ca="1">BC903+BC926*Timeline!BC373</f>
        <v>32</v>
      </c>
      <c r="BD949" s="201">
        <f ca="1">BD903+BD926*Timeline!BD373</f>
        <v>32</v>
      </c>
      <c r="BE949" s="201">
        <f ca="1">BE903+BE926*Timeline!BE373</f>
        <v>16</v>
      </c>
      <c r="BF949" s="201">
        <f ca="1">BF903+BF926*Timeline!BF373</f>
        <v>16</v>
      </c>
      <c r="BG949" s="201">
        <f ca="1">BG903+BG926*Timeline!BG373</f>
        <v>16</v>
      </c>
      <c r="BH949" s="201">
        <f ca="1">BH903+BH926*Timeline!BH373</f>
        <v>0</v>
      </c>
      <c r="BI949" s="201">
        <f ca="1">BI903+BI926*Timeline!BI373</f>
        <v>0</v>
      </c>
      <c r="BJ949" s="201">
        <f>BJ903+BJ926*Timeline!BJ373</f>
        <v>0</v>
      </c>
      <c r="BL949" s="136"/>
      <c r="BM949" s="13">
        <f t="shared" ca="1" si="1098"/>
        <v>64</v>
      </c>
      <c r="BN949" s="13">
        <f t="shared" ca="1" si="1099"/>
        <v>64</v>
      </c>
      <c r="BO949" s="13">
        <f t="shared" si="1100"/>
        <v>0</v>
      </c>
      <c r="BP949" s="136"/>
      <c r="BQ949" s="136"/>
      <c r="BR949" s="136"/>
      <c r="BS949" s="136"/>
      <c r="BT949" s="136"/>
      <c r="BU949" s="136"/>
      <c r="BV949" s="136"/>
      <c r="BW949" s="136"/>
      <c r="BY949" s="12"/>
      <c r="BZ949" s="335"/>
      <c r="CA949" s="12"/>
      <c r="CB949" s="335"/>
      <c r="CC949" s="335"/>
      <c r="CD949" s="335"/>
      <c r="CE949" s="335"/>
      <c r="CM949" s="335"/>
      <c r="CN949" s="335"/>
      <c r="CO949" s="335"/>
      <c r="CP949" s="335"/>
      <c r="CR949" s="12"/>
      <c r="CT949" s="335"/>
      <c r="CU949" s="335"/>
      <c r="EW949" s="335"/>
      <c r="EX949" s="13" t="str">
        <f t="shared" ca="1" si="1101"/>
        <v>Amount Due Within One Year after Covenant Breach Adjustment Loan 5</v>
      </c>
    </row>
    <row r="950" spans="1:154" s="67" customFormat="1" x14ac:dyDescent="0.25">
      <c r="B950" s="84" t="str" cm="1">
        <f t="array" aca="1" ref="B950" ca="1">HYPERLINK(CONCATENATE("#",CELL("address",$D$142)),$D$142)</f>
        <v>Loan 6</v>
      </c>
      <c r="C950" s="340" t="s">
        <v>1338</v>
      </c>
      <c r="D950" s="60">
        <f>D$18</f>
        <v>0</v>
      </c>
      <c r="E950" s="221">
        <f>E$18</f>
        <v>0</v>
      </c>
      <c r="G950" s="9"/>
      <c r="H950" s="50" t="s">
        <v>125</v>
      </c>
      <c r="S950" s="335"/>
      <c r="T950" s="335"/>
      <c r="U950" s="335"/>
      <c r="V950" s="136"/>
      <c r="W950" s="201">
        <f t="shared" ca="1" si="1097"/>
        <v>0</v>
      </c>
      <c r="X950" s="201">
        <f t="shared" ca="1" si="1097"/>
        <v>0</v>
      </c>
      <c r="Y950" s="201">
        <f t="shared" si="1097"/>
        <v>0</v>
      </c>
      <c r="AA950" s="201">
        <f ca="1">AA904+AA927*Timeline!AA374</f>
        <v>0</v>
      </c>
      <c r="AB950" s="201">
        <f ca="1">AB904+AB927*Timeline!AB374</f>
        <v>0</v>
      </c>
      <c r="AC950" s="201">
        <f ca="1">AC904+AC927*Timeline!AC374</f>
        <v>0</v>
      </c>
      <c r="AD950" s="201">
        <f ca="1">AD904+AD927*Timeline!AD374</f>
        <v>0</v>
      </c>
      <c r="AE950" s="201">
        <f ca="1">AE904+AE927*Timeline!AE374</f>
        <v>0</v>
      </c>
      <c r="AF950" s="201">
        <f ca="1">AF904+AF927*Timeline!AF374</f>
        <v>0</v>
      </c>
      <c r="AG950" s="201">
        <f ca="1">AG904+AG927*Timeline!AG374</f>
        <v>0</v>
      </c>
      <c r="AH950" s="201">
        <f ca="1">AH904+AH927*Timeline!AH374</f>
        <v>0</v>
      </c>
      <c r="AI950" s="201">
        <f ca="1">AI904+AI927*Timeline!AI374</f>
        <v>0</v>
      </c>
      <c r="AJ950" s="201">
        <f ca="1">AJ904+AJ927*Timeline!AJ374</f>
        <v>0</v>
      </c>
      <c r="AK950" s="201">
        <f ca="1">AK904+AK927*Timeline!AK374</f>
        <v>0</v>
      </c>
      <c r="AL950" s="201">
        <f ca="1">AL904+AL927*Timeline!AL374</f>
        <v>0</v>
      </c>
      <c r="AM950" s="201">
        <f ca="1">AM904+AM927*Timeline!AM374</f>
        <v>0</v>
      </c>
      <c r="AN950" s="201">
        <f ca="1">AN904+AN927*Timeline!AN374</f>
        <v>0</v>
      </c>
      <c r="AO950" s="201">
        <f ca="1">AO904+AO927*Timeline!AO374</f>
        <v>0</v>
      </c>
      <c r="AP950" s="201">
        <f ca="1">AP904+AP927*Timeline!AP374</f>
        <v>0</v>
      </c>
      <c r="AQ950" s="201">
        <f ca="1">AQ904+AQ927*Timeline!AQ374</f>
        <v>0</v>
      </c>
      <c r="AR950" s="201">
        <f ca="1">AR904+AR927*Timeline!AR374</f>
        <v>0</v>
      </c>
      <c r="AS950" s="201">
        <f ca="1">AS904+AS927*Timeline!AS374</f>
        <v>0</v>
      </c>
      <c r="AT950" s="201">
        <f ca="1">AT904+AT927*Timeline!AT374</f>
        <v>0</v>
      </c>
      <c r="AU950" s="201">
        <f ca="1">AU904+AU927*Timeline!AU374</f>
        <v>0</v>
      </c>
      <c r="AV950" s="201">
        <f ca="1">AV904+AV927*Timeline!AV374</f>
        <v>0</v>
      </c>
      <c r="AW950" s="201">
        <f ca="1">AW904+AW927*Timeline!AW374</f>
        <v>0</v>
      </c>
      <c r="AX950" s="201">
        <f ca="1">AX904+AX927*Timeline!AX374</f>
        <v>0</v>
      </c>
      <c r="AY950" s="201">
        <f ca="1">AY904+AY927*Timeline!AY374</f>
        <v>0</v>
      </c>
      <c r="AZ950" s="201">
        <f ca="1">AZ904+AZ927*Timeline!AZ374</f>
        <v>0</v>
      </c>
      <c r="BA950" s="201">
        <f ca="1">BA904+BA927*Timeline!BA374</f>
        <v>0</v>
      </c>
      <c r="BB950" s="201">
        <f ca="1">BB904+BB927*Timeline!BB374</f>
        <v>0</v>
      </c>
      <c r="BC950" s="201">
        <f ca="1">BC904+BC927*Timeline!BC374</f>
        <v>0</v>
      </c>
      <c r="BD950" s="201">
        <f ca="1">BD904+BD927*Timeline!BD374</f>
        <v>0</v>
      </c>
      <c r="BE950" s="201">
        <f ca="1">BE904+BE927*Timeline!BE374</f>
        <v>0</v>
      </c>
      <c r="BF950" s="201">
        <f ca="1">BF904+BF927*Timeline!BF374</f>
        <v>0</v>
      </c>
      <c r="BG950" s="201">
        <f ca="1">BG904+BG927*Timeline!BG374</f>
        <v>0</v>
      </c>
      <c r="BH950" s="201">
        <f ca="1">BH904+BH927*Timeline!BH374</f>
        <v>0</v>
      </c>
      <c r="BI950" s="201">
        <f ca="1">BI904+BI927*Timeline!BI374</f>
        <v>0</v>
      </c>
      <c r="BJ950" s="201">
        <f>BJ904+BJ927*Timeline!BJ374</f>
        <v>0</v>
      </c>
      <c r="BL950" s="136"/>
      <c r="BM950" s="13">
        <f t="shared" ca="1" si="1098"/>
        <v>0</v>
      </c>
      <c r="BN950" s="13">
        <f t="shared" ca="1" si="1099"/>
        <v>0</v>
      </c>
      <c r="BO950" s="13">
        <f t="shared" si="1100"/>
        <v>0</v>
      </c>
      <c r="BP950" s="136"/>
      <c r="BQ950" s="136"/>
      <c r="BR950" s="136"/>
      <c r="BS950" s="136"/>
      <c r="BT950" s="136"/>
      <c r="BU950" s="136"/>
      <c r="BV950" s="136"/>
      <c r="BW950" s="136"/>
      <c r="BY950" s="12"/>
      <c r="BZ950" s="335"/>
      <c r="CA950" s="12"/>
      <c r="CB950" s="335"/>
      <c r="CC950" s="335"/>
      <c r="CD950" s="335"/>
      <c r="CE950" s="335"/>
      <c r="CM950" s="335"/>
      <c r="CN950" s="335"/>
      <c r="CO950" s="335"/>
      <c r="CP950" s="335"/>
      <c r="CR950" s="12"/>
      <c r="CT950" s="335"/>
      <c r="CU950" s="335"/>
      <c r="EW950" s="335"/>
      <c r="EX950" s="13" t="str">
        <f t="shared" ca="1" si="1101"/>
        <v>Amount Due Within One Year after Covenant Breach Adjustment Loan 6</v>
      </c>
    </row>
    <row r="951" spans="1:154" s="67" customFormat="1" x14ac:dyDescent="0.25">
      <c r="B951" s="84" t="str" cm="1">
        <f t="array" aca="1" ref="B951" ca="1">HYPERLINK(CONCATENATE("#",CELL("address",$D$161)),$D$161)</f>
        <v>Loan 7</v>
      </c>
      <c r="C951" s="340" t="s">
        <v>1339</v>
      </c>
      <c r="D951" s="60">
        <f>D$19</f>
        <v>0</v>
      </c>
      <c r="E951" s="221">
        <f>E$19</f>
        <v>0</v>
      </c>
      <c r="G951" s="9"/>
      <c r="H951" s="50" t="s">
        <v>125</v>
      </c>
      <c r="S951" s="335"/>
      <c r="T951" s="335"/>
      <c r="U951" s="335"/>
      <c r="V951" s="136"/>
      <c r="W951" s="201">
        <f t="shared" ca="1" si="1097"/>
        <v>0</v>
      </c>
      <c r="X951" s="201">
        <f t="shared" ca="1" si="1097"/>
        <v>0</v>
      </c>
      <c r="Y951" s="201">
        <f t="shared" si="1097"/>
        <v>0</v>
      </c>
      <c r="AA951" s="201">
        <f ca="1">AA905+AA928*Timeline!AA375</f>
        <v>0</v>
      </c>
      <c r="AB951" s="201">
        <f ca="1">AB905+AB928*Timeline!AB375</f>
        <v>0</v>
      </c>
      <c r="AC951" s="201">
        <f ca="1">AC905+AC928*Timeline!AC375</f>
        <v>0</v>
      </c>
      <c r="AD951" s="201">
        <f ca="1">AD905+AD928*Timeline!AD375</f>
        <v>0</v>
      </c>
      <c r="AE951" s="201">
        <f ca="1">AE905+AE928*Timeline!AE375</f>
        <v>0</v>
      </c>
      <c r="AF951" s="201">
        <f ca="1">AF905+AF928*Timeline!AF375</f>
        <v>0</v>
      </c>
      <c r="AG951" s="201">
        <f ca="1">AG905+AG928*Timeline!AG375</f>
        <v>0</v>
      </c>
      <c r="AH951" s="201">
        <f ca="1">AH905+AH928*Timeline!AH375</f>
        <v>0</v>
      </c>
      <c r="AI951" s="201">
        <f ca="1">AI905+AI928*Timeline!AI375</f>
        <v>0</v>
      </c>
      <c r="AJ951" s="201">
        <f ca="1">AJ905+AJ928*Timeline!AJ375</f>
        <v>0</v>
      </c>
      <c r="AK951" s="201">
        <f ca="1">AK905+AK928*Timeline!AK375</f>
        <v>0</v>
      </c>
      <c r="AL951" s="201">
        <f ca="1">AL905+AL928*Timeline!AL375</f>
        <v>0</v>
      </c>
      <c r="AM951" s="201">
        <f ca="1">AM905+AM928*Timeline!AM375</f>
        <v>0</v>
      </c>
      <c r="AN951" s="201">
        <f ca="1">AN905+AN928*Timeline!AN375</f>
        <v>0</v>
      </c>
      <c r="AO951" s="201">
        <f ca="1">AO905+AO928*Timeline!AO375</f>
        <v>0</v>
      </c>
      <c r="AP951" s="201">
        <f ca="1">AP905+AP928*Timeline!AP375</f>
        <v>0</v>
      </c>
      <c r="AQ951" s="201">
        <f ca="1">AQ905+AQ928*Timeline!AQ375</f>
        <v>0</v>
      </c>
      <c r="AR951" s="201">
        <f ca="1">AR905+AR928*Timeline!AR375</f>
        <v>0</v>
      </c>
      <c r="AS951" s="201">
        <f ca="1">AS905+AS928*Timeline!AS375</f>
        <v>0</v>
      </c>
      <c r="AT951" s="201">
        <f ca="1">AT905+AT928*Timeline!AT375</f>
        <v>0</v>
      </c>
      <c r="AU951" s="201">
        <f ca="1">AU905+AU928*Timeline!AU375</f>
        <v>0</v>
      </c>
      <c r="AV951" s="201">
        <f ca="1">AV905+AV928*Timeline!AV375</f>
        <v>0</v>
      </c>
      <c r="AW951" s="201">
        <f ca="1">AW905+AW928*Timeline!AW375</f>
        <v>0</v>
      </c>
      <c r="AX951" s="201">
        <f ca="1">AX905+AX928*Timeline!AX375</f>
        <v>0</v>
      </c>
      <c r="AY951" s="201">
        <f ca="1">AY905+AY928*Timeline!AY375</f>
        <v>0</v>
      </c>
      <c r="AZ951" s="201">
        <f ca="1">AZ905+AZ928*Timeline!AZ375</f>
        <v>0</v>
      </c>
      <c r="BA951" s="201">
        <f ca="1">BA905+BA928*Timeline!BA375</f>
        <v>0</v>
      </c>
      <c r="BB951" s="201">
        <f ca="1">BB905+BB928*Timeline!BB375</f>
        <v>0</v>
      </c>
      <c r="BC951" s="201">
        <f ca="1">BC905+BC928*Timeline!BC375</f>
        <v>0</v>
      </c>
      <c r="BD951" s="201">
        <f ca="1">BD905+BD928*Timeline!BD375</f>
        <v>0</v>
      </c>
      <c r="BE951" s="201">
        <f ca="1">BE905+BE928*Timeline!BE375</f>
        <v>0</v>
      </c>
      <c r="BF951" s="201">
        <f ca="1">BF905+BF928*Timeline!BF375</f>
        <v>0</v>
      </c>
      <c r="BG951" s="201">
        <f ca="1">BG905+BG928*Timeline!BG375</f>
        <v>0</v>
      </c>
      <c r="BH951" s="201">
        <f ca="1">BH905+BH928*Timeline!BH375</f>
        <v>0</v>
      </c>
      <c r="BI951" s="201">
        <f ca="1">BI905+BI928*Timeline!BI375</f>
        <v>0</v>
      </c>
      <c r="BJ951" s="201">
        <f>BJ905+BJ928*Timeline!BJ375</f>
        <v>0</v>
      </c>
      <c r="BL951" s="136"/>
      <c r="BM951" s="13">
        <f t="shared" ca="1" si="1098"/>
        <v>0</v>
      </c>
      <c r="BN951" s="13">
        <f t="shared" ca="1" si="1099"/>
        <v>0</v>
      </c>
      <c r="BO951" s="13">
        <f t="shared" si="1100"/>
        <v>0</v>
      </c>
      <c r="BP951" s="136"/>
      <c r="BQ951" s="136"/>
      <c r="BR951" s="136"/>
      <c r="BS951" s="136"/>
      <c r="BT951" s="136"/>
      <c r="BU951" s="136"/>
      <c r="BV951" s="136"/>
      <c r="BW951" s="136"/>
      <c r="BY951" s="12"/>
      <c r="BZ951" s="335"/>
      <c r="CA951" s="12"/>
      <c r="CB951" s="335"/>
      <c r="CC951" s="335"/>
      <c r="CD951" s="335"/>
      <c r="CE951" s="335"/>
      <c r="CM951" s="335"/>
      <c r="CN951" s="335"/>
      <c r="CO951" s="335"/>
      <c r="CP951" s="335"/>
      <c r="CR951" s="12"/>
      <c r="CT951" s="335"/>
      <c r="CU951" s="335"/>
      <c r="EW951" s="335"/>
      <c r="EX951" s="13" t="str">
        <f t="shared" ca="1" si="1101"/>
        <v>Amount Due Within One Year after Covenant Breach Adjustment Loan 7</v>
      </c>
    </row>
    <row r="952" spans="1:154" s="67" customFormat="1" x14ac:dyDescent="0.25">
      <c r="B952" s="84" t="str" cm="1">
        <f t="array" aca="1" ref="B952" ca="1">HYPERLINK(CONCATENATE("#",CELL("address",$D$180)),$D$180)</f>
        <v>Loan 8</v>
      </c>
      <c r="C952" s="340" t="s">
        <v>1340</v>
      </c>
      <c r="D952" s="60">
        <f>D$20</f>
        <v>0</v>
      </c>
      <c r="E952" s="221">
        <f>E$20</f>
        <v>0</v>
      </c>
      <c r="G952" s="9"/>
      <c r="H952" s="50" t="s">
        <v>125</v>
      </c>
      <c r="S952" s="335"/>
      <c r="T952" s="335"/>
      <c r="U952" s="335"/>
      <c r="V952" s="136"/>
      <c r="W952" s="201">
        <f t="shared" ca="1" si="1097"/>
        <v>0</v>
      </c>
      <c r="X952" s="201">
        <f t="shared" ca="1" si="1097"/>
        <v>0</v>
      </c>
      <c r="Y952" s="201">
        <f t="shared" si="1097"/>
        <v>0</v>
      </c>
      <c r="AA952" s="201">
        <f ca="1">AA906+AA929*Timeline!AA376</f>
        <v>0</v>
      </c>
      <c r="AB952" s="201">
        <f ca="1">AB906+AB929*Timeline!AB376</f>
        <v>0</v>
      </c>
      <c r="AC952" s="201">
        <f ca="1">AC906+AC929*Timeline!AC376</f>
        <v>0</v>
      </c>
      <c r="AD952" s="201">
        <f ca="1">AD906+AD929*Timeline!AD376</f>
        <v>0</v>
      </c>
      <c r="AE952" s="201">
        <f ca="1">AE906+AE929*Timeline!AE376</f>
        <v>0</v>
      </c>
      <c r="AF952" s="201">
        <f ca="1">AF906+AF929*Timeline!AF376</f>
        <v>0</v>
      </c>
      <c r="AG952" s="201">
        <f ca="1">AG906+AG929*Timeline!AG376</f>
        <v>0</v>
      </c>
      <c r="AH952" s="201">
        <f ca="1">AH906+AH929*Timeline!AH376</f>
        <v>0</v>
      </c>
      <c r="AI952" s="201">
        <f ca="1">AI906+AI929*Timeline!AI376</f>
        <v>0</v>
      </c>
      <c r="AJ952" s="201">
        <f ca="1">AJ906+AJ929*Timeline!AJ376</f>
        <v>0</v>
      </c>
      <c r="AK952" s="201">
        <f ca="1">AK906+AK929*Timeline!AK376</f>
        <v>0</v>
      </c>
      <c r="AL952" s="201">
        <f ca="1">AL906+AL929*Timeline!AL376</f>
        <v>0</v>
      </c>
      <c r="AM952" s="201">
        <f ca="1">AM906+AM929*Timeline!AM376</f>
        <v>0</v>
      </c>
      <c r="AN952" s="201">
        <f ca="1">AN906+AN929*Timeline!AN376</f>
        <v>0</v>
      </c>
      <c r="AO952" s="201">
        <f ca="1">AO906+AO929*Timeline!AO376</f>
        <v>0</v>
      </c>
      <c r="AP952" s="201">
        <f ca="1">AP906+AP929*Timeline!AP376</f>
        <v>0</v>
      </c>
      <c r="AQ952" s="201">
        <f ca="1">AQ906+AQ929*Timeline!AQ376</f>
        <v>0</v>
      </c>
      <c r="AR952" s="201">
        <f ca="1">AR906+AR929*Timeline!AR376</f>
        <v>0</v>
      </c>
      <c r="AS952" s="201">
        <f ca="1">AS906+AS929*Timeline!AS376</f>
        <v>0</v>
      </c>
      <c r="AT952" s="201">
        <f ca="1">AT906+AT929*Timeline!AT376</f>
        <v>0</v>
      </c>
      <c r="AU952" s="201">
        <f ca="1">AU906+AU929*Timeline!AU376</f>
        <v>0</v>
      </c>
      <c r="AV952" s="201">
        <f ca="1">AV906+AV929*Timeline!AV376</f>
        <v>0</v>
      </c>
      <c r="AW952" s="201">
        <f ca="1">AW906+AW929*Timeline!AW376</f>
        <v>0</v>
      </c>
      <c r="AX952" s="201">
        <f ca="1">AX906+AX929*Timeline!AX376</f>
        <v>0</v>
      </c>
      <c r="AY952" s="201">
        <f ca="1">AY906+AY929*Timeline!AY376</f>
        <v>0</v>
      </c>
      <c r="AZ952" s="201">
        <f ca="1">AZ906+AZ929*Timeline!AZ376</f>
        <v>0</v>
      </c>
      <c r="BA952" s="201">
        <f ca="1">BA906+BA929*Timeline!BA376</f>
        <v>0</v>
      </c>
      <c r="BB952" s="201">
        <f ca="1">BB906+BB929*Timeline!BB376</f>
        <v>0</v>
      </c>
      <c r="BC952" s="201">
        <f ca="1">BC906+BC929*Timeline!BC376</f>
        <v>0</v>
      </c>
      <c r="BD952" s="201">
        <f ca="1">BD906+BD929*Timeline!BD376</f>
        <v>0</v>
      </c>
      <c r="BE952" s="201">
        <f ca="1">BE906+BE929*Timeline!BE376</f>
        <v>0</v>
      </c>
      <c r="BF952" s="201">
        <f ca="1">BF906+BF929*Timeline!BF376</f>
        <v>0</v>
      </c>
      <c r="BG952" s="201">
        <f ca="1">BG906+BG929*Timeline!BG376</f>
        <v>0</v>
      </c>
      <c r="BH952" s="201">
        <f ca="1">BH906+BH929*Timeline!BH376</f>
        <v>0</v>
      </c>
      <c r="BI952" s="201">
        <f ca="1">BI906+BI929*Timeline!BI376</f>
        <v>0</v>
      </c>
      <c r="BJ952" s="201">
        <f>BJ906+BJ929*Timeline!BJ376</f>
        <v>0</v>
      </c>
      <c r="BL952" s="136"/>
      <c r="BM952" s="13">
        <f t="shared" ca="1" si="1098"/>
        <v>0</v>
      </c>
      <c r="BN952" s="13">
        <f t="shared" ca="1" si="1099"/>
        <v>0</v>
      </c>
      <c r="BO952" s="13">
        <f t="shared" si="1100"/>
        <v>0</v>
      </c>
      <c r="BP952" s="136"/>
      <c r="BQ952" s="136"/>
      <c r="BR952" s="136"/>
      <c r="BS952" s="136"/>
      <c r="BT952" s="136"/>
      <c r="BU952" s="136"/>
      <c r="BV952" s="136"/>
      <c r="BW952" s="136"/>
      <c r="BY952" s="12"/>
      <c r="BZ952" s="335"/>
      <c r="CA952" s="12"/>
      <c r="CB952" s="335"/>
      <c r="CC952" s="335"/>
      <c r="CD952" s="335"/>
      <c r="CE952" s="335"/>
      <c r="CM952" s="335"/>
      <c r="CN952" s="335"/>
      <c r="CO952" s="335"/>
      <c r="CP952" s="335"/>
      <c r="CR952" s="12"/>
      <c r="CT952" s="335"/>
      <c r="CU952" s="335"/>
      <c r="EW952" s="335"/>
      <c r="EX952" s="13" t="str">
        <f t="shared" ca="1" si="1101"/>
        <v>Amount Due Within One Year after Covenant Breach Adjustment Loan 8</v>
      </c>
    </row>
    <row r="953" spans="1:154" s="67" customFormat="1" x14ac:dyDescent="0.25">
      <c r="B953" s="84" t="str" cm="1">
        <f t="array" aca="1" ref="B953" ca="1">HYPERLINK(CONCATENATE("#",CELL("address",$D$199)),$D$199)</f>
        <v>Loan 9</v>
      </c>
      <c r="C953" s="340" t="s">
        <v>1341</v>
      </c>
      <c r="D953" s="60">
        <f>D$21</f>
        <v>0</v>
      </c>
      <c r="E953" s="221">
        <f>E$21</f>
        <v>0</v>
      </c>
      <c r="G953" s="9"/>
      <c r="H953" s="50" t="s">
        <v>125</v>
      </c>
      <c r="S953" s="335"/>
      <c r="T953" s="335"/>
      <c r="U953" s="335"/>
      <c r="V953" s="136"/>
      <c r="W953" s="201">
        <f t="shared" ca="1" si="1097"/>
        <v>0</v>
      </c>
      <c r="X953" s="201">
        <f t="shared" ca="1" si="1097"/>
        <v>0</v>
      </c>
      <c r="Y953" s="201">
        <f t="shared" si="1097"/>
        <v>0</v>
      </c>
      <c r="AA953" s="201">
        <f ca="1">AA907+AA930*Timeline!AA377</f>
        <v>0</v>
      </c>
      <c r="AB953" s="201">
        <f ca="1">AB907+AB930*Timeline!AB377</f>
        <v>0</v>
      </c>
      <c r="AC953" s="201">
        <f ca="1">AC907+AC930*Timeline!AC377</f>
        <v>0</v>
      </c>
      <c r="AD953" s="201">
        <f ca="1">AD907+AD930*Timeline!AD377</f>
        <v>0</v>
      </c>
      <c r="AE953" s="201">
        <f ca="1">AE907+AE930*Timeline!AE377</f>
        <v>0</v>
      </c>
      <c r="AF953" s="201">
        <f ca="1">AF907+AF930*Timeline!AF377</f>
        <v>0</v>
      </c>
      <c r="AG953" s="201">
        <f ca="1">AG907+AG930*Timeline!AG377</f>
        <v>0</v>
      </c>
      <c r="AH953" s="201">
        <f ca="1">AH907+AH930*Timeline!AH377</f>
        <v>0</v>
      </c>
      <c r="AI953" s="201">
        <f ca="1">AI907+AI930*Timeline!AI377</f>
        <v>0</v>
      </c>
      <c r="AJ953" s="201">
        <f ca="1">AJ907+AJ930*Timeline!AJ377</f>
        <v>0</v>
      </c>
      <c r="AK953" s="201">
        <f ca="1">AK907+AK930*Timeline!AK377</f>
        <v>0</v>
      </c>
      <c r="AL953" s="201">
        <f ca="1">AL907+AL930*Timeline!AL377</f>
        <v>0</v>
      </c>
      <c r="AM953" s="201">
        <f ca="1">AM907+AM930*Timeline!AM377</f>
        <v>0</v>
      </c>
      <c r="AN953" s="201">
        <f ca="1">AN907+AN930*Timeline!AN377</f>
        <v>0</v>
      </c>
      <c r="AO953" s="201">
        <f ca="1">AO907+AO930*Timeline!AO377</f>
        <v>0</v>
      </c>
      <c r="AP953" s="201">
        <f ca="1">AP907+AP930*Timeline!AP377</f>
        <v>0</v>
      </c>
      <c r="AQ953" s="201">
        <f ca="1">AQ907+AQ930*Timeline!AQ377</f>
        <v>0</v>
      </c>
      <c r="AR953" s="201">
        <f ca="1">AR907+AR930*Timeline!AR377</f>
        <v>0</v>
      </c>
      <c r="AS953" s="201">
        <f ca="1">AS907+AS930*Timeline!AS377</f>
        <v>0</v>
      </c>
      <c r="AT953" s="201">
        <f ca="1">AT907+AT930*Timeline!AT377</f>
        <v>0</v>
      </c>
      <c r="AU953" s="201">
        <f ca="1">AU907+AU930*Timeline!AU377</f>
        <v>0</v>
      </c>
      <c r="AV953" s="201">
        <f ca="1">AV907+AV930*Timeline!AV377</f>
        <v>0</v>
      </c>
      <c r="AW953" s="201">
        <f ca="1">AW907+AW930*Timeline!AW377</f>
        <v>0</v>
      </c>
      <c r="AX953" s="201">
        <f ca="1">AX907+AX930*Timeline!AX377</f>
        <v>0</v>
      </c>
      <c r="AY953" s="201">
        <f ca="1">AY907+AY930*Timeline!AY377</f>
        <v>0</v>
      </c>
      <c r="AZ953" s="201">
        <f ca="1">AZ907+AZ930*Timeline!AZ377</f>
        <v>0</v>
      </c>
      <c r="BA953" s="201">
        <f ca="1">BA907+BA930*Timeline!BA377</f>
        <v>0</v>
      </c>
      <c r="BB953" s="201">
        <f ca="1">BB907+BB930*Timeline!BB377</f>
        <v>0</v>
      </c>
      <c r="BC953" s="201">
        <f ca="1">BC907+BC930*Timeline!BC377</f>
        <v>0</v>
      </c>
      <c r="BD953" s="201">
        <f ca="1">BD907+BD930*Timeline!BD377</f>
        <v>0</v>
      </c>
      <c r="BE953" s="201">
        <f ca="1">BE907+BE930*Timeline!BE377</f>
        <v>0</v>
      </c>
      <c r="BF953" s="201">
        <f ca="1">BF907+BF930*Timeline!BF377</f>
        <v>0</v>
      </c>
      <c r="BG953" s="201">
        <f ca="1">BG907+BG930*Timeline!BG377</f>
        <v>0</v>
      </c>
      <c r="BH953" s="201">
        <f ca="1">BH907+BH930*Timeline!BH377</f>
        <v>0</v>
      </c>
      <c r="BI953" s="201">
        <f ca="1">BI907+BI930*Timeline!BI377</f>
        <v>0</v>
      </c>
      <c r="BJ953" s="201">
        <f>BJ907+BJ930*Timeline!BJ377</f>
        <v>0</v>
      </c>
      <c r="BL953" s="136"/>
      <c r="BM953" s="13">
        <f t="shared" ca="1" si="1098"/>
        <v>0</v>
      </c>
      <c r="BN953" s="13">
        <f t="shared" ca="1" si="1099"/>
        <v>0</v>
      </c>
      <c r="BO953" s="13">
        <f t="shared" si="1100"/>
        <v>0</v>
      </c>
      <c r="BP953" s="136"/>
      <c r="BQ953" s="136"/>
      <c r="BR953" s="136"/>
      <c r="BS953" s="136"/>
      <c r="BT953" s="136"/>
      <c r="BU953" s="136"/>
      <c r="BV953" s="136"/>
      <c r="BW953" s="136"/>
      <c r="BY953" s="12"/>
      <c r="BZ953" s="335"/>
      <c r="CA953" s="12"/>
      <c r="CB953" s="335"/>
      <c r="CC953" s="335"/>
      <c r="CD953" s="335"/>
      <c r="CE953" s="335"/>
      <c r="CM953" s="335"/>
      <c r="CN953" s="335"/>
      <c r="CO953" s="335"/>
      <c r="CP953" s="335"/>
      <c r="CR953" s="12"/>
      <c r="CT953" s="335"/>
      <c r="CU953" s="335"/>
      <c r="EW953" s="335"/>
      <c r="EX953" s="13" t="str">
        <f t="shared" ca="1" si="1101"/>
        <v>Amount Due Within One Year after Covenant Breach Adjustment Loan 9</v>
      </c>
    </row>
    <row r="954" spans="1:154" s="67" customFormat="1" x14ac:dyDescent="0.25">
      <c r="B954" s="84" t="str" cm="1">
        <f t="array" aca="1" ref="B954" ca="1">HYPERLINK(CONCATENATE("#",CELL("address",$D$218)),$D$218)</f>
        <v>Loan 10</v>
      </c>
      <c r="C954" s="340" t="s">
        <v>1342</v>
      </c>
      <c r="D954" s="60">
        <f>D$22</f>
        <v>0</v>
      </c>
      <c r="E954" s="221">
        <f>E$22</f>
        <v>0</v>
      </c>
      <c r="G954" s="9"/>
      <c r="H954" s="50" t="s">
        <v>125</v>
      </c>
      <c r="S954" s="335"/>
      <c r="T954" s="335"/>
      <c r="U954" s="335"/>
      <c r="V954" s="136"/>
      <c r="W954" s="201">
        <f t="shared" ca="1" si="1097"/>
        <v>0</v>
      </c>
      <c r="X954" s="201">
        <f t="shared" ca="1" si="1097"/>
        <v>0</v>
      </c>
      <c r="Y954" s="201">
        <f t="shared" si="1097"/>
        <v>0</v>
      </c>
      <c r="AA954" s="201">
        <f ca="1">AA908+AA931*Timeline!AA378</f>
        <v>0</v>
      </c>
      <c r="AB954" s="201">
        <f ca="1">AB908+AB931*Timeline!AB378</f>
        <v>0</v>
      </c>
      <c r="AC954" s="201">
        <f ca="1">AC908+AC931*Timeline!AC378</f>
        <v>0</v>
      </c>
      <c r="AD954" s="201">
        <f ca="1">AD908+AD931*Timeline!AD378</f>
        <v>0</v>
      </c>
      <c r="AE954" s="201">
        <f ca="1">AE908+AE931*Timeline!AE378</f>
        <v>0</v>
      </c>
      <c r="AF954" s="201">
        <f ca="1">AF908+AF931*Timeline!AF378</f>
        <v>0</v>
      </c>
      <c r="AG954" s="201">
        <f ca="1">AG908+AG931*Timeline!AG378</f>
        <v>0</v>
      </c>
      <c r="AH954" s="201">
        <f ca="1">AH908+AH931*Timeline!AH378</f>
        <v>0</v>
      </c>
      <c r="AI954" s="201">
        <f ca="1">AI908+AI931*Timeline!AI378</f>
        <v>0</v>
      </c>
      <c r="AJ954" s="201">
        <f ca="1">AJ908+AJ931*Timeline!AJ378</f>
        <v>0</v>
      </c>
      <c r="AK954" s="201">
        <f ca="1">AK908+AK931*Timeline!AK378</f>
        <v>0</v>
      </c>
      <c r="AL954" s="201">
        <f ca="1">AL908+AL931*Timeline!AL378</f>
        <v>0</v>
      </c>
      <c r="AM954" s="201">
        <f ca="1">AM908+AM931*Timeline!AM378</f>
        <v>0</v>
      </c>
      <c r="AN954" s="201">
        <f ca="1">AN908+AN931*Timeline!AN378</f>
        <v>0</v>
      </c>
      <c r="AO954" s="201">
        <f ca="1">AO908+AO931*Timeline!AO378</f>
        <v>0</v>
      </c>
      <c r="AP954" s="201">
        <f ca="1">AP908+AP931*Timeline!AP378</f>
        <v>0</v>
      </c>
      <c r="AQ954" s="201">
        <f ca="1">AQ908+AQ931*Timeline!AQ378</f>
        <v>0</v>
      </c>
      <c r="AR954" s="201">
        <f ca="1">AR908+AR931*Timeline!AR378</f>
        <v>0</v>
      </c>
      <c r="AS954" s="201">
        <f ca="1">AS908+AS931*Timeline!AS378</f>
        <v>0</v>
      </c>
      <c r="AT954" s="201">
        <f ca="1">AT908+AT931*Timeline!AT378</f>
        <v>0</v>
      </c>
      <c r="AU954" s="201">
        <f ca="1">AU908+AU931*Timeline!AU378</f>
        <v>0</v>
      </c>
      <c r="AV954" s="201">
        <f ca="1">AV908+AV931*Timeline!AV378</f>
        <v>0</v>
      </c>
      <c r="AW954" s="201">
        <f ca="1">AW908+AW931*Timeline!AW378</f>
        <v>0</v>
      </c>
      <c r="AX954" s="201">
        <f ca="1">AX908+AX931*Timeline!AX378</f>
        <v>0</v>
      </c>
      <c r="AY954" s="201">
        <f ca="1">AY908+AY931*Timeline!AY378</f>
        <v>0</v>
      </c>
      <c r="AZ954" s="201">
        <f ca="1">AZ908+AZ931*Timeline!AZ378</f>
        <v>0</v>
      </c>
      <c r="BA954" s="201">
        <f ca="1">BA908+BA931*Timeline!BA378</f>
        <v>0</v>
      </c>
      <c r="BB954" s="201">
        <f ca="1">BB908+BB931*Timeline!BB378</f>
        <v>0</v>
      </c>
      <c r="BC954" s="201">
        <f ca="1">BC908+BC931*Timeline!BC378</f>
        <v>0</v>
      </c>
      <c r="BD954" s="201">
        <f ca="1">BD908+BD931*Timeline!BD378</f>
        <v>0</v>
      </c>
      <c r="BE954" s="201">
        <f ca="1">BE908+BE931*Timeline!BE378</f>
        <v>0</v>
      </c>
      <c r="BF954" s="201">
        <f ca="1">BF908+BF931*Timeline!BF378</f>
        <v>0</v>
      </c>
      <c r="BG954" s="201">
        <f ca="1">BG908+BG931*Timeline!BG378</f>
        <v>0</v>
      </c>
      <c r="BH954" s="201">
        <f ca="1">BH908+BH931*Timeline!BH378</f>
        <v>0</v>
      </c>
      <c r="BI954" s="201">
        <f ca="1">BI908+BI931*Timeline!BI378</f>
        <v>0</v>
      </c>
      <c r="BJ954" s="201">
        <f>BJ908+BJ931*Timeline!BJ378</f>
        <v>0</v>
      </c>
      <c r="BL954" s="136"/>
      <c r="BM954" s="13">
        <f t="shared" ca="1" si="1098"/>
        <v>0</v>
      </c>
      <c r="BN954" s="13">
        <f t="shared" ca="1" si="1099"/>
        <v>0</v>
      </c>
      <c r="BO954" s="13">
        <f t="shared" si="1100"/>
        <v>0</v>
      </c>
      <c r="BP954" s="136"/>
      <c r="BQ954" s="136"/>
      <c r="BR954" s="136"/>
      <c r="BS954" s="136"/>
      <c r="BT954" s="136"/>
      <c r="BU954" s="136"/>
      <c r="BV954" s="136"/>
      <c r="BW954" s="136"/>
      <c r="BY954" s="12"/>
      <c r="BZ954" s="335"/>
      <c r="CA954" s="12"/>
      <c r="CB954" s="335"/>
      <c r="CC954" s="335"/>
      <c r="CD954" s="335"/>
      <c r="CE954" s="335"/>
      <c r="CM954" s="335"/>
      <c r="CN954" s="335"/>
      <c r="CO954" s="335"/>
      <c r="CP954" s="335"/>
      <c r="CR954" s="12"/>
      <c r="CT954" s="335"/>
      <c r="CU954" s="335"/>
      <c r="EW954" s="335"/>
      <c r="EX954" s="13" t="str">
        <f t="shared" ca="1" si="1101"/>
        <v>Amount Due Within One Year after Covenant Breach Adjustment Loan 10</v>
      </c>
    </row>
    <row r="955" spans="1:154" s="67" customFormat="1" x14ac:dyDescent="0.25">
      <c r="B955" s="84" t="str" cm="1">
        <f t="array" aca="1" ref="B955" ca="1">HYPERLINK(CONCATENATE("#",CELL("address",$D$237)),$D$237)</f>
        <v>Loan 11</v>
      </c>
      <c r="C955" s="340" t="s">
        <v>1343</v>
      </c>
      <c r="D955" s="60">
        <f>D$23</f>
        <v>0</v>
      </c>
      <c r="E955" s="221">
        <f>E$23</f>
        <v>0</v>
      </c>
      <c r="G955" s="9"/>
      <c r="H955" s="50" t="s">
        <v>125</v>
      </c>
      <c r="S955" s="335"/>
      <c r="T955" s="335"/>
      <c r="U955" s="335"/>
      <c r="V955" s="136"/>
      <c r="W955" s="201">
        <f t="shared" ca="1" si="1097"/>
        <v>0</v>
      </c>
      <c r="X955" s="201">
        <f t="shared" ca="1" si="1097"/>
        <v>0</v>
      </c>
      <c r="Y955" s="201">
        <f t="shared" si="1097"/>
        <v>0</v>
      </c>
      <c r="AA955" s="201">
        <f ca="1">AA909+AA932*Timeline!AA379</f>
        <v>0</v>
      </c>
      <c r="AB955" s="201">
        <f ca="1">AB909+AB932*Timeline!AB379</f>
        <v>0</v>
      </c>
      <c r="AC955" s="201">
        <f ca="1">AC909+AC932*Timeline!AC379</f>
        <v>0</v>
      </c>
      <c r="AD955" s="201">
        <f ca="1">AD909+AD932*Timeline!AD379</f>
        <v>0</v>
      </c>
      <c r="AE955" s="201">
        <f ca="1">AE909+AE932*Timeline!AE379</f>
        <v>0</v>
      </c>
      <c r="AF955" s="201">
        <f ca="1">AF909+AF932*Timeline!AF379</f>
        <v>0</v>
      </c>
      <c r="AG955" s="201">
        <f ca="1">AG909+AG932*Timeline!AG379</f>
        <v>0</v>
      </c>
      <c r="AH955" s="201">
        <f ca="1">AH909+AH932*Timeline!AH379</f>
        <v>0</v>
      </c>
      <c r="AI955" s="201">
        <f ca="1">AI909+AI932*Timeline!AI379</f>
        <v>0</v>
      </c>
      <c r="AJ955" s="201">
        <f ca="1">AJ909+AJ932*Timeline!AJ379</f>
        <v>0</v>
      </c>
      <c r="AK955" s="201">
        <f ca="1">AK909+AK932*Timeline!AK379</f>
        <v>0</v>
      </c>
      <c r="AL955" s="201">
        <f ca="1">AL909+AL932*Timeline!AL379</f>
        <v>0</v>
      </c>
      <c r="AM955" s="201">
        <f ca="1">AM909+AM932*Timeline!AM379</f>
        <v>0</v>
      </c>
      <c r="AN955" s="201">
        <f ca="1">AN909+AN932*Timeline!AN379</f>
        <v>0</v>
      </c>
      <c r="AO955" s="201">
        <f ca="1">AO909+AO932*Timeline!AO379</f>
        <v>0</v>
      </c>
      <c r="AP955" s="201">
        <f ca="1">AP909+AP932*Timeline!AP379</f>
        <v>0</v>
      </c>
      <c r="AQ955" s="201">
        <f ca="1">AQ909+AQ932*Timeline!AQ379</f>
        <v>0</v>
      </c>
      <c r="AR955" s="201">
        <f ca="1">AR909+AR932*Timeline!AR379</f>
        <v>0</v>
      </c>
      <c r="AS955" s="201">
        <f ca="1">AS909+AS932*Timeline!AS379</f>
        <v>0</v>
      </c>
      <c r="AT955" s="201">
        <f ca="1">AT909+AT932*Timeline!AT379</f>
        <v>0</v>
      </c>
      <c r="AU955" s="201">
        <f ca="1">AU909+AU932*Timeline!AU379</f>
        <v>0</v>
      </c>
      <c r="AV955" s="201">
        <f ca="1">AV909+AV932*Timeline!AV379</f>
        <v>0</v>
      </c>
      <c r="AW955" s="201">
        <f ca="1">AW909+AW932*Timeline!AW379</f>
        <v>0</v>
      </c>
      <c r="AX955" s="201">
        <f ca="1">AX909+AX932*Timeline!AX379</f>
        <v>0</v>
      </c>
      <c r="AY955" s="201">
        <f ca="1">AY909+AY932*Timeline!AY379</f>
        <v>0</v>
      </c>
      <c r="AZ955" s="201">
        <f ca="1">AZ909+AZ932*Timeline!AZ379</f>
        <v>0</v>
      </c>
      <c r="BA955" s="201">
        <f ca="1">BA909+BA932*Timeline!BA379</f>
        <v>0</v>
      </c>
      <c r="BB955" s="201">
        <f ca="1">BB909+BB932*Timeline!BB379</f>
        <v>0</v>
      </c>
      <c r="BC955" s="201">
        <f ca="1">BC909+BC932*Timeline!BC379</f>
        <v>0</v>
      </c>
      <c r="BD955" s="201">
        <f ca="1">BD909+BD932*Timeline!BD379</f>
        <v>0</v>
      </c>
      <c r="BE955" s="201">
        <f ca="1">BE909+BE932*Timeline!BE379</f>
        <v>0</v>
      </c>
      <c r="BF955" s="201">
        <f ca="1">BF909+BF932*Timeline!BF379</f>
        <v>0</v>
      </c>
      <c r="BG955" s="201">
        <f ca="1">BG909+BG932*Timeline!BG379</f>
        <v>0</v>
      </c>
      <c r="BH955" s="201">
        <f ca="1">BH909+BH932*Timeline!BH379</f>
        <v>0</v>
      </c>
      <c r="BI955" s="201">
        <f ca="1">BI909+BI932*Timeline!BI379</f>
        <v>0</v>
      </c>
      <c r="BJ955" s="201">
        <f>BJ909+BJ932*Timeline!BJ379</f>
        <v>0</v>
      </c>
      <c r="BL955" s="136"/>
      <c r="BM955" s="13">
        <f t="shared" ca="1" si="1098"/>
        <v>0</v>
      </c>
      <c r="BN955" s="13">
        <f t="shared" ca="1" si="1099"/>
        <v>0</v>
      </c>
      <c r="BO955" s="13">
        <f t="shared" si="1100"/>
        <v>0</v>
      </c>
      <c r="BP955" s="136"/>
      <c r="BQ955" s="136"/>
      <c r="BR955" s="136"/>
      <c r="BS955" s="136"/>
      <c r="BT955" s="136"/>
      <c r="BU955" s="136"/>
      <c r="BV955" s="136"/>
      <c r="BW955" s="136"/>
      <c r="BY955" s="12"/>
      <c r="BZ955" s="335"/>
      <c r="CA955" s="12"/>
      <c r="CB955" s="335"/>
      <c r="CC955" s="335"/>
      <c r="CD955" s="335"/>
      <c r="CE955" s="335"/>
      <c r="CM955" s="335"/>
      <c r="CN955" s="335"/>
      <c r="CO955" s="335"/>
      <c r="CP955" s="335"/>
      <c r="CR955" s="12"/>
      <c r="CT955" s="335"/>
      <c r="CU955" s="335"/>
      <c r="EW955" s="335"/>
      <c r="EX955" s="13" t="str">
        <f t="shared" ca="1" si="1101"/>
        <v>Amount Due Within One Year after Covenant Breach Adjustment Loan 11</v>
      </c>
    </row>
    <row r="956" spans="1:154" s="67" customFormat="1" x14ac:dyDescent="0.25">
      <c r="B956" s="84" t="str" cm="1">
        <f t="array" aca="1" ref="B956" ca="1">HYPERLINK(CONCATENATE("#",CELL("address",$D$256)),$D$256)</f>
        <v>Loan 12</v>
      </c>
      <c r="C956" s="340" t="s">
        <v>1344</v>
      </c>
      <c r="D956" s="60">
        <f>D$24</f>
        <v>0</v>
      </c>
      <c r="E956" s="221">
        <f>E$24</f>
        <v>0</v>
      </c>
      <c r="G956" s="9"/>
      <c r="H956" s="50" t="s">
        <v>125</v>
      </c>
      <c r="S956" s="335"/>
      <c r="T956" s="335"/>
      <c r="U956" s="335"/>
      <c r="V956" s="136"/>
      <c r="W956" s="201">
        <f t="shared" ca="1" si="1097"/>
        <v>0</v>
      </c>
      <c r="X956" s="201">
        <f t="shared" ca="1" si="1097"/>
        <v>0</v>
      </c>
      <c r="Y956" s="201">
        <f t="shared" si="1097"/>
        <v>0</v>
      </c>
      <c r="AA956" s="201">
        <f ca="1">AA910+AA933*Timeline!AA380</f>
        <v>0</v>
      </c>
      <c r="AB956" s="201">
        <f ca="1">AB910+AB933*Timeline!AB380</f>
        <v>0</v>
      </c>
      <c r="AC956" s="201">
        <f ca="1">AC910+AC933*Timeline!AC380</f>
        <v>0</v>
      </c>
      <c r="AD956" s="201">
        <f ca="1">AD910+AD933*Timeline!AD380</f>
        <v>0</v>
      </c>
      <c r="AE956" s="201">
        <f ca="1">AE910+AE933*Timeline!AE380</f>
        <v>0</v>
      </c>
      <c r="AF956" s="201">
        <f ca="1">AF910+AF933*Timeline!AF380</f>
        <v>0</v>
      </c>
      <c r="AG956" s="201">
        <f ca="1">AG910+AG933*Timeline!AG380</f>
        <v>0</v>
      </c>
      <c r="AH956" s="201">
        <f ca="1">AH910+AH933*Timeline!AH380</f>
        <v>0</v>
      </c>
      <c r="AI956" s="201">
        <f ca="1">AI910+AI933*Timeline!AI380</f>
        <v>0</v>
      </c>
      <c r="AJ956" s="201">
        <f ca="1">AJ910+AJ933*Timeline!AJ380</f>
        <v>0</v>
      </c>
      <c r="AK956" s="201">
        <f ca="1">AK910+AK933*Timeline!AK380</f>
        <v>0</v>
      </c>
      <c r="AL956" s="201">
        <f ca="1">AL910+AL933*Timeline!AL380</f>
        <v>0</v>
      </c>
      <c r="AM956" s="201">
        <f ca="1">AM910+AM933*Timeline!AM380</f>
        <v>0</v>
      </c>
      <c r="AN956" s="201">
        <f ca="1">AN910+AN933*Timeline!AN380</f>
        <v>0</v>
      </c>
      <c r="AO956" s="201">
        <f ca="1">AO910+AO933*Timeline!AO380</f>
        <v>0</v>
      </c>
      <c r="AP956" s="201">
        <f ca="1">AP910+AP933*Timeline!AP380</f>
        <v>0</v>
      </c>
      <c r="AQ956" s="201">
        <f ca="1">AQ910+AQ933*Timeline!AQ380</f>
        <v>0</v>
      </c>
      <c r="AR956" s="201">
        <f ca="1">AR910+AR933*Timeline!AR380</f>
        <v>0</v>
      </c>
      <c r="AS956" s="201">
        <f ca="1">AS910+AS933*Timeline!AS380</f>
        <v>0</v>
      </c>
      <c r="AT956" s="201">
        <f ca="1">AT910+AT933*Timeline!AT380</f>
        <v>0</v>
      </c>
      <c r="AU956" s="201">
        <f ca="1">AU910+AU933*Timeline!AU380</f>
        <v>0</v>
      </c>
      <c r="AV956" s="201">
        <f ca="1">AV910+AV933*Timeline!AV380</f>
        <v>0</v>
      </c>
      <c r="AW956" s="201">
        <f ca="1">AW910+AW933*Timeline!AW380</f>
        <v>0</v>
      </c>
      <c r="AX956" s="201">
        <f ca="1">AX910+AX933*Timeline!AX380</f>
        <v>0</v>
      </c>
      <c r="AY956" s="201">
        <f ca="1">AY910+AY933*Timeline!AY380</f>
        <v>0</v>
      </c>
      <c r="AZ956" s="201">
        <f ca="1">AZ910+AZ933*Timeline!AZ380</f>
        <v>0</v>
      </c>
      <c r="BA956" s="201">
        <f ca="1">BA910+BA933*Timeline!BA380</f>
        <v>0</v>
      </c>
      <c r="BB956" s="201">
        <f ca="1">BB910+BB933*Timeline!BB380</f>
        <v>0</v>
      </c>
      <c r="BC956" s="201">
        <f ca="1">BC910+BC933*Timeline!BC380</f>
        <v>0</v>
      </c>
      <c r="BD956" s="201">
        <f ca="1">BD910+BD933*Timeline!BD380</f>
        <v>0</v>
      </c>
      <c r="BE956" s="201">
        <f ca="1">BE910+BE933*Timeline!BE380</f>
        <v>0</v>
      </c>
      <c r="BF956" s="201">
        <f ca="1">BF910+BF933*Timeline!BF380</f>
        <v>0</v>
      </c>
      <c r="BG956" s="201">
        <f ca="1">BG910+BG933*Timeline!BG380</f>
        <v>0</v>
      </c>
      <c r="BH956" s="201">
        <f ca="1">BH910+BH933*Timeline!BH380</f>
        <v>0</v>
      </c>
      <c r="BI956" s="201">
        <f ca="1">BI910+BI933*Timeline!BI380</f>
        <v>0</v>
      </c>
      <c r="BJ956" s="201">
        <f>BJ910+BJ933*Timeline!BJ380</f>
        <v>0</v>
      </c>
      <c r="BL956" s="136"/>
      <c r="BM956" s="13">
        <f t="shared" ca="1" si="1098"/>
        <v>0</v>
      </c>
      <c r="BN956" s="13">
        <f t="shared" ca="1" si="1099"/>
        <v>0</v>
      </c>
      <c r="BO956" s="13">
        <f t="shared" si="1100"/>
        <v>0</v>
      </c>
      <c r="BP956" s="136"/>
      <c r="BQ956" s="136"/>
      <c r="BR956" s="136"/>
      <c r="BS956" s="136"/>
      <c r="BT956" s="136"/>
      <c r="BU956" s="136"/>
      <c r="BV956" s="136"/>
      <c r="BW956" s="136"/>
      <c r="BY956" s="12"/>
      <c r="BZ956" s="335"/>
      <c r="CA956" s="12"/>
      <c r="CB956" s="335"/>
      <c r="CC956" s="335"/>
      <c r="CD956" s="335"/>
      <c r="CE956" s="335"/>
      <c r="CM956" s="335"/>
      <c r="CN956" s="335"/>
      <c r="CO956" s="335"/>
      <c r="CP956" s="335"/>
      <c r="CR956" s="12"/>
      <c r="CT956" s="335"/>
      <c r="CU956" s="335"/>
      <c r="EW956" s="335"/>
      <c r="EX956" s="13" t="str">
        <f t="shared" ca="1" si="1101"/>
        <v>Amount Due Within One Year after Covenant Breach Adjustment Loan 12</v>
      </c>
    </row>
    <row r="957" spans="1:154" s="67" customFormat="1" x14ac:dyDescent="0.25">
      <c r="B957" s="84" t="str" cm="1">
        <f t="array" aca="1" ref="B957" ca="1">HYPERLINK(CONCATENATE("#",CELL("address",$D$275)),$D$275)</f>
        <v>Loan 13</v>
      </c>
      <c r="C957" s="340" t="s">
        <v>1345</v>
      </c>
      <c r="D957" s="60">
        <f>D$25</f>
        <v>0</v>
      </c>
      <c r="E957" s="221">
        <f>E$25</f>
        <v>0</v>
      </c>
      <c r="G957" s="9"/>
      <c r="H957" s="50" t="s">
        <v>125</v>
      </c>
      <c r="S957" s="335"/>
      <c r="T957" s="335"/>
      <c r="U957" s="335"/>
      <c r="V957" s="136"/>
      <c r="W957" s="201">
        <f t="shared" ca="1" si="1097"/>
        <v>0</v>
      </c>
      <c r="X957" s="201">
        <f t="shared" ca="1" si="1097"/>
        <v>0</v>
      </c>
      <c r="Y957" s="201">
        <f t="shared" si="1097"/>
        <v>0</v>
      </c>
      <c r="AA957" s="201">
        <f ca="1">AA911+AA934*Timeline!AA381</f>
        <v>0</v>
      </c>
      <c r="AB957" s="201">
        <f ca="1">AB911+AB934*Timeline!AB381</f>
        <v>0</v>
      </c>
      <c r="AC957" s="201">
        <f ca="1">AC911+AC934*Timeline!AC381</f>
        <v>0</v>
      </c>
      <c r="AD957" s="201">
        <f ca="1">AD911+AD934*Timeline!AD381</f>
        <v>0</v>
      </c>
      <c r="AE957" s="201">
        <f ca="1">AE911+AE934*Timeline!AE381</f>
        <v>0</v>
      </c>
      <c r="AF957" s="201">
        <f ca="1">AF911+AF934*Timeline!AF381</f>
        <v>0</v>
      </c>
      <c r="AG957" s="201">
        <f ca="1">AG911+AG934*Timeline!AG381</f>
        <v>0</v>
      </c>
      <c r="AH957" s="201">
        <f ca="1">AH911+AH934*Timeline!AH381</f>
        <v>0</v>
      </c>
      <c r="AI957" s="201">
        <f ca="1">AI911+AI934*Timeline!AI381</f>
        <v>0</v>
      </c>
      <c r="AJ957" s="201">
        <f ca="1">AJ911+AJ934*Timeline!AJ381</f>
        <v>0</v>
      </c>
      <c r="AK957" s="201">
        <f ca="1">AK911+AK934*Timeline!AK381</f>
        <v>0</v>
      </c>
      <c r="AL957" s="201">
        <f ca="1">AL911+AL934*Timeline!AL381</f>
        <v>0</v>
      </c>
      <c r="AM957" s="201">
        <f ca="1">AM911+AM934*Timeline!AM381</f>
        <v>0</v>
      </c>
      <c r="AN957" s="201">
        <f ca="1">AN911+AN934*Timeline!AN381</f>
        <v>0</v>
      </c>
      <c r="AO957" s="201">
        <f ca="1">AO911+AO934*Timeline!AO381</f>
        <v>0</v>
      </c>
      <c r="AP957" s="201">
        <f ca="1">AP911+AP934*Timeline!AP381</f>
        <v>0</v>
      </c>
      <c r="AQ957" s="201">
        <f ca="1">AQ911+AQ934*Timeline!AQ381</f>
        <v>0</v>
      </c>
      <c r="AR957" s="201">
        <f ca="1">AR911+AR934*Timeline!AR381</f>
        <v>0</v>
      </c>
      <c r="AS957" s="201">
        <f ca="1">AS911+AS934*Timeline!AS381</f>
        <v>0</v>
      </c>
      <c r="AT957" s="201">
        <f ca="1">AT911+AT934*Timeline!AT381</f>
        <v>0</v>
      </c>
      <c r="AU957" s="201">
        <f ca="1">AU911+AU934*Timeline!AU381</f>
        <v>0</v>
      </c>
      <c r="AV957" s="201">
        <f ca="1">AV911+AV934*Timeline!AV381</f>
        <v>0</v>
      </c>
      <c r="AW957" s="201">
        <f ca="1">AW911+AW934*Timeline!AW381</f>
        <v>0</v>
      </c>
      <c r="AX957" s="201">
        <f ca="1">AX911+AX934*Timeline!AX381</f>
        <v>0</v>
      </c>
      <c r="AY957" s="201">
        <f ca="1">AY911+AY934*Timeline!AY381</f>
        <v>0</v>
      </c>
      <c r="AZ957" s="201">
        <f ca="1">AZ911+AZ934*Timeline!AZ381</f>
        <v>0</v>
      </c>
      <c r="BA957" s="201">
        <f ca="1">BA911+BA934*Timeline!BA381</f>
        <v>0</v>
      </c>
      <c r="BB957" s="201">
        <f ca="1">BB911+BB934*Timeline!BB381</f>
        <v>0</v>
      </c>
      <c r="BC957" s="201">
        <f ca="1">BC911+BC934*Timeline!BC381</f>
        <v>0</v>
      </c>
      <c r="BD957" s="201">
        <f ca="1">BD911+BD934*Timeline!BD381</f>
        <v>0</v>
      </c>
      <c r="BE957" s="201">
        <f ca="1">BE911+BE934*Timeline!BE381</f>
        <v>0</v>
      </c>
      <c r="BF957" s="201">
        <f ca="1">BF911+BF934*Timeline!BF381</f>
        <v>0</v>
      </c>
      <c r="BG957" s="201">
        <f ca="1">BG911+BG934*Timeline!BG381</f>
        <v>0</v>
      </c>
      <c r="BH957" s="201">
        <f ca="1">BH911+BH934*Timeline!BH381</f>
        <v>0</v>
      </c>
      <c r="BI957" s="201">
        <f ca="1">BI911+BI934*Timeline!BI381</f>
        <v>0</v>
      </c>
      <c r="BJ957" s="201">
        <f>BJ911+BJ934*Timeline!BJ381</f>
        <v>0</v>
      </c>
      <c r="BL957" s="136"/>
      <c r="BM957" s="13">
        <f t="shared" ca="1" si="1098"/>
        <v>0</v>
      </c>
      <c r="BN957" s="13">
        <f t="shared" ca="1" si="1099"/>
        <v>0</v>
      </c>
      <c r="BO957" s="13">
        <f t="shared" si="1100"/>
        <v>0</v>
      </c>
      <c r="BP957" s="136"/>
      <c r="BQ957" s="136"/>
      <c r="BR957" s="136"/>
      <c r="BS957" s="136"/>
      <c r="BT957" s="136"/>
      <c r="BU957" s="136"/>
      <c r="BV957" s="136"/>
      <c r="BW957" s="136"/>
      <c r="BY957" s="12"/>
      <c r="BZ957" s="335"/>
      <c r="CA957" s="12"/>
      <c r="CB957" s="335"/>
      <c r="CC957" s="335"/>
      <c r="CD957" s="335"/>
      <c r="CE957" s="335"/>
      <c r="CM957" s="335"/>
      <c r="CN957" s="335"/>
      <c r="CO957" s="335"/>
      <c r="CP957" s="335"/>
      <c r="CR957" s="12"/>
      <c r="CT957" s="335"/>
      <c r="CU957" s="335"/>
      <c r="EW957" s="335"/>
      <c r="EX957" s="13" t="str">
        <f t="shared" ca="1" si="1101"/>
        <v>Amount Due Within One Year after Covenant Breach Adjustment Loan 13</v>
      </c>
    </row>
    <row r="958" spans="1:154" s="5" customFormat="1" x14ac:dyDescent="0.25">
      <c r="A958" s="67"/>
      <c r="B958" s="84" t="str" cm="1">
        <f t="array" aca="1" ref="B958" ca="1">HYPERLINK(CONCATENATE("#",CELL("address",$D$294)),$D$294)</f>
        <v>Loan 14</v>
      </c>
      <c r="C958" s="340" t="s">
        <v>1346</v>
      </c>
      <c r="D958" s="60">
        <f>D$26</f>
        <v>0</v>
      </c>
      <c r="E958" s="221">
        <f>E$26</f>
        <v>0</v>
      </c>
      <c r="F958" s="67"/>
      <c r="G958" s="9"/>
      <c r="H958" s="50" t="s">
        <v>125</v>
      </c>
      <c r="I958" s="67"/>
      <c r="J958" s="67"/>
      <c r="K958" s="67"/>
      <c r="L958" s="67"/>
      <c r="M958" s="67"/>
      <c r="N958" s="67"/>
      <c r="O958" s="67"/>
      <c r="P958" s="67"/>
      <c r="Q958" s="67"/>
      <c r="R958" s="67"/>
      <c r="S958" s="335"/>
      <c r="T958" s="335"/>
      <c r="U958" s="335"/>
      <c r="V958" s="136"/>
      <c r="W958" s="201">
        <f t="shared" ca="1" si="1097"/>
        <v>0</v>
      </c>
      <c r="X958" s="201">
        <f t="shared" ca="1" si="1097"/>
        <v>0</v>
      </c>
      <c r="Y958" s="201">
        <f t="shared" si="1097"/>
        <v>0</v>
      </c>
      <c r="Z958" s="67"/>
      <c r="AA958" s="201">
        <f ca="1">AA912+AA935*Timeline!AA382</f>
        <v>0</v>
      </c>
      <c r="AB958" s="201">
        <f ca="1">AB912+AB935*Timeline!AB382</f>
        <v>0</v>
      </c>
      <c r="AC958" s="201">
        <f ca="1">AC912+AC935*Timeline!AC382</f>
        <v>0</v>
      </c>
      <c r="AD958" s="201">
        <f ca="1">AD912+AD935*Timeline!AD382</f>
        <v>0</v>
      </c>
      <c r="AE958" s="201">
        <f ca="1">AE912+AE935*Timeline!AE382</f>
        <v>0</v>
      </c>
      <c r="AF958" s="201">
        <f ca="1">AF912+AF935*Timeline!AF382</f>
        <v>0</v>
      </c>
      <c r="AG958" s="201">
        <f ca="1">AG912+AG935*Timeline!AG382</f>
        <v>0</v>
      </c>
      <c r="AH958" s="201">
        <f ca="1">AH912+AH935*Timeline!AH382</f>
        <v>0</v>
      </c>
      <c r="AI958" s="201">
        <f ca="1">AI912+AI935*Timeline!AI382</f>
        <v>0</v>
      </c>
      <c r="AJ958" s="201">
        <f ca="1">AJ912+AJ935*Timeline!AJ382</f>
        <v>0</v>
      </c>
      <c r="AK958" s="201">
        <f ca="1">AK912+AK935*Timeline!AK382</f>
        <v>0</v>
      </c>
      <c r="AL958" s="201">
        <f ca="1">AL912+AL935*Timeline!AL382</f>
        <v>0</v>
      </c>
      <c r="AM958" s="201">
        <f ca="1">AM912+AM935*Timeline!AM382</f>
        <v>0</v>
      </c>
      <c r="AN958" s="201">
        <f ca="1">AN912+AN935*Timeline!AN382</f>
        <v>0</v>
      </c>
      <c r="AO958" s="201">
        <f ca="1">AO912+AO935*Timeline!AO382</f>
        <v>0</v>
      </c>
      <c r="AP958" s="201">
        <f ca="1">AP912+AP935*Timeline!AP382</f>
        <v>0</v>
      </c>
      <c r="AQ958" s="201">
        <f ca="1">AQ912+AQ935*Timeline!AQ382</f>
        <v>0</v>
      </c>
      <c r="AR958" s="201">
        <f ca="1">AR912+AR935*Timeline!AR382</f>
        <v>0</v>
      </c>
      <c r="AS958" s="201">
        <f ca="1">AS912+AS935*Timeline!AS382</f>
        <v>0</v>
      </c>
      <c r="AT958" s="201">
        <f ca="1">AT912+AT935*Timeline!AT382</f>
        <v>0</v>
      </c>
      <c r="AU958" s="201">
        <f ca="1">AU912+AU935*Timeline!AU382</f>
        <v>0</v>
      </c>
      <c r="AV958" s="201">
        <f ca="1">AV912+AV935*Timeline!AV382</f>
        <v>0</v>
      </c>
      <c r="AW958" s="201">
        <f ca="1">AW912+AW935*Timeline!AW382</f>
        <v>0</v>
      </c>
      <c r="AX958" s="201">
        <f ca="1">AX912+AX935*Timeline!AX382</f>
        <v>0</v>
      </c>
      <c r="AY958" s="201">
        <f ca="1">AY912+AY935*Timeline!AY382</f>
        <v>0</v>
      </c>
      <c r="AZ958" s="201">
        <f ca="1">AZ912+AZ935*Timeline!AZ382</f>
        <v>0</v>
      </c>
      <c r="BA958" s="201">
        <f ca="1">BA912+BA935*Timeline!BA382</f>
        <v>0</v>
      </c>
      <c r="BB958" s="201">
        <f ca="1">BB912+BB935*Timeline!BB382</f>
        <v>0</v>
      </c>
      <c r="BC958" s="201">
        <f ca="1">BC912+BC935*Timeline!BC382</f>
        <v>0</v>
      </c>
      <c r="BD958" s="201">
        <f ca="1">BD912+BD935*Timeline!BD382</f>
        <v>0</v>
      </c>
      <c r="BE958" s="201">
        <f ca="1">BE912+BE935*Timeline!BE382</f>
        <v>0</v>
      </c>
      <c r="BF958" s="201">
        <f ca="1">BF912+BF935*Timeline!BF382</f>
        <v>0</v>
      </c>
      <c r="BG958" s="201">
        <f ca="1">BG912+BG935*Timeline!BG382</f>
        <v>0</v>
      </c>
      <c r="BH958" s="201">
        <f ca="1">BH912+BH935*Timeline!BH382</f>
        <v>0</v>
      </c>
      <c r="BI958" s="201">
        <f ca="1">BI912+BI935*Timeline!BI382</f>
        <v>0</v>
      </c>
      <c r="BJ958" s="201">
        <f>BJ912+BJ935*Timeline!BJ382</f>
        <v>0</v>
      </c>
      <c r="BK958" s="67"/>
      <c r="BL958" s="136"/>
      <c r="BM958" s="13">
        <f t="shared" ca="1" si="1098"/>
        <v>0</v>
      </c>
      <c r="BN958" s="13">
        <f t="shared" ca="1" si="1099"/>
        <v>0</v>
      </c>
      <c r="BO958" s="13">
        <f t="shared" si="1100"/>
        <v>0</v>
      </c>
      <c r="BP958" s="136"/>
      <c r="BQ958" s="136"/>
      <c r="BR958" s="136"/>
      <c r="BS958" s="136"/>
      <c r="BT958" s="136"/>
      <c r="BU958" s="136"/>
      <c r="BV958" s="136"/>
      <c r="BW958" s="136"/>
      <c r="BX958" s="67"/>
      <c r="BY958" s="12"/>
      <c r="BZ958" s="335"/>
      <c r="CA958" s="12"/>
      <c r="CB958" s="335"/>
      <c r="CC958" s="335"/>
      <c r="CD958" s="335"/>
      <c r="CE958" s="335"/>
      <c r="CF958" s="67"/>
      <c r="CG958" s="67"/>
      <c r="CH958" s="67"/>
      <c r="CI958" s="67"/>
      <c r="CJ958" s="67"/>
      <c r="CK958" s="67"/>
      <c r="CL958" s="67"/>
      <c r="CM958" s="335"/>
      <c r="CN958" s="335"/>
      <c r="CO958" s="335"/>
      <c r="CP958" s="335"/>
      <c r="CQ958" s="67"/>
      <c r="CR958" s="12"/>
      <c r="EX958" s="13" t="str">
        <f t="shared" ca="1" si="1101"/>
        <v>Amount Due Within One Year after Covenant Breach Adjustment Loan 14</v>
      </c>
    </row>
    <row r="959" spans="1:154" s="67" customFormat="1" x14ac:dyDescent="0.25">
      <c r="B959" s="84" t="str" cm="1">
        <f t="array" aca="1" ref="B959" ca="1">HYPERLINK(CONCATENATE("#",CELL("address",$D$313)),$D$313)</f>
        <v>Loan 15</v>
      </c>
      <c r="C959" s="340" t="s">
        <v>1347</v>
      </c>
      <c r="D959" s="60">
        <f>D$27</f>
        <v>0</v>
      </c>
      <c r="E959" s="221">
        <f>E$27</f>
        <v>0</v>
      </c>
      <c r="G959" s="9"/>
      <c r="H959" s="50" t="s">
        <v>125</v>
      </c>
      <c r="S959" s="335"/>
      <c r="T959" s="335"/>
      <c r="U959" s="335"/>
      <c r="V959" s="136"/>
      <c r="W959" s="201">
        <f t="shared" ca="1" si="1097"/>
        <v>0</v>
      </c>
      <c r="X959" s="201">
        <f t="shared" ca="1" si="1097"/>
        <v>0</v>
      </c>
      <c r="Y959" s="201">
        <f t="shared" si="1097"/>
        <v>0</v>
      </c>
      <c r="AA959" s="201">
        <f ca="1">AA913+AA936*Timeline!AA383</f>
        <v>0</v>
      </c>
      <c r="AB959" s="201">
        <f ca="1">AB913+AB936*Timeline!AB383</f>
        <v>0</v>
      </c>
      <c r="AC959" s="201">
        <f ca="1">AC913+AC936*Timeline!AC383</f>
        <v>0</v>
      </c>
      <c r="AD959" s="201">
        <f ca="1">AD913+AD936*Timeline!AD383</f>
        <v>0</v>
      </c>
      <c r="AE959" s="201">
        <f ca="1">AE913+AE936*Timeline!AE383</f>
        <v>0</v>
      </c>
      <c r="AF959" s="201">
        <f ca="1">AF913+AF936*Timeline!AF383</f>
        <v>0</v>
      </c>
      <c r="AG959" s="201">
        <f ca="1">AG913+AG936*Timeline!AG383</f>
        <v>0</v>
      </c>
      <c r="AH959" s="201">
        <f ca="1">AH913+AH936*Timeline!AH383</f>
        <v>0</v>
      </c>
      <c r="AI959" s="201">
        <f ca="1">AI913+AI936*Timeline!AI383</f>
        <v>0</v>
      </c>
      <c r="AJ959" s="201">
        <f ca="1">AJ913+AJ936*Timeline!AJ383</f>
        <v>0</v>
      </c>
      <c r="AK959" s="201">
        <f ca="1">AK913+AK936*Timeline!AK383</f>
        <v>0</v>
      </c>
      <c r="AL959" s="201">
        <f ca="1">AL913+AL936*Timeline!AL383</f>
        <v>0</v>
      </c>
      <c r="AM959" s="201">
        <f ca="1">AM913+AM936*Timeline!AM383</f>
        <v>0</v>
      </c>
      <c r="AN959" s="201">
        <f ca="1">AN913+AN936*Timeline!AN383</f>
        <v>0</v>
      </c>
      <c r="AO959" s="201">
        <f ca="1">AO913+AO936*Timeline!AO383</f>
        <v>0</v>
      </c>
      <c r="AP959" s="201">
        <f ca="1">AP913+AP936*Timeline!AP383</f>
        <v>0</v>
      </c>
      <c r="AQ959" s="201">
        <f ca="1">AQ913+AQ936*Timeline!AQ383</f>
        <v>0</v>
      </c>
      <c r="AR959" s="201">
        <f ca="1">AR913+AR936*Timeline!AR383</f>
        <v>0</v>
      </c>
      <c r="AS959" s="201">
        <f ca="1">AS913+AS936*Timeline!AS383</f>
        <v>0</v>
      </c>
      <c r="AT959" s="201">
        <f ca="1">AT913+AT936*Timeline!AT383</f>
        <v>0</v>
      </c>
      <c r="AU959" s="201">
        <f ca="1">AU913+AU936*Timeline!AU383</f>
        <v>0</v>
      </c>
      <c r="AV959" s="201">
        <f ca="1">AV913+AV936*Timeline!AV383</f>
        <v>0</v>
      </c>
      <c r="AW959" s="201">
        <f ca="1">AW913+AW936*Timeline!AW383</f>
        <v>0</v>
      </c>
      <c r="AX959" s="201">
        <f ca="1">AX913+AX936*Timeline!AX383</f>
        <v>0</v>
      </c>
      <c r="AY959" s="201">
        <f ca="1">AY913+AY936*Timeline!AY383</f>
        <v>0</v>
      </c>
      <c r="AZ959" s="201">
        <f ca="1">AZ913+AZ936*Timeline!AZ383</f>
        <v>0</v>
      </c>
      <c r="BA959" s="201">
        <f ca="1">BA913+BA936*Timeline!BA383</f>
        <v>0</v>
      </c>
      <c r="BB959" s="201">
        <f ca="1">BB913+BB936*Timeline!BB383</f>
        <v>0</v>
      </c>
      <c r="BC959" s="201">
        <f ca="1">BC913+BC936*Timeline!BC383</f>
        <v>0</v>
      </c>
      <c r="BD959" s="201">
        <f ca="1">BD913+BD936*Timeline!BD383</f>
        <v>0</v>
      </c>
      <c r="BE959" s="201">
        <f ca="1">BE913+BE936*Timeline!BE383</f>
        <v>0</v>
      </c>
      <c r="BF959" s="201">
        <f ca="1">BF913+BF936*Timeline!BF383</f>
        <v>0</v>
      </c>
      <c r="BG959" s="201">
        <f ca="1">BG913+BG936*Timeline!BG383</f>
        <v>0</v>
      </c>
      <c r="BH959" s="201">
        <f ca="1">BH913+BH936*Timeline!BH383</f>
        <v>0</v>
      </c>
      <c r="BI959" s="201">
        <f ca="1">BI913+BI936*Timeline!BI383</f>
        <v>0</v>
      </c>
      <c r="BJ959" s="201">
        <f>BJ913+BJ936*Timeline!BJ383</f>
        <v>0</v>
      </c>
      <c r="BL959" s="136"/>
      <c r="BM959" s="13">
        <f t="shared" ca="1" si="1098"/>
        <v>0</v>
      </c>
      <c r="BN959" s="13">
        <f t="shared" ca="1" si="1099"/>
        <v>0</v>
      </c>
      <c r="BO959" s="13">
        <f t="shared" si="1100"/>
        <v>0</v>
      </c>
      <c r="BP959" s="136"/>
      <c r="BQ959" s="136"/>
      <c r="BR959" s="136"/>
      <c r="BS959" s="136"/>
      <c r="BT959" s="136"/>
      <c r="BU959" s="136"/>
      <c r="BV959" s="136"/>
      <c r="BW959" s="136"/>
      <c r="BY959" s="12"/>
      <c r="BZ959" s="335"/>
      <c r="CA959" s="12"/>
      <c r="CB959" s="335"/>
      <c r="CC959" s="335"/>
      <c r="CD959" s="335"/>
      <c r="CE959" s="335"/>
      <c r="CM959" s="335"/>
      <c r="CN959" s="335"/>
      <c r="CO959" s="335"/>
      <c r="CP959" s="335"/>
      <c r="CR959" s="12"/>
      <c r="CT959" s="335"/>
      <c r="CU959" s="335"/>
      <c r="EW959" s="335"/>
      <c r="EX959" s="13" t="str">
        <f t="shared" ca="1" si="1101"/>
        <v>Amount Due Within One Year after Covenant Breach Adjustment Loan 15</v>
      </c>
    </row>
    <row r="960" spans="1:154" s="67" customFormat="1" x14ac:dyDescent="0.25">
      <c r="B960" s="84" t="str" cm="1">
        <f t="array" aca="1" ref="B960" ca="1">HYPERLINK(CONCATENATE("#",CELL("address",$D$332)),$D$332)</f>
        <v>Loan 16</v>
      </c>
      <c r="C960" s="340" t="s">
        <v>1348</v>
      </c>
      <c r="D960" s="60">
        <f>D$28</f>
        <v>0</v>
      </c>
      <c r="E960" s="221">
        <f>E$28</f>
        <v>0</v>
      </c>
      <c r="G960" s="9"/>
      <c r="H960" s="50" t="s">
        <v>125</v>
      </c>
      <c r="S960" s="335"/>
      <c r="T960" s="335"/>
      <c r="U960" s="335"/>
      <c r="V960" s="136"/>
      <c r="W960" s="201">
        <f t="shared" ca="1" si="1097"/>
        <v>0</v>
      </c>
      <c r="X960" s="201">
        <f t="shared" ca="1" si="1097"/>
        <v>0</v>
      </c>
      <c r="Y960" s="201">
        <f t="shared" si="1097"/>
        <v>0</v>
      </c>
      <c r="AA960" s="201">
        <f ca="1">AA914+AA937*Timeline!AA384</f>
        <v>0</v>
      </c>
      <c r="AB960" s="201">
        <f ca="1">AB914+AB937*Timeline!AB384</f>
        <v>0</v>
      </c>
      <c r="AC960" s="201">
        <f ca="1">AC914+AC937*Timeline!AC384</f>
        <v>0</v>
      </c>
      <c r="AD960" s="201">
        <f ca="1">AD914+AD937*Timeline!AD384</f>
        <v>0</v>
      </c>
      <c r="AE960" s="201">
        <f ca="1">AE914+AE937*Timeline!AE384</f>
        <v>0</v>
      </c>
      <c r="AF960" s="201">
        <f ca="1">AF914+AF937*Timeline!AF384</f>
        <v>0</v>
      </c>
      <c r="AG960" s="201">
        <f ca="1">AG914+AG937*Timeline!AG384</f>
        <v>0</v>
      </c>
      <c r="AH960" s="201">
        <f ca="1">AH914+AH937*Timeline!AH384</f>
        <v>0</v>
      </c>
      <c r="AI960" s="201">
        <f ca="1">AI914+AI937*Timeline!AI384</f>
        <v>0</v>
      </c>
      <c r="AJ960" s="201">
        <f ca="1">AJ914+AJ937*Timeline!AJ384</f>
        <v>0</v>
      </c>
      <c r="AK960" s="201">
        <f ca="1">AK914+AK937*Timeline!AK384</f>
        <v>0</v>
      </c>
      <c r="AL960" s="201">
        <f ca="1">AL914+AL937*Timeline!AL384</f>
        <v>0</v>
      </c>
      <c r="AM960" s="201">
        <f ca="1">AM914+AM937*Timeline!AM384</f>
        <v>0</v>
      </c>
      <c r="AN960" s="201">
        <f ca="1">AN914+AN937*Timeline!AN384</f>
        <v>0</v>
      </c>
      <c r="AO960" s="201">
        <f ca="1">AO914+AO937*Timeline!AO384</f>
        <v>0</v>
      </c>
      <c r="AP960" s="201">
        <f ca="1">AP914+AP937*Timeline!AP384</f>
        <v>0</v>
      </c>
      <c r="AQ960" s="201">
        <f ca="1">AQ914+AQ937*Timeline!AQ384</f>
        <v>0</v>
      </c>
      <c r="AR960" s="201">
        <f ca="1">AR914+AR937*Timeline!AR384</f>
        <v>0</v>
      </c>
      <c r="AS960" s="201">
        <f ca="1">AS914+AS937*Timeline!AS384</f>
        <v>0</v>
      </c>
      <c r="AT960" s="201">
        <f ca="1">AT914+AT937*Timeline!AT384</f>
        <v>0</v>
      </c>
      <c r="AU960" s="201">
        <f ca="1">AU914+AU937*Timeline!AU384</f>
        <v>0</v>
      </c>
      <c r="AV960" s="201">
        <f ca="1">AV914+AV937*Timeline!AV384</f>
        <v>0</v>
      </c>
      <c r="AW960" s="201">
        <f ca="1">AW914+AW937*Timeline!AW384</f>
        <v>0</v>
      </c>
      <c r="AX960" s="201">
        <f ca="1">AX914+AX937*Timeline!AX384</f>
        <v>0</v>
      </c>
      <c r="AY960" s="201">
        <f ca="1">AY914+AY937*Timeline!AY384</f>
        <v>0</v>
      </c>
      <c r="AZ960" s="201">
        <f ca="1">AZ914+AZ937*Timeline!AZ384</f>
        <v>0</v>
      </c>
      <c r="BA960" s="201">
        <f ca="1">BA914+BA937*Timeline!BA384</f>
        <v>0</v>
      </c>
      <c r="BB960" s="201">
        <f ca="1">BB914+BB937*Timeline!BB384</f>
        <v>0</v>
      </c>
      <c r="BC960" s="201">
        <f ca="1">BC914+BC937*Timeline!BC384</f>
        <v>0</v>
      </c>
      <c r="BD960" s="201">
        <f ca="1">BD914+BD937*Timeline!BD384</f>
        <v>0</v>
      </c>
      <c r="BE960" s="201">
        <f ca="1">BE914+BE937*Timeline!BE384</f>
        <v>0</v>
      </c>
      <c r="BF960" s="201">
        <f ca="1">BF914+BF937*Timeline!BF384</f>
        <v>0</v>
      </c>
      <c r="BG960" s="201">
        <f ca="1">BG914+BG937*Timeline!BG384</f>
        <v>0</v>
      </c>
      <c r="BH960" s="201">
        <f ca="1">BH914+BH937*Timeline!BH384</f>
        <v>0</v>
      </c>
      <c r="BI960" s="201">
        <f ca="1">BI914+BI937*Timeline!BI384</f>
        <v>0</v>
      </c>
      <c r="BJ960" s="201">
        <f>BJ914+BJ937*Timeline!BJ384</f>
        <v>0</v>
      </c>
      <c r="BL960" s="136"/>
      <c r="BM960" s="13">
        <f t="shared" ca="1" si="1098"/>
        <v>0</v>
      </c>
      <c r="BN960" s="13">
        <f t="shared" ca="1" si="1099"/>
        <v>0</v>
      </c>
      <c r="BO960" s="13">
        <f t="shared" si="1100"/>
        <v>0</v>
      </c>
      <c r="BP960" s="136"/>
      <c r="BQ960" s="136"/>
      <c r="BR960" s="136"/>
      <c r="BS960" s="136"/>
      <c r="BT960" s="136"/>
      <c r="BU960" s="136"/>
      <c r="BV960" s="136"/>
      <c r="BW960" s="136"/>
      <c r="BY960" s="12"/>
      <c r="BZ960" s="335"/>
      <c r="CA960" s="12"/>
      <c r="CB960" s="335"/>
      <c r="CC960" s="335"/>
      <c r="CD960" s="335"/>
      <c r="CE960" s="335"/>
      <c r="CM960" s="335"/>
      <c r="CN960" s="335"/>
      <c r="CO960" s="335"/>
      <c r="CP960" s="335"/>
      <c r="CR960" s="12"/>
      <c r="CT960" s="335"/>
      <c r="CU960" s="335"/>
      <c r="EW960" s="335"/>
      <c r="EX960" s="13" t="str">
        <f t="shared" ca="1" si="1101"/>
        <v>Amount Due Within One Year after Covenant Breach Adjustment Loan 16</v>
      </c>
    </row>
    <row r="961" spans="2:154" s="67" customFormat="1" x14ac:dyDescent="0.25">
      <c r="B961" s="84" t="str" cm="1">
        <f t="array" aca="1" ref="B961" ca="1">HYPERLINK(CONCATENATE("#",CELL("address",$D$351)),$D$351)</f>
        <v>Loan 17</v>
      </c>
      <c r="C961" s="340" t="s">
        <v>1349</v>
      </c>
      <c r="D961" s="60">
        <f>D$29</f>
        <v>0</v>
      </c>
      <c r="E961" s="221">
        <f>E$29</f>
        <v>0</v>
      </c>
      <c r="G961" s="9"/>
      <c r="H961" s="50" t="s">
        <v>125</v>
      </c>
      <c r="S961" s="335"/>
      <c r="T961" s="335"/>
      <c r="U961" s="335"/>
      <c r="V961" s="136"/>
      <c r="W961" s="201">
        <f t="shared" ca="1" si="1097"/>
        <v>0</v>
      </c>
      <c r="X961" s="201">
        <f t="shared" ca="1" si="1097"/>
        <v>0</v>
      </c>
      <c r="Y961" s="201">
        <f t="shared" si="1097"/>
        <v>0</v>
      </c>
      <c r="AA961" s="201">
        <f ca="1">AA915+AA938*Timeline!AA385</f>
        <v>0</v>
      </c>
      <c r="AB961" s="201">
        <f ca="1">AB915+AB938*Timeline!AB385</f>
        <v>0</v>
      </c>
      <c r="AC961" s="201">
        <f ca="1">AC915+AC938*Timeline!AC385</f>
        <v>0</v>
      </c>
      <c r="AD961" s="201">
        <f ca="1">AD915+AD938*Timeline!AD385</f>
        <v>0</v>
      </c>
      <c r="AE961" s="201">
        <f ca="1">AE915+AE938*Timeline!AE385</f>
        <v>0</v>
      </c>
      <c r="AF961" s="201">
        <f ca="1">AF915+AF938*Timeline!AF385</f>
        <v>0</v>
      </c>
      <c r="AG961" s="201">
        <f ca="1">AG915+AG938*Timeline!AG385</f>
        <v>0</v>
      </c>
      <c r="AH961" s="201">
        <f ca="1">AH915+AH938*Timeline!AH385</f>
        <v>0</v>
      </c>
      <c r="AI961" s="201">
        <f ca="1">AI915+AI938*Timeline!AI385</f>
        <v>0</v>
      </c>
      <c r="AJ961" s="201">
        <f ca="1">AJ915+AJ938*Timeline!AJ385</f>
        <v>0</v>
      </c>
      <c r="AK961" s="201">
        <f ca="1">AK915+AK938*Timeline!AK385</f>
        <v>0</v>
      </c>
      <c r="AL961" s="201">
        <f ca="1">AL915+AL938*Timeline!AL385</f>
        <v>0</v>
      </c>
      <c r="AM961" s="201">
        <f ca="1">AM915+AM938*Timeline!AM385</f>
        <v>0</v>
      </c>
      <c r="AN961" s="201">
        <f ca="1">AN915+AN938*Timeline!AN385</f>
        <v>0</v>
      </c>
      <c r="AO961" s="201">
        <f ca="1">AO915+AO938*Timeline!AO385</f>
        <v>0</v>
      </c>
      <c r="AP961" s="201">
        <f ca="1">AP915+AP938*Timeline!AP385</f>
        <v>0</v>
      </c>
      <c r="AQ961" s="201">
        <f ca="1">AQ915+AQ938*Timeline!AQ385</f>
        <v>0</v>
      </c>
      <c r="AR961" s="201">
        <f ca="1">AR915+AR938*Timeline!AR385</f>
        <v>0</v>
      </c>
      <c r="AS961" s="201">
        <f ca="1">AS915+AS938*Timeline!AS385</f>
        <v>0</v>
      </c>
      <c r="AT961" s="201">
        <f ca="1">AT915+AT938*Timeline!AT385</f>
        <v>0</v>
      </c>
      <c r="AU961" s="201">
        <f ca="1">AU915+AU938*Timeline!AU385</f>
        <v>0</v>
      </c>
      <c r="AV961" s="201">
        <f ca="1">AV915+AV938*Timeline!AV385</f>
        <v>0</v>
      </c>
      <c r="AW961" s="201">
        <f ca="1">AW915+AW938*Timeline!AW385</f>
        <v>0</v>
      </c>
      <c r="AX961" s="201">
        <f ca="1">AX915+AX938*Timeline!AX385</f>
        <v>0</v>
      </c>
      <c r="AY961" s="201">
        <f ca="1">AY915+AY938*Timeline!AY385</f>
        <v>0</v>
      </c>
      <c r="AZ961" s="201">
        <f ca="1">AZ915+AZ938*Timeline!AZ385</f>
        <v>0</v>
      </c>
      <c r="BA961" s="201">
        <f ca="1">BA915+BA938*Timeline!BA385</f>
        <v>0</v>
      </c>
      <c r="BB961" s="201">
        <f ca="1">BB915+BB938*Timeline!BB385</f>
        <v>0</v>
      </c>
      <c r="BC961" s="201">
        <f ca="1">BC915+BC938*Timeline!BC385</f>
        <v>0</v>
      </c>
      <c r="BD961" s="201">
        <f ca="1">BD915+BD938*Timeline!BD385</f>
        <v>0</v>
      </c>
      <c r="BE961" s="201">
        <f ca="1">BE915+BE938*Timeline!BE385</f>
        <v>0</v>
      </c>
      <c r="BF961" s="201">
        <f ca="1">BF915+BF938*Timeline!BF385</f>
        <v>0</v>
      </c>
      <c r="BG961" s="201">
        <f ca="1">BG915+BG938*Timeline!BG385</f>
        <v>0</v>
      </c>
      <c r="BH961" s="201">
        <f ca="1">BH915+BH938*Timeline!BH385</f>
        <v>0</v>
      </c>
      <c r="BI961" s="201">
        <f ca="1">BI915+BI938*Timeline!BI385</f>
        <v>0</v>
      </c>
      <c r="BJ961" s="201">
        <f>BJ915+BJ938*Timeline!BJ385</f>
        <v>0</v>
      </c>
      <c r="BL961" s="136"/>
      <c r="BM961" s="13">
        <f t="shared" ca="1" si="1098"/>
        <v>0</v>
      </c>
      <c r="BN961" s="13">
        <f t="shared" ca="1" si="1099"/>
        <v>0</v>
      </c>
      <c r="BO961" s="13">
        <f t="shared" si="1100"/>
        <v>0</v>
      </c>
      <c r="BP961" s="136"/>
      <c r="BQ961" s="136"/>
      <c r="BR961" s="136"/>
      <c r="BS961" s="136"/>
      <c r="BT961" s="136"/>
      <c r="BU961" s="136"/>
      <c r="BV961" s="136"/>
      <c r="BW961" s="136"/>
      <c r="BY961" s="12"/>
      <c r="BZ961" s="335"/>
      <c r="CA961" s="12"/>
      <c r="CB961" s="335"/>
      <c r="CC961" s="335"/>
      <c r="CD961" s="335"/>
      <c r="CE961" s="335"/>
      <c r="CM961" s="335"/>
      <c r="CN961" s="335"/>
      <c r="CO961" s="335"/>
      <c r="CP961" s="335"/>
      <c r="CR961" s="12"/>
      <c r="CT961" s="335"/>
      <c r="CU961" s="335"/>
      <c r="EW961" s="335"/>
      <c r="EX961" s="13" t="str">
        <f t="shared" ca="1" si="1101"/>
        <v>Amount Due Within One Year after Covenant Breach Adjustment Loan 17</v>
      </c>
    </row>
    <row r="962" spans="2:154" s="67" customFormat="1" x14ac:dyDescent="0.25">
      <c r="B962" s="84" t="str" cm="1">
        <f t="array" aca="1" ref="B962" ca="1">HYPERLINK(CONCATENATE("#",CELL("address",$D$370)),$D$370)</f>
        <v>Loan 18</v>
      </c>
      <c r="C962" s="340" t="s">
        <v>1350</v>
      </c>
      <c r="D962" s="60">
        <f>D$30</f>
        <v>0</v>
      </c>
      <c r="E962" s="221">
        <f>E$30</f>
        <v>0</v>
      </c>
      <c r="G962" s="9"/>
      <c r="H962" s="50" t="s">
        <v>125</v>
      </c>
      <c r="S962" s="335"/>
      <c r="T962" s="335"/>
      <c r="U962" s="335"/>
      <c r="V962" s="136"/>
      <c r="W962" s="201">
        <f t="shared" ca="1" si="1097"/>
        <v>0</v>
      </c>
      <c r="X962" s="201">
        <f t="shared" ca="1" si="1097"/>
        <v>0</v>
      </c>
      <c r="Y962" s="201">
        <f t="shared" si="1097"/>
        <v>0</v>
      </c>
      <c r="AA962" s="201">
        <f ca="1">AA916+AA939*Timeline!AA386</f>
        <v>0</v>
      </c>
      <c r="AB962" s="201">
        <f ca="1">AB916+AB939*Timeline!AB386</f>
        <v>0</v>
      </c>
      <c r="AC962" s="201">
        <f ca="1">AC916+AC939*Timeline!AC386</f>
        <v>0</v>
      </c>
      <c r="AD962" s="201">
        <f ca="1">AD916+AD939*Timeline!AD386</f>
        <v>0</v>
      </c>
      <c r="AE962" s="201">
        <f ca="1">AE916+AE939*Timeline!AE386</f>
        <v>0</v>
      </c>
      <c r="AF962" s="201">
        <f ca="1">AF916+AF939*Timeline!AF386</f>
        <v>0</v>
      </c>
      <c r="AG962" s="201">
        <f ca="1">AG916+AG939*Timeline!AG386</f>
        <v>0</v>
      </c>
      <c r="AH962" s="201">
        <f ca="1">AH916+AH939*Timeline!AH386</f>
        <v>0</v>
      </c>
      <c r="AI962" s="201">
        <f ca="1">AI916+AI939*Timeline!AI386</f>
        <v>0</v>
      </c>
      <c r="AJ962" s="201">
        <f ca="1">AJ916+AJ939*Timeline!AJ386</f>
        <v>0</v>
      </c>
      <c r="AK962" s="201">
        <f ca="1">AK916+AK939*Timeline!AK386</f>
        <v>0</v>
      </c>
      <c r="AL962" s="201">
        <f ca="1">AL916+AL939*Timeline!AL386</f>
        <v>0</v>
      </c>
      <c r="AM962" s="201">
        <f ca="1">AM916+AM939*Timeline!AM386</f>
        <v>0</v>
      </c>
      <c r="AN962" s="201">
        <f ca="1">AN916+AN939*Timeline!AN386</f>
        <v>0</v>
      </c>
      <c r="AO962" s="201">
        <f ca="1">AO916+AO939*Timeline!AO386</f>
        <v>0</v>
      </c>
      <c r="AP962" s="201">
        <f ca="1">AP916+AP939*Timeline!AP386</f>
        <v>0</v>
      </c>
      <c r="AQ962" s="201">
        <f ca="1">AQ916+AQ939*Timeline!AQ386</f>
        <v>0</v>
      </c>
      <c r="AR962" s="201">
        <f ca="1">AR916+AR939*Timeline!AR386</f>
        <v>0</v>
      </c>
      <c r="AS962" s="201">
        <f ca="1">AS916+AS939*Timeline!AS386</f>
        <v>0</v>
      </c>
      <c r="AT962" s="201">
        <f ca="1">AT916+AT939*Timeline!AT386</f>
        <v>0</v>
      </c>
      <c r="AU962" s="201">
        <f ca="1">AU916+AU939*Timeline!AU386</f>
        <v>0</v>
      </c>
      <c r="AV962" s="201">
        <f ca="1">AV916+AV939*Timeline!AV386</f>
        <v>0</v>
      </c>
      <c r="AW962" s="201">
        <f ca="1">AW916+AW939*Timeline!AW386</f>
        <v>0</v>
      </c>
      <c r="AX962" s="201">
        <f ca="1">AX916+AX939*Timeline!AX386</f>
        <v>0</v>
      </c>
      <c r="AY962" s="201">
        <f ca="1">AY916+AY939*Timeline!AY386</f>
        <v>0</v>
      </c>
      <c r="AZ962" s="201">
        <f ca="1">AZ916+AZ939*Timeline!AZ386</f>
        <v>0</v>
      </c>
      <c r="BA962" s="201">
        <f ca="1">BA916+BA939*Timeline!BA386</f>
        <v>0</v>
      </c>
      <c r="BB962" s="201">
        <f ca="1">BB916+BB939*Timeline!BB386</f>
        <v>0</v>
      </c>
      <c r="BC962" s="201">
        <f ca="1">BC916+BC939*Timeline!BC386</f>
        <v>0</v>
      </c>
      <c r="BD962" s="201">
        <f ca="1">BD916+BD939*Timeline!BD386</f>
        <v>0</v>
      </c>
      <c r="BE962" s="201">
        <f ca="1">BE916+BE939*Timeline!BE386</f>
        <v>0</v>
      </c>
      <c r="BF962" s="201">
        <f ca="1">BF916+BF939*Timeline!BF386</f>
        <v>0</v>
      </c>
      <c r="BG962" s="201">
        <f ca="1">BG916+BG939*Timeline!BG386</f>
        <v>0</v>
      </c>
      <c r="BH962" s="201">
        <f ca="1">BH916+BH939*Timeline!BH386</f>
        <v>0</v>
      </c>
      <c r="BI962" s="201">
        <f ca="1">BI916+BI939*Timeline!BI386</f>
        <v>0</v>
      </c>
      <c r="BJ962" s="201">
        <f>BJ916+BJ939*Timeline!BJ386</f>
        <v>0</v>
      </c>
      <c r="BL962" s="136"/>
      <c r="BM962" s="13">
        <f t="shared" ca="1" si="1098"/>
        <v>0</v>
      </c>
      <c r="BN962" s="13">
        <f t="shared" ca="1" si="1099"/>
        <v>0</v>
      </c>
      <c r="BO962" s="13">
        <f t="shared" si="1100"/>
        <v>0</v>
      </c>
      <c r="BP962" s="136"/>
      <c r="BQ962" s="136"/>
      <c r="BR962" s="136"/>
      <c r="BS962" s="136"/>
      <c r="BT962" s="136"/>
      <c r="BU962" s="136"/>
      <c r="BV962" s="136"/>
      <c r="BW962" s="136"/>
      <c r="BY962" s="12"/>
      <c r="BZ962" s="335"/>
      <c r="CA962" s="12"/>
      <c r="CB962" s="335"/>
      <c r="CC962" s="335"/>
      <c r="CD962" s="335"/>
      <c r="CE962" s="335"/>
      <c r="CM962" s="335"/>
      <c r="CN962" s="335"/>
      <c r="CO962" s="335"/>
      <c r="CP962" s="335"/>
      <c r="CR962" s="12"/>
      <c r="CT962" s="335"/>
      <c r="CU962" s="335"/>
      <c r="EW962" s="335"/>
      <c r="EX962" s="13" t="str">
        <f t="shared" ca="1" si="1101"/>
        <v>Amount Due Within One Year after Covenant Breach Adjustment Loan 18</v>
      </c>
    </row>
    <row r="963" spans="2:154" s="67" customFormat="1" x14ac:dyDescent="0.25">
      <c r="B963" s="84" t="str" cm="1">
        <f t="array" aca="1" ref="B963" ca="1">HYPERLINK(CONCATENATE("#",CELL("address",$D$389)),$D$389)</f>
        <v>Loan 19</v>
      </c>
      <c r="C963" s="340" t="s">
        <v>1351</v>
      </c>
      <c r="D963" s="60">
        <f>D$31</f>
        <v>0</v>
      </c>
      <c r="E963" s="221">
        <f>E$31</f>
        <v>0</v>
      </c>
      <c r="G963" s="9"/>
      <c r="H963" s="50" t="s">
        <v>125</v>
      </c>
      <c r="S963" s="335"/>
      <c r="T963" s="335"/>
      <c r="U963" s="335"/>
      <c r="V963" s="136"/>
      <c r="W963" s="201">
        <f t="shared" ca="1" si="1097"/>
        <v>0</v>
      </c>
      <c r="X963" s="201">
        <f t="shared" ca="1" si="1097"/>
        <v>0</v>
      </c>
      <c r="Y963" s="201">
        <f t="shared" si="1097"/>
        <v>0</v>
      </c>
      <c r="AA963" s="201">
        <f ca="1">AA917+AA940*Timeline!AA387</f>
        <v>0</v>
      </c>
      <c r="AB963" s="201">
        <f ca="1">AB917+AB940*Timeline!AB387</f>
        <v>0</v>
      </c>
      <c r="AC963" s="201">
        <f ca="1">AC917+AC940*Timeline!AC387</f>
        <v>0</v>
      </c>
      <c r="AD963" s="201">
        <f ca="1">AD917+AD940*Timeline!AD387</f>
        <v>0</v>
      </c>
      <c r="AE963" s="201">
        <f ca="1">AE917+AE940*Timeline!AE387</f>
        <v>0</v>
      </c>
      <c r="AF963" s="201">
        <f ca="1">AF917+AF940*Timeline!AF387</f>
        <v>0</v>
      </c>
      <c r="AG963" s="201">
        <f ca="1">AG917+AG940*Timeline!AG387</f>
        <v>0</v>
      </c>
      <c r="AH963" s="201">
        <f ca="1">AH917+AH940*Timeline!AH387</f>
        <v>0</v>
      </c>
      <c r="AI963" s="201">
        <f ca="1">AI917+AI940*Timeline!AI387</f>
        <v>0</v>
      </c>
      <c r="AJ963" s="201">
        <f ca="1">AJ917+AJ940*Timeline!AJ387</f>
        <v>0</v>
      </c>
      <c r="AK963" s="201">
        <f ca="1">AK917+AK940*Timeline!AK387</f>
        <v>0</v>
      </c>
      <c r="AL963" s="201">
        <f ca="1">AL917+AL940*Timeline!AL387</f>
        <v>0</v>
      </c>
      <c r="AM963" s="201">
        <f ca="1">AM917+AM940*Timeline!AM387</f>
        <v>0</v>
      </c>
      <c r="AN963" s="201">
        <f ca="1">AN917+AN940*Timeline!AN387</f>
        <v>0</v>
      </c>
      <c r="AO963" s="201">
        <f ca="1">AO917+AO940*Timeline!AO387</f>
        <v>0</v>
      </c>
      <c r="AP963" s="201">
        <f ca="1">AP917+AP940*Timeline!AP387</f>
        <v>0</v>
      </c>
      <c r="AQ963" s="201">
        <f ca="1">AQ917+AQ940*Timeline!AQ387</f>
        <v>0</v>
      </c>
      <c r="AR963" s="201">
        <f ca="1">AR917+AR940*Timeline!AR387</f>
        <v>0</v>
      </c>
      <c r="AS963" s="201">
        <f ca="1">AS917+AS940*Timeline!AS387</f>
        <v>0</v>
      </c>
      <c r="AT963" s="201">
        <f ca="1">AT917+AT940*Timeline!AT387</f>
        <v>0</v>
      </c>
      <c r="AU963" s="201">
        <f ca="1">AU917+AU940*Timeline!AU387</f>
        <v>0</v>
      </c>
      <c r="AV963" s="201">
        <f ca="1">AV917+AV940*Timeline!AV387</f>
        <v>0</v>
      </c>
      <c r="AW963" s="201">
        <f ca="1">AW917+AW940*Timeline!AW387</f>
        <v>0</v>
      </c>
      <c r="AX963" s="201">
        <f ca="1">AX917+AX940*Timeline!AX387</f>
        <v>0</v>
      </c>
      <c r="AY963" s="201">
        <f ca="1">AY917+AY940*Timeline!AY387</f>
        <v>0</v>
      </c>
      <c r="AZ963" s="201">
        <f ca="1">AZ917+AZ940*Timeline!AZ387</f>
        <v>0</v>
      </c>
      <c r="BA963" s="201">
        <f ca="1">BA917+BA940*Timeline!BA387</f>
        <v>0</v>
      </c>
      <c r="BB963" s="201">
        <f ca="1">BB917+BB940*Timeline!BB387</f>
        <v>0</v>
      </c>
      <c r="BC963" s="201">
        <f ca="1">BC917+BC940*Timeline!BC387</f>
        <v>0</v>
      </c>
      <c r="BD963" s="201">
        <f ca="1">BD917+BD940*Timeline!BD387</f>
        <v>0</v>
      </c>
      <c r="BE963" s="201">
        <f ca="1">BE917+BE940*Timeline!BE387</f>
        <v>0</v>
      </c>
      <c r="BF963" s="201">
        <f ca="1">BF917+BF940*Timeline!BF387</f>
        <v>0</v>
      </c>
      <c r="BG963" s="201">
        <f ca="1">BG917+BG940*Timeline!BG387</f>
        <v>0</v>
      </c>
      <c r="BH963" s="201">
        <f ca="1">BH917+BH940*Timeline!BH387</f>
        <v>0</v>
      </c>
      <c r="BI963" s="201">
        <f ca="1">BI917+BI940*Timeline!BI387</f>
        <v>0</v>
      </c>
      <c r="BJ963" s="201">
        <f>BJ917+BJ940*Timeline!BJ387</f>
        <v>0</v>
      </c>
      <c r="BL963" s="136"/>
      <c r="BM963" s="13">
        <f t="shared" ca="1" si="1098"/>
        <v>0</v>
      </c>
      <c r="BN963" s="13">
        <f t="shared" ca="1" si="1099"/>
        <v>0</v>
      </c>
      <c r="BO963" s="13">
        <f t="shared" si="1100"/>
        <v>0</v>
      </c>
      <c r="BP963" s="136"/>
      <c r="BQ963" s="136"/>
      <c r="BR963" s="136"/>
      <c r="BS963" s="136"/>
      <c r="BT963" s="136"/>
      <c r="BU963" s="136"/>
      <c r="BV963" s="136"/>
      <c r="BW963" s="136"/>
      <c r="BY963" s="12"/>
      <c r="BZ963" s="335"/>
      <c r="CA963" s="12"/>
      <c r="CB963" s="335"/>
      <c r="CC963" s="335"/>
      <c r="CD963" s="335"/>
      <c r="CE963" s="335"/>
      <c r="CM963" s="335"/>
      <c r="CN963" s="335"/>
      <c r="CO963" s="335"/>
      <c r="CP963" s="335"/>
      <c r="CR963" s="12"/>
      <c r="CT963" s="335"/>
      <c r="CU963" s="335"/>
      <c r="EW963" s="335"/>
      <c r="EX963" s="13" t="str">
        <f t="shared" ca="1" si="1101"/>
        <v>Amount Due Within One Year after Covenant Breach Adjustment Loan 19</v>
      </c>
    </row>
    <row r="964" spans="2:154" s="67" customFormat="1" x14ac:dyDescent="0.25">
      <c r="B964" s="84" t="str" cm="1">
        <f t="array" aca="1" ref="B964" ca="1">HYPERLINK(CONCATENATE("#",CELL("address",$D$408)),$D$408)</f>
        <v>Loan 20</v>
      </c>
      <c r="C964" s="340" t="s">
        <v>1352</v>
      </c>
      <c r="D964" s="60">
        <f>D$32</f>
        <v>0</v>
      </c>
      <c r="E964" s="221">
        <f>E$32</f>
        <v>0</v>
      </c>
      <c r="G964" s="9"/>
      <c r="H964" s="50" t="s">
        <v>125</v>
      </c>
      <c r="S964" s="335"/>
      <c r="T964" s="335"/>
      <c r="U964" s="335"/>
      <c r="V964" s="136"/>
      <c r="W964" s="201">
        <f t="shared" ca="1" si="1097"/>
        <v>0</v>
      </c>
      <c r="X964" s="201">
        <f t="shared" ca="1" si="1097"/>
        <v>0</v>
      </c>
      <c r="Y964" s="201">
        <f t="shared" si="1097"/>
        <v>0</v>
      </c>
      <c r="AA964" s="201">
        <f ca="1">AA918+AA941*Timeline!AA388</f>
        <v>0</v>
      </c>
      <c r="AB964" s="201">
        <f ca="1">AB918+AB941*Timeline!AB388</f>
        <v>0</v>
      </c>
      <c r="AC964" s="201">
        <f ca="1">AC918+AC941*Timeline!AC388</f>
        <v>0</v>
      </c>
      <c r="AD964" s="201">
        <f ca="1">AD918+AD941*Timeline!AD388</f>
        <v>0</v>
      </c>
      <c r="AE964" s="201">
        <f ca="1">AE918+AE941*Timeline!AE388</f>
        <v>0</v>
      </c>
      <c r="AF964" s="201">
        <f ca="1">AF918+AF941*Timeline!AF388</f>
        <v>0</v>
      </c>
      <c r="AG964" s="201">
        <f ca="1">AG918+AG941*Timeline!AG388</f>
        <v>0</v>
      </c>
      <c r="AH964" s="201">
        <f ca="1">AH918+AH941*Timeline!AH388</f>
        <v>0</v>
      </c>
      <c r="AI964" s="201">
        <f ca="1">AI918+AI941*Timeline!AI388</f>
        <v>0</v>
      </c>
      <c r="AJ964" s="201">
        <f ca="1">AJ918+AJ941*Timeline!AJ388</f>
        <v>0</v>
      </c>
      <c r="AK964" s="201">
        <f ca="1">AK918+AK941*Timeline!AK388</f>
        <v>0</v>
      </c>
      <c r="AL964" s="201">
        <f ca="1">AL918+AL941*Timeline!AL388</f>
        <v>0</v>
      </c>
      <c r="AM964" s="201">
        <f ca="1">AM918+AM941*Timeline!AM388</f>
        <v>0</v>
      </c>
      <c r="AN964" s="201">
        <f ca="1">AN918+AN941*Timeline!AN388</f>
        <v>0</v>
      </c>
      <c r="AO964" s="201">
        <f ca="1">AO918+AO941*Timeline!AO388</f>
        <v>0</v>
      </c>
      <c r="AP964" s="201">
        <f ca="1">AP918+AP941*Timeline!AP388</f>
        <v>0</v>
      </c>
      <c r="AQ964" s="201">
        <f ca="1">AQ918+AQ941*Timeline!AQ388</f>
        <v>0</v>
      </c>
      <c r="AR964" s="201">
        <f ca="1">AR918+AR941*Timeline!AR388</f>
        <v>0</v>
      </c>
      <c r="AS964" s="201">
        <f ca="1">AS918+AS941*Timeline!AS388</f>
        <v>0</v>
      </c>
      <c r="AT964" s="201">
        <f ca="1">AT918+AT941*Timeline!AT388</f>
        <v>0</v>
      </c>
      <c r="AU964" s="201">
        <f ca="1">AU918+AU941*Timeline!AU388</f>
        <v>0</v>
      </c>
      <c r="AV964" s="201">
        <f ca="1">AV918+AV941*Timeline!AV388</f>
        <v>0</v>
      </c>
      <c r="AW964" s="201">
        <f ca="1">AW918+AW941*Timeline!AW388</f>
        <v>0</v>
      </c>
      <c r="AX964" s="201">
        <f ca="1">AX918+AX941*Timeline!AX388</f>
        <v>0</v>
      </c>
      <c r="AY964" s="201">
        <f ca="1">AY918+AY941*Timeline!AY388</f>
        <v>0</v>
      </c>
      <c r="AZ964" s="201">
        <f ca="1">AZ918+AZ941*Timeline!AZ388</f>
        <v>0</v>
      </c>
      <c r="BA964" s="201">
        <f ca="1">BA918+BA941*Timeline!BA388</f>
        <v>0</v>
      </c>
      <c r="BB964" s="201">
        <f ca="1">BB918+BB941*Timeline!BB388</f>
        <v>0</v>
      </c>
      <c r="BC964" s="201">
        <f ca="1">BC918+BC941*Timeline!BC388</f>
        <v>0</v>
      </c>
      <c r="BD964" s="201">
        <f ca="1">BD918+BD941*Timeline!BD388</f>
        <v>0</v>
      </c>
      <c r="BE964" s="201">
        <f ca="1">BE918+BE941*Timeline!BE388</f>
        <v>0</v>
      </c>
      <c r="BF964" s="201">
        <f ca="1">BF918+BF941*Timeline!BF388</f>
        <v>0</v>
      </c>
      <c r="BG964" s="201">
        <f ca="1">BG918+BG941*Timeline!BG388</f>
        <v>0</v>
      </c>
      <c r="BH964" s="201">
        <f ca="1">BH918+BH941*Timeline!BH388</f>
        <v>0</v>
      </c>
      <c r="BI964" s="201">
        <f ca="1">BI918+BI941*Timeline!BI388</f>
        <v>0</v>
      </c>
      <c r="BJ964" s="201">
        <f>BJ918+BJ941*Timeline!BJ388</f>
        <v>0</v>
      </c>
      <c r="BL964" s="136"/>
      <c r="BM964" s="13">
        <f t="shared" ca="1" si="1098"/>
        <v>0</v>
      </c>
      <c r="BN964" s="13">
        <f t="shared" ca="1" si="1099"/>
        <v>0</v>
      </c>
      <c r="BO964" s="13">
        <f t="shared" si="1100"/>
        <v>0</v>
      </c>
      <c r="BP964" s="136"/>
      <c r="BQ964" s="136"/>
      <c r="BR964" s="136"/>
      <c r="BS964" s="136"/>
      <c r="BT964" s="136"/>
      <c r="BU964" s="136"/>
      <c r="BV964" s="136"/>
      <c r="BW964" s="136"/>
      <c r="BY964" s="12"/>
      <c r="BZ964" s="335"/>
      <c r="CA964" s="12"/>
      <c r="CB964" s="335"/>
      <c r="CC964" s="335"/>
      <c r="CD964" s="335"/>
      <c r="CE964" s="335"/>
      <c r="CM964" s="335"/>
      <c r="CN964" s="335"/>
      <c r="CO964" s="335"/>
      <c r="CP964" s="335"/>
      <c r="CR964" s="12"/>
      <c r="CT964" s="335"/>
      <c r="CU964" s="335"/>
      <c r="EW964" s="335"/>
      <c r="EX964" s="13" t="str">
        <f t="shared" ca="1" si="1101"/>
        <v>Amount Due Within One Year after Covenant Breach Adjustment Loan 20</v>
      </c>
    </row>
    <row r="965" spans="2:154" s="67" customFormat="1" ht="6.6" customHeight="1" x14ac:dyDescent="0.25">
      <c r="C965" s="380"/>
      <c r="D965" s="1"/>
      <c r="S965" s="335"/>
      <c r="T965" s="335"/>
      <c r="U965" s="335"/>
      <c r="V965" s="93"/>
      <c r="BM965" s="6"/>
      <c r="BY965" s="42"/>
      <c r="BZ965" s="335"/>
      <c r="CA965" s="42"/>
      <c r="CB965" s="335"/>
      <c r="CC965" s="335"/>
      <c r="CD965" s="335"/>
      <c r="CE965" s="335"/>
      <c r="CM965" s="335"/>
      <c r="CN965" s="335"/>
      <c r="CO965" s="335"/>
      <c r="CP965" s="335"/>
      <c r="CR965" s="42"/>
      <c r="CT965" s="335"/>
      <c r="CU965" s="335"/>
      <c r="EW965" s="335"/>
      <c r="EX965" s="10" t="str">
        <f t="shared" ref="EX965:EX1010" si="1102">IF($C965="","",$D965)</f>
        <v/>
      </c>
    </row>
    <row r="966" spans="2:154" s="67" customFormat="1" x14ac:dyDescent="0.25">
      <c r="C966" s="380"/>
      <c r="D966" s="61" t="str">
        <f>$D$50</f>
        <v>Loan Capital Repayment (as per loan agreement)</v>
      </c>
      <c r="S966" s="335"/>
      <c r="T966" s="335"/>
      <c r="U966" s="335"/>
      <c r="V966" s="93"/>
      <c r="BY966" s="12"/>
      <c r="BZ966" s="335"/>
      <c r="CA966" s="12"/>
      <c r="CB966" s="335"/>
      <c r="CC966" s="335"/>
      <c r="CD966" s="335"/>
      <c r="CE966" s="335"/>
      <c r="CM966" s="335"/>
      <c r="CN966" s="335"/>
      <c r="CO966" s="335"/>
      <c r="CP966" s="335"/>
      <c r="CR966" s="12"/>
      <c r="CT966" s="335"/>
      <c r="CU966" s="335"/>
      <c r="EW966" s="335"/>
      <c r="EX966" s="10" t="str">
        <f t="shared" si="1102"/>
        <v/>
      </c>
    </row>
    <row r="967" spans="2:154" s="67" customFormat="1" x14ac:dyDescent="0.25">
      <c r="B967" s="138" t="s">
        <v>551</v>
      </c>
      <c r="C967" s="380"/>
      <c r="D967" s="5" t="str">
        <f>D$11</f>
        <v>Lender</v>
      </c>
      <c r="E967" s="5" t="str">
        <f>E$11</f>
        <v>Loan Category</v>
      </c>
      <c r="S967" s="335"/>
      <c r="T967" s="335"/>
      <c r="U967" s="335"/>
      <c r="V967" s="93"/>
      <c r="AA967" s="335"/>
      <c r="BY967" s="12"/>
      <c r="BZ967" s="335"/>
      <c r="CA967" s="12"/>
      <c r="CB967" s="335"/>
      <c r="CC967" s="335"/>
      <c r="CD967" s="335"/>
      <c r="CE967" s="335"/>
      <c r="CM967" s="335"/>
      <c r="CN967" s="335"/>
      <c r="CO967" s="335"/>
      <c r="CP967" s="335"/>
      <c r="CR967" s="12"/>
      <c r="CT967" s="335"/>
      <c r="CU967" s="335"/>
      <c r="EW967" s="335"/>
      <c r="EX967" s="10" t="str">
        <f t="shared" si="1102"/>
        <v/>
      </c>
    </row>
    <row r="968" spans="2:154" s="67" customFormat="1" x14ac:dyDescent="0.25">
      <c r="B968" s="84" t="str" cm="1">
        <f t="array" aca="1" ref="B968" ca="1">HYPERLINK(CONCATENATE("#",CELL("address",$D$47)),$D$47)</f>
        <v>Loan 1</v>
      </c>
      <c r="C968" s="380"/>
      <c r="D968" s="60" t="str">
        <f>D$13</f>
        <v>NatWest</v>
      </c>
      <c r="E968" s="221" t="str">
        <f>E$13</f>
        <v xml:space="preserve">Commercial </v>
      </c>
      <c r="G968" s="9"/>
      <c r="H968" s="50" t="s">
        <v>157</v>
      </c>
      <c r="I968" s="65"/>
      <c r="S968" s="335"/>
      <c r="T968" s="335"/>
      <c r="U968" s="335"/>
      <c r="V968" s="201">
        <f>V$50</f>
        <v>0</v>
      </c>
      <c r="W968" s="10">
        <f>W$50</f>
        <v>-57</v>
      </c>
      <c r="X968" s="10">
        <f>X$50</f>
        <v>0</v>
      </c>
      <c r="Y968" s="10">
        <f>Y$50</f>
        <v>0</v>
      </c>
      <c r="AA968" s="201">
        <f t="shared" ref="AA968:BJ968" si="1103">AA$50</f>
        <v>-11</v>
      </c>
      <c r="AB968" s="10">
        <f t="shared" si="1103"/>
        <v>-11</v>
      </c>
      <c r="AC968" s="10">
        <f t="shared" si="1103"/>
        <v>-11</v>
      </c>
      <c r="AD968" s="10">
        <f t="shared" si="1103"/>
        <v>-11</v>
      </c>
      <c r="AE968" s="10">
        <f t="shared" si="1103"/>
        <v>-11</v>
      </c>
      <c r="AF968" s="10">
        <f t="shared" si="1103"/>
        <v>-2</v>
      </c>
      <c r="AG968" s="10">
        <f t="shared" si="1103"/>
        <v>0</v>
      </c>
      <c r="AH968" s="10">
        <f t="shared" si="1103"/>
        <v>0</v>
      </c>
      <c r="AI968" s="201">
        <f t="shared" si="1103"/>
        <v>0</v>
      </c>
      <c r="AJ968" s="10">
        <f t="shared" si="1103"/>
        <v>0</v>
      </c>
      <c r="AK968" s="10">
        <f t="shared" si="1103"/>
        <v>0</v>
      </c>
      <c r="AL968" s="10">
        <f t="shared" si="1103"/>
        <v>0</v>
      </c>
      <c r="AM968" s="201">
        <f t="shared" si="1103"/>
        <v>0</v>
      </c>
      <c r="AN968" s="10">
        <f t="shared" si="1103"/>
        <v>0</v>
      </c>
      <c r="AO968" s="10">
        <f t="shared" si="1103"/>
        <v>0</v>
      </c>
      <c r="AP968" s="10">
        <f t="shared" si="1103"/>
        <v>0</v>
      </c>
      <c r="AQ968" s="10">
        <f t="shared" si="1103"/>
        <v>0</v>
      </c>
      <c r="AR968" s="10">
        <f t="shared" si="1103"/>
        <v>0</v>
      </c>
      <c r="AS968" s="10">
        <f t="shared" si="1103"/>
        <v>0</v>
      </c>
      <c r="AT968" s="10">
        <f t="shared" si="1103"/>
        <v>0</v>
      </c>
      <c r="AU968" s="10">
        <f t="shared" si="1103"/>
        <v>0</v>
      </c>
      <c r="AV968" s="10">
        <f t="shared" si="1103"/>
        <v>0</v>
      </c>
      <c r="AW968" s="10">
        <f t="shared" si="1103"/>
        <v>0</v>
      </c>
      <c r="AX968" s="10">
        <f t="shared" si="1103"/>
        <v>0</v>
      </c>
      <c r="AY968" s="10">
        <f t="shared" si="1103"/>
        <v>0</v>
      </c>
      <c r="AZ968" s="10">
        <f t="shared" si="1103"/>
        <v>0</v>
      </c>
      <c r="BA968" s="10">
        <f t="shared" si="1103"/>
        <v>0</v>
      </c>
      <c r="BB968" s="10">
        <f t="shared" si="1103"/>
        <v>0</v>
      </c>
      <c r="BC968" s="10">
        <f t="shared" si="1103"/>
        <v>0</v>
      </c>
      <c r="BD968" s="10">
        <f t="shared" si="1103"/>
        <v>0</v>
      </c>
      <c r="BE968" s="10">
        <f t="shared" si="1103"/>
        <v>0</v>
      </c>
      <c r="BF968" s="10">
        <f t="shared" si="1103"/>
        <v>0</v>
      </c>
      <c r="BG968" s="10">
        <f t="shared" si="1103"/>
        <v>0</v>
      </c>
      <c r="BH968" s="10">
        <f t="shared" si="1103"/>
        <v>0</v>
      </c>
      <c r="BI968" s="10">
        <f t="shared" si="1103"/>
        <v>0</v>
      </c>
      <c r="BJ968" s="10">
        <f t="shared" si="1103"/>
        <v>0</v>
      </c>
      <c r="BL968" s="10">
        <f t="shared" ref="BL968:BW968" si="1104">BL$50</f>
        <v>0</v>
      </c>
      <c r="BM968" s="10">
        <f t="shared" si="1104"/>
        <v>-57</v>
      </c>
      <c r="BN968" s="10">
        <f t="shared" si="1104"/>
        <v>0</v>
      </c>
      <c r="BO968" s="10">
        <f t="shared" si="1104"/>
        <v>0</v>
      </c>
      <c r="BP968" s="10">
        <f>BP$50</f>
        <v>0</v>
      </c>
      <c r="BQ968" s="10">
        <f t="shared" si="1104"/>
        <v>0</v>
      </c>
      <c r="BR968" s="10">
        <f t="shared" si="1104"/>
        <v>0</v>
      </c>
      <c r="BS968" s="10">
        <f t="shared" si="1104"/>
        <v>0</v>
      </c>
      <c r="BT968" s="10">
        <f t="shared" si="1104"/>
        <v>0</v>
      </c>
      <c r="BU968" s="10">
        <f t="shared" si="1104"/>
        <v>0</v>
      </c>
      <c r="BV968" s="10">
        <f t="shared" si="1104"/>
        <v>0</v>
      </c>
      <c r="BW968" s="10">
        <f t="shared" si="1104"/>
        <v>0</v>
      </c>
      <c r="BY968" s="12"/>
      <c r="BZ968" s="335"/>
      <c r="CA968" s="12"/>
      <c r="CB968" s="335"/>
      <c r="CC968" s="335"/>
      <c r="CD968" s="335"/>
      <c r="CE968" s="335"/>
      <c r="CM968" s="335"/>
      <c r="CN968" s="335"/>
      <c r="CO968" s="335"/>
      <c r="CP968" s="335"/>
      <c r="CR968" s="12"/>
      <c r="CT968" s="335"/>
      <c r="CU968" s="335"/>
      <c r="EW968" s="335"/>
      <c r="EX968" s="10" t="str">
        <f t="shared" si="1102"/>
        <v/>
      </c>
    </row>
    <row r="969" spans="2:154" s="67" customFormat="1" x14ac:dyDescent="0.25">
      <c r="B969" s="84" t="str" cm="1">
        <f t="array" aca="1" ref="B969" ca="1">HYPERLINK(CONCATENATE("#",CELL("address",$D$66)),$D$66)</f>
        <v>Loan 2</v>
      </c>
      <c r="C969" s="380"/>
      <c r="D969" s="60" t="str">
        <f>D$14</f>
        <v>NatWest</v>
      </c>
      <c r="E969" s="221" t="str">
        <f>E$14</f>
        <v xml:space="preserve">Commercial </v>
      </c>
      <c r="G969" s="9"/>
      <c r="H969" s="50" t="s">
        <v>157</v>
      </c>
      <c r="S969" s="335"/>
      <c r="T969" s="335"/>
      <c r="U969" s="335"/>
      <c r="V969" s="201">
        <f>V$69</f>
        <v>0</v>
      </c>
      <c r="W969" s="10">
        <f>W$69</f>
        <v>-89</v>
      </c>
      <c r="X969" s="10">
        <f>X$69</f>
        <v>-89</v>
      </c>
      <c r="Y969" s="10">
        <f>Y$69</f>
        <v>-89</v>
      </c>
      <c r="AA969" s="10">
        <f t="shared" ref="AA969:BJ969" si="1105">AA$69</f>
        <v>-8</v>
      </c>
      <c r="AB969" s="10">
        <f t="shared" si="1105"/>
        <v>-8</v>
      </c>
      <c r="AC969" s="10">
        <f t="shared" si="1105"/>
        <v>-8</v>
      </c>
      <c r="AD969" s="10">
        <f t="shared" si="1105"/>
        <v>-8</v>
      </c>
      <c r="AE969" s="10">
        <f t="shared" si="1105"/>
        <v>-8</v>
      </c>
      <c r="AF969" s="10">
        <f t="shared" si="1105"/>
        <v>-7</v>
      </c>
      <c r="AG969" s="10">
        <f t="shared" si="1105"/>
        <v>-7</v>
      </c>
      <c r="AH969" s="10">
        <f t="shared" si="1105"/>
        <v>-7</v>
      </c>
      <c r="AI969" s="10">
        <f t="shared" si="1105"/>
        <v>-7</v>
      </c>
      <c r="AJ969" s="10">
        <f t="shared" si="1105"/>
        <v>-7</v>
      </c>
      <c r="AK969" s="10">
        <f t="shared" si="1105"/>
        <v>-7</v>
      </c>
      <c r="AL969" s="10">
        <f t="shared" si="1105"/>
        <v>-7</v>
      </c>
      <c r="AM969" s="10">
        <f t="shared" si="1105"/>
        <v>-8</v>
      </c>
      <c r="AN969" s="10">
        <f t="shared" si="1105"/>
        <v>-8</v>
      </c>
      <c r="AO969" s="10">
        <f t="shared" si="1105"/>
        <v>-8</v>
      </c>
      <c r="AP969" s="10">
        <f t="shared" si="1105"/>
        <v>-8</v>
      </c>
      <c r="AQ969" s="10">
        <f t="shared" si="1105"/>
        <v>-8</v>
      </c>
      <c r="AR969" s="10">
        <f t="shared" si="1105"/>
        <v>-7</v>
      </c>
      <c r="AS969" s="10">
        <f t="shared" si="1105"/>
        <v>-7</v>
      </c>
      <c r="AT969" s="10">
        <f t="shared" si="1105"/>
        <v>-7</v>
      </c>
      <c r="AU969" s="10">
        <f t="shared" si="1105"/>
        <v>-7</v>
      </c>
      <c r="AV969" s="10">
        <f t="shared" si="1105"/>
        <v>-7</v>
      </c>
      <c r="AW969" s="10">
        <f t="shared" si="1105"/>
        <v>-7</v>
      </c>
      <c r="AX969" s="10">
        <f t="shared" si="1105"/>
        <v>-7</v>
      </c>
      <c r="AY969" s="10">
        <f t="shared" si="1105"/>
        <v>-8</v>
      </c>
      <c r="AZ969" s="10">
        <f t="shared" si="1105"/>
        <v>-8</v>
      </c>
      <c r="BA969" s="10">
        <f t="shared" si="1105"/>
        <v>-8</v>
      </c>
      <c r="BB969" s="10">
        <f t="shared" si="1105"/>
        <v>-8</v>
      </c>
      <c r="BC969" s="10">
        <f t="shared" si="1105"/>
        <v>-8</v>
      </c>
      <c r="BD969" s="10">
        <f t="shared" si="1105"/>
        <v>-7</v>
      </c>
      <c r="BE969" s="10">
        <f t="shared" si="1105"/>
        <v>-7</v>
      </c>
      <c r="BF969" s="10">
        <f t="shared" si="1105"/>
        <v>-7</v>
      </c>
      <c r="BG969" s="10">
        <f t="shared" si="1105"/>
        <v>-7</v>
      </c>
      <c r="BH969" s="10">
        <f t="shared" si="1105"/>
        <v>-7</v>
      </c>
      <c r="BI969" s="10">
        <f t="shared" si="1105"/>
        <v>-7</v>
      </c>
      <c r="BJ969" s="10">
        <f t="shared" si="1105"/>
        <v>-7</v>
      </c>
      <c r="BL969" s="10">
        <f t="shared" ref="BL969:BW969" si="1106">BL$69</f>
        <v>0</v>
      </c>
      <c r="BM969" s="10">
        <f t="shared" si="1106"/>
        <v>-89</v>
      </c>
      <c r="BN969" s="10">
        <f t="shared" si="1106"/>
        <v>-89</v>
      </c>
      <c r="BO969" s="10">
        <f t="shared" si="1106"/>
        <v>-89</v>
      </c>
      <c r="BP969" s="10">
        <f t="shared" si="1106"/>
        <v>0</v>
      </c>
      <c r="BQ969" s="10">
        <f t="shared" si="1106"/>
        <v>0</v>
      </c>
      <c r="BR969" s="10">
        <f t="shared" si="1106"/>
        <v>0</v>
      </c>
      <c r="BS969" s="10">
        <f t="shared" si="1106"/>
        <v>0</v>
      </c>
      <c r="BT969" s="10">
        <f t="shared" si="1106"/>
        <v>0</v>
      </c>
      <c r="BU969" s="10">
        <f t="shared" si="1106"/>
        <v>0</v>
      </c>
      <c r="BV969" s="10">
        <f t="shared" si="1106"/>
        <v>0</v>
      </c>
      <c r="BW969" s="10">
        <f t="shared" si="1106"/>
        <v>0</v>
      </c>
      <c r="BY969" s="12"/>
      <c r="BZ969" s="335"/>
      <c r="CA969" s="12"/>
      <c r="CB969" s="335"/>
      <c r="CC969" s="335"/>
      <c r="CD969" s="335"/>
      <c r="CE969" s="335"/>
      <c r="CM969" s="335"/>
      <c r="CN969" s="335"/>
      <c r="CO969" s="335"/>
      <c r="CP969" s="335"/>
      <c r="CR969" s="12"/>
      <c r="CT969" s="335"/>
      <c r="CU969" s="335"/>
      <c r="EW969" s="335"/>
      <c r="EX969" s="10" t="str">
        <f t="shared" si="1102"/>
        <v/>
      </c>
    </row>
    <row r="970" spans="2:154" s="67" customFormat="1" x14ac:dyDescent="0.25">
      <c r="B970" s="84" t="str" cm="1">
        <f t="array" aca="1" ref="B970" ca="1">HYPERLINK(CONCATENATE("#",CELL("address",$D$85)),$D$85)</f>
        <v>Loan 3</v>
      </c>
      <c r="C970" s="380"/>
      <c r="D970" s="60" t="str">
        <f>D$15</f>
        <v>NatWest</v>
      </c>
      <c r="E970" s="221" t="str">
        <f>E$15</f>
        <v xml:space="preserve">Commercial </v>
      </c>
      <c r="G970" s="9"/>
      <c r="H970" s="50" t="s">
        <v>157</v>
      </c>
      <c r="S970" s="335"/>
      <c r="T970" s="335"/>
      <c r="U970" s="335"/>
      <c r="V970" s="201">
        <f>V$88</f>
        <v>0</v>
      </c>
      <c r="W970" s="10">
        <f>W$88</f>
        <v>-69</v>
      </c>
      <c r="X970" s="10">
        <f>X$88</f>
        <v>-69</v>
      </c>
      <c r="Y970" s="10">
        <f>Y$88</f>
        <v>-69</v>
      </c>
      <c r="AA970" s="10">
        <f t="shared" ref="AA970:BJ970" si="1107">AA$88</f>
        <v>-5</v>
      </c>
      <c r="AB970" s="10">
        <f t="shared" si="1107"/>
        <v>-5</v>
      </c>
      <c r="AC970" s="10">
        <f t="shared" si="1107"/>
        <v>-5</v>
      </c>
      <c r="AD970" s="10">
        <f t="shared" si="1107"/>
        <v>-6</v>
      </c>
      <c r="AE970" s="10">
        <f t="shared" si="1107"/>
        <v>-6</v>
      </c>
      <c r="AF970" s="10">
        <f t="shared" si="1107"/>
        <v>-6</v>
      </c>
      <c r="AG970" s="10">
        <f t="shared" si="1107"/>
        <v>-6</v>
      </c>
      <c r="AH970" s="10">
        <f t="shared" si="1107"/>
        <v>-6</v>
      </c>
      <c r="AI970" s="10">
        <f t="shared" si="1107"/>
        <v>-6</v>
      </c>
      <c r="AJ970" s="10">
        <f t="shared" si="1107"/>
        <v>-6</v>
      </c>
      <c r="AK970" s="10">
        <f t="shared" si="1107"/>
        <v>-6</v>
      </c>
      <c r="AL970" s="10">
        <f t="shared" si="1107"/>
        <v>-6</v>
      </c>
      <c r="AM970" s="10">
        <f t="shared" si="1107"/>
        <v>-5</v>
      </c>
      <c r="AN970" s="10">
        <f t="shared" si="1107"/>
        <v>-5</v>
      </c>
      <c r="AO970" s="10">
        <f t="shared" si="1107"/>
        <v>-5</v>
      </c>
      <c r="AP970" s="10">
        <f t="shared" si="1107"/>
        <v>-6</v>
      </c>
      <c r="AQ970" s="10">
        <f t="shared" si="1107"/>
        <v>-6</v>
      </c>
      <c r="AR970" s="10">
        <f t="shared" si="1107"/>
        <v>-6</v>
      </c>
      <c r="AS970" s="10">
        <f t="shared" si="1107"/>
        <v>-6</v>
      </c>
      <c r="AT970" s="10">
        <f t="shared" si="1107"/>
        <v>-6</v>
      </c>
      <c r="AU970" s="10">
        <f t="shared" si="1107"/>
        <v>-6</v>
      </c>
      <c r="AV970" s="10">
        <f t="shared" si="1107"/>
        <v>-6</v>
      </c>
      <c r="AW970" s="10">
        <f t="shared" si="1107"/>
        <v>-6</v>
      </c>
      <c r="AX970" s="10">
        <f t="shared" si="1107"/>
        <v>-6</v>
      </c>
      <c r="AY970" s="10">
        <f t="shared" si="1107"/>
        <v>-5</v>
      </c>
      <c r="AZ970" s="10">
        <f t="shared" si="1107"/>
        <v>-5</v>
      </c>
      <c r="BA970" s="10">
        <f t="shared" si="1107"/>
        <v>-5</v>
      </c>
      <c r="BB970" s="10">
        <f t="shared" si="1107"/>
        <v>-6</v>
      </c>
      <c r="BC970" s="10">
        <f t="shared" si="1107"/>
        <v>-6</v>
      </c>
      <c r="BD970" s="10">
        <f t="shared" si="1107"/>
        <v>-6</v>
      </c>
      <c r="BE970" s="10">
        <f t="shared" si="1107"/>
        <v>-6</v>
      </c>
      <c r="BF970" s="10">
        <f t="shared" si="1107"/>
        <v>-6</v>
      </c>
      <c r="BG970" s="10">
        <f t="shared" si="1107"/>
        <v>-6</v>
      </c>
      <c r="BH970" s="10">
        <f t="shared" si="1107"/>
        <v>-6</v>
      </c>
      <c r="BI970" s="10">
        <f t="shared" si="1107"/>
        <v>-6</v>
      </c>
      <c r="BJ970" s="10">
        <f t="shared" si="1107"/>
        <v>-6</v>
      </c>
      <c r="BL970" s="10">
        <f t="shared" ref="BL970:BW970" si="1108">BL$88</f>
        <v>0</v>
      </c>
      <c r="BM970" s="10">
        <f t="shared" si="1108"/>
        <v>-69</v>
      </c>
      <c r="BN970" s="10">
        <f t="shared" si="1108"/>
        <v>-69</v>
      </c>
      <c r="BO970" s="10">
        <f t="shared" si="1108"/>
        <v>-69</v>
      </c>
      <c r="BP970" s="10">
        <f t="shared" si="1108"/>
        <v>0</v>
      </c>
      <c r="BQ970" s="10">
        <f t="shared" si="1108"/>
        <v>0</v>
      </c>
      <c r="BR970" s="10">
        <f t="shared" si="1108"/>
        <v>0</v>
      </c>
      <c r="BS970" s="10">
        <f t="shared" si="1108"/>
        <v>0</v>
      </c>
      <c r="BT970" s="10">
        <f t="shared" si="1108"/>
        <v>0</v>
      </c>
      <c r="BU970" s="10">
        <f t="shared" si="1108"/>
        <v>0</v>
      </c>
      <c r="BV970" s="10">
        <f t="shared" si="1108"/>
        <v>0</v>
      </c>
      <c r="BW970" s="10">
        <f t="shared" si="1108"/>
        <v>0</v>
      </c>
      <c r="BY970" s="12"/>
      <c r="BZ970" s="335"/>
      <c r="CA970" s="12"/>
      <c r="CB970" s="335"/>
      <c r="CC970" s="335"/>
      <c r="CD970" s="335"/>
      <c r="CE970" s="335"/>
      <c r="CM970" s="335"/>
      <c r="CN970" s="335"/>
      <c r="CO970" s="335"/>
      <c r="CP970" s="335"/>
      <c r="CR970" s="12"/>
      <c r="CT970" s="335"/>
      <c r="CU970" s="335"/>
      <c r="EW970" s="335"/>
      <c r="EX970" s="10" t="str">
        <f t="shared" si="1102"/>
        <v/>
      </c>
    </row>
    <row r="971" spans="2:154" s="67" customFormat="1" x14ac:dyDescent="0.25">
      <c r="B971" s="84" t="str" cm="1">
        <f t="array" aca="1" ref="B971" ca="1">HYPERLINK(CONCATENATE("#",CELL("address",$D$104)),$D$104)</f>
        <v>Loan 4</v>
      </c>
      <c r="C971" s="380"/>
      <c r="D971" s="60" t="str">
        <f>D$16</f>
        <v>NatWest</v>
      </c>
      <c r="E971" s="221" t="str">
        <f>E$16</f>
        <v xml:space="preserve">Commercial </v>
      </c>
      <c r="G971" s="9"/>
      <c r="H971" s="50" t="s">
        <v>157</v>
      </c>
      <c r="S971" s="335"/>
      <c r="T971" s="335"/>
      <c r="U971" s="335"/>
      <c r="V971" s="201">
        <f>V$107</f>
        <v>0</v>
      </c>
      <c r="W971" s="10">
        <f>W$107</f>
        <v>-62</v>
      </c>
      <c r="X971" s="10">
        <f>X$107</f>
        <v>-62</v>
      </c>
      <c r="Y971" s="10">
        <f>Y$107</f>
        <v>-62</v>
      </c>
      <c r="AA971" s="10">
        <f t="shared" ref="AA971:BJ971" si="1109">AA$107</f>
        <v>-15</v>
      </c>
      <c r="AB971" s="10">
        <f t="shared" si="1109"/>
        <v>0</v>
      </c>
      <c r="AC971" s="10">
        <f t="shared" si="1109"/>
        <v>0</v>
      </c>
      <c r="AD971" s="10">
        <f t="shared" si="1109"/>
        <v>-15</v>
      </c>
      <c r="AE971" s="10">
        <f t="shared" si="1109"/>
        <v>0</v>
      </c>
      <c r="AF971" s="10">
        <f t="shared" si="1109"/>
        <v>0</v>
      </c>
      <c r="AG971" s="10">
        <f t="shared" si="1109"/>
        <v>-16</v>
      </c>
      <c r="AH971" s="10">
        <f t="shared" si="1109"/>
        <v>0</v>
      </c>
      <c r="AI971" s="10">
        <f t="shared" si="1109"/>
        <v>0</v>
      </c>
      <c r="AJ971" s="10">
        <f t="shared" si="1109"/>
        <v>-16</v>
      </c>
      <c r="AK971" s="10">
        <f t="shared" si="1109"/>
        <v>0</v>
      </c>
      <c r="AL971" s="10">
        <f t="shared" si="1109"/>
        <v>0</v>
      </c>
      <c r="AM971" s="10">
        <f t="shared" si="1109"/>
        <v>-15</v>
      </c>
      <c r="AN971" s="10">
        <f t="shared" si="1109"/>
        <v>0</v>
      </c>
      <c r="AO971" s="10">
        <f t="shared" si="1109"/>
        <v>0</v>
      </c>
      <c r="AP971" s="10">
        <f t="shared" si="1109"/>
        <v>-15</v>
      </c>
      <c r="AQ971" s="10">
        <f t="shared" si="1109"/>
        <v>0</v>
      </c>
      <c r="AR971" s="10">
        <f t="shared" si="1109"/>
        <v>0</v>
      </c>
      <c r="AS971" s="10">
        <f t="shared" si="1109"/>
        <v>-16</v>
      </c>
      <c r="AT971" s="10">
        <f t="shared" si="1109"/>
        <v>0</v>
      </c>
      <c r="AU971" s="10">
        <f t="shared" si="1109"/>
        <v>0</v>
      </c>
      <c r="AV971" s="10">
        <f t="shared" si="1109"/>
        <v>-16</v>
      </c>
      <c r="AW971" s="10">
        <f t="shared" si="1109"/>
        <v>0</v>
      </c>
      <c r="AX971" s="10">
        <f t="shared" si="1109"/>
        <v>0</v>
      </c>
      <c r="AY971" s="10">
        <f t="shared" si="1109"/>
        <v>-15</v>
      </c>
      <c r="AZ971" s="10">
        <f t="shared" si="1109"/>
        <v>0</v>
      </c>
      <c r="BA971" s="10">
        <f t="shared" si="1109"/>
        <v>0</v>
      </c>
      <c r="BB971" s="10">
        <f t="shared" si="1109"/>
        <v>-15</v>
      </c>
      <c r="BC971" s="10">
        <f t="shared" si="1109"/>
        <v>0</v>
      </c>
      <c r="BD971" s="10">
        <f t="shared" si="1109"/>
        <v>0</v>
      </c>
      <c r="BE971" s="10">
        <f t="shared" si="1109"/>
        <v>-16</v>
      </c>
      <c r="BF971" s="10">
        <f t="shared" si="1109"/>
        <v>0</v>
      </c>
      <c r="BG971" s="10">
        <f t="shared" si="1109"/>
        <v>0</v>
      </c>
      <c r="BH971" s="10">
        <f t="shared" si="1109"/>
        <v>-16</v>
      </c>
      <c r="BI971" s="10">
        <f t="shared" si="1109"/>
        <v>0</v>
      </c>
      <c r="BJ971" s="10">
        <f t="shared" si="1109"/>
        <v>0</v>
      </c>
      <c r="BL971" s="10">
        <f t="shared" ref="BL971:BW971" si="1110">BL$107</f>
        <v>0</v>
      </c>
      <c r="BM971" s="10">
        <f t="shared" si="1110"/>
        <v>-62</v>
      </c>
      <c r="BN971" s="10">
        <f t="shared" si="1110"/>
        <v>-62</v>
      </c>
      <c r="BO971" s="10">
        <f t="shared" si="1110"/>
        <v>-62</v>
      </c>
      <c r="BP971" s="10">
        <f t="shared" si="1110"/>
        <v>0</v>
      </c>
      <c r="BQ971" s="10">
        <f t="shared" si="1110"/>
        <v>0</v>
      </c>
      <c r="BR971" s="10">
        <f t="shared" si="1110"/>
        <v>0</v>
      </c>
      <c r="BS971" s="10">
        <f t="shared" si="1110"/>
        <v>0</v>
      </c>
      <c r="BT971" s="10">
        <f t="shared" si="1110"/>
        <v>0</v>
      </c>
      <c r="BU971" s="10">
        <f t="shared" si="1110"/>
        <v>0</v>
      </c>
      <c r="BV971" s="10">
        <f t="shared" si="1110"/>
        <v>0</v>
      </c>
      <c r="BW971" s="10">
        <f t="shared" si="1110"/>
        <v>0</v>
      </c>
      <c r="BY971" s="12"/>
      <c r="BZ971" s="335"/>
      <c r="CA971" s="12"/>
      <c r="CB971" s="335"/>
      <c r="CC971" s="335"/>
      <c r="CD971" s="335"/>
      <c r="CE971" s="335"/>
      <c r="CM971" s="335"/>
      <c r="CN971" s="335"/>
      <c r="CO971" s="335"/>
      <c r="CP971" s="335"/>
      <c r="CR971" s="12"/>
      <c r="CT971" s="335"/>
      <c r="CU971" s="335"/>
      <c r="EW971" s="335"/>
      <c r="EX971" s="10" t="str">
        <f t="shared" si="1102"/>
        <v/>
      </c>
    </row>
    <row r="972" spans="2:154" s="67" customFormat="1" x14ac:dyDescent="0.25">
      <c r="B972" s="84" t="str" cm="1">
        <f t="array" aca="1" ref="B972" ca="1">HYPERLINK(CONCATENATE("#",CELL("address",$D$123)),$D$123)</f>
        <v>Loan 5</v>
      </c>
      <c r="C972" s="380"/>
      <c r="D972" s="60" t="str">
        <f>D$17</f>
        <v>NatWest</v>
      </c>
      <c r="E972" s="221" t="str">
        <f>E$17</f>
        <v xml:space="preserve">Commercial </v>
      </c>
      <c r="G972" s="9"/>
      <c r="H972" s="50" t="s">
        <v>157</v>
      </c>
      <c r="S972" s="335"/>
      <c r="T972" s="335"/>
      <c r="U972" s="335"/>
      <c r="V972" s="201">
        <f>V$126</f>
        <v>0</v>
      </c>
      <c r="W972" s="10">
        <f>W$126</f>
        <v>-64</v>
      </c>
      <c r="X972" s="10">
        <f>X$126</f>
        <v>-64</v>
      </c>
      <c r="Y972" s="10">
        <f>Y$126</f>
        <v>-64</v>
      </c>
      <c r="AA972" s="10">
        <f t="shared" ref="AA972:BJ972" si="1111">AA$126</f>
        <v>-16</v>
      </c>
      <c r="AB972" s="10">
        <f t="shared" si="1111"/>
        <v>0</v>
      </c>
      <c r="AC972" s="10">
        <f t="shared" si="1111"/>
        <v>0</v>
      </c>
      <c r="AD972" s="10">
        <f t="shared" si="1111"/>
        <v>-16</v>
      </c>
      <c r="AE972" s="10">
        <f t="shared" si="1111"/>
        <v>0</v>
      </c>
      <c r="AF972" s="10">
        <f t="shared" si="1111"/>
        <v>0</v>
      </c>
      <c r="AG972" s="10">
        <f t="shared" si="1111"/>
        <v>-16</v>
      </c>
      <c r="AH972" s="10">
        <f t="shared" si="1111"/>
        <v>0</v>
      </c>
      <c r="AI972" s="10">
        <f t="shared" si="1111"/>
        <v>0</v>
      </c>
      <c r="AJ972" s="10">
        <f t="shared" si="1111"/>
        <v>-16</v>
      </c>
      <c r="AK972" s="10">
        <f t="shared" si="1111"/>
        <v>0</v>
      </c>
      <c r="AL972" s="10">
        <f t="shared" si="1111"/>
        <v>0</v>
      </c>
      <c r="AM972" s="10">
        <f t="shared" si="1111"/>
        <v>-16</v>
      </c>
      <c r="AN972" s="10">
        <f t="shared" si="1111"/>
        <v>0</v>
      </c>
      <c r="AO972" s="10">
        <f t="shared" si="1111"/>
        <v>0</v>
      </c>
      <c r="AP972" s="10">
        <f t="shared" si="1111"/>
        <v>-16</v>
      </c>
      <c r="AQ972" s="10">
        <f t="shared" si="1111"/>
        <v>0</v>
      </c>
      <c r="AR972" s="10">
        <f t="shared" si="1111"/>
        <v>0</v>
      </c>
      <c r="AS972" s="10">
        <f t="shared" si="1111"/>
        <v>-16</v>
      </c>
      <c r="AT972" s="10">
        <f t="shared" si="1111"/>
        <v>0</v>
      </c>
      <c r="AU972" s="10">
        <f t="shared" si="1111"/>
        <v>0</v>
      </c>
      <c r="AV972" s="10">
        <f t="shared" si="1111"/>
        <v>-16</v>
      </c>
      <c r="AW972" s="10">
        <f t="shared" si="1111"/>
        <v>0</v>
      </c>
      <c r="AX972" s="10">
        <f t="shared" si="1111"/>
        <v>0</v>
      </c>
      <c r="AY972" s="10">
        <f t="shared" si="1111"/>
        <v>-16</v>
      </c>
      <c r="AZ972" s="10">
        <f t="shared" si="1111"/>
        <v>0</v>
      </c>
      <c r="BA972" s="10">
        <f t="shared" si="1111"/>
        <v>0</v>
      </c>
      <c r="BB972" s="10">
        <f t="shared" si="1111"/>
        <v>-16</v>
      </c>
      <c r="BC972" s="10">
        <f t="shared" si="1111"/>
        <v>0</v>
      </c>
      <c r="BD972" s="10">
        <f t="shared" si="1111"/>
        <v>0</v>
      </c>
      <c r="BE972" s="10">
        <f t="shared" si="1111"/>
        <v>-16</v>
      </c>
      <c r="BF972" s="10">
        <f t="shared" si="1111"/>
        <v>0</v>
      </c>
      <c r="BG972" s="10">
        <f t="shared" si="1111"/>
        <v>0</v>
      </c>
      <c r="BH972" s="10">
        <f t="shared" si="1111"/>
        <v>-16</v>
      </c>
      <c r="BI972" s="10">
        <f t="shared" si="1111"/>
        <v>0</v>
      </c>
      <c r="BJ972" s="10">
        <f t="shared" si="1111"/>
        <v>0</v>
      </c>
      <c r="BL972" s="10">
        <f t="shared" ref="BL972:BW972" si="1112">BL$126</f>
        <v>0</v>
      </c>
      <c r="BM972" s="10">
        <f t="shared" si="1112"/>
        <v>-64</v>
      </c>
      <c r="BN972" s="10">
        <f t="shared" si="1112"/>
        <v>-64</v>
      </c>
      <c r="BO972" s="10">
        <f t="shared" si="1112"/>
        <v>-64</v>
      </c>
      <c r="BP972" s="10">
        <f t="shared" si="1112"/>
        <v>0</v>
      </c>
      <c r="BQ972" s="10">
        <f t="shared" si="1112"/>
        <v>0</v>
      </c>
      <c r="BR972" s="10">
        <f t="shared" si="1112"/>
        <v>0</v>
      </c>
      <c r="BS972" s="10">
        <f t="shared" si="1112"/>
        <v>0</v>
      </c>
      <c r="BT972" s="10">
        <f t="shared" si="1112"/>
        <v>0</v>
      </c>
      <c r="BU972" s="10">
        <f t="shared" si="1112"/>
        <v>0</v>
      </c>
      <c r="BV972" s="10">
        <f t="shared" si="1112"/>
        <v>0</v>
      </c>
      <c r="BW972" s="10">
        <f t="shared" si="1112"/>
        <v>0</v>
      </c>
      <c r="BY972" s="12"/>
      <c r="BZ972" s="335"/>
      <c r="CA972" s="12"/>
      <c r="CB972" s="335"/>
      <c r="CC972" s="335"/>
      <c r="CD972" s="335"/>
      <c r="CE972" s="335"/>
      <c r="CM972" s="335"/>
      <c r="CN972" s="335"/>
      <c r="CO972" s="335"/>
      <c r="CP972" s="335"/>
      <c r="CR972" s="12"/>
      <c r="CT972" s="335"/>
      <c r="CU972" s="335"/>
      <c r="EW972" s="335"/>
      <c r="EX972" s="10" t="str">
        <f t="shared" si="1102"/>
        <v/>
      </c>
    </row>
    <row r="973" spans="2:154" s="67" customFormat="1" x14ac:dyDescent="0.25">
      <c r="B973" s="84" t="str" cm="1">
        <f t="array" aca="1" ref="B973" ca="1">HYPERLINK(CONCATENATE("#",CELL("address",$D$142)),$D$142)</f>
        <v>Loan 6</v>
      </c>
      <c r="C973" s="380"/>
      <c r="D973" s="60">
        <f>D$18</f>
        <v>0</v>
      </c>
      <c r="E973" s="221">
        <f>E$18</f>
        <v>0</v>
      </c>
      <c r="G973" s="9"/>
      <c r="H973" s="50" t="s">
        <v>157</v>
      </c>
      <c r="S973" s="335"/>
      <c r="T973" s="335"/>
      <c r="U973" s="335"/>
      <c r="V973" s="201">
        <f>V$145</f>
        <v>0</v>
      </c>
      <c r="W973" s="10">
        <f>W$145</f>
        <v>0</v>
      </c>
      <c r="X973" s="10">
        <f>X$145</f>
        <v>0</v>
      </c>
      <c r="Y973" s="10">
        <f>Y$145</f>
        <v>0</v>
      </c>
      <c r="AA973" s="10">
        <f t="shared" ref="AA973:BJ973" si="1113">AA$145</f>
        <v>0</v>
      </c>
      <c r="AB973" s="10">
        <f t="shared" si="1113"/>
        <v>0</v>
      </c>
      <c r="AC973" s="10">
        <f t="shared" si="1113"/>
        <v>0</v>
      </c>
      <c r="AD973" s="10">
        <f t="shared" si="1113"/>
        <v>0</v>
      </c>
      <c r="AE973" s="10">
        <f t="shared" si="1113"/>
        <v>0</v>
      </c>
      <c r="AF973" s="10">
        <f t="shared" si="1113"/>
        <v>0</v>
      </c>
      <c r="AG973" s="10">
        <f t="shared" si="1113"/>
        <v>0</v>
      </c>
      <c r="AH973" s="10">
        <f t="shared" si="1113"/>
        <v>0</v>
      </c>
      <c r="AI973" s="10">
        <f t="shared" si="1113"/>
        <v>0</v>
      </c>
      <c r="AJ973" s="10">
        <f t="shared" si="1113"/>
        <v>0</v>
      </c>
      <c r="AK973" s="10">
        <f t="shared" si="1113"/>
        <v>0</v>
      </c>
      <c r="AL973" s="10">
        <f t="shared" si="1113"/>
        <v>0</v>
      </c>
      <c r="AM973" s="10">
        <f t="shared" si="1113"/>
        <v>0</v>
      </c>
      <c r="AN973" s="10">
        <f t="shared" si="1113"/>
        <v>0</v>
      </c>
      <c r="AO973" s="10">
        <f t="shared" si="1113"/>
        <v>0</v>
      </c>
      <c r="AP973" s="10">
        <f t="shared" si="1113"/>
        <v>0</v>
      </c>
      <c r="AQ973" s="10">
        <f t="shared" si="1113"/>
        <v>0</v>
      </c>
      <c r="AR973" s="10">
        <f t="shared" si="1113"/>
        <v>0</v>
      </c>
      <c r="AS973" s="10">
        <f t="shared" si="1113"/>
        <v>0</v>
      </c>
      <c r="AT973" s="10">
        <f t="shared" si="1113"/>
        <v>0</v>
      </c>
      <c r="AU973" s="10">
        <f t="shared" si="1113"/>
        <v>0</v>
      </c>
      <c r="AV973" s="10">
        <f t="shared" si="1113"/>
        <v>0</v>
      </c>
      <c r="AW973" s="10">
        <f t="shared" si="1113"/>
        <v>0</v>
      </c>
      <c r="AX973" s="10">
        <f t="shared" si="1113"/>
        <v>0</v>
      </c>
      <c r="AY973" s="10">
        <f t="shared" si="1113"/>
        <v>0</v>
      </c>
      <c r="AZ973" s="10">
        <f t="shared" si="1113"/>
        <v>0</v>
      </c>
      <c r="BA973" s="10">
        <f t="shared" si="1113"/>
        <v>0</v>
      </c>
      <c r="BB973" s="10">
        <f t="shared" si="1113"/>
        <v>0</v>
      </c>
      <c r="BC973" s="10">
        <f t="shared" si="1113"/>
        <v>0</v>
      </c>
      <c r="BD973" s="10">
        <f t="shared" si="1113"/>
        <v>0</v>
      </c>
      <c r="BE973" s="10">
        <f t="shared" si="1113"/>
        <v>0</v>
      </c>
      <c r="BF973" s="10">
        <f t="shared" si="1113"/>
        <v>0</v>
      </c>
      <c r="BG973" s="10">
        <f t="shared" si="1113"/>
        <v>0</v>
      </c>
      <c r="BH973" s="10">
        <f t="shared" si="1113"/>
        <v>0</v>
      </c>
      <c r="BI973" s="10">
        <f t="shared" si="1113"/>
        <v>0</v>
      </c>
      <c r="BJ973" s="10">
        <f t="shared" si="1113"/>
        <v>0</v>
      </c>
      <c r="BL973" s="10">
        <f t="shared" ref="BL973:BW973" si="1114">BL$145</f>
        <v>0</v>
      </c>
      <c r="BM973" s="10">
        <f t="shared" si="1114"/>
        <v>0</v>
      </c>
      <c r="BN973" s="10">
        <f t="shared" si="1114"/>
        <v>0</v>
      </c>
      <c r="BO973" s="10">
        <f t="shared" si="1114"/>
        <v>0</v>
      </c>
      <c r="BP973" s="10">
        <f t="shared" si="1114"/>
        <v>0</v>
      </c>
      <c r="BQ973" s="10">
        <f t="shared" si="1114"/>
        <v>0</v>
      </c>
      <c r="BR973" s="10">
        <f t="shared" si="1114"/>
        <v>0</v>
      </c>
      <c r="BS973" s="10">
        <f t="shared" si="1114"/>
        <v>0</v>
      </c>
      <c r="BT973" s="10">
        <f t="shared" si="1114"/>
        <v>0</v>
      </c>
      <c r="BU973" s="10">
        <f t="shared" si="1114"/>
        <v>0</v>
      </c>
      <c r="BV973" s="10">
        <f t="shared" si="1114"/>
        <v>0</v>
      </c>
      <c r="BW973" s="10">
        <f t="shared" si="1114"/>
        <v>0</v>
      </c>
      <c r="BY973" s="12"/>
      <c r="BZ973" s="335"/>
      <c r="CA973" s="12"/>
      <c r="CB973" s="335"/>
      <c r="CC973" s="335"/>
      <c r="CD973" s="335"/>
      <c r="CE973" s="335"/>
      <c r="CM973" s="335"/>
      <c r="CN973" s="335"/>
      <c r="CO973" s="335"/>
      <c r="CP973" s="335"/>
      <c r="CR973" s="12"/>
      <c r="CT973" s="335"/>
      <c r="CU973" s="335"/>
      <c r="EW973" s="335"/>
      <c r="EX973" s="10" t="str">
        <f t="shared" si="1102"/>
        <v/>
      </c>
    </row>
    <row r="974" spans="2:154" s="67" customFormat="1" x14ac:dyDescent="0.25">
      <c r="B974" s="84" t="str" cm="1">
        <f t="array" aca="1" ref="B974" ca="1">HYPERLINK(CONCATENATE("#",CELL("address",$D$161)),$D$161)</f>
        <v>Loan 7</v>
      </c>
      <c r="C974" s="380"/>
      <c r="D974" s="60">
        <f>D$19</f>
        <v>0</v>
      </c>
      <c r="E974" s="221">
        <f>E$19</f>
        <v>0</v>
      </c>
      <c r="G974" s="9"/>
      <c r="H974" s="50" t="s">
        <v>157</v>
      </c>
      <c r="S974" s="335"/>
      <c r="T974" s="335"/>
      <c r="U974" s="335"/>
      <c r="V974" s="201">
        <f>V$164</f>
        <v>0</v>
      </c>
      <c r="W974" s="10">
        <f>W$164</f>
        <v>0</v>
      </c>
      <c r="X974" s="10">
        <f>X$164</f>
        <v>0</v>
      </c>
      <c r="Y974" s="10">
        <f>Y$164</f>
        <v>0</v>
      </c>
      <c r="AA974" s="10">
        <f t="shared" ref="AA974:BJ974" si="1115">AA$164</f>
        <v>0</v>
      </c>
      <c r="AB974" s="10">
        <f t="shared" si="1115"/>
        <v>0</v>
      </c>
      <c r="AC974" s="10">
        <f t="shared" si="1115"/>
        <v>0</v>
      </c>
      <c r="AD974" s="10">
        <f t="shared" si="1115"/>
        <v>0</v>
      </c>
      <c r="AE974" s="10">
        <f t="shared" si="1115"/>
        <v>0</v>
      </c>
      <c r="AF974" s="10">
        <f t="shared" si="1115"/>
        <v>0</v>
      </c>
      <c r="AG974" s="10">
        <f t="shared" si="1115"/>
        <v>0</v>
      </c>
      <c r="AH974" s="10">
        <f t="shared" si="1115"/>
        <v>0</v>
      </c>
      <c r="AI974" s="10">
        <f t="shared" si="1115"/>
        <v>0</v>
      </c>
      <c r="AJ974" s="10">
        <f t="shared" si="1115"/>
        <v>0</v>
      </c>
      <c r="AK974" s="10">
        <f t="shared" si="1115"/>
        <v>0</v>
      </c>
      <c r="AL974" s="10">
        <f t="shared" si="1115"/>
        <v>0</v>
      </c>
      <c r="AM974" s="10">
        <f t="shared" si="1115"/>
        <v>0</v>
      </c>
      <c r="AN974" s="10">
        <f t="shared" si="1115"/>
        <v>0</v>
      </c>
      <c r="AO974" s="10">
        <f t="shared" si="1115"/>
        <v>0</v>
      </c>
      <c r="AP974" s="10">
        <f t="shared" si="1115"/>
        <v>0</v>
      </c>
      <c r="AQ974" s="10">
        <f t="shared" si="1115"/>
        <v>0</v>
      </c>
      <c r="AR974" s="10">
        <f t="shared" si="1115"/>
        <v>0</v>
      </c>
      <c r="AS974" s="10">
        <f t="shared" si="1115"/>
        <v>0</v>
      </c>
      <c r="AT974" s="10">
        <f t="shared" si="1115"/>
        <v>0</v>
      </c>
      <c r="AU974" s="10">
        <f t="shared" si="1115"/>
        <v>0</v>
      </c>
      <c r="AV974" s="10">
        <f t="shared" si="1115"/>
        <v>0</v>
      </c>
      <c r="AW974" s="10">
        <f t="shared" si="1115"/>
        <v>0</v>
      </c>
      <c r="AX974" s="10">
        <f t="shared" si="1115"/>
        <v>0</v>
      </c>
      <c r="AY974" s="10">
        <f t="shared" si="1115"/>
        <v>0</v>
      </c>
      <c r="AZ974" s="10">
        <f t="shared" si="1115"/>
        <v>0</v>
      </c>
      <c r="BA974" s="10">
        <f t="shared" si="1115"/>
        <v>0</v>
      </c>
      <c r="BB974" s="10">
        <f t="shared" si="1115"/>
        <v>0</v>
      </c>
      <c r="BC974" s="10">
        <f t="shared" si="1115"/>
        <v>0</v>
      </c>
      <c r="BD974" s="10">
        <f t="shared" si="1115"/>
        <v>0</v>
      </c>
      <c r="BE974" s="10">
        <f t="shared" si="1115"/>
        <v>0</v>
      </c>
      <c r="BF974" s="10">
        <f t="shared" si="1115"/>
        <v>0</v>
      </c>
      <c r="BG974" s="10">
        <f t="shared" si="1115"/>
        <v>0</v>
      </c>
      <c r="BH974" s="10">
        <f t="shared" si="1115"/>
        <v>0</v>
      </c>
      <c r="BI974" s="10">
        <f t="shared" si="1115"/>
        <v>0</v>
      </c>
      <c r="BJ974" s="10">
        <f t="shared" si="1115"/>
        <v>0</v>
      </c>
      <c r="BL974" s="10">
        <f t="shared" ref="BL974:BW974" si="1116">BL$164</f>
        <v>0</v>
      </c>
      <c r="BM974" s="10">
        <f t="shared" si="1116"/>
        <v>0</v>
      </c>
      <c r="BN974" s="10">
        <f t="shared" si="1116"/>
        <v>0</v>
      </c>
      <c r="BO974" s="10">
        <f t="shared" si="1116"/>
        <v>0</v>
      </c>
      <c r="BP974" s="10">
        <f t="shared" si="1116"/>
        <v>0</v>
      </c>
      <c r="BQ974" s="10">
        <f t="shared" si="1116"/>
        <v>0</v>
      </c>
      <c r="BR974" s="10">
        <f t="shared" si="1116"/>
        <v>0</v>
      </c>
      <c r="BS974" s="10">
        <f t="shared" si="1116"/>
        <v>0</v>
      </c>
      <c r="BT974" s="10">
        <f t="shared" si="1116"/>
        <v>0</v>
      </c>
      <c r="BU974" s="10">
        <f t="shared" si="1116"/>
        <v>0</v>
      </c>
      <c r="BV974" s="10">
        <f t="shared" si="1116"/>
        <v>0</v>
      </c>
      <c r="BW974" s="10">
        <f t="shared" si="1116"/>
        <v>0</v>
      </c>
      <c r="BY974" s="12"/>
      <c r="BZ974" s="335"/>
      <c r="CA974" s="12"/>
      <c r="CB974" s="335"/>
      <c r="CC974" s="335"/>
      <c r="CD974" s="335"/>
      <c r="CE974" s="335"/>
      <c r="CM974" s="335"/>
      <c r="CN974" s="335"/>
      <c r="CO974" s="335"/>
      <c r="CP974" s="335"/>
      <c r="CR974" s="12"/>
      <c r="CT974" s="335"/>
      <c r="CU974" s="335"/>
      <c r="EW974" s="335"/>
      <c r="EX974" s="10" t="str">
        <f t="shared" si="1102"/>
        <v/>
      </c>
    </row>
    <row r="975" spans="2:154" s="67" customFormat="1" x14ac:dyDescent="0.25">
      <c r="B975" s="84" t="str" cm="1">
        <f t="array" aca="1" ref="B975" ca="1">HYPERLINK(CONCATENATE("#",CELL("address",$D$180)),$D$180)</f>
        <v>Loan 8</v>
      </c>
      <c r="C975" s="380"/>
      <c r="D975" s="60">
        <f>D$20</f>
        <v>0</v>
      </c>
      <c r="E975" s="221">
        <f>E$20</f>
        <v>0</v>
      </c>
      <c r="G975" s="9"/>
      <c r="H975" s="50" t="s">
        <v>157</v>
      </c>
      <c r="S975" s="335"/>
      <c r="T975" s="335"/>
      <c r="U975" s="335"/>
      <c r="V975" s="201">
        <f>V$183</f>
        <v>0</v>
      </c>
      <c r="W975" s="10">
        <f>W$183</f>
        <v>0</v>
      </c>
      <c r="X975" s="10">
        <f>X$183</f>
        <v>0</v>
      </c>
      <c r="Y975" s="10">
        <f>Y$183</f>
        <v>0</v>
      </c>
      <c r="AA975" s="10">
        <f t="shared" ref="AA975:BJ975" si="1117">AA$183</f>
        <v>0</v>
      </c>
      <c r="AB975" s="10">
        <f t="shared" si="1117"/>
        <v>0</v>
      </c>
      <c r="AC975" s="10">
        <f t="shared" si="1117"/>
        <v>0</v>
      </c>
      <c r="AD975" s="10">
        <f t="shared" si="1117"/>
        <v>0</v>
      </c>
      <c r="AE975" s="10">
        <f t="shared" si="1117"/>
        <v>0</v>
      </c>
      <c r="AF975" s="10">
        <f t="shared" si="1117"/>
        <v>0</v>
      </c>
      <c r="AG975" s="10">
        <f t="shared" si="1117"/>
        <v>0</v>
      </c>
      <c r="AH975" s="10">
        <f t="shared" si="1117"/>
        <v>0</v>
      </c>
      <c r="AI975" s="10">
        <f t="shared" si="1117"/>
        <v>0</v>
      </c>
      <c r="AJ975" s="10">
        <f t="shared" si="1117"/>
        <v>0</v>
      </c>
      <c r="AK975" s="10">
        <f t="shared" si="1117"/>
        <v>0</v>
      </c>
      <c r="AL975" s="10">
        <f t="shared" si="1117"/>
        <v>0</v>
      </c>
      <c r="AM975" s="10">
        <f t="shared" si="1117"/>
        <v>0</v>
      </c>
      <c r="AN975" s="10">
        <f t="shared" si="1117"/>
        <v>0</v>
      </c>
      <c r="AO975" s="10">
        <f t="shared" si="1117"/>
        <v>0</v>
      </c>
      <c r="AP975" s="10">
        <f t="shared" si="1117"/>
        <v>0</v>
      </c>
      <c r="AQ975" s="10">
        <f t="shared" si="1117"/>
        <v>0</v>
      </c>
      <c r="AR975" s="10">
        <f t="shared" si="1117"/>
        <v>0</v>
      </c>
      <c r="AS975" s="10">
        <f t="shared" si="1117"/>
        <v>0</v>
      </c>
      <c r="AT975" s="10">
        <f t="shared" si="1117"/>
        <v>0</v>
      </c>
      <c r="AU975" s="10">
        <f t="shared" si="1117"/>
        <v>0</v>
      </c>
      <c r="AV975" s="10">
        <f t="shared" si="1117"/>
        <v>0</v>
      </c>
      <c r="AW975" s="10">
        <f t="shared" si="1117"/>
        <v>0</v>
      </c>
      <c r="AX975" s="10">
        <f t="shared" si="1117"/>
        <v>0</v>
      </c>
      <c r="AY975" s="10">
        <f t="shared" si="1117"/>
        <v>0</v>
      </c>
      <c r="AZ975" s="10">
        <f t="shared" si="1117"/>
        <v>0</v>
      </c>
      <c r="BA975" s="10">
        <f t="shared" si="1117"/>
        <v>0</v>
      </c>
      <c r="BB975" s="10">
        <f t="shared" si="1117"/>
        <v>0</v>
      </c>
      <c r="BC975" s="10">
        <f t="shared" si="1117"/>
        <v>0</v>
      </c>
      <c r="BD975" s="10">
        <f t="shared" si="1117"/>
        <v>0</v>
      </c>
      <c r="BE975" s="10">
        <f t="shared" si="1117"/>
        <v>0</v>
      </c>
      <c r="BF975" s="10">
        <f t="shared" si="1117"/>
        <v>0</v>
      </c>
      <c r="BG975" s="10">
        <f t="shared" si="1117"/>
        <v>0</v>
      </c>
      <c r="BH975" s="10">
        <f t="shared" si="1117"/>
        <v>0</v>
      </c>
      <c r="BI975" s="10">
        <f t="shared" si="1117"/>
        <v>0</v>
      </c>
      <c r="BJ975" s="10">
        <f t="shared" si="1117"/>
        <v>0</v>
      </c>
      <c r="BL975" s="10">
        <f t="shared" ref="BL975:BW975" si="1118">BL$183</f>
        <v>0</v>
      </c>
      <c r="BM975" s="10">
        <f t="shared" si="1118"/>
        <v>0</v>
      </c>
      <c r="BN975" s="10">
        <f t="shared" si="1118"/>
        <v>0</v>
      </c>
      <c r="BO975" s="10">
        <f t="shared" si="1118"/>
        <v>0</v>
      </c>
      <c r="BP975" s="10">
        <f t="shared" si="1118"/>
        <v>0</v>
      </c>
      <c r="BQ975" s="10">
        <f t="shared" si="1118"/>
        <v>0</v>
      </c>
      <c r="BR975" s="10">
        <f t="shared" si="1118"/>
        <v>0</v>
      </c>
      <c r="BS975" s="10">
        <f t="shared" si="1118"/>
        <v>0</v>
      </c>
      <c r="BT975" s="10">
        <f t="shared" si="1118"/>
        <v>0</v>
      </c>
      <c r="BU975" s="10">
        <f t="shared" si="1118"/>
        <v>0</v>
      </c>
      <c r="BV975" s="10">
        <f t="shared" si="1118"/>
        <v>0</v>
      </c>
      <c r="BW975" s="10">
        <f t="shared" si="1118"/>
        <v>0</v>
      </c>
      <c r="BY975" s="12"/>
      <c r="BZ975" s="335"/>
      <c r="CA975" s="12"/>
      <c r="CB975" s="335"/>
      <c r="CC975" s="335"/>
      <c r="CD975" s="335"/>
      <c r="CE975" s="335"/>
      <c r="CM975" s="335"/>
      <c r="CN975" s="335"/>
      <c r="CO975" s="335"/>
      <c r="CP975" s="335"/>
      <c r="CR975" s="12"/>
      <c r="CT975" s="335"/>
      <c r="CU975" s="335"/>
      <c r="EW975" s="335"/>
      <c r="EX975" s="10" t="str">
        <f t="shared" si="1102"/>
        <v/>
      </c>
    </row>
    <row r="976" spans="2:154" s="67" customFormat="1" x14ac:dyDescent="0.25">
      <c r="B976" s="84" t="str" cm="1">
        <f t="array" aca="1" ref="B976" ca="1">HYPERLINK(CONCATENATE("#",CELL("address",$D$199)),$D$199)</f>
        <v>Loan 9</v>
      </c>
      <c r="C976" s="380"/>
      <c r="D976" s="60">
        <f>D$21</f>
        <v>0</v>
      </c>
      <c r="E976" s="221">
        <f>E$21</f>
        <v>0</v>
      </c>
      <c r="G976" s="9"/>
      <c r="H976" s="50" t="s">
        <v>157</v>
      </c>
      <c r="S976" s="335"/>
      <c r="T976" s="335"/>
      <c r="U976" s="335"/>
      <c r="V976" s="201">
        <f>V$202</f>
        <v>0</v>
      </c>
      <c r="W976" s="10">
        <f>W$202</f>
        <v>0</v>
      </c>
      <c r="X976" s="10">
        <f>X$202</f>
        <v>0</v>
      </c>
      <c r="Y976" s="10">
        <f>Y$202</f>
        <v>0</v>
      </c>
      <c r="AA976" s="10">
        <f t="shared" ref="AA976:BJ976" si="1119">AA$202</f>
        <v>0</v>
      </c>
      <c r="AB976" s="10">
        <f t="shared" si="1119"/>
        <v>0</v>
      </c>
      <c r="AC976" s="10">
        <f t="shared" si="1119"/>
        <v>0</v>
      </c>
      <c r="AD976" s="10">
        <f t="shared" si="1119"/>
        <v>0</v>
      </c>
      <c r="AE976" s="10">
        <f t="shared" si="1119"/>
        <v>0</v>
      </c>
      <c r="AF976" s="10">
        <f t="shared" si="1119"/>
        <v>0</v>
      </c>
      <c r="AG976" s="10">
        <f t="shared" si="1119"/>
        <v>0</v>
      </c>
      <c r="AH976" s="10">
        <f t="shared" si="1119"/>
        <v>0</v>
      </c>
      <c r="AI976" s="10">
        <f t="shared" si="1119"/>
        <v>0</v>
      </c>
      <c r="AJ976" s="10">
        <f t="shared" si="1119"/>
        <v>0</v>
      </c>
      <c r="AK976" s="10">
        <f t="shared" si="1119"/>
        <v>0</v>
      </c>
      <c r="AL976" s="10">
        <f t="shared" si="1119"/>
        <v>0</v>
      </c>
      <c r="AM976" s="10">
        <f t="shared" si="1119"/>
        <v>0</v>
      </c>
      <c r="AN976" s="10">
        <f t="shared" si="1119"/>
        <v>0</v>
      </c>
      <c r="AO976" s="10">
        <f t="shared" si="1119"/>
        <v>0</v>
      </c>
      <c r="AP976" s="10">
        <f t="shared" si="1119"/>
        <v>0</v>
      </c>
      <c r="AQ976" s="10">
        <f t="shared" si="1119"/>
        <v>0</v>
      </c>
      <c r="AR976" s="10">
        <f t="shared" si="1119"/>
        <v>0</v>
      </c>
      <c r="AS976" s="10">
        <f t="shared" si="1119"/>
        <v>0</v>
      </c>
      <c r="AT976" s="10">
        <f t="shared" si="1119"/>
        <v>0</v>
      </c>
      <c r="AU976" s="10">
        <f t="shared" si="1119"/>
        <v>0</v>
      </c>
      <c r="AV976" s="10">
        <f t="shared" si="1119"/>
        <v>0</v>
      </c>
      <c r="AW976" s="10">
        <f t="shared" si="1119"/>
        <v>0</v>
      </c>
      <c r="AX976" s="10">
        <f t="shared" si="1119"/>
        <v>0</v>
      </c>
      <c r="AY976" s="10">
        <f t="shared" si="1119"/>
        <v>0</v>
      </c>
      <c r="AZ976" s="10">
        <f t="shared" si="1119"/>
        <v>0</v>
      </c>
      <c r="BA976" s="10">
        <f t="shared" si="1119"/>
        <v>0</v>
      </c>
      <c r="BB976" s="10">
        <f t="shared" si="1119"/>
        <v>0</v>
      </c>
      <c r="BC976" s="10">
        <f t="shared" si="1119"/>
        <v>0</v>
      </c>
      <c r="BD976" s="10">
        <f t="shared" si="1119"/>
        <v>0</v>
      </c>
      <c r="BE976" s="10">
        <f t="shared" si="1119"/>
        <v>0</v>
      </c>
      <c r="BF976" s="10">
        <f t="shared" si="1119"/>
        <v>0</v>
      </c>
      <c r="BG976" s="10">
        <f t="shared" si="1119"/>
        <v>0</v>
      </c>
      <c r="BH976" s="10">
        <f t="shared" si="1119"/>
        <v>0</v>
      </c>
      <c r="BI976" s="10">
        <f t="shared" si="1119"/>
        <v>0</v>
      </c>
      <c r="BJ976" s="10">
        <f t="shared" si="1119"/>
        <v>0</v>
      </c>
      <c r="BL976" s="10">
        <f t="shared" ref="BL976:BW976" si="1120">BL$202</f>
        <v>0</v>
      </c>
      <c r="BM976" s="10">
        <f t="shared" si="1120"/>
        <v>0</v>
      </c>
      <c r="BN976" s="10">
        <f t="shared" si="1120"/>
        <v>0</v>
      </c>
      <c r="BO976" s="10">
        <f t="shared" si="1120"/>
        <v>0</v>
      </c>
      <c r="BP976" s="10">
        <f t="shared" si="1120"/>
        <v>0</v>
      </c>
      <c r="BQ976" s="10">
        <f t="shared" si="1120"/>
        <v>0</v>
      </c>
      <c r="BR976" s="10">
        <f t="shared" si="1120"/>
        <v>0</v>
      </c>
      <c r="BS976" s="10">
        <f t="shared" si="1120"/>
        <v>0</v>
      </c>
      <c r="BT976" s="10">
        <f t="shared" si="1120"/>
        <v>0</v>
      </c>
      <c r="BU976" s="10">
        <f t="shared" si="1120"/>
        <v>0</v>
      </c>
      <c r="BV976" s="10">
        <f t="shared" si="1120"/>
        <v>0</v>
      </c>
      <c r="BW976" s="10">
        <f t="shared" si="1120"/>
        <v>0</v>
      </c>
      <c r="BY976" s="12"/>
      <c r="BZ976" s="335"/>
      <c r="CA976" s="12"/>
      <c r="CB976" s="335"/>
      <c r="CC976" s="335"/>
      <c r="CD976" s="335"/>
      <c r="CE976" s="335"/>
      <c r="CM976" s="335"/>
      <c r="CN976" s="335"/>
      <c r="CO976" s="335"/>
      <c r="CP976" s="335"/>
      <c r="CR976" s="12"/>
      <c r="CT976" s="335"/>
      <c r="CU976" s="335"/>
      <c r="EW976" s="335"/>
      <c r="EX976" s="10" t="str">
        <f t="shared" si="1102"/>
        <v/>
      </c>
    </row>
    <row r="977" spans="1:154" s="67" customFormat="1" x14ac:dyDescent="0.25">
      <c r="B977" s="84" t="str" cm="1">
        <f t="array" aca="1" ref="B977" ca="1">HYPERLINK(CONCATENATE("#",CELL("address",$D$218)),$D$218)</f>
        <v>Loan 10</v>
      </c>
      <c r="C977" s="380"/>
      <c r="D977" s="60">
        <f>D$22</f>
        <v>0</v>
      </c>
      <c r="E977" s="221">
        <f>E$22</f>
        <v>0</v>
      </c>
      <c r="G977" s="9"/>
      <c r="H977" s="50" t="s">
        <v>157</v>
      </c>
      <c r="S977" s="335"/>
      <c r="T977" s="335"/>
      <c r="U977" s="335"/>
      <c r="V977" s="201">
        <f>V$221</f>
        <v>0</v>
      </c>
      <c r="W977" s="10">
        <f>W$221</f>
        <v>0</v>
      </c>
      <c r="X977" s="10">
        <f>X$221</f>
        <v>0</v>
      </c>
      <c r="Y977" s="10">
        <f>Y$221</f>
        <v>0</v>
      </c>
      <c r="AA977" s="10">
        <f t="shared" ref="AA977:BJ977" si="1121">AA$221</f>
        <v>0</v>
      </c>
      <c r="AB977" s="10">
        <f t="shared" si="1121"/>
        <v>0</v>
      </c>
      <c r="AC977" s="10">
        <f t="shared" si="1121"/>
        <v>0</v>
      </c>
      <c r="AD977" s="10">
        <f t="shared" si="1121"/>
        <v>0</v>
      </c>
      <c r="AE977" s="10">
        <f t="shared" si="1121"/>
        <v>0</v>
      </c>
      <c r="AF977" s="10">
        <f t="shared" si="1121"/>
        <v>0</v>
      </c>
      <c r="AG977" s="10">
        <f t="shared" si="1121"/>
        <v>0</v>
      </c>
      <c r="AH977" s="10">
        <f t="shared" si="1121"/>
        <v>0</v>
      </c>
      <c r="AI977" s="10">
        <f t="shared" si="1121"/>
        <v>0</v>
      </c>
      <c r="AJ977" s="10">
        <f t="shared" si="1121"/>
        <v>0</v>
      </c>
      <c r="AK977" s="10">
        <f t="shared" si="1121"/>
        <v>0</v>
      </c>
      <c r="AL977" s="10">
        <f t="shared" si="1121"/>
        <v>0</v>
      </c>
      <c r="AM977" s="10">
        <f t="shared" si="1121"/>
        <v>0</v>
      </c>
      <c r="AN977" s="10">
        <f t="shared" si="1121"/>
        <v>0</v>
      </c>
      <c r="AO977" s="10">
        <f t="shared" si="1121"/>
        <v>0</v>
      </c>
      <c r="AP977" s="10">
        <f t="shared" si="1121"/>
        <v>0</v>
      </c>
      <c r="AQ977" s="10">
        <f t="shared" si="1121"/>
        <v>0</v>
      </c>
      <c r="AR977" s="10">
        <f t="shared" si="1121"/>
        <v>0</v>
      </c>
      <c r="AS977" s="10">
        <f t="shared" si="1121"/>
        <v>0</v>
      </c>
      <c r="AT977" s="10">
        <f t="shared" si="1121"/>
        <v>0</v>
      </c>
      <c r="AU977" s="10">
        <f t="shared" si="1121"/>
        <v>0</v>
      </c>
      <c r="AV977" s="10">
        <f t="shared" si="1121"/>
        <v>0</v>
      </c>
      <c r="AW977" s="10">
        <f t="shared" si="1121"/>
        <v>0</v>
      </c>
      <c r="AX977" s="10">
        <f t="shared" si="1121"/>
        <v>0</v>
      </c>
      <c r="AY977" s="10">
        <f t="shared" si="1121"/>
        <v>0</v>
      </c>
      <c r="AZ977" s="10">
        <f t="shared" si="1121"/>
        <v>0</v>
      </c>
      <c r="BA977" s="10">
        <f t="shared" si="1121"/>
        <v>0</v>
      </c>
      <c r="BB977" s="10">
        <f t="shared" si="1121"/>
        <v>0</v>
      </c>
      <c r="BC977" s="10">
        <f t="shared" si="1121"/>
        <v>0</v>
      </c>
      <c r="BD977" s="10">
        <f t="shared" si="1121"/>
        <v>0</v>
      </c>
      <c r="BE977" s="10">
        <f t="shared" si="1121"/>
        <v>0</v>
      </c>
      <c r="BF977" s="10">
        <f t="shared" si="1121"/>
        <v>0</v>
      </c>
      <c r="BG977" s="10">
        <f t="shared" si="1121"/>
        <v>0</v>
      </c>
      <c r="BH977" s="10">
        <f t="shared" si="1121"/>
        <v>0</v>
      </c>
      <c r="BI977" s="10">
        <f t="shared" si="1121"/>
        <v>0</v>
      </c>
      <c r="BJ977" s="10">
        <f t="shared" si="1121"/>
        <v>0</v>
      </c>
      <c r="BL977" s="10">
        <f t="shared" ref="BL977:BW977" si="1122">BL$221</f>
        <v>0</v>
      </c>
      <c r="BM977" s="10">
        <f t="shared" si="1122"/>
        <v>0</v>
      </c>
      <c r="BN977" s="10">
        <f t="shared" si="1122"/>
        <v>0</v>
      </c>
      <c r="BO977" s="10">
        <f t="shared" si="1122"/>
        <v>0</v>
      </c>
      <c r="BP977" s="10">
        <f t="shared" si="1122"/>
        <v>0</v>
      </c>
      <c r="BQ977" s="10">
        <f t="shared" si="1122"/>
        <v>0</v>
      </c>
      <c r="BR977" s="10">
        <f t="shared" si="1122"/>
        <v>0</v>
      </c>
      <c r="BS977" s="10">
        <f t="shared" si="1122"/>
        <v>0</v>
      </c>
      <c r="BT977" s="10">
        <f t="shared" si="1122"/>
        <v>0</v>
      </c>
      <c r="BU977" s="10">
        <f t="shared" si="1122"/>
        <v>0</v>
      </c>
      <c r="BV977" s="10">
        <f t="shared" si="1122"/>
        <v>0</v>
      </c>
      <c r="BW977" s="10">
        <f t="shared" si="1122"/>
        <v>0</v>
      </c>
      <c r="BY977" s="12"/>
      <c r="BZ977" s="335"/>
      <c r="CA977" s="12"/>
      <c r="CB977" s="335"/>
      <c r="CC977" s="335"/>
      <c r="CD977" s="335"/>
      <c r="CE977" s="335"/>
      <c r="CM977" s="335"/>
      <c r="CN977" s="335"/>
      <c r="CO977" s="335"/>
      <c r="CP977" s="335"/>
      <c r="CR977" s="12"/>
      <c r="CT977" s="335"/>
      <c r="CU977" s="335"/>
      <c r="EW977" s="335"/>
      <c r="EX977" s="10" t="str">
        <f t="shared" si="1102"/>
        <v/>
      </c>
    </row>
    <row r="978" spans="1:154" s="67" customFormat="1" x14ac:dyDescent="0.25">
      <c r="B978" s="84" t="str" cm="1">
        <f t="array" aca="1" ref="B978" ca="1">HYPERLINK(CONCATENATE("#",CELL("address",$D$237)),$D$237)</f>
        <v>Loan 11</v>
      </c>
      <c r="C978" s="380"/>
      <c r="D978" s="60">
        <f>D$23</f>
        <v>0</v>
      </c>
      <c r="E978" s="221">
        <f>E$23</f>
        <v>0</v>
      </c>
      <c r="G978" s="9"/>
      <c r="H978" s="50" t="s">
        <v>157</v>
      </c>
      <c r="S978" s="335"/>
      <c r="T978" s="335"/>
      <c r="U978" s="335"/>
      <c r="V978" s="201">
        <f>V$240</f>
        <v>0</v>
      </c>
      <c r="W978" s="10">
        <f>W$240</f>
        <v>0</v>
      </c>
      <c r="X978" s="10">
        <f>X$240</f>
        <v>0</v>
      </c>
      <c r="Y978" s="10">
        <f>Y$240</f>
        <v>0</v>
      </c>
      <c r="AA978" s="10">
        <f t="shared" ref="AA978:BJ978" si="1123">AA$240</f>
        <v>0</v>
      </c>
      <c r="AB978" s="10">
        <f t="shared" si="1123"/>
        <v>0</v>
      </c>
      <c r="AC978" s="10">
        <f t="shared" si="1123"/>
        <v>0</v>
      </c>
      <c r="AD978" s="10">
        <f t="shared" si="1123"/>
        <v>0</v>
      </c>
      <c r="AE978" s="10">
        <f t="shared" si="1123"/>
        <v>0</v>
      </c>
      <c r="AF978" s="10">
        <f t="shared" si="1123"/>
        <v>0</v>
      </c>
      <c r="AG978" s="10">
        <f t="shared" si="1123"/>
        <v>0</v>
      </c>
      <c r="AH978" s="10">
        <f t="shared" si="1123"/>
        <v>0</v>
      </c>
      <c r="AI978" s="10">
        <f t="shared" si="1123"/>
        <v>0</v>
      </c>
      <c r="AJ978" s="10">
        <f t="shared" si="1123"/>
        <v>0</v>
      </c>
      <c r="AK978" s="10">
        <f t="shared" si="1123"/>
        <v>0</v>
      </c>
      <c r="AL978" s="10">
        <f t="shared" si="1123"/>
        <v>0</v>
      </c>
      <c r="AM978" s="10">
        <f t="shared" si="1123"/>
        <v>0</v>
      </c>
      <c r="AN978" s="10">
        <f t="shared" si="1123"/>
        <v>0</v>
      </c>
      <c r="AO978" s="10">
        <f t="shared" si="1123"/>
        <v>0</v>
      </c>
      <c r="AP978" s="10">
        <f t="shared" si="1123"/>
        <v>0</v>
      </c>
      <c r="AQ978" s="10">
        <f t="shared" si="1123"/>
        <v>0</v>
      </c>
      <c r="AR978" s="10">
        <f t="shared" si="1123"/>
        <v>0</v>
      </c>
      <c r="AS978" s="10">
        <f t="shared" si="1123"/>
        <v>0</v>
      </c>
      <c r="AT978" s="10">
        <f t="shared" si="1123"/>
        <v>0</v>
      </c>
      <c r="AU978" s="10">
        <f t="shared" si="1123"/>
        <v>0</v>
      </c>
      <c r="AV978" s="10">
        <f t="shared" si="1123"/>
        <v>0</v>
      </c>
      <c r="AW978" s="10">
        <f t="shared" si="1123"/>
        <v>0</v>
      </c>
      <c r="AX978" s="10">
        <f t="shared" si="1123"/>
        <v>0</v>
      </c>
      <c r="AY978" s="10">
        <f t="shared" si="1123"/>
        <v>0</v>
      </c>
      <c r="AZ978" s="10">
        <f t="shared" si="1123"/>
        <v>0</v>
      </c>
      <c r="BA978" s="10">
        <f t="shared" si="1123"/>
        <v>0</v>
      </c>
      <c r="BB978" s="10">
        <f t="shared" si="1123"/>
        <v>0</v>
      </c>
      <c r="BC978" s="10">
        <f t="shared" si="1123"/>
        <v>0</v>
      </c>
      <c r="BD978" s="10">
        <f t="shared" si="1123"/>
        <v>0</v>
      </c>
      <c r="BE978" s="10">
        <f t="shared" si="1123"/>
        <v>0</v>
      </c>
      <c r="BF978" s="10">
        <f t="shared" si="1123"/>
        <v>0</v>
      </c>
      <c r="BG978" s="10">
        <f t="shared" si="1123"/>
        <v>0</v>
      </c>
      <c r="BH978" s="10">
        <f t="shared" si="1123"/>
        <v>0</v>
      </c>
      <c r="BI978" s="10">
        <f t="shared" si="1123"/>
        <v>0</v>
      </c>
      <c r="BJ978" s="10">
        <f t="shared" si="1123"/>
        <v>0</v>
      </c>
      <c r="BL978" s="10">
        <f t="shared" ref="BL978:BW978" si="1124">BL$240</f>
        <v>0</v>
      </c>
      <c r="BM978" s="10">
        <f t="shared" si="1124"/>
        <v>0</v>
      </c>
      <c r="BN978" s="10">
        <f t="shared" si="1124"/>
        <v>0</v>
      </c>
      <c r="BO978" s="10">
        <f t="shared" si="1124"/>
        <v>0</v>
      </c>
      <c r="BP978" s="10">
        <f t="shared" si="1124"/>
        <v>0</v>
      </c>
      <c r="BQ978" s="10">
        <f t="shared" si="1124"/>
        <v>0</v>
      </c>
      <c r="BR978" s="10">
        <f t="shared" si="1124"/>
        <v>0</v>
      </c>
      <c r="BS978" s="10">
        <f t="shared" si="1124"/>
        <v>0</v>
      </c>
      <c r="BT978" s="10">
        <f t="shared" si="1124"/>
        <v>0</v>
      </c>
      <c r="BU978" s="10">
        <f t="shared" si="1124"/>
        <v>0</v>
      </c>
      <c r="BV978" s="10">
        <f t="shared" si="1124"/>
        <v>0</v>
      </c>
      <c r="BW978" s="10">
        <f t="shared" si="1124"/>
        <v>0</v>
      </c>
      <c r="BY978" s="12"/>
      <c r="BZ978" s="335"/>
      <c r="CA978" s="12"/>
      <c r="CB978" s="335"/>
      <c r="CC978" s="335"/>
      <c r="CD978" s="335"/>
      <c r="CE978" s="335"/>
      <c r="CM978" s="335"/>
      <c r="CN978" s="335"/>
      <c r="CO978" s="335"/>
      <c r="CP978" s="335"/>
      <c r="CR978" s="12"/>
      <c r="CT978" s="335"/>
      <c r="CU978" s="335"/>
      <c r="EW978" s="335"/>
      <c r="EX978" s="10" t="str">
        <f t="shared" si="1102"/>
        <v/>
      </c>
    </row>
    <row r="979" spans="1:154" s="67" customFormat="1" x14ac:dyDescent="0.25">
      <c r="B979" s="84" t="str" cm="1">
        <f t="array" aca="1" ref="B979" ca="1">HYPERLINK(CONCATENATE("#",CELL("address",$D$256)),$D$256)</f>
        <v>Loan 12</v>
      </c>
      <c r="C979" s="380"/>
      <c r="D979" s="60">
        <f>D$24</f>
        <v>0</v>
      </c>
      <c r="E979" s="221">
        <f>E$24</f>
        <v>0</v>
      </c>
      <c r="G979" s="9"/>
      <c r="H979" s="50" t="s">
        <v>157</v>
      </c>
      <c r="S979" s="335"/>
      <c r="T979" s="335"/>
      <c r="U979" s="335"/>
      <c r="V979" s="201">
        <f>V$259</f>
        <v>0</v>
      </c>
      <c r="W979" s="10">
        <f>W$259</f>
        <v>0</v>
      </c>
      <c r="X979" s="10">
        <f>X$259</f>
        <v>0</v>
      </c>
      <c r="Y979" s="10">
        <f>Y$259</f>
        <v>0</v>
      </c>
      <c r="AA979" s="10">
        <f t="shared" ref="AA979:BJ979" si="1125">AA$259</f>
        <v>0</v>
      </c>
      <c r="AB979" s="10">
        <f t="shared" si="1125"/>
        <v>0</v>
      </c>
      <c r="AC979" s="10">
        <f t="shared" si="1125"/>
        <v>0</v>
      </c>
      <c r="AD979" s="10">
        <f t="shared" si="1125"/>
        <v>0</v>
      </c>
      <c r="AE979" s="10">
        <f t="shared" si="1125"/>
        <v>0</v>
      </c>
      <c r="AF979" s="10">
        <f t="shared" si="1125"/>
        <v>0</v>
      </c>
      <c r="AG979" s="10">
        <f t="shared" si="1125"/>
        <v>0</v>
      </c>
      <c r="AH979" s="10">
        <f t="shared" si="1125"/>
        <v>0</v>
      </c>
      <c r="AI979" s="10">
        <f t="shared" si="1125"/>
        <v>0</v>
      </c>
      <c r="AJ979" s="10">
        <f t="shared" si="1125"/>
        <v>0</v>
      </c>
      <c r="AK979" s="10">
        <f t="shared" si="1125"/>
        <v>0</v>
      </c>
      <c r="AL979" s="10">
        <f t="shared" si="1125"/>
        <v>0</v>
      </c>
      <c r="AM979" s="10">
        <f t="shared" si="1125"/>
        <v>0</v>
      </c>
      <c r="AN979" s="10">
        <f t="shared" si="1125"/>
        <v>0</v>
      </c>
      <c r="AO979" s="10">
        <f t="shared" si="1125"/>
        <v>0</v>
      </c>
      <c r="AP979" s="10">
        <f t="shared" si="1125"/>
        <v>0</v>
      </c>
      <c r="AQ979" s="10">
        <f t="shared" si="1125"/>
        <v>0</v>
      </c>
      <c r="AR979" s="10">
        <f t="shared" si="1125"/>
        <v>0</v>
      </c>
      <c r="AS979" s="10">
        <f t="shared" si="1125"/>
        <v>0</v>
      </c>
      <c r="AT979" s="10">
        <f t="shared" si="1125"/>
        <v>0</v>
      </c>
      <c r="AU979" s="10">
        <f t="shared" si="1125"/>
        <v>0</v>
      </c>
      <c r="AV979" s="10">
        <f t="shared" si="1125"/>
        <v>0</v>
      </c>
      <c r="AW979" s="10">
        <f t="shared" si="1125"/>
        <v>0</v>
      </c>
      <c r="AX979" s="10">
        <f t="shared" si="1125"/>
        <v>0</v>
      </c>
      <c r="AY979" s="10">
        <f t="shared" si="1125"/>
        <v>0</v>
      </c>
      <c r="AZ979" s="10">
        <f t="shared" si="1125"/>
        <v>0</v>
      </c>
      <c r="BA979" s="10">
        <f t="shared" si="1125"/>
        <v>0</v>
      </c>
      <c r="BB979" s="10">
        <f t="shared" si="1125"/>
        <v>0</v>
      </c>
      <c r="BC979" s="10">
        <f t="shared" si="1125"/>
        <v>0</v>
      </c>
      <c r="BD979" s="10">
        <f t="shared" si="1125"/>
        <v>0</v>
      </c>
      <c r="BE979" s="10">
        <f t="shared" si="1125"/>
        <v>0</v>
      </c>
      <c r="BF979" s="10">
        <f t="shared" si="1125"/>
        <v>0</v>
      </c>
      <c r="BG979" s="10">
        <f t="shared" si="1125"/>
        <v>0</v>
      </c>
      <c r="BH979" s="10">
        <f t="shared" si="1125"/>
        <v>0</v>
      </c>
      <c r="BI979" s="10">
        <f t="shared" si="1125"/>
        <v>0</v>
      </c>
      <c r="BJ979" s="10">
        <f t="shared" si="1125"/>
        <v>0</v>
      </c>
      <c r="BL979" s="10">
        <f t="shared" ref="BL979:BW979" si="1126">BL$259</f>
        <v>0</v>
      </c>
      <c r="BM979" s="10">
        <f t="shared" si="1126"/>
        <v>0</v>
      </c>
      <c r="BN979" s="10">
        <f t="shared" si="1126"/>
        <v>0</v>
      </c>
      <c r="BO979" s="10">
        <f t="shared" si="1126"/>
        <v>0</v>
      </c>
      <c r="BP979" s="10">
        <f t="shared" si="1126"/>
        <v>0</v>
      </c>
      <c r="BQ979" s="10">
        <f t="shared" si="1126"/>
        <v>0</v>
      </c>
      <c r="BR979" s="10">
        <f t="shared" si="1126"/>
        <v>0</v>
      </c>
      <c r="BS979" s="10">
        <f t="shared" si="1126"/>
        <v>0</v>
      </c>
      <c r="BT979" s="10">
        <f t="shared" si="1126"/>
        <v>0</v>
      </c>
      <c r="BU979" s="10">
        <f t="shared" si="1126"/>
        <v>0</v>
      </c>
      <c r="BV979" s="10">
        <f t="shared" si="1126"/>
        <v>0</v>
      </c>
      <c r="BW979" s="10">
        <f t="shared" si="1126"/>
        <v>0</v>
      </c>
      <c r="BY979" s="12"/>
      <c r="BZ979" s="335"/>
      <c r="CA979" s="12"/>
      <c r="CB979" s="335"/>
      <c r="CC979" s="335"/>
      <c r="CD979" s="335"/>
      <c r="CE979" s="335"/>
      <c r="CM979" s="335"/>
      <c r="CN979" s="335"/>
      <c r="CO979" s="335"/>
      <c r="CP979" s="335"/>
      <c r="CR979" s="12"/>
      <c r="CT979" s="335"/>
      <c r="CU979" s="335"/>
      <c r="EW979" s="335"/>
      <c r="EX979" s="10" t="str">
        <f t="shared" si="1102"/>
        <v/>
      </c>
    </row>
    <row r="980" spans="1:154" s="67" customFormat="1" x14ac:dyDescent="0.25">
      <c r="B980" s="84" t="str" cm="1">
        <f t="array" aca="1" ref="B980" ca="1">HYPERLINK(CONCATENATE("#",CELL("address",$D$275)),$D$275)</f>
        <v>Loan 13</v>
      </c>
      <c r="C980" s="380"/>
      <c r="D980" s="60">
        <f>D$25</f>
        <v>0</v>
      </c>
      <c r="E980" s="221">
        <f>E$25</f>
        <v>0</v>
      </c>
      <c r="G980" s="9"/>
      <c r="H980" s="50" t="s">
        <v>157</v>
      </c>
      <c r="S980" s="335"/>
      <c r="T980" s="335"/>
      <c r="U980" s="335"/>
      <c r="V980" s="201">
        <f>V$278</f>
        <v>0</v>
      </c>
      <c r="W980" s="10">
        <f>W$278</f>
        <v>0</v>
      </c>
      <c r="X980" s="10">
        <f>X$278</f>
        <v>0</v>
      </c>
      <c r="Y980" s="10">
        <f>Y$278</f>
        <v>0</v>
      </c>
      <c r="AA980" s="10">
        <f t="shared" ref="AA980:BJ980" si="1127">AA$278</f>
        <v>0</v>
      </c>
      <c r="AB980" s="10">
        <f t="shared" si="1127"/>
        <v>0</v>
      </c>
      <c r="AC980" s="10">
        <f t="shared" si="1127"/>
        <v>0</v>
      </c>
      <c r="AD980" s="10">
        <f t="shared" si="1127"/>
        <v>0</v>
      </c>
      <c r="AE980" s="10">
        <f t="shared" si="1127"/>
        <v>0</v>
      </c>
      <c r="AF980" s="10">
        <f t="shared" si="1127"/>
        <v>0</v>
      </c>
      <c r="AG980" s="10">
        <f t="shared" si="1127"/>
        <v>0</v>
      </c>
      <c r="AH980" s="10">
        <f t="shared" si="1127"/>
        <v>0</v>
      </c>
      <c r="AI980" s="10">
        <f t="shared" si="1127"/>
        <v>0</v>
      </c>
      <c r="AJ980" s="10">
        <f t="shared" si="1127"/>
        <v>0</v>
      </c>
      <c r="AK980" s="10">
        <f t="shared" si="1127"/>
        <v>0</v>
      </c>
      <c r="AL980" s="10">
        <f t="shared" si="1127"/>
        <v>0</v>
      </c>
      <c r="AM980" s="10">
        <f t="shared" si="1127"/>
        <v>0</v>
      </c>
      <c r="AN980" s="10">
        <f t="shared" si="1127"/>
        <v>0</v>
      </c>
      <c r="AO980" s="10">
        <f t="shared" si="1127"/>
        <v>0</v>
      </c>
      <c r="AP980" s="10">
        <f t="shared" si="1127"/>
        <v>0</v>
      </c>
      <c r="AQ980" s="10">
        <f t="shared" si="1127"/>
        <v>0</v>
      </c>
      <c r="AR980" s="10">
        <f t="shared" si="1127"/>
        <v>0</v>
      </c>
      <c r="AS980" s="10">
        <f t="shared" si="1127"/>
        <v>0</v>
      </c>
      <c r="AT980" s="10">
        <f t="shared" si="1127"/>
        <v>0</v>
      </c>
      <c r="AU980" s="10">
        <f t="shared" si="1127"/>
        <v>0</v>
      </c>
      <c r="AV980" s="10">
        <f t="shared" si="1127"/>
        <v>0</v>
      </c>
      <c r="AW980" s="10">
        <f t="shared" si="1127"/>
        <v>0</v>
      </c>
      <c r="AX980" s="10">
        <f t="shared" si="1127"/>
        <v>0</v>
      </c>
      <c r="AY980" s="10">
        <f t="shared" si="1127"/>
        <v>0</v>
      </c>
      <c r="AZ980" s="10">
        <f t="shared" si="1127"/>
        <v>0</v>
      </c>
      <c r="BA980" s="10">
        <f t="shared" si="1127"/>
        <v>0</v>
      </c>
      <c r="BB980" s="10">
        <f t="shared" si="1127"/>
        <v>0</v>
      </c>
      <c r="BC980" s="10">
        <f t="shared" si="1127"/>
        <v>0</v>
      </c>
      <c r="BD980" s="10">
        <f t="shared" si="1127"/>
        <v>0</v>
      </c>
      <c r="BE980" s="10">
        <f t="shared" si="1127"/>
        <v>0</v>
      </c>
      <c r="BF980" s="10">
        <f t="shared" si="1127"/>
        <v>0</v>
      </c>
      <c r="BG980" s="10">
        <f t="shared" si="1127"/>
        <v>0</v>
      </c>
      <c r="BH980" s="10">
        <f t="shared" si="1127"/>
        <v>0</v>
      </c>
      <c r="BI980" s="10">
        <f t="shared" si="1127"/>
        <v>0</v>
      </c>
      <c r="BJ980" s="10">
        <f t="shared" si="1127"/>
        <v>0</v>
      </c>
      <c r="BL980" s="10">
        <f t="shared" ref="BL980:BW980" si="1128">BL$278</f>
        <v>0</v>
      </c>
      <c r="BM980" s="10">
        <f t="shared" si="1128"/>
        <v>0</v>
      </c>
      <c r="BN980" s="10">
        <f t="shared" si="1128"/>
        <v>0</v>
      </c>
      <c r="BO980" s="10">
        <f t="shared" si="1128"/>
        <v>0</v>
      </c>
      <c r="BP980" s="10">
        <f t="shared" si="1128"/>
        <v>0</v>
      </c>
      <c r="BQ980" s="10">
        <f t="shared" si="1128"/>
        <v>0</v>
      </c>
      <c r="BR980" s="10">
        <f t="shared" si="1128"/>
        <v>0</v>
      </c>
      <c r="BS980" s="10">
        <f t="shared" si="1128"/>
        <v>0</v>
      </c>
      <c r="BT980" s="10">
        <f t="shared" si="1128"/>
        <v>0</v>
      </c>
      <c r="BU980" s="10">
        <f t="shared" si="1128"/>
        <v>0</v>
      </c>
      <c r="BV980" s="10">
        <f t="shared" si="1128"/>
        <v>0</v>
      </c>
      <c r="BW980" s="10">
        <f t="shared" si="1128"/>
        <v>0</v>
      </c>
      <c r="BY980" s="12"/>
      <c r="BZ980" s="335"/>
      <c r="CA980" s="12"/>
      <c r="CB980" s="335"/>
      <c r="CC980" s="335"/>
      <c r="CD980" s="335"/>
      <c r="CE980" s="335"/>
      <c r="CM980" s="335"/>
      <c r="CN980" s="335"/>
      <c r="CO980" s="335"/>
      <c r="CP980" s="335"/>
      <c r="CR980" s="12"/>
      <c r="CT980" s="335"/>
      <c r="CU980" s="335"/>
      <c r="EW980" s="335"/>
      <c r="EX980" s="10" t="str">
        <f t="shared" si="1102"/>
        <v/>
      </c>
    </row>
    <row r="981" spans="1:154" s="5" customFormat="1" x14ac:dyDescent="0.25">
      <c r="A981" s="67"/>
      <c r="B981" s="84" t="str" cm="1">
        <f t="array" aca="1" ref="B981" ca="1">HYPERLINK(CONCATENATE("#",CELL("address",$D$294)),$D$294)</f>
        <v>Loan 14</v>
      </c>
      <c r="C981" s="380"/>
      <c r="D981" s="60">
        <f>D$26</f>
        <v>0</v>
      </c>
      <c r="E981" s="221">
        <f>E$26</f>
        <v>0</v>
      </c>
      <c r="F981" s="67"/>
      <c r="G981" s="9"/>
      <c r="H981" s="50" t="s">
        <v>157</v>
      </c>
      <c r="I981" s="67"/>
      <c r="J981" s="67"/>
      <c r="K981" s="67"/>
      <c r="L981" s="67"/>
      <c r="M981" s="67"/>
      <c r="N981" s="67"/>
      <c r="O981" s="67"/>
      <c r="P981" s="67"/>
      <c r="Q981" s="67"/>
      <c r="R981" s="67"/>
      <c r="S981" s="335"/>
      <c r="T981" s="335"/>
      <c r="U981" s="335"/>
      <c r="V981" s="201">
        <f>V$297</f>
        <v>0</v>
      </c>
      <c r="W981" s="10">
        <f>W$297</f>
        <v>0</v>
      </c>
      <c r="X981" s="10">
        <f>X$297</f>
        <v>0</v>
      </c>
      <c r="Y981" s="10">
        <f>Y$297</f>
        <v>0</v>
      </c>
      <c r="Z981" s="67"/>
      <c r="AA981" s="10">
        <f t="shared" ref="AA981:BJ981" si="1129">AA$297</f>
        <v>0</v>
      </c>
      <c r="AB981" s="10">
        <f t="shared" si="1129"/>
        <v>0</v>
      </c>
      <c r="AC981" s="10">
        <f t="shared" si="1129"/>
        <v>0</v>
      </c>
      <c r="AD981" s="10">
        <f t="shared" si="1129"/>
        <v>0</v>
      </c>
      <c r="AE981" s="10">
        <f t="shared" si="1129"/>
        <v>0</v>
      </c>
      <c r="AF981" s="10">
        <f t="shared" si="1129"/>
        <v>0</v>
      </c>
      <c r="AG981" s="10">
        <f t="shared" si="1129"/>
        <v>0</v>
      </c>
      <c r="AH981" s="10">
        <f t="shared" si="1129"/>
        <v>0</v>
      </c>
      <c r="AI981" s="10">
        <f t="shared" si="1129"/>
        <v>0</v>
      </c>
      <c r="AJ981" s="10">
        <f t="shared" si="1129"/>
        <v>0</v>
      </c>
      <c r="AK981" s="10">
        <f t="shared" si="1129"/>
        <v>0</v>
      </c>
      <c r="AL981" s="10">
        <f t="shared" si="1129"/>
        <v>0</v>
      </c>
      <c r="AM981" s="10">
        <f t="shared" si="1129"/>
        <v>0</v>
      </c>
      <c r="AN981" s="10">
        <f t="shared" si="1129"/>
        <v>0</v>
      </c>
      <c r="AO981" s="10">
        <f t="shared" si="1129"/>
        <v>0</v>
      </c>
      <c r="AP981" s="10">
        <f t="shared" si="1129"/>
        <v>0</v>
      </c>
      <c r="AQ981" s="10">
        <f t="shared" si="1129"/>
        <v>0</v>
      </c>
      <c r="AR981" s="10">
        <f t="shared" si="1129"/>
        <v>0</v>
      </c>
      <c r="AS981" s="10">
        <f t="shared" si="1129"/>
        <v>0</v>
      </c>
      <c r="AT981" s="10">
        <f t="shared" si="1129"/>
        <v>0</v>
      </c>
      <c r="AU981" s="10">
        <f t="shared" si="1129"/>
        <v>0</v>
      </c>
      <c r="AV981" s="10">
        <f t="shared" si="1129"/>
        <v>0</v>
      </c>
      <c r="AW981" s="10">
        <f t="shared" si="1129"/>
        <v>0</v>
      </c>
      <c r="AX981" s="10">
        <f t="shared" si="1129"/>
        <v>0</v>
      </c>
      <c r="AY981" s="10">
        <f t="shared" si="1129"/>
        <v>0</v>
      </c>
      <c r="AZ981" s="10">
        <f t="shared" si="1129"/>
        <v>0</v>
      </c>
      <c r="BA981" s="10">
        <f t="shared" si="1129"/>
        <v>0</v>
      </c>
      <c r="BB981" s="10">
        <f t="shared" si="1129"/>
        <v>0</v>
      </c>
      <c r="BC981" s="10">
        <f t="shared" si="1129"/>
        <v>0</v>
      </c>
      <c r="BD981" s="10">
        <f t="shared" si="1129"/>
        <v>0</v>
      </c>
      <c r="BE981" s="10">
        <f t="shared" si="1129"/>
        <v>0</v>
      </c>
      <c r="BF981" s="10">
        <f t="shared" si="1129"/>
        <v>0</v>
      </c>
      <c r="BG981" s="10">
        <f t="shared" si="1129"/>
        <v>0</v>
      </c>
      <c r="BH981" s="10">
        <f t="shared" si="1129"/>
        <v>0</v>
      </c>
      <c r="BI981" s="10">
        <f t="shared" si="1129"/>
        <v>0</v>
      </c>
      <c r="BJ981" s="10">
        <f t="shared" si="1129"/>
        <v>0</v>
      </c>
      <c r="BK981" s="67"/>
      <c r="BL981" s="10">
        <f t="shared" ref="BL981:BW981" si="1130">BL$297</f>
        <v>0</v>
      </c>
      <c r="BM981" s="10">
        <f t="shared" si="1130"/>
        <v>0</v>
      </c>
      <c r="BN981" s="10">
        <f t="shared" si="1130"/>
        <v>0</v>
      </c>
      <c r="BO981" s="10">
        <f t="shared" si="1130"/>
        <v>0</v>
      </c>
      <c r="BP981" s="10">
        <f t="shared" si="1130"/>
        <v>0</v>
      </c>
      <c r="BQ981" s="10">
        <f t="shared" si="1130"/>
        <v>0</v>
      </c>
      <c r="BR981" s="10">
        <f t="shared" si="1130"/>
        <v>0</v>
      </c>
      <c r="BS981" s="10">
        <f t="shared" si="1130"/>
        <v>0</v>
      </c>
      <c r="BT981" s="10">
        <f t="shared" si="1130"/>
        <v>0</v>
      </c>
      <c r="BU981" s="10">
        <f t="shared" si="1130"/>
        <v>0</v>
      </c>
      <c r="BV981" s="10">
        <f t="shared" si="1130"/>
        <v>0</v>
      </c>
      <c r="BW981" s="10">
        <f t="shared" si="1130"/>
        <v>0</v>
      </c>
      <c r="BX981" s="67"/>
      <c r="BY981" s="12"/>
      <c r="BZ981" s="335"/>
      <c r="CA981" s="12"/>
      <c r="CB981" s="335"/>
      <c r="CC981" s="335"/>
      <c r="CD981" s="335"/>
      <c r="CE981" s="335"/>
      <c r="CF981" s="67"/>
      <c r="CG981" s="67"/>
      <c r="CH981" s="67"/>
      <c r="CI981" s="67"/>
      <c r="CJ981" s="67"/>
      <c r="CK981" s="67"/>
      <c r="CL981" s="67"/>
      <c r="CM981" s="335"/>
      <c r="CN981" s="335"/>
      <c r="CO981" s="335"/>
      <c r="CP981" s="335"/>
      <c r="CQ981" s="67"/>
      <c r="CR981" s="12"/>
      <c r="EX981" s="10" t="str">
        <f t="shared" si="1102"/>
        <v/>
      </c>
    </row>
    <row r="982" spans="1:154" s="67" customFormat="1" x14ac:dyDescent="0.25">
      <c r="B982" s="84" t="str" cm="1">
        <f t="array" aca="1" ref="B982" ca="1">HYPERLINK(CONCATENATE("#",CELL("address",$D$313)),$D$313)</f>
        <v>Loan 15</v>
      </c>
      <c r="C982" s="380"/>
      <c r="D982" s="60">
        <f>D$27</f>
        <v>0</v>
      </c>
      <c r="E982" s="221">
        <f>E$27</f>
        <v>0</v>
      </c>
      <c r="G982" s="9"/>
      <c r="H982" s="50" t="s">
        <v>157</v>
      </c>
      <c r="S982" s="335"/>
      <c r="T982" s="335"/>
      <c r="U982" s="335"/>
      <c r="V982" s="201">
        <f>V$316</f>
        <v>0</v>
      </c>
      <c r="W982" s="10">
        <f>W$316</f>
        <v>0</v>
      </c>
      <c r="X982" s="10">
        <f>X$316</f>
        <v>0</v>
      </c>
      <c r="Y982" s="10">
        <f>Y$316</f>
        <v>0</v>
      </c>
      <c r="AA982" s="10">
        <f t="shared" ref="AA982:BJ982" si="1131">AA$316</f>
        <v>0</v>
      </c>
      <c r="AB982" s="10">
        <f t="shared" si="1131"/>
        <v>0</v>
      </c>
      <c r="AC982" s="10">
        <f t="shared" si="1131"/>
        <v>0</v>
      </c>
      <c r="AD982" s="10">
        <f t="shared" si="1131"/>
        <v>0</v>
      </c>
      <c r="AE982" s="10">
        <f t="shared" si="1131"/>
        <v>0</v>
      </c>
      <c r="AF982" s="10">
        <f t="shared" si="1131"/>
        <v>0</v>
      </c>
      <c r="AG982" s="10">
        <f t="shared" si="1131"/>
        <v>0</v>
      </c>
      <c r="AH982" s="10">
        <f t="shared" si="1131"/>
        <v>0</v>
      </c>
      <c r="AI982" s="10">
        <f t="shared" si="1131"/>
        <v>0</v>
      </c>
      <c r="AJ982" s="10">
        <f t="shared" si="1131"/>
        <v>0</v>
      </c>
      <c r="AK982" s="10">
        <f t="shared" si="1131"/>
        <v>0</v>
      </c>
      <c r="AL982" s="10">
        <f t="shared" si="1131"/>
        <v>0</v>
      </c>
      <c r="AM982" s="10">
        <f t="shared" si="1131"/>
        <v>0</v>
      </c>
      <c r="AN982" s="10">
        <f t="shared" si="1131"/>
        <v>0</v>
      </c>
      <c r="AO982" s="10">
        <f t="shared" si="1131"/>
        <v>0</v>
      </c>
      <c r="AP982" s="10">
        <f t="shared" si="1131"/>
        <v>0</v>
      </c>
      <c r="AQ982" s="10">
        <f t="shared" si="1131"/>
        <v>0</v>
      </c>
      <c r="AR982" s="10">
        <f t="shared" si="1131"/>
        <v>0</v>
      </c>
      <c r="AS982" s="10">
        <f t="shared" si="1131"/>
        <v>0</v>
      </c>
      <c r="AT982" s="10">
        <f t="shared" si="1131"/>
        <v>0</v>
      </c>
      <c r="AU982" s="10">
        <f t="shared" si="1131"/>
        <v>0</v>
      </c>
      <c r="AV982" s="10">
        <f t="shared" si="1131"/>
        <v>0</v>
      </c>
      <c r="AW982" s="10">
        <f t="shared" si="1131"/>
        <v>0</v>
      </c>
      <c r="AX982" s="10">
        <f t="shared" si="1131"/>
        <v>0</v>
      </c>
      <c r="AY982" s="10">
        <f t="shared" si="1131"/>
        <v>0</v>
      </c>
      <c r="AZ982" s="10">
        <f t="shared" si="1131"/>
        <v>0</v>
      </c>
      <c r="BA982" s="10">
        <f t="shared" si="1131"/>
        <v>0</v>
      </c>
      <c r="BB982" s="10">
        <f t="shared" si="1131"/>
        <v>0</v>
      </c>
      <c r="BC982" s="10">
        <f t="shared" si="1131"/>
        <v>0</v>
      </c>
      <c r="BD982" s="10">
        <f t="shared" si="1131"/>
        <v>0</v>
      </c>
      <c r="BE982" s="10">
        <f t="shared" si="1131"/>
        <v>0</v>
      </c>
      <c r="BF982" s="10">
        <f t="shared" si="1131"/>
        <v>0</v>
      </c>
      <c r="BG982" s="10">
        <f t="shared" si="1131"/>
        <v>0</v>
      </c>
      <c r="BH982" s="10">
        <f t="shared" si="1131"/>
        <v>0</v>
      </c>
      <c r="BI982" s="10">
        <f t="shared" si="1131"/>
        <v>0</v>
      </c>
      <c r="BJ982" s="10">
        <f t="shared" si="1131"/>
        <v>0</v>
      </c>
      <c r="BL982" s="10">
        <f t="shared" ref="BL982:BW982" si="1132">BL$316</f>
        <v>0</v>
      </c>
      <c r="BM982" s="10">
        <f t="shared" si="1132"/>
        <v>0</v>
      </c>
      <c r="BN982" s="10">
        <f t="shared" si="1132"/>
        <v>0</v>
      </c>
      <c r="BO982" s="10">
        <f t="shared" si="1132"/>
        <v>0</v>
      </c>
      <c r="BP982" s="10">
        <f t="shared" si="1132"/>
        <v>0</v>
      </c>
      <c r="BQ982" s="10">
        <f t="shared" si="1132"/>
        <v>0</v>
      </c>
      <c r="BR982" s="10">
        <f t="shared" si="1132"/>
        <v>0</v>
      </c>
      <c r="BS982" s="10">
        <f t="shared" si="1132"/>
        <v>0</v>
      </c>
      <c r="BT982" s="10">
        <f t="shared" si="1132"/>
        <v>0</v>
      </c>
      <c r="BU982" s="10">
        <f t="shared" si="1132"/>
        <v>0</v>
      </c>
      <c r="BV982" s="10">
        <f t="shared" si="1132"/>
        <v>0</v>
      </c>
      <c r="BW982" s="10">
        <f t="shared" si="1132"/>
        <v>0</v>
      </c>
      <c r="BY982" s="12"/>
      <c r="BZ982" s="335"/>
      <c r="CA982" s="12"/>
      <c r="CB982" s="335"/>
      <c r="CC982" s="335"/>
      <c r="CD982" s="335"/>
      <c r="CE982" s="335"/>
      <c r="CM982" s="335"/>
      <c r="CN982" s="335"/>
      <c r="CO982" s="335"/>
      <c r="CP982" s="335"/>
      <c r="CR982" s="12"/>
      <c r="CT982" s="335"/>
      <c r="CU982" s="335"/>
      <c r="EW982" s="335"/>
      <c r="EX982" s="10" t="str">
        <f t="shared" si="1102"/>
        <v/>
      </c>
    </row>
    <row r="983" spans="1:154" s="67" customFormat="1" x14ac:dyDescent="0.25">
      <c r="B983" s="84" t="str" cm="1">
        <f t="array" aca="1" ref="B983" ca="1">HYPERLINK(CONCATENATE("#",CELL("address",$D$332)),$D$332)</f>
        <v>Loan 16</v>
      </c>
      <c r="C983" s="380"/>
      <c r="D983" s="60">
        <f>D$28</f>
        <v>0</v>
      </c>
      <c r="E983" s="221">
        <f>E$28</f>
        <v>0</v>
      </c>
      <c r="G983" s="9"/>
      <c r="H983" s="50" t="s">
        <v>157</v>
      </c>
      <c r="S983" s="335"/>
      <c r="T983" s="335"/>
      <c r="U983" s="335"/>
      <c r="V983" s="201">
        <f>V$335</f>
        <v>0</v>
      </c>
      <c r="W983" s="10">
        <f>W$335</f>
        <v>0</v>
      </c>
      <c r="X983" s="10">
        <f>X$335</f>
        <v>0</v>
      </c>
      <c r="Y983" s="10">
        <f>Y$335</f>
        <v>0</v>
      </c>
      <c r="AA983" s="10">
        <f t="shared" ref="AA983:BJ983" si="1133">AA$335</f>
        <v>0</v>
      </c>
      <c r="AB983" s="10">
        <f t="shared" si="1133"/>
        <v>0</v>
      </c>
      <c r="AC983" s="10">
        <f t="shared" si="1133"/>
        <v>0</v>
      </c>
      <c r="AD983" s="10">
        <f t="shared" si="1133"/>
        <v>0</v>
      </c>
      <c r="AE983" s="10">
        <f t="shared" si="1133"/>
        <v>0</v>
      </c>
      <c r="AF983" s="10">
        <f t="shared" si="1133"/>
        <v>0</v>
      </c>
      <c r="AG983" s="10">
        <f t="shared" si="1133"/>
        <v>0</v>
      </c>
      <c r="AH983" s="10">
        <f t="shared" si="1133"/>
        <v>0</v>
      </c>
      <c r="AI983" s="10">
        <f t="shared" si="1133"/>
        <v>0</v>
      </c>
      <c r="AJ983" s="10">
        <f t="shared" si="1133"/>
        <v>0</v>
      </c>
      <c r="AK983" s="10">
        <f t="shared" si="1133"/>
        <v>0</v>
      </c>
      <c r="AL983" s="10">
        <f t="shared" si="1133"/>
        <v>0</v>
      </c>
      <c r="AM983" s="10">
        <f t="shared" si="1133"/>
        <v>0</v>
      </c>
      <c r="AN983" s="10">
        <f t="shared" si="1133"/>
        <v>0</v>
      </c>
      <c r="AO983" s="10">
        <f t="shared" si="1133"/>
        <v>0</v>
      </c>
      <c r="AP983" s="10">
        <f t="shared" si="1133"/>
        <v>0</v>
      </c>
      <c r="AQ983" s="10">
        <f t="shared" si="1133"/>
        <v>0</v>
      </c>
      <c r="AR983" s="10">
        <f t="shared" si="1133"/>
        <v>0</v>
      </c>
      <c r="AS983" s="10">
        <f t="shared" si="1133"/>
        <v>0</v>
      </c>
      <c r="AT983" s="10">
        <f t="shared" si="1133"/>
        <v>0</v>
      </c>
      <c r="AU983" s="10">
        <f t="shared" si="1133"/>
        <v>0</v>
      </c>
      <c r="AV983" s="10">
        <f t="shared" si="1133"/>
        <v>0</v>
      </c>
      <c r="AW983" s="10">
        <f t="shared" si="1133"/>
        <v>0</v>
      </c>
      <c r="AX983" s="10">
        <f t="shared" si="1133"/>
        <v>0</v>
      </c>
      <c r="AY983" s="10">
        <f t="shared" si="1133"/>
        <v>0</v>
      </c>
      <c r="AZ983" s="10">
        <f t="shared" si="1133"/>
        <v>0</v>
      </c>
      <c r="BA983" s="10">
        <f t="shared" si="1133"/>
        <v>0</v>
      </c>
      <c r="BB983" s="10">
        <f t="shared" si="1133"/>
        <v>0</v>
      </c>
      <c r="BC983" s="10">
        <f t="shared" si="1133"/>
        <v>0</v>
      </c>
      <c r="BD983" s="10">
        <f t="shared" si="1133"/>
        <v>0</v>
      </c>
      <c r="BE983" s="10">
        <f t="shared" si="1133"/>
        <v>0</v>
      </c>
      <c r="BF983" s="10">
        <f t="shared" si="1133"/>
        <v>0</v>
      </c>
      <c r="BG983" s="10">
        <f t="shared" si="1133"/>
        <v>0</v>
      </c>
      <c r="BH983" s="10">
        <f t="shared" si="1133"/>
        <v>0</v>
      </c>
      <c r="BI983" s="10">
        <f t="shared" si="1133"/>
        <v>0</v>
      </c>
      <c r="BJ983" s="10">
        <f t="shared" si="1133"/>
        <v>0</v>
      </c>
      <c r="BL983" s="10">
        <f t="shared" ref="BL983:BW983" si="1134">BL$335</f>
        <v>0</v>
      </c>
      <c r="BM983" s="10">
        <f t="shared" si="1134"/>
        <v>0</v>
      </c>
      <c r="BN983" s="10">
        <f t="shared" si="1134"/>
        <v>0</v>
      </c>
      <c r="BO983" s="10">
        <f t="shared" si="1134"/>
        <v>0</v>
      </c>
      <c r="BP983" s="10">
        <f t="shared" si="1134"/>
        <v>0</v>
      </c>
      <c r="BQ983" s="10">
        <f t="shared" si="1134"/>
        <v>0</v>
      </c>
      <c r="BR983" s="10">
        <f t="shared" si="1134"/>
        <v>0</v>
      </c>
      <c r="BS983" s="10">
        <f t="shared" si="1134"/>
        <v>0</v>
      </c>
      <c r="BT983" s="10">
        <f t="shared" si="1134"/>
        <v>0</v>
      </c>
      <c r="BU983" s="10">
        <f t="shared" si="1134"/>
        <v>0</v>
      </c>
      <c r="BV983" s="10">
        <f t="shared" si="1134"/>
        <v>0</v>
      </c>
      <c r="BW983" s="10">
        <f t="shared" si="1134"/>
        <v>0</v>
      </c>
      <c r="BY983" s="12"/>
      <c r="BZ983" s="335"/>
      <c r="CA983" s="12"/>
      <c r="CB983" s="335"/>
      <c r="CC983" s="335"/>
      <c r="CD983" s="335"/>
      <c r="CE983" s="335"/>
      <c r="CM983" s="335"/>
      <c r="CN983" s="335"/>
      <c r="CO983" s="335"/>
      <c r="CP983" s="335"/>
      <c r="CR983" s="12"/>
      <c r="CT983" s="335"/>
      <c r="CU983" s="335"/>
      <c r="EW983" s="335"/>
      <c r="EX983" s="10" t="str">
        <f t="shared" si="1102"/>
        <v/>
      </c>
    </row>
    <row r="984" spans="1:154" s="67" customFormat="1" x14ac:dyDescent="0.25">
      <c r="B984" s="84" t="str" cm="1">
        <f t="array" aca="1" ref="B984" ca="1">HYPERLINK(CONCATENATE("#",CELL("address",$D$351)),$D$351)</f>
        <v>Loan 17</v>
      </c>
      <c r="C984" s="380"/>
      <c r="D984" s="60">
        <f>D$29</f>
        <v>0</v>
      </c>
      <c r="E984" s="221">
        <f>E$29</f>
        <v>0</v>
      </c>
      <c r="G984" s="9"/>
      <c r="H984" s="50" t="s">
        <v>157</v>
      </c>
      <c r="S984" s="335"/>
      <c r="T984" s="335"/>
      <c r="U984" s="335"/>
      <c r="V984" s="201">
        <f>V$354</f>
        <v>0</v>
      </c>
      <c r="W984" s="10">
        <f>W$354</f>
        <v>0</v>
      </c>
      <c r="X984" s="10">
        <f>X$354</f>
        <v>0</v>
      </c>
      <c r="Y984" s="10">
        <f>Y$354</f>
        <v>0</v>
      </c>
      <c r="AA984" s="10">
        <f t="shared" ref="AA984:BJ984" si="1135">AA$354</f>
        <v>0</v>
      </c>
      <c r="AB984" s="10">
        <f t="shared" si="1135"/>
        <v>0</v>
      </c>
      <c r="AC984" s="10">
        <f t="shared" si="1135"/>
        <v>0</v>
      </c>
      <c r="AD984" s="10">
        <f t="shared" si="1135"/>
        <v>0</v>
      </c>
      <c r="AE984" s="10">
        <f t="shared" si="1135"/>
        <v>0</v>
      </c>
      <c r="AF984" s="10">
        <f t="shared" si="1135"/>
        <v>0</v>
      </c>
      <c r="AG984" s="10">
        <f t="shared" si="1135"/>
        <v>0</v>
      </c>
      <c r="AH984" s="10">
        <f t="shared" si="1135"/>
        <v>0</v>
      </c>
      <c r="AI984" s="10">
        <f t="shared" si="1135"/>
        <v>0</v>
      </c>
      <c r="AJ984" s="10">
        <f t="shared" si="1135"/>
        <v>0</v>
      </c>
      <c r="AK984" s="10">
        <f t="shared" si="1135"/>
        <v>0</v>
      </c>
      <c r="AL984" s="10">
        <f t="shared" si="1135"/>
        <v>0</v>
      </c>
      <c r="AM984" s="10">
        <f t="shared" si="1135"/>
        <v>0</v>
      </c>
      <c r="AN984" s="10">
        <f t="shared" si="1135"/>
        <v>0</v>
      </c>
      <c r="AO984" s="10">
        <f t="shared" si="1135"/>
        <v>0</v>
      </c>
      <c r="AP984" s="10">
        <f t="shared" si="1135"/>
        <v>0</v>
      </c>
      <c r="AQ984" s="10">
        <f t="shared" si="1135"/>
        <v>0</v>
      </c>
      <c r="AR984" s="10">
        <f t="shared" si="1135"/>
        <v>0</v>
      </c>
      <c r="AS984" s="10">
        <f t="shared" si="1135"/>
        <v>0</v>
      </c>
      <c r="AT984" s="10">
        <f t="shared" si="1135"/>
        <v>0</v>
      </c>
      <c r="AU984" s="10">
        <f t="shared" si="1135"/>
        <v>0</v>
      </c>
      <c r="AV984" s="10">
        <f t="shared" si="1135"/>
        <v>0</v>
      </c>
      <c r="AW984" s="10">
        <f t="shared" si="1135"/>
        <v>0</v>
      </c>
      <c r="AX984" s="10">
        <f t="shared" si="1135"/>
        <v>0</v>
      </c>
      <c r="AY984" s="10">
        <f t="shared" si="1135"/>
        <v>0</v>
      </c>
      <c r="AZ984" s="10">
        <f t="shared" si="1135"/>
        <v>0</v>
      </c>
      <c r="BA984" s="10">
        <f t="shared" si="1135"/>
        <v>0</v>
      </c>
      <c r="BB984" s="10">
        <f t="shared" si="1135"/>
        <v>0</v>
      </c>
      <c r="BC984" s="10">
        <f t="shared" si="1135"/>
        <v>0</v>
      </c>
      <c r="BD984" s="10">
        <f t="shared" si="1135"/>
        <v>0</v>
      </c>
      <c r="BE984" s="10">
        <f t="shared" si="1135"/>
        <v>0</v>
      </c>
      <c r="BF984" s="10">
        <f t="shared" si="1135"/>
        <v>0</v>
      </c>
      <c r="BG984" s="10">
        <f t="shared" si="1135"/>
        <v>0</v>
      </c>
      <c r="BH984" s="10">
        <f t="shared" si="1135"/>
        <v>0</v>
      </c>
      <c r="BI984" s="10">
        <f t="shared" si="1135"/>
        <v>0</v>
      </c>
      <c r="BJ984" s="10">
        <f t="shared" si="1135"/>
        <v>0</v>
      </c>
      <c r="BL984" s="10">
        <f t="shared" ref="BL984:BW984" si="1136">BL$354</f>
        <v>0</v>
      </c>
      <c r="BM984" s="10">
        <f t="shared" si="1136"/>
        <v>0</v>
      </c>
      <c r="BN984" s="10">
        <f t="shared" si="1136"/>
        <v>0</v>
      </c>
      <c r="BO984" s="10">
        <f t="shared" si="1136"/>
        <v>0</v>
      </c>
      <c r="BP984" s="10">
        <f t="shared" si="1136"/>
        <v>0</v>
      </c>
      <c r="BQ984" s="10">
        <f t="shared" si="1136"/>
        <v>0</v>
      </c>
      <c r="BR984" s="10">
        <f t="shared" si="1136"/>
        <v>0</v>
      </c>
      <c r="BS984" s="10">
        <f t="shared" si="1136"/>
        <v>0</v>
      </c>
      <c r="BT984" s="10">
        <f t="shared" si="1136"/>
        <v>0</v>
      </c>
      <c r="BU984" s="10">
        <f t="shared" si="1136"/>
        <v>0</v>
      </c>
      <c r="BV984" s="10">
        <f t="shared" si="1136"/>
        <v>0</v>
      </c>
      <c r="BW984" s="10">
        <f t="shared" si="1136"/>
        <v>0</v>
      </c>
      <c r="BY984" s="12"/>
      <c r="BZ984" s="335"/>
      <c r="CA984" s="12"/>
      <c r="CB984" s="335"/>
      <c r="CC984" s="335"/>
      <c r="CD984" s="335"/>
      <c r="CE984" s="335"/>
      <c r="CM984" s="335"/>
      <c r="CN984" s="335"/>
      <c r="CO984" s="335"/>
      <c r="CP984" s="335"/>
      <c r="CR984" s="12"/>
      <c r="CT984" s="335"/>
      <c r="CU984" s="335"/>
      <c r="EW984" s="335"/>
      <c r="EX984" s="10" t="str">
        <f t="shared" si="1102"/>
        <v/>
      </c>
    </row>
    <row r="985" spans="1:154" s="67" customFormat="1" x14ac:dyDescent="0.25">
      <c r="B985" s="84" t="str" cm="1">
        <f t="array" aca="1" ref="B985" ca="1">HYPERLINK(CONCATENATE("#",CELL("address",$D$370)),$D$370)</f>
        <v>Loan 18</v>
      </c>
      <c r="C985" s="380"/>
      <c r="D985" s="60">
        <f>D$30</f>
        <v>0</v>
      </c>
      <c r="E985" s="221">
        <f>E$30</f>
        <v>0</v>
      </c>
      <c r="G985" s="9"/>
      <c r="H985" s="50" t="s">
        <v>157</v>
      </c>
      <c r="S985" s="335"/>
      <c r="T985" s="335"/>
      <c r="U985" s="335"/>
      <c r="V985" s="201">
        <f>V$373</f>
        <v>0</v>
      </c>
      <c r="W985" s="10">
        <f>W$373</f>
        <v>0</v>
      </c>
      <c r="X985" s="10">
        <f>X$373</f>
        <v>0</v>
      </c>
      <c r="Y985" s="10">
        <f>Y$373</f>
        <v>0</v>
      </c>
      <c r="AA985" s="10">
        <f t="shared" ref="AA985:BJ985" si="1137">AA$373</f>
        <v>0</v>
      </c>
      <c r="AB985" s="10">
        <f t="shared" si="1137"/>
        <v>0</v>
      </c>
      <c r="AC985" s="10">
        <f t="shared" si="1137"/>
        <v>0</v>
      </c>
      <c r="AD985" s="10">
        <f t="shared" si="1137"/>
        <v>0</v>
      </c>
      <c r="AE985" s="10">
        <f t="shared" si="1137"/>
        <v>0</v>
      </c>
      <c r="AF985" s="10">
        <f t="shared" si="1137"/>
        <v>0</v>
      </c>
      <c r="AG985" s="10">
        <f t="shared" si="1137"/>
        <v>0</v>
      </c>
      <c r="AH985" s="10">
        <f t="shared" si="1137"/>
        <v>0</v>
      </c>
      <c r="AI985" s="10">
        <f t="shared" si="1137"/>
        <v>0</v>
      </c>
      <c r="AJ985" s="10">
        <f t="shared" si="1137"/>
        <v>0</v>
      </c>
      <c r="AK985" s="10">
        <f t="shared" si="1137"/>
        <v>0</v>
      </c>
      <c r="AL985" s="10">
        <f t="shared" si="1137"/>
        <v>0</v>
      </c>
      <c r="AM985" s="10">
        <f t="shared" si="1137"/>
        <v>0</v>
      </c>
      <c r="AN985" s="10">
        <f t="shared" si="1137"/>
        <v>0</v>
      </c>
      <c r="AO985" s="10">
        <f t="shared" si="1137"/>
        <v>0</v>
      </c>
      <c r="AP985" s="10">
        <f t="shared" si="1137"/>
        <v>0</v>
      </c>
      <c r="AQ985" s="10">
        <f t="shared" si="1137"/>
        <v>0</v>
      </c>
      <c r="AR985" s="10">
        <f t="shared" si="1137"/>
        <v>0</v>
      </c>
      <c r="AS985" s="10">
        <f t="shared" si="1137"/>
        <v>0</v>
      </c>
      <c r="AT985" s="10">
        <f t="shared" si="1137"/>
        <v>0</v>
      </c>
      <c r="AU985" s="10">
        <f t="shared" si="1137"/>
        <v>0</v>
      </c>
      <c r="AV985" s="10">
        <f t="shared" si="1137"/>
        <v>0</v>
      </c>
      <c r="AW985" s="10">
        <f t="shared" si="1137"/>
        <v>0</v>
      </c>
      <c r="AX985" s="10">
        <f t="shared" si="1137"/>
        <v>0</v>
      </c>
      <c r="AY985" s="10">
        <f t="shared" si="1137"/>
        <v>0</v>
      </c>
      <c r="AZ985" s="10">
        <f t="shared" si="1137"/>
        <v>0</v>
      </c>
      <c r="BA985" s="10">
        <f t="shared" si="1137"/>
        <v>0</v>
      </c>
      <c r="BB985" s="10">
        <f t="shared" si="1137"/>
        <v>0</v>
      </c>
      <c r="BC985" s="10">
        <f t="shared" si="1137"/>
        <v>0</v>
      </c>
      <c r="BD985" s="10">
        <f t="shared" si="1137"/>
        <v>0</v>
      </c>
      <c r="BE985" s="10">
        <f t="shared" si="1137"/>
        <v>0</v>
      </c>
      <c r="BF985" s="10">
        <f t="shared" si="1137"/>
        <v>0</v>
      </c>
      <c r="BG985" s="10">
        <f t="shared" si="1137"/>
        <v>0</v>
      </c>
      <c r="BH985" s="10">
        <f t="shared" si="1137"/>
        <v>0</v>
      </c>
      <c r="BI985" s="10">
        <f t="shared" si="1137"/>
        <v>0</v>
      </c>
      <c r="BJ985" s="10">
        <f t="shared" si="1137"/>
        <v>0</v>
      </c>
      <c r="BL985" s="10">
        <f t="shared" ref="BL985:BW985" si="1138">BL$373</f>
        <v>0</v>
      </c>
      <c r="BM985" s="10">
        <f t="shared" si="1138"/>
        <v>0</v>
      </c>
      <c r="BN985" s="10">
        <f t="shared" si="1138"/>
        <v>0</v>
      </c>
      <c r="BO985" s="10">
        <f t="shared" si="1138"/>
        <v>0</v>
      </c>
      <c r="BP985" s="10">
        <f t="shared" si="1138"/>
        <v>0</v>
      </c>
      <c r="BQ985" s="10">
        <f t="shared" si="1138"/>
        <v>0</v>
      </c>
      <c r="BR985" s="10">
        <f t="shared" si="1138"/>
        <v>0</v>
      </c>
      <c r="BS985" s="10">
        <f t="shared" si="1138"/>
        <v>0</v>
      </c>
      <c r="BT985" s="10">
        <f t="shared" si="1138"/>
        <v>0</v>
      </c>
      <c r="BU985" s="10">
        <f t="shared" si="1138"/>
        <v>0</v>
      </c>
      <c r="BV985" s="10">
        <f t="shared" si="1138"/>
        <v>0</v>
      </c>
      <c r="BW985" s="10">
        <f t="shared" si="1138"/>
        <v>0</v>
      </c>
      <c r="BY985" s="12"/>
      <c r="BZ985" s="335"/>
      <c r="CA985" s="12"/>
      <c r="CB985" s="335"/>
      <c r="CC985" s="335"/>
      <c r="CD985" s="335"/>
      <c r="CE985" s="335"/>
      <c r="CM985" s="335"/>
      <c r="CN985" s="335"/>
      <c r="CO985" s="335"/>
      <c r="CP985" s="335"/>
      <c r="CR985" s="12"/>
      <c r="CT985" s="335"/>
      <c r="CU985" s="335"/>
      <c r="EW985" s="335"/>
      <c r="EX985" s="10" t="str">
        <f t="shared" si="1102"/>
        <v/>
      </c>
    </row>
    <row r="986" spans="1:154" s="67" customFormat="1" x14ac:dyDescent="0.25">
      <c r="B986" s="84" t="str" cm="1">
        <f t="array" aca="1" ref="B986" ca="1">HYPERLINK(CONCATENATE("#",CELL("address",$D$389)),$D$389)</f>
        <v>Loan 19</v>
      </c>
      <c r="C986" s="380"/>
      <c r="D986" s="60">
        <f>D$31</f>
        <v>0</v>
      </c>
      <c r="E986" s="221">
        <f>E$31</f>
        <v>0</v>
      </c>
      <c r="G986" s="9"/>
      <c r="H986" s="50" t="s">
        <v>157</v>
      </c>
      <c r="S986" s="335"/>
      <c r="T986" s="335"/>
      <c r="U986" s="335"/>
      <c r="V986" s="201">
        <f>V$392</f>
        <v>0</v>
      </c>
      <c r="W986" s="10">
        <f>W$392</f>
        <v>0</v>
      </c>
      <c r="X986" s="10">
        <f>X$392</f>
        <v>0</v>
      </c>
      <c r="Y986" s="10">
        <f>Y$392</f>
        <v>0</v>
      </c>
      <c r="AA986" s="10">
        <f t="shared" ref="AA986:BJ986" si="1139">AA$392</f>
        <v>0</v>
      </c>
      <c r="AB986" s="10">
        <f t="shared" si="1139"/>
        <v>0</v>
      </c>
      <c r="AC986" s="10">
        <f t="shared" si="1139"/>
        <v>0</v>
      </c>
      <c r="AD986" s="10">
        <f t="shared" si="1139"/>
        <v>0</v>
      </c>
      <c r="AE986" s="10">
        <f t="shared" si="1139"/>
        <v>0</v>
      </c>
      <c r="AF986" s="10">
        <f t="shared" si="1139"/>
        <v>0</v>
      </c>
      <c r="AG986" s="10">
        <f t="shared" si="1139"/>
        <v>0</v>
      </c>
      <c r="AH986" s="10">
        <f t="shared" si="1139"/>
        <v>0</v>
      </c>
      <c r="AI986" s="10">
        <f t="shared" si="1139"/>
        <v>0</v>
      </c>
      <c r="AJ986" s="10">
        <f t="shared" si="1139"/>
        <v>0</v>
      </c>
      <c r="AK986" s="10">
        <f t="shared" si="1139"/>
        <v>0</v>
      </c>
      <c r="AL986" s="10">
        <f t="shared" si="1139"/>
        <v>0</v>
      </c>
      <c r="AM986" s="10">
        <f t="shared" si="1139"/>
        <v>0</v>
      </c>
      <c r="AN986" s="10">
        <f t="shared" si="1139"/>
        <v>0</v>
      </c>
      <c r="AO986" s="10">
        <f t="shared" si="1139"/>
        <v>0</v>
      </c>
      <c r="AP986" s="10">
        <f t="shared" si="1139"/>
        <v>0</v>
      </c>
      <c r="AQ986" s="10">
        <f t="shared" si="1139"/>
        <v>0</v>
      </c>
      <c r="AR986" s="10">
        <f t="shared" si="1139"/>
        <v>0</v>
      </c>
      <c r="AS986" s="10">
        <f t="shared" si="1139"/>
        <v>0</v>
      </c>
      <c r="AT986" s="10">
        <f t="shared" si="1139"/>
        <v>0</v>
      </c>
      <c r="AU986" s="10">
        <f t="shared" si="1139"/>
        <v>0</v>
      </c>
      <c r="AV986" s="10">
        <f t="shared" si="1139"/>
        <v>0</v>
      </c>
      <c r="AW986" s="10">
        <f t="shared" si="1139"/>
        <v>0</v>
      </c>
      <c r="AX986" s="10">
        <f t="shared" si="1139"/>
        <v>0</v>
      </c>
      <c r="AY986" s="10">
        <f t="shared" si="1139"/>
        <v>0</v>
      </c>
      <c r="AZ986" s="10">
        <f t="shared" si="1139"/>
        <v>0</v>
      </c>
      <c r="BA986" s="10">
        <f t="shared" si="1139"/>
        <v>0</v>
      </c>
      <c r="BB986" s="10">
        <f t="shared" si="1139"/>
        <v>0</v>
      </c>
      <c r="BC986" s="10">
        <f t="shared" si="1139"/>
        <v>0</v>
      </c>
      <c r="BD986" s="10">
        <f t="shared" si="1139"/>
        <v>0</v>
      </c>
      <c r="BE986" s="10">
        <f t="shared" si="1139"/>
        <v>0</v>
      </c>
      <c r="BF986" s="10">
        <f t="shared" si="1139"/>
        <v>0</v>
      </c>
      <c r="BG986" s="10">
        <f t="shared" si="1139"/>
        <v>0</v>
      </c>
      <c r="BH986" s="10">
        <f t="shared" si="1139"/>
        <v>0</v>
      </c>
      <c r="BI986" s="10">
        <f t="shared" si="1139"/>
        <v>0</v>
      </c>
      <c r="BJ986" s="10">
        <f t="shared" si="1139"/>
        <v>0</v>
      </c>
      <c r="BL986" s="10">
        <f t="shared" ref="BL986:BW986" si="1140">BL$392</f>
        <v>0</v>
      </c>
      <c r="BM986" s="10">
        <f t="shared" si="1140"/>
        <v>0</v>
      </c>
      <c r="BN986" s="10">
        <f t="shared" si="1140"/>
        <v>0</v>
      </c>
      <c r="BO986" s="10">
        <f t="shared" si="1140"/>
        <v>0</v>
      </c>
      <c r="BP986" s="10">
        <f t="shared" si="1140"/>
        <v>0</v>
      </c>
      <c r="BQ986" s="10">
        <f t="shared" si="1140"/>
        <v>0</v>
      </c>
      <c r="BR986" s="10">
        <f t="shared" si="1140"/>
        <v>0</v>
      </c>
      <c r="BS986" s="10">
        <f t="shared" si="1140"/>
        <v>0</v>
      </c>
      <c r="BT986" s="10">
        <f t="shared" si="1140"/>
        <v>0</v>
      </c>
      <c r="BU986" s="10">
        <f t="shared" si="1140"/>
        <v>0</v>
      </c>
      <c r="BV986" s="10">
        <f t="shared" si="1140"/>
        <v>0</v>
      </c>
      <c r="BW986" s="10">
        <f t="shared" si="1140"/>
        <v>0</v>
      </c>
      <c r="BY986" s="12"/>
      <c r="BZ986" s="335"/>
      <c r="CA986" s="12"/>
      <c r="CB986" s="335"/>
      <c r="CC986" s="335"/>
      <c r="CD986" s="335"/>
      <c r="CE986" s="335"/>
      <c r="CM986" s="335"/>
      <c r="CN986" s="335"/>
      <c r="CO986" s="335"/>
      <c r="CP986" s="335"/>
      <c r="CR986" s="12"/>
      <c r="CT986" s="335"/>
      <c r="CU986" s="335"/>
      <c r="EW986" s="335"/>
      <c r="EX986" s="10" t="str">
        <f t="shared" si="1102"/>
        <v/>
      </c>
    </row>
    <row r="987" spans="1:154" s="67" customFormat="1" x14ac:dyDescent="0.25">
      <c r="B987" s="84" t="str" cm="1">
        <f t="array" aca="1" ref="B987" ca="1">HYPERLINK(CONCATENATE("#",CELL("address",$D$408)),$D$408)</f>
        <v>Loan 20</v>
      </c>
      <c r="C987" s="380"/>
      <c r="D987" s="60">
        <f>D$32</f>
        <v>0</v>
      </c>
      <c r="E987" s="221">
        <f>E$32</f>
        <v>0</v>
      </c>
      <c r="G987" s="9"/>
      <c r="H987" s="50" t="s">
        <v>157</v>
      </c>
      <c r="S987" s="335"/>
      <c r="T987" s="335"/>
      <c r="U987" s="335"/>
      <c r="V987" s="201">
        <f>V$411</f>
        <v>0</v>
      </c>
      <c r="W987" s="10">
        <f>W$411</f>
        <v>0</v>
      </c>
      <c r="X987" s="10">
        <f>X$411</f>
        <v>0</v>
      </c>
      <c r="Y987" s="10">
        <f>Y$411</f>
        <v>0</v>
      </c>
      <c r="AA987" s="10">
        <f t="shared" ref="AA987:BJ987" si="1141">AA$411</f>
        <v>0</v>
      </c>
      <c r="AB987" s="10">
        <f t="shared" si="1141"/>
        <v>0</v>
      </c>
      <c r="AC987" s="10">
        <f t="shared" si="1141"/>
        <v>0</v>
      </c>
      <c r="AD987" s="10">
        <f t="shared" si="1141"/>
        <v>0</v>
      </c>
      <c r="AE987" s="10">
        <f t="shared" si="1141"/>
        <v>0</v>
      </c>
      <c r="AF987" s="10">
        <f t="shared" si="1141"/>
        <v>0</v>
      </c>
      <c r="AG987" s="10">
        <f t="shared" si="1141"/>
        <v>0</v>
      </c>
      <c r="AH987" s="10">
        <f t="shared" si="1141"/>
        <v>0</v>
      </c>
      <c r="AI987" s="10">
        <f t="shared" si="1141"/>
        <v>0</v>
      </c>
      <c r="AJ987" s="10">
        <f t="shared" si="1141"/>
        <v>0</v>
      </c>
      <c r="AK987" s="10">
        <f t="shared" si="1141"/>
        <v>0</v>
      </c>
      <c r="AL987" s="10">
        <f t="shared" si="1141"/>
        <v>0</v>
      </c>
      <c r="AM987" s="10">
        <f t="shared" si="1141"/>
        <v>0</v>
      </c>
      <c r="AN987" s="10">
        <f t="shared" si="1141"/>
        <v>0</v>
      </c>
      <c r="AO987" s="10">
        <f t="shared" si="1141"/>
        <v>0</v>
      </c>
      <c r="AP987" s="10">
        <f t="shared" si="1141"/>
        <v>0</v>
      </c>
      <c r="AQ987" s="10">
        <f t="shared" si="1141"/>
        <v>0</v>
      </c>
      <c r="AR987" s="10">
        <f t="shared" si="1141"/>
        <v>0</v>
      </c>
      <c r="AS987" s="10">
        <f t="shared" si="1141"/>
        <v>0</v>
      </c>
      <c r="AT987" s="10">
        <f t="shared" si="1141"/>
        <v>0</v>
      </c>
      <c r="AU987" s="10">
        <f t="shared" si="1141"/>
        <v>0</v>
      </c>
      <c r="AV987" s="10">
        <f t="shared" si="1141"/>
        <v>0</v>
      </c>
      <c r="AW987" s="10">
        <f t="shared" si="1141"/>
        <v>0</v>
      </c>
      <c r="AX987" s="10">
        <f t="shared" si="1141"/>
        <v>0</v>
      </c>
      <c r="AY987" s="10">
        <f t="shared" si="1141"/>
        <v>0</v>
      </c>
      <c r="AZ987" s="10">
        <f t="shared" si="1141"/>
        <v>0</v>
      </c>
      <c r="BA987" s="10">
        <f t="shared" si="1141"/>
        <v>0</v>
      </c>
      <c r="BB987" s="10">
        <f t="shared" si="1141"/>
        <v>0</v>
      </c>
      <c r="BC987" s="10">
        <f t="shared" si="1141"/>
        <v>0</v>
      </c>
      <c r="BD987" s="10">
        <f t="shared" si="1141"/>
        <v>0</v>
      </c>
      <c r="BE987" s="10">
        <f t="shared" si="1141"/>
        <v>0</v>
      </c>
      <c r="BF987" s="10">
        <f t="shared" si="1141"/>
        <v>0</v>
      </c>
      <c r="BG987" s="10">
        <f t="shared" si="1141"/>
        <v>0</v>
      </c>
      <c r="BH987" s="10">
        <f t="shared" si="1141"/>
        <v>0</v>
      </c>
      <c r="BI987" s="10">
        <f t="shared" si="1141"/>
        <v>0</v>
      </c>
      <c r="BJ987" s="10">
        <f t="shared" si="1141"/>
        <v>0</v>
      </c>
      <c r="BL987" s="10">
        <f t="shared" ref="BL987:BW987" si="1142">BL$411</f>
        <v>0</v>
      </c>
      <c r="BM987" s="10">
        <f t="shared" si="1142"/>
        <v>0</v>
      </c>
      <c r="BN987" s="10">
        <f t="shared" si="1142"/>
        <v>0</v>
      </c>
      <c r="BO987" s="10">
        <f t="shared" si="1142"/>
        <v>0</v>
      </c>
      <c r="BP987" s="10">
        <f t="shared" si="1142"/>
        <v>0</v>
      </c>
      <c r="BQ987" s="10">
        <f t="shared" si="1142"/>
        <v>0</v>
      </c>
      <c r="BR987" s="10">
        <f t="shared" si="1142"/>
        <v>0</v>
      </c>
      <c r="BS987" s="10">
        <f t="shared" si="1142"/>
        <v>0</v>
      </c>
      <c r="BT987" s="10">
        <f t="shared" si="1142"/>
        <v>0</v>
      </c>
      <c r="BU987" s="10">
        <f t="shared" si="1142"/>
        <v>0</v>
      </c>
      <c r="BV987" s="10">
        <f t="shared" si="1142"/>
        <v>0</v>
      </c>
      <c r="BW987" s="10">
        <f t="shared" si="1142"/>
        <v>0</v>
      </c>
      <c r="BY987" s="12"/>
      <c r="BZ987" s="335"/>
      <c r="CA987" s="12"/>
      <c r="CB987" s="335"/>
      <c r="CC987" s="335"/>
      <c r="CD987" s="335"/>
      <c r="CE987" s="335"/>
      <c r="CM987" s="335"/>
      <c r="CN987" s="335"/>
      <c r="CO987" s="335"/>
      <c r="CP987" s="335"/>
      <c r="CR987" s="12"/>
      <c r="CT987" s="335"/>
      <c r="CU987" s="335"/>
      <c r="EW987" s="335"/>
      <c r="EX987" s="10" t="str">
        <f t="shared" si="1102"/>
        <v/>
      </c>
    </row>
    <row r="988" spans="1:154" s="67" customFormat="1" ht="6.6" customHeight="1" x14ac:dyDescent="0.25">
      <c r="C988" s="380"/>
      <c r="D988" s="1"/>
      <c r="S988" s="335"/>
      <c r="T988" s="335"/>
      <c r="U988" s="335"/>
      <c r="V988" s="93"/>
      <c r="BM988" s="6"/>
      <c r="BY988" s="42"/>
      <c r="BZ988" s="335"/>
      <c r="CA988" s="42"/>
      <c r="CB988" s="335"/>
      <c r="CC988" s="335"/>
      <c r="CD988" s="335"/>
      <c r="CE988" s="335"/>
      <c r="CM988" s="335"/>
      <c r="CN988" s="335"/>
      <c r="CO988" s="335"/>
      <c r="CP988" s="335"/>
      <c r="CR988" s="42"/>
      <c r="CT988" s="335"/>
      <c r="CU988" s="335"/>
      <c r="EW988" s="335"/>
      <c r="EX988" s="10" t="str">
        <f t="shared" si="1102"/>
        <v/>
      </c>
    </row>
    <row r="989" spans="1:154" s="67" customFormat="1" x14ac:dyDescent="0.25">
      <c r="C989" s="380"/>
      <c r="D989" s="61" t="str">
        <f>$D$52</f>
        <v>Closing Loan Balance</v>
      </c>
      <c r="S989" s="335"/>
      <c r="T989" s="335"/>
      <c r="U989" s="335"/>
      <c r="V989" s="93"/>
      <c r="BY989" s="12"/>
      <c r="BZ989" s="335"/>
      <c r="CA989" s="12"/>
      <c r="CB989" s="335"/>
      <c r="CC989" s="335"/>
      <c r="CD989" s="335"/>
      <c r="CE989" s="335"/>
      <c r="CM989" s="335"/>
      <c r="CN989" s="335"/>
      <c r="CO989" s="335"/>
      <c r="CP989" s="335"/>
      <c r="CR989" s="12"/>
      <c r="CT989" s="335"/>
      <c r="CU989" s="335"/>
      <c r="EW989" s="335"/>
      <c r="EX989" s="10" t="str">
        <f t="shared" si="1102"/>
        <v/>
      </c>
    </row>
    <row r="990" spans="1:154" s="67" customFormat="1" x14ac:dyDescent="0.25">
      <c r="B990" s="138" t="s">
        <v>551</v>
      </c>
      <c r="C990" s="380"/>
      <c r="D990" s="5" t="str">
        <f>D$11</f>
        <v>Lender</v>
      </c>
      <c r="E990" s="5" t="str">
        <f>E$11</f>
        <v>Loan Category</v>
      </c>
      <c r="S990" s="335"/>
      <c r="T990" s="335"/>
      <c r="U990" s="335"/>
      <c r="V990" s="93"/>
      <c r="BY990" s="12"/>
      <c r="BZ990" s="335"/>
      <c r="CA990" s="12"/>
      <c r="CB990" s="335"/>
      <c r="CC990" s="335"/>
      <c r="CD990" s="335"/>
      <c r="CE990" s="335"/>
      <c r="CM990" s="335"/>
      <c r="CN990" s="335"/>
      <c r="CO990" s="335"/>
      <c r="CP990" s="335"/>
      <c r="CR990" s="12"/>
      <c r="CT990" s="335"/>
      <c r="CU990" s="335"/>
      <c r="EW990" s="335"/>
      <c r="EX990" s="10" t="str">
        <f t="shared" si="1102"/>
        <v/>
      </c>
    </row>
    <row r="991" spans="1:154" s="67" customFormat="1" x14ac:dyDescent="0.25">
      <c r="B991" s="84" t="str" cm="1">
        <f t="array" aca="1" ref="B991" ca="1">HYPERLINK(CONCATENATE("#",CELL("address",$D$47)),$D$47)</f>
        <v>Loan 1</v>
      </c>
      <c r="C991" s="380"/>
      <c r="D991" s="60" t="str">
        <f>D$13</f>
        <v>NatWest</v>
      </c>
      <c r="E991" s="221" t="str">
        <f>E$13</f>
        <v xml:space="preserve">Commercial </v>
      </c>
      <c r="G991" s="9"/>
      <c r="H991" s="50" t="s">
        <v>125</v>
      </c>
      <c r="I991" s="65"/>
      <c r="S991" s="335"/>
      <c r="T991" s="335"/>
      <c r="U991" s="335"/>
      <c r="V991" s="201">
        <f>V$52</f>
        <v>57</v>
      </c>
      <c r="W991" s="10">
        <f>W$52</f>
        <v>0</v>
      </c>
      <c r="X991" s="10">
        <f>X$52</f>
        <v>0</v>
      </c>
      <c r="Y991" s="10">
        <f>Y$52</f>
        <v>0</v>
      </c>
      <c r="AA991" s="10">
        <f t="shared" ref="AA991:BJ991" si="1143">AA$52</f>
        <v>46</v>
      </c>
      <c r="AB991" s="10">
        <f t="shared" si="1143"/>
        <v>35</v>
      </c>
      <c r="AC991" s="10">
        <f t="shared" si="1143"/>
        <v>24</v>
      </c>
      <c r="AD991" s="10">
        <f t="shared" si="1143"/>
        <v>13</v>
      </c>
      <c r="AE991" s="10">
        <f t="shared" si="1143"/>
        <v>2</v>
      </c>
      <c r="AF991" s="10">
        <f t="shared" si="1143"/>
        <v>0</v>
      </c>
      <c r="AG991" s="10">
        <f t="shared" si="1143"/>
        <v>0</v>
      </c>
      <c r="AH991" s="10">
        <f t="shared" si="1143"/>
        <v>0</v>
      </c>
      <c r="AI991" s="10">
        <f t="shared" si="1143"/>
        <v>0</v>
      </c>
      <c r="AJ991" s="10">
        <f t="shared" si="1143"/>
        <v>0</v>
      </c>
      <c r="AK991" s="10">
        <f t="shared" si="1143"/>
        <v>0</v>
      </c>
      <c r="AL991" s="10">
        <f t="shared" si="1143"/>
        <v>0</v>
      </c>
      <c r="AM991" s="10">
        <f t="shared" si="1143"/>
        <v>0</v>
      </c>
      <c r="AN991" s="10">
        <f t="shared" si="1143"/>
        <v>0</v>
      </c>
      <c r="AO991" s="10">
        <f t="shared" si="1143"/>
        <v>0</v>
      </c>
      <c r="AP991" s="10">
        <f t="shared" si="1143"/>
        <v>0</v>
      </c>
      <c r="AQ991" s="10">
        <f t="shared" si="1143"/>
        <v>0</v>
      </c>
      <c r="AR991" s="10">
        <f t="shared" si="1143"/>
        <v>0</v>
      </c>
      <c r="AS991" s="10">
        <f t="shared" si="1143"/>
        <v>0</v>
      </c>
      <c r="AT991" s="10">
        <f t="shared" si="1143"/>
        <v>0</v>
      </c>
      <c r="AU991" s="10">
        <f t="shared" si="1143"/>
        <v>0</v>
      </c>
      <c r="AV991" s="10">
        <f t="shared" si="1143"/>
        <v>0</v>
      </c>
      <c r="AW991" s="10">
        <f t="shared" si="1143"/>
        <v>0</v>
      </c>
      <c r="AX991" s="10">
        <f t="shared" si="1143"/>
        <v>0</v>
      </c>
      <c r="AY991" s="10">
        <f t="shared" si="1143"/>
        <v>0</v>
      </c>
      <c r="AZ991" s="10">
        <f t="shared" si="1143"/>
        <v>0</v>
      </c>
      <c r="BA991" s="10">
        <f t="shared" si="1143"/>
        <v>0</v>
      </c>
      <c r="BB991" s="10">
        <f t="shared" si="1143"/>
        <v>0</v>
      </c>
      <c r="BC991" s="10">
        <f t="shared" si="1143"/>
        <v>0</v>
      </c>
      <c r="BD991" s="10">
        <f t="shared" si="1143"/>
        <v>0</v>
      </c>
      <c r="BE991" s="10">
        <f t="shared" si="1143"/>
        <v>0</v>
      </c>
      <c r="BF991" s="10">
        <f t="shared" si="1143"/>
        <v>0</v>
      </c>
      <c r="BG991" s="10">
        <f t="shared" si="1143"/>
        <v>0</v>
      </c>
      <c r="BH991" s="10">
        <f t="shared" si="1143"/>
        <v>0</v>
      </c>
      <c r="BI991" s="10">
        <f t="shared" si="1143"/>
        <v>0</v>
      </c>
      <c r="BJ991" s="10">
        <f t="shared" si="1143"/>
        <v>0</v>
      </c>
      <c r="BL991" s="10">
        <f t="shared" ref="BL991:BW991" si="1144">BL$52</f>
        <v>57</v>
      </c>
      <c r="BM991" s="10">
        <f t="shared" si="1144"/>
        <v>0</v>
      </c>
      <c r="BN991" s="10">
        <f t="shared" si="1144"/>
        <v>0</v>
      </c>
      <c r="BO991" s="10">
        <f t="shared" si="1144"/>
        <v>0</v>
      </c>
      <c r="BP991" s="10">
        <f t="shared" si="1144"/>
        <v>0</v>
      </c>
      <c r="BQ991" s="10">
        <f t="shared" si="1144"/>
        <v>0</v>
      </c>
      <c r="BR991" s="10">
        <f t="shared" si="1144"/>
        <v>0</v>
      </c>
      <c r="BS991" s="10">
        <f t="shared" si="1144"/>
        <v>0</v>
      </c>
      <c r="BT991" s="10">
        <f t="shared" si="1144"/>
        <v>0</v>
      </c>
      <c r="BU991" s="10">
        <f t="shared" si="1144"/>
        <v>0</v>
      </c>
      <c r="BV991" s="10">
        <f t="shared" si="1144"/>
        <v>0</v>
      </c>
      <c r="BW991" s="10">
        <f t="shared" si="1144"/>
        <v>0</v>
      </c>
      <c r="BY991" s="12"/>
      <c r="BZ991" s="335"/>
      <c r="CA991" s="12"/>
      <c r="CB991" s="335"/>
      <c r="CC991" s="335"/>
      <c r="CD991" s="335"/>
      <c r="CE991" s="335"/>
      <c r="CM991" s="335"/>
      <c r="CN991" s="335"/>
      <c r="CO991" s="335"/>
      <c r="CP991" s="335"/>
      <c r="CR991" s="12"/>
      <c r="CT991" s="335"/>
      <c r="CU991" s="335"/>
      <c r="EW991" s="335"/>
      <c r="EX991" s="10" t="str">
        <f t="shared" si="1102"/>
        <v/>
      </c>
    </row>
    <row r="992" spans="1:154" s="67" customFormat="1" x14ac:dyDescent="0.25">
      <c r="B992" s="84" t="str" cm="1">
        <f t="array" aca="1" ref="B992" ca="1">HYPERLINK(CONCATENATE("#",CELL("address",$D$66)),$D$66)</f>
        <v>Loan 2</v>
      </c>
      <c r="C992" s="380"/>
      <c r="D992" s="60" t="str">
        <f>D$14</f>
        <v>NatWest</v>
      </c>
      <c r="E992" s="221" t="str">
        <f>E$14</f>
        <v xml:space="preserve">Commercial </v>
      </c>
      <c r="G992" s="9"/>
      <c r="H992" s="50" t="s">
        <v>125</v>
      </c>
      <c r="S992" s="335"/>
      <c r="T992" s="335"/>
      <c r="U992" s="335"/>
      <c r="V992" s="201">
        <f>V$71</f>
        <v>729</v>
      </c>
      <c r="W992" s="10">
        <f>W$71</f>
        <v>640</v>
      </c>
      <c r="X992" s="10">
        <f>X$71</f>
        <v>551</v>
      </c>
      <c r="Y992" s="10">
        <f>Y$71</f>
        <v>462</v>
      </c>
      <c r="AA992" s="10">
        <f t="shared" ref="AA992:BJ992" si="1145">AA$71</f>
        <v>721</v>
      </c>
      <c r="AB992" s="10">
        <f t="shared" si="1145"/>
        <v>713</v>
      </c>
      <c r="AC992" s="10">
        <f t="shared" si="1145"/>
        <v>705</v>
      </c>
      <c r="AD992" s="10">
        <f t="shared" si="1145"/>
        <v>697</v>
      </c>
      <c r="AE992" s="10">
        <f t="shared" si="1145"/>
        <v>689</v>
      </c>
      <c r="AF992" s="10">
        <f t="shared" si="1145"/>
        <v>682</v>
      </c>
      <c r="AG992" s="10">
        <f t="shared" si="1145"/>
        <v>675</v>
      </c>
      <c r="AH992" s="10">
        <f t="shared" si="1145"/>
        <v>668</v>
      </c>
      <c r="AI992" s="10">
        <f t="shared" si="1145"/>
        <v>661</v>
      </c>
      <c r="AJ992" s="10">
        <f t="shared" si="1145"/>
        <v>654</v>
      </c>
      <c r="AK992" s="10">
        <f t="shared" si="1145"/>
        <v>647</v>
      </c>
      <c r="AL992" s="10">
        <f t="shared" si="1145"/>
        <v>640</v>
      </c>
      <c r="AM992" s="10">
        <f t="shared" si="1145"/>
        <v>632</v>
      </c>
      <c r="AN992" s="10">
        <f t="shared" si="1145"/>
        <v>624</v>
      </c>
      <c r="AO992" s="10">
        <f t="shared" si="1145"/>
        <v>616</v>
      </c>
      <c r="AP992" s="10">
        <f t="shared" si="1145"/>
        <v>608</v>
      </c>
      <c r="AQ992" s="10">
        <f t="shared" si="1145"/>
        <v>600</v>
      </c>
      <c r="AR992" s="10">
        <f t="shared" si="1145"/>
        <v>593</v>
      </c>
      <c r="AS992" s="10">
        <f t="shared" si="1145"/>
        <v>586</v>
      </c>
      <c r="AT992" s="10">
        <f t="shared" si="1145"/>
        <v>579</v>
      </c>
      <c r="AU992" s="10">
        <f t="shared" si="1145"/>
        <v>572</v>
      </c>
      <c r="AV992" s="10">
        <f t="shared" si="1145"/>
        <v>565</v>
      </c>
      <c r="AW992" s="10">
        <f t="shared" si="1145"/>
        <v>558</v>
      </c>
      <c r="AX992" s="10">
        <f t="shared" si="1145"/>
        <v>551</v>
      </c>
      <c r="AY992" s="10">
        <f t="shared" si="1145"/>
        <v>543</v>
      </c>
      <c r="AZ992" s="10">
        <f t="shared" si="1145"/>
        <v>535</v>
      </c>
      <c r="BA992" s="10">
        <f t="shared" si="1145"/>
        <v>527</v>
      </c>
      <c r="BB992" s="10">
        <f t="shared" si="1145"/>
        <v>519</v>
      </c>
      <c r="BC992" s="10">
        <f t="shared" si="1145"/>
        <v>511</v>
      </c>
      <c r="BD992" s="10">
        <f t="shared" si="1145"/>
        <v>504</v>
      </c>
      <c r="BE992" s="10">
        <f t="shared" si="1145"/>
        <v>497</v>
      </c>
      <c r="BF992" s="10">
        <f t="shared" si="1145"/>
        <v>490</v>
      </c>
      <c r="BG992" s="10">
        <f t="shared" si="1145"/>
        <v>483</v>
      </c>
      <c r="BH992" s="10">
        <f t="shared" si="1145"/>
        <v>476</v>
      </c>
      <c r="BI992" s="10">
        <f t="shared" si="1145"/>
        <v>469</v>
      </c>
      <c r="BJ992" s="10">
        <f t="shared" si="1145"/>
        <v>462</v>
      </c>
      <c r="BL992" s="10">
        <f t="shared" ref="BL992:BW992" si="1146">BL$71</f>
        <v>729</v>
      </c>
      <c r="BM992" s="10">
        <f t="shared" si="1146"/>
        <v>640</v>
      </c>
      <c r="BN992" s="10">
        <f t="shared" si="1146"/>
        <v>551</v>
      </c>
      <c r="BO992" s="10">
        <f t="shared" si="1146"/>
        <v>462</v>
      </c>
      <c r="BP992" s="10">
        <f t="shared" si="1146"/>
        <v>462</v>
      </c>
      <c r="BQ992" s="10">
        <f t="shared" si="1146"/>
        <v>462</v>
      </c>
      <c r="BR992" s="10">
        <f t="shared" si="1146"/>
        <v>462</v>
      </c>
      <c r="BS992" s="10">
        <f t="shared" si="1146"/>
        <v>462</v>
      </c>
      <c r="BT992" s="10">
        <f t="shared" si="1146"/>
        <v>462</v>
      </c>
      <c r="BU992" s="10">
        <f t="shared" si="1146"/>
        <v>462</v>
      </c>
      <c r="BV992" s="10">
        <f t="shared" si="1146"/>
        <v>462</v>
      </c>
      <c r="BW992" s="10">
        <f t="shared" si="1146"/>
        <v>462</v>
      </c>
      <c r="BY992" s="12"/>
      <c r="BZ992" s="335"/>
      <c r="CA992" s="12"/>
      <c r="CB992" s="335"/>
      <c r="CC992" s="335"/>
      <c r="CD992" s="335"/>
      <c r="CE992" s="335"/>
      <c r="CM992" s="335"/>
      <c r="CN992" s="335"/>
      <c r="CO992" s="335"/>
      <c r="CP992" s="335"/>
      <c r="CR992" s="12"/>
      <c r="CT992" s="335"/>
      <c r="CU992" s="335"/>
      <c r="EW992" s="335"/>
      <c r="EX992" s="10" t="str">
        <f t="shared" si="1102"/>
        <v/>
      </c>
    </row>
    <row r="993" spans="1:154" s="67" customFormat="1" x14ac:dyDescent="0.25">
      <c r="B993" s="84" t="str" cm="1">
        <f t="array" aca="1" ref="B993" ca="1">HYPERLINK(CONCATENATE("#",CELL("address",$D$85)),$D$85)</f>
        <v>Loan 3</v>
      </c>
      <c r="C993" s="380"/>
      <c r="D993" s="60" t="str">
        <f>D$15</f>
        <v>NatWest</v>
      </c>
      <c r="E993" s="221" t="str">
        <f>E$15</f>
        <v xml:space="preserve">Commercial </v>
      </c>
      <c r="G993" s="9"/>
      <c r="H993" s="50" t="s">
        <v>125</v>
      </c>
      <c r="S993" s="335"/>
      <c r="T993" s="335"/>
      <c r="U993" s="335"/>
      <c r="V993" s="201">
        <f>V$90</f>
        <v>712</v>
      </c>
      <c r="W993" s="10">
        <f>W$90</f>
        <v>643</v>
      </c>
      <c r="X993" s="10">
        <f>X$90</f>
        <v>574</v>
      </c>
      <c r="Y993" s="10">
        <f>Y$90</f>
        <v>505</v>
      </c>
      <c r="AA993" s="10">
        <f t="shared" ref="AA993:BJ993" si="1147">AA$90</f>
        <v>707</v>
      </c>
      <c r="AB993" s="10">
        <f t="shared" si="1147"/>
        <v>702</v>
      </c>
      <c r="AC993" s="10">
        <f t="shared" si="1147"/>
        <v>697</v>
      </c>
      <c r="AD993" s="10">
        <f t="shared" si="1147"/>
        <v>691</v>
      </c>
      <c r="AE993" s="10">
        <f t="shared" si="1147"/>
        <v>685</v>
      </c>
      <c r="AF993" s="10">
        <f t="shared" si="1147"/>
        <v>679</v>
      </c>
      <c r="AG993" s="10">
        <f t="shared" si="1147"/>
        <v>673</v>
      </c>
      <c r="AH993" s="10">
        <f t="shared" si="1147"/>
        <v>667</v>
      </c>
      <c r="AI993" s="10">
        <f t="shared" si="1147"/>
        <v>661</v>
      </c>
      <c r="AJ993" s="10">
        <f t="shared" si="1147"/>
        <v>655</v>
      </c>
      <c r="AK993" s="10">
        <f t="shared" si="1147"/>
        <v>649</v>
      </c>
      <c r="AL993" s="10">
        <f t="shared" si="1147"/>
        <v>643</v>
      </c>
      <c r="AM993" s="10">
        <f t="shared" si="1147"/>
        <v>638</v>
      </c>
      <c r="AN993" s="10">
        <f t="shared" si="1147"/>
        <v>633</v>
      </c>
      <c r="AO993" s="10">
        <f t="shared" si="1147"/>
        <v>628</v>
      </c>
      <c r="AP993" s="10">
        <f t="shared" si="1147"/>
        <v>622</v>
      </c>
      <c r="AQ993" s="10">
        <f t="shared" si="1147"/>
        <v>616</v>
      </c>
      <c r="AR993" s="10">
        <f t="shared" si="1147"/>
        <v>610</v>
      </c>
      <c r="AS993" s="10">
        <f t="shared" si="1147"/>
        <v>604</v>
      </c>
      <c r="AT993" s="10">
        <f t="shared" si="1147"/>
        <v>598</v>
      </c>
      <c r="AU993" s="10">
        <f t="shared" si="1147"/>
        <v>592</v>
      </c>
      <c r="AV993" s="10">
        <f t="shared" si="1147"/>
        <v>586</v>
      </c>
      <c r="AW993" s="10">
        <f t="shared" si="1147"/>
        <v>580</v>
      </c>
      <c r="AX993" s="10">
        <f t="shared" si="1147"/>
        <v>574</v>
      </c>
      <c r="AY993" s="10">
        <f t="shared" si="1147"/>
        <v>569</v>
      </c>
      <c r="AZ993" s="10">
        <f t="shared" si="1147"/>
        <v>564</v>
      </c>
      <c r="BA993" s="10">
        <f t="shared" si="1147"/>
        <v>559</v>
      </c>
      <c r="BB993" s="10">
        <f t="shared" si="1147"/>
        <v>553</v>
      </c>
      <c r="BC993" s="10">
        <f t="shared" si="1147"/>
        <v>547</v>
      </c>
      <c r="BD993" s="10">
        <f t="shared" si="1147"/>
        <v>541</v>
      </c>
      <c r="BE993" s="10">
        <f t="shared" si="1147"/>
        <v>535</v>
      </c>
      <c r="BF993" s="10">
        <f t="shared" si="1147"/>
        <v>529</v>
      </c>
      <c r="BG993" s="10">
        <f t="shared" si="1147"/>
        <v>523</v>
      </c>
      <c r="BH993" s="10">
        <f t="shared" si="1147"/>
        <v>517</v>
      </c>
      <c r="BI993" s="10">
        <f t="shared" si="1147"/>
        <v>511</v>
      </c>
      <c r="BJ993" s="10">
        <f t="shared" si="1147"/>
        <v>505</v>
      </c>
      <c r="BL993" s="10">
        <f t="shared" ref="BL993:BW993" si="1148">BL$90</f>
        <v>712</v>
      </c>
      <c r="BM993" s="10">
        <f t="shared" si="1148"/>
        <v>643</v>
      </c>
      <c r="BN993" s="10">
        <f t="shared" si="1148"/>
        <v>574</v>
      </c>
      <c r="BO993" s="10">
        <f t="shared" si="1148"/>
        <v>505</v>
      </c>
      <c r="BP993" s="10">
        <f t="shared" si="1148"/>
        <v>505</v>
      </c>
      <c r="BQ993" s="10">
        <f t="shared" si="1148"/>
        <v>505</v>
      </c>
      <c r="BR993" s="10">
        <f t="shared" si="1148"/>
        <v>505</v>
      </c>
      <c r="BS993" s="10">
        <f t="shared" si="1148"/>
        <v>505</v>
      </c>
      <c r="BT993" s="10">
        <f t="shared" si="1148"/>
        <v>505</v>
      </c>
      <c r="BU993" s="10">
        <f t="shared" si="1148"/>
        <v>505</v>
      </c>
      <c r="BV993" s="10">
        <f t="shared" si="1148"/>
        <v>505</v>
      </c>
      <c r="BW993" s="10">
        <f t="shared" si="1148"/>
        <v>505</v>
      </c>
      <c r="BY993" s="12"/>
      <c r="BZ993" s="335"/>
      <c r="CA993" s="12"/>
      <c r="CB993" s="335"/>
      <c r="CC993" s="335"/>
      <c r="CD993" s="335"/>
      <c r="CE993" s="335"/>
      <c r="CM993" s="335"/>
      <c r="CN993" s="335"/>
      <c r="CO993" s="335"/>
      <c r="CP993" s="335"/>
      <c r="CR993" s="12"/>
      <c r="CT993" s="335"/>
      <c r="CU993" s="335"/>
      <c r="EW993" s="335"/>
      <c r="EX993" s="10" t="str">
        <f t="shared" si="1102"/>
        <v/>
      </c>
    </row>
    <row r="994" spans="1:154" s="67" customFormat="1" x14ac:dyDescent="0.25">
      <c r="B994" s="84" t="str" cm="1">
        <f t="array" aca="1" ref="B994" ca="1">HYPERLINK(CONCATENATE("#",CELL("address",$D$104)),$D$104)</f>
        <v>Loan 4</v>
      </c>
      <c r="C994" s="380"/>
      <c r="D994" s="60" t="str">
        <f>D$16</f>
        <v>NatWest</v>
      </c>
      <c r="E994" s="221" t="str">
        <f>E$16</f>
        <v xml:space="preserve">Commercial </v>
      </c>
      <c r="G994" s="9"/>
      <c r="H994" s="50" t="s">
        <v>125</v>
      </c>
      <c r="S994" s="335"/>
      <c r="T994" s="335"/>
      <c r="U994" s="335"/>
      <c r="V994" s="201">
        <f>V$109</f>
        <v>727</v>
      </c>
      <c r="W994" s="10">
        <f>W$109</f>
        <v>665</v>
      </c>
      <c r="X994" s="10">
        <f>X$109</f>
        <v>603</v>
      </c>
      <c r="Y994" s="10">
        <f>Y$109</f>
        <v>541</v>
      </c>
      <c r="AA994" s="10">
        <f t="shared" ref="AA994:BJ994" si="1149">AA$109</f>
        <v>712</v>
      </c>
      <c r="AB994" s="10">
        <f t="shared" si="1149"/>
        <v>712</v>
      </c>
      <c r="AC994" s="10">
        <f t="shared" si="1149"/>
        <v>712</v>
      </c>
      <c r="AD994" s="10">
        <f t="shared" si="1149"/>
        <v>697</v>
      </c>
      <c r="AE994" s="10">
        <f t="shared" si="1149"/>
        <v>697</v>
      </c>
      <c r="AF994" s="10">
        <f t="shared" si="1149"/>
        <v>697</v>
      </c>
      <c r="AG994" s="10">
        <f t="shared" si="1149"/>
        <v>681</v>
      </c>
      <c r="AH994" s="10">
        <f t="shared" si="1149"/>
        <v>681</v>
      </c>
      <c r="AI994" s="10">
        <f t="shared" si="1149"/>
        <v>681</v>
      </c>
      <c r="AJ994" s="10">
        <f t="shared" si="1149"/>
        <v>665</v>
      </c>
      <c r="AK994" s="10">
        <f t="shared" si="1149"/>
        <v>665</v>
      </c>
      <c r="AL994" s="10">
        <f t="shared" si="1149"/>
        <v>665</v>
      </c>
      <c r="AM994" s="10">
        <f t="shared" si="1149"/>
        <v>650</v>
      </c>
      <c r="AN994" s="10">
        <f t="shared" si="1149"/>
        <v>650</v>
      </c>
      <c r="AO994" s="10">
        <f t="shared" si="1149"/>
        <v>650</v>
      </c>
      <c r="AP994" s="10">
        <f t="shared" si="1149"/>
        <v>635</v>
      </c>
      <c r="AQ994" s="10">
        <f t="shared" si="1149"/>
        <v>635</v>
      </c>
      <c r="AR994" s="10">
        <f t="shared" si="1149"/>
        <v>635</v>
      </c>
      <c r="AS994" s="10">
        <f t="shared" si="1149"/>
        <v>619</v>
      </c>
      <c r="AT994" s="10">
        <f t="shared" si="1149"/>
        <v>619</v>
      </c>
      <c r="AU994" s="10">
        <f t="shared" si="1149"/>
        <v>619</v>
      </c>
      <c r="AV994" s="10">
        <f t="shared" si="1149"/>
        <v>603</v>
      </c>
      <c r="AW994" s="10">
        <f t="shared" si="1149"/>
        <v>603</v>
      </c>
      <c r="AX994" s="10">
        <f t="shared" si="1149"/>
        <v>603</v>
      </c>
      <c r="AY994" s="10">
        <f t="shared" si="1149"/>
        <v>588</v>
      </c>
      <c r="AZ994" s="10">
        <f t="shared" si="1149"/>
        <v>588</v>
      </c>
      <c r="BA994" s="10">
        <f t="shared" si="1149"/>
        <v>588</v>
      </c>
      <c r="BB994" s="10">
        <f t="shared" si="1149"/>
        <v>573</v>
      </c>
      <c r="BC994" s="10">
        <f t="shared" si="1149"/>
        <v>573</v>
      </c>
      <c r="BD994" s="10">
        <f t="shared" si="1149"/>
        <v>573</v>
      </c>
      <c r="BE994" s="10">
        <f t="shared" si="1149"/>
        <v>557</v>
      </c>
      <c r="BF994" s="10">
        <f t="shared" si="1149"/>
        <v>557</v>
      </c>
      <c r="BG994" s="10">
        <f t="shared" si="1149"/>
        <v>557</v>
      </c>
      <c r="BH994" s="10">
        <f t="shared" si="1149"/>
        <v>541</v>
      </c>
      <c r="BI994" s="10">
        <f t="shared" si="1149"/>
        <v>541</v>
      </c>
      <c r="BJ994" s="10">
        <f t="shared" si="1149"/>
        <v>541</v>
      </c>
      <c r="BL994" s="10">
        <f t="shared" ref="BL994:BW994" si="1150">BL$109</f>
        <v>727</v>
      </c>
      <c r="BM994" s="10">
        <f t="shared" si="1150"/>
        <v>665</v>
      </c>
      <c r="BN994" s="10">
        <f t="shared" si="1150"/>
        <v>603</v>
      </c>
      <c r="BO994" s="10">
        <f t="shared" si="1150"/>
        <v>541</v>
      </c>
      <c r="BP994" s="10">
        <f t="shared" si="1150"/>
        <v>541</v>
      </c>
      <c r="BQ994" s="10">
        <f t="shared" si="1150"/>
        <v>541</v>
      </c>
      <c r="BR994" s="10">
        <f t="shared" si="1150"/>
        <v>541</v>
      </c>
      <c r="BS994" s="10">
        <f t="shared" si="1150"/>
        <v>541</v>
      </c>
      <c r="BT994" s="10">
        <f t="shared" si="1150"/>
        <v>541</v>
      </c>
      <c r="BU994" s="10">
        <f t="shared" si="1150"/>
        <v>541</v>
      </c>
      <c r="BV994" s="10">
        <f t="shared" si="1150"/>
        <v>541</v>
      </c>
      <c r="BW994" s="10">
        <f t="shared" si="1150"/>
        <v>541</v>
      </c>
      <c r="BY994" s="12"/>
      <c r="BZ994" s="335"/>
      <c r="CA994" s="12"/>
      <c r="CB994" s="335"/>
      <c r="CC994" s="335"/>
      <c r="CD994" s="335"/>
      <c r="CE994" s="335"/>
      <c r="CM994" s="335"/>
      <c r="CN994" s="335"/>
      <c r="CO994" s="335"/>
      <c r="CP994" s="335"/>
      <c r="CR994" s="12"/>
      <c r="CT994" s="335"/>
      <c r="CU994" s="335"/>
      <c r="EW994" s="335"/>
      <c r="EX994" s="10" t="str">
        <f t="shared" si="1102"/>
        <v/>
      </c>
    </row>
    <row r="995" spans="1:154" s="67" customFormat="1" x14ac:dyDescent="0.25">
      <c r="B995" s="84" t="str" cm="1">
        <f t="array" aca="1" ref="B995" ca="1">HYPERLINK(CONCATENATE("#",CELL("address",$D$123)),$D$123)</f>
        <v>Loan 5</v>
      </c>
      <c r="C995" s="380"/>
      <c r="D995" s="60" t="str">
        <f>D$17</f>
        <v>NatWest</v>
      </c>
      <c r="E995" s="221" t="str">
        <f>E$17</f>
        <v xml:space="preserve">Commercial </v>
      </c>
      <c r="G995" s="9"/>
      <c r="H995" s="50" t="s">
        <v>125</v>
      </c>
      <c r="S995" s="335"/>
      <c r="T995" s="335"/>
      <c r="U995" s="335"/>
      <c r="V995" s="201">
        <f>V$128</f>
        <v>817</v>
      </c>
      <c r="W995" s="10">
        <f>W$128</f>
        <v>753</v>
      </c>
      <c r="X995" s="10">
        <f>X$128</f>
        <v>689</v>
      </c>
      <c r="Y995" s="10">
        <f>Y$128</f>
        <v>625</v>
      </c>
      <c r="AA995" s="10">
        <f t="shared" ref="AA995:BJ995" si="1151">AA$128</f>
        <v>801</v>
      </c>
      <c r="AB995" s="10">
        <f t="shared" si="1151"/>
        <v>801</v>
      </c>
      <c r="AC995" s="10">
        <f t="shared" si="1151"/>
        <v>801</v>
      </c>
      <c r="AD995" s="10">
        <f t="shared" si="1151"/>
        <v>785</v>
      </c>
      <c r="AE995" s="10">
        <f t="shared" si="1151"/>
        <v>785</v>
      </c>
      <c r="AF995" s="10">
        <f t="shared" si="1151"/>
        <v>785</v>
      </c>
      <c r="AG995" s="10">
        <f t="shared" si="1151"/>
        <v>769</v>
      </c>
      <c r="AH995" s="10">
        <f t="shared" si="1151"/>
        <v>769</v>
      </c>
      <c r="AI995" s="10">
        <f t="shared" si="1151"/>
        <v>769</v>
      </c>
      <c r="AJ995" s="10">
        <f t="shared" si="1151"/>
        <v>753</v>
      </c>
      <c r="AK995" s="10">
        <f t="shared" si="1151"/>
        <v>753</v>
      </c>
      <c r="AL995" s="10">
        <f t="shared" si="1151"/>
        <v>753</v>
      </c>
      <c r="AM995" s="10">
        <f t="shared" si="1151"/>
        <v>737</v>
      </c>
      <c r="AN995" s="10">
        <f t="shared" si="1151"/>
        <v>737</v>
      </c>
      <c r="AO995" s="10">
        <f t="shared" si="1151"/>
        <v>737</v>
      </c>
      <c r="AP995" s="10">
        <f t="shared" si="1151"/>
        <v>721</v>
      </c>
      <c r="AQ995" s="10">
        <f t="shared" si="1151"/>
        <v>721</v>
      </c>
      <c r="AR995" s="10">
        <f t="shared" si="1151"/>
        <v>721</v>
      </c>
      <c r="AS995" s="10">
        <f t="shared" si="1151"/>
        <v>705</v>
      </c>
      <c r="AT995" s="10">
        <f t="shared" si="1151"/>
        <v>705</v>
      </c>
      <c r="AU995" s="10">
        <f t="shared" si="1151"/>
        <v>705</v>
      </c>
      <c r="AV995" s="10">
        <f t="shared" si="1151"/>
        <v>689</v>
      </c>
      <c r="AW995" s="10">
        <f t="shared" si="1151"/>
        <v>689</v>
      </c>
      <c r="AX995" s="10">
        <f t="shared" si="1151"/>
        <v>689</v>
      </c>
      <c r="AY995" s="10">
        <f t="shared" si="1151"/>
        <v>673</v>
      </c>
      <c r="AZ995" s="10">
        <f t="shared" si="1151"/>
        <v>673</v>
      </c>
      <c r="BA995" s="10">
        <f t="shared" si="1151"/>
        <v>673</v>
      </c>
      <c r="BB995" s="10">
        <f t="shared" si="1151"/>
        <v>657</v>
      </c>
      <c r="BC995" s="10">
        <f t="shared" si="1151"/>
        <v>657</v>
      </c>
      <c r="BD995" s="10">
        <f t="shared" si="1151"/>
        <v>657</v>
      </c>
      <c r="BE995" s="10">
        <f t="shared" si="1151"/>
        <v>641</v>
      </c>
      <c r="BF995" s="10">
        <f t="shared" si="1151"/>
        <v>641</v>
      </c>
      <c r="BG995" s="10">
        <f t="shared" si="1151"/>
        <v>641</v>
      </c>
      <c r="BH995" s="10">
        <f t="shared" si="1151"/>
        <v>625</v>
      </c>
      <c r="BI995" s="10">
        <f t="shared" si="1151"/>
        <v>625</v>
      </c>
      <c r="BJ995" s="10">
        <f t="shared" si="1151"/>
        <v>625</v>
      </c>
      <c r="BL995" s="10">
        <f t="shared" ref="BL995:BW995" si="1152">BL$128</f>
        <v>817</v>
      </c>
      <c r="BM995" s="10">
        <f t="shared" si="1152"/>
        <v>753</v>
      </c>
      <c r="BN995" s="10">
        <f t="shared" si="1152"/>
        <v>689</v>
      </c>
      <c r="BO995" s="10">
        <f t="shared" si="1152"/>
        <v>625</v>
      </c>
      <c r="BP995" s="10">
        <f t="shared" si="1152"/>
        <v>625</v>
      </c>
      <c r="BQ995" s="10">
        <f t="shared" si="1152"/>
        <v>625</v>
      </c>
      <c r="BR995" s="10">
        <f t="shared" si="1152"/>
        <v>625</v>
      </c>
      <c r="BS995" s="10">
        <f t="shared" si="1152"/>
        <v>625</v>
      </c>
      <c r="BT995" s="10">
        <f t="shared" si="1152"/>
        <v>625</v>
      </c>
      <c r="BU995" s="10">
        <f t="shared" si="1152"/>
        <v>625</v>
      </c>
      <c r="BV995" s="10">
        <f t="shared" si="1152"/>
        <v>625</v>
      </c>
      <c r="BW995" s="10">
        <f t="shared" si="1152"/>
        <v>625</v>
      </c>
      <c r="BY995" s="12"/>
      <c r="BZ995" s="335"/>
      <c r="CA995" s="12"/>
      <c r="CB995" s="335"/>
      <c r="CC995" s="335"/>
      <c r="CD995" s="335"/>
      <c r="CE995" s="335"/>
      <c r="CM995" s="335"/>
      <c r="CN995" s="335"/>
      <c r="CO995" s="335"/>
      <c r="CP995" s="335"/>
      <c r="CR995" s="12"/>
      <c r="CT995" s="335"/>
      <c r="CU995" s="335"/>
      <c r="EW995" s="335"/>
      <c r="EX995" s="10" t="str">
        <f t="shared" si="1102"/>
        <v/>
      </c>
    </row>
    <row r="996" spans="1:154" s="67" customFormat="1" x14ac:dyDescent="0.25">
      <c r="B996" s="84" t="str" cm="1">
        <f t="array" aca="1" ref="B996" ca="1">HYPERLINK(CONCATENATE("#",CELL("address",$D$142)),$D$142)</f>
        <v>Loan 6</v>
      </c>
      <c r="C996" s="380"/>
      <c r="D996" s="60">
        <f>D$18</f>
        <v>0</v>
      </c>
      <c r="E996" s="221">
        <f>E$18</f>
        <v>0</v>
      </c>
      <c r="G996" s="9"/>
      <c r="H996" s="50" t="s">
        <v>125</v>
      </c>
      <c r="S996" s="335"/>
      <c r="T996" s="335"/>
      <c r="U996" s="335"/>
      <c r="V996" s="201">
        <f>V$147</f>
        <v>0</v>
      </c>
      <c r="W996" s="10">
        <f>W$147</f>
        <v>0</v>
      </c>
      <c r="X996" s="10">
        <f>X$147</f>
        <v>0</v>
      </c>
      <c r="Y996" s="10">
        <f>Y$147</f>
        <v>0</v>
      </c>
      <c r="AA996" s="10">
        <f t="shared" ref="AA996:BJ996" si="1153">AA$147</f>
        <v>0</v>
      </c>
      <c r="AB996" s="10">
        <f t="shared" si="1153"/>
        <v>0</v>
      </c>
      <c r="AC996" s="10">
        <f t="shared" si="1153"/>
        <v>0</v>
      </c>
      <c r="AD996" s="10">
        <f t="shared" si="1153"/>
        <v>0</v>
      </c>
      <c r="AE996" s="10">
        <f t="shared" si="1153"/>
        <v>0</v>
      </c>
      <c r="AF996" s="10">
        <f t="shared" si="1153"/>
        <v>0</v>
      </c>
      <c r="AG996" s="10">
        <f t="shared" si="1153"/>
        <v>0</v>
      </c>
      <c r="AH996" s="10">
        <f t="shared" si="1153"/>
        <v>0</v>
      </c>
      <c r="AI996" s="10">
        <f t="shared" si="1153"/>
        <v>0</v>
      </c>
      <c r="AJ996" s="10">
        <f t="shared" si="1153"/>
        <v>0</v>
      </c>
      <c r="AK996" s="10">
        <f t="shared" si="1153"/>
        <v>0</v>
      </c>
      <c r="AL996" s="10">
        <f t="shared" si="1153"/>
        <v>0</v>
      </c>
      <c r="AM996" s="10">
        <f t="shared" si="1153"/>
        <v>0</v>
      </c>
      <c r="AN996" s="10">
        <f t="shared" si="1153"/>
        <v>0</v>
      </c>
      <c r="AO996" s="10">
        <f t="shared" si="1153"/>
        <v>0</v>
      </c>
      <c r="AP996" s="10">
        <f t="shared" si="1153"/>
        <v>0</v>
      </c>
      <c r="AQ996" s="10">
        <f t="shared" si="1153"/>
        <v>0</v>
      </c>
      <c r="AR996" s="10">
        <f t="shared" si="1153"/>
        <v>0</v>
      </c>
      <c r="AS996" s="10">
        <f t="shared" si="1153"/>
        <v>0</v>
      </c>
      <c r="AT996" s="10">
        <f t="shared" si="1153"/>
        <v>0</v>
      </c>
      <c r="AU996" s="10">
        <f t="shared" si="1153"/>
        <v>0</v>
      </c>
      <c r="AV996" s="10">
        <f t="shared" si="1153"/>
        <v>0</v>
      </c>
      <c r="AW996" s="10">
        <f t="shared" si="1153"/>
        <v>0</v>
      </c>
      <c r="AX996" s="10">
        <f t="shared" si="1153"/>
        <v>0</v>
      </c>
      <c r="AY996" s="10">
        <f t="shared" si="1153"/>
        <v>0</v>
      </c>
      <c r="AZ996" s="10">
        <f t="shared" si="1153"/>
        <v>0</v>
      </c>
      <c r="BA996" s="10">
        <f t="shared" si="1153"/>
        <v>0</v>
      </c>
      <c r="BB996" s="10">
        <f t="shared" si="1153"/>
        <v>0</v>
      </c>
      <c r="BC996" s="10">
        <f t="shared" si="1153"/>
        <v>0</v>
      </c>
      <c r="BD996" s="10">
        <f t="shared" si="1153"/>
        <v>0</v>
      </c>
      <c r="BE996" s="10">
        <f t="shared" si="1153"/>
        <v>0</v>
      </c>
      <c r="BF996" s="10">
        <f t="shared" si="1153"/>
        <v>0</v>
      </c>
      <c r="BG996" s="10">
        <f t="shared" si="1153"/>
        <v>0</v>
      </c>
      <c r="BH996" s="10">
        <f t="shared" si="1153"/>
        <v>0</v>
      </c>
      <c r="BI996" s="10">
        <f t="shared" si="1153"/>
        <v>0</v>
      </c>
      <c r="BJ996" s="10">
        <f t="shared" si="1153"/>
        <v>0</v>
      </c>
      <c r="BL996" s="10">
        <f t="shared" ref="BL996:BW996" si="1154">BL$147</f>
        <v>0</v>
      </c>
      <c r="BM996" s="10">
        <f t="shared" si="1154"/>
        <v>0</v>
      </c>
      <c r="BN996" s="10">
        <f t="shared" si="1154"/>
        <v>0</v>
      </c>
      <c r="BO996" s="10">
        <f t="shared" si="1154"/>
        <v>0</v>
      </c>
      <c r="BP996" s="10">
        <f t="shared" si="1154"/>
        <v>0</v>
      </c>
      <c r="BQ996" s="10">
        <f t="shared" si="1154"/>
        <v>0</v>
      </c>
      <c r="BR996" s="10">
        <f t="shared" si="1154"/>
        <v>0</v>
      </c>
      <c r="BS996" s="10">
        <f t="shared" si="1154"/>
        <v>0</v>
      </c>
      <c r="BT996" s="10">
        <f t="shared" si="1154"/>
        <v>0</v>
      </c>
      <c r="BU996" s="10">
        <f t="shared" si="1154"/>
        <v>0</v>
      </c>
      <c r="BV996" s="10">
        <f t="shared" si="1154"/>
        <v>0</v>
      </c>
      <c r="BW996" s="10">
        <f t="shared" si="1154"/>
        <v>0</v>
      </c>
      <c r="BY996" s="12"/>
      <c r="BZ996" s="335"/>
      <c r="CA996" s="12"/>
      <c r="CB996" s="335"/>
      <c r="CC996" s="335"/>
      <c r="CD996" s="335"/>
      <c r="CE996" s="335"/>
      <c r="CM996" s="335"/>
      <c r="CN996" s="335"/>
      <c r="CO996" s="335"/>
      <c r="CP996" s="335"/>
      <c r="CR996" s="12"/>
      <c r="CT996" s="335"/>
      <c r="CU996" s="335"/>
      <c r="EW996" s="335"/>
      <c r="EX996" s="10" t="str">
        <f t="shared" si="1102"/>
        <v/>
      </c>
    </row>
    <row r="997" spans="1:154" s="67" customFormat="1" x14ac:dyDescent="0.25">
      <c r="B997" s="84" t="str" cm="1">
        <f t="array" aca="1" ref="B997" ca="1">HYPERLINK(CONCATENATE("#",CELL("address",$D$161)),$D$161)</f>
        <v>Loan 7</v>
      </c>
      <c r="C997" s="380"/>
      <c r="D997" s="60">
        <f>D$19</f>
        <v>0</v>
      </c>
      <c r="E997" s="221">
        <f>E$19</f>
        <v>0</v>
      </c>
      <c r="G997" s="9"/>
      <c r="H997" s="50" t="s">
        <v>125</v>
      </c>
      <c r="S997" s="335"/>
      <c r="T997" s="335"/>
      <c r="U997" s="335"/>
      <c r="V997" s="201">
        <f>V$166</f>
        <v>0</v>
      </c>
      <c r="W997" s="10">
        <f>W$166</f>
        <v>0</v>
      </c>
      <c r="X997" s="10">
        <f>X$166</f>
        <v>0</v>
      </c>
      <c r="Y997" s="10">
        <f>Y$166</f>
        <v>0</v>
      </c>
      <c r="AA997" s="10">
        <f t="shared" ref="AA997:BJ997" si="1155">AA$166</f>
        <v>0</v>
      </c>
      <c r="AB997" s="10">
        <f t="shared" si="1155"/>
        <v>0</v>
      </c>
      <c r="AC997" s="10">
        <f t="shared" si="1155"/>
        <v>0</v>
      </c>
      <c r="AD997" s="10">
        <f t="shared" si="1155"/>
        <v>0</v>
      </c>
      <c r="AE997" s="10">
        <f t="shared" si="1155"/>
        <v>0</v>
      </c>
      <c r="AF997" s="10">
        <f t="shared" si="1155"/>
        <v>0</v>
      </c>
      <c r="AG997" s="10">
        <f t="shared" si="1155"/>
        <v>0</v>
      </c>
      <c r="AH997" s="10">
        <f t="shared" si="1155"/>
        <v>0</v>
      </c>
      <c r="AI997" s="10">
        <f t="shared" si="1155"/>
        <v>0</v>
      </c>
      <c r="AJ997" s="10">
        <f t="shared" si="1155"/>
        <v>0</v>
      </c>
      <c r="AK997" s="10">
        <f t="shared" si="1155"/>
        <v>0</v>
      </c>
      <c r="AL997" s="10">
        <f t="shared" si="1155"/>
        <v>0</v>
      </c>
      <c r="AM997" s="10">
        <f t="shared" si="1155"/>
        <v>0</v>
      </c>
      <c r="AN997" s="10">
        <f t="shared" si="1155"/>
        <v>0</v>
      </c>
      <c r="AO997" s="10">
        <f t="shared" si="1155"/>
        <v>0</v>
      </c>
      <c r="AP997" s="10">
        <f t="shared" si="1155"/>
        <v>0</v>
      </c>
      <c r="AQ997" s="10">
        <f t="shared" si="1155"/>
        <v>0</v>
      </c>
      <c r="AR997" s="10">
        <f t="shared" si="1155"/>
        <v>0</v>
      </c>
      <c r="AS997" s="10">
        <f t="shared" si="1155"/>
        <v>0</v>
      </c>
      <c r="AT997" s="10">
        <f t="shared" si="1155"/>
        <v>0</v>
      </c>
      <c r="AU997" s="10">
        <f t="shared" si="1155"/>
        <v>0</v>
      </c>
      <c r="AV997" s="10">
        <f t="shared" si="1155"/>
        <v>0</v>
      </c>
      <c r="AW997" s="10">
        <f t="shared" si="1155"/>
        <v>0</v>
      </c>
      <c r="AX997" s="10">
        <f t="shared" si="1155"/>
        <v>0</v>
      </c>
      <c r="AY997" s="10">
        <f t="shared" si="1155"/>
        <v>0</v>
      </c>
      <c r="AZ997" s="10">
        <f t="shared" si="1155"/>
        <v>0</v>
      </c>
      <c r="BA997" s="10">
        <f t="shared" si="1155"/>
        <v>0</v>
      </c>
      <c r="BB997" s="10">
        <f t="shared" si="1155"/>
        <v>0</v>
      </c>
      <c r="BC997" s="10">
        <f t="shared" si="1155"/>
        <v>0</v>
      </c>
      <c r="BD997" s="10">
        <f t="shared" si="1155"/>
        <v>0</v>
      </c>
      <c r="BE997" s="10">
        <f t="shared" si="1155"/>
        <v>0</v>
      </c>
      <c r="BF997" s="10">
        <f t="shared" si="1155"/>
        <v>0</v>
      </c>
      <c r="BG997" s="10">
        <f t="shared" si="1155"/>
        <v>0</v>
      </c>
      <c r="BH997" s="10">
        <f t="shared" si="1155"/>
        <v>0</v>
      </c>
      <c r="BI997" s="10">
        <f t="shared" si="1155"/>
        <v>0</v>
      </c>
      <c r="BJ997" s="10">
        <f t="shared" si="1155"/>
        <v>0</v>
      </c>
      <c r="BL997" s="10">
        <f t="shared" ref="BL997:BW997" si="1156">BL$166</f>
        <v>0</v>
      </c>
      <c r="BM997" s="10">
        <f t="shared" si="1156"/>
        <v>0</v>
      </c>
      <c r="BN997" s="10">
        <f t="shared" si="1156"/>
        <v>0</v>
      </c>
      <c r="BO997" s="10">
        <f t="shared" si="1156"/>
        <v>0</v>
      </c>
      <c r="BP997" s="10">
        <f t="shared" si="1156"/>
        <v>0</v>
      </c>
      <c r="BQ997" s="10">
        <f t="shared" si="1156"/>
        <v>0</v>
      </c>
      <c r="BR997" s="10">
        <f t="shared" si="1156"/>
        <v>0</v>
      </c>
      <c r="BS997" s="10">
        <f t="shared" si="1156"/>
        <v>0</v>
      </c>
      <c r="BT997" s="10">
        <f t="shared" si="1156"/>
        <v>0</v>
      </c>
      <c r="BU997" s="10">
        <f t="shared" si="1156"/>
        <v>0</v>
      </c>
      <c r="BV997" s="10">
        <f t="shared" si="1156"/>
        <v>0</v>
      </c>
      <c r="BW997" s="10">
        <f t="shared" si="1156"/>
        <v>0</v>
      </c>
      <c r="BY997" s="12"/>
      <c r="BZ997" s="335"/>
      <c r="CA997" s="12"/>
      <c r="CB997" s="335"/>
      <c r="CC997" s="335"/>
      <c r="CD997" s="335"/>
      <c r="CE997" s="335"/>
      <c r="CM997" s="335"/>
      <c r="CN997" s="335"/>
      <c r="CO997" s="335"/>
      <c r="CP997" s="335"/>
      <c r="CR997" s="12"/>
      <c r="CT997" s="335"/>
      <c r="CU997" s="335"/>
      <c r="EW997" s="335"/>
      <c r="EX997" s="10" t="str">
        <f t="shared" si="1102"/>
        <v/>
      </c>
    </row>
    <row r="998" spans="1:154" s="67" customFormat="1" x14ac:dyDescent="0.25">
      <c r="B998" s="84" t="str" cm="1">
        <f t="array" aca="1" ref="B998" ca="1">HYPERLINK(CONCATENATE("#",CELL("address",$D$180)),$D$180)</f>
        <v>Loan 8</v>
      </c>
      <c r="C998" s="380"/>
      <c r="D998" s="60">
        <f>D$20</f>
        <v>0</v>
      </c>
      <c r="E998" s="221">
        <f>E$20</f>
        <v>0</v>
      </c>
      <c r="G998" s="9"/>
      <c r="H998" s="50" t="s">
        <v>125</v>
      </c>
      <c r="S998" s="335"/>
      <c r="T998" s="335"/>
      <c r="U998" s="335"/>
      <c r="V998" s="201">
        <f>V$185</f>
        <v>0</v>
      </c>
      <c r="W998" s="10">
        <f>W$185</f>
        <v>0</v>
      </c>
      <c r="X998" s="10">
        <f>X$185</f>
        <v>0</v>
      </c>
      <c r="Y998" s="10">
        <f>Y$185</f>
        <v>0</v>
      </c>
      <c r="AA998" s="10">
        <f t="shared" ref="AA998:BJ998" si="1157">AA$185</f>
        <v>0</v>
      </c>
      <c r="AB998" s="10">
        <f t="shared" si="1157"/>
        <v>0</v>
      </c>
      <c r="AC998" s="10">
        <f t="shared" si="1157"/>
        <v>0</v>
      </c>
      <c r="AD998" s="10">
        <f t="shared" si="1157"/>
        <v>0</v>
      </c>
      <c r="AE998" s="10">
        <f t="shared" si="1157"/>
        <v>0</v>
      </c>
      <c r="AF998" s="10">
        <f t="shared" si="1157"/>
        <v>0</v>
      </c>
      <c r="AG998" s="10">
        <f t="shared" si="1157"/>
        <v>0</v>
      </c>
      <c r="AH998" s="10">
        <f t="shared" si="1157"/>
        <v>0</v>
      </c>
      <c r="AI998" s="10">
        <f t="shared" si="1157"/>
        <v>0</v>
      </c>
      <c r="AJ998" s="10">
        <f t="shared" si="1157"/>
        <v>0</v>
      </c>
      <c r="AK998" s="10">
        <f t="shared" si="1157"/>
        <v>0</v>
      </c>
      <c r="AL998" s="10">
        <f t="shared" si="1157"/>
        <v>0</v>
      </c>
      <c r="AM998" s="10">
        <f t="shared" si="1157"/>
        <v>0</v>
      </c>
      <c r="AN998" s="10">
        <f t="shared" si="1157"/>
        <v>0</v>
      </c>
      <c r="AO998" s="10">
        <f t="shared" si="1157"/>
        <v>0</v>
      </c>
      <c r="AP998" s="10">
        <f t="shared" si="1157"/>
        <v>0</v>
      </c>
      <c r="AQ998" s="10">
        <f t="shared" si="1157"/>
        <v>0</v>
      </c>
      <c r="AR998" s="10">
        <f t="shared" si="1157"/>
        <v>0</v>
      </c>
      <c r="AS998" s="10">
        <f t="shared" si="1157"/>
        <v>0</v>
      </c>
      <c r="AT998" s="10">
        <f t="shared" si="1157"/>
        <v>0</v>
      </c>
      <c r="AU998" s="10">
        <f t="shared" si="1157"/>
        <v>0</v>
      </c>
      <c r="AV998" s="10">
        <f t="shared" si="1157"/>
        <v>0</v>
      </c>
      <c r="AW998" s="10">
        <f t="shared" si="1157"/>
        <v>0</v>
      </c>
      <c r="AX998" s="10">
        <f t="shared" si="1157"/>
        <v>0</v>
      </c>
      <c r="AY998" s="10">
        <f t="shared" si="1157"/>
        <v>0</v>
      </c>
      <c r="AZ998" s="10">
        <f t="shared" si="1157"/>
        <v>0</v>
      </c>
      <c r="BA998" s="10">
        <f t="shared" si="1157"/>
        <v>0</v>
      </c>
      <c r="BB998" s="10">
        <f t="shared" si="1157"/>
        <v>0</v>
      </c>
      <c r="BC998" s="10">
        <f t="shared" si="1157"/>
        <v>0</v>
      </c>
      <c r="BD998" s="10">
        <f t="shared" si="1157"/>
        <v>0</v>
      </c>
      <c r="BE998" s="10">
        <f t="shared" si="1157"/>
        <v>0</v>
      </c>
      <c r="BF998" s="10">
        <f t="shared" si="1157"/>
        <v>0</v>
      </c>
      <c r="BG998" s="10">
        <f t="shared" si="1157"/>
        <v>0</v>
      </c>
      <c r="BH998" s="10">
        <f t="shared" si="1157"/>
        <v>0</v>
      </c>
      <c r="BI998" s="10">
        <f t="shared" si="1157"/>
        <v>0</v>
      </c>
      <c r="BJ998" s="10">
        <f t="shared" si="1157"/>
        <v>0</v>
      </c>
      <c r="BL998" s="10">
        <f t="shared" ref="BL998:BW998" si="1158">BL$185</f>
        <v>0</v>
      </c>
      <c r="BM998" s="10">
        <f t="shared" si="1158"/>
        <v>0</v>
      </c>
      <c r="BN998" s="10">
        <f t="shared" si="1158"/>
        <v>0</v>
      </c>
      <c r="BO998" s="10">
        <f t="shared" si="1158"/>
        <v>0</v>
      </c>
      <c r="BP998" s="10">
        <f t="shared" si="1158"/>
        <v>0</v>
      </c>
      <c r="BQ998" s="10">
        <f t="shared" si="1158"/>
        <v>0</v>
      </c>
      <c r="BR998" s="10">
        <f t="shared" si="1158"/>
        <v>0</v>
      </c>
      <c r="BS998" s="10">
        <f t="shared" si="1158"/>
        <v>0</v>
      </c>
      <c r="BT998" s="10">
        <f t="shared" si="1158"/>
        <v>0</v>
      </c>
      <c r="BU998" s="10">
        <f t="shared" si="1158"/>
        <v>0</v>
      </c>
      <c r="BV998" s="10">
        <f t="shared" si="1158"/>
        <v>0</v>
      </c>
      <c r="BW998" s="10">
        <f t="shared" si="1158"/>
        <v>0</v>
      </c>
      <c r="BY998" s="12"/>
      <c r="BZ998" s="335"/>
      <c r="CA998" s="12"/>
      <c r="CB998" s="335"/>
      <c r="CC998" s="335"/>
      <c r="CD998" s="335"/>
      <c r="CE998" s="335"/>
      <c r="CM998" s="335"/>
      <c r="CN998" s="335"/>
      <c r="CO998" s="335"/>
      <c r="CP998" s="335"/>
      <c r="CR998" s="12"/>
      <c r="CT998" s="335"/>
      <c r="CU998" s="335"/>
      <c r="EW998" s="335"/>
      <c r="EX998" s="10" t="str">
        <f t="shared" si="1102"/>
        <v/>
      </c>
    </row>
    <row r="999" spans="1:154" s="67" customFormat="1" x14ac:dyDescent="0.25">
      <c r="B999" s="84" t="str" cm="1">
        <f t="array" aca="1" ref="B999" ca="1">HYPERLINK(CONCATENATE("#",CELL("address",$D$199)),$D$199)</f>
        <v>Loan 9</v>
      </c>
      <c r="C999" s="380"/>
      <c r="D999" s="60">
        <f>D$21</f>
        <v>0</v>
      </c>
      <c r="E999" s="221">
        <f>E$21</f>
        <v>0</v>
      </c>
      <c r="G999" s="9"/>
      <c r="H999" s="50" t="s">
        <v>125</v>
      </c>
      <c r="S999" s="335"/>
      <c r="T999" s="335"/>
      <c r="U999" s="335"/>
      <c r="V999" s="201">
        <f>V$204</f>
        <v>0</v>
      </c>
      <c r="W999" s="10">
        <f>W$204</f>
        <v>0</v>
      </c>
      <c r="X999" s="10">
        <f>X$204</f>
        <v>0</v>
      </c>
      <c r="Y999" s="10">
        <f>Y$204</f>
        <v>0</v>
      </c>
      <c r="AA999" s="10">
        <f t="shared" ref="AA999:BJ999" si="1159">AA$204</f>
        <v>0</v>
      </c>
      <c r="AB999" s="10">
        <f t="shared" si="1159"/>
        <v>0</v>
      </c>
      <c r="AC999" s="10">
        <f t="shared" si="1159"/>
        <v>0</v>
      </c>
      <c r="AD999" s="10">
        <f t="shared" si="1159"/>
        <v>0</v>
      </c>
      <c r="AE999" s="10">
        <f t="shared" si="1159"/>
        <v>0</v>
      </c>
      <c r="AF999" s="10">
        <f t="shared" si="1159"/>
        <v>0</v>
      </c>
      <c r="AG999" s="10">
        <f t="shared" si="1159"/>
        <v>0</v>
      </c>
      <c r="AH999" s="10">
        <f t="shared" si="1159"/>
        <v>0</v>
      </c>
      <c r="AI999" s="10">
        <f t="shared" si="1159"/>
        <v>0</v>
      </c>
      <c r="AJ999" s="10">
        <f t="shared" si="1159"/>
        <v>0</v>
      </c>
      <c r="AK999" s="10">
        <f t="shared" si="1159"/>
        <v>0</v>
      </c>
      <c r="AL999" s="10">
        <f t="shared" si="1159"/>
        <v>0</v>
      </c>
      <c r="AM999" s="10">
        <f t="shared" si="1159"/>
        <v>0</v>
      </c>
      <c r="AN999" s="10">
        <f t="shared" si="1159"/>
        <v>0</v>
      </c>
      <c r="AO999" s="10">
        <f t="shared" si="1159"/>
        <v>0</v>
      </c>
      <c r="AP999" s="10">
        <f t="shared" si="1159"/>
        <v>0</v>
      </c>
      <c r="AQ999" s="10">
        <f t="shared" si="1159"/>
        <v>0</v>
      </c>
      <c r="AR999" s="10">
        <f t="shared" si="1159"/>
        <v>0</v>
      </c>
      <c r="AS999" s="10">
        <f t="shared" si="1159"/>
        <v>0</v>
      </c>
      <c r="AT999" s="10">
        <f t="shared" si="1159"/>
        <v>0</v>
      </c>
      <c r="AU999" s="10">
        <f t="shared" si="1159"/>
        <v>0</v>
      </c>
      <c r="AV999" s="10">
        <f t="shared" si="1159"/>
        <v>0</v>
      </c>
      <c r="AW999" s="10">
        <f t="shared" si="1159"/>
        <v>0</v>
      </c>
      <c r="AX999" s="10">
        <f t="shared" si="1159"/>
        <v>0</v>
      </c>
      <c r="AY999" s="10">
        <f t="shared" si="1159"/>
        <v>0</v>
      </c>
      <c r="AZ999" s="10">
        <f t="shared" si="1159"/>
        <v>0</v>
      </c>
      <c r="BA999" s="10">
        <f t="shared" si="1159"/>
        <v>0</v>
      </c>
      <c r="BB999" s="10">
        <f t="shared" si="1159"/>
        <v>0</v>
      </c>
      <c r="BC999" s="10">
        <f t="shared" si="1159"/>
        <v>0</v>
      </c>
      <c r="BD999" s="10">
        <f t="shared" si="1159"/>
        <v>0</v>
      </c>
      <c r="BE999" s="10">
        <f t="shared" si="1159"/>
        <v>0</v>
      </c>
      <c r="BF999" s="10">
        <f t="shared" si="1159"/>
        <v>0</v>
      </c>
      <c r="BG999" s="10">
        <f t="shared" si="1159"/>
        <v>0</v>
      </c>
      <c r="BH999" s="10">
        <f t="shared" si="1159"/>
        <v>0</v>
      </c>
      <c r="BI999" s="10">
        <f t="shared" si="1159"/>
        <v>0</v>
      </c>
      <c r="BJ999" s="10">
        <f t="shared" si="1159"/>
        <v>0</v>
      </c>
      <c r="BL999" s="10">
        <f t="shared" ref="BL999:BW999" si="1160">BL$204</f>
        <v>0</v>
      </c>
      <c r="BM999" s="10">
        <f t="shared" si="1160"/>
        <v>0</v>
      </c>
      <c r="BN999" s="10">
        <f t="shared" si="1160"/>
        <v>0</v>
      </c>
      <c r="BO999" s="10">
        <f t="shared" si="1160"/>
        <v>0</v>
      </c>
      <c r="BP999" s="10">
        <f t="shared" si="1160"/>
        <v>0</v>
      </c>
      <c r="BQ999" s="10">
        <f t="shared" si="1160"/>
        <v>0</v>
      </c>
      <c r="BR999" s="10">
        <f t="shared" si="1160"/>
        <v>0</v>
      </c>
      <c r="BS999" s="10">
        <f t="shared" si="1160"/>
        <v>0</v>
      </c>
      <c r="BT999" s="10">
        <f t="shared" si="1160"/>
        <v>0</v>
      </c>
      <c r="BU999" s="10">
        <f t="shared" si="1160"/>
        <v>0</v>
      </c>
      <c r="BV999" s="10">
        <f t="shared" si="1160"/>
        <v>0</v>
      </c>
      <c r="BW999" s="10">
        <f t="shared" si="1160"/>
        <v>0</v>
      </c>
      <c r="BY999" s="12"/>
      <c r="BZ999" s="335"/>
      <c r="CA999" s="12"/>
      <c r="CB999" s="335"/>
      <c r="CC999" s="335"/>
      <c r="CD999" s="335"/>
      <c r="CE999" s="335"/>
      <c r="CM999" s="335"/>
      <c r="CN999" s="335"/>
      <c r="CO999" s="335"/>
      <c r="CP999" s="335"/>
      <c r="CR999" s="12"/>
      <c r="CT999" s="335"/>
      <c r="CU999" s="335"/>
      <c r="EW999" s="335"/>
      <c r="EX999" s="10" t="str">
        <f t="shared" si="1102"/>
        <v/>
      </c>
    </row>
    <row r="1000" spans="1:154" s="67" customFormat="1" x14ac:dyDescent="0.25">
      <c r="B1000" s="84" t="str" cm="1">
        <f t="array" aca="1" ref="B1000" ca="1">HYPERLINK(CONCATENATE("#",CELL("address",$D$218)),$D$218)</f>
        <v>Loan 10</v>
      </c>
      <c r="C1000" s="380"/>
      <c r="D1000" s="60">
        <f>D$22</f>
        <v>0</v>
      </c>
      <c r="E1000" s="221">
        <f>E$22</f>
        <v>0</v>
      </c>
      <c r="G1000" s="9"/>
      <c r="H1000" s="50" t="s">
        <v>125</v>
      </c>
      <c r="S1000" s="335"/>
      <c r="T1000" s="335"/>
      <c r="U1000" s="335"/>
      <c r="V1000" s="201">
        <f>V$223</f>
        <v>0</v>
      </c>
      <c r="W1000" s="10">
        <f>W$223</f>
        <v>0</v>
      </c>
      <c r="X1000" s="10">
        <f>X$223</f>
        <v>0</v>
      </c>
      <c r="Y1000" s="10">
        <f>Y$223</f>
        <v>0</v>
      </c>
      <c r="AA1000" s="10">
        <f t="shared" ref="AA1000:BJ1000" si="1161">AA$223</f>
        <v>0</v>
      </c>
      <c r="AB1000" s="10">
        <f t="shared" si="1161"/>
        <v>0</v>
      </c>
      <c r="AC1000" s="10">
        <f t="shared" si="1161"/>
        <v>0</v>
      </c>
      <c r="AD1000" s="10">
        <f t="shared" si="1161"/>
        <v>0</v>
      </c>
      <c r="AE1000" s="10">
        <f t="shared" si="1161"/>
        <v>0</v>
      </c>
      <c r="AF1000" s="10">
        <f t="shared" si="1161"/>
        <v>0</v>
      </c>
      <c r="AG1000" s="10">
        <f t="shared" si="1161"/>
        <v>0</v>
      </c>
      <c r="AH1000" s="10">
        <f t="shared" si="1161"/>
        <v>0</v>
      </c>
      <c r="AI1000" s="10">
        <f t="shared" si="1161"/>
        <v>0</v>
      </c>
      <c r="AJ1000" s="10">
        <f t="shared" si="1161"/>
        <v>0</v>
      </c>
      <c r="AK1000" s="10">
        <f t="shared" si="1161"/>
        <v>0</v>
      </c>
      <c r="AL1000" s="10">
        <f t="shared" si="1161"/>
        <v>0</v>
      </c>
      <c r="AM1000" s="10">
        <f t="shared" si="1161"/>
        <v>0</v>
      </c>
      <c r="AN1000" s="10">
        <f t="shared" si="1161"/>
        <v>0</v>
      </c>
      <c r="AO1000" s="10">
        <f t="shared" si="1161"/>
        <v>0</v>
      </c>
      <c r="AP1000" s="10">
        <f t="shared" si="1161"/>
        <v>0</v>
      </c>
      <c r="AQ1000" s="10">
        <f t="shared" si="1161"/>
        <v>0</v>
      </c>
      <c r="AR1000" s="10">
        <f t="shared" si="1161"/>
        <v>0</v>
      </c>
      <c r="AS1000" s="10">
        <f t="shared" si="1161"/>
        <v>0</v>
      </c>
      <c r="AT1000" s="10">
        <f t="shared" si="1161"/>
        <v>0</v>
      </c>
      <c r="AU1000" s="10">
        <f t="shared" si="1161"/>
        <v>0</v>
      </c>
      <c r="AV1000" s="10">
        <f t="shared" si="1161"/>
        <v>0</v>
      </c>
      <c r="AW1000" s="10">
        <f t="shared" si="1161"/>
        <v>0</v>
      </c>
      <c r="AX1000" s="10">
        <f t="shared" si="1161"/>
        <v>0</v>
      </c>
      <c r="AY1000" s="10">
        <f t="shared" si="1161"/>
        <v>0</v>
      </c>
      <c r="AZ1000" s="10">
        <f t="shared" si="1161"/>
        <v>0</v>
      </c>
      <c r="BA1000" s="10">
        <f t="shared" si="1161"/>
        <v>0</v>
      </c>
      <c r="BB1000" s="10">
        <f t="shared" si="1161"/>
        <v>0</v>
      </c>
      <c r="BC1000" s="10">
        <f t="shared" si="1161"/>
        <v>0</v>
      </c>
      <c r="BD1000" s="10">
        <f t="shared" si="1161"/>
        <v>0</v>
      </c>
      <c r="BE1000" s="10">
        <f t="shared" si="1161"/>
        <v>0</v>
      </c>
      <c r="BF1000" s="10">
        <f t="shared" si="1161"/>
        <v>0</v>
      </c>
      <c r="BG1000" s="10">
        <f t="shared" si="1161"/>
        <v>0</v>
      </c>
      <c r="BH1000" s="10">
        <f t="shared" si="1161"/>
        <v>0</v>
      </c>
      <c r="BI1000" s="10">
        <f t="shared" si="1161"/>
        <v>0</v>
      </c>
      <c r="BJ1000" s="10">
        <f t="shared" si="1161"/>
        <v>0</v>
      </c>
      <c r="BL1000" s="10">
        <f t="shared" ref="BL1000:BW1000" si="1162">BL$223</f>
        <v>0</v>
      </c>
      <c r="BM1000" s="10">
        <f t="shared" si="1162"/>
        <v>0</v>
      </c>
      <c r="BN1000" s="10">
        <f t="shared" si="1162"/>
        <v>0</v>
      </c>
      <c r="BO1000" s="10">
        <f t="shared" si="1162"/>
        <v>0</v>
      </c>
      <c r="BP1000" s="10">
        <f t="shared" si="1162"/>
        <v>0</v>
      </c>
      <c r="BQ1000" s="10">
        <f t="shared" si="1162"/>
        <v>0</v>
      </c>
      <c r="BR1000" s="10">
        <f t="shared" si="1162"/>
        <v>0</v>
      </c>
      <c r="BS1000" s="10">
        <f t="shared" si="1162"/>
        <v>0</v>
      </c>
      <c r="BT1000" s="10">
        <f t="shared" si="1162"/>
        <v>0</v>
      </c>
      <c r="BU1000" s="10">
        <f t="shared" si="1162"/>
        <v>0</v>
      </c>
      <c r="BV1000" s="10">
        <f t="shared" si="1162"/>
        <v>0</v>
      </c>
      <c r="BW1000" s="10">
        <f t="shared" si="1162"/>
        <v>0</v>
      </c>
      <c r="BY1000" s="12"/>
      <c r="BZ1000" s="335"/>
      <c r="CA1000" s="12"/>
      <c r="CB1000" s="335"/>
      <c r="CC1000" s="335"/>
      <c r="CD1000" s="335"/>
      <c r="CE1000" s="335"/>
      <c r="CM1000" s="335"/>
      <c r="CN1000" s="335"/>
      <c r="CO1000" s="335"/>
      <c r="CP1000" s="335"/>
      <c r="CR1000" s="12"/>
      <c r="CT1000" s="335"/>
      <c r="CU1000" s="335"/>
      <c r="EW1000" s="335"/>
      <c r="EX1000" s="10" t="str">
        <f t="shared" si="1102"/>
        <v/>
      </c>
    </row>
    <row r="1001" spans="1:154" s="67" customFormat="1" x14ac:dyDescent="0.25">
      <c r="B1001" s="84" t="str" cm="1">
        <f t="array" aca="1" ref="B1001" ca="1">HYPERLINK(CONCATENATE("#",CELL("address",$D$237)),$D$237)</f>
        <v>Loan 11</v>
      </c>
      <c r="C1001" s="380"/>
      <c r="D1001" s="60">
        <f>D$23</f>
        <v>0</v>
      </c>
      <c r="E1001" s="221">
        <f>E$23</f>
        <v>0</v>
      </c>
      <c r="G1001" s="9"/>
      <c r="H1001" s="50" t="s">
        <v>125</v>
      </c>
      <c r="S1001" s="335"/>
      <c r="T1001" s="335"/>
      <c r="U1001" s="335"/>
      <c r="V1001" s="201">
        <f>V$242</f>
        <v>0</v>
      </c>
      <c r="W1001" s="10">
        <f>W$242</f>
        <v>0</v>
      </c>
      <c r="X1001" s="10">
        <f>X$242</f>
        <v>0</v>
      </c>
      <c r="Y1001" s="10">
        <f>Y$242</f>
        <v>0</v>
      </c>
      <c r="AA1001" s="10">
        <f t="shared" ref="AA1001:BJ1001" si="1163">AA$242</f>
        <v>0</v>
      </c>
      <c r="AB1001" s="10">
        <f t="shared" si="1163"/>
        <v>0</v>
      </c>
      <c r="AC1001" s="10">
        <f t="shared" si="1163"/>
        <v>0</v>
      </c>
      <c r="AD1001" s="10">
        <f t="shared" si="1163"/>
        <v>0</v>
      </c>
      <c r="AE1001" s="10">
        <f t="shared" si="1163"/>
        <v>0</v>
      </c>
      <c r="AF1001" s="10">
        <f t="shared" si="1163"/>
        <v>0</v>
      </c>
      <c r="AG1001" s="10">
        <f t="shared" si="1163"/>
        <v>0</v>
      </c>
      <c r="AH1001" s="10">
        <f t="shared" si="1163"/>
        <v>0</v>
      </c>
      <c r="AI1001" s="10">
        <f t="shared" si="1163"/>
        <v>0</v>
      </c>
      <c r="AJ1001" s="10">
        <f t="shared" si="1163"/>
        <v>0</v>
      </c>
      <c r="AK1001" s="10">
        <f t="shared" si="1163"/>
        <v>0</v>
      </c>
      <c r="AL1001" s="10">
        <f t="shared" si="1163"/>
        <v>0</v>
      </c>
      <c r="AM1001" s="10">
        <f t="shared" si="1163"/>
        <v>0</v>
      </c>
      <c r="AN1001" s="10">
        <f t="shared" si="1163"/>
        <v>0</v>
      </c>
      <c r="AO1001" s="10">
        <f t="shared" si="1163"/>
        <v>0</v>
      </c>
      <c r="AP1001" s="10">
        <f t="shared" si="1163"/>
        <v>0</v>
      </c>
      <c r="AQ1001" s="10">
        <f t="shared" si="1163"/>
        <v>0</v>
      </c>
      <c r="AR1001" s="10">
        <f t="shared" si="1163"/>
        <v>0</v>
      </c>
      <c r="AS1001" s="10">
        <f t="shared" si="1163"/>
        <v>0</v>
      </c>
      <c r="AT1001" s="10">
        <f t="shared" si="1163"/>
        <v>0</v>
      </c>
      <c r="AU1001" s="10">
        <f t="shared" si="1163"/>
        <v>0</v>
      </c>
      <c r="AV1001" s="10">
        <f t="shared" si="1163"/>
        <v>0</v>
      </c>
      <c r="AW1001" s="10">
        <f t="shared" si="1163"/>
        <v>0</v>
      </c>
      <c r="AX1001" s="10">
        <f t="shared" si="1163"/>
        <v>0</v>
      </c>
      <c r="AY1001" s="10">
        <f t="shared" si="1163"/>
        <v>0</v>
      </c>
      <c r="AZ1001" s="10">
        <f t="shared" si="1163"/>
        <v>0</v>
      </c>
      <c r="BA1001" s="10">
        <f t="shared" si="1163"/>
        <v>0</v>
      </c>
      <c r="BB1001" s="10">
        <f t="shared" si="1163"/>
        <v>0</v>
      </c>
      <c r="BC1001" s="10">
        <f t="shared" si="1163"/>
        <v>0</v>
      </c>
      <c r="BD1001" s="10">
        <f t="shared" si="1163"/>
        <v>0</v>
      </c>
      <c r="BE1001" s="10">
        <f t="shared" si="1163"/>
        <v>0</v>
      </c>
      <c r="BF1001" s="10">
        <f t="shared" si="1163"/>
        <v>0</v>
      </c>
      <c r="BG1001" s="10">
        <f t="shared" si="1163"/>
        <v>0</v>
      </c>
      <c r="BH1001" s="10">
        <f t="shared" si="1163"/>
        <v>0</v>
      </c>
      <c r="BI1001" s="10">
        <f t="shared" si="1163"/>
        <v>0</v>
      </c>
      <c r="BJ1001" s="10">
        <f t="shared" si="1163"/>
        <v>0</v>
      </c>
      <c r="BL1001" s="10">
        <f t="shared" ref="BL1001:BW1001" si="1164">BL$242</f>
        <v>0</v>
      </c>
      <c r="BM1001" s="10">
        <f t="shared" si="1164"/>
        <v>0</v>
      </c>
      <c r="BN1001" s="10">
        <f t="shared" si="1164"/>
        <v>0</v>
      </c>
      <c r="BO1001" s="10">
        <f t="shared" si="1164"/>
        <v>0</v>
      </c>
      <c r="BP1001" s="10">
        <f t="shared" si="1164"/>
        <v>0</v>
      </c>
      <c r="BQ1001" s="10">
        <f t="shared" si="1164"/>
        <v>0</v>
      </c>
      <c r="BR1001" s="10">
        <f t="shared" si="1164"/>
        <v>0</v>
      </c>
      <c r="BS1001" s="10">
        <f t="shared" si="1164"/>
        <v>0</v>
      </c>
      <c r="BT1001" s="10">
        <f t="shared" si="1164"/>
        <v>0</v>
      </c>
      <c r="BU1001" s="10">
        <f t="shared" si="1164"/>
        <v>0</v>
      </c>
      <c r="BV1001" s="10">
        <f t="shared" si="1164"/>
        <v>0</v>
      </c>
      <c r="BW1001" s="10">
        <f t="shared" si="1164"/>
        <v>0</v>
      </c>
      <c r="BY1001" s="12"/>
      <c r="BZ1001" s="335"/>
      <c r="CA1001" s="12"/>
      <c r="CB1001" s="335"/>
      <c r="CC1001" s="335"/>
      <c r="CD1001" s="335"/>
      <c r="CE1001" s="335"/>
      <c r="CM1001" s="335"/>
      <c r="CN1001" s="335"/>
      <c r="CO1001" s="335"/>
      <c r="CP1001" s="335"/>
      <c r="CR1001" s="12"/>
      <c r="CT1001" s="335"/>
      <c r="CU1001" s="335"/>
      <c r="EW1001" s="335"/>
      <c r="EX1001" s="10" t="str">
        <f t="shared" si="1102"/>
        <v/>
      </c>
    </row>
    <row r="1002" spans="1:154" s="67" customFormat="1" x14ac:dyDescent="0.25">
      <c r="B1002" s="84" t="str" cm="1">
        <f t="array" aca="1" ref="B1002" ca="1">HYPERLINK(CONCATENATE("#",CELL("address",$D$256)),$D$256)</f>
        <v>Loan 12</v>
      </c>
      <c r="C1002" s="380"/>
      <c r="D1002" s="60">
        <f>D$24</f>
        <v>0</v>
      </c>
      <c r="E1002" s="221">
        <f>E$24</f>
        <v>0</v>
      </c>
      <c r="G1002" s="9"/>
      <c r="H1002" s="50" t="s">
        <v>125</v>
      </c>
      <c r="S1002" s="335"/>
      <c r="T1002" s="335"/>
      <c r="U1002" s="335"/>
      <c r="V1002" s="201">
        <f>V$261</f>
        <v>0</v>
      </c>
      <c r="W1002" s="10">
        <f>W$261</f>
        <v>0</v>
      </c>
      <c r="X1002" s="10">
        <f>X$261</f>
        <v>0</v>
      </c>
      <c r="Y1002" s="10">
        <f>Y$261</f>
        <v>0</v>
      </c>
      <c r="AA1002" s="10">
        <f t="shared" ref="AA1002:BJ1002" si="1165">AA$261</f>
        <v>0</v>
      </c>
      <c r="AB1002" s="10">
        <f t="shared" si="1165"/>
        <v>0</v>
      </c>
      <c r="AC1002" s="10">
        <f t="shared" si="1165"/>
        <v>0</v>
      </c>
      <c r="AD1002" s="10">
        <f t="shared" si="1165"/>
        <v>0</v>
      </c>
      <c r="AE1002" s="10">
        <f t="shared" si="1165"/>
        <v>0</v>
      </c>
      <c r="AF1002" s="10">
        <f t="shared" si="1165"/>
        <v>0</v>
      </c>
      <c r="AG1002" s="10">
        <f t="shared" si="1165"/>
        <v>0</v>
      </c>
      <c r="AH1002" s="10">
        <f t="shared" si="1165"/>
        <v>0</v>
      </c>
      <c r="AI1002" s="10">
        <f t="shared" si="1165"/>
        <v>0</v>
      </c>
      <c r="AJ1002" s="10">
        <f t="shared" si="1165"/>
        <v>0</v>
      </c>
      <c r="AK1002" s="10">
        <f t="shared" si="1165"/>
        <v>0</v>
      </c>
      <c r="AL1002" s="10">
        <f t="shared" si="1165"/>
        <v>0</v>
      </c>
      <c r="AM1002" s="10">
        <f t="shared" si="1165"/>
        <v>0</v>
      </c>
      <c r="AN1002" s="10">
        <f t="shared" si="1165"/>
        <v>0</v>
      </c>
      <c r="AO1002" s="10">
        <f t="shared" si="1165"/>
        <v>0</v>
      </c>
      <c r="AP1002" s="10">
        <f t="shared" si="1165"/>
        <v>0</v>
      </c>
      <c r="AQ1002" s="10">
        <f t="shared" si="1165"/>
        <v>0</v>
      </c>
      <c r="AR1002" s="10">
        <f t="shared" si="1165"/>
        <v>0</v>
      </c>
      <c r="AS1002" s="10">
        <f t="shared" si="1165"/>
        <v>0</v>
      </c>
      <c r="AT1002" s="10">
        <f t="shared" si="1165"/>
        <v>0</v>
      </c>
      <c r="AU1002" s="10">
        <f t="shared" si="1165"/>
        <v>0</v>
      </c>
      <c r="AV1002" s="10">
        <f t="shared" si="1165"/>
        <v>0</v>
      </c>
      <c r="AW1002" s="10">
        <f t="shared" si="1165"/>
        <v>0</v>
      </c>
      <c r="AX1002" s="10">
        <f t="shared" si="1165"/>
        <v>0</v>
      </c>
      <c r="AY1002" s="10">
        <f t="shared" si="1165"/>
        <v>0</v>
      </c>
      <c r="AZ1002" s="10">
        <f t="shared" si="1165"/>
        <v>0</v>
      </c>
      <c r="BA1002" s="10">
        <f t="shared" si="1165"/>
        <v>0</v>
      </c>
      <c r="BB1002" s="10">
        <f t="shared" si="1165"/>
        <v>0</v>
      </c>
      <c r="BC1002" s="10">
        <f t="shared" si="1165"/>
        <v>0</v>
      </c>
      <c r="BD1002" s="10">
        <f t="shared" si="1165"/>
        <v>0</v>
      </c>
      <c r="BE1002" s="10">
        <f t="shared" si="1165"/>
        <v>0</v>
      </c>
      <c r="BF1002" s="10">
        <f t="shared" si="1165"/>
        <v>0</v>
      </c>
      <c r="BG1002" s="10">
        <f t="shared" si="1165"/>
        <v>0</v>
      </c>
      <c r="BH1002" s="10">
        <f t="shared" si="1165"/>
        <v>0</v>
      </c>
      <c r="BI1002" s="10">
        <f t="shared" si="1165"/>
        <v>0</v>
      </c>
      <c r="BJ1002" s="10">
        <f t="shared" si="1165"/>
        <v>0</v>
      </c>
      <c r="BL1002" s="10">
        <f t="shared" ref="BL1002:BW1002" si="1166">BL$261</f>
        <v>0</v>
      </c>
      <c r="BM1002" s="10">
        <f t="shared" si="1166"/>
        <v>0</v>
      </c>
      <c r="BN1002" s="10">
        <f t="shared" si="1166"/>
        <v>0</v>
      </c>
      <c r="BO1002" s="10">
        <f t="shared" si="1166"/>
        <v>0</v>
      </c>
      <c r="BP1002" s="10">
        <f t="shared" si="1166"/>
        <v>0</v>
      </c>
      <c r="BQ1002" s="10">
        <f t="shared" si="1166"/>
        <v>0</v>
      </c>
      <c r="BR1002" s="10">
        <f t="shared" si="1166"/>
        <v>0</v>
      </c>
      <c r="BS1002" s="10">
        <f t="shared" si="1166"/>
        <v>0</v>
      </c>
      <c r="BT1002" s="10">
        <f t="shared" si="1166"/>
        <v>0</v>
      </c>
      <c r="BU1002" s="10">
        <f t="shared" si="1166"/>
        <v>0</v>
      </c>
      <c r="BV1002" s="10">
        <f t="shared" si="1166"/>
        <v>0</v>
      </c>
      <c r="BW1002" s="10">
        <f t="shared" si="1166"/>
        <v>0</v>
      </c>
      <c r="BY1002" s="12"/>
      <c r="BZ1002" s="335"/>
      <c r="CA1002" s="12"/>
      <c r="CB1002" s="335"/>
      <c r="CC1002" s="335"/>
      <c r="CD1002" s="335"/>
      <c r="CE1002" s="335"/>
      <c r="CM1002" s="335"/>
      <c r="CN1002" s="335"/>
      <c r="CO1002" s="335"/>
      <c r="CP1002" s="335"/>
      <c r="CR1002" s="12"/>
      <c r="CT1002" s="335"/>
      <c r="CU1002" s="335"/>
      <c r="EW1002" s="335"/>
      <c r="EX1002" s="10" t="str">
        <f t="shared" si="1102"/>
        <v/>
      </c>
    </row>
    <row r="1003" spans="1:154" s="67" customFormat="1" x14ac:dyDescent="0.25">
      <c r="B1003" s="84" t="str" cm="1">
        <f t="array" aca="1" ref="B1003" ca="1">HYPERLINK(CONCATENATE("#",CELL("address",$D$275)),$D$275)</f>
        <v>Loan 13</v>
      </c>
      <c r="C1003" s="380"/>
      <c r="D1003" s="60">
        <f>D$25</f>
        <v>0</v>
      </c>
      <c r="E1003" s="221">
        <f>E$25</f>
        <v>0</v>
      </c>
      <c r="G1003" s="9"/>
      <c r="H1003" s="50" t="s">
        <v>125</v>
      </c>
      <c r="S1003" s="335"/>
      <c r="T1003" s="335"/>
      <c r="U1003" s="335"/>
      <c r="V1003" s="201">
        <f>V$280</f>
        <v>0</v>
      </c>
      <c r="W1003" s="10">
        <f>W$280</f>
        <v>0</v>
      </c>
      <c r="X1003" s="10">
        <f>X$280</f>
        <v>0</v>
      </c>
      <c r="Y1003" s="10">
        <f>Y$280</f>
        <v>0</v>
      </c>
      <c r="AA1003" s="10">
        <f t="shared" ref="AA1003:BJ1003" si="1167">AA$280</f>
        <v>0</v>
      </c>
      <c r="AB1003" s="10">
        <f t="shared" si="1167"/>
        <v>0</v>
      </c>
      <c r="AC1003" s="10">
        <f t="shared" si="1167"/>
        <v>0</v>
      </c>
      <c r="AD1003" s="10">
        <f t="shared" si="1167"/>
        <v>0</v>
      </c>
      <c r="AE1003" s="10">
        <f t="shared" si="1167"/>
        <v>0</v>
      </c>
      <c r="AF1003" s="10">
        <f t="shared" si="1167"/>
        <v>0</v>
      </c>
      <c r="AG1003" s="10">
        <f t="shared" si="1167"/>
        <v>0</v>
      </c>
      <c r="AH1003" s="10">
        <f t="shared" si="1167"/>
        <v>0</v>
      </c>
      <c r="AI1003" s="10">
        <f t="shared" si="1167"/>
        <v>0</v>
      </c>
      <c r="AJ1003" s="10">
        <f t="shared" si="1167"/>
        <v>0</v>
      </c>
      <c r="AK1003" s="10">
        <f t="shared" si="1167"/>
        <v>0</v>
      </c>
      <c r="AL1003" s="10">
        <f t="shared" si="1167"/>
        <v>0</v>
      </c>
      <c r="AM1003" s="10">
        <f t="shared" si="1167"/>
        <v>0</v>
      </c>
      <c r="AN1003" s="10">
        <f t="shared" si="1167"/>
        <v>0</v>
      </c>
      <c r="AO1003" s="10">
        <f t="shared" si="1167"/>
        <v>0</v>
      </c>
      <c r="AP1003" s="10">
        <f t="shared" si="1167"/>
        <v>0</v>
      </c>
      <c r="AQ1003" s="10">
        <f t="shared" si="1167"/>
        <v>0</v>
      </c>
      <c r="AR1003" s="10">
        <f t="shared" si="1167"/>
        <v>0</v>
      </c>
      <c r="AS1003" s="10">
        <f t="shared" si="1167"/>
        <v>0</v>
      </c>
      <c r="AT1003" s="10">
        <f t="shared" si="1167"/>
        <v>0</v>
      </c>
      <c r="AU1003" s="10">
        <f t="shared" si="1167"/>
        <v>0</v>
      </c>
      <c r="AV1003" s="10">
        <f t="shared" si="1167"/>
        <v>0</v>
      </c>
      <c r="AW1003" s="10">
        <f t="shared" si="1167"/>
        <v>0</v>
      </c>
      <c r="AX1003" s="10">
        <f t="shared" si="1167"/>
        <v>0</v>
      </c>
      <c r="AY1003" s="10">
        <f t="shared" si="1167"/>
        <v>0</v>
      </c>
      <c r="AZ1003" s="10">
        <f t="shared" si="1167"/>
        <v>0</v>
      </c>
      <c r="BA1003" s="10">
        <f t="shared" si="1167"/>
        <v>0</v>
      </c>
      <c r="BB1003" s="10">
        <f t="shared" si="1167"/>
        <v>0</v>
      </c>
      <c r="BC1003" s="10">
        <f t="shared" si="1167"/>
        <v>0</v>
      </c>
      <c r="BD1003" s="10">
        <f t="shared" si="1167"/>
        <v>0</v>
      </c>
      <c r="BE1003" s="10">
        <f t="shared" si="1167"/>
        <v>0</v>
      </c>
      <c r="BF1003" s="10">
        <f t="shared" si="1167"/>
        <v>0</v>
      </c>
      <c r="BG1003" s="10">
        <f t="shared" si="1167"/>
        <v>0</v>
      </c>
      <c r="BH1003" s="10">
        <f t="shared" si="1167"/>
        <v>0</v>
      </c>
      <c r="BI1003" s="10">
        <f t="shared" si="1167"/>
        <v>0</v>
      </c>
      <c r="BJ1003" s="10">
        <f t="shared" si="1167"/>
        <v>0</v>
      </c>
      <c r="BL1003" s="10">
        <f t="shared" ref="BL1003:BW1003" si="1168">BL$280</f>
        <v>0</v>
      </c>
      <c r="BM1003" s="10">
        <f t="shared" si="1168"/>
        <v>0</v>
      </c>
      <c r="BN1003" s="10">
        <f t="shared" si="1168"/>
        <v>0</v>
      </c>
      <c r="BO1003" s="10">
        <f t="shared" si="1168"/>
        <v>0</v>
      </c>
      <c r="BP1003" s="10">
        <f t="shared" si="1168"/>
        <v>0</v>
      </c>
      <c r="BQ1003" s="10">
        <f t="shared" si="1168"/>
        <v>0</v>
      </c>
      <c r="BR1003" s="10">
        <f t="shared" si="1168"/>
        <v>0</v>
      </c>
      <c r="BS1003" s="10">
        <f t="shared" si="1168"/>
        <v>0</v>
      </c>
      <c r="BT1003" s="10">
        <f t="shared" si="1168"/>
        <v>0</v>
      </c>
      <c r="BU1003" s="10">
        <f t="shared" si="1168"/>
        <v>0</v>
      </c>
      <c r="BV1003" s="10">
        <f t="shared" si="1168"/>
        <v>0</v>
      </c>
      <c r="BW1003" s="10">
        <f t="shared" si="1168"/>
        <v>0</v>
      </c>
      <c r="BY1003" s="12"/>
      <c r="BZ1003" s="335"/>
      <c r="CA1003" s="12"/>
      <c r="CB1003" s="335"/>
      <c r="CC1003" s="335"/>
      <c r="CD1003" s="335"/>
      <c r="CE1003" s="335"/>
      <c r="CM1003" s="335"/>
      <c r="CN1003" s="335"/>
      <c r="CO1003" s="335"/>
      <c r="CP1003" s="335"/>
      <c r="CR1003" s="12"/>
      <c r="CT1003" s="335"/>
      <c r="CU1003" s="335"/>
      <c r="EW1003" s="335"/>
      <c r="EX1003" s="10" t="str">
        <f t="shared" si="1102"/>
        <v/>
      </c>
    </row>
    <row r="1004" spans="1:154" s="5" customFormat="1" x14ac:dyDescent="0.25">
      <c r="A1004" s="67"/>
      <c r="B1004" s="84" t="str" cm="1">
        <f t="array" aca="1" ref="B1004" ca="1">HYPERLINK(CONCATENATE("#",CELL("address",$D$294)),$D$294)</f>
        <v>Loan 14</v>
      </c>
      <c r="C1004" s="380"/>
      <c r="D1004" s="60">
        <f>D$26</f>
        <v>0</v>
      </c>
      <c r="E1004" s="221">
        <f>E$26</f>
        <v>0</v>
      </c>
      <c r="F1004" s="67"/>
      <c r="G1004" s="9"/>
      <c r="H1004" s="50" t="s">
        <v>125</v>
      </c>
      <c r="I1004" s="67"/>
      <c r="J1004" s="67"/>
      <c r="K1004" s="67"/>
      <c r="L1004" s="67"/>
      <c r="M1004" s="67"/>
      <c r="N1004" s="67"/>
      <c r="O1004" s="67"/>
      <c r="P1004" s="67"/>
      <c r="Q1004" s="67"/>
      <c r="R1004" s="67"/>
      <c r="S1004" s="335"/>
      <c r="T1004" s="335"/>
      <c r="U1004" s="335"/>
      <c r="V1004" s="201">
        <f>V$299</f>
        <v>0</v>
      </c>
      <c r="W1004" s="10">
        <f>W$299</f>
        <v>0</v>
      </c>
      <c r="X1004" s="10">
        <f>X$299</f>
        <v>0</v>
      </c>
      <c r="Y1004" s="10">
        <f>Y$299</f>
        <v>0</v>
      </c>
      <c r="Z1004" s="67"/>
      <c r="AA1004" s="10">
        <f t="shared" ref="AA1004:BJ1004" si="1169">AA$299</f>
        <v>0</v>
      </c>
      <c r="AB1004" s="10">
        <f t="shared" si="1169"/>
        <v>0</v>
      </c>
      <c r="AC1004" s="10">
        <f t="shared" si="1169"/>
        <v>0</v>
      </c>
      <c r="AD1004" s="10">
        <f t="shared" si="1169"/>
        <v>0</v>
      </c>
      <c r="AE1004" s="10">
        <f t="shared" si="1169"/>
        <v>0</v>
      </c>
      <c r="AF1004" s="10">
        <f t="shared" si="1169"/>
        <v>0</v>
      </c>
      <c r="AG1004" s="10">
        <f t="shared" si="1169"/>
        <v>0</v>
      </c>
      <c r="AH1004" s="10">
        <f t="shared" si="1169"/>
        <v>0</v>
      </c>
      <c r="AI1004" s="10">
        <f t="shared" si="1169"/>
        <v>0</v>
      </c>
      <c r="AJ1004" s="10">
        <f t="shared" si="1169"/>
        <v>0</v>
      </c>
      <c r="AK1004" s="10">
        <f t="shared" si="1169"/>
        <v>0</v>
      </c>
      <c r="AL1004" s="10">
        <f t="shared" si="1169"/>
        <v>0</v>
      </c>
      <c r="AM1004" s="10">
        <f t="shared" si="1169"/>
        <v>0</v>
      </c>
      <c r="AN1004" s="10">
        <f t="shared" si="1169"/>
        <v>0</v>
      </c>
      <c r="AO1004" s="10">
        <f t="shared" si="1169"/>
        <v>0</v>
      </c>
      <c r="AP1004" s="10">
        <f t="shared" si="1169"/>
        <v>0</v>
      </c>
      <c r="AQ1004" s="10">
        <f t="shared" si="1169"/>
        <v>0</v>
      </c>
      <c r="AR1004" s="10">
        <f t="shared" si="1169"/>
        <v>0</v>
      </c>
      <c r="AS1004" s="10">
        <f t="shared" si="1169"/>
        <v>0</v>
      </c>
      <c r="AT1004" s="10">
        <f t="shared" si="1169"/>
        <v>0</v>
      </c>
      <c r="AU1004" s="10">
        <f t="shared" si="1169"/>
        <v>0</v>
      </c>
      <c r="AV1004" s="10">
        <f t="shared" si="1169"/>
        <v>0</v>
      </c>
      <c r="AW1004" s="10">
        <f t="shared" si="1169"/>
        <v>0</v>
      </c>
      <c r="AX1004" s="10">
        <f t="shared" si="1169"/>
        <v>0</v>
      </c>
      <c r="AY1004" s="10">
        <f t="shared" si="1169"/>
        <v>0</v>
      </c>
      <c r="AZ1004" s="10">
        <f t="shared" si="1169"/>
        <v>0</v>
      </c>
      <c r="BA1004" s="10">
        <f t="shared" si="1169"/>
        <v>0</v>
      </c>
      <c r="BB1004" s="10">
        <f t="shared" si="1169"/>
        <v>0</v>
      </c>
      <c r="BC1004" s="10">
        <f t="shared" si="1169"/>
        <v>0</v>
      </c>
      <c r="BD1004" s="10">
        <f t="shared" si="1169"/>
        <v>0</v>
      </c>
      <c r="BE1004" s="10">
        <f t="shared" si="1169"/>
        <v>0</v>
      </c>
      <c r="BF1004" s="10">
        <f t="shared" si="1169"/>
        <v>0</v>
      </c>
      <c r="BG1004" s="10">
        <f t="shared" si="1169"/>
        <v>0</v>
      </c>
      <c r="BH1004" s="10">
        <f t="shared" si="1169"/>
        <v>0</v>
      </c>
      <c r="BI1004" s="10">
        <f t="shared" si="1169"/>
        <v>0</v>
      </c>
      <c r="BJ1004" s="10">
        <f t="shared" si="1169"/>
        <v>0</v>
      </c>
      <c r="BK1004" s="67"/>
      <c r="BL1004" s="10">
        <f t="shared" ref="BL1004:BW1004" si="1170">BL$299</f>
        <v>0</v>
      </c>
      <c r="BM1004" s="10">
        <f t="shared" si="1170"/>
        <v>0</v>
      </c>
      <c r="BN1004" s="10">
        <f t="shared" si="1170"/>
        <v>0</v>
      </c>
      <c r="BO1004" s="10">
        <f t="shared" si="1170"/>
        <v>0</v>
      </c>
      <c r="BP1004" s="10">
        <f t="shared" si="1170"/>
        <v>0</v>
      </c>
      <c r="BQ1004" s="10">
        <f t="shared" si="1170"/>
        <v>0</v>
      </c>
      <c r="BR1004" s="10">
        <f t="shared" si="1170"/>
        <v>0</v>
      </c>
      <c r="BS1004" s="10">
        <f t="shared" si="1170"/>
        <v>0</v>
      </c>
      <c r="BT1004" s="10">
        <f t="shared" si="1170"/>
        <v>0</v>
      </c>
      <c r="BU1004" s="10">
        <f t="shared" si="1170"/>
        <v>0</v>
      </c>
      <c r="BV1004" s="10">
        <f t="shared" si="1170"/>
        <v>0</v>
      </c>
      <c r="BW1004" s="10">
        <f t="shared" si="1170"/>
        <v>0</v>
      </c>
      <c r="BX1004" s="67"/>
      <c r="BY1004" s="12"/>
      <c r="BZ1004" s="335"/>
      <c r="CA1004" s="12"/>
      <c r="CB1004" s="335"/>
      <c r="CC1004" s="335"/>
      <c r="CD1004" s="335"/>
      <c r="CE1004" s="335"/>
      <c r="CF1004" s="67"/>
      <c r="CG1004" s="67"/>
      <c r="CH1004" s="67"/>
      <c r="CI1004" s="67"/>
      <c r="CJ1004" s="67"/>
      <c r="CK1004" s="67"/>
      <c r="CL1004" s="67"/>
      <c r="CM1004" s="335"/>
      <c r="CN1004" s="335"/>
      <c r="CO1004" s="335"/>
      <c r="CP1004" s="335"/>
      <c r="CQ1004" s="67"/>
      <c r="CR1004" s="12"/>
      <c r="EX1004" s="10" t="str">
        <f t="shared" si="1102"/>
        <v/>
      </c>
    </row>
    <row r="1005" spans="1:154" s="67" customFormat="1" x14ac:dyDescent="0.25">
      <c r="B1005" s="84" t="str" cm="1">
        <f t="array" aca="1" ref="B1005" ca="1">HYPERLINK(CONCATENATE("#",CELL("address",$D$313)),$D$313)</f>
        <v>Loan 15</v>
      </c>
      <c r="C1005" s="380"/>
      <c r="D1005" s="60">
        <f>D$27</f>
        <v>0</v>
      </c>
      <c r="E1005" s="221">
        <f>E$27</f>
        <v>0</v>
      </c>
      <c r="G1005" s="9"/>
      <c r="H1005" s="50" t="s">
        <v>125</v>
      </c>
      <c r="S1005" s="335"/>
      <c r="T1005" s="335"/>
      <c r="U1005" s="335"/>
      <c r="V1005" s="201">
        <f>V$318</f>
        <v>0</v>
      </c>
      <c r="W1005" s="10">
        <f>W$318</f>
        <v>0</v>
      </c>
      <c r="X1005" s="10">
        <f>X$318</f>
        <v>0</v>
      </c>
      <c r="Y1005" s="10">
        <f>Y$318</f>
        <v>0</v>
      </c>
      <c r="AA1005" s="10">
        <f t="shared" ref="AA1005:BJ1005" si="1171">AA$318</f>
        <v>0</v>
      </c>
      <c r="AB1005" s="10">
        <f t="shared" si="1171"/>
        <v>0</v>
      </c>
      <c r="AC1005" s="10">
        <f t="shared" si="1171"/>
        <v>0</v>
      </c>
      <c r="AD1005" s="10">
        <f t="shared" si="1171"/>
        <v>0</v>
      </c>
      <c r="AE1005" s="10">
        <f t="shared" si="1171"/>
        <v>0</v>
      </c>
      <c r="AF1005" s="10">
        <f t="shared" si="1171"/>
        <v>0</v>
      </c>
      <c r="AG1005" s="10">
        <f t="shared" si="1171"/>
        <v>0</v>
      </c>
      <c r="AH1005" s="10">
        <f t="shared" si="1171"/>
        <v>0</v>
      </c>
      <c r="AI1005" s="10">
        <f t="shared" si="1171"/>
        <v>0</v>
      </c>
      <c r="AJ1005" s="10">
        <f t="shared" si="1171"/>
        <v>0</v>
      </c>
      <c r="AK1005" s="10">
        <f t="shared" si="1171"/>
        <v>0</v>
      </c>
      <c r="AL1005" s="10">
        <f t="shared" si="1171"/>
        <v>0</v>
      </c>
      <c r="AM1005" s="10">
        <f t="shared" si="1171"/>
        <v>0</v>
      </c>
      <c r="AN1005" s="10">
        <f t="shared" si="1171"/>
        <v>0</v>
      </c>
      <c r="AO1005" s="10">
        <f t="shared" si="1171"/>
        <v>0</v>
      </c>
      <c r="AP1005" s="10">
        <f t="shared" si="1171"/>
        <v>0</v>
      </c>
      <c r="AQ1005" s="10">
        <f t="shared" si="1171"/>
        <v>0</v>
      </c>
      <c r="AR1005" s="10">
        <f t="shared" si="1171"/>
        <v>0</v>
      </c>
      <c r="AS1005" s="10">
        <f t="shared" si="1171"/>
        <v>0</v>
      </c>
      <c r="AT1005" s="10">
        <f t="shared" si="1171"/>
        <v>0</v>
      </c>
      <c r="AU1005" s="10">
        <f t="shared" si="1171"/>
        <v>0</v>
      </c>
      <c r="AV1005" s="10">
        <f t="shared" si="1171"/>
        <v>0</v>
      </c>
      <c r="AW1005" s="10">
        <f t="shared" si="1171"/>
        <v>0</v>
      </c>
      <c r="AX1005" s="10">
        <f t="shared" si="1171"/>
        <v>0</v>
      </c>
      <c r="AY1005" s="10">
        <f t="shared" si="1171"/>
        <v>0</v>
      </c>
      <c r="AZ1005" s="10">
        <f t="shared" si="1171"/>
        <v>0</v>
      </c>
      <c r="BA1005" s="10">
        <f t="shared" si="1171"/>
        <v>0</v>
      </c>
      <c r="BB1005" s="10">
        <f t="shared" si="1171"/>
        <v>0</v>
      </c>
      <c r="BC1005" s="10">
        <f t="shared" si="1171"/>
        <v>0</v>
      </c>
      <c r="BD1005" s="10">
        <f t="shared" si="1171"/>
        <v>0</v>
      </c>
      <c r="BE1005" s="10">
        <f t="shared" si="1171"/>
        <v>0</v>
      </c>
      <c r="BF1005" s="10">
        <f t="shared" si="1171"/>
        <v>0</v>
      </c>
      <c r="BG1005" s="10">
        <f t="shared" si="1171"/>
        <v>0</v>
      </c>
      <c r="BH1005" s="10">
        <f t="shared" si="1171"/>
        <v>0</v>
      </c>
      <c r="BI1005" s="10">
        <f t="shared" si="1171"/>
        <v>0</v>
      </c>
      <c r="BJ1005" s="10">
        <f t="shared" si="1171"/>
        <v>0</v>
      </c>
      <c r="BL1005" s="10">
        <f t="shared" ref="BL1005:BW1005" si="1172">BL$318</f>
        <v>0</v>
      </c>
      <c r="BM1005" s="10">
        <f t="shared" si="1172"/>
        <v>0</v>
      </c>
      <c r="BN1005" s="10">
        <f t="shared" si="1172"/>
        <v>0</v>
      </c>
      <c r="BO1005" s="10">
        <f t="shared" si="1172"/>
        <v>0</v>
      </c>
      <c r="BP1005" s="10">
        <f t="shared" si="1172"/>
        <v>0</v>
      </c>
      <c r="BQ1005" s="10">
        <f t="shared" si="1172"/>
        <v>0</v>
      </c>
      <c r="BR1005" s="10">
        <f t="shared" si="1172"/>
        <v>0</v>
      </c>
      <c r="BS1005" s="10">
        <f t="shared" si="1172"/>
        <v>0</v>
      </c>
      <c r="BT1005" s="10">
        <f t="shared" si="1172"/>
        <v>0</v>
      </c>
      <c r="BU1005" s="10">
        <f t="shared" si="1172"/>
        <v>0</v>
      </c>
      <c r="BV1005" s="10">
        <f t="shared" si="1172"/>
        <v>0</v>
      </c>
      <c r="BW1005" s="10">
        <f t="shared" si="1172"/>
        <v>0</v>
      </c>
      <c r="BY1005" s="12"/>
      <c r="BZ1005" s="335"/>
      <c r="CA1005" s="12"/>
      <c r="CB1005" s="335"/>
      <c r="CC1005" s="335"/>
      <c r="CD1005" s="335"/>
      <c r="CE1005" s="335"/>
      <c r="CM1005" s="335"/>
      <c r="CN1005" s="335"/>
      <c r="CO1005" s="335"/>
      <c r="CP1005" s="335"/>
      <c r="CR1005" s="12"/>
      <c r="CT1005" s="335"/>
      <c r="CU1005" s="335"/>
      <c r="EW1005" s="335"/>
      <c r="EX1005" s="10" t="str">
        <f t="shared" si="1102"/>
        <v/>
      </c>
    </row>
    <row r="1006" spans="1:154" s="67" customFormat="1" x14ac:dyDescent="0.25">
      <c r="B1006" s="84" t="str" cm="1">
        <f t="array" aca="1" ref="B1006" ca="1">HYPERLINK(CONCATENATE("#",CELL("address",$D$332)),$D$332)</f>
        <v>Loan 16</v>
      </c>
      <c r="C1006" s="380"/>
      <c r="D1006" s="60">
        <f>D$28</f>
        <v>0</v>
      </c>
      <c r="E1006" s="221">
        <f>E$28</f>
        <v>0</v>
      </c>
      <c r="G1006" s="9"/>
      <c r="H1006" s="50" t="s">
        <v>125</v>
      </c>
      <c r="S1006" s="335"/>
      <c r="T1006" s="335"/>
      <c r="U1006" s="335"/>
      <c r="V1006" s="201">
        <f>V$337</f>
        <v>0</v>
      </c>
      <c r="W1006" s="10">
        <f>W$337</f>
        <v>0</v>
      </c>
      <c r="X1006" s="10">
        <f>X$337</f>
        <v>0</v>
      </c>
      <c r="Y1006" s="10">
        <f>Y$337</f>
        <v>0</v>
      </c>
      <c r="AA1006" s="10">
        <f t="shared" ref="AA1006:BJ1006" si="1173">AA$337</f>
        <v>0</v>
      </c>
      <c r="AB1006" s="10">
        <f t="shared" si="1173"/>
        <v>0</v>
      </c>
      <c r="AC1006" s="10">
        <f t="shared" si="1173"/>
        <v>0</v>
      </c>
      <c r="AD1006" s="10">
        <f t="shared" si="1173"/>
        <v>0</v>
      </c>
      <c r="AE1006" s="10">
        <f t="shared" si="1173"/>
        <v>0</v>
      </c>
      <c r="AF1006" s="10">
        <f t="shared" si="1173"/>
        <v>0</v>
      </c>
      <c r="AG1006" s="10">
        <f t="shared" si="1173"/>
        <v>0</v>
      </c>
      <c r="AH1006" s="10">
        <f t="shared" si="1173"/>
        <v>0</v>
      </c>
      <c r="AI1006" s="10">
        <f t="shared" si="1173"/>
        <v>0</v>
      </c>
      <c r="AJ1006" s="10">
        <f t="shared" si="1173"/>
        <v>0</v>
      </c>
      <c r="AK1006" s="10">
        <f t="shared" si="1173"/>
        <v>0</v>
      </c>
      <c r="AL1006" s="10">
        <f t="shared" si="1173"/>
        <v>0</v>
      </c>
      <c r="AM1006" s="10">
        <f t="shared" si="1173"/>
        <v>0</v>
      </c>
      <c r="AN1006" s="10">
        <f t="shared" si="1173"/>
        <v>0</v>
      </c>
      <c r="AO1006" s="10">
        <f t="shared" si="1173"/>
        <v>0</v>
      </c>
      <c r="AP1006" s="10">
        <f t="shared" si="1173"/>
        <v>0</v>
      </c>
      <c r="AQ1006" s="10">
        <f t="shared" si="1173"/>
        <v>0</v>
      </c>
      <c r="AR1006" s="10">
        <f t="shared" si="1173"/>
        <v>0</v>
      </c>
      <c r="AS1006" s="10">
        <f t="shared" si="1173"/>
        <v>0</v>
      </c>
      <c r="AT1006" s="10">
        <f t="shared" si="1173"/>
        <v>0</v>
      </c>
      <c r="AU1006" s="10">
        <f t="shared" si="1173"/>
        <v>0</v>
      </c>
      <c r="AV1006" s="10">
        <f t="shared" si="1173"/>
        <v>0</v>
      </c>
      <c r="AW1006" s="10">
        <f t="shared" si="1173"/>
        <v>0</v>
      </c>
      <c r="AX1006" s="10">
        <f t="shared" si="1173"/>
        <v>0</v>
      </c>
      <c r="AY1006" s="10">
        <f t="shared" si="1173"/>
        <v>0</v>
      </c>
      <c r="AZ1006" s="10">
        <f t="shared" si="1173"/>
        <v>0</v>
      </c>
      <c r="BA1006" s="10">
        <f t="shared" si="1173"/>
        <v>0</v>
      </c>
      <c r="BB1006" s="10">
        <f t="shared" si="1173"/>
        <v>0</v>
      </c>
      <c r="BC1006" s="10">
        <f t="shared" si="1173"/>
        <v>0</v>
      </c>
      <c r="BD1006" s="10">
        <f t="shared" si="1173"/>
        <v>0</v>
      </c>
      <c r="BE1006" s="10">
        <f t="shared" si="1173"/>
        <v>0</v>
      </c>
      <c r="BF1006" s="10">
        <f t="shared" si="1173"/>
        <v>0</v>
      </c>
      <c r="BG1006" s="10">
        <f t="shared" si="1173"/>
        <v>0</v>
      </c>
      <c r="BH1006" s="10">
        <f t="shared" si="1173"/>
        <v>0</v>
      </c>
      <c r="BI1006" s="10">
        <f t="shared" si="1173"/>
        <v>0</v>
      </c>
      <c r="BJ1006" s="10">
        <f t="shared" si="1173"/>
        <v>0</v>
      </c>
      <c r="BL1006" s="10">
        <f t="shared" ref="BL1006:BW1006" si="1174">BL$337</f>
        <v>0</v>
      </c>
      <c r="BM1006" s="10">
        <f t="shared" si="1174"/>
        <v>0</v>
      </c>
      <c r="BN1006" s="10">
        <f t="shared" si="1174"/>
        <v>0</v>
      </c>
      <c r="BO1006" s="10">
        <f t="shared" si="1174"/>
        <v>0</v>
      </c>
      <c r="BP1006" s="10">
        <f t="shared" si="1174"/>
        <v>0</v>
      </c>
      <c r="BQ1006" s="10">
        <f t="shared" si="1174"/>
        <v>0</v>
      </c>
      <c r="BR1006" s="10">
        <f t="shared" si="1174"/>
        <v>0</v>
      </c>
      <c r="BS1006" s="10">
        <f t="shared" si="1174"/>
        <v>0</v>
      </c>
      <c r="BT1006" s="10">
        <f t="shared" si="1174"/>
        <v>0</v>
      </c>
      <c r="BU1006" s="10">
        <f t="shared" si="1174"/>
        <v>0</v>
      </c>
      <c r="BV1006" s="10">
        <f t="shared" si="1174"/>
        <v>0</v>
      </c>
      <c r="BW1006" s="10">
        <f t="shared" si="1174"/>
        <v>0</v>
      </c>
      <c r="BY1006" s="12"/>
      <c r="BZ1006" s="335"/>
      <c r="CA1006" s="12"/>
      <c r="CB1006" s="335"/>
      <c r="CC1006" s="335"/>
      <c r="CD1006" s="335"/>
      <c r="CE1006" s="335"/>
      <c r="CM1006" s="335"/>
      <c r="CN1006" s="335"/>
      <c r="CO1006" s="335"/>
      <c r="CP1006" s="335"/>
      <c r="CR1006" s="12"/>
      <c r="CT1006" s="335"/>
      <c r="CU1006" s="335"/>
      <c r="EW1006" s="335"/>
      <c r="EX1006" s="10" t="str">
        <f t="shared" si="1102"/>
        <v/>
      </c>
    </row>
    <row r="1007" spans="1:154" s="67" customFormat="1" x14ac:dyDescent="0.25">
      <c r="B1007" s="84" t="str" cm="1">
        <f t="array" aca="1" ref="B1007" ca="1">HYPERLINK(CONCATENATE("#",CELL("address",$D$351)),$D$351)</f>
        <v>Loan 17</v>
      </c>
      <c r="C1007" s="380"/>
      <c r="D1007" s="60">
        <f>D$29</f>
        <v>0</v>
      </c>
      <c r="E1007" s="221">
        <f>E$29</f>
        <v>0</v>
      </c>
      <c r="G1007" s="9"/>
      <c r="H1007" s="50" t="s">
        <v>125</v>
      </c>
      <c r="S1007" s="335"/>
      <c r="T1007" s="335"/>
      <c r="U1007" s="335"/>
      <c r="V1007" s="201">
        <f>V$356</f>
        <v>0</v>
      </c>
      <c r="W1007" s="10">
        <f>W$356</f>
        <v>0</v>
      </c>
      <c r="X1007" s="10">
        <f>X$356</f>
        <v>0</v>
      </c>
      <c r="Y1007" s="10">
        <f>Y$356</f>
        <v>0</v>
      </c>
      <c r="AA1007" s="10">
        <f t="shared" ref="AA1007:BJ1007" si="1175">AA$356</f>
        <v>0</v>
      </c>
      <c r="AB1007" s="10">
        <f t="shared" si="1175"/>
        <v>0</v>
      </c>
      <c r="AC1007" s="10">
        <f t="shared" si="1175"/>
        <v>0</v>
      </c>
      <c r="AD1007" s="10">
        <f t="shared" si="1175"/>
        <v>0</v>
      </c>
      <c r="AE1007" s="10">
        <f t="shared" si="1175"/>
        <v>0</v>
      </c>
      <c r="AF1007" s="10">
        <f t="shared" si="1175"/>
        <v>0</v>
      </c>
      <c r="AG1007" s="10">
        <f t="shared" si="1175"/>
        <v>0</v>
      </c>
      <c r="AH1007" s="10">
        <f t="shared" si="1175"/>
        <v>0</v>
      </c>
      <c r="AI1007" s="10">
        <f t="shared" si="1175"/>
        <v>0</v>
      </c>
      <c r="AJ1007" s="10">
        <f t="shared" si="1175"/>
        <v>0</v>
      </c>
      <c r="AK1007" s="10">
        <f t="shared" si="1175"/>
        <v>0</v>
      </c>
      <c r="AL1007" s="10">
        <f t="shared" si="1175"/>
        <v>0</v>
      </c>
      <c r="AM1007" s="10">
        <f t="shared" si="1175"/>
        <v>0</v>
      </c>
      <c r="AN1007" s="10">
        <f t="shared" si="1175"/>
        <v>0</v>
      </c>
      <c r="AO1007" s="10">
        <f t="shared" si="1175"/>
        <v>0</v>
      </c>
      <c r="AP1007" s="10">
        <f t="shared" si="1175"/>
        <v>0</v>
      </c>
      <c r="AQ1007" s="10">
        <f t="shared" si="1175"/>
        <v>0</v>
      </c>
      <c r="AR1007" s="10">
        <f t="shared" si="1175"/>
        <v>0</v>
      </c>
      <c r="AS1007" s="10">
        <f t="shared" si="1175"/>
        <v>0</v>
      </c>
      <c r="AT1007" s="10">
        <f t="shared" si="1175"/>
        <v>0</v>
      </c>
      <c r="AU1007" s="10">
        <f t="shared" si="1175"/>
        <v>0</v>
      </c>
      <c r="AV1007" s="10">
        <f t="shared" si="1175"/>
        <v>0</v>
      </c>
      <c r="AW1007" s="10">
        <f t="shared" si="1175"/>
        <v>0</v>
      </c>
      <c r="AX1007" s="10">
        <f t="shared" si="1175"/>
        <v>0</v>
      </c>
      <c r="AY1007" s="10">
        <f t="shared" si="1175"/>
        <v>0</v>
      </c>
      <c r="AZ1007" s="10">
        <f t="shared" si="1175"/>
        <v>0</v>
      </c>
      <c r="BA1007" s="10">
        <f t="shared" si="1175"/>
        <v>0</v>
      </c>
      <c r="BB1007" s="10">
        <f t="shared" si="1175"/>
        <v>0</v>
      </c>
      <c r="BC1007" s="10">
        <f t="shared" si="1175"/>
        <v>0</v>
      </c>
      <c r="BD1007" s="10">
        <f t="shared" si="1175"/>
        <v>0</v>
      </c>
      <c r="BE1007" s="10">
        <f t="shared" si="1175"/>
        <v>0</v>
      </c>
      <c r="BF1007" s="10">
        <f t="shared" si="1175"/>
        <v>0</v>
      </c>
      <c r="BG1007" s="10">
        <f t="shared" si="1175"/>
        <v>0</v>
      </c>
      <c r="BH1007" s="10">
        <f t="shared" si="1175"/>
        <v>0</v>
      </c>
      <c r="BI1007" s="10">
        <f t="shared" si="1175"/>
        <v>0</v>
      </c>
      <c r="BJ1007" s="10">
        <f t="shared" si="1175"/>
        <v>0</v>
      </c>
      <c r="BL1007" s="10">
        <f t="shared" ref="BL1007:BW1007" si="1176">BL$356</f>
        <v>0</v>
      </c>
      <c r="BM1007" s="10">
        <f t="shared" si="1176"/>
        <v>0</v>
      </c>
      <c r="BN1007" s="10">
        <f t="shared" si="1176"/>
        <v>0</v>
      </c>
      <c r="BO1007" s="10">
        <f t="shared" si="1176"/>
        <v>0</v>
      </c>
      <c r="BP1007" s="10">
        <f t="shared" si="1176"/>
        <v>0</v>
      </c>
      <c r="BQ1007" s="10">
        <f t="shared" si="1176"/>
        <v>0</v>
      </c>
      <c r="BR1007" s="10">
        <f t="shared" si="1176"/>
        <v>0</v>
      </c>
      <c r="BS1007" s="10">
        <f t="shared" si="1176"/>
        <v>0</v>
      </c>
      <c r="BT1007" s="10">
        <f t="shared" si="1176"/>
        <v>0</v>
      </c>
      <c r="BU1007" s="10">
        <f t="shared" si="1176"/>
        <v>0</v>
      </c>
      <c r="BV1007" s="10">
        <f t="shared" si="1176"/>
        <v>0</v>
      </c>
      <c r="BW1007" s="10">
        <f t="shared" si="1176"/>
        <v>0</v>
      </c>
      <c r="BY1007" s="12"/>
      <c r="BZ1007" s="335"/>
      <c r="CA1007" s="12"/>
      <c r="CB1007" s="335"/>
      <c r="CC1007" s="335"/>
      <c r="CD1007" s="335"/>
      <c r="CE1007" s="335"/>
      <c r="CM1007" s="335"/>
      <c r="CN1007" s="335"/>
      <c r="CO1007" s="335"/>
      <c r="CP1007" s="335"/>
      <c r="CR1007" s="12"/>
      <c r="CT1007" s="335"/>
      <c r="CU1007" s="335"/>
      <c r="EW1007" s="335"/>
      <c r="EX1007" s="10" t="str">
        <f t="shared" si="1102"/>
        <v/>
      </c>
    </row>
    <row r="1008" spans="1:154" s="67" customFormat="1" x14ac:dyDescent="0.25">
      <c r="B1008" s="84" t="str" cm="1">
        <f t="array" aca="1" ref="B1008" ca="1">HYPERLINK(CONCATENATE("#",CELL("address",$D$370)),$D$370)</f>
        <v>Loan 18</v>
      </c>
      <c r="C1008" s="380"/>
      <c r="D1008" s="60">
        <f>D$30</f>
        <v>0</v>
      </c>
      <c r="E1008" s="221">
        <f>E$30</f>
        <v>0</v>
      </c>
      <c r="G1008" s="9"/>
      <c r="H1008" s="50" t="s">
        <v>125</v>
      </c>
      <c r="S1008" s="335"/>
      <c r="T1008" s="335"/>
      <c r="U1008" s="335"/>
      <c r="V1008" s="201">
        <f>V$375</f>
        <v>0</v>
      </c>
      <c r="W1008" s="10">
        <f>W$375</f>
        <v>0</v>
      </c>
      <c r="X1008" s="10">
        <f>X$375</f>
        <v>0</v>
      </c>
      <c r="Y1008" s="10">
        <f>Y$375</f>
        <v>0</v>
      </c>
      <c r="AA1008" s="10">
        <f t="shared" ref="AA1008:BJ1008" si="1177">AA$375</f>
        <v>0</v>
      </c>
      <c r="AB1008" s="10">
        <f t="shared" si="1177"/>
        <v>0</v>
      </c>
      <c r="AC1008" s="10">
        <f t="shared" si="1177"/>
        <v>0</v>
      </c>
      <c r="AD1008" s="10">
        <f t="shared" si="1177"/>
        <v>0</v>
      </c>
      <c r="AE1008" s="10">
        <f t="shared" si="1177"/>
        <v>0</v>
      </c>
      <c r="AF1008" s="10">
        <f t="shared" si="1177"/>
        <v>0</v>
      </c>
      <c r="AG1008" s="10">
        <f t="shared" si="1177"/>
        <v>0</v>
      </c>
      <c r="AH1008" s="10">
        <f t="shared" si="1177"/>
        <v>0</v>
      </c>
      <c r="AI1008" s="10">
        <f t="shared" si="1177"/>
        <v>0</v>
      </c>
      <c r="AJ1008" s="10">
        <f t="shared" si="1177"/>
        <v>0</v>
      </c>
      <c r="AK1008" s="10">
        <f t="shared" si="1177"/>
        <v>0</v>
      </c>
      <c r="AL1008" s="10">
        <f t="shared" si="1177"/>
        <v>0</v>
      </c>
      <c r="AM1008" s="10">
        <f t="shared" si="1177"/>
        <v>0</v>
      </c>
      <c r="AN1008" s="10">
        <f t="shared" si="1177"/>
        <v>0</v>
      </c>
      <c r="AO1008" s="10">
        <f t="shared" si="1177"/>
        <v>0</v>
      </c>
      <c r="AP1008" s="10">
        <f t="shared" si="1177"/>
        <v>0</v>
      </c>
      <c r="AQ1008" s="10">
        <f t="shared" si="1177"/>
        <v>0</v>
      </c>
      <c r="AR1008" s="10">
        <f t="shared" si="1177"/>
        <v>0</v>
      </c>
      <c r="AS1008" s="10">
        <f t="shared" si="1177"/>
        <v>0</v>
      </c>
      <c r="AT1008" s="10">
        <f t="shared" si="1177"/>
        <v>0</v>
      </c>
      <c r="AU1008" s="10">
        <f t="shared" si="1177"/>
        <v>0</v>
      </c>
      <c r="AV1008" s="10">
        <f t="shared" si="1177"/>
        <v>0</v>
      </c>
      <c r="AW1008" s="10">
        <f t="shared" si="1177"/>
        <v>0</v>
      </c>
      <c r="AX1008" s="10">
        <f t="shared" si="1177"/>
        <v>0</v>
      </c>
      <c r="AY1008" s="10">
        <f t="shared" si="1177"/>
        <v>0</v>
      </c>
      <c r="AZ1008" s="10">
        <f t="shared" si="1177"/>
        <v>0</v>
      </c>
      <c r="BA1008" s="10">
        <f t="shared" si="1177"/>
        <v>0</v>
      </c>
      <c r="BB1008" s="10">
        <f t="shared" si="1177"/>
        <v>0</v>
      </c>
      <c r="BC1008" s="10">
        <f t="shared" si="1177"/>
        <v>0</v>
      </c>
      <c r="BD1008" s="10">
        <f t="shared" si="1177"/>
        <v>0</v>
      </c>
      <c r="BE1008" s="10">
        <f t="shared" si="1177"/>
        <v>0</v>
      </c>
      <c r="BF1008" s="10">
        <f t="shared" si="1177"/>
        <v>0</v>
      </c>
      <c r="BG1008" s="10">
        <f t="shared" si="1177"/>
        <v>0</v>
      </c>
      <c r="BH1008" s="10">
        <f t="shared" si="1177"/>
        <v>0</v>
      </c>
      <c r="BI1008" s="10">
        <f t="shared" si="1177"/>
        <v>0</v>
      </c>
      <c r="BJ1008" s="10">
        <f t="shared" si="1177"/>
        <v>0</v>
      </c>
      <c r="BL1008" s="10">
        <f t="shared" ref="BL1008:BW1008" si="1178">BL$375</f>
        <v>0</v>
      </c>
      <c r="BM1008" s="10">
        <f t="shared" si="1178"/>
        <v>0</v>
      </c>
      <c r="BN1008" s="10">
        <f t="shared" si="1178"/>
        <v>0</v>
      </c>
      <c r="BO1008" s="10">
        <f t="shared" si="1178"/>
        <v>0</v>
      </c>
      <c r="BP1008" s="10">
        <f t="shared" si="1178"/>
        <v>0</v>
      </c>
      <c r="BQ1008" s="10">
        <f t="shared" si="1178"/>
        <v>0</v>
      </c>
      <c r="BR1008" s="10">
        <f t="shared" si="1178"/>
        <v>0</v>
      </c>
      <c r="BS1008" s="10">
        <f t="shared" si="1178"/>
        <v>0</v>
      </c>
      <c r="BT1008" s="10">
        <f t="shared" si="1178"/>
        <v>0</v>
      </c>
      <c r="BU1008" s="10">
        <f t="shared" si="1178"/>
        <v>0</v>
      </c>
      <c r="BV1008" s="10">
        <f t="shared" si="1178"/>
        <v>0</v>
      </c>
      <c r="BW1008" s="10">
        <f t="shared" si="1178"/>
        <v>0</v>
      </c>
      <c r="BY1008" s="12"/>
      <c r="BZ1008" s="335"/>
      <c r="CA1008" s="12"/>
      <c r="CB1008" s="335"/>
      <c r="CC1008" s="335"/>
      <c r="CD1008" s="335"/>
      <c r="CE1008" s="335"/>
      <c r="CM1008" s="335"/>
      <c r="CN1008" s="335"/>
      <c r="CO1008" s="335"/>
      <c r="CP1008" s="335"/>
      <c r="CR1008" s="12"/>
      <c r="CT1008" s="335"/>
      <c r="CU1008" s="335"/>
      <c r="EW1008" s="335"/>
      <c r="EX1008" s="10" t="str">
        <f t="shared" si="1102"/>
        <v/>
      </c>
    </row>
    <row r="1009" spans="2:154" s="67" customFormat="1" x14ac:dyDescent="0.25">
      <c r="B1009" s="84" t="str" cm="1">
        <f t="array" aca="1" ref="B1009" ca="1">HYPERLINK(CONCATENATE("#",CELL("address",$D$389)),$D$389)</f>
        <v>Loan 19</v>
      </c>
      <c r="C1009" s="380"/>
      <c r="D1009" s="60">
        <f>D$31</f>
        <v>0</v>
      </c>
      <c r="E1009" s="221">
        <f>E$31</f>
        <v>0</v>
      </c>
      <c r="G1009" s="9"/>
      <c r="H1009" s="50" t="s">
        <v>125</v>
      </c>
      <c r="S1009" s="335"/>
      <c r="T1009" s="335"/>
      <c r="U1009" s="335"/>
      <c r="V1009" s="201">
        <f>V$394</f>
        <v>0</v>
      </c>
      <c r="W1009" s="10">
        <f>W$394</f>
        <v>0</v>
      </c>
      <c r="X1009" s="10">
        <f>X$394</f>
        <v>0</v>
      </c>
      <c r="Y1009" s="10">
        <f>Y$394</f>
        <v>0</v>
      </c>
      <c r="AA1009" s="10">
        <f t="shared" ref="AA1009:BJ1009" si="1179">AA$394</f>
        <v>0</v>
      </c>
      <c r="AB1009" s="10">
        <f t="shared" si="1179"/>
        <v>0</v>
      </c>
      <c r="AC1009" s="10">
        <f t="shared" si="1179"/>
        <v>0</v>
      </c>
      <c r="AD1009" s="10">
        <f t="shared" si="1179"/>
        <v>0</v>
      </c>
      <c r="AE1009" s="10">
        <f t="shared" si="1179"/>
        <v>0</v>
      </c>
      <c r="AF1009" s="10">
        <f t="shared" si="1179"/>
        <v>0</v>
      </c>
      <c r="AG1009" s="10">
        <f t="shared" si="1179"/>
        <v>0</v>
      </c>
      <c r="AH1009" s="10">
        <f t="shared" si="1179"/>
        <v>0</v>
      </c>
      <c r="AI1009" s="10">
        <f t="shared" si="1179"/>
        <v>0</v>
      </c>
      <c r="AJ1009" s="10">
        <f t="shared" si="1179"/>
        <v>0</v>
      </c>
      <c r="AK1009" s="10">
        <f t="shared" si="1179"/>
        <v>0</v>
      </c>
      <c r="AL1009" s="10">
        <f t="shared" si="1179"/>
        <v>0</v>
      </c>
      <c r="AM1009" s="10">
        <f t="shared" si="1179"/>
        <v>0</v>
      </c>
      <c r="AN1009" s="10">
        <f t="shared" si="1179"/>
        <v>0</v>
      </c>
      <c r="AO1009" s="10">
        <f t="shared" si="1179"/>
        <v>0</v>
      </c>
      <c r="AP1009" s="10">
        <f t="shared" si="1179"/>
        <v>0</v>
      </c>
      <c r="AQ1009" s="10">
        <f t="shared" si="1179"/>
        <v>0</v>
      </c>
      <c r="AR1009" s="10">
        <f t="shared" si="1179"/>
        <v>0</v>
      </c>
      <c r="AS1009" s="10">
        <f t="shared" si="1179"/>
        <v>0</v>
      </c>
      <c r="AT1009" s="10">
        <f t="shared" si="1179"/>
        <v>0</v>
      </c>
      <c r="AU1009" s="10">
        <f t="shared" si="1179"/>
        <v>0</v>
      </c>
      <c r="AV1009" s="10">
        <f t="shared" si="1179"/>
        <v>0</v>
      </c>
      <c r="AW1009" s="10">
        <f t="shared" si="1179"/>
        <v>0</v>
      </c>
      <c r="AX1009" s="10">
        <f t="shared" si="1179"/>
        <v>0</v>
      </c>
      <c r="AY1009" s="10">
        <f t="shared" si="1179"/>
        <v>0</v>
      </c>
      <c r="AZ1009" s="10">
        <f t="shared" si="1179"/>
        <v>0</v>
      </c>
      <c r="BA1009" s="10">
        <f t="shared" si="1179"/>
        <v>0</v>
      </c>
      <c r="BB1009" s="10">
        <f t="shared" si="1179"/>
        <v>0</v>
      </c>
      <c r="BC1009" s="10">
        <f t="shared" si="1179"/>
        <v>0</v>
      </c>
      <c r="BD1009" s="10">
        <f t="shared" si="1179"/>
        <v>0</v>
      </c>
      <c r="BE1009" s="10">
        <f t="shared" si="1179"/>
        <v>0</v>
      </c>
      <c r="BF1009" s="10">
        <f t="shared" si="1179"/>
        <v>0</v>
      </c>
      <c r="BG1009" s="10">
        <f t="shared" si="1179"/>
        <v>0</v>
      </c>
      <c r="BH1009" s="10">
        <f t="shared" si="1179"/>
        <v>0</v>
      </c>
      <c r="BI1009" s="10">
        <f t="shared" si="1179"/>
        <v>0</v>
      </c>
      <c r="BJ1009" s="10">
        <f t="shared" si="1179"/>
        <v>0</v>
      </c>
      <c r="BL1009" s="10">
        <f t="shared" ref="BL1009:BW1009" si="1180">BL$394</f>
        <v>0</v>
      </c>
      <c r="BM1009" s="10">
        <f t="shared" si="1180"/>
        <v>0</v>
      </c>
      <c r="BN1009" s="10">
        <f t="shared" si="1180"/>
        <v>0</v>
      </c>
      <c r="BO1009" s="10">
        <f t="shared" si="1180"/>
        <v>0</v>
      </c>
      <c r="BP1009" s="10">
        <f t="shared" si="1180"/>
        <v>0</v>
      </c>
      <c r="BQ1009" s="10">
        <f t="shared" si="1180"/>
        <v>0</v>
      </c>
      <c r="BR1009" s="10">
        <f t="shared" si="1180"/>
        <v>0</v>
      </c>
      <c r="BS1009" s="10">
        <f t="shared" si="1180"/>
        <v>0</v>
      </c>
      <c r="BT1009" s="10">
        <f t="shared" si="1180"/>
        <v>0</v>
      </c>
      <c r="BU1009" s="10">
        <f t="shared" si="1180"/>
        <v>0</v>
      </c>
      <c r="BV1009" s="10">
        <f t="shared" si="1180"/>
        <v>0</v>
      </c>
      <c r="BW1009" s="10">
        <f t="shared" si="1180"/>
        <v>0</v>
      </c>
      <c r="BY1009" s="12"/>
      <c r="BZ1009" s="335"/>
      <c r="CA1009" s="12"/>
      <c r="CB1009" s="335"/>
      <c r="CC1009" s="335"/>
      <c r="CD1009" s="335"/>
      <c r="CE1009" s="335"/>
      <c r="CM1009" s="335"/>
      <c r="CN1009" s="335"/>
      <c r="CO1009" s="335"/>
      <c r="CP1009" s="335"/>
      <c r="CR1009" s="12"/>
      <c r="CT1009" s="335"/>
      <c r="CU1009" s="335"/>
      <c r="EW1009" s="335"/>
      <c r="EX1009" s="10" t="str">
        <f t="shared" si="1102"/>
        <v/>
      </c>
    </row>
    <row r="1010" spans="2:154" s="67" customFormat="1" x14ac:dyDescent="0.25">
      <c r="B1010" s="84" t="str" cm="1">
        <f t="array" aca="1" ref="B1010" ca="1">HYPERLINK(CONCATENATE("#",CELL("address",$D$408)),$D$408)</f>
        <v>Loan 20</v>
      </c>
      <c r="C1010" s="380"/>
      <c r="D1010" s="60">
        <f>D$32</f>
        <v>0</v>
      </c>
      <c r="E1010" s="221">
        <f>E$32</f>
        <v>0</v>
      </c>
      <c r="G1010" s="9"/>
      <c r="H1010" s="50" t="s">
        <v>125</v>
      </c>
      <c r="S1010" s="335"/>
      <c r="T1010" s="335"/>
      <c r="U1010" s="335"/>
      <c r="V1010" s="201">
        <f>V$413</f>
        <v>0</v>
      </c>
      <c r="W1010" s="10">
        <f>W$413</f>
        <v>0</v>
      </c>
      <c r="X1010" s="10">
        <f>X$413</f>
        <v>0</v>
      </c>
      <c r="Y1010" s="10">
        <f>Y$413</f>
        <v>0</v>
      </c>
      <c r="AA1010" s="10">
        <f t="shared" ref="AA1010:BJ1010" si="1181">AA$413</f>
        <v>0</v>
      </c>
      <c r="AB1010" s="10">
        <f t="shared" si="1181"/>
        <v>0</v>
      </c>
      <c r="AC1010" s="10">
        <f t="shared" si="1181"/>
        <v>0</v>
      </c>
      <c r="AD1010" s="10">
        <f t="shared" si="1181"/>
        <v>0</v>
      </c>
      <c r="AE1010" s="10">
        <f t="shared" si="1181"/>
        <v>0</v>
      </c>
      <c r="AF1010" s="10">
        <f t="shared" si="1181"/>
        <v>0</v>
      </c>
      <c r="AG1010" s="10">
        <f t="shared" si="1181"/>
        <v>0</v>
      </c>
      <c r="AH1010" s="10">
        <f t="shared" si="1181"/>
        <v>0</v>
      </c>
      <c r="AI1010" s="10">
        <f t="shared" si="1181"/>
        <v>0</v>
      </c>
      <c r="AJ1010" s="10">
        <f t="shared" si="1181"/>
        <v>0</v>
      </c>
      <c r="AK1010" s="10">
        <f t="shared" si="1181"/>
        <v>0</v>
      </c>
      <c r="AL1010" s="10">
        <f t="shared" si="1181"/>
        <v>0</v>
      </c>
      <c r="AM1010" s="10">
        <f t="shared" si="1181"/>
        <v>0</v>
      </c>
      <c r="AN1010" s="10">
        <f t="shared" si="1181"/>
        <v>0</v>
      </c>
      <c r="AO1010" s="10">
        <f t="shared" si="1181"/>
        <v>0</v>
      </c>
      <c r="AP1010" s="10">
        <f t="shared" si="1181"/>
        <v>0</v>
      </c>
      <c r="AQ1010" s="10">
        <f t="shared" si="1181"/>
        <v>0</v>
      </c>
      <c r="AR1010" s="10">
        <f t="shared" si="1181"/>
        <v>0</v>
      </c>
      <c r="AS1010" s="10">
        <f t="shared" si="1181"/>
        <v>0</v>
      </c>
      <c r="AT1010" s="10">
        <f t="shared" si="1181"/>
        <v>0</v>
      </c>
      <c r="AU1010" s="10">
        <f t="shared" si="1181"/>
        <v>0</v>
      </c>
      <c r="AV1010" s="10">
        <f t="shared" si="1181"/>
        <v>0</v>
      </c>
      <c r="AW1010" s="10">
        <f t="shared" si="1181"/>
        <v>0</v>
      </c>
      <c r="AX1010" s="10">
        <f t="shared" si="1181"/>
        <v>0</v>
      </c>
      <c r="AY1010" s="10">
        <f t="shared" si="1181"/>
        <v>0</v>
      </c>
      <c r="AZ1010" s="10">
        <f t="shared" si="1181"/>
        <v>0</v>
      </c>
      <c r="BA1010" s="10">
        <f t="shared" si="1181"/>
        <v>0</v>
      </c>
      <c r="BB1010" s="10">
        <f t="shared" si="1181"/>
        <v>0</v>
      </c>
      <c r="BC1010" s="10">
        <f t="shared" si="1181"/>
        <v>0</v>
      </c>
      <c r="BD1010" s="10">
        <f t="shared" si="1181"/>
        <v>0</v>
      </c>
      <c r="BE1010" s="10">
        <f t="shared" si="1181"/>
        <v>0</v>
      </c>
      <c r="BF1010" s="10">
        <f t="shared" si="1181"/>
        <v>0</v>
      </c>
      <c r="BG1010" s="10">
        <f t="shared" si="1181"/>
        <v>0</v>
      </c>
      <c r="BH1010" s="10">
        <f t="shared" si="1181"/>
        <v>0</v>
      </c>
      <c r="BI1010" s="10">
        <f t="shared" si="1181"/>
        <v>0</v>
      </c>
      <c r="BJ1010" s="10">
        <f t="shared" si="1181"/>
        <v>0</v>
      </c>
      <c r="BL1010" s="10">
        <f t="shared" ref="BL1010:BW1010" si="1182">BL$413</f>
        <v>0</v>
      </c>
      <c r="BM1010" s="10">
        <f t="shared" si="1182"/>
        <v>0</v>
      </c>
      <c r="BN1010" s="10">
        <f t="shared" si="1182"/>
        <v>0</v>
      </c>
      <c r="BO1010" s="10">
        <f t="shared" si="1182"/>
        <v>0</v>
      </c>
      <c r="BP1010" s="10">
        <f t="shared" si="1182"/>
        <v>0</v>
      </c>
      <c r="BQ1010" s="10">
        <f t="shared" si="1182"/>
        <v>0</v>
      </c>
      <c r="BR1010" s="10">
        <f t="shared" si="1182"/>
        <v>0</v>
      </c>
      <c r="BS1010" s="10">
        <f t="shared" si="1182"/>
        <v>0</v>
      </c>
      <c r="BT1010" s="10">
        <f t="shared" si="1182"/>
        <v>0</v>
      </c>
      <c r="BU1010" s="10">
        <f t="shared" si="1182"/>
        <v>0</v>
      </c>
      <c r="BV1010" s="10">
        <f t="shared" si="1182"/>
        <v>0</v>
      </c>
      <c r="BW1010" s="10">
        <f t="shared" si="1182"/>
        <v>0</v>
      </c>
      <c r="BY1010" s="12"/>
      <c r="BZ1010" s="335"/>
      <c r="CA1010" s="12"/>
      <c r="CB1010" s="335"/>
      <c r="CC1010" s="335"/>
      <c r="CD1010" s="335"/>
      <c r="CE1010" s="335"/>
      <c r="CM1010" s="335"/>
      <c r="CN1010" s="335"/>
      <c r="CO1010" s="335"/>
      <c r="CP1010" s="335"/>
      <c r="CR1010" s="12"/>
      <c r="CT1010" s="335"/>
      <c r="CU1010" s="335"/>
      <c r="EW1010" s="335"/>
      <c r="EX1010" s="10" t="str">
        <f t="shared" si="1102"/>
        <v/>
      </c>
    </row>
    <row r="1011" spans="2:154" s="335" customFormat="1" ht="6.6" customHeight="1" x14ac:dyDescent="0.25">
      <c r="C1011" s="380"/>
      <c r="D1011" s="1"/>
      <c r="BM1011" s="6"/>
      <c r="BY1011" s="42"/>
      <c r="CA1011" s="42"/>
      <c r="CJ1011" s="162"/>
      <c r="CR1011" s="42"/>
      <c r="EX1011" s="10" t="str">
        <f t="shared" ref="EX1011:EX1059" si="1183">IF($C1011="","",$D1011)</f>
        <v/>
      </c>
    </row>
    <row r="1012" spans="2:154" s="335" customFormat="1" x14ac:dyDescent="0.25">
      <c r="C1012" s="380"/>
      <c r="D1012" s="61" t="s">
        <v>899</v>
      </c>
      <c r="BY1012" s="12"/>
      <c r="CA1012" s="12"/>
      <c r="CJ1012" s="162"/>
      <c r="CR1012" s="12"/>
      <c r="EX1012" s="10" t="str">
        <f t="shared" si="1183"/>
        <v/>
      </c>
    </row>
    <row r="1013" spans="2:154" s="335" customFormat="1" ht="15.75" x14ac:dyDescent="0.25">
      <c r="B1013" s="5" t="s">
        <v>551</v>
      </c>
      <c r="C1013" s="380"/>
      <c r="D1013" s="5" t="s">
        <v>180</v>
      </c>
      <c r="E1013" s="5" t="s">
        <v>179</v>
      </c>
      <c r="AA1013" s="170" t="s">
        <v>335</v>
      </c>
      <c r="BY1013" s="12"/>
      <c r="CA1013" s="12"/>
      <c r="CJ1013" s="162"/>
      <c r="CR1013" s="12"/>
      <c r="EX1013" s="10" t="str">
        <f t="shared" si="1183"/>
        <v/>
      </c>
    </row>
    <row r="1014" spans="2:154" s="335" customFormat="1" x14ac:dyDescent="0.25">
      <c r="B1014" s="84" t="str" cm="1">
        <f t="array" aca="1" ref="B1014" ca="1">HYPERLINK(CONCATENATE("#",CELL("address",$D$47)),$D$47)</f>
        <v>Loan 1</v>
      </c>
      <c r="C1014" s="380"/>
      <c r="D1014" s="60" t="str">
        <f>D$13</f>
        <v>NatWest</v>
      </c>
      <c r="E1014" s="60" t="str">
        <f>E$13</f>
        <v xml:space="preserve">Commercial </v>
      </c>
      <c r="G1014" s="9"/>
      <c r="H1014" s="50" t="s">
        <v>125</v>
      </c>
      <c r="I1014" s="65"/>
      <c r="V1014" s="136"/>
      <c r="W1014" s="201">
        <f ca="1">INDEX($AA1014:$BJ1014, MATCH(W$5, $AA$5:$BJ$5, 0))</f>
        <v>0</v>
      </c>
      <c r="X1014" s="201">
        <f t="shared" ref="W1014:Y1033" ca="1" si="1184">INDEX($AA1014:$BJ1014, MATCH(X$5, $AA$5:$BJ$5, 0))</f>
        <v>0</v>
      </c>
      <c r="Y1014" s="201">
        <f t="shared" ca="1" si="1184"/>
        <v>0</v>
      </c>
      <c r="AA1014" s="201">
        <f ca="1">IF($E1014=Parameters!$D$68, AA874, MIN(AA874,-SUM(OFFSET(AA851, 0, MIN(12, COUNTA(AB$3:$BJ$3)), , -MIN(12, COUNTA(AB$3:$BJ$3)) )) ))</f>
        <v>0</v>
      </c>
      <c r="AB1014" s="201">
        <f ca="1">IF($E1014=Parameters!$D$68, AB874, MIN(AB874,-SUM(OFFSET(AB851, 0, MIN(12, COUNTA(AC$3:$BJ$3)), , -MIN(12, COUNTA(AC$3:$BJ$3)) )) ))</f>
        <v>0</v>
      </c>
      <c r="AC1014" s="201">
        <f ca="1">IF($E1014=Parameters!$D$68, AC874, MIN(AC874,-SUM(OFFSET(AC851, 0, MIN(12, COUNTA(AD$3:$BJ$3)), , -MIN(12, COUNTA(AD$3:$BJ$3)) )) ))</f>
        <v>0</v>
      </c>
      <c r="AD1014" s="201">
        <f ca="1">IF($E1014=Parameters!$D$68, AD874, MIN(AD874,-SUM(OFFSET(AD851, 0, MIN(12, COUNTA(AE$3:$BJ$3)), , -MIN(12, COUNTA(AE$3:$BJ$3)) )) ))</f>
        <v>0</v>
      </c>
      <c r="AE1014" s="201">
        <f ca="1">IF($E1014=Parameters!$D$68, AE874, MIN(AE874,-SUM(OFFSET(AE851, 0, MIN(12, COUNTA(AF$3:$BJ$3)), , -MIN(12, COUNTA(AF$3:$BJ$3)) )) ))</f>
        <v>0</v>
      </c>
      <c r="AF1014" s="201">
        <f ca="1">IF($E1014=Parameters!$D$68, AF874, MIN(AF874,-SUM(OFFSET(AF851, 0, MIN(12, COUNTA(AG$3:$BJ$3)), , -MIN(12, COUNTA(AG$3:$BJ$3)) )) ))</f>
        <v>0</v>
      </c>
      <c r="AG1014" s="201">
        <f ca="1">IF($E1014=Parameters!$D$68, AG874, MIN(AG874,-SUM(OFFSET(AG851, 0, MIN(12, COUNTA(AH$3:$BJ$3)), , -MIN(12, COUNTA(AH$3:$BJ$3)) )) ))</f>
        <v>0</v>
      </c>
      <c r="AH1014" s="201">
        <f ca="1">IF($E1014=Parameters!$D$68, AH874, MIN(AH874,-SUM(OFFSET(AH851, 0, MIN(12, COUNTA(AI$3:$BJ$3)), , -MIN(12, COUNTA(AI$3:$BJ$3)) )) ))</f>
        <v>0</v>
      </c>
      <c r="AI1014" s="201">
        <f ca="1">IF($E1014=Parameters!$D$68, AI874, MIN(AI874,-SUM(OFFSET(AI851, 0, MIN(12, COUNTA(AJ$3:$BJ$3)), , -MIN(12, COUNTA(AJ$3:$BJ$3)) )) ))</f>
        <v>0</v>
      </c>
      <c r="AJ1014" s="201">
        <f ca="1">IF($E1014=Parameters!$D$68, AJ874, MIN(AJ874,-SUM(OFFSET(AJ851, 0, MIN(12, COUNTA(AK$3:$BJ$3)), , -MIN(12, COUNTA(AK$3:$BJ$3)) )) ))</f>
        <v>0</v>
      </c>
      <c r="AK1014" s="201">
        <f ca="1">IF($E1014=Parameters!$D$68, AK874, MIN(AK874,-SUM(OFFSET(AK851, 0, MIN(12, COUNTA(AL$3:$BJ$3)), , -MIN(12, COUNTA(AL$3:$BJ$3)) )) ))</f>
        <v>0</v>
      </c>
      <c r="AL1014" s="201">
        <f ca="1">IF($E1014=Parameters!$D$68, AL874, MIN(AL874,-SUM(OFFSET(AL851, 0, MIN(12, COUNTA(AM$3:$BJ$3)), , -MIN(12, COUNTA(AM$3:$BJ$3)) )) ))</f>
        <v>0</v>
      </c>
      <c r="AM1014" s="201">
        <f ca="1">IF($E1014=Parameters!$D$68, AM874, MIN(AM874,-SUM(OFFSET(AM851, 0, MIN(12, COUNTA(AN$3:$BJ$3)), , -MIN(12, COUNTA(AN$3:$BJ$3)) )) ))</f>
        <v>0</v>
      </c>
      <c r="AN1014" s="201">
        <f ca="1">IF($E1014=Parameters!$D$68, AN874, MIN(AN874,-SUM(OFFSET(AN851, 0, MIN(12, COUNTA(AO$3:$BJ$3)), , -MIN(12, COUNTA(AO$3:$BJ$3)) )) ))</f>
        <v>0</v>
      </c>
      <c r="AO1014" s="201">
        <f ca="1">IF($E1014=Parameters!$D$68, AO874, MIN(AO874,-SUM(OFFSET(AO851, 0, MIN(12, COUNTA(AP$3:$BJ$3)), , -MIN(12, COUNTA(AP$3:$BJ$3)) )) ))</f>
        <v>0</v>
      </c>
      <c r="AP1014" s="201">
        <f ca="1">IF($E1014=Parameters!$D$68, AP874, MIN(AP874,-SUM(OFFSET(AP851, 0, MIN(12, COUNTA(AQ$3:$BJ$3)), , -MIN(12, COUNTA(AQ$3:$BJ$3)) )) ))</f>
        <v>0</v>
      </c>
      <c r="AQ1014" s="201">
        <f ca="1">IF($E1014=Parameters!$D$68, AQ874, MIN(AQ874,-SUM(OFFSET(AQ851, 0, MIN(12, COUNTA(AR$3:$BJ$3)), , -MIN(12, COUNTA(AR$3:$BJ$3)) )) ))</f>
        <v>0</v>
      </c>
      <c r="AR1014" s="201">
        <f ca="1">IF($E1014=Parameters!$D$68, AR874, MIN(AR874,-SUM(OFFSET(AR851, 0, MIN(12, COUNTA(AS$3:$BJ$3)), , -MIN(12, COUNTA(AS$3:$BJ$3)) )) ))</f>
        <v>0</v>
      </c>
      <c r="AS1014" s="201">
        <f ca="1">IF($E1014=Parameters!$D$68, AS874, MIN(AS874,-SUM(OFFSET(AS851, 0, MIN(12, COUNTA(AT$3:$BJ$3)), , -MIN(12, COUNTA(AT$3:$BJ$3)) )) ))</f>
        <v>0</v>
      </c>
      <c r="AT1014" s="201">
        <f ca="1">IF($E1014=Parameters!$D$68, AT874, MIN(AT874,-SUM(OFFSET(AT851, 0, MIN(12, COUNTA(AU$3:$BJ$3)), , -MIN(12, COUNTA(AU$3:$BJ$3)) )) ))</f>
        <v>0</v>
      </c>
      <c r="AU1014" s="201">
        <f ca="1">IF($E1014=Parameters!$D$68, AU874, MIN(AU874,-SUM(OFFSET(AU851, 0, MIN(12, COUNTA(AV$3:$BJ$3)), , -MIN(12, COUNTA(AV$3:$BJ$3)) )) ))</f>
        <v>0</v>
      </c>
      <c r="AV1014" s="201">
        <f ca="1">IF($E1014=Parameters!$D$68, AV874, MIN(AV874,-SUM(OFFSET(AV851, 0, MIN(12, COUNTA(AW$3:$BJ$3)), , -MIN(12, COUNTA(AW$3:$BJ$3)) )) ))</f>
        <v>0</v>
      </c>
      <c r="AW1014" s="201">
        <f ca="1">IF($E1014=Parameters!$D$68, AW874, MIN(AW874,-SUM(OFFSET(AW851, 0, MIN(12, COUNTA(AX$3:$BJ$3)), , -MIN(12, COUNTA(AX$3:$BJ$3)) )) ))</f>
        <v>0</v>
      </c>
      <c r="AX1014" s="201">
        <f ca="1">IF($E1014=Parameters!$D$68, AX874, MIN(AX874,-SUM(OFFSET(AX851, 0, MIN(12, COUNTA(AY$3:$BJ$3)), , -MIN(12, COUNTA(AY$3:$BJ$3)) )) ))</f>
        <v>0</v>
      </c>
      <c r="AY1014" s="201">
        <f ca="1">IF($E1014=Parameters!$D$68, AY874, MIN(AY874,-SUM(OFFSET(AY851, 0, MIN(12, COUNTA(AZ$3:$BJ$3)), , -MIN(12, COUNTA(AZ$3:$BJ$3)) )) ))</f>
        <v>0</v>
      </c>
      <c r="AZ1014" s="201">
        <f ca="1">IF($E1014=Parameters!$D$68, AZ874, MIN(AZ874,-SUM(OFFSET(AZ851, 0, MIN(12, COUNTA(BA$3:$BJ$3)), , -MIN(12, COUNTA(BA$3:$BJ$3)) )) ))</f>
        <v>0</v>
      </c>
      <c r="BA1014" s="201">
        <f ca="1">IF($E1014=Parameters!$D$68, BA874, MIN(BA874,-SUM(OFFSET(BA851, 0, MIN(12, COUNTA(BB$3:$BJ$3)), , -MIN(12, COUNTA(BB$3:$BJ$3)) )) ))</f>
        <v>0</v>
      </c>
      <c r="BB1014" s="201">
        <f ca="1">IF($E1014=Parameters!$D$68, BB874, MIN(BB874,-SUM(OFFSET(BB851, 0, MIN(12, COUNTA(BC$3:$BJ$3)), , -MIN(12, COUNTA(BC$3:$BJ$3)) )) ))</f>
        <v>0</v>
      </c>
      <c r="BC1014" s="201">
        <f ca="1">IF($E1014=Parameters!$D$68, BC874, MIN(BC874,-SUM(OFFSET(BC851, 0, MIN(12, COUNTA(BD$3:$BJ$3)), , -MIN(12, COUNTA(BD$3:$BJ$3)) )) ))</f>
        <v>0</v>
      </c>
      <c r="BD1014" s="201">
        <f ca="1">IF($E1014=Parameters!$D$68, BD874, MIN(BD874,-SUM(OFFSET(BD851, 0, MIN(12, COUNTA(BE$3:$BJ$3)), , -MIN(12, COUNTA(BE$3:$BJ$3)) )) ))</f>
        <v>0</v>
      </c>
      <c r="BE1014" s="201">
        <f ca="1">IF($E1014=Parameters!$D$68, BE874, MIN(BE874,-SUM(OFFSET(BE851, 0, MIN(12, COUNTA(BF$3:$BJ$3)), , -MIN(12, COUNTA(BF$3:$BJ$3)) )) ))</f>
        <v>0</v>
      </c>
      <c r="BF1014" s="201">
        <f ca="1">IF($E1014=Parameters!$D$68, BF874, MIN(BF874,-SUM(OFFSET(BF851, 0, MIN(12, COUNTA(BG$3:$BJ$3)), , -MIN(12, COUNTA(BG$3:$BJ$3)) )) ))</f>
        <v>0</v>
      </c>
      <c r="BG1014" s="201">
        <f ca="1">IF($E1014=Parameters!$D$68, BG874, MIN(BG874,-SUM(OFFSET(BG851, 0, MIN(12, COUNTA(BH$3:$BJ$3)), , -MIN(12, COUNTA(BH$3:$BJ$3)) )) ))</f>
        <v>0</v>
      </c>
      <c r="BH1014" s="201">
        <f ca="1">IF($E1014=Parameters!$D$68, BH874, MIN(BH874,-SUM(OFFSET(BH851, 0, MIN(12, COUNTA(BI$3:$BJ$3)), , -MIN(12, COUNTA(BI$3:$BJ$3)) )) ))</f>
        <v>0</v>
      </c>
      <c r="BI1014" s="201">
        <f ca="1">IF($E1014=Parameters!$D$68, BI874, MIN(BI874,-SUM(OFFSET(BI851, 0, MIN(12, COUNTA(BJ$3:$BJ$3)), , -MIN(12, COUNTA(BJ$3:$BJ$3)) )) ))</f>
        <v>0</v>
      </c>
      <c r="BJ1014" s="13">
        <f ca="1">IF($E1014=Parameters!$D$68, BJ874, MIN(BJ874,-SUM(OFFSET(BJ851, 0, MIN(12, COUNTA($BJ$3:BK$3)), , -MIN(12, COUNTA($BJ$3:BK$3)) )) ))</f>
        <v>0</v>
      </c>
      <c r="BL1014" s="136"/>
      <c r="BM1014" s="13">
        <f t="shared" ref="BM1014:BM1033" ca="1" si="1185">W1014</f>
        <v>0</v>
      </c>
      <c r="BN1014" s="13">
        <f t="shared" ref="BN1014:BN1033" ca="1" si="1186">X1014</f>
        <v>0</v>
      </c>
      <c r="BO1014" s="13">
        <f t="shared" ref="BO1014:BO1033" ca="1" si="1187">Y1014</f>
        <v>0</v>
      </c>
      <c r="BP1014" s="136"/>
      <c r="BQ1014" s="136"/>
      <c r="BR1014" s="136"/>
      <c r="BS1014" s="136"/>
      <c r="BT1014" s="136"/>
      <c r="BU1014" s="136"/>
      <c r="BV1014" s="136"/>
      <c r="BW1014" s="136"/>
      <c r="BY1014" s="12"/>
      <c r="CA1014" s="12"/>
      <c r="CJ1014" s="162"/>
      <c r="CR1014" s="12"/>
      <c r="EX1014" s="10" t="str">
        <f t="shared" si="1183"/>
        <v/>
      </c>
    </row>
    <row r="1015" spans="2:154" s="335" customFormat="1" x14ac:dyDescent="0.25">
      <c r="B1015" s="84" t="str" cm="1">
        <f t="array" aca="1" ref="B1015" ca="1">HYPERLINK(CONCATENATE("#",CELL("address",$D$66)),$D$66)</f>
        <v>Loan 2</v>
      </c>
      <c r="C1015" s="380"/>
      <c r="D1015" s="60" t="str">
        <f>D$14</f>
        <v>NatWest</v>
      </c>
      <c r="E1015" s="60" t="str">
        <f>E$14</f>
        <v xml:space="preserve">Commercial </v>
      </c>
      <c r="G1015" s="9"/>
      <c r="H1015" s="50" t="s">
        <v>125</v>
      </c>
      <c r="V1015" s="136"/>
      <c r="W1015" s="201">
        <f t="shared" ca="1" si="1184"/>
        <v>0</v>
      </c>
      <c r="X1015" s="201">
        <f t="shared" ca="1" si="1184"/>
        <v>0</v>
      </c>
      <c r="Y1015" s="201">
        <f t="shared" ca="1" si="1184"/>
        <v>0</v>
      </c>
      <c r="AA1015" s="201">
        <f ca="1">IF($E1015=Parameters!$D$68, AA875, MIN(AA875,-SUM(OFFSET(AA852, 0, MIN(12, COUNTA(AB$3:$BJ$3)), , -MIN(12, COUNTA(AB$3:$BJ$3)) )) ))</f>
        <v>0</v>
      </c>
      <c r="AB1015" s="201">
        <f ca="1">IF($E1015=Parameters!$D$68, AB875, MIN(AB875,-SUM(OFFSET(AB852, 0, MIN(12, COUNTA(AC$3:$BJ$3)), , -MIN(12, COUNTA(AC$3:$BJ$3)) )) ))</f>
        <v>0</v>
      </c>
      <c r="AC1015" s="201">
        <f ca="1">IF($E1015=Parameters!$D$68, AC875, MIN(AC875,-SUM(OFFSET(AC852, 0, MIN(12, COUNTA(AD$3:$BJ$3)), , -MIN(12, COUNTA(AD$3:$BJ$3)) )) ))</f>
        <v>0</v>
      </c>
      <c r="AD1015" s="201">
        <f ca="1">IF($E1015=Parameters!$D$68, AD875, MIN(AD875,-SUM(OFFSET(AD852, 0, MIN(12, COUNTA(AE$3:$BJ$3)), , -MIN(12, COUNTA(AE$3:$BJ$3)) )) ))</f>
        <v>0</v>
      </c>
      <c r="AE1015" s="201">
        <f ca="1">IF($E1015=Parameters!$D$68, AE875, MIN(AE875,-SUM(OFFSET(AE852, 0, MIN(12, COUNTA(AF$3:$BJ$3)), , -MIN(12, COUNTA(AF$3:$BJ$3)) )) ))</f>
        <v>0</v>
      </c>
      <c r="AF1015" s="201">
        <f ca="1">IF($E1015=Parameters!$D$68, AF875, MIN(AF875,-SUM(OFFSET(AF852, 0, MIN(12, COUNTA(AG$3:$BJ$3)), , -MIN(12, COUNTA(AG$3:$BJ$3)) )) ))</f>
        <v>0</v>
      </c>
      <c r="AG1015" s="201">
        <f ca="1">IF($E1015=Parameters!$D$68, AG875, MIN(AG875,-SUM(OFFSET(AG852, 0, MIN(12, COUNTA(AH$3:$BJ$3)), , -MIN(12, COUNTA(AH$3:$BJ$3)) )) ))</f>
        <v>0</v>
      </c>
      <c r="AH1015" s="201">
        <f ca="1">IF($E1015=Parameters!$D$68, AH875, MIN(AH875,-SUM(OFFSET(AH852, 0, MIN(12, COUNTA(AI$3:$BJ$3)), , -MIN(12, COUNTA(AI$3:$BJ$3)) )) ))</f>
        <v>0</v>
      </c>
      <c r="AI1015" s="201">
        <f ca="1">IF($E1015=Parameters!$D$68, AI875, MIN(AI875,-SUM(OFFSET(AI852, 0, MIN(12, COUNTA(AJ$3:$BJ$3)), , -MIN(12, COUNTA(AJ$3:$BJ$3)) )) ))</f>
        <v>0</v>
      </c>
      <c r="AJ1015" s="201">
        <f ca="1">IF($E1015=Parameters!$D$68, AJ875, MIN(AJ875,-SUM(OFFSET(AJ852, 0, MIN(12, COUNTA(AK$3:$BJ$3)), , -MIN(12, COUNTA(AK$3:$BJ$3)) )) ))</f>
        <v>0</v>
      </c>
      <c r="AK1015" s="201">
        <f ca="1">IF($E1015=Parameters!$D$68, AK875, MIN(AK875,-SUM(OFFSET(AK852, 0, MIN(12, COUNTA(AL$3:$BJ$3)), , -MIN(12, COUNTA(AL$3:$BJ$3)) )) ))</f>
        <v>0</v>
      </c>
      <c r="AL1015" s="201">
        <f ca="1">IF($E1015=Parameters!$D$68, AL875, MIN(AL875,-SUM(OFFSET(AL852, 0, MIN(12, COUNTA(AM$3:$BJ$3)), , -MIN(12, COUNTA(AM$3:$BJ$3)) )) ))</f>
        <v>0</v>
      </c>
      <c r="AM1015" s="201">
        <f ca="1">IF($E1015=Parameters!$D$68, AM875, MIN(AM875,-SUM(OFFSET(AM852, 0, MIN(12, COUNTA(AN$3:$BJ$3)), , -MIN(12, COUNTA(AN$3:$BJ$3)) )) ))</f>
        <v>0</v>
      </c>
      <c r="AN1015" s="201">
        <f ca="1">IF($E1015=Parameters!$D$68, AN875, MIN(AN875,-SUM(OFFSET(AN852, 0, MIN(12, COUNTA(AO$3:$BJ$3)), , -MIN(12, COUNTA(AO$3:$BJ$3)) )) ))</f>
        <v>0</v>
      </c>
      <c r="AO1015" s="201">
        <f ca="1">IF($E1015=Parameters!$D$68, AO875, MIN(AO875,-SUM(OFFSET(AO852, 0, MIN(12, COUNTA(AP$3:$BJ$3)), , -MIN(12, COUNTA(AP$3:$BJ$3)) )) ))</f>
        <v>0</v>
      </c>
      <c r="AP1015" s="201">
        <f ca="1">IF($E1015=Parameters!$D$68, AP875, MIN(AP875,-SUM(OFFSET(AP852, 0, MIN(12, COUNTA(AQ$3:$BJ$3)), , -MIN(12, COUNTA(AQ$3:$BJ$3)) )) ))</f>
        <v>0</v>
      </c>
      <c r="AQ1015" s="201">
        <f ca="1">IF($E1015=Parameters!$D$68, AQ875, MIN(AQ875,-SUM(OFFSET(AQ852, 0, MIN(12, COUNTA(AR$3:$BJ$3)), , -MIN(12, COUNTA(AR$3:$BJ$3)) )) ))</f>
        <v>0</v>
      </c>
      <c r="AR1015" s="201">
        <f ca="1">IF($E1015=Parameters!$D$68, AR875, MIN(AR875,-SUM(OFFSET(AR852, 0, MIN(12, COUNTA(AS$3:$BJ$3)), , -MIN(12, COUNTA(AS$3:$BJ$3)) )) ))</f>
        <v>0</v>
      </c>
      <c r="AS1015" s="201">
        <f ca="1">IF($E1015=Parameters!$D$68, AS875, MIN(AS875,-SUM(OFFSET(AS852, 0, MIN(12, COUNTA(AT$3:$BJ$3)), , -MIN(12, COUNTA(AT$3:$BJ$3)) )) ))</f>
        <v>0</v>
      </c>
      <c r="AT1015" s="201">
        <f ca="1">IF($E1015=Parameters!$D$68, AT875, MIN(AT875,-SUM(OFFSET(AT852, 0, MIN(12, COUNTA(AU$3:$BJ$3)), , -MIN(12, COUNTA(AU$3:$BJ$3)) )) ))</f>
        <v>0</v>
      </c>
      <c r="AU1015" s="201">
        <f ca="1">IF($E1015=Parameters!$D$68, AU875, MIN(AU875,-SUM(OFFSET(AU852, 0, MIN(12, COUNTA(AV$3:$BJ$3)), , -MIN(12, COUNTA(AV$3:$BJ$3)) )) ))</f>
        <v>0</v>
      </c>
      <c r="AV1015" s="201">
        <f ca="1">IF($E1015=Parameters!$D$68, AV875, MIN(AV875,-SUM(OFFSET(AV852, 0, MIN(12, COUNTA(AW$3:$BJ$3)), , -MIN(12, COUNTA(AW$3:$BJ$3)) )) ))</f>
        <v>0</v>
      </c>
      <c r="AW1015" s="201">
        <f ca="1">IF($E1015=Parameters!$D$68, AW875, MIN(AW875,-SUM(OFFSET(AW852, 0, MIN(12, COUNTA(AX$3:$BJ$3)), , -MIN(12, COUNTA(AX$3:$BJ$3)) )) ))</f>
        <v>0</v>
      </c>
      <c r="AX1015" s="201">
        <f ca="1">IF($E1015=Parameters!$D$68, AX875, MIN(AX875,-SUM(OFFSET(AX852, 0, MIN(12, COUNTA(AY$3:$BJ$3)), , -MIN(12, COUNTA(AY$3:$BJ$3)) )) ))</f>
        <v>0</v>
      </c>
      <c r="AY1015" s="201">
        <f ca="1">IF($E1015=Parameters!$D$68, AY875, MIN(AY875,-SUM(OFFSET(AY852, 0, MIN(12, COUNTA(AZ$3:$BJ$3)), , -MIN(12, COUNTA(AZ$3:$BJ$3)) )) ))</f>
        <v>0</v>
      </c>
      <c r="AZ1015" s="201">
        <f ca="1">IF($E1015=Parameters!$D$68, AZ875, MIN(AZ875,-SUM(OFFSET(AZ852, 0, MIN(12, COUNTA(BA$3:$BJ$3)), , -MIN(12, COUNTA(BA$3:$BJ$3)) )) ))</f>
        <v>0</v>
      </c>
      <c r="BA1015" s="201">
        <f ca="1">IF($E1015=Parameters!$D$68, BA875, MIN(BA875,-SUM(OFFSET(BA852, 0, MIN(12, COUNTA(BB$3:$BJ$3)), , -MIN(12, COUNTA(BB$3:$BJ$3)) )) ))</f>
        <v>0</v>
      </c>
      <c r="BB1015" s="201">
        <f ca="1">IF($E1015=Parameters!$D$68, BB875, MIN(BB875,-SUM(OFFSET(BB852, 0, MIN(12, COUNTA(BC$3:$BJ$3)), , -MIN(12, COUNTA(BC$3:$BJ$3)) )) ))</f>
        <v>0</v>
      </c>
      <c r="BC1015" s="201">
        <f ca="1">IF($E1015=Parameters!$D$68, BC875, MIN(BC875,-SUM(OFFSET(BC852, 0, MIN(12, COUNTA(BD$3:$BJ$3)), , -MIN(12, COUNTA(BD$3:$BJ$3)) )) ))</f>
        <v>0</v>
      </c>
      <c r="BD1015" s="201">
        <f ca="1">IF($E1015=Parameters!$D$68, BD875, MIN(BD875,-SUM(OFFSET(BD852, 0, MIN(12, COUNTA(BE$3:$BJ$3)), , -MIN(12, COUNTA(BE$3:$BJ$3)) )) ))</f>
        <v>0</v>
      </c>
      <c r="BE1015" s="201">
        <f ca="1">IF($E1015=Parameters!$D$68, BE875, MIN(BE875,-SUM(OFFSET(BE852, 0, MIN(12, COUNTA(BF$3:$BJ$3)), , -MIN(12, COUNTA(BF$3:$BJ$3)) )) ))</f>
        <v>0</v>
      </c>
      <c r="BF1015" s="201">
        <f ca="1">IF($E1015=Parameters!$D$68, BF875, MIN(BF875,-SUM(OFFSET(BF852, 0, MIN(12, COUNTA(BG$3:$BJ$3)), , -MIN(12, COUNTA(BG$3:$BJ$3)) )) ))</f>
        <v>0</v>
      </c>
      <c r="BG1015" s="201">
        <f ca="1">IF($E1015=Parameters!$D$68, BG875, MIN(BG875,-SUM(OFFSET(BG852, 0, MIN(12, COUNTA(BH$3:$BJ$3)), , -MIN(12, COUNTA(BH$3:$BJ$3)) )) ))</f>
        <v>0</v>
      </c>
      <c r="BH1015" s="201">
        <f ca="1">IF($E1015=Parameters!$D$68, BH875, MIN(BH875,-SUM(OFFSET(BH852, 0, MIN(12, COUNTA(BI$3:$BJ$3)), , -MIN(12, COUNTA(BI$3:$BJ$3)) )) ))</f>
        <v>0</v>
      </c>
      <c r="BI1015" s="201">
        <f ca="1">IF($E1015=Parameters!$D$68, BI875, MIN(BI875,-SUM(OFFSET(BI852, 0, MIN(12, COUNTA(BJ$3:$BJ$3)), , -MIN(12, COUNTA(BJ$3:$BJ$3)) )) ))</f>
        <v>0</v>
      </c>
      <c r="BJ1015" s="13">
        <f ca="1">IF($E1015=Parameters!$D$68, BJ875, MIN(BJ875,-SUM(OFFSET(BJ852, 0, MIN(12, COUNTA($BJ$3:BK$3)), , -MIN(12, COUNTA($BJ$3:BK$3)) )) ))</f>
        <v>0</v>
      </c>
      <c r="BL1015" s="136"/>
      <c r="BM1015" s="13">
        <f t="shared" ca="1" si="1185"/>
        <v>0</v>
      </c>
      <c r="BN1015" s="13">
        <f t="shared" ca="1" si="1186"/>
        <v>0</v>
      </c>
      <c r="BO1015" s="13">
        <f t="shared" ca="1" si="1187"/>
        <v>0</v>
      </c>
      <c r="BP1015" s="136"/>
      <c r="BQ1015" s="136"/>
      <c r="BR1015" s="136"/>
      <c r="BS1015" s="136"/>
      <c r="BT1015" s="136"/>
      <c r="BU1015" s="136"/>
      <c r="BV1015" s="136"/>
      <c r="BW1015" s="136"/>
      <c r="BY1015" s="12"/>
      <c r="CA1015" s="12"/>
      <c r="CJ1015" s="162"/>
      <c r="CR1015" s="12"/>
      <c r="EX1015" s="10" t="str">
        <f t="shared" si="1183"/>
        <v/>
      </c>
    </row>
    <row r="1016" spans="2:154" s="335" customFormat="1" x14ac:dyDescent="0.25">
      <c r="B1016" s="84" t="str" cm="1">
        <f t="array" aca="1" ref="B1016" ca="1">HYPERLINK(CONCATENATE("#",CELL("address",$D$85)),$D$85)</f>
        <v>Loan 3</v>
      </c>
      <c r="C1016" s="380"/>
      <c r="D1016" s="60" t="str">
        <f>D$15</f>
        <v>NatWest</v>
      </c>
      <c r="E1016" s="60" t="str">
        <f>E$15</f>
        <v xml:space="preserve">Commercial </v>
      </c>
      <c r="G1016" s="9"/>
      <c r="H1016" s="50" t="s">
        <v>125</v>
      </c>
      <c r="V1016" s="136"/>
      <c r="W1016" s="201">
        <f t="shared" ca="1" si="1184"/>
        <v>0</v>
      </c>
      <c r="X1016" s="201">
        <f t="shared" ca="1" si="1184"/>
        <v>0</v>
      </c>
      <c r="Y1016" s="201">
        <f t="shared" ca="1" si="1184"/>
        <v>0</v>
      </c>
      <c r="AA1016" s="201">
        <f ca="1">IF($E1016=Parameters!$D$68, AA876, MIN(AA876,-SUM(OFFSET(AA853, 0, MIN(12, COUNTA(AB$3:$BJ$3)), , -MIN(12, COUNTA(AB$3:$BJ$3)) )) ))</f>
        <v>0</v>
      </c>
      <c r="AB1016" s="201">
        <f ca="1">IF($E1016=Parameters!$D$68, AB876, MIN(AB876,-SUM(OFFSET(AB853, 0, MIN(12, COUNTA(AC$3:$BJ$3)), , -MIN(12, COUNTA(AC$3:$BJ$3)) )) ))</f>
        <v>0</v>
      </c>
      <c r="AC1016" s="201">
        <f ca="1">IF($E1016=Parameters!$D$68, AC876, MIN(AC876,-SUM(OFFSET(AC853, 0, MIN(12, COUNTA(AD$3:$BJ$3)), , -MIN(12, COUNTA(AD$3:$BJ$3)) )) ))</f>
        <v>0</v>
      </c>
      <c r="AD1016" s="201">
        <f ca="1">IF($E1016=Parameters!$D$68, AD876, MIN(AD876,-SUM(OFFSET(AD853, 0, MIN(12, COUNTA(AE$3:$BJ$3)), , -MIN(12, COUNTA(AE$3:$BJ$3)) )) ))</f>
        <v>0</v>
      </c>
      <c r="AE1016" s="201">
        <f ca="1">IF($E1016=Parameters!$D$68, AE876, MIN(AE876,-SUM(OFFSET(AE853, 0, MIN(12, COUNTA(AF$3:$BJ$3)), , -MIN(12, COUNTA(AF$3:$BJ$3)) )) ))</f>
        <v>0</v>
      </c>
      <c r="AF1016" s="201">
        <f ca="1">IF($E1016=Parameters!$D$68, AF876, MIN(AF876,-SUM(OFFSET(AF853, 0, MIN(12, COUNTA(AG$3:$BJ$3)), , -MIN(12, COUNTA(AG$3:$BJ$3)) )) ))</f>
        <v>0</v>
      </c>
      <c r="AG1016" s="201">
        <f ca="1">IF($E1016=Parameters!$D$68, AG876, MIN(AG876,-SUM(OFFSET(AG853, 0, MIN(12, COUNTA(AH$3:$BJ$3)), , -MIN(12, COUNTA(AH$3:$BJ$3)) )) ))</f>
        <v>0</v>
      </c>
      <c r="AH1016" s="201">
        <f ca="1">IF($E1016=Parameters!$D$68, AH876, MIN(AH876,-SUM(OFFSET(AH853, 0, MIN(12, COUNTA(AI$3:$BJ$3)), , -MIN(12, COUNTA(AI$3:$BJ$3)) )) ))</f>
        <v>0</v>
      </c>
      <c r="AI1016" s="201">
        <f ca="1">IF($E1016=Parameters!$D$68, AI876, MIN(AI876,-SUM(OFFSET(AI853, 0, MIN(12, COUNTA(AJ$3:$BJ$3)), , -MIN(12, COUNTA(AJ$3:$BJ$3)) )) ))</f>
        <v>0</v>
      </c>
      <c r="AJ1016" s="201">
        <f ca="1">IF($E1016=Parameters!$D$68, AJ876, MIN(AJ876,-SUM(OFFSET(AJ853, 0, MIN(12, COUNTA(AK$3:$BJ$3)), , -MIN(12, COUNTA(AK$3:$BJ$3)) )) ))</f>
        <v>0</v>
      </c>
      <c r="AK1016" s="201">
        <f ca="1">IF($E1016=Parameters!$D$68, AK876, MIN(AK876,-SUM(OFFSET(AK853, 0, MIN(12, COUNTA(AL$3:$BJ$3)), , -MIN(12, COUNTA(AL$3:$BJ$3)) )) ))</f>
        <v>0</v>
      </c>
      <c r="AL1016" s="201">
        <f ca="1">IF($E1016=Parameters!$D$68, AL876, MIN(AL876,-SUM(OFFSET(AL853, 0, MIN(12, COUNTA(AM$3:$BJ$3)), , -MIN(12, COUNTA(AM$3:$BJ$3)) )) ))</f>
        <v>0</v>
      </c>
      <c r="AM1016" s="201">
        <f ca="1">IF($E1016=Parameters!$D$68, AM876, MIN(AM876,-SUM(OFFSET(AM853, 0, MIN(12, COUNTA(AN$3:$BJ$3)), , -MIN(12, COUNTA(AN$3:$BJ$3)) )) ))</f>
        <v>0</v>
      </c>
      <c r="AN1016" s="201">
        <f ca="1">IF($E1016=Parameters!$D$68, AN876, MIN(AN876,-SUM(OFFSET(AN853, 0, MIN(12, COUNTA(AO$3:$BJ$3)), , -MIN(12, COUNTA(AO$3:$BJ$3)) )) ))</f>
        <v>0</v>
      </c>
      <c r="AO1016" s="201">
        <f ca="1">IF($E1016=Parameters!$D$68, AO876, MIN(AO876,-SUM(OFFSET(AO853, 0, MIN(12, COUNTA(AP$3:$BJ$3)), , -MIN(12, COUNTA(AP$3:$BJ$3)) )) ))</f>
        <v>0</v>
      </c>
      <c r="AP1016" s="201">
        <f ca="1">IF($E1016=Parameters!$D$68, AP876, MIN(AP876,-SUM(OFFSET(AP853, 0, MIN(12, COUNTA(AQ$3:$BJ$3)), , -MIN(12, COUNTA(AQ$3:$BJ$3)) )) ))</f>
        <v>0</v>
      </c>
      <c r="AQ1016" s="201">
        <f ca="1">IF($E1016=Parameters!$D$68, AQ876, MIN(AQ876,-SUM(OFFSET(AQ853, 0, MIN(12, COUNTA(AR$3:$BJ$3)), , -MIN(12, COUNTA(AR$3:$BJ$3)) )) ))</f>
        <v>0</v>
      </c>
      <c r="AR1016" s="201">
        <f ca="1">IF($E1016=Parameters!$D$68, AR876, MIN(AR876,-SUM(OFFSET(AR853, 0, MIN(12, COUNTA(AS$3:$BJ$3)), , -MIN(12, COUNTA(AS$3:$BJ$3)) )) ))</f>
        <v>0</v>
      </c>
      <c r="AS1016" s="201">
        <f ca="1">IF($E1016=Parameters!$D$68, AS876, MIN(AS876,-SUM(OFFSET(AS853, 0, MIN(12, COUNTA(AT$3:$BJ$3)), , -MIN(12, COUNTA(AT$3:$BJ$3)) )) ))</f>
        <v>0</v>
      </c>
      <c r="AT1016" s="201">
        <f ca="1">IF($E1016=Parameters!$D$68, AT876, MIN(AT876,-SUM(OFFSET(AT853, 0, MIN(12, COUNTA(AU$3:$BJ$3)), , -MIN(12, COUNTA(AU$3:$BJ$3)) )) ))</f>
        <v>0</v>
      </c>
      <c r="AU1016" s="201">
        <f ca="1">IF($E1016=Parameters!$D$68, AU876, MIN(AU876,-SUM(OFFSET(AU853, 0, MIN(12, COUNTA(AV$3:$BJ$3)), , -MIN(12, COUNTA(AV$3:$BJ$3)) )) ))</f>
        <v>0</v>
      </c>
      <c r="AV1016" s="201">
        <f ca="1">IF($E1016=Parameters!$D$68, AV876, MIN(AV876,-SUM(OFFSET(AV853, 0, MIN(12, COUNTA(AW$3:$BJ$3)), , -MIN(12, COUNTA(AW$3:$BJ$3)) )) ))</f>
        <v>0</v>
      </c>
      <c r="AW1016" s="201">
        <f ca="1">IF($E1016=Parameters!$D$68, AW876, MIN(AW876,-SUM(OFFSET(AW853, 0, MIN(12, COUNTA(AX$3:$BJ$3)), , -MIN(12, COUNTA(AX$3:$BJ$3)) )) ))</f>
        <v>0</v>
      </c>
      <c r="AX1016" s="201">
        <f ca="1">IF($E1016=Parameters!$D$68, AX876, MIN(AX876,-SUM(OFFSET(AX853, 0, MIN(12, COUNTA(AY$3:$BJ$3)), , -MIN(12, COUNTA(AY$3:$BJ$3)) )) ))</f>
        <v>0</v>
      </c>
      <c r="AY1016" s="201">
        <f ca="1">IF($E1016=Parameters!$D$68, AY876, MIN(AY876,-SUM(OFFSET(AY853, 0, MIN(12, COUNTA(AZ$3:$BJ$3)), , -MIN(12, COUNTA(AZ$3:$BJ$3)) )) ))</f>
        <v>0</v>
      </c>
      <c r="AZ1016" s="201">
        <f ca="1">IF($E1016=Parameters!$D$68, AZ876, MIN(AZ876,-SUM(OFFSET(AZ853, 0, MIN(12, COUNTA(BA$3:$BJ$3)), , -MIN(12, COUNTA(BA$3:$BJ$3)) )) ))</f>
        <v>0</v>
      </c>
      <c r="BA1016" s="201">
        <f ca="1">IF($E1016=Parameters!$D$68, BA876, MIN(BA876,-SUM(OFFSET(BA853, 0, MIN(12, COUNTA(BB$3:$BJ$3)), , -MIN(12, COUNTA(BB$3:$BJ$3)) )) ))</f>
        <v>0</v>
      </c>
      <c r="BB1016" s="201">
        <f ca="1">IF($E1016=Parameters!$D$68, BB876, MIN(BB876,-SUM(OFFSET(BB853, 0, MIN(12, COUNTA(BC$3:$BJ$3)), , -MIN(12, COUNTA(BC$3:$BJ$3)) )) ))</f>
        <v>0</v>
      </c>
      <c r="BC1016" s="201">
        <f ca="1">IF($E1016=Parameters!$D$68, BC876, MIN(BC876,-SUM(OFFSET(BC853, 0, MIN(12, COUNTA(BD$3:$BJ$3)), , -MIN(12, COUNTA(BD$3:$BJ$3)) )) ))</f>
        <v>0</v>
      </c>
      <c r="BD1016" s="201">
        <f ca="1">IF($E1016=Parameters!$D$68, BD876, MIN(BD876,-SUM(OFFSET(BD853, 0, MIN(12, COUNTA(BE$3:$BJ$3)), , -MIN(12, COUNTA(BE$3:$BJ$3)) )) ))</f>
        <v>0</v>
      </c>
      <c r="BE1016" s="201">
        <f ca="1">IF($E1016=Parameters!$D$68, BE876, MIN(BE876,-SUM(OFFSET(BE853, 0, MIN(12, COUNTA(BF$3:$BJ$3)), , -MIN(12, COUNTA(BF$3:$BJ$3)) )) ))</f>
        <v>0</v>
      </c>
      <c r="BF1016" s="201">
        <f ca="1">IF($E1016=Parameters!$D$68, BF876, MIN(BF876,-SUM(OFFSET(BF853, 0, MIN(12, COUNTA(BG$3:$BJ$3)), , -MIN(12, COUNTA(BG$3:$BJ$3)) )) ))</f>
        <v>0</v>
      </c>
      <c r="BG1016" s="201">
        <f ca="1">IF($E1016=Parameters!$D$68, BG876, MIN(BG876,-SUM(OFFSET(BG853, 0, MIN(12, COUNTA(BH$3:$BJ$3)), , -MIN(12, COUNTA(BH$3:$BJ$3)) )) ))</f>
        <v>0</v>
      </c>
      <c r="BH1016" s="201">
        <f ca="1">IF($E1016=Parameters!$D$68, BH876, MIN(BH876,-SUM(OFFSET(BH853, 0, MIN(12, COUNTA(BI$3:$BJ$3)), , -MIN(12, COUNTA(BI$3:$BJ$3)) )) ))</f>
        <v>0</v>
      </c>
      <c r="BI1016" s="201">
        <f ca="1">IF($E1016=Parameters!$D$68, BI876, MIN(BI876,-SUM(OFFSET(BI853, 0, MIN(12, COUNTA(BJ$3:$BJ$3)), , -MIN(12, COUNTA(BJ$3:$BJ$3)) )) ))</f>
        <v>0</v>
      </c>
      <c r="BJ1016" s="13">
        <f ca="1">IF($E1016=Parameters!$D$68, BJ876, MIN(BJ876,-SUM(OFFSET(BJ853, 0, MIN(12, COUNTA($BJ$3:BK$3)), , -MIN(12, COUNTA($BJ$3:BK$3)) )) ))</f>
        <v>0</v>
      </c>
      <c r="BL1016" s="136"/>
      <c r="BM1016" s="13">
        <f t="shared" ca="1" si="1185"/>
        <v>0</v>
      </c>
      <c r="BN1016" s="13">
        <f t="shared" ca="1" si="1186"/>
        <v>0</v>
      </c>
      <c r="BO1016" s="13">
        <f t="shared" ca="1" si="1187"/>
        <v>0</v>
      </c>
      <c r="BP1016" s="136"/>
      <c r="BQ1016" s="136"/>
      <c r="BR1016" s="136"/>
      <c r="BS1016" s="136"/>
      <c r="BT1016" s="136"/>
      <c r="BU1016" s="136"/>
      <c r="BV1016" s="136"/>
      <c r="BW1016" s="136"/>
      <c r="BY1016" s="12"/>
      <c r="CA1016" s="12"/>
      <c r="CJ1016" s="162"/>
      <c r="CR1016" s="12"/>
      <c r="EX1016" s="10" t="str">
        <f t="shared" si="1183"/>
        <v/>
      </c>
    </row>
    <row r="1017" spans="2:154" s="335" customFormat="1" x14ac:dyDescent="0.25">
      <c r="B1017" s="84" t="str" cm="1">
        <f t="array" aca="1" ref="B1017" ca="1">HYPERLINK(CONCATENATE("#",CELL("address",$D$104)),$D$104)</f>
        <v>Loan 4</v>
      </c>
      <c r="C1017" s="380"/>
      <c r="D1017" s="60" t="str">
        <f>D$16</f>
        <v>NatWest</v>
      </c>
      <c r="E1017" s="60" t="str">
        <f>E$16</f>
        <v xml:space="preserve">Commercial </v>
      </c>
      <c r="G1017" s="9"/>
      <c r="H1017" s="50" t="s">
        <v>125</v>
      </c>
      <c r="V1017" s="136"/>
      <c r="W1017" s="201">
        <f t="shared" ca="1" si="1184"/>
        <v>0</v>
      </c>
      <c r="X1017" s="201">
        <f t="shared" ca="1" si="1184"/>
        <v>0</v>
      </c>
      <c r="Y1017" s="201">
        <f t="shared" ca="1" si="1184"/>
        <v>0</v>
      </c>
      <c r="AA1017" s="201">
        <f ca="1">IF($E1017=Parameters!$D$68, AA877, MIN(AA877,-SUM(OFFSET(AA854, 0, MIN(12, COUNTA(AB$3:$BJ$3)), , -MIN(12, COUNTA(AB$3:$BJ$3)) )) ))</f>
        <v>0</v>
      </c>
      <c r="AB1017" s="201">
        <f ca="1">IF($E1017=Parameters!$D$68, AB877, MIN(AB877,-SUM(OFFSET(AB854, 0, MIN(12, COUNTA(AC$3:$BJ$3)), , -MIN(12, COUNTA(AC$3:$BJ$3)) )) ))</f>
        <v>0</v>
      </c>
      <c r="AC1017" s="201">
        <f ca="1">IF($E1017=Parameters!$D$68, AC877, MIN(AC877,-SUM(OFFSET(AC854, 0, MIN(12, COUNTA(AD$3:$BJ$3)), , -MIN(12, COUNTA(AD$3:$BJ$3)) )) ))</f>
        <v>0</v>
      </c>
      <c r="AD1017" s="201">
        <f ca="1">IF($E1017=Parameters!$D$68, AD877, MIN(AD877,-SUM(OFFSET(AD854, 0, MIN(12, COUNTA(AE$3:$BJ$3)), , -MIN(12, COUNTA(AE$3:$BJ$3)) )) ))</f>
        <v>0</v>
      </c>
      <c r="AE1017" s="201">
        <f ca="1">IF($E1017=Parameters!$D$68, AE877, MIN(AE877,-SUM(OFFSET(AE854, 0, MIN(12, COUNTA(AF$3:$BJ$3)), , -MIN(12, COUNTA(AF$3:$BJ$3)) )) ))</f>
        <v>0</v>
      </c>
      <c r="AF1017" s="201">
        <f ca="1">IF($E1017=Parameters!$D$68, AF877, MIN(AF877,-SUM(OFFSET(AF854, 0, MIN(12, COUNTA(AG$3:$BJ$3)), , -MIN(12, COUNTA(AG$3:$BJ$3)) )) ))</f>
        <v>0</v>
      </c>
      <c r="AG1017" s="201">
        <f ca="1">IF($E1017=Parameters!$D$68, AG877, MIN(AG877,-SUM(OFFSET(AG854, 0, MIN(12, COUNTA(AH$3:$BJ$3)), , -MIN(12, COUNTA(AH$3:$BJ$3)) )) ))</f>
        <v>0</v>
      </c>
      <c r="AH1017" s="201">
        <f ca="1">IF($E1017=Parameters!$D$68, AH877, MIN(AH877,-SUM(OFFSET(AH854, 0, MIN(12, COUNTA(AI$3:$BJ$3)), , -MIN(12, COUNTA(AI$3:$BJ$3)) )) ))</f>
        <v>0</v>
      </c>
      <c r="AI1017" s="201">
        <f ca="1">IF($E1017=Parameters!$D$68, AI877, MIN(AI877,-SUM(OFFSET(AI854, 0, MIN(12, COUNTA(AJ$3:$BJ$3)), , -MIN(12, COUNTA(AJ$3:$BJ$3)) )) ))</f>
        <v>0</v>
      </c>
      <c r="AJ1017" s="201">
        <f ca="1">IF($E1017=Parameters!$D$68, AJ877, MIN(AJ877,-SUM(OFFSET(AJ854, 0, MIN(12, COUNTA(AK$3:$BJ$3)), , -MIN(12, COUNTA(AK$3:$BJ$3)) )) ))</f>
        <v>0</v>
      </c>
      <c r="AK1017" s="201">
        <f ca="1">IF($E1017=Parameters!$D$68, AK877, MIN(AK877,-SUM(OFFSET(AK854, 0, MIN(12, COUNTA(AL$3:$BJ$3)), , -MIN(12, COUNTA(AL$3:$BJ$3)) )) ))</f>
        <v>0</v>
      </c>
      <c r="AL1017" s="201">
        <f ca="1">IF($E1017=Parameters!$D$68, AL877, MIN(AL877,-SUM(OFFSET(AL854, 0, MIN(12, COUNTA(AM$3:$BJ$3)), , -MIN(12, COUNTA(AM$3:$BJ$3)) )) ))</f>
        <v>0</v>
      </c>
      <c r="AM1017" s="201">
        <f ca="1">IF($E1017=Parameters!$D$68, AM877, MIN(AM877,-SUM(OFFSET(AM854, 0, MIN(12, COUNTA(AN$3:$BJ$3)), , -MIN(12, COUNTA(AN$3:$BJ$3)) )) ))</f>
        <v>0</v>
      </c>
      <c r="AN1017" s="201">
        <f ca="1">IF($E1017=Parameters!$D$68, AN877, MIN(AN877,-SUM(OFFSET(AN854, 0, MIN(12, COUNTA(AO$3:$BJ$3)), , -MIN(12, COUNTA(AO$3:$BJ$3)) )) ))</f>
        <v>0</v>
      </c>
      <c r="AO1017" s="201">
        <f ca="1">IF($E1017=Parameters!$D$68, AO877, MIN(AO877,-SUM(OFFSET(AO854, 0, MIN(12, COUNTA(AP$3:$BJ$3)), , -MIN(12, COUNTA(AP$3:$BJ$3)) )) ))</f>
        <v>0</v>
      </c>
      <c r="AP1017" s="201">
        <f ca="1">IF($E1017=Parameters!$D$68, AP877, MIN(AP877,-SUM(OFFSET(AP854, 0, MIN(12, COUNTA(AQ$3:$BJ$3)), , -MIN(12, COUNTA(AQ$3:$BJ$3)) )) ))</f>
        <v>0</v>
      </c>
      <c r="AQ1017" s="201">
        <f ca="1">IF($E1017=Parameters!$D$68, AQ877, MIN(AQ877,-SUM(OFFSET(AQ854, 0, MIN(12, COUNTA(AR$3:$BJ$3)), , -MIN(12, COUNTA(AR$3:$BJ$3)) )) ))</f>
        <v>0</v>
      </c>
      <c r="AR1017" s="201">
        <f ca="1">IF($E1017=Parameters!$D$68, AR877, MIN(AR877,-SUM(OFFSET(AR854, 0, MIN(12, COUNTA(AS$3:$BJ$3)), , -MIN(12, COUNTA(AS$3:$BJ$3)) )) ))</f>
        <v>0</v>
      </c>
      <c r="AS1017" s="201">
        <f ca="1">IF($E1017=Parameters!$D$68, AS877, MIN(AS877,-SUM(OFFSET(AS854, 0, MIN(12, COUNTA(AT$3:$BJ$3)), , -MIN(12, COUNTA(AT$3:$BJ$3)) )) ))</f>
        <v>0</v>
      </c>
      <c r="AT1017" s="201">
        <f ca="1">IF($E1017=Parameters!$D$68, AT877, MIN(AT877,-SUM(OFFSET(AT854, 0, MIN(12, COUNTA(AU$3:$BJ$3)), , -MIN(12, COUNTA(AU$3:$BJ$3)) )) ))</f>
        <v>0</v>
      </c>
      <c r="AU1017" s="201">
        <f ca="1">IF($E1017=Parameters!$D$68, AU877, MIN(AU877,-SUM(OFFSET(AU854, 0, MIN(12, COUNTA(AV$3:$BJ$3)), , -MIN(12, COUNTA(AV$3:$BJ$3)) )) ))</f>
        <v>0</v>
      </c>
      <c r="AV1017" s="201">
        <f ca="1">IF($E1017=Parameters!$D$68, AV877, MIN(AV877,-SUM(OFFSET(AV854, 0, MIN(12, COUNTA(AW$3:$BJ$3)), , -MIN(12, COUNTA(AW$3:$BJ$3)) )) ))</f>
        <v>0</v>
      </c>
      <c r="AW1017" s="201">
        <f ca="1">IF($E1017=Parameters!$D$68, AW877, MIN(AW877,-SUM(OFFSET(AW854, 0, MIN(12, COUNTA(AX$3:$BJ$3)), , -MIN(12, COUNTA(AX$3:$BJ$3)) )) ))</f>
        <v>0</v>
      </c>
      <c r="AX1017" s="201">
        <f ca="1">IF($E1017=Parameters!$D$68, AX877, MIN(AX877,-SUM(OFFSET(AX854, 0, MIN(12, COUNTA(AY$3:$BJ$3)), , -MIN(12, COUNTA(AY$3:$BJ$3)) )) ))</f>
        <v>0</v>
      </c>
      <c r="AY1017" s="201">
        <f ca="1">IF($E1017=Parameters!$D$68, AY877, MIN(AY877,-SUM(OFFSET(AY854, 0, MIN(12, COUNTA(AZ$3:$BJ$3)), , -MIN(12, COUNTA(AZ$3:$BJ$3)) )) ))</f>
        <v>0</v>
      </c>
      <c r="AZ1017" s="201">
        <f ca="1">IF($E1017=Parameters!$D$68, AZ877, MIN(AZ877,-SUM(OFFSET(AZ854, 0, MIN(12, COUNTA(BA$3:$BJ$3)), , -MIN(12, COUNTA(BA$3:$BJ$3)) )) ))</f>
        <v>0</v>
      </c>
      <c r="BA1017" s="201">
        <f ca="1">IF($E1017=Parameters!$D$68, BA877, MIN(BA877,-SUM(OFFSET(BA854, 0, MIN(12, COUNTA(BB$3:$BJ$3)), , -MIN(12, COUNTA(BB$3:$BJ$3)) )) ))</f>
        <v>0</v>
      </c>
      <c r="BB1017" s="201">
        <f ca="1">IF($E1017=Parameters!$D$68, BB877, MIN(BB877,-SUM(OFFSET(BB854, 0, MIN(12, COUNTA(BC$3:$BJ$3)), , -MIN(12, COUNTA(BC$3:$BJ$3)) )) ))</f>
        <v>0</v>
      </c>
      <c r="BC1017" s="201">
        <f ca="1">IF($E1017=Parameters!$D$68, BC877, MIN(BC877,-SUM(OFFSET(BC854, 0, MIN(12, COUNTA(BD$3:$BJ$3)), , -MIN(12, COUNTA(BD$3:$BJ$3)) )) ))</f>
        <v>0</v>
      </c>
      <c r="BD1017" s="201">
        <f ca="1">IF($E1017=Parameters!$D$68, BD877, MIN(BD877,-SUM(OFFSET(BD854, 0, MIN(12, COUNTA(BE$3:$BJ$3)), , -MIN(12, COUNTA(BE$3:$BJ$3)) )) ))</f>
        <v>0</v>
      </c>
      <c r="BE1017" s="201">
        <f ca="1">IF($E1017=Parameters!$D$68, BE877, MIN(BE877,-SUM(OFFSET(BE854, 0, MIN(12, COUNTA(BF$3:$BJ$3)), , -MIN(12, COUNTA(BF$3:$BJ$3)) )) ))</f>
        <v>0</v>
      </c>
      <c r="BF1017" s="201">
        <f ca="1">IF($E1017=Parameters!$D$68, BF877, MIN(BF877,-SUM(OFFSET(BF854, 0, MIN(12, COUNTA(BG$3:$BJ$3)), , -MIN(12, COUNTA(BG$3:$BJ$3)) )) ))</f>
        <v>0</v>
      </c>
      <c r="BG1017" s="201">
        <f ca="1">IF($E1017=Parameters!$D$68, BG877, MIN(BG877,-SUM(OFFSET(BG854, 0, MIN(12, COUNTA(BH$3:$BJ$3)), , -MIN(12, COUNTA(BH$3:$BJ$3)) )) ))</f>
        <v>0</v>
      </c>
      <c r="BH1017" s="201">
        <f ca="1">IF($E1017=Parameters!$D$68, BH877, MIN(BH877,-SUM(OFFSET(BH854, 0, MIN(12, COUNTA(BI$3:$BJ$3)), , -MIN(12, COUNTA(BI$3:$BJ$3)) )) ))</f>
        <v>0</v>
      </c>
      <c r="BI1017" s="201">
        <f ca="1">IF($E1017=Parameters!$D$68, BI877, MIN(BI877,-SUM(OFFSET(BI854, 0, MIN(12, COUNTA(BJ$3:$BJ$3)), , -MIN(12, COUNTA(BJ$3:$BJ$3)) )) ))</f>
        <v>0</v>
      </c>
      <c r="BJ1017" s="13">
        <f ca="1">IF($E1017=Parameters!$D$68, BJ877, MIN(BJ877,-SUM(OFFSET(BJ854, 0, MIN(12, COUNTA($BJ$3:BK$3)), , -MIN(12, COUNTA($BJ$3:BK$3)) )) ))</f>
        <v>0</v>
      </c>
      <c r="BL1017" s="136"/>
      <c r="BM1017" s="13">
        <f t="shared" ca="1" si="1185"/>
        <v>0</v>
      </c>
      <c r="BN1017" s="13">
        <f t="shared" ca="1" si="1186"/>
        <v>0</v>
      </c>
      <c r="BO1017" s="13">
        <f t="shared" ca="1" si="1187"/>
        <v>0</v>
      </c>
      <c r="BP1017" s="136"/>
      <c r="BQ1017" s="136"/>
      <c r="BR1017" s="136"/>
      <c r="BS1017" s="136"/>
      <c r="BT1017" s="136"/>
      <c r="BU1017" s="136"/>
      <c r="BV1017" s="136"/>
      <c r="BW1017" s="136"/>
      <c r="BY1017" s="12"/>
      <c r="CA1017" s="12"/>
      <c r="CJ1017" s="162"/>
      <c r="CR1017" s="12"/>
      <c r="EX1017" s="10" t="str">
        <f t="shared" si="1183"/>
        <v/>
      </c>
    </row>
    <row r="1018" spans="2:154" s="335" customFormat="1" x14ac:dyDescent="0.25">
      <c r="B1018" s="84" t="str" cm="1">
        <f t="array" aca="1" ref="B1018" ca="1">HYPERLINK(CONCATENATE("#",CELL("address",$D$123)),$D$123)</f>
        <v>Loan 5</v>
      </c>
      <c r="C1018" s="380"/>
      <c r="D1018" s="60" t="str">
        <f>D$17</f>
        <v>NatWest</v>
      </c>
      <c r="E1018" s="60" t="str">
        <f>E$17</f>
        <v xml:space="preserve">Commercial </v>
      </c>
      <c r="G1018" s="9"/>
      <c r="H1018" s="50" t="s">
        <v>125</v>
      </c>
      <c r="V1018" s="136"/>
      <c r="W1018" s="201">
        <f t="shared" ca="1" si="1184"/>
        <v>0</v>
      </c>
      <c r="X1018" s="201">
        <f t="shared" ca="1" si="1184"/>
        <v>0</v>
      </c>
      <c r="Y1018" s="201">
        <f t="shared" ca="1" si="1184"/>
        <v>0</v>
      </c>
      <c r="AA1018" s="201">
        <f ca="1">IF($E1018=Parameters!$D$68, AA878, MIN(AA878,-SUM(OFFSET(AA855, 0, MIN(12, COUNTA(AB$3:$BJ$3)), , -MIN(12, COUNTA(AB$3:$BJ$3)) )) ))</f>
        <v>0</v>
      </c>
      <c r="AB1018" s="201">
        <f ca="1">IF($E1018=Parameters!$D$68, AB878, MIN(AB878,-SUM(OFFSET(AB855, 0, MIN(12, COUNTA(AC$3:$BJ$3)), , -MIN(12, COUNTA(AC$3:$BJ$3)) )) ))</f>
        <v>0</v>
      </c>
      <c r="AC1018" s="201">
        <f ca="1">IF($E1018=Parameters!$D$68, AC878, MIN(AC878,-SUM(OFFSET(AC855, 0, MIN(12, COUNTA(AD$3:$BJ$3)), , -MIN(12, COUNTA(AD$3:$BJ$3)) )) ))</f>
        <v>0</v>
      </c>
      <c r="AD1018" s="201">
        <f ca="1">IF($E1018=Parameters!$D$68, AD878, MIN(AD878,-SUM(OFFSET(AD855, 0, MIN(12, COUNTA(AE$3:$BJ$3)), , -MIN(12, COUNTA(AE$3:$BJ$3)) )) ))</f>
        <v>0</v>
      </c>
      <c r="AE1018" s="201">
        <f ca="1">IF($E1018=Parameters!$D$68, AE878, MIN(AE878,-SUM(OFFSET(AE855, 0, MIN(12, COUNTA(AF$3:$BJ$3)), , -MIN(12, COUNTA(AF$3:$BJ$3)) )) ))</f>
        <v>0</v>
      </c>
      <c r="AF1018" s="201">
        <f ca="1">IF($E1018=Parameters!$D$68, AF878, MIN(AF878,-SUM(OFFSET(AF855, 0, MIN(12, COUNTA(AG$3:$BJ$3)), , -MIN(12, COUNTA(AG$3:$BJ$3)) )) ))</f>
        <v>0</v>
      </c>
      <c r="AG1018" s="201">
        <f ca="1">IF($E1018=Parameters!$D$68, AG878, MIN(AG878,-SUM(OFFSET(AG855, 0, MIN(12, COUNTA(AH$3:$BJ$3)), , -MIN(12, COUNTA(AH$3:$BJ$3)) )) ))</f>
        <v>0</v>
      </c>
      <c r="AH1018" s="201">
        <f ca="1">IF($E1018=Parameters!$D$68, AH878, MIN(AH878,-SUM(OFFSET(AH855, 0, MIN(12, COUNTA(AI$3:$BJ$3)), , -MIN(12, COUNTA(AI$3:$BJ$3)) )) ))</f>
        <v>0</v>
      </c>
      <c r="AI1018" s="201">
        <f ca="1">IF($E1018=Parameters!$D$68, AI878, MIN(AI878,-SUM(OFFSET(AI855, 0, MIN(12, COUNTA(AJ$3:$BJ$3)), , -MIN(12, COUNTA(AJ$3:$BJ$3)) )) ))</f>
        <v>0</v>
      </c>
      <c r="AJ1018" s="201">
        <f ca="1">IF($E1018=Parameters!$D$68, AJ878, MIN(AJ878,-SUM(OFFSET(AJ855, 0, MIN(12, COUNTA(AK$3:$BJ$3)), , -MIN(12, COUNTA(AK$3:$BJ$3)) )) ))</f>
        <v>0</v>
      </c>
      <c r="AK1018" s="201">
        <f ca="1">IF($E1018=Parameters!$D$68, AK878, MIN(AK878,-SUM(OFFSET(AK855, 0, MIN(12, COUNTA(AL$3:$BJ$3)), , -MIN(12, COUNTA(AL$3:$BJ$3)) )) ))</f>
        <v>0</v>
      </c>
      <c r="AL1018" s="201">
        <f ca="1">IF($E1018=Parameters!$D$68, AL878, MIN(AL878,-SUM(OFFSET(AL855, 0, MIN(12, COUNTA(AM$3:$BJ$3)), , -MIN(12, COUNTA(AM$3:$BJ$3)) )) ))</f>
        <v>0</v>
      </c>
      <c r="AM1018" s="201">
        <f ca="1">IF($E1018=Parameters!$D$68, AM878, MIN(AM878,-SUM(OFFSET(AM855, 0, MIN(12, COUNTA(AN$3:$BJ$3)), , -MIN(12, COUNTA(AN$3:$BJ$3)) )) ))</f>
        <v>0</v>
      </c>
      <c r="AN1018" s="201">
        <f ca="1">IF($E1018=Parameters!$D$68, AN878, MIN(AN878,-SUM(OFFSET(AN855, 0, MIN(12, COUNTA(AO$3:$BJ$3)), , -MIN(12, COUNTA(AO$3:$BJ$3)) )) ))</f>
        <v>0</v>
      </c>
      <c r="AO1018" s="201">
        <f ca="1">IF($E1018=Parameters!$D$68, AO878, MIN(AO878,-SUM(OFFSET(AO855, 0, MIN(12, COUNTA(AP$3:$BJ$3)), , -MIN(12, COUNTA(AP$3:$BJ$3)) )) ))</f>
        <v>0</v>
      </c>
      <c r="AP1018" s="201">
        <f ca="1">IF($E1018=Parameters!$D$68, AP878, MIN(AP878,-SUM(OFFSET(AP855, 0, MIN(12, COUNTA(AQ$3:$BJ$3)), , -MIN(12, COUNTA(AQ$3:$BJ$3)) )) ))</f>
        <v>0</v>
      </c>
      <c r="AQ1018" s="201">
        <f ca="1">IF($E1018=Parameters!$D$68, AQ878, MIN(AQ878,-SUM(OFFSET(AQ855, 0, MIN(12, COUNTA(AR$3:$BJ$3)), , -MIN(12, COUNTA(AR$3:$BJ$3)) )) ))</f>
        <v>0</v>
      </c>
      <c r="AR1018" s="201">
        <f ca="1">IF($E1018=Parameters!$D$68, AR878, MIN(AR878,-SUM(OFFSET(AR855, 0, MIN(12, COUNTA(AS$3:$BJ$3)), , -MIN(12, COUNTA(AS$3:$BJ$3)) )) ))</f>
        <v>0</v>
      </c>
      <c r="AS1018" s="201">
        <f ca="1">IF($E1018=Parameters!$D$68, AS878, MIN(AS878,-SUM(OFFSET(AS855, 0, MIN(12, COUNTA(AT$3:$BJ$3)), , -MIN(12, COUNTA(AT$3:$BJ$3)) )) ))</f>
        <v>0</v>
      </c>
      <c r="AT1018" s="201">
        <f ca="1">IF($E1018=Parameters!$D$68, AT878, MIN(AT878,-SUM(OFFSET(AT855, 0, MIN(12, COUNTA(AU$3:$BJ$3)), , -MIN(12, COUNTA(AU$3:$BJ$3)) )) ))</f>
        <v>0</v>
      </c>
      <c r="AU1018" s="201">
        <f ca="1">IF($E1018=Parameters!$D$68, AU878, MIN(AU878,-SUM(OFFSET(AU855, 0, MIN(12, COUNTA(AV$3:$BJ$3)), , -MIN(12, COUNTA(AV$3:$BJ$3)) )) ))</f>
        <v>0</v>
      </c>
      <c r="AV1018" s="201">
        <f ca="1">IF($E1018=Parameters!$D$68, AV878, MIN(AV878,-SUM(OFFSET(AV855, 0, MIN(12, COUNTA(AW$3:$BJ$3)), , -MIN(12, COUNTA(AW$3:$BJ$3)) )) ))</f>
        <v>0</v>
      </c>
      <c r="AW1018" s="201">
        <f ca="1">IF($E1018=Parameters!$D$68, AW878, MIN(AW878,-SUM(OFFSET(AW855, 0, MIN(12, COUNTA(AX$3:$BJ$3)), , -MIN(12, COUNTA(AX$3:$BJ$3)) )) ))</f>
        <v>0</v>
      </c>
      <c r="AX1018" s="201">
        <f ca="1">IF($E1018=Parameters!$D$68, AX878, MIN(AX878,-SUM(OFFSET(AX855, 0, MIN(12, COUNTA(AY$3:$BJ$3)), , -MIN(12, COUNTA(AY$3:$BJ$3)) )) ))</f>
        <v>0</v>
      </c>
      <c r="AY1018" s="201">
        <f ca="1">IF($E1018=Parameters!$D$68, AY878, MIN(AY878,-SUM(OFFSET(AY855, 0, MIN(12, COUNTA(AZ$3:$BJ$3)), , -MIN(12, COUNTA(AZ$3:$BJ$3)) )) ))</f>
        <v>0</v>
      </c>
      <c r="AZ1018" s="201">
        <f ca="1">IF($E1018=Parameters!$D$68, AZ878, MIN(AZ878,-SUM(OFFSET(AZ855, 0, MIN(12, COUNTA(BA$3:$BJ$3)), , -MIN(12, COUNTA(BA$3:$BJ$3)) )) ))</f>
        <v>0</v>
      </c>
      <c r="BA1018" s="201">
        <f ca="1">IF($E1018=Parameters!$D$68, BA878, MIN(BA878,-SUM(OFFSET(BA855, 0, MIN(12, COUNTA(BB$3:$BJ$3)), , -MIN(12, COUNTA(BB$3:$BJ$3)) )) ))</f>
        <v>0</v>
      </c>
      <c r="BB1018" s="201">
        <f ca="1">IF($E1018=Parameters!$D$68, BB878, MIN(BB878,-SUM(OFFSET(BB855, 0, MIN(12, COUNTA(BC$3:$BJ$3)), , -MIN(12, COUNTA(BC$3:$BJ$3)) )) ))</f>
        <v>0</v>
      </c>
      <c r="BC1018" s="201">
        <f ca="1">IF($E1018=Parameters!$D$68, BC878, MIN(BC878,-SUM(OFFSET(BC855, 0, MIN(12, COUNTA(BD$3:$BJ$3)), , -MIN(12, COUNTA(BD$3:$BJ$3)) )) ))</f>
        <v>0</v>
      </c>
      <c r="BD1018" s="201">
        <f ca="1">IF($E1018=Parameters!$D$68, BD878, MIN(BD878,-SUM(OFFSET(BD855, 0, MIN(12, COUNTA(BE$3:$BJ$3)), , -MIN(12, COUNTA(BE$3:$BJ$3)) )) ))</f>
        <v>0</v>
      </c>
      <c r="BE1018" s="201">
        <f ca="1">IF($E1018=Parameters!$D$68, BE878, MIN(BE878,-SUM(OFFSET(BE855, 0, MIN(12, COUNTA(BF$3:$BJ$3)), , -MIN(12, COUNTA(BF$3:$BJ$3)) )) ))</f>
        <v>0</v>
      </c>
      <c r="BF1018" s="201">
        <f ca="1">IF($E1018=Parameters!$D$68, BF878, MIN(BF878,-SUM(OFFSET(BF855, 0, MIN(12, COUNTA(BG$3:$BJ$3)), , -MIN(12, COUNTA(BG$3:$BJ$3)) )) ))</f>
        <v>0</v>
      </c>
      <c r="BG1018" s="201">
        <f ca="1">IF($E1018=Parameters!$D$68, BG878, MIN(BG878,-SUM(OFFSET(BG855, 0, MIN(12, COUNTA(BH$3:$BJ$3)), , -MIN(12, COUNTA(BH$3:$BJ$3)) )) ))</f>
        <v>0</v>
      </c>
      <c r="BH1018" s="201">
        <f ca="1">IF($E1018=Parameters!$D$68, BH878, MIN(BH878,-SUM(OFFSET(BH855, 0, MIN(12, COUNTA(BI$3:$BJ$3)), , -MIN(12, COUNTA(BI$3:$BJ$3)) )) ))</f>
        <v>0</v>
      </c>
      <c r="BI1018" s="201">
        <f ca="1">IF($E1018=Parameters!$D$68, BI878, MIN(BI878,-SUM(OFFSET(BI855, 0, MIN(12, COUNTA(BJ$3:$BJ$3)), , -MIN(12, COUNTA(BJ$3:$BJ$3)) )) ))</f>
        <v>0</v>
      </c>
      <c r="BJ1018" s="13">
        <f ca="1">IF($E1018=Parameters!$D$68, BJ878, MIN(BJ878,-SUM(OFFSET(BJ855, 0, MIN(12, COUNTA($BJ$3:BK$3)), , -MIN(12, COUNTA($BJ$3:BK$3)) )) ))</f>
        <v>0</v>
      </c>
      <c r="BL1018" s="136"/>
      <c r="BM1018" s="13">
        <f t="shared" ca="1" si="1185"/>
        <v>0</v>
      </c>
      <c r="BN1018" s="13">
        <f t="shared" ca="1" si="1186"/>
        <v>0</v>
      </c>
      <c r="BO1018" s="13">
        <f t="shared" ca="1" si="1187"/>
        <v>0</v>
      </c>
      <c r="BP1018" s="136"/>
      <c r="BQ1018" s="136"/>
      <c r="BR1018" s="136"/>
      <c r="BS1018" s="136"/>
      <c r="BT1018" s="136"/>
      <c r="BU1018" s="136"/>
      <c r="BV1018" s="136"/>
      <c r="BW1018" s="136"/>
      <c r="BY1018" s="12"/>
      <c r="CA1018" s="12"/>
      <c r="CJ1018" s="162"/>
      <c r="CR1018" s="12"/>
      <c r="EX1018" s="10" t="str">
        <f t="shared" si="1183"/>
        <v/>
      </c>
    </row>
    <row r="1019" spans="2:154" s="335" customFormat="1" x14ac:dyDescent="0.25">
      <c r="B1019" s="84" t="str" cm="1">
        <f t="array" aca="1" ref="B1019" ca="1">HYPERLINK(CONCATENATE("#",CELL("address",$D$142)),$D$142)</f>
        <v>Loan 6</v>
      </c>
      <c r="C1019" s="380"/>
      <c r="D1019" s="60">
        <f>D$18</f>
        <v>0</v>
      </c>
      <c r="E1019" s="60">
        <f>E$18</f>
        <v>0</v>
      </c>
      <c r="G1019" s="9"/>
      <c r="H1019" s="50" t="s">
        <v>125</v>
      </c>
      <c r="V1019" s="136"/>
      <c r="W1019" s="201">
        <f t="shared" ca="1" si="1184"/>
        <v>0</v>
      </c>
      <c r="X1019" s="201">
        <f t="shared" ca="1" si="1184"/>
        <v>0</v>
      </c>
      <c r="Y1019" s="201">
        <f t="shared" ca="1" si="1184"/>
        <v>0</v>
      </c>
      <c r="AA1019" s="201">
        <f ca="1">IF($E1019=Parameters!$D$68, AA879, MIN(AA879,-SUM(OFFSET(AA856, 0, MIN(12, COUNTA(AB$3:$BJ$3)), , -MIN(12, COUNTA(AB$3:$BJ$3)) )) ))</f>
        <v>0</v>
      </c>
      <c r="AB1019" s="201">
        <f ca="1">IF($E1019=Parameters!$D$68, AB879, MIN(AB879,-SUM(OFFSET(AB856, 0, MIN(12, COUNTA(AC$3:$BJ$3)), , -MIN(12, COUNTA(AC$3:$BJ$3)) )) ))</f>
        <v>0</v>
      </c>
      <c r="AC1019" s="201">
        <f ca="1">IF($E1019=Parameters!$D$68, AC879, MIN(AC879,-SUM(OFFSET(AC856, 0, MIN(12, COUNTA(AD$3:$BJ$3)), , -MIN(12, COUNTA(AD$3:$BJ$3)) )) ))</f>
        <v>0</v>
      </c>
      <c r="AD1019" s="201">
        <f ca="1">IF($E1019=Parameters!$D$68, AD879, MIN(AD879,-SUM(OFFSET(AD856, 0, MIN(12, COUNTA(AE$3:$BJ$3)), , -MIN(12, COUNTA(AE$3:$BJ$3)) )) ))</f>
        <v>0</v>
      </c>
      <c r="AE1019" s="201">
        <f ca="1">IF($E1019=Parameters!$D$68, AE879, MIN(AE879,-SUM(OFFSET(AE856, 0, MIN(12, COUNTA(AF$3:$BJ$3)), , -MIN(12, COUNTA(AF$3:$BJ$3)) )) ))</f>
        <v>0</v>
      </c>
      <c r="AF1019" s="201">
        <f ca="1">IF($E1019=Parameters!$D$68, AF879, MIN(AF879,-SUM(OFFSET(AF856, 0, MIN(12, COUNTA(AG$3:$BJ$3)), , -MIN(12, COUNTA(AG$3:$BJ$3)) )) ))</f>
        <v>0</v>
      </c>
      <c r="AG1019" s="201">
        <f ca="1">IF($E1019=Parameters!$D$68, AG879, MIN(AG879,-SUM(OFFSET(AG856, 0, MIN(12, COUNTA(AH$3:$BJ$3)), , -MIN(12, COUNTA(AH$3:$BJ$3)) )) ))</f>
        <v>0</v>
      </c>
      <c r="AH1019" s="201">
        <f ca="1">IF($E1019=Parameters!$D$68, AH879, MIN(AH879,-SUM(OFFSET(AH856, 0, MIN(12, COUNTA(AI$3:$BJ$3)), , -MIN(12, COUNTA(AI$3:$BJ$3)) )) ))</f>
        <v>0</v>
      </c>
      <c r="AI1019" s="201">
        <f ca="1">IF($E1019=Parameters!$D$68, AI879, MIN(AI879,-SUM(OFFSET(AI856, 0, MIN(12, COUNTA(AJ$3:$BJ$3)), , -MIN(12, COUNTA(AJ$3:$BJ$3)) )) ))</f>
        <v>0</v>
      </c>
      <c r="AJ1019" s="201">
        <f ca="1">IF($E1019=Parameters!$D$68, AJ879, MIN(AJ879,-SUM(OFFSET(AJ856, 0, MIN(12, COUNTA(AK$3:$BJ$3)), , -MIN(12, COUNTA(AK$3:$BJ$3)) )) ))</f>
        <v>0</v>
      </c>
      <c r="AK1019" s="201">
        <f ca="1">IF($E1019=Parameters!$D$68, AK879, MIN(AK879,-SUM(OFFSET(AK856, 0, MIN(12, COUNTA(AL$3:$BJ$3)), , -MIN(12, COUNTA(AL$3:$BJ$3)) )) ))</f>
        <v>0</v>
      </c>
      <c r="AL1019" s="201">
        <f ca="1">IF($E1019=Parameters!$D$68, AL879, MIN(AL879,-SUM(OFFSET(AL856, 0, MIN(12, COUNTA(AM$3:$BJ$3)), , -MIN(12, COUNTA(AM$3:$BJ$3)) )) ))</f>
        <v>0</v>
      </c>
      <c r="AM1019" s="201">
        <f ca="1">IF($E1019=Parameters!$D$68, AM879, MIN(AM879,-SUM(OFFSET(AM856, 0, MIN(12, COUNTA(AN$3:$BJ$3)), , -MIN(12, COUNTA(AN$3:$BJ$3)) )) ))</f>
        <v>0</v>
      </c>
      <c r="AN1019" s="201">
        <f ca="1">IF($E1019=Parameters!$D$68, AN879, MIN(AN879,-SUM(OFFSET(AN856, 0, MIN(12, COUNTA(AO$3:$BJ$3)), , -MIN(12, COUNTA(AO$3:$BJ$3)) )) ))</f>
        <v>0</v>
      </c>
      <c r="AO1019" s="201">
        <f ca="1">IF($E1019=Parameters!$D$68, AO879, MIN(AO879,-SUM(OFFSET(AO856, 0, MIN(12, COUNTA(AP$3:$BJ$3)), , -MIN(12, COUNTA(AP$3:$BJ$3)) )) ))</f>
        <v>0</v>
      </c>
      <c r="AP1019" s="201">
        <f ca="1">IF($E1019=Parameters!$D$68, AP879, MIN(AP879,-SUM(OFFSET(AP856, 0, MIN(12, COUNTA(AQ$3:$BJ$3)), , -MIN(12, COUNTA(AQ$3:$BJ$3)) )) ))</f>
        <v>0</v>
      </c>
      <c r="AQ1019" s="201">
        <f ca="1">IF($E1019=Parameters!$D$68, AQ879, MIN(AQ879,-SUM(OFFSET(AQ856, 0, MIN(12, COUNTA(AR$3:$BJ$3)), , -MIN(12, COUNTA(AR$3:$BJ$3)) )) ))</f>
        <v>0</v>
      </c>
      <c r="AR1019" s="201">
        <f ca="1">IF($E1019=Parameters!$D$68, AR879, MIN(AR879,-SUM(OFFSET(AR856, 0, MIN(12, COUNTA(AS$3:$BJ$3)), , -MIN(12, COUNTA(AS$3:$BJ$3)) )) ))</f>
        <v>0</v>
      </c>
      <c r="AS1019" s="201">
        <f ca="1">IF($E1019=Parameters!$D$68, AS879, MIN(AS879,-SUM(OFFSET(AS856, 0, MIN(12, COUNTA(AT$3:$BJ$3)), , -MIN(12, COUNTA(AT$3:$BJ$3)) )) ))</f>
        <v>0</v>
      </c>
      <c r="AT1019" s="201">
        <f ca="1">IF($E1019=Parameters!$D$68, AT879, MIN(AT879,-SUM(OFFSET(AT856, 0, MIN(12, COUNTA(AU$3:$BJ$3)), , -MIN(12, COUNTA(AU$3:$BJ$3)) )) ))</f>
        <v>0</v>
      </c>
      <c r="AU1019" s="201">
        <f ca="1">IF($E1019=Parameters!$D$68, AU879, MIN(AU879,-SUM(OFFSET(AU856, 0, MIN(12, COUNTA(AV$3:$BJ$3)), , -MIN(12, COUNTA(AV$3:$BJ$3)) )) ))</f>
        <v>0</v>
      </c>
      <c r="AV1019" s="201">
        <f ca="1">IF($E1019=Parameters!$D$68, AV879, MIN(AV879,-SUM(OFFSET(AV856, 0, MIN(12, COUNTA(AW$3:$BJ$3)), , -MIN(12, COUNTA(AW$3:$BJ$3)) )) ))</f>
        <v>0</v>
      </c>
      <c r="AW1019" s="201">
        <f ca="1">IF($E1019=Parameters!$D$68, AW879, MIN(AW879,-SUM(OFFSET(AW856, 0, MIN(12, COUNTA(AX$3:$BJ$3)), , -MIN(12, COUNTA(AX$3:$BJ$3)) )) ))</f>
        <v>0</v>
      </c>
      <c r="AX1019" s="201">
        <f ca="1">IF($E1019=Parameters!$D$68, AX879, MIN(AX879,-SUM(OFFSET(AX856, 0, MIN(12, COUNTA(AY$3:$BJ$3)), , -MIN(12, COUNTA(AY$3:$BJ$3)) )) ))</f>
        <v>0</v>
      </c>
      <c r="AY1019" s="201">
        <f ca="1">IF($E1019=Parameters!$D$68, AY879, MIN(AY879,-SUM(OFFSET(AY856, 0, MIN(12, COUNTA(AZ$3:$BJ$3)), , -MIN(12, COUNTA(AZ$3:$BJ$3)) )) ))</f>
        <v>0</v>
      </c>
      <c r="AZ1019" s="201">
        <f ca="1">IF($E1019=Parameters!$D$68, AZ879, MIN(AZ879,-SUM(OFFSET(AZ856, 0, MIN(12, COUNTA(BA$3:$BJ$3)), , -MIN(12, COUNTA(BA$3:$BJ$3)) )) ))</f>
        <v>0</v>
      </c>
      <c r="BA1019" s="201">
        <f ca="1">IF($E1019=Parameters!$D$68, BA879, MIN(BA879,-SUM(OFFSET(BA856, 0, MIN(12, COUNTA(BB$3:$BJ$3)), , -MIN(12, COUNTA(BB$3:$BJ$3)) )) ))</f>
        <v>0</v>
      </c>
      <c r="BB1019" s="201">
        <f ca="1">IF($E1019=Parameters!$D$68, BB879, MIN(BB879,-SUM(OFFSET(BB856, 0, MIN(12, COUNTA(BC$3:$BJ$3)), , -MIN(12, COUNTA(BC$3:$BJ$3)) )) ))</f>
        <v>0</v>
      </c>
      <c r="BC1019" s="201">
        <f ca="1">IF($E1019=Parameters!$D$68, BC879, MIN(BC879,-SUM(OFFSET(BC856, 0, MIN(12, COUNTA(BD$3:$BJ$3)), , -MIN(12, COUNTA(BD$3:$BJ$3)) )) ))</f>
        <v>0</v>
      </c>
      <c r="BD1019" s="201">
        <f ca="1">IF($E1019=Parameters!$D$68, BD879, MIN(BD879,-SUM(OFFSET(BD856, 0, MIN(12, COUNTA(BE$3:$BJ$3)), , -MIN(12, COUNTA(BE$3:$BJ$3)) )) ))</f>
        <v>0</v>
      </c>
      <c r="BE1019" s="201">
        <f ca="1">IF($E1019=Parameters!$D$68, BE879, MIN(BE879,-SUM(OFFSET(BE856, 0, MIN(12, COUNTA(BF$3:$BJ$3)), , -MIN(12, COUNTA(BF$3:$BJ$3)) )) ))</f>
        <v>0</v>
      </c>
      <c r="BF1019" s="201">
        <f ca="1">IF($E1019=Parameters!$D$68, BF879, MIN(BF879,-SUM(OFFSET(BF856, 0, MIN(12, COUNTA(BG$3:$BJ$3)), , -MIN(12, COUNTA(BG$3:$BJ$3)) )) ))</f>
        <v>0</v>
      </c>
      <c r="BG1019" s="201">
        <f ca="1">IF($E1019=Parameters!$D$68, BG879, MIN(BG879,-SUM(OFFSET(BG856, 0, MIN(12, COUNTA(BH$3:$BJ$3)), , -MIN(12, COUNTA(BH$3:$BJ$3)) )) ))</f>
        <v>0</v>
      </c>
      <c r="BH1019" s="201">
        <f ca="1">IF($E1019=Parameters!$D$68, BH879, MIN(BH879,-SUM(OFFSET(BH856, 0, MIN(12, COUNTA(BI$3:$BJ$3)), , -MIN(12, COUNTA(BI$3:$BJ$3)) )) ))</f>
        <v>0</v>
      </c>
      <c r="BI1019" s="201">
        <f ca="1">IF($E1019=Parameters!$D$68, BI879, MIN(BI879,-SUM(OFFSET(BI856, 0, MIN(12, COUNTA(BJ$3:$BJ$3)), , -MIN(12, COUNTA(BJ$3:$BJ$3)) )) ))</f>
        <v>0</v>
      </c>
      <c r="BJ1019" s="13">
        <f ca="1">IF($E1019=Parameters!$D$68, BJ879, MIN(BJ879,-SUM(OFFSET(BJ856, 0, MIN(12, COUNTA($BJ$3:BK$3)), , -MIN(12, COUNTA($BJ$3:BK$3)) )) ))</f>
        <v>0</v>
      </c>
      <c r="BL1019" s="136"/>
      <c r="BM1019" s="13">
        <f t="shared" ca="1" si="1185"/>
        <v>0</v>
      </c>
      <c r="BN1019" s="13">
        <f t="shared" ca="1" si="1186"/>
        <v>0</v>
      </c>
      <c r="BO1019" s="13">
        <f t="shared" ca="1" si="1187"/>
        <v>0</v>
      </c>
      <c r="BP1019" s="136"/>
      <c r="BQ1019" s="136"/>
      <c r="BR1019" s="136"/>
      <c r="BS1019" s="136"/>
      <c r="BT1019" s="136"/>
      <c r="BU1019" s="136"/>
      <c r="BV1019" s="136"/>
      <c r="BW1019" s="136"/>
      <c r="BY1019" s="12"/>
      <c r="CA1019" s="12"/>
      <c r="CJ1019" s="162"/>
      <c r="CR1019" s="12"/>
      <c r="EX1019" s="10" t="str">
        <f t="shared" si="1183"/>
        <v/>
      </c>
    </row>
    <row r="1020" spans="2:154" s="335" customFormat="1" x14ac:dyDescent="0.25">
      <c r="B1020" s="84" t="str" cm="1">
        <f t="array" aca="1" ref="B1020" ca="1">HYPERLINK(CONCATENATE("#",CELL("address",$D$161)),$D$161)</f>
        <v>Loan 7</v>
      </c>
      <c r="C1020" s="380"/>
      <c r="D1020" s="60">
        <f>D$19</f>
        <v>0</v>
      </c>
      <c r="E1020" s="60">
        <f>E$19</f>
        <v>0</v>
      </c>
      <c r="G1020" s="9"/>
      <c r="H1020" s="50" t="s">
        <v>125</v>
      </c>
      <c r="V1020" s="136"/>
      <c r="W1020" s="201">
        <f t="shared" ca="1" si="1184"/>
        <v>0</v>
      </c>
      <c r="X1020" s="201">
        <f t="shared" ca="1" si="1184"/>
        <v>0</v>
      </c>
      <c r="Y1020" s="201">
        <f t="shared" ca="1" si="1184"/>
        <v>0</v>
      </c>
      <c r="AA1020" s="201">
        <f ca="1">IF($E1020=Parameters!$D$68, AA880, MIN(AA880,-SUM(OFFSET(AA857, 0, MIN(12, COUNTA(AB$3:$BJ$3)), , -MIN(12, COUNTA(AB$3:$BJ$3)) )) ))</f>
        <v>0</v>
      </c>
      <c r="AB1020" s="201">
        <f ca="1">IF($E1020=Parameters!$D$68, AB880, MIN(AB880,-SUM(OFFSET(AB857, 0, MIN(12, COUNTA(AC$3:$BJ$3)), , -MIN(12, COUNTA(AC$3:$BJ$3)) )) ))</f>
        <v>0</v>
      </c>
      <c r="AC1020" s="201">
        <f ca="1">IF($E1020=Parameters!$D$68, AC880, MIN(AC880,-SUM(OFFSET(AC857, 0, MIN(12, COUNTA(AD$3:$BJ$3)), , -MIN(12, COUNTA(AD$3:$BJ$3)) )) ))</f>
        <v>0</v>
      </c>
      <c r="AD1020" s="201">
        <f ca="1">IF($E1020=Parameters!$D$68, AD880, MIN(AD880,-SUM(OFFSET(AD857, 0, MIN(12, COUNTA(AE$3:$BJ$3)), , -MIN(12, COUNTA(AE$3:$BJ$3)) )) ))</f>
        <v>0</v>
      </c>
      <c r="AE1020" s="201">
        <f ca="1">IF($E1020=Parameters!$D$68, AE880, MIN(AE880,-SUM(OFFSET(AE857, 0, MIN(12, COUNTA(AF$3:$BJ$3)), , -MIN(12, COUNTA(AF$3:$BJ$3)) )) ))</f>
        <v>0</v>
      </c>
      <c r="AF1020" s="201">
        <f ca="1">IF($E1020=Parameters!$D$68, AF880, MIN(AF880,-SUM(OFFSET(AF857, 0, MIN(12, COUNTA(AG$3:$BJ$3)), , -MIN(12, COUNTA(AG$3:$BJ$3)) )) ))</f>
        <v>0</v>
      </c>
      <c r="AG1020" s="201">
        <f ca="1">IF($E1020=Parameters!$D$68, AG880, MIN(AG880,-SUM(OFFSET(AG857, 0, MIN(12, COUNTA(AH$3:$BJ$3)), , -MIN(12, COUNTA(AH$3:$BJ$3)) )) ))</f>
        <v>0</v>
      </c>
      <c r="AH1020" s="201">
        <f ca="1">IF($E1020=Parameters!$D$68, AH880, MIN(AH880,-SUM(OFFSET(AH857, 0, MIN(12, COUNTA(AI$3:$BJ$3)), , -MIN(12, COUNTA(AI$3:$BJ$3)) )) ))</f>
        <v>0</v>
      </c>
      <c r="AI1020" s="201">
        <f ca="1">IF($E1020=Parameters!$D$68, AI880, MIN(AI880,-SUM(OFFSET(AI857, 0, MIN(12, COUNTA(AJ$3:$BJ$3)), , -MIN(12, COUNTA(AJ$3:$BJ$3)) )) ))</f>
        <v>0</v>
      </c>
      <c r="AJ1020" s="201">
        <f ca="1">IF($E1020=Parameters!$D$68, AJ880, MIN(AJ880,-SUM(OFFSET(AJ857, 0, MIN(12, COUNTA(AK$3:$BJ$3)), , -MIN(12, COUNTA(AK$3:$BJ$3)) )) ))</f>
        <v>0</v>
      </c>
      <c r="AK1020" s="201">
        <f ca="1">IF($E1020=Parameters!$D$68, AK880, MIN(AK880,-SUM(OFFSET(AK857, 0, MIN(12, COUNTA(AL$3:$BJ$3)), , -MIN(12, COUNTA(AL$3:$BJ$3)) )) ))</f>
        <v>0</v>
      </c>
      <c r="AL1020" s="201">
        <f ca="1">IF($E1020=Parameters!$D$68, AL880, MIN(AL880,-SUM(OFFSET(AL857, 0, MIN(12, COUNTA(AM$3:$BJ$3)), , -MIN(12, COUNTA(AM$3:$BJ$3)) )) ))</f>
        <v>0</v>
      </c>
      <c r="AM1020" s="201">
        <f ca="1">IF($E1020=Parameters!$D$68, AM880, MIN(AM880,-SUM(OFFSET(AM857, 0, MIN(12, COUNTA(AN$3:$BJ$3)), , -MIN(12, COUNTA(AN$3:$BJ$3)) )) ))</f>
        <v>0</v>
      </c>
      <c r="AN1020" s="201">
        <f ca="1">IF($E1020=Parameters!$D$68, AN880, MIN(AN880,-SUM(OFFSET(AN857, 0, MIN(12, COUNTA(AO$3:$BJ$3)), , -MIN(12, COUNTA(AO$3:$BJ$3)) )) ))</f>
        <v>0</v>
      </c>
      <c r="AO1020" s="201">
        <f ca="1">IF($E1020=Parameters!$D$68, AO880, MIN(AO880,-SUM(OFFSET(AO857, 0, MIN(12, COUNTA(AP$3:$BJ$3)), , -MIN(12, COUNTA(AP$3:$BJ$3)) )) ))</f>
        <v>0</v>
      </c>
      <c r="AP1020" s="201">
        <f ca="1">IF($E1020=Parameters!$D$68, AP880, MIN(AP880,-SUM(OFFSET(AP857, 0, MIN(12, COUNTA(AQ$3:$BJ$3)), , -MIN(12, COUNTA(AQ$3:$BJ$3)) )) ))</f>
        <v>0</v>
      </c>
      <c r="AQ1020" s="201">
        <f ca="1">IF($E1020=Parameters!$D$68, AQ880, MIN(AQ880,-SUM(OFFSET(AQ857, 0, MIN(12, COUNTA(AR$3:$BJ$3)), , -MIN(12, COUNTA(AR$3:$BJ$3)) )) ))</f>
        <v>0</v>
      </c>
      <c r="AR1020" s="201">
        <f ca="1">IF($E1020=Parameters!$D$68, AR880, MIN(AR880,-SUM(OFFSET(AR857, 0, MIN(12, COUNTA(AS$3:$BJ$3)), , -MIN(12, COUNTA(AS$3:$BJ$3)) )) ))</f>
        <v>0</v>
      </c>
      <c r="AS1020" s="201">
        <f ca="1">IF($E1020=Parameters!$D$68, AS880, MIN(AS880,-SUM(OFFSET(AS857, 0, MIN(12, COUNTA(AT$3:$BJ$3)), , -MIN(12, COUNTA(AT$3:$BJ$3)) )) ))</f>
        <v>0</v>
      </c>
      <c r="AT1020" s="201">
        <f ca="1">IF($E1020=Parameters!$D$68, AT880, MIN(AT880,-SUM(OFFSET(AT857, 0, MIN(12, COUNTA(AU$3:$BJ$3)), , -MIN(12, COUNTA(AU$3:$BJ$3)) )) ))</f>
        <v>0</v>
      </c>
      <c r="AU1020" s="201">
        <f ca="1">IF($E1020=Parameters!$D$68, AU880, MIN(AU880,-SUM(OFFSET(AU857, 0, MIN(12, COUNTA(AV$3:$BJ$3)), , -MIN(12, COUNTA(AV$3:$BJ$3)) )) ))</f>
        <v>0</v>
      </c>
      <c r="AV1020" s="201">
        <f ca="1">IF($E1020=Parameters!$D$68, AV880, MIN(AV880,-SUM(OFFSET(AV857, 0, MIN(12, COUNTA(AW$3:$BJ$3)), , -MIN(12, COUNTA(AW$3:$BJ$3)) )) ))</f>
        <v>0</v>
      </c>
      <c r="AW1020" s="201">
        <f ca="1">IF($E1020=Parameters!$D$68, AW880, MIN(AW880,-SUM(OFFSET(AW857, 0, MIN(12, COUNTA(AX$3:$BJ$3)), , -MIN(12, COUNTA(AX$3:$BJ$3)) )) ))</f>
        <v>0</v>
      </c>
      <c r="AX1020" s="201">
        <f ca="1">IF($E1020=Parameters!$D$68, AX880, MIN(AX880,-SUM(OFFSET(AX857, 0, MIN(12, COUNTA(AY$3:$BJ$3)), , -MIN(12, COUNTA(AY$3:$BJ$3)) )) ))</f>
        <v>0</v>
      </c>
      <c r="AY1020" s="201">
        <f ca="1">IF($E1020=Parameters!$D$68, AY880, MIN(AY880,-SUM(OFFSET(AY857, 0, MIN(12, COUNTA(AZ$3:$BJ$3)), , -MIN(12, COUNTA(AZ$3:$BJ$3)) )) ))</f>
        <v>0</v>
      </c>
      <c r="AZ1020" s="201">
        <f ca="1">IF($E1020=Parameters!$D$68, AZ880, MIN(AZ880,-SUM(OFFSET(AZ857, 0, MIN(12, COUNTA(BA$3:$BJ$3)), , -MIN(12, COUNTA(BA$3:$BJ$3)) )) ))</f>
        <v>0</v>
      </c>
      <c r="BA1020" s="201">
        <f ca="1">IF($E1020=Parameters!$D$68, BA880, MIN(BA880,-SUM(OFFSET(BA857, 0, MIN(12, COUNTA(BB$3:$BJ$3)), , -MIN(12, COUNTA(BB$3:$BJ$3)) )) ))</f>
        <v>0</v>
      </c>
      <c r="BB1020" s="201">
        <f ca="1">IF($E1020=Parameters!$D$68, BB880, MIN(BB880,-SUM(OFFSET(BB857, 0, MIN(12, COUNTA(BC$3:$BJ$3)), , -MIN(12, COUNTA(BC$3:$BJ$3)) )) ))</f>
        <v>0</v>
      </c>
      <c r="BC1020" s="201">
        <f ca="1">IF($E1020=Parameters!$D$68, BC880, MIN(BC880,-SUM(OFFSET(BC857, 0, MIN(12, COUNTA(BD$3:$BJ$3)), , -MIN(12, COUNTA(BD$3:$BJ$3)) )) ))</f>
        <v>0</v>
      </c>
      <c r="BD1020" s="201">
        <f ca="1">IF($E1020=Parameters!$D$68, BD880, MIN(BD880,-SUM(OFFSET(BD857, 0, MIN(12, COUNTA(BE$3:$BJ$3)), , -MIN(12, COUNTA(BE$3:$BJ$3)) )) ))</f>
        <v>0</v>
      </c>
      <c r="BE1020" s="201">
        <f ca="1">IF($E1020=Parameters!$D$68, BE880, MIN(BE880,-SUM(OFFSET(BE857, 0, MIN(12, COUNTA(BF$3:$BJ$3)), , -MIN(12, COUNTA(BF$3:$BJ$3)) )) ))</f>
        <v>0</v>
      </c>
      <c r="BF1020" s="201">
        <f ca="1">IF($E1020=Parameters!$D$68, BF880, MIN(BF880,-SUM(OFFSET(BF857, 0, MIN(12, COUNTA(BG$3:$BJ$3)), , -MIN(12, COUNTA(BG$3:$BJ$3)) )) ))</f>
        <v>0</v>
      </c>
      <c r="BG1020" s="201">
        <f ca="1">IF($E1020=Parameters!$D$68, BG880, MIN(BG880,-SUM(OFFSET(BG857, 0, MIN(12, COUNTA(BH$3:$BJ$3)), , -MIN(12, COUNTA(BH$3:$BJ$3)) )) ))</f>
        <v>0</v>
      </c>
      <c r="BH1020" s="201">
        <f ca="1">IF($E1020=Parameters!$D$68, BH880, MIN(BH880,-SUM(OFFSET(BH857, 0, MIN(12, COUNTA(BI$3:$BJ$3)), , -MIN(12, COUNTA(BI$3:$BJ$3)) )) ))</f>
        <v>0</v>
      </c>
      <c r="BI1020" s="201">
        <f ca="1">IF($E1020=Parameters!$D$68, BI880, MIN(BI880,-SUM(OFFSET(BI857, 0, MIN(12, COUNTA(BJ$3:$BJ$3)), , -MIN(12, COUNTA(BJ$3:$BJ$3)) )) ))</f>
        <v>0</v>
      </c>
      <c r="BJ1020" s="13">
        <f ca="1">IF($E1020=Parameters!$D$68, BJ880, MIN(BJ880,-SUM(OFFSET(BJ857, 0, MIN(12, COUNTA($BJ$3:BK$3)), , -MIN(12, COUNTA($BJ$3:BK$3)) )) ))</f>
        <v>0</v>
      </c>
      <c r="BL1020" s="136"/>
      <c r="BM1020" s="13">
        <f t="shared" ca="1" si="1185"/>
        <v>0</v>
      </c>
      <c r="BN1020" s="13">
        <f t="shared" ca="1" si="1186"/>
        <v>0</v>
      </c>
      <c r="BO1020" s="13">
        <f t="shared" ca="1" si="1187"/>
        <v>0</v>
      </c>
      <c r="BP1020" s="136"/>
      <c r="BQ1020" s="136"/>
      <c r="BR1020" s="136"/>
      <c r="BS1020" s="136"/>
      <c r="BT1020" s="136"/>
      <c r="BU1020" s="136"/>
      <c r="BV1020" s="136"/>
      <c r="BW1020" s="136"/>
      <c r="BY1020" s="12"/>
      <c r="CA1020" s="12"/>
      <c r="CJ1020" s="162"/>
      <c r="CR1020" s="12"/>
      <c r="EX1020" s="10" t="str">
        <f t="shared" si="1183"/>
        <v/>
      </c>
    </row>
    <row r="1021" spans="2:154" s="335" customFormat="1" x14ac:dyDescent="0.25">
      <c r="B1021" s="84" t="str" cm="1">
        <f t="array" aca="1" ref="B1021" ca="1">HYPERLINK(CONCATENATE("#",CELL("address",$D$180)),$D$180)</f>
        <v>Loan 8</v>
      </c>
      <c r="C1021" s="380"/>
      <c r="D1021" s="60">
        <f>D$20</f>
        <v>0</v>
      </c>
      <c r="E1021" s="60">
        <f>E$20</f>
        <v>0</v>
      </c>
      <c r="G1021" s="9"/>
      <c r="H1021" s="50" t="s">
        <v>125</v>
      </c>
      <c r="V1021" s="136"/>
      <c r="W1021" s="201">
        <f t="shared" ca="1" si="1184"/>
        <v>0</v>
      </c>
      <c r="X1021" s="201">
        <f t="shared" ca="1" si="1184"/>
        <v>0</v>
      </c>
      <c r="Y1021" s="201">
        <f t="shared" ca="1" si="1184"/>
        <v>0</v>
      </c>
      <c r="AA1021" s="201">
        <f ca="1">IF($E1021=Parameters!$D$68, AA881, MIN(AA881,-SUM(OFFSET(AA858, 0, MIN(12, COUNTA(AB$3:$BJ$3)), , -MIN(12, COUNTA(AB$3:$BJ$3)) )) ))</f>
        <v>0</v>
      </c>
      <c r="AB1021" s="201">
        <f ca="1">IF($E1021=Parameters!$D$68, AB881, MIN(AB881,-SUM(OFFSET(AB858, 0, MIN(12, COUNTA(AC$3:$BJ$3)), , -MIN(12, COUNTA(AC$3:$BJ$3)) )) ))</f>
        <v>0</v>
      </c>
      <c r="AC1021" s="201">
        <f ca="1">IF($E1021=Parameters!$D$68, AC881, MIN(AC881,-SUM(OFFSET(AC858, 0, MIN(12, COUNTA(AD$3:$BJ$3)), , -MIN(12, COUNTA(AD$3:$BJ$3)) )) ))</f>
        <v>0</v>
      </c>
      <c r="AD1021" s="201">
        <f ca="1">IF($E1021=Parameters!$D$68, AD881, MIN(AD881,-SUM(OFFSET(AD858, 0, MIN(12, COUNTA(AE$3:$BJ$3)), , -MIN(12, COUNTA(AE$3:$BJ$3)) )) ))</f>
        <v>0</v>
      </c>
      <c r="AE1021" s="201">
        <f ca="1">IF($E1021=Parameters!$D$68, AE881, MIN(AE881,-SUM(OFFSET(AE858, 0, MIN(12, COUNTA(AF$3:$BJ$3)), , -MIN(12, COUNTA(AF$3:$BJ$3)) )) ))</f>
        <v>0</v>
      </c>
      <c r="AF1021" s="201">
        <f ca="1">IF($E1021=Parameters!$D$68, AF881, MIN(AF881,-SUM(OFFSET(AF858, 0, MIN(12, COUNTA(AG$3:$BJ$3)), , -MIN(12, COUNTA(AG$3:$BJ$3)) )) ))</f>
        <v>0</v>
      </c>
      <c r="AG1021" s="201">
        <f ca="1">IF($E1021=Parameters!$D$68, AG881, MIN(AG881,-SUM(OFFSET(AG858, 0, MIN(12, COUNTA(AH$3:$BJ$3)), , -MIN(12, COUNTA(AH$3:$BJ$3)) )) ))</f>
        <v>0</v>
      </c>
      <c r="AH1021" s="201">
        <f ca="1">IF($E1021=Parameters!$D$68, AH881, MIN(AH881,-SUM(OFFSET(AH858, 0, MIN(12, COUNTA(AI$3:$BJ$3)), , -MIN(12, COUNTA(AI$3:$BJ$3)) )) ))</f>
        <v>0</v>
      </c>
      <c r="AI1021" s="201">
        <f ca="1">IF($E1021=Parameters!$D$68, AI881, MIN(AI881,-SUM(OFFSET(AI858, 0, MIN(12, COUNTA(AJ$3:$BJ$3)), , -MIN(12, COUNTA(AJ$3:$BJ$3)) )) ))</f>
        <v>0</v>
      </c>
      <c r="AJ1021" s="201">
        <f ca="1">IF($E1021=Parameters!$D$68, AJ881, MIN(AJ881,-SUM(OFFSET(AJ858, 0, MIN(12, COUNTA(AK$3:$BJ$3)), , -MIN(12, COUNTA(AK$3:$BJ$3)) )) ))</f>
        <v>0</v>
      </c>
      <c r="AK1021" s="201">
        <f ca="1">IF($E1021=Parameters!$D$68, AK881, MIN(AK881,-SUM(OFFSET(AK858, 0, MIN(12, COUNTA(AL$3:$BJ$3)), , -MIN(12, COUNTA(AL$3:$BJ$3)) )) ))</f>
        <v>0</v>
      </c>
      <c r="AL1021" s="201">
        <f ca="1">IF($E1021=Parameters!$D$68, AL881, MIN(AL881,-SUM(OFFSET(AL858, 0, MIN(12, COUNTA(AM$3:$BJ$3)), , -MIN(12, COUNTA(AM$3:$BJ$3)) )) ))</f>
        <v>0</v>
      </c>
      <c r="AM1021" s="201">
        <f ca="1">IF($E1021=Parameters!$D$68, AM881, MIN(AM881,-SUM(OFFSET(AM858, 0, MIN(12, COUNTA(AN$3:$BJ$3)), , -MIN(12, COUNTA(AN$3:$BJ$3)) )) ))</f>
        <v>0</v>
      </c>
      <c r="AN1021" s="201">
        <f ca="1">IF($E1021=Parameters!$D$68, AN881, MIN(AN881,-SUM(OFFSET(AN858, 0, MIN(12, COUNTA(AO$3:$BJ$3)), , -MIN(12, COUNTA(AO$3:$BJ$3)) )) ))</f>
        <v>0</v>
      </c>
      <c r="AO1021" s="201">
        <f ca="1">IF($E1021=Parameters!$D$68, AO881, MIN(AO881,-SUM(OFFSET(AO858, 0, MIN(12, COUNTA(AP$3:$BJ$3)), , -MIN(12, COUNTA(AP$3:$BJ$3)) )) ))</f>
        <v>0</v>
      </c>
      <c r="AP1021" s="201">
        <f ca="1">IF($E1021=Parameters!$D$68, AP881, MIN(AP881,-SUM(OFFSET(AP858, 0, MIN(12, COUNTA(AQ$3:$BJ$3)), , -MIN(12, COUNTA(AQ$3:$BJ$3)) )) ))</f>
        <v>0</v>
      </c>
      <c r="AQ1021" s="201">
        <f ca="1">IF($E1021=Parameters!$D$68, AQ881, MIN(AQ881,-SUM(OFFSET(AQ858, 0, MIN(12, COUNTA(AR$3:$BJ$3)), , -MIN(12, COUNTA(AR$3:$BJ$3)) )) ))</f>
        <v>0</v>
      </c>
      <c r="AR1021" s="201">
        <f ca="1">IF($E1021=Parameters!$D$68, AR881, MIN(AR881,-SUM(OFFSET(AR858, 0, MIN(12, COUNTA(AS$3:$BJ$3)), , -MIN(12, COUNTA(AS$3:$BJ$3)) )) ))</f>
        <v>0</v>
      </c>
      <c r="AS1021" s="201">
        <f ca="1">IF($E1021=Parameters!$D$68, AS881, MIN(AS881,-SUM(OFFSET(AS858, 0, MIN(12, COUNTA(AT$3:$BJ$3)), , -MIN(12, COUNTA(AT$3:$BJ$3)) )) ))</f>
        <v>0</v>
      </c>
      <c r="AT1021" s="201">
        <f ca="1">IF($E1021=Parameters!$D$68, AT881, MIN(AT881,-SUM(OFFSET(AT858, 0, MIN(12, COUNTA(AU$3:$BJ$3)), , -MIN(12, COUNTA(AU$3:$BJ$3)) )) ))</f>
        <v>0</v>
      </c>
      <c r="AU1021" s="201">
        <f ca="1">IF($E1021=Parameters!$D$68, AU881, MIN(AU881,-SUM(OFFSET(AU858, 0, MIN(12, COUNTA(AV$3:$BJ$3)), , -MIN(12, COUNTA(AV$3:$BJ$3)) )) ))</f>
        <v>0</v>
      </c>
      <c r="AV1021" s="201">
        <f ca="1">IF($E1021=Parameters!$D$68, AV881, MIN(AV881,-SUM(OFFSET(AV858, 0, MIN(12, COUNTA(AW$3:$BJ$3)), , -MIN(12, COUNTA(AW$3:$BJ$3)) )) ))</f>
        <v>0</v>
      </c>
      <c r="AW1021" s="201">
        <f ca="1">IF($E1021=Parameters!$D$68, AW881, MIN(AW881,-SUM(OFFSET(AW858, 0, MIN(12, COUNTA(AX$3:$BJ$3)), , -MIN(12, COUNTA(AX$3:$BJ$3)) )) ))</f>
        <v>0</v>
      </c>
      <c r="AX1021" s="201">
        <f ca="1">IF($E1021=Parameters!$D$68, AX881, MIN(AX881,-SUM(OFFSET(AX858, 0, MIN(12, COUNTA(AY$3:$BJ$3)), , -MIN(12, COUNTA(AY$3:$BJ$3)) )) ))</f>
        <v>0</v>
      </c>
      <c r="AY1021" s="201">
        <f ca="1">IF($E1021=Parameters!$D$68, AY881, MIN(AY881,-SUM(OFFSET(AY858, 0, MIN(12, COUNTA(AZ$3:$BJ$3)), , -MIN(12, COUNTA(AZ$3:$BJ$3)) )) ))</f>
        <v>0</v>
      </c>
      <c r="AZ1021" s="201">
        <f ca="1">IF($E1021=Parameters!$D$68, AZ881, MIN(AZ881,-SUM(OFFSET(AZ858, 0, MIN(12, COUNTA(BA$3:$BJ$3)), , -MIN(12, COUNTA(BA$3:$BJ$3)) )) ))</f>
        <v>0</v>
      </c>
      <c r="BA1021" s="201">
        <f ca="1">IF($E1021=Parameters!$D$68, BA881, MIN(BA881,-SUM(OFFSET(BA858, 0, MIN(12, COUNTA(BB$3:$BJ$3)), , -MIN(12, COUNTA(BB$3:$BJ$3)) )) ))</f>
        <v>0</v>
      </c>
      <c r="BB1021" s="201">
        <f ca="1">IF($E1021=Parameters!$D$68, BB881, MIN(BB881,-SUM(OFFSET(BB858, 0, MIN(12, COUNTA(BC$3:$BJ$3)), , -MIN(12, COUNTA(BC$3:$BJ$3)) )) ))</f>
        <v>0</v>
      </c>
      <c r="BC1021" s="201">
        <f ca="1">IF($E1021=Parameters!$D$68, BC881, MIN(BC881,-SUM(OFFSET(BC858, 0, MIN(12, COUNTA(BD$3:$BJ$3)), , -MIN(12, COUNTA(BD$3:$BJ$3)) )) ))</f>
        <v>0</v>
      </c>
      <c r="BD1021" s="201">
        <f ca="1">IF($E1021=Parameters!$D$68, BD881, MIN(BD881,-SUM(OFFSET(BD858, 0, MIN(12, COUNTA(BE$3:$BJ$3)), , -MIN(12, COUNTA(BE$3:$BJ$3)) )) ))</f>
        <v>0</v>
      </c>
      <c r="BE1021" s="201">
        <f ca="1">IF($E1021=Parameters!$D$68, BE881, MIN(BE881,-SUM(OFFSET(BE858, 0, MIN(12, COUNTA(BF$3:$BJ$3)), , -MIN(12, COUNTA(BF$3:$BJ$3)) )) ))</f>
        <v>0</v>
      </c>
      <c r="BF1021" s="201">
        <f ca="1">IF($E1021=Parameters!$D$68, BF881, MIN(BF881,-SUM(OFFSET(BF858, 0, MIN(12, COUNTA(BG$3:$BJ$3)), , -MIN(12, COUNTA(BG$3:$BJ$3)) )) ))</f>
        <v>0</v>
      </c>
      <c r="BG1021" s="201">
        <f ca="1">IF($E1021=Parameters!$D$68, BG881, MIN(BG881,-SUM(OFFSET(BG858, 0, MIN(12, COUNTA(BH$3:$BJ$3)), , -MIN(12, COUNTA(BH$3:$BJ$3)) )) ))</f>
        <v>0</v>
      </c>
      <c r="BH1021" s="201">
        <f ca="1">IF($E1021=Parameters!$D$68, BH881, MIN(BH881,-SUM(OFFSET(BH858, 0, MIN(12, COUNTA(BI$3:$BJ$3)), , -MIN(12, COUNTA(BI$3:$BJ$3)) )) ))</f>
        <v>0</v>
      </c>
      <c r="BI1021" s="201">
        <f ca="1">IF($E1021=Parameters!$D$68, BI881, MIN(BI881,-SUM(OFFSET(BI858, 0, MIN(12, COUNTA(BJ$3:$BJ$3)), , -MIN(12, COUNTA(BJ$3:$BJ$3)) )) ))</f>
        <v>0</v>
      </c>
      <c r="BJ1021" s="13">
        <f ca="1">IF($E1021=Parameters!$D$68, BJ881, MIN(BJ881,-SUM(OFFSET(BJ858, 0, MIN(12, COUNTA($BJ$3:BK$3)), , -MIN(12, COUNTA($BJ$3:BK$3)) )) ))</f>
        <v>0</v>
      </c>
      <c r="BL1021" s="136"/>
      <c r="BM1021" s="13">
        <f t="shared" ca="1" si="1185"/>
        <v>0</v>
      </c>
      <c r="BN1021" s="13">
        <f t="shared" ca="1" si="1186"/>
        <v>0</v>
      </c>
      <c r="BO1021" s="13">
        <f t="shared" ca="1" si="1187"/>
        <v>0</v>
      </c>
      <c r="BP1021" s="136"/>
      <c r="BQ1021" s="136"/>
      <c r="BR1021" s="136"/>
      <c r="BS1021" s="136"/>
      <c r="BT1021" s="136"/>
      <c r="BU1021" s="136"/>
      <c r="BV1021" s="136"/>
      <c r="BW1021" s="136"/>
      <c r="BY1021" s="12"/>
      <c r="CA1021" s="12"/>
      <c r="CJ1021" s="162"/>
      <c r="CR1021" s="12"/>
      <c r="EX1021" s="10" t="str">
        <f t="shared" si="1183"/>
        <v/>
      </c>
    </row>
    <row r="1022" spans="2:154" s="335" customFormat="1" x14ac:dyDescent="0.25">
      <c r="B1022" s="84" t="str" cm="1">
        <f t="array" aca="1" ref="B1022" ca="1">HYPERLINK(CONCATENATE("#",CELL("address",$D$199)),$D$199)</f>
        <v>Loan 9</v>
      </c>
      <c r="C1022" s="380"/>
      <c r="D1022" s="60">
        <f>D$21</f>
        <v>0</v>
      </c>
      <c r="E1022" s="60">
        <f>E$21</f>
        <v>0</v>
      </c>
      <c r="G1022" s="9"/>
      <c r="H1022" s="50" t="s">
        <v>125</v>
      </c>
      <c r="V1022" s="136"/>
      <c r="W1022" s="201">
        <f t="shared" ca="1" si="1184"/>
        <v>0</v>
      </c>
      <c r="X1022" s="201">
        <f t="shared" ca="1" si="1184"/>
        <v>0</v>
      </c>
      <c r="Y1022" s="201">
        <f t="shared" ca="1" si="1184"/>
        <v>0</v>
      </c>
      <c r="AA1022" s="201">
        <f ca="1">IF($E1022=Parameters!$D$68, AA882, MIN(AA882,-SUM(OFFSET(AA859, 0, MIN(12, COUNTA(AB$3:$BJ$3)), , -MIN(12, COUNTA(AB$3:$BJ$3)) )) ))</f>
        <v>0</v>
      </c>
      <c r="AB1022" s="201">
        <f ca="1">IF($E1022=Parameters!$D$68, AB882, MIN(AB882,-SUM(OFFSET(AB859, 0, MIN(12, COUNTA(AC$3:$BJ$3)), , -MIN(12, COUNTA(AC$3:$BJ$3)) )) ))</f>
        <v>0</v>
      </c>
      <c r="AC1022" s="201">
        <f ca="1">IF($E1022=Parameters!$D$68, AC882, MIN(AC882,-SUM(OFFSET(AC859, 0, MIN(12, COUNTA(AD$3:$BJ$3)), , -MIN(12, COUNTA(AD$3:$BJ$3)) )) ))</f>
        <v>0</v>
      </c>
      <c r="AD1022" s="201">
        <f ca="1">IF($E1022=Parameters!$D$68, AD882, MIN(AD882,-SUM(OFFSET(AD859, 0, MIN(12, COUNTA(AE$3:$BJ$3)), , -MIN(12, COUNTA(AE$3:$BJ$3)) )) ))</f>
        <v>0</v>
      </c>
      <c r="AE1022" s="201">
        <f ca="1">IF($E1022=Parameters!$D$68, AE882, MIN(AE882,-SUM(OFFSET(AE859, 0, MIN(12, COUNTA(AF$3:$BJ$3)), , -MIN(12, COUNTA(AF$3:$BJ$3)) )) ))</f>
        <v>0</v>
      </c>
      <c r="AF1022" s="201">
        <f ca="1">IF($E1022=Parameters!$D$68, AF882, MIN(AF882,-SUM(OFFSET(AF859, 0, MIN(12, COUNTA(AG$3:$BJ$3)), , -MIN(12, COUNTA(AG$3:$BJ$3)) )) ))</f>
        <v>0</v>
      </c>
      <c r="AG1022" s="201">
        <f ca="1">IF($E1022=Parameters!$D$68, AG882, MIN(AG882,-SUM(OFFSET(AG859, 0, MIN(12, COUNTA(AH$3:$BJ$3)), , -MIN(12, COUNTA(AH$3:$BJ$3)) )) ))</f>
        <v>0</v>
      </c>
      <c r="AH1022" s="201">
        <f ca="1">IF($E1022=Parameters!$D$68, AH882, MIN(AH882,-SUM(OFFSET(AH859, 0, MIN(12, COUNTA(AI$3:$BJ$3)), , -MIN(12, COUNTA(AI$3:$BJ$3)) )) ))</f>
        <v>0</v>
      </c>
      <c r="AI1022" s="201">
        <f ca="1">IF($E1022=Parameters!$D$68, AI882, MIN(AI882,-SUM(OFFSET(AI859, 0, MIN(12, COUNTA(AJ$3:$BJ$3)), , -MIN(12, COUNTA(AJ$3:$BJ$3)) )) ))</f>
        <v>0</v>
      </c>
      <c r="AJ1022" s="201">
        <f ca="1">IF($E1022=Parameters!$D$68, AJ882, MIN(AJ882,-SUM(OFFSET(AJ859, 0, MIN(12, COUNTA(AK$3:$BJ$3)), , -MIN(12, COUNTA(AK$3:$BJ$3)) )) ))</f>
        <v>0</v>
      </c>
      <c r="AK1022" s="201">
        <f ca="1">IF($E1022=Parameters!$D$68, AK882, MIN(AK882,-SUM(OFFSET(AK859, 0, MIN(12, COUNTA(AL$3:$BJ$3)), , -MIN(12, COUNTA(AL$3:$BJ$3)) )) ))</f>
        <v>0</v>
      </c>
      <c r="AL1022" s="201">
        <f ca="1">IF($E1022=Parameters!$D$68, AL882, MIN(AL882,-SUM(OFFSET(AL859, 0, MIN(12, COUNTA(AM$3:$BJ$3)), , -MIN(12, COUNTA(AM$3:$BJ$3)) )) ))</f>
        <v>0</v>
      </c>
      <c r="AM1022" s="201">
        <f ca="1">IF($E1022=Parameters!$D$68, AM882, MIN(AM882,-SUM(OFFSET(AM859, 0, MIN(12, COUNTA(AN$3:$BJ$3)), , -MIN(12, COUNTA(AN$3:$BJ$3)) )) ))</f>
        <v>0</v>
      </c>
      <c r="AN1022" s="201">
        <f ca="1">IF($E1022=Parameters!$D$68, AN882, MIN(AN882,-SUM(OFFSET(AN859, 0, MIN(12, COUNTA(AO$3:$BJ$3)), , -MIN(12, COUNTA(AO$3:$BJ$3)) )) ))</f>
        <v>0</v>
      </c>
      <c r="AO1022" s="201">
        <f ca="1">IF($E1022=Parameters!$D$68, AO882, MIN(AO882,-SUM(OFFSET(AO859, 0, MIN(12, COUNTA(AP$3:$BJ$3)), , -MIN(12, COUNTA(AP$3:$BJ$3)) )) ))</f>
        <v>0</v>
      </c>
      <c r="AP1022" s="201">
        <f ca="1">IF($E1022=Parameters!$D$68, AP882, MIN(AP882,-SUM(OFFSET(AP859, 0, MIN(12, COUNTA(AQ$3:$BJ$3)), , -MIN(12, COUNTA(AQ$3:$BJ$3)) )) ))</f>
        <v>0</v>
      </c>
      <c r="AQ1022" s="201">
        <f ca="1">IF($E1022=Parameters!$D$68, AQ882, MIN(AQ882,-SUM(OFFSET(AQ859, 0, MIN(12, COUNTA(AR$3:$BJ$3)), , -MIN(12, COUNTA(AR$3:$BJ$3)) )) ))</f>
        <v>0</v>
      </c>
      <c r="AR1022" s="201">
        <f ca="1">IF($E1022=Parameters!$D$68, AR882, MIN(AR882,-SUM(OFFSET(AR859, 0, MIN(12, COUNTA(AS$3:$BJ$3)), , -MIN(12, COUNTA(AS$3:$BJ$3)) )) ))</f>
        <v>0</v>
      </c>
      <c r="AS1022" s="201">
        <f ca="1">IF($E1022=Parameters!$D$68, AS882, MIN(AS882,-SUM(OFFSET(AS859, 0, MIN(12, COUNTA(AT$3:$BJ$3)), , -MIN(12, COUNTA(AT$3:$BJ$3)) )) ))</f>
        <v>0</v>
      </c>
      <c r="AT1022" s="201">
        <f ca="1">IF($E1022=Parameters!$D$68, AT882, MIN(AT882,-SUM(OFFSET(AT859, 0, MIN(12, COUNTA(AU$3:$BJ$3)), , -MIN(12, COUNTA(AU$3:$BJ$3)) )) ))</f>
        <v>0</v>
      </c>
      <c r="AU1022" s="201">
        <f ca="1">IF($E1022=Parameters!$D$68, AU882, MIN(AU882,-SUM(OFFSET(AU859, 0, MIN(12, COUNTA(AV$3:$BJ$3)), , -MIN(12, COUNTA(AV$3:$BJ$3)) )) ))</f>
        <v>0</v>
      </c>
      <c r="AV1022" s="201">
        <f ca="1">IF($E1022=Parameters!$D$68, AV882, MIN(AV882,-SUM(OFFSET(AV859, 0, MIN(12, COUNTA(AW$3:$BJ$3)), , -MIN(12, COUNTA(AW$3:$BJ$3)) )) ))</f>
        <v>0</v>
      </c>
      <c r="AW1022" s="201">
        <f ca="1">IF($E1022=Parameters!$D$68, AW882, MIN(AW882,-SUM(OFFSET(AW859, 0, MIN(12, COUNTA(AX$3:$BJ$3)), , -MIN(12, COUNTA(AX$3:$BJ$3)) )) ))</f>
        <v>0</v>
      </c>
      <c r="AX1022" s="201">
        <f ca="1">IF($E1022=Parameters!$D$68, AX882, MIN(AX882,-SUM(OFFSET(AX859, 0, MIN(12, COUNTA(AY$3:$BJ$3)), , -MIN(12, COUNTA(AY$3:$BJ$3)) )) ))</f>
        <v>0</v>
      </c>
      <c r="AY1022" s="201">
        <f ca="1">IF($E1022=Parameters!$D$68, AY882, MIN(AY882,-SUM(OFFSET(AY859, 0, MIN(12, COUNTA(AZ$3:$BJ$3)), , -MIN(12, COUNTA(AZ$3:$BJ$3)) )) ))</f>
        <v>0</v>
      </c>
      <c r="AZ1022" s="201">
        <f ca="1">IF($E1022=Parameters!$D$68, AZ882, MIN(AZ882,-SUM(OFFSET(AZ859, 0, MIN(12, COUNTA(BA$3:$BJ$3)), , -MIN(12, COUNTA(BA$3:$BJ$3)) )) ))</f>
        <v>0</v>
      </c>
      <c r="BA1022" s="201">
        <f ca="1">IF($E1022=Parameters!$D$68, BA882, MIN(BA882,-SUM(OFFSET(BA859, 0, MIN(12, COUNTA(BB$3:$BJ$3)), , -MIN(12, COUNTA(BB$3:$BJ$3)) )) ))</f>
        <v>0</v>
      </c>
      <c r="BB1022" s="201">
        <f ca="1">IF($E1022=Parameters!$D$68, BB882, MIN(BB882,-SUM(OFFSET(BB859, 0, MIN(12, COUNTA(BC$3:$BJ$3)), , -MIN(12, COUNTA(BC$3:$BJ$3)) )) ))</f>
        <v>0</v>
      </c>
      <c r="BC1022" s="201">
        <f ca="1">IF($E1022=Parameters!$D$68, BC882, MIN(BC882,-SUM(OFFSET(BC859, 0, MIN(12, COUNTA(BD$3:$BJ$3)), , -MIN(12, COUNTA(BD$3:$BJ$3)) )) ))</f>
        <v>0</v>
      </c>
      <c r="BD1022" s="201">
        <f ca="1">IF($E1022=Parameters!$D$68, BD882, MIN(BD882,-SUM(OFFSET(BD859, 0, MIN(12, COUNTA(BE$3:$BJ$3)), , -MIN(12, COUNTA(BE$3:$BJ$3)) )) ))</f>
        <v>0</v>
      </c>
      <c r="BE1022" s="201">
        <f ca="1">IF($E1022=Parameters!$D$68, BE882, MIN(BE882,-SUM(OFFSET(BE859, 0, MIN(12, COUNTA(BF$3:$BJ$3)), , -MIN(12, COUNTA(BF$3:$BJ$3)) )) ))</f>
        <v>0</v>
      </c>
      <c r="BF1022" s="201">
        <f ca="1">IF($E1022=Parameters!$D$68, BF882, MIN(BF882,-SUM(OFFSET(BF859, 0, MIN(12, COUNTA(BG$3:$BJ$3)), , -MIN(12, COUNTA(BG$3:$BJ$3)) )) ))</f>
        <v>0</v>
      </c>
      <c r="BG1022" s="201">
        <f ca="1">IF($E1022=Parameters!$D$68, BG882, MIN(BG882,-SUM(OFFSET(BG859, 0, MIN(12, COUNTA(BH$3:$BJ$3)), , -MIN(12, COUNTA(BH$3:$BJ$3)) )) ))</f>
        <v>0</v>
      </c>
      <c r="BH1022" s="201">
        <f ca="1">IF($E1022=Parameters!$D$68, BH882, MIN(BH882,-SUM(OFFSET(BH859, 0, MIN(12, COUNTA(BI$3:$BJ$3)), , -MIN(12, COUNTA(BI$3:$BJ$3)) )) ))</f>
        <v>0</v>
      </c>
      <c r="BI1022" s="201">
        <f ca="1">IF($E1022=Parameters!$D$68, BI882, MIN(BI882,-SUM(OFFSET(BI859, 0, MIN(12, COUNTA(BJ$3:$BJ$3)), , -MIN(12, COUNTA(BJ$3:$BJ$3)) )) ))</f>
        <v>0</v>
      </c>
      <c r="BJ1022" s="13">
        <f ca="1">IF($E1022=Parameters!$D$68, BJ882, MIN(BJ882,-SUM(OFFSET(BJ859, 0, MIN(12, COUNTA($BJ$3:BK$3)), , -MIN(12, COUNTA($BJ$3:BK$3)) )) ))</f>
        <v>0</v>
      </c>
      <c r="BL1022" s="136"/>
      <c r="BM1022" s="13">
        <f t="shared" ca="1" si="1185"/>
        <v>0</v>
      </c>
      <c r="BN1022" s="13">
        <f t="shared" ca="1" si="1186"/>
        <v>0</v>
      </c>
      <c r="BO1022" s="13">
        <f t="shared" ca="1" si="1187"/>
        <v>0</v>
      </c>
      <c r="BP1022" s="136"/>
      <c r="BQ1022" s="136"/>
      <c r="BR1022" s="136"/>
      <c r="BS1022" s="136"/>
      <c r="BT1022" s="136"/>
      <c r="BU1022" s="136"/>
      <c r="BV1022" s="136"/>
      <c r="BW1022" s="136"/>
      <c r="BY1022" s="12"/>
      <c r="CA1022" s="12"/>
      <c r="CJ1022" s="162"/>
      <c r="CR1022" s="12"/>
      <c r="EX1022" s="10" t="str">
        <f t="shared" si="1183"/>
        <v/>
      </c>
    </row>
    <row r="1023" spans="2:154" s="335" customFormat="1" x14ac:dyDescent="0.25">
      <c r="B1023" s="84" t="str" cm="1">
        <f t="array" aca="1" ref="B1023" ca="1">HYPERLINK(CONCATENATE("#",CELL("address",$D$218)),$D$218)</f>
        <v>Loan 10</v>
      </c>
      <c r="C1023" s="380"/>
      <c r="D1023" s="60">
        <f>D$22</f>
        <v>0</v>
      </c>
      <c r="E1023" s="60">
        <f>E$22</f>
        <v>0</v>
      </c>
      <c r="G1023" s="9"/>
      <c r="H1023" s="50" t="s">
        <v>125</v>
      </c>
      <c r="V1023" s="136"/>
      <c r="W1023" s="201">
        <f t="shared" ca="1" si="1184"/>
        <v>0</v>
      </c>
      <c r="X1023" s="201">
        <f t="shared" ca="1" si="1184"/>
        <v>0</v>
      </c>
      <c r="Y1023" s="201">
        <f t="shared" ca="1" si="1184"/>
        <v>0</v>
      </c>
      <c r="AA1023" s="201">
        <f ca="1">IF($E1023=Parameters!$D$68, AA883, MIN(AA883,-SUM(OFFSET(AA860, 0, MIN(12, COUNTA(AB$3:$BJ$3)), , -MIN(12, COUNTA(AB$3:$BJ$3)) )) ))</f>
        <v>0</v>
      </c>
      <c r="AB1023" s="201">
        <f ca="1">IF($E1023=Parameters!$D$68, AB883, MIN(AB883,-SUM(OFFSET(AB860, 0, MIN(12, COUNTA(AC$3:$BJ$3)), , -MIN(12, COUNTA(AC$3:$BJ$3)) )) ))</f>
        <v>0</v>
      </c>
      <c r="AC1023" s="201">
        <f ca="1">IF($E1023=Parameters!$D$68, AC883, MIN(AC883,-SUM(OFFSET(AC860, 0, MIN(12, COUNTA(AD$3:$BJ$3)), , -MIN(12, COUNTA(AD$3:$BJ$3)) )) ))</f>
        <v>0</v>
      </c>
      <c r="AD1023" s="201">
        <f ca="1">IF($E1023=Parameters!$D$68, AD883, MIN(AD883,-SUM(OFFSET(AD860, 0, MIN(12, COUNTA(AE$3:$BJ$3)), , -MIN(12, COUNTA(AE$3:$BJ$3)) )) ))</f>
        <v>0</v>
      </c>
      <c r="AE1023" s="201">
        <f ca="1">IF($E1023=Parameters!$D$68, AE883, MIN(AE883,-SUM(OFFSET(AE860, 0, MIN(12, COUNTA(AF$3:$BJ$3)), , -MIN(12, COUNTA(AF$3:$BJ$3)) )) ))</f>
        <v>0</v>
      </c>
      <c r="AF1023" s="201">
        <f ca="1">IF($E1023=Parameters!$D$68, AF883, MIN(AF883,-SUM(OFFSET(AF860, 0, MIN(12, COUNTA(AG$3:$BJ$3)), , -MIN(12, COUNTA(AG$3:$BJ$3)) )) ))</f>
        <v>0</v>
      </c>
      <c r="AG1023" s="201">
        <f ca="1">IF($E1023=Parameters!$D$68, AG883, MIN(AG883,-SUM(OFFSET(AG860, 0, MIN(12, COUNTA(AH$3:$BJ$3)), , -MIN(12, COUNTA(AH$3:$BJ$3)) )) ))</f>
        <v>0</v>
      </c>
      <c r="AH1023" s="201">
        <f ca="1">IF($E1023=Parameters!$D$68, AH883, MIN(AH883,-SUM(OFFSET(AH860, 0, MIN(12, COUNTA(AI$3:$BJ$3)), , -MIN(12, COUNTA(AI$3:$BJ$3)) )) ))</f>
        <v>0</v>
      </c>
      <c r="AI1023" s="201">
        <f ca="1">IF($E1023=Parameters!$D$68, AI883, MIN(AI883,-SUM(OFFSET(AI860, 0, MIN(12, COUNTA(AJ$3:$BJ$3)), , -MIN(12, COUNTA(AJ$3:$BJ$3)) )) ))</f>
        <v>0</v>
      </c>
      <c r="AJ1023" s="201">
        <f ca="1">IF($E1023=Parameters!$D$68, AJ883, MIN(AJ883,-SUM(OFFSET(AJ860, 0, MIN(12, COUNTA(AK$3:$BJ$3)), , -MIN(12, COUNTA(AK$3:$BJ$3)) )) ))</f>
        <v>0</v>
      </c>
      <c r="AK1023" s="201">
        <f ca="1">IF($E1023=Parameters!$D$68, AK883, MIN(AK883,-SUM(OFFSET(AK860, 0, MIN(12, COUNTA(AL$3:$BJ$3)), , -MIN(12, COUNTA(AL$3:$BJ$3)) )) ))</f>
        <v>0</v>
      </c>
      <c r="AL1023" s="201">
        <f ca="1">IF($E1023=Parameters!$D$68, AL883, MIN(AL883,-SUM(OFFSET(AL860, 0, MIN(12, COUNTA(AM$3:$BJ$3)), , -MIN(12, COUNTA(AM$3:$BJ$3)) )) ))</f>
        <v>0</v>
      </c>
      <c r="AM1023" s="201">
        <f ca="1">IF($E1023=Parameters!$D$68, AM883, MIN(AM883,-SUM(OFFSET(AM860, 0, MIN(12, COUNTA(AN$3:$BJ$3)), , -MIN(12, COUNTA(AN$3:$BJ$3)) )) ))</f>
        <v>0</v>
      </c>
      <c r="AN1023" s="201">
        <f ca="1">IF($E1023=Parameters!$D$68, AN883, MIN(AN883,-SUM(OFFSET(AN860, 0, MIN(12, COUNTA(AO$3:$BJ$3)), , -MIN(12, COUNTA(AO$3:$BJ$3)) )) ))</f>
        <v>0</v>
      </c>
      <c r="AO1023" s="201">
        <f ca="1">IF($E1023=Parameters!$D$68, AO883, MIN(AO883,-SUM(OFFSET(AO860, 0, MIN(12, COUNTA(AP$3:$BJ$3)), , -MIN(12, COUNTA(AP$3:$BJ$3)) )) ))</f>
        <v>0</v>
      </c>
      <c r="AP1023" s="201">
        <f ca="1">IF($E1023=Parameters!$D$68, AP883, MIN(AP883,-SUM(OFFSET(AP860, 0, MIN(12, COUNTA(AQ$3:$BJ$3)), , -MIN(12, COUNTA(AQ$3:$BJ$3)) )) ))</f>
        <v>0</v>
      </c>
      <c r="AQ1023" s="201">
        <f ca="1">IF($E1023=Parameters!$D$68, AQ883, MIN(AQ883,-SUM(OFFSET(AQ860, 0, MIN(12, COUNTA(AR$3:$BJ$3)), , -MIN(12, COUNTA(AR$3:$BJ$3)) )) ))</f>
        <v>0</v>
      </c>
      <c r="AR1023" s="201">
        <f ca="1">IF($E1023=Parameters!$D$68, AR883, MIN(AR883,-SUM(OFFSET(AR860, 0, MIN(12, COUNTA(AS$3:$BJ$3)), , -MIN(12, COUNTA(AS$3:$BJ$3)) )) ))</f>
        <v>0</v>
      </c>
      <c r="AS1023" s="201">
        <f ca="1">IF($E1023=Parameters!$D$68, AS883, MIN(AS883,-SUM(OFFSET(AS860, 0, MIN(12, COUNTA(AT$3:$BJ$3)), , -MIN(12, COUNTA(AT$3:$BJ$3)) )) ))</f>
        <v>0</v>
      </c>
      <c r="AT1023" s="201">
        <f ca="1">IF($E1023=Parameters!$D$68, AT883, MIN(AT883,-SUM(OFFSET(AT860, 0, MIN(12, COUNTA(AU$3:$BJ$3)), , -MIN(12, COUNTA(AU$3:$BJ$3)) )) ))</f>
        <v>0</v>
      </c>
      <c r="AU1023" s="201">
        <f ca="1">IF($E1023=Parameters!$D$68, AU883, MIN(AU883,-SUM(OFFSET(AU860, 0, MIN(12, COUNTA(AV$3:$BJ$3)), , -MIN(12, COUNTA(AV$3:$BJ$3)) )) ))</f>
        <v>0</v>
      </c>
      <c r="AV1023" s="201">
        <f ca="1">IF($E1023=Parameters!$D$68, AV883, MIN(AV883,-SUM(OFFSET(AV860, 0, MIN(12, COUNTA(AW$3:$BJ$3)), , -MIN(12, COUNTA(AW$3:$BJ$3)) )) ))</f>
        <v>0</v>
      </c>
      <c r="AW1023" s="201">
        <f ca="1">IF($E1023=Parameters!$D$68, AW883, MIN(AW883,-SUM(OFFSET(AW860, 0, MIN(12, COUNTA(AX$3:$BJ$3)), , -MIN(12, COUNTA(AX$3:$BJ$3)) )) ))</f>
        <v>0</v>
      </c>
      <c r="AX1023" s="201">
        <f ca="1">IF($E1023=Parameters!$D$68, AX883, MIN(AX883,-SUM(OFFSET(AX860, 0, MIN(12, COUNTA(AY$3:$BJ$3)), , -MIN(12, COUNTA(AY$3:$BJ$3)) )) ))</f>
        <v>0</v>
      </c>
      <c r="AY1023" s="201">
        <f ca="1">IF($E1023=Parameters!$D$68, AY883, MIN(AY883,-SUM(OFFSET(AY860, 0, MIN(12, COUNTA(AZ$3:$BJ$3)), , -MIN(12, COUNTA(AZ$3:$BJ$3)) )) ))</f>
        <v>0</v>
      </c>
      <c r="AZ1023" s="201">
        <f ca="1">IF($E1023=Parameters!$D$68, AZ883, MIN(AZ883,-SUM(OFFSET(AZ860, 0, MIN(12, COUNTA(BA$3:$BJ$3)), , -MIN(12, COUNTA(BA$3:$BJ$3)) )) ))</f>
        <v>0</v>
      </c>
      <c r="BA1023" s="201">
        <f ca="1">IF($E1023=Parameters!$D$68, BA883, MIN(BA883,-SUM(OFFSET(BA860, 0, MIN(12, COUNTA(BB$3:$BJ$3)), , -MIN(12, COUNTA(BB$3:$BJ$3)) )) ))</f>
        <v>0</v>
      </c>
      <c r="BB1023" s="201">
        <f ca="1">IF($E1023=Parameters!$D$68, BB883, MIN(BB883,-SUM(OFFSET(BB860, 0, MIN(12, COUNTA(BC$3:$BJ$3)), , -MIN(12, COUNTA(BC$3:$BJ$3)) )) ))</f>
        <v>0</v>
      </c>
      <c r="BC1023" s="201">
        <f ca="1">IF($E1023=Parameters!$D$68, BC883, MIN(BC883,-SUM(OFFSET(BC860, 0, MIN(12, COUNTA(BD$3:$BJ$3)), , -MIN(12, COUNTA(BD$3:$BJ$3)) )) ))</f>
        <v>0</v>
      </c>
      <c r="BD1023" s="201">
        <f ca="1">IF($E1023=Parameters!$D$68, BD883, MIN(BD883,-SUM(OFFSET(BD860, 0, MIN(12, COUNTA(BE$3:$BJ$3)), , -MIN(12, COUNTA(BE$3:$BJ$3)) )) ))</f>
        <v>0</v>
      </c>
      <c r="BE1023" s="201">
        <f ca="1">IF($E1023=Parameters!$D$68, BE883, MIN(BE883,-SUM(OFFSET(BE860, 0, MIN(12, COUNTA(BF$3:$BJ$3)), , -MIN(12, COUNTA(BF$3:$BJ$3)) )) ))</f>
        <v>0</v>
      </c>
      <c r="BF1023" s="201">
        <f ca="1">IF($E1023=Parameters!$D$68, BF883, MIN(BF883,-SUM(OFFSET(BF860, 0, MIN(12, COUNTA(BG$3:$BJ$3)), , -MIN(12, COUNTA(BG$3:$BJ$3)) )) ))</f>
        <v>0</v>
      </c>
      <c r="BG1023" s="201">
        <f ca="1">IF($E1023=Parameters!$D$68, BG883, MIN(BG883,-SUM(OFFSET(BG860, 0, MIN(12, COUNTA(BH$3:$BJ$3)), , -MIN(12, COUNTA(BH$3:$BJ$3)) )) ))</f>
        <v>0</v>
      </c>
      <c r="BH1023" s="201">
        <f ca="1">IF($E1023=Parameters!$D$68, BH883, MIN(BH883,-SUM(OFFSET(BH860, 0, MIN(12, COUNTA(BI$3:$BJ$3)), , -MIN(12, COUNTA(BI$3:$BJ$3)) )) ))</f>
        <v>0</v>
      </c>
      <c r="BI1023" s="201">
        <f ca="1">IF($E1023=Parameters!$D$68, BI883, MIN(BI883,-SUM(OFFSET(BI860, 0, MIN(12, COUNTA(BJ$3:$BJ$3)), , -MIN(12, COUNTA(BJ$3:$BJ$3)) )) ))</f>
        <v>0</v>
      </c>
      <c r="BJ1023" s="13">
        <f ca="1">IF($E1023=Parameters!$D$68, BJ883, MIN(BJ883,-SUM(OFFSET(BJ860, 0, MIN(12, COUNTA($BJ$3:BK$3)), , -MIN(12, COUNTA($BJ$3:BK$3)) )) ))</f>
        <v>0</v>
      </c>
      <c r="BL1023" s="136"/>
      <c r="BM1023" s="13">
        <f t="shared" ca="1" si="1185"/>
        <v>0</v>
      </c>
      <c r="BN1023" s="13">
        <f t="shared" ca="1" si="1186"/>
        <v>0</v>
      </c>
      <c r="BO1023" s="13">
        <f t="shared" ca="1" si="1187"/>
        <v>0</v>
      </c>
      <c r="BP1023" s="136"/>
      <c r="BQ1023" s="136"/>
      <c r="BR1023" s="136"/>
      <c r="BS1023" s="136"/>
      <c r="BT1023" s="136"/>
      <c r="BU1023" s="136"/>
      <c r="BV1023" s="136"/>
      <c r="BW1023" s="136"/>
      <c r="BY1023" s="12"/>
      <c r="CA1023" s="12"/>
      <c r="CJ1023" s="162"/>
      <c r="CR1023" s="12"/>
      <c r="EX1023" s="10" t="str">
        <f t="shared" si="1183"/>
        <v/>
      </c>
    </row>
    <row r="1024" spans="2:154" s="335" customFormat="1" x14ac:dyDescent="0.25">
      <c r="B1024" s="84" t="str" cm="1">
        <f t="array" aca="1" ref="B1024" ca="1">HYPERLINK(CONCATENATE("#",CELL("address",$D$237)),$D$237)</f>
        <v>Loan 11</v>
      </c>
      <c r="C1024" s="380"/>
      <c r="D1024" s="60">
        <f>D$23</f>
        <v>0</v>
      </c>
      <c r="E1024" s="60">
        <f>E$23</f>
        <v>0</v>
      </c>
      <c r="G1024" s="9"/>
      <c r="H1024" s="50" t="s">
        <v>125</v>
      </c>
      <c r="V1024" s="136"/>
      <c r="W1024" s="201">
        <f t="shared" ca="1" si="1184"/>
        <v>0</v>
      </c>
      <c r="X1024" s="201">
        <f t="shared" ca="1" si="1184"/>
        <v>0</v>
      </c>
      <c r="Y1024" s="201">
        <f t="shared" ca="1" si="1184"/>
        <v>0</v>
      </c>
      <c r="AA1024" s="201">
        <f ca="1">IF($E1024=Parameters!$D$68, AA884, MIN(AA884,-SUM(OFFSET(AA861, 0, MIN(12, COUNTA(AB$3:$BJ$3)), , -MIN(12, COUNTA(AB$3:$BJ$3)) )) ))</f>
        <v>0</v>
      </c>
      <c r="AB1024" s="201">
        <f ca="1">IF($E1024=Parameters!$D$68, AB884, MIN(AB884,-SUM(OFFSET(AB861, 0, MIN(12, COUNTA(AC$3:$BJ$3)), , -MIN(12, COUNTA(AC$3:$BJ$3)) )) ))</f>
        <v>0</v>
      </c>
      <c r="AC1024" s="201">
        <f ca="1">IF($E1024=Parameters!$D$68, AC884, MIN(AC884,-SUM(OFFSET(AC861, 0, MIN(12, COUNTA(AD$3:$BJ$3)), , -MIN(12, COUNTA(AD$3:$BJ$3)) )) ))</f>
        <v>0</v>
      </c>
      <c r="AD1024" s="201">
        <f ca="1">IF($E1024=Parameters!$D$68, AD884, MIN(AD884,-SUM(OFFSET(AD861, 0, MIN(12, COUNTA(AE$3:$BJ$3)), , -MIN(12, COUNTA(AE$3:$BJ$3)) )) ))</f>
        <v>0</v>
      </c>
      <c r="AE1024" s="201">
        <f ca="1">IF($E1024=Parameters!$D$68, AE884, MIN(AE884,-SUM(OFFSET(AE861, 0, MIN(12, COUNTA(AF$3:$BJ$3)), , -MIN(12, COUNTA(AF$3:$BJ$3)) )) ))</f>
        <v>0</v>
      </c>
      <c r="AF1024" s="201">
        <f ca="1">IF($E1024=Parameters!$D$68, AF884, MIN(AF884,-SUM(OFFSET(AF861, 0, MIN(12, COUNTA(AG$3:$BJ$3)), , -MIN(12, COUNTA(AG$3:$BJ$3)) )) ))</f>
        <v>0</v>
      </c>
      <c r="AG1024" s="201">
        <f ca="1">IF($E1024=Parameters!$D$68, AG884, MIN(AG884,-SUM(OFFSET(AG861, 0, MIN(12, COUNTA(AH$3:$BJ$3)), , -MIN(12, COUNTA(AH$3:$BJ$3)) )) ))</f>
        <v>0</v>
      </c>
      <c r="AH1024" s="201">
        <f ca="1">IF($E1024=Parameters!$D$68, AH884, MIN(AH884,-SUM(OFFSET(AH861, 0, MIN(12, COUNTA(AI$3:$BJ$3)), , -MIN(12, COUNTA(AI$3:$BJ$3)) )) ))</f>
        <v>0</v>
      </c>
      <c r="AI1024" s="201">
        <f ca="1">IF($E1024=Parameters!$D$68, AI884, MIN(AI884,-SUM(OFFSET(AI861, 0, MIN(12, COUNTA(AJ$3:$BJ$3)), , -MIN(12, COUNTA(AJ$3:$BJ$3)) )) ))</f>
        <v>0</v>
      </c>
      <c r="AJ1024" s="201">
        <f ca="1">IF($E1024=Parameters!$D$68, AJ884, MIN(AJ884,-SUM(OFFSET(AJ861, 0, MIN(12, COUNTA(AK$3:$BJ$3)), , -MIN(12, COUNTA(AK$3:$BJ$3)) )) ))</f>
        <v>0</v>
      </c>
      <c r="AK1024" s="201">
        <f ca="1">IF($E1024=Parameters!$D$68, AK884, MIN(AK884,-SUM(OFFSET(AK861, 0, MIN(12, COUNTA(AL$3:$BJ$3)), , -MIN(12, COUNTA(AL$3:$BJ$3)) )) ))</f>
        <v>0</v>
      </c>
      <c r="AL1024" s="201">
        <f ca="1">IF($E1024=Parameters!$D$68, AL884, MIN(AL884,-SUM(OFFSET(AL861, 0, MIN(12, COUNTA(AM$3:$BJ$3)), , -MIN(12, COUNTA(AM$3:$BJ$3)) )) ))</f>
        <v>0</v>
      </c>
      <c r="AM1024" s="201">
        <f ca="1">IF($E1024=Parameters!$D$68, AM884, MIN(AM884,-SUM(OFFSET(AM861, 0, MIN(12, COUNTA(AN$3:$BJ$3)), , -MIN(12, COUNTA(AN$3:$BJ$3)) )) ))</f>
        <v>0</v>
      </c>
      <c r="AN1024" s="201">
        <f ca="1">IF($E1024=Parameters!$D$68, AN884, MIN(AN884,-SUM(OFFSET(AN861, 0, MIN(12, COUNTA(AO$3:$BJ$3)), , -MIN(12, COUNTA(AO$3:$BJ$3)) )) ))</f>
        <v>0</v>
      </c>
      <c r="AO1024" s="201">
        <f ca="1">IF($E1024=Parameters!$D$68, AO884, MIN(AO884,-SUM(OFFSET(AO861, 0, MIN(12, COUNTA(AP$3:$BJ$3)), , -MIN(12, COUNTA(AP$3:$BJ$3)) )) ))</f>
        <v>0</v>
      </c>
      <c r="AP1024" s="201">
        <f ca="1">IF($E1024=Parameters!$D$68, AP884, MIN(AP884,-SUM(OFFSET(AP861, 0, MIN(12, COUNTA(AQ$3:$BJ$3)), , -MIN(12, COUNTA(AQ$3:$BJ$3)) )) ))</f>
        <v>0</v>
      </c>
      <c r="AQ1024" s="201">
        <f ca="1">IF($E1024=Parameters!$D$68, AQ884, MIN(AQ884,-SUM(OFFSET(AQ861, 0, MIN(12, COUNTA(AR$3:$BJ$3)), , -MIN(12, COUNTA(AR$3:$BJ$3)) )) ))</f>
        <v>0</v>
      </c>
      <c r="AR1024" s="201">
        <f ca="1">IF($E1024=Parameters!$D$68, AR884, MIN(AR884,-SUM(OFFSET(AR861, 0, MIN(12, COUNTA(AS$3:$BJ$3)), , -MIN(12, COUNTA(AS$3:$BJ$3)) )) ))</f>
        <v>0</v>
      </c>
      <c r="AS1024" s="201">
        <f ca="1">IF($E1024=Parameters!$D$68, AS884, MIN(AS884,-SUM(OFFSET(AS861, 0, MIN(12, COUNTA(AT$3:$BJ$3)), , -MIN(12, COUNTA(AT$3:$BJ$3)) )) ))</f>
        <v>0</v>
      </c>
      <c r="AT1024" s="201">
        <f ca="1">IF($E1024=Parameters!$D$68, AT884, MIN(AT884,-SUM(OFFSET(AT861, 0, MIN(12, COUNTA(AU$3:$BJ$3)), , -MIN(12, COUNTA(AU$3:$BJ$3)) )) ))</f>
        <v>0</v>
      </c>
      <c r="AU1024" s="201">
        <f ca="1">IF($E1024=Parameters!$D$68, AU884, MIN(AU884,-SUM(OFFSET(AU861, 0, MIN(12, COUNTA(AV$3:$BJ$3)), , -MIN(12, COUNTA(AV$3:$BJ$3)) )) ))</f>
        <v>0</v>
      </c>
      <c r="AV1024" s="201">
        <f ca="1">IF($E1024=Parameters!$D$68, AV884, MIN(AV884,-SUM(OFFSET(AV861, 0, MIN(12, COUNTA(AW$3:$BJ$3)), , -MIN(12, COUNTA(AW$3:$BJ$3)) )) ))</f>
        <v>0</v>
      </c>
      <c r="AW1024" s="201">
        <f ca="1">IF($E1024=Parameters!$D$68, AW884, MIN(AW884,-SUM(OFFSET(AW861, 0, MIN(12, COUNTA(AX$3:$BJ$3)), , -MIN(12, COUNTA(AX$3:$BJ$3)) )) ))</f>
        <v>0</v>
      </c>
      <c r="AX1024" s="201">
        <f ca="1">IF($E1024=Parameters!$D$68, AX884, MIN(AX884,-SUM(OFFSET(AX861, 0, MIN(12, COUNTA(AY$3:$BJ$3)), , -MIN(12, COUNTA(AY$3:$BJ$3)) )) ))</f>
        <v>0</v>
      </c>
      <c r="AY1024" s="201">
        <f ca="1">IF($E1024=Parameters!$D$68, AY884, MIN(AY884,-SUM(OFFSET(AY861, 0, MIN(12, COUNTA(AZ$3:$BJ$3)), , -MIN(12, COUNTA(AZ$3:$BJ$3)) )) ))</f>
        <v>0</v>
      </c>
      <c r="AZ1024" s="201">
        <f ca="1">IF($E1024=Parameters!$D$68, AZ884, MIN(AZ884,-SUM(OFFSET(AZ861, 0, MIN(12, COUNTA(BA$3:$BJ$3)), , -MIN(12, COUNTA(BA$3:$BJ$3)) )) ))</f>
        <v>0</v>
      </c>
      <c r="BA1024" s="201">
        <f ca="1">IF($E1024=Parameters!$D$68, BA884, MIN(BA884,-SUM(OFFSET(BA861, 0, MIN(12, COUNTA(BB$3:$BJ$3)), , -MIN(12, COUNTA(BB$3:$BJ$3)) )) ))</f>
        <v>0</v>
      </c>
      <c r="BB1024" s="201">
        <f ca="1">IF($E1024=Parameters!$D$68, BB884, MIN(BB884,-SUM(OFFSET(BB861, 0, MIN(12, COUNTA(BC$3:$BJ$3)), , -MIN(12, COUNTA(BC$3:$BJ$3)) )) ))</f>
        <v>0</v>
      </c>
      <c r="BC1024" s="201">
        <f ca="1">IF($E1024=Parameters!$D$68, BC884, MIN(BC884,-SUM(OFFSET(BC861, 0, MIN(12, COUNTA(BD$3:$BJ$3)), , -MIN(12, COUNTA(BD$3:$BJ$3)) )) ))</f>
        <v>0</v>
      </c>
      <c r="BD1024" s="201">
        <f ca="1">IF($E1024=Parameters!$D$68, BD884, MIN(BD884,-SUM(OFFSET(BD861, 0, MIN(12, COUNTA(BE$3:$BJ$3)), , -MIN(12, COUNTA(BE$3:$BJ$3)) )) ))</f>
        <v>0</v>
      </c>
      <c r="BE1024" s="201">
        <f ca="1">IF($E1024=Parameters!$D$68, BE884, MIN(BE884,-SUM(OFFSET(BE861, 0, MIN(12, COUNTA(BF$3:$BJ$3)), , -MIN(12, COUNTA(BF$3:$BJ$3)) )) ))</f>
        <v>0</v>
      </c>
      <c r="BF1024" s="201">
        <f ca="1">IF($E1024=Parameters!$D$68, BF884, MIN(BF884,-SUM(OFFSET(BF861, 0, MIN(12, COUNTA(BG$3:$BJ$3)), , -MIN(12, COUNTA(BG$3:$BJ$3)) )) ))</f>
        <v>0</v>
      </c>
      <c r="BG1024" s="201">
        <f ca="1">IF($E1024=Parameters!$D$68, BG884, MIN(BG884,-SUM(OFFSET(BG861, 0, MIN(12, COUNTA(BH$3:$BJ$3)), , -MIN(12, COUNTA(BH$3:$BJ$3)) )) ))</f>
        <v>0</v>
      </c>
      <c r="BH1024" s="201">
        <f ca="1">IF($E1024=Parameters!$D$68, BH884, MIN(BH884,-SUM(OFFSET(BH861, 0, MIN(12, COUNTA(BI$3:$BJ$3)), , -MIN(12, COUNTA(BI$3:$BJ$3)) )) ))</f>
        <v>0</v>
      </c>
      <c r="BI1024" s="201">
        <f ca="1">IF($E1024=Parameters!$D$68, BI884, MIN(BI884,-SUM(OFFSET(BI861, 0, MIN(12, COUNTA(BJ$3:$BJ$3)), , -MIN(12, COUNTA(BJ$3:$BJ$3)) )) ))</f>
        <v>0</v>
      </c>
      <c r="BJ1024" s="13">
        <f ca="1">IF($E1024=Parameters!$D$68, BJ884, MIN(BJ884,-SUM(OFFSET(BJ861, 0, MIN(12, COUNTA($BJ$3:BK$3)), , -MIN(12, COUNTA($BJ$3:BK$3)) )) ))</f>
        <v>0</v>
      </c>
      <c r="BL1024" s="136"/>
      <c r="BM1024" s="13">
        <f t="shared" ca="1" si="1185"/>
        <v>0</v>
      </c>
      <c r="BN1024" s="13">
        <f t="shared" ca="1" si="1186"/>
        <v>0</v>
      </c>
      <c r="BO1024" s="13">
        <f t="shared" ca="1" si="1187"/>
        <v>0</v>
      </c>
      <c r="BP1024" s="136"/>
      <c r="BQ1024" s="136"/>
      <c r="BR1024" s="136"/>
      <c r="BS1024" s="136"/>
      <c r="BT1024" s="136"/>
      <c r="BU1024" s="136"/>
      <c r="BV1024" s="136"/>
      <c r="BW1024" s="136"/>
      <c r="BY1024" s="12"/>
      <c r="CA1024" s="12"/>
      <c r="CJ1024" s="162"/>
      <c r="CR1024" s="12"/>
      <c r="EX1024" s="10" t="str">
        <f t="shared" si="1183"/>
        <v/>
      </c>
    </row>
    <row r="1025" spans="1:154" s="335" customFormat="1" x14ac:dyDescent="0.25">
      <c r="B1025" s="84" t="str" cm="1">
        <f t="array" aca="1" ref="B1025" ca="1">HYPERLINK(CONCATENATE("#",CELL("address",$D$256)),$D$256)</f>
        <v>Loan 12</v>
      </c>
      <c r="C1025" s="380"/>
      <c r="D1025" s="60">
        <f>D$24</f>
        <v>0</v>
      </c>
      <c r="E1025" s="60">
        <f>E$24</f>
        <v>0</v>
      </c>
      <c r="G1025" s="9"/>
      <c r="H1025" s="50" t="s">
        <v>125</v>
      </c>
      <c r="V1025" s="136"/>
      <c r="W1025" s="201">
        <f t="shared" ca="1" si="1184"/>
        <v>0</v>
      </c>
      <c r="X1025" s="201">
        <f t="shared" ca="1" si="1184"/>
        <v>0</v>
      </c>
      <c r="Y1025" s="201">
        <f t="shared" ca="1" si="1184"/>
        <v>0</v>
      </c>
      <c r="AA1025" s="201">
        <f ca="1">IF($E1025=Parameters!$D$68, AA885, MIN(AA885,-SUM(OFFSET(AA862, 0, MIN(12, COUNTA(AB$3:$BJ$3)), , -MIN(12, COUNTA(AB$3:$BJ$3)) )) ))</f>
        <v>0</v>
      </c>
      <c r="AB1025" s="201">
        <f ca="1">IF($E1025=Parameters!$D$68, AB885, MIN(AB885,-SUM(OFFSET(AB862, 0, MIN(12, COUNTA(AC$3:$BJ$3)), , -MIN(12, COUNTA(AC$3:$BJ$3)) )) ))</f>
        <v>0</v>
      </c>
      <c r="AC1025" s="201">
        <f ca="1">IF($E1025=Parameters!$D$68, AC885, MIN(AC885,-SUM(OFFSET(AC862, 0, MIN(12, COUNTA(AD$3:$BJ$3)), , -MIN(12, COUNTA(AD$3:$BJ$3)) )) ))</f>
        <v>0</v>
      </c>
      <c r="AD1025" s="201">
        <f ca="1">IF($E1025=Parameters!$D$68, AD885, MIN(AD885,-SUM(OFFSET(AD862, 0, MIN(12, COUNTA(AE$3:$BJ$3)), , -MIN(12, COUNTA(AE$3:$BJ$3)) )) ))</f>
        <v>0</v>
      </c>
      <c r="AE1025" s="201">
        <f ca="1">IF($E1025=Parameters!$D$68, AE885, MIN(AE885,-SUM(OFFSET(AE862, 0, MIN(12, COUNTA(AF$3:$BJ$3)), , -MIN(12, COUNTA(AF$3:$BJ$3)) )) ))</f>
        <v>0</v>
      </c>
      <c r="AF1025" s="201">
        <f ca="1">IF($E1025=Parameters!$D$68, AF885, MIN(AF885,-SUM(OFFSET(AF862, 0, MIN(12, COUNTA(AG$3:$BJ$3)), , -MIN(12, COUNTA(AG$3:$BJ$3)) )) ))</f>
        <v>0</v>
      </c>
      <c r="AG1025" s="201">
        <f ca="1">IF($E1025=Parameters!$D$68, AG885, MIN(AG885,-SUM(OFFSET(AG862, 0, MIN(12, COUNTA(AH$3:$BJ$3)), , -MIN(12, COUNTA(AH$3:$BJ$3)) )) ))</f>
        <v>0</v>
      </c>
      <c r="AH1025" s="201">
        <f ca="1">IF($E1025=Parameters!$D$68, AH885, MIN(AH885,-SUM(OFFSET(AH862, 0, MIN(12, COUNTA(AI$3:$BJ$3)), , -MIN(12, COUNTA(AI$3:$BJ$3)) )) ))</f>
        <v>0</v>
      </c>
      <c r="AI1025" s="201">
        <f ca="1">IF($E1025=Parameters!$D$68, AI885, MIN(AI885,-SUM(OFFSET(AI862, 0, MIN(12, COUNTA(AJ$3:$BJ$3)), , -MIN(12, COUNTA(AJ$3:$BJ$3)) )) ))</f>
        <v>0</v>
      </c>
      <c r="AJ1025" s="201">
        <f ca="1">IF($E1025=Parameters!$D$68, AJ885, MIN(AJ885,-SUM(OFFSET(AJ862, 0, MIN(12, COUNTA(AK$3:$BJ$3)), , -MIN(12, COUNTA(AK$3:$BJ$3)) )) ))</f>
        <v>0</v>
      </c>
      <c r="AK1025" s="201">
        <f ca="1">IF($E1025=Parameters!$D$68, AK885, MIN(AK885,-SUM(OFFSET(AK862, 0, MIN(12, COUNTA(AL$3:$BJ$3)), , -MIN(12, COUNTA(AL$3:$BJ$3)) )) ))</f>
        <v>0</v>
      </c>
      <c r="AL1025" s="201">
        <f ca="1">IF($E1025=Parameters!$D$68, AL885, MIN(AL885,-SUM(OFFSET(AL862, 0, MIN(12, COUNTA(AM$3:$BJ$3)), , -MIN(12, COUNTA(AM$3:$BJ$3)) )) ))</f>
        <v>0</v>
      </c>
      <c r="AM1025" s="201">
        <f ca="1">IF($E1025=Parameters!$D$68, AM885, MIN(AM885,-SUM(OFFSET(AM862, 0, MIN(12, COUNTA(AN$3:$BJ$3)), , -MIN(12, COUNTA(AN$3:$BJ$3)) )) ))</f>
        <v>0</v>
      </c>
      <c r="AN1025" s="201">
        <f ca="1">IF($E1025=Parameters!$D$68, AN885, MIN(AN885,-SUM(OFFSET(AN862, 0, MIN(12, COUNTA(AO$3:$BJ$3)), , -MIN(12, COUNTA(AO$3:$BJ$3)) )) ))</f>
        <v>0</v>
      </c>
      <c r="AO1025" s="201">
        <f ca="1">IF($E1025=Parameters!$D$68, AO885, MIN(AO885,-SUM(OFFSET(AO862, 0, MIN(12, COUNTA(AP$3:$BJ$3)), , -MIN(12, COUNTA(AP$3:$BJ$3)) )) ))</f>
        <v>0</v>
      </c>
      <c r="AP1025" s="201">
        <f ca="1">IF($E1025=Parameters!$D$68, AP885, MIN(AP885,-SUM(OFFSET(AP862, 0, MIN(12, COUNTA(AQ$3:$BJ$3)), , -MIN(12, COUNTA(AQ$3:$BJ$3)) )) ))</f>
        <v>0</v>
      </c>
      <c r="AQ1025" s="201">
        <f ca="1">IF($E1025=Parameters!$D$68, AQ885, MIN(AQ885,-SUM(OFFSET(AQ862, 0, MIN(12, COUNTA(AR$3:$BJ$3)), , -MIN(12, COUNTA(AR$3:$BJ$3)) )) ))</f>
        <v>0</v>
      </c>
      <c r="AR1025" s="201">
        <f ca="1">IF($E1025=Parameters!$D$68, AR885, MIN(AR885,-SUM(OFFSET(AR862, 0, MIN(12, COUNTA(AS$3:$BJ$3)), , -MIN(12, COUNTA(AS$3:$BJ$3)) )) ))</f>
        <v>0</v>
      </c>
      <c r="AS1025" s="201">
        <f ca="1">IF($E1025=Parameters!$D$68, AS885, MIN(AS885,-SUM(OFFSET(AS862, 0, MIN(12, COUNTA(AT$3:$BJ$3)), , -MIN(12, COUNTA(AT$3:$BJ$3)) )) ))</f>
        <v>0</v>
      </c>
      <c r="AT1025" s="201">
        <f ca="1">IF($E1025=Parameters!$D$68, AT885, MIN(AT885,-SUM(OFFSET(AT862, 0, MIN(12, COUNTA(AU$3:$BJ$3)), , -MIN(12, COUNTA(AU$3:$BJ$3)) )) ))</f>
        <v>0</v>
      </c>
      <c r="AU1025" s="201">
        <f ca="1">IF($E1025=Parameters!$D$68, AU885, MIN(AU885,-SUM(OFFSET(AU862, 0, MIN(12, COUNTA(AV$3:$BJ$3)), , -MIN(12, COUNTA(AV$3:$BJ$3)) )) ))</f>
        <v>0</v>
      </c>
      <c r="AV1025" s="201">
        <f ca="1">IF($E1025=Parameters!$D$68, AV885, MIN(AV885,-SUM(OFFSET(AV862, 0, MIN(12, COUNTA(AW$3:$BJ$3)), , -MIN(12, COUNTA(AW$3:$BJ$3)) )) ))</f>
        <v>0</v>
      </c>
      <c r="AW1025" s="201">
        <f ca="1">IF($E1025=Parameters!$D$68, AW885, MIN(AW885,-SUM(OFFSET(AW862, 0, MIN(12, COUNTA(AX$3:$BJ$3)), , -MIN(12, COUNTA(AX$3:$BJ$3)) )) ))</f>
        <v>0</v>
      </c>
      <c r="AX1025" s="201">
        <f ca="1">IF($E1025=Parameters!$D$68, AX885, MIN(AX885,-SUM(OFFSET(AX862, 0, MIN(12, COUNTA(AY$3:$BJ$3)), , -MIN(12, COUNTA(AY$3:$BJ$3)) )) ))</f>
        <v>0</v>
      </c>
      <c r="AY1025" s="201">
        <f ca="1">IF($E1025=Parameters!$D$68, AY885, MIN(AY885,-SUM(OFFSET(AY862, 0, MIN(12, COUNTA(AZ$3:$BJ$3)), , -MIN(12, COUNTA(AZ$3:$BJ$3)) )) ))</f>
        <v>0</v>
      </c>
      <c r="AZ1025" s="201">
        <f ca="1">IF($E1025=Parameters!$D$68, AZ885, MIN(AZ885,-SUM(OFFSET(AZ862, 0, MIN(12, COUNTA(BA$3:$BJ$3)), , -MIN(12, COUNTA(BA$3:$BJ$3)) )) ))</f>
        <v>0</v>
      </c>
      <c r="BA1025" s="201">
        <f ca="1">IF($E1025=Parameters!$D$68, BA885, MIN(BA885,-SUM(OFFSET(BA862, 0, MIN(12, COUNTA(BB$3:$BJ$3)), , -MIN(12, COUNTA(BB$3:$BJ$3)) )) ))</f>
        <v>0</v>
      </c>
      <c r="BB1025" s="201">
        <f ca="1">IF($E1025=Parameters!$D$68, BB885, MIN(BB885,-SUM(OFFSET(BB862, 0, MIN(12, COUNTA(BC$3:$BJ$3)), , -MIN(12, COUNTA(BC$3:$BJ$3)) )) ))</f>
        <v>0</v>
      </c>
      <c r="BC1025" s="201">
        <f ca="1">IF($E1025=Parameters!$D$68, BC885, MIN(BC885,-SUM(OFFSET(BC862, 0, MIN(12, COUNTA(BD$3:$BJ$3)), , -MIN(12, COUNTA(BD$3:$BJ$3)) )) ))</f>
        <v>0</v>
      </c>
      <c r="BD1025" s="201">
        <f ca="1">IF($E1025=Parameters!$D$68, BD885, MIN(BD885,-SUM(OFFSET(BD862, 0, MIN(12, COUNTA(BE$3:$BJ$3)), , -MIN(12, COUNTA(BE$3:$BJ$3)) )) ))</f>
        <v>0</v>
      </c>
      <c r="BE1025" s="201">
        <f ca="1">IF($E1025=Parameters!$D$68, BE885, MIN(BE885,-SUM(OFFSET(BE862, 0, MIN(12, COUNTA(BF$3:$BJ$3)), , -MIN(12, COUNTA(BF$3:$BJ$3)) )) ))</f>
        <v>0</v>
      </c>
      <c r="BF1025" s="201">
        <f ca="1">IF($E1025=Parameters!$D$68, BF885, MIN(BF885,-SUM(OFFSET(BF862, 0, MIN(12, COUNTA(BG$3:$BJ$3)), , -MIN(12, COUNTA(BG$3:$BJ$3)) )) ))</f>
        <v>0</v>
      </c>
      <c r="BG1025" s="201">
        <f ca="1">IF($E1025=Parameters!$D$68, BG885, MIN(BG885,-SUM(OFFSET(BG862, 0, MIN(12, COUNTA(BH$3:$BJ$3)), , -MIN(12, COUNTA(BH$3:$BJ$3)) )) ))</f>
        <v>0</v>
      </c>
      <c r="BH1025" s="201">
        <f ca="1">IF($E1025=Parameters!$D$68, BH885, MIN(BH885,-SUM(OFFSET(BH862, 0, MIN(12, COUNTA(BI$3:$BJ$3)), , -MIN(12, COUNTA(BI$3:$BJ$3)) )) ))</f>
        <v>0</v>
      </c>
      <c r="BI1025" s="201">
        <f ca="1">IF($E1025=Parameters!$D$68, BI885, MIN(BI885,-SUM(OFFSET(BI862, 0, MIN(12, COUNTA(BJ$3:$BJ$3)), , -MIN(12, COUNTA(BJ$3:$BJ$3)) )) ))</f>
        <v>0</v>
      </c>
      <c r="BJ1025" s="13">
        <f ca="1">IF($E1025=Parameters!$D$68, BJ885, MIN(BJ885,-SUM(OFFSET(BJ862, 0, MIN(12, COUNTA($BJ$3:BK$3)), , -MIN(12, COUNTA($BJ$3:BK$3)) )) ))</f>
        <v>0</v>
      </c>
      <c r="BL1025" s="136"/>
      <c r="BM1025" s="13">
        <f t="shared" ca="1" si="1185"/>
        <v>0</v>
      </c>
      <c r="BN1025" s="13">
        <f t="shared" ca="1" si="1186"/>
        <v>0</v>
      </c>
      <c r="BO1025" s="13">
        <f t="shared" ca="1" si="1187"/>
        <v>0</v>
      </c>
      <c r="BP1025" s="136"/>
      <c r="BQ1025" s="136"/>
      <c r="BR1025" s="136"/>
      <c r="BS1025" s="136"/>
      <c r="BT1025" s="136"/>
      <c r="BU1025" s="136"/>
      <c r="BV1025" s="136"/>
      <c r="BW1025" s="136"/>
      <c r="BY1025" s="12"/>
      <c r="CA1025" s="12"/>
      <c r="CJ1025" s="162"/>
      <c r="CR1025" s="12"/>
      <c r="EX1025" s="10" t="str">
        <f t="shared" si="1183"/>
        <v/>
      </c>
    </row>
    <row r="1026" spans="1:154" s="335" customFormat="1" x14ac:dyDescent="0.25">
      <c r="B1026" s="84" t="str" cm="1">
        <f t="array" aca="1" ref="B1026" ca="1">HYPERLINK(CONCATENATE("#",CELL("address",$D$275)),$D$275)</f>
        <v>Loan 13</v>
      </c>
      <c r="C1026" s="380"/>
      <c r="D1026" s="60">
        <f>D$25</f>
        <v>0</v>
      </c>
      <c r="E1026" s="60">
        <f>E$25</f>
        <v>0</v>
      </c>
      <c r="G1026" s="9"/>
      <c r="H1026" s="50" t="s">
        <v>125</v>
      </c>
      <c r="V1026" s="136"/>
      <c r="W1026" s="201">
        <f t="shared" ca="1" si="1184"/>
        <v>0</v>
      </c>
      <c r="X1026" s="201">
        <f t="shared" ca="1" si="1184"/>
        <v>0</v>
      </c>
      <c r="Y1026" s="201">
        <f t="shared" ca="1" si="1184"/>
        <v>0</v>
      </c>
      <c r="AA1026" s="201">
        <f ca="1">IF($E1026=Parameters!$D$68, AA886, MIN(AA886,-SUM(OFFSET(AA863, 0, MIN(12, COUNTA(AB$3:$BJ$3)), , -MIN(12, COUNTA(AB$3:$BJ$3)) )) ))</f>
        <v>0</v>
      </c>
      <c r="AB1026" s="201">
        <f ca="1">IF($E1026=Parameters!$D$68, AB886, MIN(AB886,-SUM(OFFSET(AB863, 0, MIN(12, COUNTA(AC$3:$BJ$3)), , -MIN(12, COUNTA(AC$3:$BJ$3)) )) ))</f>
        <v>0</v>
      </c>
      <c r="AC1026" s="201">
        <f ca="1">IF($E1026=Parameters!$D$68, AC886, MIN(AC886,-SUM(OFFSET(AC863, 0, MIN(12, COUNTA(AD$3:$BJ$3)), , -MIN(12, COUNTA(AD$3:$BJ$3)) )) ))</f>
        <v>0</v>
      </c>
      <c r="AD1026" s="201">
        <f ca="1">IF($E1026=Parameters!$D$68, AD886, MIN(AD886,-SUM(OFFSET(AD863, 0, MIN(12, COUNTA(AE$3:$BJ$3)), , -MIN(12, COUNTA(AE$3:$BJ$3)) )) ))</f>
        <v>0</v>
      </c>
      <c r="AE1026" s="201">
        <f ca="1">IF($E1026=Parameters!$D$68, AE886, MIN(AE886,-SUM(OFFSET(AE863, 0, MIN(12, COUNTA(AF$3:$BJ$3)), , -MIN(12, COUNTA(AF$3:$BJ$3)) )) ))</f>
        <v>0</v>
      </c>
      <c r="AF1026" s="201">
        <f ca="1">IF($E1026=Parameters!$D$68, AF886, MIN(AF886,-SUM(OFFSET(AF863, 0, MIN(12, COUNTA(AG$3:$BJ$3)), , -MIN(12, COUNTA(AG$3:$BJ$3)) )) ))</f>
        <v>0</v>
      </c>
      <c r="AG1026" s="201">
        <f ca="1">IF($E1026=Parameters!$D$68, AG886, MIN(AG886,-SUM(OFFSET(AG863, 0, MIN(12, COUNTA(AH$3:$BJ$3)), , -MIN(12, COUNTA(AH$3:$BJ$3)) )) ))</f>
        <v>0</v>
      </c>
      <c r="AH1026" s="201">
        <f ca="1">IF($E1026=Parameters!$D$68, AH886, MIN(AH886,-SUM(OFFSET(AH863, 0, MIN(12, COUNTA(AI$3:$BJ$3)), , -MIN(12, COUNTA(AI$3:$BJ$3)) )) ))</f>
        <v>0</v>
      </c>
      <c r="AI1026" s="201">
        <f ca="1">IF($E1026=Parameters!$D$68, AI886, MIN(AI886,-SUM(OFFSET(AI863, 0, MIN(12, COUNTA(AJ$3:$BJ$3)), , -MIN(12, COUNTA(AJ$3:$BJ$3)) )) ))</f>
        <v>0</v>
      </c>
      <c r="AJ1026" s="201">
        <f ca="1">IF($E1026=Parameters!$D$68, AJ886, MIN(AJ886,-SUM(OFFSET(AJ863, 0, MIN(12, COUNTA(AK$3:$BJ$3)), , -MIN(12, COUNTA(AK$3:$BJ$3)) )) ))</f>
        <v>0</v>
      </c>
      <c r="AK1026" s="201">
        <f ca="1">IF($E1026=Parameters!$D$68, AK886, MIN(AK886,-SUM(OFFSET(AK863, 0, MIN(12, COUNTA(AL$3:$BJ$3)), , -MIN(12, COUNTA(AL$3:$BJ$3)) )) ))</f>
        <v>0</v>
      </c>
      <c r="AL1026" s="201">
        <f ca="1">IF($E1026=Parameters!$D$68, AL886, MIN(AL886,-SUM(OFFSET(AL863, 0, MIN(12, COUNTA(AM$3:$BJ$3)), , -MIN(12, COUNTA(AM$3:$BJ$3)) )) ))</f>
        <v>0</v>
      </c>
      <c r="AM1026" s="201">
        <f ca="1">IF($E1026=Parameters!$D$68, AM886, MIN(AM886,-SUM(OFFSET(AM863, 0, MIN(12, COUNTA(AN$3:$BJ$3)), , -MIN(12, COUNTA(AN$3:$BJ$3)) )) ))</f>
        <v>0</v>
      </c>
      <c r="AN1026" s="201">
        <f ca="1">IF($E1026=Parameters!$D$68, AN886, MIN(AN886,-SUM(OFFSET(AN863, 0, MIN(12, COUNTA(AO$3:$BJ$3)), , -MIN(12, COUNTA(AO$3:$BJ$3)) )) ))</f>
        <v>0</v>
      </c>
      <c r="AO1026" s="201">
        <f ca="1">IF($E1026=Parameters!$D$68, AO886, MIN(AO886,-SUM(OFFSET(AO863, 0, MIN(12, COUNTA(AP$3:$BJ$3)), , -MIN(12, COUNTA(AP$3:$BJ$3)) )) ))</f>
        <v>0</v>
      </c>
      <c r="AP1026" s="201">
        <f ca="1">IF($E1026=Parameters!$D$68, AP886, MIN(AP886,-SUM(OFFSET(AP863, 0, MIN(12, COUNTA(AQ$3:$BJ$3)), , -MIN(12, COUNTA(AQ$3:$BJ$3)) )) ))</f>
        <v>0</v>
      </c>
      <c r="AQ1026" s="201">
        <f ca="1">IF($E1026=Parameters!$D$68, AQ886, MIN(AQ886,-SUM(OFFSET(AQ863, 0, MIN(12, COUNTA(AR$3:$BJ$3)), , -MIN(12, COUNTA(AR$3:$BJ$3)) )) ))</f>
        <v>0</v>
      </c>
      <c r="AR1026" s="201">
        <f ca="1">IF($E1026=Parameters!$D$68, AR886, MIN(AR886,-SUM(OFFSET(AR863, 0, MIN(12, COUNTA(AS$3:$BJ$3)), , -MIN(12, COUNTA(AS$3:$BJ$3)) )) ))</f>
        <v>0</v>
      </c>
      <c r="AS1026" s="201">
        <f ca="1">IF($E1026=Parameters!$D$68, AS886, MIN(AS886,-SUM(OFFSET(AS863, 0, MIN(12, COUNTA(AT$3:$BJ$3)), , -MIN(12, COUNTA(AT$3:$BJ$3)) )) ))</f>
        <v>0</v>
      </c>
      <c r="AT1026" s="201">
        <f ca="1">IF($E1026=Parameters!$D$68, AT886, MIN(AT886,-SUM(OFFSET(AT863, 0, MIN(12, COUNTA(AU$3:$BJ$3)), , -MIN(12, COUNTA(AU$3:$BJ$3)) )) ))</f>
        <v>0</v>
      </c>
      <c r="AU1026" s="201">
        <f ca="1">IF($E1026=Parameters!$D$68, AU886, MIN(AU886,-SUM(OFFSET(AU863, 0, MIN(12, COUNTA(AV$3:$BJ$3)), , -MIN(12, COUNTA(AV$3:$BJ$3)) )) ))</f>
        <v>0</v>
      </c>
      <c r="AV1026" s="201">
        <f ca="1">IF($E1026=Parameters!$D$68, AV886, MIN(AV886,-SUM(OFFSET(AV863, 0, MIN(12, COUNTA(AW$3:$BJ$3)), , -MIN(12, COUNTA(AW$3:$BJ$3)) )) ))</f>
        <v>0</v>
      </c>
      <c r="AW1026" s="201">
        <f ca="1">IF($E1026=Parameters!$D$68, AW886, MIN(AW886,-SUM(OFFSET(AW863, 0, MIN(12, COUNTA(AX$3:$BJ$3)), , -MIN(12, COUNTA(AX$3:$BJ$3)) )) ))</f>
        <v>0</v>
      </c>
      <c r="AX1026" s="201">
        <f ca="1">IF($E1026=Parameters!$D$68, AX886, MIN(AX886,-SUM(OFFSET(AX863, 0, MIN(12, COUNTA(AY$3:$BJ$3)), , -MIN(12, COUNTA(AY$3:$BJ$3)) )) ))</f>
        <v>0</v>
      </c>
      <c r="AY1026" s="201">
        <f ca="1">IF($E1026=Parameters!$D$68, AY886, MIN(AY886,-SUM(OFFSET(AY863, 0, MIN(12, COUNTA(AZ$3:$BJ$3)), , -MIN(12, COUNTA(AZ$3:$BJ$3)) )) ))</f>
        <v>0</v>
      </c>
      <c r="AZ1026" s="201">
        <f ca="1">IF($E1026=Parameters!$D$68, AZ886, MIN(AZ886,-SUM(OFFSET(AZ863, 0, MIN(12, COUNTA(BA$3:$BJ$3)), , -MIN(12, COUNTA(BA$3:$BJ$3)) )) ))</f>
        <v>0</v>
      </c>
      <c r="BA1026" s="201">
        <f ca="1">IF($E1026=Parameters!$D$68, BA886, MIN(BA886,-SUM(OFFSET(BA863, 0, MIN(12, COUNTA(BB$3:$BJ$3)), , -MIN(12, COUNTA(BB$3:$BJ$3)) )) ))</f>
        <v>0</v>
      </c>
      <c r="BB1026" s="201">
        <f ca="1">IF($E1026=Parameters!$D$68, BB886, MIN(BB886,-SUM(OFFSET(BB863, 0, MIN(12, COUNTA(BC$3:$BJ$3)), , -MIN(12, COUNTA(BC$3:$BJ$3)) )) ))</f>
        <v>0</v>
      </c>
      <c r="BC1026" s="201">
        <f ca="1">IF($E1026=Parameters!$D$68, BC886, MIN(BC886,-SUM(OFFSET(BC863, 0, MIN(12, COUNTA(BD$3:$BJ$3)), , -MIN(12, COUNTA(BD$3:$BJ$3)) )) ))</f>
        <v>0</v>
      </c>
      <c r="BD1026" s="201">
        <f ca="1">IF($E1026=Parameters!$D$68, BD886, MIN(BD886,-SUM(OFFSET(BD863, 0, MIN(12, COUNTA(BE$3:$BJ$3)), , -MIN(12, COUNTA(BE$3:$BJ$3)) )) ))</f>
        <v>0</v>
      </c>
      <c r="BE1026" s="201">
        <f ca="1">IF($E1026=Parameters!$D$68, BE886, MIN(BE886,-SUM(OFFSET(BE863, 0, MIN(12, COUNTA(BF$3:$BJ$3)), , -MIN(12, COUNTA(BF$3:$BJ$3)) )) ))</f>
        <v>0</v>
      </c>
      <c r="BF1026" s="201">
        <f ca="1">IF($E1026=Parameters!$D$68, BF886, MIN(BF886,-SUM(OFFSET(BF863, 0, MIN(12, COUNTA(BG$3:$BJ$3)), , -MIN(12, COUNTA(BG$3:$BJ$3)) )) ))</f>
        <v>0</v>
      </c>
      <c r="BG1026" s="201">
        <f ca="1">IF($E1026=Parameters!$D$68, BG886, MIN(BG886,-SUM(OFFSET(BG863, 0, MIN(12, COUNTA(BH$3:$BJ$3)), , -MIN(12, COUNTA(BH$3:$BJ$3)) )) ))</f>
        <v>0</v>
      </c>
      <c r="BH1026" s="201">
        <f ca="1">IF($E1026=Parameters!$D$68, BH886, MIN(BH886,-SUM(OFFSET(BH863, 0, MIN(12, COUNTA(BI$3:$BJ$3)), , -MIN(12, COUNTA(BI$3:$BJ$3)) )) ))</f>
        <v>0</v>
      </c>
      <c r="BI1026" s="201">
        <f ca="1">IF($E1026=Parameters!$D$68, BI886, MIN(BI886,-SUM(OFFSET(BI863, 0, MIN(12, COUNTA(BJ$3:$BJ$3)), , -MIN(12, COUNTA(BJ$3:$BJ$3)) )) ))</f>
        <v>0</v>
      </c>
      <c r="BJ1026" s="13">
        <f ca="1">IF($E1026=Parameters!$D$68, BJ886, MIN(BJ886,-SUM(OFFSET(BJ863, 0, MIN(12, COUNTA($BJ$3:BK$3)), , -MIN(12, COUNTA($BJ$3:BK$3)) )) ))</f>
        <v>0</v>
      </c>
      <c r="BL1026" s="136"/>
      <c r="BM1026" s="13">
        <f t="shared" ca="1" si="1185"/>
        <v>0</v>
      </c>
      <c r="BN1026" s="13">
        <f t="shared" ca="1" si="1186"/>
        <v>0</v>
      </c>
      <c r="BO1026" s="13">
        <f t="shared" ca="1" si="1187"/>
        <v>0</v>
      </c>
      <c r="BP1026" s="136"/>
      <c r="BQ1026" s="136"/>
      <c r="BR1026" s="136"/>
      <c r="BS1026" s="136"/>
      <c r="BT1026" s="136"/>
      <c r="BU1026" s="136"/>
      <c r="BV1026" s="136"/>
      <c r="BW1026" s="136"/>
      <c r="BY1026" s="12"/>
      <c r="CA1026" s="12"/>
      <c r="CJ1026" s="162"/>
      <c r="CR1026" s="12"/>
      <c r="EX1026" s="10" t="str">
        <f t="shared" si="1183"/>
        <v/>
      </c>
    </row>
    <row r="1027" spans="1:154" s="5" customFormat="1" x14ac:dyDescent="0.25">
      <c r="A1027" s="335"/>
      <c r="B1027" s="84" t="str" cm="1">
        <f t="array" aca="1" ref="B1027" ca="1">HYPERLINK(CONCATENATE("#",CELL("address",$D$294)),$D$294)</f>
        <v>Loan 14</v>
      </c>
      <c r="C1027" s="380"/>
      <c r="D1027" s="60">
        <f>D$26</f>
        <v>0</v>
      </c>
      <c r="E1027" s="60">
        <f>E$26</f>
        <v>0</v>
      </c>
      <c r="F1027" s="335"/>
      <c r="G1027" s="9"/>
      <c r="H1027" s="50" t="s">
        <v>125</v>
      </c>
      <c r="I1027" s="335"/>
      <c r="J1027" s="335"/>
      <c r="K1027" s="335"/>
      <c r="L1027" s="335"/>
      <c r="M1027" s="335"/>
      <c r="N1027" s="335"/>
      <c r="O1027" s="335"/>
      <c r="P1027" s="335"/>
      <c r="Q1027" s="335"/>
      <c r="R1027" s="335"/>
      <c r="S1027" s="335"/>
      <c r="T1027" s="335"/>
      <c r="U1027" s="335"/>
      <c r="V1027" s="136"/>
      <c r="W1027" s="201">
        <f t="shared" ca="1" si="1184"/>
        <v>0</v>
      </c>
      <c r="X1027" s="201">
        <f t="shared" ca="1" si="1184"/>
        <v>0</v>
      </c>
      <c r="Y1027" s="201">
        <f t="shared" ca="1" si="1184"/>
        <v>0</v>
      </c>
      <c r="Z1027" s="335"/>
      <c r="AA1027" s="201">
        <f ca="1">IF($E1027=Parameters!$D$68, AA887, MIN(AA887,-SUM(OFFSET(AA864, 0, MIN(12, COUNTA(AB$3:$BJ$3)), , -MIN(12, COUNTA(AB$3:$BJ$3)) )) ))</f>
        <v>0</v>
      </c>
      <c r="AB1027" s="201">
        <f ca="1">IF($E1027=Parameters!$D$68, AB887, MIN(AB887,-SUM(OFFSET(AB864, 0, MIN(12, COUNTA(AC$3:$BJ$3)), , -MIN(12, COUNTA(AC$3:$BJ$3)) )) ))</f>
        <v>0</v>
      </c>
      <c r="AC1027" s="201">
        <f ca="1">IF($E1027=Parameters!$D$68, AC887, MIN(AC887,-SUM(OFFSET(AC864, 0, MIN(12, COUNTA(AD$3:$BJ$3)), , -MIN(12, COUNTA(AD$3:$BJ$3)) )) ))</f>
        <v>0</v>
      </c>
      <c r="AD1027" s="201">
        <f ca="1">IF($E1027=Parameters!$D$68, AD887, MIN(AD887,-SUM(OFFSET(AD864, 0, MIN(12, COUNTA(AE$3:$BJ$3)), , -MIN(12, COUNTA(AE$3:$BJ$3)) )) ))</f>
        <v>0</v>
      </c>
      <c r="AE1027" s="201">
        <f ca="1">IF($E1027=Parameters!$D$68, AE887, MIN(AE887,-SUM(OFFSET(AE864, 0, MIN(12, COUNTA(AF$3:$BJ$3)), , -MIN(12, COUNTA(AF$3:$BJ$3)) )) ))</f>
        <v>0</v>
      </c>
      <c r="AF1027" s="201">
        <f ca="1">IF($E1027=Parameters!$D$68, AF887, MIN(AF887,-SUM(OFFSET(AF864, 0, MIN(12, COUNTA(AG$3:$BJ$3)), , -MIN(12, COUNTA(AG$3:$BJ$3)) )) ))</f>
        <v>0</v>
      </c>
      <c r="AG1027" s="201">
        <f ca="1">IF($E1027=Parameters!$D$68, AG887, MIN(AG887,-SUM(OFFSET(AG864, 0, MIN(12, COUNTA(AH$3:$BJ$3)), , -MIN(12, COUNTA(AH$3:$BJ$3)) )) ))</f>
        <v>0</v>
      </c>
      <c r="AH1027" s="201">
        <f ca="1">IF($E1027=Parameters!$D$68, AH887, MIN(AH887,-SUM(OFFSET(AH864, 0, MIN(12, COUNTA(AI$3:$BJ$3)), , -MIN(12, COUNTA(AI$3:$BJ$3)) )) ))</f>
        <v>0</v>
      </c>
      <c r="AI1027" s="201">
        <f ca="1">IF($E1027=Parameters!$D$68, AI887, MIN(AI887,-SUM(OFFSET(AI864, 0, MIN(12, COUNTA(AJ$3:$BJ$3)), , -MIN(12, COUNTA(AJ$3:$BJ$3)) )) ))</f>
        <v>0</v>
      </c>
      <c r="AJ1027" s="201">
        <f ca="1">IF($E1027=Parameters!$D$68, AJ887, MIN(AJ887,-SUM(OFFSET(AJ864, 0, MIN(12, COUNTA(AK$3:$BJ$3)), , -MIN(12, COUNTA(AK$3:$BJ$3)) )) ))</f>
        <v>0</v>
      </c>
      <c r="AK1027" s="201">
        <f ca="1">IF($E1027=Parameters!$D$68, AK887, MIN(AK887,-SUM(OFFSET(AK864, 0, MIN(12, COUNTA(AL$3:$BJ$3)), , -MIN(12, COUNTA(AL$3:$BJ$3)) )) ))</f>
        <v>0</v>
      </c>
      <c r="AL1027" s="201">
        <f ca="1">IF($E1027=Parameters!$D$68, AL887, MIN(AL887,-SUM(OFFSET(AL864, 0, MIN(12, COUNTA(AM$3:$BJ$3)), , -MIN(12, COUNTA(AM$3:$BJ$3)) )) ))</f>
        <v>0</v>
      </c>
      <c r="AM1027" s="201">
        <f ca="1">IF($E1027=Parameters!$D$68, AM887, MIN(AM887,-SUM(OFFSET(AM864, 0, MIN(12, COUNTA(AN$3:$BJ$3)), , -MIN(12, COUNTA(AN$3:$BJ$3)) )) ))</f>
        <v>0</v>
      </c>
      <c r="AN1027" s="201">
        <f ca="1">IF($E1027=Parameters!$D$68, AN887, MIN(AN887,-SUM(OFFSET(AN864, 0, MIN(12, COUNTA(AO$3:$BJ$3)), , -MIN(12, COUNTA(AO$3:$BJ$3)) )) ))</f>
        <v>0</v>
      </c>
      <c r="AO1027" s="201">
        <f ca="1">IF($E1027=Parameters!$D$68, AO887, MIN(AO887,-SUM(OFFSET(AO864, 0, MIN(12, COUNTA(AP$3:$BJ$3)), , -MIN(12, COUNTA(AP$3:$BJ$3)) )) ))</f>
        <v>0</v>
      </c>
      <c r="AP1027" s="201">
        <f ca="1">IF($E1027=Parameters!$D$68, AP887, MIN(AP887,-SUM(OFFSET(AP864, 0, MIN(12, COUNTA(AQ$3:$BJ$3)), , -MIN(12, COUNTA(AQ$3:$BJ$3)) )) ))</f>
        <v>0</v>
      </c>
      <c r="AQ1027" s="201">
        <f ca="1">IF($E1027=Parameters!$D$68, AQ887, MIN(AQ887,-SUM(OFFSET(AQ864, 0, MIN(12, COUNTA(AR$3:$BJ$3)), , -MIN(12, COUNTA(AR$3:$BJ$3)) )) ))</f>
        <v>0</v>
      </c>
      <c r="AR1027" s="201">
        <f ca="1">IF($E1027=Parameters!$D$68, AR887, MIN(AR887,-SUM(OFFSET(AR864, 0, MIN(12, COUNTA(AS$3:$BJ$3)), , -MIN(12, COUNTA(AS$3:$BJ$3)) )) ))</f>
        <v>0</v>
      </c>
      <c r="AS1027" s="201">
        <f ca="1">IF($E1027=Parameters!$D$68, AS887, MIN(AS887,-SUM(OFFSET(AS864, 0, MIN(12, COUNTA(AT$3:$BJ$3)), , -MIN(12, COUNTA(AT$3:$BJ$3)) )) ))</f>
        <v>0</v>
      </c>
      <c r="AT1027" s="201">
        <f ca="1">IF($E1027=Parameters!$D$68, AT887, MIN(AT887,-SUM(OFFSET(AT864, 0, MIN(12, COUNTA(AU$3:$BJ$3)), , -MIN(12, COUNTA(AU$3:$BJ$3)) )) ))</f>
        <v>0</v>
      </c>
      <c r="AU1027" s="201">
        <f ca="1">IF($E1027=Parameters!$D$68, AU887, MIN(AU887,-SUM(OFFSET(AU864, 0, MIN(12, COUNTA(AV$3:$BJ$3)), , -MIN(12, COUNTA(AV$3:$BJ$3)) )) ))</f>
        <v>0</v>
      </c>
      <c r="AV1027" s="201">
        <f ca="1">IF($E1027=Parameters!$D$68, AV887, MIN(AV887,-SUM(OFFSET(AV864, 0, MIN(12, COUNTA(AW$3:$BJ$3)), , -MIN(12, COUNTA(AW$3:$BJ$3)) )) ))</f>
        <v>0</v>
      </c>
      <c r="AW1027" s="201">
        <f ca="1">IF($E1027=Parameters!$D$68, AW887, MIN(AW887,-SUM(OFFSET(AW864, 0, MIN(12, COUNTA(AX$3:$BJ$3)), , -MIN(12, COUNTA(AX$3:$BJ$3)) )) ))</f>
        <v>0</v>
      </c>
      <c r="AX1027" s="201">
        <f ca="1">IF($E1027=Parameters!$D$68, AX887, MIN(AX887,-SUM(OFFSET(AX864, 0, MIN(12, COUNTA(AY$3:$BJ$3)), , -MIN(12, COUNTA(AY$3:$BJ$3)) )) ))</f>
        <v>0</v>
      </c>
      <c r="AY1027" s="201">
        <f ca="1">IF($E1027=Parameters!$D$68, AY887, MIN(AY887,-SUM(OFFSET(AY864, 0, MIN(12, COUNTA(AZ$3:$BJ$3)), , -MIN(12, COUNTA(AZ$3:$BJ$3)) )) ))</f>
        <v>0</v>
      </c>
      <c r="AZ1027" s="201">
        <f ca="1">IF($E1027=Parameters!$D$68, AZ887, MIN(AZ887,-SUM(OFFSET(AZ864, 0, MIN(12, COUNTA(BA$3:$BJ$3)), , -MIN(12, COUNTA(BA$3:$BJ$3)) )) ))</f>
        <v>0</v>
      </c>
      <c r="BA1027" s="201">
        <f ca="1">IF($E1027=Parameters!$D$68, BA887, MIN(BA887,-SUM(OFFSET(BA864, 0, MIN(12, COUNTA(BB$3:$BJ$3)), , -MIN(12, COUNTA(BB$3:$BJ$3)) )) ))</f>
        <v>0</v>
      </c>
      <c r="BB1027" s="201">
        <f ca="1">IF($E1027=Parameters!$D$68, BB887, MIN(BB887,-SUM(OFFSET(BB864, 0, MIN(12, COUNTA(BC$3:$BJ$3)), , -MIN(12, COUNTA(BC$3:$BJ$3)) )) ))</f>
        <v>0</v>
      </c>
      <c r="BC1027" s="201">
        <f ca="1">IF($E1027=Parameters!$D$68, BC887, MIN(BC887,-SUM(OFFSET(BC864, 0, MIN(12, COUNTA(BD$3:$BJ$3)), , -MIN(12, COUNTA(BD$3:$BJ$3)) )) ))</f>
        <v>0</v>
      </c>
      <c r="BD1027" s="201">
        <f ca="1">IF($E1027=Parameters!$D$68, BD887, MIN(BD887,-SUM(OFFSET(BD864, 0, MIN(12, COUNTA(BE$3:$BJ$3)), , -MIN(12, COUNTA(BE$3:$BJ$3)) )) ))</f>
        <v>0</v>
      </c>
      <c r="BE1027" s="201">
        <f ca="1">IF($E1027=Parameters!$D$68, BE887, MIN(BE887,-SUM(OFFSET(BE864, 0, MIN(12, COUNTA(BF$3:$BJ$3)), , -MIN(12, COUNTA(BF$3:$BJ$3)) )) ))</f>
        <v>0</v>
      </c>
      <c r="BF1027" s="201">
        <f ca="1">IF($E1027=Parameters!$D$68, BF887, MIN(BF887,-SUM(OFFSET(BF864, 0, MIN(12, COUNTA(BG$3:$BJ$3)), , -MIN(12, COUNTA(BG$3:$BJ$3)) )) ))</f>
        <v>0</v>
      </c>
      <c r="BG1027" s="201">
        <f ca="1">IF($E1027=Parameters!$D$68, BG887, MIN(BG887,-SUM(OFFSET(BG864, 0, MIN(12, COUNTA(BH$3:$BJ$3)), , -MIN(12, COUNTA(BH$3:$BJ$3)) )) ))</f>
        <v>0</v>
      </c>
      <c r="BH1027" s="201">
        <f ca="1">IF($E1027=Parameters!$D$68, BH887, MIN(BH887,-SUM(OFFSET(BH864, 0, MIN(12, COUNTA(BI$3:$BJ$3)), , -MIN(12, COUNTA(BI$3:$BJ$3)) )) ))</f>
        <v>0</v>
      </c>
      <c r="BI1027" s="201">
        <f ca="1">IF($E1027=Parameters!$D$68, BI887, MIN(BI887,-SUM(OFFSET(BI864, 0, MIN(12, COUNTA(BJ$3:$BJ$3)), , -MIN(12, COUNTA(BJ$3:$BJ$3)) )) ))</f>
        <v>0</v>
      </c>
      <c r="BJ1027" s="13">
        <f ca="1">IF($E1027=Parameters!$D$68, BJ887, MIN(BJ887,-SUM(OFFSET(BJ864, 0, MIN(12, COUNTA($BJ$3:BK$3)), , -MIN(12, COUNTA($BJ$3:BK$3)) )) ))</f>
        <v>0</v>
      </c>
      <c r="BK1027" s="335"/>
      <c r="BL1027" s="136"/>
      <c r="BM1027" s="13">
        <f t="shared" ca="1" si="1185"/>
        <v>0</v>
      </c>
      <c r="BN1027" s="13">
        <f t="shared" ca="1" si="1186"/>
        <v>0</v>
      </c>
      <c r="BO1027" s="13">
        <f t="shared" ca="1" si="1187"/>
        <v>0</v>
      </c>
      <c r="BP1027" s="136"/>
      <c r="BQ1027" s="136"/>
      <c r="BR1027" s="136"/>
      <c r="BS1027" s="136"/>
      <c r="BT1027" s="136"/>
      <c r="BU1027" s="136"/>
      <c r="BV1027" s="136"/>
      <c r="BW1027" s="136"/>
      <c r="BX1027" s="335"/>
      <c r="BY1027" s="12"/>
      <c r="BZ1027" s="335"/>
      <c r="CA1027" s="12"/>
      <c r="CB1027" s="335"/>
      <c r="CC1027" s="335"/>
      <c r="CD1027" s="335"/>
      <c r="CE1027" s="335"/>
      <c r="CF1027" s="335"/>
      <c r="CG1027" s="335"/>
      <c r="CH1027" s="335"/>
      <c r="CI1027" s="335"/>
      <c r="CJ1027" s="162"/>
      <c r="CK1027" s="335"/>
      <c r="CL1027" s="335"/>
      <c r="CM1027" s="335"/>
      <c r="CN1027" s="335"/>
      <c r="CO1027" s="335"/>
      <c r="CP1027" s="335"/>
      <c r="CQ1027" s="335"/>
      <c r="CR1027" s="12"/>
      <c r="EX1027" s="10" t="str">
        <f t="shared" si="1183"/>
        <v/>
      </c>
    </row>
    <row r="1028" spans="1:154" s="335" customFormat="1" x14ac:dyDescent="0.25">
      <c r="B1028" s="84" t="str" cm="1">
        <f t="array" aca="1" ref="B1028" ca="1">HYPERLINK(CONCATENATE("#",CELL("address",$D$313)),$D$313)</f>
        <v>Loan 15</v>
      </c>
      <c r="C1028" s="380"/>
      <c r="D1028" s="60">
        <f>D$27</f>
        <v>0</v>
      </c>
      <c r="E1028" s="60">
        <f>E$27</f>
        <v>0</v>
      </c>
      <c r="G1028" s="9"/>
      <c r="H1028" s="50" t="s">
        <v>125</v>
      </c>
      <c r="V1028" s="136"/>
      <c r="W1028" s="201">
        <f t="shared" ca="1" si="1184"/>
        <v>0</v>
      </c>
      <c r="X1028" s="201">
        <f t="shared" ca="1" si="1184"/>
        <v>0</v>
      </c>
      <c r="Y1028" s="201">
        <f t="shared" ca="1" si="1184"/>
        <v>0</v>
      </c>
      <c r="AA1028" s="201">
        <f ca="1">IF($E1028=Parameters!$D$68, AA888, MIN(AA888,-SUM(OFFSET(AA865, 0, MIN(12, COUNTA(AB$3:$BJ$3)), , -MIN(12, COUNTA(AB$3:$BJ$3)) )) ))</f>
        <v>0</v>
      </c>
      <c r="AB1028" s="201">
        <f ca="1">IF($E1028=Parameters!$D$68, AB888, MIN(AB888,-SUM(OFFSET(AB865, 0, MIN(12, COUNTA(AC$3:$BJ$3)), , -MIN(12, COUNTA(AC$3:$BJ$3)) )) ))</f>
        <v>0</v>
      </c>
      <c r="AC1028" s="201">
        <f ca="1">IF($E1028=Parameters!$D$68, AC888, MIN(AC888,-SUM(OFFSET(AC865, 0, MIN(12, COUNTA(AD$3:$BJ$3)), , -MIN(12, COUNTA(AD$3:$BJ$3)) )) ))</f>
        <v>0</v>
      </c>
      <c r="AD1028" s="201">
        <f ca="1">IF($E1028=Parameters!$D$68, AD888, MIN(AD888,-SUM(OFFSET(AD865, 0, MIN(12, COUNTA(AE$3:$BJ$3)), , -MIN(12, COUNTA(AE$3:$BJ$3)) )) ))</f>
        <v>0</v>
      </c>
      <c r="AE1028" s="201">
        <f ca="1">IF($E1028=Parameters!$D$68, AE888, MIN(AE888,-SUM(OFFSET(AE865, 0, MIN(12, COUNTA(AF$3:$BJ$3)), , -MIN(12, COUNTA(AF$3:$BJ$3)) )) ))</f>
        <v>0</v>
      </c>
      <c r="AF1028" s="201">
        <f ca="1">IF($E1028=Parameters!$D$68, AF888, MIN(AF888,-SUM(OFFSET(AF865, 0, MIN(12, COUNTA(AG$3:$BJ$3)), , -MIN(12, COUNTA(AG$3:$BJ$3)) )) ))</f>
        <v>0</v>
      </c>
      <c r="AG1028" s="201">
        <f ca="1">IF($E1028=Parameters!$D$68, AG888, MIN(AG888,-SUM(OFFSET(AG865, 0, MIN(12, COUNTA(AH$3:$BJ$3)), , -MIN(12, COUNTA(AH$3:$BJ$3)) )) ))</f>
        <v>0</v>
      </c>
      <c r="AH1028" s="201">
        <f ca="1">IF($E1028=Parameters!$D$68, AH888, MIN(AH888,-SUM(OFFSET(AH865, 0, MIN(12, COUNTA(AI$3:$BJ$3)), , -MIN(12, COUNTA(AI$3:$BJ$3)) )) ))</f>
        <v>0</v>
      </c>
      <c r="AI1028" s="201">
        <f ca="1">IF($E1028=Parameters!$D$68, AI888, MIN(AI888,-SUM(OFFSET(AI865, 0, MIN(12, COUNTA(AJ$3:$BJ$3)), , -MIN(12, COUNTA(AJ$3:$BJ$3)) )) ))</f>
        <v>0</v>
      </c>
      <c r="AJ1028" s="201">
        <f ca="1">IF($E1028=Parameters!$D$68, AJ888, MIN(AJ888,-SUM(OFFSET(AJ865, 0, MIN(12, COUNTA(AK$3:$BJ$3)), , -MIN(12, COUNTA(AK$3:$BJ$3)) )) ))</f>
        <v>0</v>
      </c>
      <c r="AK1028" s="201">
        <f ca="1">IF($E1028=Parameters!$D$68, AK888, MIN(AK888,-SUM(OFFSET(AK865, 0, MIN(12, COUNTA(AL$3:$BJ$3)), , -MIN(12, COUNTA(AL$3:$BJ$3)) )) ))</f>
        <v>0</v>
      </c>
      <c r="AL1028" s="201">
        <f ca="1">IF($E1028=Parameters!$D$68, AL888, MIN(AL888,-SUM(OFFSET(AL865, 0, MIN(12, COUNTA(AM$3:$BJ$3)), , -MIN(12, COUNTA(AM$3:$BJ$3)) )) ))</f>
        <v>0</v>
      </c>
      <c r="AM1028" s="201">
        <f ca="1">IF($E1028=Parameters!$D$68, AM888, MIN(AM888,-SUM(OFFSET(AM865, 0, MIN(12, COUNTA(AN$3:$BJ$3)), , -MIN(12, COUNTA(AN$3:$BJ$3)) )) ))</f>
        <v>0</v>
      </c>
      <c r="AN1028" s="201">
        <f ca="1">IF($E1028=Parameters!$D$68, AN888, MIN(AN888,-SUM(OFFSET(AN865, 0, MIN(12, COUNTA(AO$3:$BJ$3)), , -MIN(12, COUNTA(AO$3:$BJ$3)) )) ))</f>
        <v>0</v>
      </c>
      <c r="AO1028" s="201">
        <f ca="1">IF($E1028=Parameters!$D$68, AO888, MIN(AO888,-SUM(OFFSET(AO865, 0, MIN(12, COUNTA(AP$3:$BJ$3)), , -MIN(12, COUNTA(AP$3:$BJ$3)) )) ))</f>
        <v>0</v>
      </c>
      <c r="AP1028" s="201">
        <f ca="1">IF($E1028=Parameters!$D$68, AP888, MIN(AP888,-SUM(OFFSET(AP865, 0, MIN(12, COUNTA(AQ$3:$BJ$3)), , -MIN(12, COUNTA(AQ$3:$BJ$3)) )) ))</f>
        <v>0</v>
      </c>
      <c r="AQ1028" s="201">
        <f ca="1">IF($E1028=Parameters!$D$68, AQ888, MIN(AQ888,-SUM(OFFSET(AQ865, 0, MIN(12, COUNTA(AR$3:$BJ$3)), , -MIN(12, COUNTA(AR$3:$BJ$3)) )) ))</f>
        <v>0</v>
      </c>
      <c r="AR1028" s="201">
        <f ca="1">IF($E1028=Parameters!$D$68, AR888, MIN(AR888,-SUM(OFFSET(AR865, 0, MIN(12, COUNTA(AS$3:$BJ$3)), , -MIN(12, COUNTA(AS$3:$BJ$3)) )) ))</f>
        <v>0</v>
      </c>
      <c r="AS1028" s="201">
        <f ca="1">IF($E1028=Parameters!$D$68, AS888, MIN(AS888,-SUM(OFFSET(AS865, 0, MIN(12, COUNTA(AT$3:$BJ$3)), , -MIN(12, COUNTA(AT$3:$BJ$3)) )) ))</f>
        <v>0</v>
      </c>
      <c r="AT1028" s="201">
        <f ca="1">IF($E1028=Parameters!$D$68, AT888, MIN(AT888,-SUM(OFFSET(AT865, 0, MIN(12, COUNTA(AU$3:$BJ$3)), , -MIN(12, COUNTA(AU$3:$BJ$3)) )) ))</f>
        <v>0</v>
      </c>
      <c r="AU1028" s="201">
        <f ca="1">IF($E1028=Parameters!$D$68, AU888, MIN(AU888,-SUM(OFFSET(AU865, 0, MIN(12, COUNTA(AV$3:$BJ$3)), , -MIN(12, COUNTA(AV$3:$BJ$3)) )) ))</f>
        <v>0</v>
      </c>
      <c r="AV1028" s="201">
        <f ca="1">IF($E1028=Parameters!$D$68, AV888, MIN(AV888,-SUM(OFFSET(AV865, 0, MIN(12, COUNTA(AW$3:$BJ$3)), , -MIN(12, COUNTA(AW$3:$BJ$3)) )) ))</f>
        <v>0</v>
      </c>
      <c r="AW1028" s="201">
        <f ca="1">IF($E1028=Parameters!$D$68, AW888, MIN(AW888,-SUM(OFFSET(AW865, 0, MIN(12, COUNTA(AX$3:$BJ$3)), , -MIN(12, COUNTA(AX$3:$BJ$3)) )) ))</f>
        <v>0</v>
      </c>
      <c r="AX1028" s="201">
        <f ca="1">IF($E1028=Parameters!$D$68, AX888, MIN(AX888,-SUM(OFFSET(AX865, 0, MIN(12, COUNTA(AY$3:$BJ$3)), , -MIN(12, COUNTA(AY$3:$BJ$3)) )) ))</f>
        <v>0</v>
      </c>
      <c r="AY1028" s="201">
        <f ca="1">IF($E1028=Parameters!$D$68, AY888, MIN(AY888,-SUM(OFFSET(AY865, 0, MIN(12, COUNTA(AZ$3:$BJ$3)), , -MIN(12, COUNTA(AZ$3:$BJ$3)) )) ))</f>
        <v>0</v>
      </c>
      <c r="AZ1028" s="201">
        <f ca="1">IF($E1028=Parameters!$D$68, AZ888, MIN(AZ888,-SUM(OFFSET(AZ865, 0, MIN(12, COUNTA(BA$3:$BJ$3)), , -MIN(12, COUNTA(BA$3:$BJ$3)) )) ))</f>
        <v>0</v>
      </c>
      <c r="BA1028" s="201">
        <f ca="1">IF($E1028=Parameters!$D$68, BA888, MIN(BA888,-SUM(OFFSET(BA865, 0, MIN(12, COUNTA(BB$3:$BJ$3)), , -MIN(12, COUNTA(BB$3:$BJ$3)) )) ))</f>
        <v>0</v>
      </c>
      <c r="BB1028" s="201">
        <f ca="1">IF($E1028=Parameters!$D$68, BB888, MIN(BB888,-SUM(OFFSET(BB865, 0, MIN(12, COUNTA(BC$3:$BJ$3)), , -MIN(12, COUNTA(BC$3:$BJ$3)) )) ))</f>
        <v>0</v>
      </c>
      <c r="BC1028" s="201">
        <f ca="1">IF($E1028=Parameters!$D$68, BC888, MIN(BC888,-SUM(OFFSET(BC865, 0, MIN(12, COUNTA(BD$3:$BJ$3)), , -MIN(12, COUNTA(BD$3:$BJ$3)) )) ))</f>
        <v>0</v>
      </c>
      <c r="BD1028" s="201">
        <f ca="1">IF($E1028=Parameters!$D$68, BD888, MIN(BD888,-SUM(OFFSET(BD865, 0, MIN(12, COUNTA(BE$3:$BJ$3)), , -MIN(12, COUNTA(BE$3:$BJ$3)) )) ))</f>
        <v>0</v>
      </c>
      <c r="BE1028" s="201">
        <f ca="1">IF($E1028=Parameters!$D$68, BE888, MIN(BE888,-SUM(OFFSET(BE865, 0, MIN(12, COUNTA(BF$3:$BJ$3)), , -MIN(12, COUNTA(BF$3:$BJ$3)) )) ))</f>
        <v>0</v>
      </c>
      <c r="BF1028" s="201">
        <f ca="1">IF($E1028=Parameters!$D$68, BF888, MIN(BF888,-SUM(OFFSET(BF865, 0, MIN(12, COUNTA(BG$3:$BJ$3)), , -MIN(12, COUNTA(BG$3:$BJ$3)) )) ))</f>
        <v>0</v>
      </c>
      <c r="BG1028" s="201">
        <f ca="1">IF($E1028=Parameters!$D$68, BG888, MIN(BG888,-SUM(OFFSET(BG865, 0, MIN(12, COUNTA(BH$3:$BJ$3)), , -MIN(12, COUNTA(BH$3:$BJ$3)) )) ))</f>
        <v>0</v>
      </c>
      <c r="BH1028" s="201">
        <f ca="1">IF($E1028=Parameters!$D$68, BH888, MIN(BH888,-SUM(OFFSET(BH865, 0, MIN(12, COUNTA(BI$3:$BJ$3)), , -MIN(12, COUNTA(BI$3:$BJ$3)) )) ))</f>
        <v>0</v>
      </c>
      <c r="BI1028" s="201">
        <f ca="1">IF($E1028=Parameters!$D$68, BI888, MIN(BI888,-SUM(OFFSET(BI865, 0, MIN(12, COUNTA(BJ$3:$BJ$3)), , -MIN(12, COUNTA(BJ$3:$BJ$3)) )) ))</f>
        <v>0</v>
      </c>
      <c r="BJ1028" s="13">
        <f ca="1">IF($E1028=Parameters!$D$68, BJ888, MIN(BJ888,-SUM(OFFSET(BJ865, 0, MIN(12, COUNTA($BJ$3:BK$3)), , -MIN(12, COUNTA($BJ$3:BK$3)) )) ))</f>
        <v>0</v>
      </c>
      <c r="BL1028" s="136"/>
      <c r="BM1028" s="13">
        <f t="shared" ca="1" si="1185"/>
        <v>0</v>
      </c>
      <c r="BN1028" s="13">
        <f t="shared" ca="1" si="1186"/>
        <v>0</v>
      </c>
      <c r="BO1028" s="13">
        <f t="shared" ca="1" si="1187"/>
        <v>0</v>
      </c>
      <c r="BP1028" s="136"/>
      <c r="BQ1028" s="136"/>
      <c r="BR1028" s="136"/>
      <c r="BS1028" s="136"/>
      <c r="BT1028" s="136"/>
      <c r="BU1028" s="136"/>
      <c r="BV1028" s="136"/>
      <c r="BW1028" s="136"/>
      <c r="BY1028" s="12"/>
      <c r="CA1028" s="12"/>
      <c r="CJ1028" s="162"/>
      <c r="CR1028" s="12"/>
      <c r="EX1028" s="10" t="str">
        <f t="shared" si="1183"/>
        <v/>
      </c>
    </row>
    <row r="1029" spans="1:154" s="335" customFormat="1" x14ac:dyDescent="0.25">
      <c r="B1029" s="84" t="str" cm="1">
        <f t="array" aca="1" ref="B1029" ca="1">HYPERLINK(CONCATENATE("#",CELL("address",$D$332)),$D$332)</f>
        <v>Loan 16</v>
      </c>
      <c r="C1029" s="380"/>
      <c r="D1029" s="60">
        <f>D$28</f>
        <v>0</v>
      </c>
      <c r="E1029" s="60">
        <f>E$28</f>
        <v>0</v>
      </c>
      <c r="G1029" s="9"/>
      <c r="H1029" s="50" t="s">
        <v>125</v>
      </c>
      <c r="V1029" s="136"/>
      <c r="W1029" s="201">
        <f t="shared" ca="1" si="1184"/>
        <v>0</v>
      </c>
      <c r="X1029" s="201">
        <f t="shared" ca="1" si="1184"/>
        <v>0</v>
      </c>
      <c r="Y1029" s="201">
        <f t="shared" ca="1" si="1184"/>
        <v>0</v>
      </c>
      <c r="AA1029" s="201">
        <f ca="1">IF($E1029=Parameters!$D$68, AA889, MIN(AA889,-SUM(OFFSET(AA866, 0, MIN(12, COUNTA(AB$3:$BJ$3)), , -MIN(12, COUNTA(AB$3:$BJ$3)) )) ))</f>
        <v>0</v>
      </c>
      <c r="AB1029" s="201">
        <f ca="1">IF($E1029=Parameters!$D$68, AB889, MIN(AB889,-SUM(OFFSET(AB866, 0, MIN(12, COUNTA(AC$3:$BJ$3)), , -MIN(12, COUNTA(AC$3:$BJ$3)) )) ))</f>
        <v>0</v>
      </c>
      <c r="AC1029" s="201">
        <f ca="1">IF($E1029=Parameters!$D$68, AC889, MIN(AC889,-SUM(OFFSET(AC866, 0, MIN(12, COUNTA(AD$3:$BJ$3)), , -MIN(12, COUNTA(AD$3:$BJ$3)) )) ))</f>
        <v>0</v>
      </c>
      <c r="AD1029" s="201">
        <f ca="1">IF($E1029=Parameters!$D$68, AD889, MIN(AD889,-SUM(OFFSET(AD866, 0, MIN(12, COUNTA(AE$3:$BJ$3)), , -MIN(12, COUNTA(AE$3:$BJ$3)) )) ))</f>
        <v>0</v>
      </c>
      <c r="AE1029" s="201">
        <f ca="1">IF($E1029=Parameters!$D$68, AE889, MIN(AE889,-SUM(OFFSET(AE866, 0, MIN(12, COUNTA(AF$3:$BJ$3)), , -MIN(12, COUNTA(AF$3:$BJ$3)) )) ))</f>
        <v>0</v>
      </c>
      <c r="AF1029" s="201">
        <f ca="1">IF($E1029=Parameters!$D$68, AF889, MIN(AF889,-SUM(OFFSET(AF866, 0, MIN(12, COUNTA(AG$3:$BJ$3)), , -MIN(12, COUNTA(AG$3:$BJ$3)) )) ))</f>
        <v>0</v>
      </c>
      <c r="AG1029" s="201">
        <f ca="1">IF($E1029=Parameters!$D$68, AG889, MIN(AG889,-SUM(OFFSET(AG866, 0, MIN(12, COUNTA(AH$3:$BJ$3)), , -MIN(12, COUNTA(AH$3:$BJ$3)) )) ))</f>
        <v>0</v>
      </c>
      <c r="AH1029" s="201">
        <f ca="1">IF($E1029=Parameters!$D$68, AH889, MIN(AH889,-SUM(OFFSET(AH866, 0, MIN(12, COUNTA(AI$3:$BJ$3)), , -MIN(12, COUNTA(AI$3:$BJ$3)) )) ))</f>
        <v>0</v>
      </c>
      <c r="AI1029" s="201">
        <f ca="1">IF($E1029=Parameters!$D$68, AI889, MIN(AI889,-SUM(OFFSET(AI866, 0, MIN(12, COUNTA(AJ$3:$BJ$3)), , -MIN(12, COUNTA(AJ$3:$BJ$3)) )) ))</f>
        <v>0</v>
      </c>
      <c r="AJ1029" s="201">
        <f ca="1">IF($E1029=Parameters!$D$68, AJ889, MIN(AJ889,-SUM(OFFSET(AJ866, 0, MIN(12, COUNTA(AK$3:$BJ$3)), , -MIN(12, COUNTA(AK$3:$BJ$3)) )) ))</f>
        <v>0</v>
      </c>
      <c r="AK1029" s="201">
        <f ca="1">IF($E1029=Parameters!$D$68, AK889, MIN(AK889,-SUM(OFFSET(AK866, 0, MIN(12, COUNTA(AL$3:$BJ$3)), , -MIN(12, COUNTA(AL$3:$BJ$3)) )) ))</f>
        <v>0</v>
      </c>
      <c r="AL1029" s="201">
        <f ca="1">IF($E1029=Parameters!$D$68, AL889, MIN(AL889,-SUM(OFFSET(AL866, 0, MIN(12, COUNTA(AM$3:$BJ$3)), , -MIN(12, COUNTA(AM$3:$BJ$3)) )) ))</f>
        <v>0</v>
      </c>
      <c r="AM1029" s="201">
        <f ca="1">IF($E1029=Parameters!$D$68, AM889, MIN(AM889,-SUM(OFFSET(AM866, 0, MIN(12, COUNTA(AN$3:$BJ$3)), , -MIN(12, COUNTA(AN$3:$BJ$3)) )) ))</f>
        <v>0</v>
      </c>
      <c r="AN1029" s="201">
        <f ca="1">IF($E1029=Parameters!$D$68, AN889, MIN(AN889,-SUM(OFFSET(AN866, 0, MIN(12, COUNTA(AO$3:$BJ$3)), , -MIN(12, COUNTA(AO$3:$BJ$3)) )) ))</f>
        <v>0</v>
      </c>
      <c r="AO1029" s="201">
        <f ca="1">IF($E1029=Parameters!$D$68, AO889, MIN(AO889,-SUM(OFFSET(AO866, 0, MIN(12, COUNTA(AP$3:$BJ$3)), , -MIN(12, COUNTA(AP$3:$BJ$3)) )) ))</f>
        <v>0</v>
      </c>
      <c r="AP1029" s="201">
        <f ca="1">IF($E1029=Parameters!$D$68, AP889, MIN(AP889,-SUM(OFFSET(AP866, 0, MIN(12, COUNTA(AQ$3:$BJ$3)), , -MIN(12, COUNTA(AQ$3:$BJ$3)) )) ))</f>
        <v>0</v>
      </c>
      <c r="AQ1029" s="201">
        <f ca="1">IF($E1029=Parameters!$D$68, AQ889, MIN(AQ889,-SUM(OFFSET(AQ866, 0, MIN(12, COUNTA(AR$3:$BJ$3)), , -MIN(12, COUNTA(AR$3:$BJ$3)) )) ))</f>
        <v>0</v>
      </c>
      <c r="AR1029" s="201">
        <f ca="1">IF($E1029=Parameters!$D$68, AR889, MIN(AR889,-SUM(OFFSET(AR866, 0, MIN(12, COUNTA(AS$3:$BJ$3)), , -MIN(12, COUNTA(AS$3:$BJ$3)) )) ))</f>
        <v>0</v>
      </c>
      <c r="AS1029" s="201">
        <f ca="1">IF($E1029=Parameters!$D$68, AS889, MIN(AS889,-SUM(OFFSET(AS866, 0, MIN(12, COUNTA(AT$3:$BJ$3)), , -MIN(12, COUNTA(AT$3:$BJ$3)) )) ))</f>
        <v>0</v>
      </c>
      <c r="AT1029" s="201">
        <f ca="1">IF($E1029=Parameters!$D$68, AT889, MIN(AT889,-SUM(OFFSET(AT866, 0, MIN(12, COUNTA(AU$3:$BJ$3)), , -MIN(12, COUNTA(AU$3:$BJ$3)) )) ))</f>
        <v>0</v>
      </c>
      <c r="AU1029" s="201">
        <f ca="1">IF($E1029=Parameters!$D$68, AU889, MIN(AU889,-SUM(OFFSET(AU866, 0, MIN(12, COUNTA(AV$3:$BJ$3)), , -MIN(12, COUNTA(AV$3:$BJ$3)) )) ))</f>
        <v>0</v>
      </c>
      <c r="AV1029" s="201">
        <f ca="1">IF($E1029=Parameters!$D$68, AV889, MIN(AV889,-SUM(OFFSET(AV866, 0, MIN(12, COUNTA(AW$3:$BJ$3)), , -MIN(12, COUNTA(AW$3:$BJ$3)) )) ))</f>
        <v>0</v>
      </c>
      <c r="AW1029" s="201">
        <f ca="1">IF($E1029=Parameters!$D$68, AW889, MIN(AW889,-SUM(OFFSET(AW866, 0, MIN(12, COUNTA(AX$3:$BJ$3)), , -MIN(12, COUNTA(AX$3:$BJ$3)) )) ))</f>
        <v>0</v>
      </c>
      <c r="AX1029" s="201">
        <f ca="1">IF($E1029=Parameters!$D$68, AX889, MIN(AX889,-SUM(OFFSET(AX866, 0, MIN(12, COUNTA(AY$3:$BJ$3)), , -MIN(12, COUNTA(AY$3:$BJ$3)) )) ))</f>
        <v>0</v>
      </c>
      <c r="AY1029" s="201">
        <f ca="1">IF($E1029=Parameters!$D$68, AY889, MIN(AY889,-SUM(OFFSET(AY866, 0, MIN(12, COUNTA(AZ$3:$BJ$3)), , -MIN(12, COUNTA(AZ$3:$BJ$3)) )) ))</f>
        <v>0</v>
      </c>
      <c r="AZ1029" s="201">
        <f ca="1">IF($E1029=Parameters!$D$68, AZ889, MIN(AZ889,-SUM(OFFSET(AZ866, 0, MIN(12, COUNTA(BA$3:$BJ$3)), , -MIN(12, COUNTA(BA$3:$BJ$3)) )) ))</f>
        <v>0</v>
      </c>
      <c r="BA1029" s="201">
        <f ca="1">IF($E1029=Parameters!$D$68, BA889, MIN(BA889,-SUM(OFFSET(BA866, 0, MIN(12, COUNTA(BB$3:$BJ$3)), , -MIN(12, COUNTA(BB$3:$BJ$3)) )) ))</f>
        <v>0</v>
      </c>
      <c r="BB1029" s="201">
        <f ca="1">IF($E1029=Parameters!$D$68, BB889, MIN(BB889,-SUM(OFFSET(BB866, 0, MIN(12, COUNTA(BC$3:$BJ$3)), , -MIN(12, COUNTA(BC$3:$BJ$3)) )) ))</f>
        <v>0</v>
      </c>
      <c r="BC1029" s="201">
        <f ca="1">IF($E1029=Parameters!$D$68, BC889, MIN(BC889,-SUM(OFFSET(BC866, 0, MIN(12, COUNTA(BD$3:$BJ$3)), , -MIN(12, COUNTA(BD$3:$BJ$3)) )) ))</f>
        <v>0</v>
      </c>
      <c r="BD1029" s="201">
        <f ca="1">IF($E1029=Parameters!$D$68, BD889, MIN(BD889,-SUM(OFFSET(BD866, 0, MIN(12, COUNTA(BE$3:$BJ$3)), , -MIN(12, COUNTA(BE$3:$BJ$3)) )) ))</f>
        <v>0</v>
      </c>
      <c r="BE1029" s="201">
        <f ca="1">IF($E1029=Parameters!$D$68, BE889, MIN(BE889,-SUM(OFFSET(BE866, 0, MIN(12, COUNTA(BF$3:$BJ$3)), , -MIN(12, COUNTA(BF$3:$BJ$3)) )) ))</f>
        <v>0</v>
      </c>
      <c r="BF1029" s="201">
        <f ca="1">IF($E1029=Parameters!$D$68, BF889, MIN(BF889,-SUM(OFFSET(BF866, 0, MIN(12, COUNTA(BG$3:$BJ$3)), , -MIN(12, COUNTA(BG$3:$BJ$3)) )) ))</f>
        <v>0</v>
      </c>
      <c r="BG1029" s="201">
        <f ca="1">IF($E1029=Parameters!$D$68, BG889, MIN(BG889,-SUM(OFFSET(BG866, 0, MIN(12, COUNTA(BH$3:$BJ$3)), , -MIN(12, COUNTA(BH$3:$BJ$3)) )) ))</f>
        <v>0</v>
      </c>
      <c r="BH1029" s="201">
        <f ca="1">IF($E1029=Parameters!$D$68, BH889, MIN(BH889,-SUM(OFFSET(BH866, 0, MIN(12, COUNTA(BI$3:$BJ$3)), , -MIN(12, COUNTA(BI$3:$BJ$3)) )) ))</f>
        <v>0</v>
      </c>
      <c r="BI1029" s="201">
        <f ca="1">IF($E1029=Parameters!$D$68, BI889, MIN(BI889,-SUM(OFFSET(BI866, 0, MIN(12, COUNTA(BJ$3:$BJ$3)), , -MIN(12, COUNTA(BJ$3:$BJ$3)) )) ))</f>
        <v>0</v>
      </c>
      <c r="BJ1029" s="13">
        <f ca="1">IF($E1029=Parameters!$D$68, BJ889, MIN(BJ889,-SUM(OFFSET(BJ866, 0, MIN(12, COUNTA($BJ$3:BK$3)), , -MIN(12, COUNTA($BJ$3:BK$3)) )) ))</f>
        <v>0</v>
      </c>
      <c r="BL1029" s="136"/>
      <c r="BM1029" s="13">
        <f t="shared" ca="1" si="1185"/>
        <v>0</v>
      </c>
      <c r="BN1029" s="13">
        <f t="shared" ca="1" si="1186"/>
        <v>0</v>
      </c>
      <c r="BO1029" s="13">
        <f t="shared" ca="1" si="1187"/>
        <v>0</v>
      </c>
      <c r="BP1029" s="136"/>
      <c r="BQ1029" s="136"/>
      <c r="BR1029" s="136"/>
      <c r="BS1029" s="136"/>
      <c r="BT1029" s="136"/>
      <c r="BU1029" s="136"/>
      <c r="BV1029" s="136"/>
      <c r="BW1029" s="136"/>
      <c r="BY1029" s="12"/>
      <c r="CA1029" s="12"/>
      <c r="CJ1029" s="162"/>
      <c r="CR1029" s="12"/>
      <c r="EX1029" s="10" t="str">
        <f t="shared" si="1183"/>
        <v/>
      </c>
    </row>
    <row r="1030" spans="1:154" s="335" customFormat="1" x14ac:dyDescent="0.25">
      <c r="B1030" s="84" t="str" cm="1">
        <f t="array" aca="1" ref="B1030" ca="1">HYPERLINK(CONCATENATE("#",CELL("address",$D$351)),$D$351)</f>
        <v>Loan 17</v>
      </c>
      <c r="C1030" s="380"/>
      <c r="D1030" s="60">
        <f>D$29</f>
        <v>0</v>
      </c>
      <c r="E1030" s="60">
        <f>E$29</f>
        <v>0</v>
      </c>
      <c r="G1030" s="9"/>
      <c r="H1030" s="50" t="s">
        <v>125</v>
      </c>
      <c r="V1030" s="136"/>
      <c r="W1030" s="201">
        <f t="shared" ca="1" si="1184"/>
        <v>0</v>
      </c>
      <c r="X1030" s="201">
        <f t="shared" ca="1" si="1184"/>
        <v>0</v>
      </c>
      <c r="Y1030" s="201">
        <f t="shared" ca="1" si="1184"/>
        <v>0</v>
      </c>
      <c r="AA1030" s="201">
        <f ca="1">IF($E1030=Parameters!$D$68, AA890, MIN(AA890,-SUM(OFFSET(AA867, 0, MIN(12, COUNTA(AB$3:$BJ$3)), , -MIN(12, COUNTA(AB$3:$BJ$3)) )) ))</f>
        <v>0</v>
      </c>
      <c r="AB1030" s="201">
        <f ca="1">IF($E1030=Parameters!$D$68, AB890, MIN(AB890,-SUM(OFFSET(AB867, 0, MIN(12, COUNTA(AC$3:$BJ$3)), , -MIN(12, COUNTA(AC$3:$BJ$3)) )) ))</f>
        <v>0</v>
      </c>
      <c r="AC1030" s="201">
        <f ca="1">IF($E1030=Parameters!$D$68, AC890, MIN(AC890,-SUM(OFFSET(AC867, 0, MIN(12, COUNTA(AD$3:$BJ$3)), , -MIN(12, COUNTA(AD$3:$BJ$3)) )) ))</f>
        <v>0</v>
      </c>
      <c r="AD1030" s="201">
        <f ca="1">IF($E1030=Parameters!$D$68, AD890, MIN(AD890,-SUM(OFFSET(AD867, 0, MIN(12, COUNTA(AE$3:$BJ$3)), , -MIN(12, COUNTA(AE$3:$BJ$3)) )) ))</f>
        <v>0</v>
      </c>
      <c r="AE1030" s="201">
        <f ca="1">IF($E1030=Parameters!$D$68, AE890, MIN(AE890,-SUM(OFFSET(AE867, 0, MIN(12, COUNTA(AF$3:$BJ$3)), , -MIN(12, COUNTA(AF$3:$BJ$3)) )) ))</f>
        <v>0</v>
      </c>
      <c r="AF1030" s="201">
        <f ca="1">IF($E1030=Parameters!$D$68, AF890, MIN(AF890,-SUM(OFFSET(AF867, 0, MIN(12, COUNTA(AG$3:$BJ$3)), , -MIN(12, COUNTA(AG$3:$BJ$3)) )) ))</f>
        <v>0</v>
      </c>
      <c r="AG1030" s="201">
        <f ca="1">IF($E1030=Parameters!$D$68, AG890, MIN(AG890,-SUM(OFFSET(AG867, 0, MIN(12, COUNTA(AH$3:$BJ$3)), , -MIN(12, COUNTA(AH$3:$BJ$3)) )) ))</f>
        <v>0</v>
      </c>
      <c r="AH1030" s="201">
        <f ca="1">IF($E1030=Parameters!$D$68, AH890, MIN(AH890,-SUM(OFFSET(AH867, 0, MIN(12, COUNTA(AI$3:$BJ$3)), , -MIN(12, COUNTA(AI$3:$BJ$3)) )) ))</f>
        <v>0</v>
      </c>
      <c r="AI1030" s="201">
        <f ca="1">IF($E1030=Parameters!$D$68, AI890, MIN(AI890,-SUM(OFFSET(AI867, 0, MIN(12, COUNTA(AJ$3:$BJ$3)), , -MIN(12, COUNTA(AJ$3:$BJ$3)) )) ))</f>
        <v>0</v>
      </c>
      <c r="AJ1030" s="201">
        <f ca="1">IF($E1030=Parameters!$D$68, AJ890, MIN(AJ890,-SUM(OFFSET(AJ867, 0, MIN(12, COUNTA(AK$3:$BJ$3)), , -MIN(12, COUNTA(AK$3:$BJ$3)) )) ))</f>
        <v>0</v>
      </c>
      <c r="AK1030" s="201">
        <f ca="1">IF($E1030=Parameters!$D$68, AK890, MIN(AK890,-SUM(OFFSET(AK867, 0, MIN(12, COUNTA(AL$3:$BJ$3)), , -MIN(12, COUNTA(AL$3:$BJ$3)) )) ))</f>
        <v>0</v>
      </c>
      <c r="AL1030" s="201">
        <f ca="1">IF($E1030=Parameters!$D$68, AL890, MIN(AL890,-SUM(OFFSET(AL867, 0, MIN(12, COUNTA(AM$3:$BJ$3)), , -MIN(12, COUNTA(AM$3:$BJ$3)) )) ))</f>
        <v>0</v>
      </c>
      <c r="AM1030" s="201">
        <f ca="1">IF($E1030=Parameters!$D$68, AM890, MIN(AM890,-SUM(OFFSET(AM867, 0, MIN(12, COUNTA(AN$3:$BJ$3)), , -MIN(12, COUNTA(AN$3:$BJ$3)) )) ))</f>
        <v>0</v>
      </c>
      <c r="AN1030" s="201">
        <f ca="1">IF($E1030=Parameters!$D$68, AN890, MIN(AN890,-SUM(OFFSET(AN867, 0, MIN(12, COUNTA(AO$3:$BJ$3)), , -MIN(12, COUNTA(AO$3:$BJ$3)) )) ))</f>
        <v>0</v>
      </c>
      <c r="AO1030" s="201">
        <f ca="1">IF($E1030=Parameters!$D$68, AO890, MIN(AO890,-SUM(OFFSET(AO867, 0, MIN(12, COUNTA(AP$3:$BJ$3)), , -MIN(12, COUNTA(AP$3:$BJ$3)) )) ))</f>
        <v>0</v>
      </c>
      <c r="AP1030" s="201">
        <f ca="1">IF($E1030=Parameters!$D$68, AP890, MIN(AP890,-SUM(OFFSET(AP867, 0, MIN(12, COUNTA(AQ$3:$BJ$3)), , -MIN(12, COUNTA(AQ$3:$BJ$3)) )) ))</f>
        <v>0</v>
      </c>
      <c r="AQ1030" s="201">
        <f ca="1">IF($E1030=Parameters!$D$68, AQ890, MIN(AQ890,-SUM(OFFSET(AQ867, 0, MIN(12, COUNTA(AR$3:$BJ$3)), , -MIN(12, COUNTA(AR$3:$BJ$3)) )) ))</f>
        <v>0</v>
      </c>
      <c r="AR1030" s="201">
        <f ca="1">IF($E1030=Parameters!$D$68, AR890, MIN(AR890,-SUM(OFFSET(AR867, 0, MIN(12, COUNTA(AS$3:$BJ$3)), , -MIN(12, COUNTA(AS$3:$BJ$3)) )) ))</f>
        <v>0</v>
      </c>
      <c r="AS1030" s="201">
        <f ca="1">IF($E1030=Parameters!$D$68, AS890, MIN(AS890,-SUM(OFFSET(AS867, 0, MIN(12, COUNTA(AT$3:$BJ$3)), , -MIN(12, COUNTA(AT$3:$BJ$3)) )) ))</f>
        <v>0</v>
      </c>
      <c r="AT1030" s="201">
        <f ca="1">IF($E1030=Parameters!$D$68, AT890, MIN(AT890,-SUM(OFFSET(AT867, 0, MIN(12, COUNTA(AU$3:$BJ$3)), , -MIN(12, COUNTA(AU$3:$BJ$3)) )) ))</f>
        <v>0</v>
      </c>
      <c r="AU1030" s="201">
        <f ca="1">IF($E1030=Parameters!$D$68, AU890, MIN(AU890,-SUM(OFFSET(AU867, 0, MIN(12, COUNTA(AV$3:$BJ$3)), , -MIN(12, COUNTA(AV$3:$BJ$3)) )) ))</f>
        <v>0</v>
      </c>
      <c r="AV1030" s="201">
        <f ca="1">IF($E1030=Parameters!$D$68, AV890, MIN(AV890,-SUM(OFFSET(AV867, 0, MIN(12, COUNTA(AW$3:$BJ$3)), , -MIN(12, COUNTA(AW$3:$BJ$3)) )) ))</f>
        <v>0</v>
      </c>
      <c r="AW1030" s="201">
        <f ca="1">IF($E1030=Parameters!$D$68, AW890, MIN(AW890,-SUM(OFFSET(AW867, 0, MIN(12, COUNTA(AX$3:$BJ$3)), , -MIN(12, COUNTA(AX$3:$BJ$3)) )) ))</f>
        <v>0</v>
      </c>
      <c r="AX1030" s="201">
        <f ca="1">IF($E1030=Parameters!$D$68, AX890, MIN(AX890,-SUM(OFFSET(AX867, 0, MIN(12, COUNTA(AY$3:$BJ$3)), , -MIN(12, COUNTA(AY$3:$BJ$3)) )) ))</f>
        <v>0</v>
      </c>
      <c r="AY1030" s="201">
        <f ca="1">IF($E1030=Parameters!$D$68, AY890, MIN(AY890,-SUM(OFFSET(AY867, 0, MIN(12, COUNTA(AZ$3:$BJ$3)), , -MIN(12, COUNTA(AZ$3:$BJ$3)) )) ))</f>
        <v>0</v>
      </c>
      <c r="AZ1030" s="201">
        <f ca="1">IF($E1030=Parameters!$D$68, AZ890, MIN(AZ890,-SUM(OFFSET(AZ867, 0, MIN(12, COUNTA(BA$3:$BJ$3)), , -MIN(12, COUNTA(BA$3:$BJ$3)) )) ))</f>
        <v>0</v>
      </c>
      <c r="BA1030" s="201">
        <f ca="1">IF($E1030=Parameters!$D$68, BA890, MIN(BA890,-SUM(OFFSET(BA867, 0, MIN(12, COUNTA(BB$3:$BJ$3)), , -MIN(12, COUNTA(BB$3:$BJ$3)) )) ))</f>
        <v>0</v>
      </c>
      <c r="BB1030" s="201">
        <f ca="1">IF($E1030=Parameters!$D$68, BB890, MIN(BB890,-SUM(OFFSET(BB867, 0, MIN(12, COUNTA(BC$3:$BJ$3)), , -MIN(12, COUNTA(BC$3:$BJ$3)) )) ))</f>
        <v>0</v>
      </c>
      <c r="BC1030" s="201">
        <f ca="1">IF($E1030=Parameters!$D$68, BC890, MIN(BC890,-SUM(OFFSET(BC867, 0, MIN(12, COUNTA(BD$3:$BJ$3)), , -MIN(12, COUNTA(BD$3:$BJ$3)) )) ))</f>
        <v>0</v>
      </c>
      <c r="BD1030" s="201">
        <f ca="1">IF($E1030=Parameters!$D$68, BD890, MIN(BD890,-SUM(OFFSET(BD867, 0, MIN(12, COUNTA(BE$3:$BJ$3)), , -MIN(12, COUNTA(BE$3:$BJ$3)) )) ))</f>
        <v>0</v>
      </c>
      <c r="BE1030" s="201">
        <f ca="1">IF($E1030=Parameters!$D$68, BE890, MIN(BE890,-SUM(OFFSET(BE867, 0, MIN(12, COUNTA(BF$3:$BJ$3)), , -MIN(12, COUNTA(BF$3:$BJ$3)) )) ))</f>
        <v>0</v>
      </c>
      <c r="BF1030" s="201">
        <f ca="1">IF($E1030=Parameters!$D$68, BF890, MIN(BF890,-SUM(OFFSET(BF867, 0, MIN(12, COUNTA(BG$3:$BJ$3)), , -MIN(12, COUNTA(BG$3:$BJ$3)) )) ))</f>
        <v>0</v>
      </c>
      <c r="BG1030" s="201">
        <f ca="1">IF($E1030=Parameters!$D$68, BG890, MIN(BG890,-SUM(OFFSET(BG867, 0, MIN(12, COUNTA(BH$3:$BJ$3)), , -MIN(12, COUNTA(BH$3:$BJ$3)) )) ))</f>
        <v>0</v>
      </c>
      <c r="BH1030" s="201">
        <f ca="1">IF($E1030=Parameters!$D$68, BH890, MIN(BH890,-SUM(OFFSET(BH867, 0, MIN(12, COUNTA(BI$3:$BJ$3)), , -MIN(12, COUNTA(BI$3:$BJ$3)) )) ))</f>
        <v>0</v>
      </c>
      <c r="BI1030" s="201">
        <f ca="1">IF($E1030=Parameters!$D$68, BI890, MIN(BI890,-SUM(OFFSET(BI867, 0, MIN(12, COUNTA(BJ$3:$BJ$3)), , -MIN(12, COUNTA(BJ$3:$BJ$3)) )) ))</f>
        <v>0</v>
      </c>
      <c r="BJ1030" s="13">
        <f ca="1">IF($E1030=Parameters!$D$68, BJ890, MIN(BJ890,-SUM(OFFSET(BJ867, 0, MIN(12, COUNTA($BJ$3:BK$3)), , -MIN(12, COUNTA($BJ$3:BK$3)) )) ))</f>
        <v>0</v>
      </c>
      <c r="BL1030" s="136"/>
      <c r="BM1030" s="13">
        <f t="shared" ca="1" si="1185"/>
        <v>0</v>
      </c>
      <c r="BN1030" s="13">
        <f t="shared" ca="1" si="1186"/>
        <v>0</v>
      </c>
      <c r="BO1030" s="13">
        <f t="shared" ca="1" si="1187"/>
        <v>0</v>
      </c>
      <c r="BP1030" s="136"/>
      <c r="BQ1030" s="136"/>
      <c r="BR1030" s="136"/>
      <c r="BS1030" s="136"/>
      <c r="BT1030" s="136"/>
      <c r="BU1030" s="136"/>
      <c r="BV1030" s="136"/>
      <c r="BW1030" s="136"/>
      <c r="BY1030" s="12"/>
      <c r="CA1030" s="12"/>
      <c r="CJ1030" s="162"/>
      <c r="CR1030" s="12"/>
      <c r="EX1030" s="10" t="str">
        <f t="shared" si="1183"/>
        <v/>
      </c>
    </row>
    <row r="1031" spans="1:154" s="335" customFormat="1" x14ac:dyDescent="0.25">
      <c r="B1031" s="84" t="str" cm="1">
        <f t="array" aca="1" ref="B1031" ca="1">HYPERLINK(CONCATENATE("#",CELL("address",$D$370)),$D$370)</f>
        <v>Loan 18</v>
      </c>
      <c r="C1031" s="380"/>
      <c r="D1031" s="60">
        <f>D$30</f>
        <v>0</v>
      </c>
      <c r="E1031" s="60">
        <f>E$30</f>
        <v>0</v>
      </c>
      <c r="G1031" s="9"/>
      <c r="H1031" s="50" t="s">
        <v>125</v>
      </c>
      <c r="V1031" s="136"/>
      <c r="W1031" s="201">
        <f t="shared" ca="1" si="1184"/>
        <v>0</v>
      </c>
      <c r="X1031" s="201">
        <f t="shared" ca="1" si="1184"/>
        <v>0</v>
      </c>
      <c r="Y1031" s="201">
        <f t="shared" ca="1" si="1184"/>
        <v>0</v>
      </c>
      <c r="AA1031" s="201">
        <f ca="1">IF($E1031=Parameters!$D$68, AA891, MIN(AA891,-SUM(OFFSET(AA868, 0, MIN(12, COUNTA(AB$3:$BJ$3)), , -MIN(12, COUNTA(AB$3:$BJ$3)) )) ))</f>
        <v>0</v>
      </c>
      <c r="AB1031" s="201">
        <f ca="1">IF($E1031=Parameters!$D$68, AB891, MIN(AB891,-SUM(OFFSET(AB868, 0, MIN(12, COUNTA(AC$3:$BJ$3)), , -MIN(12, COUNTA(AC$3:$BJ$3)) )) ))</f>
        <v>0</v>
      </c>
      <c r="AC1031" s="201">
        <f ca="1">IF($E1031=Parameters!$D$68, AC891, MIN(AC891,-SUM(OFFSET(AC868, 0, MIN(12, COUNTA(AD$3:$BJ$3)), , -MIN(12, COUNTA(AD$3:$BJ$3)) )) ))</f>
        <v>0</v>
      </c>
      <c r="AD1031" s="201">
        <f ca="1">IF($E1031=Parameters!$D$68, AD891, MIN(AD891,-SUM(OFFSET(AD868, 0, MIN(12, COUNTA(AE$3:$BJ$3)), , -MIN(12, COUNTA(AE$3:$BJ$3)) )) ))</f>
        <v>0</v>
      </c>
      <c r="AE1031" s="201">
        <f ca="1">IF($E1031=Parameters!$D$68, AE891, MIN(AE891,-SUM(OFFSET(AE868, 0, MIN(12, COUNTA(AF$3:$BJ$3)), , -MIN(12, COUNTA(AF$3:$BJ$3)) )) ))</f>
        <v>0</v>
      </c>
      <c r="AF1031" s="201">
        <f ca="1">IF($E1031=Parameters!$D$68, AF891, MIN(AF891,-SUM(OFFSET(AF868, 0, MIN(12, COUNTA(AG$3:$BJ$3)), , -MIN(12, COUNTA(AG$3:$BJ$3)) )) ))</f>
        <v>0</v>
      </c>
      <c r="AG1031" s="201">
        <f ca="1">IF($E1031=Parameters!$D$68, AG891, MIN(AG891,-SUM(OFFSET(AG868, 0, MIN(12, COUNTA(AH$3:$BJ$3)), , -MIN(12, COUNTA(AH$3:$BJ$3)) )) ))</f>
        <v>0</v>
      </c>
      <c r="AH1031" s="201">
        <f ca="1">IF($E1031=Parameters!$D$68, AH891, MIN(AH891,-SUM(OFFSET(AH868, 0, MIN(12, COUNTA(AI$3:$BJ$3)), , -MIN(12, COUNTA(AI$3:$BJ$3)) )) ))</f>
        <v>0</v>
      </c>
      <c r="AI1031" s="201">
        <f ca="1">IF($E1031=Parameters!$D$68, AI891, MIN(AI891,-SUM(OFFSET(AI868, 0, MIN(12, COUNTA(AJ$3:$BJ$3)), , -MIN(12, COUNTA(AJ$3:$BJ$3)) )) ))</f>
        <v>0</v>
      </c>
      <c r="AJ1031" s="201">
        <f ca="1">IF($E1031=Parameters!$D$68, AJ891, MIN(AJ891,-SUM(OFFSET(AJ868, 0, MIN(12, COUNTA(AK$3:$BJ$3)), , -MIN(12, COUNTA(AK$3:$BJ$3)) )) ))</f>
        <v>0</v>
      </c>
      <c r="AK1031" s="201">
        <f ca="1">IF($E1031=Parameters!$D$68, AK891, MIN(AK891,-SUM(OFFSET(AK868, 0, MIN(12, COUNTA(AL$3:$BJ$3)), , -MIN(12, COUNTA(AL$3:$BJ$3)) )) ))</f>
        <v>0</v>
      </c>
      <c r="AL1031" s="201">
        <f ca="1">IF($E1031=Parameters!$D$68, AL891, MIN(AL891,-SUM(OFFSET(AL868, 0, MIN(12, COUNTA(AM$3:$BJ$3)), , -MIN(12, COUNTA(AM$3:$BJ$3)) )) ))</f>
        <v>0</v>
      </c>
      <c r="AM1031" s="201">
        <f ca="1">IF($E1031=Parameters!$D$68, AM891, MIN(AM891,-SUM(OFFSET(AM868, 0, MIN(12, COUNTA(AN$3:$BJ$3)), , -MIN(12, COUNTA(AN$3:$BJ$3)) )) ))</f>
        <v>0</v>
      </c>
      <c r="AN1031" s="201">
        <f ca="1">IF($E1031=Parameters!$D$68, AN891, MIN(AN891,-SUM(OFFSET(AN868, 0, MIN(12, COUNTA(AO$3:$BJ$3)), , -MIN(12, COUNTA(AO$3:$BJ$3)) )) ))</f>
        <v>0</v>
      </c>
      <c r="AO1031" s="201">
        <f ca="1">IF($E1031=Parameters!$D$68, AO891, MIN(AO891,-SUM(OFFSET(AO868, 0, MIN(12, COUNTA(AP$3:$BJ$3)), , -MIN(12, COUNTA(AP$3:$BJ$3)) )) ))</f>
        <v>0</v>
      </c>
      <c r="AP1031" s="201">
        <f ca="1">IF($E1031=Parameters!$D$68, AP891, MIN(AP891,-SUM(OFFSET(AP868, 0, MIN(12, COUNTA(AQ$3:$BJ$3)), , -MIN(12, COUNTA(AQ$3:$BJ$3)) )) ))</f>
        <v>0</v>
      </c>
      <c r="AQ1031" s="201">
        <f ca="1">IF($E1031=Parameters!$D$68, AQ891, MIN(AQ891,-SUM(OFFSET(AQ868, 0, MIN(12, COUNTA(AR$3:$BJ$3)), , -MIN(12, COUNTA(AR$3:$BJ$3)) )) ))</f>
        <v>0</v>
      </c>
      <c r="AR1031" s="201">
        <f ca="1">IF($E1031=Parameters!$D$68, AR891, MIN(AR891,-SUM(OFFSET(AR868, 0, MIN(12, COUNTA(AS$3:$BJ$3)), , -MIN(12, COUNTA(AS$3:$BJ$3)) )) ))</f>
        <v>0</v>
      </c>
      <c r="AS1031" s="201">
        <f ca="1">IF($E1031=Parameters!$D$68, AS891, MIN(AS891,-SUM(OFFSET(AS868, 0, MIN(12, COUNTA(AT$3:$BJ$3)), , -MIN(12, COUNTA(AT$3:$BJ$3)) )) ))</f>
        <v>0</v>
      </c>
      <c r="AT1031" s="201">
        <f ca="1">IF($E1031=Parameters!$D$68, AT891, MIN(AT891,-SUM(OFFSET(AT868, 0, MIN(12, COUNTA(AU$3:$BJ$3)), , -MIN(12, COUNTA(AU$3:$BJ$3)) )) ))</f>
        <v>0</v>
      </c>
      <c r="AU1031" s="201">
        <f ca="1">IF($E1031=Parameters!$D$68, AU891, MIN(AU891,-SUM(OFFSET(AU868, 0, MIN(12, COUNTA(AV$3:$BJ$3)), , -MIN(12, COUNTA(AV$3:$BJ$3)) )) ))</f>
        <v>0</v>
      </c>
      <c r="AV1031" s="201">
        <f ca="1">IF($E1031=Parameters!$D$68, AV891, MIN(AV891,-SUM(OFFSET(AV868, 0, MIN(12, COUNTA(AW$3:$BJ$3)), , -MIN(12, COUNTA(AW$3:$BJ$3)) )) ))</f>
        <v>0</v>
      </c>
      <c r="AW1031" s="201">
        <f ca="1">IF($E1031=Parameters!$D$68, AW891, MIN(AW891,-SUM(OFFSET(AW868, 0, MIN(12, COUNTA(AX$3:$BJ$3)), , -MIN(12, COUNTA(AX$3:$BJ$3)) )) ))</f>
        <v>0</v>
      </c>
      <c r="AX1031" s="201">
        <f ca="1">IF($E1031=Parameters!$D$68, AX891, MIN(AX891,-SUM(OFFSET(AX868, 0, MIN(12, COUNTA(AY$3:$BJ$3)), , -MIN(12, COUNTA(AY$3:$BJ$3)) )) ))</f>
        <v>0</v>
      </c>
      <c r="AY1031" s="201">
        <f ca="1">IF($E1031=Parameters!$D$68, AY891, MIN(AY891,-SUM(OFFSET(AY868, 0, MIN(12, COUNTA(AZ$3:$BJ$3)), , -MIN(12, COUNTA(AZ$3:$BJ$3)) )) ))</f>
        <v>0</v>
      </c>
      <c r="AZ1031" s="201">
        <f ca="1">IF($E1031=Parameters!$D$68, AZ891, MIN(AZ891,-SUM(OFFSET(AZ868, 0, MIN(12, COUNTA(BA$3:$BJ$3)), , -MIN(12, COUNTA(BA$3:$BJ$3)) )) ))</f>
        <v>0</v>
      </c>
      <c r="BA1031" s="201">
        <f ca="1">IF($E1031=Parameters!$D$68, BA891, MIN(BA891,-SUM(OFFSET(BA868, 0, MIN(12, COUNTA(BB$3:$BJ$3)), , -MIN(12, COUNTA(BB$3:$BJ$3)) )) ))</f>
        <v>0</v>
      </c>
      <c r="BB1031" s="201">
        <f ca="1">IF($E1031=Parameters!$D$68, BB891, MIN(BB891,-SUM(OFFSET(BB868, 0, MIN(12, COUNTA(BC$3:$BJ$3)), , -MIN(12, COUNTA(BC$3:$BJ$3)) )) ))</f>
        <v>0</v>
      </c>
      <c r="BC1031" s="201">
        <f ca="1">IF($E1031=Parameters!$D$68, BC891, MIN(BC891,-SUM(OFFSET(BC868, 0, MIN(12, COUNTA(BD$3:$BJ$3)), , -MIN(12, COUNTA(BD$3:$BJ$3)) )) ))</f>
        <v>0</v>
      </c>
      <c r="BD1031" s="201">
        <f ca="1">IF($E1031=Parameters!$D$68, BD891, MIN(BD891,-SUM(OFFSET(BD868, 0, MIN(12, COUNTA(BE$3:$BJ$3)), , -MIN(12, COUNTA(BE$3:$BJ$3)) )) ))</f>
        <v>0</v>
      </c>
      <c r="BE1031" s="201">
        <f ca="1">IF($E1031=Parameters!$D$68, BE891, MIN(BE891,-SUM(OFFSET(BE868, 0, MIN(12, COUNTA(BF$3:$BJ$3)), , -MIN(12, COUNTA(BF$3:$BJ$3)) )) ))</f>
        <v>0</v>
      </c>
      <c r="BF1031" s="201">
        <f ca="1">IF($E1031=Parameters!$D$68, BF891, MIN(BF891,-SUM(OFFSET(BF868, 0, MIN(12, COUNTA(BG$3:$BJ$3)), , -MIN(12, COUNTA(BG$3:$BJ$3)) )) ))</f>
        <v>0</v>
      </c>
      <c r="BG1031" s="201">
        <f ca="1">IF($E1031=Parameters!$D$68, BG891, MIN(BG891,-SUM(OFFSET(BG868, 0, MIN(12, COUNTA(BH$3:$BJ$3)), , -MIN(12, COUNTA(BH$3:$BJ$3)) )) ))</f>
        <v>0</v>
      </c>
      <c r="BH1031" s="201">
        <f ca="1">IF($E1031=Parameters!$D$68, BH891, MIN(BH891,-SUM(OFFSET(BH868, 0, MIN(12, COUNTA(BI$3:$BJ$3)), , -MIN(12, COUNTA(BI$3:$BJ$3)) )) ))</f>
        <v>0</v>
      </c>
      <c r="BI1031" s="201">
        <f ca="1">IF($E1031=Parameters!$D$68, BI891, MIN(BI891,-SUM(OFFSET(BI868, 0, MIN(12, COUNTA(BJ$3:$BJ$3)), , -MIN(12, COUNTA(BJ$3:$BJ$3)) )) ))</f>
        <v>0</v>
      </c>
      <c r="BJ1031" s="13">
        <f ca="1">IF($E1031=Parameters!$D$68, BJ891, MIN(BJ891,-SUM(OFFSET(BJ868, 0, MIN(12, COUNTA($BJ$3:BK$3)), , -MIN(12, COUNTA($BJ$3:BK$3)) )) ))</f>
        <v>0</v>
      </c>
      <c r="BL1031" s="136"/>
      <c r="BM1031" s="13">
        <f t="shared" ca="1" si="1185"/>
        <v>0</v>
      </c>
      <c r="BN1031" s="13">
        <f t="shared" ca="1" si="1186"/>
        <v>0</v>
      </c>
      <c r="BO1031" s="13">
        <f t="shared" ca="1" si="1187"/>
        <v>0</v>
      </c>
      <c r="BP1031" s="136"/>
      <c r="BQ1031" s="136"/>
      <c r="BR1031" s="136"/>
      <c r="BS1031" s="136"/>
      <c r="BT1031" s="136"/>
      <c r="BU1031" s="136"/>
      <c r="BV1031" s="136"/>
      <c r="BW1031" s="136"/>
      <c r="BY1031" s="12"/>
      <c r="CA1031" s="12"/>
      <c r="CJ1031" s="162"/>
      <c r="CR1031" s="12"/>
      <c r="EX1031" s="10" t="str">
        <f t="shared" si="1183"/>
        <v/>
      </c>
    </row>
    <row r="1032" spans="1:154" s="335" customFormat="1" x14ac:dyDescent="0.25">
      <c r="B1032" s="84" t="str" cm="1">
        <f t="array" aca="1" ref="B1032" ca="1">HYPERLINK(CONCATENATE("#",CELL("address",$D$389)),$D$389)</f>
        <v>Loan 19</v>
      </c>
      <c r="C1032" s="380"/>
      <c r="D1032" s="60">
        <f>D$31</f>
        <v>0</v>
      </c>
      <c r="E1032" s="60">
        <f>E$31</f>
        <v>0</v>
      </c>
      <c r="G1032" s="9"/>
      <c r="H1032" s="50" t="s">
        <v>125</v>
      </c>
      <c r="V1032" s="136"/>
      <c r="W1032" s="201">
        <f t="shared" ca="1" si="1184"/>
        <v>0</v>
      </c>
      <c r="X1032" s="201">
        <f t="shared" ca="1" si="1184"/>
        <v>0</v>
      </c>
      <c r="Y1032" s="201">
        <f t="shared" ca="1" si="1184"/>
        <v>0</v>
      </c>
      <c r="AA1032" s="201">
        <f ca="1">IF($E1032=Parameters!$D$68, AA892, MIN(AA892,-SUM(OFFSET(AA869, 0, MIN(12, COUNTA(AB$3:$BJ$3)), , -MIN(12, COUNTA(AB$3:$BJ$3)) )) ))</f>
        <v>0</v>
      </c>
      <c r="AB1032" s="201">
        <f ca="1">IF($E1032=Parameters!$D$68, AB892, MIN(AB892,-SUM(OFFSET(AB869, 0, MIN(12, COUNTA(AC$3:$BJ$3)), , -MIN(12, COUNTA(AC$3:$BJ$3)) )) ))</f>
        <v>0</v>
      </c>
      <c r="AC1032" s="201">
        <f ca="1">IF($E1032=Parameters!$D$68, AC892, MIN(AC892,-SUM(OFFSET(AC869, 0, MIN(12, COUNTA(AD$3:$BJ$3)), , -MIN(12, COUNTA(AD$3:$BJ$3)) )) ))</f>
        <v>0</v>
      </c>
      <c r="AD1032" s="201">
        <f ca="1">IF($E1032=Parameters!$D$68, AD892, MIN(AD892,-SUM(OFFSET(AD869, 0, MIN(12, COUNTA(AE$3:$BJ$3)), , -MIN(12, COUNTA(AE$3:$BJ$3)) )) ))</f>
        <v>0</v>
      </c>
      <c r="AE1032" s="201">
        <f ca="1">IF($E1032=Parameters!$D$68, AE892, MIN(AE892,-SUM(OFFSET(AE869, 0, MIN(12, COUNTA(AF$3:$BJ$3)), , -MIN(12, COUNTA(AF$3:$BJ$3)) )) ))</f>
        <v>0</v>
      </c>
      <c r="AF1032" s="201">
        <f ca="1">IF($E1032=Parameters!$D$68, AF892, MIN(AF892,-SUM(OFFSET(AF869, 0, MIN(12, COUNTA(AG$3:$BJ$3)), , -MIN(12, COUNTA(AG$3:$BJ$3)) )) ))</f>
        <v>0</v>
      </c>
      <c r="AG1032" s="201">
        <f ca="1">IF($E1032=Parameters!$D$68, AG892, MIN(AG892,-SUM(OFFSET(AG869, 0, MIN(12, COUNTA(AH$3:$BJ$3)), , -MIN(12, COUNTA(AH$3:$BJ$3)) )) ))</f>
        <v>0</v>
      </c>
      <c r="AH1032" s="201">
        <f ca="1">IF($E1032=Parameters!$D$68, AH892, MIN(AH892,-SUM(OFFSET(AH869, 0, MIN(12, COUNTA(AI$3:$BJ$3)), , -MIN(12, COUNTA(AI$3:$BJ$3)) )) ))</f>
        <v>0</v>
      </c>
      <c r="AI1032" s="201">
        <f ca="1">IF($E1032=Parameters!$D$68, AI892, MIN(AI892,-SUM(OFFSET(AI869, 0, MIN(12, COUNTA(AJ$3:$BJ$3)), , -MIN(12, COUNTA(AJ$3:$BJ$3)) )) ))</f>
        <v>0</v>
      </c>
      <c r="AJ1032" s="201">
        <f ca="1">IF($E1032=Parameters!$D$68, AJ892, MIN(AJ892,-SUM(OFFSET(AJ869, 0, MIN(12, COUNTA(AK$3:$BJ$3)), , -MIN(12, COUNTA(AK$3:$BJ$3)) )) ))</f>
        <v>0</v>
      </c>
      <c r="AK1032" s="201">
        <f ca="1">IF($E1032=Parameters!$D$68, AK892, MIN(AK892,-SUM(OFFSET(AK869, 0, MIN(12, COUNTA(AL$3:$BJ$3)), , -MIN(12, COUNTA(AL$3:$BJ$3)) )) ))</f>
        <v>0</v>
      </c>
      <c r="AL1032" s="201">
        <f ca="1">IF($E1032=Parameters!$D$68, AL892, MIN(AL892,-SUM(OFFSET(AL869, 0, MIN(12, COUNTA(AM$3:$BJ$3)), , -MIN(12, COUNTA(AM$3:$BJ$3)) )) ))</f>
        <v>0</v>
      </c>
      <c r="AM1032" s="201">
        <f ca="1">IF($E1032=Parameters!$D$68, AM892, MIN(AM892,-SUM(OFFSET(AM869, 0, MIN(12, COUNTA(AN$3:$BJ$3)), , -MIN(12, COUNTA(AN$3:$BJ$3)) )) ))</f>
        <v>0</v>
      </c>
      <c r="AN1032" s="201">
        <f ca="1">IF($E1032=Parameters!$D$68, AN892, MIN(AN892,-SUM(OFFSET(AN869, 0, MIN(12, COUNTA(AO$3:$BJ$3)), , -MIN(12, COUNTA(AO$3:$BJ$3)) )) ))</f>
        <v>0</v>
      </c>
      <c r="AO1032" s="201">
        <f ca="1">IF($E1032=Parameters!$D$68, AO892, MIN(AO892,-SUM(OFFSET(AO869, 0, MIN(12, COUNTA(AP$3:$BJ$3)), , -MIN(12, COUNTA(AP$3:$BJ$3)) )) ))</f>
        <v>0</v>
      </c>
      <c r="AP1032" s="201">
        <f ca="1">IF($E1032=Parameters!$D$68, AP892, MIN(AP892,-SUM(OFFSET(AP869, 0, MIN(12, COUNTA(AQ$3:$BJ$3)), , -MIN(12, COUNTA(AQ$3:$BJ$3)) )) ))</f>
        <v>0</v>
      </c>
      <c r="AQ1032" s="201">
        <f ca="1">IF($E1032=Parameters!$D$68, AQ892, MIN(AQ892,-SUM(OFFSET(AQ869, 0, MIN(12, COUNTA(AR$3:$BJ$3)), , -MIN(12, COUNTA(AR$3:$BJ$3)) )) ))</f>
        <v>0</v>
      </c>
      <c r="AR1032" s="201">
        <f ca="1">IF($E1032=Parameters!$D$68, AR892, MIN(AR892,-SUM(OFFSET(AR869, 0, MIN(12, COUNTA(AS$3:$BJ$3)), , -MIN(12, COUNTA(AS$3:$BJ$3)) )) ))</f>
        <v>0</v>
      </c>
      <c r="AS1032" s="201">
        <f ca="1">IF($E1032=Parameters!$D$68, AS892, MIN(AS892,-SUM(OFFSET(AS869, 0, MIN(12, COUNTA(AT$3:$BJ$3)), , -MIN(12, COUNTA(AT$3:$BJ$3)) )) ))</f>
        <v>0</v>
      </c>
      <c r="AT1032" s="201">
        <f ca="1">IF($E1032=Parameters!$D$68, AT892, MIN(AT892,-SUM(OFFSET(AT869, 0, MIN(12, COUNTA(AU$3:$BJ$3)), , -MIN(12, COUNTA(AU$3:$BJ$3)) )) ))</f>
        <v>0</v>
      </c>
      <c r="AU1032" s="201">
        <f ca="1">IF($E1032=Parameters!$D$68, AU892, MIN(AU892,-SUM(OFFSET(AU869, 0, MIN(12, COUNTA(AV$3:$BJ$3)), , -MIN(12, COUNTA(AV$3:$BJ$3)) )) ))</f>
        <v>0</v>
      </c>
      <c r="AV1032" s="201">
        <f ca="1">IF($E1032=Parameters!$D$68, AV892, MIN(AV892,-SUM(OFFSET(AV869, 0, MIN(12, COUNTA(AW$3:$BJ$3)), , -MIN(12, COUNTA(AW$3:$BJ$3)) )) ))</f>
        <v>0</v>
      </c>
      <c r="AW1032" s="201">
        <f ca="1">IF($E1032=Parameters!$D$68, AW892, MIN(AW892,-SUM(OFFSET(AW869, 0, MIN(12, COUNTA(AX$3:$BJ$3)), , -MIN(12, COUNTA(AX$3:$BJ$3)) )) ))</f>
        <v>0</v>
      </c>
      <c r="AX1032" s="201">
        <f ca="1">IF($E1032=Parameters!$D$68, AX892, MIN(AX892,-SUM(OFFSET(AX869, 0, MIN(12, COUNTA(AY$3:$BJ$3)), , -MIN(12, COUNTA(AY$3:$BJ$3)) )) ))</f>
        <v>0</v>
      </c>
      <c r="AY1032" s="201">
        <f ca="1">IF($E1032=Parameters!$D$68, AY892, MIN(AY892,-SUM(OFFSET(AY869, 0, MIN(12, COUNTA(AZ$3:$BJ$3)), , -MIN(12, COUNTA(AZ$3:$BJ$3)) )) ))</f>
        <v>0</v>
      </c>
      <c r="AZ1032" s="201">
        <f ca="1">IF($E1032=Parameters!$D$68, AZ892, MIN(AZ892,-SUM(OFFSET(AZ869, 0, MIN(12, COUNTA(BA$3:$BJ$3)), , -MIN(12, COUNTA(BA$3:$BJ$3)) )) ))</f>
        <v>0</v>
      </c>
      <c r="BA1032" s="201">
        <f ca="1">IF($E1032=Parameters!$D$68, BA892, MIN(BA892,-SUM(OFFSET(BA869, 0, MIN(12, COUNTA(BB$3:$BJ$3)), , -MIN(12, COUNTA(BB$3:$BJ$3)) )) ))</f>
        <v>0</v>
      </c>
      <c r="BB1032" s="201">
        <f ca="1">IF($E1032=Parameters!$D$68, BB892, MIN(BB892,-SUM(OFFSET(BB869, 0, MIN(12, COUNTA(BC$3:$BJ$3)), , -MIN(12, COUNTA(BC$3:$BJ$3)) )) ))</f>
        <v>0</v>
      </c>
      <c r="BC1032" s="201">
        <f ca="1">IF($E1032=Parameters!$D$68, BC892, MIN(BC892,-SUM(OFFSET(BC869, 0, MIN(12, COUNTA(BD$3:$BJ$3)), , -MIN(12, COUNTA(BD$3:$BJ$3)) )) ))</f>
        <v>0</v>
      </c>
      <c r="BD1032" s="201">
        <f ca="1">IF($E1032=Parameters!$D$68, BD892, MIN(BD892,-SUM(OFFSET(BD869, 0, MIN(12, COUNTA(BE$3:$BJ$3)), , -MIN(12, COUNTA(BE$3:$BJ$3)) )) ))</f>
        <v>0</v>
      </c>
      <c r="BE1032" s="201">
        <f ca="1">IF($E1032=Parameters!$D$68, BE892, MIN(BE892,-SUM(OFFSET(BE869, 0, MIN(12, COUNTA(BF$3:$BJ$3)), , -MIN(12, COUNTA(BF$3:$BJ$3)) )) ))</f>
        <v>0</v>
      </c>
      <c r="BF1032" s="201">
        <f ca="1">IF($E1032=Parameters!$D$68, BF892, MIN(BF892,-SUM(OFFSET(BF869, 0, MIN(12, COUNTA(BG$3:$BJ$3)), , -MIN(12, COUNTA(BG$3:$BJ$3)) )) ))</f>
        <v>0</v>
      </c>
      <c r="BG1032" s="201">
        <f ca="1">IF($E1032=Parameters!$D$68, BG892, MIN(BG892,-SUM(OFFSET(BG869, 0, MIN(12, COUNTA(BH$3:$BJ$3)), , -MIN(12, COUNTA(BH$3:$BJ$3)) )) ))</f>
        <v>0</v>
      </c>
      <c r="BH1032" s="201">
        <f ca="1">IF($E1032=Parameters!$D$68, BH892, MIN(BH892,-SUM(OFFSET(BH869, 0, MIN(12, COUNTA(BI$3:$BJ$3)), , -MIN(12, COUNTA(BI$3:$BJ$3)) )) ))</f>
        <v>0</v>
      </c>
      <c r="BI1032" s="201">
        <f ca="1">IF($E1032=Parameters!$D$68, BI892, MIN(BI892,-SUM(OFFSET(BI869, 0, MIN(12, COUNTA(BJ$3:$BJ$3)), , -MIN(12, COUNTA(BJ$3:$BJ$3)) )) ))</f>
        <v>0</v>
      </c>
      <c r="BJ1032" s="13">
        <f ca="1">IF($E1032=Parameters!$D$68, BJ892, MIN(BJ892,-SUM(OFFSET(BJ869, 0, MIN(12, COUNTA($BJ$3:BK$3)), , -MIN(12, COUNTA($BJ$3:BK$3)) )) ))</f>
        <v>0</v>
      </c>
      <c r="BL1032" s="136"/>
      <c r="BM1032" s="13">
        <f t="shared" ca="1" si="1185"/>
        <v>0</v>
      </c>
      <c r="BN1032" s="13">
        <f t="shared" ca="1" si="1186"/>
        <v>0</v>
      </c>
      <c r="BO1032" s="13">
        <f t="shared" ca="1" si="1187"/>
        <v>0</v>
      </c>
      <c r="BP1032" s="136"/>
      <c r="BQ1032" s="136"/>
      <c r="BR1032" s="136"/>
      <c r="BS1032" s="136"/>
      <c r="BT1032" s="136"/>
      <c r="BU1032" s="136"/>
      <c r="BV1032" s="136"/>
      <c r="BW1032" s="136"/>
      <c r="BY1032" s="12"/>
      <c r="CA1032" s="12"/>
      <c r="CJ1032" s="162"/>
      <c r="CR1032" s="12"/>
      <c r="EX1032" s="10" t="str">
        <f t="shared" si="1183"/>
        <v/>
      </c>
    </row>
    <row r="1033" spans="1:154" s="335" customFormat="1" x14ac:dyDescent="0.25">
      <c r="B1033" s="84" t="str" cm="1">
        <f t="array" aca="1" ref="B1033" ca="1">HYPERLINK(CONCATENATE("#",CELL("address",$D$408)),$D$408)</f>
        <v>Loan 20</v>
      </c>
      <c r="C1033" s="380"/>
      <c r="D1033" s="60">
        <f>D$32</f>
        <v>0</v>
      </c>
      <c r="E1033" s="60">
        <f>E$32</f>
        <v>0</v>
      </c>
      <c r="G1033" s="9"/>
      <c r="H1033" s="50" t="s">
        <v>125</v>
      </c>
      <c r="V1033" s="136"/>
      <c r="W1033" s="201">
        <f t="shared" ca="1" si="1184"/>
        <v>0</v>
      </c>
      <c r="X1033" s="201">
        <f t="shared" ca="1" si="1184"/>
        <v>0</v>
      </c>
      <c r="Y1033" s="201">
        <f t="shared" ca="1" si="1184"/>
        <v>0</v>
      </c>
      <c r="AA1033" s="201">
        <f ca="1">IF($E1033=Parameters!$D$68, AA893, MIN(AA893,-SUM(OFFSET(AA870, 0, MIN(12, COUNTA(AB$3:$BJ$3)), , -MIN(12, COUNTA(AB$3:$BJ$3)) )) ))</f>
        <v>0</v>
      </c>
      <c r="AB1033" s="201">
        <f ca="1">IF($E1033=Parameters!$D$68, AB893, MIN(AB893,-SUM(OFFSET(AB870, 0, MIN(12, COUNTA(AC$3:$BJ$3)), , -MIN(12, COUNTA(AC$3:$BJ$3)) )) ))</f>
        <v>0</v>
      </c>
      <c r="AC1033" s="201">
        <f ca="1">IF($E1033=Parameters!$D$68, AC893, MIN(AC893,-SUM(OFFSET(AC870, 0, MIN(12, COUNTA(AD$3:$BJ$3)), , -MIN(12, COUNTA(AD$3:$BJ$3)) )) ))</f>
        <v>0</v>
      </c>
      <c r="AD1033" s="201">
        <f ca="1">IF($E1033=Parameters!$D$68, AD893, MIN(AD893,-SUM(OFFSET(AD870, 0, MIN(12, COUNTA(AE$3:$BJ$3)), , -MIN(12, COUNTA(AE$3:$BJ$3)) )) ))</f>
        <v>0</v>
      </c>
      <c r="AE1033" s="201">
        <f ca="1">IF($E1033=Parameters!$D$68, AE893, MIN(AE893,-SUM(OFFSET(AE870, 0, MIN(12, COUNTA(AF$3:$BJ$3)), , -MIN(12, COUNTA(AF$3:$BJ$3)) )) ))</f>
        <v>0</v>
      </c>
      <c r="AF1033" s="201">
        <f ca="1">IF($E1033=Parameters!$D$68, AF893, MIN(AF893,-SUM(OFFSET(AF870, 0, MIN(12, COUNTA(AG$3:$BJ$3)), , -MIN(12, COUNTA(AG$3:$BJ$3)) )) ))</f>
        <v>0</v>
      </c>
      <c r="AG1033" s="201">
        <f ca="1">IF($E1033=Parameters!$D$68, AG893, MIN(AG893,-SUM(OFFSET(AG870, 0, MIN(12, COUNTA(AH$3:$BJ$3)), , -MIN(12, COUNTA(AH$3:$BJ$3)) )) ))</f>
        <v>0</v>
      </c>
      <c r="AH1033" s="201">
        <f ca="1">IF($E1033=Parameters!$D$68, AH893, MIN(AH893,-SUM(OFFSET(AH870, 0, MIN(12, COUNTA(AI$3:$BJ$3)), , -MIN(12, COUNTA(AI$3:$BJ$3)) )) ))</f>
        <v>0</v>
      </c>
      <c r="AI1033" s="201">
        <f ca="1">IF($E1033=Parameters!$D$68, AI893, MIN(AI893,-SUM(OFFSET(AI870, 0, MIN(12, COUNTA(AJ$3:$BJ$3)), , -MIN(12, COUNTA(AJ$3:$BJ$3)) )) ))</f>
        <v>0</v>
      </c>
      <c r="AJ1033" s="201">
        <f ca="1">IF($E1033=Parameters!$D$68, AJ893, MIN(AJ893,-SUM(OFFSET(AJ870, 0, MIN(12, COUNTA(AK$3:$BJ$3)), , -MIN(12, COUNTA(AK$3:$BJ$3)) )) ))</f>
        <v>0</v>
      </c>
      <c r="AK1033" s="201">
        <f ca="1">IF($E1033=Parameters!$D$68, AK893, MIN(AK893,-SUM(OFFSET(AK870, 0, MIN(12, COUNTA(AL$3:$BJ$3)), , -MIN(12, COUNTA(AL$3:$BJ$3)) )) ))</f>
        <v>0</v>
      </c>
      <c r="AL1033" s="201">
        <f ca="1">IF($E1033=Parameters!$D$68, AL893, MIN(AL893,-SUM(OFFSET(AL870, 0, MIN(12, COUNTA(AM$3:$BJ$3)), , -MIN(12, COUNTA(AM$3:$BJ$3)) )) ))</f>
        <v>0</v>
      </c>
      <c r="AM1033" s="201">
        <f ca="1">IF($E1033=Parameters!$D$68, AM893, MIN(AM893,-SUM(OFFSET(AM870, 0, MIN(12, COUNTA(AN$3:$BJ$3)), , -MIN(12, COUNTA(AN$3:$BJ$3)) )) ))</f>
        <v>0</v>
      </c>
      <c r="AN1033" s="201">
        <f ca="1">IF($E1033=Parameters!$D$68, AN893, MIN(AN893,-SUM(OFFSET(AN870, 0, MIN(12, COUNTA(AO$3:$BJ$3)), , -MIN(12, COUNTA(AO$3:$BJ$3)) )) ))</f>
        <v>0</v>
      </c>
      <c r="AO1033" s="201">
        <f ca="1">IF($E1033=Parameters!$D$68, AO893, MIN(AO893,-SUM(OFFSET(AO870, 0, MIN(12, COUNTA(AP$3:$BJ$3)), , -MIN(12, COUNTA(AP$3:$BJ$3)) )) ))</f>
        <v>0</v>
      </c>
      <c r="AP1033" s="201">
        <f ca="1">IF($E1033=Parameters!$D$68, AP893, MIN(AP893,-SUM(OFFSET(AP870, 0, MIN(12, COUNTA(AQ$3:$BJ$3)), , -MIN(12, COUNTA(AQ$3:$BJ$3)) )) ))</f>
        <v>0</v>
      </c>
      <c r="AQ1033" s="201">
        <f ca="1">IF($E1033=Parameters!$D$68, AQ893, MIN(AQ893,-SUM(OFFSET(AQ870, 0, MIN(12, COUNTA(AR$3:$BJ$3)), , -MIN(12, COUNTA(AR$3:$BJ$3)) )) ))</f>
        <v>0</v>
      </c>
      <c r="AR1033" s="201">
        <f ca="1">IF($E1033=Parameters!$D$68, AR893, MIN(AR893,-SUM(OFFSET(AR870, 0, MIN(12, COUNTA(AS$3:$BJ$3)), , -MIN(12, COUNTA(AS$3:$BJ$3)) )) ))</f>
        <v>0</v>
      </c>
      <c r="AS1033" s="201">
        <f ca="1">IF($E1033=Parameters!$D$68, AS893, MIN(AS893,-SUM(OFFSET(AS870, 0, MIN(12, COUNTA(AT$3:$BJ$3)), , -MIN(12, COUNTA(AT$3:$BJ$3)) )) ))</f>
        <v>0</v>
      </c>
      <c r="AT1033" s="201">
        <f ca="1">IF($E1033=Parameters!$D$68, AT893, MIN(AT893,-SUM(OFFSET(AT870, 0, MIN(12, COUNTA(AU$3:$BJ$3)), , -MIN(12, COUNTA(AU$3:$BJ$3)) )) ))</f>
        <v>0</v>
      </c>
      <c r="AU1033" s="201">
        <f ca="1">IF($E1033=Parameters!$D$68, AU893, MIN(AU893,-SUM(OFFSET(AU870, 0, MIN(12, COUNTA(AV$3:$BJ$3)), , -MIN(12, COUNTA(AV$3:$BJ$3)) )) ))</f>
        <v>0</v>
      </c>
      <c r="AV1033" s="201">
        <f ca="1">IF($E1033=Parameters!$D$68, AV893, MIN(AV893,-SUM(OFFSET(AV870, 0, MIN(12, COUNTA(AW$3:$BJ$3)), , -MIN(12, COUNTA(AW$3:$BJ$3)) )) ))</f>
        <v>0</v>
      </c>
      <c r="AW1033" s="201">
        <f ca="1">IF($E1033=Parameters!$D$68, AW893, MIN(AW893,-SUM(OFFSET(AW870, 0, MIN(12, COUNTA(AX$3:$BJ$3)), , -MIN(12, COUNTA(AX$3:$BJ$3)) )) ))</f>
        <v>0</v>
      </c>
      <c r="AX1033" s="201">
        <f ca="1">IF($E1033=Parameters!$D$68, AX893, MIN(AX893,-SUM(OFFSET(AX870, 0, MIN(12, COUNTA(AY$3:$BJ$3)), , -MIN(12, COUNTA(AY$3:$BJ$3)) )) ))</f>
        <v>0</v>
      </c>
      <c r="AY1033" s="201">
        <f ca="1">IF($E1033=Parameters!$D$68, AY893, MIN(AY893,-SUM(OFFSET(AY870, 0, MIN(12, COUNTA(AZ$3:$BJ$3)), , -MIN(12, COUNTA(AZ$3:$BJ$3)) )) ))</f>
        <v>0</v>
      </c>
      <c r="AZ1033" s="201">
        <f ca="1">IF($E1033=Parameters!$D$68, AZ893, MIN(AZ893,-SUM(OFFSET(AZ870, 0, MIN(12, COUNTA(BA$3:$BJ$3)), , -MIN(12, COUNTA(BA$3:$BJ$3)) )) ))</f>
        <v>0</v>
      </c>
      <c r="BA1033" s="201">
        <f ca="1">IF($E1033=Parameters!$D$68, BA893, MIN(BA893,-SUM(OFFSET(BA870, 0, MIN(12, COUNTA(BB$3:$BJ$3)), , -MIN(12, COUNTA(BB$3:$BJ$3)) )) ))</f>
        <v>0</v>
      </c>
      <c r="BB1033" s="201">
        <f ca="1">IF($E1033=Parameters!$D$68, BB893, MIN(BB893,-SUM(OFFSET(BB870, 0, MIN(12, COUNTA(BC$3:$BJ$3)), , -MIN(12, COUNTA(BC$3:$BJ$3)) )) ))</f>
        <v>0</v>
      </c>
      <c r="BC1033" s="201">
        <f ca="1">IF($E1033=Parameters!$D$68, BC893, MIN(BC893,-SUM(OFFSET(BC870, 0, MIN(12, COUNTA(BD$3:$BJ$3)), , -MIN(12, COUNTA(BD$3:$BJ$3)) )) ))</f>
        <v>0</v>
      </c>
      <c r="BD1033" s="201">
        <f ca="1">IF($E1033=Parameters!$D$68, BD893, MIN(BD893,-SUM(OFFSET(BD870, 0, MIN(12, COUNTA(BE$3:$BJ$3)), , -MIN(12, COUNTA(BE$3:$BJ$3)) )) ))</f>
        <v>0</v>
      </c>
      <c r="BE1033" s="201">
        <f ca="1">IF($E1033=Parameters!$D$68, BE893, MIN(BE893,-SUM(OFFSET(BE870, 0, MIN(12, COUNTA(BF$3:$BJ$3)), , -MIN(12, COUNTA(BF$3:$BJ$3)) )) ))</f>
        <v>0</v>
      </c>
      <c r="BF1033" s="201">
        <f ca="1">IF($E1033=Parameters!$D$68, BF893, MIN(BF893,-SUM(OFFSET(BF870, 0, MIN(12, COUNTA(BG$3:$BJ$3)), , -MIN(12, COUNTA(BG$3:$BJ$3)) )) ))</f>
        <v>0</v>
      </c>
      <c r="BG1033" s="201">
        <f ca="1">IF($E1033=Parameters!$D$68, BG893, MIN(BG893,-SUM(OFFSET(BG870, 0, MIN(12, COUNTA(BH$3:$BJ$3)), , -MIN(12, COUNTA(BH$3:$BJ$3)) )) ))</f>
        <v>0</v>
      </c>
      <c r="BH1033" s="201">
        <f ca="1">IF($E1033=Parameters!$D$68, BH893, MIN(BH893,-SUM(OFFSET(BH870, 0, MIN(12, COUNTA(BI$3:$BJ$3)), , -MIN(12, COUNTA(BI$3:$BJ$3)) )) ))</f>
        <v>0</v>
      </c>
      <c r="BI1033" s="201">
        <f ca="1">IF($E1033=Parameters!$D$68, BI893, MIN(BI893,-SUM(OFFSET(BI870, 0, MIN(12, COUNTA(BJ$3:$BJ$3)), , -MIN(12, COUNTA(BJ$3:$BJ$3)) )) ))</f>
        <v>0</v>
      </c>
      <c r="BJ1033" s="13">
        <f ca="1">IF($E1033=Parameters!$D$68, BJ893, MIN(BJ893,-SUM(OFFSET(BJ870, 0, MIN(12, COUNTA($BJ$3:BK$3)), , -MIN(12, COUNTA($BJ$3:BK$3)) )) ))</f>
        <v>0</v>
      </c>
      <c r="BL1033" s="136"/>
      <c r="BM1033" s="13">
        <f t="shared" ca="1" si="1185"/>
        <v>0</v>
      </c>
      <c r="BN1033" s="13">
        <f t="shared" ca="1" si="1186"/>
        <v>0</v>
      </c>
      <c r="BO1033" s="13">
        <f t="shared" ca="1" si="1187"/>
        <v>0</v>
      </c>
      <c r="BP1033" s="136"/>
      <c r="BQ1033" s="136"/>
      <c r="BR1033" s="136"/>
      <c r="BS1033" s="136"/>
      <c r="BT1033" s="136"/>
      <c r="BU1033" s="136"/>
      <c r="BV1033" s="136"/>
      <c r="BW1033" s="136"/>
      <c r="BY1033" s="12"/>
      <c r="CA1033" s="12"/>
      <c r="CJ1033" s="162"/>
      <c r="CR1033" s="12"/>
      <c r="EX1033" s="10" t="str">
        <f t="shared" si="1183"/>
        <v/>
      </c>
    </row>
    <row r="1034" spans="1:154" s="335" customFormat="1" ht="6.6" customHeight="1" x14ac:dyDescent="0.25">
      <c r="C1034" s="380"/>
      <c r="D1034" s="1"/>
      <c r="H1034" s="50"/>
      <c r="BM1034" s="6"/>
      <c r="BY1034" s="42"/>
      <c r="CA1034" s="42"/>
      <c r="CJ1034" s="162"/>
      <c r="CR1034" s="42"/>
      <c r="EX1034" s="10" t="str">
        <f t="shared" si="1183"/>
        <v/>
      </c>
    </row>
    <row r="1035" spans="1:154" s="335" customFormat="1" x14ac:dyDescent="0.25">
      <c r="C1035" s="380"/>
      <c r="D1035" s="61" t="s">
        <v>898</v>
      </c>
      <c r="BY1035" s="12"/>
      <c r="CA1035" s="12"/>
      <c r="CJ1035" s="162"/>
      <c r="CR1035" s="12"/>
      <c r="EX1035" s="10" t="str">
        <f t="shared" si="1183"/>
        <v/>
      </c>
    </row>
    <row r="1036" spans="1:154" s="335" customFormat="1" ht="15.75" x14ac:dyDescent="0.25">
      <c r="B1036" s="5" t="s">
        <v>551</v>
      </c>
      <c r="C1036" s="380"/>
      <c r="D1036" s="5" t="s">
        <v>180</v>
      </c>
      <c r="E1036" s="5" t="s">
        <v>179</v>
      </c>
      <c r="AA1036" s="170" t="s">
        <v>335</v>
      </c>
      <c r="BY1036" s="12"/>
      <c r="CA1036" s="12"/>
      <c r="CJ1036" s="162"/>
      <c r="CR1036" s="12"/>
      <c r="EX1036" s="10" t="str">
        <f t="shared" si="1183"/>
        <v/>
      </c>
    </row>
    <row r="1037" spans="1:154" s="335" customFormat="1" x14ac:dyDescent="0.25">
      <c r="B1037" s="84" t="str" cm="1">
        <f t="array" aca="1" ref="B1037" ca="1">HYPERLINK(CONCATENATE("#",CELL("address",$D$47)),$D$47)</f>
        <v>Loan 1</v>
      </c>
      <c r="C1037" s="380"/>
      <c r="D1037" s="60" t="str">
        <f>D$13</f>
        <v>NatWest</v>
      </c>
      <c r="E1037" s="60" t="str">
        <f>E$13</f>
        <v xml:space="preserve">Commercial </v>
      </c>
      <c r="G1037" s="9"/>
      <c r="H1037" s="50" t="s">
        <v>125</v>
      </c>
      <c r="I1037" s="65"/>
      <c r="V1037" s="136"/>
      <c r="W1037" s="201">
        <f t="shared" ref="W1037:Y1056" ca="1" si="1188">INDEX($AA1037:$BJ1037, MATCH(W$5, $AA$5:$BJ$5, 0))</f>
        <v>0</v>
      </c>
      <c r="X1037" s="201">
        <f t="shared" ca="1" si="1188"/>
        <v>0</v>
      </c>
      <c r="Y1037" s="201">
        <f t="shared" ca="1" si="1188"/>
        <v>0</v>
      </c>
      <c r="AA1037" s="201">
        <f ca="1">AA874-AA1014</f>
        <v>0</v>
      </c>
      <c r="AB1037" s="201">
        <f t="shared" ref="AB1037:BI1037" ca="1" si="1189">AB874-AB1014</f>
        <v>0</v>
      </c>
      <c r="AC1037" s="201">
        <f t="shared" ca="1" si="1189"/>
        <v>0</v>
      </c>
      <c r="AD1037" s="201">
        <f t="shared" ca="1" si="1189"/>
        <v>0</v>
      </c>
      <c r="AE1037" s="201">
        <f t="shared" ca="1" si="1189"/>
        <v>0</v>
      </c>
      <c r="AF1037" s="201">
        <f t="shared" ca="1" si="1189"/>
        <v>0</v>
      </c>
      <c r="AG1037" s="201">
        <f t="shared" ca="1" si="1189"/>
        <v>0</v>
      </c>
      <c r="AH1037" s="201">
        <f t="shared" ca="1" si="1189"/>
        <v>0</v>
      </c>
      <c r="AI1037" s="201">
        <f t="shared" ca="1" si="1189"/>
        <v>0</v>
      </c>
      <c r="AJ1037" s="201">
        <f t="shared" ca="1" si="1189"/>
        <v>0</v>
      </c>
      <c r="AK1037" s="201">
        <f t="shared" ca="1" si="1189"/>
        <v>0</v>
      </c>
      <c r="AL1037" s="201">
        <f t="shared" ca="1" si="1189"/>
        <v>0</v>
      </c>
      <c r="AM1037" s="201">
        <f t="shared" ca="1" si="1189"/>
        <v>0</v>
      </c>
      <c r="AN1037" s="201">
        <f t="shared" ca="1" si="1189"/>
        <v>0</v>
      </c>
      <c r="AO1037" s="201">
        <f t="shared" ca="1" si="1189"/>
        <v>0</v>
      </c>
      <c r="AP1037" s="201">
        <f t="shared" ca="1" si="1189"/>
        <v>0</v>
      </c>
      <c r="AQ1037" s="201">
        <f t="shared" ca="1" si="1189"/>
        <v>0</v>
      </c>
      <c r="AR1037" s="201">
        <f t="shared" ca="1" si="1189"/>
        <v>0</v>
      </c>
      <c r="AS1037" s="201">
        <f t="shared" ca="1" si="1189"/>
        <v>0</v>
      </c>
      <c r="AT1037" s="201">
        <f t="shared" ca="1" si="1189"/>
        <v>0</v>
      </c>
      <c r="AU1037" s="201">
        <f t="shared" ca="1" si="1189"/>
        <v>0</v>
      </c>
      <c r="AV1037" s="201">
        <f t="shared" ca="1" si="1189"/>
        <v>0</v>
      </c>
      <c r="AW1037" s="201">
        <f t="shared" ca="1" si="1189"/>
        <v>0</v>
      </c>
      <c r="AX1037" s="201">
        <f t="shared" ca="1" si="1189"/>
        <v>0</v>
      </c>
      <c r="AY1037" s="201">
        <f t="shared" ca="1" si="1189"/>
        <v>0</v>
      </c>
      <c r="AZ1037" s="201">
        <f t="shared" ca="1" si="1189"/>
        <v>0</v>
      </c>
      <c r="BA1037" s="201">
        <f t="shared" ca="1" si="1189"/>
        <v>0</v>
      </c>
      <c r="BB1037" s="201">
        <f t="shared" ca="1" si="1189"/>
        <v>0</v>
      </c>
      <c r="BC1037" s="201">
        <f t="shared" ca="1" si="1189"/>
        <v>0</v>
      </c>
      <c r="BD1037" s="201">
        <f t="shared" ca="1" si="1189"/>
        <v>0</v>
      </c>
      <c r="BE1037" s="201">
        <f t="shared" ca="1" si="1189"/>
        <v>0</v>
      </c>
      <c r="BF1037" s="201">
        <f t="shared" ca="1" si="1189"/>
        <v>0</v>
      </c>
      <c r="BG1037" s="201">
        <f t="shared" ca="1" si="1189"/>
        <v>0</v>
      </c>
      <c r="BH1037" s="201">
        <f t="shared" ca="1" si="1189"/>
        <v>0</v>
      </c>
      <c r="BI1037" s="201">
        <f t="shared" ca="1" si="1189"/>
        <v>0</v>
      </c>
      <c r="BJ1037" s="201">
        <f ca="1">BJ874-BJ1014</f>
        <v>0</v>
      </c>
      <c r="BL1037" s="136"/>
      <c r="BM1037" s="13">
        <f t="shared" ref="BM1037:BM1056" ca="1" si="1190">W1037</f>
        <v>0</v>
      </c>
      <c r="BN1037" s="13">
        <f t="shared" ref="BN1037:BN1056" ca="1" si="1191">X1037</f>
        <v>0</v>
      </c>
      <c r="BO1037" s="13">
        <f t="shared" ref="BO1037:BO1056" ca="1" si="1192">Y1037</f>
        <v>0</v>
      </c>
      <c r="BP1037" s="136"/>
      <c r="BQ1037" s="136"/>
      <c r="BR1037" s="136"/>
      <c r="BS1037" s="136"/>
      <c r="BT1037" s="136"/>
      <c r="BU1037" s="136"/>
      <c r="BV1037" s="136"/>
      <c r="BW1037" s="136"/>
      <c r="BY1037" s="12"/>
      <c r="CA1037" s="12"/>
      <c r="CJ1037" s="162"/>
      <c r="CR1037" s="12"/>
      <c r="EX1037" s="10" t="str">
        <f t="shared" si="1183"/>
        <v/>
      </c>
    </row>
    <row r="1038" spans="1:154" s="335" customFormat="1" x14ac:dyDescent="0.25">
      <c r="B1038" s="84" t="str" cm="1">
        <f t="array" aca="1" ref="B1038" ca="1">HYPERLINK(CONCATENATE("#",CELL("address",$D$66)),$D$66)</f>
        <v>Loan 2</v>
      </c>
      <c r="C1038" s="380"/>
      <c r="D1038" s="60" t="str">
        <f>D$14</f>
        <v>NatWest</v>
      </c>
      <c r="E1038" s="60" t="str">
        <f>E$14</f>
        <v xml:space="preserve">Commercial </v>
      </c>
      <c r="G1038" s="9"/>
      <c r="H1038" s="50" t="s">
        <v>125</v>
      </c>
      <c r="V1038" s="136"/>
      <c r="W1038" s="201">
        <f t="shared" ca="1" si="1188"/>
        <v>0</v>
      </c>
      <c r="X1038" s="201">
        <f t="shared" ca="1" si="1188"/>
        <v>0</v>
      </c>
      <c r="Y1038" s="201">
        <f t="shared" ca="1" si="1188"/>
        <v>0</v>
      </c>
      <c r="AA1038" s="201">
        <f t="shared" ref="AA1038:BJ1038" ca="1" si="1193">AA875-AA1015</f>
        <v>0</v>
      </c>
      <c r="AB1038" s="201">
        <f t="shared" ca="1" si="1193"/>
        <v>0</v>
      </c>
      <c r="AC1038" s="201">
        <f t="shared" ca="1" si="1193"/>
        <v>0</v>
      </c>
      <c r="AD1038" s="201">
        <f t="shared" ca="1" si="1193"/>
        <v>0</v>
      </c>
      <c r="AE1038" s="201">
        <f t="shared" ca="1" si="1193"/>
        <v>0</v>
      </c>
      <c r="AF1038" s="201">
        <f t="shared" ca="1" si="1193"/>
        <v>0</v>
      </c>
      <c r="AG1038" s="201">
        <f t="shared" ca="1" si="1193"/>
        <v>0</v>
      </c>
      <c r="AH1038" s="201">
        <f t="shared" ca="1" si="1193"/>
        <v>0</v>
      </c>
      <c r="AI1038" s="201">
        <f t="shared" ca="1" si="1193"/>
        <v>0</v>
      </c>
      <c r="AJ1038" s="201">
        <f t="shared" ca="1" si="1193"/>
        <v>0</v>
      </c>
      <c r="AK1038" s="201">
        <f t="shared" ca="1" si="1193"/>
        <v>0</v>
      </c>
      <c r="AL1038" s="201">
        <f t="shared" ca="1" si="1193"/>
        <v>0</v>
      </c>
      <c r="AM1038" s="201">
        <f t="shared" ca="1" si="1193"/>
        <v>0</v>
      </c>
      <c r="AN1038" s="201">
        <f t="shared" ca="1" si="1193"/>
        <v>0</v>
      </c>
      <c r="AO1038" s="201">
        <f t="shared" ca="1" si="1193"/>
        <v>0</v>
      </c>
      <c r="AP1038" s="201">
        <f t="shared" ca="1" si="1193"/>
        <v>0</v>
      </c>
      <c r="AQ1038" s="201">
        <f t="shared" ca="1" si="1193"/>
        <v>0</v>
      </c>
      <c r="AR1038" s="201">
        <f t="shared" ca="1" si="1193"/>
        <v>0</v>
      </c>
      <c r="AS1038" s="201">
        <f t="shared" ca="1" si="1193"/>
        <v>0</v>
      </c>
      <c r="AT1038" s="201">
        <f t="shared" ca="1" si="1193"/>
        <v>0</v>
      </c>
      <c r="AU1038" s="201">
        <f t="shared" ca="1" si="1193"/>
        <v>0</v>
      </c>
      <c r="AV1038" s="201">
        <f t="shared" ca="1" si="1193"/>
        <v>0</v>
      </c>
      <c r="AW1038" s="201">
        <f t="shared" ca="1" si="1193"/>
        <v>0</v>
      </c>
      <c r="AX1038" s="201">
        <f t="shared" ca="1" si="1193"/>
        <v>0</v>
      </c>
      <c r="AY1038" s="201">
        <f t="shared" ca="1" si="1193"/>
        <v>0</v>
      </c>
      <c r="AZ1038" s="201">
        <f t="shared" ca="1" si="1193"/>
        <v>0</v>
      </c>
      <c r="BA1038" s="201">
        <f t="shared" ca="1" si="1193"/>
        <v>0</v>
      </c>
      <c r="BB1038" s="201">
        <f t="shared" ca="1" si="1193"/>
        <v>0</v>
      </c>
      <c r="BC1038" s="201">
        <f t="shared" ca="1" si="1193"/>
        <v>0</v>
      </c>
      <c r="BD1038" s="201">
        <f t="shared" ca="1" si="1193"/>
        <v>0</v>
      </c>
      <c r="BE1038" s="201">
        <f t="shared" ca="1" si="1193"/>
        <v>0</v>
      </c>
      <c r="BF1038" s="201">
        <f t="shared" ca="1" si="1193"/>
        <v>0</v>
      </c>
      <c r="BG1038" s="201">
        <f t="shared" ca="1" si="1193"/>
        <v>0</v>
      </c>
      <c r="BH1038" s="201">
        <f t="shared" ca="1" si="1193"/>
        <v>0</v>
      </c>
      <c r="BI1038" s="201">
        <f t="shared" ca="1" si="1193"/>
        <v>0</v>
      </c>
      <c r="BJ1038" s="201">
        <f t="shared" ca="1" si="1193"/>
        <v>0</v>
      </c>
      <c r="BL1038" s="136"/>
      <c r="BM1038" s="13">
        <f t="shared" ca="1" si="1190"/>
        <v>0</v>
      </c>
      <c r="BN1038" s="13">
        <f t="shared" ca="1" si="1191"/>
        <v>0</v>
      </c>
      <c r="BO1038" s="13">
        <f t="shared" ca="1" si="1192"/>
        <v>0</v>
      </c>
      <c r="BP1038" s="136"/>
      <c r="BQ1038" s="136"/>
      <c r="BR1038" s="136"/>
      <c r="BS1038" s="136"/>
      <c r="BT1038" s="136"/>
      <c r="BU1038" s="136"/>
      <c r="BV1038" s="136"/>
      <c r="BW1038" s="136"/>
      <c r="BY1038" s="12"/>
      <c r="CA1038" s="12"/>
      <c r="CJ1038" s="162"/>
      <c r="CR1038" s="12"/>
      <c r="EX1038" s="10" t="str">
        <f t="shared" si="1183"/>
        <v/>
      </c>
    </row>
    <row r="1039" spans="1:154" s="335" customFormat="1" x14ac:dyDescent="0.25">
      <c r="B1039" s="84" t="str" cm="1">
        <f t="array" aca="1" ref="B1039" ca="1">HYPERLINK(CONCATENATE("#",CELL("address",$D$85)),$D$85)</f>
        <v>Loan 3</v>
      </c>
      <c r="C1039" s="380"/>
      <c r="D1039" s="60" t="str">
        <f>D$15</f>
        <v>NatWest</v>
      </c>
      <c r="E1039" s="60" t="str">
        <f>E$15</f>
        <v xml:space="preserve">Commercial </v>
      </c>
      <c r="G1039" s="9"/>
      <c r="H1039" s="50" t="s">
        <v>125</v>
      </c>
      <c r="V1039" s="136"/>
      <c r="W1039" s="201">
        <f t="shared" ca="1" si="1188"/>
        <v>0</v>
      </c>
      <c r="X1039" s="201">
        <f t="shared" ca="1" si="1188"/>
        <v>0</v>
      </c>
      <c r="Y1039" s="201">
        <f t="shared" ca="1" si="1188"/>
        <v>0</v>
      </c>
      <c r="AA1039" s="201">
        <f t="shared" ref="AA1039:BJ1039" ca="1" si="1194">AA876-AA1016</f>
        <v>0</v>
      </c>
      <c r="AB1039" s="201">
        <f t="shared" ca="1" si="1194"/>
        <v>0</v>
      </c>
      <c r="AC1039" s="201">
        <f t="shared" ca="1" si="1194"/>
        <v>0</v>
      </c>
      <c r="AD1039" s="201">
        <f t="shared" ca="1" si="1194"/>
        <v>0</v>
      </c>
      <c r="AE1039" s="201">
        <f t="shared" ca="1" si="1194"/>
        <v>0</v>
      </c>
      <c r="AF1039" s="201">
        <f t="shared" ca="1" si="1194"/>
        <v>0</v>
      </c>
      <c r="AG1039" s="201">
        <f t="shared" ca="1" si="1194"/>
        <v>0</v>
      </c>
      <c r="AH1039" s="201">
        <f t="shared" ca="1" si="1194"/>
        <v>0</v>
      </c>
      <c r="AI1039" s="201">
        <f t="shared" ca="1" si="1194"/>
        <v>0</v>
      </c>
      <c r="AJ1039" s="201">
        <f t="shared" ca="1" si="1194"/>
        <v>0</v>
      </c>
      <c r="AK1039" s="201">
        <f t="shared" ca="1" si="1194"/>
        <v>0</v>
      </c>
      <c r="AL1039" s="201">
        <f t="shared" ca="1" si="1194"/>
        <v>0</v>
      </c>
      <c r="AM1039" s="201">
        <f t="shared" ca="1" si="1194"/>
        <v>0</v>
      </c>
      <c r="AN1039" s="201">
        <f t="shared" ca="1" si="1194"/>
        <v>0</v>
      </c>
      <c r="AO1039" s="201">
        <f t="shared" ca="1" si="1194"/>
        <v>0</v>
      </c>
      <c r="AP1039" s="201">
        <f t="shared" ca="1" si="1194"/>
        <v>0</v>
      </c>
      <c r="AQ1039" s="201">
        <f t="shared" ca="1" si="1194"/>
        <v>0</v>
      </c>
      <c r="AR1039" s="201">
        <f t="shared" ca="1" si="1194"/>
        <v>0</v>
      </c>
      <c r="AS1039" s="201">
        <f t="shared" ca="1" si="1194"/>
        <v>0</v>
      </c>
      <c r="AT1039" s="201">
        <f t="shared" ca="1" si="1194"/>
        <v>0</v>
      </c>
      <c r="AU1039" s="201">
        <f t="shared" ca="1" si="1194"/>
        <v>0</v>
      </c>
      <c r="AV1039" s="201">
        <f t="shared" ca="1" si="1194"/>
        <v>0</v>
      </c>
      <c r="AW1039" s="201">
        <f t="shared" ca="1" si="1194"/>
        <v>0</v>
      </c>
      <c r="AX1039" s="201">
        <f t="shared" ca="1" si="1194"/>
        <v>0</v>
      </c>
      <c r="AY1039" s="201">
        <f t="shared" ca="1" si="1194"/>
        <v>0</v>
      </c>
      <c r="AZ1039" s="201">
        <f t="shared" ca="1" si="1194"/>
        <v>0</v>
      </c>
      <c r="BA1039" s="201">
        <f t="shared" ca="1" si="1194"/>
        <v>0</v>
      </c>
      <c r="BB1039" s="201">
        <f t="shared" ca="1" si="1194"/>
        <v>0</v>
      </c>
      <c r="BC1039" s="201">
        <f t="shared" ca="1" si="1194"/>
        <v>0</v>
      </c>
      <c r="BD1039" s="201">
        <f t="shared" ca="1" si="1194"/>
        <v>0</v>
      </c>
      <c r="BE1039" s="201">
        <f t="shared" ca="1" si="1194"/>
        <v>0</v>
      </c>
      <c r="BF1039" s="201">
        <f t="shared" ca="1" si="1194"/>
        <v>0</v>
      </c>
      <c r="BG1039" s="201">
        <f t="shared" ca="1" si="1194"/>
        <v>0</v>
      </c>
      <c r="BH1039" s="201">
        <f t="shared" ca="1" si="1194"/>
        <v>0</v>
      </c>
      <c r="BI1039" s="201">
        <f t="shared" ca="1" si="1194"/>
        <v>0</v>
      </c>
      <c r="BJ1039" s="201">
        <f t="shared" ca="1" si="1194"/>
        <v>0</v>
      </c>
      <c r="BL1039" s="136"/>
      <c r="BM1039" s="13">
        <f t="shared" ca="1" si="1190"/>
        <v>0</v>
      </c>
      <c r="BN1039" s="13">
        <f t="shared" ca="1" si="1191"/>
        <v>0</v>
      </c>
      <c r="BO1039" s="13">
        <f t="shared" ca="1" si="1192"/>
        <v>0</v>
      </c>
      <c r="BP1039" s="136"/>
      <c r="BQ1039" s="136"/>
      <c r="BR1039" s="136"/>
      <c r="BS1039" s="136"/>
      <c r="BT1039" s="136"/>
      <c r="BU1039" s="136"/>
      <c r="BV1039" s="136"/>
      <c r="BW1039" s="136"/>
      <c r="BY1039" s="12"/>
      <c r="CA1039" s="12"/>
      <c r="CJ1039" s="162"/>
      <c r="CR1039" s="12"/>
      <c r="EX1039" s="10" t="str">
        <f t="shared" si="1183"/>
        <v/>
      </c>
    </row>
    <row r="1040" spans="1:154" s="335" customFormat="1" x14ac:dyDescent="0.25">
      <c r="B1040" s="84" t="str" cm="1">
        <f t="array" aca="1" ref="B1040" ca="1">HYPERLINK(CONCATENATE("#",CELL("address",$D$104)),$D$104)</f>
        <v>Loan 4</v>
      </c>
      <c r="C1040" s="380"/>
      <c r="D1040" s="60" t="str">
        <f>D$16</f>
        <v>NatWest</v>
      </c>
      <c r="E1040" s="60" t="str">
        <f>E$16</f>
        <v xml:space="preserve">Commercial </v>
      </c>
      <c r="G1040" s="9"/>
      <c r="H1040" s="50" t="s">
        <v>125</v>
      </c>
      <c r="V1040" s="136"/>
      <c r="W1040" s="201">
        <f t="shared" ca="1" si="1188"/>
        <v>0</v>
      </c>
      <c r="X1040" s="201">
        <f t="shared" ca="1" si="1188"/>
        <v>0</v>
      </c>
      <c r="Y1040" s="201">
        <f t="shared" ca="1" si="1188"/>
        <v>0</v>
      </c>
      <c r="AA1040" s="201">
        <f t="shared" ref="AA1040:BJ1040" ca="1" si="1195">AA877-AA1017</f>
        <v>0</v>
      </c>
      <c r="AB1040" s="201">
        <f t="shared" ca="1" si="1195"/>
        <v>0</v>
      </c>
      <c r="AC1040" s="201">
        <f t="shared" ca="1" si="1195"/>
        <v>0</v>
      </c>
      <c r="AD1040" s="201">
        <f t="shared" ca="1" si="1195"/>
        <v>0</v>
      </c>
      <c r="AE1040" s="201">
        <f t="shared" ca="1" si="1195"/>
        <v>0</v>
      </c>
      <c r="AF1040" s="201">
        <f t="shared" ca="1" si="1195"/>
        <v>0</v>
      </c>
      <c r="AG1040" s="201">
        <f t="shared" ca="1" si="1195"/>
        <v>0</v>
      </c>
      <c r="AH1040" s="201">
        <f t="shared" ca="1" si="1195"/>
        <v>0</v>
      </c>
      <c r="AI1040" s="201">
        <f t="shared" ca="1" si="1195"/>
        <v>0</v>
      </c>
      <c r="AJ1040" s="201">
        <f t="shared" ca="1" si="1195"/>
        <v>0</v>
      </c>
      <c r="AK1040" s="201">
        <f t="shared" ca="1" si="1195"/>
        <v>0</v>
      </c>
      <c r="AL1040" s="201">
        <f t="shared" ca="1" si="1195"/>
        <v>0</v>
      </c>
      <c r="AM1040" s="201">
        <f t="shared" ca="1" si="1195"/>
        <v>0</v>
      </c>
      <c r="AN1040" s="201">
        <f t="shared" ca="1" si="1195"/>
        <v>0</v>
      </c>
      <c r="AO1040" s="201">
        <f t="shared" ca="1" si="1195"/>
        <v>0</v>
      </c>
      <c r="AP1040" s="201">
        <f t="shared" ca="1" si="1195"/>
        <v>0</v>
      </c>
      <c r="AQ1040" s="201">
        <f t="shared" ca="1" si="1195"/>
        <v>0</v>
      </c>
      <c r="AR1040" s="201">
        <f t="shared" ca="1" si="1195"/>
        <v>0</v>
      </c>
      <c r="AS1040" s="201">
        <f t="shared" ca="1" si="1195"/>
        <v>0</v>
      </c>
      <c r="AT1040" s="201">
        <f t="shared" ca="1" si="1195"/>
        <v>0</v>
      </c>
      <c r="AU1040" s="201">
        <f t="shared" ca="1" si="1195"/>
        <v>0</v>
      </c>
      <c r="AV1040" s="201">
        <f t="shared" ca="1" si="1195"/>
        <v>0</v>
      </c>
      <c r="AW1040" s="201">
        <f t="shared" ca="1" si="1195"/>
        <v>0</v>
      </c>
      <c r="AX1040" s="201">
        <f t="shared" ca="1" si="1195"/>
        <v>0</v>
      </c>
      <c r="AY1040" s="201">
        <f t="shared" ca="1" si="1195"/>
        <v>0</v>
      </c>
      <c r="AZ1040" s="201">
        <f t="shared" ca="1" si="1195"/>
        <v>0</v>
      </c>
      <c r="BA1040" s="201">
        <f t="shared" ca="1" si="1195"/>
        <v>0</v>
      </c>
      <c r="BB1040" s="201">
        <f t="shared" ca="1" si="1195"/>
        <v>0</v>
      </c>
      <c r="BC1040" s="201">
        <f t="shared" ca="1" si="1195"/>
        <v>0</v>
      </c>
      <c r="BD1040" s="201">
        <f t="shared" ca="1" si="1195"/>
        <v>0</v>
      </c>
      <c r="BE1040" s="201">
        <f t="shared" ca="1" si="1195"/>
        <v>0</v>
      </c>
      <c r="BF1040" s="201">
        <f t="shared" ca="1" si="1195"/>
        <v>0</v>
      </c>
      <c r="BG1040" s="201">
        <f t="shared" ca="1" si="1195"/>
        <v>0</v>
      </c>
      <c r="BH1040" s="201">
        <f t="shared" ca="1" si="1195"/>
        <v>0</v>
      </c>
      <c r="BI1040" s="201">
        <f t="shared" ca="1" si="1195"/>
        <v>0</v>
      </c>
      <c r="BJ1040" s="201">
        <f t="shared" ca="1" si="1195"/>
        <v>0</v>
      </c>
      <c r="BL1040" s="136"/>
      <c r="BM1040" s="13">
        <f t="shared" ca="1" si="1190"/>
        <v>0</v>
      </c>
      <c r="BN1040" s="13">
        <f t="shared" ca="1" si="1191"/>
        <v>0</v>
      </c>
      <c r="BO1040" s="13">
        <f t="shared" ca="1" si="1192"/>
        <v>0</v>
      </c>
      <c r="BP1040" s="136"/>
      <c r="BQ1040" s="136"/>
      <c r="BR1040" s="136"/>
      <c r="BS1040" s="136"/>
      <c r="BT1040" s="136"/>
      <c r="BU1040" s="136"/>
      <c r="BV1040" s="136"/>
      <c r="BW1040" s="136"/>
      <c r="BY1040" s="12"/>
      <c r="CA1040" s="12"/>
      <c r="CJ1040" s="162"/>
      <c r="CR1040" s="12"/>
      <c r="EX1040" s="10" t="str">
        <f t="shared" si="1183"/>
        <v/>
      </c>
    </row>
    <row r="1041" spans="1:154" s="335" customFormat="1" x14ac:dyDescent="0.25">
      <c r="B1041" s="84" t="str" cm="1">
        <f t="array" aca="1" ref="B1041" ca="1">HYPERLINK(CONCATENATE("#",CELL("address",$D$123)),$D$123)</f>
        <v>Loan 5</v>
      </c>
      <c r="C1041" s="380"/>
      <c r="D1041" s="60" t="str">
        <f>D$17</f>
        <v>NatWest</v>
      </c>
      <c r="E1041" s="60" t="str">
        <f>E$17</f>
        <v xml:space="preserve">Commercial </v>
      </c>
      <c r="G1041" s="9"/>
      <c r="H1041" s="50" t="s">
        <v>125</v>
      </c>
      <c r="V1041" s="136"/>
      <c r="W1041" s="201">
        <f t="shared" ca="1" si="1188"/>
        <v>0</v>
      </c>
      <c r="X1041" s="201">
        <f t="shared" ca="1" si="1188"/>
        <v>0</v>
      </c>
      <c r="Y1041" s="201">
        <f t="shared" ca="1" si="1188"/>
        <v>0</v>
      </c>
      <c r="AA1041" s="201">
        <f t="shared" ref="AA1041:BJ1041" ca="1" si="1196">AA878-AA1018</f>
        <v>0</v>
      </c>
      <c r="AB1041" s="201">
        <f t="shared" ca="1" si="1196"/>
        <v>0</v>
      </c>
      <c r="AC1041" s="201">
        <f t="shared" ca="1" si="1196"/>
        <v>0</v>
      </c>
      <c r="AD1041" s="201">
        <f t="shared" ca="1" si="1196"/>
        <v>0</v>
      </c>
      <c r="AE1041" s="201">
        <f t="shared" ca="1" si="1196"/>
        <v>0</v>
      </c>
      <c r="AF1041" s="201">
        <f t="shared" ca="1" si="1196"/>
        <v>0</v>
      </c>
      <c r="AG1041" s="201">
        <f t="shared" ca="1" si="1196"/>
        <v>0</v>
      </c>
      <c r="AH1041" s="201">
        <f t="shared" ca="1" si="1196"/>
        <v>0</v>
      </c>
      <c r="AI1041" s="201">
        <f t="shared" ca="1" si="1196"/>
        <v>0</v>
      </c>
      <c r="AJ1041" s="201">
        <f t="shared" ca="1" si="1196"/>
        <v>0</v>
      </c>
      <c r="AK1041" s="201">
        <f t="shared" ca="1" si="1196"/>
        <v>0</v>
      </c>
      <c r="AL1041" s="201">
        <f t="shared" ca="1" si="1196"/>
        <v>0</v>
      </c>
      <c r="AM1041" s="201">
        <f t="shared" ca="1" si="1196"/>
        <v>0</v>
      </c>
      <c r="AN1041" s="201">
        <f t="shared" ca="1" si="1196"/>
        <v>0</v>
      </c>
      <c r="AO1041" s="201">
        <f t="shared" ca="1" si="1196"/>
        <v>0</v>
      </c>
      <c r="AP1041" s="201">
        <f t="shared" ca="1" si="1196"/>
        <v>0</v>
      </c>
      <c r="AQ1041" s="201">
        <f t="shared" ca="1" si="1196"/>
        <v>0</v>
      </c>
      <c r="AR1041" s="201">
        <f t="shared" ca="1" si="1196"/>
        <v>0</v>
      </c>
      <c r="AS1041" s="201">
        <f t="shared" ca="1" si="1196"/>
        <v>0</v>
      </c>
      <c r="AT1041" s="201">
        <f t="shared" ca="1" si="1196"/>
        <v>0</v>
      </c>
      <c r="AU1041" s="201">
        <f t="shared" ca="1" si="1196"/>
        <v>0</v>
      </c>
      <c r="AV1041" s="201">
        <f t="shared" ca="1" si="1196"/>
        <v>0</v>
      </c>
      <c r="AW1041" s="201">
        <f t="shared" ca="1" si="1196"/>
        <v>0</v>
      </c>
      <c r="AX1041" s="201">
        <f t="shared" ca="1" si="1196"/>
        <v>0</v>
      </c>
      <c r="AY1041" s="201">
        <f t="shared" ca="1" si="1196"/>
        <v>0</v>
      </c>
      <c r="AZ1041" s="201">
        <f t="shared" ca="1" si="1196"/>
        <v>0</v>
      </c>
      <c r="BA1041" s="201">
        <f t="shared" ca="1" si="1196"/>
        <v>0</v>
      </c>
      <c r="BB1041" s="201">
        <f t="shared" ca="1" si="1196"/>
        <v>0</v>
      </c>
      <c r="BC1041" s="201">
        <f t="shared" ca="1" si="1196"/>
        <v>0</v>
      </c>
      <c r="BD1041" s="201">
        <f t="shared" ca="1" si="1196"/>
        <v>0</v>
      </c>
      <c r="BE1041" s="201">
        <f t="shared" ca="1" si="1196"/>
        <v>0</v>
      </c>
      <c r="BF1041" s="201">
        <f t="shared" ca="1" si="1196"/>
        <v>0</v>
      </c>
      <c r="BG1041" s="201">
        <f t="shared" ca="1" si="1196"/>
        <v>0</v>
      </c>
      <c r="BH1041" s="201">
        <f t="shared" ca="1" si="1196"/>
        <v>0</v>
      </c>
      <c r="BI1041" s="201">
        <f t="shared" ca="1" si="1196"/>
        <v>0</v>
      </c>
      <c r="BJ1041" s="201">
        <f t="shared" ca="1" si="1196"/>
        <v>0</v>
      </c>
      <c r="BL1041" s="136"/>
      <c r="BM1041" s="13">
        <f t="shared" ca="1" si="1190"/>
        <v>0</v>
      </c>
      <c r="BN1041" s="13">
        <f t="shared" ca="1" si="1191"/>
        <v>0</v>
      </c>
      <c r="BO1041" s="13">
        <f t="shared" ca="1" si="1192"/>
        <v>0</v>
      </c>
      <c r="BP1041" s="136"/>
      <c r="BQ1041" s="136"/>
      <c r="BR1041" s="136"/>
      <c r="BS1041" s="136"/>
      <c r="BT1041" s="136"/>
      <c r="BU1041" s="136"/>
      <c r="BV1041" s="136"/>
      <c r="BW1041" s="136"/>
      <c r="BY1041" s="12"/>
      <c r="CA1041" s="12"/>
      <c r="CJ1041" s="162"/>
      <c r="CR1041" s="12"/>
      <c r="EX1041" s="10" t="str">
        <f t="shared" si="1183"/>
        <v/>
      </c>
    </row>
    <row r="1042" spans="1:154" s="335" customFormat="1" x14ac:dyDescent="0.25">
      <c r="B1042" s="84" t="str" cm="1">
        <f t="array" aca="1" ref="B1042" ca="1">HYPERLINK(CONCATENATE("#",CELL("address",$D$142)),$D$142)</f>
        <v>Loan 6</v>
      </c>
      <c r="C1042" s="380"/>
      <c r="D1042" s="60">
        <f>D$18</f>
        <v>0</v>
      </c>
      <c r="E1042" s="60">
        <f>E$18</f>
        <v>0</v>
      </c>
      <c r="G1042" s="9"/>
      <c r="H1042" s="50" t="s">
        <v>125</v>
      </c>
      <c r="V1042" s="136"/>
      <c r="W1042" s="201">
        <f t="shared" ca="1" si="1188"/>
        <v>0</v>
      </c>
      <c r="X1042" s="201">
        <f t="shared" ca="1" si="1188"/>
        <v>0</v>
      </c>
      <c r="Y1042" s="201">
        <f t="shared" ca="1" si="1188"/>
        <v>0</v>
      </c>
      <c r="AA1042" s="201">
        <f t="shared" ref="AA1042:BJ1042" ca="1" si="1197">AA879-AA1019</f>
        <v>0</v>
      </c>
      <c r="AB1042" s="201">
        <f t="shared" ca="1" si="1197"/>
        <v>0</v>
      </c>
      <c r="AC1042" s="201">
        <f t="shared" ca="1" si="1197"/>
        <v>0</v>
      </c>
      <c r="AD1042" s="201">
        <f t="shared" ca="1" si="1197"/>
        <v>0</v>
      </c>
      <c r="AE1042" s="201">
        <f t="shared" ca="1" si="1197"/>
        <v>0</v>
      </c>
      <c r="AF1042" s="201">
        <f t="shared" ca="1" si="1197"/>
        <v>0</v>
      </c>
      <c r="AG1042" s="201">
        <f t="shared" ca="1" si="1197"/>
        <v>0</v>
      </c>
      <c r="AH1042" s="201">
        <f t="shared" ca="1" si="1197"/>
        <v>0</v>
      </c>
      <c r="AI1042" s="201">
        <f t="shared" ca="1" si="1197"/>
        <v>0</v>
      </c>
      <c r="AJ1042" s="201">
        <f t="shared" ca="1" si="1197"/>
        <v>0</v>
      </c>
      <c r="AK1042" s="201">
        <f t="shared" ca="1" si="1197"/>
        <v>0</v>
      </c>
      <c r="AL1042" s="201">
        <f t="shared" ca="1" si="1197"/>
        <v>0</v>
      </c>
      <c r="AM1042" s="201">
        <f t="shared" ca="1" si="1197"/>
        <v>0</v>
      </c>
      <c r="AN1042" s="201">
        <f t="shared" ca="1" si="1197"/>
        <v>0</v>
      </c>
      <c r="AO1042" s="201">
        <f t="shared" ca="1" si="1197"/>
        <v>0</v>
      </c>
      <c r="AP1042" s="201">
        <f t="shared" ca="1" si="1197"/>
        <v>0</v>
      </c>
      <c r="AQ1042" s="201">
        <f t="shared" ca="1" si="1197"/>
        <v>0</v>
      </c>
      <c r="AR1042" s="201">
        <f t="shared" ca="1" si="1197"/>
        <v>0</v>
      </c>
      <c r="AS1042" s="201">
        <f t="shared" ca="1" si="1197"/>
        <v>0</v>
      </c>
      <c r="AT1042" s="201">
        <f t="shared" ca="1" si="1197"/>
        <v>0</v>
      </c>
      <c r="AU1042" s="201">
        <f t="shared" ca="1" si="1197"/>
        <v>0</v>
      </c>
      <c r="AV1042" s="201">
        <f t="shared" ca="1" si="1197"/>
        <v>0</v>
      </c>
      <c r="AW1042" s="201">
        <f t="shared" ca="1" si="1197"/>
        <v>0</v>
      </c>
      <c r="AX1042" s="201">
        <f t="shared" ca="1" si="1197"/>
        <v>0</v>
      </c>
      <c r="AY1042" s="201">
        <f t="shared" ca="1" si="1197"/>
        <v>0</v>
      </c>
      <c r="AZ1042" s="201">
        <f t="shared" ca="1" si="1197"/>
        <v>0</v>
      </c>
      <c r="BA1042" s="201">
        <f t="shared" ca="1" si="1197"/>
        <v>0</v>
      </c>
      <c r="BB1042" s="201">
        <f t="shared" ca="1" si="1197"/>
        <v>0</v>
      </c>
      <c r="BC1042" s="201">
        <f t="shared" ca="1" si="1197"/>
        <v>0</v>
      </c>
      <c r="BD1042" s="201">
        <f t="shared" ca="1" si="1197"/>
        <v>0</v>
      </c>
      <c r="BE1042" s="201">
        <f t="shared" ca="1" si="1197"/>
        <v>0</v>
      </c>
      <c r="BF1042" s="201">
        <f t="shared" ca="1" si="1197"/>
        <v>0</v>
      </c>
      <c r="BG1042" s="201">
        <f t="shared" ca="1" si="1197"/>
        <v>0</v>
      </c>
      <c r="BH1042" s="201">
        <f t="shared" ca="1" si="1197"/>
        <v>0</v>
      </c>
      <c r="BI1042" s="201">
        <f t="shared" ca="1" si="1197"/>
        <v>0</v>
      </c>
      <c r="BJ1042" s="201">
        <f t="shared" ca="1" si="1197"/>
        <v>0</v>
      </c>
      <c r="BL1042" s="136"/>
      <c r="BM1042" s="13">
        <f t="shared" ca="1" si="1190"/>
        <v>0</v>
      </c>
      <c r="BN1042" s="13">
        <f t="shared" ca="1" si="1191"/>
        <v>0</v>
      </c>
      <c r="BO1042" s="13">
        <f t="shared" ca="1" si="1192"/>
        <v>0</v>
      </c>
      <c r="BP1042" s="136"/>
      <c r="BQ1042" s="136"/>
      <c r="BR1042" s="136"/>
      <c r="BS1042" s="136"/>
      <c r="BT1042" s="136"/>
      <c r="BU1042" s="136"/>
      <c r="BV1042" s="136"/>
      <c r="BW1042" s="136"/>
      <c r="BY1042" s="12"/>
      <c r="CA1042" s="12"/>
      <c r="CJ1042" s="162"/>
      <c r="CR1042" s="12"/>
      <c r="EX1042" s="10" t="str">
        <f t="shared" si="1183"/>
        <v/>
      </c>
    </row>
    <row r="1043" spans="1:154" s="335" customFormat="1" x14ac:dyDescent="0.25">
      <c r="B1043" s="84" t="str" cm="1">
        <f t="array" aca="1" ref="B1043" ca="1">HYPERLINK(CONCATENATE("#",CELL("address",$D$161)),$D$161)</f>
        <v>Loan 7</v>
      </c>
      <c r="C1043" s="380"/>
      <c r="D1043" s="60">
        <f>D$19</f>
        <v>0</v>
      </c>
      <c r="E1043" s="60">
        <f>E$19</f>
        <v>0</v>
      </c>
      <c r="G1043" s="9"/>
      <c r="H1043" s="50" t="s">
        <v>125</v>
      </c>
      <c r="V1043" s="136"/>
      <c r="W1043" s="201">
        <f t="shared" ca="1" si="1188"/>
        <v>0</v>
      </c>
      <c r="X1043" s="201">
        <f t="shared" ca="1" si="1188"/>
        <v>0</v>
      </c>
      <c r="Y1043" s="201">
        <f t="shared" ca="1" si="1188"/>
        <v>0</v>
      </c>
      <c r="AA1043" s="201">
        <f t="shared" ref="AA1043:BJ1043" ca="1" si="1198">AA880-AA1020</f>
        <v>0</v>
      </c>
      <c r="AB1043" s="201">
        <f t="shared" ca="1" si="1198"/>
        <v>0</v>
      </c>
      <c r="AC1043" s="201">
        <f t="shared" ca="1" si="1198"/>
        <v>0</v>
      </c>
      <c r="AD1043" s="201">
        <f t="shared" ca="1" si="1198"/>
        <v>0</v>
      </c>
      <c r="AE1043" s="201">
        <f t="shared" ca="1" si="1198"/>
        <v>0</v>
      </c>
      <c r="AF1043" s="201">
        <f t="shared" ca="1" si="1198"/>
        <v>0</v>
      </c>
      <c r="AG1043" s="201">
        <f t="shared" ca="1" si="1198"/>
        <v>0</v>
      </c>
      <c r="AH1043" s="201">
        <f t="shared" ca="1" si="1198"/>
        <v>0</v>
      </c>
      <c r="AI1043" s="201">
        <f t="shared" ca="1" si="1198"/>
        <v>0</v>
      </c>
      <c r="AJ1043" s="201">
        <f t="shared" ca="1" si="1198"/>
        <v>0</v>
      </c>
      <c r="AK1043" s="201">
        <f t="shared" ca="1" si="1198"/>
        <v>0</v>
      </c>
      <c r="AL1043" s="201">
        <f t="shared" ca="1" si="1198"/>
        <v>0</v>
      </c>
      <c r="AM1043" s="201">
        <f t="shared" ca="1" si="1198"/>
        <v>0</v>
      </c>
      <c r="AN1043" s="201">
        <f t="shared" ca="1" si="1198"/>
        <v>0</v>
      </c>
      <c r="AO1043" s="201">
        <f t="shared" ca="1" si="1198"/>
        <v>0</v>
      </c>
      <c r="AP1043" s="201">
        <f t="shared" ca="1" si="1198"/>
        <v>0</v>
      </c>
      <c r="AQ1043" s="201">
        <f t="shared" ca="1" si="1198"/>
        <v>0</v>
      </c>
      <c r="AR1043" s="201">
        <f t="shared" ca="1" si="1198"/>
        <v>0</v>
      </c>
      <c r="AS1043" s="201">
        <f t="shared" ca="1" si="1198"/>
        <v>0</v>
      </c>
      <c r="AT1043" s="201">
        <f t="shared" ca="1" si="1198"/>
        <v>0</v>
      </c>
      <c r="AU1043" s="201">
        <f t="shared" ca="1" si="1198"/>
        <v>0</v>
      </c>
      <c r="AV1043" s="201">
        <f t="shared" ca="1" si="1198"/>
        <v>0</v>
      </c>
      <c r="AW1043" s="201">
        <f t="shared" ca="1" si="1198"/>
        <v>0</v>
      </c>
      <c r="AX1043" s="201">
        <f t="shared" ca="1" si="1198"/>
        <v>0</v>
      </c>
      <c r="AY1043" s="201">
        <f t="shared" ca="1" si="1198"/>
        <v>0</v>
      </c>
      <c r="AZ1043" s="201">
        <f t="shared" ca="1" si="1198"/>
        <v>0</v>
      </c>
      <c r="BA1043" s="201">
        <f t="shared" ca="1" si="1198"/>
        <v>0</v>
      </c>
      <c r="BB1043" s="201">
        <f t="shared" ca="1" si="1198"/>
        <v>0</v>
      </c>
      <c r="BC1043" s="201">
        <f t="shared" ca="1" si="1198"/>
        <v>0</v>
      </c>
      <c r="BD1043" s="201">
        <f t="shared" ca="1" si="1198"/>
        <v>0</v>
      </c>
      <c r="BE1043" s="201">
        <f t="shared" ca="1" si="1198"/>
        <v>0</v>
      </c>
      <c r="BF1043" s="201">
        <f t="shared" ca="1" si="1198"/>
        <v>0</v>
      </c>
      <c r="BG1043" s="201">
        <f t="shared" ca="1" si="1198"/>
        <v>0</v>
      </c>
      <c r="BH1043" s="201">
        <f t="shared" ca="1" si="1198"/>
        <v>0</v>
      </c>
      <c r="BI1043" s="201">
        <f t="shared" ca="1" si="1198"/>
        <v>0</v>
      </c>
      <c r="BJ1043" s="201">
        <f t="shared" ca="1" si="1198"/>
        <v>0</v>
      </c>
      <c r="BL1043" s="136"/>
      <c r="BM1043" s="13">
        <f t="shared" ca="1" si="1190"/>
        <v>0</v>
      </c>
      <c r="BN1043" s="13">
        <f t="shared" ca="1" si="1191"/>
        <v>0</v>
      </c>
      <c r="BO1043" s="13">
        <f t="shared" ca="1" si="1192"/>
        <v>0</v>
      </c>
      <c r="BP1043" s="136"/>
      <c r="BQ1043" s="136"/>
      <c r="BR1043" s="136"/>
      <c r="BS1043" s="136"/>
      <c r="BT1043" s="136"/>
      <c r="BU1043" s="136"/>
      <c r="BV1043" s="136"/>
      <c r="BW1043" s="136"/>
      <c r="BY1043" s="12"/>
      <c r="CA1043" s="12"/>
      <c r="CJ1043" s="162"/>
      <c r="CR1043" s="12"/>
      <c r="EX1043" s="10" t="str">
        <f t="shared" si="1183"/>
        <v/>
      </c>
    </row>
    <row r="1044" spans="1:154" s="335" customFormat="1" x14ac:dyDescent="0.25">
      <c r="B1044" s="84" t="str" cm="1">
        <f t="array" aca="1" ref="B1044" ca="1">HYPERLINK(CONCATENATE("#",CELL("address",$D$180)),$D$180)</f>
        <v>Loan 8</v>
      </c>
      <c r="C1044" s="380"/>
      <c r="D1044" s="60">
        <f>D$20</f>
        <v>0</v>
      </c>
      <c r="E1044" s="60">
        <f>E$20</f>
        <v>0</v>
      </c>
      <c r="G1044" s="9"/>
      <c r="H1044" s="50" t="s">
        <v>125</v>
      </c>
      <c r="V1044" s="136"/>
      <c r="W1044" s="201">
        <f t="shared" ca="1" si="1188"/>
        <v>0</v>
      </c>
      <c r="X1044" s="201">
        <f t="shared" ca="1" si="1188"/>
        <v>0</v>
      </c>
      <c r="Y1044" s="201">
        <f t="shared" ca="1" si="1188"/>
        <v>0</v>
      </c>
      <c r="AA1044" s="201">
        <f t="shared" ref="AA1044:BJ1044" ca="1" si="1199">AA881-AA1021</f>
        <v>0</v>
      </c>
      <c r="AB1044" s="201">
        <f t="shared" ca="1" si="1199"/>
        <v>0</v>
      </c>
      <c r="AC1044" s="201">
        <f t="shared" ca="1" si="1199"/>
        <v>0</v>
      </c>
      <c r="AD1044" s="201">
        <f t="shared" ca="1" si="1199"/>
        <v>0</v>
      </c>
      <c r="AE1044" s="201">
        <f t="shared" ca="1" si="1199"/>
        <v>0</v>
      </c>
      <c r="AF1044" s="201">
        <f t="shared" ca="1" si="1199"/>
        <v>0</v>
      </c>
      <c r="AG1044" s="201">
        <f t="shared" ca="1" si="1199"/>
        <v>0</v>
      </c>
      <c r="AH1044" s="201">
        <f t="shared" ca="1" si="1199"/>
        <v>0</v>
      </c>
      <c r="AI1044" s="201">
        <f t="shared" ca="1" si="1199"/>
        <v>0</v>
      </c>
      <c r="AJ1044" s="201">
        <f t="shared" ca="1" si="1199"/>
        <v>0</v>
      </c>
      <c r="AK1044" s="201">
        <f t="shared" ca="1" si="1199"/>
        <v>0</v>
      </c>
      <c r="AL1044" s="201">
        <f t="shared" ca="1" si="1199"/>
        <v>0</v>
      </c>
      <c r="AM1044" s="201">
        <f t="shared" ca="1" si="1199"/>
        <v>0</v>
      </c>
      <c r="AN1044" s="201">
        <f t="shared" ca="1" si="1199"/>
        <v>0</v>
      </c>
      <c r="AO1044" s="201">
        <f t="shared" ca="1" si="1199"/>
        <v>0</v>
      </c>
      <c r="AP1044" s="201">
        <f t="shared" ca="1" si="1199"/>
        <v>0</v>
      </c>
      <c r="AQ1044" s="201">
        <f t="shared" ca="1" si="1199"/>
        <v>0</v>
      </c>
      <c r="AR1044" s="201">
        <f t="shared" ca="1" si="1199"/>
        <v>0</v>
      </c>
      <c r="AS1044" s="201">
        <f t="shared" ca="1" si="1199"/>
        <v>0</v>
      </c>
      <c r="AT1044" s="201">
        <f t="shared" ca="1" si="1199"/>
        <v>0</v>
      </c>
      <c r="AU1044" s="201">
        <f t="shared" ca="1" si="1199"/>
        <v>0</v>
      </c>
      <c r="AV1044" s="201">
        <f t="shared" ca="1" si="1199"/>
        <v>0</v>
      </c>
      <c r="AW1044" s="201">
        <f t="shared" ca="1" si="1199"/>
        <v>0</v>
      </c>
      <c r="AX1044" s="201">
        <f t="shared" ca="1" si="1199"/>
        <v>0</v>
      </c>
      <c r="AY1044" s="201">
        <f t="shared" ca="1" si="1199"/>
        <v>0</v>
      </c>
      <c r="AZ1044" s="201">
        <f t="shared" ca="1" si="1199"/>
        <v>0</v>
      </c>
      <c r="BA1044" s="201">
        <f t="shared" ca="1" si="1199"/>
        <v>0</v>
      </c>
      <c r="BB1044" s="201">
        <f t="shared" ca="1" si="1199"/>
        <v>0</v>
      </c>
      <c r="BC1044" s="201">
        <f t="shared" ca="1" si="1199"/>
        <v>0</v>
      </c>
      <c r="BD1044" s="201">
        <f t="shared" ca="1" si="1199"/>
        <v>0</v>
      </c>
      <c r="BE1044" s="201">
        <f t="shared" ca="1" si="1199"/>
        <v>0</v>
      </c>
      <c r="BF1044" s="201">
        <f t="shared" ca="1" si="1199"/>
        <v>0</v>
      </c>
      <c r="BG1044" s="201">
        <f t="shared" ca="1" si="1199"/>
        <v>0</v>
      </c>
      <c r="BH1044" s="201">
        <f t="shared" ca="1" si="1199"/>
        <v>0</v>
      </c>
      <c r="BI1044" s="201">
        <f t="shared" ca="1" si="1199"/>
        <v>0</v>
      </c>
      <c r="BJ1044" s="201">
        <f t="shared" ca="1" si="1199"/>
        <v>0</v>
      </c>
      <c r="BL1044" s="136"/>
      <c r="BM1044" s="13">
        <f t="shared" ca="1" si="1190"/>
        <v>0</v>
      </c>
      <c r="BN1044" s="13">
        <f t="shared" ca="1" si="1191"/>
        <v>0</v>
      </c>
      <c r="BO1044" s="13">
        <f t="shared" ca="1" si="1192"/>
        <v>0</v>
      </c>
      <c r="BP1044" s="136"/>
      <c r="BQ1044" s="136"/>
      <c r="BR1044" s="136"/>
      <c r="BS1044" s="136"/>
      <c r="BT1044" s="136"/>
      <c r="BU1044" s="136"/>
      <c r="BV1044" s="136"/>
      <c r="BW1044" s="136"/>
      <c r="BY1044" s="12"/>
      <c r="CA1044" s="12"/>
      <c r="CJ1044" s="162"/>
      <c r="CR1044" s="12"/>
      <c r="EX1044" s="10" t="str">
        <f t="shared" si="1183"/>
        <v/>
      </c>
    </row>
    <row r="1045" spans="1:154" s="335" customFormat="1" x14ac:dyDescent="0.25">
      <c r="B1045" s="84" t="str" cm="1">
        <f t="array" aca="1" ref="B1045" ca="1">HYPERLINK(CONCATENATE("#",CELL("address",$D$199)),$D$199)</f>
        <v>Loan 9</v>
      </c>
      <c r="C1045" s="380"/>
      <c r="D1045" s="60">
        <f>D$21</f>
        <v>0</v>
      </c>
      <c r="E1045" s="60">
        <f>E$21</f>
        <v>0</v>
      </c>
      <c r="G1045" s="9"/>
      <c r="H1045" s="50" t="s">
        <v>125</v>
      </c>
      <c r="V1045" s="136"/>
      <c r="W1045" s="201">
        <f t="shared" ca="1" si="1188"/>
        <v>0</v>
      </c>
      <c r="X1045" s="201">
        <f t="shared" ca="1" si="1188"/>
        <v>0</v>
      </c>
      <c r="Y1045" s="201">
        <f t="shared" ca="1" si="1188"/>
        <v>0</v>
      </c>
      <c r="AA1045" s="201">
        <f t="shared" ref="AA1045:BJ1045" ca="1" si="1200">AA882-AA1022</f>
        <v>0</v>
      </c>
      <c r="AB1045" s="201">
        <f t="shared" ca="1" si="1200"/>
        <v>0</v>
      </c>
      <c r="AC1045" s="201">
        <f t="shared" ca="1" si="1200"/>
        <v>0</v>
      </c>
      <c r="AD1045" s="201">
        <f t="shared" ca="1" si="1200"/>
        <v>0</v>
      </c>
      <c r="AE1045" s="201">
        <f t="shared" ca="1" si="1200"/>
        <v>0</v>
      </c>
      <c r="AF1045" s="201">
        <f t="shared" ca="1" si="1200"/>
        <v>0</v>
      </c>
      <c r="AG1045" s="201">
        <f t="shared" ca="1" si="1200"/>
        <v>0</v>
      </c>
      <c r="AH1045" s="201">
        <f t="shared" ca="1" si="1200"/>
        <v>0</v>
      </c>
      <c r="AI1045" s="201">
        <f t="shared" ca="1" si="1200"/>
        <v>0</v>
      </c>
      <c r="AJ1045" s="201">
        <f t="shared" ca="1" si="1200"/>
        <v>0</v>
      </c>
      <c r="AK1045" s="201">
        <f t="shared" ca="1" si="1200"/>
        <v>0</v>
      </c>
      <c r="AL1045" s="201">
        <f t="shared" ca="1" si="1200"/>
        <v>0</v>
      </c>
      <c r="AM1045" s="201">
        <f t="shared" ca="1" si="1200"/>
        <v>0</v>
      </c>
      <c r="AN1045" s="201">
        <f t="shared" ca="1" si="1200"/>
        <v>0</v>
      </c>
      <c r="AO1045" s="201">
        <f t="shared" ca="1" si="1200"/>
        <v>0</v>
      </c>
      <c r="AP1045" s="201">
        <f t="shared" ca="1" si="1200"/>
        <v>0</v>
      </c>
      <c r="AQ1045" s="201">
        <f t="shared" ca="1" si="1200"/>
        <v>0</v>
      </c>
      <c r="AR1045" s="201">
        <f t="shared" ca="1" si="1200"/>
        <v>0</v>
      </c>
      <c r="AS1045" s="201">
        <f t="shared" ca="1" si="1200"/>
        <v>0</v>
      </c>
      <c r="AT1045" s="201">
        <f t="shared" ca="1" si="1200"/>
        <v>0</v>
      </c>
      <c r="AU1045" s="201">
        <f t="shared" ca="1" si="1200"/>
        <v>0</v>
      </c>
      <c r="AV1045" s="201">
        <f t="shared" ca="1" si="1200"/>
        <v>0</v>
      </c>
      <c r="AW1045" s="201">
        <f t="shared" ca="1" si="1200"/>
        <v>0</v>
      </c>
      <c r="AX1045" s="201">
        <f t="shared" ca="1" si="1200"/>
        <v>0</v>
      </c>
      <c r="AY1045" s="201">
        <f t="shared" ca="1" si="1200"/>
        <v>0</v>
      </c>
      <c r="AZ1045" s="201">
        <f t="shared" ca="1" si="1200"/>
        <v>0</v>
      </c>
      <c r="BA1045" s="201">
        <f t="shared" ca="1" si="1200"/>
        <v>0</v>
      </c>
      <c r="BB1045" s="201">
        <f t="shared" ca="1" si="1200"/>
        <v>0</v>
      </c>
      <c r="BC1045" s="201">
        <f t="shared" ca="1" si="1200"/>
        <v>0</v>
      </c>
      <c r="BD1045" s="201">
        <f t="shared" ca="1" si="1200"/>
        <v>0</v>
      </c>
      <c r="BE1045" s="201">
        <f t="shared" ca="1" si="1200"/>
        <v>0</v>
      </c>
      <c r="BF1045" s="201">
        <f t="shared" ca="1" si="1200"/>
        <v>0</v>
      </c>
      <c r="BG1045" s="201">
        <f t="shared" ca="1" si="1200"/>
        <v>0</v>
      </c>
      <c r="BH1045" s="201">
        <f t="shared" ca="1" si="1200"/>
        <v>0</v>
      </c>
      <c r="BI1045" s="201">
        <f t="shared" ca="1" si="1200"/>
        <v>0</v>
      </c>
      <c r="BJ1045" s="201">
        <f t="shared" ca="1" si="1200"/>
        <v>0</v>
      </c>
      <c r="BL1045" s="136"/>
      <c r="BM1045" s="13">
        <f t="shared" ca="1" si="1190"/>
        <v>0</v>
      </c>
      <c r="BN1045" s="13">
        <f t="shared" ca="1" si="1191"/>
        <v>0</v>
      </c>
      <c r="BO1045" s="13">
        <f t="shared" ca="1" si="1192"/>
        <v>0</v>
      </c>
      <c r="BP1045" s="136"/>
      <c r="BQ1045" s="136"/>
      <c r="BR1045" s="136"/>
      <c r="BS1045" s="136"/>
      <c r="BT1045" s="136"/>
      <c r="BU1045" s="136"/>
      <c r="BV1045" s="136"/>
      <c r="BW1045" s="136"/>
      <c r="BY1045" s="12"/>
      <c r="CA1045" s="12"/>
      <c r="CJ1045" s="162"/>
      <c r="CR1045" s="12"/>
      <c r="EX1045" s="10" t="str">
        <f t="shared" si="1183"/>
        <v/>
      </c>
    </row>
    <row r="1046" spans="1:154" s="335" customFormat="1" x14ac:dyDescent="0.25">
      <c r="B1046" s="84" t="str" cm="1">
        <f t="array" aca="1" ref="B1046" ca="1">HYPERLINK(CONCATENATE("#",CELL("address",$D$218)),$D$218)</f>
        <v>Loan 10</v>
      </c>
      <c r="C1046" s="380"/>
      <c r="D1046" s="60">
        <f>D$22</f>
        <v>0</v>
      </c>
      <c r="E1046" s="60">
        <f>E$22</f>
        <v>0</v>
      </c>
      <c r="G1046" s="9"/>
      <c r="H1046" s="50" t="s">
        <v>125</v>
      </c>
      <c r="V1046" s="136"/>
      <c r="W1046" s="201">
        <f t="shared" ca="1" si="1188"/>
        <v>0</v>
      </c>
      <c r="X1046" s="201">
        <f t="shared" ca="1" si="1188"/>
        <v>0</v>
      </c>
      <c r="Y1046" s="201">
        <f t="shared" ca="1" si="1188"/>
        <v>0</v>
      </c>
      <c r="AA1046" s="201">
        <f t="shared" ref="AA1046:BJ1046" ca="1" si="1201">AA883-AA1023</f>
        <v>0</v>
      </c>
      <c r="AB1046" s="201">
        <f t="shared" ca="1" si="1201"/>
        <v>0</v>
      </c>
      <c r="AC1046" s="201">
        <f t="shared" ca="1" si="1201"/>
        <v>0</v>
      </c>
      <c r="AD1046" s="201">
        <f t="shared" ca="1" si="1201"/>
        <v>0</v>
      </c>
      <c r="AE1046" s="201">
        <f t="shared" ca="1" si="1201"/>
        <v>0</v>
      </c>
      <c r="AF1046" s="201">
        <f t="shared" ca="1" si="1201"/>
        <v>0</v>
      </c>
      <c r="AG1046" s="201">
        <f t="shared" ca="1" si="1201"/>
        <v>0</v>
      </c>
      <c r="AH1046" s="201">
        <f t="shared" ca="1" si="1201"/>
        <v>0</v>
      </c>
      <c r="AI1046" s="201">
        <f t="shared" ca="1" si="1201"/>
        <v>0</v>
      </c>
      <c r="AJ1046" s="201">
        <f t="shared" ca="1" si="1201"/>
        <v>0</v>
      </c>
      <c r="AK1046" s="201">
        <f t="shared" ca="1" si="1201"/>
        <v>0</v>
      </c>
      <c r="AL1046" s="201">
        <f t="shared" ca="1" si="1201"/>
        <v>0</v>
      </c>
      <c r="AM1046" s="201">
        <f t="shared" ca="1" si="1201"/>
        <v>0</v>
      </c>
      <c r="AN1046" s="201">
        <f t="shared" ca="1" si="1201"/>
        <v>0</v>
      </c>
      <c r="AO1046" s="201">
        <f t="shared" ca="1" si="1201"/>
        <v>0</v>
      </c>
      <c r="AP1046" s="201">
        <f t="shared" ca="1" si="1201"/>
        <v>0</v>
      </c>
      <c r="AQ1046" s="201">
        <f t="shared" ca="1" si="1201"/>
        <v>0</v>
      </c>
      <c r="AR1046" s="201">
        <f t="shared" ca="1" si="1201"/>
        <v>0</v>
      </c>
      <c r="AS1046" s="201">
        <f t="shared" ca="1" si="1201"/>
        <v>0</v>
      </c>
      <c r="AT1046" s="201">
        <f t="shared" ca="1" si="1201"/>
        <v>0</v>
      </c>
      <c r="AU1046" s="201">
        <f t="shared" ca="1" si="1201"/>
        <v>0</v>
      </c>
      <c r="AV1046" s="201">
        <f t="shared" ca="1" si="1201"/>
        <v>0</v>
      </c>
      <c r="AW1046" s="201">
        <f t="shared" ca="1" si="1201"/>
        <v>0</v>
      </c>
      <c r="AX1046" s="201">
        <f t="shared" ca="1" si="1201"/>
        <v>0</v>
      </c>
      <c r="AY1046" s="201">
        <f t="shared" ca="1" si="1201"/>
        <v>0</v>
      </c>
      <c r="AZ1046" s="201">
        <f t="shared" ca="1" si="1201"/>
        <v>0</v>
      </c>
      <c r="BA1046" s="201">
        <f t="shared" ca="1" si="1201"/>
        <v>0</v>
      </c>
      <c r="BB1046" s="201">
        <f t="shared" ca="1" si="1201"/>
        <v>0</v>
      </c>
      <c r="BC1046" s="201">
        <f t="shared" ca="1" si="1201"/>
        <v>0</v>
      </c>
      <c r="BD1046" s="201">
        <f t="shared" ca="1" si="1201"/>
        <v>0</v>
      </c>
      <c r="BE1046" s="201">
        <f t="shared" ca="1" si="1201"/>
        <v>0</v>
      </c>
      <c r="BF1046" s="201">
        <f t="shared" ca="1" si="1201"/>
        <v>0</v>
      </c>
      <c r="BG1046" s="201">
        <f t="shared" ca="1" si="1201"/>
        <v>0</v>
      </c>
      <c r="BH1046" s="201">
        <f t="shared" ca="1" si="1201"/>
        <v>0</v>
      </c>
      <c r="BI1046" s="201">
        <f t="shared" ca="1" si="1201"/>
        <v>0</v>
      </c>
      <c r="BJ1046" s="201">
        <f t="shared" ca="1" si="1201"/>
        <v>0</v>
      </c>
      <c r="BL1046" s="136"/>
      <c r="BM1046" s="13">
        <f t="shared" ca="1" si="1190"/>
        <v>0</v>
      </c>
      <c r="BN1046" s="13">
        <f t="shared" ca="1" si="1191"/>
        <v>0</v>
      </c>
      <c r="BO1046" s="13">
        <f t="shared" ca="1" si="1192"/>
        <v>0</v>
      </c>
      <c r="BP1046" s="136"/>
      <c r="BQ1046" s="136"/>
      <c r="BR1046" s="136"/>
      <c r="BS1046" s="136"/>
      <c r="BT1046" s="136"/>
      <c r="BU1046" s="136"/>
      <c r="BV1046" s="136"/>
      <c r="BW1046" s="136"/>
      <c r="BY1046" s="12"/>
      <c r="CA1046" s="12"/>
      <c r="CJ1046" s="162"/>
      <c r="CR1046" s="12"/>
      <c r="EX1046" s="10" t="str">
        <f t="shared" si="1183"/>
        <v/>
      </c>
    </row>
    <row r="1047" spans="1:154" s="335" customFormat="1" x14ac:dyDescent="0.25">
      <c r="B1047" s="84" t="str" cm="1">
        <f t="array" aca="1" ref="B1047" ca="1">HYPERLINK(CONCATENATE("#",CELL("address",$D$237)),$D$237)</f>
        <v>Loan 11</v>
      </c>
      <c r="C1047" s="380"/>
      <c r="D1047" s="60">
        <f>D$23</f>
        <v>0</v>
      </c>
      <c r="E1047" s="60">
        <f>E$23</f>
        <v>0</v>
      </c>
      <c r="G1047" s="9"/>
      <c r="H1047" s="50" t="s">
        <v>125</v>
      </c>
      <c r="V1047" s="136"/>
      <c r="W1047" s="201">
        <f t="shared" ca="1" si="1188"/>
        <v>0</v>
      </c>
      <c r="X1047" s="201">
        <f t="shared" ca="1" si="1188"/>
        <v>0</v>
      </c>
      <c r="Y1047" s="201">
        <f t="shared" ca="1" si="1188"/>
        <v>0</v>
      </c>
      <c r="AA1047" s="201">
        <f t="shared" ref="AA1047:BJ1047" ca="1" si="1202">AA884-AA1024</f>
        <v>0</v>
      </c>
      <c r="AB1047" s="201">
        <f t="shared" ca="1" si="1202"/>
        <v>0</v>
      </c>
      <c r="AC1047" s="201">
        <f t="shared" ca="1" si="1202"/>
        <v>0</v>
      </c>
      <c r="AD1047" s="201">
        <f t="shared" ca="1" si="1202"/>
        <v>0</v>
      </c>
      <c r="AE1047" s="201">
        <f t="shared" ca="1" si="1202"/>
        <v>0</v>
      </c>
      <c r="AF1047" s="201">
        <f t="shared" ca="1" si="1202"/>
        <v>0</v>
      </c>
      <c r="AG1047" s="201">
        <f t="shared" ca="1" si="1202"/>
        <v>0</v>
      </c>
      <c r="AH1047" s="201">
        <f t="shared" ca="1" si="1202"/>
        <v>0</v>
      </c>
      <c r="AI1047" s="201">
        <f t="shared" ca="1" si="1202"/>
        <v>0</v>
      </c>
      <c r="AJ1047" s="201">
        <f t="shared" ca="1" si="1202"/>
        <v>0</v>
      </c>
      <c r="AK1047" s="201">
        <f t="shared" ca="1" si="1202"/>
        <v>0</v>
      </c>
      <c r="AL1047" s="201">
        <f t="shared" ca="1" si="1202"/>
        <v>0</v>
      </c>
      <c r="AM1047" s="201">
        <f t="shared" ca="1" si="1202"/>
        <v>0</v>
      </c>
      <c r="AN1047" s="201">
        <f t="shared" ca="1" si="1202"/>
        <v>0</v>
      </c>
      <c r="AO1047" s="201">
        <f t="shared" ca="1" si="1202"/>
        <v>0</v>
      </c>
      <c r="AP1047" s="201">
        <f t="shared" ca="1" si="1202"/>
        <v>0</v>
      </c>
      <c r="AQ1047" s="201">
        <f t="shared" ca="1" si="1202"/>
        <v>0</v>
      </c>
      <c r="AR1047" s="201">
        <f t="shared" ca="1" si="1202"/>
        <v>0</v>
      </c>
      <c r="AS1047" s="201">
        <f t="shared" ca="1" si="1202"/>
        <v>0</v>
      </c>
      <c r="AT1047" s="201">
        <f t="shared" ca="1" si="1202"/>
        <v>0</v>
      </c>
      <c r="AU1047" s="201">
        <f t="shared" ca="1" si="1202"/>
        <v>0</v>
      </c>
      <c r="AV1047" s="201">
        <f t="shared" ca="1" si="1202"/>
        <v>0</v>
      </c>
      <c r="AW1047" s="201">
        <f t="shared" ca="1" si="1202"/>
        <v>0</v>
      </c>
      <c r="AX1047" s="201">
        <f t="shared" ca="1" si="1202"/>
        <v>0</v>
      </c>
      <c r="AY1047" s="201">
        <f t="shared" ca="1" si="1202"/>
        <v>0</v>
      </c>
      <c r="AZ1047" s="201">
        <f t="shared" ca="1" si="1202"/>
        <v>0</v>
      </c>
      <c r="BA1047" s="201">
        <f t="shared" ca="1" si="1202"/>
        <v>0</v>
      </c>
      <c r="BB1047" s="201">
        <f t="shared" ca="1" si="1202"/>
        <v>0</v>
      </c>
      <c r="BC1047" s="201">
        <f t="shared" ca="1" si="1202"/>
        <v>0</v>
      </c>
      <c r="BD1047" s="201">
        <f t="shared" ca="1" si="1202"/>
        <v>0</v>
      </c>
      <c r="BE1047" s="201">
        <f t="shared" ca="1" si="1202"/>
        <v>0</v>
      </c>
      <c r="BF1047" s="201">
        <f t="shared" ca="1" si="1202"/>
        <v>0</v>
      </c>
      <c r="BG1047" s="201">
        <f t="shared" ca="1" si="1202"/>
        <v>0</v>
      </c>
      <c r="BH1047" s="201">
        <f t="shared" ca="1" si="1202"/>
        <v>0</v>
      </c>
      <c r="BI1047" s="201">
        <f t="shared" ca="1" si="1202"/>
        <v>0</v>
      </c>
      <c r="BJ1047" s="201">
        <f t="shared" ca="1" si="1202"/>
        <v>0</v>
      </c>
      <c r="BL1047" s="136"/>
      <c r="BM1047" s="13">
        <f t="shared" ca="1" si="1190"/>
        <v>0</v>
      </c>
      <c r="BN1047" s="13">
        <f t="shared" ca="1" si="1191"/>
        <v>0</v>
      </c>
      <c r="BO1047" s="13">
        <f t="shared" ca="1" si="1192"/>
        <v>0</v>
      </c>
      <c r="BP1047" s="136"/>
      <c r="BQ1047" s="136"/>
      <c r="BR1047" s="136"/>
      <c r="BS1047" s="136"/>
      <c r="BT1047" s="136"/>
      <c r="BU1047" s="136"/>
      <c r="BV1047" s="136"/>
      <c r="BW1047" s="136"/>
      <c r="BY1047" s="12"/>
      <c r="CA1047" s="12"/>
      <c r="CJ1047" s="162"/>
      <c r="CR1047" s="12"/>
      <c r="EX1047" s="10" t="str">
        <f t="shared" si="1183"/>
        <v/>
      </c>
    </row>
    <row r="1048" spans="1:154" s="335" customFormat="1" x14ac:dyDescent="0.25">
      <c r="B1048" s="84" t="str" cm="1">
        <f t="array" aca="1" ref="B1048" ca="1">HYPERLINK(CONCATENATE("#",CELL("address",$D$256)),$D$256)</f>
        <v>Loan 12</v>
      </c>
      <c r="C1048" s="380"/>
      <c r="D1048" s="60">
        <f>D$24</f>
        <v>0</v>
      </c>
      <c r="E1048" s="60">
        <f>E$24</f>
        <v>0</v>
      </c>
      <c r="G1048" s="9"/>
      <c r="H1048" s="50" t="s">
        <v>125</v>
      </c>
      <c r="V1048" s="136"/>
      <c r="W1048" s="201">
        <f t="shared" ca="1" si="1188"/>
        <v>0</v>
      </c>
      <c r="X1048" s="201">
        <f t="shared" ca="1" si="1188"/>
        <v>0</v>
      </c>
      <c r="Y1048" s="201">
        <f t="shared" ca="1" si="1188"/>
        <v>0</v>
      </c>
      <c r="AA1048" s="201">
        <f t="shared" ref="AA1048:BJ1048" ca="1" si="1203">AA885-AA1025</f>
        <v>0</v>
      </c>
      <c r="AB1048" s="201">
        <f t="shared" ca="1" si="1203"/>
        <v>0</v>
      </c>
      <c r="AC1048" s="201">
        <f t="shared" ca="1" si="1203"/>
        <v>0</v>
      </c>
      <c r="AD1048" s="201">
        <f t="shared" ca="1" si="1203"/>
        <v>0</v>
      </c>
      <c r="AE1048" s="201">
        <f t="shared" ca="1" si="1203"/>
        <v>0</v>
      </c>
      <c r="AF1048" s="201">
        <f t="shared" ca="1" si="1203"/>
        <v>0</v>
      </c>
      <c r="AG1048" s="201">
        <f t="shared" ca="1" si="1203"/>
        <v>0</v>
      </c>
      <c r="AH1048" s="201">
        <f t="shared" ca="1" si="1203"/>
        <v>0</v>
      </c>
      <c r="AI1048" s="201">
        <f t="shared" ca="1" si="1203"/>
        <v>0</v>
      </c>
      <c r="AJ1048" s="201">
        <f t="shared" ca="1" si="1203"/>
        <v>0</v>
      </c>
      <c r="AK1048" s="201">
        <f t="shared" ca="1" si="1203"/>
        <v>0</v>
      </c>
      <c r="AL1048" s="201">
        <f t="shared" ca="1" si="1203"/>
        <v>0</v>
      </c>
      <c r="AM1048" s="201">
        <f t="shared" ca="1" si="1203"/>
        <v>0</v>
      </c>
      <c r="AN1048" s="201">
        <f t="shared" ca="1" si="1203"/>
        <v>0</v>
      </c>
      <c r="AO1048" s="201">
        <f t="shared" ca="1" si="1203"/>
        <v>0</v>
      </c>
      <c r="AP1048" s="201">
        <f t="shared" ca="1" si="1203"/>
        <v>0</v>
      </c>
      <c r="AQ1048" s="201">
        <f t="shared" ca="1" si="1203"/>
        <v>0</v>
      </c>
      <c r="AR1048" s="201">
        <f t="shared" ca="1" si="1203"/>
        <v>0</v>
      </c>
      <c r="AS1048" s="201">
        <f t="shared" ca="1" si="1203"/>
        <v>0</v>
      </c>
      <c r="AT1048" s="201">
        <f t="shared" ca="1" si="1203"/>
        <v>0</v>
      </c>
      <c r="AU1048" s="201">
        <f t="shared" ca="1" si="1203"/>
        <v>0</v>
      </c>
      <c r="AV1048" s="201">
        <f t="shared" ca="1" si="1203"/>
        <v>0</v>
      </c>
      <c r="AW1048" s="201">
        <f t="shared" ca="1" si="1203"/>
        <v>0</v>
      </c>
      <c r="AX1048" s="201">
        <f t="shared" ca="1" si="1203"/>
        <v>0</v>
      </c>
      <c r="AY1048" s="201">
        <f t="shared" ca="1" si="1203"/>
        <v>0</v>
      </c>
      <c r="AZ1048" s="201">
        <f t="shared" ca="1" si="1203"/>
        <v>0</v>
      </c>
      <c r="BA1048" s="201">
        <f t="shared" ca="1" si="1203"/>
        <v>0</v>
      </c>
      <c r="BB1048" s="201">
        <f t="shared" ca="1" si="1203"/>
        <v>0</v>
      </c>
      <c r="BC1048" s="201">
        <f t="shared" ca="1" si="1203"/>
        <v>0</v>
      </c>
      <c r="BD1048" s="201">
        <f t="shared" ca="1" si="1203"/>
        <v>0</v>
      </c>
      <c r="BE1048" s="201">
        <f t="shared" ca="1" si="1203"/>
        <v>0</v>
      </c>
      <c r="BF1048" s="201">
        <f t="shared" ca="1" si="1203"/>
        <v>0</v>
      </c>
      <c r="BG1048" s="201">
        <f t="shared" ca="1" si="1203"/>
        <v>0</v>
      </c>
      <c r="BH1048" s="201">
        <f t="shared" ca="1" si="1203"/>
        <v>0</v>
      </c>
      <c r="BI1048" s="201">
        <f t="shared" ca="1" si="1203"/>
        <v>0</v>
      </c>
      <c r="BJ1048" s="201">
        <f t="shared" ca="1" si="1203"/>
        <v>0</v>
      </c>
      <c r="BL1048" s="136"/>
      <c r="BM1048" s="13">
        <f t="shared" ca="1" si="1190"/>
        <v>0</v>
      </c>
      <c r="BN1048" s="13">
        <f t="shared" ca="1" si="1191"/>
        <v>0</v>
      </c>
      <c r="BO1048" s="13">
        <f t="shared" ca="1" si="1192"/>
        <v>0</v>
      </c>
      <c r="BP1048" s="136"/>
      <c r="BQ1048" s="136"/>
      <c r="BR1048" s="136"/>
      <c r="BS1048" s="136"/>
      <c r="BT1048" s="136"/>
      <c r="BU1048" s="136"/>
      <c r="BV1048" s="136"/>
      <c r="BW1048" s="136"/>
      <c r="BY1048" s="12"/>
      <c r="CA1048" s="12"/>
      <c r="CJ1048" s="162"/>
      <c r="CR1048" s="12"/>
      <c r="EX1048" s="10" t="str">
        <f t="shared" si="1183"/>
        <v/>
      </c>
    </row>
    <row r="1049" spans="1:154" s="335" customFormat="1" x14ac:dyDescent="0.25">
      <c r="B1049" s="84" t="str" cm="1">
        <f t="array" aca="1" ref="B1049" ca="1">HYPERLINK(CONCATENATE("#",CELL("address",$D$275)),$D$275)</f>
        <v>Loan 13</v>
      </c>
      <c r="C1049" s="380"/>
      <c r="D1049" s="60">
        <f>D$25</f>
        <v>0</v>
      </c>
      <c r="E1049" s="60">
        <f>E$25</f>
        <v>0</v>
      </c>
      <c r="G1049" s="9"/>
      <c r="H1049" s="50" t="s">
        <v>125</v>
      </c>
      <c r="V1049" s="136"/>
      <c r="W1049" s="201">
        <f t="shared" ca="1" si="1188"/>
        <v>0</v>
      </c>
      <c r="X1049" s="201">
        <f t="shared" ca="1" si="1188"/>
        <v>0</v>
      </c>
      <c r="Y1049" s="201">
        <f t="shared" ca="1" si="1188"/>
        <v>0</v>
      </c>
      <c r="AA1049" s="201">
        <f t="shared" ref="AA1049:BJ1049" ca="1" si="1204">AA886-AA1026</f>
        <v>0</v>
      </c>
      <c r="AB1049" s="201">
        <f t="shared" ca="1" si="1204"/>
        <v>0</v>
      </c>
      <c r="AC1049" s="201">
        <f t="shared" ca="1" si="1204"/>
        <v>0</v>
      </c>
      <c r="AD1049" s="201">
        <f t="shared" ca="1" si="1204"/>
        <v>0</v>
      </c>
      <c r="AE1049" s="201">
        <f t="shared" ca="1" si="1204"/>
        <v>0</v>
      </c>
      <c r="AF1049" s="201">
        <f t="shared" ca="1" si="1204"/>
        <v>0</v>
      </c>
      <c r="AG1049" s="201">
        <f t="shared" ca="1" si="1204"/>
        <v>0</v>
      </c>
      <c r="AH1049" s="201">
        <f t="shared" ca="1" si="1204"/>
        <v>0</v>
      </c>
      <c r="AI1049" s="201">
        <f t="shared" ca="1" si="1204"/>
        <v>0</v>
      </c>
      <c r="AJ1049" s="201">
        <f t="shared" ca="1" si="1204"/>
        <v>0</v>
      </c>
      <c r="AK1049" s="201">
        <f t="shared" ca="1" si="1204"/>
        <v>0</v>
      </c>
      <c r="AL1049" s="201">
        <f t="shared" ca="1" si="1204"/>
        <v>0</v>
      </c>
      <c r="AM1049" s="201">
        <f t="shared" ca="1" si="1204"/>
        <v>0</v>
      </c>
      <c r="AN1049" s="201">
        <f t="shared" ca="1" si="1204"/>
        <v>0</v>
      </c>
      <c r="AO1049" s="201">
        <f t="shared" ca="1" si="1204"/>
        <v>0</v>
      </c>
      <c r="AP1049" s="201">
        <f t="shared" ca="1" si="1204"/>
        <v>0</v>
      </c>
      <c r="AQ1049" s="201">
        <f t="shared" ca="1" si="1204"/>
        <v>0</v>
      </c>
      <c r="AR1049" s="201">
        <f t="shared" ca="1" si="1204"/>
        <v>0</v>
      </c>
      <c r="AS1049" s="201">
        <f t="shared" ca="1" si="1204"/>
        <v>0</v>
      </c>
      <c r="AT1049" s="201">
        <f t="shared" ca="1" si="1204"/>
        <v>0</v>
      </c>
      <c r="AU1049" s="201">
        <f t="shared" ca="1" si="1204"/>
        <v>0</v>
      </c>
      <c r="AV1049" s="201">
        <f t="shared" ca="1" si="1204"/>
        <v>0</v>
      </c>
      <c r="AW1049" s="201">
        <f t="shared" ca="1" si="1204"/>
        <v>0</v>
      </c>
      <c r="AX1049" s="201">
        <f t="shared" ca="1" si="1204"/>
        <v>0</v>
      </c>
      <c r="AY1049" s="201">
        <f t="shared" ca="1" si="1204"/>
        <v>0</v>
      </c>
      <c r="AZ1049" s="201">
        <f t="shared" ca="1" si="1204"/>
        <v>0</v>
      </c>
      <c r="BA1049" s="201">
        <f t="shared" ca="1" si="1204"/>
        <v>0</v>
      </c>
      <c r="BB1049" s="201">
        <f t="shared" ca="1" si="1204"/>
        <v>0</v>
      </c>
      <c r="BC1049" s="201">
        <f t="shared" ca="1" si="1204"/>
        <v>0</v>
      </c>
      <c r="BD1049" s="201">
        <f t="shared" ca="1" si="1204"/>
        <v>0</v>
      </c>
      <c r="BE1049" s="201">
        <f t="shared" ca="1" si="1204"/>
        <v>0</v>
      </c>
      <c r="BF1049" s="201">
        <f t="shared" ca="1" si="1204"/>
        <v>0</v>
      </c>
      <c r="BG1049" s="201">
        <f t="shared" ca="1" si="1204"/>
        <v>0</v>
      </c>
      <c r="BH1049" s="201">
        <f t="shared" ca="1" si="1204"/>
        <v>0</v>
      </c>
      <c r="BI1049" s="201">
        <f t="shared" ca="1" si="1204"/>
        <v>0</v>
      </c>
      <c r="BJ1049" s="201">
        <f t="shared" ca="1" si="1204"/>
        <v>0</v>
      </c>
      <c r="BL1049" s="136"/>
      <c r="BM1049" s="13">
        <f t="shared" ca="1" si="1190"/>
        <v>0</v>
      </c>
      <c r="BN1049" s="13">
        <f t="shared" ca="1" si="1191"/>
        <v>0</v>
      </c>
      <c r="BO1049" s="13">
        <f t="shared" ca="1" si="1192"/>
        <v>0</v>
      </c>
      <c r="BP1049" s="136"/>
      <c r="BQ1049" s="136"/>
      <c r="BR1049" s="136"/>
      <c r="BS1049" s="136"/>
      <c r="BT1049" s="136"/>
      <c r="BU1049" s="136"/>
      <c r="BV1049" s="136"/>
      <c r="BW1049" s="136"/>
      <c r="BY1049" s="12"/>
      <c r="CA1049" s="12"/>
      <c r="CJ1049" s="162"/>
      <c r="CR1049" s="12"/>
      <c r="EX1049" s="10" t="str">
        <f t="shared" si="1183"/>
        <v/>
      </c>
    </row>
    <row r="1050" spans="1:154" s="5" customFormat="1" x14ac:dyDescent="0.25">
      <c r="A1050" s="335"/>
      <c r="B1050" s="84" t="str" cm="1">
        <f t="array" aca="1" ref="B1050" ca="1">HYPERLINK(CONCATENATE("#",CELL("address",$D$294)),$D$294)</f>
        <v>Loan 14</v>
      </c>
      <c r="C1050" s="380"/>
      <c r="D1050" s="60">
        <f>D$26</f>
        <v>0</v>
      </c>
      <c r="E1050" s="60">
        <f>E$26</f>
        <v>0</v>
      </c>
      <c r="F1050" s="335"/>
      <c r="G1050" s="9"/>
      <c r="H1050" s="50" t="s">
        <v>125</v>
      </c>
      <c r="I1050" s="335"/>
      <c r="J1050" s="335"/>
      <c r="K1050" s="335"/>
      <c r="L1050" s="335"/>
      <c r="M1050" s="335"/>
      <c r="N1050" s="335"/>
      <c r="O1050" s="335"/>
      <c r="P1050" s="335"/>
      <c r="Q1050" s="335"/>
      <c r="R1050" s="335"/>
      <c r="S1050" s="335"/>
      <c r="T1050" s="335"/>
      <c r="U1050" s="335"/>
      <c r="V1050" s="136"/>
      <c r="W1050" s="201">
        <f t="shared" ca="1" si="1188"/>
        <v>0</v>
      </c>
      <c r="X1050" s="201">
        <f t="shared" ca="1" si="1188"/>
        <v>0</v>
      </c>
      <c r="Y1050" s="201">
        <f t="shared" ca="1" si="1188"/>
        <v>0</v>
      </c>
      <c r="Z1050" s="335"/>
      <c r="AA1050" s="201">
        <f t="shared" ref="AA1050:BJ1050" ca="1" si="1205">AA887-AA1027</f>
        <v>0</v>
      </c>
      <c r="AB1050" s="201">
        <f t="shared" ca="1" si="1205"/>
        <v>0</v>
      </c>
      <c r="AC1050" s="201">
        <f t="shared" ca="1" si="1205"/>
        <v>0</v>
      </c>
      <c r="AD1050" s="201">
        <f t="shared" ca="1" si="1205"/>
        <v>0</v>
      </c>
      <c r="AE1050" s="201">
        <f t="shared" ca="1" si="1205"/>
        <v>0</v>
      </c>
      <c r="AF1050" s="201">
        <f t="shared" ca="1" si="1205"/>
        <v>0</v>
      </c>
      <c r="AG1050" s="201">
        <f t="shared" ca="1" si="1205"/>
        <v>0</v>
      </c>
      <c r="AH1050" s="201">
        <f t="shared" ca="1" si="1205"/>
        <v>0</v>
      </c>
      <c r="AI1050" s="201">
        <f t="shared" ca="1" si="1205"/>
        <v>0</v>
      </c>
      <c r="AJ1050" s="201">
        <f t="shared" ca="1" si="1205"/>
        <v>0</v>
      </c>
      <c r="AK1050" s="201">
        <f t="shared" ca="1" si="1205"/>
        <v>0</v>
      </c>
      <c r="AL1050" s="201">
        <f t="shared" ca="1" si="1205"/>
        <v>0</v>
      </c>
      <c r="AM1050" s="201">
        <f t="shared" ca="1" si="1205"/>
        <v>0</v>
      </c>
      <c r="AN1050" s="201">
        <f t="shared" ca="1" si="1205"/>
        <v>0</v>
      </c>
      <c r="AO1050" s="201">
        <f t="shared" ca="1" si="1205"/>
        <v>0</v>
      </c>
      <c r="AP1050" s="201">
        <f t="shared" ca="1" si="1205"/>
        <v>0</v>
      </c>
      <c r="AQ1050" s="201">
        <f t="shared" ca="1" si="1205"/>
        <v>0</v>
      </c>
      <c r="AR1050" s="201">
        <f t="shared" ca="1" si="1205"/>
        <v>0</v>
      </c>
      <c r="AS1050" s="201">
        <f t="shared" ca="1" si="1205"/>
        <v>0</v>
      </c>
      <c r="AT1050" s="201">
        <f t="shared" ca="1" si="1205"/>
        <v>0</v>
      </c>
      <c r="AU1050" s="201">
        <f t="shared" ca="1" si="1205"/>
        <v>0</v>
      </c>
      <c r="AV1050" s="201">
        <f t="shared" ca="1" si="1205"/>
        <v>0</v>
      </c>
      <c r="AW1050" s="201">
        <f t="shared" ca="1" si="1205"/>
        <v>0</v>
      </c>
      <c r="AX1050" s="201">
        <f t="shared" ca="1" si="1205"/>
        <v>0</v>
      </c>
      <c r="AY1050" s="201">
        <f t="shared" ca="1" si="1205"/>
        <v>0</v>
      </c>
      <c r="AZ1050" s="201">
        <f t="shared" ca="1" si="1205"/>
        <v>0</v>
      </c>
      <c r="BA1050" s="201">
        <f t="shared" ca="1" si="1205"/>
        <v>0</v>
      </c>
      <c r="BB1050" s="201">
        <f t="shared" ca="1" si="1205"/>
        <v>0</v>
      </c>
      <c r="BC1050" s="201">
        <f t="shared" ca="1" si="1205"/>
        <v>0</v>
      </c>
      <c r="BD1050" s="201">
        <f t="shared" ca="1" si="1205"/>
        <v>0</v>
      </c>
      <c r="BE1050" s="201">
        <f t="shared" ca="1" si="1205"/>
        <v>0</v>
      </c>
      <c r="BF1050" s="201">
        <f t="shared" ca="1" si="1205"/>
        <v>0</v>
      </c>
      <c r="BG1050" s="201">
        <f t="shared" ca="1" si="1205"/>
        <v>0</v>
      </c>
      <c r="BH1050" s="201">
        <f t="shared" ca="1" si="1205"/>
        <v>0</v>
      </c>
      <c r="BI1050" s="201">
        <f t="shared" ca="1" si="1205"/>
        <v>0</v>
      </c>
      <c r="BJ1050" s="201">
        <f t="shared" ca="1" si="1205"/>
        <v>0</v>
      </c>
      <c r="BK1050" s="335"/>
      <c r="BL1050" s="136"/>
      <c r="BM1050" s="13">
        <f t="shared" ca="1" si="1190"/>
        <v>0</v>
      </c>
      <c r="BN1050" s="13">
        <f t="shared" ca="1" si="1191"/>
        <v>0</v>
      </c>
      <c r="BO1050" s="13">
        <f t="shared" ca="1" si="1192"/>
        <v>0</v>
      </c>
      <c r="BP1050" s="136"/>
      <c r="BQ1050" s="136"/>
      <c r="BR1050" s="136"/>
      <c r="BS1050" s="136"/>
      <c r="BT1050" s="136"/>
      <c r="BU1050" s="136"/>
      <c r="BV1050" s="136"/>
      <c r="BW1050" s="136"/>
      <c r="BX1050" s="335"/>
      <c r="BY1050" s="12"/>
      <c r="BZ1050" s="335"/>
      <c r="CA1050" s="12"/>
      <c r="CB1050" s="335"/>
      <c r="CC1050" s="335"/>
      <c r="CD1050" s="335"/>
      <c r="CE1050" s="335"/>
      <c r="CF1050" s="335"/>
      <c r="CG1050" s="335"/>
      <c r="CH1050" s="335"/>
      <c r="CI1050" s="335"/>
      <c r="CJ1050" s="162"/>
      <c r="CK1050" s="335"/>
      <c r="CL1050" s="335"/>
      <c r="CM1050" s="335"/>
      <c r="CN1050" s="335"/>
      <c r="CO1050" s="335"/>
      <c r="CP1050" s="335"/>
      <c r="CQ1050" s="335"/>
      <c r="CR1050" s="12"/>
      <c r="EX1050" s="10" t="str">
        <f t="shared" si="1183"/>
        <v/>
      </c>
    </row>
    <row r="1051" spans="1:154" s="335" customFormat="1" x14ac:dyDescent="0.25">
      <c r="B1051" s="84" t="str" cm="1">
        <f t="array" aca="1" ref="B1051" ca="1">HYPERLINK(CONCATENATE("#",CELL("address",$D$313)),$D$313)</f>
        <v>Loan 15</v>
      </c>
      <c r="C1051" s="380"/>
      <c r="D1051" s="60">
        <f>D$27</f>
        <v>0</v>
      </c>
      <c r="E1051" s="60">
        <f>E$27</f>
        <v>0</v>
      </c>
      <c r="G1051" s="9"/>
      <c r="H1051" s="50" t="s">
        <v>125</v>
      </c>
      <c r="V1051" s="136"/>
      <c r="W1051" s="201">
        <f t="shared" ca="1" si="1188"/>
        <v>0</v>
      </c>
      <c r="X1051" s="201">
        <f t="shared" ca="1" si="1188"/>
        <v>0</v>
      </c>
      <c r="Y1051" s="201">
        <f t="shared" ca="1" si="1188"/>
        <v>0</v>
      </c>
      <c r="AA1051" s="201">
        <f t="shared" ref="AA1051:BJ1051" ca="1" si="1206">AA888-AA1028</f>
        <v>0</v>
      </c>
      <c r="AB1051" s="201">
        <f t="shared" ca="1" si="1206"/>
        <v>0</v>
      </c>
      <c r="AC1051" s="201">
        <f t="shared" ca="1" si="1206"/>
        <v>0</v>
      </c>
      <c r="AD1051" s="201">
        <f t="shared" ca="1" si="1206"/>
        <v>0</v>
      </c>
      <c r="AE1051" s="201">
        <f t="shared" ca="1" si="1206"/>
        <v>0</v>
      </c>
      <c r="AF1051" s="201">
        <f t="shared" ca="1" si="1206"/>
        <v>0</v>
      </c>
      <c r="AG1051" s="201">
        <f t="shared" ca="1" si="1206"/>
        <v>0</v>
      </c>
      <c r="AH1051" s="201">
        <f t="shared" ca="1" si="1206"/>
        <v>0</v>
      </c>
      <c r="AI1051" s="201">
        <f t="shared" ca="1" si="1206"/>
        <v>0</v>
      </c>
      <c r="AJ1051" s="201">
        <f t="shared" ca="1" si="1206"/>
        <v>0</v>
      </c>
      <c r="AK1051" s="201">
        <f t="shared" ca="1" si="1206"/>
        <v>0</v>
      </c>
      <c r="AL1051" s="201">
        <f t="shared" ca="1" si="1206"/>
        <v>0</v>
      </c>
      <c r="AM1051" s="201">
        <f t="shared" ca="1" si="1206"/>
        <v>0</v>
      </c>
      <c r="AN1051" s="201">
        <f t="shared" ca="1" si="1206"/>
        <v>0</v>
      </c>
      <c r="AO1051" s="201">
        <f t="shared" ca="1" si="1206"/>
        <v>0</v>
      </c>
      <c r="AP1051" s="201">
        <f t="shared" ca="1" si="1206"/>
        <v>0</v>
      </c>
      <c r="AQ1051" s="201">
        <f t="shared" ca="1" si="1206"/>
        <v>0</v>
      </c>
      <c r="AR1051" s="201">
        <f t="shared" ca="1" si="1206"/>
        <v>0</v>
      </c>
      <c r="AS1051" s="201">
        <f t="shared" ca="1" si="1206"/>
        <v>0</v>
      </c>
      <c r="AT1051" s="201">
        <f t="shared" ca="1" si="1206"/>
        <v>0</v>
      </c>
      <c r="AU1051" s="201">
        <f t="shared" ca="1" si="1206"/>
        <v>0</v>
      </c>
      <c r="AV1051" s="201">
        <f t="shared" ca="1" si="1206"/>
        <v>0</v>
      </c>
      <c r="AW1051" s="201">
        <f t="shared" ca="1" si="1206"/>
        <v>0</v>
      </c>
      <c r="AX1051" s="201">
        <f t="shared" ca="1" si="1206"/>
        <v>0</v>
      </c>
      <c r="AY1051" s="201">
        <f t="shared" ca="1" si="1206"/>
        <v>0</v>
      </c>
      <c r="AZ1051" s="201">
        <f t="shared" ca="1" si="1206"/>
        <v>0</v>
      </c>
      <c r="BA1051" s="201">
        <f t="shared" ca="1" si="1206"/>
        <v>0</v>
      </c>
      <c r="BB1051" s="201">
        <f t="shared" ca="1" si="1206"/>
        <v>0</v>
      </c>
      <c r="BC1051" s="201">
        <f t="shared" ca="1" si="1206"/>
        <v>0</v>
      </c>
      <c r="BD1051" s="201">
        <f t="shared" ca="1" si="1206"/>
        <v>0</v>
      </c>
      <c r="BE1051" s="201">
        <f t="shared" ca="1" si="1206"/>
        <v>0</v>
      </c>
      <c r="BF1051" s="201">
        <f t="shared" ca="1" si="1206"/>
        <v>0</v>
      </c>
      <c r="BG1051" s="201">
        <f t="shared" ca="1" si="1206"/>
        <v>0</v>
      </c>
      <c r="BH1051" s="201">
        <f t="shared" ca="1" si="1206"/>
        <v>0</v>
      </c>
      <c r="BI1051" s="201">
        <f t="shared" ca="1" si="1206"/>
        <v>0</v>
      </c>
      <c r="BJ1051" s="201">
        <f t="shared" ca="1" si="1206"/>
        <v>0</v>
      </c>
      <c r="BL1051" s="136"/>
      <c r="BM1051" s="13">
        <f t="shared" ca="1" si="1190"/>
        <v>0</v>
      </c>
      <c r="BN1051" s="13">
        <f t="shared" ca="1" si="1191"/>
        <v>0</v>
      </c>
      <c r="BO1051" s="13">
        <f t="shared" ca="1" si="1192"/>
        <v>0</v>
      </c>
      <c r="BP1051" s="136"/>
      <c r="BQ1051" s="136"/>
      <c r="BR1051" s="136"/>
      <c r="BS1051" s="136"/>
      <c r="BT1051" s="136"/>
      <c r="BU1051" s="136"/>
      <c r="BV1051" s="136"/>
      <c r="BW1051" s="136"/>
      <c r="BY1051" s="12"/>
      <c r="CA1051" s="12"/>
      <c r="CJ1051" s="162"/>
      <c r="CR1051" s="12"/>
      <c r="EX1051" s="10" t="str">
        <f t="shared" si="1183"/>
        <v/>
      </c>
    </row>
    <row r="1052" spans="1:154" s="335" customFormat="1" x14ac:dyDescent="0.25">
      <c r="B1052" s="84" t="str" cm="1">
        <f t="array" aca="1" ref="B1052" ca="1">HYPERLINK(CONCATENATE("#",CELL("address",$D$332)),$D$332)</f>
        <v>Loan 16</v>
      </c>
      <c r="C1052" s="380"/>
      <c r="D1052" s="60">
        <f>D$28</f>
        <v>0</v>
      </c>
      <c r="E1052" s="60">
        <f>E$28</f>
        <v>0</v>
      </c>
      <c r="G1052" s="9"/>
      <c r="H1052" s="50" t="s">
        <v>125</v>
      </c>
      <c r="V1052" s="136"/>
      <c r="W1052" s="201">
        <f t="shared" ca="1" si="1188"/>
        <v>0</v>
      </c>
      <c r="X1052" s="201">
        <f t="shared" ca="1" si="1188"/>
        <v>0</v>
      </c>
      <c r="Y1052" s="201">
        <f t="shared" ca="1" si="1188"/>
        <v>0</v>
      </c>
      <c r="AA1052" s="201">
        <f t="shared" ref="AA1052:BJ1052" ca="1" si="1207">AA889-AA1029</f>
        <v>0</v>
      </c>
      <c r="AB1052" s="201">
        <f t="shared" ca="1" si="1207"/>
        <v>0</v>
      </c>
      <c r="AC1052" s="201">
        <f t="shared" ca="1" si="1207"/>
        <v>0</v>
      </c>
      <c r="AD1052" s="201">
        <f t="shared" ca="1" si="1207"/>
        <v>0</v>
      </c>
      <c r="AE1052" s="201">
        <f t="shared" ca="1" si="1207"/>
        <v>0</v>
      </c>
      <c r="AF1052" s="201">
        <f t="shared" ca="1" si="1207"/>
        <v>0</v>
      </c>
      <c r="AG1052" s="201">
        <f t="shared" ca="1" si="1207"/>
        <v>0</v>
      </c>
      <c r="AH1052" s="201">
        <f t="shared" ca="1" si="1207"/>
        <v>0</v>
      </c>
      <c r="AI1052" s="201">
        <f t="shared" ca="1" si="1207"/>
        <v>0</v>
      </c>
      <c r="AJ1052" s="201">
        <f t="shared" ca="1" si="1207"/>
        <v>0</v>
      </c>
      <c r="AK1052" s="201">
        <f t="shared" ca="1" si="1207"/>
        <v>0</v>
      </c>
      <c r="AL1052" s="201">
        <f t="shared" ca="1" si="1207"/>
        <v>0</v>
      </c>
      <c r="AM1052" s="201">
        <f t="shared" ca="1" si="1207"/>
        <v>0</v>
      </c>
      <c r="AN1052" s="201">
        <f t="shared" ca="1" si="1207"/>
        <v>0</v>
      </c>
      <c r="AO1052" s="201">
        <f t="shared" ca="1" si="1207"/>
        <v>0</v>
      </c>
      <c r="AP1052" s="201">
        <f t="shared" ca="1" si="1207"/>
        <v>0</v>
      </c>
      <c r="AQ1052" s="201">
        <f t="shared" ca="1" si="1207"/>
        <v>0</v>
      </c>
      <c r="AR1052" s="201">
        <f t="shared" ca="1" si="1207"/>
        <v>0</v>
      </c>
      <c r="AS1052" s="201">
        <f t="shared" ca="1" si="1207"/>
        <v>0</v>
      </c>
      <c r="AT1052" s="201">
        <f t="shared" ca="1" si="1207"/>
        <v>0</v>
      </c>
      <c r="AU1052" s="201">
        <f t="shared" ca="1" si="1207"/>
        <v>0</v>
      </c>
      <c r="AV1052" s="201">
        <f t="shared" ca="1" si="1207"/>
        <v>0</v>
      </c>
      <c r="AW1052" s="201">
        <f t="shared" ca="1" si="1207"/>
        <v>0</v>
      </c>
      <c r="AX1052" s="201">
        <f t="shared" ca="1" si="1207"/>
        <v>0</v>
      </c>
      <c r="AY1052" s="201">
        <f t="shared" ca="1" si="1207"/>
        <v>0</v>
      </c>
      <c r="AZ1052" s="201">
        <f t="shared" ca="1" si="1207"/>
        <v>0</v>
      </c>
      <c r="BA1052" s="201">
        <f t="shared" ca="1" si="1207"/>
        <v>0</v>
      </c>
      <c r="BB1052" s="201">
        <f t="shared" ca="1" si="1207"/>
        <v>0</v>
      </c>
      <c r="BC1052" s="201">
        <f t="shared" ca="1" si="1207"/>
        <v>0</v>
      </c>
      <c r="BD1052" s="201">
        <f t="shared" ca="1" si="1207"/>
        <v>0</v>
      </c>
      <c r="BE1052" s="201">
        <f t="shared" ca="1" si="1207"/>
        <v>0</v>
      </c>
      <c r="BF1052" s="201">
        <f t="shared" ca="1" si="1207"/>
        <v>0</v>
      </c>
      <c r="BG1052" s="201">
        <f t="shared" ca="1" si="1207"/>
        <v>0</v>
      </c>
      <c r="BH1052" s="201">
        <f t="shared" ca="1" si="1207"/>
        <v>0</v>
      </c>
      <c r="BI1052" s="201">
        <f t="shared" ca="1" si="1207"/>
        <v>0</v>
      </c>
      <c r="BJ1052" s="201">
        <f t="shared" ca="1" si="1207"/>
        <v>0</v>
      </c>
      <c r="BL1052" s="136"/>
      <c r="BM1052" s="13">
        <f t="shared" ca="1" si="1190"/>
        <v>0</v>
      </c>
      <c r="BN1052" s="13">
        <f t="shared" ca="1" si="1191"/>
        <v>0</v>
      </c>
      <c r="BO1052" s="13">
        <f t="shared" ca="1" si="1192"/>
        <v>0</v>
      </c>
      <c r="BP1052" s="136"/>
      <c r="BQ1052" s="136"/>
      <c r="BR1052" s="136"/>
      <c r="BS1052" s="136"/>
      <c r="BT1052" s="136"/>
      <c r="BU1052" s="136"/>
      <c r="BV1052" s="136"/>
      <c r="BW1052" s="136"/>
      <c r="BY1052" s="12"/>
      <c r="CA1052" s="12"/>
      <c r="CJ1052" s="162"/>
      <c r="CR1052" s="12"/>
      <c r="EX1052" s="10" t="str">
        <f t="shared" si="1183"/>
        <v/>
      </c>
    </row>
    <row r="1053" spans="1:154" s="335" customFormat="1" x14ac:dyDescent="0.25">
      <c r="B1053" s="84" t="str" cm="1">
        <f t="array" aca="1" ref="B1053" ca="1">HYPERLINK(CONCATENATE("#",CELL("address",$D$351)),$D$351)</f>
        <v>Loan 17</v>
      </c>
      <c r="C1053" s="380"/>
      <c r="D1053" s="60">
        <f>D$29</f>
        <v>0</v>
      </c>
      <c r="E1053" s="60">
        <f>E$29</f>
        <v>0</v>
      </c>
      <c r="G1053" s="9"/>
      <c r="H1053" s="50" t="s">
        <v>125</v>
      </c>
      <c r="V1053" s="136"/>
      <c r="W1053" s="201">
        <f t="shared" ca="1" si="1188"/>
        <v>0</v>
      </c>
      <c r="X1053" s="201">
        <f t="shared" ca="1" si="1188"/>
        <v>0</v>
      </c>
      <c r="Y1053" s="201">
        <f t="shared" ca="1" si="1188"/>
        <v>0</v>
      </c>
      <c r="AA1053" s="201">
        <f t="shared" ref="AA1053:BJ1053" ca="1" si="1208">AA890-AA1030</f>
        <v>0</v>
      </c>
      <c r="AB1053" s="201">
        <f t="shared" ca="1" si="1208"/>
        <v>0</v>
      </c>
      <c r="AC1053" s="201">
        <f t="shared" ca="1" si="1208"/>
        <v>0</v>
      </c>
      <c r="AD1053" s="201">
        <f t="shared" ca="1" si="1208"/>
        <v>0</v>
      </c>
      <c r="AE1053" s="201">
        <f t="shared" ca="1" si="1208"/>
        <v>0</v>
      </c>
      <c r="AF1053" s="201">
        <f t="shared" ca="1" si="1208"/>
        <v>0</v>
      </c>
      <c r="AG1053" s="201">
        <f t="shared" ca="1" si="1208"/>
        <v>0</v>
      </c>
      <c r="AH1053" s="201">
        <f t="shared" ca="1" si="1208"/>
        <v>0</v>
      </c>
      <c r="AI1053" s="201">
        <f t="shared" ca="1" si="1208"/>
        <v>0</v>
      </c>
      <c r="AJ1053" s="201">
        <f t="shared" ca="1" si="1208"/>
        <v>0</v>
      </c>
      <c r="AK1053" s="201">
        <f t="shared" ca="1" si="1208"/>
        <v>0</v>
      </c>
      <c r="AL1053" s="201">
        <f t="shared" ca="1" si="1208"/>
        <v>0</v>
      </c>
      <c r="AM1053" s="201">
        <f t="shared" ca="1" si="1208"/>
        <v>0</v>
      </c>
      <c r="AN1053" s="201">
        <f t="shared" ca="1" si="1208"/>
        <v>0</v>
      </c>
      <c r="AO1053" s="201">
        <f t="shared" ca="1" si="1208"/>
        <v>0</v>
      </c>
      <c r="AP1053" s="201">
        <f t="shared" ca="1" si="1208"/>
        <v>0</v>
      </c>
      <c r="AQ1053" s="201">
        <f t="shared" ca="1" si="1208"/>
        <v>0</v>
      </c>
      <c r="AR1053" s="201">
        <f t="shared" ca="1" si="1208"/>
        <v>0</v>
      </c>
      <c r="AS1053" s="201">
        <f t="shared" ca="1" si="1208"/>
        <v>0</v>
      </c>
      <c r="AT1053" s="201">
        <f t="shared" ca="1" si="1208"/>
        <v>0</v>
      </c>
      <c r="AU1053" s="201">
        <f t="shared" ca="1" si="1208"/>
        <v>0</v>
      </c>
      <c r="AV1053" s="201">
        <f t="shared" ca="1" si="1208"/>
        <v>0</v>
      </c>
      <c r="AW1053" s="201">
        <f t="shared" ca="1" si="1208"/>
        <v>0</v>
      </c>
      <c r="AX1053" s="201">
        <f t="shared" ca="1" si="1208"/>
        <v>0</v>
      </c>
      <c r="AY1053" s="201">
        <f t="shared" ca="1" si="1208"/>
        <v>0</v>
      </c>
      <c r="AZ1053" s="201">
        <f t="shared" ca="1" si="1208"/>
        <v>0</v>
      </c>
      <c r="BA1053" s="201">
        <f t="shared" ca="1" si="1208"/>
        <v>0</v>
      </c>
      <c r="BB1053" s="201">
        <f t="shared" ca="1" si="1208"/>
        <v>0</v>
      </c>
      <c r="BC1053" s="201">
        <f t="shared" ca="1" si="1208"/>
        <v>0</v>
      </c>
      <c r="BD1053" s="201">
        <f t="shared" ca="1" si="1208"/>
        <v>0</v>
      </c>
      <c r="BE1053" s="201">
        <f t="shared" ca="1" si="1208"/>
        <v>0</v>
      </c>
      <c r="BF1053" s="201">
        <f t="shared" ca="1" si="1208"/>
        <v>0</v>
      </c>
      <c r="BG1053" s="201">
        <f t="shared" ca="1" si="1208"/>
        <v>0</v>
      </c>
      <c r="BH1053" s="201">
        <f t="shared" ca="1" si="1208"/>
        <v>0</v>
      </c>
      <c r="BI1053" s="201">
        <f t="shared" ca="1" si="1208"/>
        <v>0</v>
      </c>
      <c r="BJ1053" s="201">
        <f t="shared" ca="1" si="1208"/>
        <v>0</v>
      </c>
      <c r="BL1053" s="136"/>
      <c r="BM1053" s="13">
        <f t="shared" ca="1" si="1190"/>
        <v>0</v>
      </c>
      <c r="BN1053" s="13">
        <f t="shared" ca="1" si="1191"/>
        <v>0</v>
      </c>
      <c r="BO1053" s="13">
        <f t="shared" ca="1" si="1192"/>
        <v>0</v>
      </c>
      <c r="BP1053" s="136"/>
      <c r="BQ1053" s="136"/>
      <c r="BR1053" s="136"/>
      <c r="BS1053" s="136"/>
      <c r="BT1053" s="136"/>
      <c r="BU1053" s="136"/>
      <c r="BV1053" s="136"/>
      <c r="BW1053" s="136"/>
      <c r="BY1053" s="12"/>
      <c r="CA1053" s="12"/>
      <c r="CJ1053" s="162"/>
      <c r="CR1053" s="12"/>
      <c r="EX1053" s="10" t="str">
        <f t="shared" si="1183"/>
        <v/>
      </c>
    </row>
    <row r="1054" spans="1:154" s="335" customFormat="1" x14ac:dyDescent="0.25">
      <c r="B1054" s="84" t="str" cm="1">
        <f t="array" aca="1" ref="B1054" ca="1">HYPERLINK(CONCATENATE("#",CELL("address",$D$370)),$D$370)</f>
        <v>Loan 18</v>
      </c>
      <c r="C1054" s="380"/>
      <c r="D1054" s="60">
        <f>D$30</f>
        <v>0</v>
      </c>
      <c r="E1054" s="60">
        <f>E$30</f>
        <v>0</v>
      </c>
      <c r="G1054" s="9"/>
      <c r="H1054" s="50" t="s">
        <v>125</v>
      </c>
      <c r="V1054" s="136"/>
      <c r="W1054" s="201">
        <f t="shared" ca="1" si="1188"/>
        <v>0</v>
      </c>
      <c r="X1054" s="201">
        <f t="shared" ca="1" si="1188"/>
        <v>0</v>
      </c>
      <c r="Y1054" s="201">
        <f t="shared" ca="1" si="1188"/>
        <v>0</v>
      </c>
      <c r="AA1054" s="201">
        <f t="shared" ref="AA1054:BJ1054" ca="1" si="1209">AA891-AA1031</f>
        <v>0</v>
      </c>
      <c r="AB1054" s="201">
        <f t="shared" ca="1" si="1209"/>
        <v>0</v>
      </c>
      <c r="AC1054" s="201">
        <f t="shared" ca="1" si="1209"/>
        <v>0</v>
      </c>
      <c r="AD1054" s="201">
        <f t="shared" ca="1" si="1209"/>
        <v>0</v>
      </c>
      <c r="AE1054" s="201">
        <f t="shared" ca="1" si="1209"/>
        <v>0</v>
      </c>
      <c r="AF1054" s="201">
        <f t="shared" ca="1" si="1209"/>
        <v>0</v>
      </c>
      <c r="AG1054" s="201">
        <f t="shared" ca="1" si="1209"/>
        <v>0</v>
      </c>
      <c r="AH1054" s="201">
        <f t="shared" ca="1" si="1209"/>
        <v>0</v>
      </c>
      <c r="AI1054" s="201">
        <f t="shared" ca="1" si="1209"/>
        <v>0</v>
      </c>
      <c r="AJ1054" s="201">
        <f t="shared" ca="1" si="1209"/>
        <v>0</v>
      </c>
      <c r="AK1054" s="201">
        <f t="shared" ca="1" si="1209"/>
        <v>0</v>
      </c>
      <c r="AL1054" s="201">
        <f t="shared" ca="1" si="1209"/>
        <v>0</v>
      </c>
      <c r="AM1054" s="201">
        <f t="shared" ca="1" si="1209"/>
        <v>0</v>
      </c>
      <c r="AN1054" s="201">
        <f t="shared" ca="1" si="1209"/>
        <v>0</v>
      </c>
      <c r="AO1054" s="201">
        <f t="shared" ca="1" si="1209"/>
        <v>0</v>
      </c>
      <c r="AP1054" s="201">
        <f t="shared" ca="1" si="1209"/>
        <v>0</v>
      </c>
      <c r="AQ1054" s="201">
        <f t="shared" ca="1" si="1209"/>
        <v>0</v>
      </c>
      <c r="AR1054" s="201">
        <f t="shared" ca="1" si="1209"/>
        <v>0</v>
      </c>
      <c r="AS1054" s="201">
        <f t="shared" ca="1" si="1209"/>
        <v>0</v>
      </c>
      <c r="AT1054" s="201">
        <f t="shared" ca="1" si="1209"/>
        <v>0</v>
      </c>
      <c r="AU1054" s="201">
        <f t="shared" ca="1" si="1209"/>
        <v>0</v>
      </c>
      <c r="AV1054" s="201">
        <f t="shared" ca="1" si="1209"/>
        <v>0</v>
      </c>
      <c r="AW1054" s="201">
        <f t="shared" ca="1" si="1209"/>
        <v>0</v>
      </c>
      <c r="AX1054" s="201">
        <f t="shared" ca="1" si="1209"/>
        <v>0</v>
      </c>
      <c r="AY1054" s="201">
        <f t="shared" ca="1" si="1209"/>
        <v>0</v>
      </c>
      <c r="AZ1054" s="201">
        <f t="shared" ca="1" si="1209"/>
        <v>0</v>
      </c>
      <c r="BA1054" s="201">
        <f t="shared" ca="1" si="1209"/>
        <v>0</v>
      </c>
      <c r="BB1054" s="201">
        <f t="shared" ca="1" si="1209"/>
        <v>0</v>
      </c>
      <c r="BC1054" s="201">
        <f t="shared" ca="1" si="1209"/>
        <v>0</v>
      </c>
      <c r="BD1054" s="201">
        <f t="shared" ca="1" si="1209"/>
        <v>0</v>
      </c>
      <c r="BE1054" s="201">
        <f t="shared" ca="1" si="1209"/>
        <v>0</v>
      </c>
      <c r="BF1054" s="201">
        <f t="shared" ca="1" si="1209"/>
        <v>0</v>
      </c>
      <c r="BG1054" s="201">
        <f t="shared" ca="1" si="1209"/>
        <v>0</v>
      </c>
      <c r="BH1054" s="201">
        <f t="shared" ca="1" si="1209"/>
        <v>0</v>
      </c>
      <c r="BI1054" s="201">
        <f t="shared" ca="1" si="1209"/>
        <v>0</v>
      </c>
      <c r="BJ1054" s="201">
        <f t="shared" ca="1" si="1209"/>
        <v>0</v>
      </c>
      <c r="BL1054" s="136"/>
      <c r="BM1054" s="13">
        <f t="shared" ca="1" si="1190"/>
        <v>0</v>
      </c>
      <c r="BN1054" s="13">
        <f t="shared" ca="1" si="1191"/>
        <v>0</v>
      </c>
      <c r="BO1054" s="13">
        <f t="shared" ca="1" si="1192"/>
        <v>0</v>
      </c>
      <c r="BP1054" s="136"/>
      <c r="BQ1054" s="136"/>
      <c r="BR1054" s="136"/>
      <c r="BS1054" s="136"/>
      <c r="BT1054" s="136"/>
      <c r="BU1054" s="136"/>
      <c r="BV1054" s="136"/>
      <c r="BW1054" s="136"/>
      <c r="BY1054" s="12"/>
      <c r="CA1054" s="12"/>
      <c r="CJ1054" s="162"/>
      <c r="CR1054" s="12"/>
      <c r="EX1054" s="10" t="str">
        <f t="shared" si="1183"/>
        <v/>
      </c>
    </row>
    <row r="1055" spans="1:154" s="335" customFormat="1" x14ac:dyDescent="0.25">
      <c r="B1055" s="84" t="str" cm="1">
        <f t="array" aca="1" ref="B1055" ca="1">HYPERLINK(CONCATENATE("#",CELL("address",$D$389)),$D$389)</f>
        <v>Loan 19</v>
      </c>
      <c r="C1055" s="380"/>
      <c r="D1055" s="60">
        <f>D$31</f>
        <v>0</v>
      </c>
      <c r="E1055" s="60">
        <f>E$31</f>
        <v>0</v>
      </c>
      <c r="G1055" s="9"/>
      <c r="H1055" s="50" t="s">
        <v>125</v>
      </c>
      <c r="V1055" s="136"/>
      <c r="W1055" s="201">
        <f t="shared" ca="1" si="1188"/>
        <v>0</v>
      </c>
      <c r="X1055" s="201">
        <f t="shared" ca="1" si="1188"/>
        <v>0</v>
      </c>
      <c r="Y1055" s="201">
        <f t="shared" ca="1" si="1188"/>
        <v>0</v>
      </c>
      <c r="AA1055" s="201">
        <f t="shared" ref="AA1055:BJ1055" ca="1" si="1210">AA892-AA1032</f>
        <v>0</v>
      </c>
      <c r="AB1055" s="201">
        <f t="shared" ca="1" si="1210"/>
        <v>0</v>
      </c>
      <c r="AC1055" s="201">
        <f t="shared" ca="1" si="1210"/>
        <v>0</v>
      </c>
      <c r="AD1055" s="201">
        <f t="shared" ca="1" si="1210"/>
        <v>0</v>
      </c>
      <c r="AE1055" s="201">
        <f t="shared" ca="1" si="1210"/>
        <v>0</v>
      </c>
      <c r="AF1055" s="201">
        <f t="shared" ca="1" si="1210"/>
        <v>0</v>
      </c>
      <c r="AG1055" s="201">
        <f t="shared" ca="1" si="1210"/>
        <v>0</v>
      </c>
      <c r="AH1055" s="201">
        <f t="shared" ca="1" si="1210"/>
        <v>0</v>
      </c>
      <c r="AI1055" s="201">
        <f t="shared" ca="1" si="1210"/>
        <v>0</v>
      </c>
      <c r="AJ1055" s="201">
        <f t="shared" ca="1" si="1210"/>
        <v>0</v>
      </c>
      <c r="AK1055" s="201">
        <f t="shared" ca="1" si="1210"/>
        <v>0</v>
      </c>
      <c r="AL1055" s="201">
        <f t="shared" ca="1" si="1210"/>
        <v>0</v>
      </c>
      <c r="AM1055" s="201">
        <f t="shared" ca="1" si="1210"/>
        <v>0</v>
      </c>
      <c r="AN1055" s="201">
        <f t="shared" ca="1" si="1210"/>
        <v>0</v>
      </c>
      <c r="AO1055" s="201">
        <f t="shared" ca="1" si="1210"/>
        <v>0</v>
      </c>
      <c r="AP1055" s="201">
        <f t="shared" ca="1" si="1210"/>
        <v>0</v>
      </c>
      <c r="AQ1055" s="201">
        <f t="shared" ca="1" si="1210"/>
        <v>0</v>
      </c>
      <c r="AR1055" s="201">
        <f t="shared" ca="1" si="1210"/>
        <v>0</v>
      </c>
      <c r="AS1055" s="201">
        <f t="shared" ca="1" si="1210"/>
        <v>0</v>
      </c>
      <c r="AT1055" s="201">
        <f t="shared" ca="1" si="1210"/>
        <v>0</v>
      </c>
      <c r="AU1055" s="201">
        <f t="shared" ca="1" si="1210"/>
        <v>0</v>
      </c>
      <c r="AV1055" s="201">
        <f t="shared" ca="1" si="1210"/>
        <v>0</v>
      </c>
      <c r="AW1055" s="201">
        <f t="shared" ca="1" si="1210"/>
        <v>0</v>
      </c>
      <c r="AX1055" s="201">
        <f t="shared" ca="1" si="1210"/>
        <v>0</v>
      </c>
      <c r="AY1055" s="201">
        <f t="shared" ca="1" si="1210"/>
        <v>0</v>
      </c>
      <c r="AZ1055" s="201">
        <f t="shared" ca="1" si="1210"/>
        <v>0</v>
      </c>
      <c r="BA1055" s="201">
        <f t="shared" ca="1" si="1210"/>
        <v>0</v>
      </c>
      <c r="BB1055" s="201">
        <f t="shared" ca="1" si="1210"/>
        <v>0</v>
      </c>
      <c r="BC1055" s="201">
        <f t="shared" ca="1" si="1210"/>
        <v>0</v>
      </c>
      <c r="BD1055" s="201">
        <f t="shared" ca="1" si="1210"/>
        <v>0</v>
      </c>
      <c r="BE1055" s="201">
        <f t="shared" ca="1" si="1210"/>
        <v>0</v>
      </c>
      <c r="BF1055" s="201">
        <f t="shared" ca="1" si="1210"/>
        <v>0</v>
      </c>
      <c r="BG1055" s="201">
        <f t="shared" ca="1" si="1210"/>
        <v>0</v>
      </c>
      <c r="BH1055" s="201">
        <f t="shared" ca="1" si="1210"/>
        <v>0</v>
      </c>
      <c r="BI1055" s="201">
        <f t="shared" ca="1" si="1210"/>
        <v>0</v>
      </c>
      <c r="BJ1055" s="201">
        <f t="shared" ca="1" si="1210"/>
        <v>0</v>
      </c>
      <c r="BL1055" s="136"/>
      <c r="BM1055" s="13">
        <f t="shared" ca="1" si="1190"/>
        <v>0</v>
      </c>
      <c r="BN1055" s="13">
        <f t="shared" ca="1" si="1191"/>
        <v>0</v>
      </c>
      <c r="BO1055" s="13">
        <f t="shared" ca="1" si="1192"/>
        <v>0</v>
      </c>
      <c r="BP1055" s="136"/>
      <c r="BQ1055" s="136"/>
      <c r="BR1055" s="136"/>
      <c r="BS1055" s="136"/>
      <c r="BT1055" s="136"/>
      <c r="BU1055" s="136"/>
      <c r="BV1055" s="136"/>
      <c r="BW1055" s="136"/>
      <c r="BY1055" s="12"/>
      <c r="CA1055" s="12"/>
      <c r="CJ1055" s="162"/>
      <c r="CR1055" s="12"/>
      <c r="EX1055" s="10" t="str">
        <f t="shared" si="1183"/>
        <v/>
      </c>
    </row>
    <row r="1056" spans="1:154" s="335" customFormat="1" x14ac:dyDescent="0.25">
      <c r="B1056" s="84" t="str" cm="1">
        <f t="array" aca="1" ref="B1056" ca="1">HYPERLINK(CONCATENATE("#",CELL("address",$D$408)),$D$408)</f>
        <v>Loan 20</v>
      </c>
      <c r="C1056" s="380"/>
      <c r="D1056" s="60">
        <f>D$32</f>
        <v>0</v>
      </c>
      <c r="E1056" s="60">
        <f>E$32</f>
        <v>0</v>
      </c>
      <c r="G1056" s="9"/>
      <c r="H1056" s="50" t="s">
        <v>125</v>
      </c>
      <c r="V1056" s="136"/>
      <c r="W1056" s="201">
        <f t="shared" ca="1" si="1188"/>
        <v>0</v>
      </c>
      <c r="X1056" s="201">
        <f t="shared" ca="1" si="1188"/>
        <v>0</v>
      </c>
      <c r="Y1056" s="201">
        <f t="shared" ca="1" si="1188"/>
        <v>0</v>
      </c>
      <c r="AA1056" s="201">
        <f t="shared" ref="AA1056:BI1056" ca="1" si="1211">AA893-AA1033</f>
        <v>0</v>
      </c>
      <c r="AB1056" s="201">
        <f t="shared" ca="1" si="1211"/>
        <v>0</v>
      </c>
      <c r="AC1056" s="201">
        <f t="shared" ca="1" si="1211"/>
        <v>0</v>
      </c>
      <c r="AD1056" s="201">
        <f t="shared" ca="1" si="1211"/>
        <v>0</v>
      </c>
      <c r="AE1056" s="201">
        <f t="shared" ca="1" si="1211"/>
        <v>0</v>
      </c>
      <c r="AF1056" s="201">
        <f t="shared" ca="1" si="1211"/>
        <v>0</v>
      </c>
      <c r="AG1056" s="201">
        <f t="shared" ca="1" si="1211"/>
        <v>0</v>
      </c>
      <c r="AH1056" s="201">
        <f t="shared" ca="1" si="1211"/>
        <v>0</v>
      </c>
      <c r="AI1056" s="201">
        <f t="shared" ca="1" si="1211"/>
        <v>0</v>
      </c>
      <c r="AJ1056" s="201">
        <f t="shared" ca="1" si="1211"/>
        <v>0</v>
      </c>
      <c r="AK1056" s="201">
        <f t="shared" ca="1" si="1211"/>
        <v>0</v>
      </c>
      <c r="AL1056" s="201">
        <f t="shared" ca="1" si="1211"/>
        <v>0</v>
      </c>
      <c r="AM1056" s="201">
        <f t="shared" ca="1" si="1211"/>
        <v>0</v>
      </c>
      <c r="AN1056" s="201">
        <f t="shared" ca="1" si="1211"/>
        <v>0</v>
      </c>
      <c r="AO1056" s="201">
        <f t="shared" ca="1" si="1211"/>
        <v>0</v>
      </c>
      <c r="AP1056" s="201">
        <f t="shared" ca="1" si="1211"/>
        <v>0</v>
      </c>
      <c r="AQ1056" s="201">
        <f t="shared" ca="1" si="1211"/>
        <v>0</v>
      </c>
      <c r="AR1056" s="201">
        <f t="shared" ca="1" si="1211"/>
        <v>0</v>
      </c>
      <c r="AS1056" s="201">
        <f t="shared" ca="1" si="1211"/>
        <v>0</v>
      </c>
      <c r="AT1056" s="201">
        <f t="shared" ca="1" si="1211"/>
        <v>0</v>
      </c>
      <c r="AU1056" s="201">
        <f t="shared" ca="1" si="1211"/>
        <v>0</v>
      </c>
      <c r="AV1056" s="201">
        <f t="shared" ca="1" si="1211"/>
        <v>0</v>
      </c>
      <c r="AW1056" s="201">
        <f t="shared" ca="1" si="1211"/>
        <v>0</v>
      </c>
      <c r="AX1056" s="201">
        <f t="shared" ca="1" si="1211"/>
        <v>0</v>
      </c>
      <c r="AY1056" s="201">
        <f t="shared" ca="1" si="1211"/>
        <v>0</v>
      </c>
      <c r="AZ1056" s="201">
        <f t="shared" ca="1" si="1211"/>
        <v>0</v>
      </c>
      <c r="BA1056" s="201">
        <f t="shared" ca="1" si="1211"/>
        <v>0</v>
      </c>
      <c r="BB1056" s="201">
        <f t="shared" ca="1" si="1211"/>
        <v>0</v>
      </c>
      <c r="BC1056" s="201">
        <f t="shared" ca="1" si="1211"/>
        <v>0</v>
      </c>
      <c r="BD1056" s="201">
        <f t="shared" ca="1" si="1211"/>
        <v>0</v>
      </c>
      <c r="BE1056" s="201">
        <f t="shared" ca="1" si="1211"/>
        <v>0</v>
      </c>
      <c r="BF1056" s="201">
        <f t="shared" ca="1" si="1211"/>
        <v>0</v>
      </c>
      <c r="BG1056" s="201">
        <f t="shared" ca="1" si="1211"/>
        <v>0</v>
      </c>
      <c r="BH1056" s="201">
        <f t="shared" ca="1" si="1211"/>
        <v>0</v>
      </c>
      <c r="BI1056" s="201">
        <f t="shared" ca="1" si="1211"/>
        <v>0</v>
      </c>
      <c r="BJ1056" s="201">
        <f ca="1">BJ893-BJ1033</f>
        <v>0</v>
      </c>
      <c r="BL1056" s="136"/>
      <c r="BM1056" s="13">
        <f t="shared" ca="1" si="1190"/>
        <v>0</v>
      </c>
      <c r="BN1056" s="13">
        <f t="shared" ca="1" si="1191"/>
        <v>0</v>
      </c>
      <c r="BO1056" s="13">
        <f t="shared" ca="1" si="1192"/>
        <v>0</v>
      </c>
      <c r="BP1056" s="136"/>
      <c r="BQ1056" s="136"/>
      <c r="BR1056" s="136"/>
      <c r="BS1056" s="136"/>
      <c r="BT1056" s="136"/>
      <c r="BU1056" s="136"/>
      <c r="BV1056" s="136"/>
      <c r="BW1056" s="136"/>
      <c r="BY1056" s="12"/>
      <c r="CA1056" s="12"/>
      <c r="CJ1056" s="162"/>
      <c r="CR1056" s="12"/>
      <c r="EX1056" s="10" t="str">
        <f t="shared" si="1183"/>
        <v/>
      </c>
    </row>
    <row r="1057" spans="2:154" s="335" customFormat="1" ht="6.6" customHeight="1" x14ac:dyDescent="0.25">
      <c r="C1057" s="380"/>
      <c r="D1057" s="1"/>
      <c r="BM1057" s="6"/>
      <c r="BY1057" s="42"/>
      <c r="CA1057" s="42"/>
      <c r="CJ1057" s="162"/>
      <c r="CR1057" s="42"/>
      <c r="EX1057" s="10" t="str">
        <f t="shared" si="1183"/>
        <v/>
      </c>
    </row>
    <row r="1058" spans="2:154" s="335" customFormat="1" ht="30" x14ac:dyDescent="0.25">
      <c r="C1058" s="380"/>
      <c r="D1058" s="61" t="s">
        <v>900</v>
      </c>
      <c r="BY1058" s="12"/>
      <c r="CA1058" s="12"/>
      <c r="CJ1058" s="162"/>
      <c r="CR1058" s="12"/>
      <c r="EX1058" s="10" t="str">
        <f t="shared" si="1183"/>
        <v/>
      </c>
    </row>
    <row r="1059" spans="2:154" s="335" customFormat="1" ht="15.75" x14ac:dyDescent="0.25">
      <c r="B1059" s="5" t="s">
        <v>551</v>
      </c>
      <c r="C1059" s="380"/>
      <c r="D1059" s="5" t="s">
        <v>180</v>
      </c>
      <c r="E1059" s="5" t="s">
        <v>179</v>
      </c>
      <c r="AA1059" s="170" t="s">
        <v>335</v>
      </c>
      <c r="BY1059" s="12"/>
      <c r="CA1059" s="12"/>
      <c r="CJ1059" s="162"/>
      <c r="CR1059" s="12"/>
      <c r="EX1059" s="10" t="str">
        <f t="shared" si="1183"/>
        <v/>
      </c>
    </row>
    <row r="1060" spans="2:154" s="335" customFormat="1" x14ac:dyDescent="0.25">
      <c r="B1060" s="84" t="str" cm="1">
        <f t="array" aca="1" ref="B1060" ca="1">HYPERLINK(CONCATENATE("#",CELL("address",$D$47)),$D$47)</f>
        <v>Loan 1</v>
      </c>
      <c r="C1060" s="340" t="str">
        <f>CONCATENATE("ST-", C874)</f>
        <v>ST-LN-1-2CB</v>
      </c>
      <c r="D1060" s="60" t="str">
        <f>D$13</f>
        <v>NatWest</v>
      </c>
      <c r="E1060" s="60" t="str">
        <f>E$13</f>
        <v xml:space="preserve">Commercial </v>
      </c>
      <c r="G1060" s="9"/>
      <c r="H1060" s="50" t="s">
        <v>125</v>
      </c>
      <c r="I1060" s="65"/>
      <c r="V1060" s="136"/>
      <c r="W1060" s="201">
        <f t="shared" ref="W1060:Y1079" ca="1" si="1212">INDEX($AA1060:$BJ1060, MATCH(W$5, $AA$5:$BJ$5, 0))</f>
        <v>0</v>
      </c>
      <c r="X1060" s="201">
        <f t="shared" ca="1" si="1212"/>
        <v>0</v>
      </c>
      <c r="Y1060" s="201">
        <f t="shared" ca="1" si="1212"/>
        <v>0</v>
      </c>
      <c r="AA1060" s="201">
        <f ca="1">AA1014+AA1037*Timeline!AA482</f>
        <v>0</v>
      </c>
      <c r="AB1060" s="201">
        <f ca="1">AB1014+AB1037*Timeline!AB482</f>
        <v>0</v>
      </c>
      <c r="AC1060" s="201">
        <f ca="1">AC1014+AC1037*Timeline!AC482</f>
        <v>0</v>
      </c>
      <c r="AD1060" s="201">
        <f ca="1">AD1014+AD1037*Timeline!AD482</f>
        <v>0</v>
      </c>
      <c r="AE1060" s="201">
        <f ca="1">AE1014+AE1037*Timeline!AE482</f>
        <v>0</v>
      </c>
      <c r="AF1060" s="201">
        <f ca="1">AF1014+AF1037*Timeline!AF482</f>
        <v>0</v>
      </c>
      <c r="AG1060" s="201">
        <f ca="1">AG1014+AG1037*Timeline!AG482</f>
        <v>0</v>
      </c>
      <c r="AH1060" s="201">
        <f ca="1">AH1014+AH1037*Timeline!AH482</f>
        <v>0</v>
      </c>
      <c r="AI1060" s="201">
        <f ca="1">AI1014+AI1037*Timeline!AI482</f>
        <v>0</v>
      </c>
      <c r="AJ1060" s="201">
        <f ca="1">AJ1014+AJ1037*Timeline!AJ482</f>
        <v>0</v>
      </c>
      <c r="AK1060" s="201">
        <f ca="1">AK1014+AK1037*Timeline!AK482</f>
        <v>0</v>
      </c>
      <c r="AL1060" s="201">
        <f ca="1">AL1014+AL1037*Timeline!AL482</f>
        <v>0</v>
      </c>
      <c r="AM1060" s="201">
        <f ca="1">AM1014+AM1037*Timeline!AM482</f>
        <v>0</v>
      </c>
      <c r="AN1060" s="201">
        <f ca="1">AN1014+AN1037*Timeline!AN482</f>
        <v>0</v>
      </c>
      <c r="AO1060" s="201">
        <f ca="1">AO1014+AO1037*Timeline!AO482</f>
        <v>0</v>
      </c>
      <c r="AP1060" s="201">
        <f ca="1">AP1014+AP1037*Timeline!AP482</f>
        <v>0</v>
      </c>
      <c r="AQ1060" s="201">
        <f ca="1">AQ1014+AQ1037*Timeline!AQ482</f>
        <v>0</v>
      </c>
      <c r="AR1060" s="201">
        <f ca="1">AR1014+AR1037*Timeline!AR482</f>
        <v>0</v>
      </c>
      <c r="AS1060" s="201">
        <f ca="1">AS1014+AS1037*Timeline!AS482</f>
        <v>0</v>
      </c>
      <c r="AT1060" s="201">
        <f ca="1">AT1014+AT1037*Timeline!AT482</f>
        <v>0</v>
      </c>
      <c r="AU1060" s="201">
        <f ca="1">AU1014+AU1037*Timeline!AU482</f>
        <v>0</v>
      </c>
      <c r="AV1060" s="201">
        <f ca="1">AV1014+AV1037*Timeline!AV482</f>
        <v>0</v>
      </c>
      <c r="AW1060" s="201">
        <f ca="1">AW1014+AW1037*Timeline!AW482</f>
        <v>0</v>
      </c>
      <c r="AX1060" s="201">
        <f ca="1">AX1014+AX1037*Timeline!AX482</f>
        <v>0</v>
      </c>
      <c r="AY1060" s="201">
        <f ca="1">AY1014+AY1037*Timeline!AY482</f>
        <v>0</v>
      </c>
      <c r="AZ1060" s="201">
        <f ca="1">AZ1014+AZ1037*Timeline!AZ482</f>
        <v>0</v>
      </c>
      <c r="BA1060" s="201">
        <f ca="1">BA1014+BA1037*Timeline!BA482</f>
        <v>0</v>
      </c>
      <c r="BB1060" s="201">
        <f ca="1">BB1014+BB1037*Timeline!BB482</f>
        <v>0</v>
      </c>
      <c r="BC1060" s="201">
        <f ca="1">BC1014+BC1037*Timeline!BC482</f>
        <v>0</v>
      </c>
      <c r="BD1060" s="201">
        <f ca="1">BD1014+BD1037*Timeline!BD482</f>
        <v>0</v>
      </c>
      <c r="BE1060" s="201">
        <f ca="1">BE1014+BE1037*Timeline!BE482</f>
        <v>0</v>
      </c>
      <c r="BF1060" s="201">
        <f ca="1">BF1014+BF1037*Timeline!BF482</f>
        <v>0</v>
      </c>
      <c r="BG1060" s="201">
        <f ca="1">BG1014+BG1037*Timeline!BG482</f>
        <v>0</v>
      </c>
      <c r="BH1060" s="201">
        <f ca="1">BH1014+BH1037*Timeline!BH482</f>
        <v>0</v>
      </c>
      <c r="BI1060" s="201">
        <f ca="1">BI1014+BI1037*Timeline!BI482</f>
        <v>0</v>
      </c>
      <c r="BJ1060" s="201">
        <f ca="1">BJ1014+BJ1037*Timeline!BJ482</f>
        <v>0</v>
      </c>
      <c r="BL1060" s="136"/>
      <c r="BM1060" s="13">
        <f t="shared" ref="BM1060:BM1079" ca="1" si="1213">W1060</f>
        <v>0</v>
      </c>
      <c r="BN1060" s="13">
        <f t="shared" ref="BN1060:BN1079" ca="1" si="1214">X1060</f>
        <v>0</v>
      </c>
      <c r="BO1060" s="13">
        <f t="shared" ref="BO1060:BO1079" ca="1" si="1215">Y1060</f>
        <v>0</v>
      </c>
      <c r="BP1060" s="136"/>
      <c r="BQ1060" s="136"/>
      <c r="BR1060" s="136"/>
      <c r="BS1060" s="136"/>
      <c r="BT1060" s="136"/>
      <c r="BU1060" s="136"/>
      <c r="BV1060" s="136"/>
      <c r="BW1060" s="136"/>
      <c r="BY1060" s="12"/>
      <c r="CA1060" s="12"/>
      <c r="CJ1060" s="162"/>
      <c r="CR1060" s="12"/>
      <c r="EX1060" s="13" t="str">
        <f t="shared" ref="EX1060:EX1079" ca="1" si="1216">IF($C1060="","",CONCATENATE(D$1058," ", $B1060))</f>
        <v>Interest Payable Amount due within one year after Covenant Breach Adjustment Loan 1</v>
      </c>
    </row>
    <row r="1061" spans="2:154" s="335" customFormat="1" x14ac:dyDescent="0.25">
      <c r="B1061" s="84" t="str" cm="1">
        <f t="array" aca="1" ref="B1061" ca="1">HYPERLINK(CONCATENATE("#",CELL("address",$D$66)),$D$66)</f>
        <v>Loan 2</v>
      </c>
      <c r="C1061" s="340" t="str">
        <f t="shared" ref="C1061:C1079" si="1217">CONCATENATE("ST-", C875)</f>
        <v>ST-LN-2-2CB</v>
      </c>
      <c r="D1061" s="60" t="str">
        <f>D$14</f>
        <v>NatWest</v>
      </c>
      <c r="E1061" s="60" t="str">
        <f>E$14</f>
        <v xml:space="preserve">Commercial </v>
      </c>
      <c r="G1061" s="9"/>
      <c r="H1061" s="50" t="s">
        <v>125</v>
      </c>
      <c r="V1061" s="136"/>
      <c r="W1061" s="201">
        <f t="shared" ca="1" si="1212"/>
        <v>0</v>
      </c>
      <c r="X1061" s="201">
        <f t="shared" ca="1" si="1212"/>
        <v>0</v>
      </c>
      <c r="Y1061" s="201">
        <f t="shared" ca="1" si="1212"/>
        <v>0</v>
      </c>
      <c r="AA1061" s="201">
        <f ca="1">AA1015+AA1038*Timeline!AA483</f>
        <v>0</v>
      </c>
      <c r="AB1061" s="201">
        <f ca="1">AB1015+AB1038*Timeline!AB483</f>
        <v>0</v>
      </c>
      <c r="AC1061" s="201">
        <f ca="1">AC1015+AC1038*Timeline!AC483</f>
        <v>0</v>
      </c>
      <c r="AD1061" s="201">
        <f ca="1">AD1015+AD1038*Timeline!AD483</f>
        <v>0</v>
      </c>
      <c r="AE1061" s="201">
        <f ca="1">AE1015+AE1038*Timeline!AE483</f>
        <v>0</v>
      </c>
      <c r="AF1061" s="201">
        <f ca="1">AF1015+AF1038*Timeline!AF483</f>
        <v>0</v>
      </c>
      <c r="AG1061" s="201">
        <f ca="1">AG1015+AG1038*Timeline!AG483</f>
        <v>0</v>
      </c>
      <c r="AH1061" s="201">
        <f ca="1">AH1015+AH1038*Timeline!AH483</f>
        <v>0</v>
      </c>
      <c r="AI1061" s="201">
        <f ca="1">AI1015+AI1038*Timeline!AI483</f>
        <v>0</v>
      </c>
      <c r="AJ1061" s="201">
        <f ca="1">AJ1015+AJ1038*Timeline!AJ483</f>
        <v>0</v>
      </c>
      <c r="AK1061" s="201">
        <f ca="1">AK1015+AK1038*Timeline!AK483</f>
        <v>0</v>
      </c>
      <c r="AL1061" s="201">
        <f ca="1">AL1015+AL1038*Timeline!AL483</f>
        <v>0</v>
      </c>
      <c r="AM1061" s="201">
        <f ca="1">AM1015+AM1038*Timeline!AM483</f>
        <v>0</v>
      </c>
      <c r="AN1061" s="201">
        <f ca="1">AN1015+AN1038*Timeline!AN483</f>
        <v>0</v>
      </c>
      <c r="AO1061" s="201">
        <f ca="1">AO1015+AO1038*Timeline!AO483</f>
        <v>0</v>
      </c>
      <c r="AP1061" s="201">
        <f ca="1">AP1015+AP1038*Timeline!AP483</f>
        <v>0</v>
      </c>
      <c r="AQ1061" s="201">
        <f ca="1">AQ1015+AQ1038*Timeline!AQ483</f>
        <v>0</v>
      </c>
      <c r="AR1061" s="201">
        <f ca="1">AR1015+AR1038*Timeline!AR483</f>
        <v>0</v>
      </c>
      <c r="AS1061" s="201">
        <f ca="1">AS1015+AS1038*Timeline!AS483</f>
        <v>0</v>
      </c>
      <c r="AT1061" s="201">
        <f ca="1">AT1015+AT1038*Timeline!AT483</f>
        <v>0</v>
      </c>
      <c r="AU1061" s="201">
        <f ca="1">AU1015+AU1038*Timeline!AU483</f>
        <v>0</v>
      </c>
      <c r="AV1061" s="201">
        <f ca="1">AV1015+AV1038*Timeline!AV483</f>
        <v>0</v>
      </c>
      <c r="AW1061" s="201">
        <f ca="1">AW1015+AW1038*Timeline!AW483</f>
        <v>0</v>
      </c>
      <c r="AX1061" s="201">
        <f ca="1">AX1015+AX1038*Timeline!AX483</f>
        <v>0</v>
      </c>
      <c r="AY1061" s="201">
        <f ca="1">AY1015+AY1038*Timeline!AY483</f>
        <v>0</v>
      </c>
      <c r="AZ1061" s="201">
        <f ca="1">AZ1015+AZ1038*Timeline!AZ483</f>
        <v>0</v>
      </c>
      <c r="BA1061" s="201">
        <f ca="1">BA1015+BA1038*Timeline!BA483</f>
        <v>0</v>
      </c>
      <c r="BB1061" s="201">
        <f ca="1">BB1015+BB1038*Timeline!BB483</f>
        <v>0</v>
      </c>
      <c r="BC1061" s="201">
        <f ca="1">BC1015+BC1038*Timeline!BC483</f>
        <v>0</v>
      </c>
      <c r="BD1061" s="201">
        <f ca="1">BD1015+BD1038*Timeline!BD483</f>
        <v>0</v>
      </c>
      <c r="BE1061" s="201">
        <f ca="1">BE1015+BE1038*Timeline!BE483</f>
        <v>0</v>
      </c>
      <c r="BF1061" s="201">
        <f ca="1">BF1015+BF1038*Timeline!BF483</f>
        <v>0</v>
      </c>
      <c r="BG1061" s="201">
        <f ca="1">BG1015+BG1038*Timeline!BG483</f>
        <v>0</v>
      </c>
      <c r="BH1061" s="201">
        <f ca="1">BH1015+BH1038*Timeline!BH483</f>
        <v>0</v>
      </c>
      <c r="BI1061" s="201">
        <f ca="1">BI1015+BI1038*Timeline!BI483</f>
        <v>0</v>
      </c>
      <c r="BJ1061" s="201">
        <f ca="1">BJ1015+BJ1038*Timeline!BJ483</f>
        <v>0</v>
      </c>
      <c r="BL1061" s="136"/>
      <c r="BM1061" s="13">
        <f t="shared" ca="1" si="1213"/>
        <v>0</v>
      </c>
      <c r="BN1061" s="13">
        <f t="shared" ca="1" si="1214"/>
        <v>0</v>
      </c>
      <c r="BO1061" s="13">
        <f t="shared" ca="1" si="1215"/>
        <v>0</v>
      </c>
      <c r="BP1061" s="136"/>
      <c r="BQ1061" s="136"/>
      <c r="BR1061" s="136"/>
      <c r="BS1061" s="136"/>
      <c r="BT1061" s="136"/>
      <c r="BU1061" s="136"/>
      <c r="BV1061" s="136"/>
      <c r="BW1061" s="136"/>
      <c r="BY1061" s="12"/>
      <c r="CA1061" s="12"/>
      <c r="CJ1061" s="162"/>
      <c r="CR1061" s="12"/>
      <c r="EX1061" s="13" t="str">
        <f t="shared" ca="1" si="1216"/>
        <v>Interest Payable Amount due within one year after Covenant Breach Adjustment Loan 2</v>
      </c>
    </row>
    <row r="1062" spans="2:154" s="335" customFormat="1" x14ac:dyDescent="0.25">
      <c r="B1062" s="84" t="str" cm="1">
        <f t="array" aca="1" ref="B1062" ca="1">HYPERLINK(CONCATENATE("#",CELL("address",$D$85)),$D$85)</f>
        <v>Loan 3</v>
      </c>
      <c r="C1062" s="340" t="str">
        <f t="shared" si="1217"/>
        <v>ST-LN-3-2CB</v>
      </c>
      <c r="D1062" s="60" t="str">
        <f>D$15</f>
        <v>NatWest</v>
      </c>
      <c r="E1062" s="60" t="str">
        <f>E$15</f>
        <v xml:space="preserve">Commercial </v>
      </c>
      <c r="G1062" s="9"/>
      <c r="H1062" s="50" t="s">
        <v>125</v>
      </c>
      <c r="V1062" s="136"/>
      <c r="W1062" s="201">
        <f t="shared" ca="1" si="1212"/>
        <v>0</v>
      </c>
      <c r="X1062" s="201">
        <f t="shared" ca="1" si="1212"/>
        <v>0</v>
      </c>
      <c r="Y1062" s="201">
        <f t="shared" ca="1" si="1212"/>
        <v>0</v>
      </c>
      <c r="AA1062" s="201">
        <f ca="1">AA1016+AA1039*Timeline!AA484</f>
        <v>0</v>
      </c>
      <c r="AB1062" s="201">
        <f ca="1">AB1016+AB1039*Timeline!AB484</f>
        <v>0</v>
      </c>
      <c r="AC1062" s="201">
        <f ca="1">AC1016+AC1039*Timeline!AC484</f>
        <v>0</v>
      </c>
      <c r="AD1062" s="201">
        <f ca="1">AD1016+AD1039*Timeline!AD484</f>
        <v>0</v>
      </c>
      <c r="AE1062" s="201">
        <f ca="1">AE1016+AE1039*Timeline!AE484</f>
        <v>0</v>
      </c>
      <c r="AF1062" s="201">
        <f ca="1">AF1016+AF1039*Timeline!AF484</f>
        <v>0</v>
      </c>
      <c r="AG1062" s="201">
        <f ca="1">AG1016+AG1039*Timeline!AG484</f>
        <v>0</v>
      </c>
      <c r="AH1062" s="201">
        <f ca="1">AH1016+AH1039*Timeline!AH484</f>
        <v>0</v>
      </c>
      <c r="AI1062" s="201">
        <f ca="1">AI1016+AI1039*Timeline!AI484</f>
        <v>0</v>
      </c>
      <c r="AJ1062" s="201">
        <f ca="1">AJ1016+AJ1039*Timeline!AJ484</f>
        <v>0</v>
      </c>
      <c r="AK1062" s="201">
        <f ca="1">AK1016+AK1039*Timeline!AK484</f>
        <v>0</v>
      </c>
      <c r="AL1062" s="201">
        <f ca="1">AL1016+AL1039*Timeline!AL484</f>
        <v>0</v>
      </c>
      <c r="AM1062" s="201">
        <f ca="1">AM1016+AM1039*Timeline!AM484</f>
        <v>0</v>
      </c>
      <c r="AN1062" s="201">
        <f ca="1">AN1016+AN1039*Timeline!AN484</f>
        <v>0</v>
      </c>
      <c r="AO1062" s="201">
        <f ca="1">AO1016+AO1039*Timeline!AO484</f>
        <v>0</v>
      </c>
      <c r="AP1062" s="201">
        <f ca="1">AP1016+AP1039*Timeline!AP484</f>
        <v>0</v>
      </c>
      <c r="AQ1062" s="201">
        <f ca="1">AQ1016+AQ1039*Timeline!AQ484</f>
        <v>0</v>
      </c>
      <c r="AR1062" s="201">
        <f ca="1">AR1016+AR1039*Timeline!AR484</f>
        <v>0</v>
      </c>
      <c r="AS1062" s="201">
        <f ca="1">AS1016+AS1039*Timeline!AS484</f>
        <v>0</v>
      </c>
      <c r="AT1062" s="201">
        <f ca="1">AT1016+AT1039*Timeline!AT484</f>
        <v>0</v>
      </c>
      <c r="AU1062" s="201">
        <f ca="1">AU1016+AU1039*Timeline!AU484</f>
        <v>0</v>
      </c>
      <c r="AV1062" s="201">
        <f ca="1">AV1016+AV1039*Timeline!AV484</f>
        <v>0</v>
      </c>
      <c r="AW1062" s="201">
        <f ca="1">AW1016+AW1039*Timeline!AW484</f>
        <v>0</v>
      </c>
      <c r="AX1062" s="201">
        <f ca="1">AX1016+AX1039*Timeline!AX484</f>
        <v>0</v>
      </c>
      <c r="AY1062" s="201">
        <f ca="1">AY1016+AY1039*Timeline!AY484</f>
        <v>0</v>
      </c>
      <c r="AZ1062" s="201">
        <f ca="1">AZ1016+AZ1039*Timeline!AZ484</f>
        <v>0</v>
      </c>
      <c r="BA1062" s="201">
        <f ca="1">BA1016+BA1039*Timeline!BA484</f>
        <v>0</v>
      </c>
      <c r="BB1062" s="201">
        <f ca="1">BB1016+BB1039*Timeline!BB484</f>
        <v>0</v>
      </c>
      <c r="BC1062" s="201">
        <f ca="1">BC1016+BC1039*Timeline!BC484</f>
        <v>0</v>
      </c>
      <c r="BD1062" s="201">
        <f ca="1">BD1016+BD1039*Timeline!BD484</f>
        <v>0</v>
      </c>
      <c r="BE1062" s="201">
        <f ca="1">BE1016+BE1039*Timeline!BE484</f>
        <v>0</v>
      </c>
      <c r="BF1062" s="201">
        <f ca="1">BF1016+BF1039*Timeline!BF484</f>
        <v>0</v>
      </c>
      <c r="BG1062" s="201">
        <f ca="1">BG1016+BG1039*Timeline!BG484</f>
        <v>0</v>
      </c>
      <c r="BH1062" s="201">
        <f ca="1">BH1016+BH1039*Timeline!BH484</f>
        <v>0</v>
      </c>
      <c r="BI1062" s="201">
        <f ca="1">BI1016+BI1039*Timeline!BI484</f>
        <v>0</v>
      </c>
      <c r="BJ1062" s="201">
        <f ca="1">BJ1016+BJ1039*Timeline!BJ484</f>
        <v>0</v>
      </c>
      <c r="BL1062" s="136"/>
      <c r="BM1062" s="13">
        <f t="shared" ca="1" si="1213"/>
        <v>0</v>
      </c>
      <c r="BN1062" s="13">
        <f t="shared" ca="1" si="1214"/>
        <v>0</v>
      </c>
      <c r="BO1062" s="13">
        <f t="shared" ca="1" si="1215"/>
        <v>0</v>
      </c>
      <c r="BP1062" s="136"/>
      <c r="BQ1062" s="136"/>
      <c r="BR1062" s="136"/>
      <c r="BS1062" s="136"/>
      <c r="BT1062" s="136"/>
      <c r="BU1062" s="136"/>
      <c r="BV1062" s="136"/>
      <c r="BW1062" s="136"/>
      <c r="BY1062" s="12"/>
      <c r="CA1062" s="12"/>
      <c r="CJ1062" s="162"/>
      <c r="CR1062" s="12"/>
      <c r="EX1062" s="13" t="str">
        <f t="shared" ca="1" si="1216"/>
        <v>Interest Payable Amount due within one year after Covenant Breach Adjustment Loan 3</v>
      </c>
    </row>
    <row r="1063" spans="2:154" s="335" customFormat="1" x14ac:dyDescent="0.25">
      <c r="B1063" s="84" t="str" cm="1">
        <f t="array" aca="1" ref="B1063" ca="1">HYPERLINK(CONCATENATE("#",CELL("address",$D$104)),$D$104)</f>
        <v>Loan 4</v>
      </c>
      <c r="C1063" s="340" t="str">
        <f t="shared" si="1217"/>
        <v>ST-LN-4-2CB</v>
      </c>
      <c r="D1063" s="60" t="str">
        <f>D$16</f>
        <v>NatWest</v>
      </c>
      <c r="E1063" s="60" t="str">
        <f>E$16</f>
        <v xml:space="preserve">Commercial </v>
      </c>
      <c r="G1063" s="9"/>
      <c r="H1063" s="50" t="s">
        <v>125</v>
      </c>
      <c r="V1063" s="136"/>
      <c r="W1063" s="201">
        <f t="shared" ca="1" si="1212"/>
        <v>0</v>
      </c>
      <c r="X1063" s="201">
        <f t="shared" ca="1" si="1212"/>
        <v>0</v>
      </c>
      <c r="Y1063" s="201">
        <f t="shared" ca="1" si="1212"/>
        <v>0</v>
      </c>
      <c r="AA1063" s="201">
        <f ca="1">AA1017+AA1040*Timeline!AA485</f>
        <v>0</v>
      </c>
      <c r="AB1063" s="201">
        <f ca="1">AB1017+AB1040*Timeline!AB485</f>
        <v>0</v>
      </c>
      <c r="AC1063" s="201">
        <f ca="1">AC1017+AC1040*Timeline!AC485</f>
        <v>0</v>
      </c>
      <c r="AD1063" s="201">
        <f ca="1">AD1017+AD1040*Timeline!AD485</f>
        <v>0</v>
      </c>
      <c r="AE1063" s="201">
        <f ca="1">AE1017+AE1040*Timeline!AE485</f>
        <v>0</v>
      </c>
      <c r="AF1063" s="201">
        <f ca="1">AF1017+AF1040*Timeline!AF485</f>
        <v>0</v>
      </c>
      <c r="AG1063" s="201">
        <f ca="1">AG1017+AG1040*Timeline!AG485</f>
        <v>0</v>
      </c>
      <c r="AH1063" s="201">
        <f ca="1">AH1017+AH1040*Timeline!AH485</f>
        <v>0</v>
      </c>
      <c r="AI1063" s="201">
        <f ca="1">AI1017+AI1040*Timeline!AI485</f>
        <v>0</v>
      </c>
      <c r="AJ1063" s="201">
        <f ca="1">AJ1017+AJ1040*Timeline!AJ485</f>
        <v>0</v>
      </c>
      <c r="AK1063" s="201">
        <f ca="1">AK1017+AK1040*Timeline!AK485</f>
        <v>0</v>
      </c>
      <c r="AL1063" s="201">
        <f ca="1">AL1017+AL1040*Timeline!AL485</f>
        <v>0</v>
      </c>
      <c r="AM1063" s="201">
        <f ca="1">AM1017+AM1040*Timeline!AM485</f>
        <v>0</v>
      </c>
      <c r="AN1063" s="201">
        <f ca="1">AN1017+AN1040*Timeline!AN485</f>
        <v>0</v>
      </c>
      <c r="AO1063" s="201">
        <f ca="1">AO1017+AO1040*Timeline!AO485</f>
        <v>0</v>
      </c>
      <c r="AP1063" s="201">
        <f ca="1">AP1017+AP1040*Timeline!AP485</f>
        <v>0</v>
      </c>
      <c r="AQ1063" s="201">
        <f ca="1">AQ1017+AQ1040*Timeline!AQ485</f>
        <v>0</v>
      </c>
      <c r="AR1063" s="201">
        <f ca="1">AR1017+AR1040*Timeline!AR485</f>
        <v>0</v>
      </c>
      <c r="AS1063" s="201">
        <f ca="1">AS1017+AS1040*Timeline!AS485</f>
        <v>0</v>
      </c>
      <c r="AT1063" s="201">
        <f ca="1">AT1017+AT1040*Timeline!AT485</f>
        <v>0</v>
      </c>
      <c r="AU1063" s="201">
        <f ca="1">AU1017+AU1040*Timeline!AU485</f>
        <v>0</v>
      </c>
      <c r="AV1063" s="201">
        <f ca="1">AV1017+AV1040*Timeline!AV485</f>
        <v>0</v>
      </c>
      <c r="AW1063" s="201">
        <f ca="1">AW1017+AW1040*Timeline!AW485</f>
        <v>0</v>
      </c>
      <c r="AX1063" s="201">
        <f ca="1">AX1017+AX1040*Timeline!AX485</f>
        <v>0</v>
      </c>
      <c r="AY1063" s="201">
        <f ca="1">AY1017+AY1040*Timeline!AY485</f>
        <v>0</v>
      </c>
      <c r="AZ1063" s="201">
        <f ca="1">AZ1017+AZ1040*Timeline!AZ485</f>
        <v>0</v>
      </c>
      <c r="BA1063" s="201">
        <f ca="1">BA1017+BA1040*Timeline!BA485</f>
        <v>0</v>
      </c>
      <c r="BB1063" s="201">
        <f ca="1">BB1017+BB1040*Timeline!BB485</f>
        <v>0</v>
      </c>
      <c r="BC1063" s="201">
        <f ca="1">BC1017+BC1040*Timeline!BC485</f>
        <v>0</v>
      </c>
      <c r="BD1063" s="201">
        <f ca="1">BD1017+BD1040*Timeline!BD485</f>
        <v>0</v>
      </c>
      <c r="BE1063" s="201">
        <f ca="1">BE1017+BE1040*Timeline!BE485</f>
        <v>0</v>
      </c>
      <c r="BF1063" s="201">
        <f ca="1">BF1017+BF1040*Timeline!BF485</f>
        <v>0</v>
      </c>
      <c r="BG1063" s="201">
        <f ca="1">BG1017+BG1040*Timeline!BG485</f>
        <v>0</v>
      </c>
      <c r="BH1063" s="201">
        <f ca="1">BH1017+BH1040*Timeline!BH485</f>
        <v>0</v>
      </c>
      <c r="BI1063" s="201">
        <f ca="1">BI1017+BI1040*Timeline!BI485</f>
        <v>0</v>
      </c>
      <c r="BJ1063" s="201">
        <f ca="1">BJ1017+BJ1040*Timeline!BJ485</f>
        <v>0</v>
      </c>
      <c r="BL1063" s="136"/>
      <c r="BM1063" s="13">
        <f t="shared" ca="1" si="1213"/>
        <v>0</v>
      </c>
      <c r="BN1063" s="13">
        <f t="shared" ca="1" si="1214"/>
        <v>0</v>
      </c>
      <c r="BO1063" s="13">
        <f t="shared" ca="1" si="1215"/>
        <v>0</v>
      </c>
      <c r="BP1063" s="136"/>
      <c r="BQ1063" s="136"/>
      <c r="BR1063" s="136"/>
      <c r="BS1063" s="136"/>
      <c r="BT1063" s="136"/>
      <c r="BU1063" s="136"/>
      <c r="BV1063" s="136"/>
      <c r="BW1063" s="136"/>
      <c r="BY1063" s="12"/>
      <c r="CA1063" s="12"/>
      <c r="CJ1063" s="162"/>
      <c r="CR1063" s="12"/>
      <c r="EX1063" s="13" t="str">
        <f t="shared" ca="1" si="1216"/>
        <v>Interest Payable Amount due within one year after Covenant Breach Adjustment Loan 4</v>
      </c>
    </row>
    <row r="1064" spans="2:154" s="335" customFormat="1" x14ac:dyDescent="0.25">
      <c r="B1064" s="84" t="str" cm="1">
        <f t="array" aca="1" ref="B1064" ca="1">HYPERLINK(CONCATENATE("#",CELL("address",$D$123)),$D$123)</f>
        <v>Loan 5</v>
      </c>
      <c r="C1064" s="340" t="str">
        <f t="shared" si="1217"/>
        <v>ST-LN-5-2CB</v>
      </c>
      <c r="D1064" s="60" t="str">
        <f>D$17</f>
        <v>NatWest</v>
      </c>
      <c r="E1064" s="60" t="str">
        <f>E$17</f>
        <v xml:space="preserve">Commercial </v>
      </c>
      <c r="G1064" s="9"/>
      <c r="H1064" s="50" t="s">
        <v>125</v>
      </c>
      <c r="V1064" s="136"/>
      <c r="W1064" s="201">
        <f t="shared" ca="1" si="1212"/>
        <v>0</v>
      </c>
      <c r="X1064" s="201">
        <f t="shared" ca="1" si="1212"/>
        <v>0</v>
      </c>
      <c r="Y1064" s="201">
        <f t="shared" ca="1" si="1212"/>
        <v>0</v>
      </c>
      <c r="AA1064" s="201">
        <f ca="1">AA1018+AA1041*Timeline!AA486</f>
        <v>0</v>
      </c>
      <c r="AB1064" s="201">
        <f ca="1">AB1018+AB1041*Timeline!AB486</f>
        <v>0</v>
      </c>
      <c r="AC1064" s="201">
        <f ca="1">AC1018+AC1041*Timeline!AC486</f>
        <v>0</v>
      </c>
      <c r="AD1064" s="201">
        <f ca="1">AD1018+AD1041*Timeline!AD486</f>
        <v>0</v>
      </c>
      <c r="AE1064" s="201">
        <f ca="1">AE1018+AE1041*Timeline!AE486</f>
        <v>0</v>
      </c>
      <c r="AF1064" s="201">
        <f ca="1">AF1018+AF1041*Timeline!AF486</f>
        <v>0</v>
      </c>
      <c r="AG1064" s="201">
        <f ca="1">AG1018+AG1041*Timeline!AG486</f>
        <v>0</v>
      </c>
      <c r="AH1064" s="201">
        <f ca="1">AH1018+AH1041*Timeline!AH486</f>
        <v>0</v>
      </c>
      <c r="AI1064" s="201">
        <f ca="1">AI1018+AI1041*Timeline!AI486</f>
        <v>0</v>
      </c>
      <c r="AJ1064" s="201">
        <f ca="1">AJ1018+AJ1041*Timeline!AJ486</f>
        <v>0</v>
      </c>
      <c r="AK1064" s="201">
        <f ca="1">AK1018+AK1041*Timeline!AK486</f>
        <v>0</v>
      </c>
      <c r="AL1064" s="201">
        <f ca="1">AL1018+AL1041*Timeline!AL486</f>
        <v>0</v>
      </c>
      <c r="AM1064" s="201">
        <f ca="1">AM1018+AM1041*Timeline!AM486</f>
        <v>0</v>
      </c>
      <c r="AN1064" s="201">
        <f ca="1">AN1018+AN1041*Timeline!AN486</f>
        <v>0</v>
      </c>
      <c r="AO1064" s="201">
        <f ca="1">AO1018+AO1041*Timeline!AO486</f>
        <v>0</v>
      </c>
      <c r="AP1064" s="201">
        <f ca="1">AP1018+AP1041*Timeline!AP486</f>
        <v>0</v>
      </c>
      <c r="AQ1064" s="201">
        <f ca="1">AQ1018+AQ1041*Timeline!AQ486</f>
        <v>0</v>
      </c>
      <c r="AR1064" s="201">
        <f ca="1">AR1018+AR1041*Timeline!AR486</f>
        <v>0</v>
      </c>
      <c r="AS1064" s="201">
        <f ca="1">AS1018+AS1041*Timeline!AS486</f>
        <v>0</v>
      </c>
      <c r="AT1064" s="201">
        <f ca="1">AT1018+AT1041*Timeline!AT486</f>
        <v>0</v>
      </c>
      <c r="AU1064" s="201">
        <f ca="1">AU1018+AU1041*Timeline!AU486</f>
        <v>0</v>
      </c>
      <c r="AV1064" s="201">
        <f ca="1">AV1018+AV1041*Timeline!AV486</f>
        <v>0</v>
      </c>
      <c r="AW1064" s="201">
        <f ca="1">AW1018+AW1041*Timeline!AW486</f>
        <v>0</v>
      </c>
      <c r="AX1064" s="201">
        <f ca="1">AX1018+AX1041*Timeline!AX486</f>
        <v>0</v>
      </c>
      <c r="AY1064" s="201">
        <f ca="1">AY1018+AY1041*Timeline!AY486</f>
        <v>0</v>
      </c>
      <c r="AZ1064" s="201">
        <f ca="1">AZ1018+AZ1041*Timeline!AZ486</f>
        <v>0</v>
      </c>
      <c r="BA1064" s="201">
        <f ca="1">BA1018+BA1041*Timeline!BA486</f>
        <v>0</v>
      </c>
      <c r="BB1064" s="201">
        <f ca="1">BB1018+BB1041*Timeline!BB486</f>
        <v>0</v>
      </c>
      <c r="BC1064" s="201">
        <f ca="1">BC1018+BC1041*Timeline!BC486</f>
        <v>0</v>
      </c>
      <c r="BD1064" s="201">
        <f ca="1">BD1018+BD1041*Timeline!BD486</f>
        <v>0</v>
      </c>
      <c r="BE1064" s="201">
        <f ca="1">BE1018+BE1041*Timeline!BE486</f>
        <v>0</v>
      </c>
      <c r="BF1064" s="201">
        <f ca="1">BF1018+BF1041*Timeline!BF486</f>
        <v>0</v>
      </c>
      <c r="BG1064" s="201">
        <f ca="1">BG1018+BG1041*Timeline!BG486</f>
        <v>0</v>
      </c>
      <c r="BH1064" s="201">
        <f ca="1">BH1018+BH1041*Timeline!BH486</f>
        <v>0</v>
      </c>
      <c r="BI1064" s="201">
        <f ca="1">BI1018+BI1041*Timeline!BI486</f>
        <v>0</v>
      </c>
      <c r="BJ1064" s="201">
        <f ca="1">BJ1018+BJ1041*Timeline!BJ486</f>
        <v>0</v>
      </c>
      <c r="BL1064" s="136"/>
      <c r="BM1064" s="13">
        <f t="shared" ca="1" si="1213"/>
        <v>0</v>
      </c>
      <c r="BN1064" s="13">
        <f t="shared" ca="1" si="1214"/>
        <v>0</v>
      </c>
      <c r="BO1064" s="13">
        <f t="shared" ca="1" si="1215"/>
        <v>0</v>
      </c>
      <c r="BP1064" s="136"/>
      <c r="BQ1064" s="136"/>
      <c r="BR1064" s="136"/>
      <c r="BS1064" s="136"/>
      <c r="BT1064" s="136"/>
      <c r="BU1064" s="136"/>
      <c r="BV1064" s="136"/>
      <c r="BW1064" s="136"/>
      <c r="BY1064" s="12"/>
      <c r="CA1064" s="12"/>
      <c r="CJ1064" s="162"/>
      <c r="CR1064" s="12"/>
      <c r="EX1064" s="13" t="str">
        <f t="shared" ca="1" si="1216"/>
        <v>Interest Payable Amount due within one year after Covenant Breach Adjustment Loan 5</v>
      </c>
    </row>
    <row r="1065" spans="2:154" s="335" customFormat="1" x14ac:dyDescent="0.25">
      <c r="B1065" s="84" t="str" cm="1">
        <f t="array" aca="1" ref="B1065" ca="1">HYPERLINK(CONCATENATE("#",CELL("address",$D$142)),$D$142)</f>
        <v>Loan 6</v>
      </c>
      <c r="C1065" s="340" t="str">
        <f t="shared" si="1217"/>
        <v>ST-LN-6-2CB</v>
      </c>
      <c r="D1065" s="60">
        <f>D$18</f>
        <v>0</v>
      </c>
      <c r="E1065" s="60">
        <f>E$18</f>
        <v>0</v>
      </c>
      <c r="G1065" s="9"/>
      <c r="H1065" s="50" t="s">
        <v>125</v>
      </c>
      <c r="V1065" s="136"/>
      <c r="W1065" s="201">
        <f t="shared" ca="1" si="1212"/>
        <v>0</v>
      </c>
      <c r="X1065" s="201">
        <f t="shared" ca="1" si="1212"/>
        <v>0</v>
      </c>
      <c r="Y1065" s="201">
        <f t="shared" ca="1" si="1212"/>
        <v>0</v>
      </c>
      <c r="AA1065" s="201">
        <f ca="1">AA1019+AA1042*Timeline!AA487</f>
        <v>0</v>
      </c>
      <c r="AB1065" s="201">
        <f ca="1">AB1019+AB1042*Timeline!AB487</f>
        <v>0</v>
      </c>
      <c r="AC1065" s="201">
        <f ca="1">AC1019+AC1042*Timeline!AC487</f>
        <v>0</v>
      </c>
      <c r="AD1065" s="201">
        <f ca="1">AD1019+AD1042*Timeline!AD487</f>
        <v>0</v>
      </c>
      <c r="AE1065" s="201">
        <f ca="1">AE1019+AE1042*Timeline!AE487</f>
        <v>0</v>
      </c>
      <c r="AF1065" s="201">
        <f ca="1">AF1019+AF1042*Timeline!AF487</f>
        <v>0</v>
      </c>
      <c r="AG1065" s="201">
        <f ca="1">AG1019+AG1042*Timeline!AG487</f>
        <v>0</v>
      </c>
      <c r="AH1065" s="201">
        <f ca="1">AH1019+AH1042*Timeline!AH487</f>
        <v>0</v>
      </c>
      <c r="AI1065" s="201">
        <f ca="1">AI1019+AI1042*Timeline!AI487</f>
        <v>0</v>
      </c>
      <c r="AJ1065" s="201">
        <f ca="1">AJ1019+AJ1042*Timeline!AJ487</f>
        <v>0</v>
      </c>
      <c r="AK1065" s="201">
        <f ca="1">AK1019+AK1042*Timeline!AK487</f>
        <v>0</v>
      </c>
      <c r="AL1065" s="201">
        <f ca="1">AL1019+AL1042*Timeline!AL487</f>
        <v>0</v>
      </c>
      <c r="AM1065" s="201">
        <f ca="1">AM1019+AM1042*Timeline!AM487</f>
        <v>0</v>
      </c>
      <c r="AN1065" s="201">
        <f ca="1">AN1019+AN1042*Timeline!AN487</f>
        <v>0</v>
      </c>
      <c r="AO1065" s="201">
        <f ca="1">AO1019+AO1042*Timeline!AO487</f>
        <v>0</v>
      </c>
      <c r="AP1065" s="201">
        <f ca="1">AP1019+AP1042*Timeline!AP487</f>
        <v>0</v>
      </c>
      <c r="AQ1065" s="201">
        <f ca="1">AQ1019+AQ1042*Timeline!AQ487</f>
        <v>0</v>
      </c>
      <c r="AR1065" s="201">
        <f ca="1">AR1019+AR1042*Timeline!AR487</f>
        <v>0</v>
      </c>
      <c r="AS1065" s="201">
        <f ca="1">AS1019+AS1042*Timeline!AS487</f>
        <v>0</v>
      </c>
      <c r="AT1065" s="201">
        <f ca="1">AT1019+AT1042*Timeline!AT487</f>
        <v>0</v>
      </c>
      <c r="AU1065" s="201">
        <f ca="1">AU1019+AU1042*Timeline!AU487</f>
        <v>0</v>
      </c>
      <c r="AV1065" s="201">
        <f ca="1">AV1019+AV1042*Timeline!AV487</f>
        <v>0</v>
      </c>
      <c r="AW1065" s="201">
        <f ca="1">AW1019+AW1042*Timeline!AW487</f>
        <v>0</v>
      </c>
      <c r="AX1065" s="201">
        <f ca="1">AX1019+AX1042*Timeline!AX487</f>
        <v>0</v>
      </c>
      <c r="AY1065" s="201">
        <f ca="1">AY1019+AY1042*Timeline!AY487</f>
        <v>0</v>
      </c>
      <c r="AZ1065" s="201">
        <f ca="1">AZ1019+AZ1042*Timeline!AZ487</f>
        <v>0</v>
      </c>
      <c r="BA1065" s="201">
        <f ca="1">BA1019+BA1042*Timeline!BA487</f>
        <v>0</v>
      </c>
      <c r="BB1065" s="201">
        <f ca="1">BB1019+BB1042*Timeline!BB487</f>
        <v>0</v>
      </c>
      <c r="BC1065" s="201">
        <f ca="1">BC1019+BC1042*Timeline!BC487</f>
        <v>0</v>
      </c>
      <c r="BD1065" s="201">
        <f ca="1">BD1019+BD1042*Timeline!BD487</f>
        <v>0</v>
      </c>
      <c r="BE1065" s="201">
        <f ca="1">BE1019+BE1042*Timeline!BE487</f>
        <v>0</v>
      </c>
      <c r="BF1065" s="201">
        <f ca="1">BF1019+BF1042*Timeline!BF487</f>
        <v>0</v>
      </c>
      <c r="BG1065" s="201">
        <f ca="1">BG1019+BG1042*Timeline!BG487</f>
        <v>0</v>
      </c>
      <c r="BH1065" s="201">
        <f ca="1">BH1019+BH1042*Timeline!BH487</f>
        <v>0</v>
      </c>
      <c r="BI1065" s="201">
        <f ca="1">BI1019+BI1042*Timeline!BI487</f>
        <v>0</v>
      </c>
      <c r="BJ1065" s="201">
        <f ca="1">BJ1019+BJ1042*Timeline!BJ487</f>
        <v>0</v>
      </c>
      <c r="BL1065" s="136"/>
      <c r="BM1065" s="13">
        <f t="shared" ca="1" si="1213"/>
        <v>0</v>
      </c>
      <c r="BN1065" s="13">
        <f t="shared" ca="1" si="1214"/>
        <v>0</v>
      </c>
      <c r="BO1065" s="13">
        <f t="shared" ca="1" si="1215"/>
        <v>0</v>
      </c>
      <c r="BP1065" s="136"/>
      <c r="BQ1065" s="136"/>
      <c r="BR1065" s="136"/>
      <c r="BS1065" s="136"/>
      <c r="BT1065" s="136"/>
      <c r="BU1065" s="136"/>
      <c r="BV1065" s="136"/>
      <c r="BW1065" s="136"/>
      <c r="BY1065" s="12"/>
      <c r="CA1065" s="12"/>
      <c r="CJ1065" s="162"/>
      <c r="CR1065" s="12"/>
      <c r="EX1065" s="13" t="str">
        <f t="shared" ca="1" si="1216"/>
        <v>Interest Payable Amount due within one year after Covenant Breach Adjustment Loan 6</v>
      </c>
    </row>
    <row r="1066" spans="2:154" s="335" customFormat="1" x14ac:dyDescent="0.25">
      <c r="B1066" s="84" t="str" cm="1">
        <f t="array" aca="1" ref="B1066" ca="1">HYPERLINK(CONCATENATE("#",CELL("address",$D$161)),$D$161)</f>
        <v>Loan 7</v>
      </c>
      <c r="C1066" s="340" t="str">
        <f t="shared" si="1217"/>
        <v>ST-LN-7-2CB</v>
      </c>
      <c r="D1066" s="60">
        <f>D$19</f>
        <v>0</v>
      </c>
      <c r="E1066" s="60">
        <f>E$19</f>
        <v>0</v>
      </c>
      <c r="G1066" s="9"/>
      <c r="H1066" s="50" t="s">
        <v>125</v>
      </c>
      <c r="V1066" s="136"/>
      <c r="W1066" s="201">
        <f t="shared" ca="1" si="1212"/>
        <v>0</v>
      </c>
      <c r="X1066" s="201">
        <f t="shared" ca="1" si="1212"/>
        <v>0</v>
      </c>
      <c r="Y1066" s="201">
        <f t="shared" ca="1" si="1212"/>
        <v>0</v>
      </c>
      <c r="AA1066" s="201">
        <f ca="1">AA1020+AA1043*Timeline!AA488</f>
        <v>0</v>
      </c>
      <c r="AB1066" s="201">
        <f ca="1">AB1020+AB1043*Timeline!AB488</f>
        <v>0</v>
      </c>
      <c r="AC1066" s="201">
        <f ca="1">AC1020+AC1043*Timeline!AC488</f>
        <v>0</v>
      </c>
      <c r="AD1066" s="201">
        <f ca="1">AD1020+AD1043*Timeline!AD488</f>
        <v>0</v>
      </c>
      <c r="AE1066" s="201">
        <f ca="1">AE1020+AE1043*Timeline!AE488</f>
        <v>0</v>
      </c>
      <c r="AF1066" s="201">
        <f ca="1">AF1020+AF1043*Timeline!AF488</f>
        <v>0</v>
      </c>
      <c r="AG1066" s="201">
        <f ca="1">AG1020+AG1043*Timeline!AG488</f>
        <v>0</v>
      </c>
      <c r="AH1066" s="201">
        <f ca="1">AH1020+AH1043*Timeline!AH488</f>
        <v>0</v>
      </c>
      <c r="AI1066" s="201">
        <f ca="1">AI1020+AI1043*Timeline!AI488</f>
        <v>0</v>
      </c>
      <c r="AJ1066" s="201">
        <f ca="1">AJ1020+AJ1043*Timeline!AJ488</f>
        <v>0</v>
      </c>
      <c r="AK1066" s="201">
        <f ca="1">AK1020+AK1043*Timeline!AK488</f>
        <v>0</v>
      </c>
      <c r="AL1066" s="201">
        <f ca="1">AL1020+AL1043*Timeline!AL488</f>
        <v>0</v>
      </c>
      <c r="AM1066" s="201">
        <f ca="1">AM1020+AM1043*Timeline!AM488</f>
        <v>0</v>
      </c>
      <c r="AN1066" s="201">
        <f ca="1">AN1020+AN1043*Timeline!AN488</f>
        <v>0</v>
      </c>
      <c r="AO1066" s="201">
        <f ca="1">AO1020+AO1043*Timeline!AO488</f>
        <v>0</v>
      </c>
      <c r="AP1066" s="201">
        <f ca="1">AP1020+AP1043*Timeline!AP488</f>
        <v>0</v>
      </c>
      <c r="AQ1066" s="201">
        <f ca="1">AQ1020+AQ1043*Timeline!AQ488</f>
        <v>0</v>
      </c>
      <c r="AR1066" s="201">
        <f ca="1">AR1020+AR1043*Timeline!AR488</f>
        <v>0</v>
      </c>
      <c r="AS1066" s="201">
        <f ca="1">AS1020+AS1043*Timeline!AS488</f>
        <v>0</v>
      </c>
      <c r="AT1066" s="201">
        <f ca="1">AT1020+AT1043*Timeline!AT488</f>
        <v>0</v>
      </c>
      <c r="AU1066" s="201">
        <f ca="1">AU1020+AU1043*Timeline!AU488</f>
        <v>0</v>
      </c>
      <c r="AV1066" s="201">
        <f ca="1">AV1020+AV1043*Timeline!AV488</f>
        <v>0</v>
      </c>
      <c r="AW1066" s="201">
        <f ca="1">AW1020+AW1043*Timeline!AW488</f>
        <v>0</v>
      </c>
      <c r="AX1066" s="201">
        <f ca="1">AX1020+AX1043*Timeline!AX488</f>
        <v>0</v>
      </c>
      <c r="AY1066" s="201">
        <f ca="1">AY1020+AY1043*Timeline!AY488</f>
        <v>0</v>
      </c>
      <c r="AZ1066" s="201">
        <f ca="1">AZ1020+AZ1043*Timeline!AZ488</f>
        <v>0</v>
      </c>
      <c r="BA1066" s="201">
        <f ca="1">BA1020+BA1043*Timeline!BA488</f>
        <v>0</v>
      </c>
      <c r="BB1066" s="201">
        <f ca="1">BB1020+BB1043*Timeline!BB488</f>
        <v>0</v>
      </c>
      <c r="BC1066" s="201">
        <f ca="1">BC1020+BC1043*Timeline!BC488</f>
        <v>0</v>
      </c>
      <c r="BD1066" s="201">
        <f ca="1">BD1020+BD1043*Timeline!BD488</f>
        <v>0</v>
      </c>
      <c r="BE1066" s="201">
        <f ca="1">BE1020+BE1043*Timeline!BE488</f>
        <v>0</v>
      </c>
      <c r="BF1066" s="201">
        <f ca="1">BF1020+BF1043*Timeline!BF488</f>
        <v>0</v>
      </c>
      <c r="BG1066" s="201">
        <f ca="1">BG1020+BG1043*Timeline!BG488</f>
        <v>0</v>
      </c>
      <c r="BH1066" s="201">
        <f ca="1">BH1020+BH1043*Timeline!BH488</f>
        <v>0</v>
      </c>
      <c r="BI1066" s="201">
        <f ca="1">BI1020+BI1043*Timeline!BI488</f>
        <v>0</v>
      </c>
      <c r="BJ1066" s="201">
        <f ca="1">BJ1020+BJ1043*Timeline!BJ488</f>
        <v>0</v>
      </c>
      <c r="BL1066" s="136"/>
      <c r="BM1066" s="13">
        <f t="shared" ca="1" si="1213"/>
        <v>0</v>
      </c>
      <c r="BN1066" s="13">
        <f t="shared" ca="1" si="1214"/>
        <v>0</v>
      </c>
      <c r="BO1066" s="13">
        <f t="shared" ca="1" si="1215"/>
        <v>0</v>
      </c>
      <c r="BP1066" s="136"/>
      <c r="BQ1066" s="136"/>
      <c r="BR1066" s="136"/>
      <c r="BS1066" s="136"/>
      <c r="BT1066" s="136"/>
      <c r="BU1066" s="136"/>
      <c r="BV1066" s="136"/>
      <c r="BW1066" s="136"/>
      <c r="BY1066" s="12"/>
      <c r="CA1066" s="12"/>
      <c r="CJ1066" s="162"/>
      <c r="CR1066" s="12"/>
      <c r="EX1066" s="13" t="str">
        <f t="shared" ca="1" si="1216"/>
        <v>Interest Payable Amount due within one year after Covenant Breach Adjustment Loan 7</v>
      </c>
    </row>
    <row r="1067" spans="2:154" s="335" customFormat="1" x14ac:dyDescent="0.25">
      <c r="B1067" s="84" t="str" cm="1">
        <f t="array" aca="1" ref="B1067" ca="1">HYPERLINK(CONCATENATE("#",CELL("address",$D$180)),$D$180)</f>
        <v>Loan 8</v>
      </c>
      <c r="C1067" s="340" t="str">
        <f t="shared" si="1217"/>
        <v>ST-LN-8-2CB</v>
      </c>
      <c r="D1067" s="60">
        <f>D$20</f>
        <v>0</v>
      </c>
      <c r="E1067" s="60">
        <f>E$20</f>
        <v>0</v>
      </c>
      <c r="G1067" s="9"/>
      <c r="H1067" s="50" t="s">
        <v>125</v>
      </c>
      <c r="V1067" s="136"/>
      <c r="W1067" s="201">
        <f t="shared" ca="1" si="1212"/>
        <v>0</v>
      </c>
      <c r="X1067" s="201">
        <f t="shared" ca="1" si="1212"/>
        <v>0</v>
      </c>
      <c r="Y1067" s="201">
        <f t="shared" ca="1" si="1212"/>
        <v>0</v>
      </c>
      <c r="AA1067" s="201">
        <f ca="1">AA1021+AA1044*Timeline!AA489</f>
        <v>0</v>
      </c>
      <c r="AB1067" s="201">
        <f ca="1">AB1021+AB1044*Timeline!AB489</f>
        <v>0</v>
      </c>
      <c r="AC1067" s="201">
        <f ca="1">AC1021+AC1044*Timeline!AC489</f>
        <v>0</v>
      </c>
      <c r="AD1067" s="201">
        <f ca="1">AD1021+AD1044*Timeline!AD489</f>
        <v>0</v>
      </c>
      <c r="AE1067" s="201">
        <f ca="1">AE1021+AE1044*Timeline!AE489</f>
        <v>0</v>
      </c>
      <c r="AF1067" s="201">
        <f ca="1">AF1021+AF1044*Timeline!AF489</f>
        <v>0</v>
      </c>
      <c r="AG1067" s="201">
        <f ca="1">AG1021+AG1044*Timeline!AG489</f>
        <v>0</v>
      </c>
      <c r="AH1067" s="201">
        <f ca="1">AH1021+AH1044*Timeline!AH489</f>
        <v>0</v>
      </c>
      <c r="AI1067" s="201">
        <f ca="1">AI1021+AI1044*Timeline!AI489</f>
        <v>0</v>
      </c>
      <c r="AJ1067" s="201">
        <f ca="1">AJ1021+AJ1044*Timeline!AJ489</f>
        <v>0</v>
      </c>
      <c r="AK1067" s="201">
        <f ca="1">AK1021+AK1044*Timeline!AK489</f>
        <v>0</v>
      </c>
      <c r="AL1067" s="201">
        <f ca="1">AL1021+AL1044*Timeline!AL489</f>
        <v>0</v>
      </c>
      <c r="AM1067" s="201">
        <f ca="1">AM1021+AM1044*Timeline!AM489</f>
        <v>0</v>
      </c>
      <c r="AN1067" s="201">
        <f ca="1">AN1021+AN1044*Timeline!AN489</f>
        <v>0</v>
      </c>
      <c r="AO1067" s="201">
        <f ca="1">AO1021+AO1044*Timeline!AO489</f>
        <v>0</v>
      </c>
      <c r="AP1067" s="201">
        <f ca="1">AP1021+AP1044*Timeline!AP489</f>
        <v>0</v>
      </c>
      <c r="AQ1067" s="201">
        <f ca="1">AQ1021+AQ1044*Timeline!AQ489</f>
        <v>0</v>
      </c>
      <c r="AR1067" s="201">
        <f ca="1">AR1021+AR1044*Timeline!AR489</f>
        <v>0</v>
      </c>
      <c r="AS1067" s="201">
        <f ca="1">AS1021+AS1044*Timeline!AS489</f>
        <v>0</v>
      </c>
      <c r="AT1067" s="201">
        <f ca="1">AT1021+AT1044*Timeline!AT489</f>
        <v>0</v>
      </c>
      <c r="AU1067" s="201">
        <f ca="1">AU1021+AU1044*Timeline!AU489</f>
        <v>0</v>
      </c>
      <c r="AV1067" s="201">
        <f ca="1">AV1021+AV1044*Timeline!AV489</f>
        <v>0</v>
      </c>
      <c r="AW1067" s="201">
        <f ca="1">AW1021+AW1044*Timeline!AW489</f>
        <v>0</v>
      </c>
      <c r="AX1067" s="201">
        <f ca="1">AX1021+AX1044*Timeline!AX489</f>
        <v>0</v>
      </c>
      <c r="AY1067" s="201">
        <f ca="1">AY1021+AY1044*Timeline!AY489</f>
        <v>0</v>
      </c>
      <c r="AZ1067" s="201">
        <f ca="1">AZ1021+AZ1044*Timeline!AZ489</f>
        <v>0</v>
      </c>
      <c r="BA1067" s="201">
        <f ca="1">BA1021+BA1044*Timeline!BA489</f>
        <v>0</v>
      </c>
      <c r="BB1067" s="201">
        <f ca="1">BB1021+BB1044*Timeline!BB489</f>
        <v>0</v>
      </c>
      <c r="BC1067" s="201">
        <f ca="1">BC1021+BC1044*Timeline!BC489</f>
        <v>0</v>
      </c>
      <c r="BD1067" s="201">
        <f ca="1">BD1021+BD1044*Timeline!BD489</f>
        <v>0</v>
      </c>
      <c r="BE1067" s="201">
        <f ca="1">BE1021+BE1044*Timeline!BE489</f>
        <v>0</v>
      </c>
      <c r="BF1067" s="201">
        <f ca="1">BF1021+BF1044*Timeline!BF489</f>
        <v>0</v>
      </c>
      <c r="BG1067" s="201">
        <f ca="1">BG1021+BG1044*Timeline!BG489</f>
        <v>0</v>
      </c>
      <c r="BH1067" s="201">
        <f ca="1">BH1021+BH1044*Timeline!BH489</f>
        <v>0</v>
      </c>
      <c r="BI1067" s="201">
        <f ca="1">BI1021+BI1044*Timeline!BI489</f>
        <v>0</v>
      </c>
      <c r="BJ1067" s="201">
        <f ca="1">BJ1021+BJ1044*Timeline!BJ489</f>
        <v>0</v>
      </c>
      <c r="BL1067" s="136"/>
      <c r="BM1067" s="13">
        <f t="shared" ca="1" si="1213"/>
        <v>0</v>
      </c>
      <c r="BN1067" s="13">
        <f t="shared" ca="1" si="1214"/>
        <v>0</v>
      </c>
      <c r="BO1067" s="13">
        <f t="shared" ca="1" si="1215"/>
        <v>0</v>
      </c>
      <c r="BP1067" s="136"/>
      <c r="BQ1067" s="136"/>
      <c r="BR1067" s="136"/>
      <c r="BS1067" s="136"/>
      <c r="BT1067" s="136"/>
      <c r="BU1067" s="136"/>
      <c r="BV1067" s="136"/>
      <c r="BW1067" s="136"/>
      <c r="BY1067" s="12"/>
      <c r="CA1067" s="12"/>
      <c r="CJ1067" s="162"/>
      <c r="CR1067" s="12"/>
      <c r="EX1067" s="13" t="str">
        <f t="shared" ca="1" si="1216"/>
        <v>Interest Payable Amount due within one year after Covenant Breach Adjustment Loan 8</v>
      </c>
    </row>
    <row r="1068" spans="2:154" s="335" customFormat="1" x14ac:dyDescent="0.25">
      <c r="B1068" s="84" t="str" cm="1">
        <f t="array" aca="1" ref="B1068" ca="1">HYPERLINK(CONCATENATE("#",CELL("address",$D$199)),$D$199)</f>
        <v>Loan 9</v>
      </c>
      <c r="C1068" s="340" t="str">
        <f t="shared" si="1217"/>
        <v>ST-LN-9-2CB</v>
      </c>
      <c r="D1068" s="60">
        <f>D$21</f>
        <v>0</v>
      </c>
      <c r="E1068" s="60">
        <f>E$21</f>
        <v>0</v>
      </c>
      <c r="G1068" s="9"/>
      <c r="H1068" s="50" t="s">
        <v>125</v>
      </c>
      <c r="V1068" s="136"/>
      <c r="W1068" s="201">
        <f t="shared" ca="1" si="1212"/>
        <v>0</v>
      </c>
      <c r="X1068" s="201">
        <f t="shared" ca="1" si="1212"/>
        <v>0</v>
      </c>
      <c r="Y1068" s="201">
        <f t="shared" ca="1" si="1212"/>
        <v>0</v>
      </c>
      <c r="AA1068" s="201">
        <f ca="1">AA1022+AA1045*Timeline!AA490</f>
        <v>0</v>
      </c>
      <c r="AB1068" s="201">
        <f ca="1">AB1022+AB1045*Timeline!AB490</f>
        <v>0</v>
      </c>
      <c r="AC1068" s="201">
        <f ca="1">AC1022+AC1045*Timeline!AC490</f>
        <v>0</v>
      </c>
      <c r="AD1068" s="201">
        <f ca="1">AD1022+AD1045*Timeline!AD490</f>
        <v>0</v>
      </c>
      <c r="AE1068" s="201">
        <f ca="1">AE1022+AE1045*Timeline!AE490</f>
        <v>0</v>
      </c>
      <c r="AF1068" s="201">
        <f ca="1">AF1022+AF1045*Timeline!AF490</f>
        <v>0</v>
      </c>
      <c r="AG1068" s="201">
        <f ca="1">AG1022+AG1045*Timeline!AG490</f>
        <v>0</v>
      </c>
      <c r="AH1068" s="201">
        <f ca="1">AH1022+AH1045*Timeline!AH490</f>
        <v>0</v>
      </c>
      <c r="AI1068" s="201">
        <f ca="1">AI1022+AI1045*Timeline!AI490</f>
        <v>0</v>
      </c>
      <c r="AJ1068" s="201">
        <f ca="1">AJ1022+AJ1045*Timeline!AJ490</f>
        <v>0</v>
      </c>
      <c r="AK1068" s="201">
        <f ca="1">AK1022+AK1045*Timeline!AK490</f>
        <v>0</v>
      </c>
      <c r="AL1068" s="201">
        <f ca="1">AL1022+AL1045*Timeline!AL490</f>
        <v>0</v>
      </c>
      <c r="AM1068" s="201">
        <f ca="1">AM1022+AM1045*Timeline!AM490</f>
        <v>0</v>
      </c>
      <c r="AN1068" s="201">
        <f ca="1">AN1022+AN1045*Timeline!AN490</f>
        <v>0</v>
      </c>
      <c r="AO1068" s="201">
        <f ca="1">AO1022+AO1045*Timeline!AO490</f>
        <v>0</v>
      </c>
      <c r="AP1068" s="201">
        <f ca="1">AP1022+AP1045*Timeline!AP490</f>
        <v>0</v>
      </c>
      <c r="AQ1068" s="201">
        <f ca="1">AQ1022+AQ1045*Timeline!AQ490</f>
        <v>0</v>
      </c>
      <c r="AR1068" s="201">
        <f ca="1">AR1022+AR1045*Timeline!AR490</f>
        <v>0</v>
      </c>
      <c r="AS1068" s="201">
        <f ca="1">AS1022+AS1045*Timeline!AS490</f>
        <v>0</v>
      </c>
      <c r="AT1068" s="201">
        <f ca="1">AT1022+AT1045*Timeline!AT490</f>
        <v>0</v>
      </c>
      <c r="AU1068" s="201">
        <f ca="1">AU1022+AU1045*Timeline!AU490</f>
        <v>0</v>
      </c>
      <c r="AV1068" s="201">
        <f ca="1">AV1022+AV1045*Timeline!AV490</f>
        <v>0</v>
      </c>
      <c r="AW1068" s="201">
        <f ca="1">AW1022+AW1045*Timeline!AW490</f>
        <v>0</v>
      </c>
      <c r="AX1068" s="201">
        <f ca="1">AX1022+AX1045*Timeline!AX490</f>
        <v>0</v>
      </c>
      <c r="AY1068" s="201">
        <f ca="1">AY1022+AY1045*Timeline!AY490</f>
        <v>0</v>
      </c>
      <c r="AZ1068" s="201">
        <f ca="1">AZ1022+AZ1045*Timeline!AZ490</f>
        <v>0</v>
      </c>
      <c r="BA1068" s="201">
        <f ca="1">BA1022+BA1045*Timeline!BA490</f>
        <v>0</v>
      </c>
      <c r="BB1068" s="201">
        <f ca="1">BB1022+BB1045*Timeline!BB490</f>
        <v>0</v>
      </c>
      <c r="BC1068" s="201">
        <f ca="1">BC1022+BC1045*Timeline!BC490</f>
        <v>0</v>
      </c>
      <c r="BD1068" s="201">
        <f ca="1">BD1022+BD1045*Timeline!BD490</f>
        <v>0</v>
      </c>
      <c r="BE1068" s="201">
        <f ca="1">BE1022+BE1045*Timeline!BE490</f>
        <v>0</v>
      </c>
      <c r="BF1068" s="201">
        <f ca="1">BF1022+BF1045*Timeline!BF490</f>
        <v>0</v>
      </c>
      <c r="BG1068" s="201">
        <f ca="1">BG1022+BG1045*Timeline!BG490</f>
        <v>0</v>
      </c>
      <c r="BH1068" s="201">
        <f ca="1">BH1022+BH1045*Timeline!BH490</f>
        <v>0</v>
      </c>
      <c r="BI1068" s="201">
        <f ca="1">BI1022+BI1045*Timeline!BI490</f>
        <v>0</v>
      </c>
      <c r="BJ1068" s="201">
        <f ca="1">BJ1022+BJ1045*Timeline!BJ490</f>
        <v>0</v>
      </c>
      <c r="BL1068" s="136"/>
      <c r="BM1068" s="13">
        <f t="shared" ca="1" si="1213"/>
        <v>0</v>
      </c>
      <c r="BN1068" s="13">
        <f t="shared" ca="1" si="1214"/>
        <v>0</v>
      </c>
      <c r="BO1068" s="13">
        <f t="shared" ca="1" si="1215"/>
        <v>0</v>
      </c>
      <c r="BP1068" s="136"/>
      <c r="BQ1068" s="136"/>
      <c r="BR1068" s="136"/>
      <c r="BS1068" s="136"/>
      <c r="BT1068" s="136"/>
      <c r="BU1068" s="136"/>
      <c r="BV1068" s="136"/>
      <c r="BW1068" s="136"/>
      <c r="BY1068" s="12"/>
      <c r="CA1068" s="12"/>
      <c r="CJ1068" s="162"/>
      <c r="CR1068" s="12"/>
      <c r="EX1068" s="13" t="str">
        <f t="shared" ca="1" si="1216"/>
        <v>Interest Payable Amount due within one year after Covenant Breach Adjustment Loan 9</v>
      </c>
    </row>
    <row r="1069" spans="2:154" s="335" customFormat="1" x14ac:dyDescent="0.25">
      <c r="B1069" s="84" t="str" cm="1">
        <f t="array" aca="1" ref="B1069" ca="1">HYPERLINK(CONCATENATE("#",CELL("address",$D$218)),$D$218)</f>
        <v>Loan 10</v>
      </c>
      <c r="C1069" s="340" t="str">
        <f t="shared" si="1217"/>
        <v>ST-LN-10-2CB</v>
      </c>
      <c r="D1069" s="60">
        <f>D$22</f>
        <v>0</v>
      </c>
      <c r="E1069" s="60">
        <f>E$22</f>
        <v>0</v>
      </c>
      <c r="G1069" s="9"/>
      <c r="H1069" s="50" t="s">
        <v>125</v>
      </c>
      <c r="V1069" s="136"/>
      <c r="W1069" s="201">
        <f t="shared" ca="1" si="1212"/>
        <v>0</v>
      </c>
      <c r="X1069" s="201">
        <f t="shared" ca="1" si="1212"/>
        <v>0</v>
      </c>
      <c r="Y1069" s="201">
        <f t="shared" ca="1" si="1212"/>
        <v>0</v>
      </c>
      <c r="AA1069" s="201">
        <f ca="1">AA1023+AA1046*Timeline!AA491</f>
        <v>0</v>
      </c>
      <c r="AB1069" s="201">
        <f ca="1">AB1023+AB1046*Timeline!AB491</f>
        <v>0</v>
      </c>
      <c r="AC1069" s="201">
        <f ca="1">AC1023+AC1046*Timeline!AC491</f>
        <v>0</v>
      </c>
      <c r="AD1069" s="201">
        <f ca="1">AD1023+AD1046*Timeline!AD491</f>
        <v>0</v>
      </c>
      <c r="AE1069" s="201">
        <f ca="1">AE1023+AE1046*Timeline!AE491</f>
        <v>0</v>
      </c>
      <c r="AF1069" s="201">
        <f ca="1">AF1023+AF1046*Timeline!AF491</f>
        <v>0</v>
      </c>
      <c r="AG1069" s="201">
        <f ca="1">AG1023+AG1046*Timeline!AG491</f>
        <v>0</v>
      </c>
      <c r="AH1069" s="201">
        <f ca="1">AH1023+AH1046*Timeline!AH491</f>
        <v>0</v>
      </c>
      <c r="AI1069" s="201">
        <f ca="1">AI1023+AI1046*Timeline!AI491</f>
        <v>0</v>
      </c>
      <c r="AJ1069" s="201">
        <f ca="1">AJ1023+AJ1046*Timeline!AJ491</f>
        <v>0</v>
      </c>
      <c r="AK1069" s="201">
        <f ca="1">AK1023+AK1046*Timeline!AK491</f>
        <v>0</v>
      </c>
      <c r="AL1069" s="201">
        <f ca="1">AL1023+AL1046*Timeline!AL491</f>
        <v>0</v>
      </c>
      <c r="AM1069" s="201">
        <f ca="1">AM1023+AM1046*Timeline!AM491</f>
        <v>0</v>
      </c>
      <c r="AN1069" s="201">
        <f ca="1">AN1023+AN1046*Timeline!AN491</f>
        <v>0</v>
      </c>
      <c r="AO1069" s="201">
        <f ca="1">AO1023+AO1046*Timeline!AO491</f>
        <v>0</v>
      </c>
      <c r="AP1069" s="201">
        <f ca="1">AP1023+AP1046*Timeline!AP491</f>
        <v>0</v>
      </c>
      <c r="AQ1069" s="201">
        <f ca="1">AQ1023+AQ1046*Timeline!AQ491</f>
        <v>0</v>
      </c>
      <c r="AR1069" s="201">
        <f ca="1">AR1023+AR1046*Timeline!AR491</f>
        <v>0</v>
      </c>
      <c r="AS1069" s="201">
        <f ca="1">AS1023+AS1046*Timeline!AS491</f>
        <v>0</v>
      </c>
      <c r="AT1069" s="201">
        <f ca="1">AT1023+AT1046*Timeline!AT491</f>
        <v>0</v>
      </c>
      <c r="AU1069" s="201">
        <f ca="1">AU1023+AU1046*Timeline!AU491</f>
        <v>0</v>
      </c>
      <c r="AV1069" s="201">
        <f ca="1">AV1023+AV1046*Timeline!AV491</f>
        <v>0</v>
      </c>
      <c r="AW1069" s="201">
        <f ca="1">AW1023+AW1046*Timeline!AW491</f>
        <v>0</v>
      </c>
      <c r="AX1069" s="201">
        <f ca="1">AX1023+AX1046*Timeline!AX491</f>
        <v>0</v>
      </c>
      <c r="AY1069" s="201">
        <f ca="1">AY1023+AY1046*Timeline!AY491</f>
        <v>0</v>
      </c>
      <c r="AZ1069" s="201">
        <f ca="1">AZ1023+AZ1046*Timeline!AZ491</f>
        <v>0</v>
      </c>
      <c r="BA1069" s="201">
        <f ca="1">BA1023+BA1046*Timeline!BA491</f>
        <v>0</v>
      </c>
      <c r="BB1069" s="201">
        <f ca="1">BB1023+BB1046*Timeline!BB491</f>
        <v>0</v>
      </c>
      <c r="BC1069" s="201">
        <f ca="1">BC1023+BC1046*Timeline!BC491</f>
        <v>0</v>
      </c>
      <c r="BD1069" s="201">
        <f ca="1">BD1023+BD1046*Timeline!BD491</f>
        <v>0</v>
      </c>
      <c r="BE1069" s="201">
        <f ca="1">BE1023+BE1046*Timeline!BE491</f>
        <v>0</v>
      </c>
      <c r="BF1069" s="201">
        <f ca="1">BF1023+BF1046*Timeline!BF491</f>
        <v>0</v>
      </c>
      <c r="BG1069" s="201">
        <f ca="1">BG1023+BG1046*Timeline!BG491</f>
        <v>0</v>
      </c>
      <c r="BH1069" s="201">
        <f ca="1">BH1023+BH1046*Timeline!BH491</f>
        <v>0</v>
      </c>
      <c r="BI1069" s="201">
        <f ca="1">BI1023+BI1046*Timeline!BI491</f>
        <v>0</v>
      </c>
      <c r="BJ1069" s="201">
        <f ca="1">BJ1023+BJ1046*Timeline!BJ491</f>
        <v>0</v>
      </c>
      <c r="BL1069" s="136"/>
      <c r="BM1069" s="13">
        <f t="shared" ca="1" si="1213"/>
        <v>0</v>
      </c>
      <c r="BN1069" s="13">
        <f t="shared" ca="1" si="1214"/>
        <v>0</v>
      </c>
      <c r="BO1069" s="13">
        <f t="shared" ca="1" si="1215"/>
        <v>0</v>
      </c>
      <c r="BP1069" s="136"/>
      <c r="BQ1069" s="136"/>
      <c r="BR1069" s="136"/>
      <c r="BS1069" s="136"/>
      <c r="BT1069" s="136"/>
      <c r="BU1069" s="136"/>
      <c r="BV1069" s="136"/>
      <c r="BW1069" s="136"/>
      <c r="BY1069" s="12"/>
      <c r="CA1069" s="12"/>
      <c r="CJ1069" s="162"/>
      <c r="CR1069" s="12"/>
      <c r="EX1069" s="13" t="str">
        <f t="shared" ca="1" si="1216"/>
        <v>Interest Payable Amount due within one year after Covenant Breach Adjustment Loan 10</v>
      </c>
    </row>
    <row r="1070" spans="2:154" s="335" customFormat="1" x14ac:dyDescent="0.25">
      <c r="B1070" s="84" t="str" cm="1">
        <f t="array" aca="1" ref="B1070" ca="1">HYPERLINK(CONCATENATE("#",CELL("address",$D$237)),$D$237)</f>
        <v>Loan 11</v>
      </c>
      <c r="C1070" s="340" t="str">
        <f t="shared" si="1217"/>
        <v>ST-LN-11-2CB</v>
      </c>
      <c r="D1070" s="60">
        <f>D$23</f>
        <v>0</v>
      </c>
      <c r="E1070" s="60">
        <f>E$23</f>
        <v>0</v>
      </c>
      <c r="G1070" s="9"/>
      <c r="H1070" s="50" t="s">
        <v>125</v>
      </c>
      <c r="V1070" s="136"/>
      <c r="W1070" s="201">
        <f t="shared" ca="1" si="1212"/>
        <v>0</v>
      </c>
      <c r="X1070" s="201">
        <f t="shared" ca="1" si="1212"/>
        <v>0</v>
      </c>
      <c r="Y1070" s="201">
        <f t="shared" ca="1" si="1212"/>
        <v>0</v>
      </c>
      <c r="AA1070" s="201">
        <f ca="1">AA1024+AA1047*Timeline!AA492</f>
        <v>0</v>
      </c>
      <c r="AB1070" s="201">
        <f ca="1">AB1024+AB1047*Timeline!AB492</f>
        <v>0</v>
      </c>
      <c r="AC1070" s="201">
        <f ca="1">AC1024+AC1047*Timeline!AC492</f>
        <v>0</v>
      </c>
      <c r="AD1070" s="201">
        <f ca="1">AD1024+AD1047*Timeline!AD492</f>
        <v>0</v>
      </c>
      <c r="AE1070" s="201">
        <f ca="1">AE1024+AE1047*Timeline!AE492</f>
        <v>0</v>
      </c>
      <c r="AF1070" s="201">
        <f ca="1">AF1024+AF1047*Timeline!AF492</f>
        <v>0</v>
      </c>
      <c r="AG1070" s="201">
        <f ca="1">AG1024+AG1047*Timeline!AG492</f>
        <v>0</v>
      </c>
      <c r="AH1070" s="201">
        <f ca="1">AH1024+AH1047*Timeline!AH492</f>
        <v>0</v>
      </c>
      <c r="AI1070" s="201">
        <f ca="1">AI1024+AI1047*Timeline!AI492</f>
        <v>0</v>
      </c>
      <c r="AJ1070" s="201">
        <f ca="1">AJ1024+AJ1047*Timeline!AJ492</f>
        <v>0</v>
      </c>
      <c r="AK1070" s="201">
        <f ca="1">AK1024+AK1047*Timeline!AK492</f>
        <v>0</v>
      </c>
      <c r="AL1070" s="201">
        <f ca="1">AL1024+AL1047*Timeline!AL492</f>
        <v>0</v>
      </c>
      <c r="AM1070" s="201">
        <f ca="1">AM1024+AM1047*Timeline!AM492</f>
        <v>0</v>
      </c>
      <c r="AN1070" s="201">
        <f ca="1">AN1024+AN1047*Timeline!AN492</f>
        <v>0</v>
      </c>
      <c r="AO1070" s="201">
        <f ca="1">AO1024+AO1047*Timeline!AO492</f>
        <v>0</v>
      </c>
      <c r="AP1070" s="201">
        <f ca="1">AP1024+AP1047*Timeline!AP492</f>
        <v>0</v>
      </c>
      <c r="AQ1070" s="201">
        <f ca="1">AQ1024+AQ1047*Timeline!AQ492</f>
        <v>0</v>
      </c>
      <c r="AR1070" s="201">
        <f ca="1">AR1024+AR1047*Timeline!AR492</f>
        <v>0</v>
      </c>
      <c r="AS1070" s="201">
        <f ca="1">AS1024+AS1047*Timeline!AS492</f>
        <v>0</v>
      </c>
      <c r="AT1070" s="201">
        <f ca="1">AT1024+AT1047*Timeline!AT492</f>
        <v>0</v>
      </c>
      <c r="AU1070" s="201">
        <f ca="1">AU1024+AU1047*Timeline!AU492</f>
        <v>0</v>
      </c>
      <c r="AV1070" s="201">
        <f ca="1">AV1024+AV1047*Timeline!AV492</f>
        <v>0</v>
      </c>
      <c r="AW1070" s="201">
        <f ca="1">AW1024+AW1047*Timeline!AW492</f>
        <v>0</v>
      </c>
      <c r="AX1070" s="201">
        <f ca="1">AX1024+AX1047*Timeline!AX492</f>
        <v>0</v>
      </c>
      <c r="AY1070" s="201">
        <f ca="1">AY1024+AY1047*Timeline!AY492</f>
        <v>0</v>
      </c>
      <c r="AZ1070" s="201">
        <f ca="1">AZ1024+AZ1047*Timeline!AZ492</f>
        <v>0</v>
      </c>
      <c r="BA1070" s="201">
        <f ca="1">BA1024+BA1047*Timeline!BA492</f>
        <v>0</v>
      </c>
      <c r="BB1070" s="201">
        <f ca="1">BB1024+BB1047*Timeline!BB492</f>
        <v>0</v>
      </c>
      <c r="BC1070" s="201">
        <f ca="1">BC1024+BC1047*Timeline!BC492</f>
        <v>0</v>
      </c>
      <c r="BD1070" s="201">
        <f ca="1">BD1024+BD1047*Timeline!BD492</f>
        <v>0</v>
      </c>
      <c r="BE1070" s="201">
        <f ca="1">BE1024+BE1047*Timeline!BE492</f>
        <v>0</v>
      </c>
      <c r="BF1070" s="201">
        <f ca="1">BF1024+BF1047*Timeline!BF492</f>
        <v>0</v>
      </c>
      <c r="BG1070" s="201">
        <f ca="1">BG1024+BG1047*Timeline!BG492</f>
        <v>0</v>
      </c>
      <c r="BH1070" s="201">
        <f ca="1">BH1024+BH1047*Timeline!BH492</f>
        <v>0</v>
      </c>
      <c r="BI1070" s="201">
        <f ca="1">BI1024+BI1047*Timeline!BI492</f>
        <v>0</v>
      </c>
      <c r="BJ1070" s="201">
        <f ca="1">BJ1024+BJ1047*Timeline!BJ492</f>
        <v>0</v>
      </c>
      <c r="BL1070" s="136"/>
      <c r="BM1070" s="13">
        <f t="shared" ca="1" si="1213"/>
        <v>0</v>
      </c>
      <c r="BN1070" s="13">
        <f t="shared" ca="1" si="1214"/>
        <v>0</v>
      </c>
      <c r="BO1070" s="13">
        <f t="shared" ca="1" si="1215"/>
        <v>0</v>
      </c>
      <c r="BP1070" s="136"/>
      <c r="BQ1070" s="136"/>
      <c r="BR1070" s="136"/>
      <c r="BS1070" s="136"/>
      <c r="BT1070" s="136"/>
      <c r="BU1070" s="136"/>
      <c r="BV1070" s="136"/>
      <c r="BW1070" s="136"/>
      <c r="BY1070" s="12"/>
      <c r="CA1070" s="12"/>
      <c r="CJ1070" s="162"/>
      <c r="CR1070" s="12"/>
      <c r="EX1070" s="13" t="str">
        <f t="shared" ca="1" si="1216"/>
        <v>Interest Payable Amount due within one year after Covenant Breach Adjustment Loan 11</v>
      </c>
    </row>
    <row r="1071" spans="2:154" s="335" customFormat="1" x14ac:dyDescent="0.25">
      <c r="B1071" s="84" t="str" cm="1">
        <f t="array" aca="1" ref="B1071" ca="1">HYPERLINK(CONCATENATE("#",CELL("address",$D$256)),$D$256)</f>
        <v>Loan 12</v>
      </c>
      <c r="C1071" s="340" t="str">
        <f t="shared" si="1217"/>
        <v>ST-LN-12-2CB</v>
      </c>
      <c r="D1071" s="60">
        <f>D$24</f>
        <v>0</v>
      </c>
      <c r="E1071" s="60">
        <f>E$24</f>
        <v>0</v>
      </c>
      <c r="G1071" s="9"/>
      <c r="H1071" s="50" t="s">
        <v>125</v>
      </c>
      <c r="V1071" s="136"/>
      <c r="W1071" s="201">
        <f t="shared" ca="1" si="1212"/>
        <v>0</v>
      </c>
      <c r="X1071" s="201">
        <f t="shared" ca="1" si="1212"/>
        <v>0</v>
      </c>
      <c r="Y1071" s="201">
        <f t="shared" ca="1" si="1212"/>
        <v>0</v>
      </c>
      <c r="AA1071" s="201">
        <f ca="1">AA1025+AA1048*Timeline!AA493</f>
        <v>0</v>
      </c>
      <c r="AB1071" s="201">
        <f ca="1">AB1025+AB1048*Timeline!AB493</f>
        <v>0</v>
      </c>
      <c r="AC1071" s="201">
        <f ca="1">AC1025+AC1048*Timeline!AC493</f>
        <v>0</v>
      </c>
      <c r="AD1071" s="201">
        <f ca="1">AD1025+AD1048*Timeline!AD493</f>
        <v>0</v>
      </c>
      <c r="AE1071" s="201">
        <f ca="1">AE1025+AE1048*Timeline!AE493</f>
        <v>0</v>
      </c>
      <c r="AF1071" s="201">
        <f ca="1">AF1025+AF1048*Timeline!AF493</f>
        <v>0</v>
      </c>
      <c r="AG1071" s="201">
        <f ca="1">AG1025+AG1048*Timeline!AG493</f>
        <v>0</v>
      </c>
      <c r="AH1071" s="201">
        <f ca="1">AH1025+AH1048*Timeline!AH493</f>
        <v>0</v>
      </c>
      <c r="AI1071" s="201">
        <f ca="1">AI1025+AI1048*Timeline!AI493</f>
        <v>0</v>
      </c>
      <c r="AJ1071" s="201">
        <f ca="1">AJ1025+AJ1048*Timeline!AJ493</f>
        <v>0</v>
      </c>
      <c r="AK1071" s="201">
        <f ca="1">AK1025+AK1048*Timeline!AK493</f>
        <v>0</v>
      </c>
      <c r="AL1071" s="201">
        <f ca="1">AL1025+AL1048*Timeline!AL493</f>
        <v>0</v>
      </c>
      <c r="AM1071" s="201">
        <f ca="1">AM1025+AM1048*Timeline!AM493</f>
        <v>0</v>
      </c>
      <c r="AN1071" s="201">
        <f ca="1">AN1025+AN1048*Timeline!AN493</f>
        <v>0</v>
      </c>
      <c r="AO1071" s="201">
        <f ca="1">AO1025+AO1048*Timeline!AO493</f>
        <v>0</v>
      </c>
      <c r="AP1071" s="201">
        <f ca="1">AP1025+AP1048*Timeline!AP493</f>
        <v>0</v>
      </c>
      <c r="AQ1071" s="201">
        <f ca="1">AQ1025+AQ1048*Timeline!AQ493</f>
        <v>0</v>
      </c>
      <c r="AR1071" s="201">
        <f ca="1">AR1025+AR1048*Timeline!AR493</f>
        <v>0</v>
      </c>
      <c r="AS1071" s="201">
        <f ca="1">AS1025+AS1048*Timeline!AS493</f>
        <v>0</v>
      </c>
      <c r="AT1071" s="201">
        <f ca="1">AT1025+AT1048*Timeline!AT493</f>
        <v>0</v>
      </c>
      <c r="AU1071" s="201">
        <f ca="1">AU1025+AU1048*Timeline!AU493</f>
        <v>0</v>
      </c>
      <c r="AV1071" s="201">
        <f ca="1">AV1025+AV1048*Timeline!AV493</f>
        <v>0</v>
      </c>
      <c r="AW1071" s="201">
        <f ca="1">AW1025+AW1048*Timeline!AW493</f>
        <v>0</v>
      </c>
      <c r="AX1071" s="201">
        <f ca="1">AX1025+AX1048*Timeline!AX493</f>
        <v>0</v>
      </c>
      <c r="AY1071" s="201">
        <f ca="1">AY1025+AY1048*Timeline!AY493</f>
        <v>0</v>
      </c>
      <c r="AZ1071" s="201">
        <f ca="1">AZ1025+AZ1048*Timeline!AZ493</f>
        <v>0</v>
      </c>
      <c r="BA1071" s="201">
        <f ca="1">BA1025+BA1048*Timeline!BA493</f>
        <v>0</v>
      </c>
      <c r="BB1071" s="201">
        <f ca="1">BB1025+BB1048*Timeline!BB493</f>
        <v>0</v>
      </c>
      <c r="BC1071" s="201">
        <f ca="1">BC1025+BC1048*Timeline!BC493</f>
        <v>0</v>
      </c>
      <c r="BD1071" s="201">
        <f ca="1">BD1025+BD1048*Timeline!BD493</f>
        <v>0</v>
      </c>
      <c r="BE1071" s="201">
        <f ca="1">BE1025+BE1048*Timeline!BE493</f>
        <v>0</v>
      </c>
      <c r="BF1071" s="201">
        <f ca="1">BF1025+BF1048*Timeline!BF493</f>
        <v>0</v>
      </c>
      <c r="BG1071" s="201">
        <f ca="1">BG1025+BG1048*Timeline!BG493</f>
        <v>0</v>
      </c>
      <c r="BH1071" s="201">
        <f ca="1">BH1025+BH1048*Timeline!BH493</f>
        <v>0</v>
      </c>
      <c r="BI1071" s="201">
        <f ca="1">BI1025+BI1048*Timeline!BI493</f>
        <v>0</v>
      </c>
      <c r="BJ1071" s="201">
        <f ca="1">BJ1025+BJ1048*Timeline!BJ493</f>
        <v>0</v>
      </c>
      <c r="BL1071" s="136"/>
      <c r="BM1071" s="13">
        <f t="shared" ca="1" si="1213"/>
        <v>0</v>
      </c>
      <c r="BN1071" s="13">
        <f t="shared" ca="1" si="1214"/>
        <v>0</v>
      </c>
      <c r="BO1071" s="13">
        <f t="shared" ca="1" si="1215"/>
        <v>0</v>
      </c>
      <c r="BP1071" s="136"/>
      <c r="BQ1071" s="136"/>
      <c r="BR1071" s="136"/>
      <c r="BS1071" s="136"/>
      <c r="BT1071" s="136"/>
      <c r="BU1071" s="136"/>
      <c r="BV1071" s="136"/>
      <c r="BW1071" s="136"/>
      <c r="BY1071" s="12"/>
      <c r="CA1071" s="12"/>
      <c r="CJ1071" s="162"/>
      <c r="CR1071" s="12"/>
      <c r="EX1071" s="13" t="str">
        <f t="shared" ca="1" si="1216"/>
        <v>Interest Payable Amount due within one year after Covenant Breach Adjustment Loan 12</v>
      </c>
    </row>
    <row r="1072" spans="2:154" s="335" customFormat="1" x14ac:dyDescent="0.25">
      <c r="B1072" s="84" t="str" cm="1">
        <f t="array" aca="1" ref="B1072" ca="1">HYPERLINK(CONCATENATE("#",CELL("address",$D$275)),$D$275)</f>
        <v>Loan 13</v>
      </c>
      <c r="C1072" s="340" t="str">
        <f t="shared" si="1217"/>
        <v>ST-LN-13-2CB</v>
      </c>
      <c r="D1072" s="60">
        <f>D$25</f>
        <v>0</v>
      </c>
      <c r="E1072" s="60">
        <f>E$25</f>
        <v>0</v>
      </c>
      <c r="G1072" s="9"/>
      <c r="H1072" s="50" t="s">
        <v>125</v>
      </c>
      <c r="V1072" s="136"/>
      <c r="W1072" s="201">
        <f t="shared" ca="1" si="1212"/>
        <v>0</v>
      </c>
      <c r="X1072" s="201">
        <f t="shared" ca="1" si="1212"/>
        <v>0</v>
      </c>
      <c r="Y1072" s="201">
        <f t="shared" ca="1" si="1212"/>
        <v>0</v>
      </c>
      <c r="AA1072" s="201">
        <f ca="1">AA1026+AA1049*Timeline!AA494</f>
        <v>0</v>
      </c>
      <c r="AB1072" s="201">
        <f ca="1">AB1026+AB1049*Timeline!AB494</f>
        <v>0</v>
      </c>
      <c r="AC1072" s="201">
        <f ca="1">AC1026+AC1049*Timeline!AC494</f>
        <v>0</v>
      </c>
      <c r="AD1072" s="201">
        <f ca="1">AD1026+AD1049*Timeline!AD494</f>
        <v>0</v>
      </c>
      <c r="AE1072" s="201">
        <f ca="1">AE1026+AE1049*Timeline!AE494</f>
        <v>0</v>
      </c>
      <c r="AF1072" s="201">
        <f ca="1">AF1026+AF1049*Timeline!AF494</f>
        <v>0</v>
      </c>
      <c r="AG1072" s="201">
        <f ca="1">AG1026+AG1049*Timeline!AG494</f>
        <v>0</v>
      </c>
      <c r="AH1072" s="201">
        <f ca="1">AH1026+AH1049*Timeline!AH494</f>
        <v>0</v>
      </c>
      <c r="AI1072" s="201">
        <f ca="1">AI1026+AI1049*Timeline!AI494</f>
        <v>0</v>
      </c>
      <c r="AJ1072" s="201">
        <f ca="1">AJ1026+AJ1049*Timeline!AJ494</f>
        <v>0</v>
      </c>
      <c r="AK1072" s="201">
        <f ca="1">AK1026+AK1049*Timeline!AK494</f>
        <v>0</v>
      </c>
      <c r="AL1072" s="201">
        <f ca="1">AL1026+AL1049*Timeline!AL494</f>
        <v>0</v>
      </c>
      <c r="AM1072" s="201">
        <f ca="1">AM1026+AM1049*Timeline!AM494</f>
        <v>0</v>
      </c>
      <c r="AN1072" s="201">
        <f ca="1">AN1026+AN1049*Timeline!AN494</f>
        <v>0</v>
      </c>
      <c r="AO1072" s="201">
        <f ca="1">AO1026+AO1049*Timeline!AO494</f>
        <v>0</v>
      </c>
      <c r="AP1072" s="201">
        <f ca="1">AP1026+AP1049*Timeline!AP494</f>
        <v>0</v>
      </c>
      <c r="AQ1072" s="201">
        <f ca="1">AQ1026+AQ1049*Timeline!AQ494</f>
        <v>0</v>
      </c>
      <c r="AR1072" s="201">
        <f ca="1">AR1026+AR1049*Timeline!AR494</f>
        <v>0</v>
      </c>
      <c r="AS1072" s="201">
        <f ca="1">AS1026+AS1049*Timeline!AS494</f>
        <v>0</v>
      </c>
      <c r="AT1072" s="201">
        <f ca="1">AT1026+AT1049*Timeline!AT494</f>
        <v>0</v>
      </c>
      <c r="AU1072" s="201">
        <f ca="1">AU1026+AU1049*Timeline!AU494</f>
        <v>0</v>
      </c>
      <c r="AV1072" s="201">
        <f ca="1">AV1026+AV1049*Timeline!AV494</f>
        <v>0</v>
      </c>
      <c r="AW1072" s="201">
        <f ca="1">AW1026+AW1049*Timeline!AW494</f>
        <v>0</v>
      </c>
      <c r="AX1072" s="201">
        <f ca="1">AX1026+AX1049*Timeline!AX494</f>
        <v>0</v>
      </c>
      <c r="AY1072" s="201">
        <f ca="1">AY1026+AY1049*Timeline!AY494</f>
        <v>0</v>
      </c>
      <c r="AZ1072" s="201">
        <f ca="1">AZ1026+AZ1049*Timeline!AZ494</f>
        <v>0</v>
      </c>
      <c r="BA1072" s="201">
        <f ca="1">BA1026+BA1049*Timeline!BA494</f>
        <v>0</v>
      </c>
      <c r="BB1072" s="201">
        <f ca="1">BB1026+BB1049*Timeline!BB494</f>
        <v>0</v>
      </c>
      <c r="BC1072" s="201">
        <f ca="1">BC1026+BC1049*Timeline!BC494</f>
        <v>0</v>
      </c>
      <c r="BD1072" s="201">
        <f ca="1">BD1026+BD1049*Timeline!BD494</f>
        <v>0</v>
      </c>
      <c r="BE1072" s="201">
        <f ca="1">BE1026+BE1049*Timeline!BE494</f>
        <v>0</v>
      </c>
      <c r="BF1072" s="201">
        <f ca="1">BF1026+BF1049*Timeline!BF494</f>
        <v>0</v>
      </c>
      <c r="BG1072" s="201">
        <f ca="1">BG1026+BG1049*Timeline!BG494</f>
        <v>0</v>
      </c>
      <c r="BH1072" s="201">
        <f ca="1">BH1026+BH1049*Timeline!BH494</f>
        <v>0</v>
      </c>
      <c r="BI1072" s="201">
        <f ca="1">BI1026+BI1049*Timeline!BI494</f>
        <v>0</v>
      </c>
      <c r="BJ1072" s="201">
        <f ca="1">BJ1026+BJ1049*Timeline!BJ494</f>
        <v>0</v>
      </c>
      <c r="BL1072" s="136"/>
      <c r="BM1072" s="13">
        <f t="shared" ca="1" si="1213"/>
        <v>0</v>
      </c>
      <c r="BN1072" s="13">
        <f t="shared" ca="1" si="1214"/>
        <v>0</v>
      </c>
      <c r="BO1072" s="13">
        <f t="shared" ca="1" si="1215"/>
        <v>0</v>
      </c>
      <c r="BP1072" s="136"/>
      <c r="BQ1072" s="136"/>
      <c r="BR1072" s="136"/>
      <c r="BS1072" s="136"/>
      <c r="BT1072" s="136"/>
      <c r="BU1072" s="136"/>
      <c r="BV1072" s="136"/>
      <c r="BW1072" s="136"/>
      <c r="BY1072" s="12"/>
      <c r="CA1072" s="12"/>
      <c r="CJ1072" s="162"/>
      <c r="CR1072" s="12"/>
      <c r="EX1072" s="13" t="str">
        <f t="shared" ca="1" si="1216"/>
        <v>Interest Payable Amount due within one year after Covenant Breach Adjustment Loan 13</v>
      </c>
    </row>
    <row r="1073" spans="1:154" s="5" customFormat="1" x14ac:dyDescent="0.25">
      <c r="A1073" s="335"/>
      <c r="B1073" s="84" t="str" cm="1">
        <f t="array" aca="1" ref="B1073" ca="1">HYPERLINK(CONCATENATE("#",CELL("address",$D$294)),$D$294)</f>
        <v>Loan 14</v>
      </c>
      <c r="C1073" s="340" t="str">
        <f t="shared" si="1217"/>
        <v>ST-LN-14-2CB</v>
      </c>
      <c r="D1073" s="60">
        <f>D$26</f>
        <v>0</v>
      </c>
      <c r="E1073" s="60">
        <f>E$26</f>
        <v>0</v>
      </c>
      <c r="F1073" s="335"/>
      <c r="G1073" s="9"/>
      <c r="H1073" s="50" t="s">
        <v>125</v>
      </c>
      <c r="I1073" s="335"/>
      <c r="J1073" s="335"/>
      <c r="K1073" s="335"/>
      <c r="L1073" s="335"/>
      <c r="M1073" s="335"/>
      <c r="N1073" s="335"/>
      <c r="O1073" s="335"/>
      <c r="P1073" s="335"/>
      <c r="Q1073" s="335"/>
      <c r="R1073" s="335"/>
      <c r="S1073" s="335"/>
      <c r="T1073" s="335"/>
      <c r="U1073" s="335"/>
      <c r="V1073" s="136"/>
      <c r="W1073" s="201">
        <f t="shared" ca="1" si="1212"/>
        <v>0</v>
      </c>
      <c r="X1073" s="201">
        <f t="shared" ca="1" si="1212"/>
        <v>0</v>
      </c>
      <c r="Y1073" s="201">
        <f t="shared" ca="1" si="1212"/>
        <v>0</v>
      </c>
      <c r="Z1073" s="335"/>
      <c r="AA1073" s="201">
        <f ca="1">AA1027+AA1050*Timeline!AA495</f>
        <v>0</v>
      </c>
      <c r="AB1073" s="201">
        <f ca="1">AB1027+AB1050*Timeline!AB495</f>
        <v>0</v>
      </c>
      <c r="AC1073" s="201">
        <f ca="1">AC1027+AC1050*Timeline!AC495</f>
        <v>0</v>
      </c>
      <c r="AD1073" s="201">
        <f ca="1">AD1027+AD1050*Timeline!AD495</f>
        <v>0</v>
      </c>
      <c r="AE1073" s="201">
        <f ca="1">AE1027+AE1050*Timeline!AE495</f>
        <v>0</v>
      </c>
      <c r="AF1073" s="201">
        <f ca="1">AF1027+AF1050*Timeline!AF495</f>
        <v>0</v>
      </c>
      <c r="AG1073" s="201">
        <f ca="1">AG1027+AG1050*Timeline!AG495</f>
        <v>0</v>
      </c>
      <c r="AH1073" s="201">
        <f ca="1">AH1027+AH1050*Timeline!AH495</f>
        <v>0</v>
      </c>
      <c r="AI1073" s="201">
        <f ca="1">AI1027+AI1050*Timeline!AI495</f>
        <v>0</v>
      </c>
      <c r="AJ1073" s="201">
        <f ca="1">AJ1027+AJ1050*Timeline!AJ495</f>
        <v>0</v>
      </c>
      <c r="AK1073" s="201">
        <f ca="1">AK1027+AK1050*Timeline!AK495</f>
        <v>0</v>
      </c>
      <c r="AL1073" s="201">
        <f ca="1">AL1027+AL1050*Timeline!AL495</f>
        <v>0</v>
      </c>
      <c r="AM1073" s="201">
        <f ca="1">AM1027+AM1050*Timeline!AM495</f>
        <v>0</v>
      </c>
      <c r="AN1073" s="201">
        <f ca="1">AN1027+AN1050*Timeline!AN495</f>
        <v>0</v>
      </c>
      <c r="AO1073" s="201">
        <f ca="1">AO1027+AO1050*Timeline!AO495</f>
        <v>0</v>
      </c>
      <c r="AP1073" s="201">
        <f ca="1">AP1027+AP1050*Timeline!AP495</f>
        <v>0</v>
      </c>
      <c r="AQ1073" s="201">
        <f ca="1">AQ1027+AQ1050*Timeline!AQ495</f>
        <v>0</v>
      </c>
      <c r="AR1073" s="201">
        <f ca="1">AR1027+AR1050*Timeline!AR495</f>
        <v>0</v>
      </c>
      <c r="AS1073" s="201">
        <f ca="1">AS1027+AS1050*Timeline!AS495</f>
        <v>0</v>
      </c>
      <c r="AT1073" s="201">
        <f ca="1">AT1027+AT1050*Timeline!AT495</f>
        <v>0</v>
      </c>
      <c r="AU1073" s="201">
        <f ca="1">AU1027+AU1050*Timeline!AU495</f>
        <v>0</v>
      </c>
      <c r="AV1073" s="201">
        <f ca="1">AV1027+AV1050*Timeline!AV495</f>
        <v>0</v>
      </c>
      <c r="AW1073" s="201">
        <f ca="1">AW1027+AW1050*Timeline!AW495</f>
        <v>0</v>
      </c>
      <c r="AX1073" s="201">
        <f ca="1">AX1027+AX1050*Timeline!AX495</f>
        <v>0</v>
      </c>
      <c r="AY1073" s="201">
        <f ca="1">AY1027+AY1050*Timeline!AY495</f>
        <v>0</v>
      </c>
      <c r="AZ1073" s="201">
        <f ca="1">AZ1027+AZ1050*Timeline!AZ495</f>
        <v>0</v>
      </c>
      <c r="BA1073" s="201">
        <f ca="1">BA1027+BA1050*Timeline!BA495</f>
        <v>0</v>
      </c>
      <c r="BB1073" s="201">
        <f ca="1">BB1027+BB1050*Timeline!BB495</f>
        <v>0</v>
      </c>
      <c r="BC1073" s="201">
        <f ca="1">BC1027+BC1050*Timeline!BC495</f>
        <v>0</v>
      </c>
      <c r="BD1073" s="201">
        <f ca="1">BD1027+BD1050*Timeline!BD495</f>
        <v>0</v>
      </c>
      <c r="BE1073" s="201">
        <f ca="1">BE1027+BE1050*Timeline!BE495</f>
        <v>0</v>
      </c>
      <c r="BF1073" s="201">
        <f ca="1">BF1027+BF1050*Timeline!BF495</f>
        <v>0</v>
      </c>
      <c r="BG1073" s="201">
        <f ca="1">BG1027+BG1050*Timeline!BG495</f>
        <v>0</v>
      </c>
      <c r="BH1073" s="201">
        <f ca="1">BH1027+BH1050*Timeline!BH495</f>
        <v>0</v>
      </c>
      <c r="BI1073" s="201">
        <f ca="1">BI1027+BI1050*Timeline!BI495</f>
        <v>0</v>
      </c>
      <c r="BJ1073" s="201">
        <f ca="1">BJ1027+BJ1050*Timeline!BJ495</f>
        <v>0</v>
      </c>
      <c r="BK1073" s="335"/>
      <c r="BL1073" s="136"/>
      <c r="BM1073" s="13">
        <f t="shared" ca="1" si="1213"/>
        <v>0</v>
      </c>
      <c r="BN1073" s="13">
        <f t="shared" ca="1" si="1214"/>
        <v>0</v>
      </c>
      <c r="BO1073" s="13">
        <f t="shared" ca="1" si="1215"/>
        <v>0</v>
      </c>
      <c r="BP1073" s="136"/>
      <c r="BQ1073" s="136"/>
      <c r="BR1073" s="136"/>
      <c r="BS1073" s="136"/>
      <c r="BT1073" s="136"/>
      <c r="BU1073" s="136"/>
      <c r="BV1073" s="136"/>
      <c r="BW1073" s="136"/>
      <c r="BX1073" s="335"/>
      <c r="BY1073" s="12"/>
      <c r="BZ1073" s="335"/>
      <c r="CA1073" s="12"/>
      <c r="CB1073" s="335"/>
      <c r="CC1073" s="335"/>
      <c r="CD1073" s="335"/>
      <c r="CE1073" s="335"/>
      <c r="CF1073" s="335"/>
      <c r="CG1073" s="335"/>
      <c r="CH1073" s="335"/>
      <c r="CI1073" s="335"/>
      <c r="CJ1073" s="162"/>
      <c r="CK1073" s="335"/>
      <c r="CL1073" s="335"/>
      <c r="CM1073" s="335"/>
      <c r="CN1073" s="335"/>
      <c r="CO1073" s="335"/>
      <c r="CP1073" s="335"/>
      <c r="CQ1073" s="335"/>
      <c r="CR1073" s="12"/>
      <c r="EX1073" s="13" t="str">
        <f t="shared" ca="1" si="1216"/>
        <v>Interest Payable Amount due within one year after Covenant Breach Adjustment Loan 14</v>
      </c>
    </row>
    <row r="1074" spans="1:154" s="335" customFormat="1" x14ac:dyDescent="0.25">
      <c r="B1074" s="84" t="str" cm="1">
        <f t="array" aca="1" ref="B1074" ca="1">HYPERLINK(CONCATENATE("#",CELL("address",$D$313)),$D$313)</f>
        <v>Loan 15</v>
      </c>
      <c r="C1074" s="340" t="str">
        <f t="shared" si="1217"/>
        <v>ST-LN-15-2CB</v>
      </c>
      <c r="D1074" s="60">
        <f>D$27</f>
        <v>0</v>
      </c>
      <c r="E1074" s="60">
        <f>E$27</f>
        <v>0</v>
      </c>
      <c r="G1074" s="9"/>
      <c r="H1074" s="50" t="s">
        <v>125</v>
      </c>
      <c r="V1074" s="136"/>
      <c r="W1074" s="201">
        <f t="shared" ca="1" si="1212"/>
        <v>0</v>
      </c>
      <c r="X1074" s="201">
        <f t="shared" ca="1" si="1212"/>
        <v>0</v>
      </c>
      <c r="Y1074" s="201">
        <f t="shared" ca="1" si="1212"/>
        <v>0</v>
      </c>
      <c r="AA1074" s="201">
        <f ca="1">AA1028+AA1051*Timeline!AA496</f>
        <v>0</v>
      </c>
      <c r="AB1074" s="201">
        <f ca="1">AB1028+AB1051*Timeline!AB496</f>
        <v>0</v>
      </c>
      <c r="AC1074" s="201">
        <f ca="1">AC1028+AC1051*Timeline!AC496</f>
        <v>0</v>
      </c>
      <c r="AD1074" s="201">
        <f ca="1">AD1028+AD1051*Timeline!AD496</f>
        <v>0</v>
      </c>
      <c r="AE1074" s="201">
        <f ca="1">AE1028+AE1051*Timeline!AE496</f>
        <v>0</v>
      </c>
      <c r="AF1074" s="201">
        <f ca="1">AF1028+AF1051*Timeline!AF496</f>
        <v>0</v>
      </c>
      <c r="AG1074" s="201">
        <f ca="1">AG1028+AG1051*Timeline!AG496</f>
        <v>0</v>
      </c>
      <c r="AH1074" s="201">
        <f ca="1">AH1028+AH1051*Timeline!AH496</f>
        <v>0</v>
      </c>
      <c r="AI1074" s="201">
        <f ca="1">AI1028+AI1051*Timeline!AI496</f>
        <v>0</v>
      </c>
      <c r="AJ1074" s="201">
        <f ca="1">AJ1028+AJ1051*Timeline!AJ496</f>
        <v>0</v>
      </c>
      <c r="AK1074" s="201">
        <f ca="1">AK1028+AK1051*Timeline!AK496</f>
        <v>0</v>
      </c>
      <c r="AL1074" s="201">
        <f ca="1">AL1028+AL1051*Timeline!AL496</f>
        <v>0</v>
      </c>
      <c r="AM1074" s="201">
        <f ca="1">AM1028+AM1051*Timeline!AM496</f>
        <v>0</v>
      </c>
      <c r="AN1074" s="201">
        <f ca="1">AN1028+AN1051*Timeline!AN496</f>
        <v>0</v>
      </c>
      <c r="AO1074" s="201">
        <f ca="1">AO1028+AO1051*Timeline!AO496</f>
        <v>0</v>
      </c>
      <c r="AP1074" s="201">
        <f ca="1">AP1028+AP1051*Timeline!AP496</f>
        <v>0</v>
      </c>
      <c r="AQ1074" s="201">
        <f ca="1">AQ1028+AQ1051*Timeline!AQ496</f>
        <v>0</v>
      </c>
      <c r="AR1074" s="201">
        <f ca="1">AR1028+AR1051*Timeline!AR496</f>
        <v>0</v>
      </c>
      <c r="AS1074" s="201">
        <f ca="1">AS1028+AS1051*Timeline!AS496</f>
        <v>0</v>
      </c>
      <c r="AT1074" s="201">
        <f ca="1">AT1028+AT1051*Timeline!AT496</f>
        <v>0</v>
      </c>
      <c r="AU1074" s="201">
        <f ca="1">AU1028+AU1051*Timeline!AU496</f>
        <v>0</v>
      </c>
      <c r="AV1074" s="201">
        <f ca="1">AV1028+AV1051*Timeline!AV496</f>
        <v>0</v>
      </c>
      <c r="AW1074" s="201">
        <f ca="1">AW1028+AW1051*Timeline!AW496</f>
        <v>0</v>
      </c>
      <c r="AX1074" s="201">
        <f ca="1">AX1028+AX1051*Timeline!AX496</f>
        <v>0</v>
      </c>
      <c r="AY1074" s="201">
        <f ca="1">AY1028+AY1051*Timeline!AY496</f>
        <v>0</v>
      </c>
      <c r="AZ1074" s="201">
        <f ca="1">AZ1028+AZ1051*Timeline!AZ496</f>
        <v>0</v>
      </c>
      <c r="BA1074" s="201">
        <f ca="1">BA1028+BA1051*Timeline!BA496</f>
        <v>0</v>
      </c>
      <c r="BB1074" s="201">
        <f ca="1">BB1028+BB1051*Timeline!BB496</f>
        <v>0</v>
      </c>
      <c r="BC1074" s="201">
        <f ca="1">BC1028+BC1051*Timeline!BC496</f>
        <v>0</v>
      </c>
      <c r="BD1074" s="201">
        <f ca="1">BD1028+BD1051*Timeline!BD496</f>
        <v>0</v>
      </c>
      <c r="BE1074" s="201">
        <f ca="1">BE1028+BE1051*Timeline!BE496</f>
        <v>0</v>
      </c>
      <c r="BF1074" s="201">
        <f ca="1">BF1028+BF1051*Timeline!BF496</f>
        <v>0</v>
      </c>
      <c r="BG1074" s="201">
        <f ca="1">BG1028+BG1051*Timeline!BG496</f>
        <v>0</v>
      </c>
      <c r="BH1074" s="201">
        <f ca="1">BH1028+BH1051*Timeline!BH496</f>
        <v>0</v>
      </c>
      <c r="BI1074" s="201">
        <f ca="1">BI1028+BI1051*Timeline!BI496</f>
        <v>0</v>
      </c>
      <c r="BJ1074" s="201">
        <f ca="1">BJ1028+BJ1051*Timeline!BJ496</f>
        <v>0</v>
      </c>
      <c r="BL1074" s="136"/>
      <c r="BM1074" s="13">
        <f t="shared" ca="1" si="1213"/>
        <v>0</v>
      </c>
      <c r="BN1074" s="13">
        <f t="shared" ca="1" si="1214"/>
        <v>0</v>
      </c>
      <c r="BO1074" s="13">
        <f t="shared" ca="1" si="1215"/>
        <v>0</v>
      </c>
      <c r="BP1074" s="136"/>
      <c r="BQ1074" s="136"/>
      <c r="BR1074" s="136"/>
      <c r="BS1074" s="136"/>
      <c r="BT1074" s="136"/>
      <c r="BU1074" s="136"/>
      <c r="BV1074" s="136"/>
      <c r="BW1074" s="136"/>
      <c r="BY1074" s="12"/>
      <c r="CA1074" s="12"/>
      <c r="CJ1074" s="162"/>
      <c r="CR1074" s="12"/>
      <c r="EX1074" s="13" t="str">
        <f t="shared" ca="1" si="1216"/>
        <v>Interest Payable Amount due within one year after Covenant Breach Adjustment Loan 15</v>
      </c>
    </row>
    <row r="1075" spans="1:154" s="335" customFormat="1" x14ac:dyDescent="0.25">
      <c r="B1075" s="84" t="str" cm="1">
        <f t="array" aca="1" ref="B1075" ca="1">HYPERLINK(CONCATENATE("#",CELL("address",$D$332)),$D$332)</f>
        <v>Loan 16</v>
      </c>
      <c r="C1075" s="340" t="str">
        <f t="shared" si="1217"/>
        <v>ST-LN-16-2CB</v>
      </c>
      <c r="D1075" s="60">
        <f>D$28</f>
        <v>0</v>
      </c>
      <c r="E1075" s="60">
        <f>E$28</f>
        <v>0</v>
      </c>
      <c r="G1075" s="9"/>
      <c r="H1075" s="50" t="s">
        <v>125</v>
      </c>
      <c r="V1075" s="136"/>
      <c r="W1075" s="201">
        <f t="shared" ca="1" si="1212"/>
        <v>0</v>
      </c>
      <c r="X1075" s="201">
        <f t="shared" ca="1" si="1212"/>
        <v>0</v>
      </c>
      <c r="Y1075" s="201">
        <f t="shared" ca="1" si="1212"/>
        <v>0</v>
      </c>
      <c r="AA1075" s="201">
        <f ca="1">AA1029+AA1052*Timeline!AA497</f>
        <v>0</v>
      </c>
      <c r="AB1075" s="201">
        <f ca="1">AB1029+AB1052*Timeline!AB497</f>
        <v>0</v>
      </c>
      <c r="AC1075" s="201">
        <f ca="1">AC1029+AC1052*Timeline!AC497</f>
        <v>0</v>
      </c>
      <c r="AD1075" s="201">
        <f ca="1">AD1029+AD1052*Timeline!AD497</f>
        <v>0</v>
      </c>
      <c r="AE1075" s="201">
        <f ca="1">AE1029+AE1052*Timeline!AE497</f>
        <v>0</v>
      </c>
      <c r="AF1075" s="201">
        <f ca="1">AF1029+AF1052*Timeline!AF497</f>
        <v>0</v>
      </c>
      <c r="AG1075" s="201">
        <f ca="1">AG1029+AG1052*Timeline!AG497</f>
        <v>0</v>
      </c>
      <c r="AH1075" s="201">
        <f ca="1">AH1029+AH1052*Timeline!AH497</f>
        <v>0</v>
      </c>
      <c r="AI1075" s="201">
        <f ca="1">AI1029+AI1052*Timeline!AI497</f>
        <v>0</v>
      </c>
      <c r="AJ1075" s="201">
        <f ca="1">AJ1029+AJ1052*Timeline!AJ497</f>
        <v>0</v>
      </c>
      <c r="AK1075" s="201">
        <f ca="1">AK1029+AK1052*Timeline!AK497</f>
        <v>0</v>
      </c>
      <c r="AL1075" s="201">
        <f ca="1">AL1029+AL1052*Timeline!AL497</f>
        <v>0</v>
      </c>
      <c r="AM1075" s="201">
        <f ca="1">AM1029+AM1052*Timeline!AM497</f>
        <v>0</v>
      </c>
      <c r="AN1075" s="201">
        <f ca="1">AN1029+AN1052*Timeline!AN497</f>
        <v>0</v>
      </c>
      <c r="AO1075" s="201">
        <f ca="1">AO1029+AO1052*Timeline!AO497</f>
        <v>0</v>
      </c>
      <c r="AP1075" s="201">
        <f ca="1">AP1029+AP1052*Timeline!AP497</f>
        <v>0</v>
      </c>
      <c r="AQ1075" s="201">
        <f ca="1">AQ1029+AQ1052*Timeline!AQ497</f>
        <v>0</v>
      </c>
      <c r="AR1075" s="201">
        <f ca="1">AR1029+AR1052*Timeline!AR497</f>
        <v>0</v>
      </c>
      <c r="AS1075" s="201">
        <f ca="1">AS1029+AS1052*Timeline!AS497</f>
        <v>0</v>
      </c>
      <c r="AT1075" s="201">
        <f ca="1">AT1029+AT1052*Timeline!AT497</f>
        <v>0</v>
      </c>
      <c r="AU1075" s="201">
        <f ca="1">AU1029+AU1052*Timeline!AU497</f>
        <v>0</v>
      </c>
      <c r="AV1075" s="201">
        <f ca="1">AV1029+AV1052*Timeline!AV497</f>
        <v>0</v>
      </c>
      <c r="AW1075" s="201">
        <f ca="1">AW1029+AW1052*Timeline!AW497</f>
        <v>0</v>
      </c>
      <c r="AX1075" s="201">
        <f ca="1">AX1029+AX1052*Timeline!AX497</f>
        <v>0</v>
      </c>
      <c r="AY1075" s="201">
        <f ca="1">AY1029+AY1052*Timeline!AY497</f>
        <v>0</v>
      </c>
      <c r="AZ1075" s="201">
        <f ca="1">AZ1029+AZ1052*Timeline!AZ497</f>
        <v>0</v>
      </c>
      <c r="BA1075" s="201">
        <f ca="1">BA1029+BA1052*Timeline!BA497</f>
        <v>0</v>
      </c>
      <c r="BB1075" s="201">
        <f ca="1">BB1029+BB1052*Timeline!BB497</f>
        <v>0</v>
      </c>
      <c r="BC1075" s="201">
        <f ca="1">BC1029+BC1052*Timeline!BC497</f>
        <v>0</v>
      </c>
      <c r="BD1075" s="201">
        <f ca="1">BD1029+BD1052*Timeline!BD497</f>
        <v>0</v>
      </c>
      <c r="BE1075" s="201">
        <f ca="1">BE1029+BE1052*Timeline!BE497</f>
        <v>0</v>
      </c>
      <c r="BF1075" s="201">
        <f ca="1">BF1029+BF1052*Timeline!BF497</f>
        <v>0</v>
      </c>
      <c r="BG1075" s="201">
        <f ca="1">BG1029+BG1052*Timeline!BG497</f>
        <v>0</v>
      </c>
      <c r="BH1075" s="201">
        <f ca="1">BH1029+BH1052*Timeline!BH497</f>
        <v>0</v>
      </c>
      <c r="BI1075" s="201">
        <f ca="1">BI1029+BI1052*Timeline!BI497</f>
        <v>0</v>
      </c>
      <c r="BJ1075" s="201">
        <f ca="1">BJ1029+BJ1052*Timeline!BJ497</f>
        <v>0</v>
      </c>
      <c r="BL1075" s="136"/>
      <c r="BM1075" s="13">
        <f t="shared" ca="1" si="1213"/>
        <v>0</v>
      </c>
      <c r="BN1075" s="13">
        <f t="shared" ca="1" si="1214"/>
        <v>0</v>
      </c>
      <c r="BO1075" s="13">
        <f t="shared" ca="1" si="1215"/>
        <v>0</v>
      </c>
      <c r="BP1075" s="136"/>
      <c r="BQ1075" s="136"/>
      <c r="BR1075" s="136"/>
      <c r="BS1075" s="136"/>
      <c r="BT1075" s="136"/>
      <c r="BU1075" s="136"/>
      <c r="BV1075" s="136"/>
      <c r="BW1075" s="136"/>
      <c r="BY1075" s="12"/>
      <c r="CA1075" s="12"/>
      <c r="CJ1075" s="162"/>
      <c r="CR1075" s="12"/>
      <c r="EX1075" s="13" t="str">
        <f t="shared" ca="1" si="1216"/>
        <v>Interest Payable Amount due within one year after Covenant Breach Adjustment Loan 16</v>
      </c>
    </row>
    <row r="1076" spans="1:154" s="335" customFormat="1" x14ac:dyDescent="0.25">
      <c r="B1076" s="84" t="str" cm="1">
        <f t="array" aca="1" ref="B1076" ca="1">HYPERLINK(CONCATENATE("#",CELL("address",$D$351)),$D$351)</f>
        <v>Loan 17</v>
      </c>
      <c r="C1076" s="340" t="str">
        <f t="shared" si="1217"/>
        <v>ST-LN-17-2CB</v>
      </c>
      <c r="D1076" s="60">
        <f>D$29</f>
        <v>0</v>
      </c>
      <c r="E1076" s="60">
        <f>E$29</f>
        <v>0</v>
      </c>
      <c r="G1076" s="9"/>
      <c r="H1076" s="50" t="s">
        <v>125</v>
      </c>
      <c r="V1076" s="136"/>
      <c r="W1076" s="201">
        <f t="shared" ca="1" si="1212"/>
        <v>0</v>
      </c>
      <c r="X1076" s="201">
        <f t="shared" ca="1" si="1212"/>
        <v>0</v>
      </c>
      <c r="Y1076" s="201">
        <f t="shared" ca="1" si="1212"/>
        <v>0</v>
      </c>
      <c r="AA1076" s="201">
        <f ca="1">AA1030+AA1053*Timeline!AA498</f>
        <v>0</v>
      </c>
      <c r="AB1076" s="201">
        <f ca="1">AB1030+AB1053*Timeline!AB498</f>
        <v>0</v>
      </c>
      <c r="AC1076" s="201">
        <f ca="1">AC1030+AC1053*Timeline!AC498</f>
        <v>0</v>
      </c>
      <c r="AD1076" s="201">
        <f ca="1">AD1030+AD1053*Timeline!AD498</f>
        <v>0</v>
      </c>
      <c r="AE1076" s="201">
        <f ca="1">AE1030+AE1053*Timeline!AE498</f>
        <v>0</v>
      </c>
      <c r="AF1076" s="201">
        <f ca="1">AF1030+AF1053*Timeline!AF498</f>
        <v>0</v>
      </c>
      <c r="AG1076" s="201">
        <f ca="1">AG1030+AG1053*Timeline!AG498</f>
        <v>0</v>
      </c>
      <c r="AH1076" s="201">
        <f ca="1">AH1030+AH1053*Timeline!AH498</f>
        <v>0</v>
      </c>
      <c r="AI1076" s="201">
        <f ca="1">AI1030+AI1053*Timeline!AI498</f>
        <v>0</v>
      </c>
      <c r="AJ1076" s="201">
        <f ca="1">AJ1030+AJ1053*Timeline!AJ498</f>
        <v>0</v>
      </c>
      <c r="AK1076" s="201">
        <f ca="1">AK1030+AK1053*Timeline!AK498</f>
        <v>0</v>
      </c>
      <c r="AL1076" s="201">
        <f ca="1">AL1030+AL1053*Timeline!AL498</f>
        <v>0</v>
      </c>
      <c r="AM1076" s="201">
        <f ca="1">AM1030+AM1053*Timeline!AM498</f>
        <v>0</v>
      </c>
      <c r="AN1076" s="201">
        <f ca="1">AN1030+AN1053*Timeline!AN498</f>
        <v>0</v>
      </c>
      <c r="AO1076" s="201">
        <f ca="1">AO1030+AO1053*Timeline!AO498</f>
        <v>0</v>
      </c>
      <c r="AP1076" s="201">
        <f ca="1">AP1030+AP1053*Timeline!AP498</f>
        <v>0</v>
      </c>
      <c r="AQ1076" s="201">
        <f ca="1">AQ1030+AQ1053*Timeline!AQ498</f>
        <v>0</v>
      </c>
      <c r="AR1076" s="201">
        <f ca="1">AR1030+AR1053*Timeline!AR498</f>
        <v>0</v>
      </c>
      <c r="AS1076" s="201">
        <f ca="1">AS1030+AS1053*Timeline!AS498</f>
        <v>0</v>
      </c>
      <c r="AT1076" s="201">
        <f ca="1">AT1030+AT1053*Timeline!AT498</f>
        <v>0</v>
      </c>
      <c r="AU1076" s="201">
        <f ca="1">AU1030+AU1053*Timeline!AU498</f>
        <v>0</v>
      </c>
      <c r="AV1076" s="201">
        <f ca="1">AV1030+AV1053*Timeline!AV498</f>
        <v>0</v>
      </c>
      <c r="AW1076" s="201">
        <f ca="1">AW1030+AW1053*Timeline!AW498</f>
        <v>0</v>
      </c>
      <c r="AX1076" s="201">
        <f ca="1">AX1030+AX1053*Timeline!AX498</f>
        <v>0</v>
      </c>
      <c r="AY1076" s="201">
        <f ca="1">AY1030+AY1053*Timeline!AY498</f>
        <v>0</v>
      </c>
      <c r="AZ1076" s="201">
        <f ca="1">AZ1030+AZ1053*Timeline!AZ498</f>
        <v>0</v>
      </c>
      <c r="BA1076" s="201">
        <f ca="1">BA1030+BA1053*Timeline!BA498</f>
        <v>0</v>
      </c>
      <c r="BB1076" s="201">
        <f ca="1">BB1030+BB1053*Timeline!BB498</f>
        <v>0</v>
      </c>
      <c r="BC1076" s="201">
        <f ca="1">BC1030+BC1053*Timeline!BC498</f>
        <v>0</v>
      </c>
      <c r="BD1076" s="201">
        <f ca="1">BD1030+BD1053*Timeline!BD498</f>
        <v>0</v>
      </c>
      <c r="BE1076" s="201">
        <f ca="1">BE1030+BE1053*Timeline!BE498</f>
        <v>0</v>
      </c>
      <c r="BF1076" s="201">
        <f ca="1">BF1030+BF1053*Timeline!BF498</f>
        <v>0</v>
      </c>
      <c r="BG1076" s="201">
        <f ca="1">BG1030+BG1053*Timeline!BG498</f>
        <v>0</v>
      </c>
      <c r="BH1076" s="201">
        <f ca="1">BH1030+BH1053*Timeline!BH498</f>
        <v>0</v>
      </c>
      <c r="BI1076" s="201">
        <f ca="1">BI1030+BI1053*Timeline!BI498</f>
        <v>0</v>
      </c>
      <c r="BJ1076" s="201">
        <f ca="1">BJ1030+BJ1053*Timeline!BJ498</f>
        <v>0</v>
      </c>
      <c r="BL1076" s="136"/>
      <c r="BM1076" s="13">
        <f t="shared" ca="1" si="1213"/>
        <v>0</v>
      </c>
      <c r="BN1076" s="13">
        <f t="shared" ca="1" si="1214"/>
        <v>0</v>
      </c>
      <c r="BO1076" s="13">
        <f t="shared" ca="1" si="1215"/>
        <v>0</v>
      </c>
      <c r="BP1076" s="136"/>
      <c r="BQ1076" s="136"/>
      <c r="BR1076" s="136"/>
      <c r="BS1076" s="136"/>
      <c r="BT1076" s="136"/>
      <c r="BU1076" s="136"/>
      <c r="BV1076" s="136"/>
      <c r="BW1076" s="136"/>
      <c r="BY1076" s="12"/>
      <c r="CA1076" s="12"/>
      <c r="CJ1076" s="162"/>
      <c r="CR1076" s="12"/>
      <c r="EX1076" s="13" t="str">
        <f t="shared" ca="1" si="1216"/>
        <v>Interest Payable Amount due within one year after Covenant Breach Adjustment Loan 17</v>
      </c>
    </row>
    <row r="1077" spans="1:154" s="335" customFormat="1" x14ac:dyDescent="0.25">
      <c r="B1077" s="84" t="str" cm="1">
        <f t="array" aca="1" ref="B1077" ca="1">HYPERLINK(CONCATENATE("#",CELL("address",$D$370)),$D$370)</f>
        <v>Loan 18</v>
      </c>
      <c r="C1077" s="340" t="str">
        <f t="shared" si="1217"/>
        <v>ST-LN-18-2CB</v>
      </c>
      <c r="D1077" s="60">
        <f>D$30</f>
        <v>0</v>
      </c>
      <c r="E1077" s="60">
        <f>E$30</f>
        <v>0</v>
      </c>
      <c r="G1077" s="9"/>
      <c r="H1077" s="50" t="s">
        <v>125</v>
      </c>
      <c r="V1077" s="136"/>
      <c r="W1077" s="201">
        <f t="shared" ca="1" si="1212"/>
        <v>0</v>
      </c>
      <c r="X1077" s="201">
        <f t="shared" ca="1" si="1212"/>
        <v>0</v>
      </c>
      <c r="Y1077" s="201">
        <f t="shared" ca="1" si="1212"/>
        <v>0</v>
      </c>
      <c r="AA1077" s="201">
        <f ca="1">AA1031+AA1054*Timeline!AA499</f>
        <v>0</v>
      </c>
      <c r="AB1077" s="201">
        <f ca="1">AB1031+AB1054*Timeline!AB499</f>
        <v>0</v>
      </c>
      <c r="AC1077" s="201">
        <f ca="1">AC1031+AC1054*Timeline!AC499</f>
        <v>0</v>
      </c>
      <c r="AD1077" s="201">
        <f ca="1">AD1031+AD1054*Timeline!AD499</f>
        <v>0</v>
      </c>
      <c r="AE1077" s="201">
        <f ca="1">AE1031+AE1054*Timeline!AE499</f>
        <v>0</v>
      </c>
      <c r="AF1077" s="201">
        <f ca="1">AF1031+AF1054*Timeline!AF499</f>
        <v>0</v>
      </c>
      <c r="AG1077" s="201">
        <f ca="1">AG1031+AG1054*Timeline!AG499</f>
        <v>0</v>
      </c>
      <c r="AH1077" s="201">
        <f ca="1">AH1031+AH1054*Timeline!AH499</f>
        <v>0</v>
      </c>
      <c r="AI1077" s="201">
        <f ca="1">AI1031+AI1054*Timeline!AI499</f>
        <v>0</v>
      </c>
      <c r="AJ1077" s="201">
        <f ca="1">AJ1031+AJ1054*Timeline!AJ499</f>
        <v>0</v>
      </c>
      <c r="AK1077" s="201">
        <f ca="1">AK1031+AK1054*Timeline!AK499</f>
        <v>0</v>
      </c>
      <c r="AL1077" s="201">
        <f ca="1">AL1031+AL1054*Timeline!AL499</f>
        <v>0</v>
      </c>
      <c r="AM1077" s="201">
        <f ca="1">AM1031+AM1054*Timeline!AM499</f>
        <v>0</v>
      </c>
      <c r="AN1077" s="201">
        <f ca="1">AN1031+AN1054*Timeline!AN499</f>
        <v>0</v>
      </c>
      <c r="AO1077" s="201">
        <f ca="1">AO1031+AO1054*Timeline!AO499</f>
        <v>0</v>
      </c>
      <c r="AP1077" s="201">
        <f ca="1">AP1031+AP1054*Timeline!AP499</f>
        <v>0</v>
      </c>
      <c r="AQ1077" s="201">
        <f ca="1">AQ1031+AQ1054*Timeline!AQ499</f>
        <v>0</v>
      </c>
      <c r="AR1077" s="201">
        <f ca="1">AR1031+AR1054*Timeline!AR499</f>
        <v>0</v>
      </c>
      <c r="AS1077" s="201">
        <f ca="1">AS1031+AS1054*Timeline!AS499</f>
        <v>0</v>
      </c>
      <c r="AT1077" s="201">
        <f ca="1">AT1031+AT1054*Timeline!AT499</f>
        <v>0</v>
      </c>
      <c r="AU1077" s="201">
        <f ca="1">AU1031+AU1054*Timeline!AU499</f>
        <v>0</v>
      </c>
      <c r="AV1077" s="201">
        <f ca="1">AV1031+AV1054*Timeline!AV499</f>
        <v>0</v>
      </c>
      <c r="AW1077" s="201">
        <f ca="1">AW1031+AW1054*Timeline!AW499</f>
        <v>0</v>
      </c>
      <c r="AX1077" s="201">
        <f ca="1">AX1031+AX1054*Timeline!AX499</f>
        <v>0</v>
      </c>
      <c r="AY1077" s="201">
        <f ca="1">AY1031+AY1054*Timeline!AY499</f>
        <v>0</v>
      </c>
      <c r="AZ1077" s="201">
        <f ca="1">AZ1031+AZ1054*Timeline!AZ499</f>
        <v>0</v>
      </c>
      <c r="BA1077" s="201">
        <f ca="1">BA1031+BA1054*Timeline!BA499</f>
        <v>0</v>
      </c>
      <c r="BB1077" s="201">
        <f ca="1">BB1031+BB1054*Timeline!BB499</f>
        <v>0</v>
      </c>
      <c r="BC1077" s="201">
        <f ca="1">BC1031+BC1054*Timeline!BC499</f>
        <v>0</v>
      </c>
      <c r="BD1077" s="201">
        <f ca="1">BD1031+BD1054*Timeline!BD499</f>
        <v>0</v>
      </c>
      <c r="BE1077" s="201">
        <f ca="1">BE1031+BE1054*Timeline!BE499</f>
        <v>0</v>
      </c>
      <c r="BF1077" s="201">
        <f ca="1">BF1031+BF1054*Timeline!BF499</f>
        <v>0</v>
      </c>
      <c r="BG1077" s="201">
        <f ca="1">BG1031+BG1054*Timeline!BG499</f>
        <v>0</v>
      </c>
      <c r="BH1077" s="201">
        <f ca="1">BH1031+BH1054*Timeline!BH499</f>
        <v>0</v>
      </c>
      <c r="BI1077" s="201">
        <f ca="1">BI1031+BI1054*Timeline!BI499</f>
        <v>0</v>
      </c>
      <c r="BJ1077" s="201">
        <f ca="1">BJ1031+BJ1054*Timeline!BJ499</f>
        <v>0</v>
      </c>
      <c r="BL1077" s="136"/>
      <c r="BM1077" s="13">
        <f t="shared" ca="1" si="1213"/>
        <v>0</v>
      </c>
      <c r="BN1077" s="13">
        <f t="shared" ca="1" si="1214"/>
        <v>0</v>
      </c>
      <c r="BO1077" s="13">
        <f t="shared" ca="1" si="1215"/>
        <v>0</v>
      </c>
      <c r="BP1077" s="136"/>
      <c r="BQ1077" s="136"/>
      <c r="BR1077" s="136"/>
      <c r="BS1077" s="136"/>
      <c r="BT1077" s="136"/>
      <c r="BU1077" s="136"/>
      <c r="BV1077" s="136"/>
      <c r="BW1077" s="136"/>
      <c r="BY1077" s="12"/>
      <c r="CA1077" s="12"/>
      <c r="CJ1077" s="162"/>
      <c r="CR1077" s="12"/>
      <c r="EX1077" s="13" t="str">
        <f t="shared" ca="1" si="1216"/>
        <v>Interest Payable Amount due within one year after Covenant Breach Adjustment Loan 18</v>
      </c>
    </row>
    <row r="1078" spans="1:154" s="335" customFormat="1" x14ac:dyDescent="0.25">
      <c r="B1078" s="84" t="str" cm="1">
        <f t="array" aca="1" ref="B1078" ca="1">HYPERLINK(CONCATENATE("#",CELL("address",$D$389)),$D$389)</f>
        <v>Loan 19</v>
      </c>
      <c r="C1078" s="340" t="str">
        <f t="shared" si="1217"/>
        <v>ST-LN-19-2CB</v>
      </c>
      <c r="D1078" s="60">
        <f>D$31</f>
        <v>0</v>
      </c>
      <c r="E1078" s="60">
        <f>E$31</f>
        <v>0</v>
      </c>
      <c r="G1078" s="9"/>
      <c r="H1078" s="50" t="s">
        <v>125</v>
      </c>
      <c r="V1078" s="136"/>
      <c r="W1078" s="201">
        <f t="shared" ca="1" si="1212"/>
        <v>0</v>
      </c>
      <c r="X1078" s="201">
        <f t="shared" ca="1" si="1212"/>
        <v>0</v>
      </c>
      <c r="Y1078" s="201">
        <f t="shared" ca="1" si="1212"/>
        <v>0</v>
      </c>
      <c r="AA1078" s="201">
        <f ca="1">AA1032+AA1055*Timeline!AA500</f>
        <v>0</v>
      </c>
      <c r="AB1078" s="201">
        <f ca="1">AB1032+AB1055*Timeline!AB500</f>
        <v>0</v>
      </c>
      <c r="AC1078" s="201">
        <f ca="1">AC1032+AC1055*Timeline!AC500</f>
        <v>0</v>
      </c>
      <c r="AD1078" s="201">
        <f ca="1">AD1032+AD1055*Timeline!AD500</f>
        <v>0</v>
      </c>
      <c r="AE1078" s="201">
        <f ca="1">AE1032+AE1055*Timeline!AE500</f>
        <v>0</v>
      </c>
      <c r="AF1078" s="201">
        <f ca="1">AF1032+AF1055*Timeline!AF500</f>
        <v>0</v>
      </c>
      <c r="AG1078" s="201">
        <f ca="1">AG1032+AG1055*Timeline!AG500</f>
        <v>0</v>
      </c>
      <c r="AH1078" s="201">
        <f ca="1">AH1032+AH1055*Timeline!AH500</f>
        <v>0</v>
      </c>
      <c r="AI1078" s="201">
        <f ca="1">AI1032+AI1055*Timeline!AI500</f>
        <v>0</v>
      </c>
      <c r="AJ1078" s="201">
        <f ca="1">AJ1032+AJ1055*Timeline!AJ500</f>
        <v>0</v>
      </c>
      <c r="AK1078" s="201">
        <f ca="1">AK1032+AK1055*Timeline!AK500</f>
        <v>0</v>
      </c>
      <c r="AL1078" s="201">
        <f ca="1">AL1032+AL1055*Timeline!AL500</f>
        <v>0</v>
      </c>
      <c r="AM1078" s="201">
        <f ca="1">AM1032+AM1055*Timeline!AM500</f>
        <v>0</v>
      </c>
      <c r="AN1078" s="201">
        <f ca="1">AN1032+AN1055*Timeline!AN500</f>
        <v>0</v>
      </c>
      <c r="AO1078" s="201">
        <f ca="1">AO1032+AO1055*Timeline!AO500</f>
        <v>0</v>
      </c>
      <c r="AP1078" s="201">
        <f ca="1">AP1032+AP1055*Timeline!AP500</f>
        <v>0</v>
      </c>
      <c r="AQ1078" s="201">
        <f ca="1">AQ1032+AQ1055*Timeline!AQ500</f>
        <v>0</v>
      </c>
      <c r="AR1078" s="201">
        <f ca="1">AR1032+AR1055*Timeline!AR500</f>
        <v>0</v>
      </c>
      <c r="AS1078" s="201">
        <f ca="1">AS1032+AS1055*Timeline!AS500</f>
        <v>0</v>
      </c>
      <c r="AT1078" s="201">
        <f ca="1">AT1032+AT1055*Timeline!AT500</f>
        <v>0</v>
      </c>
      <c r="AU1078" s="201">
        <f ca="1">AU1032+AU1055*Timeline!AU500</f>
        <v>0</v>
      </c>
      <c r="AV1078" s="201">
        <f ca="1">AV1032+AV1055*Timeline!AV500</f>
        <v>0</v>
      </c>
      <c r="AW1078" s="201">
        <f ca="1">AW1032+AW1055*Timeline!AW500</f>
        <v>0</v>
      </c>
      <c r="AX1078" s="201">
        <f ca="1">AX1032+AX1055*Timeline!AX500</f>
        <v>0</v>
      </c>
      <c r="AY1078" s="201">
        <f ca="1">AY1032+AY1055*Timeline!AY500</f>
        <v>0</v>
      </c>
      <c r="AZ1078" s="201">
        <f ca="1">AZ1032+AZ1055*Timeline!AZ500</f>
        <v>0</v>
      </c>
      <c r="BA1078" s="201">
        <f ca="1">BA1032+BA1055*Timeline!BA500</f>
        <v>0</v>
      </c>
      <c r="BB1078" s="201">
        <f ca="1">BB1032+BB1055*Timeline!BB500</f>
        <v>0</v>
      </c>
      <c r="BC1078" s="201">
        <f ca="1">BC1032+BC1055*Timeline!BC500</f>
        <v>0</v>
      </c>
      <c r="BD1078" s="201">
        <f ca="1">BD1032+BD1055*Timeline!BD500</f>
        <v>0</v>
      </c>
      <c r="BE1078" s="201">
        <f ca="1">BE1032+BE1055*Timeline!BE500</f>
        <v>0</v>
      </c>
      <c r="BF1078" s="201">
        <f ca="1">BF1032+BF1055*Timeline!BF500</f>
        <v>0</v>
      </c>
      <c r="BG1078" s="201">
        <f ca="1">BG1032+BG1055*Timeline!BG500</f>
        <v>0</v>
      </c>
      <c r="BH1078" s="201">
        <f ca="1">BH1032+BH1055*Timeline!BH500</f>
        <v>0</v>
      </c>
      <c r="BI1078" s="201">
        <f ca="1">BI1032+BI1055*Timeline!BI500</f>
        <v>0</v>
      </c>
      <c r="BJ1078" s="201">
        <f ca="1">BJ1032+BJ1055*Timeline!BJ500</f>
        <v>0</v>
      </c>
      <c r="BL1078" s="136"/>
      <c r="BM1078" s="13">
        <f t="shared" ca="1" si="1213"/>
        <v>0</v>
      </c>
      <c r="BN1078" s="13">
        <f t="shared" ca="1" si="1214"/>
        <v>0</v>
      </c>
      <c r="BO1078" s="13">
        <f t="shared" ca="1" si="1215"/>
        <v>0</v>
      </c>
      <c r="BP1078" s="136"/>
      <c r="BQ1078" s="136"/>
      <c r="BR1078" s="136"/>
      <c r="BS1078" s="136"/>
      <c r="BT1078" s="136"/>
      <c r="BU1078" s="136"/>
      <c r="BV1078" s="136"/>
      <c r="BW1078" s="136"/>
      <c r="BY1078" s="12"/>
      <c r="CA1078" s="12"/>
      <c r="CJ1078" s="162"/>
      <c r="CR1078" s="12"/>
      <c r="EX1078" s="13" t="str">
        <f t="shared" ca="1" si="1216"/>
        <v>Interest Payable Amount due within one year after Covenant Breach Adjustment Loan 19</v>
      </c>
    </row>
    <row r="1079" spans="1:154" s="335" customFormat="1" x14ac:dyDescent="0.25">
      <c r="B1079" s="84" t="str" cm="1">
        <f t="array" aca="1" ref="B1079" ca="1">HYPERLINK(CONCATENATE("#",CELL("address",$D$408)),$D$408)</f>
        <v>Loan 20</v>
      </c>
      <c r="C1079" s="340" t="str">
        <f t="shared" si="1217"/>
        <v>ST-LN-20-2CB</v>
      </c>
      <c r="D1079" s="60">
        <f>D$32</f>
        <v>0</v>
      </c>
      <c r="E1079" s="60">
        <f>E$32</f>
        <v>0</v>
      </c>
      <c r="G1079" s="9"/>
      <c r="H1079" s="50" t="s">
        <v>125</v>
      </c>
      <c r="V1079" s="136"/>
      <c r="W1079" s="201">
        <f t="shared" ca="1" si="1212"/>
        <v>0</v>
      </c>
      <c r="X1079" s="201">
        <f t="shared" ca="1" si="1212"/>
        <v>0</v>
      </c>
      <c r="Y1079" s="201">
        <f t="shared" ca="1" si="1212"/>
        <v>0</v>
      </c>
      <c r="AA1079" s="201">
        <f ca="1">AA1033+AA1056*Timeline!AA501</f>
        <v>0</v>
      </c>
      <c r="AB1079" s="201">
        <f ca="1">AB1033+AB1056*Timeline!AB501</f>
        <v>0</v>
      </c>
      <c r="AC1079" s="201">
        <f ca="1">AC1033+AC1056*Timeline!AC501</f>
        <v>0</v>
      </c>
      <c r="AD1079" s="201">
        <f ca="1">AD1033+AD1056*Timeline!AD501</f>
        <v>0</v>
      </c>
      <c r="AE1079" s="201">
        <f ca="1">AE1033+AE1056*Timeline!AE501</f>
        <v>0</v>
      </c>
      <c r="AF1079" s="201">
        <f ca="1">AF1033+AF1056*Timeline!AF501</f>
        <v>0</v>
      </c>
      <c r="AG1079" s="201">
        <f ca="1">AG1033+AG1056*Timeline!AG501</f>
        <v>0</v>
      </c>
      <c r="AH1079" s="201">
        <f ca="1">AH1033+AH1056*Timeline!AH501</f>
        <v>0</v>
      </c>
      <c r="AI1079" s="201">
        <f ca="1">AI1033+AI1056*Timeline!AI501</f>
        <v>0</v>
      </c>
      <c r="AJ1079" s="201">
        <f ca="1">AJ1033+AJ1056*Timeline!AJ501</f>
        <v>0</v>
      </c>
      <c r="AK1079" s="201">
        <f ca="1">AK1033+AK1056*Timeline!AK501</f>
        <v>0</v>
      </c>
      <c r="AL1079" s="201">
        <f ca="1">AL1033+AL1056*Timeline!AL501</f>
        <v>0</v>
      </c>
      <c r="AM1079" s="201">
        <f ca="1">AM1033+AM1056*Timeline!AM501</f>
        <v>0</v>
      </c>
      <c r="AN1079" s="201">
        <f ca="1">AN1033+AN1056*Timeline!AN501</f>
        <v>0</v>
      </c>
      <c r="AO1079" s="201">
        <f ca="1">AO1033+AO1056*Timeline!AO501</f>
        <v>0</v>
      </c>
      <c r="AP1079" s="201">
        <f ca="1">AP1033+AP1056*Timeline!AP501</f>
        <v>0</v>
      </c>
      <c r="AQ1079" s="201">
        <f ca="1">AQ1033+AQ1056*Timeline!AQ501</f>
        <v>0</v>
      </c>
      <c r="AR1079" s="201">
        <f ca="1">AR1033+AR1056*Timeline!AR501</f>
        <v>0</v>
      </c>
      <c r="AS1079" s="201">
        <f ca="1">AS1033+AS1056*Timeline!AS501</f>
        <v>0</v>
      </c>
      <c r="AT1079" s="201">
        <f ca="1">AT1033+AT1056*Timeline!AT501</f>
        <v>0</v>
      </c>
      <c r="AU1079" s="201">
        <f ca="1">AU1033+AU1056*Timeline!AU501</f>
        <v>0</v>
      </c>
      <c r="AV1079" s="201">
        <f ca="1">AV1033+AV1056*Timeline!AV501</f>
        <v>0</v>
      </c>
      <c r="AW1079" s="201">
        <f ca="1">AW1033+AW1056*Timeline!AW501</f>
        <v>0</v>
      </c>
      <c r="AX1079" s="201">
        <f ca="1">AX1033+AX1056*Timeline!AX501</f>
        <v>0</v>
      </c>
      <c r="AY1079" s="201">
        <f ca="1">AY1033+AY1056*Timeline!AY501</f>
        <v>0</v>
      </c>
      <c r="AZ1079" s="201">
        <f ca="1">AZ1033+AZ1056*Timeline!AZ501</f>
        <v>0</v>
      </c>
      <c r="BA1079" s="201">
        <f ca="1">BA1033+BA1056*Timeline!BA501</f>
        <v>0</v>
      </c>
      <c r="BB1079" s="201">
        <f ca="1">BB1033+BB1056*Timeline!BB501</f>
        <v>0</v>
      </c>
      <c r="BC1079" s="201">
        <f ca="1">BC1033+BC1056*Timeline!BC501</f>
        <v>0</v>
      </c>
      <c r="BD1079" s="201">
        <f ca="1">BD1033+BD1056*Timeline!BD501</f>
        <v>0</v>
      </c>
      <c r="BE1079" s="201">
        <f ca="1">BE1033+BE1056*Timeline!BE501</f>
        <v>0</v>
      </c>
      <c r="BF1079" s="201">
        <f ca="1">BF1033+BF1056*Timeline!BF501</f>
        <v>0</v>
      </c>
      <c r="BG1079" s="201">
        <f ca="1">BG1033+BG1056*Timeline!BG501</f>
        <v>0</v>
      </c>
      <c r="BH1079" s="201">
        <f ca="1">BH1033+BH1056*Timeline!BH501</f>
        <v>0</v>
      </c>
      <c r="BI1079" s="201">
        <f ca="1">BI1033+BI1056*Timeline!BI501</f>
        <v>0</v>
      </c>
      <c r="BJ1079" s="201">
        <f ca="1">BJ1033+BJ1056*Timeline!BJ501</f>
        <v>0</v>
      </c>
      <c r="BL1079" s="136"/>
      <c r="BM1079" s="13">
        <f t="shared" ca="1" si="1213"/>
        <v>0</v>
      </c>
      <c r="BN1079" s="13">
        <f t="shared" ca="1" si="1214"/>
        <v>0</v>
      </c>
      <c r="BO1079" s="13">
        <f t="shared" ca="1" si="1215"/>
        <v>0</v>
      </c>
      <c r="BP1079" s="136"/>
      <c r="BQ1079" s="136"/>
      <c r="BR1079" s="136"/>
      <c r="BS1079" s="136"/>
      <c r="BT1079" s="136"/>
      <c r="BU1079" s="136"/>
      <c r="BV1079" s="136"/>
      <c r="BW1079" s="136"/>
      <c r="BY1079" s="12"/>
      <c r="CA1079" s="12"/>
      <c r="CJ1079" s="162"/>
      <c r="CR1079" s="12"/>
      <c r="EX1079" s="13" t="str">
        <f t="shared" ca="1" si="1216"/>
        <v>Interest Payable Amount due within one year after Covenant Breach Adjustment Loan 20</v>
      </c>
    </row>
    <row r="1080" spans="1:154" ht="6.6" customHeight="1" x14ac:dyDescent="0.25">
      <c r="C1080" s="380"/>
      <c r="D1080" s="1"/>
      <c r="E1080" s="11"/>
      <c r="F1080" s="67"/>
      <c r="S1080" s="335"/>
      <c r="BM1080" s="6"/>
      <c r="BY1080" s="42"/>
      <c r="CA1080" s="42"/>
      <c r="CJ1080" s="162"/>
      <c r="CR1080" s="42"/>
      <c r="EX1080" s="10" t="str">
        <f t="shared" ref="EX1080:EX1152" si="1218">IF($C1080="","",$D1080)</f>
        <v/>
      </c>
    </row>
    <row r="1081" spans="1:154" x14ac:dyDescent="0.25">
      <c r="A1081" s="40"/>
      <c r="B1081" s="40"/>
      <c r="C1081" s="414"/>
      <c r="D1081" s="40" t="s">
        <v>233</v>
      </c>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12"/>
      <c r="CA1081" s="12"/>
      <c r="CJ1081" s="162"/>
      <c r="CR1081" s="12"/>
      <c r="EX1081" s="10" t="str">
        <f>IF($C1081="","",$D1081)</f>
        <v/>
      </c>
    </row>
    <row r="1082" spans="1:154" ht="6.6" customHeight="1" x14ac:dyDescent="0.25">
      <c r="C1082" s="380"/>
      <c r="D1082" s="1"/>
      <c r="E1082" s="11"/>
      <c r="S1082" s="335"/>
      <c r="BK1082" s="67"/>
      <c r="BM1082" s="6"/>
      <c r="BY1082" s="42"/>
      <c r="CA1082" s="42"/>
      <c r="CJ1082" s="162"/>
      <c r="CR1082" s="42"/>
      <c r="EX1082" s="10" t="str">
        <f t="shared" si="1218"/>
        <v/>
      </c>
    </row>
    <row r="1083" spans="1:154" x14ac:dyDescent="0.25">
      <c r="C1083" s="380"/>
      <c r="D1083" s="61" t="s">
        <v>231</v>
      </c>
      <c r="S1083" s="335"/>
      <c r="BY1083" s="12"/>
      <c r="CA1083" s="12"/>
      <c r="CJ1083" s="162"/>
      <c r="CR1083" s="12"/>
      <c r="EX1083" s="10" t="str">
        <f t="shared" si="1218"/>
        <v/>
      </c>
    </row>
    <row r="1084" spans="1:154" x14ac:dyDescent="0.25">
      <c r="C1084" s="380"/>
      <c r="D1084" s="232" t="s">
        <v>123</v>
      </c>
      <c r="G1084" s="9"/>
      <c r="H1084" s="50" t="s">
        <v>125</v>
      </c>
      <c r="S1084" s="335"/>
      <c r="T1084" s="335"/>
      <c r="U1084" s="335"/>
      <c r="V1084" s="201">
        <f>SUMIFS(V$500:V$519, $E$500:$E$519, $D1084)</f>
        <v>0</v>
      </c>
      <c r="W1084" s="10">
        <f>SUMIFS(W$500:W$519, $E$500:$E$519, $D1084)</f>
        <v>0</v>
      </c>
      <c r="X1084" s="10">
        <f t="shared" ref="X1084:Y1084" si="1219">SUMIFS(X$500:X$519, $E$500:$E$519, $D1084)</f>
        <v>0</v>
      </c>
      <c r="Y1084" s="10">
        <f t="shared" si="1219"/>
        <v>0</v>
      </c>
      <c r="Z1084" s="67"/>
      <c r="AA1084" s="10">
        <f t="shared" ref="AA1084:AJ1084" si="1220">SUMIFS(AA$500:AA$519, $E$500:$E$519, $D1084)</f>
        <v>0</v>
      </c>
      <c r="AB1084" s="10">
        <f t="shared" si="1220"/>
        <v>0</v>
      </c>
      <c r="AC1084" s="10">
        <f t="shared" si="1220"/>
        <v>0</v>
      </c>
      <c r="AD1084" s="10">
        <f t="shared" si="1220"/>
        <v>0</v>
      </c>
      <c r="AE1084" s="10">
        <f t="shared" si="1220"/>
        <v>0</v>
      </c>
      <c r="AF1084" s="10">
        <f t="shared" si="1220"/>
        <v>0</v>
      </c>
      <c r="AG1084" s="10">
        <f t="shared" si="1220"/>
        <v>0</v>
      </c>
      <c r="AH1084" s="10">
        <f t="shared" si="1220"/>
        <v>0</v>
      </c>
      <c r="AI1084" s="10">
        <f t="shared" si="1220"/>
        <v>0</v>
      </c>
      <c r="AJ1084" s="10">
        <f t="shared" si="1220"/>
        <v>0</v>
      </c>
      <c r="AK1084" s="10">
        <f t="shared" ref="AK1084:AT1084" si="1221">SUMIFS(AK$500:AK$519, $E$500:$E$519, $D1084)</f>
        <v>0</v>
      </c>
      <c r="AL1084" s="10">
        <f t="shared" si="1221"/>
        <v>0</v>
      </c>
      <c r="AM1084" s="10">
        <f t="shared" si="1221"/>
        <v>0</v>
      </c>
      <c r="AN1084" s="10">
        <f t="shared" si="1221"/>
        <v>0</v>
      </c>
      <c r="AO1084" s="10">
        <f t="shared" si="1221"/>
        <v>0</v>
      </c>
      <c r="AP1084" s="10">
        <f t="shared" si="1221"/>
        <v>0</v>
      </c>
      <c r="AQ1084" s="10">
        <f t="shared" si="1221"/>
        <v>0</v>
      </c>
      <c r="AR1084" s="10">
        <f t="shared" si="1221"/>
        <v>0</v>
      </c>
      <c r="AS1084" s="10">
        <f t="shared" si="1221"/>
        <v>0</v>
      </c>
      <c r="AT1084" s="10">
        <f t="shared" si="1221"/>
        <v>0</v>
      </c>
      <c r="AU1084" s="10">
        <f t="shared" ref="AU1084:BD1084" si="1222">SUMIFS(AU$500:AU$519, $E$500:$E$519, $D1084)</f>
        <v>0</v>
      </c>
      <c r="AV1084" s="10">
        <f t="shared" si="1222"/>
        <v>0</v>
      </c>
      <c r="AW1084" s="10">
        <f t="shared" si="1222"/>
        <v>0</v>
      </c>
      <c r="AX1084" s="10">
        <f t="shared" si="1222"/>
        <v>0</v>
      </c>
      <c r="AY1084" s="10">
        <f t="shared" si="1222"/>
        <v>0</v>
      </c>
      <c r="AZ1084" s="10">
        <f t="shared" si="1222"/>
        <v>0</v>
      </c>
      <c r="BA1084" s="10">
        <f t="shared" si="1222"/>
        <v>0</v>
      </c>
      <c r="BB1084" s="10">
        <f t="shared" si="1222"/>
        <v>0</v>
      </c>
      <c r="BC1084" s="10">
        <f t="shared" si="1222"/>
        <v>0</v>
      </c>
      <c r="BD1084" s="10">
        <f t="shared" si="1222"/>
        <v>0</v>
      </c>
      <c r="BE1084" s="10">
        <f t="shared" ref="BE1084:BJ1084" si="1223">SUMIFS(BE$500:BE$519, $E$500:$E$519, $D1084)</f>
        <v>0</v>
      </c>
      <c r="BF1084" s="10">
        <f t="shared" si="1223"/>
        <v>0</v>
      </c>
      <c r="BG1084" s="10">
        <f t="shared" si="1223"/>
        <v>0</v>
      </c>
      <c r="BH1084" s="10">
        <f t="shared" si="1223"/>
        <v>0</v>
      </c>
      <c r="BI1084" s="10">
        <f t="shared" si="1223"/>
        <v>0</v>
      </c>
      <c r="BJ1084" s="10">
        <f t="shared" si="1223"/>
        <v>0</v>
      </c>
      <c r="BK1084" s="67"/>
      <c r="BL1084" s="10">
        <f>SUMIFS(BL$500:BL$519, $E$500:$E$519, $D1084)</f>
        <v>0</v>
      </c>
      <c r="BM1084" s="10">
        <f t="shared" ref="BL1084:BW1086" si="1224">SUMIFS(BM$500:BM$519, $E$500:$E$519, $D1084)</f>
        <v>0</v>
      </c>
      <c r="BN1084" s="10">
        <f t="shared" si="1224"/>
        <v>0</v>
      </c>
      <c r="BO1084" s="10">
        <f t="shared" si="1224"/>
        <v>0</v>
      </c>
      <c r="BP1084" s="10">
        <f t="shared" si="1224"/>
        <v>0</v>
      </c>
      <c r="BQ1084" s="10">
        <f t="shared" si="1224"/>
        <v>0</v>
      </c>
      <c r="BR1084" s="10">
        <f t="shared" si="1224"/>
        <v>0</v>
      </c>
      <c r="BS1084" s="10">
        <f t="shared" si="1224"/>
        <v>0</v>
      </c>
      <c r="BT1084" s="10">
        <f t="shared" si="1224"/>
        <v>0</v>
      </c>
      <c r="BU1084" s="10">
        <f t="shared" si="1224"/>
        <v>0</v>
      </c>
      <c r="BV1084" s="10">
        <f t="shared" si="1224"/>
        <v>0</v>
      </c>
      <c r="BW1084" s="10">
        <f t="shared" si="1224"/>
        <v>0</v>
      </c>
      <c r="BY1084" s="12"/>
      <c r="CA1084" s="12"/>
      <c r="CJ1084" s="162"/>
      <c r="CR1084" s="12"/>
      <c r="EX1084" s="13" t="str">
        <f>IF($C1084="","",CONCATENATE(D1083," ", D1084))</f>
        <v/>
      </c>
    </row>
    <row r="1085" spans="1:154" x14ac:dyDescent="0.25">
      <c r="C1085" s="380"/>
      <c r="D1085" s="232" t="s">
        <v>288</v>
      </c>
      <c r="G1085" s="9"/>
      <c r="H1085" s="50" t="s">
        <v>125</v>
      </c>
      <c r="S1085" s="335"/>
      <c r="T1085" s="335"/>
      <c r="U1085" s="335"/>
      <c r="V1085" s="201">
        <f t="shared" ref="V1085:Y1086" si="1225">SUMIFS(V$500:V$519, $E$500:$E$519, $D1085)</f>
        <v>0</v>
      </c>
      <c r="W1085" s="10">
        <f t="shared" si="1225"/>
        <v>0</v>
      </c>
      <c r="X1085" s="10">
        <f t="shared" si="1225"/>
        <v>0</v>
      </c>
      <c r="Y1085" s="10">
        <f t="shared" si="1225"/>
        <v>0</v>
      </c>
      <c r="Z1085" s="67"/>
      <c r="AA1085" s="10">
        <f t="shared" ref="AA1085:AJ1086" si="1226">SUMIFS(AA$500:AA$519, $E$500:$E$519, $D1085)</f>
        <v>0</v>
      </c>
      <c r="AB1085" s="10">
        <f t="shared" si="1226"/>
        <v>0</v>
      </c>
      <c r="AC1085" s="10">
        <f t="shared" si="1226"/>
        <v>0</v>
      </c>
      <c r="AD1085" s="10">
        <f t="shared" si="1226"/>
        <v>0</v>
      </c>
      <c r="AE1085" s="10">
        <f t="shared" si="1226"/>
        <v>0</v>
      </c>
      <c r="AF1085" s="10">
        <f t="shared" si="1226"/>
        <v>0</v>
      </c>
      <c r="AG1085" s="10">
        <f t="shared" si="1226"/>
        <v>0</v>
      </c>
      <c r="AH1085" s="10">
        <f t="shared" si="1226"/>
        <v>0</v>
      </c>
      <c r="AI1085" s="10">
        <f t="shared" si="1226"/>
        <v>0</v>
      </c>
      <c r="AJ1085" s="10">
        <f t="shared" si="1226"/>
        <v>0</v>
      </c>
      <c r="AK1085" s="10">
        <f t="shared" ref="AK1085:AT1086" si="1227">SUMIFS(AK$500:AK$519, $E$500:$E$519, $D1085)</f>
        <v>0</v>
      </c>
      <c r="AL1085" s="10">
        <f t="shared" si="1227"/>
        <v>0</v>
      </c>
      <c r="AM1085" s="10">
        <f t="shared" si="1227"/>
        <v>0</v>
      </c>
      <c r="AN1085" s="10">
        <f t="shared" si="1227"/>
        <v>0</v>
      </c>
      <c r="AO1085" s="10">
        <f t="shared" si="1227"/>
        <v>0</v>
      </c>
      <c r="AP1085" s="10">
        <f t="shared" si="1227"/>
        <v>0</v>
      </c>
      <c r="AQ1085" s="10">
        <f t="shared" si="1227"/>
        <v>0</v>
      </c>
      <c r="AR1085" s="10">
        <f t="shared" si="1227"/>
        <v>0</v>
      </c>
      <c r="AS1085" s="10">
        <f t="shared" si="1227"/>
        <v>0</v>
      </c>
      <c r="AT1085" s="10">
        <f t="shared" si="1227"/>
        <v>0</v>
      </c>
      <c r="AU1085" s="10">
        <f>SUMIFS(AU$500:AU$519, $E$500:$E$519, $D1085)</f>
        <v>0</v>
      </c>
      <c r="AV1085" s="10">
        <f t="shared" ref="AV1085:BD1086" si="1228">SUMIFS(AV$500:AV$519, $E$500:$E$519, $D1085)</f>
        <v>0</v>
      </c>
      <c r="AW1085" s="10">
        <f t="shared" si="1228"/>
        <v>0</v>
      </c>
      <c r="AX1085" s="10">
        <f t="shared" si="1228"/>
        <v>0</v>
      </c>
      <c r="AY1085" s="10">
        <f t="shared" si="1228"/>
        <v>0</v>
      </c>
      <c r="AZ1085" s="10">
        <f t="shared" si="1228"/>
        <v>0</v>
      </c>
      <c r="BA1085" s="10">
        <f t="shared" si="1228"/>
        <v>0</v>
      </c>
      <c r="BB1085" s="10">
        <f t="shared" si="1228"/>
        <v>0</v>
      </c>
      <c r="BC1085" s="10">
        <f t="shared" si="1228"/>
        <v>0</v>
      </c>
      <c r="BD1085" s="10">
        <f t="shared" si="1228"/>
        <v>0</v>
      </c>
      <c r="BE1085" s="10">
        <f t="shared" ref="BE1085:BJ1086" si="1229">SUMIFS(BE$500:BE$519, $E$500:$E$519, $D1085)</f>
        <v>0</v>
      </c>
      <c r="BF1085" s="10">
        <f t="shared" si="1229"/>
        <v>0</v>
      </c>
      <c r="BG1085" s="10">
        <f t="shared" si="1229"/>
        <v>0</v>
      </c>
      <c r="BH1085" s="10">
        <f t="shared" si="1229"/>
        <v>0</v>
      </c>
      <c r="BI1085" s="10">
        <f t="shared" si="1229"/>
        <v>0</v>
      </c>
      <c r="BJ1085" s="10">
        <f>SUMIFS(BJ$500:BJ$519, $E$500:$E$519, $D1085)</f>
        <v>0</v>
      </c>
      <c r="BK1085" s="67"/>
      <c r="BL1085" s="10">
        <f t="shared" si="1224"/>
        <v>0</v>
      </c>
      <c r="BM1085" s="10">
        <f t="shared" ref="BM1085:BW1086" si="1230">SUMIFS(BM$500:BM$519, $E$500:$E$519, $D1085)</f>
        <v>0</v>
      </c>
      <c r="BN1085" s="10">
        <f t="shared" si="1230"/>
        <v>0</v>
      </c>
      <c r="BO1085" s="10">
        <f t="shared" si="1230"/>
        <v>0</v>
      </c>
      <c r="BP1085" s="10">
        <f t="shared" si="1230"/>
        <v>0</v>
      </c>
      <c r="BQ1085" s="10">
        <f t="shared" si="1230"/>
        <v>0</v>
      </c>
      <c r="BR1085" s="10">
        <f t="shared" si="1230"/>
        <v>0</v>
      </c>
      <c r="BS1085" s="10">
        <f t="shared" si="1230"/>
        <v>0</v>
      </c>
      <c r="BT1085" s="10">
        <f t="shared" si="1230"/>
        <v>0</v>
      </c>
      <c r="BU1085" s="10">
        <f t="shared" si="1230"/>
        <v>0</v>
      </c>
      <c r="BV1085" s="10">
        <f t="shared" si="1230"/>
        <v>0</v>
      </c>
      <c r="BW1085" s="10">
        <f t="shared" si="1230"/>
        <v>0</v>
      </c>
      <c r="BY1085" s="12"/>
      <c r="CA1085" s="12"/>
      <c r="CJ1085" s="162"/>
      <c r="CR1085" s="12"/>
      <c r="EX1085" s="13" t="str">
        <f>IF($C1085="","",CONCATENATE(D1083," ", D1085))</f>
        <v/>
      </c>
    </row>
    <row r="1086" spans="1:154" x14ac:dyDescent="0.25">
      <c r="C1086" s="380"/>
      <c r="D1086" s="232" t="s">
        <v>215</v>
      </c>
      <c r="G1086" s="9"/>
      <c r="H1086" s="50" t="s">
        <v>125</v>
      </c>
      <c r="S1086" s="335"/>
      <c r="T1086" s="335"/>
      <c r="U1086" s="335"/>
      <c r="V1086" s="201">
        <f t="shared" si="1225"/>
        <v>3042</v>
      </c>
      <c r="W1086" s="10">
        <f t="shared" si="1225"/>
        <v>2701</v>
      </c>
      <c r="X1086" s="10">
        <f t="shared" si="1225"/>
        <v>2417</v>
      </c>
      <c r="Y1086" s="10">
        <f t="shared" si="1225"/>
        <v>2133</v>
      </c>
      <c r="Z1086" s="67"/>
      <c r="AA1086" s="10">
        <f t="shared" si="1226"/>
        <v>2987</v>
      </c>
      <c r="AB1086" s="10">
        <f t="shared" si="1226"/>
        <v>2963</v>
      </c>
      <c r="AC1086" s="10">
        <f t="shared" si="1226"/>
        <v>2939</v>
      </c>
      <c r="AD1086" s="10">
        <f t="shared" si="1226"/>
        <v>2883</v>
      </c>
      <c r="AE1086" s="10">
        <f t="shared" si="1226"/>
        <v>2858</v>
      </c>
      <c r="AF1086" s="10">
        <f t="shared" si="1226"/>
        <v>2843</v>
      </c>
      <c r="AG1086" s="10">
        <f t="shared" si="1226"/>
        <v>2798</v>
      </c>
      <c r="AH1086" s="10">
        <f t="shared" si="1226"/>
        <v>2785</v>
      </c>
      <c r="AI1086" s="10">
        <f t="shared" si="1226"/>
        <v>2772</v>
      </c>
      <c r="AJ1086" s="10">
        <f t="shared" si="1226"/>
        <v>2727</v>
      </c>
      <c r="AK1086" s="10">
        <f t="shared" si="1227"/>
        <v>2714</v>
      </c>
      <c r="AL1086" s="10">
        <f t="shared" si="1227"/>
        <v>2701</v>
      </c>
      <c r="AM1086" s="10">
        <f t="shared" si="1227"/>
        <v>2657</v>
      </c>
      <c r="AN1086" s="10">
        <f t="shared" si="1227"/>
        <v>2644</v>
      </c>
      <c r="AO1086" s="10">
        <f t="shared" si="1227"/>
        <v>2631</v>
      </c>
      <c r="AP1086" s="10">
        <f t="shared" si="1227"/>
        <v>2586</v>
      </c>
      <c r="AQ1086" s="10">
        <f t="shared" si="1227"/>
        <v>2572</v>
      </c>
      <c r="AR1086" s="10">
        <f t="shared" si="1227"/>
        <v>2559</v>
      </c>
      <c r="AS1086" s="10">
        <f t="shared" si="1227"/>
        <v>2514</v>
      </c>
      <c r="AT1086" s="10">
        <f t="shared" si="1227"/>
        <v>2501</v>
      </c>
      <c r="AU1086" s="10">
        <f>SUMIFS(AU$500:AU$519, $E$500:$E$519, $D1086)</f>
        <v>2488</v>
      </c>
      <c r="AV1086" s="10">
        <f t="shared" si="1228"/>
        <v>2443</v>
      </c>
      <c r="AW1086" s="10">
        <f t="shared" si="1228"/>
        <v>2430</v>
      </c>
      <c r="AX1086" s="10">
        <f t="shared" si="1228"/>
        <v>2417</v>
      </c>
      <c r="AY1086" s="10">
        <f t="shared" si="1228"/>
        <v>2373</v>
      </c>
      <c r="AZ1086" s="10">
        <f t="shared" si="1228"/>
        <v>2360</v>
      </c>
      <c r="BA1086" s="10">
        <f t="shared" si="1228"/>
        <v>2347</v>
      </c>
      <c r="BB1086" s="10">
        <f t="shared" si="1228"/>
        <v>2302</v>
      </c>
      <c r="BC1086" s="10">
        <f t="shared" si="1228"/>
        <v>2288</v>
      </c>
      <c r="BD1086" s="10">
        <f t="shared" si="1228"/>
        <v>2275</v>
      </c>
      <c r="BE1086" s="10">
        <f t="shared" si="1229"/>
        <v>2230</v>
      </c>
      <c r="BF1086" s="10">
        <f t="shared" si="1229"/>
        <v>2217</v>
      </c>
      <c r="BG1086" s="10">
        <f t="shared" si="1229"/>
        <v>2204</v>
      </c>
      <c r="BH1086" s="10">
        <f t="shared" si="1229"/>
        <v>2159</v>
      </c>
      <c r="BI1086" s="10">
        <f t="shared" si="1229"/>
        <v>2146</v>
      </c>
      <c r="BJ1086" s="10">
        <f t="shared" si="1229"/>
        <v>2133</v>
      </c>
      <c r="BK1086" s="67"/>
      <c r="BL1086" s="10">
        <f t="shared" si="1224"/>
        <v>3042</v>
      </c>
      <c r="BM1086" s="10">
        <f t="shared" si="1230"/>
        <v>2701</v>
      </c>
      <c r="BN1086" s="10">
        <f t="shared" si="1230"/>
        <v>2417</v>
      </c>
      <c r="BO1086" s="10">
        <f t="shared" si="1230"/>
        <v>2133</v>
      </c>
      <c r="BP1086" s="10">
        <f t="shared" si="1230"/>
        <v>2133</v>
      </c>
      <c r="BQ1086" s="10">
        <f t="shared" si="1230"/>
        <v>2133</v>
      </c>
      <c r="BR1086" s="10">
        <f t="shared" si="1230"/>
        <v>2133</v>
      </c>
      <c r="BS1086" s="10">
        <f t="shared" si="1230"/>
        <v>2133</v>
      </c>
      <c r="BT1086" s="10">
        <f t="shared" si="1230"/>
        <v>2133</v>
      </c>
      <c r="BU1086" s="10">
        <f t="shared" si="1230"/>
        <v>2133</v>
      </c>
      <c r="BV1086" s="10">
        <f t="shared" si="1230"/>
        <v>2133</v>
      </c>
      <c r="BW1086" s="10">
        <f t="shared" si="1230"/>
        <v>2133</v>
      </c>
      <c r="BY1086" s="12"/>
      <c r="CA1086" s="12"/>
      <c r="CJ1086" s="162"/>
      <c r="CR1086" s="12"/>
      <c r="EX1086" s="13" t="str">
        <f>IF($C1086="","",CONCATENATE(D1083," ", D1086))</f>
        <v/>
      </c>
    </row>
    <row r="1087" spans="1:154" s="67" customFormat="1" x14ac:dyDescent="0.25">
      <c r="C1087" s="380"/>
      <c r="D1087" s="5" t="s">
        <v>391</v>
      </c>
      <c r="E1087" s="27"/>
      <c r="F1087" s="5"/>
      <c r="G1087" s="116"/>
      <c r="H1087" s="128" t="s">
        <v>125</v>
      </c>
      <c r="S1087" s="335"/>
      <c r="T1087" s="335"/>
      <c r="U1087" s="335"/>
      <c r="V1087" s="211">
        <f>SUM(V1084:V1086)</f>
        <v>3042</v>
      </c>
      <c r="W1087" s="13">
        <f>SUM(W1084:W1086)</f>
        <v>2701</v>
      </c>
      <c r="X1087" s="13">
        <f>SUM(X1084:X1086)</f>
        <v>2417</v>
      </c>
      <c r="Y1087" s="13">
        <f>SUM(Y1084:Y1086)</f>
        <v>2133</v>
      </c>
      <c r="AA1087" s="13">
        <f t="shared" ref="AA1087:BJ1087" si="1231">SUM(AA1084:AA1086)</f>
        <v>2987</v>
      </c>
      <c r="AB1087" s="13">
        <f t="shared" si="1231"/>
        <v>2963</v>
      </c>
      <c r="AC1087" s="13">
        <f t="shared" si="1231"/>
        <v>2939</v>
      </c>
      <c r="AD1087" s="13">
        <f t="shared" si="1231"/>
        <v>2883</v>
      </c>
      <c r="AE1087" s="13">
        <f t="shared" si="1231"/>
        <v>2858</v>
      </c>
      <c r="AF1087" s="13">
        <f t="shared" si="1231"/>
        <v>2843</v>
      </c>
      <c r="AG1087" s="13">
        <f t="shared" si="1231"/>
        <v>2798</v>
      </c>
      <c r="AH1087" s="13">
        <f t="shared" si="1231"/>
        <v>2785</v>
      </c>
      <c r="AI1087" s="13">
        <f t="shared" si="1231"/>
        <v>2772</v>
      </c>
      <c r="AJ1087" s="13">
        <f t="shared" si="1231"/>
        <v>2727</v>
      </c>
      <c r="AK1087" s="13">
        <f t="shared" si="1231"/>
        <v>2714</v>
      </c>
      <c r="AL1087" s="13">
        <f t="shared" si="1231"/>
        <v>2701</v>
      </c>
      <c r="AM1087" s="13">
        <f t="shared" si="1231"/>
        <v>2657</v>
      </c>
      <c r="AN1087" s="13">
        <f t="shared" si="1231"/>
        <v>2644</v>
      </c>
      <c r="AO1087" s="13">
        <f t="shared" si="1231"/>
        <v>2631</v>
      </c>
      <c r="AP1087" s="13">
        <f t="shared" si="1231"/>
        <v>2586</v>
      </c>
      <c r="AQ1087" s="13">
        <f t="shared" si="1231"/>
        <v>2572</v>
      </c>
      <c r="AR1087" s="13">
        <f t="shared" si="1231"/>
        <v>2559</v>
      </c>
      <c r="AS1087" s="13">
        <f t="shared" si="1231"/>
        <v>2514</v>
      </c>
      <c r="AT1087" s="13">
        <f t="shared" si="1231"/>
        <v>2501</v>
      </c>
      <c r="AU1087" s="13">
        <f t="shared" si="1231"/>
        <v>2488</v>
      </c>
      <c r="AV1087" s="13">
        <f t="shared" si="1231"/>
        <v>2443</v>
      </c>
      <c r="AW1087" s="13">
        <f t="shared" si="1231"/>
        <v>2430</v>
      </c>
      <c r="AX1087" s="13">
        <f t="shared" si="1231"/>
        <v>2417</v>
      </c>
      <c r="AY1087" s="13">
        <f t="shared" si="1231"/>
        <v>2373</v>
      </c>
      <c r="AZ1087" s="13">
        <f t="shared" si="1231"/>
        <v>2360</v>
      </c>
      <c r="BA1087" s="13">
        <f t="shared" si="1231"/>
        <v>2347</v>
      </c>
      <c r="BB1087" s="13">
        <f t="shared" si="1231"/>
        <v>2302</v>
      </c>
      <c r="BC1087" s="13">
        <f t="shared" si="1231"/>
        <v>2288</v>
      </c>
      <c r="BD1087" s="13">
        <f t="shared" si="1231"/>
        <v>2275</v>
      </c>
      <c r="BE1087" s="13">
        <f t="shared" si="1231"/>
        <v>2230</v>
      </c>
      <c r="BF1087" s="13">
        <f t="shared" si="1231"/>
        <v>2217</v>
      </c>
      <c r="BG1087" s="13">
        <f t="shared" si="1231"/>
        <v>2204</v>
      </c>
      <c r="BH1087" s="13">
        <f t="shared" si="1231"/>
        <v>2159</v>
      </c>
      <c r="BI1087" s="13">
        <f t="shared" si="1231"/>
        <v>2146</v>
      </c>
      <c r="BJ1087" s="13">
        <f t="shared" si="1231"/>
        <v>2133</v>
      </c>
      <c r="BL1087" s="13">
        <f t="shared" ref="BL1087" si="1232">SUM(BL1084:BL1086)</f>
        <v>3042</v>
      </c>
      <c r="BM1087" s="13">
        <f t="shared" ref="BM1087:BW1087" si="1233">SUM(BM1084:BM1086)</f>
        <v>2701</v>
      </c>
      <c r="BN1087" s="13">
        <f t="shared" si="1233"/>
        <v>2417</v>
      </c>
      <c r="BO1087" s="13">
        <f t="shared" si="1233"/>
        <v>2133</v>
      </c>
      <c r="BP1087" s="13">
        <f t="shared" si="1233"/>
        <v>2133</v>
      </c>
      <c r="BQ1087" s="13">
        <f t="shared" si="1233"/>
        <v>2133</v>
      </c>
      <c r="BR1087" s="13">
        <f t="shared" si="1233"/>
        <v>2133</v>
      </c>
      <c r="BS1087" s="13">
        <f t="shared" si="1233"/>
        <v>2133</v>
      </c>
      <c r="BT1087" s="13">
        <f t="shared" si="1233"/>
        <v>2133</v>
      </c>
      <c r="BU1087" s="13">
        <f t="shared" si="1233"/>
        <v>2133</v>
      </c>
      <c r="BV1087" s="13">
        <f t="shared" si="1233"/>
        <v>2133</v>
      </c>
      <c r="BW1087" s="13">
        <f t="shared" si="1233"/>
        <v>2133</v>
      </c>
      <c r="BY1087" s="12"/>
      <c r="BZ1087" s="335"/>
      <c r="CA1087" s="12"/>
      <c r="CB1087" s="335"/>
      <c r="CC1087" s="335"/>
      <c r="CD1087" s="335"/>
      <c r="CE1087" s="335"/>
      <c r="CJ1087" s="162"/>
      <c r="CM1087" s="335"/>
      <c r="CN1087" s="335"/>
      <c r="CO1087" s="335"/>
      <c r="CP1087" s="335"/>
      <c r="CR1087" s="12"/>
      <c r="CT1087" s="335"/>
      <c r="CU1087" s="335"/>
      <c r="EW1087" s="335"/>
      <c r="EX1087" s="13" t="str">
        <f>IF($C1087="","",CONCATENATE(D1083," ", D1087))</f>
        <v/>
      </c>
    </row>
    <row r="1088" spans="1:154" ht="6.6" customHeight="1" x14ac:dyDescent="0.25">
      <c r="C1088" s="380"/>
      <c r="D1088" s="1"/>
      <c r="E1088" s="11"/>
      <c r="S1088" s="335"/>
      <c r="T1088" s="335"/>
      <c r="U1088" s="335"/>
      <c r="BM1088" s="6"/>
      <c r="BY1088" s="42"/>
      <c r="CA1088" s="42"/>
      <c r="CJ1088" s="162"/>
      <c r="CR1088" s="42"/>
      <c r="EX1088" s="10" t="str">
        <f t="shared" si="1218"/>
        <v/>
      </c>
    </row>
    <row r="1089" spans="3:154" x14ac:dyDescent="0.25">
      <c r="C1089" s="380"/>
      <c r="D1089" s="61" t="s">
        <v>771</v>
      </c>
      <c r="S1089" s="335"/>
      <c r="T1089" s="335"/>
      <c r="U1089" s="335"/>
      <c r="BL1089" s="332"/>
      <c r="BY1089" s="12"/>
      <c r="CA1089" s="12"/>
      <c r="CJ1089" s="162"/>
      <c r="CR1089" s="12"/>
      <c r="EX1089" s="10" t="str">
        <f t="shared" si="1218"/>
        <v/>
      </c>
    </row>
    <row r="1090" spans="3:154" x14ac:dyDescent="0.25">
      <c r="C1090" s="380"/>
      <c r="D1090" s="232" t="s">
        <v>123</v>
      </c>
      <c r="G1090" s="9"/>
      <c r="H1090" s="50" t="s">
        <v>125</v>
      </c>
      <c r="S1090" s="335"/>
      <c r="T1090" s="335"/>
      <c r="U1090" s="335"/>
      <c r="V1090" s="13">
        <f>'Opening Balances'!$W$36</f>
        <v>0</v>
      </c>
      <c r="W1090" s="10">
        <f>SUMIFS(W$945:W$964, $E$945:$E$964, $D1090)</f>
        <v>0</v>
      </c>
      <c r="X1090" s="10">
        <f t="shared" ref="X1090:BO1092" si="1234">SUMIFS(X$945:X$964, $E$945:$E$964, $D1090)</f>
        <v>0</v>
      </c>
      <c r="Y1090" s="10">
        <f t="shared" si="1234"/>
        <v>0</v>
      </c>
      <c r="Z1090" s="67"/>
      <c r="AA1090" s="10">
        <f t="shared" si="1234"/>
        <v>0</v>
      </c>
      <c r="AB1090" s="10">
        <f t="shared" si="1234"/>
        <v>0</v>
      </c>
      <c r="AC1090" s="10">
        <f t="shared" si="1234"/>
        <v>0</v>
      </c>
      <c r="AD1090" s="10">
        <f t="shared" si="1234"/>
        <v>0</v>
      </c>
      <c r="AE1090" s="10">
        <f t="shared" si="1234"/>
        <v>0</v>
      </c>
      <c r="AF1090" s="10">
        <f t="shared" si="1234"/>
        <v>0</v>
      </c>
      <c r="AG1090" s="10">
        <f t="shared" si="1234"/>
        <v>0</v>
      </c>
      <c r="AH1090" s="10">
        <f t="shared" si="1234"/>
        <v>0</v>
      </c>
      <c r="AI1090" s="10">
        <f t="shared" si="1234"/>
        <v>0</v>
      </c>
      <c r="AJ1090" s="10">
        <f t="shared" si="1234"/>
        <v>0</v>
      </c>
      <c r="AK1090" s="10">
        <f t="shared" si="1234"/>
        <v>0</v>
      </c>
      <c r="AL1090" s="10">
        <f t="shared" si="1234"/>
        <v>0</v>
      </c>
      <c r="AM1090" s="10">
        <f t="shared" si="1234"/>
        <v>0</v>
      </c>
      <c r="AN1090" s="10">
        <f t="shared" si="1234"/>
        <v>0</v>
      </c>
      <c r="AO1090" s="10">
        <f t="shared" si="1234"/>
        <v>0</v>
      </c>
      <c r="AP1090" s="10">
        <f t="shared" si="1234"/>
        <v>0</v>
      </c>
      <c r="AQ1090" s="10">
        <f t="shared" si="1234"/>
        <v>0</v>
      </c>
      <c r="AR1090" s="10">
        <f t="shared" si="1234"/>
        <v>0</v>
      </c>
      <c r="AS1090" s="10">
        <f t="shared" si="1234"/>
        <v>0</v>
      </c>
      <c r="AT1090" s="10">
        <f t="shared" si="1234"/>
        <v>0</v>
      </c>
      <c r="AU1090" s="10">
        <f t="shared" si="1234"/>
        <v>0</v>
      </c>
      <c r="AV1090" s="10">
        <f t="shared" si="1234"/>
        <v>0</v>
      </c>
      <c r="AW1090" s="10">
        <f t="shared" si="1234"/>
        <v>0</v>
      </c>
      <c r="AX1090" s="10">
        <f t="shared" si="1234"/>
        <v>0</v>
      </c>
      <c r="AY1090" s="10">
        <f t="shared" si="1234"/>
        <v>0</v>
      </c>
      <c r="AZ1090" s="10">
        <f t="shared" si="1234"/>
        <v>0</v>
      </c>
      <c r="BA1090" s="10">
        <f t="shared" si="1234"/>
        <v>0</v>
      </c>
      <c r="BB1090" s="10">
        <f t="shared" si="1234"/>
        <v>0</v>
      </c>
      <c r="BC1090" s="10">
        <f t="shared" si="1234"/>
        <v>0</v>
      </c>
      <c r="BD1090" s="10">
        <f t="shared" si="1234"/>
        <v>0</v>
      </c>
      <c r="BE1090" s="10">
        <f t="shared" si="1234"/>
        <v>0</v>
      </c>
      <c r="BF1090" s="10">
        <f t="shared" si="1234"/>
        <v>0</v>
      </c>
      <c r="BG1090" s="10">
        <f t="shared" si="1234"/>
        <v>0</v>
      </c>
      <c r="BH1090" s="10">
        <f t="shared" si="1234"/>
        <v>0</v>
      </c>
      <c r="BI1090" s="10">
        <f t="shared" si="1234"/>
        <v>0</v>
      </c>
      <c r="BJ1090" s="10">
        <f t="shared" si="1234"/>
        <v>0</v>
      </c>
      <c r="BK1090" s="67"/>
      <c r="BL1090" s="13">
        <f>'Opening Balances'!$W$36</f>
        <v>0</v>
      </c>
      <c r="BM1090" s="10">
        <f t="shared" si="1234"/>
        <v>0</v>
      </c>
      <c r="BN1090" s="10">
        <f t="shared" si="1234"/>
        <v>0</v>
      </c>
      <c r="BO1090" s="10">
        <f t="shared" si="1234"/>
        <v>0</v>
      </c>
      <c r="BP1090" s="136"/>
      <c r="BQ1090" s="136"/>
      <c r="BR1090" s="136"/>
      <c r="BS1090" s="136"/>
      <c r="BT1090" s="136"/>
      <c r="BU1090" s="136"/>
      <c r="BV1090" s="136"/>
      <c r="BW1090" s="136"/>
      <c r="BY1090" s="12"/>
      <c r="CA1090" s="12"/>
      <c r="CJ1090" s="162"/>
      <c r="CR1090" s="12"/>
      <c r="EX1090" s="13" t="str">
        <f>IF($C1090="","",CONCATENATE(D1089," ", D1090))</f>
        <v/>
      </c>
    </row>
    <row r="1091" spans="3:154" x14ac:dyDescent="0.25">
      <c r="C1091" s="380"/>
      <c r="D1091" s="48" t="s">
        <v>288</v>
      </c>
      <c r="G1091" s="9"/>
      <c r="H1091" s="50" t="s">
        <v>125</v>
      </c>
      <c r="S1091" s="335"/>
      <c r="T1091" s="335"/>
      <c r="U1091" s="335"/>
      <c r="V1091" s="13">
        <f>'Opening Balances'!$W$37</f>
        <v>0</v>
      </c>
      <c r="W1091" s="10">
        <f t="shared" ref="W1091:AI1092" si="1235">SUMIFS(W$945:W$964, $E$945:$E$964, $D1091)</f>
        <v>0</v>
      </c>
      <c r="X1091" s="10">
        <f t="shared" si="1235"/>
        <v>0</v>
      </c>
      <c r="Y1091" s="10">
        <f>SUMIFS(Y$945:Y$964, $E$945:$E$964, $D1091)</f>
        <v>0</v>
      </c>
      <c r="Z1091" s="67"/>
      <c r="AA1091" s="10">
        <f t="shared" si="1235"/>
        <v>0</v>
      </c>
      <c r="AB1091" s="10">
        <f t="shared" si="1235"/>
        <v>0</v>
      </c>
      <c r="AC1091" s="10">
        <f t="shared" si="1235"/>
        <v>0</v>
      </c>
      <c r="AD1091" s="10">
        <f t="shared" si="1235"/>
        <v>0</v>
      </c>
      <c r="AE1091" s="10">
        <f t="shared" si="1235"/>
        <v>0</v>
      </c>
      <c r="AF1091" s="10">
        <f t="shared" si="1235"/>
        <v>0</v>
      </c>
      <c r="AG1091" s="10">
        <f t="shared" si="1235"/>
        <v>0</v>
      </c>
      <c r="AH1091" s="10">
        <f t="shared" si="1235"/>
        <v>0</v>
      </c>
      <c r="AI1091" s="10">
        <f t="shared" si="1235"/>
        <v>0</v>
      </c>
      <c r="AJ1091" s="10">
        <f t="shared" si="1234"/>
        <v>0</v>
      </c>
      <c r="AK1091" s="10">
        <f t="shared" si="1234"/>
        <v>0</v>
      </c>
      <c r="AL1091" s="10">
        <f t="shared" si="1234"/>
        <v>0</v>
      </c>
      <c r="AM1091" s="10">
        <f t="shared" si="1234"/>
        <v>0</v>
      </c>
      <c r="AN1091" s="10">
        <f t="shared" si="1234"/>
        <v>0</v>
      </c>
      <c r="AO1091" s="10">
        <f t="shared" si="1234"/>
        <v>0</v>
      </c>
      <c r="AP1091" s="10">
        <f t="shared" si="1234"/>
        <v>0</v>
      </c>
      <c r="AQ1091" s="10">
        <f t="shared" si="1234"/>
        <v>0</v>
      </c>
      <c r="AR1091" s="10">
        <f t="shared" si="1234"/>
        <v>0</v>
      </c>
      <c r="AS1091" s="10">
        <f t="shared" si="1234"/>
        <v>0</v>
      </c>
      <c r="AT1091" s="10">
        <f t="shared" si="1234"/>
        <v>0</v>
      </c>
      <c r="AU1091" s="10">
        <f t="shared" si="1234"/>
        <v>0</v>
      </c>
      <c r="AV1091" s="10">
        <f t="shared" si="1234"/>
        <v>0</v>
      </c>
      <c r="AW1091" s="10">
        <f t="shared" si="1234"/>
        <v>0</v>
      </c>
      <c r="AX1091" s="10">
        <f t="shared" si="1234"/>
        <v>0</v>
      </c>
      <c r="AY1091" s="10">
        <f t="shared" si="1234"/>
        <v>0</v>
      </c>
      <c r="AZ1091" s="10">
        <f t="shared" si="1234"/>
        <v>0</v>
      </c>
      <c r="BA1091" s="10">
        <f t="shared" si="1234"/>
        <v>0</v>
      </c>
      <c r="BB1091" s="10">
        <f t="shared" si="1234"/>
        <v>0</v>
      </c>
      <c r="BC1091" s="10">
        <f t="shared" si="1234"/>
        <v>0</v>
      </c>
      <c r="BD1091" s="10">
        <f t="shared" si="1234"/>
        <v>0</v>
      </c>
      <c r="BE1091" s="10">
        <f t="shared" si="1234"/>
        <v>0</v>
      </c>
      <c r="BF1091" s="10">
        <f t="shared" si="1234"/>
        <v>0</v>
      </c>
      <c r="BG1091" s="10">
        <f t="shared" si="1234"/>
        <v>0</v>
      </c>
      <c r="BH1091" s="10">
        <f t="shared" si="1234"/>
        <v>0</v>
      </c>
      <c r="BI1091" s="10">
        <f t="shared" si="1234"/>
        <v>0</v>
      </c>
      <c r="BJ1091" s="10">
        <f t="shared" si="1234"/>
        <v>0</v>
      </c>
      <c r="BK1091" s="67"/>
      <c r="BL1091" s="13">
        <f>'Opening Balances'!$W$37</f>
        <v>0</v>
      </c>
      <c r="BM1091" s="10">
        <f t="shared" si="1234"/>
        <v>0</v>
      </c>
      <c r="BN1091" s="10">
        <f t="shared" si="1234"/>
        <v>0</v>
      </c>
      <c r="BO1091" s="10">
        <f t="shared" si="1234"/>
        <v>0</v>
      </c>
      <c r="BP1091" s="136"/>
      <c r="BQ1091" s="136"/>
      <c r="BR1091" s="136"/>
      <c r="BS1091" s="136"/>
      <c r="BT1091" s="136"/>
      <c r="BU1091" s="136"/>
      <c r="BV1091" s="136"/>
      <c r="BW1091" s="136"/>
      <c r="BY1091" s="12"/>
      <c r="CA1091" s="12"/>
      <c r="CJ1091" s="162"/>
      <c r="CR1091" s="12"/>
      <c r="EX1091" s="13" t="str">
        <f>IF($C1091="","",CONCATENATE(D1089," ", D1091))</f>
        <v/>
      </c>
    </row>
    <row r="1092" spans="3:154" x14ac:dyDescent="0.25">
      <c r="C1092" s="380"/>
      <c r="D1092" s="48" t="s">
        <v>215</v>
      </c>
      <c r="G1092" s="9"/>
      <c r="H1092" s="50" t="s">
        <v>125</v>
      </c>
      <c r="S1092" s="335"/>
      <c r="T1092" s="335"/>
      <c r="U1092" s="335"/>
      <c r="V1092" s="13">
        <f>'Opening Balances'!$W$38</f>
        <v>339</v>
      </c>
      <c r="W1092" s="10">
        <f t="shared" ca="1" si="1235"/>
        <v>284</v>
      </c>
      <c r="X1092" s="10">
        <f t="shared" ca="1" si="1234"/>
        <v>284</v>
      </c>
      <c r="Y1092" s="10">
        <f t="shared" si="1234"/>
        <v>0</v>
      </c>
      <c r="Z1092" s="67"/>
      <c r="AA1092" s="10">
        <f t="shared" ca="1" si="1234"/>
        <v>330</v>
      </c>
      <c r="AB1092" s="10">
        <f t="shared" ca="1" si="1234"/>
        <v>319</v>
      </c>
      <c r="AC1092" s="10">
        <f t="shared" ca="1" si="1234"/>
        <v>308</v>
      </c>
      <c r="AD1092" s="10">
        <f t="shared" ca="1" si="1234"/>
        <v>297</v>
      </c>
      <c r="AE1092" s="10">
        <f t="shared" ca="1" si="1234"/>
        <v>286</v>
      </c>
      <c r="AF1092" s="10">
        <f t="shared" ca="1" si="1234"/>
        <v>284</v>
      </c>
      <c r="AG1092" s="10">
        <f t="shared" ca="1" si="1234"/>
        <v>284</v>
      </c>
      <c r="AH1092" s="10">
        <f t="shared" ca="1" si="1234"/>
        <v>284</v>
      </c>
      <c r="AI1092" s="10">
        <f t="shared" ca="1" si="1234"/>
        <v>284</v>
      </c>
      <c r="AJ1092" s="10">
        <f t="shared" ca="1" si="1234"/>
        <v>284</v>
      </c>
      <c r="AK1092" s="10">
        <f t="shared" ca="1" si="1234"/>
        <v>284</v>
      </c>
      <c r="AL1092" s="10">
        <f t="shared" ca="1" si="1234"/>
        <v>284</v>
      </c>
      <c r="AM1092" s="10">
        <f t="shared" ca="1" si="1234"/>
        <v>284</v>
      </c>
      <c r="AN1092" s="10">
        <f t="shared" ca="1" si="1234"/>
        <v>284</v>
      </c>
      <c r="AO1092" s="10">
        <f t="shared" ca="1" si="1234"/>
        <v>284</v>
      </c>
      <c r="AP1092" s="10">
        <f t="shared" ca="1" si="1234"/>
        <v>284</v>
      </c>
      <c r="AQ1092" s="10">
        <f t="shared" ca="1" si="1234"/>
        <v>284</v>
      </c>
      <c r="AR1092" s="10">
        <f t="shared" ca="1" si="1234"/>
        <v>284</v>
      </c>
      <c r="AS1092" s="10">
        <f t="shared" ca="1" si="1234"/>
        <v>284</v>
      </c>
      <c r="AT1092" s="10">
        <f t="shared" ca="1" si="1234"/>
        <v>284</v>
      </c>
      <c r="AU1092" s="10">
        <f t="shared" ca="1" si="1234"/>
        <v>284</v>
      </c>
      <c r="AV1092" s="10">
        <f t="shared" ca="1" si="1234"/>
        <v>284</v>
      </c>
      <c r="AW1092" s="10">
        <f t="shared" ca="1" si="1234"/>
        <v>284</v>
      </c>
      <c r="AX1092" s="10">
        <f t="shared" ca="1" si="1234"/>
        <v>284</v>
      </c>
      <c r="AY1092" s="10">
        <f t="shared" ca="1" si="1234"/>
        <v>240</v>
      </c>
      <c r="AZ1092" s="10">
        <f t="shared" ca="1" si="1234"/>
        <v>227</v>
      </c>
      <c r="BA1092" s="10">
        <f t="shared" ca="1" si="1234"/>
        <v>214</v>
      </c>
      <c r="BB1092" s="10">
        <f t="shared" ca="1" si="1234"/>
        <v>169</v>
      </c>
      <c r="BC1092" s="10">
        <f t="shared" ca="1" si="1234"/>
        <v>155</v>
      </c>
      <c r="BD1092" s="10">
        <f t="shared" ca="1" si="1234"/>
        <v>142</v>
      </c>
      <c r="BE1092" s="10">
        <f t="shared" ca="1" si="1234"/>
        <v>97</v>
      </c>
      <c r="BF1092" s="10">
        <f t="shared" ca="1" si="1234"/>
        <v>84</v>
      </c>
      <c r="BG1092" s="10">
        <f t="shared" ca="1" si="1234"/>
        <v>71</v>
      </c>
      <c r="BH1092" s="10">
        <f t="shared" ca="1" si="1234"/>
        <v>26</v>
      </c>
      <c r="BI1092" s="10">
        <f t="shared" ca="1" si="1234"/>
        <v>13</v>
      </c>
      <c r="BJ1092" s="10">
        <f t="shared" si="1234"/>
        <v>0</v>
      </c>
      <c r="BK1092" s="67"/>
      <c r="BL1092" s="13">
        <f>'Opening Balances'!$W$38</f>
        <v>339</v>
      </c>
      <c r="BM1092" s="10">
        <f t="shared" ca="1" si="1234"/>
        <v>284</v>
      </c>
      <c r="BN1092" s="10">
        <f t="shared" ca="1" si="1234"/>
        <v>284</v>
      </c>
      <c r="BO1092" s="10">
        <f t="shared" si="1234"/>
        <v>0</v>
      </c>
      <c r="BP1092" s="136"/>
      <c r="BQ1092" s="136"/>
      <c r="BR1092" s="136"/>
      <c r="BS1092" s="136"/>
      <c r="BT1092" s="136"/>
      <c r="BU1092" s="136"/>
      <c r="BV1092" s="136"/>
      <c r="BW1092" s="136"/>
      <c r="BY1092" s="12"/>
      <c r="CA1092" s="12"/>
      <c r="CJ1092" s="162"/>
      <c r="CR1092" s="12"/>
      <c r="EX1092" s="13" t="str">
        <f>IF($C1092="","",CONCATENATE(D1089," ", D1092))</f>
        <v/>
      </c>
    </row>
    <row r="1093" spans="3:154" s="67" customFormat="1" x14ac:dyDescent="0.25">
      <c r="C1093" s="380"/>
      <c r="D1093" s="5" t="s">
        <v>391</v>
      </c>
      <c r="E1093" s="27"/>
      <c r="F1093" s="5"/>
      <c r="G1093" s="116"/>
      <c r="H1093" s="128" t="s">
        <v>125</v>
      </c>
      <c r="S1093" s="335"/>
      <c r="T1093" s="335"/>
      <c r="U1093" s="335"/>
      <c r="V1093" s="13">
        <f>SUM(V1090:V1092)</f>
        <v>339</v>
      </c>
      <c r="W1093" s="13">
        <f ca="1">SUM(W1090:W1092)</f>
        <v>284</v>
      </c>
      <c r="X1093" s="13">
        <f ca="1">SUM(X1090:X1092)</f>
        <v>284</v>
      </c>
      <c r="Y1093" s="13">
        <f>SUM(Y1090:Y1092)</f>
        <v>0</v>
      </c>
      <c r="AA1093" s="13">
        <f t="shared" ref="AA1093:BJ1093" ca="1" si="1236">SUM(AA1090:AA1092)</f>
        <v>330</v>
      </c>
      <c r="AB1093" s="13">
        <f t="shared" ca="1" si="1236"/>
        <v>319</v>
      </c>
      <c r="AC1093" s="13">
        <f t="shared" ca="1" si="1236"/>
        <v>308</v>
      </c>
      <c r="AD1093" s="13">
        <f t="shared" ca="1" si="1236"/>
        <v>297</v>
      </c>
      <c r="AE1093" s="13">
        <f t="shared" ca="1" si="1236"/>
        <v>286</v>
      </c>
      <c r="AF1093" s="13">
        <f t="shared" ca="1" si="1236"/>
        <v>284</v>
      </c>
      <c r="AG1093" s="13">
        <f t="shared" ca="1" si="1236"/>
        <v>284</v>
      </c>
      <c r="AH1093" s="13">
        <f t="shared" ca="1" si="1236"/>
        <v>284</v>
      </c>
      <c r="AI1093" s="13">
        <f t="shared" ca="1" si="1236"/>
        <v>284</v>
      </c>
      <c r="AJ1093" s="13">
        <f t="shared" ca="1" si="1236"/>
        <v>284</v>
      </c>
      <c r="AK1093" s="13">
        <f t="shared" ca="1" si="1236"/>
        <v>284</v>
      </c>
      <c r="AL1093" s="13">
        <f t="shared" ca="1" si="1236"/>
        <v>284</v>
      </c>
      <c r="AM1093" s="13">
        <f t="shared" ca="1" si="1236"/>
        <v>284</v>
      </c>
      <c r="AN1093" s="13">
        <f t="shared" ca="1" si="1236"/>
        <v>284</v>
      </c>
      <c r="AO1093" s="13">
        <f t="shared" ca="1" si="1236"/>
        <v>284</v>
      </c>
      <c r="AP1093" s="13">
        <f t="shared" ca="1" si="1236"/>
        <v>284</v>
      </c>
      <c r="AQ1093" s="13">
        <f t="shared" ca="1" si="1236"/>
        <v>284</v>
      </c>
      <c r="AR1093" s="13">
        <f t="shared" ca="1" si="1236"/>
        <v>284</v>
      </c>
      <c r="AS1093" s="13">
        <f t="shared" ca="1" si="1236"/>
        <v>284</v>
      </c>
      <c r="AT1093" s="13">
        <f t="shared" ca="1" si="1236"/>
        <v>284</v>
      </c>
      <c r="AU1093" s="13">
        <f t="shared" ca="1" si="1236"/>
        <v>284</v>
      </c>
      <c r="AV1093" s="13">
        <f t="shared" ca="1" si="1236"/>
        <v>284</v>
      </c>
      <c r="AW1093" s="13">
        <f t="shared" ca="1" si="1236"/>
        <v>284</v>
      </c>
      <c r="AX1093" s="13">
        <f t="shared" ca="1" si="1236"/>
        <v>284</v>
      </c>
      <c r="AY1093" s="13">
        <f t="shared" ca="1" si="1236"/>
        <v>240</v>
      </c>
      <c r="AZ1093" s="13">
        <f t="shared" ca="1" si="1236"/>
        <v>227</v>
      </c>
      <c r="BA1093" s="13">
        <f t="shared" ca="1" si="1236"/>
        <v>214</v>
      </c>
      <c r="BB1093" s="13">
        <f t="shared" ca="1" si="1236"/>
        <v>169</v>
      </c>
      <c r="BC1093" s="13">
        <f t="shared" ca="1" si="1236"/>
        <v>155</v>
      </c>
      <c r="BD1093" s="13">
        <f t="shared" ca="1" si="1236"/>
        <v>142</v>
      </c>
      <c r="BE1093" s="13">
        <f t="shared" ca="1" si="1236"/>
        <v>97</v>
      </c>
      <c r="BF1093" s="13">
        <f t="shared" ca="1" si="1236"/>
        <v>84</v>
      </c>
      <c r="BG1093" s="13">
        <f t="shared" ca="1" si="1236"/>
        <v>71</v>
      </c>
      <c r="BH1093" s="13">
        <f t="shared" ca="1" si="1236"/>
        <v>26</v>
      </c>
      <c r="BI1093" s="13">
        <f t="shared" ca="1" si="1236"/>
        <v>13</v>
      </c>
      <c r="BJ1093" s="13">
        <f t="shared" si="1236"/>
        <v>0</v>
      </c>
      <c r="BL1093" s="13">
        <f>SUM(BL1090:BL1092)</f>
        <v>339</v>
      </c>
      <c r="BM1093" s="13">
        <f t="shared" ref="BM1093:BW1093" ca="1" si="1237">SUM(BM1090:BM1092)</f>
        <v>284</v>
      </c>
      <c r="BN1093" s="13">
        <f t="shared" ca="1" si="1237"/>
        <v>284</v>
      </c>
      <c r="BO1093" s="13">
        <f t="shared" si="1237"/>
        <v>0</v>
      </c>
      <c r="BP1093" s="13">
        <f t="shared" si="1237"/>
        <v>0</v>
      </c>
      <c r="BQ1093" s="13">
        <f t="shared" si="1237"/>
        <v>0</v>
      </c>
      <c r="BR1093" s="13">
        <f t="shared" si="1237"/>
        <v>0</v>
      </c>
      <c r="BS1093" s="13">
        <f t="shared" si="1237"/>
        <v>0</v>
      </c>
      <c r="BT1093" s="13">
        <f t="shared" si="1237"/>
        <v>0</v>
      </c>
      <c r="BU1093" s="13">
        <f t="shared" si="1237"/>
        <v>0</v>
      </c>
      <c r="BV1093" s="13">
        <f t="shared" si="1237"/>
        <v>0</v>
      </c>
      <c r="BW1093" s="13">
        <f t="shared" si="1237"/>
        <v>0</v>
      </c>
      <c r="BY1093" s="12"/>
      <c r="BZ1093" s="335"/>
      <c r="CA1093" s="12"/>
      <c r="CB1093" s="335"/>
      <c r="CC1093" s="335"/>
      <c r="CD1093" s="335"/>
      <c r="CE1093" s="335"/>
      <c r="CJ1093" s="162"/>
      <c r="CM1093" s="335"/>
      <c r="CN1093" s="335"/>
      <c r="CO1093" s="335"/>
      <c r="CP1093" s="335"/>
      <c r="CR1093" s="12"/>
      <c r="CT1093" s="335"/>
      <c r="CU1093" s="335"/>
      <c r="EW1093" s="335"/>
      <c r="EX1093" s="13" t="str">
        <f>IF($C1093="","",CONCATENATE(D1089," ", D1093))</f>
        <v/>
      </c>
    </row>
    <row r="1094" spans="3:154" s="67" customFormat="1" ht="6.6" customHeight="1" x14ac:dyDescent="0.25">
      <c r="C1094" s="380"/>
      <c r="D1094" s="1"/>
      <c r="S1094" s="335"/>
      <c r="T1094" s="335"/>
      <c r="U1094" s="335"/>
      <c r="BY1094" s="42"/>
      <c r="BZ1094" s="335"/>
      <c r="CA1094" s="42"/>
      <c r="CB1094" s="335"/>
      <c r="CC1094" s="335"/>
      <c r="CD1094" s="335"/>
      <c r="CE1094" s="335"/>
      <c r="CJ1094" s="162"/>
      <c r="CM1094" s="335"/>
      <c r="CN1094" s="335"/>
      <c r="CO1094" s="335"/>
      <c r="CP1094" s="335"/>
      <c r="CR1094" s="42"/>
      <c r="CT1094" s="335"/>
      <c r="CU1094" s="335"/>
      <c r="EW1094" s="335"/>
      <c r="EX1094" s="10" t="str">
        <f t="shared" si="1218"/>
        <v/>
      </c>
    </row>
    <row r="1095" spans="3:154" s="67" customFormat="1" x14ac:dyDescent="0.25">
      <c r="C1095" s="380"/>
      <c r="D1095" s="61" t="s">
        <v>561</v>
      </c>
      <c r="E1095" s="1"/>
      <c r="S1095" s="335"/>
      <c r="T1095" s="335"/>
      <c r="U1095" s="335"/>
      <c r="BY1095" s="12"/>
      <c r="BZ1095" s="335"/>
      <c r="CA1095" s="12"/>
      <c r="CB1095" s="335"/>
      <c r="CC1095" s="335"/>
      <c r="CD1095" s="335"/>
      <c r="CE1095" s="335"/>
      <c r="CJ1095" s="162"/>
      <c r="CM1095" s="335"/>
      <c r="CN1095" s="335"/>
      <c r="CO1095" s="335"/>
      <c r="CP1095" s="335"/>
      <c r="CR1095" s="12"/>
      <c r="CT1095" s="335"/>
      <c r="CU1095" s="335"/>
      <c r="EW1095" s="335"/>
      <c r="EX1095" s="10" t="str">
        <f t="shared" si="1218"/>
        <v/>
      </c>
    </row>
    <row r="1096" spans="3:154" s="67" customFormat="1" x14ac:dyDescent="0.25">
      <c r="C1096" s="380"/>
      <c r="D1096" s="232" t="s">
        <v>123</v>
      </c>
      <c r="E1096" s="1"/>
      <c r="G1096" s="9"/>
      <c r="H1096" s="50" t="s">
        <v>125</v>
      </c>
      <c r="S1096" s="335"/>
      <c r="T1096" s="335"/>
      <c r="U1096" s="335"/>
      <c r="V1096" s="201">
        <f t="shared" ref="V1096:Y1098" si="1238">SUMIFS(V$454:V$473, $E$454:$E$473, $D1096)</f>
        <v>0</v>
      </c>
      <c r="W1096" s="10">
        <f t="shared" si="1238"/>
        <v>0</v>
      </c>
      <c r="X1096" s="10">
        <f t="shared" si="1238"/>
        <v>0</v>
      </c>
      <c r="Y1096" s="10">
        <f t="shared" si="1238"/>
        <v>0</v>
      </c>
      <c r="AA1096" s="10">
        <f t="shared" ref="AA1096:AJ1098" si="1239">SUMIFS(AA$454:AA$473, $E$454:$E$473, $D1096)</f>
        <v>0</v>
      </c>
      <c r="AB1096" s="10">
        <f t="shared" si="1239"/>
        <v>0</v>
      </c>
      <c r="AC1096" s="10">
        <f t="shared" si="1239"/>
        <v>0</v>
      </c>
      <c r="AD1096" s="10">
        <f t="shared" si="1239"/>
        <v>0</v>
      </c>
      <c r="AE1096" s="10">
        <f t="shared" si="1239"/>
        <v>0</v>
      </c>
      <c r="AF1096" s="10">
        <f t="shared" si="1239"/>
        <v>0</v>
      </c>
      <c r="AG1096" s="10">
        <f t="shared" si="1239"/>
        <v>0</v>
      </c>
      <c r="AH1096" s="10">
        <f t="shared" si="1239"/>
        <v>0</v>
      </c>
      <c r="AI1096" s="10">
        <f t="shared" si="1239"/>
        <v>0</v>
      </c>
      <c r="AJ1096" s="10">
        <f t="shared" si="1239"/>
        <v>0</v>
      </c>
      <c r="AK1096" s="10">
        <f t="shared" ref="AK1096:AT1098" si="1240">SUMIFS(AK$454:AK$473, $E$454:$E$473, $D1096)</f>
        <v>0</v>
      </c>
      <c r="AL1096" s="10">
        <f t="shared" si="1240"/>
        <v>0</v>
      </c>
      <c r="AM1096" s="10">
        <f t="shared" si="1240"/>
        <v>0</v>
      </c>
      <c r="AN1096" s="10">
        <f t="shared" si="1240"/>
        <v>0</v>
      </c>
      <c r="AO1096" s="10">
        <f t="shared" si="1240"/>
        <v>0</v>
      </c>
      <c r="AP1096" s="10">
        <f t="shared" si="1240"/>
        <v>0</v>
      </c>
      <c r="AQ1096" s="10">
        <f t="shared" si="1240"/>
        <v>0</v>
      </c>
      <c r="AR1096" s="10">
        <f t="shared" si="1240"/>
        <v>0</v>
      </c>
      <c r="AS1096" s="10">
        <f t="shared" si="1240"/>
        <v>0</v>
      </c>
      <c r="AT1096" s="10">
        <f t="shared" si="1240"/>
        <v>0</v>
      </c>
      <c r="AU1096" s="10">
        <f t="shared" ref="AU1096:BD1098" si="1241">SUMIFS(AU$454:AU$473, $E$454:$E$473, $D1096)</f>
        <v>0</v>
      </c>
      <c r="AV1096" s="10">
        <f t="shared" si="1241"/>
        <v>0</v>
      </c>
      <c r="AW1096" s="10">
        <f t="shared" si="1241"/>
        <v>0</v>
      </c>
      <c r="AX1096" s="10">
        <f t="shared" si="1241"/>
        <v>0</v>
      </c>
      <c r="AY1096" s="10">
        <f t="shared" si="1241"/>
        <v>0</v>
      </c>
      <c r="AZ1096" s="10">
        <f t="shared" si="1241"/>
        <v>0</v>
      </c>
      <c r="BA1096" s="10">
        <f t="shared" si="1241"/>
        <v>0</v>
      </c>
      <c r="BB1096" s="10">
        <f t="shared" si="1241"/>
        <v>0</v>
      </c>
      <c r="BC1096" s="10">
        <f t="shared" si="1241"/>
        <v>0</v>
      </c>
      <c r="BD1096" s="10">
        <f t="shared" si="1241"/>
        <v>0</v>
      </c>
      <c r="BE1096" s="10">
        <f t="shared" ref="BE1096:BJ1098" si="1242">SUMIFS(BE$454:BE$473, $E$454:$E$473, $D1096)</f>
        <v>0</v>
      </c>
      <c r="BF1096" s="10">
        <f t="shared" si="1242"/>
        <v>0</v>
      </c>
      <c r="BG1096" s="10">
        <f t="shared" si="1242"/>
        <v>0</v>
      </c>
      <c r="BH1096" s="10">
        <f t="shared" si="1242"/>
        <v>0</v>
      </c>
      <c r="BI1096" s="10">
        <f t="shared" si="1242"/>
        <v>0</v>
      </c>
      <c r="BJ1096" s="10">
        <f t="shared" si="1242"/>
        <v>0</v>
      </c>
      <c r="BL1096" s="10">
        <f t="shared" ref="BL1096:BW1098" si="1243">SUMIFS(BL$454:BL$473, $E$454:$E$473, $D1096)</f>
        <v>0</v>
      </c>
      <c r="BM1096" s="10">
        <f t="shared" si="1243"/>
        <v>0</v>
      </c>
      <c r="BN1096" s="10">
        <f t="shared" si="1243"/>
        <v>0</v>
      </c>
      <c r="BO1096" s="10">
        <f t="shared" si="1243"/>
        <v>0</v>
      </c>
      <c r="BP1096" s="10">
        <f t="shared" si="1243"/>
        <v>0</v>
      </c>
      <c r="BQ1096" s="10">
        <f t="shared" si="1243"/>
        <v>0</v>
      </c>
      <c r="BR1096" s="10">
        <f t="shared" si="1243"/>
        <v>0</v>
      </c>
      <c r="BS1096" s="10">
        <f t="shared" si="1243"/>
        <v>0</v>
      </c>
      <c r="BT1096" s="10">
        <f t="shared" si="1243"/>
        <v>0</v>
      </c>
      <c r="BU1096" s="10">
        <f t="shared" si="1243"/>
        <v>0</v>
      </c>
      <c r="BV1096" s="10">
        <f t="shared" si="1243"/>
        <v>0</v>
      </c>
      <c r="BW1096" s="10">
        <f t="shared" si="1243"/>
        <v>0</v>
      </c>
      <c r="BY1096" s="12"/>
      <c r="BZ1096" s="335"/>
      <c r="CA1096" s="12"/>
      <c r="CB1096" s="335"/>
      <c r="CC1096" s="335"/>
      <c r="CD1096" s="335"/>
      <c r="CE1096" s="335"/>
      <c r="CJ1096" s="162"/>
      <c r="CM1096" s="335"/>
      <c r="CN1096" s="335"/>
      <c r="CO1096" s="335"/>
      <c r="CP1096" s="335"/>
      <c r="CR1096" s="12"/>
      <c r="CT1096" s="335"/>
      <c r="CU1096" s="335"/>
      <c r="EW1096" s="335"/>
      <c r="EX1096" s="13" t="str">
        <f>IF($C1096="","",CONCATENATE(D1095," ", D1096))</f>
        <v/>
      </c>
    </row>
    <row r="1097" spans="3:154" s="67" customFormat="1" x14ac:dyDescent="0.25">
      <c r="C1097" s="380"/>
      <c r="D1097" s="48" t="s">
        <v>288</v>
      </c>
      <c r="E1097" s="1"/>
      <c r="G1097" s="9"/>
      <c r="H1097" s="50" t="s">
        <v>125</v>
      </c>
      <c r="S1097" s="335"/>
      <c r="T1097" s="335"/>
      <c r="U1097" s="335"/>
      <c r="V1097" s="10">
        <f t="shared" si="1238"/>
        <v>0</v>
      </c>
      <c r="W1097" s="10">
        <f t="shared" si="1238"/>
        <v>0</v>
      </c>
      <c r="X1097" s="10">
        <f t="shared" si="1238"/>
        <v>0</v>
      </c>
      <c r="Y1097" s="10">
        <f t="shared" si="1238"/>
        <v>0</v>
      </c>
      <c r="AA1097" s="10">
        <f t="shared" si="1239"/>
        <v>0</v>
      </c>
      <c r="AB1097" s="10">
        <f t="shared" si="1239"/>
        <v>0</v>
      </c>
      <c r="AC1097" s="10">
        <f t="shared" si="1239"/>
        <v>0</v>
      </c>
      <c r="AD1097" s="10">
        <f t="shared" si="1239"/>
        <v>0</v>
      </c>
      <c r="AE1097" s="10">
        <f t="shared" si="1239"/>
        <v>0</v>
      </c>
      <c r="AF1097" s="10">
        <f t="shared" si="1239"/>
        <v>0</v>
      </c>
      <c r="AG1097" s="10">
        <f t="shared" si="1239"/>
        <v>0</v>
      </c>
      <c r="AH1097" s="10">
        <f t="shared" si="1239"/>
        <v>0</v>
      </c>
      <c r="AI1097" s="10">
        <f t="shared" si="1239"/>
        <v>0</v>
      </c>
      <c r="AJ1097" s="10">
        <f t="shared" si="1239"/>
        <v>0</v>
      </c>
      <c r="AK1097" s="10">
        <f t="shared" si="1240"/>
        <v>0</v>
      </c>
      <c r="AL1097" s="10">
        <f t="shared" si="1240"/>
        <v>0</v>
      </c>
      <c r="AM1097" s="10">
        <f t="shared" si="1240"/>
        <v>0</v>
      </c>
      <c r="AN1097" s="10">
        <f t="shared" si="1240"/>
        <v>0</v>
      </c>
      <c r="AO1097" s="10">
        <f t="shared" si="1240"/>
        <v>0</v>
      </c>
      <c r="AP1097" s="10">
        <f t="shared" si="1240"/>
        <v>0</v>
      </c>
      <c r="AQ1097" s="10">
        <f t="shared" si="1240"/>
        <v>0</v>
      </c>
      <c r="AR1097" s="10">
        <f t="shared" si="1240"/>
        <v>0</v>
      </c>
      <c r="AS1097" s="10">
        <f t="shared" si="1240"/>
        <v>0</v>
      </c>
      <c r="AT1097" s="10">
        <f t="shared" si="1240"/>
        <v>0</v>
      </c>
      <c r="AU1097" s="10">
        <f t="shared" si="1241"/>
        <v>0</v>
      </c>
      <c r="AV1097" s="10">
        <f t="shared" si="1241"/>
        <v>0</v>
      </c>
      <c r="AW1097" s="10">
        <f t="shared" si="1241"/>
        <v>0</v>
      </c>
      <c r="AX1097" s="10">
        <f t="shared" si="1241"/>
        <v>0</v>
      </c>
      <c r="AY1097" s="10">
        <f t="shared" si="1241"/>
        <v>0</v>
      </c>
      <c r="AZ1097" s="10">
        <f t="shared" si="1241"/>
        <v>0</v>
      </c>
      <c r="BA1097" s="10">
        <f t="shared" si="1241"/>
        <v>0</v>
      </c>
      <c r="BB1097" s="10">
        <f t="shared" si="1241"/>
        <v>0</v>
      </c>
      <c r="BC1097" s="10">
        <f t="shared" si="1241"/>
        <v>0</v>
      </c>
      <c r="BD1097" s="10">
        <f t="shared" si="1241"/>
        <v>0</v>
      </c>
      <c r="BE1097" s="10">
        <f t="shared" si="1242"/>
        <v>0</v>
      </c>
      <c r="BF1097" s="10">
        <f t="shared" si="1242"/>
        <v>0</v>
      </c>
      <c r="BG1097" s="10">
        <f t="shared" si="1242"/>
        <v>0</v>
      </c>
      <c r="BH1097" s="10">
        <f t="shared" si="1242"/>
        <v>0</v>
      </c>
      <c r="BI1097" s="10">
        <f t="shared" si="1242"/>
        <v>0</v>
      </c>
      <c r="BJ1097" s="10">
        <f t="shared" si="1242"/>
        <v>0</v>
      </c>
      <c r="BL1097" s="10">
        <f t="shared" si="1243"/>
        <v>0</v>
      </c>
      <c r="BM1097" s="10">
        <f t="shared" si="1243"/>
        <v>0</v>
      </c>
      <c r="BN1097" s="10">
        <f t="shared" si="1243"/>
        <v>0</v>
      </c>
      <c r="BO1097" s="10">
        <f t="shared" si="1243"/>
        <v>0</v>
      </c>
      <c r="BP1097" s="10">
        <f t="shared" si="1243"/>
        <v>0</v>
      </c>
      <c r="BQ1097" s="10">
        <f t="shared" si="1243"/>
        <v>0</v>
      </c>
      <c r="BR1097" s="10">
        <f t="shared" si="1243"/>
        <v>0</v>
      </c>
      <c r="BS1097" s="10">
        <f t="shared" si="1243"/>
        <v>0</v>
      </c>
      <c r="BT1097" s="10">
        <f t="shared" si="1243"/>
        <v>0</v>
      </c>
      <c r="BU1097" s="10">
        <f t="shared" si="1243"/>
        <v>0</v>
      </c>
      <c r="BV1097" s="10">
        <f t="shared" si="1243"/>
        <v>0</v>
      </c>
      <c r="BW1097" s="10">
        <f t="shared" si="1243"/>
        <v>0</v>
      </c>
      <c r="BY1097" s="12"/>
      <c r="BZ1097" s="335"/>
      <c r="CA1097" s="12"/>
      <c r="CB1097" s="335"/>
      <c r="CC1097" s="335"/>
      <c r="CD1097" s="335"/>
      <c r="CE1097" s="335"/>
      <c r="CJ1097" s="162"/>
      <c r="CM1097" s="335"/>
      <c r="CN1097" s="335"/>
      <c r="CO1097" s="335"/>
      <c r="CP1097" s="335"/>
      <c r="CR1097" s="12"/>
      <c r="CT1097" s="335"/>
      <c r="CU1097" s="335"/>
      <c r="EW1097" s="335"/>
      <c r="EX1097" s="13" t="str">
        <f>IF($C1097="","",CONCATENATE(D1095," ", D1097))</f>
        <v/>
      </c>
    </row>
    <row r="1098" spans="3:154" s="67" customFormat="1" x14ac:dyDescent="0.25">
      <c r="C1098" s="380"/>
      <c r="D1098" s="48" t="s">
        <v>215</v>
      </c>
      <c r="E1098" s="1"/>
      <c r="G1098" s="9"/>
      <c r="H1098" s="50" t="s">
        <v>125</v>
      </c>
      <c r="S1098" s="335"/>
      <c r="T1098" s="335"/>
      <c r="U1098" s="335"/>
      <c r="V1098" s="10">
        <f t="shared" si="1238"/>
        <v>0</v>
      </c>
      <c r="W1098" s="10">
        <f t="shared" si="1238"/>
        <v>0</v>
      </c>
      <c r="X1098" s="10">
        <f t="shared" si="1238"/>
        <v>0</v>
      </c>
      <c r="Y1098" s="10">
        <f t="shared" si="1238"/>
        <v>0</v>
      </c>
      <c r="AA1098" s="10">
        <f t="shared" si="1239"/>
        <v>0</v>
      </c>
      <c r="AB1098" s="10">
        <f t="shared" si="1239"/>
        <v>0</v>
      </c>
      <c r="AC1098" s="10">
        <f t="shared" si="1239"/>
        <v>0</v>
      </c>
      <c r="AD1098" s="10">
        <f t="shared" si="1239"/>
        <v>0</v>
      </c>
      <c r="AE1098" s="10">
        <f t="shared" si="1239"/>
        <v>0</v>
      </c>
      <c r="AF1098" s="10">
        <f t="shared" si="1239"/>
        <v>0</v>
      </c>
      <c r="AG1098" s="10">
        <f t="shared" si="1239"/>
        <v>0</v>
      </c>
      <c r="AH1098" s="10">
        <f t="shared" si="1239"/>
        <v>0</v>
      </c>
      <c r="AI1098" s="10">
        <f t="shared" si="1239"/>
        <v>0</v>
      </c>
      <c r="AJ1098" s="10">
        <f t="shared" si="1239"/>
        <v>0</v>
      </c>
      <c r="AK1098" s="10">
        <f t="shared" si="1240"/>
        <v>0</v>
      </c>
      <c r="AL1098" s="10">
        <f t="shared" si="1240"/>
        <v>0</v>
      </c>
      <c r="AM1098" s="10">
        <f t="shared" si="1240"/>
        <v>0</v>
      </c>
      <c r="AN1098" s="10">
        <f t="shared" si="1240"/>
        <v>0</v>
      </c>
      <c r="AO1098" s="10">
        <f t="shared" si="1240"/>
        <v>0</v>
      </c>
      <c r="AP1098" s="10">
        <f t="shared" si="1240"/>
        <v>0</v>
      </c>
      <c r="AQ1098" s="10">
        <f t="shared" si="1240"/>
        <v>0</v>
      </c>
      <c r="AR1098" s="10">
        <f t="shared" si="1240"/>
        <v>0</v>
      </c>
      <c r="AS1098" s="10">
        <f t="shared" si="1240"/>
        <v>0</v>
      </c>
      <c r="AT1098" s="10">
        <f t="shared" si="1240"/>
        <v>0</v>
      </c>
      <c r="AU1098" s="10">
        <f t="shared" si="1241"/>
        <v>0</v>
      </c>
      <c r="AV1098" s="10">
        <f t="shared" si="1241"/>
        <v>0</v>
      </c>
      <c r="AW1098" s="10">
        <f t="shared" si="1241"/>
        <v>0</v>
      </c>
      <c r="AX1098" s="10">
        <f t="shared" si="1241"/>
        <v>0</v>
      </c>
      <c r="AY1098" s="10">
        <f t="shared" si="1241"/>
        <v>0</v>
      </c>
      <c r="AZ1098" s="10">
        <f t="shared" si="1241"/>
        <v>0</v>
      </c>
      <c r="BA1098" s="10">
        <f t="shared" si="1241"/>
        <v>0</v>
      </c>
      <c r="BB1098" s="10">
        <f t="shared" si="1241"/>
        <v>0</v>
      </c>
      <c r="BC1098" s="10">
        <f t="shared" si="1241"/>
        <v>0</v>
      </c>
      <c r="BD1098" s="10">
        <f t="shared" si="1241"/>
        <v>0</v>
      </c>
      <c r="BE1098" s="10">
        <f t="shared" si="1242"/>
        <v>0</v>
      </c>
      <c r="BF1098" s="10">
        <f t="shared" si="1242"/>
        <v>0</v>
      </c>
      <c r="BG1098" s="10">
        <f t="shared" si="1242"/>
        <v>0</v>
      </c>
      <c r="BH1098" s="10">
        <f t="shared" si="1242"/>
        <v>0</v>
      </c>
      <c r="BI1098" s="10">
        <f t="shared" si="1242"/>
        <v>0</v>
      </c>
      <c r="BJ1098" s="10">
        <f t="shared" si="1242"/>
        <v>0</v>
      </c>
      <c r="BL1098" s="10">
        <f t="shared" si="1243"/>
        <v>0</v>
      </c>
      <c r="BM1098" s="10">
        <f t="shared" si="1243"/>
        <v>0</v>
      </c>
      <c r="BN1098" s="10">
        <f t="shared" si="1243"/>
        <v>0</v>
      </c>
      <c r="BO1098" s="10">
        <f t="shared" si="1243"/>
        <v>0</v>
      </c>
      <c r="BP1098" s="10">
        <f t="shared" si="1243"/>
        <v>0</v>
      </c>
      <c r="BQ1098" s="10">
        <f t="shared" si="1243"/>
        <v>0</v>
      </c>
      <c r="BR1098" s="10">
        <f t="shared" si="1243"/>
        <v>0</v>
      </c>
      <c r="BS1098" s="10">
        <f t="shared" si="1243"/>
        <v>0</v>
      </c>
      <c r="BT1098" s="10">
        <f t="shared" si="1243"/>
        <v>0</v>
      </c>
      <c r="BU1098" s="10">
        <f t="shared" si="1243"/>
        <v>0</v>
      </c>
      <c r="BV1098" s="10">
        <f t="shared" si="1243"/>
        <v>0</v>
      </c>
      <c r="BW1098" s="10">
        <f t="shared" si="1243"/>
        <v>0</v>
      </c>
      <c r="BY1098" s="12"/>
      <c r="BZ1098" s="335"/>
      <c r="CA1098" s="12"/>
      <c r="CB1098" s="335"/>
      <c r="CC1098" s="335"/>
      <c r="CD1098" s="335"/>
      <c r="CE1098" s="335"/>
      <c r="CJ1098" s="162"/>
      <c r="CM1098" s="335"/>
      <c r="CN1098" s="335"/>
      <c r="CO1098" s="335"/>
      <c r="CP1098" s="335"/>
      <c r="CR1098" s="12"/>
      <c r="CT1098" s="335"/>
      <c r="CU1098" s="335"/>
      <c r="EW1098" s="335"/>
      <c r="EX1098" s="13" t="str">
        <f>IF($C1098="","",CONCATENATE(D1095," ", D1098))</f>
        <v/>
      </c>
    </row>
    <row r="1099" spans="3:154" s="67" customFormat="1" x14ac:dyDescent="0.25">
      <c r="C1099" s="380"/>
      <c r="D1099" s="5" t="s">
        <v>391</v>
      </c>
      <c r="E1099" s="27"/>
      <c r="F1099" s="5"/>
      <c r="G1099" s="116"/>
      <c r="H1099" s="128" t="s">
        <v>125</v>
      </c>
      <c r="S1099" s="335"/>
      <c r="T1099" s="335"/>
      <c r="U1099" s="335"/>
      <c r="V1099" s="13">
        <f>SUM(V1096:V1098)</f>
        <v>0</v>
      </c>
      <c r="W1099" s="13">
        <f>SUM(W1096:W1098)</f>
        <v>0</v>
      </c>
      <c r="X1099" s="13">
        <f>SUM(X1096:X1098)</f>
        <v>0</v>
      </c>
      <c r="Y1099" s="13">
        <f>SUM(Y1096:Y1098)</f>
        <v>0</v>
      </c>
      <c r="AA1099" s="13">
        <f t="shared" ref="AA1099:BJ1099" si="1244">SUM(AA1096:AA1098)</f>
        <v>0</v>
      </c>
      <c r="AB1099" s="13">
        <f t="shared" si="1244"/>
        <v>0</v>
      </c>
      <c r="AC1099" s="13">
        <f t="shared" si="1244"/>
        <v>0</v>
      </c>
      <c r="AD1099" s="13">
        <f t="shared" si="1244"/>
        <v>0</v>
      </c>
      <c r="AE1099" s="13">
        <f t="shared" si="1244"/>
        <v>0</v>
      </c>
      <c r="AF1099" s="13">
        <f t="shared" si="1244"/>
        <v>0</v>
      </c>
      <c r="AG1099" s="13">
        <f t="shared" si="1244"/>
        <v>0</v>
      </c>
      <c r="AH1099" s="13">
        <f t="shared" si="1244"/>
        <v>0</v>
      </c>
      <c r="AI1099" s="13">
        <f t="shared" si="1244"/>
        <v>0</v>
      </c>
      <c r="AJ1099" s="13">
        <f t="shared" si="1244"/>
        <v>0</v>
      </c>
      <c r="AK1099" s="13">
        <f t="shared" si="1244"/>
        <v>0</v>
      </c>
      <c r="AL1099" s="13">
        <f t="shared" si="1244"/>
        <v>0</v>
      </c>
      <c r="AM1099" s="13">
        <f t="shared" si="1244"/>
        <v>0</v>
      </c>
      <c r="AN1099" s="13">
        <f t="shared" si="1244"/>
        <v>0</v>
      </c>
      <c r="AO1099" s="13">
        <f t="shared" si="1244"/>
        <v>0</v>
      </c>
      <c r="AP1099" s="13">
        <f t="shared" si="1244"/>
        <v>0</v>
      </c>
      <c r="AQ1099" s="13">
        <f t="shared" si="1244"/>
        <v>0</v>
      </c>
      <c r="AR1099" s="13">
        <f t="shared" si="1244"/>
        <v>0</v>
      </c>
      <c r="AS1099" s="13">
        <f t="shared" si="1244"/>
        <v>0</v>
      </c>
      <c r="AT1099" s="13">
        <f t="shared" si="1244"/>
        <v>0</v>
      </c>
      <c r="AU1099" s="13">
        <f t="shared" si="1244"/>
        <v>0</v>
      </c>
      <c r="AV1099" s="13">
        <f t="shared" si="1244"/>
        <v>0</v>
      </c>
      <c r="AW1099" s="13">
        <f t="shared" si="1244"/>
        <v>0</v>
      </c>
      <c r="AX1099" s="13">
        <f t="shared" si="1244"/>
        <v>0</v>
      </c>
      <c r="AY1099" s="13">
        <f t="shared" si="1244"/>
        <v>0</v>
      </c>
      <c r="AZ1099" s="13">
        <f t="shared" si="1244"/>
        <v>0</v>
      </c>
      <c r="BA1099" s="13">
        <f t="shared" si="1244"/>
        <v>0</v>
      </c>
      <c r="BB1099" s="13">
        <f t="shared" si="1244"/>
        <v>0</v>
      </c>
      <c r="BC1099" s="13">
        <f t="shared" si="1244"/>
        <v>0</v>
      </c>
      <c r="BD1099" s="13">
        <f t="shared" si="1244"/>
        <v>0</v>
      </c>
      <c r="BE1099" s="13">
        <f t="shared" si="1244"/>
        <v>0</v>
      </c>
      <c r="BF1099" s="13">
        <f t="shared" si="1244"/>
        <v>0</v>
      </c>
      <c r="BG1099" s="13">
        <f t="shared" si="1244"/>
        <v>0</v>
      </c>
      <c r="BH1099" s="13">
        <f t="shared" si="1244"/>
        <v>0</v>
      </c>
      <c r="BI1099" s="13">
        <f t="shared" si="1244"/>
        <v>0</v>
      </c>
      <c r="BJ1099" s="13">
        <f t="shared" si="1244"/>
        <v>0</v>
      </c>
      <c r="BL1099" s="13">
        <f t="shared" ref="BL1099:BW1099" si="1245">SUM(BL1096:BL1098)</f>
        <v>0</v>
      </c>
      <c r="BM1099" s="13">
        <f t="shared" si="1245"/>
        <v>0</v>
      </c>
      <c r="BN1099" s="13">
        <f t="shared" si="1245"/>
        <v>0</v>
      </c>
      <c r="BO1099" s="13">
        <f t="shared" si="1245"/>
        <v>0</v>
      </c>
      <c r="BP1099" s="13">
        <f t="shared" si="1245"/>
        <v>0</v>
      </c>
      <c r="BQ1099" s="13">
        <f t="shared" si="1245"/>
        <v>0</v>
      </c>
      <c r="BR1099" s="13">
        <f t="shared" si="1245"/>
        <v>0</v>
      </c>
      <c r="BS1099" s="13">
        <f t="shared" si="1245"/>
        <v>0</v>
      </c>
      <c r="BT1099" s="13">
        <f t="shared" si="1245"/>
        <v>0</v>
      </c>
      <c r="BU1099" s="13">
        <f t="shared" si="1245"/>
        <v>0</v>
      </c>
      <c r="BV1099" s="13">
        <f t="shared" si="1245"/>
        <v>0</v>
      </c>
      <c r="BW1099" s="13">
        <f t="shared" si="1245"/>
        <v>0</v>
      </c>
      <c r="BY1099" s="12"/>
      <c r="BZ1099" s="335"/>
      <c r="CA1099" s="12"/>
      <c r="CB1099" s="335"/>
      <c r="CC1099" s="335"/>
      <c r="CD1099" s="335"/>
      <c r="CE1099" s="335"/>
      <c r="CJ1099" s="162"/>
      <c r="CM1099" s="335"/>
      <c r="CN1099" s="335"/>
      <c r="CO1099" s="335"/>
      <c r="CP1099" s="335"/>
      <c r="CR1099" s="12"/>
      <c r="CT1099" s="335"/>
      <c r="CU1099" s="335"/>
      <c r="EW1099" s="335"/>
      <c r="EX1099" s="13" t="str">
        <f>IF($C1099="","",CONCATENATE(D1095," ", D1099))</f>
        <v/>
      </c>
    </row>
    <row r="1100" spans="3:154" ht="6.6" customHeight="1" x14ac:dyDescent="0.25">
      <c r="C1100" s="380"/>
      <c r="D1100" s="1"/>
      <c r="E1100" s="11"/>
      <c r="S1100" s="335"/>
      <c r="T1100" s="335"/>
      <c r="U1100" s="335"/>
      <c r="W1100" s="67"/>
      <c r="X1100" s="67"/>
      <c r="Y1100" s="67"/>
      <c r="Z1100" s="67"/>
      <c r="AA1100" s="67"/>
      <c r="AB1100" s="67"/>
      <c r="AC1100" s="67"/>
      <c r="AD1100" s="67"/>
      <c r="AE1100" s="67"/>
      <c r="AF1100" s="67"/>
      <c r="AG1100" s="67"/>
      <c r="AH1100" s="67"/>
      <c r="AI1100" s="67"/>
      <c r="AJ1100" s="67"/>
      <c r="AK1100" s="67"/>
      <c r="AL1100" s="67"/>
      <c r="AM1100" s="67"/>
      <c r="AN1100" s="67"/>
      <c r="AO1100" s="67"/>
      <c r="AP1100" s="67"/>
      <c r="AQ1100" s="67"/>
      <c r="AR1100" s="67"/>
      <c r="AS1100" s="67"/>
      <c r="AT1100" s="67"/>
      <c r="AU1100" s="67"/>
      <c r="AV1100" s="67"/>
      <c r="AW1100" s="67"/>
      <c r="AX1100" s="67"/>
      <c r="AY1100" s="67"/>
      <c r="AZ1100" s="67"/>
      <c r="BA1100" s="67"/>
      <c r="BB1100" s="67"/>
      <c r="BC1100" s="67"/>
      <c r="BD1100" s="67"/>
      <c r="BE1100" s="67"/>
      <c r="BF1100" s="67"/>
      <c r="BG1100" s="67"/>
      <c r="BH1100" s="67"/>
      <c r="BI1100" s="67"/>
      <c r="BJ1100" s="67"/>
      <c r="BK1100" s="67"/>
      <c r="BL1100" s="67"/>
      <c r="BM1100" s="67"/>
      <c r="BN1100" s="67"/>
      <c r="BO1100" s="67"/>
      <c r="BP1100" s="67"/>
      <c r="BQ1100" s="67"/>
      <c r="BR1100" s="67"/>
      <c r="BS1100" s="67"/>
      <c r="BT1100" s="67"/>
      <c r="BU1100" s="67"/>
      <c r="BV1100" s="67"/>
      <c r="BW1100" s="67"/>
      <c r="BY1100" s="42"/>
      <c r="CA1100" s="42"/>
      <c r="CJ1100" s="162"/>
      <c r="CR1100" s="42"/>
      <c r="EX1100" s="10" t="str">
        <f t="shared" si="1218"/>
        <v/>
      </c>
    </row>
    <row r="1101" spans="3:154" x14ac:dyDescent="0.25">
      <c r="C1101" s="380"/>
      <c r="D1101" s="61" t="s">
        <v>1570</v>
      </c>
      <c r="S1101" s="335"/>
      <c r="T1101" s="335"/>
      <c r="U1101" s="335"/>
      <c r="W1101" s="67"/>
      <c r="X1101" s="67"/>
      <c r="Y1101" s="67"/>
      <c r="Z1101" s="67"/>
      <c r="AA1101" s="67"/>
      <c r="AB1101" s="67"/>
      <c r="AC1101" s="67"/>
      <c r="AD1101" s="67"/>
      <c r="AE1101" s="67"/>
      <c r="AF1101" s="67"/>
      <c r="AG1101" s="67"/>
      <c r="AH1101" s="67"/>
      <c r="AI1101" s="67"/>
      <c r="AJ1101" s="67"/>
      <c r="AK1101" s="67"/>
      <c r="AL1101" s="67"/>
      <c r="AM1101" s="67"/>
      <c r="AN1101" s="67"/>
      <c r="AO1101" s="67"/>
      <c r="AP1101" s="67"/>
      <c r="AQ1101" s="67"/>
      <c r="AR1101" s="67"/>
      <c r="AS1101" s="67"/>
      <c r="AT1101" s="67"/>
      <c r="AU1101" s="67"/>
      <c r="AV1101" s="67"/>
      <c r="AW1101" s="67"/>
      <c r="AX1101" s="67"/>
      <c r="AY1101" s="67"/>
      <c r="AZ1101" s="67"/>
      <c r="BA1101" s="67"/>
      <c r="BB1101" s="67"/>
      <c r="BC1101" s="67"/>
      <c r="BD1101" s="67"/>
      <c r="BE1101" s="67"/>
      <c r="BF1101" s="67"/>
      <c r="BG1101" s="67"/>
      <c r="BH1101" s="67"/>
      <c r="BI1101" s="67"/>
      <c r="BJ1101" s="67"/>
      <c r="BK1101" s="67"/>
      <c r="BL1101" s="67"/>
      <c r="BM1101" s="67"/>
      <c r="BN1101" s="67"/>
      <c r="BO1101" s="67"/>
      <c r="BP1101" s="67"/>
      <c r="BQ1101" s="67"/>
      <c r="BR1101" s="67"/>
      <c r="BS1101" s="67"/>
      <c r="BT1101" s="67"/>
      <c r="BU1101" s="67"/>
      <c r="BV1101" s="67"/>
      <c r="BW1101" s="67"/>
      <c r="BY1101" s="12"/>
      <c r="CA1101" s="12"/>
      <c r="CJ1101" s="162"/>
      <c r="CR1101" s="12"/>
      <c r="EX1101" s="10" t="str">
        <f t="shared" si="1218"/>
        <v/>
      </c>
    </row>
    <row r="1102" spans="3:154" x14ac:dyDescent="0.25">
      <c r="C1102" s="380"/>
      <c r="D1102" s="232" t="s">
        <v>123</v>
      </c>
      <c r="G1102" s="9"/>
      <c r="H1102" s="50" t="s">
        <v>157</v>
      </c>
      <c r="S1102" s="335"/>
      <c r="T1102" s="335"/>
      <c r="U1102" s="335"/>
      <c r="V1102" s="201">
        <f>SUMIFS(V$968:V$987, $E$968:$E$987, $D1102)</f>
        <v>0</v>
      </c>
      <c r="W1102" s="201">
        <f t="shared" ref="W1102:BW1104" si="1246">SUMIFS(W$968:W$987, $E$968:$E$987, $D1102)</f>
        <v>0</v>
      </c>
      <c r="X1102" s="201">
        <f t="shared" si="1246"/>
        <v>0</v>
      </c>
      <c r="Y1102" s="201">
        <f t="shared" si="1246"/>
        <v>0</v>
      </c>
      <c r="Z1102" s="335"/>
      <c r="AA1102" s="201">
        <f t="shared" si="1246"/>
        <v>0</v>
      </c>
      <c r="AB1102" s="201">
        <f t="shared" si="1246"/>
        <v>0</v>
      </c>
      <c r="AC1102" s="201">
        <f t="shared" si="1246"/>
        <v>0</v>
      </c>
      <c r="AD1102" s="201">
        <f t="shared" si="1246"/>
        <v>0</v>
      </c>
      <c r="AE1102" s="201">
        <f t="shared" si="1246"/>
        <v>0</v>
      </c>
      <c r="AF1102" s="201">
        <f t="shared" si="1246"/>
        <v>0</v>
      </c>
      <c r="AG1102" s="201">
        <f t="shared" si="1246"/>
        <v>0</v>
      </c>
      <c r="AH1102" s="201">
        <f t="shared" si="1246"/>
        <v>0</v>
      </c>
      <c r="AI1102" s="201">
        <f t="shared" si="1246"/>
        <v>0</v>
      </c>
      <c r="AJ1102" s="201">
        <f t="shared" si="1246"/>
        <v>0</v>
      </c>
      <c r="AK1102" s="201">
        <f t="shared" si="1246"/>
        <v>0</v>
      </c>
      <c r="AL1102" s="201">
        <f t="shared" si="1246"/>
        <v>0</v>
      </c>
      <c r="AM1102" s="201">
        <f t="shared" si="1246"/>
        <v>0</v>
      </c>
      <c r="AN1102" s="201">
        <f t="shared" si="1246"/>
        <v>0</v>
      </c>
      <c r="AO1102" s="201">
        <f t="shared" si="1246"/>
        <v>0</v>
      </c>
      <c r="AP1102" s="201">
        <f t="shared" si="1246"/>
        <v>0</v>
      </c>
      <c r="AQ1102" s="201">
        <f t="shared" si="1246"/>
        <v>0</v>
      </c>
      <c r="AR1102" s="201">
        <f t="shared" si="1246"/>
        <v>0</v>
      </c>
      <c r="AS1102" s="201">
        <f t="shared" si="1246"/>
        <v>0</v>
      </c>
      <c r="AT1102" s="201">
        <f t="shared" si="1246"/>
        <v>0</v>
      </c>
      <c r="AU1102" s="201">
        <f t="shared" si="1246"/>
        <v>0</v>
      </c>
      <c r="AV1102" s="201">
        <f t="shared" si="1246"/>
        <v>0</v>
      </c>
      <c r="AW1102" s="201">
        <f t="shared" si="1246"/>
        <v>0</v>
      </c>
      <c r="AX1102" s="201">
        <f t="shared" si="1246"/>
        <v>0</v>
      </c>
      <c r="AY1102" s="201">
        <f t="shared" si="1246"/>
        <v>0</v>
      </c>
      <c r="AZ1102" s="201">
        <f t="shared" si="1246"/>
        <v>0</v>
      </c>
      <c r="BA1102" s="201">
        <f t="shared" si="1246"/>
        <v>0</v>
      </c>
      <c r="BB1102" s="201">
        <f t="shared" si="1246"/>
        <v>0</v>
      </c>
      <c r="BC1102" s="201">
        <f t="shared" si="1246"/>
        <v>0</v>
      </c>
      <c r="BD1102" s="201">
        <f t="shared" si="1246"/>
        <v>0</v>
      </c>
      <c r="BE1102" s="201">
        <f t="shared" si="1246"/>
        <v>0</v>
      </c>
      <c r="BF1102" s="201">
        <f t="shared" si="1246"/>
        <v>0</v>
      </c>
      <c r="BG1102" s="201">
        <f t="shared" si="1246"/>
        <v>0</v>
      </c>
      <c r="BH1102" s="201">
        <f t="shared" si="1246"/>
        <v>0</v>
      </c>
      <c r="BI1102" s="201">
        <f t="shared" si="1246"/>
        <v>0</v>
      </c>
      <c r="BJ1102" s="201">
        <f t="shared" si="1246"/>
        <v>0</v>
      </c>
      <c r="BK1102" s="335"/>
      <c r="BL1102" s="201">
        <f t="shared" si="1246"/>
        <v>0</v>
      </c>
      <c r="BM1102" s="201">
        <f t="shared" si="1246"/>
        <v>0</v>
      </c>
      <c r="BN1102" s="201">
        <f t="shared" si="1246"/>
        <v>0</v>
      </c>
      <c r="BO1102" s="201">
        <f t="shared" si="1246"/>
        <v>0</v>
      </c>
      <c r="BP1102" s="201">
        <f t="shared" si="1246"/>
        <v>0</v>
      </c>
      <c r="BQ1102" s="201">
        <f t="shared" si="1246"/>
        <v>0</v>
      </c>
      <c r="BR1102" s="201">
        <f t="shared" si="1246"/>
        <v>0</v>
      </c>
      <c r="BS1102" s="201">
        <f t="shared" si="1246"/>
        <v>0</v>
      </c>
      <c r="BT1102" s="201">
        <f t="shared" si="1246"/>
        <v>0</v>
      </c>
      <c r="BU1102" s="201">
        <f t="shared" si="1246"/>
        <v>0</v>
      </c>
      <c r="BV1102" s="201">
        <f t="shared" si="1246"/>
        <v>0</v>
      </c>
      <c r="BW1102" s="201">
        <f t="shared" si="1246"/>
        <v>0</v>
      </c>
      <c r="BY1102" s="12"/>
      <c r="CA1102" s="12"/>
      <c r="CJ1102" s="162"/>
      <c r="CR1102" s="12"/>
      <c r="EX1102" s="13" t="str">
        <f>IF($C1102="","",CONCATENATE(D1101," ", D1102))</f>
        <v/>
      </c>
    </row>
    <row r="1103" spans="3:154" x14ac:dyDescent="0.25">
      <c r="C1103" s="380"/>
      <c r="D1103" s="48" t="s">
        <v>288</v>
      </c>
      <c r="G1103" s="9"/>
      <c r="H1103" s="50" t="s">
        <v>157</v>
      </c>
      <c r="S1103" s="335"/>
      <c r="T1103" s="335"/>
      <c r="U1103" s="335"/>
      <c r="V1103" s="201">
        <f t="shared" ref="V1103:AK1104" si="1247">SUMIFS(V$968:V$987, $E$968:$E$987, $D1103)</f>
        <v>0</v>
      </c>
      <c r="W1103" s="201">
        <f t="shared" si="1247"/>
        <v>0</v>
      </c>
      <c r="X1103" s="201">
        <f t="shared" si="1247"/>
        <v>0</v>
      </c>
      <c r="Y1103" s="201">
        <f t="shared" si="1247"/>
        <v>0</v>
      </c>
      <c r="Z1103" s="335"/>
      <c r="AA1103" s="201">
        <f t="shared" si="1247"/>
        <v>0</v>
      </c>
      <c r="AB1103" s="201">
        <f t="shared" si="1247"/>
        <v>0</v>
      </c>
      <c r="AC1103" s="201">
        <f t="shared" si="1247"/>
        <v>0</v>
      </c>
      <c r="AD1103" s="201">
        <f t="shared" si="1247"/>
        <v>0</v>
      </c>
      <c r="AE1103" s="201">
        <f t="shared" si="1247"/>
        <v>0</v>
      </c>
      <c r="AF1103" s="201">
        <f t="shared" si="1247"/>
        <v>0</v>
      </c>
      <c r="AG1103" s="201">
        <f t="shared" si="1247"/>
        <v>0</v>
      </c>
      <c r="AH1103" s="201">
        <f t="shared" si="1247"/>
        <v>0</v>
      </c>
      <c r="AI1103" s="201">
        <f t="shared" si="1247"/>
        <v>0</v>
      </c>
      <c r="AJ1103" s="201">
        <f t="shared" si="1247"/>
        <v>0</v>
      </c>
      <c r="AK1103" s="201">
        <f t="shared" si="1247"/>
        <v>0</v>
      </c>
      <c r="AL1103" s="201">
        <f t="shared" si="1246"/>
        <v>0</v>
      </c>
      <c r="AM1103" s="201">
        <f t="shared" si="1246"/>
        <v>0</v>
      </c>
      <c r="AN1103" s="201">
        <f t="shared" si="1246"/>
        <v>0</v>
      </c>
      <c r="AO1103" s="201">
        <f t="shared" si="1246"/>
        <v>0</v>
      </c>
      <c r="AP1103" s="201">
        <f t="shared" si="1246"/>
        <v>0</v>
      </c>
      <c r="AQ1103" s="201">
        <f t="shared" si="1246"/>
        <v>0</v>
      </c>
      <c r="AR1103" s="201">
        <f t="shared" si="1246"/>
        <v>0</v>
      </c>
      <c r="AS1103" s="201">
        <f t="shared" si="1246"/>
        <v>0</v>
      </c>
      <c r="AT1103" s="201">
        <f t="shared" si="1246"/>
        <v>0</v>
      </c>
      <c r="AU1103" s="201">
        <f t="shared" si="1246"/>
        <v>0</v>
      </c>
      <c r="AV1103" s="201">
        <f t="shared" si="1246"/>
        <v>0</v>
      </c>
      <c r="AW1103" s="201">
        <f t="shared" si="1246"/>
        <v>0</v>
      </c>
      <c r="AX1103" s="201">
        <f t="shared" si="1246"/>
        <v>0</v>
      </c>
      <c r="AY1103" s="201">
        <f t="shared" si="1246"/>
        <v>0</v>
      </c>
      <c r="AZ1103" s="201">
        <f t="shared" si="1246"/>
        <v>0</v>
      </c>
      <c r="BA1103" s="201">
        <f t="shared" si="1246"/>
        <v>0</v>
      </c>
      <c r="BB1103" s="201">
        <f t="shared" si="1246"/>
        <v>0</v>
      </c>
      <c r="BC1103" s="201">
        <f t="shared" si="1246"/>
        <v>0</v>
      </c>
      <c r="BD1103" s="201">
        <f t="shared" si="1246"/>
        <v>0</v>
      </c>
      <c r="BE1103" s="201">
        <f t="shared" si="1246"/>
        <v>0</v>
      </c>
      <c r="BF1103" s="201">
        <f t="shared" si="1246"/>
        <v>0</v>
      </c>
      <c r="BG1103" s="201">
        <f t="shared" si="1246"/>
        <v>0</v>
      </c>
      <c r="BH1103" s="201">
        <f t="shared" si="1246"/>
        <v>0</v>
      </c>
      <c r="BI1103" s="201">
        <f t="shared" si="1246"/>
        <v>0</v>
      </c>
      <c r="BJ1103" s="201">
        <f t="shared" si="1246"/>
        <v>0</v>
      </c>
      <c r="BK1103" s="335"/>
      <c r="BL1103" s="201">
        <f t="shared" si="1246"/>
        <v>0</v>
      </c>
      <c r="BM1103" s="201">
        <f t="shared" si="1246"/>
        <v>0</v>
      </c>
      <c r="BN1103" s="201">
        <f t="shared" si="1246"/>
        <v>0</v>
      </c>
      <c r="BO1103" s="201">
        <f t="shared" si="1246"/>
        <v>0</v>
      </c>
      <c r="BP1103" s="201">
        <f t="shared" si="1246"/>
        <v>0</v>
      </c>
      <c r="BQ1103" s="201">
        <f t="shared" si="1246"/>
        <v>0</v>
      </c>
      <c r="BR1103" s="201">
        <f t="shared" si="1246"/>
        <v>0</v>
      </c>
      <c r="BS1103" s="201">
        <f t="shared" si="1246"/>
        <v>0</v>
      </c>
      <c r="BT1103" s="201">
        <f t="shared" si="1246"/>
        <v>0</v>
      </c>
      <c r="BU1103" s="201">
        <f t="shared" si="1246"/>
        <v>0</v>
      </c>
      <c r="BV1103" s="201">
        <f t="shared" si="1246"/>
        <v>0</v>
      </c>
      <c r="BW1103" s="201">
        <f t="shared" si="1246"/>
        <v>0</v>
      </c>
      <c r="BY1103" s="12"/>
      <c r="CA1103" s="12"/>
      <c r="CJ1103" s="162"/>
      <c r="CR1103" s="12"/>
      <c r="EX1103" s="13" t="str">
        <f>IF($C1103="","",CONCATENATE(D1101," ", D1103))</f>
        <v/>
      </c>
    </row>
    <row r="1104" spans="3:154" x14ac:dyDescent="0.25">
      <c r="C1104" s="380"/>
      <c r="D1104" s="48" t="s">
        <v>215</v>
      </c>
      <c r="G1104" s="9"/>
      <c r="H1104" s="50" t="s">
        <v>157</v>
      </c>
      <c r="S1104" s="335"/>
      <c r="T1104" s="335"/>
      <c r="U1104" s="335"/>
      <c r="V1104" s="201">
        <f t="shared" si="1247"/>
        <v>0</v>
      </c>
      <c r="W1104" s="201">
        <f t="shared" si="1246"/>
        <v>-341</v>
      </c>
      <c r="X1104" s="201">
        <f t="shared" si="1246"/>
        <v>-284</v>
      </c>
      <c r="Y1104" s="201">
        <f t="shared" si="1246"/>
        <v>-284</v>
      </c>
      <c r="Z1104" s="335"/>
      <c r="AA1104" s="201">
        <f t="shared" si="1246"/>
        <v>-55</v>
      </c>
      <c r="AB1104" s="201">
        <f t="shared" si="1246"/>
        <v>-24</v>
      </c>
      <c r="AC1104" s="201">
        <f t="shared" si="1246"/>
        <v>-24</v>
      </c>
      <c r="AD1104" s="201">
        <f t="shared" si="1246"/>
        <v>-56</v>
      </c>
      <c r="AE1104" s="201">
        <f t="shared" si="1246"/>
        <v>-25</v>
      </c>
      <c r="AF1104" s="201">
        <f t="shared" si="1246"/>
        <v>-15</v>
      </c>
      <c r="AG1104" s="201">
        <f t="shared" si="1246"/>
        <v>-45</v>
      </c>
      <c r="AH1104" s="201">
        <f t="shared" si="1246"/>
        <v>-13</v>
      </c>
      <c r="AI1104" s="201">
        <f t="shared" si="1246"/>
        <v>-13</v>
      </c>
      <c r="AJ1104" s="201">
        <f t="shared" si="1246"/>
        <v>-45</v>
      </c>
      <c r="AK1104" s="201">
        <f t="shared" si="1246"/>
        <v>-13</v>
      </c>
      <c r="AL1104" s="201">
        <f t="shared" si="1246"/>
        <v>-13</v>
      </c>
      <c r="AM1104" s="201">
        <f t="shared" si="1246"/>
        <v>-44</v>
      </c>
      <c r="AN1104" s="201">
        <f t="shared" si="1246"/>
        <v>-13</v>
      </c>
      <c r="AO1104" s="201">
        <f t="shared" si="1246"/>
        <v>-13</v>
      </c>
      <c r="AP1104" s="201">
        <f t="shared" si="1246"/>
        <v>-45</v>
      </c>
      <c r="AQ1104" s="201">
        <f t="shared" si="1246"/>
        <v>-14</v>
      </c>
      <c r="AR1104" s="201">
        <f t="shared" si="1246"/>
        <v>-13</v>
      </c>
      <c r="AS1104" s="201">
        <f t="shared" si="1246"/>
        <v>-45</v>
      </c>
      <c r="AT1104" s="201">
        <f t="shared" si="1246"/>
        <v>-13</v>
      </c>
      <c r="AU1104" s="201">
        <f t="shared" si="1246"/>
        <v>-13</v>
      </c>
      <c r="AV1104" s="201">
        <f t="shared" si="1246"/>
        <v>-45</v>
      </c>
      <c r="AW1104" s="201">
        <f t="shared" si="1246"/>
        <v>-13</v>
      </c>
      <c r="AX1104" s="201">
        <f t="shared" si="1246"/>
        <v>-13</v>
      </c>
      <c r="AY1104" s="201">
        <f t="shared" si="1246"/>
        <v>-44</v>
      </c>
      <c r="AZ1104" s="201">
        <f t="shared" si="1246"/>
        <v>-13</v>
      </c>
      <c r="BA1104" s="201">
        <f t="shared" si="1246"/>
        <v>-13</v>
      </c>
      <c r="BB1104" s="201">
        <f t="shared" si="1246"/>
        <v>-45</v>
      </c>
      <c r="BC1104" s="201">
        <f t="shared" si="1246"/>
        <v>-14</v>
      </c>
      <c r="BD1104" s="201">
        <f t="shared" si="1246"/>
        <v>-13</v>
      </c>
      <c r="BE1104" s="201">
        <f t="shared" si="1246"/>
        <v>-45</v>
      </c>
      <c r="BF1104" s="201">
        <f t="shared" si="1246"/>
        <v>-13</v>
      </c>
      <c r="BG1104" s="201">
        <f t="shared" si="1246"/>
        <v>-13</v>
      </c>
      <c r="BH1104" s="201">
        <f t="shared" si="1246"/>
        <v>-45</v>
      </c>
      <c r="BI1104" s="201">
        <f t="shared" si="1246"/>
        <v>-13</v>
      </c>
      <c r="BJ1104" s="201">
        <f t="shared" si="1246"/>
        <v>-13</v>
      </c>
      <c r="BK1104" s="335"/>
      <c r="BL1104" s="201">
        <f t="shared" si="1246"/>
        <v>0</v>
      </c>
      <c r="BM1104" s="201">
        <f t="shared" si="1246"/>
        <v>-341</v>
      </c>
      <c r="BN1104" s="201">
        <f t="shared" si="1246"/>
        <v>-284</v>
      </c>
      <c r="BO1104" s="201">
        <f t="shared" si="1246"/>
        <v>-284</v>
      </c>
      <c r="BP1104" s="201">
        <f t="shared" si="1246"/>
        <v>0</v>
      </c>
      <c r="BQ1104" s="201">
        <f t="shared" si="1246"/>
        <v>0</v>
      </c>
      <c r="BR1104" s="201">
        <f t="shared" si="1246"/>
        <v>0</v>
      </c>
      <c r="BS1104" s="201">
        <f t="shared" si="1246"/>
        <v>0</v>
      </c>
      <c r="BT1104" s="201">
        <f t="shared" si="1246"/>
        <v>0</v>
      </c>
      <c r="BU1104" s="201">
        <f t="shared" si="1246"/>
        <v>0</v>
      </c>
      <c r="BV1104" s="201">
        <f t="shared" si="1246"/>
        <v>0</v>
      </c>
      <c r="BW1104" s="201">
        <f t="shared" si="1246"/>
        <v>0</v>
      </c>
      <c r="BY1104" s="12"/>
      <c r="CA1104" s="12"/>
      <c r="CJ1104" s="162"/>
      <c r="CR1104" s="12"/>
      <c r="EX1104" s="13" t="str">
        <f>IF($C1104="","",CONCATENATE(D1101," ", D1104))</f>
        <v/>
      </c>
    </row>
    <row r="1105" spans="3:154" s="67" customFormat="1" x14ac:dyDescent="0.25">
      <c r="C1105" s="380"/>
      <c r="D1105" s="5" t="s">
        <v>391</v>
      </c>
      <c r="E1105" s="27"/>
      <c r="F1105" s="5"/>
      <c r="G1105" s="116"/>
      <c r="H1105" s="128" t="s">
        <v>157</v>
      </c>
      <c r="S1105" s="335"/>
      <c r="T1105" s="335"/>
      <c r="U1105" s="335"/>
      <c r="V1105" s="13">
        <f>SUM(V1102:V1104)</f>
        <v>0</v>
      </c>
      <c r="W1105" s="13">
        <f>SUM(W1102:W1104)</f>
        <v>-341</v>
      </c>
      <c r="X1105" s="13">
        <f>SUM(X1102:X1104)</f>
        <v>-284</v>
      </c>
      <c r="Y1105" s="13">
        <f>SUM(Y1102:Y1104)</f>
        <v>-284</v>
      </c>
      <c r="AA1105" s="13">
        <f t="shared" ref="AA1105:BJ1105" si="1248">SUM(AA1102:AA1104)</f>
        <v>-55</v>
      </c>
      <c r="AB1105" s="13">
        <f t="shared" si="1248"/>
        <v>-24</v>
      </c>
      <c r="AC1105" s="13">
        <f t="shared" si="1248"/>
        <v>-24</v>
      </c>
      <c r="AD1105" s="13">
        <f t="shared" si="1248"/>
        <v>-56</v>
      </c>
      <c r="AE1105" s="13">
        <f t="shared" si="1248"/>
        <v>-25</v>
      </c>
      <c r="AF1105" s="13">
        <f t="shared" si="1248"/>
        <v>-15</v>
      </c>
      <c r="AG1105" s="13">
        <f t="shared" si="1248"/>
        <v>-45</v>
      </c>
      <c r="AH1105" s="13">
        <f t="shared" si="1248"/>
        <v>-13</v>
      </c>
      <c r="AI1105" s="13">
        <f t="shared" si="1248"/>
        <v>-13</v>
      </c>
      <c r="AJ1105" s="13">
        <f t="shared" si="1248"/>
        <v>-45</v>
      </c>
      <c r="AK1105" s="13">
        <f t="shared" si="1248"/>
        <v>-13</v>
      </c>
      <c r="AL1105" s="13">
        <f t="shared" si="1248"/>
        <v>-13</v>
      </c>
      <c r="AM1105" s="13">
        <f t="shared" si="1248"/>
        <v>-44</v>
      </c>
      <c r="AN1105" s="13">
        <f t="shared" si="1248"/>
        <v>-13</v>
      </c>
      <c r="AO1105" s="13">
        <f t="shared" si="1248"/>
        <v>-13</v>
      </c>
      <c r="AP1105" s="13">
        <f t="shared" si="1248"/>
        <v>-45</v>
      </c>
      <c r="AQ1105" s="13">
        <f t="shared" si="1248"/>
        <v>-14</v>
      </c>
      <c r="AR1105" s="13">
        <f t="shared" si="1248"/>
        <v>-13</v>
      </c>
      <c r="AS1105" s="13">
        <f t="shared" si="1248"/>
        <v>-45</v>
      </c>
      <c r="AT1105" s="13">
        <f t="shared" si="1248"/>
        <v>-13</v>
      </c>
      <c r="AU1105" s="13">
        <f t="shared" si="1248"/>
        <v>-13</v>
      </c>
      <c r="AV1105" s="13">
        <f t="shared" si="1248"/>
        <v>-45</v>
      </c>
      <c r="AW1105" s="13">
        <f t="shared" si="1248"/>
        <v>-13</v>
      </c>
      <c r="AX1105" s="13">
        <f t="shared" si="1248"/>
        <v>-13</v>
      </c>
      <c r="AY1105" s="13">
        <f t="shared" si="1248"/>
        <v>-44</v>
      </c>
      <c r="AZ1105" s="13">
        <f t="shared" si="1248"/>
        <v>-13</v>
      </c>
      <c r="BA1105" s="13">
        <f t="shared" si="1248"/>
        <v>-13</v>
      </c>
      <c r="BB1105" s="13">
        <f t="shared" si="1248"/>
        <v>-45</v>
      </c>
      <c r="BC1105" s="13">
        <f t="shared" si="1248"/>
        <v>-14</v>
      </c>
      <c r="BD1105" s="13">
        <f t="shared" si="1248"/>
        <v>-13</v>
      </c>
      <c r="BE1105" s="13">
        <f t="shared" si="1248"/>
        <v>-45</v>
      </c>
      <c r="BF1105" s="13">
        <f t="shared" si="1248"/>
        <v>-13</v>
      </c>
      <c r="BG1105" s="13">
        <f t="shared" si="1248"/>
        <v>-13</v>
      </c>
      <c r="BH1105" s="13">
        <f t="shared" si="1248"/>
        <v>-45</v>
      </c>
      <c r="BI1105" s="13">
        <f t="shared" si="1248"/>
        <v>-13</v>
      </c>
      <c r="BJ1105" s="13">
        <f t="shared" si="1248"/>
        <v>-13</v>
      </c>
      <c r="BL1105" s="13">
        <f t="shared" ref="BL1105:BW1105" si="1249">SUM(BL1102:BL1104)</f>
        <v>0</v>
      </c>
      <c r="BM1105" s="13">
        <f t="shared" si="1249"/>
        <v>-341</v>
      </c>
      <c r="BN1105" s="13">
        <f t="shared" si="1249"/>
        <v>-284</v>
      </c>
      <c r="BO1105" s="13">
        <f t="shared" si="1249"/>
        <v>-284</v>
      </c>
      <c r="BP1105" s="13">
        <f t="shared" si="1249"/>
        <v>0</v>
      </c>
      <c r="BQ1105" s="13">
        <f t="shared" si="1249"/>
        <v>0</v>
      </c>
      <c r="BR1105" s="13">
        <f t="shared" si="1249"/>
        <v>0</v>
      </c>
      <c r="BS1105" s="13">
        <f t="shared" si="1249"/>
        <v>0</v>
      </c>
      <c r="BT1105" s="13">
        <f t="shared" si="1249"/>
        <v>0</v>
      </c>
      <c r="BU1105" s="13">
        <f t="shared" si="1249"/>
        <v>0</v>
      </c>
      <c r="BV1105" s="13">
        <f t="shared" si="1249"/>
        <v>0</v>
      </c>
      <c r="BW1105" s="13">
        <f t="shared" si="1249"/>
        <v>0</v>
      </c>
      <c r="BY1105" s="12"/>
      <c r="BZ1105" s="335"/>
      <c r="CA1105" s="12"/>
      <c r="CB1105" s="335"/>
      <c r="CC1105" s="335"/>
      <c r="CD1105" s="335"/>
      <c r="CE1105" s="335"/>
      <c r="CJ1105" s="162"/>
      <c r="CM1105" s="335"/>
      <c r="CN1105" s="335"/>
      <c r="CO1105" s="335"/>
      <c r="CP1105" s="335"/>
      <c r="CR1105" s="12"/>
      <c r="CT1105" s="335"/>
      <c r="CU1105" s="335"/>
      <c r="EW1105" s="335"/>
      <c r="EX1105" s="13" t="str">
        <f>IF($C1105="","",CONCATENATE(D1101," ", D1105))</f>
        <v/>
      </c>
    </row>
    <row r="1106" spans="3:154" s="335" customFormat="1" ht="6.6" customHeight="1" x14ac:dyDescent="0.25">
      <c r="C1106" s="380"/>
      <c r="D1106" s="1"/>
      <c r="BY1106" s="42"/>
      <c r="CA1106" s="42"/>
      <c r="CJ1106" s="162"/>
      <c r="CR1106" s="42"/>
      <c r="EX1106" s="10" t="str">
        <f t="shared" si="1218"/>
        <v/>
      </c>
    </row>
    <row r="1107" spans="3:154" s="335" customFormat="1" x14ac:dyDescent="0.25">
      <c r="C1107" s="380"/>
      <c r="D1107" s="404" t="s">
        <v>1703</v>
      </c>
      <c r="E1107" s="1"/>
      <c r="BY1107" s="12"/>
      <c r="CA1107" s="12"/>
      <c r="CJ1107" s="162"/>
      <c r="CR1107" s="12"/>
      <c r="EX1107" s="10" t="str">
        <f t="shared" si="1218"/>
        <v/>
      </c>
    </row>
    <row r="1108" spans="3:154" s="335" customFormat="1" x14ac:dyDescent="0.25">
      <c r="C1108" s="380"/>
      <c r="D1108" s="232" t="s">
        <v>123</v>
      </c>
      <c r="E1108" s="1"/>
      <c r="G1108" s="9"/>
      <c r="H1108" s="50" t="s">
        <v>157</v>
      </c>
      <c r="V1108" s="201">
        <f>SUMIFS(V$477:V$496, $E$477:$E$496, $D1108)-V1102</f>
        <v>0</v>
      </c>
      <c r="W1108" s="201">
        <f t="shared" ref="W1108:Y1108" si="1250">SUMIFS(W$477:W$496, $E$477:$E$496, $D1108)-W1102</f>
        <v>0</v>
      </c>
      <c r="X1108" s="201">
        <f t="shared" si="1250"/>
        <v>0</v>
      </c>
      <c r="Y1108" s="201">
        <f t="shared" si="1250"/>
        <v>0</v>
      </c>
      <c r="AA1108" s="201">
        <f t="shared" ref="AA1108:BW1108" si="1251">SUMIFS(AA$477:AA$496, $E$477:$E$496, $D1108)-AA1102</f>
        <v>0</v>
      </c>
      <c r="AB1108" s="201">
        <f t="shared" si="1251"/>
        <v>0</v>
      </c>
      <c r="AC1108" s="201">
        <f t="shared" si="1251"/>
        <v>0</v>
      </c>
      <c r="AD1108" s="201">
        <f t="shared" si="1251"/>
        <v>0</v>
      </c>
      <c r="AE1108" s="201">
        <f t="shared" si="1251"/>
        <v>0</v>
      </c>
      <c r="AF1108" s="201">
        <f t="shared" si="1251"/>
        <v>0</v>
      </c>
      <c r="AG1108" s="201">
        <f t="shared" si="1251"/>
        <v>0</v>
      </c>
      <c r="AH1108" s="201">
        <f t="shared" si="1251"/>
        <v>0</v>
      </c>
      <c r="AI1108" s="201">
        <f t="shared" si="1251"/>
        <v>0</v>
      </c>
      <c r="AJ1108" s="201">
        <f t="shared" si="1251"/>
        <v>0</v>
      </c>
      <c r="AK1108" s="201">
        <f t="shared" si="1251"/>
        <v>0</v>
      </c>
      <c r="AL1108" s="201">
        <f t="shared" si="1251"/>
        <v>0</v>
      </c>
      <c r="AM1108" s="201">
        <f t="shared" si="1251"/>
        <v>0</v>
      </c>
      <c r="AN1108" s="201">
        <f t="shared" si="1251"/>
        <v>0</v>
      </c>
      <c r="AO1108" s="201">
        <f t="shared" si="1251"/>
        <v>0</v>
      </c>
      <c r="AP1108" s="201">
        <f t="shared" si="1251"/>
        <v>0</v>
      </c>
      <c r="AQ1108" s="201">
        <f t="shared" si="1251"/>
        <v>0</v>
      </c>
      <c r="AR1108" s="201">
        <f t="shared" si="1251"/>
        <v>0</v>
      </c>
      <c r="AS1108" s="201">
        <f t="shared" si="1251"/>
        <v>0</v>
      </c>
      <c r="AT1108" s="201">
        <f t="shared" si="1251"/>
        <v>0</v>
      </c>
      <c r="AU1108" s="201">
        <f t="shared" si="1251"/>
        <v>0</v>
      </c>
      <c r="AV1108" s="201">
        <f t="shared" si="1251"/>
        <v>0</v>
      </c>
      <c r="AW1108" s="201">
        <f t="shared" si="1251"/>
        <v>0</v>
      </c>
      <c r="AX1108" s="201">
        <f t="shared" si="1251"/>
        <v>0</v>
      </c>
      <c r="AY1108" s="201">
        <f t="shared" si="1251"/>
        <v>0</v>
      </c>
      <c r="AZ1108" s="201">
        <f t="shared" si="1251"/>
        <v>0</v>
      </c>
      <c r="BA1108" s="201">
        <f t="shared" si="1251"/>
        <v>0</v>
      </c>
      <c r="BB1108" s="201">
        <f t="shared" si="1251"/>
        <v>0</v>
      </c>
      <c r="BC1108" s="201">
        <f t="shared" si="1251"/>
        <v>0</v>
      </c>
      <c r="BD1108" s="201">
        <f t="shared" si="1251"/>
        <v>0</v>
      </c>
      <c r="BE1108" s="201">
        <f t="shared" si="1251"/>
        <v>0</v>
      </c>
      <c r="BF1108" s="201">
        <f t="shared" si="1251"/>
        <v>0</v>
      </c>
      <c r="BG1108" s="201">
        <f t="shared" si="1251"/>
        <v>0</v>
      </c>
      <c r="BH1108" s="201">
        <f t="shared" si="1251"/>
        <v>0</v>
      </c>
      <c r="BI1108" s="201">
        <f t="shared" si="1251"/>
        <v>0</v>
      </c>
      <c r="BJ1108" s="201">
        <f t="shared" si="1251"/>
        <v>0</v>
      </c>
      <c r="BL1108" s="201">
        <f t="shared" si="1251"/>
        <v>0</v>
      </c>
      <c r="BM1108" s="201">
        <f t="shared" si="1251"/>
        <v>0</v>
      </c>
      <c r="BN1108" s="201">
        <f t="shared" si="1251"/>
        <v>0</v>
      </c>
      <c r="BO1108" s="201">
        <f t="shared" si="1251"/>
        <v>0</v>
      </c>
      <c r="BP1108" s="201">
        <f t="shared" si="1251"/>
        <v>0</v>
      </c>
      <c r="BQ1108" s="201">
        <f t="shared" si="1251"/>
        <v>0</v>
      </c>
      <c r="BR1108" s="201">
        <f t="shared" si="1251"/>
        <v>0</v>
      </c>
      <c r="BS1108" s="201">
        <f t="shared" si="1251"/>
        <v>0</v>
      </c>
      <c r="BT1108" s="201">
        <f t="shared" si="1251"/>
        <v>0</v>
      </c>
      <c r="BU1108" s="201">
        <f t="shared" si="1251"/>
        <v>0</v>
      </c>
      <c r="BV1108" s="201">
        <f t="shared" si="1251"/>
        <v>0</v>
      </c>
      <c r="BW1108" s="201">
        <f t="shared" si="1251"/>
        <v>0</v>
      </c>
      <c r="BY1108" s="12"/>
      <c r="CA1108" s="12"/>
      <c r="CJ1108" s="162"/>
      <c r="CR1108" s="12"/>
      <c r="EX1108" s="13" t="str">
        <f>IF($C1108="","",CONCATENATE(D1107," ", D1108))</f>
        <v/>
      </c>
    </row>
    <row r="1109" spans="3:154" s="335" customFormat="1" x14ac:dyDescent="0.25">
      <c r="C1109" s="380"/>
      <c r="D1109" s="232" t="s">
        <v>288</v>
      </c>
      <c r="E1109" s="1"/>
      <c r="G1109" s="9"/>
      <c r="H1109" s="50" t="s">
        <v>157</v>
      </c>
      <c r="V1109" s="201">
        <f t="shared" ref="V1109:Y1110" si="1252">SUMIFS(V$477:V$496, $E$477:$E$496, $D1109)-V1103</f>
        <v>0</v>
      </c>
      <c r="W1109" s="201">
        <f t="shared" si="1252"/>
        <v>0</v>
      </c>
      <c r="X1109" s="201">
        <f t="shared" si="1252"/>
        <v>0</v>
      </c>
      <c r="Y1109" s="201">
        <f t="shared" si="1252"/>
        <v>0</v>
      </c>
      <c r="AA1109" s="201">
        <f t="shared" ref="AA1109:BW1109" si="1253">SUMIFS(AA$477:AA$496, $E$477:$E$496, $D1109)-AA1103</f>
        <v>0</v>
      </c>
      <c r="AB1109" s="201">
        <f t="shared" si="1253"/>
        <v>0</v>
      </c>
      <c r="AC1109" s="201">
        <f t="shared" si="1253"/>
        <v>0</v>
      </c>
      <c r="AD1109" s="201">
        <f t="shared" si="1253"/>
        <v>0</v>
      </c>
      <c r="AE1109" s="201">
        <f t="shared" si="1253"/>
        <v>0</v>
      </c>
      <c r="AF1109" s="201">
        <f t="shared" si="1253"/>
        <v>0</v>
      </c>
      <c r="AG1109" s="201">
        <f t="shared" si="1253"/>
        <v>0</v>
      </c>
      <c r="AH1109" s="201">
        <f t="shared" si="1253"/>
        <v>0</v>
      </c>
      <c r="AI1109" s="201">
        <f t="shared" si="1253"/>
        <v>0</v>
      </c>
      <c r="AJ1109" s="201">
        <f t="shared" si="1253"/>
        <v>0</v>
      </c>
      <c r="AK1109" s="201">
        <f t="shared" si="1253"/>
        <v>0</v>
      </c>
      <c r="AL1109" s="201">
        <f t="shared" si="1253"/>
        <v>0</v>
      </c>
      <c r="AM1109" s="201">
        <f t="shared" si="1253"/>
        <v>0</v>
      </c>
      <c r="AN1109" s="201">
        <f t="shared" si="1253"/>
        <v>0</v>
      </c>
      <c r="AO1109" s="201">
        <f t="shared" si="1253"/>
        <v>0</v>
      </c>
      <c r="AP1109" s="201">
        <f t="shared" si="1253"/>
        <v>0</v>
      </c>
      <c r="AQ1109" s="201">
        <f t="shared" si="1253"/>
        <v>0</v>
      </c>
      <c r="AR1109" s="201">
        <f t="shared" si="1253"/>
        <v>0</v>
      </c>
      <c r="AS1109" s="201">
        <f t="shared" si="1253"/>
        <v>0</v>
      </c>
      <c r="AT1109" s="201">
        <f t="shared" si="1253"/>
        <v>0</v>
      </c>
      <c r="AU1109" s="201">
        <f t="shared" si="1253"/>
        <v>0</v>
      </c>
      <c r="AV1109" s="201">
        <f t="shared" si="1253"/>
        <v>0</v>
      </c>
      <c r="AW1109" s="201">
        <f t="shared" si="1253"/>
        <v>0</v>
      </c>
      <c r="AX1109" s="201">
        <f t="shared" si="1253"/>
        <v>0</v>
      </c>
      <c r="AY1109" s="201">
        <f t="shared" si="1253"/>
        <v>0</v>
      </c>
      <c r="AZ1109" s="201">
        <f t="shared" si="1253"/>
        <v>0</v>
      </c>
      <c r="BA1109" s="201">
        <f t="shared" si="1253"/>
        <v>0</v>
      </c>
      <c r="BB1109" s="201">
        <f t="shared" si="1253"/>
        <v>0</v>
      </c>
      <c r="BC1109" s="201">
        <f t="shared" si="1253"/>
        <v>0</v>
      </c>
      <c r="BD1109" s="201">
        <f t="shared" si="1253"/>
        <v>0</v>
      </c>
      <c r="BE1109" s="201">
        <f t="shared" si="1253"/>
        <v>0</v>
      </c>
      <c r="BF1109" s="201">
        <f t="shared" si="1253"/>
        <v>0</v>
      </c>
      <c r="BG1109" s="201">
        <f t="shared" si="1253"/>
        <v>0</v>
      </c>
      <c r="BH1109" s="201">
        <f t="shared" si="1253"/>
        <v>0</v>
      </c>
      <c r="BI1109" s="201">
        <f t="shared" si="1253"/>
        <v>0</v>
      </c>
      <c r="BJ1109" s="201">
        <f t="shared" si="1253"/>
        <v>0</v>
      </c>
      <c r="BL1109" s="201">
        <f t="shared" si="1253"/>
        <v>0</v>
      </c>
      <c r="BM1109" s="201">
        <f t="shared" si="1253"/>
        <v>0</v>
      </c>
      <c r="BN1109" s="201">
        <f t="shared" si="1253"/>
        <v>0</v>
      </c>
      <c r="BO1109" s="201">
        <f t="shared" si="1253"/>
        <v>0</v>
      </c>
      <c r="BP1109" s="201">
        <f t="shared" si="1253"/>
        <v>0</v>
      </c>
      <c r="BQ1109" s="201">
        <f t="shared" si="1253"/>
        <v>0</v>
      </c>
      <c r="BR1109" s="201">
        <f t="shared" si="1253"/>
        <v>0</v>
      </c>
      <c r="BS1109" s="201">
        <f t="shared" si="1253"/>
        <v>0</v>
      </c>
      <c r="BT1109" s="201">
        <f t="shared" si="1253"/>
        <v>0</v>
      </c>
      <c r="BU1109" s="201">
        <f t="shared" si="1253"/>
        <v>0</v>
      </c>
      <c r="BV1109" s="201">
        <f t="shared" si="1253"/>
        <v>0</v>
      </c>
      <c r="BW1109" s="201">
        <f t="shared" si="1253"/>
        <v>0</v>
      </c>
      <c r="BY1109" s="12"/>
      <c r="CA1109" s="12"/>
      <c r="CJ1109" s="162"/>
      <c r="CR1109" s="12"/>
      <c r="EX1109" s="13" t="str">
        <f>IF($C1109="","",CONCATENATE(D1107," ", D1109))</f>
        <v/>
      </c>
    </row>
    <row r="1110" spans="3:154" s="335" customFormat="1" x14ac:dyDescent="0.25">
      <c r="C1110" s="380"/>
      <c r="D1110" s="232" t="s">
        <v>215</v>
      </c>
      <c r="E1110" s="1"/>
      <c r="G1110" s="9"/>
      <c r="H1110" s="50" t="s">
        <v>157</v>
      </c>
      <c r="V1110" s="201">
        <f t="shared" si="1252"/>
        <v>0</v>
      </c>
      <c r="W1110" s="201">
        <f t="shared" si="1252"/>
        <v>0</v>
      </c>
      <c r="X1110" s="201">
        <f t="shared" si="1252"/>
        <v>0</v>
      </c>
      <c r="Y1110" s="201">
        <f t="shared" si="1252"/>
        <v>0</v>
      </c>
      <c r="AA1110" s="201">
        <f t="shared" ref="AA1110:BW1110" si="1254">SUMIFS(AA$477:AA$496, $E$477:$E$496, $D1110)-AA1104</f>
        <v>0</v>
      </c>
      <c r="AB1110" s="201">
        <f t="shared" si="1254"/>
        <v>0</v>
      </c>
      <c r="AC1110" s="201">
        <f t="shared" si="1254"/>
        <v>0</v>
      </c>
      <c r="AD1110" s="201">
        <f t="shared" si="1254"/>
        <v>0</v>
      </c>
      <c r="AE1110" s="201">
        <f t="shared" si="1254"/>
        <v>0</v>
      </c>
      <c r="AF1110" s="201">
        <f t="shared" si="1254"/>
        <v>0</v>
      </c>
      <c r="AG1110" s="201">
        <f t="shared" si="1254"/>
        <v>0</v>
      </c>
      <c r="AH1110" s="201">
        <f t="shared" si="1254"/>
        <v>0</v>
      </c>
      <c r="AI1110" s="201">
        <f t="shared" si="1254"/>
        <v>0</v>
      </c>
      <c r="AJ1110" s="201">
        <f t="shared" si="1254"/>
        <v>0</v>
      </c>
      <c r="AK1110" s="201">
        <f t="shared" si="1254"/>
        <v>0</v>
      </c>
      <c r="AL1110" s="201">
        <f t="shared" si="1254"/>
        <v>0</v>
      </c>
      <c r="AM1110" s="201">
        <f t="shared" si="1254"/>
        <v>0</v>
      </c>
      <c r="AN1110" s="201">
        <f t="shared" si="1254"/>
        <v>0</v>
      </c>
      <c r="AO1110" s="201">
        <f t="shared" si="1254"/>
        <v>0</v>
      </c>
      <c r="AP1110" s="201">
        <f t="shared" si="1254"/>
        <v>0</v>
      </c>
      <c r="AQ1110" s="201">
        <f t="shared" si="1254"/>
        <v>0</v>
      </c>
      <c r="AR1110" s="201">
        <f t="shared" si="1254"/>
        <v>0</v>
      </c>
      <c r="AS1110" s="201">
        <f t="shared" si="1254"/>
        <v>0</v>
      </c>
      <c r="AT1110" s="201">
        <f t="shared" si="1254"/>
        <v>0</v>
      </c>
      <c r="AU1110" s="201">
        <f t="shared" si="1254"/>
        <v>0</v>
      </c>
      <c r="AV1110" s="201">
        <f t="shared" si="1254"/>
        <v>0</v>
      </c>
      <c r="AW1110" s="201">
        <f t="shared" si="1254"/>
        <v>0</v>
      </c>
      <c r="AX1110" s="201">
        <f t="shared" si="1254"/>
        <v>0</v>
      </c>
      <c r="AY1110" s="201">
        <f t="shared" si="1254"/>
        <v>0</v>
      </c>
      <c r="AZ1110" s="201">
        <f t="shared" si="1254"/>
        <v>0</v>
      </c>
      <c r="BA1110" s="201">
        <f t="shared" si="1254"/>
        <v>0</v>
      </c>
      <c r="BB1110" s="201">
        <f t="shared" si="1254"/>
        <v>0</v>
      </c>
      <c r="BC1110" s="201">
        <f t="shared" si="1254"/>
        <v>0</v>
      </c>
      <c r="BD1110" s="201">
        <f t="shared" si="1254"/>
        <v>0</v>
      </c>
      <c r="BE1110" s="201">
        <f t="shared" si="1254"/>
        <v>0</v>
      </c>
      <c r="BF1110" s="201">
        <f t="shared" si="1254"/>
        <v>0</v>
      </c>
      <c r="BG1110" s="201">
        <f t="shared" si="1254"/>
        <v>0</v>
      </c>
      <c r="BH1110" s="201">
        <f t="shared" si="1254"/>
        <v>0</v>
      </c>
      <c r="BI1110" s="201">
        <f t="shared" si="1254"/>
        <v>0</v>
      </c>
      <c r="BJ1110" s="201">
        <f t="shared" si="1254"/>
        <v>0</v>
      </c>
      <c r="BL1110" s="201">
        <f t="shared" si="1254"/>
        <v>0</v>
      </c>
      <c r="BM1110" s="201">
        <f t="shared" si="1254"/>
        <v>0</v>
      </c>
      <c r="BN1110" s="201">
        <f t="shared" si="1254"/>
        <v>0</v>
      </c>
      <c r="BO1110" s="201">
        <f t="shared" si="1254"/>
        <v>0</v>
      </c>
      <c r="BP1110" s="201">
        <f t="shared" si="1254"/>
        <v>0</v>
      </c>
      <c r="BQ1110" s="201">
        <f t="shared" si="1254"/>
        <v>0</v>
      </c>
      <c r="BR1110" s="201">
        <f t="shared" si="1254"/>
        <v>0</v>
      </c>
      <c r="BS1110" s="201">
        <f t="shared" si="1254"/>
        <v>0</v>
      </c>
      <c r="BT1110" s="201">
        <f t="shared" si="1254"/>
        <v>0</v>
      </c>
      <c r="BU1110" s="201">
        <f t="shared" si="1254"/>
        <v>0</v>
      </c>
      <c r="BV1110" s="201">
        <f t="shared" si="1254"/>
        <v>0</v>
      </c>
      <c r="BW1110" s="201">
        <f t="shared" si="1254"/>
        <v>0</v>
      </c>
      <c r="BY1110" s="12"/>
      <c r="CA1110" s="12"/>
      <c r="CJ1110" s="162"/>
      <c r="CR1110" s="12"/>
      <c r="EX1110" s="13" t="str">
        <f>IF($C1110="","",CONCATENATE(D1107," ", D1110))</f>
        <v/>
      </c>
    </row>
    <row r="1111" spans="3:154" s="335" customFormat="1" x14ac:dyDescent="0.25">
      <c r="C1111" s="380"/>
      <c r="D1111" s="189" t="s">
        <v>391</v>
      </c>
      <c r="E1111" s="27"/>
      <c r="F1111" s="5"/>
      <c r="G1111" s="116"/>
      <c r="H1111" s="128" t="s">
        <v>157</v>
      </c>
      <c r="V1111" s="13">
        <f>SUM(V1108:V1110)</f>
        <v>0</v>
      </c>
      <c r="W1111" s="13">
        <f>SUM(W1108:W1110)</f>
        <v>0</v>
      </c>
      <c r="X1111" s="13">
        <f>SUM(X1108:X1110)</f>
        <v>0</v>
      </c>
      <c r="Y1111" s="13">
        <f>SUM(Y1108:Y1110)</f>
        <v>0</v>
      </c>
      <c r="AA1111" s="13">
        <f t="shared" ref="AA1111:BJ1111" si="1255">SUM(AA1108:AA1110)</f>
        <v>0</v>
      </c>
      <c r="AB1111" s="13">
        <f t="shared" si="1255"/>
        <v>0</v>
      </c>
      <c r="AC1111" s="13">
        <f t="shared" si="1255"/>
        <v>0</v>
      </c>
      <c r="AD1111" s="13">
        <f t="shared" si="1255"/>
        <v>0</v>
      </c>
      <c r="AE1111" s="13">
        <f t="shared" si="1255"/>
        <v>0</v>
      </c>
      <c r="AF1111" s="13">
        <f t="shared" si="1255"/>
        <v>0</v>
      </c>
      <c r="AG1111" s="13">
        <f t="shared" si="1255"/>
        <v>0</v>
      </c>
      <c r="AH1111" s="13">
        <f t="shared" si="1255"/>
        <v>0</v>
      </c>
      <c r="AI1111" s="13">
        <f t="shared" si="1255"/>
        <v>0</v>
      </c>
      <c r="AJ1111" s="13">
        <f t="shared" si="1255"/>
        <v>0</v>
      </c>
      <c r="AK1111" s="13">
        <f t="shared" si="1255"/>
        <v>0</v>
      </c>
      <c r="AL1111" s="13">
        <f t="shared" si="1255"/>
        <v>0</v>
      </c>
      <c r="AM1111" s="13">
        <f t="shared" si="1255"/>
        <v>0</v>
      </c>
      <c r="AN1111" s="13">
        <f t="shared" si="1255"/>
        <v>0</v>
      </c>
      <c r="AO1111" s="13">
        <f t="shared" si="1255"/>
        <v>0</v>
      </c>
      <c r="AP1111" s="13">
        <f t="shared" si="1255"/>
        <v>0</v>
      </c>
      <c r="AQ1111" s="13">
        <f t="shared" si="1255"/>
        <v>0</v>
      </c>
      <c r="AR1111" s="13">
        <f t="shared" si="1255"/>
        <v>0</v>
      </c>
      <c r="AS1111" s="13">
        <f t="shared" si="1255"/>
        <v>0</v>
      </c>
      <c r="AT1111" s="13">
        <f t="shared" si="1255"/>
        <v>0</v>
      </c>
      <c r="AU1111" s="13">
        <f t="shared" si="1255"/>
        <v>0</v>
      </c>
      <c r="AV1111" s="13">
        <f t="shared" si="1255"/>
        <v>0</v>
      </c>
      <c r="AW1111" s="13">
        <f t="shared" si="1255"/>
        <v>0</v>
      </c>
      <c r="AX1111" s="13">
        <f t="shared" si="1255"/>
        <v>0</v>
      </c>
      <c r="AY1111" s="13">
        <f t="shared" si="1255"/>
        <v>0</v>
      </c>
      <c r="AZ1111" s="13">
        <f t="shared" si="1255"/>
        <v>0</v>
      </c>
      <c r="BA1111" s="13">
        <f t="shared" si="1255"/>
        <v>0</v>
      </c>
      <c r="BB1111" s="13">
        <f t="shared" si="1255"/>
        <v>0</v>
      </c>
      <c r="BC1111" s="13">
        <f t="shared" si="1255"/>
        <v>0</v>
      </c>
      <c r="BD1111" s="13">
        <f t="shared" si="1255"/>
        <v>0</v>
      </c>
      <c r="BE1111" s="13">
        <f t="shared" si="1255"/>
        <v>0</v>
      </c>
      <c r="BF1111" s="13">
        <f t="shared" si="1255"/>
        <v>0</v>
      </c>
      <c r="BG1111" s="13">
        <f t="shared" si="1255"/>
        <v>0</v>
      </c>
      <c r="BH1111" s="13">
        <f t="shared" si="1255"/>
        <v>0</v>
      </c>
      <c r="BI1111" s="13">
        <f t="shared" si="1255"/>
        <v>0</v>
      </c>
      <c r="BJ1111" s="13">
        <f t="shared" si="1255"/>
        <v>0</v>
      </c>
      <c r="BL1111" s="13">
        <f t="shared" ref="BL1111:BW1111" si="1256">SUM(BL1108:BL1110)</f>
        <v>0</v>
      </c>
      <c r="BM1111" s="13">
        <f t="shared" si="1256"/>
        <v>0</v>
      </c>
      <c r="BN1111" s="13">
        <f t="shared" si="1256"/>
        <v>0</v>
      </c>
      <c r="BO1111" s="13">
        <f t="shared" si="1256"/>
        <v>0</v>
      </c>
      <c r="BP1111" s="13">
        <f t="shared" si="1256"/>
        <v>0</v>
      </c>
      <c r="BQ1111" s="13">
        <f t="shared" si="1256"/>
        <v>0</v>
      </c>
      <c r="BR1111" s="13">
        <f t="shared" si="1256"/>
        <v>0</v>
      </c>
      <c r="BS1111" s="13">
        <f t="shared" si="1256"/>
        <v>0</v>
      </c>
      <c r="BT1111" s="13">
        <f t="shared" si="1256"/>
        <v>0</v>
      </c>
      <c r="BU1111" s="13">
        <f t="shared" si="1256"/>
        <v>0</v>
      </c>
      <c r="BV1111" s="13">
        <f t="shared" si="1256"/>
        <v>0</v>
      </c>
      <c r="BW1111" s="13">
        <f t="shared" si="1256"/>
        <v>0</v>
      </c>
      <c r="BY1111" s="12"/>
      <c r="CA1111" s="12"/>
      <c r="CJ1111" s="162"/>
      <c r="CR1111" s="12"/>
      <c r="EX1111" s="13" t="str">
        <f>IF($C1111="","",CONCATENATE(D1107," ", D1111))</f>
        <v/>
      </c>
    </row>
    <row r="1112" spans="3:154" s="335" customFormat="1" ht="6.6" customHeight="1" x14ac:dyDescent="0.25">
      <c r="C1112" s="380"/>
      <c r="D1112" s="1"/>
      <c r="BY1112" s="42"/>
      <c r="CA1112" s="42"/>
      <c r="CJ1112" s="162"/>
      <c r="CR1112" s="42"/>
      <c r="EX1112" s="10" t="str">
        <f>IF($C1112="","",$D1112)</f>
        <v/>
      </c>
    </row>
    <row r="1113" spans="3:154" s="335" customFormat="1" x14ac:dyDescent="0.25">
      <c r="C1113" s="380"/>
      <c r="D1113" s="404" t="s">
        <v>1606</v>
      </c>
      <c r="E1113" s="1"/>
      <c r="BY1113" s="12"/>
      <c r="CA1113" s="12"/>
      <c r="CJ1113" s="162"/>
      <c r="CR1113" s="12"/>
      <c r="EX1113" s="10" t="str">
        <f>IF($C1113="","",$D1113)</f>
        <v/>
      </c>
    </row>
    <row r="1114" spans="3:154" s="335" customFormat="1" x14ac:dyDescent="0.25">
      <c r="C1114" s="380"/>
      <c r="D1114" s="232" t="s">
        <v>123</v>
      </c>
      <c r="E1114" s="1"/>
      <c r="G1114" s="9"/>
      <c r="H1114" s="50" t="s">
        <v>157</v>
      </c>
      <c r="V1114" s="201">
        <f t="shared" ref="V1114:Y1116" si="1257">SUMIFS(V$851:V$870, $E$851:$E$870, $D1114)</f>
        <v>0</v>
      </c>
      <c r="W1114" s="10">
        <f t="shared" si="1257"/>
        <v>0</v>
      </c>
      <c r="X1114" s="10">
        <f t="shared" si="1257"/>
        <v>0</v>
      </c>
      <c r="Y1114" s="10">
        <f t="shared" si="1257"/>
        <v>0</v>
      </c>
      <c r="AA1114" s="10">
        <f t="shared" ref="AA1114:AJ1116" si="1258">SUMIFS(AA$851:AA$870, $E$851:$E$870, $D1114)</f>
        <v>0</v>
      </c>
      <c r="AB1114" s="10">
        <f t="shared" si="1258"/>
        <v>0</v>
      </c>
      <c r="AC1114" s="10">
        <f t="shared" si="1258"/>
        <v>0</v>
      </c>
      <c r="AD1114" s="10">
        <f t="shared" si="1258"/>
        <v>0</v>
      </c>
      <c r="AE1114" s="10">
        <f t="shared" si="1258"/>
        <v>0</v>
      </c>
      <c r="AF1114" s="10">
        <f t="shared" si="1258"/>
        <v>0</v>
      </c>
      <c r="AG1114" s="10">
        <f t="shared" si="1258"/>
        <v>0</v>
      </c>
      <c r="AH1114" s="10">
        <f t="shared" si="1258"/>
        <v>0</v>
      </c>
      <c r="AI1114" s="10">
        <f t="shared" si="1258"/>
        <v>0</v>
      </c>
      <c r="AJ1114" s="10">
        <f t="shared" si="1258"/>
        <v>0</v>
      </c>
      <c r="AK1114" s="10">
        <f t="shared" ref="AK1114:AT1116" si="1259">SUMIFS(AK$851:AK$870, $E$851:$E$870, $D1114)</f>
        <v>0</v>
      </c>
      <c r="AL1114" s="10">
        <f t="shared" si="1259"/>
        <v>0</v>
      </c>
      <c r="AM1114" s="10">
        <f t="shared" si="1259"/>
        <v>0</v>
      </c>
      <c r="AN1114" s="10">
        <f t="shared" si="1259"/>
        <v>0</v>
      </c>
      <c r="AO1114" s="10">
        <f t="shared" si="1259"/>
        <v>0</v>
      </c>
      <c r="AP1114" s="10">
        <f t="shared" si="1259"/>
        <v>0</v>
      </c>
      <c r="AQ1114" s="10">
        <f t="shared" si="1259"/>
        <v>0</v>
      </c>
      <c r="AR1114" s="10">
        <f t="shared" si="1259"/>
        <v>0</v>
      </c>
      <c r="AS1114" s="10">
        <f t="shared" si="1259"/>
        <v>0</v>
      </c>
      <c r="AT1114" s="10">
        <f t="shared" si="1259"/>
        <v>0</v>
      </c>
      <c r="AU1114" s="10">
        <f t="shared" ref="AU1114:BD1116" si="1260">SUMIFS(AU$851:AU$870, $E$851:$E$870, $D1114)</f>
        <v>0</v>
      </c>
      <c r="AV1114" s="10">
        <f t="shared" si="1260"/>
        <v>0</v>
      </c>
      <c r="AW1114" s="10">
        <f t="shared" si="1260"/>
        <v>0</v>
      </c>
      <c r="AX1114" s="10">
        <f t="shared" si="1260"/>
        <v>0</v>
      </c>
      <c r="AY1114" s="10">
        <f t="shared" si="1260"/>
        <v>0</v>
      </c>
      <c r="AZ1114" s="10">
        <f t="shared" si="1260"/>
        <v>0</v>
      </c>
      <c r="BA1114" s="10">
        <f t="shared" si="1260"/>
        <v>0</v>
      </c>
      <c r="BB1114" s="10">
        <f t="shared" si="1260"/>
        <v>0</v>
      </c>
      <c r="BC1114" s="10">
        <f t="shared" si="1260"/>
        <v>0</v>
      </c>
      <c r="BD1114" s="10">
        <f t="shared" si="1260"/>
        <v>0</v>
      </c>
      <c r="BE1114" s="10">
        <f t="shared" ref="BE1114:BJ1116" si="1261">SUMIFS(BE$851:BE$870, $E$851:$E$870, $D1114)</f>
        <v>0</v>
      </c>
      <c r="BF1114" s="10">
        <f t="shared" si="1261"/>
        <v>0</v>
      </c>
      <c r="BG1114" s="10">
        <f t="shared" si="1261"/>
        <v>0</v>
      </c>
      <c r="BH1114" s="10">
        <f t="shared" si="1261"/>
        <v>0</v>
      </c>
      <c r="BI1114" s="10">
        <f t="shared" si="1261"/>
        <v>0</v>
      </c>
      <c r="BJ1114" s="10">
        <f t="shared" si="1261"/>
        <v>0</v>
      </c>
      <c r="BL1114" s="10">
        <f t="shared" ref="BL1114:BW1116" si="1262">SUMIFS(BL$851:BL$870, $E$851:$E$870, $D1114)</f>
        <v>0</v>
      </c>
      <c r="BM1114" s="10">
        <f t="shared" si="1262"/>
        <v>0</v>
      </c>
      <c r="BN1114" s="10">
        <f t="shared" si="1262"/>
        <v>0</v>
      </c>
      <c r="BO1114" s="10">
        <f t="shared" si="1262"/>
        <v>0</v>
      </c>
      <c r="BP1114" s="10">
        <f t="shared" si="1262"/>
        <v>0</v>
      </c>
      <c r="BQ1114" s="10">
        <f t="shared" si="1262"/>
        <v>0</v>
      </c>
      <c r="BR1114" s="10">
        <f t="shared" si="1262"/>
        <v>0</v>
      </c>
      <c r="BS1114" s="10">
        <f t="shared" si="1262"/>
        <v>0</v>
      </c>
      <c r="BT1114" s="10">
        <f t="shared" si="1262"/>
        <v>0</v>
      </c>
      <c r="BU1114" s="10">
        <f t="shared" si="1262"/>
        <v>0</v>
      </c>
      <c r="BV1114" s="10">
        <f t="shared" si="1262"/>
        <v>0</v>
      </c>
      <c r="BW1114" s="10">
        <f t="shared" si="1262"/>
        <v>0</v>
      </c>
      <c r="BY1114" s="12"/>
      <c r="CA1114" s="12"/>
      <c r="CJ1114" s="162"/>
      <c r="CR1114" s="12"/>
      <c r="EX1114" s="13" t="str">
        <f>IF($C1114="","",CONCATENATE(D1113," ", D1114))</f>
        <v/>
      </c>
    </row>
    <row r="1115" spans="3:154" s="335" customFormat="1" x14ac:dyDescent="0.25">
      <c r="C1115" s="380"/>
      <c r="D1115" s="48" t="s">
        <v>288</v>
      </c>
      <c r="E1115" s="1"/>
      <c r="G1115" s="9"/>
      <c r="H1115" s="50" t="s">
        <v>157</v>
      </c>
      <c r="V1115" s="10">
        <f t="shared" si="1257"/>
        <v>0</v>
      </c>
      <c r="W1115" s="10">
        <f t="shared" si="1257"/>
        <v>0</v>
      </c>
      <c r="X1115" s="10">
        <f t="shared" si="1257"/>
        <v>0</v>
      </c>
      <c r="Y1115" s="10">
        <f t="shared" si="1257"/>
        <v>0</v>
      </c>
      <c r="AA1115" s="10">
        <f t="shared" si="1258"/>
        <v>0</v>
      </c>
      <c r="AB1115" s="10">
        <f t="shared" si="1258"/>
        <v>0</v>
      </c>
      <c r="AC1115" s="10">
        <f t="shared" si="1258"/>
        <v>0</v>
      </c>
      <c r="AD1115" s="10">
        <f t="shared" si="1258"/>
        <v>0</v>
      </c>
      <c r="AE1115" s="10">
        <f t="shared" si="1258"/>
        <v>0</v>
      </c>
      <c r="AF1115" s="10">
        <f t="shared" si="1258"/>
        <v>0</v>
      </c>
      <c r="AG1115" s="10">
        <f t="shared" si="1258"/>
        <v>0</v>
      </c>
      <c r="AH1115" s="10">
        <f t="shared" si="1258"/>
        <v>0</v>
      </c>
      <c r="AI1115" s="10">
        <f t="shared" si="1258"/>
        <v>0</v>
      </c>
      <c r="AJ1115" s="10">
        <f t="shared" si="1258"/>
        <v>0</v>
      </c>
      <c r="AK1115" s="10">
        <f t="shared" si="1259"/>
        <v>0</v>
      </c>
      <c r="AL1115" s="10">
        <f t="shared" si="1259"/>
        <v>0</v>
      </c>
      <c r="AM1115" s="10">
        <f t="shared" si="1259"/>
        <v>0</v>
      </c>
      <c r="AN1115" s="10">
        <f t="shared" si="1259"/>
        <v>0</v>
      </c>
      <c r="AO1115" s="10">
        <f t="shared" si="1259"/>
        <v>0</v>
      </c>
      <c r="AP1115" s="10">
        <f t="shared" si="1259"/>
        <v>0</v>
      </c>
      <c r="AQ1115" s="10">
        <f t="shared" si="1259"/>
        <v>0</v>
      </c>
      <c r="AR1115" s="10">
        <f t="shared" si="1259"/>
        <v>0</v>
      </c>
      <c r="AS1115" s="10">
        <f t="shared" si="1259"/>
        <v>0</v>
      </c>
      <c r="AT1115" s="10">
        <f t="shared" si="1259"/>
        <v>0</v>
      </c>
      <c r="AU1115" s="10">
        <f t="shared" si="1260"/>
        <v>0</v>
      </c>
      <c r="AV1115" s="10">
        <f t="shared" si="1260"/>
        <v>0</v>
      </c>
      <c r="AW1115" s="10">
        <f t="shared" si="1260"/>
        <v>0</v>
      </c>
      <c r="AX1115" s="10">
        <f t="shared" si="1260"/>
        <v>0</v>
      </c>
      <c r="AY1115" s="10">
        <f t="shared" si="1260"/>
        <v>0</v>
      </c>
      <c r="AZ1115" s="10">
        <f t="shared" si="1260"/>
        <v>0</v>
      </c>
      <c r="BA1115" s="10">
        <f t="shared" si="1260"/>
        <v>0</v>
      </c>
      <c r="BB1115" s="10">
        <f t="shared" si="1260"/>
        <v>0</v>
      </c>
      <c r="BC1115" s="10">
        <f t="shared" si="1260"/>
        <v>0</v>
      </c>
      <c r="BD1115" s="10">
        <f t="shared" si="1260"/>
        <v>0</v>
      </c>
      <c r="BE1115" s="10">
        <f t="shared" si="1261"/>
        <v>0</v>
      </c>
      <c r="BF1115" s="10">
        <f t="shared" si="1261"/>
        <v>0</v>
      </c>
      <c r="BG1115" s="10">
        <f t="shared" si="1261"/>
        <v>0</v>
      </c>
      <c r="BH1115" s="10">
        <f t="shared" si="1261"/>
        <v>0</v>
      </c>
      <c r="BI1115" s="10">
        <f t="shared" si="1261"/>
        <v>0</v>
      </c>
      <c r="BJ1115" s="10">
        <f t="shared" si="1261"/>
        <v>0</v>
      </c>
      <c r="BL1115" s="10">
        <f t="shared" si="1262"/>
        <v>0</v>
      </c>
      <c r="BM1115" s="10">
        <f t="shared" si="1262"/>
        <v>0</v>
      </c>
      <c r="BN1115" s="10">
        <f t="shared" si="1262"/>
        <v>0</v>
      </c>
      <c r="BO1115" s="10">
        <f t="shared" si="1262"/>
        <v>0</v>
      </c>
      <c r="BP1115" s="10">
        <f t="shared" si="1262"/>
        <v>0</v>
      </c>
      <c r="BQ1115" s="10">
        <f t="shared" si="1262"/>
        <v>0</v>
      </c>
      <c r="BR1115" s="10">
        <f t="shared" si="1262"/>
        <v>0</v>
      </c>
      <c r="BS1115" s="10">
        <f t="shared" si="1262"/>
        <v>0</v>
      </c>
      <c r="BT1115" s="10">
        <f t="shared" si="1262"/>
        <v>0</v>
      </c>
      <c r="BU1115" s="10">
        <f t="shared" si="1262"/>
        <v>0</v>
      </c>
      <c r="BV1115" s="10">
        <f t="shared" si="1262"/>
        <v>0</v>
      </c>
      <c r="BW1115" s="10">
        <f t="shared" si="1262"/>
        <v>0</v>
      </c>
      <c r="BY1115" s="12"/>
      <c r="CA1115" s="12"/>
      <c r="CJ1115" s="162"/>
      <c r="CR1115" s="12"/>
      <c r="EX1115" s="13" t="str">
        <f>IF($C1115="","",CONCATENATE(D1113," ", D1115))</f>
        <v/>
      </c>
    </row>
    <row r="1116" spans="3:154" s="335" customFormat="1" x14ac:dyDescent="0.25">
      <c r="C1116" s="380"/>
      <c r="D1116" s="48" t="s">
        <v>215</v>
      </c>
      <c r="E1116" s="1"/>
      <c r="G1116" s="9"/>
      <c r="H1116" s="50" t="s">
        <v>157</v>
      </c>
      <c r="V1116" s="10">
        <f t="shared" si="1257"/>
        <v>0</v>
      </c>
      <c r="W1116" s="10">
        <f t="shared" si="1257"/>
        <v>-145</v>
      </c>
      <c r="X1116" s="10">
        <f t="shared" si="1257"/>
        <v>-145</v>
      </c>
      <c r="Y1116" s="10">
        <f t="shared" si="1257"/>
        <v>-145</v>
      </c>
      <c r="AA1116" s="10">
        <f t="shared" si="1258"/>
        <v>-25</v>
      </c>
      <c r="AB1116" s="10">
        <f t="shared" si="1258"/>
        <v>-6</v>
      </c>
      <c r="AC1116" s="10">
        <f t="shared" si="1258"/>
        <v>-6</v>
      </c>
      <c r="AD1116" s="10">
        <f t="shared" si="1258"/>
        <v>-24</v>
      </c>
      <c r="AE1116" s="10">
        <f t="shared" si="1258"/>
        <v>-6</v>
      </c>
      <c r="AF1116" s="10">
        <f t="shared" si="1258"/>
        <v>-6</v>
      </c>
      <c r="AG1116" s="10">
        <f t="shared" si="1258"/>
        <v>-24</v>
      </c>
      <c r="AH1116" s="10">
        <f t="shared" si="1258"/>
        <v>-6</v>
      </c>
      <c r="AI1116" s="10">
        <f t="shared" si="1258"/>
        <v>-6</v>
      </c>
      <c r="AJ1116" s="10">
        <f t="shared" si="1258"/>
        <v>-24</v>
      </c>
      <c r="AK1116" s="10">
        <f t="shared" si="1259"/>
        <v>-6</v>
      </c>
      <c r="AL1116" s="10">
        <f t="shared" si="1259"/>
        <v>-6</v>
      </c>
      <c r="AM1116" s="10">
        <f t="shared" si="1259"/>
        <v>-25</v>
      </c>
      <c r="AN1116" s="10">
        <f t="shared" si="1259"/>
        <v>-6</v>
      </c>
      <c r="AO1116" s="10">
        <f t="shared" si="1259"/>
        <v>-6</v>
      </c>
      <c r="AP1116" s="10">
        <f t="shared" si="1259"/>
        <v>-24</v>
      </c>
      <c r="AQ1116" s="10">
        <f t="shared" si="1259"/>
        <v>-6</v>
      </c>
      <c r="AR1116" s="10">
        <f t="shared" si="1259"/>
        <v>-6</v>
      </c>
      <c r="AS1116" s="10">
        <f t="shared" si="1259"/>
        <v>-24</v>
      </c>
      <c r="AT1116" s="10">
        <f t="shared" si="1259"/>
        <v>-6</v>
      </c>
      <c r="AU1116" s="10">
        <f t="shared" si="1260"/>
        <v>-6</v>
      </c>
      <c r="AV1116" s="10">
        <f t="shared" si="1260"/>
        <v>-24</v>
      </c>
      <c r="AW1116" s="10">
        <f t="shared" si="1260"/>
        <v>-6</v>
      </c>
      <c r="AX1116" s="10">
        <f t="shared" si="1260"/>
        <v>-6</v>
      </c>
      <c r="AY1116" s="10">
        <f t="shared" si="1260"/>
        <v>-25</v>
      </c>
      <c r="AZ1116" s="10">
        <f t="shared" si="1260"/>
        <v>-6</v>
      </c>
      <c r="BA1116" s="10">
        <f t="shared" si="1260"/>
        <v>-6</v>
      </c>
      <c r="BB1116" s="10">
        <f t="shared" si="1260"/>
        <v>-24</v>
      </c>
      <c r="BC1116" s="10">
        <f t="shared" si="1260"/>
        <v>-6</v>
      </c>
      <c r="BD1116" s="10">
        <f t="shared" si="1260"/>
        <v>-6</v>
      </c>
      <c r="BE1116" s="10">
        <f t="shared" si="1261"/>
        <v>-24</v>
      </c>
      <c r="BF1116" s="10">
        <f t="shared" si="1261"/>
        <v>-6</v>
      </c>
      <c r="BG1116" s="10">
        <f t="shared" si="1261"/>
        <v>-6</v>
      </c>
      <c r="BH1116" s="10">
        <f t="shared" si="1261"/>
        <v>-24</v>
      </c>
      <c r="BI1116" s="10">
        <f t="shared" si="1261"/>
        <v>-6</v>
      </c>
      <c r="BJ1116" s="10">
        <f t="shared" si="1261"/>
        <v>-6</v>
      </c>
      <c r="BL1116" s="10">
        <f t="shared" si="1262"/>
        <v>0</v>
      </c>
      <c r="BM1116" s="10">
        <f t="shared" si="1262"/>
        <v>-145</v>
      </c>
      <c r="BN1116" s="10">
        <f t="shared" si="1262"/>
        <v>-145</v>
      </c>
      <c r="BO1116" s="10">
        <f t="shared" si="1262"/>
        <v>-145</v>
      </c>
      <c r="BP1116" s="10">
        <f t="shared" si="1262"/>
        <v>0</v>
      </c>
      <c r="BQ1116" s="10">
        <f t="shared" si="1262"/>
        <v>0</v>
      </c>
      <c r="BR1116" s="10">
        <f t="shared" si="1262"/>
        <v>0</v>
      </c>
      <c r="BS1116" s="10">
        <f t="shared" si="1262"/>
        <v>0</v>
      </c>
      <c r="BT1116" s="10">
        <f t="shared" si="1262"/>
        <v>0</v>
      </c>
      <c r="BU1116" s="10">
        <f t="shared" si="1262"/>
        <v>0</v>
      </c>
      <c r="BV1116" s="10">
        <f t="shared" si="1262"/>
        <v>0</v>
      </c>
      <c r="BW1116" s="10">
        <f t="shared" si="1262"/>
        <v>0</v>
      </c>
      <c r="BY1116" s="12"/>
      <c r="CA1116" s="12"/>
      <c r="CJ1116" s="162"/>
      <c r="CR1116" s="12"/>
      <c r="EX1116" s="13" t="str">
        <f>IF($C1116="","",CONCATENATE(D1113," ", D1116))</f>
        <v/>
      </c>
    </row>
    <row r="1117" spans="3:154" s="335" customFormat="1" x14ac:dyDescent="0.25">
      <c r="C1117" s="380"/>
      <c r="D1117" s="5" t="s">
        <v>391</v>
      </c>
      <c r="E1117" s="27"/>
      <c r="F1117" s="5"/>
      <c r="G1117" s="116"/>
      <c r="H1117" s="128" t="s">
        <v>98</v>
      </c>
      <c r="V1117" s="13">
        <f>SUM(V1114:V1116)</f>
        <v>0</v>
      </c>
      <c r="W1117" s="13">
        <f>SUM(W1114:W1116)</f>
        <v>-145</v>
      </c>
      <c r="X1117" s="13">
        <f>SUM(X1114:X1116)</f>
        <v>-145</v>
      </c>
      <c r="Y1117" s="13">
        <f>SUM(Y1114:Y1116)</f>
        <v>-145</v>
      </c>
      <c r="AA1117" s="13">
        <f t="shared" ref="AA1117:BJ1117" si="1263">SUM(AA1114:AA1116)</f>
        <v>-25</v>
      </c>
      <c r="AB1117" s="13">
        <f t="shared" si="1263"/>
        <v>-6</v>
      </c>
      <c r="AC1117" s="13">
        <f t="shared" si="1263"/>
        <v>-6</v>
      </c>
      <c r="AD1117" s="13">
        <f t="shared" si="1263"/>
        <v>-24</v>
      </c>
      <c r="AE1117" s="13">
        <f t="shared" si="1263"/>
        <v>-6</v>
      </c>
      <c r="AF1117" s="13">
        <f t="shared" si="1263"/>
        <v>-6</v>
      </c>
      <c r="AG1117" s="13">
        <f t="shared" si="1263"/>
        <v>-24</v>
      </c>
      <c r="AH1117" s="13">
        <f t="shared" si="1263"/>
        <v>-6</v>
      </c>
      <c r="AI1117" s="13">
        <f t="shared" si="1263"/>
        <v>-6</v>
      </c>
      <c r="AJ1117" s="13">
        <f t="shared" si="1263"/>
        <v>-24</v>
      </c>
      <c r="AK1117" s="13">
        <f t="shared" si="1263"/>
        <v>-6</v>
      </c>
      <c r="AL1117" s="13">
        <f t="shared" si="1263"/>
        <v>-6</v>
      </c>
      <c r="AM1117" s="13">
        <f t="shared" si="1263"/>
        <v>-25</v>
      </c>
      <c r="AN1117" s="13">
        <f t="shared" si="1263"/>
        <v>-6</v>
      </c>
      <c r="AO1117" s="13">
        <f t="shared" si="1263"/>
        <v>-6</v>
      </c>
      <c r="AP1117" s="13">
        <f t="shared" si="1263"/>
        <v>-24</v>
      </c>
      <c r="AQ1117" s="13">
        <f t="shared" si="1263"/>
        <v>-6</v>
      </c>
      <c r="AR1117" s="13">
        <f t="shared" si="1263"/>
        <v>-6</v>
      </c>
      <c r="AS1117" s="13">
        <f t="shared" si="1263"/>
        <v>-24</v>
      </c>
      <c r="AT1117" s="13">
        <f t="shared" si="1263"/>
        <v>-6</v>
      </c>
      <c r="AU1117" s="13">
        <f t="shared" si="1263"/>
        <v>-6</v>
      </c>
      <c r="AV1117" s="13">
        <f t="shared" si="1263"/>
        <v>-24</v>
      </c>
      <c r="AW1117" s="13">
        <f t="shared" si="1263"/>
        <v>-6</v>
      </c>
      <c r="AX1117" s="13">
        <f t="shared" si="1263"/>
        <v>-6</v>
      </c>
      <c r="AY1117" s="13">
        <f t="shared" si="1263"/>
        <v>-25</v>
      </c>
      <c r="AZ1117" s="13">
        <f t="shared" si="1263"/>
        <v>-6</v>
      </c>
      <c r="BA1117" s="13">
        <f t="shared" si="1263"/>
        <v>-6</v>
      </c>
      <c r="BB1117" s="13">
        <f t="shared" si="1263"/>
        <v>-24</v>
      </c>
      <c r="BC1117" s="13">
        <f t="shared" si="1263"/>
        <v>-6</v>
      </c>
      <c r="BD1117" s="13">
        <f t="shared" si="1263"/>
        <v>-6</v>
      </c>
      <c r="BE1117" s="13">
        <f t="shared" si="1263"/>
        <v>-24</v>
      </c>
      <c r="BF1117" s="13">
        <f t="shared" si="1263"/>
        <v>-6</v>
      </c>
      <c r="BG1117" s="13">
        <f t="shared" si="1263"/>
        <v>-6</v>
      </c>
      <c r="BH1117" s="13">
        <f t="shared" si="1263"/>
        <v>-24</v>
      </c>
      <c r="BI1117" s="13">
        <f t="shared" si="1263"/>
        <v>-6</v>
      </c>
      <c r="BJ1117" s="13">
        <f t="shared" si="1263"/>
        <v>-6</v>
      </c>
      <c r="BL1117" s="13">
        <f t="shared" ref="BL1117:BW1117" si="1264">SUM(BL1114:BL1116)</f>
        <v>0</v>
      </c>
      <c r="BM1117" s="13">
        <f t="shared" si="1264"/>
        <v>-145</v>
      </c>
      <c r="BN1117" s="13">
        <f t="shared" si="1264"/>
        <v>-145</v>
      </c>
      <c r="BO1117" s="13">
        <f t="shared" si="1264"/>
        <v>-145</v>
      </c>
      <c r="BP1117" s="13">
        <f t="shared" si="1264"/>
        <v>0</v>
      </c>
      <c r="BQ1117" s="13">
        <f t="shared" si="1264"/>
        <v>0</v>
      </c>
      <c r="BR1117" s="13">
        <f t="shared" si="1264"/>
        <v>0</v>
      </c>
      <c r="BS1117" s="13">
        <f t="shared" si="1264"/>
        <v>0</v>
      </c>
      <c r="BT1117" s="13">
        <f t="shared" si="1264"/>
        <v>0</v>
      </c>
      <c r="BU1117" s="13">
        <f t="shared" si="1264"/>
        <v>0</v>
      </c>
      <c r="BV1117" s="13">
        <f t="shared" si="1264"/>
        <v>0</v>
      </c>
      <c r="BW1117" s="13">
        <f t="shared" si="1264"/>
        <v>0</v>
      </c>
      <c r="BY1117" s="12"/>
      <c r="CA1117" s="12"/>
      <c r="CJ1117" s="162"/>
      <c r="CR1117" s="12"/>
      <c r="EX1117" s="13" t="str">
        <f>IF($C1117="","",CONCATENATE(D1113," ", D1117))</f>
        <v/>
      </c>
    </row>
    <row r="1118" spans="3:154" s="335" customFormat="1" ht="6.6" customHeight="1" x14ac:dyDescent="0.25">
      <c r="C1118" s="380"/>
      <c r="D1118" s="1"/>
      <c r="BY1118" s="42"/>
      <c r="CA1118" s="42"/>
      <c r="CJ1118" s="162"/>
      <c r="CR1118" s="42"/>
      <c r="EX1118" s="10" t="str">
        <f>IF($C1118="","",$D1118)</f>
        <v/>
      </c>
    </row>
    <row r="1119" spans="3:154" s="335" customFormat="1" x14ac:dyDescent="0.25">
      <c r="C1119" s="380"/>
      <c r="D1119" s="404" t="s">
        <v>340</v>
      </c>
      <c r="E1119" s="1"/>
      <c r="BY1119" s="12"/>
      <c r="CA1119" s="12"/>
      <c r="CJ1119" s="162"/>
      <c r="CR1119" s="12"/>
      <c r="EX1119" s="10" t="str">
        <f>IF($C1119="","",$D1119)</f>
        <v/>
      </c>
    </row>
    <row r="1120" spans="3:154" s="335" customFormat="1" x14ac:dyDescent="0.25">
      <c r="C1120" s="380"/>
      <c r="D1120" s="232" t="s">
        <v>123</v>
      </c>
      <c r="E1120" s="1"/>
      <c r="G1120" s="9"/>
      <c r="H1120" s="50" t="s">
        <v>125</v>
      </c>
      <c r="V1120" s="201">
        <f t="shared" ref="V1120:Y1122" si="1265">SUMIFS(V$828:V$847, $E$828:$E$847, $D1120)</f>
        <v>0</v>
      </c>
      <c r="W1120" s="10">
        <f t="shared" si="1265"/>
        <v>0</v>
      </c>
      <c r="X1120" s="10">
        <f t="shared" si="1265"/>
        <v>0</v>
      </c>
      <c r="Y1120" s="10">
        <f t="shared" si="1265"/>
        <v>0</v>
      </c>
      <c r="AA1120" s="10">
        <f t="shared" ref="AA1120:AJ1122" si="1266">SUMIFS(AA$828:AA$847, $E$828:$E$847, $D1120)</f>
        <v>0</v>
      </c>
      <c r="AB1120" s="10">
        <f t="shared" si="1266"/>
        <v>0</v>
      </c>
      <c r="AC1120" s="10">
        <f t="shared" si="1266"/>
        <v>0</v>
      </c>
      <c r="AD1120" s="10">
        <f t="shared" si="1266"/>
        <v>0</v>
      </c>
      <c r="AE1120" s="10">
        <f t="shared" si="1266"/>
        <v>0</v>
      </c>
      <c r="AF1120" s="10">
        <f t="shared" si="1266"/>
        <v>0</v>
      </c>
      <c r="AG1120" s="10">
        <f t="shared" si="1266"/>
        <v>0</v>
      </c>
      <c r="AH1120" s="10">
        <f t="shared" si="1266"/>
        <v>0</v>
      </c>
      <c r="AI1120" s="10">
        <f t="shared" si="1266"/>
        <v>0</v>
      </c>
      <c r="AJ1120" s="10">
        <f t="shared" si="1266"/>
        <v>0</v>
      </c>
      <c r="AK1120" s="10">
        <f t="shared" ref="AK1120:AT1122" si="1267">SUMIFS(AK$828:AK$847, $E$828:$E$847, $D1120)</f>
        <v>0</v>
      </c>
      <c r="AL1120" s="10">
        <f t="shared" si="1267"/>
        <v>0</v>
      </c>
      <c r="AM1120" s="10">
        <f t="shared" si="1267"/>
        <v>0</v>
      </c>
      <c r="AN1120" s="10">
        <f t="shared" si="1267"/>
        <v>0</v>
      </c>
      <c r="AO1120" s="10">
        <f t="shared" si="1267"/>
        <v>0</v>
      </c>
      <c r="AP1120" s="10">
        <f t="shared" si="1267"/>
        <v>0</v>
      </c>
      <c r="AQ1120" s="10">
        <f t="shared" si="1267"/>
        <v>0</v>
      </c>
      <c r="AR1120" s="10">
        <f t="shared" si="1267"/>
        <v>0</v>
      </c>
      <c r="AS1120" s="10">
        <f t="shared" si="1267"/>
        <v>0</v>
      </c>
      <c r="AT1120" s="10">
        <f t="shared" si="1267"/>
        <v>0</v>
      </c>
      <c r="AU1120" s="10">
        <f t="shared" ref="AU1120:BD1122" si="1268">SUMIFS(AU$828:AU$847, $E$828:$E$847, $D1120)</f>
        <v>0</v>
      </c>
      <c r="AV1120" s="10">
        <f t="shared" si="1268"/>
        <v>0</v>
      </c>
      <c r="AW1120" s="10">
        <f t="shared" si="1268"/>
        <v>0</v>
      </c>
      <c r="AX1120" s="10">
        <f t="shared" si="1268"/>
        <v>0</v>
      </c>
      <c r="AY1120" s="10">
        <f t="shared" si="1268"/>
        <v>0</v>
      </c>
      <c r="AZ1120" s="10">
        <f t="shared" si="1268"/>
        <v>0</v>
      </c>
      <c r="BA1120" s="10">
        <f t="shared" si="1268"/>
        <v>0</v>
      </c>
      <c r="BB1120" s="10">
        <f t="shared" si="1268"/>
        <v>0</v>
      </c>
      <c r="BC1120" s="10">
        <f t="shared" si="1268"/>
        <v>0</v>
      </c>
      <c r="BD1120" s="10">
        <f t="shared" si="1268"/>
        <v>0</v>
      </c>
      <c r="BE1120" s="10">
        <f t="shared" ref="BE1120:BJ1122" si="1269">SUMIFS(BE$828:BE$847, $E$828:$E$847, $D1120)</f>
        <v>0</v>
      </c>
      <c r="BF1120" s="10">
        <f t="shared" si="1269"/>
        <v>0</v>
      </c>
      <c r="BG1120" s="10">
        <f t="shared" si="1269"/>
        <v>0</v>
      </c>
      <c r="BH1120" s="10">
        <f t="shared" si="1269"/>
        <v>0</v>
      </c>
      <c r="BI1120" s="10">
        <f t="shared" si="1269"/>
        <v>0</v>
      </c>
      <c r="BJ1120" s="10">
        <f t="shared" si="1269"/>
        <v>0</v>
      </c>
      <c r="BL1120" s="10">
        <f t="shared" ref="BL1120:BW1122" si="1270">SUMIFS(BL$828:BL$847, $E$828:$E$847, $D1120)</f>
        <v>0</v>
      </c>
      <c r="BM1120" s="10">
        <f t="shared" si="1270"/>
        <v>0</v>
      </c>
      <c r="BN1120" s="10">
        <f t="shared" si="1270"/>
        <v>0</v>
      </c>
      <c r="BO1120" s="10">
        <f t="shared" si="1270"/>
        <v>0</v>
      </c>
      <c r="BP1120" s="10">
        <f t="shared" si="1270"/>
        <v>0</v>
      </c>
      <c r="BQ1120" s="10">
        <f t="shared" si="1270"/>
        <v>0</v>
      </c>
      <c r="BR1120" s="10">
        <f t="shared" si="1270"/>
        <v>0</v>
      </c>
      <c r="BS1120" s="10">
        <f t="shared" si="1270"/>
        <v>0</v>
      </c>
      <c r="BT1120" s="10">
        <f t="shared" si="1270"/>
        <v>0</v>
      </c>
      <c r="BU1120" s="10">
        <f t="shared" si="1270"/>
        <v>0</v>
      </c>
      <c r="BV1120" s="10">
        <f t="shared" si="1270"/>
        <v>0</v>
      </c>
      <c r="BW1120" s="10">
        <f t="shared" si="1270"/>
        <v>0</v>
      </c>
      <c r="BY1120" s="12"/>
      <c r="CA1120" s="12"/>
      <c r="CJ1120" s="162"/>
      <c r="CR1120" s="12"/>
      <c r="EX1120" s="13" t="str">
        <f>IF($C1120="","",CONCATENATE(D1119," ", D1120))</f>
        <v/>
      </c>
    </row>
    <row r="1121" spans="3:154" s="335" customFormat="1" x14ac:dyDescent="0.25">
      <c r="C1121" s="380"/>
      <c r="D1121" s="48" t="s">
        <v>288</v>
      </c>
      <c r="E1121" s="1"/>
      <c r="G1121" s="9"/>
      <c r="H1121" s="50" t="s">
        <v>125</v>
      </c>
      <c r="V1121" s="10">
        <f t="shared" si="1265"/>
        <v>0</v>
      </c>
      <c r="W1121" s="10">
        <f t="shared" si="1265"/>
        <v>0</v>
      </c>
      <c r="X1121" s="10">
        <f t="shared" si="1265"/>
        <v>0</v>
      </c>
      <c r="Y1121" s="10">
        <f t="shared" si="1265"/>
        <v>0</v>
      </c>
      <c r="AA1121" s="10">
        <f t="shared" si="1266"/>
        <v>0</v>
      </c>
      <c r="AB1121" s="10">
        <f t="shared" si="1266"/>
        <v>0</v>
      </c>
      <c r="AC1121" s="10">
        <f t="shared" si="1266"/>
        <v>0</v>
      </c>
      <c r="AD1121" s="10">
        <f t="shared" si="1266"/>
        <v>0</v>
      </c>
      <c r="AE1121" s="10">
        <f t="shared" si="1266"/>
        <v>0</v>
      </c>
      <c r="AF1121" s="10">
        <f t="shared" si="1266"/>
        <v>0</v>
      </c>
      <c r="AG1121" s="10">
        <f t="shared" si="1266"/>
        <v>0</v>
      </c>
      <c r="AH1121" s="10">
        <f t="shared" si="1266"/>
        <v>0</v>
      </c>
      <c r="AI1121" s="10">
        <f t="shared" si="1266"/>
        <v>0</v>
      </c>
      <c r="AJ1121" s="10">
        <f t="shared" si="1266"/>
        <v>0</v>
      </c>
      <c r="AK1121" s="10">
        <f t="shared" si="1267"/>
        <v>0</v>
      </c>
      <c r="AL1121" s="10">
        <f t="shared" si="1267"/>
        <v>0</v>
      </c>
      <c r="AM1121" s="10">
        <f t="shared" si="1267"/>
        <v>0</v>
      </c>
      <c r="AN1121" s="10">
        <f t="shared" si="1267"/>
        <v>0</v>
      </c>
      <c r="AO1121" s="10">
        <f t="shared" si="1267"/>
        <v>0</v>
      </c>
      <c r="AP1121" s="10">
        <f t="shared" si="1267"/>
        <v>0</v>
      </c>
      <c r="AQ1121" s="10">
        <f t="shared" si="1267"/>
        <v>0</v>
      </c>
      <c r="AR1121" s="10">
        <f t="shared" si="1267"/>
        <v>0</v>
      </c>
      <c r="AS1121" s="10">
        <f t="shared" si="1267"/>
        <v>0</v>
      </c>
      <c r="AT1121" s="10">
        <f t="shared" si="1267"/>
        <v>0</v>
      </c>
      <c r="AU1121" s="10">
        <f t="shared" si="1268"/>
        <v>0</v>
      </c>
      <c r="AV1121" s="10">
        <f t="shared" si="1268"/>
        <v>0</v>
      </c>
      <c r="AW1121" s="10">
        <f t="shared" si="1268"/>
        <v>0</v>
      </c>
      <c r="AX1121" s="10">
        <f t="shared" si="1268"/>
        <v>0</v>
      </c>
      <c r="AY1121" s="10">
        <f t="shared" si="1268"/>
        <v>0</v>
      </c>
      <c r="AZ1121" s="10">
        <f t="shared" si="1268"/>
        <v>0</v>
      </c>
      <c r="BA1121" s="10">
        <f t="shared" si="1268"/>
        <v>0</v>
      </c>
      <c r="BB1121" s="10">
        <f t="shared" si="1268"/>
        <v>0</v>
      </c>
      <c r="BC1121" s="10">
        <f t="shared" si="1268"/>
        <v>0</v>
      </c>
      <c r="BD1121" s="10">
        <f t="shared" si="1268"/>
        <v>0</v>
      </c>
      <c r="BE1121" s="10">
        <f t="shared" si="1269"/>
        <v>0</v>
      </c>
      <c r="BF1121" s="10">
        <f t="shared" si="1269"/>
        <v>0</v>
      </c>
      <c r="BG1121" s="10">
        <f t="shared" si="1269"/>
        <v>0</v>
      </c>
      <c r="BH1121" s="10">
        <f t="shared" si="1269"/>
        <v>0</v>
      </c>
      <c r="BI1121" s="10">
        <f t="shared" si="1269"/>
        <v>0</v>
      </c>
      <c r="BJ1121" s="10">
        <f t="shared" si="1269"/>
        <v>0</v>
      </c>
      <c r="BL1121" s="10">
        <f t="shared" si="1270"/>
        <v>0</v>
      </c>
      <c r="BM1121" s="10">
        <f t="shared" si="1270"/>
        <v>0</v>
      </c>
      <c r="BN1121" s="10">
        <f t="shared" si="1270"/>
        <v>0</v>
      </c>
      <c r="BO1121" s="10">
        <f t="shared" si="1270"/>
        <v>0</v>
      </c>
      <c r="BP1121" s="10">
        <f t="shared" si="1270"/>
        <v>0</v>
      </c>
      <c r="BQ1121" s="10">
        <f t="shared" si="1270"/>
        <v>0</v>
      </c>
      <c r="BR1121" s="10">
        <f t="shared" si="1270"/>
        <v>0</v>
      </c>
      <c r="BS1121" s="10">
        <f t="shared" si="1270"/>
        <v>0</v>
      </c>
      <c r="BT1121" s="10">
        <f t="shared" si="1270"/>
        <v>0</v>
      </c>
      <c r="BU1121" s="10">
        <f t="shared" si="1270"/>
        <v>0</v>
      </c>
      <c r="BV1121" s="10">
        <f t="shared" si="1270"/>
        <v>0</v>
      </c>
      <c r="BW1121" s="10">
        <f t="shared" si="1270"/>
        <v>0</v>
      </c>
      <c r="BY1121" s="12"/>
      <c r="CA1121" s="12"/>
      <c r="CJ1121" s="162"/>
      <c r="CR1121" s="12"/>
      <c r="EX1121" s="13" t="str">
        <f>IF($C1121="","",CONCATENATE(D1119," ", D1121))</f>
        <v/>
      </c>
    </row>
    <row r="1122" spans="3:154" s="335" customFormat="1" x14ac:dyDescent="0.25">
      <c r="C1122" s="380"/>
      <c r="D1122" s="48" t="s">
        <v>215</v>
      </c>
      <c r="E1122" s="1"/>
      <c r="G1122" s="9"/>
      <c r="H1122" s="50" t="s">
        <v>125</v>
      </c>
      <c r="V1122" s="10">
        <f t="shared" si="1265"/>
        <v>0</v>
      </c>
      <c r="W1122" s="201">
        <f t="shared" si="1265"/>
        <v>145</v>
      </c>
      <c r="X1122" s="201">
        <f t="shared" si="1265"/>
        <v>145</v>
      </c>
      <c r="Y1122" s="10">
        <f t="shared" si="1265"/>
        <v>145</v>
      </c>
      <c r="AA1122" s="10">
        <f t="shared" si="1266"/>
        <v>25</v>
      </c>
      <c r="AB1122" s="10">
        <f t="shared" si="1266"/>
        <v>6</v>
      </c>
      <c r="AC1122" s="10">
        <f t="shared" si="1266"/>
        <v>6</v>
      </c>
      <c r="AD1122" s="10">
        <f t="shared" si="1266"/>
        <v>24</v>
      </c>
      <c r="AE1122" s="10">
        <f t="shared" si="1266"/>
        <v>6</v>
      </c>
      <c r="AF1122" s="10">
        <f t="shared" si="1266"/>
        <v>6</v>
      </c>
      <c r="AG1122" s="10">
        <f t="shared" si="1266"/>
        <v>24</v>
      </c>
      <c r="AH1122" s="10">
        <f t="shared" si="1266"/>
        <v>6</v>
      </c>
      <c r="AI1122" s="10">
        <f t="shared" si="1266"/>
        <v>6</v>
      </c>
      <c r="AJ1122" s="10">
        <f t="shared" si="1266"/>
        <v>24</v>
      </c>
      <c r="AK1122" s="10">
        <f t="shared" si="1267"/>
        <v>6</v>
      </c>
      <c r="AL1122" s="10">
        <f t="shared" si="1267"/>
        <v>6</v>
      </c>
      <c r="AM1122" s="10">
        <f t="shared" si="1267"/>
        <v>25</v>
      </c>
      <c r="AN1122" s="10">
        <f t="shared" si="1267"/>
        <v>6</v>
      </c>
      <c r="AO1122" s="10">
        <f t="shared" si="1267"/>
        <v>6</v>
      </c>
      <c r="AP1122" s="10">
        <f t="shared" si="1267"/>
        <v>24</v>
      </c>
      <c r="AQ1122" s="10">
        <f t="shared" si="1267"/>
        <v>6</v>
      </c>
      <c r="AR1122" s="10">
        <f t="shared" si="1267"/>
        <v>6</v>
      </c>
      <c r="AS1122" s="10">
        <f t="shared" si="1267"/>
        <v>24</v>
      </c>
      <c r="AT1122" s="10">
        <f t="shared" si="1267"/>
        <v>6</v>
      </c>
      <c r="AU1122" s="10">
        <f t="shared" si="1268"/>
        <v>6</v>
      </c>
      <c r="AV1122" s="10">
        <f t="shared" si="1268"/>
        <v>24</v>
      </c>
      <c r="AW1122" s="10">
        <f t="shared" si="1268"/>
        <v>6</v>
      </c>
      <c r="AX1122" s="10">
        <f t="shared" si="1268"/>
        <v>6</v>
      </c>
      <c r="AY1122" s="10">
        <f t="shared" si="1268"/>
        <v>25</v>
      </c>
      <c r="AZ1122" s="10">
        <f t="shared" si="1268"/>
        <v>6</v>
      </c>
      <c r="BA1122" s="10">
        <f t="shared" si="1268"/>
        <v>6</v>
      </c>
      <c r="BB1122" s="10">
        <f t="shared" si="1268"/>
        <v>24</v>
      </c>
      <c r="BC1122" s="10">
        <f t="shared" si="1268"/>
        <v>6</v>
      </c>
      <c r="BD1122" s="10">
        <f t="shared" si="1268"/>
        <v>6</v>
      </c>
      <c r="BE1122" s="10">
        <f t="shared" si="1269"/>
        <v>24</v>
      </c>
      <c r="BF1122" s="10">
        <f t="shared" si="1269"/>
        <v>6</v>
      </c>
      <c r="BG1122" s="10">
        <f t="shared" si="1269"/>
        <v>6</v>
      </c>
      <c r="BH1122" s="10">
        <f t="shared" si="1269"/>
        <v>24</v>
      </c>
      <c r="BI1122" s="10">
        <f t="shared" si="1269"/>
        <v>6</v>
      </c>
      <c r="BJ1122" s="10">
        <f t="shared" si="1269"/>
        <v>6</v>
      </c>
      <c r="BL1122" s="10">
        <f t="shared" si="1270"/>
        <v>0</v>
      </c>
      <c r="BM1122" s="10">
        <f t="shared" si="1270"/>
        <v>145</v>
      </c>
      <c r="BN1122" s="10">
        <f t="shared" si="1270"/>
        <v>145</v>
      </c>
      <c r="BO1122" s="10">
        <f t="shared" si="1270"/>
        <v>145</v>
      </c>
      <c r="BP1122" s="10">
        <f t="shared" si="1270"/>
        <v>0</v>
      </c>
      <c r="BQ1122" s="10">
        <f t="shared" si="1270"/>
        <v>0</v>
      </c>
      <c r="BR1122" s="10">
        <f t="shared" si="1270"/>
        <v>0</v>
      </c>
      <c r="BS1122" s="10">
        <f t="shared" si="1270"/>
        <v>0</v>
      </c>
      <c r="BT1122" s="10">
        <f t="shared" si="1270"/>
        <v>0</v>
      </c>
      <c r="BU1122" s="10">
        <f t="shared" si="1270"/>
        <v>0</v>
      </c>
      <c r="BV1122" s="10">
        <f t="shared" si="1270"/>
        <v>0</v>
      </c>
      <c r="BW1122" s="10">
        <f t="shared" si="1270"/>
        <v>0</v>
      </c>
      <c r="BY1122" s="12"/>
      <c r="CA1122" s="12"/>
      <c r="CJ1122" s="162"/>
      <c r="CR1122" s="12"/>
      <c r="EX1122" s="13" t="str">
        <f>IF($C1122="","",CONCATENATE(D1119," ", D1122))</f>
        <v/>
      </c>
    </row>
    <row r="1123" spans="3:154" s="335" customFormat="1" x14ac:dyDescent="0.25">
      <c r="C1123" s="380"/>
      <c r="D1123" s="5" t="s">
        <v>391</v>
      </c>
      <c r="E1123" s="27"/>
      <c r="F1123" s="5"/>
      <c r="G1123" s="116"/>
      <c r="H1123" s="128" t="s">
        <v>125</v>
      </c>
      <c r="V1123" s="13">
        <f>SUM(V1120:V1122)</f>
        <v>0</v>
      </c>
      <c r="W1123" s="13">
        <f>SUM(W1120:W1122)</f>
        <v>145</v>
      </c>
      <c r="X1123" s="13">
        <f>SUM(X1120:X1122)</f>
        <v>145</v>
      </c>
      <c r="Y1123" s="13">
        <f>SUM(Y1120:Y1122)</f>
        <v>145</v>
      </c>
      <c r="AA1123" s="13">
        <f t="shared" ref="AA1123:BJ1123" si="1271">SUM(AA1120:AA1122)</f>
        <v>25</v>
      </c>
      <c r="AB1123" s="13">
        <f t="shared" si="1271"/>
        <v>6</v>
      </c>
      <c r="AC1123" s="13">
        <f t="shared" si="1271"/>
        <v>6</v>
      </c>
      <c r="AD1123" s="13">
        <f t="shared" si="1271"/>
        <v>24</v>
      </c>
      <c r="AE1123" s="13">
        <f t="shared" si="1271"/>
        <v>6</v>
      </c>
      <c r="AF1123" s="13">
        <f t="shared" si="1271"/>
        <v>6</v>
      </c>
      <c r="AG1123" s="13">
        <f t="shared" si="1271"/>
        <v>24</v>
      </c>
      <c r="AH1123" s="13">
        <f t="shared" si="1271"/>
        <v>6</v>
      </c>
      <c r="AI1123" s="13">
        <f t="shared" si="1271"/>
        <v>6</v>
      </c>
      <c r="AJ1123" s="13">
        <f t="shared" si="1271"/>
        <v>24</v>
      </c>
      <c r="AK1123" s="13">
        <f t="shared" si="1271"/>
        <v>6</v>
      </c>
      <c r="AL1123" s="13">
        <f t="shared" si="1271"/>
        <v>6</v>
      </c>
      <c r="AM1123" s="13">
        <f t="shared" si="1271"/>
        <v>25</v>
      </c>
      <c r="AN1123" s="13">
        <f t="shared" si="1271"/>
        <v>6</v>
      </c>
      <c r="AO1123" s="13">
        <f t="shared" si="1271"/>
        <v>6</v>
      </c>
      <c r="AP1123" s="13">
        <f t="shared" si="1271"/>
        <v>24</v>
      </c>
      <c r="AQ1123" s="13">
        <f t="shared" si="1271"/>
        <v>6</v>
      </c>
      <c r="AR1123" s="13">
        <f t="shared" si="1271"/>
        <v>6</v>
      </c>
      <c r="AS1123" s="13">
        <f t="shared" si="1271"/>
        <v>24</v>
      </c>
      <c r="AT1123" s="13">
        <f t="shared" si="1271"/>
        <v>6</v>
      </c>
      <c r="AU1123" s="13">
        <f t="shared" si="1271"/>
        <v>6</v>
      </c>
      <c r="AV1123" s="13">
        <f t="shared" si="1271"/>
        <v>24</v>
      </c>
      <c r="AW1123" s="13">
        <f t="shared" si="1271"/>
        <v>6</v>
      </c>
      <c r="AX1123" s="13">
        <f t="shared" si="1271"/>
        <v>6</v>
      </c>
      <c r="AY1123" s="13">
        <f t="shared" si="1271"/>
        <v>25</v>
      </c>
      <c r="AZ1123" s="13">
        <f t="shared" si="1271"/>
        <v>6</v>
      </c>
      <c r="BA1123" s="13">
        <f t="shared" si="1271"/>
        <v>6</v>
      </c>
      <c r="BB1123" s="13">
        <f t="shared" si="1271"/>
        <v>24</v>
      </c>
      <c r="BC1123" s="13">
        <f t="shared" si="1271"/>
        <v>6</v>
      </c>
      <c r="BD1123" s="13">
        <f t="shared" si="1271"/>
        <v>6</v>
      </c>
      <c r="BE1123" s="13">
        <f t="shared" si="1271"/>
        <v>24</v>
      </c>
      <c r="BF1123" s="13">
        <f t="shared" si="1271"/>
        <v>6</v>
      </c>
      <c r="BG1123" s="13">
        <f t="shared" si="1271"/>
        <v>6</v>
      </c>
      <c r="BH1123" s="13">
        <f t="shared" si="1271"/>
        <v>24</v>
      </c>
      <c r="BI1123" s="13">
        <f t="shared" si="1271"/>
        <v>6</v>
      </c>
      <c r="BJ1123" s="13">
        <f t="shared" si="1271"/>
        <v>6</v>
      </c>
      <c r="BL1123" s="13">
        <f t="shared" ref="BL1123:BW1123" si="1272">SUM(BL1120:BL1122)</f>
        <v>0</v>
      </c>
      <c r="BM1123" s="13">
        <f t="shared" si="1272"/>
        <v>145</v>
      </c>
      <c r="BN1123" s="13">
        <f t="shared" si="1272"/>
        <v>145</v>
      </c>
      <c r="BO1123" s="13">
        <f t="shared" si="1272"/>
        <v>145</v>
      </c>
      <c r="BP1123" s="13">
        <f t="shared" si="1272"/>
        <v>0</v>
      </c>
      <c r="BQ1123" s="13">
        <f t="shared" si="1272"/>
        <v>0</v>
      </c>
      <c r="BR1123" s="13">
        <f t="shared" si="1272"/>
        <v>0</v>
      </c>
      <c r="BS1123" s="13">
        <f t="shared" si="1272"/>
        <v>0</v>
      </c>
      <c r="BT1123" s="13">
        <f t="shared" si="1272"/>
        <v>0</v>
      </c>
      <c r="BU1123" s="13">
        <f t="shared" si="1272"/>
        <v>0</v>
      </c>
      <c r="BV1123" s="13">
        <f t="shared" si="1272"/>
        <v>0</v>
      </c>
      <c r="BW1123" s="13">
        <f t="shared" si="1272"/>
        <v>0</v>
      </c>
      <c r="BY1123" s="12"/>
      <c r="CA1123" s="12"/>
      <c r="CJ1123" s="162"/>
      <c r="CR1123" s="12"/>
      <c r="EX1123" s="13" t="str">
        <f>IF($C1123="","",CONCATENATE(D1119," ", D1123))</f>
        <v/>
      </c>
    </row>
    <row r="1124" spans="3:154" s="67" customFormat="1" ht="6.6" customHeight="1" x14ac:dyDescent="0.25">
      <c r="C1124" s="380"/>
      <c r="D1124" s="1"/>
      <c r="S1124" s="335"/>
      <c r="T1124" s="335"/>
      <c r="U1124" s="335"/>
      <c r="BY1124" s="42"/>
      <c r="BZ1124" s="335"/>
      <c r="CA1124" s="42"/>
      <c r="CB1124" s="335"/>
      <c r="CC1124" s="335"/>
      <c r="CD1124" s="335"/>
      <c r="CE1124" s="335"/>
      <c r="CJ1124" s="162"/>
      <c r="CM1124" s="335"/>
      <c r="CN1124" s="335"/>
      <c r="CO1124" s="335"/>
      <c r="CP1124" s="335"/>
      <c r="CR1124" s="42"/>
      <c r="CT1124" s="335"/>
      <c r="CU1124" s="335"/>
      <c r="EW1124" s="335"/>
      <c r="EX1124" s="10" t="str">
        <f t="shared" si="1218"/>
        <v/>
      </c>
    </row>
    <row r="1125" spans="3:154" s="67" customFormat="1" x14ac:dyDescent="0.25">
      <c r="C1125" s="380"/>
      <c r="D1125" s="61" t="s">
        <v>224</v>
      </c>
      <c r="E1125" s="1"/>
      <c r="S1125" s="335"/>
      <c r="T1125" s="335"/>
      <c r="U1125" s="335"/>
      <c r="BY1125" s="12"/>
      <c r="BZ1125" s="335"/>
      <c r="CA1125" s="12"/>
      <c r="CB1125" s="335"/>
      <c r="CC1125" s="335"/>
      <c r="CD1125" s="335"/>
      <c r="CE1125" s="335"/>
      <c r="CJ1125" s="162"/>
      <c r="CM1125" s="335"/>
      <c r="CN1125" s="335"/>
      <c r="CO1125" s="335"/>
      <c r="CP1125" s="335"/>
      <c r="CR1125" s="12"/>
      <c r="CT1125" s="335"/>
      <c r="CU1125" s="335"/>
      <c r="EW1125" s="335"/>
      <c r="EX1125" s="10" t="str">
        <f t="shared" si="1218"/>
        <v/>
      </c>
    </row>
    <row r="1126" spans="3:154" s="67" customFormat="1" x14ac:dyDescent="0.25">
      <c r="C1126" s="380"/>
      <c r="D1126" s="48" t="s">
        <v>123</v>
      </c>
      <c r="E1126" s="1"/>
      <c r="G1126" s="9"/>
      <c r="H1126" s="50" t="s">
        <v>8</v>
      </c>
      <c r="S1126" s="335"/>
      <c r="T1126" s="335"/>
      <c r="U1126" s="335"/>
      <c r="V1126" s="201">
        <f t="shared" ref="V1126:Y1126" si="1273">SUMIFS(V$874:V$893, $E$874:$E$893, $D1126)</f>
        <v>0</v>
      </c>
      <c r="W1126" s="10">
        <f>SUMIFS(W$874:W$893, $E$874:$E$893, $D1126)</f>
        <v>0</v>
      </c>
      <c r="X1126" s="10">
        <f t="shared" si="1273"/>
        <v>0</v>
      </c>
      <c r="Y1126" s="10">
        <f t="shared" si="1273"/>
        <v>0</v>
      </c>
      <c r="AA1126" s="10">
        <f>SUMIFS(AA$874:AA$893, $E$874:$E$893, $D1126)</f>
        <v>0</v>
      </c>
      <c r="AB1126" s="10">
        <f t="shared" ref="AB1126:AJ1126" si="1274">SUMIFS(AB$874:AB$893, $E$874:$E$893, $D1126)</f>
        <v>0</v>
      </c>
      <c r="AC1126" s="10">
        <f t="shared" si="1274"/>
        <v>0</v>
      </c>
      <c r="AD1126" s="10">
        <f t="shared" si="1274"/>
        <v>0</v>
      </c>
      <c r="AE1126" s="10">
        <f t="shared" si="1274"/>
        <v>0</v>
      </c>
      <c r="AF1126" s="10">
        <f t="shared" si="1274"/>
        <v>0</v>
      </c>
      <c r="AG1126" s="10">
        <f t="shared" si="1274"/>
        <v>0</v>
      </c>
      <c r="AH1126" s="10">
        <f t="shared" si="1274"/>
        <v>0</v>
      </c>
      <c r="AI1126" s="10">
        <f t="shared" si="1274"/>
        <v>0</v>
      </c>
      <c r="AJ1126" s="10">
        <f t="shared" si="1274"/>
        <v>0</v>
      </c>
      <c r="AK1126" s="10">
        <f t="shared" ref="AK1126:AT1126" si="1275">SUMIFS(AK$874:AK$893, $E$874:$E$893, $D1126)</f>
        <v>0</v>
      </c>
      <c r="AL1126" s="10">
        <f t="shared" si="1275"/>
        <v>0</v>
      </c>
      <c r="AM1126" s="10">
        <f t="shared" si="1275"/>
        <v>0</v>
      </c>
      <c r="AN1126" s="10">
        <f t="shared" si="1275"/>
        <v>0</v>
      </c>
      <c r="AO1126" s="10">
        <f t="shared" si="1275"/>
        <v>0</v>
      </c>
      <c r="AP1126" s="10">
        <f t="shared" si="1275"/>
        <v>0</v>
      </c>
      <c r="AQ1126" s="10">
        <f t="shared" si="1275"/>
        <v>0</v>
      </c>
      <c r="AR1126" s="10">
        <f t="shared" si="1275"/>
        <v>0</v>
      </c>
      <c r="AS1126" s="10">
        <f t="shared" si="1275"/>
        <v>0</v>
      </c>
      <c r="AT1126" s="10">
        <f t="shared" si="1275"/>
        <v>0</v>
      </c>
      <c r="AU1126" s="10">
        <f t="shared" ref="AU1126:BD1126" si="1276">SUMIFS(AU$874:AU$893, $E$874:$E$893, $D1126)</f>
        <v>0</v>
      </c>
      <c r="AV1126" s="10">
        <f t="shared" si="1276"/>
        <v>0</v>
      </c>
      <c r="AW1126" s="10">
        <f t="shared" si="1276"/>
        <v>0</v>
      </c>
      <c r="AX1126" s="10">
        <f t="shared" si="1276"/>
        <v>0</v>
      </c>
      <c r="AY1126" s="10">
        <f t="shared" si="1276"/>
        <v>0</v>
      </c>
      <c r="AZ1126" s="10">
        <f t="shared" si="1276"/>
        <v>0</v>
      </c>
      <c r="BA1126" s="10">
        <f t="shared" si="1276"/>
        <v>0</v>
      </c>
      <c r="BB1126" s="10">
        <f t="shared" si="1276"/>
        <v>0</v>
      </c>
      <c r="BC1126" s="10">
        <f t="shared" si="1276"/>
        <v>0</v>
      </c>
      <c r="BD1126" s="10">
        <f t="shared" si="1276"/>
        <v>0</v>
      </c>
      <c r="BE1126" s="10">
        <f t="shared" ref="BE1126:BJ1126" si="1277">SUMIFS(BE$874:BE$893, $E$874:$E$893, $D1126)</f>
        <v>0</v>
      </c>
      <c r="BF1126" s="10">
        <f t="shared" si="1277"/>
        <v>0</v>
      </c>
      <c r="BG1126" s="10">
        <f t="shared" si="1277"/>
        <v>0</v>
      </c>
      <c r="BH1126" s="10">
        <f t="shared" si="1277"/>
        <v>0</v>
      </c>
      <c r="BI1126" s="10">
        <f t="shared" si="1277"/>
        <v>0</v>
      </c>
      <c r="BJ1126" s="10">
        <f t="shared" si="1277"/>
        <v>0</v>
      </c>
      <c r="BL1126" s="10">
        <f t="shared" ref="BL1126:BW1128" si="1278">SUMIFS(BL$874:BL$893, $E$874:$E$893, $D1126)</f>
        <v>0</v>
      </c>
      <c r="BM1126" s="10">
        <f t="shared" si="1278"/>
        <v>0</v>
      </c>
      <c r="BN1126" s="10">
        <f t="shared" si="1278"/>
        <v>0</v>
      </c>
      <c r="BO1126" s="10">
        <f t="shared" si="1278"/>
        <v>0</v>
      </c>
      <c r="BP1126" s="10">
        <f>SUMIFS(BP$874:BP$893, $E$874:$E$893, $D1126)</f>
        <v>0</v>
      </c>
      <c r="BQ1126" s="10">
        <f t="shared" si="1278"/>
        <v>0</v>
      </c>
      <c r="BR1126" s="10">
        <f t="shared" si="1278"/>
        <v>0</v>
      </c>
      <c r="BS1126" s="10">
        <f t="shared" si="1278"/>
        <v>0</v>
      </c>
      <c r="BT1126" s="10">
        <f t="shared" si="1278"/>
        <v>0</v>
      </c>
      <c r="BU1126" s="10">
        <f t="shared" si="1278"/>
        <v>0</v>
      </c>
      <c r="BV1126" s="10">
        <f t="shared" si="1278"/>
        <v>0</v>
      </c>
      <c r="BW1126" s="10">
        <f t="shared" si="1278"/>
        <v>0</v>
      </c>
      <c r="BY1126" s="12"/>
      <c r="BZ1126" s="335"/>
      <c r="CA1126" s="12"/>
      <c r="CB1126" s="335"/>
      <c r="CC1126" s="335"/>
      <c r="CD1126" s="335"/>
      <c r="CE1126" s="335"/>
      <c r="CJ1126" s="162"/>
      <c r="CM1126" s="335"/>
      <c r="CN1126" s="335"/>
      <c r="CO1126" s="335"/>
      <c r="CP1126" s="335"/>
      <c r="CR1126" s="12"/>
      <c r="CT1126" s="335"/>
      <c r="CU1126" s="335"/>
      <c r="EW1126" s="335"/>
      <c r="EX1126" s="13" t="str">
        <f>IF($C1126="","",CONCATENATE(D1125," ", D1126))</f>
        <v/>
      </c>
    </row>
    <row r="1127" spans="3:154" s="67" customFormat="1" x14ac:dyDescent="0.25">
      <c r="C1127" s="380"/>
      <c r="D1127" s="48" t="s">
        <v>288</v>
      </c>
      <c r="E1127" s="1"/>
      <c r="G1127" s="9"/>
      <c r="H1127" s="50" t="s">
        <v>8</v>
      </c>
      <c r="S1127" s="335"/>
      <c r="T1127" s="335"/>
      <c r="U1127" s="335"/>
      <c r="V1127" s="10">
        <f t="shared" ref="V1127:Y1128" si="1279">SUMIFS(V$874:V$893, $E$874:$E$893, $D1127)</f>
        <v>0</v>
      </c>
      <c r="W1127" s="10">
        <f t="shared" si="1279"/>
        <v>0</v>
      </c>
      <c r="X1127" s="10">
        <f t="shared" si="1279"/>
        <v>0</v>
      </c>
      <c r="Y1127" s="10">
        <f t="shared" si="1279"/>
        <v>0</v>
      </c>
      <c r="AA1127" s="10">
        <f t="shared" ref="AA1127:AJ1128" si="1280">SUMIFS(AA$874:AA$893, $E$874:$E$893, $D1127)</f>
        <v>0</v>
      </c>
      <c r="AB1127" s="10">
        <f t="shared" si="1280"/>
        <v>0</v>
      </c>
      <c r="AC1127" s="10">
        <f t="shared" si="1280"/>
        <v>0</v>
      </c>
      <c r="AD1127" s="10">
        <f t="shared" si="1280"/>
        <v>0</v>
      </c>
      <c r="AE1127" s="10">
        <f t="shared" si="1280"/>
        <v>0</v>
      </c>
      <c r="AF1127" s="10">
        <f t="shared" si="1280"/>
        <v>0</v>
      </c>
      <c r="AG1127" s="10">
        <f t="shared" si="1280"/>
        <v>0</v>
      </c>
      <c r="AH1127" s="10">
        <f t="shared" si="1280"/>
        <v>0</v>
      </c>
      <c r="AI1127" s="10">
        <f t="shared" si="1280"/>
        <v>0</v>
      </c>
      <c r="AJ1127" s="10">
        <f t="shared" si="1280"/>
        <v>0</v>
      </c>
      <c r="AK1127" s="10">
        <f t="shared" ref="AK1127:AT1128" si="1281">SUMIFS(AK$874:AK$893, $E$874:$E$893, $D1127)</f>
        <v>0</v>
      </c>
      <c r="AL1127" s="10">
        <f t="shared" si="1281"/>
        <v>0</v>
      </c>
      <c r="AM1127" s="10">
        <f t="shared" si="1281"/>
        <v>0</v>
      </c>
      <c r="AN1127" s="10">
        <f t="shared" si="1281"/>
        <v>0</v>
      </c>
      <c r="AO1127" s="10">
        <f t="shared" si="1281"/>
        <v>0</v>
      </c>
      <c r="AP1127" s="10">
        <f t="shared" si="1281"/>
        <v>0</v>
      </c>
      <c r="AQ1127" s="10">
        <f t="shared" si="1281"/>
        <v>0</v>
      </c>
      <c r="AR1127" s="10">
        <f t="shared" si="1281"/>
        <v>0</v>
      </c>
      <c r="AS1127" s="10">
        <f t="shared" si="1281"/>
        <v>0</v>
      </c>
      <c r="AT1127" s="10">
        <f t="shared" si="1281"/>
        <v>0</v>
      </c>
      <c r="AU1127" s="10">
        <f t="shared" ref="AU1127:BD1128" si="1282">SUMIFS(AU$874:AU$893, $E$874:$E$893, $D1127)</f>
        <v>0</v>
      </c>
      <c r="AV1127" s="10">
        <f t="shared" si="1282"/>
        <v>0</v>
      </c>
      <c r="AW1127" s="10">
        <f t="shared" si="1282"/>
        <v>0</v>
      </c>
      <c r="AX1127" s="10">
        <f t="shared" si="1282"/>
        <v>0</v>
      </c>
      <c r="AY1127" s="10">
        <f t="shared" si="1282"/>
        <v>0</v>
      </c>
      <c r="AZ1127" s="10">
        <f t="shared" si="1282"/>
        <v>0</v>
      </c>
      <c r="BA1127" s="10">
        <f t="shared" si="1282"/>
        <v>0</v>
      </c>
      <c r="BB1127" s="10">
        <f t="shared" si="1282"/>
        <v>0</v>
      </c>
      <c r="BC1127" s="10">
        <f t="shared" si="1282"/>
        <v>0</v>
      </c>
      <c r="BD1127" s="10">
        <f t="shared" si="1282"/>
        <v>0</v>
      </c>
      <c r="BE1127" s="10">
        <f t="shared" ref="BE1127:BJ1128" si="1283">SUMIFS(BE$874:BE$893, $E$874:$E$893, $D1127)</f>
        <v>0</v>
      </c>
      <c r="BF1127" s="10">
        <f t="shared" si="1283"/>
        <v>0</v>
      </c>
      <c r="BG1127" s="10">
        <f t="shared" si="1283"/>
        <v>0</v>
      </c>
      <c r="BH1127" s="10">
        <f t="shared" si="1283"/>
        <v>0</v>
      </c>
      <c r="BI1127" s="10">
        <f t="shared" si="1283"/>
        <v>0</v>
      </c>
      <c r="BJ1127" s="10">
        <f t="shared" si="1283"/>
        <v>0</v>
      </c>
      <c r="BL1127" s="10">
        <f t="shared" si="1278"/>
        <v>0</v>
      </c>
      <c r="BM1127" s="10">
        <f t="shared" ref="BM1127:BW1128" si="1284">SUMIFS(BM$874:BM$893, $E$874:$E$893, $D1127)</f>
        <v>0</v>
      </c>
      <c r="BN1127" s="10">
        <f t="shared" si="1284"/>
        <v>0</v>
      </c>
      <c r="BO1127" s="10">
        <f t="shared" si="1284"/>
        <v>0</v>
      </c>
      <c r="BP1127" s="10">
        <f>SUMIFS(BP$874:BP$893, $E$874:$E$893, $D1127)</f>
        <v>0</v>
      </c>
      <c r="BQ1127" s="10">
        <f t="shared" si="1284"/>
        <v>0</v>
      </c>
      <c r="BR1127" s="10">
        <f t="shared" si="1284"/>
        <v>0</v>
      </c>
      <c r="BS1127" s="10">
        <f t="shared" si="1284"/>
        <v>0</v>
      </c>
      <c r="BT1127" s="10">
        <f t="shared" si="1284"/>
        <v>0</v>
      </c>
      <c r="BU1127" s="10">
        <f t="shared" si="1284"/>
        <v>0</v>
      </c>
      <c r="BV1127" s="10">
        <f t="shared" si="1284"/>
        <v>0</v>
      </c>
      <c r="BW1127" s="10">
        <f t="shared" si="1284"/>
        <v>0</v>
      </c>
      <c r="BY1127" s="12"/>
      <c r="BZ1127" s="335"/>
      <c r="CA1127" s="12"/>
      <c r="CB1127" s="335"/>
      <c r="CC1127" s="335"/>
      <c r="CD1127" s="335"/>
      <c r="CE1127" s="335"/>
      <c r="CJ1127" s="162"/>
      <c r="CM1127" s="335"/>
      <c r="CN1127" s="335"/>
      <c r="CO1127" s="335"/>
      <c r="CP1127" s="335"/>
      <c r="CR1127" s="12"/>
      <c r="CT1127" s="335"/>
      <c r="CU1127" s="335"/>
      <c r="EW1127" s="335"/>
      <c r="EX1127" s="13" t="str">
        <f>IF($C1127="","",CONCATENATE(D1125," ", D1127))</f>
        <v/>
      </c>
    </row>
    <row r="1128" spans="3:154" s="67" customFormat="1" x14ac:dyDescent="0.25">
      <c r="C1128" s="380"/>
      <c r="D1128" s="48" t="s">
        <v>215</v>
      </c>
      <c r="E1128" s="1"/>
      <c r="G1128" s="9"/>
      <c r="H1128" s="50" t="s">
        <v>8</v>
      </c>
      <c r="S1128" s="335"/>
      <c r="T1128" s="335"/>
      <c r="U1128" s="335"/>
      <c r="V1128" s="10">
        <f t="shared" si="1279"/>
        <v>0</v>
      </c>
      <c r="W1128" s="10">
        <f>SUMIFS(W$874:W$893, $E$874:$E$893, $D1128)</f>
        <v>0</v>
      </c>
      <c r="X1128" s="201">
        <f t="shared" si="1279"/>
        <v>0</v>
      </c>
      <c r="Y1128" s="201">
        <f>SUMIFS(Y$874:Y$893, $E$874:$E$893, $D1128)</f>
        <v>0</v>
      </c>
      <c r="AA1128" s="10">
        <f t="shared" si="1280"/>
        <v>0</v>
      </c>
      <c r="AB1128" s="10">
        <f t="shared" si="1280"/>
        <v>0</v>
      </c>
      <c r="AC1128" s="10">
        <f t="shared" si="1280"/>
        <v>0</v>
      </c>
      <c r="AD1128" s="10">
        <f t="shared" si="1280"/>
        <v>0</v>
      </c>
      <c r="AE1128" s="10">
        <f t="shared" si="1280"/>
        <v>0</v>
      </c>
      <c r="AF1128" s="10">
        <f t="shared" si="1280"/>
        <v>0</v>
      </c>
      <c r="AG1128" s="10">
        <f t="shared" si="1280"/>
        <v>0</v>
      </c>
      <c r="AH1128" s="10">
        <f>SUMIFS(AH$874:AH$893, $E$874:$E$893, $D1128)</f>
        <v>0</v>
      </c>
      <c r="AI1128" s="10">
        <f>SUMIFS(AI$874:AI$893, $E$874:$E$893, $D1128)</f>
        <v>0</v>
      </c>
      <c r="AJ1128" s="10">
        <f t="shared" si="1280"/>
        <v>0</v>
      </c>
      <c r="AK1128" s="10">
        <f t="shared" si="1281"/>
        <v>0</v>
      </c>
      <c r="AL1128" s="10">
        <f t="shared" si="1281"/>
        <v>0</v>
      </c>
      <c r="AM1128" s="10">
        <f t="shared" si="1281"/>
        <v>0</v>
      </c>
      <c r="AN1128" s="10">
        <f t="shared" si="1281"/>
        <v>0</v>
      </c>
      <c r="AO1128" s="10">
        <f t="shared" si="1281"/>
        <v>0</v>
      </c>
      <c r="AP1128" s="10">
        <f t="shared" si="1281"/>
        <v>0</v>
      </c>
      <c r="AQ1128" s="10">
        <f t="shared" si="1281"/>
        <v>0</v>
      </c>
      <c r="AR1128" s="10">
        <f t="shared" si="1281"/>
        <v>0</v>
      </c>
      <c r="AS1128" s="10">
        <f t="shared" si="1281"/>
        <v>0</v>
      </c>
      <c r="AT1128" s="10">
        <f t="shared" si="1281"/>
        <v>0</v>
      </c>
      <c r="AU1128" s="10">
        <f t="shared" si="1282"/>
        <v>0</v>
      </c>
      <c r="AV1128" s="10">
        <f t="shared" si="1282"/>
        <v>0</v>
      </c>
      <c r="AW1128" s="10">
        <f t="shared" si="1282"/>
        <v>0</v>
      </c>
      <c r="AX1128" s="10">
        <f t="shared" si="1282"/>
        <v>0</v>
      </c>
      <c r="AY1128" s="10">
        <f t="shared" si="1282"/>
        <v>0</v>
      </c>
      <c r="AZ1128" s="10">
        <f t="shared" si="1282"/>
        <v>0</v>
      </c>
      <c r="BA1128" s="10">
        <f t="shared" si="1282"/>
        <v>0</v>
      </c>
      <c r="BB1128" s="10">
        <f t="shared" si="1282"/>
        <v>0</v>
      </c>
      <c r="BC1128" s="10">
        <f t="shared" si="1282"/>
        <v>0</v>
      </c>
      <c r="BD1128" s="10">
        <f t="shared" si="1282"/>
        <v>0</v>
      </c>
      <c r="BE1128" s="10">
        <f t="shared" si="1283"/>
        <v>0</v>
      </c>
      <c r="BF1128" s="10">
        <f t="shared" si="1283"/>
        <v>0</v>
      </c>
      <c r="BG1128" s="10">
        <f t="shared" si="1283"/>
        <v>0</v>
      </c>
      <c r="BH1128" s="10">
        <f t="shared" si="1283"/>
        <v>0</v>
      </c>
      <c r="BI1128" s="10">
        <f t="shared" si="1283"/>
        <v>0</v>
      </c>
      <c r="BJ1128" s="10">
        <f t="shared" si="1283"/>
        <v>0</v>
      </c>
      <c r="BL1128" s="10">
        <f t="shared" si="1278"/>
        <v>0</v>
      </c>
      <c r="BM1128" s="10">
        <f t="shared" si="1284"/>
        <v>0</v>
      </c>
      <c r="BN1128" s="10">
        <f t="shared" si="1284"/>
        <v>0</v>
      </c>
      <c r="BO1128" s="10">
        <f t="shared" si="1284"/>
        <v>0</v>
      </c>
      <c r="BP1128" s="10">
        <f>SUMIFS(BP$874:BP$893, $E$874:$E$893, $D1128)</f>
        <v>0</v>
      </c>
      <c r="BQ1128" s="10">
        <f t="shared" si="1284"/>
        <v>0</v>
      </c>
      <c r="BR1128" s="10">
        <f t="shared" si="1284"/>
        <v>0</v>
      </c>
      <c r="BS1128" s="10">
        <f t="shared" si="1284"/>
        <v>0</v>
      </c>
      <c r="BT1128" s="10">
        <f t="shared" si="1284"/>
        <v>0</v>
      </c>
      <c r="BU1128" s="10">
        <f t="shared" si="1284"/>
        <v>0</v>
      </c>
      <c r="BV1128" s="10">
        <f t="shared" si="1284"/>
        <v>0</v>
      </c>
      <c r="BW1128" s="10">
        <f t="shared" si="1284"/>
        <v>0</v>
      </c>
      <c r="BY1128" s="12"/>
      <c r="BZ1128" s="335"/>
      <c r="CA1128" s="12"/>
      <c r="CB1128" s="335"/>
      <c r="CC1128" s="335"/>
      <c r="CD1128" s="335"/>
      <c r="CE1128" s="335"/>
      <c r="CJ1128" s="162"/>
      <c r="CM1128" s="335"/>
      <c r="CN1128" s="335"/>
      <c r="CO1128" s="335"/>
      <c r="CP1128" s="335"/>
      <c r="CR1128" s="12"/>
      <c r="CT1128" s="335"/>
      <c r="CU1128" s="335"/>
      <c r="EW1128" s="335"/>
      <c r="EX1128" s="13" t="str">
        <f>IF($C1128="","",CONCATENATE(D1125," ", D1128))</f>
        <v/>
      </c>
    </row>
    <row r="1129" spans="3:154" s="67" customFormat="1" x14ac:dyDescent="0.25">
      <c r="C1129" s="380"/>
      <c r="D1129" s="5" t="s">
        <v>391</v>
      </c>
      <c r="E1129" s="27"/>
      <c r="F1129" s="5"/>
      <c r="G1129" s="116"/>
      <c r="H1129" s="128" t="s">
        <v>8</v>
      </c>
      <c r="S1129" s="335"/>
      <c r="T1129" s="335"/>
      <c r="U1129" s="335"/>
      <c r="V1129" s="13">
        <f>SUM(V1126:V1128)</f>
        <v>0</v>
      </c>
      <c r="W1129" s="13">
        <f>SUM(W1126:W1128)</f>
        <v>0</v>
      </c>
      <c r="X1129" s="13">
        <f>SUM(X1126:X1128)</f>
        <v>0</v>
      </c>
      <c r="Y1129" s="13">
        <f>SUM(Y1126:Y1128)</f>
        <v>0</v>
      </c>
      <c r="AA1129" s="13">
        <f t="shared" ref="AA1129:BJ1129" si="1285">SUM(AA1126:AA1128)</f>
        <v>0</v>
      </c>
      <c r="AB1129" s="13">
        <f t="shared" si="1285"/>
        <v>0</v>
      </c>
      <c r="AC1129" s="13">
        <f t="shared" si="1285"/>
        <v>0</v>
      </c>
      <c r="AD1129" s="13">
        <f t="shared" si="1285"/>
        <v>0</v>
      </c>
      <c r="AE1129" s="13">
        <f t="shared" si="1285"/>
        <v>0</v>
      </c>
      <c r="AF1129" s="13">
        <f t="shared" si="1285"/>
        <v>0</v>
      </c>
      <c r="AG1129" s="13">
        <f t="shared" si="1285"/>
        <v>0</v>
      </c>
      <c r="AH1129" s="13">
        <f t="shared" si="1285"/>
        <v>0</v>
      </c>
      <c r="AI1129" s="13">
        <f>SUM(AI1126:AI1128)</f>
        <v>0</v>
      </c>
      <c r="AJ1129" s="13">
        <f t="shared" si="1285"/>
        <v>0</v>
      </c>
      <c r="AK1129" s="13">
        <f t="shared" si="1285"/>
        <v>0</v>
      </c>
      <c r="AL1129" s="13">
        <f t="shared" si="1285"/>
        <v>0</v>
      </c>
      <c r="AM1129" s="13">
        <f t="shared" si="1285"/>
        <v>0</v>
      </c>
      <c r="AN1129" s="13">
        <f t="shared" si="1285"/>
        <v>0</v>
      </c>
      <c r="AO1129" s="13">
        <f t="shared" si="1285"/>
        <v>0</v>
      </c>
      <c r="AP1129" s="13">
        <f t="shared" si="1285"/>
        <v>0</v>
      </c>
      <c r="AQ1129" s="13">
        <f t="shared" si="1285"/>
        <v>0</v>
      </c>
      <c r="AR1129" s="13">
        <f t="shared" si="1285"/>
        <v>0</v>
      </c>
      <c r="AS1129" s="13">
        <f t="shared" si="1285"/>
        <v>0</v>
      </c>
      <c r="AT1129" s="13">
        <f t="shared" si="1285"/>
        <v>0</v>
      </c>
      <c r="AU1129" s="13">
        <f t="shared" si="1285"/>
        <v>0</v>
      </c>
      <c r="AV1129" s="13">
        <f t="shared" si="1285"/>
        <v>0</v>
      </c>
      <c r="AW1129" s="13">
        <f t="shared" si="1285"/>
        <v>0</v>
      </c>
      <c r="AX1129" s="13">
        <f t="shared" si="1285"/>
        <v>0</v>
      </c>
      <c r="AY1129" s="13">
        <f t="shared" si="1285"/>
        <v>0</v>
      </c>
      <c r="AZ1129" s="13">
        <f t="shared" si="1285"/>
        <v>0</v>
      </c>
      <c r="BA1129" s="13">
        <f t="shared" si="1285"/>
        <v>0</v>
      </c>
      <c r="BB1129" s="13">
        <f t="shared" si="1285"/>
        <v>0</v>
      </c>
      <c r="BC1129" s="13">
        <f t="shared" si="1285"/>
        <v>0</v>
      </c>
      <c r="BD1129" s="13">
        <f t="shared" si="1285"/>
        <v>0</v>
      </c>
      <c r="BE1129" s="13">
        <f t="shared" si="1285"/>
        <v>0</v>
      </c>
      <c r="BF1129" s="13">
        <f t="shared" si="1285"/>
        <v>0</v>
      </c>
      <c r="BG1129" s="13">
        <f t="shared" si="1285"/>
        <v>0</v>
      </c>
      <c r="BH1129" s="13">
        <f t="shared" si="1285"/>
        <v>0</v>
      </c>
      <c r="BI1129" s="13">
        <f t="shared" si="1285"/>
        <v>0</v>
      </c>
      <c r="BJ1129" s="13">
        <f t="shared" si="1285"/>
        <v>0</v>
      </c>
      <c r="BL1129" s="13">
        <f t="shared" ref="BL1129" si="1286">SUM(BL1126:BL1128)</f>
        <v>0</v>
      </c>
      <c r="BM1129" s="13">
        <f t="shared" ref="BM1129:BW1129" si="1287">SUM(BM1126:BM1128)</f>
        <v>0</v>
      </c>
      <c r="BN1129" s="13">
        <f t="shared" si="1287"/>
        <v>0</v>
      </c>
      <c r="BO1129" s="13">
        <f t="shared" si="1287"/>
        <v>0</v>
      </c>
      <c r="BP1129" s="13">
        <f>SUM(BP1126:BP1128)</f>
        <v>0</v>
      </c>
      <c r="BQ1129" s="13">
        <f t="shared" si="1287"/>
        <v>0</v>
      </c>
      <c r="BR1129" s="13">
        <f t="shared" si="1287"/>
        <v>0</v>
      </c>
      <c r="BS1129" s="13">
        <f t="shared" si="1287"/>
        <v>0</v>
      </c>
      <c r="BT1129" s="13">
        <f t="shared" si="1287"/>
        <v>0</v>
      </c>
      <c r="BU1129" s="13">
        <f t="shared" si="1287"/>
        <v>0</v>
      </c>
      <c r="BV1129" s="13">
        <f t="shared" si="1287"/>
        <v>0</v>
      </c>
      <c r="BW1129" s="13">
        <f t="shared" si="1287"/>
        <v>0</v>
      </c>
      <c r="BY1129" s="12"/>
      <c r="BZ1129" s="335"/>
      <c r="CA1129" s="12"/>
      <c r="CB1129" s="335"/>
      <c r="CC1129" s="335"/>
      <c r="CD1129" s="335"/>
      <c r="CE1129" s="335"/>
      <c r="CM1129" s="335"/>
      <c r="CN1129" s="335"/>
      <c r="CO1129" s="335"/>
      <c r="CP1129" s="335"/>
      <c r="CR1129" s="12"/>
      <c r="CT1129" s="335"/>
      <c r="CU1129" s="335"/>
      <c r="EW1129" s="335"/>
      <c r="EX1129" s="13" t="str">
        <f>IF($C1129="","",CONCATENATE(D1125," ", D1129))</f>
        <v/>
      </c>
    </row>
    <row r="1130" spans="3:154" s="335" customFormat="1" ht="6.6" customHeight="1" x14ac:dyDescent="0.25">
      <c r="C1130" s="380"/>
      <c r="D1130" s="1"/>
      <c r="BY1130" s="42"/>
      <c r="CA1130" s="42"/>
      <c r="CJ1130" s="162"/>
      <c r="CR1130" s="42"/>
      <c r="EX1130" s="10" t="str">
        <f t="shared" si="1218"/>
        <v/>
      </c>
    </row>
    <row r="1131" spans="3:154" s="335" customFormat="1" x14ac:dyDescent="0.25">
      <c r="C1131" s="380"/>
      <c r="D1131" s="61" t="s">
        <v>901</v>
      </c>
      <c r="E1131" s="1"/>
      <c r="BY1131" s="12"/>
      <c r="CA1131" s="12"/>
      <c r="CJ1131" s="162"/>
      <c r="CR1131" s="12"/>
      <c r="EX1131" s="10" t="str">
        <f t="shared" si="1218"/>
        <v/>
      </c>
    </row>
    <row r="1132" spans="3:154" s="335" customFormat="1" x14ac:dyDescent="0.25">
      <c r="C1132" s="380"/>
      <c r="D1132" s="48" t="s">
        <v>123</v>
      </c>
      <c r="E1132" s="1"/>
      <c r="G1132" s="9"/>
      <c r="H1132" s="50" t="s">
        <v>8</v>
      </c>
      <c r="V1132" s="136"/>
      <c r="W1132" s="10">
        <f>SUMIFS(W$1060:W$1079, $E$1060:$E$1079, $D1132)</f>
        <v>0</v>
      </c>
      <c r="X1132" s="10">
        <f t="shared" ref="X1132:BJ1134" si="1288">SUMIFS(X$1060:X$1079, $E$1060:$E$1079, $D1132)</f>
        <v>0</v>
      </c>
      <c r="Y1132" s="10">
        <f t="shared" si="1288"/>
        <v>0</v>
      </c>
      <c r="AA1132" s="10">
        <f t="shared" si="1288"/>
        <v>0</v>
      </c>
      <c r="AB1132" s="10">
        <f t="shared" si="1288"/>
        <v>0</v>
      </c>
      <c r="AC1132" s="10">
        <f t="shared" si="1288"/>
        <v>0</v>
      </c>
      <c r="AD1132" s="10">
        <f t="shared" si="1288"/>
        <v>0</v>
      </c>
      <c r="AE1132" s="10">
        <f t="shared" si="1288"/>
        <v>0</v>
      </c>
      <c r="AF1132" s="10">
        <f t="shared" si="1288"/>
        <v>0</v>
      </c>
      <c r="AG1132" s="10">
        <f t="shared" si="1288"/>
        <v>0</v>
      </c>
      <c r="AH1132" s="10">
        <f t="shared" si="1288"/>
        <v>0</v>
      </c>
      <c r="AI1132" s="10">
        <f t="shared" si="1288"/>
        <v>0</v>
      </c>
      <c r="AJ1132" s="10">
        <f t="shared" si="1288"/>
        <v>0</v>
      </c>
      <c r="AK1132" s="10">
        <f t="shared" si="1288"/>
        <v>0</v>
      </c>
      <c r="AL1132" s="10">
        <f t="shared" si="1288"/>
        <v>0</v>
      </c>
      <c r="AM1132" s="10">
        <f t="shared" si="1288"/>
        <v>0</v>
      </c>
      <c r="AN1132" s="10">
        <f t="shared" si="1288"/>
        <v>0</v>
      </c>
      <c r="AO1132" s="10">
        <f t="shared" si="1288"/>
        <v>0</v>
      </c>
      <c r="AP1132" s="10">
        <f t="shared" si="1288"/>
        <v>0</v>
      </c>
      <c r="AQ1132" s="10">
        <f t="shared" si="1288"/>
        <v>0</v>
      </c>
      <c r="AR1132" s="10">
        <f t="shared" si="1288"/>
        <v>0</v>
      </c>
      <c r="AS1132" s="10">
        <f t="shared" si="1288"/>
        <v>0</v>
      </c>
      <c r="AT1132" s="10">
        <f t="shared" si="1288"/>
        <v>0</v>
      </c>
      <c r="AU1132" s="10">
        <f t="shared" si="1288"/>
        <v>0</v>
      </c>
      <c r="AV1132" s="10">
        <f t="shared" si="1288"/>
        <v>0</v>
      </c>
      <c r="AW1132" s="10">
        <f t="shared" si="1288"/>
        <v>0</v>
      </c>
      <c r="AX1132" s="10">
        <f t="shared" si="1288"/>
        <v>0</v>
      </c>
      <c r="AY1132" s="10">
        <f t="shared" si="1288"/>
        <v>0</v>
      </c>
      <c r="AZ1132" s="10">
        <f t="shared" si="1288"/>
        <v>0</v>
      </c>
      <c r="BA1132" s="10">
        <f t="shared" si="1288"/>
        <v>0</v>
      </c>
      <c r="BB1132" s="10">
        <f t="shared" si="1288"/>
        <v>0</v>
      </c>
      <c r="BC1132" s="10">
        <f t="shared" si="1288"/>
        <v>0</v>
      </c>
      <c r="BD1132" s="10">
        <f t="shared" si="1288"/>
        <v>0</v>
      </c>
      <c r="BE1132" s="10">
        <f t="shared" si="1288"/>
        <v>0</v>
      </c>
      <c r="BF1132" s="10">
        <f t="shared" si="1288"/>
        <v>0</v>
      </c>
      <c r="BG1132" s="10">
        <f t="shared" si="1288"/>
        <v>0</v>
      </c>
      <c r="BH1132" s="10">
        <f t="shared" si="1288"/>
        <v>0</v>
      </c>
      <c r="BI1132" s="10">
        <f t="shared" si="1288"/>
        <v>0</v>
      </c>
      <c r="BJ1132" s="10">
        <f t="shared" si="1288"/>
        <v>0</v>
      </c>
      <c r="BL1132" s="136"/>
      <c r="BM1132" s="10">
        <f t="shared" ref="BM1132:BO1134" si="1289">SUMIFS(BM$1060:BM$1079, $E$1060:$E$1079, $D1132)</f>
        <v>0</v>
      </c>
      <c r="BN1132" s="10">
        <f t="shared" si="1289"/>
        <v>0</v>
      </c>
      <c r="BO1132" s="10">
        <f t="shared" si="1289"/>
        <v>0</v>
      </c>
      <c r="BP1132" s="136"/>
      <c r="BQ1132" s="136"/>
      <c r="BR1132" s="136"/>
      <c r="BS1132" s="136"/>
      <c r="BT1132" s="136"/>
      <c r="BU1132" s="136"/>
      <c r="BV1132" s="136"/>
      <c r="BW1132" s="136"/>
      <c r="BY1132" s="12"/>
      <c r="CA1132" s="12"/>
      <c r="CJ1132" s="162"/>
      <c r="CR1132" s="12"/>
      <c r="EX1132" s="13" t="str">
        <f>IF($C1132="","",CONCATENATE(D1131," ", D1132))</f>
        <v/>
      </c>
    </row>
    <row r="1133" spans="3:154" s="335" customFormat="1" x14ac:dyDescent="0.25">
      <c r="C1133" s="380"/>
      <c r="D1133" s="48" t="s">
        <v>288</v>
      </c>
      <c r="E1133" s="1"/>
      <c r="G1133" s="9"/>
      <c r="H1133" s="50" t="s">
        <v>8</v>
      </c>
      <c r="V1133" s="136"/>
      <c r="W1133" s="10">
        <f t="shared" ref="W1133:W1134" si="1290">SUMIFS(W$1060:W$1079, $E$1060:$E$1079, $D1133)</f>
        <v>0</v>
      </c>
      <c r="X1133" s="10">
        <f t="shared" si="1288"/>
        <v>0</v>
      </c>
      <c r="Y1133" s="10">
        <f t="shared" si="1288"/>
        <v>0</v>
      </c>
      <c r="AA1133" s="10">
        <f t="shared" si="1288"/>
        <v>0</v>
      </c>
      <c r="AB1133" s="10">
        <f t="shared" si="1288"/>
        <v>0</v>
      </c>
      <c r="AC1133" s="10">
        <f t="shared" si="1288"/>
        <v>0</v>
      </c>
      <c r="AD1133" s="10">
        <f t="shared" si="1288"/>
        <v>0</v>
      </c>
      <c r="AE1133" s="10">
        <f t="shared" si="1288"/>
        <v>0</v>
      </c>
      <c r="AF1133" s="10">
        <f t="shared" si="1288"/>
        <v>0</v>
      </c>
      <c r="AG1133" s="10">
        <f t="shared" si="1288"/>
        <v>0</v>
      </c>
      <c r="AH1133" s="10">
        <f t="shared" si="1288"/>
        <v>0</v>
      </c>
      <c r="AI1133" s="10">
        <f t="shared" si="1288"/>
        <v>0</v>
      </c>
      <c r="AJ1133" s="10">
        <f t="shared" si="1288"/>
        <v>0</v>
      </c>
      <c r="AK1133" s="10">
        <f t="shared" si="1288"/>
        <v>0</v>
      </c>
      <c r="AL1133" s="10">
        <f t="shared" si="1288"/>
        <v>0</v>
      </c>
      <c r="AM1133" s="10">
        <f t="shared" si="1288"/>
        <v>0</v>
      </c>
      <c r="AN1133" s="10">
        <f t="shared" si="1288"/>
        <v>0</v>
      </c>
      <c r="AO1133" s="10">
        <f t="shared" si="1288"/>
        <v>0</v>
      </c>
      <c r="AP1133" s="10">
        <f t="shared" si="1288"/>
        <v>0</v>
      </c>
      <c r="AQ1133" s="10">
        <f t="shared" si="1288"/>
        <v>0</v>
      </c>
      <c r="AR1133" s="10">
        <f t="shared" si="1288"/>
        <v>0</v>
      </c>
      <c r="AS1133" s="10">
        <f t="shared" si="1288"/>
        <v>0</v>
      </c>
      <c r="AT1133" s="10">
        <f t="shared" si="1288"/>
        <v>0</v>
      </c>
      <c r="AU1133" s="10">
        <f t="shared" si="1288"/>
        <v>0</v>
      </c>
      <c r="AV1133" s="10">
        <f t="shared" si="1288"/>
        <v>0</v>
      </c>
      <c r="AW1133" s="10">
        <f t="shared" si="1288"/>
        <v>0</v>
      </c>
      <c r="AX1133" s="10">
        <f t="shared" si="1288"/>
        <v>0</v>
      </c>
      <c r="AY1133" s="10">
        <f t="shared" si="1288"/>
        <v>0</v>
      </c>
      <c r="AZ1133" s="10">
        <f t="shared" si="1288"/>
        <v>0</v>
      </c>
      <c r="BA1133" s="10">
        <f t="shared" si="1288"/>
        <v>0</v>
      </c>
      <c r="BB1133" s="10">
        <f t="shared" si="1288"/>
        <v>0</v>
      </c>
      <c r="BC1133" s="10">
        <f t="shared" si="1288"/>
        <v>0</v>
      </c>
      <c r="BD1133" s="10">
        <f>SUMIFS(BD$1060:BD$1079, $E$1060:$E$1079, $D1133)</f>
        <v>0</v>
      </c>
      <c r="BE1133" s="10">
        <f t="shared" si="1288"/>
        <v>0</v>
      </c>
      <c r="BF1133" s="10">
        <f t="shared" si="1288"/>
        <v>0</v>
      </c>
      <c r="BG1133" s="10">
        <f t="shared" si="1288"/>
        <v>0</v>
      </c>
      <c r="BH1133" s="10">
        <f t="shared" si="1288"/>
        <v>0</v>
      </c>
      <c r="BI1133" s="10">
        <f t="shared" si="1288"/>
        <v>0</v>
      </c>
      <c r="BJ1133" s="10">
        <f t="shared" si="1288"/>
        <v>0</v>
      </c>
      <c r="BL1133" s="136"/>
      <c r="BM1133" s="10">
        <f t="shared" si="1289"/>
        <v>0</v>
      </c>
      <c r="BN1133" s="10">
        <f t="shared" si="1289"/>
        <v>0</v>
      </c>
      <c r="BO1133" s="10">
        <f t="shared" si="1289"/>
        <v>0</v>
      </c>
      <c r="BP1133" s="136"/>
      <c r="BQ1133" s="136"/>
      <c r="BR1133" s="136"/>
      <c r="BS1133" s="136"/>
      <c r="BT1133" s="136"/>
      <c r="BU1133" s="136"/>
      <c r="BV1133" s="136"/>
      <c r="BW1133" s="136"/>
      <c r="BY1133" s="12"/>
      <c r="CA1133" s="12"/>
      <c r="CJ1133" s="162"/>
      <c r="CR1133" s="12"/>
      <c r="EX1133" s="13" t="str">
        <f>IF($C1133="","",CONCATENATE(D1131," ", D1133))</f>
        <v/>
      </c>
    </row>
    <row r="1134" spans="3:154" s="335" customFormat="1" x14ac:dyDescent="0.25">
      <c r="C1134" s="380"/>
      <c r="D1134" s="48" t="s">
        <v>215</v>
      </c>
      <c r="E1134" s="1"/>
      <c r="G1134" s="9"/>
      <c r="H1134" s="50" t="s">
        <v>8</v>
      </c>
      <c r="V1134" s="136"/>
      <c r="W1134" s="10">
        <f t="shared" ca="1" si="1290"/>
        <v>0</v>
      </c>
      <c r="X1134" s="10">
        <f t="shared" ca="1" si="1288"/>
        <v>0</v>
      </c>
      <c r="Y1134" s="10">
        <f t="shared" ca="1" si="1288"/>
        <v>0</v>
      </c>
      <c r="AA1134" s="10">
        <f t="shared" ca="1" si="1288"/>
        <v>0</v>
      </c>
      <c r="AB1134" s="10">
        <f t="shared" ca="1" si="1288"/>
        <v>0</v>
      </c>
      <c r="AC1134" s="10">
        <f t="shared" ca="1" si="1288"/>
        <v>0</v>
      </c>
      <c r="AD1134" s="10">
        <f t="shared" ca="1" si="1288"/>
        <v>0</v>
      </c>
      <c r="AE1134" s="10">
        <f t="shared" ca="1" si="1288"/>
        <v>0</v>
      </c>
      <c r="AF1134" s="10">
        <f t="shared" ca="1" si="1288"/>
        <v>0</v>
      </c>
      <c r="AG1134" s="10">
        <f t="shared" ca="1" si="1288"/>
        <v>0</v>
      </c>
      <c r="AH1134" s="10">
        <f t="shared" ca="1" si="1288"/>
        <v>0</v>
      </c>
      <c r="AI1134" s="10">
        <f t="shared" ca="1" si="1288"/>
        <v>0</v>
      </c>
      <c r="AJ1134" s="10">
        <f t="shared" ca="1" si="1288"/>
        <v>0</v>
      </c>
      <c r="AK1134" s="10">
        <f t="shared" ca="1" si="1288"/>
        <v>0</v>
      </c>
      <c r="AL1134" s="10">
        <f t="shared" ca="1" si="1288"/>
        <v>0</v>
      </c>
      <c r="AM1134" s="10">
        <f t="shared" ca="1" si="1288"/>
        <v>0</v>
      </c>
      <c r="AN1134" s="10">
        <f t="shared" ca="1" si="1288"/>
        <v>0</v>
      </c>
      <c r="AO1134" s="10">
        <f t="shared" ca="1" si="1288"/>
        <v>0</v>
      </c>
      <c r="AP1134" s="10">
        <f t="shared" ca="1" si="1288"/>
        <v>0</v>
      </c>
      <c r="AQ1134" s="10">
        <f t="shared" ca="1" si="1288"/>
        <v>0</v>
      </c>
      <c r="AR1134" s="10">
        <f t="shared" ca="1" si="1288"/>
        <v>0</v>
      </c>
      <c r="AS1134" s="10">
        <f t="shared" ca="1" si="1288"/>
        <v>0</v>
      </c>
      <c r="AT1134" s="10">
        <f t="shared" ca="1" si="1288"/>
        <v>0</v>
      </c>
      <c r="AU1134" s="10">
        <f t="shared" ca="1" si="1288"/>
        <v>0</v>
      </c>
      <c r="AV1134" s="10">
        <f t="shared" ca="1" si="1288"/>
        <v>0</v>
      </c>
      <c r="AW1134" s="10">
        <f t="shared" ca="1" si="1288"/>
        <v>0</v>
      </c>
      <c r="AX1134" s="10">
        <f t="shared" ca="1" si="1288"/>
        <v>0</v>
      </c>
      <c r="AY1134" s="10">
        <f t="shared" ca="1" si="1288"/>
        <v>0</v>
      </c>
      <c r="AZ1134" s="10">
        <f t="shared" ca="1" si="1288"/>
        <v>0</v>
      </c>
      <c r="BA1134" s="10">
        <f t="shared" ca="1" si="1288"/>
        <v>0</v>
      </c>
      <c r="BB1134" s="10">
        <f t="shared" ca="1" si="1288"/>
        <v>0</v>
      </c>
      <c r="BC1134" s="10">
        <f t="shared" ca="1" si="1288"/>
        <v>0</v>
      </c>
      <c r="BD1134" s="10">
        <f t="shared" ca="1" si="1288"/>
        <v>0</v>
      </c>
      <c r="BE1134" s="10">
        <f t="shared" ca="1" si="1288"/>
        <v>0</v>
      </c>
      <c r="BF1134" s="10">
        <f t="shared" ca="1" si="1288"/>
        <v>0</v>
      </c>
      <c r="BG1134" s="10">
        <f t="shared" ca="1" si="1288"/>
        <v>0</v>
      </c>
      <c r="BH1134" s="10">
        <f t="shared" ca="1" si="1288"/>
        <v>0</v>
      </c>
      <c r="BI1134" s="10">
        <f t="shared" ca="1" si="1288"/>
        <v>0</v>
      </c>
      <c r="BJ1134" s="10">
        <f t="shared" ca="1" si="1288"/>
        <v>0</v>
      </c>
      <c r="BL1134" s="136"/>
      <c r="BM1134" s="10">
        <f t="shared" ca="1" si="1289"/>
        <v>0</v>
      </c>
      <c r="BN1134" s="10">
        <f t="shared" ca="1" si="1289"/>
        <v>0</v>
      </c>
      <c r="BO1134" s="10">
        <f t="shared" ca="1" si="1289"/>
        <v>0</v>
      </c>
      <c r="BP1134" s="136"/>
      <c r="BQ1134" s="136"/>
      <c r="BR1134" s="136"/>
      <c r="BS1134" s="136"/>
      <c r="BT1134" s="136"/>
      <c r="BU1134" s="136"/>
      <c r="BV1134" s="136"/>
      <c r="BW1134" s="136"/>
      <c r="BY1134" s="12"/>
      <c r="CA1134" s="12"/>
      <c r="CJ1134" s="162"/>
      <c r="CR1134" s="12"/>
      <c r="EX1134" s="13" t="str">
        <f>IF($C1134="","",CONCATENATE(D1131," ", D1134))</f>
        <v/>
      </c>
    </row>
    <row r="1135" spans="3:154" s="335" customFormat="1" x14ac:dyDescent="0.25">
      <c r="C1135" s="380"/>
      <c r="D1135" s="5" t="s">
        <v>391</v>
      </c>
      <c r="E1135" s="27"/>
      <c r="F1135" s="5"/>
      <c r="G1135" s="116"/>
      <c r="H1135" s="128" t="s">
        <v>8</v>
      </c>
      <c r="V1135" s="13">
        <f>'Opening Balances'!$W$40</f>
        <v>0</v>
      </c>
      <c r="W1135" s="13">
        <f ca="1">SUM(W1132:W1134)</f>
        <v>0</v>
      </c>
      <c r="X1135" s="13">
        <f ca="1">SUM(X1132:X1134)</f>
        <v>0</v>
      </c>
      <c r="Y1135" s="13">
        <f ca="1">SUM(Y1132:Y1134)</f>
        <v>0</v>
      </c>
      <c r="AA1135" s="13">
        <f t="shared" ref="AA1135:AH1135" ca="1" si="1291">SUM(AA1132:AA1134)</f>
        <v>0</v>
      </c>
      <c r="AB1135" s="13">
        <f t="shared" ca="1" si="1291"/>
        <v>0</v>
      </c>
      <c r="AC1135" s="13">
        <f t="shared" ca="1" si="1291"/>
        <v>0</v>
      </c>
      <c r="AD1135" s="13">
        <f t="shared" ca="1" si="1291"/>
        <v>0</v>
      </c>
      <c r="AE1135" s="13">
        <f t="shared" ca="1" si="1291"/>
        <v>0</v>
      </c>
      <c r="AF1135" s="13">
        <f t="shared" ca="1" si="1291"/>
        <v>0</v>
      </c>
      <c r="AG1135" s="13">
        <f t="shared" ca="1" si="1291"/>
        <v>0</v>
      </c>
      <c r="AH1135" s="13">
        <f t="shared" ca="1" si="1291"/>
        <v>0</v>
      </c>
      <c r="AI1135" s="13">
        <f ca="1">SUM(AI1132:AI1134)</f>
        <v>0</v>
      </c>
      <c r="AJ1135" s="13">
        <f t="shared" ref="AJ1135:BJ1135" ca="1" si="1292">SUM(AJ1132:AJ1134)</f>
        <v>0</v>
      </c>
      <c r="AK1135" s="13">
        <f t="shared" ca="1" si="1292"/>
        <v>0</v>
      </c>
      <c r="AL1135" s="13">
        <f t="shared" ca="1" si="1292"/>
        <v>0</v>
      </c>
      <c r="AM1135" s="13">
        <f t="shared" ca="1" si="1292"/>
        <v>0</v>
      </c>
      <c r="AN1135" s="13">
        <f t="shared" ca="1" si="1292"/>
        <v>0</v>
      </c>
      <c r="AO1135" s="13">
        <f t="shared" ca="1" si="1292"/>
        <v>0</v>
      </c>
      <c r="AP1135" s="13">
        <f t="shared" ca="1" si="1292"/>
        <v>0</v>
      </c>
      <c r="AQ1135" s="13">
        <f t="shared" ca="1" si="1292"/>
        <v>0</v>
      </c>
      <c r="AR1135" s="13">
        <f t="shared" ca="1" si="1292"/>
        <v>0</v>
      </c>
      <c r="AS1135" s="13">
        <f t="shared" ca="1" si="1292"/>
        <v>0</v>
      </c>
      <c r="AT1135" s="13">
        <f t="shared" ca="1" si="1292"/>
        <v>0</v>
      </c>
      <c r="AU1135" s="13">
        <f t="shared" ca="1" si="1292"/>
        <v>0</v>
      </c>
      <c r="AV1135" s="13">
        <f t="shared" ca="1" si="1292"/>
        <v>0</v>
      </c>
      <c r="AW1135" s="13">
        <f t="shared" ca="1" si="1292"/>
        <v>0</v>
      </c>
      <c r="AX1135" s="13">
        <f t="shared" ca="1" si="1292"/>
        <v>0</v>
      </c>
      <c r="AY1135" s="13">
        <f t="shared" ca="1" si="1292"/>
        <v>0</v>
      </c>
      <c r="AZ1135" s="13">
        <f t="shared" ca="1" si="1292"/>
        <v>0</v>
      </c>
      <c r="BA1135" s="13">
        <f t="shared" ca="1" si="1292"/>
        <v>0</v>
      </c>
      <c r="BB1135" s="13">
        <f t="shared" ca="1" si="1292"/>
        <v>0</v>
      </c>
      <c r="BC1135" s="13">
        <f t="shared" ca="1" si="1292"/>
        <v>0</v>
      </c>
      <c r="BD1135" s="13">
        <f t="shared" ca="1" si="1292"/>
        <v>0</v>
      </c>
      <c r="BE1135" s="13">
        <f t="shared" ca="1" si="1292"/>
        <v>0</v>
      </c>
      <c r="BF1135" s="13">
        <f t="shared" ca="1" si="1292"/>
        <v>0</v>
      </c>
      <c r="BG1135" s="13">
        <f t="shared" ca="1" si="1292"/>
        <v>0</v>
      </c>
      <c r="BH1135" s="13">
        <f t="shared" ca="1" si="1292"/>
        <v>0</v>
      </c>
      <c r="BI1135" s="13">
        <f t="shared" ca="1" si="1292"/>
        <v>0</v>
      </c>
      <c r="BJ1135" s="13">
        <f t="shared" ca="1" si="1292"/>
        <v>0</v>
      </c>
      <c r="BL1135" s="13">
        <f>'Opening Balances'!$W$40</f>
        <v>0</v>
      </c>
      <c r="BM1135" s="13">
        <f t="shared" ref="BM1135:BO1135" ca="1" si="1293">SUM(BM1132:BM1134)</f>
        <v>0</v>
      </c>
      <c r="BN1135" s="13">
        <f t="shared" ca="1" si="1293"/>
        <v>0</v>
      </c>
      <c r="BO1135" s="13">
        <f t="shared" ca="1" si="1293"/>
        <v>0</v>
      </c>
      <c r="BP1135" s="13">
        <f>SUM(BP1132:BP1134)</f>
        <v>0</v>
      </c>
      <c r="BQ1135" s="13">
        <f t="shared" ref="BQ1135:BW1135" si="1294">SUM(BQ1132:BQ1134)</f>
        <v>0</v>
      </c>
      <c r="BR1135" s="13">
        <f t="shared" si="1294"/>
        <v>0</v>
      </c>
      <c r="BS1135" s="13">
        <f t="shared" si="1294"/>
        <v>0</v>
      </c>
      <c r="BT1135" s="13">
        <f t="shared" si="1294"/>
        <v>0</v>
      </c>
      <c r="BU1135" s="13">
        <f t="shared" si="1294"/>
        <v>0</v>
      </c>
      <c r="BV1135" s="13">
        <f t="shared" si="1294"/>
        <v>0</v>
      </c>
      <c r="BW1135" s="13">
        <f t="shared" si="1294"/>
        <v>0</v>
      </c>
      <c r="BY1135" s="12"/>
      <c r="CA1135" s="12"/>
      <c r="CR1135" s="12"/>
      <c r="EX1135" s="13" t="str">
        <f>IF($C1135="","",CONCATENATE(D1131," ", D1135))</f>
        <v/>
      </c>
    </row>
    <row r="1136" spans="3:154" s="335" customFormat="1" ht="6.6" customHeight="1" x14ac:dyDescent="0.25">
      <c r="C1136" s="380"/>
      <c r="D1136" s="1"/>
      <c r="BY1136" s="42"/>
      <c r="CA1136" s="42"/>
      <c r="CJ1136" s="162"/>
      <c r="CR1136" s="42"/>
      <c r="EX1136" s="10" t="str">
        <f>IF($C1136="","",$D1136)</f>
        <v/>
      </c>
    </row>
    <row r="1137" spans="1:154" s="335" customFormat="1" x14ac:dyDescent="0.25">
      <c r="C1137" s="380"/>
      <c r="D1137" s="404" t="s">
        <v>1569</v>
      </c>
      <c r="E1137" s="1"/>
      <c r="BY1137" s="12"/>
      <c r="CA1137" s="12"/>
      <c r="CJ1137" s="162"/>
      <c r="CR1137" s="12"/>
      <c r="EX1137" s="10" t="str">
        <f t="shared" si="1218"/>
        <v/>
      </c>
    </row>
    <row r="1138" spans="1:154" s="335" customFormat="1" x14ac:dyDescent="0.25">
      <c r="C1138" s="380"/>
      <c r="D1138" s="232" t="s">
        <v>123</v>
      </c>
      <c r="E1138" s="1"/>
      <c r="G1138" s="9"/>
      <c r="H1138" s="50" t="s">
        <v>125</v>
      </c>
      <c r="V1138" s="201">
        <f>SUMIFS(V$615:V$634, $E$615:$E$634, $D1138)</f>
        <v>0</v>
      </c>
      <c r="W1138" s="201">
        <f t="shared" ref="W1138:BW1140" si="1295">SUMIFS(W$615:W$634, $E$615:$E$634, $D1138)</f>
        <v>0</v>
      </c>
      <c r="X1138" s="201">
        <f t="shared" si="1295"/>
        <v>0</v>
      </c>
      <c r="Y1138" s="201">
        <f t="shared" si="1295"/>
        <v>0</v>
      </c>
      <c r="AA1138" s="201">
        <f t="shared" si="1295"/>
        <v>0</v>
      </c>
      <c r="AB1138" s="201">
        <f t="shared" si="1295"/>
        <v>0</v>
      </c>
      <c r="AC1138" s="201">
        <f t="shared" si="1295"/>
        <v>0</v>
      </c>
      <c r="AD1138" s="201">
        <f t="shared" si="1295"/>
        <v>0</v>
      </c>
      <c r="AE1138" s="201">
        <f t="shared" si="1295"/>
        <v>0</v>
      </c>
      <c r="AF1138" s="201">
        <f t="shared" si="1295"/>
        <v>0</v>
      </c>
      <c r="AG1138" s="201">
        <f t="shared" si="1295"/>
        <v>0</v>
      </c>
      <c r="AH1138" s="201">
        <f t="shared" si="1295"/>
        <v>0</v>
      </c>
      <c r="AI1138" s="201">
        <f t="shared" si="1295"/>
        <v>0</v>
      </c>
      <c r="AJ1138" s="201">
        <f t="shared" si="1295"/>
        <v>0</v>
      </c>
      <c r="AK1138" s="201">
        <f t="shared" si="1295"/>
        <v>0</v>
      </c>
      <c r="AL1138" s="201">
        <f t="shared" si="1295"/>
        <v>0</v>
      </c>
      <c r="AM1138" s="201">
        <f t="shared" si="1295"/>
        <v>0</v>
      </c>
      <c r="AN1138" s="201">
        <f t="shared" si="1295"/>
        <v>0</v>
      </c>
      <c r="AO1138" s="201">
        <f t="shared" si="1295"/>
        <v>0</v>
      </c>
      <c r="AP1138" s="201">
        <f t="shared" si="1295"/>
        <v>0</v>
      </c>
      <c r="AQ1138" s="201">
        <f t="shared" si="1295"/>
        <v>0</v>
      </c>
      <c r="AR1138" s="201">
        <f t="shared" si="1295"/>
        <v>0</v>
      </c>
      <c r="AS1138" s="201">
        <f t="shared" si="1295"/>
        <v>0</v>
      </c>
      <c r="AT1138" s="201">
        <f t="shared" si="1295"/>
        <v>0</v>
      </c>
      <c r="AU1138" s="201">
        <f t="shared" si="1295"/>
        <v>0</v>
      </c>
      <c r="AV1138" s="201">
        <f t="shared" si="1295"/>
        <v>0</v>
      </c>
      <c r="AW1138" s="201">
        <f t="shared" si="1295"/>
        <v>0</v>
      </c>
      <c r="AX1138" s="201">
        <f t="shared" si="1295"/>
        <v>0</v>
      </c>
      <c r="AY1138" s="201">
        <f t="shared" si="1295"/>
        <v>0</v>
      </c>
      <c r="AZ1138" s="201">
        <f t="shared" si="1295"/>
        <v>0</v>
      </c>
      <c r="BA1138" s="201">
        <f t="shared" si="1295"/>
        <v>0</v>
      </c>
      <c r="BB1138" s="201">
        <f t="shared" si="1295"/>
        <v>0</v>
      </c>
      <c r="BC1138" s="201">
        <f t="shared" si="1295"/>
        <v>0</v>
      </c>
      <c r="BD1138" s="201">
        <f t="shared" si="1295"/>
        <v>0</v>
      </c>
      <c r="BE1138" s="201">
        <f t="shared" si="1295"/>
        <v>0</v>
      </c>
      <c r="BF1138" s="201">
        <f t="shared" si="1295"/>
        <v>0</v>
      </c>
      <c r="BG1138" s="201">
        <f t="shared" si="1295"/>
        <v>0</v>
      </c>
      <c r="BH1138" s="201">
        <f t="shared" si="1295"/>
        <v>0</v>
      </c>
      <c r="BI1138" s="201">
        <f t="shared" si="1295"/>
        <v>0</v>
      </c>
      <c r="BJ1138" s="201">
        <f t="shared" si="1295"/>
        <v>0</v>
      </c>
      <c r="BL1138" s="201">
        <f t="shared" si="1295"/>
        <v>0</v>
      </c>
      <c r="BM1138" s="201">
        <f t="shared" si="1295"/>
        <v>0</v>
      </c>
      <c r="BN1138" s="201">
        <f t="shared" si="1295"/>
        <v>0</v>
      </c>
      <c r="BO1138" s="201">
        <f t="shared" si="1295"/>
        <v>0</v>
      </c>
      <c r="BP1138" s="201">
        <f t="shared" si="1295"/>
        <v>0</v>
      </c>
      <c r="BQ1138" s="201">
        <f t="shared" si="1295"/>
        <v>0</v>
      </c>
      <c r="BR1138" s="201">
        <f t="shared" si="1295"/>
        <v>0</v>
      </c>
      <c r="BS1138" s="201">
        <f t="shared" si="1295"/>
        <v>0</v>
      </c>
      <c r="BT1138" s="201">
        <f t="shared" si="1295"/>
        <v>0</v>
      </c>
      <c r="BU1138" s="201">
        <f t="shared" si="1295"/>
        <v>0</v>
      </c>
      <c r="BV1138" s="201">
        <f t="shared" si="1295"/>
        <v>0</v>
      </c>
      <c r="BW1138" s="201">
        <f t="shared" si="1295"/>
        <v>0</v>
      </c>
      <c r="BY1138" s="12"/>
      <c r="CA1138" s="12"/>
      <c r="CJ1138" s="162"/>
      <c r="CR1138" s="12"/>
      <c r="EX1138" s="13" t="str">
        <f>IF($C1138="","",CONCATENATE(D1137," ", D1138))</f>
        <v/>
      </c>
    </row>
    <row r="1139" spans="1:154" s="335" customFormat="1" x14ac:dyDescent="0.25">
      <c r="C1139" s="380"/>
      <c r="D1139" s="232" t="s">
        <v>288</v>
      </c>
      <c r="E1139" s="1"/>
      <c r="G1139" s="9"/>
      <c r="H1139" s="50" t="s">
        <v>125</v>
      </c>
      <c r="V1139" s="201">
        <f t="shared" ref="V1139:AH1140" si="1296">SUMIFS(V$615:V$634, $E$615:$E$634, $D1139)</f>
        <v>0</v>
      </c>
      <c r="W1139" s="201">
        <f t="shared" si="1296"/>
        <v>0</v>
      </c>
      <c r="X1139" s="201">
        <f t="shared" si="1296"/>
        <v>0</v>
      </c>
      <c r="Y1139" s="201">
        <f t="shared" si="1296"/>
        <v>0</v>
      </c>
      <c r="AA1139" s="201">
        <f t="shared" si="1296"/>
        <v>0</v>
      </c>
      <c r="AB1139" s="201">
        <f t="shared" si="1296"/>
        <v>0</v>
      </c>
      <c r="AC1139" s="201">
        <f t="shared" si="1296"/>
        <v>0</v>
      </c>
      <c r="AD1139" s="201">
        <f t="shared" si="1296"/>
        <v>0</v>
      </c>
      <c r="AE1139" s="201">
        <f t="shared" si="1296"/>
        <v>0</v>
      </c>
      <c r="AF1139" s="201">
        <f t="shared" si="1296"/>
        <v>0</v>
      </c>
      <c r="AG1139" s="201">
        <f t="shared" si="1296"/>
        <v>0</v>
      </c>
      <c r="AH1139" s="201">
        <f t="shared" si="1296"/>
        <v>0</v>
      </c>
      <c r="AI1139" s="201">
        <f t="shared" si="1295"/>
        <v>0</v>
      </c>
      <c r="AJ1139" s="201">
        <f t="shared" si="1295"/>
        <v>0</v>
      </c>
      <c r="AK1139" s="201">
        <f t="shared" si="1295"/>
        <v>0</v>
      </c>
      <c r="AL1139" s="201">
        <f t="shared" si="1295"/>
        <v>0</v>
      </c>
      <c r="AM1139" s="201">
        <f t="shared" si="1295"/>
        <v>0</v>
      </c>
      <c r="AN1139" s="201">
        <f t="shared" si="1295"/>
        <v>0</v>
      </c>
      <c r="AO1139" s="201">
        <f t="shared" si="1295"/>
        <v>0</v>
      </c>
      <c r="AP1139" s="201">
        <f t="shared" si="1295"/>
        <v>0</v>
      </c>
      <c r="AQ1139" s="201">
        <f t="shared" si="1295"/>
        <v>0</v>
      </c>
      <c r="AR1139" s="201">
        <f t="shared" si="1295"/>
        <v>0</v>
      </c>
      <c r="AS1139" s="201">
        <f t="shared" si="1295"/>
        <v>0</v>
      </c>
      <c r="AT1139" s="201">
        <f t="shared" si="1295"/>
        <v>0</v>
      </c>
      <c r="AU1139" s="201">
        <f t="shared" si="1295"/>
        <v>0</v>
      </c>
      <c r="AV1139" s="201">
        <f t="shared" si="1295"/>
        <v>0</v>
      </c>
      <c r="AW1139" s="201">
        <f t="shared" si="1295"/>
        <v>0</v>
      </c>
      <c r="AX1139" s="201">
        <f t="shared" si="1295"/>
        <v>0</v>
      </c>
      <c r="AY1139" s="201">
        <f t="shared" si="1295"/>
        <v>0</v>
      </c>
      <c r="AZ1139" s="201">
        <f t="shared" si="1295"/>
        <v>0</v>
      </c>
      <c r="BA1139" s="201">
        <f t="shared" si="1295"/>
        <v>0</v>
      </c>
      <c r="BB1139" s="201">
        <f t="shared" si="1295"/>
        <v>0</v>
      </c>
      <c r="BC1139" s="201">
        <f t="shared" si="1295"/>
        <v>0</v>
      </c>
      <c r="BD1139" s="201">
        <f t="shared" si="1295"/>
        <v>0</v>
      </c>
      <c r="BE1139" s="201">
        <f t="shared" si="1295"/>
        <v>0</v>
      </c>
      <c r="BF1139" s="201">
        <f t="shared" si="1295"/>
        <v>0</v>
      </c>
      <c r="BG1139" s="201">
        <f t="shared" si="1295"/>
        <v>0</v>
      </c>
      <c r="BH1139" s="201">
        <f t="shared" si="1295"/>
        <v>0</v>
      </c>
      <c r="BI1139" s="201">
        <f t="shared" si="1295"/>
        <v>0</v>
      </c>
      <c r="BJ1139" s="201">
        <f t="shared" si="1295"/>
        <v>0</v>
      </c>
      <c r="BL1139" s="201">
        <f t="shared" si="1295"/>
        <v>0</v>
      </c>
      <c r="BM1139" s="201">
        <f t="shared" si="1295"/>
        <v>0</v>
      </c>
      <c r="BN1139" s="201">
        <f t="shared" si="1295"/>
        <v>0</v>
      </c>
      <c r="BO1139" s="201">
        <f t="shared" si="1295"/>
        <v>0</v>
      </c>
      <c r="BP1139" s="201">
        <f t="shared" si="1295"/>
        <v>0</v>
      </c>
      <c r="BQ1139" s="201">
        <f t="shared" si="1295"/>
        <v>0</v>
      </c>
      <c r="BR1139" s="201">
        <f t="shared" si="1295"/>
        <v>0</v>
      </c>
      <c r="BS1139" s="201">
        <f t="shared" si="1295"/>
        <v>0</v>
      </c>
      <c r="BT1139" s="201">
        <f t="shared" si="1295"/>
        <v>0</v>
      </c>
      <c r="BU1139" s="201">
        <f t="shared" si="1295"/>
        <v>0</v>
      </c>
      <c r="BV1139" s="201">
        <f t="shared" si="1295"/>
        <v>0</v>
      </c>
      <c r="BW1139" s="201">
        <f t="shared" si="1295"/>
        <v>0</v>
      </c>
      <c r="BY1139" s="12"/>
      <c r="CA1139" s="12"/>
      <c r="CJ1139" s="162"/>
      <c r="CR1139" s="12"/>
      <c r="EX1139" s="13" t="str">
        <f>IF($C1139="","",CONCATENATE(D1137," ", D1139))</f>
        <v/>
      </c>
    </row>
    <row r="1140" spans="1:154" s="335" customFormat="1" x14ac:dyDescent="0.25">
      <c r="C1140" s="380"/>
      <c r="D1140" s="232" t="s">
        <v>215</v>
      </c>
      <c r="E1140" s="1"/>
      <c r="G1140" s="9"/>
      <c r="H1140" s="50" t="s">
        <v>125</v>
      </c>
      <c r="V1140" s="201">
        <f t="shared" si="1296"/>
        <v>0</v>
      </c>
      <c r="W1140" s="201">
        <f t="shared" si="1295"/>
        <v>0</v>
      </c>
      <c r="X1140" s="201">
        <f t="shared" si="1295"/>
        <v>0</v>
      </c>
      <c r="Y1140" s="201">
        <f t="shared" si="1295"/>
        <v>0</v>
      </c>
      <c r="AA1140" s="201">
        <f t="shared" si="1295"/>
        <v>0</v>
      </c>
      <c r="AB1140" s="201">
        <f t="shared" si="1295"/>
        <v>0</v>
      </c>
      <c r="AC1140" s="201">
        <f t="shared" si="1295"/>
        <v>0</v>
      </c>
      <c r="AD1140" s="201">
        <f t="shared" si="1295"/>
        <v>0</v>
      </c>
      <c r="AE1140" s="201">
        <f t="shared" si="1295"/>
        <v>0</v>
      </c>
      <c r="AF1140" s="201">
        <f t="shared" si="1295"/>
        <v>0</v>
      </c>
      <c r="AG1140" s="201">
        <f t="shared" si="1295"/>
        <v>0</v>
      </c>
      <c r="AH1140" s="201">
        <f t="shared" si="1295"/>
        <v>0</v>
      </c>
      <c r="AI1140" s="201">
        <f t="shared" si="1295"/>
        <v>0</v>
      </c>
      <c r="AJ1140" s="201">
        <f t="shared" si="1295"/>
        <v>0</v>
      </c>
      <c r="AK1140" s="201">
        <f t="shared" si="1295"/>
        <v>0</v>
      </c>
      <c r="AL1140" s="201">
        <f t="shared" si="1295"/>
        <v>0</v>
      </c>
      <c r="AM1140" s="201">
        <f t="shared" si="1295"/>
        <v>0</v>
      </c>
      <c r="AN1140" s="201">
        <f t="shared" si="1295"/>
        <v>0</v>
      </c>
      <c r="AO1140" s="201">
        <f t="shared" si="1295"/>
        <v>0</v>
      </c>
      <c r="AP1140" s="201">
        <f t="shared" si="1295"/>
        <v>0</v>
      </c>
      <c r="AQ1140" s="201">
        <f t="shared" si="1295"/>
        <v>0</v>
      </c>
      <c r="AR1140" s="201">
        <f t="shared" si="1295"/>
        <v>0</v>
      </c>
      <c r="AS1140" s="201">
        <f t="shared" si="1295"/>
        <v>0</v>
      </c>
      <c r="AT1140" s="201">
        <f t="shared" si="1295"/>
        <v>0</v>
      </c>
      <c r="AU1140" s="201">
        <f t="shared" si="1295"/>
        <v>0</v>
      </c>
      <c r="AV1140" s="201">
        <f t="shared" si="1295"/>
        <v>0</v>
      </c>
      <c r="AW1140" s="201">
        <f t="shared" si="1295"/>
        <v>0</v>
      </c>
      <c r="AX1140" s="201">
        <f t="shared" si="1295"/>
        <v>0</v>
      </c>
      <c r="AY1140" s="201">
        <f t="shared" si="1295"/>
        <v>0</v>
      </c>
      <c r="AZ1140" s="201">
        <f t="shared" si="1295"/>
        <v>0</v>
      </c>
      <c r="BA1140" s="201">
        <f t="shared" si="1295"/>
        <v>0</v>
      </c>
      <c r="BB1140" s="201">
        <f t="shared" si="1295"/>
        <v>0</v>
      </c>
      <c r="BC1140" s="201">
        <f t="shared" si="1295"/>
        <v>0</v>
      </c>
      <c r="BD1140" s="201">
        <f t="shared" si="1295"/>
        <v>0</v>
      </c>
      <c r="BE1140" s="201">
        <f t="shared" si="1295"/>
        <v>0</v>
      </c>
      <c r="BF1140" s="201">
        <f t="shared" si="1295"/>
        <v>0</v>
      </c>
      <c r="BG1140" s="201">
        <f t="shared" si="1295"/>
        <v>0</v>
      </c>
      <c r="BH1140" s="201">
        <f t="shared" si="1295"/>
        <v>0</v>
      </c>
      <c r="BI1140" s="201">
        <f t="shared" si="1295"/>
        <v>0</v>
      </c>
      <c r="BJ1140" s="201">
        <f t="shared" si="1295"/>
        <v>0</v>
      </c>
      <c r="BL1140" s="201">
        <f t="shared" si="1295"/>
        <v>0</v>
      </c>
      <c r="BM1140" s="201">
        <f t="shared" si="1295"/>
        <v>0</v>
      </c>
      <c r="BN1140" s="201">
        <f t="shared" si="1295"/>
        <v>0</v>
      </c>
      <c r="BO1140" s="201">
        <f t="shared" si="1295"/>
        <v>0</v>
      </c>
      <c r="BP1140" s="201">
        <f t="shared" si="1295"/>
        <v>0</v>
      </c>
      <c r="BQ1140" s="201">
        <f t="shared" si="1295"/>
        <v>0</v>
      </c>
      <c r="BR1140" s="201">
        <f t="shared" si="1295"/>
        <v>0</v>
      </c>
      <c r="BS1140" s="201">
        <f t="shared" si="1295"/>
        <v>0</v>
      </c>
      <c r="BT1140" s="201">
        <f t="shared" si="1295"/>
        <v>0</v>
      </c>
      <c r="BU1140" s="201">
        <f t="shared" si="1295"/>
        <v>0</v>
      </c>
      <c r="BV1140" s="201">
        <f t="shared" si="1295"/>
        <v>0</v>
      </c>
      <c r="BW1140" s="201">
        <f t="shared" si="1295"/>
        <v>0</v>
      </c>
      <c r="BY1140" s="12"/>
      <c r="CA1140" s="12"/>
      <c r="CJ1140" s="162"/>
      <c r="CR1140" s="12"/>
      <c r="EX1140" s="13" t="str">
        <f>IF($C1140="","",CONCATENATE(D1137," ", D1140))</f>
        <v/>
      </c>
    </row>
    <row r="1141" spans="1:154" s="335" customFormat="1" x14ac:dyDescent="0.25">
      <c r="C1141" s="380"/>
      <c r="D1141" s="189" t="s">
        <v>391</v>
      </c>
      <c r="E1141" s="27"/>
      <c r="F1141" s="5"/>
      <c r="G1141" s="116"/>
      <c r="H1141" s="128" t="s">
        <v>125</v>
      </c>
      <c r="V1141" s="13">
        <f>SUM(V1138:V1140)</f>
        <v>0</v>
      </c>
      <c r="W1141" s="13">
        <f>SUM(W1138:W1140)</f>
        <v>0</v>
      </c>
      <c r="X1141" s="13">
        <f>SUM(X1138:X1140)</f>
        <v>0</v>
      </c>
      <c r="Y1141" s="13">
        <f>SUM(Y1138:Y1140)</f>
        <v>0</v>
      </c>
      <c r="AA1141" s="13">
        <f t="shared" ref="AA1141:BJ1141" si="1297">SUM(AA1138:AA1140)</f>
        <v>0</v>
      </c>
      <c r="AB1141" s="13">
        <f t="shared" si="1297"/>
        <v>0</v>
      </c>
      <c r="AC1141" s="13">
        <f t="shared" si="1297"/>
        <v>0</v>
      </c>
      <c r="AD1141" s="13">
        <f t="shared" si="1297"/>
        <v>0</v>
      </c>
      <c r="AE1141" s="13">
        <f t="shared" si="1297"/>
        <v>0</v>
      </c>
      <c r="AF1141" s="13">
        <f t="shared" si="1297"/>
        <v>0</v>
      </c>
      <c r="AG1141" s="13">
        <f t="shared" si="1297"/>
        <v>0</v>
      </c>
      <c r="AH1141" s="13">
        <f t="shared" si="1297"/>
        <v>0</v>
      </c>
      <c r="AI1141" s="13">
        <f t="shared" si="1297"/>
        <v>0</v>
      </c>
      <c r="AJ1141" s="13">
        <f t="shared" si="1297"/>
        <v>0</v>
      </c>
      <c r="AK1141" s="13">
        <f t="shared" si="1297"/>
        <v>0</v>
      </c>
      <c r="AL1141" s="13">
        <f t="shared" si="1297"/>
        <v>0</v>
      </c>
      <c r="AM1141" s="13">
        <f t="shared" si="1297"/>
        <v>0</v>
      </c>
      <c r="AN1141" s="13">
        <f t="shared" si="1297"/>
        <v>0</v>
      </c>
      <c r="AO1141" s="13">
        <f t="shared" si="1297"/>
        <v>0</v>
      </c>
      <c r="AP1141" s="13">
        <f t="shared" si="1297"/>
        <v>0</v>
      </c>
      <c r="AQ1141" s="13">
        <f t="shared" si="1297"/>
        <v>0</v>
      </c>
      <c r="AR1141" s="13">
        <f t="shared" si="1297"/>
        <v>0</v>
      </c>
      <c r="AS1141" s="13">
        <f t="shared" si="1297"/>
        <v>0</v>
      </c>
      <c r="AT1141" s="13">
        <f t="shared" si="1297"/>
        <v>0</v>
      </c>
      <c r="AU1141" s="13">
        <f t="shared" si="1297"/>
        <v>0</v>
      </c>
      <c r="AV1141" s="13">
        <f t="shared" si="1297"/>
        <v>0</v>
      </c>
      <c r="AW1141" s="13">
        <f t="shared" si="1297"/>
        <v>0</v>
      </c>
      <c r="AX1141" s="13">
        <f t="shared" si="1297"/>
        <v>0</v>
      </c>
      <c r="AY1141" s="13">
        <f t="shared" si="1297"/>
        <v>0</v>
      </c>
      <c r="AZ1141" s="13">
        <f t="shared" si="1297"/>
        <v>0</v>
      </c>
      <c r="BA1141" s="13">
        <f t="shared" si="1297"/>
        <v>0</v>
      </c>
      <c r="BB1141" s="13">
        <f t="shared" si="1297"/>
        <v>0</v>
      </c>
      <c r="BC1141" s="13">
        <f t="shared" si="1297"/>
        <v>0</v>
      </c>
      <c r="BD1141" s="13">
        <f t="shared" si="1297"/>
        <v>0</v>
      </c>
      <c r="BE1141" s="13">
        <f t="shared" si="1297"/>
        <v>0</v>
      </c>
      <c r="BF1141" s="13">
        <f t="shared" si="1297"/>
        <v>0</v>
      </c>
      <c r="BG1141" s="13">
        <f t="shared" si="1297"/>
        <v>0</v>
      </c>
      <c r="BH1141" s="13">
        <f t="shared" si="1297"/>
        <v>0</v>
      </c>
      <c r="BI1141" s="13">
        <f t="shared" si="1297"/>
        <v>0</v>
      </c>
      <c r="BJ1141" s="13">
        <f t="shared" si="1297"/>
        <v>0</v>
      </c>
      <c r="BL1141" s="13">
        <f t="shared" ref="BL1141:BW1141" si="1298">SUM(BL1138:BL1140)</f>
        <v>0</v>
      </c>
      <c r="BM1141" s="13">
        <f t="shared" si="1298"/>
        <v>0</v>
      </c>
      <c r="BN1141" s="13">
        <f t="shared" si="1298"/>
        <v>0</v>
      </c>
      <c r="BO1141" s="13">
        <f t="shared" si="1298"/>
        <v>0</v>
      </c>
      <c r="BP1141" s="13">
        <f t="shared" si="1298"/>
        <v>0</v>
      </c>
      <c r="BQ1141" s="13">
        <f t="shared" si="1298"/>
        <v>0</v>
      </c>
      <c r="BR1141" s="13">
        <f t="shared" si="1298"/>
        <v>0</v>
      </c>
      <c r="BS1141" s="13">
        <f t="shared" si="1298"/>
        <v>0</v>
      </c>
      <c r="BT1141" s="13">
        <f t="shared" si="1298"/>
        <v>0</v>
      </c>
      <c r="BU1141" s="13">
        <f t="shared" si="1298"/>
        <v>0</v>
      </c>
      <c r="BV1141" s="13">
        <f t="shared" si="1298"/>
        <v>0</v>
      </c>
      <c r="BW1141" s="13">
        <f t="shared" si="1298"/>
        <v>0</v>
      </c>
      <c r="BY1141" s="12"/>
      <c r="CA1141" s="12"/>
      <c r="CJ1141" s="162"/>
      <c r="CR1141" s="12"/>
      <c r="EX1141" s="13" t="str">
        <f>IF($C1141="","",CONCATENATE(D1137," ", D1141))</f>
        <v/>
      </c>
    </row>
    <row r="1142" spans="1:154" ht="6.6" customHeight="1" x14ac:dyDescent="0.25">
      <c r="C1142" s="380"/>
      <c r="D1142" s="177"/>
      <c r="E1142" s="11"/>
      <c r="S1142" s="335"/>
      <c r="T1142" s="335"/>
      <c r="U1142" s="335"/>
      <c r="W1142" s="335"/>
      <c r="X1142" s="335"/>
      <c r="Y1142" s="335"/>
      <c r="Z1142" s="335"/>
      <c r="AA1142" s="335"/>
      <c r="AB1142" s="335"/>
      <c r="AC1142" s="335"/>
      <c r="AD1142" s="335"/>
      <c r="AE1142" s="335"/>
      <c r="AF1142" s="335"/>
      <c r="AG1142" s="335"/>
      <c r="AH1142" s="335"/>
      <c r="AI1142" s="335"/>
      <c r="AJ1142" s="335"/>
      <c r="AK1142" s="335"/>
      <c r="AL1142" s="335"/>
      <c r="AM1142" s="335"/>
      <c r="AN1142" s="335"/>
      <c r="AO1142" s="335"/>
      <c r="AP1142" s="335"/>
      <c r="AQ1142" s="335"/>
      <c r="AR1142" s="335"/>
      <c r="AS1142" s="335"/>
      <c r="AT1142" s="335"/>
      <c r="AU1142" s="335"/>
      <c r="AV1142" s="335"/>
      <c r="AW1142" s="335"/>
      <c r="AX1142" s="335"/>
      <c r="AY1142" s="335"/>
      <c r="AZ1142" s="335"/>
      <c r="BA1142" s="335"/>
      <c r="BB1142" s="335"/>
      <c r="BC1142" s="335"/>
      <c r="BD1142" s="335"/>
      <c r="BE1142" s="335"/>
      <c r="BF1142" s="335"/>
      <c r="BG1142" s="335"/>
      <c r="BH1142" s="335"/>
      <c r="BI1142" s="335"/>
      <c r="BJ1142" s="335"/>
      <c r="BK1142" s="335"/>
      <c r="BL1142" s="335"/>
      <c r="BM1142" s="335"/>
      <c r="BN1142" s="335"/>
      <c r="BO1142" s="335"/>
      <c r="BP1142" s="335"/>
      <c r="BQ1142" s="335"/>
      <c r="BR1142" s="335"/>
      <c r="BS1142" s="335"/>
      <c r="BT1142" s="335"/>
      <c r="BU1142" s="335"/>
      <c r="BV1142" s="335"/>
      <c r="BW1142" s="335"/>
      <c r="BY1142" s="42"/>
      <c r="CA1142" s="42"/>
      <c r="CJ1142" s="162"/>
      <c r="CR1142" s="42"/>
      <c r="EX1142" s="10" t="str">
        <f>IF($C1142="","",$D1142)</f>
        <v/>
      </c>
    </row>
    <row r="1143" spans="1:154" x14ac:dyDescent="0.25">
      <c r="C1143" s="380"/>
      <c r="D1143" s="404" t="s">
        <v>1631</v>
      </c>
      <c r="S1143" s="335"/>
      <c r="T1143" s="335"/>
      <c r="U1143" s="335"/>
      <c r="W1143" s="335"/>
      <c r="X1143" s="335"/>
      <c r="Y1143" s="335"/>
      <c r="Z1143" s="335"/>
      <c r="AA1143" s="335"/>
      <c r="AB1143" s="335"/>
      <c r="AC1143" s="335"/>
      <c r="AD1143" s="335"/>
      <c r="AE1143" s="335"/>
      <c r="AF1143" s="335"/>
      <c r="AG1143" s="335"/>
      <c r="AH1143" s="335"/>
      <c r="AI1143" s="335"/>
      <c r="AJ1143" s="335"/>
      <c r="AK1143" s="335"/>
      <c r="AL1143" s="335"/>
      <c r="AM1143" s="335"/>
      <c r="AN1143" s="335"/>
      <c r="AO1143" s="335"/>
      <c r="AP1143" s="335"/>
      <c r="AQ1143" s="335"/>
      <c r="AR1143" s="335"/>
      <c r="AS1143" s="335"/>
      <c r="AT1143" s="335"/>
      <c r="AU1143" s="335"/>
      <c r="AV1143" s="335"/>
      <c r="AW1143" s="335"/>
      <c r="AX1143" s="335"/>
      <c r="AY1143" s="335"/>
      <c r="AZ1143" s="335"/>
      <c r="BA1143" s="335"/>
      <c r="BB1143" s="335"/>
      <c r="BC1143" s="335"/>
      <c r="BD1143" s="335"/>
      <c r="BE1143" s="335"/>
      <c r="BF1143" s="335"/>
      <c r="BG1143" s="335"/>
      <c r="BH1143" s="335"/>
      <c r="BI1143" s="335"/>
      <c r="BJ1143" s="335"/>
      <c r="BK1143" s="335"/>
      <c r="BL1143" s="335"/>
      <c r="BM1143" s="335"/>
      <c r="BN1143" s="335"/>
      <c r="BO1143" s="335"/>
      <c r="BP1143" s="335"/>
      <c r="BQ1143" s="335"/>
      <c r="BR1143" s="335"/>
      <c r="BS1143" s="335"/>
      <c r="BT1143" s="335"/>
      <c r="BU1143" s="335"/>
      <c r="BV1143" s="335"/>
      <c r="BW1143" s="335"/>
      <c r="BY1143" s="12"/>
      <c r="CA1143" s="12"/>
      <c r="CJ1143" s="162"/>
      <c r="CR1143" s="12"/>
      <c r="EX1143" s="10" t="str">
        <f>IF($C1143="","",$D1143)</f>
        <v/>
      </c>
    </row>
    <row r="1144" spans="1:154" x14ac:dyDescent="0.25">
      <c r="C1144" s="380"/>
      <c r="D1144" s="232" t="s">
        <v>123</v>
      </c>
      <c r="G1144" s="9"/>
      <c r="H1144" s="50" t="s">
        <v>125</v>
      </c>
      <c r="S1144" s="335"/>
      <c r="T1144" s="335"/>
      <c r="U1144" s="335"/>
      <c r="V1144" s="201">
        <f t="shared" ref="V1144:Y1146" si="1299">V1138+V1120</f>
        <v>0</v>
      </c>
      <c r="W1144" s="201">
        <f t="shared" si="1299"/>
        <v>0</v>
      </c>
      <c r="X1144" s="201">
        <f t="shared" si="1299"/>
        <v>0</v>
      </c>
      <c r="Y1144" s="201">
        <f t="shared" si="1299"/>
        <v>0</v>
      </c>
      <c r="Z1144" s="335"/>
      <c r="AA1144" s="201">
        <f t="shared" ref="AA1144:BJ1144" si="1300">AA1138+AA1120</f>
        <v>0</v>
      </c>
      <c r="AB1144" s="201">
        <f t="shared" si="1300"/>
        <v>0</v>
      </c>
      <c r="AC1144" s="201">
        <f t="shared" si="1300"/>
        <v>0</v>
      </c>
      <c r="AD1144" s="201">
        <f t="shared" si="1300"/>
        <v>0</v>
      </c>
      <c r="AE1144" s="201">
        <f t="shared" si="1300"/>
        <v>0</v>
      </c>
      <c r="AF1144" s="201">
        <f t="shared" si="1300"/>
        <v>0</v>
      </c>
      <c r="AG1144" s="201">
        <f t="shared" si="1300"/>
        <v>0</v>
      </c>
      <c r="AH1144" s="201">
        <f t="shared" si="1300"/>
        <v>0</v>
      </c>
      <c r="AI1144" s="201">
        <f t="shared" si="1300"/>
        <v>0</v>
      </c>
      <c r="AJ1144" s="201">
        <f t="shared" si="1300"/>
        <v>0</v>
      </c>
      <c r="AK1144" s="201">
        <f t="shared" si="1300"/>
        <v>0</v>
      </c>
      <c r="AL1144" s="201">
        <f t="shared" si="1300"/>
        <v>0</v>
      </c>
      <c r="AM1144" s="201">
        <f t="shared" si="1300"/>
        <v>0</v>
      </c>
      <c r="AN1144" s="201">
        <f t="shared" si="1300"/>
        <v>0</v>
      </c>
      <c r="AO1144" s="201">
        <f t="shared" si="1300"/>
        <v>0</v>
      </c>
      <c r="AP1144" s="201">
        <f t="shared" si="1300"/>
        <v>0</v>
      </c>
      <c r="AQ1144" s="201">
        <f t="shared" si="1300"/>
        <v>0</v>
      </c>
      <c r="AR1144" s="201">
        <f t="shared" si="1300"/>
        <v>0</v>
      </c>
      <c r="AS1144" s="201">
        <f t="shared" si="1300"/>
        <v>0</v>
      </c>
      <c r="AT1144" s="201">
        <f t="shared" si="1300"/>
        <v>0</v>
      </c>
      <c r="AU1144" s="201">
        <f t="shared" si="1300"/>
        <v>0</v>
      </c>
      <c r="AV1144" s="201">
        <f t="shared" si="1300"/>
        <v>0</v>
      </c>
      <c r="AW1144" s="201">
        <f t="shared" si="1300"/>
        <v>0</v>
      </c>
      <c r="AX1144" s="201">
        <f t="shared" si="1300"/>
        <v>0</v>
      </c>
      <c r="AY1144" s="201">
        <f t="shared" si="1300"/>
        <v>0</v>
      </c>
      <c r="AZ1144" s="201">
        <f t="shared" si="1300"/>
        <v>0</v>
      </c>
      <c r="BA1144" s="201">
        <f t="shared" si="1300"/>
        <v>0</v>
      </c>
      <c r="BB1144" s="201">
        <f t="shared" si="1300"/>
        <v>0</v>
      </c>
      <c r="BC1144" s="201">
        <f t="shared" si="1300"/>
        <v>0</v>
      </c>
      <c r="BD1144" s="201">
        <f t="shared" si="1300"/>
        <v>0</v>
      </c>
      <c r="BE1144" s="201">
        <f t="shared" si="1300"/>
        <v>0</v>
      </c>
      <c r="BF1144" s="201">
        <f t="shared" si="1300"/>
        <v>0</v>
      </c>
      <c r="BG1144" s="201">
        <f t="shared" si="1300"/>
        <v>0</v>
      </c>
      <c r="BH1144" s="201">
        <f t="shared" si="1300"/>
        <v>0</v>
      </c>
      <c r="BI1144" s="201">
        <f t="shared" si="1300"/>
        <v>0</v>
      </c>
      <c r="BJ1144" s="201">
        <f t="shared" si="1300"/>
        <v>0</v>
      </c>
      <c r="BK1144" s="335"/>
      <c r="BL1144" s="201">
        <f t="shared" ref="BL1144:BW1144" si="1301">BL1138+BL1120</f>
        <v>0</v>
      </c>
      <c r="BM1144" s="201">
        <f t="shared" si="1301"/>
        <v>0</v>
      </c>
      <c r="BN1144" s="201">
        <f t="shared" si="1301"/>
        <v>0</v>
      </c>
      <c r="BO1144" s="201">
        <f t="shared" si="1301"/>
        <v>0</v>
      </c>
      <c r="BP1144" s="201">
        <f t="shared" si="1301"/>
        <v>0</v>
      </c>
      <c r="BQ1144" s="201">
        <f t="shared" si="1301"/>
        <v>0</v>
      </c>
      <c r="BR1144" s="201">
        <f t="shared" si="1301"/>
        <v>0</v>
      </c>
      <c r="BS1144" s="201">
        <f t="shared" si="1301"/>
        <v>0</v>
      </c>
      <c r="BT1144" s="201">
        <f t="shared" si="1301"/>
        <v>0</v>
      </c>
      <c r="BU1144" s="201">
        <f t="shared" si="1301"/>
        <v>0</v>
      </c>
      <c r="BV1144" s="201">
        <f t="shared" si="1301"/>
        <v>0</v>
      </c>
      <c r="BW1144" s="201">
        <f t="shared" si="1301"/>
        <v>0</v>
      </c>
      <c r="BY1144" s="12"/>
      <c r="CA1144" s="12"/>
      <c r="CJ1144" s="162"/>
      <c r="CR1144" s="12"/>
      <c r="EX1144" s="13" t="str">
        <f>IF($C1144="","",CONCATENATE(D1143," ", D1144))</f>
        <v/>
      </c>
    </row>
    <row r="1145" spans="1:154" x14ac:dyDescent="0.25">
      <c r="C1145" s="380"/>
      <c r="D1145" s="48" t="s">
        <v>288</v>
      </c>
      <c r="G1145" s="9"/>
      <c r="H1145" s="50" t="s">
        <v>125</v>
      </c>
      <c r="S1145" s="335"/>
      <c r="T1145" s="335"/>
      <c r="U1145" s="335"/>
      <c r="V1145" s="201">
        <f t="shared" si="1299"/>
        <v>0</v>
      </c>
      <c r="W1145" s="201">
        <f t="shared" si="1299"/>
        <v>0</v>
      </c>
      <c r="X1145" s="201">
        <f t="shared" si="1299"/>
        <v>0</v>
      </c>
      <c r="Y1145" s="201">
        <f t="shared" si="1299"/>
        <v>0</v>
      </c>
      <c r="Z1145" s="335"/>
      <c r="AA1145" s="201">
        <f t="shared" ref="AA1145:BJ1145" si="1302">AA1139+AA1121</f>
        <v>0</v>
      </c>
      <c r="AB1145" s="201">
        <f t="shared" si="1302"/>
        <v>0</v>
      </c>
      <c r="AC1145" s="201">
        <f t="shared" si="1302"/>
        <v>0</v>
      </c>
      <c r="AD1145" s="201">
        <f t="shared" si="1302"/>
        <v>0</v>
      </c>
      <c r="AE1145" s="201">
        <f t="shared" si="1302"/>
        <v>0</v>
      </c>
      <c r="AF1145" s="201">
        <f t="shared" si="1302"/>
        <v>0</v>
      </c>
      <c r="AG1145" s="201">
        <f t="shared" si="1302"/>
        <v>0</v>
      </c>
      <c r="AH1145" s="201">
        <f t="shared" si="1302"/>
        <v>0</v>
      </c>
      <c r="AI1145" s="201">
        <f t="shared" si="1302"/>
        <v>0</v>
      </c>
      <c r="AJ1145" s="201">
        <f t="shared" si="1302"/>
        <v>0</v>
      </c>
      <c r="AK1145" s="201">
        <f t="shared" si="1302"/>
        <v>0</v>
      </c>
      <c r="AL1145" s="201">
        <f t="shared" si="1302"/>
        <v>0</v>
      </c>
      <c r="AM1145" s="201">
        <f t="shared" si="1302"/>
        <v>0</v>
      </c>
      <c r="AN1145" s="201">
        <f t="shared" si="1302"/>
        <v>0</v>
      </c>
      <c r="AO1145" s="201">
        <f t="shared" si="1302"/>
        <v>0</v>
      </c>
      <c r="AP1145" s="201">
        <f t="shared" si="1302"/>
        <v>0</v>
      </c>
      <c r="AQ1145" s="201">
        <f t="shared" si="1302"/>
        <v>0</v>
      </c>
      <c r="AR1145" s="201">
        <f t="shared" si="1302"/>
        <v>0</v>
      </c>
      <c r="AS1145" s="201">
        <f t="shared" si="1302"/>
        <v>0</v>
      </c>
      <c r="AT1145" s="201">
        <f t="shared" si="1302"/>
        <v>0</v>
      </c>
      <c r="AU1145" s="201">
        <f t="shared" si="1302"/>
        <v>0</v>
      </c>
      <c r="AV1145" s="201">
        <f t="shared" si="1302"/>
        <v>0</v>
      </c>
      <c r="AW1145" s="201">
        <f t="shared" si="1302"/>
        <v>0</v>
      </c>
      <c r="AX1145" s="201">
        <f t="shared" si="1302"/>
        <v>0</v>
      </c>
      <c r="AY1145" s="201">
        <f t="shared" si="1302"/>
        <v>0</v>
      </c>
      <c r="AZ1145" s="201">
        <f t="shared" si="1302"/>
        <v>0</v>
      </c>
      <c r="BA1145" s="201">
        <f t="shared" si="1302"/>
        <v>0</v>
      </c>
      <c r="BB1145" s="201">
        <f t="shared" si="1302"/>
        <v>0</v>
      </c>
      <c r="BC1145" s="201">
        <f t="shared" si="1302"/>
        <v>0</v>
      </c>
      <c r="BD1145" s="201">
        <f t="shared" si="1302"/>
        <v>0</v>
      </c>
      <c r="BE1145" s="201">
        <f t="shared" si="1302"/>
        <v>0</v>
      </c>
      <c r="BF1145" s="201">
        <f t="shared" si="1302"/>
        <v>0</v>
      </c>
      <c r="BG1145" s="201">
        <f t="shared" si="1302"/>
        <v>0</v>
      </c>
      <c r="BH1145" s="201">
        <f t="shared" si="1302"/>
        <v>0</v>
      </c>
      <c r="BI1145" s="201">
        <f t="shared" si="1302"/>
        <v>0</v>
      </c>
      <c r="BJ1145" s="201">
        <f t="shared" si="1302"/>
        <v>0</v>
      </c>
      <c r="BK1145" s="335"/>
      <c r="BL1145" s="201">
        <f t="shared" ref="BL1145:BW1145" si="1303">BL1139+BL1121</f>
        <v>0</v>
      </c>
      <c r="BM1145" s="201">
        <f t="shared" si="1303"/>
        <v>0</v>
      </c>
      <c r="BN1145" s="201">
        <f t="shared" si="1303"/>
        <v>0</v>
      </c>
      <c r="BO1145" s="201">
        <f t="shared" si="1303"/>
        <v>0</v>
      </c>
      <c r="BP1145" s="201">
        <f t="shared" si="1303"/>
        <v>0</v>
      </c>
      <c r="BQ1145" s="201">
        <f t="shared" si="1303"/>
        <v>0</v>
      </c>
      <c r="BR1145" s="201">
        <f t="shared" si="1303"/>
        <v>0</v>
      </c>
      <c r="BS1145" s="201">
        <f t="shared" si="1303"/>
        <v>0</v>
      </c>
      <c r="BT1145" s="201">
        <f t="shared" si="1303"/>
        <v>0</v>
      </c>
      <c r="BU1145" s="201">
        <f t="shared" si="1303"/>
        <v>0</v>
      </c>
      <c r="BV1145" s="201">
        <f t="shared" si="1303"/>
        <v>0</v>
      </c>
      <c r="BW1145" s="201">
        <f t="shared" si="1303"/>
        <v>0</v>
      </c>
      <c r="BY1145" s="12"/>
      <c r="CA1145" s="12"/>
      <c r="CJ1145" s="162"/>
      <c r="CR1145" s="12"/>
      <c r="EX1145" s="13" t="str">
        <f>IF($C1145="","",CONCATENATE(D1143," ", D1145))</f>
        <v/>
      </c>
    </row>
    <row r="1146" spans="1:154" x14ac:dyDescent="0.25">
      <c r="C1146" s="380"/>
      <c r="D1146" s="48" t="s">
        <v>215</v>
      </c>
      <c r="G1146" s="9"/>
      <c r="H1146" s="50" t="s">
        <v>125</v>
      </c>
      <c r="S1146" s="335"/>
      <c r="T1146" s="335"/>
      <c r="U1146" s="335"/>
      <c r="V1146" s="201">
        <f t="shared" si="1299"/>
        <v>0</v>
      </c>
      <c r="W1146" s="201">
        <f t="shared" si="1299"/>
        <v>145</v>
      </c>
      <c r="X1146" s="201">
        <f t="shared" si="1299"/>
        <v>145</v>
      </c>
      <c r="Y1146" s="201">
        <f t="shared" si="1299"/>
        <v>145</v>
      </c>
      <c r="Z1146" s="335"/>
      <c r="AA1146" s="201">
        <f t="shared" ref="AA1146:BJ1146" si="1304">AA1140+AA1122</f>
        <v>25</v>
      </c>
      <c r="AB1146" s="201">
        <f t="shared" si="1304"/>
        <v>6</v>
      </c>
      <c r="AC1146" s="201">
        <f t="shared" si="1304"/>
        <v>6</v>
      </c>
      <c r="AD1146" s="201">
        <f t="shared" si="1304"/>
        <v>24</v>
      </c>
      <c r="AE1146" s="201">
        <f t="shared" si="1304"/>
        <v>6</v>
      </c>
      <c r="AF1146" s="201">
        <f t="shared" si="1304"/>
        <v>6</v>
      </c>
      <c r="AG1146" s="201">
        <f t="shared" si="1304"/>
        <v>24</v>
      </c>
      <c r="AH1146" s="201">
        <f t="shared" si="1304"/>
        <v>6</v>
      </c>
      <c r="AI1146" s="201">
        <f t="shared" si="1304"/>
        <v>6</v>
      </c>
      <c r="AJ1146" s="201">
        <f t="shared" si="1304"/>
        <v>24</v>
      </c>
      <c r="AK1146" s="201">
        <f t="shared" si="1304"/>
        <v>6</v>
      </c>
      <c r="AL1146" s="201">
        <f t="shared" si="1304"/>
        <v>6</v>
      </c>
      <c r="AM1146" s="201">
        <f t="shared" si="1304"/>
        <v>25</v>
      </c>
      <c r="AN1146" s="201">
        <f t="shared" si="1304"/>
        <v>6</v>
      </c>
      <c r="AO1146" s="201">
        <f t="shared" si="1304"/>
        <v>6</v>
      </c>
      <c r="AP1146" s="201">
        <f t="shared" si="1304"/>
        <v>24</v>
      </c>
      <c r="AQ1146" s="201">
        <f t="shared" si="1304"/>
        <v>6</v>
      </c>
      <c r="AR1146" s="201">
        <f t="shared" si="1304"/>
        <v>6</v>
      </c>
      <c r="AS1146" s="201">
        <f t="shared" si="1304"/>
        <v>24</v>
      </c>
      <c r="AT1146" s="201">
        <f t="shared" si="1304"/>
        <v>6</v>
      </c>
      <c r="AU1146" s="201">
        <f t="shared" si="1304"/>
        <v>6</v>
      </c>
      <c r="AV1146" s="201">
        <f t="shared" si="1304"/>
        <v>24</v>
      </c>
      <c r="AW1146" s="201">
        <f t="shared" si="1304"/>
        <v>6</v>
      </c>
      <c r="AX1146" s="201">
        <f t="shared" si="1304"/>
        <v>6</v>
      </c>
      <c r="AY1146" s="201">
        <f t="shared" si="1304"/>
        <v>25</v>
      </c>
      <c r="AZ1146" s="201">
        <f t="shared" si="1304"/>
        <v>6</v>
      </c>
      <c r="BA1146" s="201">
        <f t="shared" si="1304"/>
        <v>6</v>
      </c>
      <c r="BB1146" s="201">
        <f t="shared" si="1304"/>
        <v>24</v>
      </c>
      <c r="BC1146" s="201">
        <f t="shared" si="1304"/>
        <v>6</v>
      </c>
      <c r="BD1146" s="201">
        <f t="shared" si="1304"/>
        <v>6</v>
      </c>
      <c r="BE1146" s="201">
        <f t="shared" si="1304"/>
        <v>24</v>
      </c>
      <c r="BF1146" s="201">
        <f t="shared" si="1304"/>
        <v>6</v>
      </c>
      <c r="BG1146" s="201">
        <f t="shared" si="1304"/>
        <v>6</v>
      </c>
      <c r="BH1146" s="201">
        <f t="shared" si="1304"/>
        <v>24</v>
      </c>
      <c r="BI1146" s="201">
        <f t="shared" si="1304"/>
        <v>6</v>
      </c>
      <c r="BJ1146" s="201">
        <f t="shared" si="1304"/>
        <v>6</v>
      </c>
      <c r="BK1146" s="335"/>
      <c r="BL1146" s="201">
        <f t="shared" ref="BL1146:BW1146" si="1305">BL1140+BL1122</f>
        <v>0</v>
      </c>
      <c r="BM1146" s="201">
        <f t="shared" si="1305"/>
        <v>145</v>
      </c>
      <c r="BN1146" s="201">
        <f t="shared" si="1305"/>
        <v>145</v>
      </c>
      <c r="BO1146" s="201">
        <f t="shared" si="1305"/>
        <v>145</v>
      </c>
      <c r="BP1146" s="201">
        <f t="shared" si="1305"/>
        <v>0</v>
      </c>
      <c r="BQ1146" s="201">
        <f t="shared" si="1305"/>
        <v>0</v>
      </c>
      <c r="BR1146" s="201">
        <f t="shared" si="1305"/>
        <v>0</v>
      </c>
      <c r="BS1146" s="201">
        <f t="shared" si="1305"/>
        <v>0</v>
      </c>
      <c r="BT1146" s="201">
        <f t="shared" si="1305"/>
        <v>0</v>
      </c>
      <c r="BU1146" s="201">
        <f t="shared" si="1305"/>
        <v>0</v>
      </c>
      <c r="BV1146" s="201">
        <f t="shared" si="1305"/>
        <v>0</v>
      </c>
      <c r="BW1146" s="201">
        <f t="shared" si="1305"/>
        <v>0</v>
      </c>
      <c r="BY1146" s="12"/>
      <c r="CA1146" s="12"/>
      <c r="CJ1146" s="162"/>
      <c r="CR1146" s="12"/>
      <c r="EX1146" s="13" t="str">
        <f>IF($C1146="","",CONCATENATE(D1143," ", D1146))</f>
        <v/>
      </c>
    </row>
    <row r="1147" spans="1:154" s="67" customFormat="1" x14ac:dyDescent="0.25">
      <c r="C1147" s="380"/>
      <c r="D1147" s="5" t="s">
        <v>391</v>
      </c>
      <c r="E1147" s="27"/>
      <c r="F1147" s="5"/>
      <c r="G1147" s="116"/>
      <c r="H1147" s="128" t="s">
        <v>125</v>
      </c>
      <c r="S1147" s="335"/>
      <c r="T1147" s="335"/>
      <c r="U1147" s="335"/>
      <c r="V1147" s="13">
        <f>SUM(V1144:V1146)</f>
        <v>0</v>
      </c>
      <c r="W1147" s="13">
        <f>SUM(W1144:W1146)</f>
        <v>145</v>
      </c>
      <c r="X1147" s="13">
        <f>SUM(X1144:X1146)</f>
        <v>145</v>
      </c>
      <c r="Y1147" s="13">
        <f>SUM(Y1144:Y1146)</f>
        <v>145</v>
      </c>
      <c r="AA1147" s="13">
        <f t="shared" ref="AA1147:AH1147" si="1306">SUM(AA1144:AA1146)</f>
        <v>25</v>
      </c>
      <c r="AB1147" s="13">
        <f t="shared" si="1306"/>
        <v>6</v>
      </c>
      <c r="AC1147" s="13">
        <f t="shared" si="1306"/>
        <v>6</v>
      </c>
      <c r="AD1147" s="13">
        <f t="shared" si="1306"/>
        <v>24</v>
      </c>
      <c r="AE1147" s="13">
        <f t="shared" si="1306"/>
        <v>6</v>
      </c>
      <c r="AF1147" s="13">
        <f t="shared" si="1306"/>
        <v>6</v>
      </c>
      <c r="AG1147" s="13">
        <f t="shared" si="1306"/>
        <v>24</v>
      </c>
      <c r="AH1147" s="13">
        <f t="shared" si="1306"/>
        <v>6</v>
      </c>
      <c r="AI1147" s="13">
        <f t="shared" ref="AI1147:BJ1147" si="1307">SUM(AI1144:AI1146)</f>
        <v>6</v>
      </c>
      <c r="AJ1147" s="13">
        <f t="shared" si="1307"/>
        <v>24</v>
      </c>
      <c r="AK1147" s="13">
        <f t="shared" si="1307"/>
        <v>6</v>
      </c>
      <c r="AL1147" s="13">
        <f t="shared" si="1307"/>
        <v>6</v>
      </c>
      <c r="AM1147" s="13">
        <f t="shared" si="1307"/>
        <v>25</v>
      </c>
      <c r="AN1147" s="13">
        <f t="shared" si="1307"/>
        <v>6</v>
      </c>
      <c r="AO1147" s="13">
        <f t="shared" si="1307"/>
        <v>6</v>
      </c>
      <c r="AP1147" s="13">
        <f t="shared" si="1307"/>
        <v>24</v>
      </c>
      <c r="AQ1147" s="13">
        <f t="shared" si="1307"/>
        <v>6</v>
      </c>
      <c r="AR1147" s="13">
        <f t="shared" si="1307"/>
        <v>6</v>
      </c>
      <c r="AS1147" s="13">
        <f t="shared" si="1307"/>
        <v>24</v>
      </c>
      <c r="AT1147" s="13">
        <f t="shared" si="1307"/>
        <v>6</v>
      </c>
      <c r="AU1147" s="13">
        <f t="shared" si="1307"/>
        <v>6</v>
      </c>
      <c r="AV1147" s="13">
        <f t="shared" si="1307"/>
        <v>24</v>
      </c>
      <c r="AW1147" s="13">
        <f t="shared" si="1307"/>
        <v>6</v>
      </c>
      <c r="AX1147" s="13">
        <f t="shared" si="1307"/>
        <v>6</v>
      </c>
      <c r="AY1147" s="13">
        <f t="shared" si="1307"/>
        <v>25</v>
      </c>
      <c r="AZ1147" s="13">
        <f t="shared" si="1307"/>
        <v>6</v>
      </c>
      <c r="BA1147" s="13">
        <f t="shared" si="1307"/>
        <v>6</v>
      </c>
      <c r="BB1147" s="13">
        <f t="shared" si="1307"/>
        <v>24</v>
      </c>
      <c r="BC1147" s="13">
        <f t="shared" si="1307"/>
        <v>6</v>
      </c>
      <c r="BD1147" s="13">
        <f t="shared" si="1307"/>
        <v>6</v>
      </c>
      <c r="BE1147" s="13">
        <f t="shared" si="1307"/>
        <v>24</v>
      </c>
      <c r="BF1147" s="13">
        <f t="shared" si="1307"/>
        <v>6</v>
      </c>
      <c r="BG1147" s="13">
        <f t="shared" si="1307"/>
        <v>6</v>
      </c>
      <c r="BH1147" s="13">
        <f t="shared" si="1307"/>
        <v>24</v>
      </c>
      <c r="BI1147" s="13">
        <f t="shared" si="1307"/>
        <v>6</v>
      </c>
      <c r="BJ1147" s="13">
        <f t="shared" si="1307"/>
        <v>6</v>
      </c>
      <c r="BL1147" s="13">
        <f t="shared" ref="BL1147" si="1308">SUM(BL1144:BL1146)</f>
        <v>0</v>
      </c>
      <c r="BM1147" s="13">
        <f t="shared" ref="BM1147:BW1147" si="1309">SUM(BM1144:BM1146)</f>
        <v>145</v>
      </c>
      <c r="BN1147" s="13">
        <f t="shared" si="1309"/>
        <v>145</v>
      </c>
      <c r="BO1147" s="13">
        <f t="shared" si="1309"/>
        <v>145</v>
      </c>
      <c r="BP1147" s="13">
        <f t="shared" si="1309"/>
        <v>0</v>
      </c>
      <c r="BQ1147" s="13">
        <f t="shared" si="1309"/>
        <v>0</v>
      </c>
      <c r="BR1147" s="13">
        <f t="shared" si="1309"/>
        <v>0</v>
      </c>
      <c r="BS1147" s="13">
        <f t="shared" si="1309"/>
        <v>0</v>
      </c>
      <c r="BT1147" s="13">
        <f t="shared" si="1309"/>
        <v>0</v>
      </c>
      <c r="BU1147" s="13">
        <f t="shared" si="1309"/>
        <v>0</v>
      </c>
      <c r="BV1147" s="13">
        <f t="shared" si="1309"/>
        <v>0</v>
      </c>
      <c r="BW1147" s="13">
        <f t="shared" si="1309"/>
        <v>0</v>
      </c>
      <c r="BY1147" s="12"/>
      <c r="BZ1147" s="335"/>
      <c r="CA1147" s="12"/>
      <c r="CB1147" s="335"/>
      <c r="CC1147" s="335"/>
      <c r="CD1147" s="335"/>
      <c r="CE1147" s="335"/>
      <c r="CJ1147" s="162"/>
      <c r="CM1147" s="335"/>
      <c r="CN1147" s="335"/>
      <c r="CO1147" s="335"/>
      <c r="CP1147" s="335"/>
      <c r="CR1147" s="12"/>
      <c r="CT1147" s="335"/>
      <c r="CU1147" s="335"/>
      <c r="EW1147" s="335"/>
      <c r="EX1147" s="13" t="str">
        <f>IF($C1147="","",CONCATENATE(D1143," ", D1147))</f>
        <v/>
      </c>
    </row>
    <row r="1148" spans="1:154" s="328" customFormat="1" ht="6.6" customHeight="1" x14ac:dyDescent="0.25">
      <c r="C1148" s="380"/>
      <c r="D1148" s="1"/>
      <c r="S1148" s="335"/>
      <c r="T1148" s="335"/>
      <c r="U1148" s="335"/>
      <c r="Z1148" s="335"/>
      <c r="BK1148" s="335"/>
      <c r="BM1148" s="6"/>
      <c r="BY1148" s="42"/>
      <c r="BZ1148" s="335"/>
      <c r="CA1148" s="42"/>
      <c r="CB1148" s="335"/>
      <c r="CC1148" s="335"/>
      <c r="CD1148" s="335"/>
      <c r="CE1148" s="335"/>
      <c r="CG1148" s="335"/>
      <c r="CM1148" s="335"/>
      <c r="CN1148" s="335"/>
      <c r="CO1148" s="335"/>
      <c r="CP1148" s="335"/>
      <c r="CR1148" s="42"/>
      <c r="CT1148" s="335"/>
      <c r="CU1148" s="335"/>
      <c r="EW1148" s="335"/>
      <c r="EX1148" s="10" t="str">
        <f t="shared" si="1218"/>
        <v/>
      </c>
    </row>
    <row r="1149" spans="1:154" s="5" customFormat="1" x14ac:dyDescent="0.25">
      <c r="A1149" s="328"/>
      <c r="C1149" s="380"/>
      <c r="D1149" s="74" t="s">
        <v>2324</v>
      </c>
      <c r="E1149" s="435" t="s">
        <v>1745</v>
      </c>
      <c r="R1149" s="328"/>
      <c r="S1149" s="335"/>
      <c r="T1149" s="335"/>
      <c r="U1149" s="335"/>
      <c r="V1149" s="13">
        <f>1*(SUMIFS(V48:V426, $CT$48:$CT$426, 1)&lt;&gt;0)</f>
        <v>0</v>
      </c>
      <c r="W1149" s="136"/>
      <c r="X1149" s="136"/>
      <c r="Y1149" s="136"/>
      <c r="Z1149" s="335"/>
      <c r="AA1149" s="136"/>
      <c r="AB1149" s="136"/>
      <c r="AC1149" s="136"/>
      <c r="AD1149" s="136"/>
      <c r="AE1149" s="136"/>
      <c r="AF1149" s="136"/>
      <c r="AG1149" s="136"/>
      <c r="AH1149" s="136"/>
      <c r="AI1149" s="136"/>
      <c r="AJ1149" s="136"/>
      <c r="AK1149" s="136"/>
      <c r="AL1149" s="136"/>
      <c r="AM1149" s="136"/>
      <c r="AN1149" s="136"/>
      <c r="AO1149" s="136"/>
      <c r="AP1149" s="136"/>
      <c r="AQ1149" s="136"/>
      <c r="AR1149" s="136"/>
      <c r="AS1149" s="136"/>
      <c r="AT1149" s="136"/>
      <c r="AU1149" s="136"/>
      <c r="AV1149" s="136"/>
      <c r="AW1149" s="136"/>
      <c r="AX1149" s="136"/>
      <c r="AY1149" s="136"/>
      <c r="AZ1149" s="136"/>
      <c r="BA1149" s="136"/>
      <c r="BB1149" s="136"/>
      <c r="BC1149" s="136"/>
      <c r="BD1149" s="136"/>
      <c r="BE1149" s="136"/>
      <c r="BF1149" s="136"/>
      <c r="BG1149" s="136"/>
      <c r="BH1149" s="136"/>
      <c r="BI1149" s="136"/>
      <c r="BJ1149" s="136"/>
      <c r="BK1149" s="335"/>
      <c r="BL1149" s="136"/>
      <c r="BM1149" s="136"/>
      <c r="BN1149" s="136"/>
      <c r="BO1149" s="136"/>
      <c r="BP1149" s="13">
        <f t="shared" ref="BP1149:BW1149" si="1310">1*(SUMIFS(BP48:BP426, $CU$48:$CU$426, 1)&lt;&gt;0)</f>
        <v>0</v>
      </c>
      <c r="BQ1149" s="13">
        <f t="shared" si="1310"/>
        <v>0</v>
      </c>
      <c r="BR1149" s="13">
        <f t="shared" si="1310"/>
        <v>0</v>
      </c>
      <c r="BS1149" s="13">
        <f t="shared" si="1310"/>
        <v>0</v>
      </c>
      <c r="BT1149" s="13">
        <f t="shared" si="1310"/>
        <v>0</v>
      </c>
      <c r="BU1149" s="13">
        <f t="shared" si="1310"/>
        <v>0</v>
      </c>
      <c r="BV1149" s="13">
        <f t="shared" si="1310"/>
        <v>0</v>
      </c>
      <c r="BW1149" s="13">
        <f t="shared" si="1310"/>
        <v>0</v>
      </c>
      <c r="BY1149" s="12"/>
      <c r="BZ1149" s="335"/>
      <c r="CA1149" s="12"/>
      <c r="CD1149" s="335"/>
      <c r="CE1149" s="335"/>
      <c r="CF1149" s="328"/>
      <c r="CG1149" s="335"/>
      <c r="CM1149" s="335"/>
      <c r="CN1149" s="335"/>
      <c r="CO1149" s="335"/>
      <c r="CP1149" s="335"/>
      <c r="CR1149" s="12"/>
      <c r="EX1149" s="10" t="str">
        <f t="shared" si="1218"/>
        <v/>
      </c>
    </row>
    <row r="1150" spans="1:154" s="328" customFormat="1" ht="15.75" x14ac:dyDescent="0.3">
      <c r="B1150" s="479" t="s">
        <v>335</v>
      </c>
      <c r="C1150" s="380"/>
      <c r="D1150" s="355" t="s">
        <v>935</v>
      </c>
      <c r="E1150" s="45">
        <v>1</v>
      </c>
      <c r="F1150" s="45">
        <f>IF(COUNTA(F13:G32)=0, 1, 0)</f>
        <v>0</v>
      </c>
      <c r="G1150" s="5"/>
      <c r="I1150" s="5"/>
      <c r="J1150" s="5"/>
      <c r="K1150" s="5"/>
      <c r="L1150" s="5"/>
      <c r="M1150" s="5"/>
      <c r="N1150" s="5"/>
      <c r="O1150" s="5"/>
      <c r="P1150" s="5"/>
      <c r="Q1150" s="5"/>
      <c r="R1150" s="5"/>
      <c r="S1150" s="335"/>
      <c r="T1150" s="335"/>
      <c r="U1150" s="335"/>
      <c r="V1150" s="13">
        <f>IF($F1150=1,1, IF(V1149=0, 0, 1))</f>
        <v>0</v>
      </c>
      <c r="W1150" s="45">
        <f>$E1150</f>
        <v>1</v>
      </c>
      <c r="X1150" s="45">
        <f>$E1150</f>
        <v>1</v>
      </c>
      <c r="Y1150" s="45">
        <f t="shared" ref="Y1150:BJ1150" si="1311">$E1150</f>
        <v>1</v>
      </c>
      <c r="Z1150" s="335"/>
      <c r="AA1150" s="45">
        <f t="shared" si="1311"/>
        <v>1</v>
      </c>
      <c r="AB1150" s="45">
        <f t="shared" si="1311"/>
        <v>1</v>
      </c>
      <c r="AC1150" s="45">
        <f t="shared" si="1311"/>
        <v>1</v>
      </c>
      <c r="AD1150" s="45">
        <f t="shared" si="1311"/>
        <v>1</v>
      </c>
      <c r="AE1150" s="45">
        <f t="shared" si="1311"/>
        <v>1</v>
      </c>
      <c r="AF1150" s="45">
        <f t="shared" si="1311"/>
        <v>1</v>
      </c>
      <c r="AG1150" s="45">
        <f t="shared" si="1311"/>
        <v>1</v>
      </c>
      <c r="AH1150" s="45">
        <f t="shared" si="1311"/>
        <v>1</v>
      </c>
      <c r="AI1150" s="45">
        <f t="shared" si="1311"/>
        <v>1</v>
      </c>
      <c r="AJ1150" s="45">
        <f t="shared" si="1311"/>
        <v>1</v>
      </c>
      <c r="AK1150" s="45">
        <f t="shared" si="1311"/>
        <v>1</v>
      </c>
      <c r="AL1150" s="45">
        <f t="shared" si="1311"/>
        <v>1</v>
      </c>
      <c r="AM1150" s="45">
        <f t="shared" si="1311"/>
        <v>1</v>
      </c>
      <c r="AN1150" s="45">
        <f t="shared" si="1311"/>
        <v>1</v>
      </c>
      <c r="AO1150" s="45">
        <f t="shared" si="1311"/>
        <v>1</v>
      </c>
      <c r="AP1150" s="45">
        <f t="shared" si="1311"/>
        <v>1</v>
      </c>
      <c r="AQ1150" s="45">
        <f t="shared" si="1311"/>
        <v>1</v>
      </c>
      <c r="AR1150" s="45">
        <f t="shared" si="1311"/>
        <v>1</v>
      </c>
      <c r="AS1150" s="45">
        <f t="shared" si="1311"/>
        <v>1</v>
      </c>
      <c r="AT1150" s="45">
        <f t="shared" si="1311"/>
        <v>1</v>
      </c>
      <c r="AU1150" s="45">
        <f t="shared" si="1311"/>
        <v>1</v>
      </c>
      <c r="AV1150" s="45">
        <f t="shared" si="1311"/>
        <v>1</v>
      </c>
      <c r="AW1150" s="45">
        <f t="shared" si="1311"/>
        <v>1</v>
      </c>
      <c r="AX1150" s="45">
        <f t="shared" si="1311"/>
        <v>1</v>
      </c>
      <c r="AY1150" s="45">
        <f t="shared" si="1311"/>
        <v>1</v>
      </c>
      <c r="AZ1150" s="45">
        <f t="shared" si="1311"/>
        <v>1</v>
      </c>
      <c r="BA1150" s="45">
        <f t="shared" si="1311"/>
        <v>1</v>
      </c>
      <c r="BB1150" s="45">
        <f t="shared" si="1311"/>
        <v>1</v>
      </c>
      <c r="BC1150" s="45">
        <f t="shared" si="1311"/>
        <v>1</v>
      </c>
      <c r="BD1150" s="45">
        <f t="shared" si="1311"/>
        <v>1</v>
      </c>
      <c r="BE1150" s="45">
        <f t="shared" si="1311"/>
        <v>1</v>
      </c>
      <c r="BF1150" s="45">
        <f t="shared" si="1311"/>
        <v>1</v>
      </c>
      <c r="BG1150" s="45">
        <f t="shared" si="1311"/>
        <v>1</v>
      </c>
      <c r="BH1150" s="45">
        <f t="shared" si="1311"/>
        <v>1</v>
      </c>
      <c r="BI1150" s="45">
        <f t="shared" si="1311"/>
        <v>1</v>
      </c>
      <c r="BJ1150" s="45">
        <f t="shared" si="1311"/>
        <v>1</v>
      </c>
      <c r="BL1150" s="416">
        <f t="shared" ref="BL1150:BO1150" si="1312">V1150</f>
        <v>0</v>
      </c>
      <c r="BM1150" s="416">
        <f t="shared" si="1312"/>
        <v>1</v>
      </c>
      <c r="BN1150" s="416">
        <f t="shared" si="1312"/>
        <v>1</v>
      </c>
      <c r="BO1150" s="416">
        <f t="shared" si="1312"/>
        <v>1</v>
      </c>
      <c r="BP1150" s="13">
        <f xml:space="preserve"> IF($F1150=1, 1, IF(BP1149=0, 0, 1))</f>
        <v>0</v>
      </c>
      <c r="BQ1150" s="13">
        <f t="shared" ref="BQ1150:BW1150" si="1313" xml:space="preserve"> IF($F1150=1, 1, IF(BQ1149=0, 0, 1))</f>
        <v>0</v>
      </c>
      <c r="BR1150" s="13">
        <f t="shared" si="1313"/>
        <v>0</v>
      </c>
      <c r="BS1150" s="13">
        <f t="shared" si="1313"/>
        <v>0</v>
      </c>
      <c r="BT1150" s="13">
        <f t="shared" si="1313"/>
        <v>0</v>
      </c>
      <c r="BU1150" s="13">
        <f t="shared" si="1313"/>
        <v>0</v>
      </c>
      <c r="BV1150" s="13">
        <f t="shared" si="1313"/>
        <v>0</v>
      </c>
      <c r="BW1150" s="13">
        <f t="shared" si="1313"/>
        <v>0</v>
      </c>
      <c r="BY1150" s="12"/>
      <c r="BZ1150" s="335"/>
      <c r="CA1150" s="12"/>
      <c r="CB1150" s="335"/>
      <c r="CC1150" s="335"/>
      <c r="CD1150" s="335"/>
      <c r="CE1150" s="335"/>
      <c r="CM1150" s="335"/>
      <c r="CN1150" s="335"/>
      <c r="CO1150" s="335"/>
      <c r="CP1150" s="335"/>
      <c r="CR1150" s="12"/>
      <c r="CT1150" s="335"/>
      <c r="CU1150" s="335"/>
      <c r="EW1150" s="335"/>
      <c r="EX1150" s="10" t="str">
        <f t="shared" si="1218"/>
        <v/>
      </c>
    </row>
    <row r="1151" spans="1:154" s="67" customFormat="1" ht="6.6" customHeight="1" x14ac:dyDescent="0.25">
      <c r="C1151" s="380"/>
      <c r="D1151" s="1"/>
      <c r="S1151" s="335"/>
      <c r="BM1151" s="6"/>
      <c r="BY1151" s="42"/>
      <c r="BZ1151" s="335"/>
      <c r="CA1151" s="42"/>
      <c r="CB1151" s="335"/>
      <c r="CC1151" s="335"/>
      <c r="CD1151" s="335"/>
      <c r="CE1151" s="335"/>
      <c r="CM1151" s="335"/>
      <c r="CN1151" s="335"/>
      <c r="CO1151" s="335"/>
      <c r="CP1151" s="335"/>
      <c r="CR1151" s="42"/>
      <c r="CS1151" s="5"/>
      <c r="CT1151" s="5"/>
      <c r="CU1151" s="5"/>
      <c r="EW1151" s="335"/>
      <c r="EX1151" s="10" t="str">
        <f t="shared" si="1218"/>
        <v/>
      </c>
    </row>
    <row r="1152" spans="1:154" x14ac:dyDescent="0.25">
      <c r="A1152" s="12" t="s">
        <v>88</v>
      </c>
      <c r="B1152" s="12" t="s">
        <v>88</v>
      </c>
      <c r="C1152" s="12" t="s">
        <v>88</v>
      </c>
      <c r="D1152" s="12" t="s">
        <v>88</v>
      </c>
      <c r="E1152" s="54" t="s">
        <v>88</v>
      </c>
      <c r="F1152" s="12" t="s">
        <v>88</v>
      </c>
      <c r="G1152" s="12" t="s">
        <v>88</v>
      </c>
      <c r="H1152" s="12" t="s">
        <v>88</v>
      </c>
      <c r="I1152" s="12" t="s">
        <v>88</v>
      </c>
      <c r="J1152" s="12" t="s">
        <v>88</v>
      </c>
      <c r="K1152" s="12" t="s">
        <v>88</v>
      </c>
      <c r="L1152" s="12" t="s">
        <v>88</v>
      </c>
      <c r="M1152" s="12" t="s">
        <v>88</v>
      </c>
      <c r="N1152" s="12" t="s">
        <v>88</v>
      </c>
      <c r="O1152" s="12" t="s">
        <v>88</v>
      </c>
      <c r="P1152" s="12" t="s">
        <v>88</v>
      </c>
      <c r="Q1152" s="12" t="s">
        <v>88</v>
      </c>
      <c r="R1152" s="12" t="s">
        <v>88</v>
      </c>
      <c r="S1152" s="12"/>
      <c r="T1152" s="12" t="s">
        <v>88</v>
      </c>
      <c r="U1152" s="12" t="s">
        <v>88</v>
      </c>
      <c r="V1152" s="12" t="s">
        <v>88</v>
      </c>
      <c r="W1152" s="12" t="s">
        <v>88</v>
      </c>
      <c r="X1152" s="12"/>
      <c r="Y1152" s="12"/>
      <c r="Z1152" s="12" t="s">
        <v>88</v>
      </c>
      <c r="AA1152" s="12" t="s">
        <v>88</v>
      </c>
      <c r="AB1152" s="12" t="s">
        <v>88</v>
      </c>
      <c r="AC1152" s="12" t="s">
        <v>88</v>
      </c>
      <c r="AD1152" s="12" t="s">
        <v>88</v>
      </c>
      <c r="AE1152" s="12" t="s">
        <v>88</v>
      </c>
      <c r="AF1152" s="12" t="s">
        <v>88</v>
      </c>
      <c r="AG1152" s="12" t="s">
        <v>88</v>
      </c>
      <c r="AH1152" s="12" t="s">
        <v>88</v>
      </c>
      <c r="AI1152" s="12" t="s">
        <v>88</v>
      </c>
      <c r="AJ1152" s="12" t="s">
        <v>88</v>
      </c>
      <c r="AK1152" s="12" t="s">
        <v>88</v>
      </c>
      <c r="AL1152" s="12" t="s">
        <v>88</v>
      </c>
      <c r="AM1152" s="12" t="s">
        <v>88</v>
      </c>
      <c r="AN1152" s="12" t="s">
        <v>88</v>
      </c>
      <c r="AO1152" s="12" t="s">
        <v>88</v>
      </c>
      <c r="AP1152" s="12" t="s">
        <v>88</v>
      </c>
      <c r="AQ1152" s="12" t="s">
        <v>88</v>
      </c>
      <c r="AR1152" s="12" t="s">
        <v>88</v>
      </c>
      <c r="AS1152" s="12" t="s">
        <v>88</v>
      </c>
      <c r="AT1152" s="12" t="s">
        <v>88</v>
      </c>
      <c r="AU1152" s="12" t="s">
        <v>88</v>
      </c>
      <c r="AV1152" s="12" t="s">
        <v>88</v>
      </c>
      <c r="AW1152" s="12" t="s">
        <v>88</v>
      </c>
      <c r="AX1152" s="12" t="s">
        <v>88</v>
      </c>
      <c r="AY1152" s="12" t="s">
        <v>88</v>
      </c>
      <c r="AZ1152" s="12" t="s">
        <v>88</v>
      </c>
      <c r="BA1152" s="12" t="s">
        <v>88</v>
      </c>
      <c r="BB1152" s="12" t="s">
        <v>88</v>
      </c>
      <c r="BC1152" s="12" t="s">
        <v>88</v>
      </c>
      <c r="BD1152" s="12" t="s">
        <v>88</v>
      </c>
      <c r="BE1152" s="12" t="s">
        <v>88</v>
      </c>
      <c r="BF1152" s="12" t="s">
        <v>88</v>
      </c>
      <c r="BG1152" s="12" t="s">
        <v>88</v>
      </c>
      <c r="BH1152" s="12" t="s">
        <v>88</v>
      </c>
      <c r="BI1152" s="12" t="s">
        <v>88</v>
      </c>
      <c r="BJ1152" s="12" t="s">
        <v>88</v>
      </c>
      <c r="BK1152" s="12" t="s">
        <v>88</v>
      </c>
      <c r="BL1152" s="12" t="s">
        <v>88</v>
      </c>
      <c r="BM1152" s="12" t="s">
        <v>88</v>
      </c>
      <c r="BN1152" s="12" t="s">
        <v>88</v>
      </c>
      <c r="BO1152" s="12" t="s">
        <v>88</v>
      </c>
      <c r="BP1152" s="12" t="s">
        <v>88</v>
      </c>
      <c r="BQ1152" s="12" t="s">
        <v>88</v>
      </c>
      <c r="BR1152" s="12" t="s">
        <v>88</v>
      </c>
      <c r="BS1152" s="12" t="s">
        <v>88</v>
      </c>
      <c r="BT1152" s="12" t="s">
        <v>88</v>
      </c>
      <c r="BU1152" s="12" t="s">
        <v>88</v>
      </c>
      <c r="BV1152" s="12" t="s">
        <v>88</v>
      </c>
      <c r="BW1152" s="12" t="s">
        <v>88</v>
      </c>
      <c r="BX1152" s="12" t="s">
        <v>88</v>
      </c>
      <c r="BY1152" s="12" t="s">
        <v>88</v>
      </c>
      <c r="BZ1152" s="12"/>
      <c r="CA1152" s="12" t="s">
        <v>88</v>
      </c>
      <c r="CB1152" s="12"/>
      <c r="CC1152" s="12"/>
      <c r="CD1152" s="12"/>
      <c r="CE1152" s="12"/>
      <c r="CF1152" s="12"/>
      <c r="CG1152" s="12"/>
      <c r="CH1152" s="12" t="s">
        <v>88</v>
      </c>
      <c r="CI1152" s="12" t="s">
        <v>88</v>
      </c>
      <c r="CJ1152" s="12" t="s">
        <v>88</v>
      </c>
      <c r="CK1152" s="12" t="s">
        <v>88</v>
      </c>
      <c r="CL1152" s="12" t="s">
        <v>88</v>
      </c>
      <c r="CM1152" s="12"/>
      <c r="CN1152" s="12"/>
      <c r="CO1152" s="12"/>
      <c r="CP1152" s="12"/>
      <c r="CQ1152" s="12" t="s">
        <v>88</v>
      </c>
      <c r="CR1152" s="12" t="s">
        <v>88</v>
      </c>
      <c r="CS1152" s="335"/>
      <c r="EX1152" s="10" t="str">
        <f t="shared" si="1218"/>
        <v>*</v>
      </c>
    </row>
  </sheetData>
  <sheetProtection algorithmName="SHA-512" hashValue="dCy7imRZKXeK987Ge7SG/8c41cuS4AFGlcVS9WZlGK3IdyWRto0MkMyHEAdVqzyLDnZiQhT1614MctlZxbJO3A==" saltValue="1wNaAqUw++SbZAChoaPGjA==" spinCount="100000" sheet="1" objects="1" scenarios="1"/>
  <mergeCells count="22">
    <mergeCell ref="CS3:CS6"/>
    <mergeCell ref="CT3:CT6"/>
    <mergeCell ref="CU3:CU6"/>
    <mergeCell ref="CR1:CR6"/>
    <mergeCell ref="CI3:CI6"/>
    <mergeCell ref="CK3:CK6"/>
    <mergeCell ref="CL3:CL6"/>
    <mergeCell ref="CQ3:CQ6"/>
    <mergeCell ref="CJ3:CJ6"/>
    <mergeCell ref="CM3:CM6"/>
    <mergeCell ref="CN3:CN6"/>
    <mergeCell ref="CO3:CO6"/>
    <mergeCell ref="BY1:BY6"/>
    <mergeCell ref="CP3:CP6"/>
    <mergeCell ref="CB2:CB6"/>
    <mergeCell ref="CC2:CC6"/>
    <mergeCell ref="CA1:CA6"/>
    <mergeCell ref="CE3:CE6"/>
    <mergeCell ref="CD3:CD6"/>
    <mergeCell ref="CF3:CF6"/>
    <mergeCell ref="CG3:CG6"/>
    <mergeCell ref="CH3:CH6"/>
  </mergeCells>
  <phoneticPr fontId="9" type="noConversion"/>
  <conditionalFormatting sqref="CK13:CK32 CL301:CL302 CL415:CL416 CL54:CL55 CL339:CL340 CL320:CL321 CL73:CL74 CL92:CL93 CL111:CL112 CL130:CL131 CL149:CL150 CL168:CL169 CL187:CL188 CL206:CL207 CL225:CL226 CL244:CL245 CL263:CL264 CL282:CL283 CL358:CL359 CL377:CL378 CL396:CL397 CM49:CP51 CM410:CP412 CF13:CI32">
    <cfRule type="cellIs" dxfId="784" priority="1574" operator="equal">
      <formula>0</formula>
    </cfRule>
    <cfRule type="cellIs" dxfId="783" priority="1575" operator="greaterThan">
      <formula>0</formula>
    </cfRule>
  </conditionalFormatting>
  <conditionalFormatting sqref="AA54:BJ55 BL54:BW54 V54:Y55">
    <cfRule type="cellIs" dxfId="782" priority="1454" operator="equal">
      <formula>0</formula>
    </cfRule>
    <cfRule type="cellIs" dxfId="781" priority="1455" operator="greaterThan">
      <formula>0</formula>
    </cfRule>
  </conditionalFormatting>
  <conditionalFormatting sqref="BL415:BW415 AA415:BJ415 V415:Y415 BL396:BW396 AA396:BJ396 V396:Y396 BL377:BW377 AA377:BJ377 V377:Y377 BL358:BW358 AA358:BJ358 V358:Y358 BL339:BW339 AA339:BJ339 V339:Y339 BL320:BW320 AA320:BJ320 V320:Y320 BL301:BW301 AA301:BJ301 V301:Y301 BL282:BW282 AA282:BJ282 V282:Y282 BL263:BW263 AA263:BJ263 V263:Y263 BL244:BW244 AA244:BJ244 V244:Y244 BL225:BW225 AA225:BJ225 V225:Y225 BL206:BW206 AA206:BJ206 V206:Y206 BL187:BW187 AA187:BJ187 V187:Y187 BL168:BW168 AA168:BJ168 V168:Y168 BL149:BW149 AA149:BJ149 V149:Y149 BL130:BW130 AA130:BJ130 V130:Y130 BL111:BW111 AA111:BJ111 V111:Y111 BL92:BW92 AA92:BJ92 V92:Y92 BL73:BW73 AA73:BJ73 V73:Y73">
    <cfRule type="cellIs" dxfId="780" priority="1008" operator="equal">
      <formula>0</formula>
    </cfRule>
    <cfRule type="cellIs" dxfId="779" priority="1009" operator="greaterThan">
      <formula>0</formula>
    </cfRule>
  </conditionalFormatting>
  <conditionalFormatting sqref="CK686:CK705">
    <cfRule type="cellIs" dxfId="778" priority="1006" operator="equal">
      <formula>0</formula>
    </cfRule>
    <cfRule type="cellIs" dxfId="777" priority="1007" operator="greaterThan">
      <formula>0</formula>
    </cfRule>
  </conditionalFormatting>
  <conditionalFormatting sqref="BL636:BW636 AA636:BJ636 V636:Y636">
    <cfRule type="cellIs" dxfId="776" priority="990" operator="equal">
      <formula>0</formula>
    </cfRule>
    <cfRule type="cellIs" dxfId="775" priority="991" operator="greaterThan">
      <formula>0</formula>
    </cfRule>
  </conditionalFormatting>
  <conditionalFormatting sqref="CQ636">
    <cfRule type="cellIs" dxfId="774" priority="946" operator="equal">
      <formula>0</formula>
    </cfRule>
    <cfRule type="cellIs" dxfId="773" priority="947" operator="greaterThan">
      <formula>0</formula>
    </cfRule>
  </conditionalFormatting>
  <conditionalFormatting sqref="AA416:BJ416 V416:Y416 AA397:BJ397 V397:Y397 AA378:BJ378 V378:Y378 AA359:BJ359 V359:Y359 AA340:BJ340 V340:Y340 AA321:BJ321 V321:Y321 AA302:BJ302 V302:Y302 AA283:BJ283 V283:Y283 AA264:BJ264 V264:Y264 AA245:BJ245 V245:Y245 AA226:BJ226 V226:Y226 AA207:BJ207 V207:Y207 AA188:BJ188 V188:Y188 AA169:BJ169 V169:Y169 AA150:BJ150 V150:Y150 AA131:BJ131 V131:Y131 AA112:BJ112 V112:Y112 AA93:BJ93 V93:Y93 AA74:BJ74 V74:Y74 BL74:BW74 BL93:BW93 BL112:BW112 BL131:BW131 BL150:BW150 BL169:BW169 BL188:BW188 BL207:BW207 BL226:BW226 BL245:BW245 BL264:BW264 BL283:BW283 BL302:BW302 BL321:BW321 BL340:BW340 BL359:BW359 BL378:BW378 BL397:BW397 BL416:BW416">
    <cfRule type="cellIs" dxfId="772" priority="942" operator="equal">
      <formula>0</formula>
    </cfRule>
    <cfRule type="cellIs" dxfId="771" priority="943" operator="greaterThan">
      <formula>0</formula>
    </cfRule>
  </conditionalFormatting>
  <conditionalFormatting sqref="CJ13:CJ32">
    <cfRule type="cellIs" dxfId="770" priority="940" operator="equal">
      <formula>0</formula>
    </cfRule>
    <cfRule type="cellIs" dxfId="769" priority="941" operator="greaterThan">
      <formula>0</formula>
    </cfRule>
  </conditionalFormatting>
  <conditionalFormatting sqref="A1">
    <cfRule type="cellIs" dxfId="768" priority="932" operator="equal">
      <formula>0</formula>
    </cfRule>
    <cfRule type="cellIs" dxfId="767" priority="933" operator="greaterThan">
      <formula>0</formula>
    </cfRule>
  </conditionalFormatting>
  <conditionalFormatting sqref="CM419:CO420 CM400:CO401 CM381:CO382 CM362:CO363 CM343:CO344 CM324:CO325 CM305:CO306 CM286:CO287 CM267:CO268 CM248:CO249 CM229:CO230 CM210:CO211 CM191:CO192 CM172:CO173 CM153:CO154 CM134:CO135 CM115:CO116 CM96:CO97 CM77:CO78 CM58:CO59 CM68:CO70 CM87:CO89 CM106:CO108 CM125:CO127 CM144:CO146 CM163:CO165 CM182:CO184 CM201:CO203 CM220:CO222 CM239:CO241 CM258:CO260 CM277:CO279 CM296:CO298 CM315:CO317 CM334:CO336 CM353:CO355 CM372:CO374 CM391:CO393">
    <cfRule type="cellIs" dxfId="766" priority="920" operator="equal">
      <formula>0</formula>
    </cfRule>
    <cfRule type="cellIs" dxfId="765" priority="921" operator="greaterThan">
      <formula>0</formula>
    </cfRule>
  </conditionalFormatting>
  <conditionalFormatting sqref="I40:I42">
    <cfRule type="cellIs" dxfId="764" priority="897" operator="lessThan">
      <formula>0</formula>
    </cfRule>
    <cfRule type="cellIs" dxfId="763" priority="898" operator="greaterThan">
      <formula>0</formula>
    </cfRule>
    <cfRule type="cellIs" dxfId="762" priority="899" operator="equal">
      <formula>0</formula>
    </cfRule>
  </conditionalFormatting>
  <conditionalFormatting sqref="I43">
    <cfRule type="cellIs" dxfId="761" priority="894" operator="lessThan">
      <formula>0</formula>
    </cfRule>
    <cfRule type="cellIs" dxfId="760" priority="895" operator="greaterThan">
      <formula>0</formula>
    </cfRule>
    <cfRule type="cellIs" dxfId="759" priority="896" operator="equal">
      <formula>0</formula>
    </cfRule>
  </conditionalFormatting>
  <conditionalFormatting sqref="J43">
    <cfRule type="cellIs" dxfId="758" priority="863" operator="lessThan">
      <formula>0</formula>
    </cfRule>
    <cfRule type="cellIs" dxfId="757" priority="864" operator="greaterThan">
      <formula>0</formula>
    </cfRule>
    <cfRule type="cellIs" dxfId="756" priority="865" operator="equal">
      <formula>0</formula>
    </cfRule>
  </conditionalFormatting>
  <conditionalFormatting sqref="CB40:CB43 CC43">
    <cfRule type="cellIs" dxfId="755" priority="886" operator="equal">
      <formula>0</formula>
    </cfRule>
    <cfRule type="cellIs" dxfId="754" priority="887" operator="equal">
      <formula>1</formula>
    </cfRule>
  </conditionalFormatting>
  <conditionalFormatting sqref="CM51:CP51">
    <cfRule type="cellIs" dxfId="753" priority="853" operator="equal">
      <formula>0</formula>
    </cfRule>
    <cfRule type="cellIs" dxfId="752" priority="854" operator="greaterThan">
      <formula>0</formula>
    </cfRule>
  </conditionalFormatting>
  <conditionalFormatting sqref="CM70:CO70">
    <cfRule type="cellIs" dxfId="751" priority="845" operator="equal">
      <formula>0</formula>
    </cfRule>
    <cfRule type="cellIs" dxfId="750" priority="846" operator="greaterThan">
      <formula>0</formula>
    </cfRule>
  </conditionalFormatting>
  <conditionalFormatting sqref="CM70:CO70">
    <cfRule type="cellIs" dxfId="749" priority="837" operator="equal">
      <formula>0</formula>
    </cfRule>
    <cfRule type="cellIs" dxfId="748" priority="838" operator="greaterThan">
      <formula>0</formula>
    </cfRule>
  </conditionalFormatting>
  <conditionalFormatting sqref="CM89:CO89">
    <cfRule type="cellIs" dxfId="747" priority="829" operator="equal">
      <formula>0</formula>
    </cfRule>
    <cfRule type="cellIs" dxfId="746" priority="830" operator="greaterThan">
      <formula>0</formula>
    </cfRule>
  </conditionalFormatting>
  <conditionalFormatting sqref="CM89:CO89">
    <cfRule type="cellIs" dxfId="745" priority="821" operator="equal">
      <formula>0</formula>
    </cfRule>
    <cfRule type="cellIs" dxfId="744" priority="822" operator="greaterThan">
      <formula>0</formula>
    </cfRule>
  </conditionalFormatting>
  <conditionalFormatting sqref="CM108:CO108">
    <cfRule type="cellIs" dxfId="743" priority="813" operator="equal">
      <formula>0</formula>
    </cfRule>
    <cfRule type="cellIs" dxfId="742" priority="814" operator="greaterThan">
      <formula>0</formula>
    </cfRule>
  </conditionalFormatting>
  <conditionalFormatting sqref="CM108:CO108">
    <cfRule type="cellIs" dxfId="741" priority="805" operator="equal">
      <formula>0</formula>
    </cfRule>
    <cfRule type="cellIs" dxfId="740" priority="806" operator="greaterThan">
      <formula>0</formula>
    </cfRule>
  </conditionalFormatting>
  <conditionalFormatting sqref="CM127:CO127">
    <cfRule type="cellIs" dxfId="739" priority="797" operator="equal">
      <formula>0</formula>
    </cfRule>
    <cfRule type="cellIs" dxfId="738" priority="798" operator="greaterThan">
      <formula>0</formula>
    </cfRule>
  </conditionalFormatting>
  <conditionalFormatting sqref="CM127:CO127">
    <cfRule type="cellIs" dxfId="737" priority="789" operator="equal">
      <formula>0</formula>
    </cfRule>
    <cfRule type="cellIs" dxfId="736" priority="790" operator="greaterThan">
      <formula>0</formula>
    </cfRule>
  </conditionalFormatting>
  <conditionalFormatting sqref="CM146:CO146">
    <cfRule type="cellIs" dxfId="735" priority="781" operator="equal">
      <formula>0</formula>
    </cfRule>
    <cfRule type="cellIs" dxfId="734" priority="782" operator="greaterThan">
      <formula>0</formula>
    </cfRule>
  </conditionalFormatting>
  <conditionalFormatting sqref="CM146:CO146">
    <cfRule type="cellIs" dxfId="733" priority="773" operator="equal">
      <formula>0</formula>
    </cfRule>
    <cfRule type="cellIs" dxfId="732" priority="774" operator="greaterThan">
      <formula>0</formula>
    </cfRule>
  </conditionalFormatting>
  <conditionalFormatting sqref="CM165:CO165">
    <cfRule type="cellIs" dxfId="731" priority="765" operator="equal">
      <formula>0</formula>
    </cfRule>
    <cfRule type="cellIs" dxfId="730" priority="766" operator="greaterThan">
      <formula>0</formula>
    </cfRule>
  </conditionalFormatting>
  <conditionalFormatting sqref="CM165:CO165">
    <cfRule type="cellIs" dxfId="729" priority="757" operator="equal">
      <formula>0</formula>
    </cfRule>
    <cfRule type="cellIs" dxfId="728" priority="758" operator="greaterThan">
      <formula>0</formula>
    </cfRule>
  </conditionalFormatting>
  <conditionalFormatting sqref="CM184:CO184">
    <cfRule type="cellIs" dxfId="727" priority="749" operator="equal">
      <formula>0</formula>
    </cfRule>
    <cfRule type="cellIs" dxfId="726" priority="750" operator="greaterThan">
      <formula>0</formula>
    </cfRule>
  </conditionalFormatting>
  <conditionalFormatting sqref="CM184:CO184">
    <cfRule type="cellIs" dxfId="725" priority="741" operator="equal">
      <formula>0</formula>
    </cfRule>
    <cfRule type="cellIs" dxfId="724" priority="742" operator="greaterThan">
      <formula>0</formula>
    </cfRule>
  </conditionalFormatting>
  <conditionalFormatting sqref="CM203:CO203">
    <cfRule type="cellIs" dxfId="723" priority="733" operator="equal">
      <formula>0</formula>
    </cfRule>
    <cfRule type="cellIs" dxfId="722" priority="734" operator="greaterThan">
      <formula>0</formula>
    </cfRule>
  </conditionalFormatting>
  <conditionalFormatting sqref="CM203:CO203">
    <cfRule type="cellIs" dxfId="721" priority="725" operator="equal">
      <formula>0</formula>
    </cfRule>
    <cfRule type="cellIs" dxfId="720" priority="726" operator="greaterThan">
      <formula>0</formula>
    </cfRule>
  </conditionalFormatting>
  <conditionalFormatting sqref="CM222:CO222">
    <cfRule type="cellIs" dxfId="719" priority="717" operator="equal">
      <formula>0</formula>
    </cfRule>
    <cfRule type="cellIs" dxfId="718" priority="718" operator="greaterThan">
      <formula>0</formula>
    </cfRule>
  </conditionalFormatting>
  <conditionalFormatting sqref="CM222:CO222">
    <cfRule type="cellIs" dxfId="717" priority="709" operator="equal">
      <formula>0</formula>
    </cfRule>
    <cfRule type="cellIs" dxfId="716" priority="710" operator="greaterThan">
      <formula>0</formula>
    </cfRule>
  </conditionalFormatting>
  <conditionalFormatting sqref="CM241:CO241">
    <cfRule type="cellIs" dxfId="715" priority="701" operator="equal">
      <formula>0</formula>
    </cfRule>
    <cfRule type="cellIs" dxfId="714" priority="702" operator="greaterThan">
      <formula>0</formula>
    </cfRule>
  </conditionalFormatting>
  <conditionalFormatting sqref="CM241:CO241">
    <cfRule type="cellIs" dxfId="713" priority="693" operator="equal">
      <formula>0</formula>
    </cfRule>
    <cfRule type="cellIs" dxfId="712" priority="694" operator="greaterThan">
      <formula>0</formula>
    </cfRule>
  </conditionalFormatting>
  <conditionalFormatting sqref="CM260:CO260">
    <cfRule type="cellIs" dxfId="711" priority="685" operator="equal">
      <formula>0</formula>
    </cfRule>
    <cfRule type="cellIs" dxfId="710" priority="686" operator="greaterThan">
      <formula>0</formula>
    </cfRule>
  </conditionalFormatting>
  <conditionalFormatting sqref="CM260:CO260">
    <cfRule type="cellIs" dxfId="709" priority="677" operator="equal">
      <formula>0</formula>
    </cfRule>
    <cfRule type="cellIs" dxfId="708" priority="678" operator="greaterThan">
      <formula>0</formula>
    </cfRule>
  </conditionalFormatting>
  <conditionalFormatting sqref="CM279:CO279">
    <cfRule type="cellIs" dxfId="707" priority="669" operator="equal">
      <formula>0</formula>
    </cfRule>
    <cfRule type="cellIs" dxfId="706" priority="670" operator="greaterThan">
      <formula>0</formula>
    </cfRule>
  </conditionalFormatting>
  <conditionalFormatting sqref="CM279:CO279">
    <cfRule type="cellIs" dxfId="705" priority="661" operator="equal">
      <formula>0</formula>
    </cfRule>
    <cfRule type="cellIs" dxfId="704" priority="662" operator="greaterThan">
      <formula>0</formula>
    </cfRule>
  </conditionalFormatting>
  <conditionalFormatting sqref="CM298:CO298">
    <cfRule type="cellIs" dxfId="703" priority="653" operator="equal">
      <formula>0</formula>
    </cfRule>
    <cfRule type="cellIs" dxfId="702" priority="654" operator="greaterThan">
      <formula>0</formula>
    </cfRule>
  </conditionalFormatting>
  <conditionalFormatting sqref="CM298:CO298">
    <cfRule type="cellIs" dxfId="701" priority="645" operator="equal">
      <formula>0</formula>
    </cfRule>
    <cfRule type="cellIs" dxfId="700" priority="646" operator="greaterThan">
      <formula>0</formula>
    </cfRule>
  </conditionalFormatting>
  <conditionalFormatting sqref="CM317:CO317">
    <cfRule type="cellIs" dxfId="699" priority="637" operator="equal">
      <formula>0</formula>
    </cfRule>
    <cfRule type="cellIs" dxfId="698" priority="638" operator="greaterThan">
      <formula>0</formula>
    </cfRule>
  </conditionalFormatting>
  <conditionalFormatting sqref="CM317:CO317">
    <cfRule type="cellIs" dxfId="697" priority="629" operator="equal">
      <formula>0</formula>
    </cfRule>
    <cfRule type="cellIs" dxfId="696" priority="630" operator="greaterThan">
      <formula>0</formula>
    </cfRule>
  </conditionalFormatting>
  <conditionalFormatting sqref="CM336:CO336">
    <cfRule type="cellIs" dxfId="695" priority="621" operator="equal">
      <formula>0</formula>
    </cfRule>
    <cfRule type="cellIs" dxfId="694" priority="622" operator="greaterThan">
      <formula>0</formula>
    </cfRule>
  </conditionalFormatting>
  <conditionalFormatting sqref="CM336:CO336">
    <cfRule type="cellIs" dxfId="693" priority="613" operator="equal">
      <formula>0</formula>
    </cfRule>
    <cfRule type="cellIs" dxfId="692" priority="614" operator="greaterThan">
      <formula>0</formula>
    </cfRule>
  </conditionalFormatting>
  <conditionalFormatting sqref="CM355:CO355">
    <cfRule type="cellIs" dxfId="691" priority="605" operator="equal">
      <formula>0</formula>
    </cfRule>
    <cfRule type="cellIs" dxfId="690" priority="606" operator="greaterThan">
      <formula>0</formula>
    </cfRule>
  </conditionalFormatting>
  <conditionalFormatting sqref="CM355:CO355">
    <cfRule type="cellIs" dxfId="689" priority="597" operator="equal">
      <formula>0</formula>
    </cfRule>
    <cfRule type="cellIs" dxfId="688" priority="598" operator="greaterThan">
      <formula>0</formula>
    </cfRule>
  </conditionalFormatting>
  <conditionalFormatting sqref="CM374:CO374">
    <cfRule type="cellIs" dxfId="687" priority="589" operator="equal">
      <formula>0</formula>
    </cfRule>
    <cfRule type="cellIs" dxfId="686" priority="590" operator="greaterThan">
      <formula>0</formula>
    </cfRule>
  </conditionalFormatting>
  <conditionalFormatting sqref="CM374:CO374">
    <cfRule type="cellIs" dxfId="685" priority="581" operator="equal">
      <formula>0</formula>
    </cfRule>
    <cfRule type="cellIs" dxfId="684" priority="582" operator="greaterThan">
      <formula>0</formula>
    </cfRule>
  </conditionalFormatting>
  <conditionalFormatting sqref="CM393:CO393">
    <cfRule type="cellIs" dxfId="683" priority="573" operator="equal">
      <formula>0</formula>
    </cfRule>
    <cfRule type="cellIs" dxfId="682" priority="574" operator="greaterThan">
      <formula>0</formula>
    </cfRule>
  </conditionalFormatting>
  <conditionalFormatting sqref="CM393:CO393">
    <cfRule type="cellIs" dxfId="681" priority="565" operator="equal">
      <formula>0</formula>
    </cfRule>
    <cfRule type="cellIs" dxfId="680" priority="566" operator="greaterThan">
      <formula>0</formula>
    </cfRule>
  </conditionalFormatting>
  <conditionalFormatting sqref="CM412:CP412">
    <cfRule type="cellIs" dxfId="679" priority="557" operator="equal">
      <formula>0</formula>
    </cfRule>
    <cfRule type="cellIs" dxfId="678" priority="558" operator="greaterThan">
      <formula>0</formula>
    </cfRule>
  </conditionalFormatting>
  <conditionalFormatting sqref="CM412:CP412">
    <cfRule type="cellIs" dxfId="677" priority="549" operator="equal">
      <formula>0</formula>
    </cfRule>
    <cfRule type="cellIs" dxfId="676" priority="550" operator="greaterThan">
      <formula>0</formula>
    </cfRule>
  </conditionalFormatting>
  <conditionalFormatting sqref="CE13:CE32">
    <cfRule type="cellIs" dxfId="675" priority="546" operator="equal">
      <formula>0</formula>
    </cfRule>
    <cfRule type="cellIs" dxfId="674" priority="547" operator="greaterThan">
      <formula>0</formula>
    </cfRule>
  </conditionalFormatting>
  <conditionalFormatting sqref="CM62:CO62">
    <cfRule type="cellIs" dxfId="673" priority="538" operator="equal">
      <formula>0</formula>
    </cfRule>
    <cfRule type="cellIs" dxfId="672" priority="539" operator="greaterThan">
      <formula>0</formula>
    </cfRule>
  </conditionalFormatting>
  <conditionalFormatting sqref="CM81:CO81">
    <cfRule type="cellIs" dxfId="671" priority="530" operator="equal">
      <formula>0</formula>
    </cfRule>
    <cfRule type="cellIs" dxfId="670" priority="531" operator="greaterThan">
      <formula>0</formula>
    </cfRule>
  </conditionalFormatting>
  <conditionalFormatting sqref="CM100:CO100">
    <cfRule type="cellIs" dxfId="669" priority="522" operator="equal">
      <formula>0</formula>
    </cfRule>
    <cfRule type="cellIs" dxfId="668" priority="523" operator="greaterThan">
      <formula>0</formula>
    </cfRule>
  </conditionalFormatting>
  <conditionalFormatting sqref="CM119:CO119">
    <cfRule type="cellIs" dxfId="667" priority="514" operator="equal">
      <formula>0</formula>
    </cfRule>
    <cfRule type="cellIs" dxfId="666" priority="515" operator="greaterThan">
      <formula>0</formula>
    </cfRule>
  </conditionalFormatting>
  <conditionalFormatting sqref="CM138:CO138">
    <cfRule type="cellIs" dxfId="665" priority="506" operator="equal">
      <formula>0</formula>
    </cfRule>
    <cfRule type="cellIs" dxfId="664" priority="507" operator="greaterThan">
      <formula>0</formula>
    </cfRule>
  </conditionalFormatting>
  <conditionalFormatting sqref="CM157:CO157">
    <cfRule type="cellIs" dxfId="663" priority="498" operator="equal">
      <formula>0</formula>
    </cfRule>
    <cfRule type="cellIs" dxfId="662" priority="499" operator="greaterThan">
      <formula>0</formula>
    </cfRule>
  </conditionalFormatting>
  <conditionalFormatting sqref="CM176:CO176">
    <cfRule type="cellIs" dxfId="661" priority="490" operator="equal">
      <formula>0</formula>
    </cfRule>
    <cfRule type="cellIs" dxfId="660" priority="491" operator="greaterThan">
      <formula>0</formula>
    </cfRule>
  </conditionalFormatting>
  <conditionalFormatting sqref="CM195:CO195">
    <cfRule type="cellIs" dxfId="659" priority="482" operator="equal">
      <formula>0</formula>
    </cfRule>
    <cfRule type="cellIs" dxfId="658" priority="483" operator="greaterThan">
      <formula>0</formula>
    </cfRule>
  </conditionalFormatting>
  <conditionalFormatting sqref="CM214:CO214">
    <cfRule type="cellIs" dxfId="657" priority="474" operator="equal">
      <formula>0</formula>
    </cfRule>
    <cfRule type="cellIs" dxfId="656" priority="475" operator="greaterThan">
      <formula>0</formula>
    </cfRule>
  </conditionalFormatting>
  <conditionalFormatting sqref="CM233:CO233">
    <cfRule type="cellIs" dxfId="655" priority="466" operator="equal">
      <formula>0</formula>
    </cfRule>
    <cfRule type="cellIs" dxfId="654" priority="467" operator="greaterThan">
      <formula>0</formula>
    </cfRule>
  </conditionalFormatting>
  <conditionalFormatting sqref="CM252:CO252">
    <cfRule type="cellIs" dxfId="653" priority="458" operator="equal">
      <formula>0</formula>
    </cfRule>
    <cfRule type="cellIs" dxfId="652" priority="459" operator="greaterThan">
      <formula>0</formula>
    </cfRule>
  </conditionalFormatting>
  <conditionalFormatting sqref="CM271:CO271">
    <cfRule type="cellIs" dxfId="651" priority="450" operator="equal">
      <formula>0</formula>
    </cfRule>
    <cfRule type="cellIs" dxfId="650" priority="451" operator="greaterThan">
      <formula>0</formula>
    </cfRule>
  </conditionalFormatting>
  <conditionalFormatting sqref="CM290:CO290">
    <cfRule type="cellIs" dxfId="649" priority="442" operator="equal">
      <formula>0</formula>
    </cfRule>
    <cfRule type="cellIs" dxfId="648" priority="443" operator="greaterThan">
      <formula>0</formula>
    </cfRule>
  </conditionalFormatting>
  <conditionalFormatting sqref="CM309:CO309">
    <cfRule type="cellIs" dxfId="647" priority="434" operator="equal">
      <formula>0</formula>
    </cfRule>
    <cfRule type="cellIs" dxfId="646" priority="435" operator="greaterThan">
      <formula>0</formula>
    </cfRule>
  </conditionalFormatting>
  <conditionalFormatting sqref="CM328:CO328">
    <cfRule type="cellIs" dxfId="645" priority="426" operator="equal">
      <formula>0</formula>
    </cfRule>
    <cfRule type="cellIs" dxfId="644" priority="427" operator="greaterThan">
      <formula>0</formula>
    </cfRule>
  </conditionalFormatting>
  <conditionalFormatting sqref="CM347:CO347">
    <cfRule type="cellIs" dxfId="643" priority="418" operator="equal">
      <formula>0</formula>
    </cfRule>
    <cfRule type="cellIs" dxfId="642" priority="419" operator="greaterThan">
      <formula>0</formula>
    </cfRule>
  </conditionalFormatting>
  <conditionalFormatting sqref="CM366:CO366">
    <cfRule type="cellIs" dxfId="641" priority="410" operator="equal">
      <formula>0</formula>
    </cfRule>
    <cfRule type="cellIs" dxfId="640" priority="411" operator="greaterThan">
      <formula>0</formula>
    </cfRule>
  </conditionalFormatting>
  <conditionalFormatting sqref="CM385:CO385">
    <cfRule type="cellIs" dxfId="639" priority="402" operator="equal">
      <formula>0</formula>
    </cfRule>
    <cfRule type="cellIs" dxfId="638" priority="403" operator="greaterThan">
      <formula>0</formula>
    </cfRule>
  </conditionalFormatting>
  <conditionalFormatting sqref="CM404:CO404">
    <cfRule type="cellIs" dxfId="637" priority="394" operator="equal">
      <formula>0</formula>
    </cfRule>
    <cfRule type="cellIs" dxfId="636" priority="395" operator="greaterThan">
      <formula>0</formula>
    </cfRule>
  </conditionalFormatting>
  <conditionalFormatting sqref="CM423:CO423">
    <cfRule type="cellIs" dxfId="635" priority="386" operator="equal">
      <formula>0</formula>
    </cfRule>
    <cfRule type="cellIs" dxfId="634" priority="387" operator="greaterThan">
      <formula>0</formula>
    </cfRule>
  </conditionalFormatting>
  <conditionalFormatting sqref="CL64">
    <cfRule type="cellIs" dxfId="633" priority="380" operator="equal">
      <formula>0</formula>
    </cfRule>
    <cfRule type="cellIs" dxfId="632" priority="381" operator="greaterThan">
      <formula>0</formula>
    </cfRule>
  </conditionalFormatting>
  <conditionalFormatting sqref="CL83">
    <cfRule type="cellIs" dxfId="631" priority="344" operator="equal">
      <formula>0</formula>
    </cfRule>
    <cfRule type="cellIs" dxfId="630" priority="345" operator="greaterThan">
      <formula>0</formula>
    </cfRule>
  </conditionalFormatting>
  <conditionalFormatting sqref="CL102">
    <cfRule type="cellIs" dxfId="629" priority="338" operator="equal">
      <formula>0</formula>
    </cfRule>
    <cfRule type="cellIs" dxfId="628" priority="339" operator="greaterThan">
      <formula>0</formula>
    </cfRule>
  </conditionalFormatting>
  <conditionalFormatting sqref="CL121">
    <cfRule type="cellIs" dxfId="627" priority="332" operator="equal">
      <formula>0</formula>
    </cfRule>
    <cfRule type="cellIs" dxfId="626" priority="333" operator="greaterThan">
      <formula>0</formula>
    </cfRule>
  </conditionalFormatting>
  <conditionalFormatting sqref="CL140">
    <cfRule type="cellIs" dxfId="625" priority="326" operator="equal">
      <formula>0</formula>
    </cfRule>
    <cfRule type="cellIs" dxfId="624" priority="327" operator="greaterThan">
      <formula>0</formula>
    </cfRule>
  </conditionalFormatting>
  <conditionalFormatting sqref="CL159">
    <cfRule type="cellIs" dxfId="623" priority="320" operator="equal">
      <formula>0</formula>
    </cfRule>
    <cfRule type="cellIs" dxfId="622" priority="321" operator="greaterThan">
      <formula>0</formula>
    </cfRule>
  </conditionalFormatting>
  <conditionalFormatting sqref="CL178">
    <cfRule type="cellIs" dxfId="621" priority="314" operator="equal">
      <formula>0</formula>
    </cfRule>
    <cfRule type="cellIs" dxfId="620" priority="315" operator="greaterThan">
      <formula>0</formula>
    </cfRule>
  </conditionalFormatting>
  <conditionalFormatting sqref="CL197">
    <cfRule type="cellIs" dxfId="619" priority="308" operator="equal">
      <formula>0</formula>
    </cfRule>
    <cfRule type="cellIs" dxfId="618" priority="309" operator="greaterThan">
      <formula>0</formula>
    </cfRule>
  </conditionalFormatting>
  <conditionalFormatting sqref="CL216">
    <cfRule type="cellIs" dxfId="617" priority="302" operator="equal">
      <formula>0</formula>
    </cfRule>
    <cfRule type="cellIs" dxfId="616" priority="303" operator="greaterThan">
      <formula>0</formula>
    </cfRule>
  </conditionalFormatting>
  <conditionalFormatting sqref="CL235">
    <cfRule type="cellIs" dxfId="615" priority="296" operator="equal">
      <formula>0</formula>
    </cfRule>
    <cfRule type="cellIs" dxfId="614" priority="297" operator="greaterThan">
      <formula>0</formula>
    </cfRule>
  </conditionalFormatting>
  <conditionalFormatting sqref="CL254">
    <cfRule type="cellIs" dxfId="613" priority="290" operator="equal">
      <formula>0</formula>
    </cfRule>
    <cfRule type="cellIs" dxfId="612" priority="291" operator="greaterThan">
      <formula>0</formula>
    </cfRule>
  </conditionalFormatting>
  <conditionalFormatting sqref="CL273">
    <cfRule type="cellIs" dxfId="611" priority="284" operator="equal">
      <formula>0</formula>
    </cfRule>
    <cfRule type="cellIs" dxfId="610" priority="285" operator="greaterThan">
      <formula>0</formula>
    </cfRule>
  </conditionalFormatting>
  <conditionalFormatting sqref="CL292">
    <cfRule type="cellIs" dxfId="609" priority="278" operator="equal">
      <formula>0</formula>
    </cfRule>
    <cfRule type="cellIs" dxfId="608" priority="279" operator="greaterThan">
      <formula>0</formula>
    </cfRule>
  </conditionalFormatting>
  <conditionalFormatting sqref="CL311">
    <cfRule type="cellIs" dxfId="607" priority="272" operator="equal">
      <formula>0</formula>
    </cfRule>
    <cfRule type="cellIs" dxfId="606" priority="273" operator="greaterThan">
      <formula>0</formula>
    </cfRule>
  </conditionalFormatting>
  <conditionalFormatting sqref="CL330">
    <cfRule type="cellIs" dxfId="605" priority="266" operator="equal">
      <formula>0</formula>
    </cfRule>
    <cfRule type="cellIs" dxfId="604" priority="267" operator="greaterThan">
      <formula>0</formula>
    </cfRule>
  </conditionalFormatting>
  <conditionalFormatting sqref="CL349">
    <cfRule type="cellIs" dxfId="603" priority="260" operator="equal">
      <formula>0</formula>
    </cfRule>
    <cfRule type="cellIs" dxfId="602" priority="261" operator="greaterThan">
      <formula>0</formula>
    </cfRule>
  </conditionalFormatting>
  <conditionalFormatting sqref="CL368">
    <cfRule type="cellIs" dxfId="601" priority="254" operator="equal">
      <formula>0</formula>
    </cfRule>
    <cfRule type="cellIs" dxfId="600" priority="255" operator="greaterThan">
      <formula>0</formula>
    </cfRule>
  </conditionalFormatting>
  <conditionalFormatting sqref="CL387">
    <cfRule type="cellIs" dxfId="599" priority="248" operator="equal">
      <formula>0</formula>
    </cfRule>
    <cfRule type="cellIs" dxfId="598" priority="249" operator="greaterThan">
      <formula>0</formula>
    </cfRule>
  </conditionalFormatting>
  <conditionalFormatting sqref="CL406">
    <cfRule type="cellIs" dxfId="597" priority="242" operator="equal">
      <formula>0</formula>
    </cfRule>
    <cfRule type="cellIs" dxfId="596" priority="243" operator="greaterThan">
      <formula>0</formula>
    </cfRule>
  </conditionalFormatting>
  <conditionalFormatting sqref="V425:Y425 AA425:BJ425 BL425:BW425">
    <cfRule type="cellIs" dxfId="595" priority="238" operator="equal">
      <formula>0</formula>
    </cfRule>
    <cfRule type="cellIs" dxfId="594" priority="239" operator="greaterThan">
      <formula>0</formula>
    </cfRule>
  </conditionalFormatting>
  <conditionalFormatting sqref="CL425">
    <cfRule type="cellIs" dxfId="593" priority="236" operator="equal">
      <formula>0</formula>
    </cfRule>
    <cfRule type="cellIs" dxfId="592" priority="237" operator="greaterThan">
      <formula>0</formula>
    </cfRule>
  </conditionalFormatting>
  <conditionalFormatting sqref="V83:Y83 AA83:BJ83 BL83:BW83 V102:Y102 AA102:BJ102 BL102:BW102 V121:Y121 AA121:BJ121 BL121:BW121 V140:Y140 AA140:BJ140 BL140:BW140 V159:Y159 AA159:BJ159 BL159:BW159 V178:Y178 AA178:BJ178 BL178:BW178 V197:Y197 AA197:BJ197 BL197:BW197 V216:Y216 AA216:BJ216 BL216:BW216 V235:Y235 AA235:BJ235 BL235:BW235 V254:Y254 AA254:BJ254 BL254:BW254 V273:Y273 AA273:BJ273 BL273:BW273 V292:Y292 AA292:BJ292 BL292:BW292 V311:Y311 AA311:BJ311 BL311:BW311 V330:Y330 AA330:BJ330 BL330:BW330 V349:Y349 AA349:BJ349 BL349:BW349 V368:Y368 AA368:BJ368 BL368:BW368 V387:Y387 AA387:BJ387 BL387:BW387 V406:Y406 AA406:BJ406 BL406:BW406">
    <cfRule type="cellIs" dxfId="591" priority="234" operator="equal">
      <formula>0</formula>
    </cfRule>
    <cfRule type="cellIs" dxfId="590" priority="235" operator="greaterThan">
      <formula>0</formula>
    </cfRule>
  </conditionalFormatting>
  <conditionalFormatting sqref="V64:Y64 AA64:BJ64 BL64:BW64">
    <cfRule type="cellIs" dxfId="589" priority="232" operator="equal">
      <formula>0</formula>
    </cfRule>
    <cfRule type="cellIs" dxfId="588" priority="233" operator="greaterThan">
      <formula>0</formula>
    </cfRule>
  </conditionalFormatting>
  <conditionalFormatting sqref="CD13:CD32">
    <cfRule type="cellIs" dxfId="587" priority="230" operator="equal">
      <formula>0</formula>
    </cfRule>
    <cfRule type="cellIs" dxfId="586" priority="231" operator="greaterThan">
      <formula>0</formula>
    </cfRule>
  </conditionalFormatting>
  <conditionalFormatting sqref="S13:T32 Q13:Q32">
    <cfRule type="expression" dxfId="585" priority="1824">
      <formula>$P13&lt;&gt;1</formula>
    </cfRule>
  </conditionalFormatting>
  <conditionalFormatting sqref="R13:R32">
    <cfRule type="expression" dxfId="584" priority="228">
      <formula>$P13&lt;&gt;1</formula>
    </cfRule>
  </conditionalFormatting>
  <conditionalFormatting sqref="A2">
    <cfRule type="cellIs" dxfId="583" priority="226" operator="equal">
      <formula>0</formula>
    </cfRule>
    <cfRule type="cellIs" dxfId="582" priority="227" operator="greaterThan">
      <formula>0</formula>
    </cfRule>
  </conditionalFormatting>
  <conditionalFormatting sqref="L13">
    <cfRule type="expression" dxfId="581" priority="225">
      <formula>$K13=1</formula>
    </cfRule>
  </conditionalFormatting>
  <conditionalFormatting sqref="L14:L32">
    <cfRule type="expression" dxfId="580" priority="224">
      <formula>$K14=1</formula>
    </cfRule>
  </conditionalFormatting>
  <conditionalFormatting sqref="AA13:BJ32">
    <cfRule type="expression" dxfId="579" priority="222">
      <formula>$K13=0</formula>
    </cfRule>
  </conditionalFormatting>
  <conditionalFormatting sqref="A13">
    <cfRule type="cellIs" dxfId="578" priority="220" operator="equal">
      <formula>0</formula>
    </cfRule>
    <cfRule type="cellIs" dxfId="577" priority="221" operator="greaterThan">
      <formula>0</formula>
    </cfRule>
  </conditionalFormatting>
  <conditionalFormatting sqref="BZ51">
    <cfRule type="cellIs" dxfId="576" priority="218" operator="equal">
      <formula>0</formula>
    </cfRule>
    <cfRule type="cellIs" dxfId="575" priority="219" operator="greaterThan">
      <formula>0</formula>
    </cfRule>
  </conditionalFormatting>
  <conditionalFormatting sqref="BZ51">
    <cfRule type="cellIs" dxfId="574" priority="140" operator="equal">
      <formula>0</formula>
    </cfRule>
    <cfRule type="cellIs" dxfId="573" priority="141" operator="greaterThan">
      <formula>0</formula>
    </cfRule>
  </conditionalFormatting>
  <conditionalFormatting sqref="A686:A705 A636 A425 A423 A419:A420 A415:A416 A410:A412 A406 A404 A400:A401 A396:A397 A391:A393 A387 A385 A381:A382 A377:A378 A372:A374 A368 A366 A362:A363 A358:A359 A353:A355 A349 A347 A343:A344 A339:A340 A334:A336 A330 A328 A324:A325 A320:A321 A315:A317 A311 A309 A305:A306 A301:A302 A296:A298 A292 A290 A286:A287 A282:A283 A277:A279 A273 A271 A267:A268 A263:A264 A258:A260 A254 A252 A248:A249 A244:A245 A239:A241 A235 A233 A229:A230 A225:A226 A220:A222 A216 A214 A210:A211 A206:A207 A201:A203 A197 A195 A191:A192 A187:A188 A182:A184 A178 A176 A172:A173 A168:A169 A163:A165 A159 A157 A153:A154 A149:A150 A144:A146 A140 A138 A134:A135 A130:A131 A125:A127 A121 A119 A115:A116 A111:A112 A106:A108 A102 A100 A96:A97 A92:A93 A87:A89 A83 A81 A77:A78 A73:A74 A68:A70 A64 A62 A58:A59 A54:A55 A49:A51 A40:A43 A14:A36">
    <cfRule type="cellIs" dxfId="572" priority="22" operator="equal">
      <formula>0</formula>
    </cfRule>
    <cfRule type="cellIs" dxfId="571" priority="23" operator="greaterThan">
      <formula>0</formula>
    </cfRule>
  </conditionalFormatting>
  <conditionalFormatting sqref="CP423 CP419:CP420 CP404 CP400:CP401 CP391:CP393 CP385 CP381:CP382 CP372:CP374 CP366 CP362:CP363 CP353:CP355 CP347 CP343:CP344 CP334:CP336 CP328 CP324:CP325 CP315:CP317 CP309 CP305:CP306 CP296:CP298 CP290 CP286:CP287 CP277:CP279 CP271 CP267:CP268 CP258:CP260 CP252 CP248:CP249 CP239:CP241 CP233 CP229:CP230 CP220:CP222 CP214 CP210:CP211 CP201:CP203 CP195 CP191:CP192 CP182:CP184 CP176 CP172:CP173 CP163:CP165 CP157 CP153:CP154 CP144:CP146 CP138 CP134:CP135 CP125:CP127 CP119 CP115:CP116 CP106:CP108 CP100 CP96:CP97 CP87:CP89 CP81 CP77:CP78 CP68:CP70 CP62 CP58:CP59">
    <cfRule type="cellIs" dxfId="570" priority="20" operator="equal">
      <formula>0</formula>
    </cfRule>
    <cfRule type="cellIs" dxfId="569" priority="21" operator="greaterThan">
      <formula>0</formula>
    </cfRule>
  </conditionalFormatting>
  <conditionalFormatting sqref="BZ49:BZ51">
    <cfRule type="cellIs" dxfId="568" priority="18" operator="greaterThan">
      <formula>0</formula>
    </cfRule>
    <cfRule type="cellIs" dxfId="567" priority="19" operator="equal">
      <formula>0</formula>
    </cfRule>
  </conditionalFormatting>
  <conditionalFormatting sqref="BZ2">
    <cfRule type="cellIs" dxfId="566" priority="10" operator="greaterThan">
      <formula>0</formula>
    </cfRule>
    <cfRule type="cellIs" dxfId="565" priority="11" operator="equal">
      <formula>0</formula>
    </cfRule>
  </conditionalFormatting>
  <conditionalFormatting sqref="BZ50">
    <cfRule type="cellIs" dxfId="564" priority="14" operator="greaterThan">
      <formula>0</formula>
    </cfRule>
    <cfRule type="cellIs" dxfId="563" priority="15" operator="equal">
      <formula>0</formula>
    </cfRule>
  </conditionalFormatting>
  <conditionalFormatting sqref="BZ423 BZ419:BZ420 BZ410:BZ412 BZ404 BZ400:BZ401 BZ391:BZ393 BZ385 BZ381:BZ382 BZ372:BZ374 BZ366 BZ362:BZ363 BZ353:BZ355 BZ347 BZ343:BZ344 BZ334:BZ336 BZ328 BZ324:BZ325 BZ315:BZ317 BZ309 BZ305:BZ306 BZ296:BZ298 BZ290 BZ286:BZ287 BZ277:BZ279 BZ271 BZ267:BZ268 BZ258:BZ260 BZ252 BZ248:BZ249 BZ239:BZ241 BZ233 BZ229:BZ230 BZ220:BZ222 BZ214 BZ210:BZ211 BZ201:BZ203 BZ195 BZ191:BZ192 BZ182:BZ184 BZ176 BZ172:BZ173 BZ163:BZ165 BZ157 BZ153:BZ154 BZ144:BZ146 BZ138 BZ134:BZ135 BZ125:BZ127 BZ119 BZ115:BZ116 BZ106:BZ108 BZ100 BZ96:BZ97 BZ87:BZ89 BZ81 BZ77:BZ78 BZ68:BZ70 BZ62 BZ58:BZ59">
    <cfRule type="cellIs" dxfId="562" priority="12" operator="greaterThan">
      <formula>0</formula>
    </cfRule>
    <cfRule type="cellIs" dxfId="561" priority="13" operator="equal">
      <formula>0</formula>
    </cfRule>
  </conditionalFormatting>
  <conditionalFormatting sqref="AA423:BJ423 AA419:BJ420 AA410:BJ412 AA404:BJ404 AA400:BJ401 AA391:BJ393 AA385:BJ385 AA381:BJ382 AA372:BJ374 AA366:BJ366 AA362:BJ363 AA353:BJ355 AA347:BJ347 AA343:BJ344 AA334:BJ336 AA328:BJ328 AA324:BJ325 AA315:BJ317 AA309:BJ309 AA305:BJ306 AA296:BJ298 AA290:BJ290 AA286:BJ287 AA277:BJ279 AA271:BJ271 AA267:BJ268 AA258:BJ260 AA252:BJ252 AA248:BJ249 AA239:BJ241 AA233:BJ233 AA229:BJ230 AA220:BJ222 AA214:BJ214 AA210:BJ211 AA201:BJ203 AA195:BJ195 AA191:BJ192 AA182:BJ184 AA176:BJ176 AA172:BJ173 AA163:BJ165 AA157:BJ157 AA153:BJ154 AA144:BJ146 AA138:BJ138 AA119:BJ119 AA100:BJ100 AA81:BJ81 AA62:BJ62 AA58:BJ59 AA49:BJ51 AA68:BJ70 AA77:BJ78 AA87:BJ89 AA96:BJ97 AA106:BJ108 AA115:BJ116 AA125:BJ127 AA134:BJ135">
    <cfRule type="expression" dxfId="560" priority="7">
      <formula>AND(AA$4=0,AB$4=1)</formula>
    </cfRule>
  </conditionalFormatting>
  <conditionalFormatting sqref="BL55:BW55">
    <cfRule type="cellIs" dxfId="559" priority="1" operator="equal">
      <formula>0</formula>
    </cfRule>
    <cfRule type="cellIs" dxfId="558" priority="2" operator="greaterThan">
      <formula>0</formula>
    </cfRule>
  </conditionalFormatting>
  <dataValidations count="48">
    <dataValidation allowBlank="1" showInputMessage="1" promptTitle="Automated Interest Calcs option" prompt="You can enter loan interest expense and payments manually or use the automated calculation option. The automated calc applies to intr. expense and payments for forecast periods only._x000a__x000a_Use the dropdown menu to state if the automated intr. calc is used._x000a__x000a_" sqref="P9" xr:uid="{86BCF7F2-4E8F-42E7-A2BC-01834C6A0D86}"/>
    <dataValidation allowBlank="1" showInputMessage="1" promptTitle="Automated Loan Calc Option" prompt="Make sure an option for automated loan calculations is selected from the dropdown menu in column P._x000a__x000a_" sqref="CH7" xr:uid="{21CF294B-70BD-4D64-9D61-E8BB26546269}"/>
    <dataValidation allowBlank="1" showInputMessage="1" promptTitle="Fixed vs Variable Interest rate" prompt="You can enter a fixed forecast interest rate (the model assumes this as the default) or use the timeline to enter variable interest rates over time._x000a__x000a_Use the dropdown menu to state if a variable interest rate is used:_x000a_No = fixed rate_x000a_Yes = variable rate_x000a__x000a_" sqref="K9" xr:uid="{34B4CA9C-9B9E-4FA7-B44C-C7BC676AA381}"/>
    <dataValidation allowBlank="1" showInputMessage="1" promptTitle="Automated Loan Calc Option" prompt="If you have selected the variable interest option make sure that variable interest inputs are provided across the full timeline._x000a__x000a_" sqref="CI7" xr:uid="{A4EB4C94-2CEF-44EB-81CF-688E4F701C4F}"/>
    <dataValidation allowBlank="1" showInputMessage="1" promptTitle="Interest accrues at period end" prompt="The interest on a loan facility may accrue at the beginning (assumed as the default) or at the end of the period._x000a__x000a_Use the dropdown menu to state if interest accrues at the end of the period, i.e. after any repayments in the period._x000a__x000a_" sqref="T9" xr:uid="{B6B7C858-F294-485F-A295-EE75EC36D209}"/>
    <dataValidation allowBlank="1" showInputMessage="1" promptTitle="Interest Expense Calc" prompt="&gt;Use input data in actuals periods;_x000a_&gt;Set to 0 if automated intr. calc not in use;_x000a_&gt;Else calculate accrued interest as:_x000a__x000a_Base= Open Bal. +Drawdown + Repay (if end period compounding) + Compounded Interest_x000a_X_x000a_times compounded periodic interest rate" sqref="AA685" xr:uid="{428E63F3-AF40-471E-9C4F-9E15AE196E1D}"/>
    <dataValidation type="list" allowBlank="1" showInputMessage="1" showErrorMessage="1" sqref="P13:P32 T13:T32 K13:K32" xr:uid="{9AD7D1ED-DDA5-43C5-BFC1-ECD45803C55E}">
      <formula1>List_YesNo</formula1>
    </dataValidation>
    <dataValidation allowBlank="1" showInputMessage="1" promptTitle="1st Forecast Intr. Payment date" prompt="Checks if first forecast interest payment date is provided in case the calculated option is in use. _x000a__x000a_The first forecast interest payment date is the first payment date expected in the forecast period. It cannot be prior to the last actuals date._x000a_" sqref="CJ7" xr:uid="{A1081835-A895-4B6F-90CF-6A3FDDD54469}"/>
    <dataValidation allowBlank="1" showInputMessage="1" promptTitle="1st Forecast Intr. Payment date" prompt="The first forecast interest payment date is the first payment date expected in the forecast period. It cannot be prior to the last actuals date._x000a_" sqref="Q9" xr:uid="{539B5593-F049-419A-A363-4F2FA89BC60D}"/>
    <dataValidation allowBlank="1" showInputMessage="1" promptTitle="Interest frequency selection" prompt="Checks if a valid option has been selected for interest compounding and interest payment frequencies from the dropdown menu._x000a__x000a_This is particularly valid where the loan interest automated calculation is used._x000a_" sqref="CK7" xr:uid="{3AD2DC4A-213C-4BC6-BC7E-2598F1C814FB}"/>
    <dataValidation allowBlank="1" showInputMessage="1" promptTitle="Compounded Interest Calc" prompt="The formula accumulates the accrued interest over time at each interest compounding period (less the compounded interest since the previous compounding period)._x000a__x000a_" sqref="AA708" xr:uid="{2FB3E007-06A0-451A-8832-C0820F990991}"/>
    <dataValidation allowBlank="1" showInputMessage="1" promptTitle="Due Interest Payment Calc" prompt="&gt;During actuals pariods &gt; pick interest payment data from manual inputs_x000a_&gt;During forecast periods - calculate due interest payment the total of outstanding balance in prior period + interest expense in the current period._x000a__x000a_" sqref="AA754" xr:uid="{51973209-9927-4141-A07B-92EE8C28975C}"/>
    <dataValidation allowBlank="1" showInputMessage="1" promptTitle="Year 1 reconciliation" prompt="Checks if the sum of monthly inputs for year 1 reconciles against the annual timeline." sqref="CM7" xr:uid="{63DE2D7F-24E7-461F-81C1-9DA29004A650}"/>
    <dataValidation allowBlank="1" showInputMessage="1" promptTitle="Covenant Breach date" prompt="The inputted covenant breach date should be within the Loan term period. _x000a__x000a_It should also be within the 3 year period represented on the monthly timeline (the non-optional time periods)._x000a_" sqref="CD7" xr:uid="{16858A78-E66C-4B43-A6BB-ECF9A0F5CA9A}"/>
    <dataValidation allowBlank="1" showInputMessage="1" promptTitle="Early Repayment Fee check" prompt="Early Repayment Fees can only occur within the loan term period. _x000a__x000a_If an early repayment fee is recorded before or after this loan term period the error check will be triggered._x000a__x000a__x000a_" sqref="B83 B102 B121 B140 B159 B178 B197 B216 B235 B254 B273 B292 B311 B330 B349 B368 B387 B406 B425 B64" xr:uid="{3D92018B-9940-459B-B04F-AB8177F877FC}"/>
    <dataValidation allowBlank="1" showInputMessage="1" promptTitle="Loan Category" prompt="Please select loan category from the dropdown menu:_x000a_&gt;Overdraft_x000a_&gt;EFS/RF_x000a_&gt;Commercial_x000a__x000a_If not selected the loans data will not filter through correctly into the Financial Statements._x000a__x000a_" sqref="E9" xr:uid="{9151B952-F8CC-4335-B708-5C5281A4A6BF}"/>
    <dataValidation allowBlank="1" showInputMessage="1" promptTitle="Loan Initial Balance" prompt="For existing loans enter the loan balance as at the first day of Year 1. For new loans leave blank._x000a__x000a_The sum of opening balances across loans in each category should match the opening balance inputs on the &quot;Opening Balances&quot; sheet (within + after 1 year)_x000a_" sqref="G9" xr:uid="{C6D6E656-43AF-4258-BE87-87FB003318B5}"/>
    <dataValidation allowBlank="1" showInputMessage="1" promptTitle="Total Loan Amount" prompt="Provide the total loan amount for each loan. _x000a__x000a_The loan balance may not exceed this amount at any point in time (an error flag will be triggered if it does)._x000a__x000a_" sqref="F9" xr:uid="{DC1A6DE5-84FE-4463-B29F-5B7165547090}"/>
    <dataValidation allowBlank="1" showInputMessage="1" promptTitle="Loan Initial Balance" prompt="Enter any accrued interest balance as at the first day of Year 1 if applicable. _x000a__x000a_The sum of opening interest balances across loans should match the opening interest balance inputs on the &quot;Opening Balances&quot; sheet (within + after 1 year)._x000a_" sqref="H9" xr:uid="{A6A766D1-1F05-4D0E-A065-A9C40EB15205}"/>
    <dataValidation allowBlank="1" showInputMessage="1" promptTitle="Forecast annual Interest Rate" prompt="If the automated intr calc is not used, intr rates don't impact calcs but are needed by ESFA for sensitivity testing_x000a__x000a_If the automated intr calc is used intr rates need to be provided:_x000a_&gt;here as a fixed rate_x000a_&gt;or as a variable rate on the monthly timeline_x000a_" sqref="L9" xr:uid="{EA34A516-20A9-4416-8E68-CE3C74469C52}"/>
    <dataValidation allowBlank="1" showInputMessage="1" promptTitle="Loan covennant breach date" prompt="Use this column to state on what date a loan covenant has been breached or is expected to be breached if applicable._x000a__x000a_This will impact the classification of debt into short and long term. CFFR classifies loans that have been breached as due within 1 year_x000a_" sqref="M9" xr:uid="{523D2F36-7E2D-45DE-A82B-F21CA913B3D0}"/>
    <dataValidation allowBlank="1" showInputMessage="1" promptTitle="Loan covennant breach date" prompt="Use this column to state the minimum cash position covenant for each loan if applicable._x000a__x000a_This will impact the classification of debt into short and long term. CFFR classifies loans that have been breached as &quot;due within 1 year&quot;._x000a_" sqref="N9" xr:uid="{F6F102B1-DE96-4108-8D5A-762739E1FD6D}"/>
    <dataValidation allowBlank="1" showInputMessage="1" promptTitle="Loan covennant breach date" prompt="Use this column to state the minimum DSCR covenant for each loan if applicable._x000a__x000a_This will impact the classification of debt into short and long term. CFFR classifies loans that have been breached as &quot;due within 1 year&quot;._x000a_" sqref="O9" xr:uid="{4F4DE72B-17AC-4E36-9210-71496A55E4D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150" xr:uid="{F9018667-CE6F-441A-A458-40808D6F61CD}"/>
    <dataValidation allowBlank="1" showInputMessage="1" promptTitle="Year 2 reconciliation" prompt="Checks if the sum of monthly inputs for year 2 reconciles against the annual timeline." sqref="CN7" xr:uid="{A9ABA413-CD25-44A6-96D7-CBA1C9614374}"/>
    <dataValidation allowBlank="1" showInputMessage="1" promptTitle="Year 3 reconciliation" prompt="Checks if the sum of monthly inputs for year 3 reconciles against the annual timeline." sqref="CO7" xr:uid="{0AF397B5-67C2-4B7B-96A4-778A244C269B}"/>
    <dataValidation allowBlank="1" showInputMessage="1" promptTitle="Prior Year reconciliation" prompt="Checks if the prior year value on the 4 year timeline matches the prior year value on the 12 year timeline" sqref="CP7" xr:uid="{25725F29-DFB0-40A7-B6FB-CC6335A6D5FB}"/>
    <dataValidation allowBlank="1" showInputMessage="1" promptTitle="Applicable data for intr. calc" prompt="Checks that if the Automated Interest Calc option is NOT USED (No selected from the dropdown menu in column P), the data required for automated calculations is NOT entered._x000a__x000a_" sqref="CE7" xr:uid="{E66BB382-3670-46CD-80B3-7897155235DE}"/>
    <dataValidation allowBlank="1" showInputMessage="1" promptTitle="Loan Opening Ballance checks" prompt="Checks that the loan opening balance does not exceed the overall loan amount._x000a__x000a__x000a__x000a_" sqref="CF7" xr:uid="{0B345DF6-FE58-4758-A181-B83D710FA302}"/>
    <dataValidation allowBlank="1" showInputMessage="1" promptTitle="Loan Term dates" prompt="Checks if Loan Term start date is before Loan Term end date._x000a__x000a__x000a_" sqref="CG7" xr:uid="{3B037278-5F69-4654-A7A8-9953706B2833}"/>
    <dataValidation allowBlank="1" showInputMessage="1" promptTitle="Manual Loan Inputs checks" prompt="Checks if:_x000a_&gt; Loan balance &lt; overal loan amount at any point in time_x000a_&gt;Loan balance is not negative_x000a_&gt;There is no outstanding loan balance after the Loan term end_x000a_&gt; Early repayment fees are only applied within the Loan term period_x000a__x000a_" sqref="CL7" xr:uid="{F48BAB2B-F02E-4240-B66D-ECC87D19615D}"/>
    <dataValidation allowBlank="1" showInputMessage="1" promptTitle="Loans Opening Balance check" prompt="Checks if:_x000a_sum of loan opening balances on &quot;Loans&quot; sheet = Debt opening balance on &quot;Opening Balances&quot; sheet _x000a__x000a_by loan category" sqref="CB7" xr:uid="{09513A63-7C4B-40BF-8B5A-9AE78F67CFD5}"/>
    <dataValidation allowBlank="1" showInputMessage="1" promptTitle="Interest Opening Balance check" prompt="Checks if:_x000a_sum of loan accrued interest opening balances on &quot;Loans&quot; sheet = Interest opening balance on &quot;Opening Balances&quot; sheet " sqref="CC7" xr:uid="{8842B040-97FA-47C3-BB27-179292BA71F0}"/>
    <dataValidation allowBlank="1" showInputMessage="1" promptTitle="Manual Inputs reconciliation" prompt="Checks that the manual inputs reconcile to the manual inputs references in the calculated section" sqref="CQ7" xr:uid="{463E88D8-F312-4A91-A4F2-FF79E6C83EC1}"/>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BZ7" xr:uid="{BFF93774-68C3-4FF9-84AC-EE253D3CB738}"/>
    <dataValidation allowBlank="1" showInputMessage="1" promptTitle="Compounded Interest rate" prompt="The formula converts the annual interest rate to a compounded periodic interest rate, based on how frequently interest is compounded._x000a__x000a_If the automated interest calculation option is not applied, the value is set to 0._x000a_" sqref="AA662" xr:uid="{FBF7478A-2868-45C4-889F-C36B470090E0}"/>
    <dataValidation allowBlank="1" showInputMessage="1" promptTitle="Compounded Interest Calc" prompt="The formula adds any accrued interest initial balance to the compounded interest for forecast periods._x000a__x000a_The value is set to 0 for actuals periods since the actuals interest expense amounts are applied._x000a__x000a__x000a_" sqref="AA731" xr:uid="{8FA2D0A1-EC29-41A7-9744-4C5DEFBDD0FC}"/>
    <dataValidation allowBlank="1" showInputMessage="1" promptTitle="Calculated Interest payment " prompt="Calculates intr. payments as:_x000a_Min of intr. balance and intr. expense, where intr. expense equals:_x000a_- manual inputs in actuals periods_x000a_- cumulative intr. expense less intr. payments to date in forecast periods_x000a__x000a_At loan term end set to intr. balance_x000a__x000a__x000a__x000a__x000a_" sqref="AA777" xr:uid="{36B83F40-A03A-4F05-A46A-EE8A10F99D0C}"/>
    <dataValidation allowBlank="1" showInputMessage="1" showErrorMessage="1" promptTitle="Closing Interest Balance" prompt="Calculated as:_x000a_Opening interest balance + accrued interest expense - interest payment in period_x000a__x000a_In the first period, the opening balance is taken as the initial accrued interest balance entered on the &quot;Opening Balances&quot; sheet." sqref="AA800" xr:uid="{3BB92847-8A74-4A38-9925-6B0E331C19CA}"/>
    <dataValidation allowBlank="1" showInputMessage="1" showErrorMessage="1" promptTitle="Selected Interest" prompt="The entire section selects between the manual interest entries and the automated interest calculations based on whether the Automated Interest Calc option was applied via the dropdown selection in the Loans table (refer to table column starting at P13)." sqref="AA826" xr:uid="{5B7A1F40-FEA9-4526-A7A2-371949617016}"/>
    <dataValidation allowBlank="1" showInputMessage="1" showErrorMessage="1" promptTitle="Amount Due within 1 year" prompt="The formula classifies loan amounts due within one year by looking at payments for the next 12 months._x000a__x000a_Overdrafts are set to being within 1 year regardless of the payment pattern due to the short-term nature of such facilities." sqref="AA898" xr:uid="{C71BE088-F6A9-413B-A04B-9EAE828FC7C4}"/>
    <dataValidation allowBlank="1" showInputMessage="1" showErrorMessage="1" promptTitle="Amount Due after 1 year" prompt="Loan amounts due after 1 year are the remaining loan balances:_x000a_Total loan balance - loan due within 1 year" sqref="AA921" xr:uid="{016B2353-ACDB-4F06-8C2D-99CA9B48248B}"/>
    <dataValidation allowBlank="1" showInputMessage="1" showErrorMessage="1" promptTitle="Amount due after 1 year " prompt="This formula further classifies loans to being due within 1 year if there has been a covenant breach._x000a__x000a_The covenant breach flag is based on:_x000a_&gt; covenant breach date provided_x000a_&gt; minimum cash position covenant not being met_x000a_&gt; min DSCR covenant not being met" sqref="AA944" xr:uid="{171C8534-32B9-4F0E-A3A0-DA83353B21EC}"/>
    <dataValidation allowBlank="1" showInputMessage="1" showErrorMessage="1" promptTitle="Amount Due within 1 year" prompt="The formula classifies interest amounts due within one year by looking at payments for the next 12 months._x000a__x000a_Interest on overdrafts is set to being within 1 year regardless of the payment pattern due to the short-term nature of such facilities." sqref="AA1013" xr:uid="{92C9C0DB-F6BA-401D-94DA-915DC8DCA015}"/>
    <dataValidation allowBlank="1" showInputMessage="1" showErrorMessage="1" promptTitle="Amount Due after 1 year" prompt="Loan interest amounts due after 1 year are the remaining interest balances:_x000a_Total loan interest balance - loan interest due within 1 year" sqref="AA1036" xr:uid="{6E0F6E96-E804-4049-9F7D-E968674DB861}"/>
    <dataValidation allowBlank="1" showInputMessage="1" showErrorMessage="1" promptTitle="Amount due after 1 year " prompt="This formula further classifies intr. to being due within 1 year if there has been a covenant breach._x000a__x000a_The covenant breach flag is based on:_x000a_&gt; covenant breach date provided_x000a_&gt; minimum cash position covenant not being met_x000a_&gt; min DSCR covenant not being met" sqref="AA1059" xr:uid="{4DBCE3E6-AD90-420D-AE96-39AED951FE26}"/>
    <dataValidation allowBlank="1" showInputMessage="1" promptTitle="Automated Interest Calcs option" prompt="You can:_x000a_&gt; enter loan interest data manually here;_x000a_&gt;or use the automated calculation option for forecast periods only. _x000a__x000a_Actuals intr. data needs to be entered here for actuals periods even if the auto calc is used for the forecast periods._x000a__x000a__x000a__x000a_" sqref="B58:B59 B77:B78 B96:B97 B115:B116 B134:B135 B153:B154 B172:B173 B191:B192 B210:B211 B229:B230 B248:B249 B267:B268 B286:B287 B305:B306 B419:B420 B324:B325 B343:B344 B362:B363 B381:B382 B400:B401" xr:uid="{3B0D72DD-9774-46F9-9771-92FCA9375E64}"/>
    <dataValidation type="date" operator="greaterThan" allowBlank="1" showInputMessage="1" showErrorMessage="1" error="Please enter your date in dd/mm/yyyy or dd-mon-yy format." sqref="I13:J31 M13:M32 Q13:Q32" xr:uid="{68D2AF83-1A3B-4287-8206-79FA00CC8ABC}">
      <formula1>18264</formula1>
    </dataValidation>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6" id="{37AE75BA-31A5-44D2-9255-63BBAB8D3734}">
            <xm:f>AND('Cover Sheet'!$E$29=0, AA$4=0, AB$4=0)</xm:f>
            <x14:dxf>
              <fill>
                <patternFill>
                  <bgColor theme="0"/>
                </patternFill>
              </fill>
            </x14:dxf>
          </x14:cfRule>
          <xm:sqref>AA423:BJ423 AA419:BJ420 AA410:BJ412 AA404:BJ404 AA400:BJ401 AA391:BJ393 AA385:BJ385 AA381:BJ382 AA372:BJ374 AA366:BJ366 AA362:BJ363 AA353:BJ355 AA347:BJ347 AA343:BJ344 AA334:BJ336 AA328:BJ328 AA324:BJ325 AA315:BJ317 AA309:BJ309 AA305:BJ306 AA296:BJ298 AA290:BJ290 AA286:BJ287 AA277:BJ279 AA271:BJ271 AA267:BJ268 AA258:BJ260 AA252:BJ252 AA248:BJ249 AA239:BJ241 AA233:BJ233 AA229:BJ230 AA220:BJ222 AA214:BJ214 AA210:BJ211 AA201:BJ203 AA195:BJ195 AA191:BJ192 AA182:BJ184 AA176:BJ176 AA172:BJ173 AA163:BJ165 AA157:BJ157 AA153:BJ154 AA144:BJ146 AA138:BJ138 AA119:BJ119 AA100:BJ100 AA81:BJ81 AA62:BJ62 AA58:BJ59 AA49:BJ51 AA68:BJ70 AA77:BJ78 AA87:BJ89 AA96:BJ97 AA106:BJ108 AA115:BJ116 AA125:BJ127 AA134:BJ135</xm:sqref>
        </x14:conditionalFormatting>
        <x14:conditionalFormatting xmlns:xm="http://schemas.microsoft.com/office/excel/2006/main">
          <x14:cfRule type="expression" priority="3" id="{89C164E3-346B-4A16-8C4B-0D9BA494A66F}">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A7EC049-028B-4BC1-B0A2-BC8043EFCCAE}">
          <x14:formula1>
            <xm:f>Parameters!$D$73:$D$77</xm:f>
          </x14:formula1>
          <xm:sqref>R13:R32</xm:sqref>
        </x14:dataValidation>
        <x14:dataValidation type="list" allowBlank="1" showInputMessage="1" showErrorMessage="1" xr:uid="{46964140-A83F-42F9-A738-BF5FCA366840}">
          <x14:formula1>
            <xm:f>Parameters!$D$80:$D$83</xm:f>
          </x14:formula1>
          <xm:sqref>S13:S32</xm:sqref>
        </x14:dataValidation>
        <x14:dataValidation type="list" allowBlank="1" showInputMessage="1" showErrorMessage="1" xr:uid="{6723EBD1-FCCB-4E2A-8125-66584E692B65}">
          <x14:formula1>
            <xm:f>Parameters!$D$68:$D$70</xm:f>
          </x14:formula1>
          <xm:sqref>E13:E32</xm:sqref>
        </x14:dataValidation>
        <x14:dataValidation type="list" allowBlank="1" showInputMessage="1" showErrorMessage="1" xr:uid="{EEB3447B-3880-4288-A861-04C0A0E7B3A1}">
          <x14:formula1>
            <xm:f>'Dash Data'!$D$93:$D$100</xm:f>
          </x14:formula1>
          <xm:sqref>D2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E458C-8C1D-43BC-A0CE-57C2F426A5E2}">
  <sheetPr codeName="Sheet8">
    <tabColor theme="7" tint="0.59999389629810485"/>
    <outlinePr summaryBelow="0" summaryRight="0"/>
    <pageSetUpPr autoPageBreaks="0"/>
  </sheetPr>
  <dimension ref="A1:EX264"/>
  <sheetViews>
    <sheetView showGridLines="0" zoomScaleNormal="100" workbookViewId="0">
      <pane xSplit="8" ySplit="7" topLeftCell="I224" activePane="bottomRight" state="frozen"/>
      <selection pane="topRight"/>
      <selection pane="bottomLeft"/>
      <selection pane="bottomRight" activeCell="BB240" sqref="BB240"/>
    </sheetView>
  </sheetViews>
  <sheetFormatPr defaultColWidth="8.5703125" defaultRowHeight="15" outlineLevelCol="2" x14ac:dyDescent="0.25"/>
  <cols>
    <col min="1" max="1" width="6.5703125" style="11" bestFit="1" customWidth="1"/>
    <col min="2" max="3" width="9.42578125" style="11" customWidth="1"/>
    <col min="4" max="4" width="56" style="1" customWidth="1"/>
    <col min="5" max="5" width="13.5703125" style="11" customWidth="1"/>
    <col min="6" max="6" width="2" style="11" bestFit="1" customWidth="1"/>
    <col min="7" max="7" width="2" style="11" customWidth="1"/>
    <col min="8" max="8" width="15" style="11" customWidth="1"/>
    <col min="9" max="9" width="2" style="11" bestFit="1" customWidth="1" collapsed="1"/>
    <col min="10" max="10" width="2" style="11" hidden="1" customWidth="1" outlineLevel="1"/>
    <col min="11" max="14" width="8.5703125" style="11" hidden="1" customWidth="1" outlineLevel="1"/>
    <col min="15" max="15" width="10.140625" style="11" hidden="1" customWidth="1" outlineLevel="1"/>
    <col min="16" max="16" width="12.5703125" style="11" hidden="1" customWidth="1" outlineLevel="1"/>
    <col min="17" max="17" width="10.85546875" style="11" hidden="1" customWidth="1" outlineLevel="1"/>
    <col min="18" max="18" width="9.85546875" style="11" hidden="1" customWidth="1" outlineLevel="1"/>
    <col min="19" max="19" width="3.42578125" hidden="1" customWidth="1" outlineLevel="1"/>
    <col min="20" max="21" width="11.140625" style="11" hidden="1" customWidth="1" outlineLevel="1"/>
    <col min="22" max="23" width="9.42578125" style="11" bestFit="1" customWidth="1"/>
    <col min="24" max="25" width="9.42578125" bestFit="1" customWidth="1"/>
    <col min="26" max="26" width="1.42578125" style="11" customWidth="1"/>
    <col min="27" max="62" width="9.5703125" style="11" bestFit="1" customWidth="1"/>
    <col min="63" max="63" width="1.42578125" style="11" customWidth="1"/>
    <col min="64" max="75" width="9.42578125" style="11" bestFit="1" customWidth="1"/>
    <col min="76" max="76" width="1.42578125" style="11" customWidth="1"/>
    <col min="77" max="77" width="3.42578125" style="335" customWidth="1"/>
    <col min="78" max="78" width="13.42578125" style="335" customWidth="1"/>
    <col min="79" max="79" width="3.42578125" style="11" customWidth="1"/>
    <col min="80" max="82" width="13.42578125" style="67" customWidth="1"/>
    <col min="83" max="83" width="13.42578125" style="335" customWidth="1"/>
    <col min="84" max="84" width="13.42578125" style="321" customWidth="1"/>
    <col min="85" max="85" width="2.5703125" style="11" customWidth="1"/>
    <col min="86" max="87" width="8.5703125" style="11"/>
    <col min="88" max="88" width="9.85546875" style="11" customWidth="1"/>
    <col min="89" max="150" width="8.5703125" style="11"/>
    <col min="151" max="151" width="8.5703125" style="335"/>
    <col min="152" max="152" width="8.5703125" style="11"/>
    <col min="153" max="153" width="8.5703125" style="11" collapsed="1"/>
    <col min="154" max="154" width="49.140625" style="11" hidden="1" customWidth="1" outlineLevel="2"/>
    <col min="155" max="16384" width="8.5703125" style="11"/>
  </cols>
  <sheetData>
    <row r="1" spans="1:154" x14ac:dyDescent="0.25">
      <c r="A1" s="7">
        <f ca="1">ToC!A1</f>
        <v>0</v>
      </c>
      <c r="B1" s="14" t="s">
        <v>755</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335" t="s">
        <v>944</v>
      </c>
      <c r="CA1" s="575"/>
      <c r="CB1" s="5" t="s">
        <v>1771</v>
      </c>
      <c r="CG1" s="575"/>
      <c r="CH1" s="5" t="s">
        <v>2311</v>
      </c>
      <c r="EX1" s="5" t="s">
        <v>1563</v>
      </c>
    </row>
    <row r="2" spans="1:154" ht="14.45" customHeight="1" x14ac:dyDescent="0.25">
      <c r="A2" s="362" cm="1">
        <f t="array" aca="1" ref="A2" ca="1">HYPERLINK(CONCATENATE("#",CELL("address",IF(SUM(A$7:A$264)=0,$A$2,INDEX(A$7:A$264,MATCH(1,A$7:A$264,0))))),SUM(A$7:A$264))</f>
        <v>0</v>
      </c>
      <c r="B2" s="92" t="str" cm="1">
        <f t="array" aca="1" ref="B2" ca="1">HYPERLINK(CONCATENATE("#",CELL("address",Guide!$C$109)),Guide!$B$1)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BZ2" s="366" cm="1">
        <f t="array" aca="1" ref="BZ2" ca="1">HYPERLINK(CONCATENATE("#",CELL("address",IF(SUM(BZ$7:BZ$264)=0,$BZ$2,INDEX(BZ$7:BZ$264,MATCH(1,BZ$7:BZ$264,0))))),SUM(BZ$7:BZ$264))</f>
        <v>0</v>
      </c>
      <c r="CA2" s="575"/>
      <c r="CE2" s="69"/>
      <c r="CG2" s="575"/>
      <c r="CH2" s="576" t="s">
        <v>2308</v>
      </c>
      <c r="CI2" s="576" t="s">
        <v>2320</v>
      </c>
      <c r="CJ2" s="576" t="s">
        <v>2310</v>
      </c>
      <c r="EX2" s="335"/>
    </row>
    <row r="3" spans="1:154" x14ac:dyDescent="0.25">
      <c r="A3" s="92" t="str" cm="1">
        <f t="array" aca="1" ref="A3" ca="1">HYPERLINK(CONCATENATE("#",CELL("address",ToC!$A$1)),ToC!$C$1)</f>
        <v>ToC</v>
      </c>
      <c r="B3" s="80" t="str" cm="1">
        <f t="array" aca="1" ref="B3" ca="1">HYPERLINK(CONCATENATE("#",CELL("address",$B$22)),"NCA")</f>
        <v>NCA</v>
      </c>
      <c r="C3" s="14"/>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69"/>
      <c r="CA3" s="575"/>
      <c r="CB3" s="576" t="s">
        <v>405</v>
      </c>
      <c r="CC3" s="576" t="s">
        <v>406</v>
      </c>
      <c r="CD3" s="576" t="s">
        <v>169</v>
      </c>
      <c r="CE3" s="576" t="s">
        <v>2335</v>
      </c>
      <c r="CF3" s="576" t="s">
        <v>845</v>
      </c>
      <c r="CG3" s="575"/>
      <c r="CH3" s="576"/>
      <c r="CI3" s="576"/>
      <c r="CJ3" s="576"/>
      <c r="EX3" s="335"/>
    </row>
    <row r="4" spans="1:154" ht="30" x14ac:dyDescent="0.25">
      <c r="A4" s="14"/>
      <c r="B4" s="80" t="str" cm="1">
        <f t="array" aca="1" ref="B4" ca="1">HYPERLINK(CONCATENATE("#",CELL("address",$B$49)),"Current Assets")</f>
        <v>Current Assets</v>
      </c>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364" t="s">
        <v>965</v>
      </c>
      <c r="CA4" s="575"/>
      <c r="CB4" s="576"/>
      <c r="CC4" s="576"/>
      <c r="CD4" s="576"/>
      <c r="CE4" s="576"/>
      <c r="CF4" s="576"/>
      <c r="CG4" s="575"/>
      <c r="CH4" s="576"/>
      <c r="CI4" s="576"/>
      <c r="CJ4" s="576"/>
      <c r="EX4" s="335"/>
    </row>
    <row r="5" spans="1:154" x14ac:dyDescent="0.25">
      <c r="A5" s="14"/>
      <c r="B5" s="80" t="str" cm="1">
        <f t="array" aca="1" ref="B5" ca="1">HYPERLINK(CONCATENATE("#",CELL("address",B88)),"Liabilities")</f>
        <v>Liabilities</v>
      </c>
      <c r="C5" s="80" t="str" cm="1">
        <f t="array" aca="1" ref="C5" ca="1">HYPERLINK(CONCATENATE("#",CELL("address",$B$236)),"Reserves")</f>
        <v>Reserves</v>
      </c>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69"/>
      <c r="CA5" s="575"/>
      <c r="CB5" s="576"/>
      <c r="CC5" s="576"/>
      <c r="CD5" s="576"/>
      <c r="CE5" s="576"/>
      <c r="CF5" s="576"/>
      <c r="CG5" s="575"/>
      <c r="CH5" s="576"/>
      <c r="CI5" s="576"/>
      <c r="CJ5" s="576"/>
      <c r="EX5" s="335"/>
    </row>
    <row r="6" spans="1:154" x14ac:dyDescent="0.25">
      <c r="A6" s="80" t="str" cm="1">
        <f t="array" aca="1" ref="A6" ca="1">HYPERLINK(CONCATENATE("#",CELL("address",CA7)),"Check")</f>
        <v>Check</v>
      </c>
      <c r="B6" s="14"/>
      <c r="C6" s="14" t="str">
        <f>Template!$C$6</f>
        <v>Ref. No.</v>
      </c>
      <c r="D6" s="14" t="str">
        <f>Template!D6</f>
        <v>Description</v>
      </c>
      <c r="E6" s="44"/>
      <c r="F6" s="14"/>
      <c r="G6" s="14"/>
      <c r="H6" s="14" t="str">
        <f>Template!H6</f>
        <v>Signage</v>
      </c>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69"/>
      <c r="CA6" s="575"/>
      <c r="CB6" s="576"/>
      <c r="CC6" s="576"/>
      <c r="CD6" s="576"/>
      <c r="CE6" s="576"/>
      <c r="CF6" s="576"/>
      <c r="CG6" s="575"/>
      <c r="CH6" s="576"/>
      <c r="CI6" s="576"/>
      <c r="CJ6" s="576"/>
      <c r="EX6" s="335"/>
    </row>
    <row r="7" spans="1:154" ht="15.75" x14ac:dyDescent="0.3">
      <c r="B7" s="139" t="s">
        <v>2494</v>
      </c>
      <c r="C7" s="378"/>
      <c r="S7" s="335"/>
      <c r="T7" s="335"/>
      <c r="X7" s="335"/>
      <c r="Y7" s="11"/>
      <c r="AA7" s="45">
        <f>IF(SUMIFS(AA10:BJ10, AA4:BJ4,0)=0,0,1)</f>
        <v>1</v>
      </c>
      <c r="BM7" s="321"/>
      <c r="BY7" s="42"/>
      <c r="BZ7" s="105" t="s">
        <v>335</v>
      </c>
      <c r="CA7" s="42"/>
      <c r="CB7" s="479" t="s">
        <v>335</v>
      </c>
      <c r="CC7" s="479" t="s">
        <v>335</v>
      </c>
      <c r="CD7" s="479" t="s">
        <v>335</v>
      </c>
      <c r="CE7" s="479" t="s">
        <v>335</v>
      </c>
      <c r="CF7" s="479" t="s">
        <v>335</v>
      </c>
      <c r="CG7" s="42"/>
      <c r="EX7" s="335"/>
    </row>
    <row r="8" spans="1:154" x14ac:dyDescent="0.25">
      <c r="A8" s="40"/>
      <c r="B8" s="40"/>
      <c r="C8" s="379"/>
      <c r="D8" s="40" t="s">
        <v>173</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12"/>
      <c r="CA8" s="12"/>
      <c r="CG8" s="12"/>
      <c r="CI8" s="335"/>
      <c r="EX8" s="10" t="str">
        <f>IF($C8="","",$D8)</f>
        <v/>
      </c>
    </row>
    <row r="9" spans="1:154" ht="8.1" customHeight="1" x14ac:dyDescent="0.25">
      <c r="C9" s="385"/>
      <c r="S9" s="335"/>
      <c r="X9" s="11"/>
      <c r="Y9" s="11"/>
      <c r="BY9" s="12"/>
      <c r="CA9" s="12"/>
      <c r="CG9" s="12"/>
      <c r="CI9" s="335"/>
      <c r="EX9" s="10" t="str">
        <f t="shared" ref="EX9:EX72" si="0">IF($C9="","",$D9)</f>
        <v/>
      </c>
    </row>
    <row r="10" spans="1:154" s="328" customFormat="1" ht="15.75" x14ac:dyDescent="0.3">
      <c r="B10" s="479" t="s">
        <v>335</v>
      </c>
      <c r="C10" s="385"/>
      <c r="D10" s="1" t="s">
        <v>2322</v>
      </c>
      <c r="S10" s="335"/>
      <c r="T10" s="335"/>
      <c r="U10" s="335"/>
      <c r="V10" s="13">
        <f>'I&amp;E Monthly'!V$202*'Investing Inputs'!V$329*Loans!V$1150*'BS Forecasts'!V$262*'Opening Balances'!$V$81</f>
        <v>0</v>
      </c>
      <c r="W10" s="45">
        <f>'I&amp;E Monthly'!W$202*'Investing Inputs'!W$329*Loans!W$1150*'BS Forecasts'!W$262</f>
        <v>1</v>
      </c>
      <c r="X10" s="45">
        <f>'I&amp;E Monthly'!X$202*'Investing Inputs'!X$329*Loans!X$1150*'BS Forecasts'!X$262</f>
        <v>1</v>
      </c>
      <c r="Y10" s="45">
        <f>'I&amp;E Monthly'!Y$202*'Investing Inputs'!Y$329*Loans!Y$1150*'BS Forecasts'!Y$262</f>
        <v>1</v>
      </c>
      <c r="AA10" s="45">
        <f>'I&amp;E Monthly'!AA$202*'Investing Inputs'!AA$329*Loans!AA$1150*'BS Forecasts'!AA$262</f>
        <v>1</v>
      </c>
      <c r="AB10" s="45">
        <f>'I&amp;E Monthly'!AB$202*'Investing Inputs'!AB$329*Loans!AB$1150*'BS Forecasts'!AB$262</f>
        <v>1</v>
      </c>
      <c r="AC10" s="45">
        <f>'I&amp;E Monthly'!AC$202*'Investing Inputs'!AC$329*Loans!AC$1150*'BS Forecasts'!AC$262</f>
        <v>1</v>
      </c>
      <c r="AD10" s="45">
        <f>'I&amp;E Monthly'!AD$202*'Investing Inputs'!AD$329*Loans!AD$1150*'BS Forecasts'!AD$262</f>
        <v>1</v>
      </c>
      <c r="AE10" s="45">
        <f>'I&amp;E Monthly'!AE$202*'Investing Inputs'!AE$329*Loans!AE$1150*'BS Forecasts'!AE$262</f>
        <v>1</v>
      </c>
      <c r="AF10" s="45">
        <f>'I&amp;E Monthly'!AF$202*'Investing Inputs'!AF$329*Loans!AF$1150*'BS Forecasts'!AF$262</f>
        <v>1</v>
      </c>
      <c r="AG10" s="45">
        <f>'I&amp;E Monthly'!AG$202*'Investing Inputs'!AG$329*Loans!AG$1150*'BS Forecasts'!AG$262</f>
        <v>1</v>
      </c>
      <c r="AH10" s="45">
        <f>'I&amp;E Monthly'!AH$202*'Investing Inputs'!AH$329*Loans!AH$1150*'BS Forecasts'!AH$262</f>
        <v>1</v>
      </c>
      <c r="AI10" s="45">
        <f>'I&amp;E Monthly'!AI$202*'Investing Inputs'!AI$329*Loans!AI$1150*'BS Forecasts'!AI$262</f>
        <v>1</v>
      </c>
      <c r="AJ10" s="45">
        <f>'I&amp;E Monthly'!AJ$202*'Investing Inputs'!AJ$329*Loans!AJ$1150*'BS Forecasts'!AJ$262</f>
        <v>1</v>
      </c>
      <c r="AK10" s="45">
        <f>'I&amp;E Monthly'!AK$202*'Investing Inputs'!AK$329*Loans!AK$1150*'BS Forecasts'!AK$262</f>
        <v>1</v>
      </c>
      <c r="AL10" s="45">
        <f>'I&amp;E Monthly'!AL$202*'Investing Inputs'!AL$329*Loans!AL$1150*'BS Forecasts'!AL$262</f>
        <v>1</v>
      </c>
      <c r="AM10" s="45">
        <f>'I&amp;E Monthly'!AM$202*'Investing Inputs'!AM$329*Loans!AM$1150*'BS Forecasts'!AM$262</f>
        <v>1</v>
      </c>
      <c r="AN10" s="45">
        <f>'I&amp;E Monthly'!AN$202*'Investing Inputs'!AN$329*Loans!AN$1150*'BS Forecasts'!AN$262</f>
        <v>1</v>
      </c>
      <c r="AO10" s="45">
        <f>'I&amp;E Monthly'!AO$202*'Investing Inputs'!AO$329*Loans!AO$1150*'BS Forecasts'!AO$262</f>
        <v>1</v>
      </c>
      <c r="AP10" s="45">
        <f>'I&amp;E Monthly'!AP$202*'Investing Inputs'!AP$329*Loans!AP$1150*'BS Forecasts'!AP$262</f>
        <v>1</v>
      </c>
      <c r="AQ10" s="45">
        <f>'I&amp;E Monthly'!AQ$202*'Investing Inputs'!AQ$329*Loans!AQ$1150*'BS Forecasts'!AQ$262</f>
        <v>1</v>
      </c>
      <c r="AR10" s="45">
        <f>'I&amp;E Monthly'!AR$202*'Investing Inputs'!AR$329*Loans!AR$1150*'BS Forecasts'!AR$262</f>
        <v>1</v>
      </c>
      <c r="AS10" s="45">
        <f>'I&amp;E Monthly'!AS$202*'Investing Inputs'!AS$329*Loans!AS$1150*'BS Forecasts'!AS$262</f>
        <v>1</v>
      </c>
      <c r="AT10" s="45">
        <f>'I&amp;E Monthly'!AT$202*'Investing Inputs'!AT$329*Loans!AT$1150*'BS Forecasts'!AT$262</f>
        <v>1</v>
      </c>
      <c r="AU10" s="45">
        <f>'I&amp;E Monthly'!AU$202*'Investing Inputs'!AU$329*Loans!AU$1150*'BS Forecasts'!AU$262</f>
        <v>1</v>
      </c>
      <c r="AV10" s="45">
        <f>'I&amp;E Monthly'!AV$202*'Investing Inputs'!AV$329*Loans!AV$1150*'BS Forecasts'!AV$262</f>
        <v>1</v>
      </c>
      <c r="AW10" s="45">
        <f>'I&amp;E Monthly'!AW$202*'Investing Inputs'!AW$329*Loans!AW$1150*'BS Forecasts'!AW$262</f>
        <v>1</v>
      </c>
      <c r="AX10" s="45">
        <f>'I&amp;E Monthly'!AX$202*'Investing Inputs'!AX$329*Loans!AX$1150*'BS Forecasts'!AX$262</f>
        <v>1</v>
      </c>
      <c r="AY10" s="45">
        <f>'I&amp;E Monthly'!AY$202*'Investing Inputs'!AY$329*Loans!AY$1150*'BS Forecasts'!AY$262</f>
        <v>1</v>
      </c>
      <c r="AZ10" s="45">
        <f>'I&amp;E Monthly'!AZ$202*'Investing Inputs'!AZ$329*Loans!AZ$1150*'BS Forecasts'!AZ$262</f>
        <v>1</v>
      </c>
      <c r="BA10" s="45">
        <f>'I&amp;E Monthly'!BA$202*'Investing Inputs'!BA$329*Loans!BA$1150*'BS Forecasts'!BA$262</f>
        <v>1</v>
      </c>
      <c r="BB10" s="45">
        <f>'I&amp;E Monthly'!BB$202*'Investing Inputs'!BB$329*Loans!BB$1150*'BS Forecasts'!BB$262</f>
        <v>1</v>
      </c>
      <c r="BC10" s="45">
        <f>'I&amp;E Monthly'!BC$202*'Investing Inputs'!BC$329*Loans!BC$1150*'BS Forecasts'!BC$262</f>
        <v>1</v>
      </c>
      <c r="BD10" s="45">
        <f>'I&amp;E Monthly'!BD$202*'Investing Inputs'!BD$329*Loans!BD$1150*'BS Forecasts'!BD$262</f>
        <v>1</v>
      </c>
      <c r="BE10" s="45">
        <f>'I&amp;E Monthly'!BE$202*'Investing Inputs'!BE$329*Loans!BE$1150*'BS Forecasts'!BE$262</f>
        <v>1</v>
      </c>
      <c r="BF10" s="45">
        <f>'I&amp;E Monthly'!BF$202*'Investing Inputs'!BF$329*Loans!BF$1150*'BS Forecasts'!BF$262</f>
        <v>1</v>
      </c>
      <c r="BG10" s="45">
        <f>'I&amp;E Monthly'!BG$202*'Investing Inputs'!BG$329*Loans!BG$1150*'BS Forecasts'!BG$262</f>
        <v>1</v>
      </c>
      <c r="BH10" s="45">
        <f>'I&amp;E Monthly'!BH$202*'Investing Inputs'!BH$329*Loans!BH$1150*'BS Forecasts'!BH$262</f>
        <v>1</v>
      </c>
      <c r="BI10" s="45">
        <f>'I&amp;E Monthly'!BI$202*'Investing Inputs'!BI$329*Loans!BI$1150*'BS Forecasts'!BI$262</f>
        <v>1</v>
      </c>
      <c r="BJ10" s="45">
        <f>'I&amp;E Monthly'!BJ$202*'Investing Inputs'!BJ$329*Loans!BJ$1150*'BS Forecasts'!BJ$262</f>
        <v>1</v>
      </c>
      <c r="BL10" s="13">
        <f>V10</f>
        <v>0</v>
      </c>
      <c r="BM10" s="13">
        <f>W10</f>
        <v>1</v>
      </c>
      <c r="BN10" s="13">
        <f>X10</f>
        <v>1</v>
      </c>
      <c r="BO10" s="13">
        <f>Y10</f>
        <v>1</v>
      </c>
      <c r="BP10" s="45">
        <f>'I&amp;E Monthly'!BP$202*'Investing Inputs'!BP$329*Loans!BP$1150*'BS Forecasts'!BP$262</f>
        <v>0</v>
      </c>
      <c r="BQ10" s="45">
        <f>'I&amp;E Monthly'!BQ$202*'Investing Inputs'!BQ$329*Loans!BQ$1150*'BS Forecasts'!BQ$262</f>
        <v>0</v>
      </c>
      <c r="BR10" s="45">
        <f>'I&amp;E Monthly'!BR$202*'Investing Inputs'!BR$329*Loans!BR$1150*'BS Forecasts'!BR$262</f>
        <v>0</v>
      </c>
      <c r="BS10" s="45">
        <f>'I&amp;E Monthly'!BS$202*'Investing Inputs'!BS$329*Loans!BS$1150*'BS Forecasts'!BS$262</f>
        <v>0</v>
      </c>
      <c r="BT10" s="45">
        <f>'I&amp;E Monthly'!BT$202*'Investing Inputs'!BT$329*Loans!BT$1150*'BS Forecasts'!BT$262</f>
        <v>0</v>
      </c>
      <c r="BU10" s="45">
        <f>'I&amp;E Monthly'!BU$202*'Investing Inputs'!BU$329*Loans!BU$1150*'BS Forecasts'!BU$262</f>
        <v>0</v>
      </c>
      <c r="BV10" s="45">
        <f>'I&amp;E Monthly'!BV$202*'Investing Inputs'!BV$329*Loans!BV$1150*'BS Forecasts'!BV$262</f>
        <v>0</v>
      </c>
      <c r="BW10" s="45">
        <f>'I&amp;E Monthly'!BW$202*'Investing Inputs'!BW$329*Loans!BW$1150*'BS Forecasts'!BW$262</f>
        <v>0</v>
      </c>
      <c r="BY10" s="12"/>
      <c r="BZ10" s="335"/>
      <c r="CA10" s="12"/>
      <c r="CE10" s="335"/>
      <c r="CF10" s="335"/>
      <c r="CG10" s="12"/>
      <c r="EU10" s="335"/>
      <c r="EX10" s="10" t="str">
        <f t="shared" si="0"/>
        <v/>
      </c>
    </row>
    <row r="11" spans="1:154" s="328" customFormat="1" ht="8.1" customHeight="1" x14ac:dyDescent="0.25">
      <c r="C11" s="385"/>
      <c r="D11" s="1"/>
      <c r="O11" s="335"/>
      <c r="P11" s="335"/>
      <c r="Q11" s="335"/>
      <c r="R11" s="335"/>
      <c r="S11" s="335"/>
      <c r="T11" s="335"/>
      <c r="U11" s="335"/>
      <c r="BY11" s="12"/>
      <c r="BZ11" s="335"/>
      <c r="CA11" s="12"/>
      <c r="CE11" s="335"/>
      <c r="CG11" s="12"/>
      <c r="EU11" s="335"/>
      <c r="EX11" s="10" t="str">
        <f t="shared" si="0"/>
        <v/>
      </c>
    </row>
    <row r="12" spans="1:154" x14ac:dyDescent="0.25">
      <c r="A12" s="362" cm="1">
        <f t="array" aca="1" ref="A12" ca="1">HYPERLINK(CONCATENATE("#",CELL("address",IF(SUM($CA12:$CG12)=0,A12,INDEX($CA12:$CG12,MATCH(1,$CA12:$CG12,0))))),SUM($CA12:$CG12))</f>
        <v>0</v>
      </c>
      <c r="C12" s="385"/>
      <c r="D12" s="1" t="s">
        <v>174</v>
      </c>
      <c r="H12" s="335"/>
      <c r="O12" s="335"/>
      <c r="P12" s="335"/>
      <c r="Q12" s="335"/>
      <c r="R12" s="335"/>
      <c r="S12" s="335"/>
      <c r="T12" s="335"/>
      <c r="U12" s="335"/>
      <c r="V12" s="201">
        <f>(V25+V28+V37+V44+V31+V34+V47)*V$10</f>
        <v>0</v>
      </c>
      <c r="W12" s="201">
        <f>(W25+W28+W37+W44+W31+W34+W47)*W$10</f>
        <v>36679</v>
      </c>
      <c r="X12" s="201">
        <f>(X25+X28+X37+X44+X31+X34+X47)*X$10</f>
        <v>40420</v>
      </c>
      <c r="Y12" s="201">
        <f>(Y25+Y28+Y37+Y44+Y31+Y34+Y47)*Y$10</f>
        <v>40728</v>
      </c>
      <c r="Z12" s="335"/>
      <c r="AA12" s="201">
        <f t="shared" ref="AA12:BJ12" si="1">(AA25+AA28+AA37+AA44+AA31+AA34+AA47)*AA$10</f>
        <v>34119</v>
      </c>
      <c r="AB12" s="201">
        <f t="shared" si="1"/>
        <v>33968</v>
      </c>
      <c r="AC12" s="201">
        <f t="shared" si="1"/>
        <v>36625</v>
      </c>
      <c r="AD12" s="201">
        <f t="shared" si="1"/>
        <v>36471</v>
      </c>
      <c r="AE12" s="201">
        <f t="shared" si="1"/>
        <v>36316</v>
      </c>
      <c r="AF12" s="201">
        <f t="shared" si="1"/>
        <v>36162</v>
      </c>
      <c r="AG12" s="201">
        <f t="shared" si="1"/>
        <v>36007</v>
      </c>
      <c r="AH12" s="201">
        <f t="shared" si="1"/>
        <v>37282</v>
      </c>
      <c r="AI12" s="201">
        <f t="shared" si="1"/>
        <v>37129</v>
      </c>
      <c r="AJ12" s="201">
        <f t="shared" si="1"/>
        <v>36978</v>
      </c>
      <c r="AK12" s="201">
        <f t="shared" si="1"/>
        <v>36798</v>
      </c>
      <c r="AL12" s="201">
        <f t="shared" si="1"/>
        <v>36679</v>
      </c>
      <c r="AM12" s="201">
        <f t="shared" si="1"/>
        <v>37604</v>
      </c>
      <c r="AN12" s="201">
        <f t="shared" si="1"/>
        <v>38239</v>
      </c>
      <c r="AO12" s="201">
        <f t="shared" si="1"/>
        <v>38446</v>
      </c>
      <c r="AP12" s="201">
        <f t="shared" si="1"/>
        <v>38481</v>
      </c>
      <c r="AQ12" s="201">
        <f t="shared" si="1"/>
        <v>38759</v>
      </c>
      <c r="AR12" s="201">
        <f t="shared" si="1"/>
        <v>39044</v>
      </c>
      <c r="AS12" s="201">
        <f t="shared" si="1"/>
        <v>39328</v>
      </c>
      <c r="AT12" s="201">
        <f t="shared" si="1"/>
        <v>39710</v>
      </c>
      <c r="AU12" s="201">
        <f t="shared" si="1"/>
        <v>40048</v>
      </c>
      <c r="AV12" s="201">
        <f t="shared" si="1"/>
        <v>40210</v>
      </c>
      <c r="AW12" s="201">
        <f t="shared" si="1"/>
        <v>40326</v>
      </c>
      <c r="AX12" s="201">
        <f t="shared" si="1"/>
        <v>40420</v>
      </c>
      <c r="AY12" s="201">
        <f t="shared" si="1"/>
        <v>40495</v>
      </c>
      <c r="AZ12" s="201">
        <f t="shared" si="1"/>
        <v>40528</v>
      </c>
      <c r="BA12" s="201">
        <f t="shared" si="1"/>
        <v>40568</v>
      </c>
      <c r="BB12" s="201">
        <f t="shared" si="1"/>
        <v>40612</v>
      </c>
      <c r="BC12" s="201">
        <f t="shared" si="1"/>
        <v>40655</v>
      </c>
      <c r="BD12" s="201">
        <f t="shared" si="1"/>
        <v>40693</v>
      </c>
      <c r="BE12" s="201">
        <f t="shared" si="1"/>
        <v>40790</v>
      </c>
      <c r="BF12" s="201">
        <f t="shared" si="1"/>
        <v>40781</v>
      </c>
      <c r="BG12" s="201">
        <f t="shared" si="1"/>
        <v>40770</v>
      </c>
      <c r="BH12" s="201">
        <f t="shared" si="1"/>
        <v>40780</v>
      </c>
      <c r="BI12" s="201">
        <f t="shared" si="1"/>
        <v>40754</v>
      </c>
      <c r="BJ12" s="201">
        <f t="shared" si="1"/>
        <v>40728</v>
      </c>
      <c r="BK12" s="335"/>
      <c r="BL12" s="201">
        <f t="shared" ref="BL12:BW12" si="2">(BL25+BL28+BL37+BL44+BL31+BL34+BL47)*BL$10</f>
        <v>0</v>
      </c>
      <c r="BM12" s="201">
        <f t="shared" si="2"/>
        <v>36679</v>
      </c>
      <c r="BN12" s="201">
        <f t="shared" si="2"/>
        <v>40420</v>
      </c>
      <c r="BO12" s="201">
        <f t="shared" si="2"/>
        <v>40728</v>
      </c>
      <c r="BP12" s="201">
        <f t="shared" si="2"/>
        <v>0</v>
      </c>
      <c r="BQ12" s="201">
        <f t="shared" si="2"/>
        <v>0</v>
      </c>
      <c r="BR12" s="201">
        <f t="shared" si="2"/>
        <v>0</v>
      </c>
      <c r="BS12" s="201">
        <f t="shared" si="2"/>
        <v>0</v>
      </c>
      <c r="BT12" s="201">
        <f t="shared" si="2"/>
        <v>0</v>
      </c>
      <c r="BU12" s="201">
        <f t="shared" si="2"/>
        <v>0</v>
      </c>
      <c r="BV12" s="201">
        <f t="shared" si="2"/>
        <v>0</v>
      </c>
      <c r="BW12" s="201">
        <f t="shared" si="2"/>
        <v>0</v>
      </c>
      <c r="BY12" s="12"/>
      <c r="CA12" s="12"/>
      <c r="CF12" s="7">
        <f>IF(SUM(V12:Y12)=SUM(BL12:BO12), 0, 1)</f>
        <v>0</v>
      </c>
      <c r="CG12" s="12"/>
      <c r="EX12" s="10" t="str">
        <f t="shared" si="0"/>
        <v/>
      </c>
    </row>
    <row r="13" spans="1:154" ht="8.1" customHeight="1" x14ac:dyDescent="0.25">
      <c r="C13" s="385"/>
      <c r="H13" s="335"/>
      <c r="O13" s="335"/>
      <c r="P13" s="335"/>
      <c r="Q13" s="335"/>
      <c r="R13" s="335"/>
      <c r="S13" s="335"/>
      <c r="T13" s="335"/>
      <c r="U13" s="335"/>
      <c r="W13" s="328"/>
      <c r="X13" s="328"/>
      <c r="Y13" s="328"/>
      <c r="Z13" s="335"/>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35"/>
      <c r="BL13" s="328"/>
      <c r="BM13" s="328"/>
      <c r="BN13" s="328"/>
      <c r="BO13" s="328"/>
      <c r="BP13" s="328"/>
      <c r="BQ13" s="328"/>
      <c r="BR13" s="328"/>
      <c r="BS13" s="328"/>
      <c r="BT13" s="328"/>
      <c r="BU13" s="328"/>
      <c r="BV13" s="328"/>
      <c r="BW13" s="328"/>
      <c r="BY13" s="12"/>
      <c r="CA13" s="12"/>
      <c r="CF13" s="322"/>
      <c r="CG13" s="12"/>
      <c r="EX13" s="10" t="str">
        <f t="shared" si="0"/>
        <v/>
      </c>
    </row>
    <row r="14" spans="1:154" x14ac:dyDescent="0.25">
      <c r="A14" s="362" cm="1">
        <f t="array" aca="1" ref="A14" ca="1">HYPERLINK(CONCATENATE("#",CELL("address",IF(SUM($CA14:$CG14)=0,A14,INDEX($CA14:$CG14,MATCH(1,$CA14:$CG14,0))))),SUM($CA14:$CG14))</f>
        <v>0</v>
      </c>
      <c r="C14" s="385"/>
      <c r="D14" s="1" t="s">
        <v>175</v>
      </c>
      <c r="H14" s="335"/>
      <c r="O14" s="335"/>
      <c r="P14" s="335"/>
      <c r="Q14" s="335"/>
      <c r="R14" s="335"/>
      <c r="S14" s="335"/>
      <c r="T14" s="335"/>
      <c r="U14" s="335"/>
      <c r="V14" s="10">
        <f>(V52+V56+V60+V64+V70+V73+V76+V83+V86+V79)*V$10</f>
        <v>0</v>
      </c>
      <c r="W14" s="10">
        <f>(W52+W56+W60+W64+W70+W73+W76+W83+W86+W79)*W$10</f>
        <v>12067</v>
      </c>
      <c r="X14" s="10">
        <f>(X52+X56+X60+X64+X70+X73+X76+X83+X86+X79)*X$10</f>
        <v>10859</v>
      </c>
      <c r="Y14" s="10">
        <f>(Y52+Y56+Y60+Y64+Y70+Y73+Y76+Y83+Y86+Y79)*Y$10</f>
        <v>11667.810000000001</v>
      </c>
      <c r="AA14" s="10">
        <f t="shared" ref="AA14:BJ14" si="3">(AA52+AA56+AA60+AA64+AA70+AA73+AA76+AA83+AA86+AA79)*AA$10</f>
        <v>14344</v>
      </c>
      <c r="AB14" s="10">
        <f t="shared" si="3"/>
        <v>16639</v>
      </c>
      <c r="AC14" s="10">
        <f t="shared" si="3"/>
        <v>14608</v>
      </c>
      <c r="AD14" s="10">
        <f t="shared" si="3"/>
        <v>14451</v>
      </c>
      <c r="AE14" s="10">
        <f t="shared" si="3"/>
        <v>13997</v>
      </c>
      <c r="AF14" s="10">
        <f t="shared" si="3"/>
        <v>13412</v>
      </c>
      <c r="AG14" s="10">
        <f t="shared" si="3"/>
        <v>12757</v>
      </c>
      <c r="AH14" s="10">
        <f t="shared" si="3"/>
        <v>10874</v>
      </c>
      <c r="AI14" s="10">
        <f t="shared" si="3"/>
        <v>12212</v>
      </c>
      <c r="AJ14" s="10">
        <f t="shared" si="3"/>
        <v>12577</v>
      </c>
      <c r="AK14" s="10">
        <f t="shared" si="3"/>
        <v>12950</v>
      </c>
      <c r="AL14" s="10">
        <f t="shared" si="3"/>
        <v>12067</v>
      </c>
      <c r="AM14" s="10">
        <f t="shared" si="3"/>
        <v>13138</v>
      </c>
      <c r="AN14" s="10">
        <f t="shared" si="3"/>
        <v>13568</v>
      </c>
      <c r="AO14" s="10">
        <f t="shared" si="3"/>
        <v>13422</v>
      </c>
      <c r="AP14" s="10">
        <f t="shared" si="3"/>
        <v>12848</v>
      </c>
      <c r="AQ14" s="10">
        <f t="shared" si="3"/>
        <v>11613</v>
      </c>
      <c r="AR14" s="10">
        <f t="shared" si="3"/>
        <v>10687</v>
      </c>
      <c r="AS14" s="10">
        <f t="shared" si="3"/>
        <v>9334</v>
      </c>
      <c r="AT14" s="10">
        <f t="shared" si="3"/>
        <v>7969</v>
      </c>
      <c r="AU14" s="10">
        <f t="shared" si="3"/>
        <v>9048</v>
      </c>
      <c r="AV14" s="10">
        <f t="shared" si="3"/>
        <v>9152</v>
      </c>
      <c r="AW14" s="10">
        <f t="shared" si="3"/>
        <v>8911</v>
      </c>
      <c r="AX14" s="10">
        <f t="shared" si="3"/>
        <v>10859</v>
      </c>
      <c r="AY14" s="10">
        <f t="shared" si="3"/>
        <v>12641.748333333333</v>
      </c>
      <c r="AZ14" s="10">
        <f t="shared" si="3"/>
        <v>13685.105</v>
      </c>
      <c r="BA14" s="10">
        <f t="shared" si="3"/>
        <v>13707.593333333332</v>
      </c>
      <c r="BB14" s="10">
        <f t="shared" si="3"/>
        <v>13111.98</v>
      </c>
      <c r="BC14" s="10">
        <f t="shared" si="3"/>
        <v>12087.45</v>
      </c>
      <c r="BD14" s="10">
        <f t="shared" si="3"/>
        <v>11395.220000000001</v>
      </c>
      <c r="BE14" s="10">
        <f t="shared" si="3"/>
        <v>10204.478333333333</v>
      </c>
      <c r="BF14" s="10">
        <f t="shared" si="3"/>
        <v>9211.9599999999991</v>
      </c>
      <c r="BG14" s="10">
        <f t="shared" si="3"/>
        <v>10689.338333333333</v>
      </c>
      <c r="BH14" s="10">
        <f t="shared" si="3"/>
        <v>10990.406666666668</v>
      </c>
      <c r="BI14" s="10">
        <f t="shared" si="3"/>
        <v>10898.600000000002</v>
      </c>
      <c r="BJ14" s="10">
        <f t="shared" si="3"/>
        <v>11667.810000000001</v>
      </c>
      <c r="BK14" s="335"/>
      <c r="BL14" s="10">
        <f t="shared" ref="BL14:BW14" si="4">(BL52+BL56+BL60+BL64+BL70+BL73+BL76+BL83+BL86+BL79)*BL$10</f>
        <v>0</v>
      </c>
      <c r="BM14" s="10">
        <f t="shared" si="4"/>
        <v>12067</v>
      </c>
      <c r="BN14" s="10">
        <f t="shared" si="4"/>
        <v>10859</v>
      </c>
      <c r="BO14" s="10">
        <f t="shared" si="4"/>
        <v>11667.810000000001</v>
      </c>
      <c r="BP14" s="10">
        <f t="shared" si="4"/>
        <v>0</v>
      </c>
      <c r="BQ14" s="10">
        <f t="shared" si="4"/>
        <v>0</v>
      </c>
      <c r="BR14" s="10">
        <f t="shared" si="4"/>
        <v>0</v>
      </c>
      <c r="BS14" s="10">
        <f t="shared" si="4"/>
        <v>0</v>
      </c>
      <c r="BT14" s="10">
        <f t="shared" si="4"/>
        <v>0</v>
      </c>
      <c r="BU14" s="10">
        <f t="shared" si="4"/>
        <v>0</v>
      </c>
      <c r="BV14" s="10">
        <f t="shared" si="4"/>
        <v>0</v>
      </c>
      <c r="BW14" s="10">
        <f t="shared" si="4"/>
        <v>0</v>
      </c>
      <c r="BY14" s="12"/>
      <c r="CA14" s="12"/>
      <c r="CF14" s="7">
        <f>IF(SUM(V14:Y14)=SUM(BL14:BO14), 0, 1)</f>
        <v>0</v>
      </c>
      <c r="CG14" s="12"/>
      <c r="EX14" s="10" t="str">
        <f t="shared" si="0"/>
        <v/>
      </c>
    </row>
    <row r="15" spans="1:154" ht="8.1" customHeight="1" x14ac:dyDescent="0.25">
      <c r="C15" s="385"/>
      <c r="H15" s="335"/>
      <c r="O15" s="335"/>
      <c r="P15" s="335"/>
      <c r="Q15" s="335"/>
      <c r="R15" s="335"/>
      <c r="S15" s="335"/>
      <c r="T15" s="335"/>
      <c r="U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35"/>
      <c r="BN15" s="335"/>
      <c r="BO15" s="335"/>
      <c r="BP15" s="335"/>
      <c r="BQ15" s="335"/>
      <c r="BR15" s="335"/>
      <c r="BS15" s="335"/>
      <c r="BT15" s="335"/>
      <c r="BU15" s="335"/>
      <c r="BV15" s="335"/>
      <c r="BW15" s="335"/>
      <c r="BY15" s="12"/>
      <c r="CA15" s="12"/>
      <c r="CF15" s="322"/>
      <c r="CG15" s="12"/>
      <c r="EX15" s="10" t="str">
        <f t="shared" si="0"/>
        <v/>
      </c>
    </row>
    <row r="16" spans="1:154" x14ac:dyDescent="0.25">
      <c r="A16" s="362" cm="1">
        <f t="array" aca="1" ref="A16" ca="1">HYPERLINK(CONCATENATE("#",CELL("address",IF(SUM($CA16:$CG16)=0,A16,INDEX($CA16:$CG16,MATCH(1,$CA16:$CG16,0))))),SUM($CA16:$CG16))</f>
        <v>0</v>
      </c>
      <c r="C16" s="385"/>
      <c r="D16" s="1" t="s">
        <v>176</v>
      </c>
      <c r="H16" s="335"/>
      <c r="O16" s="335"/>
      <c r="P16" s="335"/>
      <c r="Q16" s="335"/>
      <c r="R16" s="335"/>
      <c r="S16" s="335"/>
      <c r="T16" s="335"/>
      <c r="U16" s="335"/>
      <c r="V16" s="10">
        <f>SUMIFS(V89:V235, $CJ$89:$CJ$235, 1)*V$10</f>
        <v>0</v>
      </c>
      <c r="W16" s="10">
        <f>SUMIFS(W89:W235, $CJ$89:$CJ$235, 1)*W$10</f>
        <v>48746</v>
      </c>
      <c r="X16" s="10">
        <f>SUMIFS(X89:X235, $CJ$89:$CJ$235, 1)*X$10</f>
        <v>51279</v>
      </c>
      <c r="Y16" s="10">
        <f>SUMIFS(Y89:Y235, $CJ$89:$CJ$235, 1)*Y$10</f>
        <v>52395.81</v>
      </c>
      <c r="Z16" s="335"/>
      <c r="AA16" s="10">
        <f t="shared" ref="AA16:BJ16" si="5">SUMIFS(AA89:AA235, $CJ$89:$CJ$235, 1)*AA$10</f>
        <v>48463</v>
      </c>
      <c r="AB16" s="10">
        <f t="shared" si="5"/>
        <v>50607</v>
      </c>
      <c r="AC16" s="10">
        <f t="shared" si="5"/>
        <v>51233</v>
      </c>
      <c r="AD16" s="10">
        <f t="shared" si="5"/>
        <v>50922</v>
      </c>
      <c r="AE16" s="10">
        <f t="shared" si="5"/>
        <v>50313</v>
      </c>
      <c r="AF16" s="10">
        <f t="shared" si="5"/>
        <v>49574</v>
      </c>
      <c r="AG16" s="10">
        <f t="shared" si="5"/>
        <v>48764</v>
      </c>
      <c r="AH16" s="10">
        <f t="shared" si="5"/>
        <v>48156</v>
      </c>
      <c r="AI16" s="10">
        <f t="shared" si="5"/>
        <v>49341</v>
      </c>
      <c r="AJ16" s="10">
        <f t="shared" si="5"/>
        <v>49555</v>
      </c>
      <c r="AK16" s="10">
        <f t="shared" si="5"/>
        <v>49748</v>
      </c>
      <c r="AL16" s="10">
        <f t="shared" si="5"/>
        <v>48746</v>
      </c>
      <c r="AM16" s="10">
        <f t="shared" si="5"/>
        <v>50742</v>
      </c>
      <c r="AN16" s="10">
        <f t="shared" si="5"/>
        <v>51807</v>
      </c>
      <c r="AO16" s="10">
        <f t="shared" si="5"/>
        <v>51868</v>
      </c>
      <c r="AP16" s="10">
        <f t="shared" si="5"/>
        <v>51329</v>
      </c>
      <c r="AQ16" s="10">
        <f t="shared" si="5"/>
        <v>50372</v>
      </c>
      <c r="AR16" s="10">
        <f t="shared" si="5"/>
        <v>49731</v>
      </c>
      <c r="AS16" s="10">
        <f t="shared" si="5"/>
        <v>48662</v>
      </c>
      <c r="AT16" s="10">
        <f t="shared" si="5"/>
        <v>47679</v>
      </c>
      <c r="AU16" s="10">
        <f t="shared" si="5"/>
        <v>49096</v>
      </c>
      <c r="AV16" s="10">
        <f t="shared" si="5"/>
        <v>49362</v>
      </c>
      <c r="AW16" s="10">
        <f t="shared" si="5"/>
        <v>49237</v>
      </c>
      <c r="AX16" s="10">
        <f t="shared" si="5"/>
        <v>51279</v>
      </c>
      <c r="AY16" s="10">
        <f t="shared" si="5"/>
        <v>53136.748333333337</v>
      </c>
      <c r="AZ16" s="10">
        <f t="shared" si="5"/>
        <v>54213.104999999996</v>
      </c>
      <c r="BA16" s="10">
        <f t="shared" si="5"/>
        <v>54275.593333333331</v>
      </c>
      <c r="BB16" s="10">
        <f t="shared" si="5"/>
        <v>53723.979999999996</v>
      </c>
      <c r="BC16" s="10">
        <f t="shared" si="5"/>
        <v>52742.45</v>
      </c>
      <c r="BD16" s="10">
        <f t="shared" si="5"/>
        <v>52088.22</v>
      </c>
      <c r="BE16" s="10">
        <f t="shared" si="5"/>
        <v>50994.478333333333</v>
      </c>
      <c r="BF16" s="10">
        <f t="shared" si="5"/>
        <v>49992.959999999999</v>
      </c>
      <c r="BG16" s="10">
        <f t="shared" si="5"/>
        <v>51459.338333333333</v>
      </c>
      <c r="BH16" s="10">
        <f t="shared" si="5"/>
        <v>51770.406666666662</v>
      </c>
      <c r="BI16" s="10">
        <f t="shared" si="5"/>
        <v>51652.6</v>
      </c>
      <c r="BJ16" s="10">
        <f t="shared" si="5"/>
        <v>52395.81</v>
      </c>
      <c r="BK16" s="335"/>
      <c r="BL16" s="10">
        <f t="shared" ref="BL16:BW16" si="6">SUMIFS(BL89:BL235, $CJ$89:$CJ$235, 1)*BL$10</f>
        <v>0</v>
      </c>
      <c r="BM16" s="10">
        <f t="shared" si="6"/>
        <v>48746</v>
      </c>
      <c r="BN16" s="10">
        <f t="shared" si="6"/>
        <v>51279</v>
      </c>
      <c r="BO16" s="10">
        <f t="shared" si="6"/>
        <v>52395.81</v>
      </c>
      <c r="BP16" s="10">
        <f t="shared" si="6"/>
        <v>0</v>
      </c>
      <c r="BQ16" s="10">
        <f t="shared" si="6"/>
        <v>0</v>
      </c>
      <c r="BR16" s="10">
        <f t="shared" si="6"/>
        <v>0</v>
      </c>
      <c r="BS16" s="10">
        <f t="shared" si="6"/>
        <v>0</v>
      </c>
      <c r="BT16" s="10">
        <f t="shared" si="6"/>
        <v>0</v>
      </c>
      <c r="BU16" s="10">
        <f t="shared" si="6"/>
        <v>0</v>
      </c>
      <c r="BV16" s="10">
        <f t="shared" si="6"/>
        <v>0</v>
      </c>
      <c r="BW16" s="10">
        <f t="shared" si="6"/>
        <v>0</v>
      </c>
      <c r="BY16" s="12"/>
      <c r="CA16" s="12"/>
      <c r="CF16" s="7">
        <f>IF(SUM(V16:Y16)=SUM(BL16:BO16), 0, 1)</f>
        <v>0</v>
      </c>
      <c r="CG16" s="12"/>
      <c r="CJ16" s="335"/>
      <c r="EX16" s="10" t="str">
        <f t="shared" si="0"/>
        <v/>
      </c>
    </row>
    <row r="17" spans="1:154" customFormat="1" ht="8.1" customHeight="1" x14ac:dyDescent="0.25">
      <c r="C17" s="385"/>
      <c r="D17" s="1"/>
      <c r="O17" s="335"/>
      <c r="P17" s="335"/>
      <c r="Q17" s="335"/>
      <c r="R17" s="335"/>
      <c r="S17" s="335"/>
      <c r="T17" s="335"/>
      <c r="U17" s="335"/>
      <c r="BY17" s="12"/>
      <c r="BZ17" s="335"/>
      <c r="CA17" s="12"/>
      <c r="CE17" s="335"/>
      <c r="CF17" s="322"/>
      <c r="CG17" s="12"/>
      <c r="CJ17" s="335"/>
      <c r="EU17" s="335"/>
      <c r="EX17" s="10" t="str">
        <f t="shared" si="0"/>
        <v/>
      </c>
    </row>
    <row r="18" spans="1:154" customFormat="1" x14ac:dyDescent="0.25">
      <c r="A18" s="325"/>
      <c r="C18" s="385"/>
      <c r="D18" s="1" t="s">
        <v>865</v>
      </c>
      <c r="S18" s="335"/>
      <c r="T18" s="335"/>
      <c r="U18" s="335"/>
      <c r="V18" s="169">
        <f>ROUND(V12+V14-V16,Parameters!$D$36)</f>
        <v>0</v>
      </c>
      <c r="W18" s="169">
        <f>ROUND(W12+W14-W16,Parameters!$D$36)</f>
        <v>0</v>
      </c>
      <c r="X18" s="169">
        <f>ROUND(X12+X14-X16,Parameters!$D$36)</f>
        <v>0</v>
      </c>
      <c r="Y18" s="169">
        <f>ROUND(Y12+Y14-Y16,Parameters!$D$36)</f>
        <v>0</v>
      </c>
      <c r="Z18" s="335"/>
      <c r="AA18" s="169">
        <f>ROUND(AA12+AA14-AA16,Parameters!$D$36)</f>
        <v>0</v>
      </c>
      <c r="AB18" s="169">
        <f>ROUND(AB12+AB14-AB16,Parameters!$D$36)</f>
        <v>0</v>
      </c>
      <c r="AC18" s="169">
        <f>ROUND(AC12+AC14-AC16,Parameters!$D$36)</f>
        <v>0</v>
      </c>
      <c r="AD18" s="169">
        <f>ROUND(AD12+AD14-AD16,Parameters!$D$36)</f>
        <v>0</v>
      </c>
      <c r="AE18" s="169">
        <f>ROUND(AE12+AE14-AE16,Parameters!$D$36)</f>
        <v>0</v>
      </c>
      <c r="AF18" s="169">
        <f>ROUND(AF12+AF14-AF16,Parameters!$D$36)</f>
        <v>0</v>
      </c>
      <c r="AG18" s="169">
        <f>ROUND(AG12+AG14-AG16,Parameters!$D$36)</f>
        <v>0</v>
      </c>
      <c r="AH18" s="169">
        <f>ROUND(AH12+AH14-AH16,Parameters!$D$36)</f>
        <v>0</v>
      </c>
      <c r="AI18" s="169">
        <f>ROUND(AI12+AI14-AI16,Parameters!$D$36)</f>
        <v>0</v>
      </c>
      <c r="AJ18" s="169">
        <f>ROUND(AJ12+AJ14-AJ16,Parameters!$D$36)</f>
        <v>0</v>
      </c>
      <c r="AK18" s="169">
        <f>ROUND(AK12+AK14-AK16,Parameters!$D$36)</f>
        <v>0</v>
      </c>
      <c r="AL18" s="169">
        <f>ROUND(AL12+AL14-AL16,Parameters!$D$36)</f>
        <v>0</v>
      </c>
      <c r="AM18" s="169">
        <f>ROUND(AM12+AM14-AM16,Parameters!$D$36)</f>
        <v>0</v>
      </c>
      <c r="AN18" s="169">
        <f>ROUND(AN12+AN14-AN16,Parameters!$D$36)</f>
        <v>0</v>
      </c>
      <c r="AO18" s="169">
        <f>ROUND(AO12+AO14-AO16,Parameters!$D$36)</f>
        <v>0</v>
      </c>
      <c r="AP18" s="169">
        <f>ROUND(AP12+AP14-AP16,Parameters!$D$36)</f>
        <v>0</v>
      </c>
      <c r="AQ18" s="169">
        <f>ROUND(AQ12+AQ14-AQ16,Parameters!$D$36)</f>
        <v>0</v>
      </c>
      <c r="AR18" s="169">
        <f>ROUND(AR12+AR14-AR16,Parameters!$D$36)</f>
        <v>0</v>
      </c>
      <c r="AS18" s="169">
        <f>ROUND(AS12+AS14-AS16,Parameters!$D$36)</f>
        <v>0</v>
      </c>
      <c r="AT18" s="169">
        <f>ROUND(AT12+AT14-AT16,Parameters!$D$36)</f>
        <v>0</v>
      </c>
      <c r="AU18" s="169">
        <f>ROUND(AU12+AU14-AU16,Parameters!$D$36)</f>
        <v>0</v>
      </c>
      <c r="AV18" s="169">
        <f>ROUND(AV12+AV14-AV16,Parameters!$D$36)</f>
        <v>0</v>
      </c>
      <c r="AW18" s="169">
        <f>ROUND(AW12+AW14-AW16,Parameters!$D$36)</f>
        <v>0</v>
      </c>
      <c r="AX18" s="169">
        <f>ROUND(AX12+AX14-AX16,Parameters!$D$36)</f>
        <v>0</v>
      </c>
      <c r="AY18" s="169">
        <f>ROUND(AY12+AY14-AY16,Parameters!$D$36)</f>
        <v>0</v>
      </c>
      <c r="AZ18" s="169">
        <f>ROUND(AZ12+AZ14-AZ16,Parameters!$D$36)</f>
        <v>0</v>
      </c>
      <c r="BA18" s="169">
        <f>ROUND(BA12+BA14-BA16,Parameters!$D$36)</f>
        <v>0</v>
      </c>
      <c r="BB18" s="169">
        <f>ROUND(BB12+BB14-BB16,Parameters!$D$36)</f>
        <v>0</v>
      </c>
      <c r="BC18" s="169">
        <f>ROUND(BC12+BC14-BC16,Parameters!$D$36)</f>
        <v>0</v>
      </c>
      <c r="BD18" s="169">
        <f>ROUND(BD12+BD14-BD16,Parameters!$D$36)</f>
        <v>0</v>
      </c>
      <c r="BE18" s="169">
        <f>ROUND(BE12+BE14-BE16,Parameters!$D$36)</f>
        <v>0</v>
      </c>
      <c r="BF18" s="169">
        <f>ROUND(BF12+BF14-BF16,Parameters!$D$36)</f>
        <v>0</v>
      </c>
      <c r="BG18" s="169">
        <f>ROUND(BG12+BG14-BG16,Parameters!$D$36)</f>
        <v>0</v>
      </c>
      <c r="BH18" s="169">
        <f>ROUND(BH12+BH14-BH16,Parameters!$D$36)</f>
        <v>0</v>
      </c>
      <c r="BI18" s="169">
        <f>ROUND(BI12+BI14-BI16,Parameters!$D$36)</f>
        <v>0</v>
      </c>
      <c r="BJ18" s="169">
        <f>ROUND(BJ12+BJ14-BJ16,Parameters!$D$36)</f>
        <v>0</v>
      </c>
      <c r="BK18" s="335"/>
      <c r="BL18" s="169">
        <f>ROUND(BL12+BL14-BL16,Parameters!$D$36)</f>
        <v>0</v>
      </c>
      <c r="BM18" s="169">
        <f>ROUND(BM12+BM14-BM16,Parameters!$D$36)</f>
        <v>0</v>
      </c>
      <c r="BN18" s="169">
        <f>ROUND(BN12+BN14-BN16,Parameters!$D$36)</f>
        <v>0</v>
      </c>
      <c r="BO18" s="169">
        <f>ROUND(BO12+BO14-BO16,Parameters!$D$36)</f>
        <v>0</v>
      </c>
      <c r="BP18" s="169">
        <f>ROUND(BP12+BP14-BP16,Parameters!$D$36)</f>
        <v>0</v>
      </c>
      <c r="BQ18" s="169">
        <f>ROUND(BQ12+BQ14-BQ16,Parameters!$D$36)</f>
        <v>0</v>
      </c>
      <c r="BR18" s="169">
        <f>ROUND(BR12+BR14-BR16,Parameters!$D$36)</f>
        <v>0</v>
      </c>
      <c r="BS18" s="169">
        <f>ROUND(BS12+BS14-BS16,Parameters!$D$36)</f>
        <v>0</v>
      </c>
      <c r="BT18" s="169">
        <f>ROUND(BT12+BT14-BT16,Parameters!$D$36)</f>
        <v>0</v>
      </c>
      <c r="BU18" s="169">
        <f>ROUND(BU12+BU14-BU16,Parameters!$D$36)</f>
        <v>0</v>
      </c>
      <c r="BV18" s="169">
        <f>ROUND(BV12+BV14-BV16,Parameters!$D$36)</f>
        <v>0</v>
      </c>
      <c r="BW18" s="169">
        <f>ROUND(BW12+BW14-BW16,Parameters!$D$36)</f>
        <v>0</v>
      </c>
      <c r="BY18" s="12"/>
      <c r="BZ18" s="335"/>
      <c r="CA18" s="12"/>
      <c r="CE18" s="335"/>
      <c r="CF18" s="321"/>
      <c r="CG18" s="12"/>
      <c r="EU18" s="335"/>
      <c r="EX18" s="10" t="str">
        <f t="shared" si="0"/>
        <v/>
      </c>
    </row>
    <row r="19" spans="1:154" ht="8.1" customHeight="1" x14ac:dyDescent="0.25">
      <c r="C19" s="385"/>
      <c r="S19" s="335"/>
      <c r="T19" s="335"/>
      <c r="U19" s="335"/>
      <c r="X19" s="11"/>
      <c r="Y19" s="11"/>
      <c r="Z19" s="67"/>
      <c r="BK19" s="67"/>
      <c r="BY19" s="12"/>
      <c r="CA19" s="12"/>
      <c r="CG19" s="12"/>
      <c r="EX19" s="10" t="str">
        <f t="shared" si="0"/>
        <v/>
      </c>
    </row>
    <row r="20" spans="1:154" x14ac:dyDescent="0.25">
      <c r="A20" s="362" cm="1">
        <f t="array" aca="1" ref="A20" ca="1">HYPERLINK(CONCATENATE("#",CELL("address",IF(SUM($CA20:$CG20)=0,A20,INDEX($CA20:$CG20,MATCH(1,$CA20:$CG20,0))))),SUM($CA20:$CG20))</f>
        <v>0</v>
      </c>
      <c r="C20" s="385"/>
      <c r="D20" s="1" t="s">
        <v>169</v>
      </c>
      <c r="S20" s="335"/>
      <c r="T20" s="335"/>
      <c r="U20" s="335"/>
      <c r="V20" s="169">
        <f>IF(ABS(V12+V14-V16)&lt;Parameters!$D$33, 0, 1)</f>
        <v>0</v>
      </c>
      <c r="W20" s="169">
        <f>IF(ABS(W12+W14-W16)&lt;Parameters!$D$33, 0, 1)</f>
        <v>0</v>
      </c>
      <c r="X20" s="169">
        <f>IF(ABS(X12+X14-X16)&lt;Parameters!$D$33, 0, 1)</f>
        <v>0</v>
      </c>
      <c r="Y20" s="169">
        <f>IF(ABS(Y12+Y14-Y16)&lt;Parameters!$D$33, 0, 1)</f>
        <v>0</v>
      </c>
      <c r="Z20" s="67"/>
      <c r="AA20" s="169">
        <f>IF(ABS(AA12+AA14-AA16)&lt;Parameters!$D$33, 0, 1)</f>
        <v>0</v>
      </c>
      <c r="AB20" s="169">
        <f>IF(ABS(AB12+AB14-AB16)&lt;Parameters!$D$33, 0, 1)</f>
        <v>0</v>
      </c>
      <c r="AC20" s="169">
        <f>IF(ABS(AC12+AC14-AC16)&lt;Parameters!$D$33, 0, 1)</f>
        <v>0</v>
      </c>
      <c r="AD20" s="169">
        <f>IF(ABS(AD12+AD14-AD16)&lt;Parameters!$D$33, 0, 1)</f>
        <v>0</v>
      </c>
      <c r="AE20" s="169">
        <f>IF(ABS(AE12+AE14-AE16)&lt;Parameters!$D$33, 0, 1)</f>
        <v>0</v>
      </c>
      <c r="AF20" s="169">
        <f>IF(ABS(AF12+AF14-AF16)&lt;Parameters!$D$33, 0, 1)</f>
        <v>0</v>
      </c>
      <c r="AG20" s="169">
        <f>IF(ABS(AG12+AG14-AG16)&lt;Parameters!$D$33, 0, 1)</f>
        <v>0</v>
      </c>
      <c r="AH20" s="169">
        <f>IF(ABS(AH12+AH14-AH16)&lt;Parameters!$D$33, 0, 1)</f>
        <v>0</v>
      </c>
      <c r="AI20" s="169">
        <f>IF(ABS(AI12+AI14-AI16)&lt;Parameters!$D$33, 0, 1)</f>
        <v>0</v>
      </c>
      <c r="AJ20" s="169">
        <f>IF(ABS(AJ12+AJ14-AJ16)&lt;Parameters!$D$33, 0, 1)</f>
        <v>0</v>
      </c>
      <c r="AK20" s="169">
        <f>IF(ABS(AK12+AK14-AK16)&lt;Parameters!$D$33, 0, 1)</f>
        <v>0</v>
      </c>
      <c r="AL20" s="169">
        <f>IF(ABS(AL12+AL14-AL16)&lt;Parameters!$D$33, 0, 1)</f>
        <v>0</v>
      </c>
      <c r="AM20" s="169">
        <f>IF(ABS(AM12+AM14-AM16)&lt;Parameters!$D$33, 0, 1)</f>
        <v>0</v>
      </c>
      <c r="AN20" s="169">
        <f>IF(ABS(AN12+AN14-AN16)&lt;Parameters!$D$33, 0, 1)</f>
        <v>0</v>
      </c>
      <c r="AO20" s="169">
        <f>IF(ABS(AO12+AO14-AO16)&lt;Parameters!$D$33, 0, 1)</f>
        <v>0</v>
      </c>
      <c r="AP20" s="169">
        <f>IF(ABS(AP12+AP14-AP16)&lt;Parameters!$D$33, 0, 1)</f>
        <v>0</v>
      </c>
      <c r="AQ20" s="169">
        <f>IF(ABS(AQ12+AQ14-AQ16)&lt;Parameters!$D$33, 0, 1)</f>
        <v>0</v>
      </c>
      <c r="AR20" s="169">
        <f>IF(ABS(AR12+AR14-AR16)&lt;Parameters!$D$33, 0, 1)</f>
        <v>0</v>
      </c>
      <c r="AS20" s="169">
        <f>IF(ABS(AS12+AS14-AS16)&lt;Parameters!$D$33, 0, 1)</f>
        <v>0</v>
      </c>
      <c r="AT20" s="169">
        <f>IF(ABS(AT12+AT14-AT16)&lt;Parameters!$D$33, 0, 1)</f>
        <v>0</v>
      </c>
      <c r="AU20" s="169">
        <f>IF(ABS(AU12+AU14-AU16)&lt;Parameters!$D$33, 0, 1)</f>
        <v>0</v>
      </c>
      <c r="AV20" s="169">
        <f>IF(ABS(AV12+AV14-AV16)&lt;Parameters!$D$33, 0, 1)</f>
        <v>0</v>
      </c>
      <c r="AW20" s="169">
        <f>IF(ABS(AW12+AW14-AW16)&lt;Parameters!$D$33, 0, 1)</f>
        <v>0</v>
      </c>
      <c r="AX20" s="169">
        <f>IF(ABS(AX12+AX14-AX16)&lt;Parameters!$D$33, 0, 1)</f>
        <v>0</v>
      </c>
      <c r="AY20" s="169">
        <f>IF(ABS(AY12+AY14-AY16)&lt;Parameters!$D$33, 0, 1)</f>
        <v>0</v>
      </c>
      <c r="AZ20" s="169">
        <f>IF(ABS(AZ12+AZ14-AZ16)&lt;Parameters!$D$33, 0, 1)</f>
        <v>0</v>
      </c>
      <c r="BA20" s="169">
        <f>IF(ABS(BA12+BA14-BA16)&lt;Parameters!$D$33, 0, 1)</f>
        <v>0</v>
      </c>
      <c r="BB20" s="169">
        <f>IF(ABS(BB12+BB14-BB16)&lt;Parameters!$D$33, 0, 1)</f>
        <v>0</v>
      </c>
      <c r="BC20" s="169">
        <f>IF(ABS(BC12+BC14-BC16)&lt;Parameters!$D$33, 0, 1)</f>
        <v>0</v>
      </c>
      <c r="BD20" s="169">
        <f>IF(ABS(BD12+BD14-BD16)&lt;Parameters!$D$33, 0, 1)</f>
        <v>0</v>
      </c>
      <c r="BE20" s="169">
        <f>IF(ABS(BE12+BE14-BE16)&lt;Parameters!$D$33, 0, 1)</f>
        <v>0</v>
      </c>
      <c r="BF20" s="169">
        <f>IF(ABS(BF12+BF14-BF16)&lt;Parameters!$D$33, 0, 1)</f>
        <v>0</v>
      </c>
      <c r="BG20" s="169">
        <f>IF(ABS(BG12+BG14-BG16)&lt;Parameters!$D$33, 0, 1)</f>
        <v>0</v>
      </c>
      <c r="BH20" s="169">
        <f>IF(ABS(BH12+BH14-BH16)&lt;Parameters!$D$33, 0, 1)</f>
        <v>0</v>
      </c>
      <c r="BI20" s="169">
        <f>IF(ABS(BI12+BI14-BI16)&lt;Parameters!$D$33, 0, 1)</f>
        <v>0</v>
      </c>
      <c r="BJ20" s="169">
        <f>IF(ABS(BJ12+BJ14-BJ16)&lt;Parameters!$D$33, 0, 1)</f>
        <v>0</v>
      </c>
      <c r="BK20" s="67"/>
      <c r="BL20" s="169">
        <f>IF(ABS(BL12+BL14-BL16)&lt;Parameters!$D$33, 0, 1)</f>
        <v>0</v>
      </c>
      <c r="BM20" s="169">
        <f>IF(ABS(BM12+BM14-BM16)&lt;Parameters!$D$33, 0, 1)</f>
        <v>0</v>
      </c>
      <c r="BN20" s="169">
        <f>IF(ABS(BN12+BN14-BN16)&lt;Parameters!$D$33, 0, 1)</f>
        <v>0</v>
      </c>
      <c r="BO20" s="169">
        <f>IF(ABS(BO12+BO14-BO16)&lt;Parameters!$D$33, 0, 1)</f>
        <v>0</v>
      </c>
      <c r="BP20" s="169">
        <f>IF(ABS(BP12+BP14-BP16)&lt;Parameters!$D$33, 0, 1)</f>
        <v>0</v>
      </c>
      <c r="BQ20" s="169">
        <f>IF(ABS(BQ12+BQ14-BQ16)&lt;Parameters!$D$33, 0, 1)</f>
        <v>0</v>
      </c>
      <c r="BR20" s="169">
        <f>IF(ABS(BR12+BR14-BR16)&lt;Parameters!$D$33, 0, 1)</f>
        <v>0</v>
      </c>
      <c r="BS20" s="169">
        <f>IF(ABS(BS12+BS14-BS16)&lt;Parameters!$D$33, 0, 1)</f>
        <v>0</v>
      </c>
      <c r="BT20" s="169">
        <f>IF(ABS(BT12+BT14-BT16)&lt;Parameters!$D$33, 0, 1)</f>
        <v>0</v>
      </c>
      <c r="BU20" s="169">
        <f>IF(ABS(BU12+BU14-BU16)&lt;Parameters!$D$33, 0, 1)</f>
        <v>0</v>
      </c>
      <c r="BV20" s="169">
        <f>IF(ABS(BV12+BV14-BV16)&lt;Parameters!$D$33, 0, 1)</f>
        <v>0</v>
      </c>
      <c r="BW20" s="169">
        <f>IF(ABS(BW12+BW14-BW16)&lt;Parameters!$D$33, 0, 1)</f>
        <v>0</v>
      </c>
      <c r="BY20" s="12"/>
      <c r="CA20" s="12"/>
      <c r="CD20" s="7">
        <f>IF(SUM($V20:$BW20)&gt;0,1,0)</f>
        <v>0</v>
      </c>
      <c r="CG20" s="12"/>
      <c r="EX20" s="10" t="str">
        <f>IF($C20="","",$D20)</f>
        <v/>
      </c>
    </row>
    <row r="21" spans="1:154" ht="8.1" customHeight="1" x14ac:dyDescent="0.25">
      <c r="C21" s="385"/>
      <c r="S21" s="335"/>
      <c r="X21" s="11"/>
      <c r="Y21" s="11"/>
      <c r="BY21" s="12"/>
      <c r="CA21" s="12"/>
      <c r="CG21" s="12"/>
      <c r="EX21" s="10" t="str">
        <f>IF($C21="","",$D21)</f>
        <v/>
      </c>
    </row>
    <row r="22" spans="1:154" s="67" customFormat="1" x14ac:dyDescent="0.25">
      <c r="A22" s="40"/>
      <c r="B22" s="40"/>
      <c r="C22" s="381"/>
      <c r="D22" s="40" t="s">
        <v>87</v>
      </c>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12"/>
      <c r="BZ22" s="335"/>
      <c r="CA22" s="12"/>
      <c r="CE22" s="335"/>
      <c r="CF22" s="321"/>
      <c r="CG22" s="12"/>
      <c r="EU22" s="335"/>
      <c r="EX22" s="10" t="str">
        <f>IF($C22="","",$D22)</f>
        <v/>
      </c>
    </row>
    <row r="23" spans="1:154" s="67" customFormat="1" ht="8.1" customHeight="1" x14ac:dyDescent="0.25">
      <c r="C23" s="385"/>
      <c r="S23" s="335"/>
      <c r="BY23" s="12"/>
      <c r="BZ23" s="335"/>
      <c r="CA23" s="12"/>
      <c r="CE23" s="335"/>
      <c r="CF23" s="321"/>
      <c r="CG23" s="12"/>
      <c r="EU23" s="335"/>
      <c r="EX23" s="10" t="str">
        <f t="shared" si="0"/>
        <v/>
      </c>
    </row>
    <row r="24" spans="1:154" s="67" customFormat="1" x14ac:dyDescent="0.25">
      <c r="B24" s="5"/>
      <c r="C24" s="406"/>
      <c r="D24" s="5" t="s">
        <v>122</v>
      </c>
      <c r="P24" s="335"/>
      <c r="Q24" s="335"/>
      <c r="R24" s="335"/>
      <c r="S24" s="335"/>
      <c r="AM24" s="335"/>
      <c r="AO24" s="335"/>
      <c r="AP24" s="335"/>
      <c r="AQ24" s="335"/>
      <c r="AR24" s="335"/>
      <c r="AS24" s="335"/>
      <c r="AT24" s="335"/>
      <c r="AU24" s="335"/>
      <c r="AV24" s="335"/>
      <c r="AW24" s="335"/>
      <c r="AX24" s="335"/>
      <c r="AY24" s="335"/>
      <c r="AZ24" s="335"/>
      <c r="BA24" s="335"/>
      <c r="BB24" s="335"/>
      <c r="BC24" s="335"/>
      <c r="BD24" s="335"/>
      <c r="BE24" s="335"/>
      <c r="BF24" s="335"/>
      <c r="BG24" s="335"/>
      <c r="BH24" s="335"/>
      <c r="BI24" s="335"/>
      <c r="BJ24" s="335"/>
      <c r="BL24" s="321"/>
      <c r="BM24" s="321"/>
      <c r="BN24" s="321"/>
      <c r="BO24" s="321"/>
      <c r="BY24" s="12"/>
      <c r="BZ24" s="335"/>
      <c r="CA24" s="12"/>
      <c r="CE24" s="335"/>
      <c r="CF24" s="321"/>
      <c r="CG24" s="12"/>
      <c r="CH24" s="335"/>
      <c r="CI24" s="335"/>
      <c r="EU24" s="335"/>
      <c r="EX24" s="10" t="str">
        <f>IF($C24="","",$D24)</f>
        <v/>
      </c>
    </row>
    <row r="25" spans="1:154" s="67" customFormat="1" x14ac:dyDescent="0.25">
      <c r="A25" s="362" cm="1">
        <f t="array" aca="1" ref="A25" ca="1">HYPERLINK(CONCATENATE("#",CELL("address",IF(SUM($CA25:$CG25)=0,A25,INDEX($CA25:$CG25,MATCH(1,$CA25:$CG25,0))))),SUM($CA25:$CG25))</f>
        <v>0</v>
      </c>
      <c r="C25" s="340" t="str">
        <f>'Investing Inputs'!C212</f>
        <v>B-1a-CB</v>
      </c>
      <c r="D25" s="67" t="s">
        <v>97</v>
      </c>
      <c r="G25" s="335"/>
      <c r="H25" s="67" t="s">
        <v>92</v>
      </c>
      <c r="O25" s="335"/>
      <c r="P25" s="335"/>
      <c r="Q25" s="335"/>
      <c r="R25" s="335"/>
      <c r="S25" s="335"/>
      <c r="T25" s="335"/>
      <c r="U25" s="335"/>
      <c r="V25" s="201">
        <f>'Investing Inputs'!V$212</f>
        <v>31898</v>
      </c>
      <c r="W25" s="10">
        <f>'Investing Inputs'!W$212</f>
        <v>34953</v>
      </c>
      <c r="X25" s="10">
        <f>'Investing Inputs'!X$212</f>
        <v>38593</v>
      </c>
      <c r="Y25" s="10">
        <f>'Investing Inputs'!Y$212</f>
        <v>39602</v>
      </c>
      <c r="AA25" s="10">
        <f>'Investing Inputs'!AA$212</f>
        <v>31814</v>
      </c>
      <c r="AB25" s="10">
        <f>'Investing Inputs'!AB$212</f>
        <v>31720</v>
      </c>
      <c r="AC25" s="10">
        <f>'Investing Inputs'!AC$212</f>
        <v>34435</v>
      </c>
      <c r="AD25" s="10">
        <f>'Investing Inputs'!AD$212</f>
        <v>34336</v>
      </c>
      <c r="AE25" s="10">
        <f>'Investing Inputs'!AE$212</f>
        <v>34237</v>
      </c>
      <c r="AF25" s="10">
        <f>'Investing Inputs'!AF$212</f>
        <v>34137</v>
      </c>
      <c r="AG25" s="10">
        <f>'Investing Inputs'!AG$212</f>
        <v>34037</v>
      </c>
      <c r="AH25" s="10">
        <f>'Investing Inputs'!AH$212</f>
        <v>35363</v>
      </c>
      <c r="AI25" s="10">
        <f>'Investing Inputs'!AI$212</f>
        <v>35262</v>
      </c>
      <c r="AJ25" s="10">
        <f>'Investing Inputs'!AJ$212</f>
        <v>35160</v>
      </c>
      <c r="AK25" s="10">
        <f>'Investing Inputs'!AK$212</f>
        <v>35020</v>
      </c>
      <c r="AL25" s="10">
        <f>'Investing Inputs'!AL$212</f>
        <v>34953</v>
      </c>
      <c r="AM25" s="10">
        <f>'Investing Inputs'!AM$212</f>
        <v>35142</v>
      </c>
      <c r="AN25" s="10">
        <f>'Investing Inputs'!AN$212</f>
        <v>35838</v>
      </c>
      <c r="AO25" s="10">
        <f>'Investing Inputs'!AO$212</f>
        <v>36107</v>
      </c>
      <c r="AP25" s="10">
        <f>'Investing Inputs'!AP$212</f>
        <v>36201</v>
      </c>
      <c r="AQ25" s="10">
        <f>'Investing Inputs'!AQ$212</f>
        <v>36539</v>
      </c>
      <c r="AR25" s="10">
        <f>'Investing Inputs'!AR$212</f>
        <v>36882</v>
      </c>
      <c r="AS25" s="10">
        <f>'Investing Inputs'!AS$212</f>
        <v>37225</v>
      </c>
      <c r="AT25" s="10">
        <f>'Investing Inputs'!AT$212</f>
        <v>37662</v>
      </c>
      <c r="AU25" s="10">
        <f>'Investing Inputs'!AU$212</f>
        <v>38056</v>
      </c>
      <c r="AV25" s="10">
        <f>'Investing Inputs'!AV$212</f>
        <v>38271</v>
      </c>
      <c r="AW25" s="10">
        <f>'Investing Inputs'!AW$212</f>
        <v>38443</v>
      </c>
      <c r="AX25" s="10">
        <f>'Investing Inputs'!AX$212</f>
        <v>38593</v>
      </c>
      <c r="AY25" s="10">
        <f>'Investing Inputs'!AY$212</f>
        <v>38734</v>
      </c>
      <c r="AZ25" s="10">
        <f>'Investing Inputs'!AZ$212</f>
        <v>38828</v>
      </c>
      <c r="BA25" s="10">
        <f>'Investing Inputs'!BA$212</f>
        <v>38930</v>
      </c>
      <c r="BB25" s="10">
        <f>'Investing Inputs'!BB$212</f>
        <v>39033</v>
      </c>
      <c r="BC25" s="10">
        <f>'Investing Inputs'!BC$212</f>
        <v>39136</v>
      </c>
      <c r="BD25" s="10">
        <f>'Investing Inputs'!BD$212</f>
        <v>39232</v>
      </c>
      <c r="BE25" s="10">
        <f>'Investing Inputs'!BE$212</f>
        <v>39388</v>
      </c>
      <c r="BF25" s="10">
        <f>'Investing Inputs'!BF$212</f>
        <v>39434</v>
      </c>
      <c r="BG25" s="10">
        <f>'Investing Inputs'!BG$212</f>
        <v>39479</v>
      </c>
      <c r="BH25" s="10">
        <f>'Investing Inputs'!BH$212</f>
        <v>39542</v>
      </c>
      <c r="BI25" s="10">
        <f>'Investing Inputs'!BI$212</f>
        <v>39572</v>
      </c>
      <c r="BJ25" s="10">
        <f>'Investing Inputs'!BJ$212</f>
        <v>39602</v>
      </c>
      <c r="BL25" s="10">
        <f>'Investing Inputs'!BL$212</f>
        <v>31898</v>
      </c>
      <c r="BM25" s="10">
        <f>'Investing Inputs'!BM$212</f>
        <v>34953</v>
      </c>
      <c r="BN25" s="10">
        <f>'Investing Inputs'!BN$212</f>
        <v>38593</v>
      </c>
      <c r="BO25" s="10">
        <f>'Investing Inputs'!BO$212</f>
        <v>39602</v>
      </c>
      <c r="BP25" s="10">
        <f>'Investing Inputs'!BP$212</f>
        <v>39602</v>
      </c>
      <c r="BQ25" s="10">
        <f>'Investing Inputs'!BQ$212</f>
        <v>39602</v>
      </c>
      <c r="BR25" s="10">
        <f>'Investing Inputs'!BR$212</f>
        <v>39602</v>
      </c>
      <c r="BS25" s="10">
        <f>'Investing Inputs'!BS$212</f>
        <v>39602</v>
      </c>
      <c r="BT25" s="10">
        <f>'Investing Inputs'!BT$212</f>
        <v>39602</v>
      </c>
      <c r="BU25" s="10">
        <f>'Investing Inputs'!BU$212</f>
        <v>39602</v>
      </c>
      <c r="BV25" s="10">
        <f>'Investing Inputs'!BV$212</f>
        <v>39602</v>
      </c>
      <c r="BW25" s="10">
        <f>'Investing Inputs'!BW$212</f>
        <v>39602</v>
      </c>
      <c r="BY25" s="12"/>
      <c r="BZ25" s="335"/>
      <c r="CA25" s="12"/>
      <c r="CE25" s="335"/>
      <c r="CF25" s="7">
        <f>IF(SUM(V25:Y25)=SUM(BL25:BO25), 0, 1)</f>
        <v>0</v>
      </c>
      <c r="CG25" s="12"/>
      <c r="CH25" s="67">
        <v>0</v>
      </c>
      <c r="CI25" s="67">
        <v>0</v>
      </c>
      <c r="EU25" s="335"/>
      <c r="EX25" s="13" t="str">
        <f>IF($C25="","",CONCATENATE(D24," ",D25))</f>
        <v>Land &amp; Buildings Closing Balance</v>
      </c>
    </row>
    <row r="26" spans="1:154" s="67" customFormat="1" ht="8.1" customHeight="1" x14ac:dyDescent="0.25">
      <c r="C26" s="385"/>
      <c r="O26" s="335"/>
      <c r="P26" s="335"/>
      <c r="Q26" s="335"/>
      <c r="R26" s="335"/>
      <c r="S26" s="335"/>
      <c r="T26" s="335"/>
      <c r="U26" s="335"/>
      <c r="BY26" s="12"/>
      <c r="BZ26" s="335"/>
      <c r="CA26" s="12"/>
      <c r="CE26" s="335"/>
      <c r="CF26" s="321"/>
      <c r="CG26" s="12"/>
      <c r="CH26" s="67">
        <v>0</v>
      </c>
      <c r="CI26" s="67">
        <v>0</v>
      </c>
      <c r="EU26" s="335"/>
      <c r="EX26" s="10" t="str">
        <f t="shared" si="0"/>
        <v/>
      </c>
    </row>
    <row r="27" spans="1:154" s="67" customFormat="1" x14ac:dyDescent="0.25">
      <c r="B27" s="5"/>
      <c r="C27" s="406"/>
      <c r="D27" s="5" t="s">
        <v>100</v>
      </c>
      <c r="O27" s="335"/>
      <c r="P27" s="335"/>
      <c r="Q27" s="335"/>
      <c r="R27" s="335"/>
      <c r="S27" s="335"/>
      <c r="T27" s="335"/>
      <c r="U27" s="335"/>
      <c r="AM27" s="335"/>
      <c r="BY27" s="12"/>
      <c r="BZ27" s="335"/>
      <c r="CA27" s="12"/>
      <c r="CE27" s="335"/>
      <c r="CF27" s="321"/>
      <c r="CG27" s="12"/>
      <c r="CH27" s="67">
        <v>0</v>
      </c>
      <c r="CI27" s="67">
        <v>0</v>
      </c>
      <c r="EU27" s="335"/>
      <c r="EX27" s="10" t="str">
        <f t="shared" si="0"/>
        <v/>
      </c>
    </row>
    <row r="28" spans="1:154" s="67" customFormat="1" x14ac:dyDescent="0.25">
      <c r="A28" s="362" cm="1">
        <f t="array" aca="1" ref="A28" ca="1">HYPERLINK(CONCATENATE("#",CELL("address",IF(SUM($CA28:$CG28)=0,A28,INDEX($CA28:$CG28,MATCH(1,$CA28:$CG28,0))))),SUM($CA28:$CG28))</f>
        <v>0</v>
      </c>
      <c r="C28" s="340" t="str">
        <f>'Investing Inputs'!C226</f>
        <v>B-1b-CB</v>
      </c>
      <c r="D28" s="67" t="s">
        <v>97</v>
      </c>
      <c r="H28" s="67" t="s">
        <v>92</v>
      </c>
      <c r="O28" s="335"/>
      <c r="P28" s="335"/>
      <c r="Q28" s="335"/>
      <c r="R28" s="335"/>
      <c r="S28" s="335"/>
      <c r="T28" s="335"/>
      <c r="U28" s="335"/>
      <c r="V28" s="201">
        <f>'Investing Inputs'!V$226</f>
        <v>1667</v>
      </c>
      <c r="W28" s="10">
        <f>'Investing Inputs'!W$226</f>
        <v>1326</v>
      </c>
      <c r="X28" s="10">
        <f>'Investing Inputs'!X$226</f>
        <v>1627</v>
      </c>
      <c r="Y28" s="10">
        <f>'Investing Inputs'!Y$226</f>
        <v>1126</v>
      </c>
      <c r="AA28" s="10">
        <f>'Investing Inputs'!AA$226</f>
        <v>1722</v>
      </c>
      <c r="AB28" s="10">
        <f>'Investing Inputs'!AB$226</f>
        <v>1681</v>
      </c>
      <c r="AC28" s="10">
        <f>'Investing Inputs'!AC$226</f>
        <v>1640</v>
      </c>
      <c r="AD28" s="10">
        <f>'Investing Inputs'!AD$226</f>
        <v>1601</v>
      </c>
      <c r="AE28" s="10">
        <f>'Investing Inputs'!AE$226</f>
        <v>1562</v>
      </c>
      <c r="AF28" s="10">
        <f>'Investing Inputs'!AF$226</f>
        <v>1524</v>
      </c>
      <c r="AG28" s="10">
        <f>'Investing Inputs'!AG$226</f>
        <v>1486</v>
      </c>
      <c r="AH28" s="10">
        <f>'Investing Inputs'!AH$226</f>
        <v>1451</v>
      </c>
      <c r="AI28" s="10">
        <f>'Investing Inputs'!AI$226</f>
        <v>1416</v>
      </c>
      <c r="AJ28" s="10">
        <f>'Investing Inputs'!AJ$226</f>
        <v>1384</v>
      </c>
      <c r="AK28" s="10">
        <f>'Investing Inputs'!AK$226</f>
        <v>1361</v>
      </c>
      <c r="AL28" s="10">
        <f>'Investing Inputs'!AL$226</f>
        <v>1326</v>
      </c>
      <c r="AM28" s="10">
        <f>'Investing Inputs'!AM$226</f>
        <v>2079</v>
      </c>
      <c r="AN28" s="10">
        <f>'Investing Inputs'!AN$226</f>
        <v>2034</v>
      </c>
      <c r="AO28" s="10">
        <f>'Investing Inputs'!AO$226</f>
        <v>1989</v>
      </c>
      <c r="AP28" s="10">
        <f>'Investing Inputs'!AP$226</f>
        <v>1946</v>
      </c>
      <c r="AQ28" s="10">
        <f>'Investing Inputs'!AQ$226</f>
        <v>1903</v>
      </c>
      <c r="AR28" s="10">
        <f>'Investing Inputs'!AR$226</f>
        <v>1861</v>
      </c>
      <c r="AS28" s="10">
        <f>'Investing Inputs'!AS$226</f>
        <v>1819</v>
      </c>
      <c r="AT28" s="10">
        <f>'Investing Inputs'!AT$226</f>
        <v>1780</v>
      </c>
      <c r="AU28" s="10">
        <f>'Investing Inputs'!AU$226</f>
        <v>1741</v>
      </c>
      <c r="AV28" s="10">
        <f>'Investing Inputs'!AV$226</f>
        <v>1705</v>
      </c>
      <c r="AW28" s="10">
        <f>'Investing Inputs'!AW$226</f>
        <v>1666</v>
      </c>
      <c r="AX28" s="10">
        <f>'Investing Inputs'!AX$226</f>
        <v>1627</v>
      </c>
      <c r="AY28" s="10">
        <f>'Investing Inputs'!AY$226</f>
        <v>1578</v>
      </c>
      <c r="AZ28" s="10">
        <f>'Investing Inputs'!AZ$226</f>
        <v>1533</v>
      </c>
      <c r="BA28" s="10">
        <f>'Investing Inputs'!BA$226</f>
        <v>1488</v>
      </c>
      <c r="BB28" s="10">
        <f>'Investing Inputs'!BB$226</f>
        <v>1445</v>
      </c>
      <c r="BC28" s="10">
        <f>'Investing Inputs'!BC$226</f>
        <v>1402</v>
      </c>
      <c r="BD28" s="10">
        <f>'Investing Inputs'!BD$226</f>
        <v>1360</v>
      </c>
      <c r="BE28" s="10">
        <f>'Investing Inputs'!BE$226</f>
        <v>1318</v>
      </c>
      <c r="BF28" s="10">
        <f>'Investing Inputs'!BF$226</f>
        <v>1279</v>
      </c>
      <c r="BG28" s="10">
        <f>'Investing Inputs'!BG$226</f>
        <v>1240</v>
      </c>
      <c r="BH28" s="10">
        <f>'Investing Inputs'!BH$226</f>
        <v>1204</v>
      </c>
      <c r="BI28" s="10">
        <f>'Investing Inputs'!BI$226</f>
        <v>1165</v>
      </c>
      <c r="BJ28" s="10">
        <f>'Investing Inputs'!BJ$226</f>
        <v>1126</v>
      </c>
      <c r="BL28" s="10">
        <f>'Investing Inputs'!BL$226</f>
        <v>1667</v>
      </c>
      <c r="BM28" s="10">
        <f>'Investing Inputs'!BM$226</f>
        <v>1326</v>
      </c>
      <c r="BN28" s="10">
        <f>'Investing Inputs'!BN$226</f>
        <v>1627</v>
      </c>
      <c r="BO28" s="10">
        <f>'Investing Inputs'!BO$226</f>
        <v>1126</v>
      </c>
      <c r="BP28" s="10">
        <f>'Investing Inputs'!BP$226</f>
        <v>1126</v>
      </c>
      <c r="BQ28" s="10">
        <f>'Investing Inputs'!BQ$226</f>
        <v>1126</v>
      </c>
      <c r="BR28" s="10">
        <f>'Investing Inputs'!BR$226</f>
        <v>1126</v>
      </c>
      <c r="BS28" s="10">
        <f>'Investing Inputs'!BS$226</f>
        <v>1126</v>
      </c>
      <c r="BT28" s="10">
        <f>'Investing Inputs'!BT$226</f>
        <v>1126</v>
      </c>
      <c r="BU28" s="10">
        <f>'Investing Inputs'!BU$226</f>
        <v>1126</v>
      </c>
      <c r="BV28" s="10">
        <f>'Investing Inputs'!BV$226</f>
        <v>1126</v>
      </c>
      <c r="BW28" s="10">
        <f>'Investing Inputs'!BW$226</f>
        <v>1126</v>
      </c>
      <c r="BY28" s="12"/>
      <c r="BZ28" s="335"/>
      <c r="CA28" s="12"/>
      <c r="CE28" s="335"/>
      <c r="CF28" s="7">
        <f>IF(SUM(V28:Y28)=SUM(BL28:BO28), 0, 1)</f>
        <v>0</v>
      </c>
      <c r="CG28" s="12"/>
      <c r="CH28" s="67">
        <v>0</v>
      </c>
      <c r="CI28" s="67">
        <v>0</v>
      </c>
      <c r="EU28" s="335"/>
      <c r="EX28" s="13" t="str">
        <f>IF($C28="","",CONCATENATE(D27," ",D28))</f>
        <v>Equipment Closing Balance</v>
      </c>
    </row>
    <row r="29" spans="1:154" s="67" customFormat="1" ht="8.1" customHeight="1" x14ac:dyDescent="0.25">
      <c r="C29" s="385"/>
      <c r="O29" s="335"/>
      <c r="P29" s="335"/>
      <c r="Q29" s="335"/>
      <c r="R29" s="335"/>
      <c r="S29" s="335"/>
      <c r="T29" s="335"/>
      <c r="U29" s="335"/>
      <c r="BY29" s="12"/>
      <c r="BZ29" s="335"/>
      <c r="CA29" s="12"/>
      <c r="CE29" s="335"/>
      <c r="CF29" s="321"/>
      <c r="CG29" s="12"/>
      <c r="CH29" s="67">
        <v>0</v>
      </c>
      <c r="CI29" s="67">
        <v>0</v>
      </c>
      <c r="EU29" s="335"/>
      <c r="EX29" s="10" t="str">
        <f t="shared" si="0"/>
        <v/>
      </c>
    </row>
    <row r="30" spans="1:154" s="67" customFormat="1" x14ac:dyDescent="0.25">
      <c r="B30" s="5"/>
      <c r="C30" s="406"/>
      <c r="D30" s="5" t="str">
        <f>'Investing Inputs'!D230</f>
        <v>Other NCA</v>
      </c>
      <c r="O30" s="335"/>
      <c r="P30" s="335"/>
      <c r="Q30" s="335"/>
      <c r="R30" s="335"/>
      <c r="S30" s="335"/>
      <c r="T30" s="335"/>
      <c r="U30" s="335"/>
      <c r="AM30" s="335"/>
      <c r="BY30" s="12"/>
      <c r="BZ30" s="335"/>
      <c r="CA30" s="12"/>
      <c r="CE30" s="335"/>
      <c r="CF30" s="321"/>
      <c r="CG30" s="12"/>
      <c r="CH30" s="67">
        <v>0</v>
      </c>
      <c r="CI30" s="67">
        <v>0</v>
      </c>
      <c r="EU30" s="335"/>
      <c r="EX30" s="10" t="str">
        <f t="shared" si="0"/>
        <v/>
      </c>
    </row>
    <row r="31" spans="1:154" s="67" customFormat="1" x14ac:dyDescent="0.25">
      <c r="A31" s="362" cm="1">
        <f t="array" aca="1" ref="A31" ca="1">HYPERLINK(CONCATENATE("#",CELL("address",IF(SUM($CA31:$CG31)=0,A31,INDEX($CA31:$CG31,MATCH(1,$CA31:$CG31,0))))),SUM($CA31:$CG31))</f>
        <v>0</v>
      </c>
      <c r="C31" s="340" t="str">
        <f>'Investing Inputs'!C240</f>
        <v>B-1c-CB</v>
      </c>
      <c r="D31" s="67" t="s">
        <v>97</v>
      </c>
      <c r="H31" s="67" t="s">
        <v>92</v>
      </c>
      <c r="O31" s="335"/>
      <c r="P31" s="335"/>
      <c r="Q31" s="335"/>
      <c r="R31" s="335"/>
      <c r="S31" s="335"/>
      <c r="T31" s="335"/>
      <c r="U31" s="335"/>
      <c r="V31" s="201">
        <f>'Investing Inputs'!V240</f>
        <v>600</v>
      </c>
      <c r="W31" s="10">
        <f>'Investing Inputs'!W240</f>
        <v>400</v>
      </c>
      <c r="X31" s="10">
        <f>'Investing Inputs'!X240</f>
        <v>200</v>
      </c>
      <c r="Y31" s="10">
        <f>'Investing Inputs'!Y240</f>
        <v>0</v>
      </c>
      <c r="AA31" s="10">
        <f>'Investing Inputs'!AA240</f>
        <v>583</v>
      </c>
      <c r="AB31" s="10">
        <f>'Investing Inputs'!AB240</f>
        <v>567</v>
      </c>
      <c r="AC31" s="10">
        <f>'Investing Inputs'!AC240</f>
        <v>550</v>
      </c>
      <c r="AD31" s="10">
        <f>'Investing Inputs'!AD240</f>
        <v>534</v>
      </c>
      <c r="AE31" s="10">
        <f>'Investing Inputs'!AE240</f>
        <v>517</v>
      </c>
      <c r="AF31" s="10">
        <f>'Investing Inputs'!AF240</f>
        <v>501</v>
      </c>
      <c r="AG31" s="10">
        <f>'Investing Inputs'!AG240</f>
        <v>484</v>
      </c>
      <c r="AH31" s="10">
        <f>'Investing Inputs'!AH240</f>
        <v>468</v>
      </c>
      <c r="AI31" s="10">
        <f>'Investing Inputs'!AI240</f>
        <v>451</v>
      </c>
      <c r="AJ31" s="10">
        <f>'Investing Inputs'!AJ240</f>
        <v>434</v>
      </c>
      <c r="AK31" s="10">
        <f>'Investing Inputs'!AK240</f>
        <v>417</v>
      </c>
      <c r="AL31" s="10">
        <f>'Investing Inputs'!AL240</f>
        <v>400</v>
      </c>
      <c r="AM31" s="10">
        <f>'Investing Inputs'!AM240</f>
        <v>383</v>
      </c>
      <c r="AN31" s="10">
        <f>'Investing Inputs'!AN240</f>
        <v>367</v>
      </c>
      <c r="AO31" s="10">
        <f>'Investing Inputs'!AO240</f>
        <v>350</v>
      </c>
      <c r="AP31" s="10">
        <f>'Investing Inputs'!AP240</f>
        <v>334</v>
      </c>
      <c r="AQ31" s="10">
        <f>'Investing Inputs'!AQ240</f>
        <v>317</v>
      </c>
      <c r="AR31" s="10">
        <f>'Investing Inputs'!AR240</f>
        <v>301</v>
      </c>
      <c r="AS31" s="10">
        <f>'Investing Inputs'!AS240</f>
        <v>284</v>
      </c>
      <c r="AT31" s="10">
        <f>'Investing Inputs'!AT240</f>
        <v>268</v>
      </c>
      <c r="AU31" s="10">
        <f>'Investing Inputs'!AU240</f>
        <v>251</v>
      </c>
      <c r="AV31" s="10">
        <f>'Investing Inputs'!AV240</f>
        <v>234</v>
      </c>
      <c r="AW31" s="10">
        <f>'Investing Inputs'!AW240</f>
        <v>217</v>
      </c>
      <c r="AX31" s="10">
        <f>'Investing Inputs'!AX240</f>
        <v>200</v>
      </c>
      <c r="AY31" s="10">
        <f>'Investing Inputs'!AY240</f>
        <v>183</v>
      </c>
      <c r="AZ31" s="10">
        <f>'Investing Inputs'!AZ240</f>
        <v>167</v>
      </c>
      <c r="BA31" s="10">
        <f>'Investing Inputs'!BA240</f>
        <v>150</v>
      </c>
      <c r="BB31" s="10">
        <f>'Investing Inputs'!BB240</f>
        <v>134</v>
      </c>
      <c r="BC31" s="10">
        <f>'Investing Inputs'!BC240</f>
        <v>117</v>
      </c>
      <c r="BD31" s="10">
        <f>'Investing Inputs'!BD240</f>
        <v>101</v>
      </c>
      <c r="BE31" s="10">
        <f>'Investing Inputs'!BE240</f>
        <v>84</v>
      </c>
      <c r="BF31" s="10">
        <f>'Investing Inputs'!BF240</f>
        <v>68</v>
      </c>
      <c r="BG31" s="10">
        <f>'Investing Inputs'!BG240</f>
        <v>51</v>
      </c>
      <c r="BH31" s="10">
        <f>'Investing Inputs'!BH240</f>
        <v>34</v>
      </c>
      <c r="BI31" s="10">
        <f>'Investing Inputs'!BI240</f>
        <v>17</v>
      </c>
      <c r="BJ31" s="10">
        <f>'Investing Inputs'!BJ240</f>
        <v>0</v>
      </c>
      <c r="BL31" s="10">
        <f>'Investing Inputs'!BL240</f>
        <v>600</v>
      </c>
      <c r="BM31" s="10">
        <f>'Investing Inputs'!BM240</f>
        <v>400</v>
      </c>
      <c r="BN31" s="10">
        <f>'Investing Inputs'!BN240</f>
        <v>200</v>
      </c>
      <c r="BO31" s="10">
        <f>'Investing Inputs'!BO240</f>
        <v>0</v>
      </c>
      <c r="BP31" s="10">
        <f>'Investing Inputs'!BP240</f>
        <v>0</v>
      </c>
      <c r="BQ31" s="10">
        <f>'Investing Inputs'!BQ240</f>
        <v>0</v>
      </c>
      <c r="BR31" s="10">
        <f>'Investing Inputs'!BR240</f>
        <v>0</v>
      </c>
      <c r="BS31" s="10">
        <f>'Investing Inputs'!BS240</f>
        <v>0</v>
      </c>
      <c r="BT31" s="10">
        <f>'Investing Inputs'!BT240</f>
        <v>0</v>
      </c>
      <c r="BU31" s="10">
        <f>'Investing Inputs'!BU240</f>
        <v>0</v>
      </c>
      <c r="BV31" s="10">
        <f>'Investing Inputs'!BV240</f>
        <v>0</v>
      </c>
      <c r="BW31" s="10">
        <f>'Investing Inputs'!BW240</f>
        <v>0</v>
      </c>
      <c r="BY31" s="12"/>
      <c r="BZ31" s="335"/>
      <c r="CA31" s="12"/>
      <c r="CE31" s="335"/>
      <c r="CF31" s="7">
        <f>IF(SUM(V31:Y31)=SUM(BL31:BO31), 0, 1)</f>
        <v>0</v>
      </c>
      <c r="CG31" s="12"/>
      <c r="CH31" s="67">
        <v>0</v>
      </c>
      <c r="CI31" s="67">
        <v>0</v>
      </c>
      <c r="EU31" s="335"/>
      <c r="EX31" s="13" t="str">
        <f>IF($C31="","",CONCATENATE(D30," ",D31))</f>
        <v>Other NCA Closing Balance</v>
      </c>
    </row>
    <row r="32" spans="1:154" s="67" customFormat="1" ht="8.1" customHeight="1" x14ac:dyDescent="0.25">
      <c r="C32" s="385"/>
      <c r="O32" s="335"/>
      <c r="P32" s="335"/>
      <c r="Q32" s="335"/>
      <c r="R32" s="335"/>
      <c r="S32" s="335"/>
      <c r="T32" s="335"/>
      <c r="U32" s="335"/>
      <c r="BY32" s="12"/>
      <c r="BZ32" s="335"/>
      <c r="CA32" s="12"/>
      <c r="CE32" s="335"/>
      <c r="CF32" s="321"/>
      <c r="CG32" s="12"/>
      <c r="CH32" s="67">
        <v>0</v>
      </c>
      <c r="CI32" s="67">
        <v>0</v>
      </c>
      <c r="EU32" s="335"/>
      <c r="EX32" s="10" t="str">
        <f t="shared" si="0"/>
        <v/>
      </c>
    </row>
    <row r="33" spans="1:154" s="67" customFormat="1" x14ac:dyDescent="0.25">
      <c r="B33" s="5"/>
      <c r="C33" s="406"/>
      <c r="D33" s="5" t="str">
        <f>'Investing Inputs'!D256</f>
        <v>Assets under Construction</v>
      </c>
      <c r="O33" s="335"/>
      <c r="P33" s="335"/>
      <c r="Q33" s="335"/>
      <c r="R33" s="335"/>
      <c r="S33" s="335"/>
      <c r="T33" s="335"/>
      <c r="U33" s="335"/>
      <c r="AM33" s="335"/>
      <c r="BY33" s="12"/>
      <c r="BZ33" s="335"/>
      <c r="CA33" s="12"/>
      <c r="CE33" s="335"/>
      <c r="CF33" s="321"/>
      <c r="CG33" s="12"/>
      <c r="CH33" s="67">
        <v>0</v>
      </c>
      <c r="CI33" s="67">
        <v>0</v>
      </c>
      <c r="EU33" s="335"/>
      <c r="EX33" s="10" t="str">
        <f t="shared" si="0"/>
        <v/>
      </c>
    </row>
    <row r="34" spans="1:154" s="67" customFormat="1" x14ac:dyDescent="0.25">
      <c r="A34" s="362" cm="1">
        <f t="array" aca="1" ref="A34" ca="1">HYPERLINK(CONCATENATE("#",CELL("address",IF(SUM($CA34:$CG34)=0,A34,INDEX($CA34:$CG34,MATCH(1,$CA34:$CG34,0))))),SUM($CA34:$CG34))</f>
        <v>0</v>
      </c>
      <c r="C34" s="340" t="str">
        <f>'Investing Inputs'!C261</f>
        <v>B-1d-CB</v>
      </c>
      <c r="D34" s="67" t="s">
        <v>97</v>
      </c>
      <c r="H34" s="67" t="s">
        <v>92</v>
      </c>
      <c r="O34" s="335"/>
      <c r="P34" s="335"/>
      <c r="Q34" s="335"/>
      <c r="R34" s="335"/>
      <c r="S34" s="335"/>
      <c r="T34" s="335"/>
      <c r="U34" s="335"/>
      <c r="V34" s="201">
        <f>'Investing Inputs'!V261</f>
        <v>0</v>
      </c>
      <c r="W34" s="10">
        <f>'Investing Inputs'!W261</f>
        <v>0</v>
      </c>
      <c r="X34" s="10">
        <f>'Investing Inputs'!X261</f>
        <v>0</v>
      </c>
      <c r="Y34" s="10">
        <f>'Investing Inputs'!Y261</f>
        <v>0</v>
      </c>
      <c r="AA34" s="10">
        <f>'Investing Inputs'!AA261</f>
        <v>0</v>
      </c>
      <c r="AB34" s="10">
        <f>'Investing Inputs'!AB261</f>
        <v>0</v>
      </c>
      <c r="AC34" s="10">
        <f>'Investing Inputs'!AC261</f>
        <v>0</v>
      </c>
      <c r="AD34" s="10">
        <f>'Investing Inputs'!AD261</f>
        <v>0</v>
      </c>
      <c r="AE34" s="10">
        <f>'Investing Inputs'!AE261</f>
        <v>0</v>
      </c>
      <c r="AF34" s="10">
        <f>'Investing Inputs'!AF261</f>
        <v>0</v>
      </c>
      <c r="AG34" s="10">
        <f>'Investing Inputs'!AG261</f>
        <v>0</v>
      </c>
      <c r="AH34" s="10">
        <f>'Investing Inputs'!AH261</f>
        <v>0</v>
      </c>
      <c r="AI34" s="10">
        <f>'Investing Inputs'!AI261</f>
        <v>0</v>
      </c>
      <c r="AJ34" s="10">
        <f>'Investing Inputs'!AJ261</f>
        <v>0</v>
      </c>
      <c r="AK34" s="10">
        <f>'Investing Inputs'!AK261</f>
        <v>0</v>
      </c>
      <c r="AL34" s="10">
        <f>'Investing Inputs'!AL261</f>
        <v>0</v>
      </c>
      <c r="AM34" s="10">
        <f>'Investing Inputs'!AM261</f>
        <v>0</v>
      </c>
      <c r="AN34" s="10">
        <f>'Investing Inputs'!AN261</f>
        <v>0</v>
      </c>
      <c r="AO34" s="10">
        <f>'Investing Inputs'!AO261</f>
        <v>0</v>
      </c>
      <c r="AP34" s="10">
        <f>'Investing Inputs'!AP261</f>
        <v>0</v>
      </c>
      <c r="AQ34" s="10">
        <f>'Investing Inputs'!AQ261</f>
        <v>0</v>
      </c>
      <c r="AR34" s="10">
        <f>'Investing Inputs'!AR261</f>
        <v>0</v>
      </c>
      <c r="AS34" s="10">
        <f>'Investing Inputs'!AS261</f>
        <v>0</v>
      </c>
      <c r="AT34" s="10">
        <f>'Investing Inputs'!AT261</f>
        <v>0</v>
      </c>
      <c r="AU34" s="10">
        <f>'Investing Inputs'!AU261</f>
        <v>0</v>
      </c>
      <c r="AV34" s="10">
        <f>'Investing Inputs'!AV261</f>
        <v>0</v>
      </c>
      <c r="AW34" s="10">
        <f>'Investing Inputs'!AW261</f>
        <v>0</v>
      </c>
      <c r="AX34" s="10">
        <f>'Investing Inputs'!AX261</f>
        <v>0</v>
      </c>
      <c r="AY34" s="10">
        <f>'Investing Inputs'!AY261</f>
        <v>0</v>
      </c>
      <c r="AZ34" s="10">
        <f>'Investing Inputs'!AZ261</f>
        <v>0</v>
      </c>
      <c r="BA34" s="10">
        <f>'Investing Inputs'!BA261</f>
        <v>0</v>
      </c>
      <c r="BB34" s="10">
        <f>'Investing Inputs'!BB261</f>
        <v>0</v>
      </c>
      <c r="BC34" s="10">
        <f>'Investing Inputs'!BC261</f>
        <v>0</v>
      </c>
      <c r="BD34" s="10">
        <f>'Investing Inputs'!BD261</f>
        <v>0</v>
      </c>
      <c r="BE34" s="10">
        <f>'Investing Inputs'!BE261</f>
        <v>0</v>
      </c>
      <c r="BF34" s="10">
        <f>'Investing Inputs'!BF261</f>
        <v>0</v>
      </c>
      <c r="BG34" s="10">
        <f>'Investing Inputs'!BG261</f>
        <v>0</v>
      </c>
      <c r="BH34" s="10">
        <f>'Investing Inputs'!BH261</f>
        <v>0</v>
      </c>
      <c r="BI34" s="10">
        <f>'Investing Inputs'!BI261</f>
        <v>0</v>
      </c>
      <c r="BJ34" s="10">
        <f>'Investing Inputs'!BJ261</f>
        <v>0</v>
      </c>
      <c r="BL34" s="10">
        <f>'Investing Inputs'!BL261</f>
        <v>0</v>
      </c>
      <c r="BM34" s="10">
        <f>'Investing Inputs'!BM261</f>
        <v>0</v>
      </c>
      <c r="BN34" s="10">
        <f>'Investing Inputs'!BN261</f>
        <v>0</v>
      </c>
      <c r="BO34" s="10">
        <f>'Investing Inputs'!BO261</f>
        <v>0</v>
      </c>
      <c r="BP34" s="10">
        <f>'Investing Inputs'!BP261</f>
        <v>0</v>
      </c>
      <c r="BQ34" s="10">
        <f>'Investing Inputs'!BQ261</f>
        <v>0</v>
      </c>
      <c r="BR34" s="10">
        <f>'Investing Inputs'!BR261</f>
        <v>0</v>
      </c>
      <c r="BS34" s="10">
        <f>'Investing Inputs'!BS261</f>
        <v>0</v>
      </c>
      <c r="BT34" s="10">
        <f>'Investing Inputs'!BT261</f>
        <v>0</v>
      </c>
      <c r="BU34" s="10">
        <f>'Investing Inputs'!BU261</f>
        <v>0</v>
      </c>
      <c r="BV34" s="10">
        <f>'Investing Inputs'!BV261</f>
        <v>0</v>
      </c>
      <c r="BW34" s="10">
        <f>'Investing Inputs'!BW261</f>
        <v>0</v>
      </c>
      <c r="BY34" s="12"/>
      <c r="BZ34" s="335"/>
      <c r="CA34" s="12"/>
      <c r="CE34" s="335"/>
      <c r="CF34" s="7">
        <f>IF(SUM(V34:Y34)=SUM(BL34:BO34), 0, 1)</f>
        <v>0</v>
      </c>
      <c r="CG34" s="12"/>
      <c r="CH34" s="67">
        <v>0</v>
      </c>
      <c r="CI34" s="67">
        <v>0</v>
      </c>
      <c r="EU34" s="335"/>
      <c r="EX34" s="13" t="str">
        <f>IF($C34="","",CONCATENATE(D33," ",D34))</f>
        <v>Assets under Construction Closing Balance</v>
      </c>
    </row>
    <row r="35" spans="1:154" s="67" customFormat="1" ht="8.1" customHeight="1" x14ac:dyDescent="0.25">
      <c r="C35" s="385"/>
      <c r="S35" s="335"/>
      <c r="T35" s="335"/>
      <c r="U35" s="335"/>
      <c r="BY35" s="12"/>
      <c r="BZ35" s="335"/>
      <c r="CA35" s="12"/>
      <c r="CE35" s="335"/>
      <c r="CF35" s="321"/>
      <c r="CG35" s="12"/>
      <c r="CH35" s="67">
        <v>0</v>
      </c>
      <c r="CI35" s="67">
        <v>0</v>
      </c>
      <c r="EU35" s="335"/>
      <c r="EX35" s="10" t="str">
        <f t="shared" si="0"/>
        <v/>
      </c>
    </row>
    <row r="36" spans="1:154" s="67" customFormat="1" x14ac:dyDescent="0.25">
      <c r="B36" s="5"/>
      <c r="C36" s="406"/>
      <c r="D36" s="5" t="str">
        <f>'Investing Inputs'!D244</f>
        <v>Investments</v>
      </c>
      <c r="O36" s="335"/>
      <c r="P36" s="335"/>
      <c r="Q36" s="335"/>
      <c r="R36" s="335"/>
      <c r="S36" s="335"/>
      <c r="T36" s="335"/>
      <c r="U36" s="335"/>
      <c r="AM36" s="335"/>
      <c r="BY36" s="12"/>
      <c r="BZ36" s="335"/>
      <c r="CA36" s="12"/>
      <c r="CE36" s="335"/>
      <c r="CF36" s="321"/>
      <c r="CG36" s="12"/>
      <c r="CH36" s="67">
        <v>0</v>
      </c>
      <c r="CI36" s="67">
        <v>0</v>
      </c>
      <c r="EU36" s="335"/>
      <c r="EX36" s="10" t="str">
        <f t="shared" si="0"/>
        <v/>
      </c>
    </row>
    <row r="37" spans="1:154" s="67" customFormat="1" x14ac:dyDescent="0.25">
      <c r="A37" s="362" cm="1">
        <f t="array" aca="1" ref="A37" ca="1">HYPERLINK(CONCATENATE("#",CELL("address",IF(SUM($CA37:$CG37)=0,A37,INDEX($CA37:$CG37,MATCH(1,$CA37:$CG37,0))))),SUM($CA37:$CG37))</f>
        <v>0</v>
      </c>
      <c r="C37" s="340" t="str">
        <f>'Investing Inputs'!C252</f>
        <v>B-1e-CB</v>
      </c>
      <c r="D37" s="67" t="s">
        <v>97</v>
      </c>
      <c r="H37" s="67" t="s">
        <v>92</v>
      </c>
      <c r="O37" s="335"/>
      <c r="P37" s="335"/>
      <c r="Q37" s="335"/>
      <c r="R37" s="335"/>
      <c r="S37" s="335"/>
      <c r="T37" s="335"/>
      <c r="U37" s="335"/>
      <c r="V37" s="201">
        <f>'Investing Inputs'!V$252</f>
        <v>0</v>
      </c>
      <c r="W37" s="10">
        <f>'Investing Inputs'!W$252</f>
        <v>0</v>
      </c>
      <c r="X37" s="10">
        <f>'Investing Inputs'!X$252</f>
        <v>0</v>
      </c>
      <c r="Y37" s="10">
        <f>'Investing Inputs'!Y$252</f>
        <v>0</v>
      </c>
      <c r="AA37" s="10">
        <f>'Investing Inputs'!AA$252</f>
        <v>0</v>
      </c>
      <c r="AB37" s="10">
        <f>'Investing Inputs'!AB$252</f>
        <v>0</v>
      </c>
      <c r="AC37" s="10">
        <f>'Investing Inputs'!AC$252</f>
        <v>0</v>
      </c>
      <c r="AD37" s="10">
        <f>'Investing Inputs'!AD$252</f>
        <v>0</v>
      </c>
      <c r="AE37" s="10">
        <f>'Investing Inputs'!AE$252</f>
        <v>0</v>
      </c>
      <c r="AF37" s="10">
        <f>'Investing Inputs'!AF$252</f>
        <v>0</v>
      </c>
      <c r="AG37" s="10">
        <f>'Investing Inputs'!AG$252</f>
        <v>0</v>
      </c>
      <c r="AH37" s="10">
        <f>'Investing Inputs'!AH$252</f>
        <v>0</v>
      </c>
      <c r="AI37" s="10">
        <f>'Investing Inputs'!AI$252</f>
        <v>0</v>
      </c>
      <c r="AJ37" s="10">
        <f>'Investing Inputs'!AJ$252</f>
        <v>0</v>
      </c>
      <c r="AK37" s="10">
        <f>'Investing Inputs'!AK$252</f>
        <v>0</v>
      </c>
      <c r="AL37" s="10">
        <f>'Investing Inputs'!AL$252</f>
        <v>0</v>
      </c>
      <c r="AM37" s="10">
        <f>'Investing Inputs'!AM$252</f>
        <v>0</v>
      </c>
      <c r="AN37" s="10">
        <f>'Investing Inputs'!AN$252</f>
        <v>0</v>
      </c>
      <c r="AO37" s="10">
        <f>'Investing Inputs'!AO$252</f>
        <v>0</v>
      </c>
      <c r="AP37" s="10">
        <f>'Investing Inputs'!AP$252</f>
        <v>0</v>
      </c>
      <c r="AQ37" s="10">
        <f>'Investing Inputs'!AQ$252</f>
        <v>0</v>
      </c>
      <c r="AR37" s="10">
        <f>'Investing Inputs'!AR$252</f>
        <v>0</v>
      </c>
      <c r="AS37" s="10">
        <f>'Investing Inputs'!AS$252</f>
        <v>0</v>
      </c>
      <c r="AT37" s="10">
        <f>'Investing Inputs'!AT$252</f>
        <v>0</v>
      </c>
      <c r="AU37" s="10">
        <f>'Investing Inputs'!AU$252</f>
        <v>0</v>
      </c>
      <c r="AV37" s="10">
        <f>'Investing Inputs'!AV$252</f>
        <v>0</v>
      </c>
      <c r="AW37" s="10">
        <f>'Investing Inputs'!AW$252</f>
        <v>0</v>
      </c>
      <c r="AX37" s="10">
        <f>'Investing Inputs'!AX$252</f>
        <v>0</v>
      </c>
      <c r="AY37" s="10">
        <f>'Investing Inputs'!AY$252</f>
        <v>0</v>
      </c>
      <c r="AZ37" s="10">
        <f>'Investing Inputs'!AZ$252</f>
        <v>0</v>
      </c>
      <c r="BA37" s="10">
        <f>'Investing Inputs'!BA$252</f>
        <v>0</v>
      </c>
      <c r="BB37" s="10">
        <f>'Investing Inputs'!BB$252</f>
        <v>0</v>
      </c>
      <c r="BC37" s="10">
        <f>'Investing Inputs'!BC$252</f>
        <v>0</v>
      </c>
      <c r="BD37" s="10">
        <f>'Investing Inputs'!BD$252</f>
        <v>0</v>
      </c>
      <c r="BE37" s="10">
        <f>'Investing Inputs'!BE$252</f>
        <v>0</v>
      </c>
      <c r="BF37" s="10">
        <f>'Investing Inputs'!BF$252</f>
        <v>0</v>
      </c>
      <c r="BG37" s="10">
        <f>'Investing Inputs'!BG$252</f>
        <v>0</v>
      </c>
      <c r="BH37" s="10">
        <f>'Investing Inputs'!BH$252</f>
        <v>0</v>
      </c>
      <c r="BI37" s="10">
        <f>'Investing Inputs'!BI$252</f>
        <v>0</v>
      </c>
      <c r="BJ37" s="10">
        <f>'Investing Inputs'!BJ$252</f>
        <v>0</v>
      </c>
      <c r="BL37" s="10">
        <f>'Investing Inputs'!BL$252</f>
        <v>0</v>
      </c>
      <c r="BM37" s="10">
        <f>'Investing Inputs'!BM$252</f>
        <v>0</v>
      </c>
      <c r="BN37" s="10">
        <f>'Investing Inputs'!BN$252</f>
        <v>0</v>
      </c>
      <c r="BO37" s="10">
        <f>'Investing Inputs'!BO$252</f>
        <v>0</v>
      </c>
      <c r="BP37" s="10">
        <f>'Investing Inputs'!BP$252</f>
        <v>0</v>
      </c>
      <c r="BQ37" s="10">
        <f>'Investing Inputs'!BQ$252</f>
        <v>0</v>
      </c>
      <c r="BR37" s="10">
        <f>'Investing Inputs'!BR$252</f>
        <v>0</v>
      </c>
      <c r="BS37" s="10">
        <f>'Investing Inputs'!BS$252</f>
        <v>0</v>
      </c>
      <c r="BT37" s="10">
        <f>'Investing Inputs'!BT$252</f>
        <v>0</v>
      </c>
      <c r="BU37" s="10">
        <f>'Investing Inputs'!BU$252</f>
        <v>0</v>
      </c>
      <c r="BV37" s="10">
        <f>'Investing Inputs'!BV$252</f>
        <v>0</v>
      </c>
      <c r="BW37" s="10">
        <f>'Investing Inputs'!BW$252</f>
        <v>0</v>
      </c>
      <c r="BY37" s="12"/>
      <c r="BZ37" s="335"/>
      <c r="CA37" s="12"/>
      <c r="CE37" s="335"/>
      <c r="CF37" s="7">
        <f>IF(SUM(V37:Y37)=SUM(BL37:BO37), 0, 1)</f>
        <v>0</v>
      </c>
      <c r="CG37" s="12"/>
      <c r="CH37" s="67">
        <v>0</v>
      </c>
      <c r="CI37" s="67">
        <v>0</v>
      </c>
      <c r="EU37" s="335"/>
      <c r="EX37" s="13" t="str">
        <f>IF($C37="","",CONCATENATE(D36," ",D37))</f>
        <v>Investments Closing Balance</v>
      </c>
    </row>
    <row r="38" spans="1:154" s="67" customFormat="1" ht="8.1" customHeight="1" x14ac:dyDescent="0.25">
      <c r="C38" s="385"/>
      <c r="D38" s="1"/>
      <c r="G38" s="48"/>
      <c r="H38" s="48"/>
      <c r="O38" s="335"/>
      <c r="P38" s="335"/>
      <c r="Q38" s="335"/>
      <c r="R38" s="335"/>
      <c r="S38" s="335"/>
      <c r="T38" s="335"/>
      <c r="U38" s="335"/>
      <c r="BM38" s="6"/>
      <c r="BY38" s="12"/>
      <c r="BZ38" s="335"/>
      <c r="CA38" s="12"/>
      <c r="CE38" s="335"/>
      <c r="CF38" s="321"/>
      <c r="CG38" s="12"/>
      <c r="CH38" s="67">
        <v>0</v>
      </c>
      <c r="CI38" s="67">
        <v>0</v>
      </c>
      <c r="EU38" s="335"/>
      <c r="EX38" s="10" t="str">
        <f t="shared" si="0"/>
        <v/>
      </c>
    </row>
    <row r="39" spans="1:154" s="67" customFormat="1" x14ac:dyDescent="0.25">
      <c r="B39" s="29"/>
      <c r="C39" s="385"/>
      <c r="D39" s="27" t="s">
        <v>2509</v>
      </c>
      <c r="G39" s="48"/>
      <c r="H39" s="48"/>
      <c r="O39" s="335"/>
      <c r="P39" s="335"/>
      <c r="Q39" s="335"/>
      <c r="R39" s="335"/>
      <c r="S39" s="335"/>
      <c r="T39" s="335"/>
      <c r="U39" s="335"/>
      <c r="AM39" s="335"/>
      <c r="BM39" s="6"/>
      <c r="BN39" s="6"/>
      <c r="BY39" s="12"/>
      <c r="BZ39" s="335"/>
      <c r="CA39" s="12"/>
      <c r="CE39" s="335"/>
      <c r="CF39" s="321"/>
      <c r="CG39" s="12"/>
      <c r="CH39" s="67">
        <v>0</v>
      </c>
      <c r="CI39" s="67">
        <v>0</v>
      </c>
      <c r="EU39" s="335"/>
      <c r="EX39" s="10" t="str">
        <f t="shared" si="0"/>
        <v/>
      </c>
    </row>
    <row r="40" spans="1:154" s="67" customFormat="1" x14ac:dyDescent="0.25">
      <c r="A40" s="362" cm="1">
        <f t="array" aca="1" ref="A40" ca="1">HYPERLINK(CONCATENATE("#",CELL("address",IF(SUM($CA40:$CG40)=0,A40,INDEX($CA40:$CG40,MATCH(1,$CA40:$CG40,0))))),SUM($CA40:$CG40))</f>
        <v>0</v>
      </c>
      <c r="C40" s="340" t="str">
        <f>CONCATENATE("BS-",'Opening Balances'!$C$15)</f>
        <v>BS-B-1f-OB</v>
      </c>
      <c r="D40" s="39" t="s">
        <v>91</v>
      </c>
      <c r="G40" s="46"/>
      <c r="H40" s="47" t="s">
        <v>92</v>
      </c>
      <c r="O40" s="335"/>
      <c r="P40" s="335"/>
      <c r="Q40" s="335"/>
      <c r="R40" s="335"/>
      <c r="S40" s="335"/>
      <c r="T40" s="335"/>
      <c r="U40" s="335"/>
      <c r="V40" s="13">
        <f>'Opening Balances'!$V$15</f>
        <v>0</v>
      </c>
      <c r="W40" s="10">
        <f>V44</f>
        <v>0</v>
      </c>
      <c r="X40" s="10">
        <f t="shared" ref="X40:Y40" si="7">W44</f>
        <v>0</v>
      </c>
      <c r="Y40" s="10">
        <f t="shared" si="7"/>
        <v>0</v>
      </c>
      <c r="AA40" s="10">
        <f>W40</f>
        <v>0</v>
      </c>
      <c r="AB40" s="10">
        <f>AA44</f>
        <v>0</v>
      </c>
      <c r="AC40" s="10">
        <f t="shared" ref="AC40:BJ40" si="8">AB44</f>
        <v>0</v>
      </c>
      <c r="AD40" s="10">
        <f t="shared" si="8"/>
        <v>0</v>
      </c>
      <c r="AE40" s="10">
        <f t="shared" si="8"/>
        <v>0</v>
      </c>
      <c r="AF40" s="10">
        <f t="shared" si="8"/>
        <v>0</v>
      </c>
      <c r="AG40" s="10">
        <f t="shared" si="8"/>
        <v>0</v>
      </c>
      <c r="AH40" s="10">
        <f t="shared" si="8"/>
        <v>0</v>
      </c>
      <c r="AI40" s="10">
        <f t="shared" si="8"/>
        <v>0</v>
      </c>
      <c r="AJ40" s="10">
        <f t="shared" si="8"/>
        <v>0</v>
      </c>
      <c r="AK40" s="10">
        <f t="shared" si="8"/>
        <v>0</v>
      </c>
      <c r="AL40" s="10">
        <f t="shared" si="8"/>
        <v>0</v>
      </c>
      <c r="AM40" s="10">
        <f t="shared" si="8"/>
        <v>0</v>
      </c>
      <c r="AN40" s="10">
        <f t="shared" si="8"/>
        <v>0</v>
      </c>
      <c r="AO40" s="10">
        <f t="shared" si="8"/>
        <v>0</v>
      </c>
      <c r="AP40" s="10">
        <f t="shared" si="8"/>
        <v>0</v>
      </c>
      <c r="AQ40" s="10">
        <f t="shared" si="8"/>
        <v>0</v>
      </c>
      <c r="AR40" s="10">
        <f t="shared" si="8"/>
        <v>0</v>
      </c>
      <c r="AS40" s="10">
        <f t="shared" si="8"/>
        <v>0</v>
      </c>
      <c r="AT40" s="10">
        <f t="shared" si="8"/>
        <v>0</v>
      </c>
      <c r="AU40" s="10">
        <f t="shared" si="8"/>
        <v>0</v>
      </c>
      <c r="AV40" s="10">
        <f t="shared" si="8"/>
        <v>0</v>
      </c>
      <c r="AW40" s="10">
        <f t="shared" si="8"/>
        <v>0</v>
      </c>
      <c r="AX40" s="10">
        <f t="shared" si="8"/>
        <v>0</v>
      </c>
      <c r="AY40" s="10">
        <f t="shared" si="8"/>
        <v>0</v>
      </c>
      <c r="AZ40" s="10">
        <f t="shared" si="8"/>
        <v>0</v>
      </c>
      <c r="BA40" s="10">
        <f t="shared" si="8"/>
        <v>0</v>
      </c>
      <c r="BB40" s="10">
        <f t="shared" si="8"/>
        <v>0</v>
      </c>
      <c r="BC40" s="10">
        <f t="shared" si="8"/>
        <v>0</v>
      </c>
      <c r="BD40" s="10">
        <f t="shared" si="8"/>
        <v>0</v>
      </c>
      <c r="BE40" s="10">
        <f t="shared" si="8"/>
        <v>0</v>
      </c>
      <c r="BF40" s="10">
        <f t="shared" si="8"/>
        <v>0</v>
      </c>
      <c r="BG40" s="10">
        <f t="shared" si="8"/>
        <v>0</v>
      </c>
      <c r="BH40" s="10">
        <f t="shared" si="8"/>
        <v>0</v>
      </c>
      <c r="BI40" s="10">
        <f t="shared" si="8"/>
        <v>0</v>
      </c>
      <c r="BJ40" s="10">
        <f t="shared" si="8"/>
        <v>0</v>
      </c>
      <c r="BL40" s="13">
        <f>V40</f>
        <v>0</v>
      </c>
      <c r="BM40" s="13">
        <f>W40</f>
        <v>0</v>
      </c>
      <c r="BN40" s="13">
        <f>X40</f>
        <v>0</v>
      </c>
      <c r="BO40" s="13">
        <f>Y40</f>
        <v>0</v>
      </c>
      <c r="BP40" s="10">
        <f>BO44</f>
        <v>0</v>
      </c>
      <c r="BQ40" s="10">
        <f t="shared" ref="BQ40:BW40" si="9">BP44</f>
        <v>0</v>
      </c>
      <c r="BR40" s="10">
        <f t="shared" si="9"/>
        <v>0</v>
      </c>
      <c r="BS40" s="10">
        <f t="shared" si="9"/>
        <v>0</v>
      </c>
      <c r="BT40" s="10">
        <f t="shared" si="9"/>
        <v>0</v>
      </c>
      <c r="BU40" s="10">
        <f t="shared" si="9"/>
        <v>0</v>
      </c>
      <c r="BV40" s="10">
        <f t="shared" si="9"/>
        <v>0</v>
      </c>
      <c r="BW40" s="10">
        <f t="shared" si="9"/>
        <v>0</v>
      </c>
      <c r="BY40" s="12"/>
      <c r="BZ40" s="335"/>
      <c r="CA40" s="12"/>
      <c r="CE40" s="335"/>
      <c r="CF40" s="7">
        <f>IF(SUM(V40:Y40)=SUM(BL40:BO40), 0, 1)</f>
        <v>0</v>
      </c>
      <c r="CG40" s="12"/>
      <c r="CH40" s="67">
        <v>0</v>
      </c>
      <c r="CI40" s="67">
        <v>0</v>
      </c>
      <c r="EU40" s="335"/>
      <c r="EX40" s="13" t="str">
        <f>IF($C40="","",CONCATENATE(D$39," ",D40))</f>
        <v>Investment in JVs and Associates (inc. overseas) Opening Balance</v>
      </c>
    </row>
    <row r="41" spans="1:154" s="67" customFormat="1" x14ac:dyDescent="0.25">
      <c r="A41" s="362" cm="1">
        <f t="array" aca="1" ref="A41" ca="1">HYPERLINK(CONCATENATE("#",CELL("address",IF(SUM($CA41:$CG41)=0,A41,INDEX($CA41:$CG41,MATCH(1,$CA41:$CG41,0))))),SUM($CA41:$CG41))</f>
        <v>0</v>
      </c>
      <c r="C41" s="340" t="s">
        <v>1394</v>
      </c>
      <c r="D41" s="39" t="s">
        <v>103</v>
      </c>
      <c r="G41" s="46"/>
      <c r="H41" s="47" t="s">
        <v>86</v>
      </c>
      <c r="O41" s="335"/>
      <c r="P41" s="335"/>
      <c r="Q41" s="335"/>
      <c r="R41" s="335"/>
      <c r="S41" s="335"/>
      <c r="T41" s="335"/>
      <c r="U41" s="335"/>
      <c r="V41" s="13">
        <f>BL41</f>
        <v>0</v>
      </c>
      <c r="W41" s="13">
        <f t="shared" ref="W41:Y41" si="10">BM41</f>
        <v>0</v>
      </c>
      <c r="X41" s="13">
        <f t="shared" si="10"/>
        <v>0</v>
      </c>
      <c r="Y41" s="13">
        <f t="shared" si="10"/>
        <v>0</v>
      </c>
      <c r="AA41" s="10">
        <f>'I&amp;E Annual'!AA181</f>
        <v>0</v>
      </c>
      <c r="AB41" s="10">
        <f>'I&amp;E Annual'!AB181</f>
        <v>0</v>
      </c>
      <c r="AC41" s="10">
        <f>'I&amp;E Annual'!AC181</f>
        <v>0</v>
      </c>
      <c r="AD41" s="10">
        <f>'I&amp;E Annual'!AD181</f>
        <v>0</v>
      </c>
      <c r="AE41" s="10">
        <f>'I&amp;E Annual'!AE181</f>
        <v>0</v>
      </c>
      <c r="AF41" s="10">
        <f>'I&amp;E Annual'!AF181</f>
        <v>0</v>
      </c>
      <c r="AG41" s="10">
        <f>'I&amp;E Annual'!AG181</f>
        <v>0</v>
      </c>
      <c r="AH41" s="10">
        <f>'I&amp;E Annual'!AH181</f>
        <v>0</v>
      </c>
      <c r="AI41" s="10">
        <f>'I&amp;E Annual'!AI181</f>
        <v>0</v>
      </c>
      <c r="AJ41" s="10">
        <f>'I&amp;E Annual'!AJ181</f>
        <v>0</v>
      </c>
      <c r="AK41" s="10">
        <f>'I&amp;E Annual'!AK181</f>
        <v>0</v>
      </c>
      <c r="AL41" s="10">
        <f>'I&amp;E Annual'!AL181</f>
        <v>0</v>
      </c>
      <c r="AM41" s="10">
        <f>'I&amp;E Annual'!AM181</f>
        <v>0</v>
      </c>
      <c r="AN41" s="10">
        <f>'I&amp;E Annual'!AN181</f>
        <v>0</v>
      </c>
      <c r="AO41" s="10">
        <f>'I&amp;E Annual'!AO181</f>
        <v>0</v>
      </c>
      <c r="AP41" s="10">
        <f>'I&amp;E Annual'!AP181</f>
        <v>0</v>
      </c>
      <c r="AQ41" s="10">
        <f>'I&amp;E Annual'!AQ181</f>
        <v>0</v>
      </c>
      <c r="AR41" s="10">
        <f>'I&amp;E Annual'!AR181</f>
        <v>0</v>
      </c>
      <c r="AS41" s="10">
        <f>'I&amp;E Annual'!AS181</f>
        <v>0</v>
      </c>
      <c r="AT41" s="10">
        <f>'I&amp;E Annual'!AT181</f>
        <v>0</v>
      </c>
      <c r="AU41" s="10">
        <f>'I&amp;E Annual'!AU181</f>
        <v>0</v>
      </c>
      <c r="AV41" s="10">
        <f>'I&amp;E Annual'!AV181</f>
        <v>0</v>
      </c>
      <c r="AW41" s="10">
        <f>'I&amp;E Annual'!AW181</f>
        <v>0</v>
      </c>
      <c r="AX41" s="10">
        <f>'I&amp;E Annual'!AX181</f>
        <v>0</v>
      </c>
      <c r="AY41" s="10">
        <f>'I&amp;E Annual'!AY181</f>
        <v>0</v>
      </c>
      <c r="AZ41" s="10">
        <f>'I&amp;E Annual'!AZ181</f>
        <v>0</v>
      </c>
      <c r="BA41" s="10">
        <f>'I&amp;E Annual'!BA181</f>
        <v>0</v>
      </c>
      <c r="BB41" s="10">
        <f>'I&amp;E Annual'!BB181</f>
        <v>0</v>
      </c>
      <c r="BC41" s="10">
        <f>'I&amp;E Annual'!BC181</f>
        <v>0</v>
      </c>
      <c r="BD41" s="10">
        <f>'I&amp;E Annual'!BD181</f>
        <v>0</v>
      </c>
      <c r="BE41" s="10">
        <f>'I&amp;E Annual'!BE181</f>
        <v>0</v>
      </c>
      <c r="BF41" s="10">
        <f>'I&amp;E Annual'!BF181</f>
        <v>0</v>
      </c>
      <c r="BG41" s="10">
        <f>'I&amp;E Annual'!BG181</f>
        <v>0</v>
      </c>
      <c r="BH41" s="10">
        <f>'I&amp;E Annual'!BH181</f>
        <v>0</v>
      </c>
      <c r="BI41" s="10">
        <f>'I&amp;E Annual'!BI181</f>
        <v>0</v>
      </c>
      <c r="BJ41" s="10">
        <f>'I&amp;E Annual'!BJ181</f>
        <v>0</v>
      </c>
      <c r="BL41" s="10">
        <f>'I&amp;E Annual'!BL181</f>
        <v>0</v>
      </c>
      <c r="BM41" s="10">
        <f>'I&amp;E Annual'!BM181</f>
        <v>0</v>
      </c>
      <c r="BN41" s="10">
        <f>'I&amp;E Annual'!BN181</f>
        <v>0</v>
      </c>
      <c r="BO41" s="10">
        <f>'I&amp;E Annual'!BO181</f>
        <v>0</v>
      </c>
      <c r="BP41" s="10">
        <f>'I&amp;E Annual'!BP181</f>
        <v>0</v>
      </c>
      <c r="BQ41" s="10">
        <f>'I&amp;E Annual'!BQ181</f>
        <v>0</v>
      </c>
      <c r="BR41" s="10">
        <f>'I&amp;E Annual'!BR181</f>
        <v>0</v>
      </c>
      <c r="BS41" s="10">
        <f>'I&amp;E Annual'!BS181</f>
        <v>0</v>
      </c>
      <c r="BT41" s="10">
        <f>'I&amp;E Annual'!BT181</f>
        <v>0</v>
      </c>
      <c r="BU41" s="10">
        <f>'I&amp;E Annual'!BU181</f>
        <v>0</v>
      </c>
      <c r="BV41" s="10">
        <f>'I&amp;E Annual'!BV181</f>
        <v>0</v>
      </c>
      <c r="BW41" s="10">
        <f>'I&amp;E Annual'!BW181</f>
        <v>0</v>
      </c>
      <c r="BY41" s="12"/>
      <c r="BZ41" s="335"/>
      <c r="CA41" s="12"/>
      <c r="CE41" s="335"/>
      <c r="CF41" s="7">
        <f>IF(SUM(V41:Y41)=SUM(BL41:BO41), 0, 1)</f>
        <v>0</v>
      </c>
      <c r="CG41" s="12"/>
      <c r="CH41" s="67">
        <v>0</v>
      </c>
      <c r="CI41" s="67">
        <v>0</v>
      </c>
      <c r="EU41" s="335"/>
      <c r="EX41" s="13" t="str">
        <f>IF($C41="","",CONCATENATE(D$39," ",D41))</f>
        <v>Investment in JVs and Associates (inc. overseas) Share of surplus/(deficit) in joint ventures</v>
      </c>
    </row>
    <row r="42" spans="1:154" s="335" customFormat="1" ht="15.75" x14ac:dyDescent="0.3">
      <c r="A42" s="362" cm="1">
        <f t="array" aca="1" ref="A42" ca="1">HYPERLINK(CONCATENATE("#",CELL("address",IF(SUM($CA42:$CG42)=0,A42,INDEX($CA42:$CG42,MATCH(1,$CA42:$CG42,0))))),SUM($CA42:$CG42))</f>
        <v>0</v>
      </c>
      <c r="B42" s="93"/>
      <c r="C42" s="340" t="s">
        <v>1395</v>
      </c>
      <c r="D42" s="117" t="s">
        <v>895</v>
      </c>
      <c r="E42" s="479" t="s">
        <v>335</v>
      </c>
      <c r="G42" s="46"/>
      <c r="H42" s="47" t="s">
        <v>98</v>
      </c>
      <c r="V42" s="13">
        <f>(V44-SUM(V40:V41))*$V$10</f>
        <v>0</v>
      </c>
      <c r="W42" s="215">
        <f t="shared" ref="W42:Y43" si="11" xml:space="preserve"> SUMIFS($AA42:$BJ42, $AA$3:$BJ$3, W$3)</f>
        <v>0</v>
      </c>
      <c r="X42" s="215">
        <f t="shared" si="11"/>
        <v>0</v>
      </c>
      <c r="Y42" s="215">
        <f t="shared" si="11"/>
        <v>0</v>
      </c>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L42" s="10">
        <f t="shared" ref="BL42:BO43" si="12">V42</f>
        <v>0</v>
      </c>
      <c r="BM42" s="10">
        <f t="shared" si="12"/>
        <v>0</v>
      </c>
      <c r="BN42" s="10">
        <f t="shared" si="12"/>
        <v>0</v>
      </c>
      <c r="BO42" s="10">
        <f t="shared" si="12"/>
        <v>0</v>
      </c>
      <c r="BP42" s="141"/>
      <c r="BQ42" s="141"/>
      <c r="BR42" s="141"/>
      <c r="BS42" s="141"/>
      <c r="BT42" s="141"/>
      <c r="BU42" s="141"/>
      <c r="BV42" s="141"/>
      <c r="BW42" s="141"/>
      <c r="BY42" s="12"/>
      <c r="BZ42" s="363">
        <f>IF(MAX($V42:$BW42)&gt;0, 1, 0)</f>
        <v>0</v>
      </c>
      <c r="CA42" s="12"/>
      <c r="CF42" s="7">
        <f>IF(SUM(V42:Y42)=SUM(BL42:BO42), 0, 1)</f>
        <v>0</v>
      </c>
      <c r="CG42" s="12"/>
      <c r="CH42" s="335">
        <v>0</v>
      </c>
      <c r="CI42" s="335">
        <v>1</v>
      </c>
      <c r="EX42" s="13" t="str">
        <f>IF($C42="","",CONCATENATE(D$39," ",D42))</f>
        <v>Investment in JVs and Associates (inc. overseas) Dividends received</v>
      </c>
    </row>
    <row r="43" spans="1:154" s="335" customFormat="1" x14ac:dyDescent="0.25">
      <c r="A43" s="362" cm="1">
        <f t="array" aca="1" ref="A43" ca="1">HYPERLINK(CONCATENATE("#",CELL("address",IF(SUM($CA43:$CG43)=0,A43,INDEX($CA43:$CG43,MATCH(1,$CA43:$CG43,0))))),SUM($CA43:$CG43))</f>
        <v>0</v>
      </c>
      <c r="C43" s="340" t="s">
        <v>1396</v>
      </c>
      <c r="D43" s="177" t="s">
        <v>149</v>
      </c>
      <c r="E43" s="490" t="s">
        <v>2356</v>
      </c>
      <c r="G43" s="46"/>
      <c r="H43" s="47" t="s">
        <v>86</v>
      </c>
      <c r="V43" s="141"/>
      <c r="W43" s="215">
        <f t="shared" si="11"/>
        <v>0</v>
      </c>
      <c r="X43" s="215">
        <f t="shared" si="11"/>
        <v>0</v>
      </c>
      <c r="Y43" s="215">
        <f t="shared" si="11"/>
        <v>0</v>
      </c>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L43" s="13">
        <f t="shared" si="12"/>
        <v>0</v>
      </c>
      <c r="BM43" s="13">
        <f t="shared" si="12"/>
        <v>0</v>
      </c>
      <c r="BN43" s="13">
        <f t="shared" si="12"/>
        <v>0</v>
      </c>
      <c r="BO43" s="13">
        <f t="shared" si="12"/>
        <v>0</v>
      </c>
      <c r="BP43" s="141"/>
      <c r="BQ43" s="141"/>
      <c r="BR43" s="141"/>
      <c r="BS43" s="141"/>
      <c r="BT43" s="141"/>
      <c r="BU43" s="141"/>
      <c r="BV43" s="141"/>
      <c r="BW43" s="141"/>
      <c r="BY43" s="12"/>
      <c r="CA43" s="12"/>
      <c r="CF43" s="7">
        <f>IF(SUM(V43:Y43)=SUM(BL43:BO43), 0, 1)</f>
        <v>0</v>
      </c>
      <c r="CG43" s="12"/>
      <c r="CH43" s="335">
        <v>1</v>
      </c>
      <c r="CI43" s="335">
        <v>1</v>
      </c>
      <c r="EX43" s="13" t="str">
        <f>IF($C43="","",CONCATENATE(D$39," ",D43))</f>
        <v>Investment in JVs and Associates (inc. overseas) Movement due to mergers</v>
      </c>
    </row>
    <row r="44" spans="1:154" s="67" customFormat="1" x14ac:dyDescent="0.25">
      <c r="A44" s="362" cm="1">
        <f t="array" aca="1" ref="A44" ca="1">HYPERLINK(CONCATENATE("#",CELL("address",IF(SUM($CA44:$CG44)=0,A44,INDEX($CA44:$CG44,MATCH(1,$CA44:$CG44,0))))),SUM($CA44:$CG44))</f>
        <v>0</v>
      </c>
      <c r="C44" s="340" t="s">
        <v>1393</v>
      </c>
      <c r="D44" s="39" t="s">
        <v>97</v>
      </c>
      <c r="E44" s="352">
        <f>ROUND(V44-SUM(V40:V43), rounding)*$V$10</f>
        <v>0</v>
      </c>
      <c r="G44" s="46"/>
      <c r="H44" s="48"/>
      <c r="O44" s="335"/>
      <c r="P44" s="335"/>
      <c r="Q44" s="335"/>
      <c r="R44" s="335"/>
      <c r="S44" s="335"/>
      <c r="T44" s="335"/>
      <c r="U44" s="335"/>
      <c r="V44" s="13">
        <f>'Opening Balances'!W15</f>
        <v>0</v>
      </c>
      <c r="W44" s="10">
        <f>SUM(W40:W43)</f>
        <v>0</v>
      </c>
      <c r="X44" s="10">
        <f t="shared" ref="X44:BJ44" si="13">SUM(X40:X43)</f>
        <v>0</v>
      </c>
      <c r="Y44" s="10">
        <f t="shared" si="13"/>
        <v>0</v>
      </c>
      <c r="Z44" s="335"/>
      <c r="AA44" s="10">
        <f t="shared" si="13"/>
        <v>0</v>
      </c>
      <c r="AB44" s="10">
        <f t="shared" si="13"/>
        <v>0</v>
      </c>
      <c r="AC44" s="10">
        <f t="shared" si="13"/>
        <v>0</v>
      </c>
      <c r="AD44" s="10">
        <f t="shared" si="13"/>
        <v>0</v>
      </c>
      <c r="AE44" s="10">
        <f t="shared" si="13"/>
        <v>0</v>
      </c>
      <c r="AF44" s="10">
        <f t="shared" si="13"/>
        <v>0</v>
      </c>
      <c r="AG44" s="10">
        <f t="shared" si="13"/>
        <v>0</v>
      </c>
      <c r="AH44" s="10">
        <f t="shared" si="13"/>
        <v>0</v>
      </c>
      <c r="AI44" s="10">
        <f t="shared" si="13"/>
        <v>0</v>
      </c>
      <c r="AJ44" s="10">
        <f t="shared" si="13"/>
        <v>0</v>
      </c>
      <c r="AK44" s="10">
        <f t="shared" si="13"/>
        <v>0</v>
      </c>
      <c r="AL44" s="10">
        <f t="shared" si="13"/>
        <v>0</v>
      </c>
      <c r="AM44" s="10">
        <f t="shared" si="13"/>
        <v>0</v>
      </c>
      <c r="AN44" s="10">
        <f t="shared" si="13"/>
        <v>0</v>
      </c>
      <c r="AO44" s="10">
        <f t="shared" si="13"/>
        <v>0</v>
      </c>
      <c r="AP44" s="10">
        <f t="shared" si="13"/>
        <v>0</v>
      </c>
      <c r="AQ44" s="10">
        <f t="shared" si="13"/>
        <v>0</v>
      </c>
      <c r="AR44" s="10">
        <f t="shared" si="13"/>
        <v>0</v>
      </c>
      <c r="AS44" s="10">
        <f t="shared" si="13"/>
        <v>0</v>
      </c>
      <c r="AT44" s="10">
        <f t="shared" si="13"/>
        <v>0</v>
      </c>
      <c r="AU44" s="10">
        <f t="shared" si="13"/>
        <v>0</v>
      </c>
      <c r="AV44" s="10">
        <f t="shared" si="13"/>
        <v>0</v>
      </c>
      <c r="AW44" s="10">
        <f t="shared" si="13"/>
        <v>0</v>
      </c>
      <c r="AX44" s="10">
        <f t="shared" si="13"/>
        <v>0</v>
      </c>
      <c r="AY44" s="10">
        <f t="shared" si="13"/>
        <v>0</v>
      </c>
      <c r="AZ44" s="10">
        <f t="shared" si="13"/>
        <v>0</v>
      </c>
      <c r="BA44" s="10">
        <f t="shared" si="13"/>
        <v>0</v>
      </c>
      <c r="BB44" s="10">
        <f t="shared" si="13"/>
        <v>0</v>
      </c>
      <c r="BC44" s="10">
        <f t="shared" si="13"/>
        <v>0</v>
      </c>
      <c r="BD44" s="10">
        <f t="shared" si="13"/>
        <v>0</v>
      </c>
      <c r="BE44" s="10">
        <f t="shared" si="13"/>
        <v>0</v>
      </c>
      <c r="BF44" s="10">
        <f t="shared" si="13"/>
        <v>0</v>
      </c>
      <c r="BG44" s="10">
        <f t="shared" si="13"/>
        <v>0</v>
      </c>
      <c r="BH44" s="10">
        <f t="shared" si="13"/>
        <v>0</v>
      </c>
      <c r="BI44" s="10">
        <f t="shared" si="13"/>
        <v>0</v>
      </c>
      <c r="BJ44" s="10">
        <f t="shared" si="13"/>
        <v>0</v>
      </c>
      <c r="BK44" s="335"/>
      <c r="BL44" s="13">
        <f>V44</f>
        <v>0</v>
      </c>
      <c r="BM44" s="10">
        <f t="shared" ref="BM44" si="14">SUM(BM40:BM43)</f>
        <v>0</v>
      </c>
      <c r="BN44" s="10">
        <f t="shared" ref="BN44" si="15">SUM(BN40:BN43)</f>
        <v>0</v>
      </c>
      <c r="BO44" s="10">
        <f t="shared" ref="BO44" si="16">SUM(BO40:BO43)</f>
        <v>0</v>
      </c>
      <c r="BP44" s="10">
        <f t="shared" ref="BP44" si="17">SUM(BP40:BP43)</f>
        <v>0</v>
      </c>
      <c r="BQ44" s="10">
        <f t="shared" ref="BQ44" si="18">SUM(BQ40:BQ43)</f>
        <v>0</v>
      </c>
      <c r="BR44" s="10">
        <f t="shared" ref="BR44" si="19">SUM(BR40:BR43)</f>
        <v>0</v>
      </c>
      <c r="BS44" s="10">
        <f t="shared" ref="BS44" si="20">SUM(BS40:BS43)</f>
        <v>0</v>
      </c>
      <c r="BT44" s="10">
        <f t="shared" ref="BT44" si="21">SUM(BT40:BT43)</f>
        <v>0</v>
      </c>
      <c r="BU44" s="10">
        <f t="shared" ref="BU44" si="22">SUM(BU40:BU43)</f>
        <v>0</v>
      </c>
      <c r="BV44" s="10">
        <f t="shared" ref="BV44" si="23">SUM(BV40:BV43)</f>
        <v>0</v>
      </c>
      <c r="BW44" s="10">
        <f t="shared" ref="BW44" si="24">SUM(BW40:BW43)</f>
        <v>0</v>
      </c>
      <c r="BX44" s="335"/>
      <c r="BY44" s="12"/>
      <c r="BZ44" s="335"/>
      <c r="CA44" s="12"/>
      <c r="CE44" s="188">
        <f>IF(ABS($E44)&gt;Parameters!$D$33, 1, 0)</f>
        <v>0</v>
      </c>
      <c r="CF44" s="7">
        <f>IF(SUM(V44:Y44)=SUM(BL44:BO44), 0, 1)</f>
        <v>0</v>
      </c>
      <c r="CG44" s="12"/>
      <c r="CH44" s="67">
        <v>0</v>
      </c>
      <c r="CI44" s="67">
        <v>0</v>
      </c>
      <c r="EU44" s="335"/>
      <c r="EX44" s="13" t="str">
        <f>IF($C44="","",CONCATENATE(D$39," ",D44))</f>
        <v>Investment in JVs and Associates (inc. overseas) Closing Balance</v>
      </c>
    </row>
    <row r="45" spans="1:154" s="67" customFormat="1" ht="8.1" customHeight="1" x14ac:dyDescent="0.25">
      <c r="C45" s="385"/>
      <c r="O45" s="335"/>
      <c r="P45" s="335"/>
      <c r="Q45" s="335"/>
      <c r="R45" s="335"/>
      <c r="S45" s="335"/>
      <c r="T45" s="335"/>
      <c r="U45" s="335"/>
      <c r="V45" s="93"/>
      <c r="BY45" s="12"/>
      <c r="BZ45" s="335"/>
      <c r="CA45" s="12"/>
      <c r="CE45" s="335"/>
      <c r="CF45" s="321"/>
      <c r="CG45" s="12"/>
      <c r="CH45" s="67">
        <v>0</v>
      </c>
      <c r="CI45" s="67">
        <v>0</v>
      </c>
      <c r="EU45" s="335"/>
      <c r="EX45" s="10" t="str">
        <f t="shared" si="0"/>
        <v/>
      </c>
    </row>
    <row r="46" spans="1:154" s="335" customFormat="1" x14ac:dyDescent="0.25">
      <c r="B46" s="94"/>
      <c r="C46" s="385"/>
      <c r="D46" s="185" t="s">
        <v>941</v>
      </c>
      <c r="G46" s="48"/>
      <c r="H46" s="48"/>
      <c r="BM46" s="6"/>
      <c r="BN46" s="6"/>
      <c r="BY46" s="12"/>
      <c r="CA46" s="12"/>
      <c r="CG46" s="12"/>
      <c r="CH46" s="335">
        <v>0</v>
      </c>
      <c r="CI46" s="335">
        <v>0</v>
      </c>
      <c r="EX46" s="10" t="str">
        <f t="shared" si="0"/>
        <v/>
      </c>
    </row>
    <row r="47" spans="1:154" s="335" customFormat="1" x14ac:dyDescent="0.25">
      <c r="A47" s="362" cm="1">
        <f t="array" aca="1" ref="A47" ca="1">HYPERLINK(CONCATENATE("#",CELL("address",IF(SUM($CA47:$CG47)=0,A47,INDEX($CA47:$CG47,MATCH(1,$CA47:$CG47,0))))),SUM($CA47:$CG47))</f>
        <v>0</v>
      </c>
      <c r="B47" s="93"/>
      <c r="C47" s="343" t="str">
        <f>REPLACE('Opening Balances'!$C$16, LEN('Opening Balances'!$C$16)-1, 1, "C")</f>
        <v>B-1g-CB</v>
      </c>
      <c r="D47" s="117" t="s">
        <v>97</v>
      </c>
      <c r="E47" s="39"/>
      <c r="G47" s="46"/>
      <c r="H47" s="47" t="s">
        <v>92</v>
      </c>
      <c r="V47" s="13">
        <f>'Opening Balances'!$W$16</f>
        <v>0</v>
      </c>
      <c r="W47" s="10">
        <f>INDEX($AA47:$BJ47, MATCH(W$5, $AA$5:$BJ$5))</f>
        <v>0</v>
      </c>
      <c r="X47" s="10">
        <f>INDEX($AA47:$BJ47, MATCH(X$5, $AA$5:$BJ$5))</f>
        <v>0</v>
      </c>
      <c r="Y47" s="10">
        <f>INDEX($AA47:$BJ47, MATCH(Y$5, $AA$5:$BJ$5))</f>
        <v>0</v>
      </c>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L47" s="10">
        <f>V47</f>
        <v>0</v>
      </c>
      <c r="BM47" s="10">
        <f>W47</f>
        <v>0</v>
      </c>
      <c r="BN47" s="10">
        <f>X47</f>
        <v>0</v>
      </c>
      <c r="BO47" s="10">
        <f>Y47</f>
        <v>0</v>
      </c>
      <c r="BP47" s="141"/>
      <c r="BQ47" s="141"/>
      <c r="BR47" s="141"/>
      <c r="BS47" s="141"/>
      <c r="BT47" s="141"/>
      <c r="BU47" s="141"/>
      <c r="BV47" s="141"/>
      <c r="BW47" s="141"/>
      <c r="BY47" s="12"/>
      <c r="BZ47" s="363">
        <f>IF(MIN($V47:$BW47)&lt;0, 1, 0)</f>
        <v>0</v>
      </c>
      <c r="CA47" s="12"/>
      <c r="CF47" s="7">
        <f>IF(SUM(V47:Y47)=SUM(BL47:BO47), 0, 1)</f>
        <v>0</v>
      </c>
      <c r="CG47" s="12"/>
      <c r="CH47" s="335">
        <v>0</v>
      </c>
      <c r="CI47" s="335">
        <v>1</v>
      </c>
      <c r="EX47" s="13" t="str">
        <f>IF($C47="","",CONCATENATE(D46," ",D47))</f>
        <v>Debtors falling due after one year Closing Balance</v>
      </c>
    </row>
    <row r="48" spans="1:154" s="335" customFormat="1" ht="8.1" customHeight="1" x14ac:dyDescent="0.25">
      <c r="C48" s="385"/>
      <c r="D48" s="1"/>
      <c r="G48" s="48"/>
      <c r="H48" s="48"/>
      <c r="BM48" s="6"/>
      <c r="BY48" s="12"/>
      <c r="CA48" s="12"/>
      <c r="CG48" s="12"/>
      <c r="CH48" s="335">
        <v>0</v>
      </c>
      <c r="CI48" s="335">
        <v>0</v>
      </c>
      <c r="EX48" s="10" t="str">
        <f t="shared" si="0"/>
        <v/>
      </c>
    </row>
    <row r="49" spans="1:154" s="67" customFormat="1" x14ac:dyDescent="0.25">
      <c r="A49" s="40"/>
      <c r="B49" s="40"/>
      <c r="C49" s="381"/>
      <c r="D49" s="40" t="s">
        <v>105</v>
      </c>
      <c r="E49" s="40"/>
      <c r="F49" s="40"/>
      <c r="G49" s="49"/>
      <c r="H49" s="49"/>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12"/>
      <c r="BZ49" s="335"/>
      <c r="CA49" s="12"/>
      <c r="CE49" s="335"/>
      <c r="CF49" s="321"/>
      <c r="CG49" s="12"/>
      <c r="CH49" s="67">
        <v>0</v>
      </c>
      <c r="CI49" s="67">
        <v>0</v>
      </c>
      <c r="EU49" s="335"/>
      <c r="EX49" s="10" t="str">
        <f t="shared" si="0"/>
        <v/>
      </c>
    </row>
    <row r="50" spans="1:154" s="67" customFormat="1" ht="8.1" customHeight="1" x14ac:dyDescent="0.25">
      <c r="C50" s="385"/>
      <c r="D50" s="1"/>
      <c r="G50" s="48"/>
      <c r="H50" s="48"/>
      <c r="S50" s="335"/>
      <c r="BM50" s="6"/>
      <c r="BY50" s="12"/>
      <c r="BZ50" s="335"/>
      <c r="CA50" s="12"/>
      <c r="CE50" s="335"/>
      <c r="CF50" s="321"/>
      <c r="CG50" s="12"/>
      <c r="CH50" s="67">
        <v>0</v>
      </c>
      <c r="CI50" s="67">
        <v>0</v>
      </c>
      <c r="EU50" s="335"/>
      <c r="EX50" s="10" t="str">
        <f t="shared" si="0"/>
        <v/>
      </c>
    </row>
    <row r="51" spans="1:154" s="67" customFormat="1" x14ac:dyDescent="0.25">
      <c r="B51" s="335"/>
      <c r="C51" s="385"/>
      <c r="D51" s="27" t="s">
        <v>106</v>
      </c>
      <c r="G51" s="48"/>
      <c r="H51" s="48"/>
      <c r="S51" s="335"/>
      <c r="AB51" s="319"/>
      <c r="AC51" s="319"/>
      <c r="AD51" s="319"/>
      <c r="AE51" s="319"/>
      <c r="AF51" s="319"/>
      <c r="AG51" s="319"/>
      <c r="AH51" s="319"/>
      <c r="AI51" s="319"/>
      <c r="AJ51" s="319"/>
      <c r="AK51" s="319"/>
      <c r="AL51" s="319"/>
      <c r="AM51" s="335"/>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21"/>
      <c r="BM51" s="6"/>
      <c r="BN51" s="321"/>
      <c r="BO51" s="321"/>
      <c r="BY51" s="12"/>
      <c r="BZ51" s="335"/>
      <c r="CA51" s="12"/>
      <c r="CE51" s="335"/>
      <c r="CF51" s="321"/>
      <c r="CG51" s="12"/>
      <c r="CH51" s="67">
        <v>0</v>
      </c>
      <c r="CI51" s="67">
        <v>0</v>
      </c>
      <c r="EU51" s="335"/>
      <c r="EX51" s="10" t="str">
        <f t="shared" si="0"/>
        <v/>
      </c>
    </row>
    <row r="52" spans="1:154" s="67" customFormat="1" x14ac:dyDescent="0.25">
      <c r="A52" s="362" cm="1">
        <f t="array" aca="1" ref="A52" ca="1">HYPERLINK(CONCATENATE("#",CELL("address",IF(SUM($CA52:$CG52)=0,A52,INDEX($CA52:$CG52,MATCH(1,$CA52:$CG52,0))))),SUM($CA52:$CG52))</f>
        <v>0</v>
      </c>
      <c r="C52" s="340" t="str">
        <f>'Investing Inputs'!C271</f>
        <v>B-2a-CB</v>
      </c>
      <c r="D52" s="39" t="s">
        <v>97</v>
      </c>
      <c r="E52" s="39"/>
      <c r="G52" s="46"/>
      <c r="H52" s="47" t="s">
        <v>92</v>
      </c>
      <c r="O52" s="335"/>
      <c r="P52" s="335"/>
      <c r="Q52" s="335"/>
      <c r="R52" s="335"/>
      <c r="S52" s="335"/>
      <c r="T52" s="335"/>
      <c r="U52" s="335"/>
      <c r="V52" s="10">
        <f>'Investing Inputs'!V$271</f>
        <v>0</v>
      </c>
      <c r="W52" s="10">
        <f>'Investing Inputs'!W$271</f>
        <v>0</v>
      </c>
      <c r="X52" s="10">
        <f>'Investing Inputs'!X$271</f>
        <v>0</v>
      </c>
      <c r="Y52" s="10">
        <f>'Investing Inputs'!Y$271</f>
        <v>0</v>
      </c>
      <c r="AA52" s="10">
        <f>'Investing Inputs'!AA$271</f>
        <v>0</v>
      </c>
      <c r="AB52" s="10">
        <f>'Investing Inputs'!AB$271</f>
        <v>0</v>
      </c>
      <c r="AC52" s="10">
        <f>'Investing Inputs'!AC$271</f>
        <v>0</v>
      </c>
      <c r="AD52" s="10">
        <f>'Investing Inputs'!AD$271</f>
        <v>0</v>
      </c>
      <c r="AE52" s="10">
        <f>'Investing Inputs'!AE$271</f>
        <v>0</v>
      </c>
      <c r="AF52" s="10">
        <f>'Investing Inputs'!AF$271</f>
        <v>0</v>
      </c>
      <c r="AG52" s="10">
        <f>'Investing Inputs'!AG$271</f>
        <v>0</v>
      </c>
      <c r="AH52" s="10">
        <f>'Investing Inputs'!AH$271</f>
        <v>0</v>
      </c>
      <c r="AI52" s="10">
        <f>'Investing Inputs'!AI$271</f>
        <v>0</v>
      </c>
      <c r="AJ52" s="10">
        <f>'Investing Inputs'!AJ$271</f>
        <v>0</v>
      </c>
      <c r="AK52" s="10">
        <f>'Investing Inputs'!AK$271</f>
        <v>0</v>
      </c>
      <c r="AL52" s="10">
        <f>'Investing Inputs'!AL$271</f>
        <v>0</v>
      </c>
      <c r="AM52" s="10">
        <f>'Investing Inputs'!AM$271</f>
        <v>0</v>
      </c>
      <c r="AN52" s="10">
        <f>'Investing Inputs'!AN$271</f>
        <v>0</v>
      </c>
      <c r="AO52" s="10">
        <f>'Investing Inputs'!AO$271</f>
        <v>0</v>
      </c>
      <c r="AP52" s="10">
        <f>'Investing Inputs'!AP$271</f>
        <v>0</v>
      </c>
      <c r="AQ52" s="10">
        <f>'Investing Inputs'!AQ$271</f>
        <v>0</v>
      </c>
      <c r="AR52" s="10">
        <f>'Investing Inputs'!AR$271</f>
        <v>0</v>
      </c>
      <c r="AS52" s="10">
        <f>'Investing Inputs'!AS$271</f>
        <v>0</v>
      </c>
      <c r="AT52" s="10">
        <f>'Investing Inputs'!AT$271</f>
        <v>0</v>
      </c>
      <c r="AU52" s="10">
        <f>'Investing Inputs'!AU$271</f>
        <v>0</v>
      </c>
      <c r="AV52" s="10">
        <f>'Investing Inputs'!AV$271</f>
        <v>0</v>
      </c>
      <c r="AW52" s="10">
        <f>'Investing Inputs'!AW$271</f>
        <v>0</v>
      </c>
      <c r="AX52" s="10">
        <f>'Investing Inputs'!AX$271</f>
        <v>0</v>
      </c>
      <c r="AY52" s="10">
        <f>'Investing Inputs'!AY$271</f>
        <v>0</v>
      </c>
      <c r="AZ52" s="10">
        <f>'Investing Inputs'!AZ$271</f>
        <v>0</v>
      </c>
      <c r="BA52" s="10">
        <f>'Investing Inputs'!BA$271</f>
        <v>0</v>
      </c>
      <c r="BB52" s="10">
        <f>'Investing Inputs'!BB$271</f>
        <v>0</v>
      </c>
      <c r="BC52" s="10">
        <f>'Investing Inputs'!BC$271</f>
        <v>0</v>
      </c>
      <c r="BD52" s="10">
        <f>'Investing Inputs'!BD$271</f>
        <v>0</v>
      </c>
      <c r="BE52" s="10">
        <f>'Investing Inputs'!BE$271</f>
        <v>0</v>
      </c>
      <c r="BF52" s="10">
        <f>'Investing Inputs'!BF$271</f>
        <v>0</v>
      </c>
      <c r="BG52" s="10">
        <f>'Investing Inputs'!BG$271</f>
        <v>0</v>
      </c>
      <c r="BH52" s="10">
        <f>'Investing Inputs'!BH$271</f>
        <v>0</v>
      </c>
      <c r="BI52" s="10">
        <f>'Investing Inputs'!BI$271</f>
        <v>0</v>
      </c>
      <c r="BJ52" s="10">
        <f>'Investing Inputs'!BJ$271</f>
        <v>0</v>
      </c>
      <c r="BL52" s="10">
        <f>'Investing Inputs'!BL$271</f>
        <v>0</v>
      </c>
      <c r="BM52" s="10">
        <f>'Investing Inputs'!BM$271</f>
        <v>0</v>
      </c>
      <c r="BN52" s="10">
        <f>'Investing Inputs'!BN$271</f>
        <v>0</v>
      </c>
      <c r="BO52" s="10">
        <f>'Investing Inputs'!BO$271</f>
        <v>0</v>
      </c>
      <c r="BP52" s="10">
        <f>'Investing Inputs'!BP$271</f>
        <v>0</v>
      </c>
      <c r="BQ52" s="10">
        <f>'Investing Inputs'!BQ$271</f>
        <v>0</v>
      </c>
      <c r="BR52" s="10">
        <f>'Investing Inputs'!BR$271</f>
        <v>0</v>
      </c>
      <c r="BS52" s="10">
        <f>'Investing Inputs'!BS$271</f>
        <v>0</v>
      </c>
      <c r="BT52" s="10">
        <f>'Investing Inputs'!BT$271</f>
        <v>0</v>
      </c>
      <c r="BU52" s="10">
        <f>'Investing Inputs'!BU$271</f>
        <v>0</v>
      </c>
      <c r="BV52" s="10">
        <f>'Investing Inputs'!BV$271</f>
        <v>0</v>
      </c>
      <c r="BW52" s="10">
        <f>'Investing Inputs'!BW$271</f>
        <v>0</v>
      </c>
      <c r="BY52" s="12"/>
      <c r="BZ52" s="335"/>
      <c r="CA52" s="12"/>
      <c r="CE52" s="335"/>
      <c r="CF52" s="7">
        <f>IF(SUM(V52:Y52)=SUM(BL52:BO52), 0, 1)</f>
        <v>0</v>
      </c>
      <c r="CG52" s="12"/>
      <c r="CH52" s="67">
        <v>0</v>
      </c>
      <c r="CI52" s="67">
        <v>0</v>
      </c>
      <c r="EU52" s="335"/>
      <c r="EX52" s="13" t="str">
        <f>IF($C52="","",CONCATENATE(D51," ",D52))</f>
        <v>Assets Held for Sale  Closing Balance</v>
      </c>
    </row>
    <row r="53" spans="1:154" s="67" customFormat="1" ht="8.1" customHeight="1" x14ac:dyDescent="0.25">
      <c r="C53" s="385"/>
      <c r="D53" s="1"/>
      <c r="G53" s="48"/>
      <c r="H53" s="48"/>
      <c r="O53" s="335"/>
      <c r="P53" s="335"/>
      <c r="Q53" s="335"/>
      <c r="R53" s="335"/>
      <c r="S53" s="335"/>
      <c r="T53" s="335"/>
      <c r="U53" s="335"/>
      <c r="BM53" s="6"/>
      <c r="BY53" s="12"/>
      <c r="BZ53" s="335"/>
      <c r="CA53" s="12"/>
      <c r="CE53" s="335"/>
      <c r="CF53" s="321"/>
      <c r="CG53" s="12"/>
      <c r="CH53" s="67">
        <v>0</v>
      </c>
      <c r="CI53" s="67">
        <v>0</v>
      </c>
      <c r="EU53" s="335"/>
      <c r="EX53" s="10" t="str">
        <f t="shared" si="0"/>
        <v/>
      </c>
    </row>
    <row r="54" spans="1:154" s="67" customFormat="1" x14ac:dyDescent="0.25">
      <c r="B54" s="29"/>
      <c r="C54" s="386"/>
      <c r="D54" s="27" t="s">
        <v>107</v>
      </c>
      <c r="G54" s="48"/>
      <c r="H54" s="48"/>
      <c r="O54" s="335"/>
      <c r="P54" s="335"/>
      <c r="Q54" s="335"/>
      <c r="R54" s="335"/>
      <c r="S54" s="335"/>
      <c r="T54" s="335"/>
      <c r="U54" s="335"/>
      <c r="AM54" s="335"/>
      <c r="BM54" s="6"/>
      <c r="BN54" s="6"/>
      <c r="BY54" s="12"/>
      <c r="BZ54" s="335"/>
      <c r="CA54" s="12"/>
      <c r="CE54" s="335"/>
      <c r="CF54" s="321"/>
      <c r="CG54" s="12"/>
      <c r="CH54" s="67">
        <v>0</v>
      </c>
      <c r="CI54" s="67">
        <v>0</v>
      </c>
      <c r="EU54" s="335"/>
      <c r="EX54" s="10" t="str">
        <f t="shared" si="0"/>
        <v/>
      </c>
    </row>
    <row r="55" spans="1:154" s="67" customFormat="1" x14ac:dyDescent="0.25">
      <c r="A55" s="362" cm="1">
        <f t="array" aca="1" ref="A55" ca="1">HYPERLINK(CONCATENATE("#",CELL("address",IF(SUM($CA55:$CG55)=0,A55,INDEX($CA55:$CG55,MATCH(1,$CA55:$CG55,0))))),SUM($CA55:$CG55))</f>
        <v>0</v>
      </c>
      <c r="B55" s="93"/>
      <c r="C55" s="343" t="s">
        <v>1397</v>
      </c>
      <c r="D55" s="117" t="s">
        <v>110</v>
      </c>
      <c r="E55" s="335"/>
      <c r="F55" s="93"/>
      <c r="G55" s="351"/>
      <c r="H55" s="47" t="s">
        <v>86</v>
      </c>
      <c r="O55" s="335"/>
      <c r="P55" s="335"/>
      <c r="Q55" s="335"/>
      <c r="R55" s="335"/>
      <c r="S55" s="335"/>
      <c r="T55" s="335"/>
      <c r="U55" s="335"/>
      <c r="V55" s="141"/>
      <c r="W55" s="215">
        <f xml:space="preserve"> SUMIFS($AA55:$BJ55, $AA$3:$BJ$3, W$3)</f>
        <v>0</v>
      </c>
      <c r="X55" s="215">
        <f xml:space="preserve"> SUMIFS($AA55:$BJ55, $AA$3:$BJ$3, X$3)</f>
        <v>0</v>
      </c>
      <c r="Y55" s="215">
        <f xml:space="preserve"> SUMIFS($AA55:$BJ55, $AA$3:$BJ$3, Y$3)</f>
        <v>0</v>
      </c>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L55" s="10">
        <f t="shared" ref="BL55:BO56" si="25">V55</f>
        <v>0</v>
      </c>
      <c r="BM55" s="10">
        <f t="shared" si="25"/>
        <v>0</v>
      </c>
      <c r="BN55" s="10">
        <f t="shared" si="25"/>
        <v>0</v>
      </c>
      <c r="BO55" s="10">
        <f t="shared" si="25"/>
        <v>0</v>
      </c>
      <c r="BP55" s="141"/>
      <c r="BQ55" s="141"/>
      <c r="BR55" s="141"/>
      <c r="BS55" s="141"/>
      <c r="BT55" s="141"/>
      <c r="BU55" s="141"/>
      <c r="BV55" s="141"/>
      <c r="BW55" s="141"/>
      <c r="BY55" s="12"/>
      <c r="BZ55" s="335"/>
      <c r="CA55" s="12"/>
      <c r="CE55" s="335"/>
      <c r="CF55" s="7">
        <f>IF(SUM(V55:Y55)=SUM(BL55:BO55), 0, 1)</f>
        <v>0</v>
      </c>
      <c r="CG55" s="12"/>
      <c r="CH55" s="67">
        <v>1</v>
      </c>
      <c r="CI55" s="67">
        <v>1</v>
      </c>
      <c r="EU55" s="335"/>
      <c r="EX55" s="13" t="str">
        <f>IF($C55="","",CONCATENATE(D$54," ",D55))</f>
        <v>Stock Revaluations/(write-offs) (to SOCI other G/L)</v>
      </c>
    </row>
    <row r="56" spans="1:154" s="67" customFormat="1" x14ac:dyDescent="0.25">
      <c r="A56" s="362" cm="1">
        <f t="array" aca="1" ref="A56" ca="1">HYPERLINK(CONCATENATE("#",CELL("address",IF(SUM($CA56:$CG56)=0,A56,INDEX($CA56:$CG56,MATCH(1,$CA56:$CG56,0))))),SUM($CA56:$CG56))</f>
        <v>0</v>
      </c>
      <c r="B56" s="93"/>
      <c r="C56" s="343" t="str">
        <f>REPLACE('Opening Balances'!$C$22, LEN('Opening Balances'!$C$22)-1, 1, "C")</f>
        <v>B-2b-CB</v>
      </c>
      <c r="D56" s="117" t="s">
        <v>97</v>
      </c>
      <c r="E56" s="39"/>
      <c r="G56" s="46"/>
      <c r="H56" s="47" t="s">
        <v>92</v>
      </c>
      <c r="O56" s="335"/>
      <c r="P56" s="335"/>
      <c r="Q56" s="335"/>
      <c r="R56" s="335"/>
      <c r="S56" s="335"/>
      <c r="T56" s="335"/>
      <c r="U56" s="335"/>
      <c r="V56" s="13">
        <f>'Opening Balances'!W22</f>
        <v>34</v>
      </c>
      <c r="W56" s="10">
        <f>INDEX($AA56:$BJ56, MATCH(W$5, $AA$5:$BJ$5))</f>
        <v>26</v>
      </c>
      <c r="X56" s="10">
        <f>INDEX($AA56:$BJ56, MATCH(X$5, $AA$5:$BJ$5))</f>
        <v>30</v>
      </c>
      <c r="Y56" s="10">
        <f>INDEX($AA56:$BJ56, MATCH(Y$5, $AA$5:$BJ$5))</f>
        <v>30</v>
      </c>
      <c r="AA56" s="147">
        <v>26</v>
      </c>
      <c r="AB56" s="147">
        <v>26</v>
      </c>
      <c r="AC56" s="147">
        <v>26</v>
      </c>
      <c r="AD56" s="147">
        <v>26</v>
      </c>
      <c r="AE56" s="147">
        <v>26</v>
      </c>
      <c r="AF56" s="147">
        <v>26</v>
      </c>
      <c r="AG56" s="147">
        <v>26</v>
      </c>
      <c r="AH56" s="147">
        <v>26</v>
      </c>
      <c r="AI56" s="147">
        <v>26</v>
      </c>
      <c r="AJ56" s="147">
        <v>26</v>
      </c>
      <c r="AK56" s="147">
        <v>26</v>
      </c>
      <c r="AL56" s="147">
        <v>26</v>
      </c>
      <c r="AM56" s="147">
        <v>26</v>
      </c>
      <c r="AN56" s="147">
        <v>30</v>
      </c>
      <c r="AO56" s="147">
        <v>30</v>
      </c>
      <c r="AP56" s="147">
        <v>30</v>
      </c>
      <c r="AQ56" s="147">
        <v>30</v>
      </c>
      <c r="AR56" s="147">
        <v>30</v>
      </c>
      <c r="AS56" s="147">
        <v>30</v>
      </c>
      <c r="AT56" s="147">
        <v>30</v>
      </c>
      <c r="AU56" s="147">
        <v>30</v>
      </c>
      <c r="AV56" s="147">
        <v>30</v>
      </c>
      <c r="AW56" s="147">
        <v>30</v>
      </c>
      <c r="AX56" s="147">
        <v>30</v>
      </c>
      <c r="AY56" s="147">
        <v>30</v>
      </c>
      <c r="AZ56" s="147">
        <v>30</v>
      </c>
      <c r="BA56" s="147">
        <v>30</v>
      </c>
      <c r="BB56" s="147">
        <v>30</v>
      </c>
      <c r="BC56" s="147">
        <v>30</v>
      </c>
      <c r="BD56" s="147">
        <v>30</v>
      </c>
      <c r="BE56" s="147">
        <v>30</v>
      </c>
      <c r="BF56" s="147">
        <v>30</v>
      </c>
      <c r="BG56" s="147">
        <v>30</v>
      </c>
      <c r="BH56" s="147">
        <v>30</v>
      </c>
      <c r="BI56" s="147">
        <v>30</v>
      </c>
      <c r="BJ56" s="147">
        <v>30</v>
      </c>
      <c r="BL56" s="10">
        <f t="shared" si="25"/>
        <v>34</v>
      </c>
      <c r="BM56" s="10">
        <f t="shared" si="25"/>
        <v>26</v>
      </c>
      <c r="BN56" s="10">
        <f t="shared" si="25"/>
        <v>30</v>
      </c>
      <c r="BO56" s="10">
        <f t="shared" si="25"/>
        <v>30</v>
      </c>
      <c r="BP56" s="141"/>
      <c r="BQ56" s="141"/>
      <c r="BR56" s="141"/>
      <c r="BS56" s="141"/>
      <c r="BT56" s="141"/>
      <c r="BU56" s="141"/>
      <c r="BV56" s="141"/>
      <c r="BW56" s="141"/>
      <c r="BY56" s="12"/>
      <c r="BZ56" s="335"/>
      <c r="CA56" s="12"/>
      <c r="CE56" s="335"/>
      <c r="CF56" s="7">
        <f>IF(SUM(V56:Y56)=SUM(BL56:BO56), 0, 1)</f>
        <v>0</v>
      </c>
      <c r="CG56" s="12"/>
      <c r="CH56" s="67">
        <v>0</v>
      </c>
      <c r="CI56" s="67">
        <v>1</v>
      </c>
      <c r="EU56" s="335"/>
      <c r="EX56" s="13" t="str">
        <f>IF($C56="","",CONCATENATE(D$54," ",D56))</f>
        <v>Stock Closing Balance</v>
      </c>
    </row>
    <row r="57" spans="1:154" s="67" customFormat="1" ht="8.1" customHeight="1" x14ac:dyDescent="0.25">
      <c r="B57" s="93"/>
      <c r="C57" s="386"/>
      <c r="D57" s="177"/>
      <c r="G57" s="48"/>
      <c r="H57" s="48"/>
      <c r="O57" s="335"/>
      <c r="P57" s="335"/>
      <c r="Q57" s="335"/>
      <c r="R57" s="335"/>
      <c r="S57" s="335"/>
      <c r="T57" s="335"/>
      <c r="U57" s="335"/>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c r="BB57" s="332"/>
      <c r="BC57" s="332"/>
      <c r="BD57" s="332"/>
      <c r="BE57" s="332"/>
      <c r="BF57" s="332"/>
      <c r="BG57" s="332"/>
      <c r="BH57" s="332"/>
      <c r="BI57" s="332"/>
      <c r="BJ57" s="332"/>
      <c r="BM57" s="6"/>
      <c r="BY57" s="12"/>
      <c r="BZ57" s="335"/>
      <c r="CA57" s="12"/>
      <c r="CE57" s="335"/>
      <c r="CF57" s="321"/>
      <c r="CG57" s="12"/>
      <c r="CH57" s="67">
        <v>0</v>
      </c>
      <c r="CI57" s="67">
        <v>0</v>
      </c>
      <c r="EU57" s="335"/>
      <c r="EX57" s="10" t="str">
        <f t="shared" si="0"/>
        <v/>
      </c>
    </row>
    <row r="58" spans="1:154" s="67" customFormat="1" x14ac:dyDescent="0.25">
      <c r="B58" s="94"/>
      <c r="C58" s="386"/>
      <c r="D58" s="185" t="s">
        <v>109</v>
      </c>
      <c r="G58" s="48"/>
      <c r="H58" s="48"/>
      <c r="O58" s="335"/>
      <c r="P58" s="335"/>
      <c r="Q58" s="335"/>
      <c r="R58" s="335"/>
      <c r="S58" s="335"/>
      <c r="T58" s="335"/>
      <c r="U58" s="335"/>
      <c r="AA58" s="332"/>
      <c r="AB58" s="332"/>
      <c r="AC58" s="332"/>
      <c r="AD58" s="332"/>
      <c r="AE58" s="332"/>
      <c r="AF58" s="332"/>
      <c r="AG58" s="332"/>
      <c r="AH58" s="332"/>
      <c r="AI58" s="332"/>
      <c r="AJ58" s="332"/>
      <c r="AK58" s="332"/>
      <c r="AL58" s="332"/>
      <c r="AM58" s="335"/>
      <c r="AN58" s="332"/>
      <c r="AO58" s="332"/>
      <c r="AP58" s="332"/>
      <c r="AQ58" s="332"/>
      <c r="AR58" s="332"/>
      <c r="AS58" s="332"/>
      <c r="AT58" s="332"/>
      <c r="AU58" s="332"/>
      <c r="AV58" s="332"/>
      <c r="AW58" s="332"/>
      <c r="AX58" s="332"/>
      <c r="AY58" s="332"/>
      <c r="AZ58" s="332"/>
      <c r="BA58" s="319"/>
      <c r="BB58" s="332"/>
      <c r="BC58" s="332"/>
      <c r="BD58" s="332"/>
      <c r="BE58" s="332"/>
      <c r="BF58" s="332"/>
      <c r="BG58" s="332"/>
      <c r="BH58" s="332"/>
      <c r="BI58" s="332"/>
      <c r="BJ58" s="332"/>
      <c r="BK58" s="319"/>
      <c r="BM58" s="6"/>
      <c r="BN58" s="6"/>
      <c r="BY58" s="12"/>
      <c r="BZ58" s="335"/>
      <c r="CA58" s="12"/>
      <c r="CE58" s="335"/>
      <c r="CF58" s="321"/>
      <c r="CG58" s="12"/>
      <c r="CH58" s="67">
        <v>0</v>
      </c>
      <c r="CI58" s="67">
        <v>0</v>
      </c>
      <c r="EU58" s="335"/>
      <c r="EX58" s="10" t="str">
        <f t="shared" si="0"/>
        <v/>
      </c>
    </row>
    <row r="59" spans="1:154" s="67" customFormat="1" x14ac:dyDescent="0.25">
      <c r="A59" s="362" cm="1">
        <f t="array" aca="1" ref="A59" ca="1">HYPERLINK(CONCATENATE("#",CELL("address",IF(SUM($CA59:$CG59)=0,A59,INDEX($CA59:$CG59,MATCH(1,$CA59:$CG59,0))))),SUM($CA59:$CG59))</f>
        <v>0</v>
      </c>
      <c r="B59" s="93"/>
      <c r="C59" s="343" t="s">
        <v>1398</v>
      </c>
      <c r="D59" s="117" t="s">
        <v>111</v>
      </c>
      <c r="E59" s="39"/>
      <c r="G59" s="46"/>
      <c r="H59" s="47" t="s">
        <v>98</v>
      </c>
      <c r="O59" s="335"/>
      <c r="P59" s="335"/>
      <c r="Q59" s="335"/>
      <c r="R59" s="335"/>
      <c r="S59" s="335"/>
      <c r="T59" s="335"/>
      <c r="U59" s="335"/>
      <c r="V59" s="141"/>
      <c r="W59" s="215">
        <f xml:space="preserve"> SUMIFS($AA59:$BJ59, $AA$3:$BJ$3, W$3)</f>
        <v>0</v>
      </c>
      <c r="X59" s="215">
        <f xml:space="preserve"> SUMIFS($AA59:$BJ59, $AA$3:$BJ$3, X$3)</f>
        <v>0</v>
      </c>
      <c r="Y59" s="215">
        <f xml:space="preserve"> SUMIFS($AA59:$BJ59, $AA$3:$BJ$3, Y$3)</f>
        <v>0</v>
      </c>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L59" s="10">
        <f t="shared" ref="BL59:BO60" si="26">V59</f>
        <v>0</v>
      </c>
      <c r="BM59" s="10">
        <f t="shared" si="26"/>
        <v>0</v>
      </c>
      <c r="BN59" s="10">
        <f t="shared" si="26"/>
        <v>0</v>
      </c>
      <c r="BO59" s="10">
        <f t="shared" si="26"/>
        <v>0</v>
      </c>
      <c r="BP59" s="141"/>
      <c r="BQ59" s="141"/>
      <c r="BR59" s="141"/>
      <c r="BS59" s="141"/>
      <c r="BT59" s="141"/>
      <c r="BU59" s="141"/>
      <c r="BV59" s="141"/>
      <c r="BW59" s="141"/>
      <c r="BY59" s="12"/>
      <c r="BZ59" s="363">
        <f>IF(MAX($V59:$BW59)&gt;0, 1, 0)</f>
        <v>0</v>
      </c>
      <c r="CA59" s="12"/>
      <c r="CE59" s="335"/>
      <c r="CF59" s="7">
        <f>IF(SUM(V59:Y59)=SUM(BL59:BO59), 0, 1)</f>
        <v>0</v>
      </c>
      <c r="CG59" s="12"/>
      <c r="CH59" s="67">
        <v>1</v>
      </c>
      <c r="CI59" s="67">
        <v>1</v>
      </c>
      <c r="EU59" s="335"/>
      <c r="EX59" s="13" t="str">
        <f>IF($C59="","",CONCATENATE(D$58," ",D59))</f>
        <v>Trade Receivables Bad debt write-off</v>
      </c>
    </row>
    <row r="60" spans="1:154" s="67" customFormat="1" x14ac:dyDescent="0.25">
      <c r="A60" s="362" cm="1">
        <f t="array" aca="1" ref="A60" ca="1">HYPERLINK(CONCATENATE("#",CELL("address",IF(SUM($CA60:$CG60)=0,A60,INDEX($CA60:$CG60,MATCH(1,$CA60:$CG60,0))))),SUM($CA60:$CG60))</f>
        <v>0</v>
      </c>
      <c r="B60" s="93"/>
      <c r="C60" s="343" t="str">
        <f>REPLACE('Opening Balances'!$C$23, LEN('Opening Balances'!$C$23)-1, 1, "C")</f>
        <v>B-2c-CB</v>
      </c>
      <c r="D60" s="117" t="s">
        <v>97</v>
      </c>
      <c r="E60" s="39"/>
      <c r="G60" s="46"/>
      <c r="H60" s="47" t="s">
        <v>92</v>
      </c>
      <c r="O60" s="335"/>
      <c r="P60" s="335"/>
      <c r="Q60" s="335"/>
      <c r="R60" s="335"/>
      <c r="S60" s="335"/>
      <c r="T60" s="335"/>
      <c r="U60" s="335"/>
      <c r="V60" s="13">
        <f>'Opening Balances'!W23</f>
        <v>314</v>
      </c>
      <c r="W60" s="10">
        <f>INDEX($AA60:$BJ60, MATCH(W$5, $AA$5:$BJ$5))</f>
        <v>1125</v>
      </c>
      <c r="X60" s="10">
        <f>INDEX($AA60:$BJ60, MATCH(X$5, $AA$5:$BJ$5))</f>
        <v>1150</v>
      </c>
      <c r="Y60" s="10">
        <f>INDEX($AA60:$BJ60, MATCH(Y$5, $AA$5:$BJ$5))</f>
        <v>1100</v>
      </c>
      <c r="AA60" s="147">
        <v>1000</v>
      </c>
      <c r="AB60" s="147">
        <v>1300</v>
      </c>
      <c r="AC60" s="147">
        <v>1300</v>
      </c>
      <c r="AD60" s="147">
        <v>1300</v>
      </c>
      <c r="AE60" s="147">
        <v>1200</v>
      </c>
      <c r="AF60" s="147">
        <v>1200</v>
      </c>
      <c r="AG60" s="147">
        <v>1200</v>
      </c>
      <c r="AH60" s="147">
        <v>1200</v>
      </c>
      <c r="AI60" s="147">
        <v>1200</v>
      </c>
      <c r="AJ60" s="147">
        <v>1200</v>
      </c>
      <c r="AK60" s="147">
        <v>1150</v>
      </c>
      <c r="AL60" s="147">
        <v>1125</v>
      </c>
      <c r="AM60" s="147">
        <v>1125</v>
      </c>
      <c r="AN60" s="147">
        <v>1250</v>
      </c>
      <c r="AO60" s="147">
        <v>1250</v>
      </c>
      <c r="AP60" s="147">
        <v>1250</v>
      </c>
      <c r="AQ60" s="147">
        <v>1250</v>
      </c>
      <c r="AR60" s="147">
        <v>1250</v>
      </c>
      <c r="AS60" s="147">
        <v>1150</v>
      </c>
      <c r="AT60" s="147">
        <v>1150</v>
      </c>
      <c r="AU60" s="147">
        <v>1150</v>
      </c>
      <c r="AV60" s="147">
        <v>1150</v>
      </c>
      <c r="AW60" s="147">
        <v>1150</v>
      </c>
      <c r="AX60" s="147">
        <v>1150</v>
      </c>
      <c r="AY60" s="147">
        <v>1150</v>
      </c>
      <c r="AZ60" s="147">
        <v>1250</v>
      </c>
      <c r="BA60" s="147">
        <v>1250</v>
      </c>
      <c r="BB60" s="147">
        <v>1250</v>
      </c>
      <c r="BC60" s="147">
        <v>1250</v>
      </c>
      <c r="BD60" s="147">
        <v>1200</v>
      </c>
      <c r="BE60" s="147">
        <v>1200</v>
      </c>
      <c r="BF60" s="147">
        <v>1200</v>
      </c>
      <c r="BG60" s="147">
        <v>1100</v>
      </c>
      <c r="BH60" s="147">
        <v>1100</v>
      </c>
      <c r="BI60" s="147">
        <v>1100</v>
      </c>
      <c r="BJ60" s="147">
        <v>1100</v>
      </c>
      <c r="BL60" s="10">
        <f t="shared" si="26"/>
        <v>314</v>
      </c>
      <c r="BM60" s="10">
        <f t="shared" si="26"/>
        <v>1125</v>
      </c>
      <c r="BN60" s="10">
        <f t="shared" si="26"/>
        <v>1150</v>
      </c>
      <c r="BO60" s="10">
        <f t="shared" si="26"/>
        <v>1100</v>
      </c>
      <c r="BP60" s="141"/>
      <c r="BQ60" s="141"/>
      <c r="BR60" s="141"/>
      <c r="BS60" s="141"/>
      <c r="BT60" s="141"/>
      <c r="BU60" s="141"/>
      <c r="BV60" s="141"/>
      <c r="BW60" s="141"/>
      <c r="BY60" s="12"/>
      <c r="BZ60" s="363">
        <f>IF(MIN($V60:$BW60)&lt;0, 1, 0)</f>
        <v>0</v>
      </c>
      <c r="CA60" s="12"/>
      <c r="CE60" s="335"/>
      <c r="CF60" s="7">
        <f>IF(SUM(V60:Y60)=SUM(BL60:BO60), 0, 1)</f>
        <v>0</v>
      </c>
      <c r="CG60" s="12"/>
      <c r="CH60" s="67">
        <v>0</v>
      </c>
      <c r="CI60" s="67">
        <v>1</v>
      </c>
      <c r="EU60" s="335"/>
      <c r="EX60" s="13" t="str">
        <f>IF($C60="","",CONCATENATE(D$58," ",D60))</f>
        <v>Trade Receivables Closing Balance</v>
      </c>
    </row>
    <row r="61" spans="1:154" s="67" customFormat="1" ht="8.1" customHeight="1" x14ac:dyDescent="0.25">
      <c r="B61" s="93"/>
      <c r="C61" s="386"/>
      <c r="D61" s="177"/>
      <c r="G61" s="48"/>
      <c r="H61" s="48"/>
      <c r="O61" s="335"/>
      <c r="P61" s="335"/>
      <c r="Q61" s="335"/>
      <c r="R61" s="335"/>
      <c r="S61" s="335"/>
      <c r="T61" s="335"/>
      <c r="U61" s="335"/>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B61" s="332"/>
      <c r="BC61" s="332"/>
      <c r="BD61" s="332"/>
      <c r="BE61" s="332"/>
      <c r="BF61" s="332"/>
      <c r="BG61" s="332"/>
      <c r="BH61" s="332"/>
      <c r="BI61" s="332"/>
      <c r="BJ61" s="332"/>
      <c r="BM61" s="6"/>
      <c r="BY61" s="12"/>
      <c r="BZ61" s="335"/>
      <c r="CA61" s="12"/>
      <c r="CE61" s="335"/>
      <c r="CF61" s="321"/>
      <c r="CG61" s="12"/>
      <c r="CH61" s="67">
        <v>0</v>
      </c>
      <c r="CI61" s="67">
        <v>0</v>
      </c>
      <c r="EU61" s="335"/>
      <c r="EX61" s="10" t="str">
        <f t="shared" si="0"/>
        <v/>
      </c>
    </row>
    <row r="62" spans="1:154" s="67" customFormat="1" x14ac:dyDescent="0.25">
      <c r="B62" s="94"/>
      <c r="C62" s="386"/>
      <c r="D62" s="185" t="s">
        <v>112</v>
      </c>
      <c r="G62" s="48"/>
      <c r="H62" s="48"/>
      <c r="O62" s="335"/>
      <c r="P62" s="335"/>
      <c r="Q62" s="335"/>
      <c r="R62" s="335"/>
      <c r="S62" s="335"/>
      <c r="T62" s="335"/>
      <c r="U62" s="335"/>
      <c r="AA62" s="332"/>
      <c r="AB62" s="332"/>
      <c r="AC62" s="332"/>
      <c r="AD62" s="332"/>
      <c r="AE62" s="332"/>
      <c r="AF62" s="332"/>
      <c r="AG62" s="332"/>
      <c r="AH62" s="332"/>
      <c r="AI62" s="332"/>
      <c r="AJ62" s="332"/>
      <c r="AK62" s="332"/>
      <c r="AL62" s="332"/>
      <c r="AM62" s="335"/>
      <c r="AN62" s="332"/>
      <c r="AO62" s="332"/>
      <c r="AP62" s="332"/>
      <c r="AQ62" s="332"/>
      <c r="AR62" s="332"/>
      <c r="AS62" s="332"/>
      <c r="AT62" s="332"/>
      <c r="AU62" s="332"/>
      <c r="AV62" s="332"/>
      <c r="AW62" s="332"/>
      <c r="AX62" s="332"/>
      <c r="AY62" s="332"/>
      <c r="AZ62" s="332"/>
      <c r="BB62" s="332"/>
      <c r="BC62" s="332"/>
      <c r="BD62" s="332"/>
      <c r="BE62" s="332"/>
      <c r="BF62" s="332"/>
      <c r="BG62" s="332"/>
      <c r="BH62" s="332"/>
      <c r="BI62" s="332"/>
      <c r="BJ62" s="332"/>
      <c r="BM62" s="6"/>
      <c r="BN62" s="6"/>
      <c r="BY62" s="12"/>
      <c r="BZ62" s="335"/>
      <c r="CA62" s="12"/>
      <c r="CE62" s="335"/>
      <c r="CF62" s="321"/>
      <c r="CG62" s="12"/>
      <c r="CH62" s="67">
        <v>0</v>
      </c>
      <c r="CI62" s="67">
        <v>0</v>
      </c>
      <c r="EU62" s="335"/>
      <c r="EX62" s="10" t="str">
        <f t="shared" si="0"/>
        <v/>
      </c>
    </row>
    <row r="63" spans="1:154" s="67" customFormat="1" x14ac:dyDescent="0.25">
      <c r="A63" s="362" cm="1">
        <f t="array" aca="1" ref="A63" ca="1">HYPERLINK(CONCATENATE("#",CELL("address",IF(SUM($CA63:$CG63)=0,A63,INDEX($CA63:$CG63,MATCH(1,$CA63:$CG63,0))))),SUM($CA63:$CG63))</f>
        <v>0</v>
      </c>
      <c r="B63" s="93"/>
      <c r="C63" s="343" t="s">
        <v>1399</v>
      </c>
      <c r="D63" s="117" t="s">
        <v>111</v>
      </c>
      <c r="E63" s="39"/>
      <c r="G63" s="46"/>
      <c r="H63" s="47" t="s">
        <v>98</v>
      </c>
      <c r="P63" s="335"/>
      <c r="Q63" s="335"/>
      <c r="R63" s="335"/>
      <c r="S63" s="335"/>
      <c r="T63" s="335"/>
      <c r="U63" s="335"/>
      <c r="V63" s="141"/>
      <c r="W63" s="215">
        <f xml:space="preserve"> SUMIFS($AA63:$BJ63, $AA$3:$BJ$3, W$3)</f>
        <v>0</v>
      </c>
      <c r="X63" s="215">
        <f xml:space="preserve"> SUMIFS($AA63:$BJ63, $AA$3:$BJ$3, X$3)</f>
        <v>0</v>
      </c>
      <c r="Y63" s="215">
        <f xml:space="preserve"> SUMIFS($AA63:$BJ63, $AA$3:$BJ$3, Y$3)</f>
        <v>0</v>
      </c>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L63" s="10">
        <f t="shared" ref="BL63:BO64" si="27">V63</f>
        <v>0</v>
      </c>
      <c r="BM63" s="10">
        <f t="shared" si="27"/>
        <v>0</v>
      </c>
      <c r="BN63" s="10">
        <f t="shared" si="27"/>
        <v>0</v>
      </c>
      <c r="BO63" s="10">
        <f t="shared" si="27"/>
        <v>0</v>
      </c>
      <c r="BP63" s="141"/>
      <c r="BQ63" s="141"/>
      <c r="BR63" s="141"/>
      <c r="BS63" s="141"/>
      <c r="BT63" s="141"/>
      <c r="BU63" s="141"/>
      <c r="BV63" s="141"/>
      <c r="BW63" s="141"/>
      <c r="BY63" s="12"/>
      <c r="BZ63" s="363">
        <f>IF(MAX($V63:$BW63)&gt;0, 1, 0)</f>
        <v>0</v>
      </c>
      <c r="CA63" s="12"/>
      <c r="CE63" s="335"/>
      <c r="CF63" s="7">
        <f>IF(SUM(V63:Y63)=SUM(BL63:BO63), 0, 1)</f>
        <v>0</v>
      </c>
      <c r="CG63" s="12"/>
      <c r="CH63" s="67">
        <v>1</v>
      </c>
      <c r="CI63" s="67">
        <v>1</v>
      </c>
      <c r="EU63" s="335"/>
      <c r="EX63" s="13" t="str">
        <f>IF($C63="","",CONCATENATE(D$62," ",D63))</f>
        <v>Other Receivables Bad debt write-off</v>
      </c>
    </row>
    <row r="64" spans="1:154" s="67" customFormat="1" ht="15" customHeight="1" x14ac:dyDescent="0.25">
      <c r="A64" s="362" cm="1">
        <f t="array" aca="1" ref="A64" ca="1">HYPERLINK(CONCATENATE("#",CELL("address",IF(SUM($CA64:$CG64)=0,A64,INDEX($CA64:$CG64,MATCH(1,$CA64:$CG64,0))))),SUM($CA64:$CG64))</f>
        <v>0</v>
      </c>
      <c r="B64" s="93"/>
      <c r="C64" s="343" t="str">
        <f>REPLACE('Opening Balances'!$C$24, LEN('Opening Balances'!$C$24)-1, 1, "C")</f>
        <v>B-2d-CB</v>
      </c>
      <c r="D64" s="117" t="s">
        <v>97</v>
      </c>
      <c r="E64" s="39"/>
      <c r="G64" s="46"/>
      <c r="H64" s="47" t="s">
        <v>92</v>
      </c>
      <c r="P64" s="335"/>
      <c r="Q64" s="335"/>
      <c r="R64" s="335"/>
      <c r="S64" s="335"/>
      <c r="T64" s="335"/>
      <c r="U64" s="335"/>
      <c r="V64" s="13">
        <f>'Opening Balances'!W24</f>
        <v>0</v>
      </c>
      <c r="W64" s="10">
        <f>INDEX($AA64:$BJ64, MATCH(W$5, $AA$5:$BJ$5))</f>
        <v>0</v>
      </c>
      <c r="X64" s="10">
        <f>INDEX($AA64:$BJ64, MATCH(X$5, $AA$5:$BJ$5))</f>
        <v>0</v>
      </c>
      <c r="Y64" s="10">
        <f>INDEX($AA64:$BJ64, MATCH(Y$5, $AA$5:$BJ$5))</f>
        <v>0</v>
      </c>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L64" s="10">
        <f t="shared" si="27"/>
        <v>0</v>
      </c>
      <c r="BM64" s="10">
        <f t="shared" si="27"/>
        <v>0</v>
      </c>
      <c r="BN64" s="10">
        <f t="shared" si="27"/>
        <v>0</v>
      </c>
      <c r="BO64" s="10">
        <f t="shared" si="27"/>
        <v>0</v>
      </c>
      <c r="BP64" s="141"/>
      <c r="BQ64" s="141"/>
      <c r="BR64" s="141"/>
      <c r="BS64" s="141"/>
      <c r="BT64" s="141"/>
      <c r="BU64" s="141"/>
      <c r="BV64" s="141"/>
      <c r="BW64" s="141"/>
      <c r="BY64" s="12"/>
      <c r="BZ64" s="363">
        <f>IF(MIN($V64:$BW64)&lt;0, 1, 0)</f>
        <v>0</v>
      </c>
      <c r="CA64" s="12"/>
      <c r="CE64" s="335"/>
      <c r="CF64" s="7">
        <f>IF(SUM(V64:Y64)=SUM(BL64:BO64), 0, 1)</f>
        <v>0</v>
      </c>
      <c r="CG64" s="12"/>
      <c r="CH64" s="67">
        <v>0</v>
      </c>
      <c r="CI64" s="67">
        <v>1</v>
      </c>
      <c r="EU64" s="335"/>
      <c r="EX64" s="13" t="str">
        <f>IF($C64="","",CONCATENATE(D$62," ",D64))</f>
        <v>Other Receivables Closing Balance</v>
      </c>
    </row>
    <row r="65" spans="1:154" ht="8.1" customHeight="1" x14ac:dyDescent="0.25">
      <c r="A65" s="335"/>
      <c r="C65" s="385"/>
      <c r="O65" s="335"/>
      <c r="P65" s="335"/>
      <c r="Q65" s="335"/>
      <c r="R65" s="335"/>
      <c r="S65" s="335"/>
      <c r="T65" s="335"/>
      <c r="U65" s="335"/>
      <c r="X65" s="11"/>
      <c r="Y65" s="11"/>
      <c r="BY65" s="12"/>
      <c r="CA65" s="12"/>
      <c r="CF65" s="335"/>
      <c r="CG65" s="12"/>
      <c r="CH65" s="11">
        <v>0</v>
      </c>
      <c r="CI65" s="11">
        <v>0</v>
      </c>
      <c r="EX65" s="10" t="str">
        <f t="shared" si="0"/>
        <v/>
      </c>
    </row>
    <row r="66" spans="1:154" x14ac:dyDescent="0.25">
      <c r="A66" s="335"/>
      <c r="B66" s="94"/>
      <c r="C66" s="385"/>
      <c r="D66" s="27" t="s">
        <v>143</v>
      </c>
      <c r="O66" s="335"/>
      <c r="P66" s="335"/>
      <c r="Q66" s="335"/>
      <c r="R66" s="335"/>
      <c r="S66" s="335"/>
      <c r="T66" s="335"/>
      <c r="U66" s="335"/>
      <c r="X66" s="11"/>
      <c r="Y66" s="11"/>
      <c r="AM66" s="335"/>
      <c r="BY66" s="12"/>
      <c r="CA66" s="12"/>
      <c r="CF66" s="335"/>
      <c r="CG66" s="12"/>
      <c r="CH66" s="11">
        <v>0</v>
      </c>
      <c r="CI66" s="11">
        <v>0</v>
      </c>
      <c r="EX66" s="10" t="str">
        <f t="shared" si="0"/>
        <v/>
      </c>
    </row>
    <row r="67" spans="1:154" x14ac:dyDescent="0.25">
      <c r="A67" s="362" cm="1">
        <f t="array" aca="1" ref="A67" ca="1">HYPERLINK(CONCATENATE("#",CELL("address",IF(SUM($CA67:$CG67)=0,A67,INDEX($CA67:$CG67,MATCH(1,$CA67:$CG67,0))))),SUM($CA67:$CG67))</f>
        <v>0</v>
      </c>
      <c r="C67" s="340" t="str">
        <f>CONCATENATE("BS-",'Opening Balances'!$C$25)</f>
        <v>BS-B-2e-OB</v>
      </c>
      <c r="D67" s="39" t="s">
        <v>91</v>
      </c>
      <c r="G67" s="8"/>
      <c r="H67" s="47" t="s">
        <v>98</v>
      </c>
      <c r="O67" s="335"/>
      <c r="P67" s="335"/>
      <c r="Q67" s="335"/>
      <c r="R67" s="335"/>
      <c r="S67" s="335"/>
      <c r="T67" s="335"/>
      <c r="U67" s="335"/>
      <c r="V67" s="13">
        <f>'Opening Balances'!$V$25</f>
        <v>0</v>
      </c>
      <c r="W67" s="10">
        <f>V70</f>
        <v>0</v>
      </c>
      <c r="X67" s="10">
        <f t="shared" ref="X67:Y67" si="28">W70</f>
        <v>0</v>
      </c>
      <c r="Y67" s="10">
        <f t="shared" si="28"/>
        <v>0</v>
      </c>
      <c r="AA67" s="10">
        <f>W67</f>
        <v>0</v>
      </c>
      <c r="AB67" s="10">
        <f>AA70</f>
        <v>0</v>
      </c>
      <c r="AC67" s="10">
        <f t="shared" ref="AC67:BI67" si="29">AB70</f>
        <v>0</v>
      </c>
      <c r="AD67" s="10">
        <f t="shared" si="29"/>
        <v>0</v>
      </c>
      <c r="AE67" s="10">
        <f t="shared" si="29"/>
        <v>0</v>
      </c>
      <c r="AF67" s="10">
        <f t="shared" si="29"/>
        <v>0</v>
      </c>
      <c r="AG67" s="10">
        <f t="shared" si="29"/>
        <v>0</v>
      </c>
      <c r="AH67" s="10">
        <f t="shared" si="29"/>
        <v>0</v>
      </c>
      <c r="AI67" s="10">
        <f t="shared" si="29"/>
        <v>0</v>
      </c>
      <c r="AJ67" s="10">
        <f t="shared" si="29"/>
        <v>0</v>
      </c>
      <c r="AK67" s="10">
        <f t="shared" si="29"/>
        <v>0</v>
      </c>
      <c r="AL67" s="10">
        <f t="shared" si="29"/>
        <v>0</v>
      </c>
      <c r="AM67" s="10">
        <f t="shared" si="29"/>
        <v>0</v>
      </c>
      <c r="AN67" s="10">
        <f t="shared" si="29"/>
        <v>0</v>
      </c>
      <c r="AO67" s="10">
        <f t="shared" si="29"/>
        <v>0</v>
      </c>
      <c r="AP67" s="10">
        <f t="shared" si="29"/>
        <v>0</v>
      </c>
      <c r="AQ67" s="10">
        <f t="shared" si="29"/>
        <v>0</v>
      </c>
      <c r="AR67" s="10">
        <f t="shared" si="29"/>
        <v>0</v>
      </c>
      <c r="AS67" s="10">
        <f t="shared" si="29"/>
        <v>0</v>
      </c>
      <c r="AT67" s="10">
        <f t="shared" si="29"/>
        <v>0</v>
      </c>
      <c r="AU67" s="10">
        <f t="shared" si="29"/>
        <v>0</v>
      </c>
      <c r="AV67" s="10">
        <f t="shared" si="29"/>
        <v>0</v>
      </c>
      <c r="AW67" s="10">
        <f t="shared" si="29"/>
        <v>0</v>
      </c>
      <c r="AX67" s="10">
        <f t="shared" si="29"/>
        <v>0</v>
      </c>
      <c r="AY67" s="10">
        <f t="shared" si="29"/>
        <v>0</v>
      </c>
      <c r="AZ67" s="10">
        <f t="shared" si="29"/>
        <v>0</v>
      </c>
      <c r="BA67" s="10">
        <f t="shared" si="29"/>
        <v>0</v>
      </c>
      <c r="BB67" s="10">
        <f t="shared" si="29"/>
        <v>0</v>
      </c>
      <c r="BC67" s="10">
        <f t="shared" si="29"/>
        <v>0</v>
      </c>
      <c r="BD67" s="10">
        <f t="shared" si="29"/>
        <v>0</v>
      </c>
      <c r="BE67" s="10">
        <f t="shared" si="29"/>
        <v>0</v>
      </c>
      <c r="BF67" s="10">
        <f t="shared" si="29"/>
        <v>0</v>
      </c>
      <c r="BG67" s="10">
        <f t="shared" si="29"/>
        <v>0</v>
      </c>
      <c r="BH67" s="10">
        <f t="shared" si="29"/>
        <v>0</v>
      </c>
      <c r="BI67" s="10">
        <f t="shared" si="29"/>
        <v>0</v>
      </c>
      <c r="BJ67" s="10">
        <f>BI70</f>
        <v>0</v>
      </c>
      <c r="BL67" s="13">
        <f>V67</f>
        <v>0</v>
      </c>
      <c r="BM67" s="13">
        <f>W67</f>
        <v>0</v>
      </c>
      <c r="BN67" s="13">
        <f>X67</f>
        <v>0</v>
      </c>
      <c r="BO67" s="13">
        <f>Y67</f>
        <v>0</v>
      </c>
      <c r="BP67" s="10">
        <f>BO70</f>
        <v>0</v>
      </c>
      <c r="BQ67" s="10">
        <f t="shared" ref="BQ67:BW67" si="30">BP70</f>
        <v>0</v>
      </c>
      <c r="BR67" s="10">
        <f t="shared" si="30"/>
        <v>0</v>
      </c>
      <c r="BS67" s="10">
        <f t="shared" si="30"/>
        <v>0</v>
      </c>
      <c r="BT67" s="10">
        <f t="shared" si="30"/>
        <v>0</v>
      </c>
      <c r="BU67" s="10">
        <f t="shared" si="30"/>
        <v>0</v>
      </c>
      <c r="BV67" s="10">
        <f t="shared" si="30"/>
        <v>0</v>
      </c>
      <c r="BW67" s="10">
        <f t="shared" si="30"/>
        <v>0</v>
      </c>
      <c r="BY67" s="12"/>
      <c r="CA67" s="12"/>
      <c r="CF67" s="7">
        <f>IF(SUM(V67:Y67)=SUM(BL67:BO67), 0, 1)</f>
        <v>0</v>
      </c>
      <c r="CG67" s="12"/>
      <c r="CH67" s="11">
        <v>0</v>
      </c>
      <c r="CI67" s="11">
        <v>0</v>
      </c>
      <c r="EX67" s="13" t="str">
        <f>IF($C67="","",CONCATENATE(D$66," ",D67))</f>
        <v>Bad Debt Provision Opening Balance</v>
      </c>
    </row>
    <row r="68" spans="1:154" ht="15.75" x14ac:dyDescent="0.3">
      <c r="A68" s="362" cm="1">
        <f t="array" aca="1" ref="A68" ca="1">HYPERLINK(CONCATENATE("#",CELL("address",IF(SUM($CA68:$CG68)=0,A68,INDEX($CA68:$CG68,MATCH(1,$CA68:$CG68,0))))),SUM($CA68:$CG68))</f>
        <v>0</v>
      </c>
      <c r="C68" s="343" t="s">
        <v>1400</v>
      </c>
      <c r="D68" s="1" t="s">
        <v>144</v>
      </c>
      <c r="E68" s="479" t="s">
        <v>335</v>
      </c>
      <c r="G68" s="8"/>
      <c r="H68" s="47" t="s">
        <v>964</v>
      </c>
      <c r="O68" s="335"/>
      <c r="P68" s="335"/>
      <c r="Q68" s="335"/>
      <c r="R68" s="335"/>
      <c r="S68" s="335"/>
      <c r="T68" s="335"/>
      <c r="U68" s="335"/>
      <c r="V68" s="10">
        <f>V70-V67-V69</f>
        <v>0</v>
      </c>
      <c r="W68" s="10">
        <f t="shared" ref="W68:Y68" si="31">W70-W67-W69</f>
        <v>0</v>
      </c>
      <c r="X68" s="10">
        <f t="shared" si="31"/>
        <v>0</v>
      </c>
      <c r="Y68" s="10">
        <f t="shared" si="31"/>
        <v>0</v>
      </c>
      <c r="AA68" s="10">
        <f>AA70-AA67-AA69</f>
        <v>0</v>
      </c>
      <c r="AB68" s="10">
        <f>AB70-AB67-AB69</f>
        <v>0</v>
      </c>
      <c r="AC68" s="10">
        <f t="shared" ref="AC68" si="32">AC70-AC67-AC69</f>
        <v>0</v>
      </c>
      <c r="AD68" s="10">
        <f t="shared" ref="AD68" si="33">AD70-AD67-AD69</f>
        <v>0</v>
      </c>
      <c r="AE68" s="10">
        <f t="shared" ref="AE68" si="34">AE70-AE67-AE69</f>
        <v>0</v>
      </c>
      <c r="AF68" s="10">
        <f t="shared" ref="AF68" si="35">AF70-AF67-AF69</f>
        <v>0</v>
      </c>
      <c r="AG68" s="10">
        <f t="shared" ref="AG68" si="36">AG70-AG67-AG69</f>
        <v>0</v>
      </c>
      <c r="AH68" s="10">
        <f t="shared" ref="AH68" si="37">AH70-AH67-AH69</f>
        <v>0</v>
      </c>
      <c r="AI68" s="10">
        <f t="shared" ref="AI68" si="38">AI70-AI67-AI69</f>
        <v>0</v>
      </c>
      <c r="AJ68" s="10">
        <f t="shared" ref="AJ68" si="39">AJ70-AJ67-AJ69</f>
        <v>0</v>
      </c>
      <c r="AK68" s="10">
        <f t="shared" ref="AK68" si="40">AK70-AK67-AK69</f>
        <v>0</v>
      </c>
      <c r="AL68" s="10">
        <f t="shared" ref="AL68" si="41">AL70-AL67-AL69</f>
        <v>0</v>
      </c>
      <c r="AM68" s="10">
        <f t="shared" ref="AM68" si="42">AM70-AM67-AM69</f>
        <v>0</v>
      </c>
      <c r="AN68" s="10">
        <f t="shared" ref="AN68" si="43">AN70-AN67-AN69</f>
        <v>0</v>
      </c>
      <c r="AO68" s="10">
        <f t="shared" ref="AO68" si="44">AO70-AO67-AO69</f>
        <v>0</v>
      </c>
      <c r="AP68" s="10">
        <f t="shared" ref="AP68" si="45">AP70-AP67-AP69</f>
        <v>0</v>
      </c>
      <c r="AQ68" s="10">
        <f t="shared" ref="AQ68" si="46">AQ70-AQ67-AQ69</f>
        <v>0</v>
      </c>
      <c r="AR68" s="10">
        <f t="shared" ref="AR68" si="47">AR70-AR67-AR69</f>
        <v>0</v>
      </c>
      <c r="AS68" s="10">
        <f t="shared" ref="AS68" si="48">AS70-AS67-AS69</f>
        <v>0</v>
      </c>
      <c r="AT68" s="10">
        <f t="shared" ref="AT68" si="49">AT70-AT67-AT69</f>
        <v>0</v>
      </c>
      <c r="AU68" s="10">
        <f t="shared" ref="AU68" si="50">AU70-AU67-AU69</f>
        <v>0</v>
      </c>
      <c r="AV68" s="10">
        <f t="shared" ref="AV68" si="51">AV70-AV67-AV69</f>
        <v>0</v>
      </c>
      <c r="AW68" s="10">
        <f t="shared" ref="AW68" si="52">AW70-AW67-AW69</f>
        <v>0</v>
      </c>
      <c r="AX68" s="10">
        <f t="shared" ref="AX68" si="53">AX70-AX67-AX69</f>
        <v>0</v>
      </c>
      <c r="AY68" s="10">
        <f t="shared" ref="AY68" si="54">AY70-AY67-AY69</f>
        <v>0</v>
      </c>
      <c r="AZ68" s="10">
        <f t="shared" ref="AZ68" si="55">AZ70-AZ67-AZ69</f>
        <v>0</v>
      </c>
      <c r="BA68" s="10">
        <f t="shared" ref="BA68" si="56">BA70-BA67-BA69</f>
        <v>0</v>
      </c>
      <c r="BB68" s="10">
        <f t="shared" ref="BB68" si="57">BB70-BB67-BB69</f>
        <v>0</v>
      </c>
      <c r="BC68" s="10">
        <f t="shared" ref="BC68" si="58">BC70-BC67-BC69</f>
        <v>0</v>
      </c>
      <c r="BD68" s="10">
        <f t="shared" ref="BD68" si="59">BD70-BD67-BD69</f>
        <v>0</v>
      </c>
      <c r="BE68" s="10">
        <f t="shared" ref="BE68" si="60">BE70-BE67-BE69</f>
        <v>0</v>
      </c>
      <c r="BF68" s="10">
        <f t="shared" ref="BF68" si="61">BF70-BF67-BF69</f>
        <v>0</v>
      </c>
      <c r="BG68" s="10">
        <f t="shared" ref="BG68" si="62">BG70-BG67-BG69</f>
        <v>0</v>
      </c>
      <c r="BH68" s="10">
        <f t="shared" ref="BH68" si="63">BH70-BH67-BH69</f>
        <v>0</v>
      </c>
      <c r="BI68" s="10">
        <f t="shared" ref="BI68" si="64">BI70-BI67-BI69</f>
        <v>0</v>
      </c>
      <c r="BJ68" s="10">
        <f t="shared" ref="BJ68" si="65">BJ70-BJ67-BJ69</f>
        <v>0</v>
      </c>
      <c r="BL68" s="10">
        <f t="shared" ref="BL68" si="66">BL70-BL67-BL69</f>
        <v>0</v>
      </c>
      <c r="BM68" s="10">
        <f t="shared" ref="BM68" si="67">BM70-BM67-BM69</f>
        <v>0</v>
      </c>
      <c r="BN68" s="10">
        <f t="shared" ref="BN68" si="68">BN70-BN67-BN69</f>
        <v>0</v>
      </c>
      <c r="BO68" s="10">
        <f t="shared" ref="BO68" si="69">BO70-BO67-BO69</f>
        <v>0</v>
      </c>
      <c r="BP68" s="10">
        <f t="shared" ref="BP68" si="70">BP70-BP67-BP69</f>
        <v>0</v>
      </c>
      <c r="BQ68" s="10">
        <f t="shared" ref="BQ68" si="71">BQ70-BQ67-BQ69</f>
        <v>0</v>
      </c>
      <c r="BR68" s="10">
        <f t="shared" ref="BR68" si="72">BR70-BR67-BR69</f>
        <v>0</v>
      </c>
      <c r="BS68" s="10">
        <f t="shared" ref="BS68" si="73">BS70-BS67-BS69</f>
        <v>0</v>
      </c>
      <c r="BT68" s="10">
        <f t="shared" ref="BT68" si="74">BT70-BT67-BT69</f>
        <v>0</v>
      </c>
      <c r="BU68" s="10">
        <f t="shared" ref="BU68" si="75">BU70-BU67-BU69</f>
        <v>0</v>
      </c>
      <c r="BV68" s="10">
        <f t="shared" ref="BV68" si="76">BV70-BV67-BV69</f>
        <v>0</v>
      </c>
      <c r="BW68" s="10">
        <f t="shared" ref="BW68" si="77">BW70-BW67-BW69</f>
        <v>0</v>
      </c>
      <c r="BY68" s="12"/>
      <c r="CA68" s="12"/>
      <c r="CF68" s="7">
        <f>IF(SUM(V68:Y68)=SUM(BL68:BO68), 0, 1)</f>
        <v>0</v>
      </c>
      <c r="CG68" s="12"/>
      <c r="CH68" s="11">
        <v>0</v>
      </c>
      <c r="CI68" s="11">
        <v>0</v>
      </c>
      <c r="EX68" s="13" t="str">
        <f>IF($C68="","",CONCATENATE(D$66," ",D68))</f>
        <v>Bad Debt Provision Provided for/released in period</v>
      </c>
    </row>
    <row r="69" spans="1:154" x14ac:dyDescent="0.25">
      <c r="A69" s="362" cm="1">
        <f t="array" aca="1" ref="A69" ca="1">HYPERLINK(CONCATENATE("#",CELL("address",IF(SUM($CA69:$CG69)=0,A69,INDEX($CA69:$CG69,MATCH(1,$CA69:$CG69,0))))),SUM($CA69:$CG69))</f>
        <v>0</v>
      </c>
      <c r="C69" s="343" t="s">
        <v>1401</v>
      </c>
      <c r="D69" s="1" t="s">
        <v>145</v>
      </c>
      <c r="E69" s="490" t="s">
        <v>2356</v>
      </c>
      <c r="G69" s="8"/>
      <c r="H69" s="47" t="s">
        <v>92</v>
      </c>
      <c r="O69" s="335"/>
      <c r="P69" s="335"/>
      <c r="Q69" s="335"/>
      <c r="R69" s="335"/>
      <c r="S69" s="335"/>
      <c r="T69" s="335"/>
      <c r="U69" s="335"/>
      <c r="V69" s="10">
        <f>0-(V59+V63)</f>
        <v>0</v>
      </c>
      <c r="W69" s="10">
        <f t="shared" ref="W69:Y69" si="78">0-(W59+W63)</f>
        <v>0</v>
      </c>
      <c r="X69" s="10">
        <f t="shared" si="78"/>
        <v>0</v>
      </c>
      <c r="Y69" s="10">
        <f t="shared" si="78"/>
        <v>0</v>
      </c>
      <c r="Z69" s="335"/>
      <c r="AA69" s="10">
        <f>0-(AA59+AA63)</f>
        <v>0</v>
      </c>
      <c r="AB69" s="10">
        <f t="shared" ref="AB69:BW69" si="79">0-(AB59+AB63)</f>
        <v>0</v>
      </c>
      <c r="AC69" s="10">
        <f t="shared" si="79"/>
        <v>0</v>
      </c>
      <c r="AD69" s="10">
        <f t="shared" si="79"/>
        <v>0</v>
      </c>
      <c r="AE69" s="10">
        <f t="shared" si="79"/>
        <v>0</v>
      </c>
      <c r="AF69" s="10">
        <f t="shared" si="79"/>
        <v>0</v>
      </c>
      <c r="AG69" s="10">
        <f t="shared" si="79"/>
        <v>0</v>
      </c>
      <c r="AH69" s="10">
        <f t="shared" si="79"/>
        <v>0</v>
      </c>
      <c r="AI69" s="10">
        <f t="shared" si="79"/>
        <v>0</v>
      </c>
      <c r="AJ69" s="10">
        <f t="shared" si="79"/>
        <v>0</v>
      </c>
      <c r="AK69" s="10">
        <f t="shared" si="79"/>
        <v>0</v>
      </c>
      <c r="AL69" s="10">
        <f t="shared" si="79"/>
        <v>0</v>
      </c>
      <c r="AM69" s="10">
        <f t="shared" si="79"/>
        <v>0</v>
      </c>
      <c r="AN69" s="10">
        <f t="shared" si="79"/>
        <v>0</v>
      </c>
      <c r="AO69" s="10">
        <f t="shared" si="79"/>
        <v>0</v>
      </c>
      <c r="AP69" s="10">
        <f t="shared" si="79"/>
        <v>0</v>
      </c>
      <c r="AQ69" s="10">
        <f t="shared" si="79"/>
        <v>0</v>
      </c>
      <c r="AR69" s="10">
        <f t="shared" si="79"/>
        <v>0</v>
      </c>
      <c r="AS69" s="10">
        <f t="shared" si="79"/>
        <v>0</v>
      </c>
      <c r="AT69" s="10">
        <f t="shared" si="79"/>
        <v>0</v>
      </c>
      <c r="AU69" s="10">
        <f t="shared" si="79"/>
        <v>0</v>
      </c>
      <c r="AV69" s="10">
        <f t="shared" si="79"/>
        <v>0</v>
      </c>
      <c r="AW69" s="10">
        <f t="shared" si="79"/>
        <v>0</v>
      </c>
      <c r="AX69" s="10">
        <f t="shared" si="79"/>
        <v>0</v>
      </c>
      <c r="AY69" s="10">
        <f t="shared" si="79"/>
        <v>0</v>
      </c>
      <c r="AZ69" s="10">
        <f t="shared" si="79"/>
        <v>0</v>
      </c>
      <c r="BA69" s="10">
        <f t="shared" si="79"/>
        <v>0</v>
      </c>
      <c r="BB69" s="10">
        <f t="shared" si="79"/>
        <v>0</v>
      </c>
      <c r="BC69" s="10">
        <f t="shared" si="79"/>
        <v>0</v>
      </c>
      <c r="BD69" s="10">
        <f t="shared" si="79"/>
        <v>0</v>
      </c>
      <c r="BE69" s="10">
        <f t="shared" si="79"/>
        <v>0</v>
      </c>
      <c r="BF69" s="10">
        <f t="shared" si="79"/>
        <v>0</v>
      </c>
      <c r="BG69" s="10">
        <f t="shared" si="79"/>
        <v>0</v>
      </c>
      <c r="BH69" s="10">
        <f t="shared" si="79"/>
        <v>0</v>
      </c>
      <c r="BI69" s="10">
        <f t="shared" si="79"/>
        <v>0</v>
      </c>
      <c r="BJ69" s="10">
        <f t="shared" si="79"/>
        <v>0</v>
      </c>
      <c r="BK69" s="335"/>
      <c r="BL69" s="10">
        <f t="shared" si="79"/>
        <v>0</v>
      </c>
      <c r="BM69" s="10">
        <f t="shared" si="79"/>
        <v>0</v>
      </c>
      <c r="BN69" s="10">
        <f t="shared" si="79"/>
        <v>0</v>
      </c>
      <c r="BO69" s="10">
        <f t="shared" si="79"/>
        <v>0</v>
      </c>
      <c r="BP69" s="10">
        <f t="shared" si="79"/>
        <v>0</v>
      </c>
      <c r="BQ69" s="10">
        <f t="shared" si="79"/>
        <v>0</v>
      </c>
      <c r="BR69" s="10">
        <f t="shared" si="79"/>
        <v>0</v>
      </c>
      <c r="BS69" s="10">
        <f t="shared" si="79"/>
        <v>0</v>
      </c>
      <c r="BT69" s="10">
        <f t="shared" si="79"/>
        <v>0</v>
      </c>
      <c r="BU69" s="10">
        <f t="shared" si="79"/>
        <v>0</v>
      </c>
      <c r="BV69" s="10">
        <f t="shared" si="79"/>
        <v>0</v>
      </c>
      <c r="BW69" s="10">
        <f t="shared" si="79"/>
        <v>0</v>
      </c>
      <c r="BY69" s="12"/>
      <c r="CA69" s="12"/>
      <c r="CF69" s="7">
        <f>IF(SUM(V69:Y69)=SUM(BL69:BO69), 0, 1)</f>
        <v>0</v>
      </c>
      <c r="CG69" s="12"/>
      <c r="CH69" s="11">
        <v>0</v>
      </c>
      <c r="CI69" s="11">
        <v>0</v>
      </c>
      <c r="EX69" s="13" t="str">
        <f>IF($C69="","",CONCATENATE(D$66," ",D69))</f>
        <v>Bad Debt Provision Write-off in period</v>
      </c>
    </row>
    <row r="70" spans="1:154" ht="15.75" x14ac:dyDescent="0.3">
      <c r="A70" s="362" cm="1">
        <f t="array" aca="1" ref="A70" ca="1">HYPERLINK(CONCATENATE("#",CELL("address",IF(SUM($CA70:$CG70)=0,A70,INDEX($CA70:$CG70,MATCH(1,$CA70:$CG70,0))))),SUM($CA70:$CG70))</f>
        <v>0</v>
      </c>
      <c r="B70" s="105" t="s">
        <v>335</v>
      </c>
      <c r="C70" s="343" t="str">
        <f>REPLACE('Opening Balances'!$C$25, LEN('Opening Balances'!$C$25)-1, 1, "C")</f>
        <v>B-2e-CB</v>
      </c>
      <c r="D70" s="117" t="s">
        <v>97</v>
      </c>
      <c r="E70" s="352">
        <f>ROUND(V70-SUM(V67:V69), rounding)*$V$10</f>
        <v>0</v>
      </c>
      <c r="G70" s="8"/>
      <c r="H70" s="47" t="s">
        <v>98</v>
      </c>
      <c r="O70" s="335"/>
      <c r="P70" s="335"/>
      <c r="Q70" s="335"/>
      <c r="R70" s="335"/>
      <c r="S70" s="335"/>
      <c r="T70" s="335"/>
      <c r="U70" s="335"/>
      <c r="V70" s="13">
        <f>'Opening Balances'!W25</f>
        <v>0</v>
      </c>
      <c r="W70" s="10">
        <f>INDEX($AA70:$BJ70, MATCH(W$5, $AA$5:$BJ$5))</f>
        <v>0</v>
      </c>
      <c r="X70" s="10">
        <f>INDEX($AA70:$BJ70, MATCH(X$5, $AA$5:$BJ$5))</f>
        <v>0</v>
      </c>
      <c r="Y70" s="10">
        <f>INDEX($AA70:$BJ70, MATCH(Y$5, $AA$5:$BJ$5))</f>
        <v>0</v>
      </c>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L70" s="13">
        <f>V70</f>
        <v>0</v>
      </c>
      <c r="BM70" s="13">
        <f>W70</f>
        <v>0</v>
      </c>
      <c r="BN70" s="13">
        <f>X70</f>
        <v>0</v>
      </c>
      <c r="BO70" s="13">
        <f>Y70</f>
        <v>0</v>
      </c>
      <c r="BP70" s="141"/>
      <c r="BQ70" s="141"/>
      <c r="BR70" s="141"/>
      <c r="BS70" s="141"/>
      <c r="BT70" s="141"/>
      <c r="BU70" s="141"/>
      <c r="BV70" s="141"/>
      <c r="BW70" s="141"/>
      <c r="BY70" s="12"/>
      <c r="BZ70" s="363">
        <f>IF(MAX($V70:$BW70)&gt;0, 1, 0)</f>
        <v>0</v>
      </c>
      <c r="CA70" s="12"/>
      <c r="CE70" s="188">
        <f>IF(ABS($E70)&gt;Parameters!$D$33, 1, 0)</f>
        <v>0</v>
      </c>
      <c r="CF70" s="7">
        <f>IF(SUM(V70:Y70)=SUM(BL70:BO70), 0, 1)</f>
        <v>0</v>
      </c>
      <c r="CG70" s="12"/>
      <c r="CH70" s="11">
        <v>0</v>
      </c>
      <c r="CI70" s="11">
        <v>1</v>
      </c>
      <c r="EX70" s="13" t="str">
        <f>IF($C70="","",CONCATENATE(D$66," ",D70))</f>
        <v>Bad Debt Provision Closing Balance</v>
      </c>
    </row>
    <row r="71" spans="1:154" s="67" customFormat="1" ht="8.1" customHeight="1" x14ac:dyDescent="0.25">
      <c r="B71" s="93"/>
      <c r="C71" s="386"/>
      <c r="D71" s="177"/>
      <c r="G71" s="48"/>
      <c r="H71" s="48"/>
      <c r="P71" s="335"/>
      <c r="Q71" s="335"/>
      <c r="R71" s="335"/>
      <c r="S71" s="335"/>
      <c r="T71" s="335"/>
      <c r="U71" s="335"/>
      <c r="V71" s="335"/>
      <c r="BM71" s="321"/>
      <c r="BN71" s="321"/>
      <c r="BO71" s="321"/>
      <c r="BY71" s="12"/>
      <c r="BZ71" s="335"/>
      <c r="CA71" s="12"/>
      <c r="CE71" s="335"/>
      <c r="CF71" s="321"/>
      <c r="CG71" s="12"/>
      <c r="CH71" s="67">
        <v>0</v>
      </c>
      <c r="CI71" s="67">
        <v>0</v>
      </c>
      <c r="EU71" s="335"/>
      <c r="EX71" s="10" t="str">
        <f t="shared" si="0"/>
        <v/>
      </c>
    </row>
    <row r="72" spans="1:154" s="67" customFormat="1" x14ac:dyDescent="0.25">
      <c r="B72" s="94"/>
      <c r="C72" s="386"/>
      <c r="D72" s="185" t="s">
        <v>113</v>
      </c>
      <c r="G72" s="48"/>
      <c r="H72" s="48"/>
      <c r="P72" s="335"/>
      <c r="Q72" s="335"/>
      <c r="R72" s="335"/>
      <c r="S72" s="335"/>
      <c r="T72" s="335"/>
      <c r="U72" s="335"/>
      <c r="AM72" s="335"/>
      <c r="BM72" s="321"/>
      <c r="BN72" s="321"/>
      <c r="BO72" s="321"/>
      <c r="BY72" s="12"/>
      <c r="BZ72" s="335"/>
      <c r="CA72" s="12"/>
      <c r="CE72" s="335"/>
      <c r="CF72" s="321"/>
      <c r="CG72" s="12"/>
      <c r="CH72" s="67">
        <v>0</v>
      </c>
      <c r="CI72" s="67">
        <v>0</v>
      </c>
      <c r="EU72" s="335"/>
      <c r="EX72" s="10" t="str">
        <f t="shared" si="0"/>
        <v/>
      </c>
    </row>
    <row r="73" spans="1:154" s="67" customFormat="1" x14ac:dyDescent="0.25">
      <c r="A73" s="362" cm="1">
        <f t="array" aca="1" ref="A73" ca="1">HYPERLINK(CONCATENATE("#",CELL("address",IF(SUM($CA73:$CG73)=0,A73,INDEX($CA73:$CG73,MATCH(1,$CA73:$CG73,0))))),SUM($CA73:$CG73))</f>
        <v>0</v>
      </c>
      <c r="B73" s="93"/>
      <c r="C73" s="343" t="str">
        <f>REPLACE('Opening Balances'!$C$26, LEN('Opening Balances'!$C$26)-1, 1, "C")</f>
        <v>B-2f-CB</v>
      </c>
      <c r="D73" s="117" t="s">
        <v>97</v>
      </c>
      <c r="E73" s="39"/>
      <c r="G73" s="46"/>
      <c r="H73" s="47" t="s">
        <v>92</v>
      </c>
      <c r="P73" s="335"/>
      <c r="Q73" s="335"/>
      <c r="R73" s="335"/>
      <c r="S73" s="335"/>
      <c r="T73" s="335"/>
      <c r="U73" s="335"/>
      <c r="V73" s="13">
        <f>'Opening Balances'!W26</f>
        <v>0</v>
      </c>
      <c r="W73" s="10">
        <f>INDEX($AA73:$BJ73, MATCH(W$5, $AA$5:$BJ$5))</f>
        <v>0</v>
      </c>
      <c r="X73" s="10">
        <f>INDEX($AA73:$BJ73, MATCH(X$5, $AA$5:$BJ$5))</f>
        <v>0</v>
      </c>
      <c r="Y73" s="10">
        <f>INDEX($AA73:$BJ73, MATCH(Y$5, $AA$5:$BJ$5))</f>
        <v>0</v>
      </c>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L73" s="10">
        <f>V73</f>
        <v>0</v>
      </c>
      <c r="BM73" s="10">
        <f>W73</f>
        <v>0</v>
      </c>
      <c r="BN73" s="10">
        <f>X73</f>
        <v>0</v>
      </c>
      <c r="BO73" s="10">
        <f>Y73</f>
        <v>0</v>
      </c>
      <c r="BP73" s="141"/>
      <c r="BQ73" s="141"/>
      <c r="BR73" s="141"/>
      <c r="BS73" s="141"/>
      <c r="BT73" s="141"/>
      <c r="BU73" s="141"/>
      <c r="BV73" s="141"/>
      <c r="BW73" s="141"/>
      <c r="BY73" s="12"/>
      <c r="BZ73" s="335"/>
      <c r="CA73" s="12"/>
      <c r="CE73" s="335"/>
      <c r="CF73" s="7">
        <f>IF(SUM(V73:Y73)=SUM(BL73:BO73), 0, 1)</f>
        <v>0</v>
      </c>
      <c r="CG73" s="12"/>
      <c r="CH73" s="67">
        <v>0</v>
      </c>
      <c r="CI73" s="67">
        <v>1</v>
      </c>
      <c r="EU73" s="335"/>
      <c r="EX73" s="13" t="str">
        <f>IF($C73="","",CONCATENATE(D72," ",D73))</f>
        <v>Prepayments Closing Balance</v>
      </c>
    </row>
    <row r="74" spans="1:154" s="67" customFormat="1" ht="8.1" customHeight="1" x14ac:dyDescent="0.25">
      <c r="B74" s="93"/>
      <c r="C74" s="386"/>
      <c r="D74" s="177"/>
      <c r="G74" s="48"/>
      <c r="H74" s="48"/>
      <c r="P74" s="335"/>
      <c r="Q74" s="335"/>
      <c r="R74" s="335"/>
      <c r="S74" s="335"/>
      <c r="T74" s="335"/>
      <c r="U74" s="335"/>
      <c r="BM74" s="321"/>
      <c r="BN74" s="321"/>
      <c r="BO74" s="321"/>
      <c r="BQ74" s="335"/>
      <c r="BR74" s="335"/>
      <c r="BS74" s="335"/>
      <c r="BT74" s="335"/>
      <c r="BU74" s="335"/>
      <c r="BV74" s="335"/>
      <c r="BW74" s="335"/>
      <c r="BY74" s="12"/>
      <c r="BZ74" s="335"/>
      <c r="CA74" s="12"/>
      <c r="CE74" s="335"/>
      <c r="CF74" s="321"/>
      <c r="CG74" s="12"/>
      <c r="CH74" s="67">
        <v>0</v>
      </c>
      <c r="CI74" s="67">
        <v>0</v>
      </c>
      <c r="EU74" s="335"/>
      <c r="EX74" s="10" t="str">
        <f t="shared" ref="EX74:EX122" si="80">IF($C74="","",$D74)</f>
        <v/>
      </c>
    </row>
    <row r="75" spans="1:154" s="67" customFormat="1" x14ac:dyDescent="0.25">
      <c r="B75" s="94"/>
      <c r="C75" s="386"/>
      <c r="D75" s="185" t="s">
        <v>114</v>
      </c>
      <c r="G75" s="48"/>
      <c r="H75" s="48"/>
      <c r="P75" s="335"/>
      <c r="Q75" s="335"/>
      <c r="R75" s="335"/>
      <c r="S75" s="335"/>
      <c r="T75" s="335"/>
      <c r="U75" s="335"/>
      <c r="AM75" s="335"/>
      <c r="BM75" s="321"/>
      <c r="BN75" s="321"/>
      <c r="BO75" s="321"/>
      <c r="BQ75" s="335"/>
      <c r="BR75" s="335"/>
      <c r="BS75" s="335"/>
      <c r="BT75" s="335"/>
      <c r="BU75" s="335"/>
      <c r="BV75" s="335"/>
      <c r="BW75" s="335"/>
      <c r="BY75" s="12"/>
      <c r="BZ75" s="335"/>
      <c r="CA75" s="12"/>
      <c r="CE75" s="335"/>
      <c r="CF75" s="321"/>
      <c r="CG75" s="12"/>
      <c r="CH75" s="67">
        <v>0</v>
      </c>
      <c r="CI75" s="67">
        <v>0</v>
      </c>
      <c r="EU75" s="335"/>
      <c r="EX75" s="10" t="str">
        <f t="shared" si="80"/>
        <v/>
      </c>
    </row>
    <row r="76" spans="1:154" s="67" customFormat="1" x14ac:dyDescent="0.25">
      <c r="A76" s="362" cm="1">
        <f t="array" aca="1" ref="A76" ca="1">HYPERLINK(CONCATENATE("#",CELL("address",IF(SUM($CA76:$CG76)=0,A76,INDEX($CA76:$CG76,MATCH(1,$CA76:$CG76,0))))),SUM($CA76:$CG76))</f>
        <v>0</v>
      </c>
      <c r="B76" s="93"/>
      <c r="C76" s="343" t="str">
        <f>REPLACE('Opening Balances'!$C$27, LEN('Opening Balances'!$C$27)-1, 1, "C")</f>
        <v>B-2g-CB</v>
      </c>
      <c r="D76" s="117" t="s">
        <v>97</v>
      </c>
      <c r="E76" s="39"/>
      <c r="G76" s="46"/>
      <c r="H76" s="47" t="s">
        <v>92</v>
      </c>
      <c r="P76" s="335"/>
      <c r="Q76" s="335"/>
      <c r="R76" s="335"/>
      <c r="S76" s="335"/>
      <c r="T76" s="335"/>
      <c r="U76" s="335"/>
      <c r="V76" s="13">
        <f>'Opening Balances'!W27</f>
        <v>1216</v>
      </c>
      <c r="W76" s="10">
        <f>INDEX($AA76:$BJ76, MATCH(W$5, $AA$5:$BJ$5))</f>
        <v>475</v>
      </c>
      <c r="X76" s="10">
        <f>INDEX($AA76:$BJ76, MATCH(X$5, $AA$5:$BJ$5))</f>
        <v>500</v>
      </c>
      <c r="Y76" s="10">
        <f>INDEX($AA76:$BJ76, MATCH(Y$5, $AA$5:$BJ$5))</f>
        <v>509</v>
      </c>
      <c r="AA76" s="147">
        <v>500</v>
      </c>
      <c r="AB76" s="147">
        <v>400</v>
      </c>
      <c r="AC76" s="147">
        <v>300</v>
      </c>
      <c r="AD76" s="147">
        <v>100</v>
      </c>
      <c r="AE76" s="147">
        <v>200</v>
      </c>
      <c r="AF76" s="147">
        <v>200</v>
      </c>
      <c r="AG76" s="147">
        <v>200</v>
      </c>
      <c r="AH76" s="147">
        <v>200</v>
      </c>
      <c r="AI76" s="147">
        <v>100</v>
      </c>
      <c r="AJ76" s="147">
        <v>100</v>
      </c>
      <c r="AK76" s="147">
        <v>100</v>
      </c>
      <c r="AL76" s="147">
        <v>475</v>
      </c>
      <c r="AM76" s="147">
        <v>100</v>
      </c>
      <c r="AN76" s="147">
        <v>100</v>
      </c>
      <c r="AO76" s="147">
        <v>100</v>
      </c>
      <c r="AP76" s="147">
        <v>100</v>
      </c>
      <c r="AQ76" s="147">
        <v>100</v>
      </c>
      <c r="AR76" s="147">
        <v>400</v>
      </c>
      <c r="AS76" s="147">
        <v>400</v>
      </c>
      <c r="AT76" s="147">
        <v>400</v>
      </c>
      <c r="AU76" s="147">
        <v>400</v>
      </c>
      <c r="AV76" s="147">
        <v>400</v>
      </c>
      <c r="AW76" s="147">
        <v>400</v>
      </c>
      <c r="AX76" s="147">
        <v>500</v>
      </c>
      <c r="AY76" s="147">
        <v>200</v>
      </c>
      <c r="AZ76" s="147">
        <v>200</v>
      </c>
      <c r="BA76" s="147">
        <v>200</v>
      </c>
      <c r="BB76" s="147">
        <v>200</v>
      </c>
      <c r="BC76" s="147">
        <v>200</v>
      </c>
      <c r="BD76" s="147">
        <v>400</v>
      </c>
      <c r="BE76" s="147">
        <v>400</v>
      </c>
      <c r="BF76" s="147">
        <v>400</v>
      </c>
      <c r="BG76" s="147">
        <v>400</v>
      </c>
      <c r="BH76" s="147">
        <v>400</v>
      </c>
      <c r="BI76" s="147">
        <v>400</v>
      </c>
      <c r="BJ76" s="147">
        <v>509</v>
      </c>
      <c r="BL76" s="10">
        <f>V76</f>
        <v>1216</v>
      </c>
      <c r="BM76" s="10">
        <f>W76</f>
        <v>475</v>
      </c>
      <c r="BN76" s="10">
        <f>X76</f>
        <v>500</v>
      </c>
      <c r="BO76" s="10">
        <f>Y76</f>
        <v>509</v>
      </c>
      <c r="BP76" s="141"/>
      <c r="BQ76" s="141"/>
      <c r="BR76" s="141"/>
      <c r="BS76" s="141"/>
      <c r="BT76" s="141"/>
      <c r="BU76" s="141"/>
      <c r="BV76" s="141"/>
      <c r="BW76" s="141"/>
      <c r="BY76" s="12"/>
      <c r="BZ76" s="335"/>
      <c r="CA76" s="12"/>
      <c r="CE76" s="335"/>
      <c r="CF76" s="7">
        <f>IF(SUM(V76:Y76)=SUM(BL76:BO76), 0, 1)</f>
        <v>0</v>
      </c>
      <c r="CG76" s="12"/>
      <c r="CH76" s="67">
        <v>0</v>
      </c>
      <c r="CI76" s="67">
        <v>1</v>
      </c>
      <c r="EU76" s="335"/>
      <c r="EX76" s="13" t="str">
        <f>IF($C76="","",CONCATENATE(D75," ",D76))</f>
        <v>Accrued Income Closing Balance</v>
      </c>
    </row>
    <row r="77" spans="1:154" s="335" customFormat="1" ht="8.1" customHeight="1" x14ac:dyDescent="0.25">
      <c r="A77" s="93"/>
      <c r="B77" s="93"/>
      <c r="C77" s="385"/>
      <c r="D77" s="1"/>
      <c r="G77" s="48"/>
      <c r="H77" s="48"/>
      <c r="BM77" s="6"/>
      <c r="BY77" s="12"/>
      <c r="CA77" s="12"/>
      <c r="CG77" s="12"/>
      <c r="CH77" s="335">
        <v>0</v>
      </c>
      <c r="CI77" s="335">
        <v>0</v>
      </c>
      <c r="EX77" s="10" t="str">
        <f t="shared" si="80"/>
        <v/>
      </c>
    </row>
    <row r="78" spans="1:154" s="335" customFormat="1" x14ac:dyDescent="0.25">
      <c r="A78" s="93"/>
      <c r="B78" s="94"/>
      <c r="C78" s="385"/>
      <c r="D78" s="27" t="s">
        <v>2511</v>
      </c>
      <c r="G78" s="48"/>
      <c r="H78" s="48"/>
      <c r="BM78" s="6"/>
      <c r="BN78" s="6"/>
      <c r="BY78" s="12"/>
      <c r="CA78" s="12"/>
      <c r="CG78" s="12"/>
      <c r="CH78" s="335">
        <v>0</v>
      </c>
      <c r="CI78" s="335">
        <v>0</v>
      </c>
      <c r="EX78" s="10" t="str">
        <f t="shared" si="80"/>
        <v/>
      </c>
    </row>
    <row r="79" spans="1:154" s="335" customFormat="1" x14ac:dyDescent="0.25">
      <c r="A79" s="362" cm="1">
        <f t="array" aca="1" ref="A79" ca="1">HYPERLINK(CONCATENATE("#",CELL("address",IF(SUM($CA79:$CG79)=0,A79,INDEX($CA79:$CG79,MATCH(1,$CA79:$CG79,0))))),SUM($CA79:$CG79))</f>
        <v>0</v>
      </c>
      <c r="B79" s="93"/>
      <c r="C79" s="343" t="str">
        <f>REPLACE('Opening Balances'!$C$28, LEN('Opening Balances'!$C$28)-1, 1, "C")</f>
        <v>B-2h-CB</v>
      </c>
      <c r="D79" s="117" t="s">
        <v>97</v>
      </c>
      <c r="E79" s="39"/>
      <c r="G79" s="46"/>
      <c r="H79" s="47" t="s">
        <v>92</v>
      </c>
      <c r="V79" s="13">
        <f>'Opening Balances'!$W$28</f>
        <v>7911</v>
      </c>
      <c r="W79" s="10">
        <f>INDEX($AA79:$BJ79, MATCH(W$5, $AA$5:$BJ$5))</f>
        <v>4000</v>
      </c>
      <c r="X79" s="10">
        <f>INDEX($AA79:$BJ79, MATCH(X$5, $AA$5:$BJ$5))</f>
        <v>3688</v>
      </c>
      <c r="Y79" s="10">
        <f>INDEX($AA79:$BJ79, MATCH(Y$5, $AA$5:$BJ$5))</f>
        <v>3688</v>
      </c>
      <c r="AA79" s="147">
        <v>4000</v>
      </c>
      <c r="AB79" s="147">
        <v>4000</v>
      </c>
      <c r="AC79" s="147">
        <v>4000</v>
      </c>
      <c r="AD79" s="147">
        <v>4000</v>
      </c>
      <c r="AE79" s="147">
        <v>4000</v>
      </c>
      <c r="AF79" s="147">
        <v>4000</v>
      </c>
      <c r="AG79" s="147">
        <v>4000</v>
      </c>
      <c r="AH79" s="147">
        <v>4000</v>
      </c>
      <c r="AI79" s="147">
        <v>4000</v>
      </c>
      <c r="AJ79" s="147">
        <v>4000</v>
      </c>
      <c r="AK79" s="147">
        <v>4000</v>
      </c>
      <c r="AL79" s="147">
        <v>4000</v>
      </c>
      <c r="AM79" s="147">
        <v>3688</v>
      </c>
      <c r="AN79" s="147">
        <v>3688</v>
      </c>
      <c r="AO79" s="147">
        <v>3688</v>
      </c>
      <c r="AP79" s="147">
        <v>3688</v>
      </c>
      <c r="AQ79" s="147">
        <v>3688</v>
      </c>
      <c r="AR79" s="147">
        <v>3688</v>
      </c>
      <c r="AS79" s="147">
        <v>3688</v>
      </c>
      <c r="AT79" s="147">
        <v>3688</v>
      </c>
      <c r="AU79" s="147">
        <v>3688</v>
      </c>
      <c r="AV79" s="147">
        <v>3688</v>
      </c>
      <c r="AW79" s="147">
        <v>3688</v>
      </c>
      <c r="AX79" s="147">
        <v>3688</v>
      </c>
      <c r="AY79" s="147">
        <v>3688</v>
      </c>
      <c r="AZ79" s="147">
        <v>3688</v>
      </c>
      <c r="BA79" s="147">
        <v>3688</v>
      </c>
      <c r="BB79" s="147">
        <v>3688</v>
      </c>
      <c r="BC79" s="147">
        <v>3688</v>
      </c>
      <c r="BD79" s="147">
        <v>3688</v>
      </c>
      <c r="BE79" s="147">
        <v>3688</v>
      </c>
      <c r="BF79" s="147">
        <v>3688</v>
      </c>
      <c r="BG79" s="147">
        <v>3688</v>
      </c>
      <c r="BH79" s="147">
        <v>3688</v>
      </c>
      <c r="BI79" s="147">
        <v>3688</v>
      </c>
      <c r="BJ79" s="147">
        <v>3688</v>
      </c>
      <c r="BL79" s="10">
        <f>V79</f>
        <v>7911</v>
      </c>
      <c r="BM79" s="10">
        <f>W79</f>
        <v>4000</v>
      </c>
      <c r="BN79" s="10">
        <f>X79</f>
        <v>3688</v>
      </c>
      <c r="BO79" s="10">
        <f>Y79</f>
        <v>3688</v>
      </c>
      <c r="BP79" s="141"/>
      <c r="BQ79" s="141"/>
      <c r="BR79" s="141"/>
      <c r="BS79" s="141"/>
      <c r="BT79" s="141"/>
      <c r="BU79" s="141"/>
      <c r="BV79" s="141"/>
      <c r="BW79" s="141"/>
      <c r="BY79" s="12"/>
      <c r="CA79" s="12"/>
      <c r="CF79" s="7">
        <f>IF(SUM(V79:Y79)=SUM(BL79:BO79), 0, 1)</f>
        <v>0</v>
      </c>
      <c r="CG79" s="12"/>
      <c r="CH79" s="335">
        <v>0</v>
      </c>
      <c r="CI79" s="335">
        <v>1</v>
      </c>
      <c r="EX79" s="13" t="str">
        <f>IF($C79="","",CONCATENATE(D78," ",D79))</f>
        <v>Short-term Investments Closing Balance</v>
      </c>
    </row>
    <row r="80" spans="1:154" s="67" customFormat="1" ht="8.1" customHeight="1" x14ac:dyDescent="0.25">
      <c r="B80" s="93"/>
      <c r="C80" s="385"/>
      <c r="D80" s="1"/>
      <c r="G80" s="48"/>
      <c r="H80" s="48"/>
      <c r="P80" s="335"/>
      <c r="Q80" s="335"/>
      <c r="R80" s="335"/>
      <c r="S80" s="335"/>
      <c r="T80" s="335"/>
      <c r="U80" s="335"/>
      <c r="BM80" s="6"/>
      <c r="BY80" s="12"/>
      <c r="BZ80" s="335"/>
      <c r="CA80" s="12"/>
      <c r="CE80" s="335"/>
      <c r="CF80" s="321"/>
      <c r="CG80" s="12"/>
      <c r="CH80" s="67">
        <v>0</v>
      </c>
      <c r="CI80" s="67">
        <v>0</v>
      </c>
      <c r="EU80" s="335"/>
      <c r="EX80" s="10" t="str">
        <f t="shared" si="80"/>
        <v/>
      </c>
    </row>
    <row r="81" spans="1:154" s="67" customFormat="1" x14ac:dyDescent="0.25">
      <c r="B81" s="94"/>
      <c r="C81" s="385"/>
      <c r="D81" s="27" t="s">
        <v>956</v>
      </c>
      <c r="G81" s="48"/>
      <c r="H81" s="48"/>
      <c r="P81" s="335"/>
      <c r="Q81" s="335"/>
      <c r="R81" s="335"/>
      <c r="S81" s="335"/>
      <c r="T81" s="335"/>
      <c r="U81" s="335"/>
      <c r="AB81" s="319"/>
      <c r="AC81" s="319"/>
      <c r="AD81" s="319"/>
      <c r="AE81" s="319"/>
      <c r="AF81" s="319"/>
      <c r="AG81" s="319"/>
      <c r="AH81" s="319"/>
      <c r="AI81" s="319"/>
      <c r="AJ81" s="319"/>
      <c r="AK81" s="319"/>
      <c r="AL81" s="319"/>
      <c r="AM81" s="335"/>
      <c r="AN81" s="319"/>
      <c r="AO81" s="319"/>
      <c r="AP81" s="319"/>
      <c r="AQ81" s="319"/>
      <c r="AR81" s="319"/>
      <c r="AS81" s="319"/>
      <c r="AT81" s="319"/>
      <c r="AU81" s="319"/>
      <c r="AV81" s="319"/>
      <c r="AW81" s="319"/>
      <c r="AX81" s="319"/>
      <c r="AY81" s="319"/>
      <c r="AZ81" s="319"/>
      <c r="BA81" s="319"/>
      <c r="BB81" s="319"/>
      <c r="BC81" s="319"/>
      <c r="BD81" s="319"/>
      <c r="BE81" s="319"/>
      <c r="BF81" s="319"/>
      <c r="BG81" s="319"/>
      <c r="BH81" s="319"/>
      <c r="BI81" s="319"/>
      <c r="BJ81" s="319"/>
      <c r="BM81" s="6"/>
      <c r="BN81" s="6"/>
      <c r="BY81" s="12"/>
      <c r="BZ81" s="335"/>
      <c r="CA81" s="12"/>
      <c r="CE81" s="335"/>
      <c r="CF81" s="321"/>
      <c r="CG81" s="12"/>
      <c r="CH81" s="67">
        <v>0</v>
      </c>
      <c r="CI81" s="67">
        <v>0</v>
      </c>
      <c r="EU81" s="335"/>
      <c r="EX81" s="10" t="str">
        <f t="shared" si="80"/>
        <v/>
      </c>
    </row>
    <row r="82" spans="1:154" s="335" customFormat="1" x14ac:dyDescent="0.25">
      <c r="A82" s="362" cm="1">
        <f t="array" aca="1" ref="A82" ca="1">HYPERLINK(CONCATENATE("#",CELL("address",IF(SUM($CA82:$CG82)=0,A82,INDEX($CA82:$CG82,MATCH(1,$CA82:$CG82,0))))),SUM($CA82:$CG82))</f>
        <v>0</v>
      </c>
      <c r="C82" s="340" t="s">
        <v>1402</v>
      </c>
      <c r="D82" s="177" t="s">
        <v>149</v>
      </c>
      <c r="E82" s="39"/>
      <c r="G82" s="46"/>
      <c r="H82" s="47" t="s">
        <v>86</v>
      </c>
      <c r="V82" s="141"/>
      <c r="W82" s="215">
        <f xml:space="preserve"> SUMIFS($AA82:$BJ82, $AA$3:$BJ$3, W$3)</f>
        <v>0</v>
      </c>
      <c r="X82" s="215">
        <f xml:space="preserve"> SUMIFS($AA82:$BJ82, $AA$3:$BJ$3, X$3)</f>
        <v>0</v>
      </c>
      <c r="Y82" s="215">
        <f xml:space="preserve"> SUMIFS($AA82:$BJ82, $AA$3:$BJ$3, Y$3)</f>
        <v>0</v>
      </c>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L82" s="13">
        <f>V82</f>
        <v>0</v>
      </c>
      <c r="BM82" s="13">
        <f>W82</f>
        <v>0</v>
      </c>
      <c r="BN82" s="13">
        <f>X82</f>
        <v>0</v>
      </c>
      <c r="BO82" s="13">
        <f>Y82</f>
        <v>0</v>
      </c>
      <c r="BP82" s="141"/>
      <c r="BQ82" s="141"/>
      <c r="BR82" s="141"/>
      <c r="BS82" s="141"/>
      <c r="BT82" s="141"/>
      <c r="BU82" s="141"/>
      <c r="BV82" s="141"/>
      <c r="BW82" s="141"/>
      <c r="BY82" s="12"/>
      <c r="CA82" s="12"/>
      <c r="CF82" s="7">
        <f>IF(SUM(V82:Y82)=SUM(BL82:BO82), 0, 1)</f>
        <v>0</v>
      </c>
      <c r="CG82" s="12"/>
      <c r="CH82" s="335">
        <v>1</v>
      </c>
      <c r="CI82" s="335">
        <v>1</v>
      </c>
      <c r="EX82" s="13" t="str">
        <f>IF($C82="","",CONCATENATE(D$81," ",D82))</f>
        <v>Cash and Cash Equivalents Movement due to mergers</v>
      </c>
    </row>
    <row r="83" spans="1:154" s="67" customFormat="1" x14ac:dyDescent="0.25">
      <c r="A83" s="362" cm="1">
        <f t="array" aca="1" ref="A83" ca="1">HYPERLINK(CONCATENATE("#",CELL("address",IF(SUM($CA83:$CG83)=0,A83,INDEX($CA83:$CG83,MATCH(1,$CA83:$CG83,0))))),SUM($CA83:$CG83))</f>
        <v>0</v>
      </c>
      <c r="B83" s="93"/>
      <c r="C83" s="343" t="str">
        <f>'Fin Stat'!$C$209</f>
        <v>IC-5</v>
      </c>
      <c r="D83" s="117" t="s">
        <v>97</v>
      </c>
      <c r="E83" s="39"/>
      <c r="G83" s="46"/>
      <c r="H83" s="47" t="s">
        <v>86</v>
      </c>
      <c r="O83" s="335"/>
      <c r="P83" s="335"/>
      <c r="Q83" s="335"/>
      <c r="R83" s="335"/>
      <c r="S83" s="335"/>
      <c r="T83" s="335"/>
      <c r="U83" s="335"/>
      <c r="V83" s="10">
        <f>'Fin Stat'!V209</f>
        <v>3647</v>
      </c>
      <c r="W83" s="10">
        <f>'Fin Stat'!W209</f>
        <v>6441</v>
      </c>
      <c r="X83" s="10">
        <f>'Fin Stat'!X209</f>
        <v>5491</v>
      </c>
      <c r="Y83" s="10">
        <f>'Fin Stat'!Y209</f>
        <v>6340.8100000000013</v>
      </c>
      <c r="AA83" s="10">
        <f>'Fin Stat'!AA209</f>
        <v>8818</v>
      </c>
      <c r="AB83" s="10">
        <f>'Fin Stat'!AB209</f>
        <v>10913</v>
      </c>
      <c r="AC83" s="10">
        <f>'Fin Stat'!AC209</f>
        <v>8982</v>
      </c>
      <c r="AD83" s="10">
        <f>'Fin Stat'!AD209</f>
        <v>9025</v>
      </c>
      <c r="AE83" s="10">
        <f>'Fin Stat'!AE209</f>
        <v>8571</v>
      </c>
      <c r="AF83" s="10">
        <f>'Fin Stat'!AF209</f>
        <v>7986</v>
      </c>
      <c r="AG83" s="10">
        <f>'Fin Stat'!AG209</f>
        <v>7331</v>
      </c>
      <c r="AH83" s="10">
        <f>'Fin Stat'!AH209</f>
        <v>5448</v>
      </c>
      <c r="AI83" s="10">
        <f>'Fin Stat'!AI209</f>
        <v>6886</v>
      </c>
      <c r="AJ83" s="10">
        <f>'Fin Stat'!AJ209</f>
        <v>7251</v>
      </c>
      <c r="AK83" s="10">
        <f>'Fin Stat'!AK209</f>
        <v>7674</v>
      </c>
      <c r="AL83" s="10">
        <f>'Fin Stat'!AL209</f>
        <v>6441</v>
      </c>
      <c r="AM83" s="10">
        <f>'Fin Stat'!AM209</f>
        <v>8199</v>
      </c>
      <c r="AN83" s="10">
        <f>'Fin Stat'!AN209</f>
        <v>8500</v>
      </c>
      <c r="AO83" s="10">
        <f>'Fin Stat'!AO209</f>
        <v>8354</v>
      </c>
      <c r="AP83" s="10">
        <f>'Fin Stat'!AP209</f>
        <v>7780</v>
      </c>
      <c r="AQ83" s="10">
        <f>'Fin Stat'!AQ209</f>
        <v>6545</v>
      </c>
      <c r="AR83" s="10">
        <f>'Fin Stat'!AR209</f>
        <v>5319</v>
      </c>
      <c r="AS83" s="10">
        <f>'Fin Stat'!AS209</f>
        <v>4066</v>
      </c>
      <c r="AT83" s="10">
        <f>'Fin Stat'!AT209</f>
        <v>2701</v>
      </c>
      <c r="AU83" s="10">
        <f>'Fin Stat'!AU209</f>
        <v>3780</v>
      </c>
      <c r="AV83" s="10">
        <f>'Fin Stat'!AV209</f>
        <v>3884</v>
      </c>
      <c r="AW83" s="10">
        <f>'Fin Stat'!AW209</f>
        <v>3643</v>
      </c>
      <c r="AX83" s="10">
        <f>'Fin Stat'!AX209</f>
        <v>5491</v>
      </c>
      <c r="AY83" s="10">
        <f>'Fin Stat'!AY209</f>
        <v>7573.748333333333</v>
      </c>
      <c r="AZ83" s="10">
        <f>'Fin Stat'!AZ209</f>
        <v>8517.1049999999996</v>
      </c>
      <c r="BA83" s="10">
        <f>'Fin Stat'!BA209</f>
        <v>8539.5933333333323</v>
      </c>
      <c r="BB83" s="10">
        <f>'Fin Stat'!BB209</f>
        <v>7943.98</v>
      </c>
      <c r="BC83" s="10">
        <f>'Fin Stat'!BC209</f>
        <v>6919.45</v>
      </c>
      <c r="BD83" s="10">
        <f>'Fin Stat'!BD209</f>
        <v>6077.22</v>
      </c>
      <c r="BE83" s="10">
        <f>'Fin Stat'!BE209</f>
        <v>4886.4783333333335</v>
      </c>
      <c r="BF83" s="10">
        <f>'Fin Stat'!BF209</f>
        <v>3893.96</v>
      </c>
      <c r="BG83" s="10">
        <f>'Fin Stat'!BG209</f>
        <v>5471.338333333334</v>
      </c>
      <c r="BH83" s="10">
        <f>'Fin Stat'!BH209</f>
        <v>5772.4066666666677</v>
      </c>
      <c r="BI83" s="10">
        <f>'Fin Stat'!BI209</f>
        <v>5680.6000000000013</v>
      </c>
      <c r="BJ83" s="10">
        <f>'Fin Stat'!BJ209</f>
        <v>6340.8100000000013</v>
      </c>
      <c r="BL83" s="10">
        <f>'Fin Stat'!BL209</f>
        <v>3647</v>
      </c>
      <c r="BM83" s="10">
        <f>'Fin Stat'!BM209</f>
        <v>6441</v>
      </c>
      <c r="BN83" s="10">
        <f>'Fin Stat'!BN209</f>
        <v>5491</v>
      </c>
      <c r="BO83" s="10">
        <f>'Fin Stat'!BO209</f>
        <v>6340.8100000000013</v>
      </c>
      <c r="BP83" s="10">
        <f>'Fin Stat'!BP209</f>
        <v>6340.8100000000013</v>
      </c>
      <c r="BQ83" s="10">
        <f>'Fin Stat'!BQ209</f>
        <v>6340.8100000000013</v>
      </c>
      <c r="BR83" s="10">
        <f>'Fin Stat'!BR209</f>
        <v>6340.8100000000013</v>
      </c>
      <c r="BS83" s="10">
        <f>'Fin Stat'!BS209</f>
        <v>6340.8100000000013</v>
      </c>
      <c r="BT83" s="10">
        <f>'Fin Stat'!BT209</f>
        <v>6340.8100000000013</v>
      </c>
      <c r="BU83" s="10">
        <f>'Fin Stat'!BU209</f>
        <v>6340.8100000000013</v>
      </c>
      <c r="BV83" s="10">
        <f>'Fin Stat'!BV209</f>
        <v>6340.8100000000013</v>
      </c>
      <c r="BW83" s="10">
        <f>'Fin Stat'!BW209</f>
        <v>6340.8100000000013</v>
      </c>
      <c r="BY83" s="12"/>
      <c r="BZ83" s="335"/>
      <c r="CA83" s="12"/>
      <c r="CE83" s="335"/>
      <c r="CF83" s="7">
        <f>IF(SUM(V83:Y83)=SUM(BL83:BO83), 0, 1)</f>
        <v>0</v>
      </c>
      <c r="CG83" s="12"/>
      <c r="CH83" s="67">
        <v>0</v>
      </c>
      <c r="CI83" s="67">
        <v>0</v>
      </c>
      <c r="EU83" s="335"/>
      <c r="EX83" s="13" t="str">
        <f>IF($C83="","",CONCATENATE(D$81," ",D83))</f>
        <v>Cash and Cash Equivalents Closing Balance</v>
      </c>
    </row>
    <row r="84" spans="1:154" s="67" customFormat="1" ht="8.1" customHeight="1" x14ac:dyDescent="0.25">
      <c r="B84" s="93"/>
      <c r="C84" s="385"/>
      <c r="D84" s="1"/>
      <c r="G84" s="48"/>
      <c r="H84" s="48"/>
      <c r="P84" s="335"/>
      <c r="Q84" s="335"/>
      <c r="R84" s="335"/>
      <c r="S84" s="335"/>
      <c r="T84" s="335"/>
      <c r="U84" s="335"/>
      <c r="V84" s="335"/>
      <c r="BM84" s="6"/>
      <c r="BY84" s="12"/>
      <c r="BZ84" s="335"/>
      <c r="CA84" s="12"/>
      <c r="CE84" s="335"/>
      <c r="CF84" s="321"/>
      <c r="CG84" s="12"/>
      <c r="CH84" s="67">
        <v>0</v>
      </c>
      <c r="CI84" s="67">
        <v>0</v>
      </c>
      <c r="EU84" s="335"/>
      <c r="EX84" s="10" t="str">
        <f t="shared" si="80"/>
        <v/>
      </c>
    </row>
    <row r="85" spans="1:154" s="67" customFormat="1" x14ac:dyDescent="0.25">
      <c r="B85" s="94"/>
      <c r="C85" s="385"/>
      <c r="D85" s="27" t="s">
        <v>115</v>
      </c>
      <c r="G85" s="48"/>
      <c r="H85" s="48"/>
      <c r="P85" s="335"/>
      <c r="Q85" s="335"/>
      <c r="R85" s="335"/>
      <c r="S85" s="335"/>
      <c r="T85" s="335"/>
      <c r="U85" s="335"/>
      <c r="AM85" s="335"/>
      <c r="BM85" s="6"/>
      <c r="BN85" s="6"/>
      <c r="BY85" s="12"/>
      <c r="BZ85" s="335"/>
      <c r="CA85" s="12"/>
      <c r="CE85" s="335"/>
      <c r="CF85" s="321"/>
      <c r="CG85" s="12"/>
      <c r="CH85" s="67">
        <v>0</v>
      </c>
      <c r="CI85" s="67">
        <v>0</v>
      </c>
      <c r="EU85" s="335"/>
      <c r="EX85" s="10" t="str">
        <f t="shared" si="80"/>
        <v/>
      </c>
    </row>
    <row r="86" spans="1:154" s="67" customFormat="1" x14ac:dyDescent="0.25">
      <c r="A86" s="362" cm="1">
        <f t="array" aca="1" ref="A86" ca="1">HYPERLINK(CONCATENATE("#",CELL("address",IF(SUM($CA86:$CG86)=0,A86,INDEX($CA86:$CG86,MATCH(1,$CA86:$CG86,0))))),SUM($CA86:$CG86))</f>
        <v>0</v>
      </c>
      <c r="B86" s="93"/>
      <c r="C86" s="343" t="str">
        <f>REPLACE('Opening Balances'!$C$30, LEN('Opening Balances'!$C$30)-1, 1, "C")</f>
        <v>B-2j-CB</v>
      </c>
      <c r="D86" s="117" t="s">
        <v>97</v>
      </c>
      <c r="E86" s="39"/>
      <c r="G86" s="46"/>
      <c r="H86" s="47" t="s">
        <v>92</v>
      </c>
      <c r="P86" s="335"/>
      <c r="Q86" s="335"/>
      <c r="R86" s="335"/>
      <c r="S86" s="335"/>
      <c r="T86" s="335"/>
      <c r="U86" s="335"/>
      <c r="V86" s="13">
        <f>'Opening Balances'!$W$30</f>
        <v>0</v>
      </c>
      <c r="W86" s="10">
        <f>INDEX($AA86:$BJ86, MATCH(W$5, $AA$5:$BJ$5))</f>
        <v>0</v>
      </c>
      <c r="X86" s="10">
        <f>INDEX($AA86:$BJ86, MATCH(X$5, $AA$5:$BJ$5))</f>
        <v>0</v>
      </c>
      <c r="Y86" s="10">
        <f>INDEX($AA86:$BJ86, MATCH(Y$5, $AA$5:$BJ$5))</f>
        <v>0</v>
      </c>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L86" s="10">
        <f>V86</f>
        <v>0</v>
      </c>
      <c r="BM86" s="10">
        <f>W86</f>
        <v>0</v>
      </c>
      <c r="BN86" s="10">
        <f>X86</f>
        <v>0</v>
      </c>
      <c r="BO86" s="10">
        <f>Y86</f>
        <v>0</v>
      </c>
      <c r="BP86" s="141"/>
      <c r="BQ86" s="141"/>
      <c r="BR86" s="141"/>
      <c r="BS86" s="141"/>
      <c r="BT86" s="141"/>
      <c r="BU86" s="141"/>
      <c r="BV86" s="141"/>
      <c r="BW86" s="141"/>
      <c r="BY86" s="12"/>
      <c r="BZ86" s="335"/>
      <c r="CA86" s="12"/>
      <c r="CE86" s="335"/>
      <c r="CF86" s="7">
        <f>IF(SUM(V86:Y86)=SUM(BL86:BO86), 0, 1)</f>
        <v>0</v>
      </c>
      <c r="CG86" s="12"/>
      <c r="CH86" s="67">
        <v>0</v>
      </c>
      <c r="CI86" s="67">
        <v>1</v>
      </c>
      <c r="EU86" s="335"/>
      <c r="EX86" s="13" t="str">
        <f>IF($C86="","",CONCATENATE(D85," ",D86))</f>
        <v>Restricted Cash  Closing Balance</v>
      </c>
    </row>
    <row r="87" spans="1:154" ht="8.1" customHeight="1" x14ac:dyDescent="0.25">
      <c r="C87" s="385"/>
      <c r="S87" s="335"/>
      <c r="X87" s="11"/>
      <c r="Y87" s="11"/>
      <c r="BM87" s="6"/>
      <c r="BY87" s="12"/>
      <c r="CA87" s="12"/>
      <c r="CG87" s="12"/>
      <c r="CH87" s="11">
        <v>0</v>
      </c>
      <c r="CI87" s="11">
        <v>0</v>
      </c>
      <c r="EX87" s="10" t="str">
        <f t="shared" si="80"/>
        <v/>
      </c>
    </row>
    <row r="88" spans="1:154" x14ac:dyDescent="0.25">
      <c r="A88" s="40"/>
      <c r="B88" s="40"/>
      <c r="C88" s="381"/>
      <c r="D88" s="40" t="s">
        <v>177</v>
      </c>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12"/>
      <c r="CA88" s="12"/>
      <c r="CG88" s="12"/>
      <c r="CH88" s="11">
        <v>0</v>
      </c>
      <c r="CI88" s="11">
        <v>0</v>
      </c>
      <c r="EX88" s="10" t="str">
        <f t="shared" si="80"/>
        <v/>
      </c>
    </row>
    <row r="89" spans="1:154" ht="8.1" customHeight="1" x14ac:dyDescent="0.25">
      <c r="C89" s="385"/>
      <c r="S89" s="335"/>
      <c r="X89" s="11"/>
      <c r="Y89" s="11"/>
      <c r="BM89" s="6"/>
      <c r="BY89" s="12"/>
      <c r="CA89" s="12"/>
      <c r="CG89" s="12"/>
      <c r="CH89" s="11">
        <v>0</v>
      </c>
      <c r="CI89" s="11">
        <v>0</v>
      </c>
      <c r="CJ89" s="11">
        <v>0</v>
      </c>
      <c r="EX89" s="10" t="str">
        <f t="shared" si="80"/>
        <v/>
      </c>
    </row>
    <row r="90" spans="1:154" x14ac:dyDescent="0.25">
      <c r="B90" s="29"/>
      <c r="C90" s="385"/>
      <c r="D90" s="27" t="s">
        <v>123</v>
      </c>
      <c r="S90" s="335"/>
      <c r="BY90" s="12"/>
      <c r="CA90" s="12"/>
      <c r="CG90" s="12"/>
      <c r="CH90" s="11">
        <v>0</v>
      </c>
      <c r="CI90" s="11">
        <v>0</v>
      </c>
      <c r="CJ90" s="11">
        <v>0</v>
      </c>
      <c r="EX90" s="10" t="str">
        <f t="shared" si="80"/>
        <v/>
      </c>
    </row>
    <row r="91" spans="1:154" x14ac:dyDescent="0.25">
      <c r="A91" s="362" cm="1">
        <f t="array" aca="1" ref="A91" ca="1">HYPERLINK(CONCATENATE("#",CELL("address",IF(SUM($CA91:$CG91)=0,A91,INDEX($CA91:$CG91,MATCH(1,$CA91:$CG91,0))))),SUM($CA91:$CG91))</f>
        <v>0</v>
      </c>
      <c r="C91" s="343" t="str">
        <f>REPLACE('Opening Balances'!$C$36, LEN('Opening Balances'!$C$36)-1, 1, "C")</f>
        <v>B-3a-CB</v>
      </c>
      <c r="D91" s="11" t="s">
        <v>2559</v>
      </c>
      <c r="G91" s="8"/>
      <c r="H91" s="47" t="s">
        <v>125</v>
      </c>
      <c r="O91" s="335"/>
      <c r="P91" s="335"/>
      <c r="Q91" s="335"/>
      <c r="R91" s="335"/>
      <c r="S91" s="335"/>
      <c r="T91" s="335"/>
      <c r="U91" s="335"/>
      <c r="V91" s="201">
        <f>Loans!V$1084</f>
        <v>0</v>
      </c>
      <c r="W91" s="201">
        <f>Loans!W$1084</f>
        <v>0</v>
      </c>
      <c r="X91" s="201">
        <f>Loans!X$1084</f>
        <v>0</v>
      </c>
      <c r="Y91" s="201">
        <f>Loans!Y$1084</f>
        <v>0</v>
      </c>
      <c r="Z91" s="67"/>
      <c r="AA91" s="201">
        <f>Loans!AA$1084</f>
        <v>0</v>
      </c>
      <c r="AB91" s="201">
        <f>Loans!AB$1084</f>
        <v>0</v>
      </c>
      <c r="AC91" s="201">
        <f>Loans!AC$1084</f>
        <v>0</v>
      </c>
      <c r="AD91" s="201">
        <f>Loans!AD$1084</f>
        <v>0</v>
      </c>
      <c r="AE91" s="201">
        <f>Loans!AE$1084</f>
        <v>0</v>
      </c>
      <c r="AF91" s="201">
        <f>Loans!AF$1084</f>
        <v>0</v>
      </c>
      <c r="AG91" s="201">
        <f>Loans!AG$1084</f>
        <v>0</v>
      </c>
      <c r="AH91" s="201">
        <f>Loans!AH$1084</f>
        <v>0</v>
      </c>
      <c r="AI91" s="201">
        <f>Loans!AI$1084</f>
        <v>0</v>
      </c>
      <c r="AJ91" s="201">
        <f>Loans!AJ$1084</f>
        <v>0</v>
      </c>
      <c r="AK91" s="201">
        <f>Loans!AK$1084</f>
        <v>0</v>
      </c>
      <c r="AL91" s="201">
        <f>Loans!AL$1084</f>
        <v>0</v>
      </c>
      <c r="AM91" s="201">
        <f>Loans!AM$1084</f>
        <v>0</v>
      </c>
      <c r="AN91" s="201">
        <f>Loans!AN$1084</f>
        <v>0</v>
      </c>
      <c r="AO91" s="201">
        <f>Loans!AO$1084</f>
        <v>0</v>
      </c>
      <c r="AP91" s="201">
        <f>Loans!AP$1084</f>
        <v>0</v>
      </c>
      <c r="AQ91" s="201">
        <f>Loans!AQ$1084</f>
        <v>0</v>
      </c>
      <c r="AR91" s="201">
        <f>Loans!AR$1084</f>
        <v>0</v>
      </c>
      <c r="AS91" s="201">
        <f>Loans!AS$1084</f>
        <v>0</v>
      </c>
      <c r="AT91" s="201">
        <f>Loans!AT$1084</f>
        <v>0</v>
      </c>
      <c r="AU91" s="201">
        <f>Loans!AU$1084</f>
        <v>0</v>
      </c>
      <c r="AV91" s="201">
        <f>Loans!AV$1084</f>
        <v>0</v>
      </c>
      <c r="AW91" s="201">
        <f>Loans!AW$1084</f>
        <v>0</v>
      </c>
      <c r="AX91" s="201">
        <f>Loans!AX$1084</f>
        <v>0</v>
      </c>
      <c r="AY91" s="201">
        <f>Loans!AY$1084</f>
        <v>0</v>
      </c>
      <c r="AZ91" s="201">
        <f>Loans!AZ$1084</f>
        <v>0</v>
      </c>
      <c r="BA91" s="201">
        <f>Loans!BA$1084</f>
        <v>0</v>
      </c>
      <c r="BB91" s="201">
        <f>Loans!BB$1084</f>
        <v>0</v>
      </c>
      <c r="BC91" s="201">
        <f>Loans!BC$1084</f>
        <v>0</v>
      </c>
      <c r="BD91" s="201">
        <f>Loans!BD$1084</f>
        <v>0</v>
      </c>
      <c r="BE91" s="201">
        <f>Loans!BE$1084</f>
        <v>0</v>
      </c>
      <c r="BF91" s="201">
        <f>Loans!BF$1084</f>
        <v>0</v>
      </c>
      <c r="BG91" s="201">
        <f>Loans!BG$1084</f>
        <v>0</v>
      </c>
      <c r="BH91" s="201">
        <f>Loans!BH$1084</f>
        <v>0</v>
      </c>
      <c r="BI91" s="201">
        <f>Loans!BI$1084</f>
        <v>0</v>
      </c>
      <c r="BJ91" s="201">
        <f>Loans!BJ$1084</f>
        <v>0</v>
      </c>
      <c r="BK91" s="67"/>
      <c r="BL91" s="201">
        <f>Loans!BL$1084</f>
        <v>0</v>
      </c>
      <c r="BM91" s="201">
        <f>Loans!BM$1084</f>
        <v>0</v>
      </c>
      <c r="BN91" s="201">
        <f>Loans!BN$1084</f>
        <v>0</v>
      </c>
      <c r="BO91" s="201">
        <f>Loans!BO$1084</f>
        <v>0</v>
      </c>
      <c r="BP91" s="201">
        <f>Loans!BP$1084</f>
        <v>0</v>
      </c>
      <c r="BQ91" s="201">
        <f>Loans!BQ$1084</f>
        <v>0</v>
      </c>
      <c r="BR91" s="201">
        <f>Loans!BR$1084</f>
        <v>0</v>
      </c>
      <c r="BS91" s="201">
        <f>Loans!BS$1084</f>
        <v>0</v>
      </c>
      <c r="BT91" s="201">
        <f>Loans!BT$1084</f>
        <v>0</v>
      </c>
      <c r="BU91" s="201">
        <f>Loans!BU$1084</f>
        <v>0</v>
      </c>
      <c r="BV91" s="201">
        <f>Loans!BV$1084</f>
        <v>0</v>
      </c>
      <c r="BW91" s="201">
        <f>Loans!BW$1084</f>
        <v>0</v>
      </c>
      <c r="BY91" s="12"/>
      <c r="CA91" s="12"/>
      <c r="CF91" s="7">
        <f>IF(SUM(V91:Y91)=SUM(BL91:BO91), 0, 1)</f>
        <v>0</v>
      </c>
      <c r="CG91" s="12"/>
      <c r="CH91" s="11">
        <v>0</v>
      </c>
      <c r="CI91" s="11">
        <v>0</v>
      </c>
      <c r="CJ91" s="1">
        <v>1</v>
      </c>
      <c r="CK91" s="335"/>
      <c r="EX91" s="13" t="str">
        <f>IF($C91="","",CONCATENATE(D90," ",D91))</f>
        <v>Overdrafts Closing overdraft balance</v>
      </c>
    </row>
    <row r="92" spans="1:154" ht="8.1" customHeight="1" x14ac:dyDescent="0.25">
      <c r="C92" s="385"/>
      <c r="O92" s="335"/>
      <c r="P92" s="335"/>
      <c r="Q92" s="335"/>
      <c r="R92" s="335"/>
      <c r="S92" s="335"/>
      <c r="T92" s="335"/>
      <c r="U92" s="335"/>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Y92" s="12"/>
      <c r="CA92" s="12"/>
      <c r="CG92" s="12"/>
      <c r="CH92" s="11">
        <v>0</v>
      </c>
      <c r="CI92" s="11">
        <v>0</v>
      </c>
      <c r="CJ92" s="11">
        <v>0</v>
      </c>
      <c r="EX92" s="10" t="str">
        <f t="shared" si="80"/>
        <v/>
      </c>
    </row>
    <row r="93" spans="1:154" ht="30" x14ac:dyDescent="0.25">
      <c r="B93" s="29"/>
      <c r="C93" s="385"/>
      <c r="D93" s="27" t="s">
        <v>126</v>
      </c>
      <c r="O93" s="335"/>
      <c r="P93" s="335"/>
      <c r="Q93" s="335"/>
      <c r="R93" s="335"/>
      <c r="S93" s="335"/>
      <c r="T93" s="335"/>
      <c r="U93" s="335"/>
      <c r="W93" s="67"/>
      <c r="X93" s="67"/>
      <c r="Y93" s="67"/>
      <c r="Z93" s="67"/>
      <c r="AA93" s="67"/>
      <c r="AB93" s="67"/>
      <c r="AC93" s="67"/>
      <c r="AD93" s="67"/>
      <c r="AE93" s="67"/>
      <c r="AF93" s="67"/>
      <c r="AG93" s="67"/>
      <c r="AH93" s="67"/>
      <c r="AI93" s="67"/>
      <c r="AJ93" s="67"/>
      <c r="AK93" s="67"/>
      <c r="AL93" s="67"/>
      <c r="AM93" s="335"/>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Y93" s="12"/>
      <c r="CA93" s="12"/>
      <c r="CG93" s="12"/>
      <c r="CH93" s="11">
        <v>0</v>
      </c>
      <c r="CI93" s="11">
        <v>0</v>
      </c>
      <c r="CJ93" s="11">
        <v>0</v>
      </c>
      <c r="EX93" s="10" t="str">
        <f t="shared" si="80"/>
        <v/>
      </c>
    </row>
    <row r="94" spans="1:154" x14ac:dyDescent="0.25">
      <c r="A94" s="362" cm="1">
        <f t="array" aca="1" ref="A94" ca="1">HYPERLINK(CONCATENATE("#",CELL("address",IF(SUM($CA94:$CG94)=0,A94,INDEX($CA94:$CG94,MATCH(1,$CA94:$CG94,0))))),SUM($CA94:$CG94))</f>
        <v>0</v>
      </c>
      <c r="C94" s="340" t="s">
        <v>1429</v>
      </c>
      <c r="D94" s="11" t="s">
        <v>124</v>
      </c>
      <c r="G94" s="8"/>
      <c r="H94" s="47" t="s">
        <v>125</v>
      </c>
      <c r="O94" s="335"/>
      <c r="P94" s="335"/>
      <c r="Q94" s="335"/>
      <c r="R94" s="335"/>
      <c r="S94" s="335"/>
      <c r="T94" s="335"/>
      <c r="U94" s="335"/>
      <c r="V94" s="201">
        <f>Loans!V$1085</f>
        <v>0</v>
      </c>
      <c r="W94" s="201">
        <f>Loans!W$1085</f>
        <v>0</v>
      </c>
      <c r="X94" s="201">
        <f>Loans!X$1085</f>
        <v>0</v>
      </c>
      <c r="Y94" s="201">
        <f>Loans!Y$1085</f>
        <v>0</v>
      </c>
      <c r="Z94" s="67"/>
      <c r="AA94" s="201">
        <f>Loans!AA$1085</f>
        <v>0</v>
      </c>
      <c r="AB94" s="201">
        <f>Loans!AB$1085</f>
        <v>0</v>
      </c>
      <c r="AC94" s="201">
        <f>Loans!AC$1085</f>
        <v>0</v>
      </c>
      <c r="AD94" s="201">
        <f>Loans!AD$1085</f>
        <v>0</v>
      </c>
      <c r="AE94" s="201">
        <f>Loans!AE$1085</f>
        <v>0</v>
      </c>
      <c r="AF94" s="201">
        <f>Loans!AF$1085</f>
        <v>0</v>
      </c>
      <c r="AG94" s="201">
        <f>Loans!AG$1085</f>
        <v>0</v>
      </c>
      <c r="AH94" s="201">
        <f>Loans!AH$1085</f>
        <v>0</v>
      </c>
      <c r="AI94" s="201">
        <f>Loans!AI$1085</f>
        <v>0</v>
      </c>
      <c r="AJ94" s="201">
        <f>Loans!AJ$1085</f>
        <v>0</v>
      </c>
      <c r="AK94" s="201">
        <f>Loans!AK$1085</f>
        <v>0</v>
      </c>
      <c r="AL94" s="201">
        <f>Loans!AL$1085</f>
        <v>0</v>
      </c>
      <c r="AM94" s="201">
        <f>Loans!AM$1085</f>
        <v>0</v>
      </c>
      <c r="AN94" s="201">
        <f>Loans!AN$1085</f>
        <v>0</v>
      </c>
      <c r="AO94" s="201">
        <f>Loans!AO$1085</f>
        <v>0</v>
      </c>
      <c r="AP94" s="201">
        <f>Loans!AP$1085</f>
        <v>0</v>
      </c>
      <c r="AQ94" s="201">
        <f>Loans!AQ$1085</f>
        <v>0</v>
      </c>
      <c r="AR94" s="201">
        <f>Loans!AR$1085</f>
        <v>0</v>
      </c>
      <c r="AS94" s="201">
        <f>Loans!AS$1085</f>
        <v>0</v>
      </c>
      <c r="AT94" s="201">
        <f>Loans!AT$1085</f>
        <v>0</v>
      </c>
      <c r="AU94" s="201">
        <f>Loans!AU$1085</f>
        <v>0</v>
      </c>
      <c r="AV94" s="201">
        <f>Loans!AV$1085</f>
        <v>0</v>
      </c>
      <c r="AW94" s="201">
        <f>Loans!AW$1085</f>
        <v>0</v>
      </c>
      <c r="AX94" s="201">
        <f>Loans!AX$1085</f>
        <v>0</v>
      </c>
      <c r="AY94" s="201">
        <f>Loans!AY$1085</f>
        <v>0</v>
      </c>
      <c r="AZ94" s="201">
        <f>Loans!AZ$1085</f>
        <v>0</v>
      </c>
      <c r="BA94" s="201">
        <f>Loans!BA$1085</f>
        <v>0</v>
      </c>
      <c r="BB94" s="201">
        <f>Loans!BB$1085</f>
        <v>0</v>
      </c>
      <c r="BC94" s="201">
        <f>Loans!BC$1085</f>
        <v>0</v>
      </c>
      <c r="BD94" s="201">
        <f>Loans!BD$1085</f>
        <v>0</v>
      </c>
      <c r="BE94" s="201">
        <f>Loans!BE$1085</f>
        <v>0</v>
      </c>
      <c r="BF94" s="201">
        <f>Loans!BF$1085</f>
        <v>0</v>
      </c>
      <c r="BG94" s="201">
        <f>Loans!BG$1085</f>
        <v>0</v>
      </c>
      <c r="BH94" s="201">
        <f>Loans!BH$1085</f>
        <v>0</v>
      </c>
      <c r="BI94" s="201">
        <f>Loans!BI$1085</f>
        <v>0</v>
      </c>
      <c r="BJ94" s="201">
        <f>Loans!BJ$1085</f>
        <v>0</v>
      </c>
      <c r="BK94" s="67"/>
      <c r="BL94" s="201">
        <f>Loans!BL$1085</f>
        <v>0</v>
      </c>
      <c r="BM94" s="201">
        <f>Loans!BM$1085</f>
        <v>0</v>
      </c>
      <c r="BN94" s="201">
        <f>Loans!BN$1085</f>
        <v>0</v>
      </c>
      <c r="BO94" s="201">
        <f>Loans!BO$1085</f>
        <v>0</v>
      </c>
      <c r="BP94" s="201">
        <f>Loans!BP$1085</f>
        <v>0</v>
      </c>
      <c r="BQ94" s="201">
        <f>Loans!BQ$1085</f>
        <v>0</v>
      </c>
      <c r="BR94" s="201">
        <f>Loans!BR$1085</f>
        <v>0</v>
      </c>
      <c r="BS94" s="201">
        <f>Loans!BS$1085</f>
        <v>0</v>
      </c>
      <c r="BT94" s="201">
        <f>Loans!BT$1085</f>
        <v>0</v>
      </c>
      <c r="BU94" s="201">
        <f>Loans!BU$1085</f>
        <v>0</v>
      </c>
      <c r="BV94" s="201">
        <f>Loans!BV$1085</f>
        <v>0</v>
      </c>
      <c r="BW94" s="201">
        <f>Loans!BW$1085</f>
        <v>0</v>
      </c>
      <c r="BY94" s="12"/>
      <c r="CA94" s="12"/>
      <c r="CF94" s="7">
        <f>IF(SUM(V94:Y94)=SUM(BL94:BO94), 0, 1)</f>
        <v>0</v>
      </c>
      <c r="CG94" s="12"/>
      <c r="CH94" s="11">
        <v>0</v>
      </c>
      <c r="CI94" s="11">
        <v>0</v>
      </c>
      <c r="CJ94" s="1">
        <v>1</v>
      </c>
      <c r="CK94" s="335"/>
      <c r="EX94" s="13" t="str">
        <f>IF($C94="","",CONCATENATE(D$93," ",D94))</f>
        <v>Exceptional Financial Support (EFS) / Restructuring Fund (RF) Loans Closing loan capital balance</v>
      </c>
    </row>
    <row r="95" spans="1:154" ht="8.1" customHeight="1" x14ac:dyDescent="0.25">
      <c r="C95" s="385"/>
      <c r="O95" s="335"/>
      <c r="P95" s="335"/>
      <c r="Q95" s="335"/>
      <c r="R95" s="335"/>
      <c r="S95" s="335"/>
      <c r="T95" s="335"/>
      <c r="U95" s="335"/>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Y95" s="12"/>
      <c r="CA95" s="12"/>
      <c r="CG95" s="12"/>
      <c r="CH95" s="11">
        <v>0</v>
      </c>
      <c r="CI95" s="11">
        <v>0</v>
      </c>
      <c r="CJ95" s="11">
        <v>0</v>
      </c>
      <c r="EX95" s="10" t="str">
        <f t="shared" si="80"/>
        <v/>
      </c>
    </row>
    <row r="96" spans="1:154" x14ac:dyDescent="0.25">
      <c r="A96" s="362" cm="1">
        <f t="array" aca="1" ref="A96" ca="1">HYPERLINK(CONCATENATE("#",CELL("address",IF(SUM($CA96:$CG96)=0,A96,INDEX($CA96:$CG96,MATCH(1,$CA96:$CG96,0))))),SUM($CA96:$CG96))</f>
        <v>0</v>
      </c>
      <c r="C96" s="343" t="str">
        <f>REPLACE('Opening Balances'!$C$37, LEN('Opening Balances'!$C$37)-1, 1, "C")</f>
        <v>B-3b-CB</v>
      </c>
      <c r="D96" s="1" t="s">
        <v>141</v>
      </c>
      <c r="G96" s="8"/>
      <c r="H96" s="47" t="s">
        <v>125</v>
      </c>
      <c r="O96" s="335"/>
      <c r="P96" s="335"/>
      <c r="Q96" s="335"/>
      <c r="R96" s="335"/>
      <c r="S96" s="335"/>
      <c r="T96" s="335"/>
      <c r="U96" s="335"/>
      <c r="V96" s="13">
        <f>'Opening Balances'!$W$37</f>
        <v>0</v>
      </c>
      <c r="W96" s="10">
        <f>Loans!W$1091</f>
        <v>0</v>
      </c>
      <c r="X96" s="10">
        <f>Loans!X$1091</f>
        <v>0</v>
      </c>
      <c r="Y96" s="10">
        <f>Loans!Y$1091</f>
        <v>0</v>
      </c>
      <c r="Z96" s="67"/>
      <c r="AA96" s="10">
        <f>Loans!AA$1091</f>
        <v>0</v>
      </c>
      <c r="AB96" s="10">
        <f>Loans!AB$1091</f>
        <v>0</v>
      </c>
      <c r="AC96" s="10">
        <f>Loans!AC$1091</f>
        <v>0</v>
      </c>
      <c r="AD96" s="10">
        <f>Loans!AD$1091</f>
        <v>0</v>
      </c>
      <c r="AE96" s="10">
        <f>Loans!AE$1091</f>
        <v>0</v>
      </c>
      <c r="AF96" s="10">
        <f>Loans!AF$1091</f>
        <v>0</v>
      </c>
      <c r="AG96" s="10">
        <f>Loans!AG$1091</f>
        <v>0</v>
      </c>
      <c r="AH96" s="10">
        <f>Loans!AH$1091</f>
        <v>0</v>
      </c>
      <c r="AI96" s="10">
        <f>Loans!AI$1091</f>
        <v>0</v>
      </c>
      <c r="AJ96" s="10">
        <f>Loans!AJ$1091</f>
        <v>0</v>
      </c>
      <c r="AK96" s="10">
        <f>Loans!AK$1091</f>
        <v>0</v>
      </c>
      <c r="AL96" s="10">
        <f>Loans!AL$1091</f>
        <v>0</v>
      </c>
      <c r="AM96" s="10">
        <f>Loans!AM$1091</f>
        <v>0</v>
      </c>
      <c r="AN96" s="10">
        <f>Loans!AN$1091</f>
        <v>0</v>
      </c>
      <c r="AO96" s="10">
        <f>Loans!AO$1091</f>
        <v>0</v>
      </c>
      <c r="AP96" s="10">
        <f>Loans!AP$1091</f>
        <v>0</v>
      </c>
      <c r="AQ96" s="10">
        <f>Loans!AQ$1091</f>
        <v>0</v>
      </c>
      <c r="AR96" s="10">
        <f>Loans!AR$1091</f>
        <v>0</v>
      </c>
      <c r="AS96" s="10">
        <f>Loans!AS$1091</f>
        <v>0</v>
      </c>
      <c r="AT96" s="10">
        <f>Loans!AT$1091</f>
        <v>0</v>
      </c>
      <c r="AU96" s="10">
        <f>Loans!AU$1091</f>
        <v>0</v>
      </c>
      <c r="AV96" s="10">
        <f>Loans!AV$1091</f>
        <v>0</v>
      </c>
      <c r="AW96" s="10">
        <f>Loans!AW$1091</f>
        <v>0</v>
      </c>
      <c r="AX96" s="10">
        <f>Loans!AX$1091</f>
        <v>0</v>
      </c>
      <c r="AY96" s="574"/>
      <c r="AZ96" s="574"/>
      <c r="BA96" s="574"/>
      <c r="BB96" s="574"/>
      <c r="BC96" s="574"/>
      <c r="BD96" s="574"/>
      <c r="BE96" s="574"/>
      <c r="BF96" s="574"/>
      <c r="BG96" s="574"/>
      <c r="BH96" s="574"/>
      <c r="BI96" s="574"/>
      <c r="BJ96" s="10">
        <f>Loans!BJ$1091</f>
        <v>0</v>
      </c>
      <c r="BK96" s="67"/>
      <c r="BL96" s="10">
        <f>Loans!BL$1091</f>
        <v>0</v>
      </c>
      <c r="BM96" s="10">
        <f>Loans!BM$1091</f>
        <v>0</v>
      </c>
      <c r="BN96" s="10">
        <f>Loans!BN$1091</f>
        <v>0</v>
      </c>
      <c r="BO96" s="10">
        <f>Loans!BO$1091</f>
        <v>0</v>
      </c>
      <c r="BP96" s="141"/>
      <c r="BQ96" s="141"/>
      <c r="BR96" s="141"/>
      <c r="BS96" s="141"/>
      <c r="BT96" s="141"/>
      <c r="BU96" s="141"/>
      <c r="BV96" s="141"/>
      <c r="BW96" s="141"/>
      <c r="BY96" s="12"/>
      <c r="CA96" s="12"/>
      <c r="CF96" s="7">
        <f>IF(SUM(V96:Y96)=SUM(BL96:BO96), 0, 1)</f>
        <v>0</v>
      </c>
      <c r="CG96" s="12"/>
      <c r="CH96" s="11">
        <v>0</v>
      </c>
      <c r="CI96" s="11">
        <v>1</v>
      </c>
      <c r="CJ96" s="11">
        <v>0</v>
      </c>
      <c r="EX96" s="13" t="str">
        <f>IF($C96="","",CONCATENATE(D$93," ",D96))</f>
        <v>Exceptional Financial Support (EFS) / Restructuring Fund (RF) Loans Amount due in one year</v>
      </c>
    </row>
    <row r="97" spans="1:154" x14ac:dyDescent="0.25">
      <c r="A97" s="362" cm="1">
        <f t="array" aca="1" ref="A97" ca="1">HYPERLINK(CONCATENATE("#",CELL("address",IF(SUM($CA97:$CG97)=0,A97,INDEX($CA97:$CG97,MATCH(1,$CA97:$CG97,0))))),SUM($CA97:$CG97))</f>
        <v>0</v>
      </c>
      <c r="C97" s="343" t="str">
        <f>REPLACE('Opening Balances'!$C$57, LEN('Opening Balances'!$C$57)-1, 1, "C")</f>
        <v>B-6a-CB</v>
      </c>
      <c r="D97" s="1" t="s">
        <v>142</v>
      </c>
      <c r="G97" s="8"/>
      <c r="H97" s="47" t="s">
        <v>125</v>
      </c>
      <c r="O97" s="335"/>
      <c r="P97" s="335"/>
      <c r="Q97" s="335"/>
      <c r="R97" s="335"/>
      <c r="S97" s="335"/>
      <c r="T97" s="335"/>
      <c r="U97" s="335"/>
      <c r="V97" s="10">
        <f>V94-V96</f>
        <v>0</v>
      </c>
      <c r="W97" s="10">
        <f t="shared" ref="W97" si="81">W94-W96</f>
        <v>0</v>
      </c>
      <c r="X97" s="10">
        <f t="shared" ref="X97" si="82">X94-X96</f>
        <v>0</v>
      </c>
      <c r="Y97" s="10">
        <f t="shared" ref="Y97" si="83">Y94-Y96</f>
        <v>0</v>
      </c>
      <c r="Z97" s="67"/>
      <c r="AA97" s="10">
        <f t="shared" ref="AA97" si="84">AA94-AA96</f>
        <v>0</v>
      </c>
      <c r="AB97" s="10">
        <f t="shared" ref="AB97" si="85">AB94-AB96</f>
        <v>0</v>
      </c>
      <c r="AC97" s="10">
        <f t="shared" ref="AC97" si="86">AC94-AC96</f>
        <v>0</v>
      </c>
      <c r="AD97" s="10">
        <f t="shared" ref="AD97" si="87">AD94-AD96</f>
        <v>0</v>
      </c>
      <c r="AE97" s="10">
        <f t="shared" ref="AE97" si="88">AE94-AE96</f>
        <v>0</v>
      </c>
      <c r="AF97" s="10">
        <f t="shared" ref="AF97" si="89">AF94-AF96</f>
        <v>0</v>
      </c>
      <c r="AG97" s="10">
        <f t="shared" ref="AG97" si="90">AG94-AG96</f>
        <v>0</v>
      </c>
      <c r="AH97" s="10">
        <f t="shared" ref="AH97" si="91">AH94-AH96</f>
        <v>0</v>
      </c>
      <c r="AI97" s="10">
        <f t="shared" ref="AI97" si="92">AI94-AI96</f>
        <v>0</v>
      </c>
      <c r="AJ97" s="10">
        <f t="shared" ref="AJ97" si="93">AJ94-AJ96</f>
        <v>0</v>
      </c>
      <c r="AK97" s="10">
        <f t="shared" ref="AK97" si="94">AK94-AK96</f>
        <v>0</v>
      </c>
      <c r="AL97" s="10">
        <f t="shared" ref="AL97" si="95">AL94-AL96</f>
        <v>0</v>
      </c>
      <c r="AM97" s="10">
        <f t="shared" ref="AM97" si="96">AM94-AM96</f>
        <v>0</v>
      </c>
      <c r="AN97" s="10">
        <f t="shared" ref="AN97" si="97">AN94-AN96</f>
        <v>0</v>
      </c>
      <c r="AO97" s="10">
        <f t="shared" ref="AO97" si="98">AO94-AO96</f>
        <v>0</v>
      </c>
      <c r="AP97" s="10">
        <f t="shared" ref="AP97" si="99">AP94-AP96</f>
        <v>0</v>
      </c>
      <c r="AQ97" s="10">
        <f t="shared" ref="AQ97" si="100">AQ94-AQ96</f>
        <v>0</v>
      </c>
      <c r="AR97" s="10">
        <f t="shared" ref="AR97" si="101">AR94-AR96</f>
        <v>0</v>
      </c>
      <c r="AS97" s="10">
        <f t="shared" ref="AS97" si="102">AS94-AS96</f>
        <v>0</v>
      </c>
      <c r="AT97" s="10">
        <f t="shared" ref="AT97" si="103">AT94-AT96</f>
        <v>0</v>
      </c>
      <c r="AU97" s="10">
        <f t="shared" ref="AU97" si="104">AU94-AU96</f>
        <v>0</v>
      </c>
      <c r="AV97" s="10">
        <f t="shared" ref="AV97" si="105">AV94-AV96</f>
        <v>0</v>
      </c>
      <c r="AW97" s="10">
        <f t="shared" ref="AW97" si="106">AW94-AW96</f>
        <v>0</v>
      </c>
      <c r="AX97" s="10">
        <f t="shared" ref="AX97" si="107">AX94-AX96</f>
        <v>0</v>
      </c>
      <c r="AY97" s="10">
        <f t="shared" ref="AY97" si="108">AY94-AY96</f>
        <v>0</v>
      </c>
      <c r="AZ97" s="10">
        <f t="shared" ref="AZ97" si="109">AZ94-AZ96</f>
        <v>0</v>
      </c>
      <c r="BA97" s="10">
        <f t="shared" ref="BA97" si="110">BA94-BA96</f>
        <v>0</v>
      </c>
      <c r="BB97" s="10">
        <f t="shared" ref="BB97" si="111">BB94-BB96</f>
        <v>0</v>
      </c>
      <c r="BC97" s="10">
        <f t="shared" ref="BC97" si="112">BC94-BC96</f>
        <v>0</v>
      </c>
      <c r="BD97" s="10">
        <f t="shared" ref="BD97" si="113">BD94-BD96</f>
        <v>0</v>
      </c>
      <c r="BE97" s="10">
        <f t="shared" ref="BE97" si="114">BE94-BE96</f>
        <v>0</v>
      </c>
      <c r="BF97" s="10">
        <f t="shared" ref="BF97" si="115">BF94-BF96</f>
        <v>0</v>
      </c>
      <c r="BG97" s="10">
        <f t="shared" ref="BG97" si="116">BG94-BG96</f>
        <v>0</v>
      </c>
      <c r="BH97" s="10">
        <f t="shared" ref="BH97" si="117">BH94-BH96</f>
        <v>0</v>
      </c>
      <c r="BI97" s="10">
        <f t="shared" ref="BI97" si="118">BI94-BI96</f>
        <v>0</v>
      </c>
      <c r="BJ97" s="10">
        <f t="shared" ref="BJ97" si="119">BJ94-BJ96</f>
        <v>0</v>
      </c>
      <c r="BK97" s="67"/>
      <c r="BL97" s="10">
        <f t="shared" ref="BL97" si="120">BL94-BL96</f>
        <v>0</v>
      </c>
      <c r="BM97" s="10">
        <f t="shared" ref="BM97" si="121">BM94-BM96</f>
        <v>0</v>
      </c>
      <c r="BN97" s="10">
        <f t="shared" ref="BN97" si="122">BN94-BN96</f>
        <v>0</v>
      </c>
      <c r="BO97" s="10">
        <f t="shared" ref="BO97" si="123">BO94-BO96</f>
        <v>0</v>
      </c>
      <c r="BP97" s="10">
        <f>BP94-BP96</f>
        <v>0</v>
      </c>
      <c r="BQ97" s="10">
        <f t="shared" ref="BQ97" si="124">BQ94-BQ96</f>
        <v>0</v>
      </c>
      <c r="BR97" s="10">
        <f t="shared" ref="BR97" si="125">BR94-BR96</f>
        <v>0</v>
      </c>
      <c r="BS97" s="10">
        <f t="shared" ref="BS97" si="126">BS94-BS96</f>
        <v>0</v>
      </c>
      <c r="BT97" s="10">
        <f t="shared" ref="BT97" si="127">BT94-BT96</f>
        <v>0</v>
      </c>
      <c r="BU97" s="10">
        <f t="shared" ref="BU97" si="128">BU94-BU96</f>
        <v>0</v>
      </c>
      <c r="BV97" s="10">
        <f t="shared" ref="BV97" si="129">BV94-BV96</f>
        <v>0</v>
      </c>
      <c r="BW97" s="10">
        <f t="shared" ref="BW97" si="130">BW94-BW96</f>
        <v>0</v>
      </c>
      <c r="BY97" s="12"/>
      <c r="CA97" s="12"/>
      <c r="CF97" s="7">
        <f>IF(SUM(V97:Y97)=SUM(BL97:BO97), 0, 1)</f>
        <v>0</v>
      </c>
      <c r="CG97" s="12"/>
      <c r="CH97" s="11">
        <v>0</v>
      </c>
      <c r="CI97" s="11">
        <v>0</v>
      </c>
      <c r="CJ97" s="11">
        <v>0</v>
      </c>
      <c r="EX97" s="13" t="str">
        <f>IF($C97="","",CONCATENATE(D$93," ",D97))</f>
        <v>Exceptional Financial Support (EFS) / Restructuring Fund (RF) Loans Amount due after one year</v>
      </c>
    </row>
    <row r="98" spans="1:154" ht="8.1" customHeight="1" x14ac:dyDescent="0.25">
      <c r="C98" s="385"/>
      <c r="O98" s="335"/>
      <c r="P98" s="335"/>
      <c r="Q98" s="335"/>
      <c r="R98" s="335"/>
      <c r="S98" s="335"/>
      <c r="T98" s="335"/>
      <c r="U98" s="335"/>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Y98" s="12"/>
      <c r="CA98" s="12"/>
      <c r="CG98" s="12"/>
      <c r="CH98" s="11">
        <v>0</v>
      </c>
      <c r="CI98" s="11">
        <v>0</v>
      </c>
      <c r="CJ98" s="11">
        <v>0</v>
      </c>
      <c r="EX98" s="10" t="str">
        <f t="shared" si="80"/>
        <v/>
      </c>
    </row>
    <row r="99" spans="1:154" x14ac:dyDescent="0.25">
      <c r="B99" s="29"/>
      <c r="C99" s="385"/>
      <c r="D99" s="27" t="s">
        <v>127</v>
      </c>
      <c r="O99" s="335"/>
      <c r="P99" s="335"/>
      <c r="Q99" s="335"/>
      <c r="R99" s="335"/>
      <c r="S99" s="335"/>
      <c r="T99" s="335"/>
      <c r="U99" s="335"/>
      <c r="W99" s="67"/>
      <c r="X99" s="67"/>
      <c r="Y99" s="67"/>
      <c r="Z99" s="67"/>
      <c r="AA99" s="67"/>
      <c r="AB99" s="319"/>
      <c r="AC99" s="319"/>
      <c r="AD99" s="319"/>
      <c r="AE99" s="319"/>
      <c r="AF99" s="319"/>
      <c r="AG99" s="319"/>
      <c r="AH99" s="319"/>
      <c r="AI99" s="319"/>
      <c r="AJ99" s="319"/>
      <c r="AK99" s="319"/>
      <c r="AL99" s="335"/>
      <c r="AM99" s="335"/>
      <c r="AN99" s="335"/>
      <c r="AO99" s="335"/>
      <c r="AP99" s="335"/>
      <c r="AQ99" s="335"/>
      <c r="AR99" s="335"/>
      <c r="AS99" s="335"/>
      <c r="AT99" s="335"/>
      <c r="AU99" s="335"/>
      <c r="AV99" s="335"/>
      <c r="AW99" s="335"/>
      <c r="AX99" s="335"/>
      <c r="AY99" s="335"/>
      <c r="AZ99" s="335"/>
      <c r="BA99" s="335"/>
      <c r="BB99" s="335"/>
      <c r="BC99" s="335"/>
      <c r="BD99" s="335"/>
      <c r="BE99" s="335"/>
      <c r="BF99" s="335"/>
      <c r="BG99" s="335"/>
      <c r="BH99" s="335"/>
      <c r="BI99" s="335"/>
      <c r="BJ99" s="335"/>
      <c r="BK99" s="67"/>
      <c r="BL99" s="323"/>
      <c r="BM99" s="323"/>
      <c r="BN99" s="321"/>
      <c r="BO99" s="321"/>
      <c r="BP99" s="67"/>
      <c r="BQ99" s="67"/>
      <c r="BR99" s="67"/>
      <c r="BS99" s="67"/>
      <c r="BT99" s="67"/>
      <c r="BU99" s="67"/>
      <c r="BV99" s="67"/>
      <c r="BW99" s="67"/>
      <c r="BY99" s="12"/>
      <c r="CA99" s="12"/>
      <c r="CG99" s="12"/>
      <c r="CH99" s="11">
        <v>0</v>
      </c>
      <c r="CI99" s="11">
        <v>0</v>
      </c>
      <c r="CJ99" s="11">
        <v>0</v>
      </c>
      <c r="EX99" s="10" t="str">
        <f t="shared" si="80"/>
        <v/>
      </c>
    </row>
    <row r="100" spans="1:154" x14ac:dyDescent="0.25">
      <c r="A100" s="362" cm="1">
        <f t="array" aca="1" ref="A100" ca="1">HYPERLINK(CONCATENATE("#",CELL("address",IF(SUM($CA100:$CG100)=0,A100,INDEX($CA100:$CG100,MATCH(1,$CA100:$CG100,0))))),SUM($CA100:$CG100))</f>
        <v>0</v>
      </c>
      <c r="C100" s="340" t="s">
        <v>1430</v>
      </c>
      <c r="D100" s="11" t="s">
        <v>124</v>
      </c>
      <c r="G100" s="8"/>
      <c r="H100" s="47" t="s">
        <v>125</v>
      </c>
      <c r="O100" s="335"/>
      <c r="P100" s="335"/>
      <c r="Q100" s="335"/>
      <c r="R100" s="335"/>
      <c r="S100" s="335"/>
      <c r="T100" s="335"/>
      <c r="U100" s="335"/>
      <c r="V100" s="10">
        <f>Loans!V$1086</f>
        <v>3042</v>
      </c>
      <c r="W100" s="10">
        <f>Loans!W$1086</f>
        <v>2701</v>
      </c>
      <c r="X100" s="10">
        <f>Loans!X$1086</f>
        <v>2417</v>
      </c>
      <c r="Y100" s="10">
        <f>Loans!Y$1086</f>
        <v>2133</v>
      </c>
      <c r="Z100" s="67"/>
      <c r="AA100" s="10">
        <f>Loans!AA$1086</f>
        <v>2987</v>
      </c>
      <c r="AB100" s="10">
        <f>Loans!AB$1086</f>
        <v>2963</v>
      </c>
      <c r="AC100" s="10">
        <f>Loans!AC$1086</f>
        <v>2939</v>
      </c>
      <c r="AD100" s="10">
        <f>Loans!AD$1086</f>
        <v>2883</v>
      </c>
      <c r="AE100" s="10">
        <f>Loans!AE$1086</f>
        <v>2858</v>
      </c>
      <c r="AF100" s="10">
        <f>Loans!AF$1086</f>
        <v>2843</v>
      </c>
      <c r="AG100" s="10">
        <f>Loans!AG$1086</f>
        <v>2798</v>
      </c>
      <c r="AH100" s="10">
        <f>Loans!AH$1086</f>
        <v>2785</v>
      </c>
      <c r="AI100" s="10">
        <f>Loans!AI$1086</f>
        <v>2772</v>
      </c>
      <c r="AJ100" s="10">
        <f>Loans!AJ$1086</f>
        <v>2727</v>
      </c>
      <c r="AK100" s="10">
        <f>Loans!AK$1086</f>
        <v>2714</v>
      </c>
      <c r="AL100" s="10">
        <f>Loans!AL$1086</f>
        <v>2701</v>
      </c>
      <c r="AM100" s="10">
        <f>Loans!AM$1086</f>
        <v>2657</v>
      </c>
      <c r="AN100" s="10">
        <f>Loans!AN$1086</f>
        <v>2644</v>
      </c>
      <c r="AO100" s="10">
        <f>Loans!AO$1086</f>
        <v>2631</v>
      </c>
      <c r="AP100" s="10">
        <f>Loans!AP$1086</f>
        <v>2586</v>
      </c>
      <c r="AQ100" s="10">
        <f>Loans!AQ$1086</f>
        <v>2572</v>
      </c>
      <c r="AR100" s="10">
        <f>Loans!AR$1086</f>
        <v>2559</v>
      </c>
      <c r="AS100" s="10">
        <f>Loans!AS$1086</f>
        <v>2514</v>
      </c>
      <c r="AT100" s="10">
        <f>Loans!AT$1086</f>
        <v>2501</v>
      </c>
      <c r="AU100" s="10">
        <f>Loans!AU$1086</f>
        <v>2488</v>
      </c>
      <c r="AV100" s="10">
        <f>Loans!AV$1086</f>
        <v>2443</v>
      </c>
      <c r="AW100" s="10">
        <f>Loans!AW$1086</f>
        <v>2430</v>
      </c>
      <c r="AX100" s="10">
        <f>Loans!AX$1086</f>
        <v>2417</v>
      </c>
      <c r="AY100" s="10">
        <f>Loans!AY$1086</f>
        <v>2373</v>
      </c>
      <c r="AZ100" s="10">
        <f>Loans!AZ$1086</f>
        <v>2360</v>
      </c>
      <c r="BA100" s="10">
        <f>Loans!BA$1086</f>
        <v>2347</v>
      </c>
      <c r="BB100" s="10">
        <f>Loans!BB$1086</f>
        <v>2302</v>
      </c>
      <c r="BC100" s="10">
        <f>Loans!BC$1086</f>
        <v>2288</v>
      </c>
      <c r="BD100" s="10">
        <f>Loans!BD$1086</f>
        <v>2275</v>
      </c>
      <c r="BE100" s="10">
        <f>Loans!BE$1086</f>
        <v>2230</v>
      </c>
      <c r="BF100" s="10">
        <f>Loans!BF$1086</f>
        <v>2217</v>
      </c>
      <c r="BG100" s="10">
        <f>Loans!BG$1086</f>
        <v>2204</v>
      </c>
      <c r="BH100" s="10">
        <f>Loans!BH$1086</f>
        <v>2159</v>
      </c>
      <c r="BI100" s="10">
        <f>Loans!BI$1086</f>
        <v>2146</v>
      </c>
      <c r="BJ100" s="10">
        <f>Loans!BJ$1086</f>
        <v>2133</v>
      </c>
      <c r="BK100" s="67"/>
      <c r="BL100" s="10">
        <f>Loans!BL$1086</f>
        <v>3042</v>
      </c>
      <c r="BM100" s="10">
        <f>Loans!BM$1086</f>
        <v>2701</v>
      </c>
      <c r="BN100" s="10">
        <f>Loans!BN$1086</f>
        <v>2417</v>
      </c>
      <c r="BO100" s="10">
        <f>Loans!BO$1086</f>
        <v>2133</v>
      </c>
      <c r="BP100" s="10">
        <f>Loans!BP$1086</f>
        <v>2133</v>
      </c>
      <c r="BQ100" s="10">
        <f>Loans!BQ$1086</f>
        <v>2133</v>
      </c>
      <c r="BR100" s="10">
        <f>Loans!BR$1086</f>
        <v>2133</v>
      </c>
      <c r="BS100" s="10">
        <f>Loans!BS$1086</f>
        <v>2133</v>
      </c>
      <c r="BT100" s="10">
        <f>Loans!BT$1086</f>
        <v>2133</v>
      </c>
      <c r="BU100" s="10">
        <f>Loans!BU$1086</f>
        <v>2133</v>
      </c>
      <c r="BV100" s="10">
        <f>Loans!BV$1086</f>
        <v>2133</v>
      </c>
      <c r="BW100" s="10">
        <f>Loans!BW$1086</f>
        <v>2133</v>
      </c>
      <c r="BY100" s="12"/>
      <c r="CA100" s="12"/>
      <c r="CF100" s="7">
        <f>IF(SUM(V100:Y100)=SUM(BL100:BO100), 0, 1)</f>
        <v>0</v>
      </c>
      <c r="CG100" s="12"/>
      <c r="CH100" s="11">
        <v>0</v>
      </c>
      <c r="CI100" s="11">
        <v>0</v>
      </c>
      <c r="CJ100" s="1">
        <v>1</v>
      </c>
      <c r="CK100" s="335"/>
      <c r="EX100" s="13" t="str">
        <f>IF($C100="","",CONCATENATE(D$99," ",D100))</f>
        <v>Commercial Loans Closing loan capital balance</v>
      </c>
    </row>
    <row r="101" spans="1:154" ht="8.1" customHeight="1" x14ac:dyDescent="0.25">
      <c r="C101" s="385"/>
      <c r="O101" s="335"/>
      <c r="P101" s="335"/>
      <c r="Q101" s="335"/>
      <c r="R101" s="335"/>
      <c r="S101" s="335"/>
      <c r="T101" s="335"/>
      <c r="U101" s="335"/>
      <c r="X101" s="11"/>
      <c r="Y101" s="11"/>
      <c r="Z101" s="67"/>
      <c r="BK101" s="67"/>
      <c r="BM101" s="6"/>
      <c r="BY101" s="12"/>
      <c r="CA101" s="12"/>
      <c r="CG101" s="12"/>
      <c r="CH101" s="11">
        <v>0</v>
      </c>
      <c r="CI101" s="11">
        <v>0</v>
      </c>
      <c r="CJ101" s="11">
        <v>0</v>
      </c>
      <c r="EX101" s="10" t="str">
        <f t="shared" si="80"/>
        <v/>
      </c>
    </row>
    <row r="102" spans="1:154" x14ac:dyDescent="0.25">
      <c r="A102" s="362" cm="1">
        <f t="array" aca="1" ref="A102" ca="1">HYPERLINK(CONCATENATE("#",CELL("address",IF(SUM($CA102:$CG102)=0,A102,INDEX($CA102:$CG102,MATCH(1,$CA102:$CG102,0))))),SUM($CA102:$CG102))</f>
        <v>0</v>
      </c>
      <c r="C102" s="343" t="str">
        <f>REPLACE('Opening Balances'!$C$38, LEN('Opening Balances'!$C$38)-1, 1, "C")</f>
        <v>B-3c-CB</v>
      </c>
      <c r="D102" s="1" t="s">
        <v>141</v>
      </c>
      <c r="G102" s="8"/>
      <c r="H102" s="47" t="s">
        <v>125</v>
      </c>
      <c r="O102" s="335"/>
      <c r="P102" s="335"/>
      <c r="Q102" s="335"/>
      <c r="R102" s="335"/>
      <c r="S102" s="335"/>
      <c r="T102" s="335"/>
      <c r="U102" s="335"/>
      <c r="V102" s="13">
        <f>'Opening Balances'!$W$38</f>
        <v>339</v>
      </c>
      <c r="W102" s="10">
        <f ca="1">Loans!W$1092</f>
        <v>284</v>
      </c>
      <c r="X102" s="10">
        <f ca="1">Loans!X$1092</f>
        <v>284</v>
      </c>
      <c r="Y102" s="10">
        <f>Loans!Y$1092</f>
        <v>0</v>
      </c>
      <c r="Z102" s="67"/>
      <c r="AA102" s="10">
        <f ca="1">Loans!AA$1092</f>
        <v>330</v>
      </c>
      <c r="AB102" s="10">
        <f ca="1">Loans!AB$1092</f>
        <v>319</v>
      </c>
      <c r="AC102" s="10">
        <f ca="1">Loans!AC$1092</f>
        <v>308</v>
      </c>
      <c r="AD102" s="10">
        <f ca="1">Loans!AD$1092</f>
        <v>297</v>
      </c>
      <c r="AE102" s="10">
        <f ca="1">Loans!AE$1092</f>
        <v>286</v>
      </c>
      <c r="AF102" s="10">
        <f ca="1">Loans!AF$1092</f>
        <v>284</v>
      </c>
      <c r="AG102" s="10">
        <f ca="1">Loans!AG$1092</f>
        <v>284</v>
      </c>
      <c r="AH102" s="10">
        <f ca="1">Loans!AH$1092</f>
        <v>284</v>
      </c>
      <c r="AI102" s="10">
        <f ca="1">Loans!AI$1092</f>
        <v>284</v>
      </c>
      <c r="AJ102" s="10">
        <f ca="1">Loans!AJ$1092</f>
        <v>284</v>
      </c>
      <c r="AK102" s="10">
        <f ca="1">Loans!AK$1092</f>
        <v>284</v>
      </c>
      <c r="AL102" s="10">
        <f ca="1">Loans!AL$1092</f>
        <v>284</v>
      </c>
      <c r="AM102" s="10">
        <f ca="1">Loans!AM$1092</f>
        <v>284</v>
      </c>
      <c r="AN102" s="10">
        <f ca="1">Loans!AN$1092</f>
        <v>284</v>
      </c>
      <c r="AO102" s="10">
        <f ca="1">Loans!AO$1092</f>
        <v>284</v>
      </c>
      <c r="AP102" s="10">
        <f ca="1">Loans!AP$1092</f>
        <v>284</v>
      </c>
      <c r="AQ102" s="10">
        <f ca="1">Loans!AQ$1092</f>
        <v>284</v>
      </c>
      <c r="AR102" s="10">
        <f ca="1">Loans!AR$1092</f>
        <v>284</v>
      </c>
      <c r="AS102" s="10">
        <f ca="1">Loans!AS$1092</f>
        <v>284</v>
      </c>
      <c r="AT102" s="10">
        <f ca="1">Loans!AT$1092</f>
        <v>284</v>
      </c>
      <c r="AU102" s="10">
        <f ca="1">Loans!AU$1092</f>
        <v>284</v>
      </c>
      <c r="AV102" s="10">
        <f ca="1">Loans!AV$1092</f>
        <v>284</v>
      </c>
      <c r="AW102" s="10">
        <f ca="1">Loans!AW$1092</f>
        <v>284</v>
      </c>
      <c r="AX102" s="10">
        <f ca="1">Loans!AX$1092</f>
        <v>284</v>
      </c>
      <c r="AY102" s="574"/>
      <c r="AZ102" s="574"/>
      <c r="BA102" s="574"/>
      <c r="BB102" s="574"/>
      <c r="BC102" s="574"/>
      <c r="BD102" s="574"/>
      <c r="BE102" s="574"/>
      <c r="BF102" s="574"/>
      <c r="BG102" s="574"/>
      <c r="BH102" s="574"/>
      <c r="BI102" s="574"/>
      <c r="BJ102" s="10">
        <f>Loans!BJ$1092</f>
        <v>0</v>
      </c>
      <c r="BK102" s="67"/>
      <c r="BL102" s="10">
        <f>Loans!BL$1092</f>
        <v>339</v>
      </c>
      <c r="BM102" s="10">
        <f ca="1">Loans!BM$1092</f>
        <v>284</v>
      </c>
      <c r="BN102" s="10">
        <f ca="1">Loans!BN$1092</f>
        <v>284</v>
      </c>
      <c r="BO102" s="10">
        <f>Loans!BO$1092</f>
        <v>0</v>
      </c>
      <c r="BP102" s="141"/>
      <c r="BQ102" s="141"/>
      <c r="BR102" s="141"/>
      <c r="BS102" s="141"/>
      <c r="BT102" s="141"/>
      <c r="BU102" s="141"/>
      <c r="BV102" s="141"/>
      <c r="BW102" s="141"/>
      <c r="BY102" s="12"/>
      <c r="CA102" s="12"/>
      <c r="CF102" s="7">
        <f ca="1">IF(SUM(V102:Y102)=SUM(BL102:BO102), 0, 1)</f>
        <v>0</v>
      </c>
      <c r="CG102" s="12"/>
      <c r="CH102" s="11">
        <v>0</v>
      </c>
      <c r="CI102" s="11">
        <v>1</v>
      </c>
      <c r="CJ102" s="11">
        <v>0</v>
      </c>
      <c r="EX102" s="13" t="str">
        <f>IF($C102="","",CONCATENATE(D$99," ",D102))</f>
        <v>Commercial Loans Amount due in one year</v>
      </c>
    </row>
    <row r="103" spans="1:154" x14ac:dyDescent="0.25">
      <c r="A103" s="362" cm="1">
        <f t="array" aca="1" ref="A103" ca="1">HYPERLINK(CONCATENATE("#",CELL("address",IF(SUM($CA103:$CG103)=0,A103,INDEX($CA103:$CG103,MATCH(1,$CA103:$CG103,0))))),SUM($CA103:$CG103))</f>
        <v>0</v>
      </c>
      <c r="C103" s="343" t="str">
        <f>REPLACE('Opening Balances'!$C$58, LEN('Opening Balances'!$C$58)-1, 1, "C")</f>
        <v>B-6b-CB</v>
      </c>
      <c r="D103" s="1" t="s">
        <v>142</v>
      </c>
      <c r="G103" s="8"/>
      <c r="H103" s="47" t="s">
        <v>125</v>
      </c>
      <c r="O103" s="335"/>
      <c r="P103" s="335"/>
      <c r="Q103" s="335"/>
      <c r="R103" s="335"/>
      <c r="S103" s="335"/>
      <c r="T103" s="335"/>
      <c r="U103" s="335"/>
      <c r="V103" s="10">
        <f>V100-V102</f>
        <v>2703</v>
      </c>
      <c r="W103" s="10">
        <f t="shared" ref="W103:BW103" ca="1" si="131">W100-W102</f>
        <v>2417</v>
      </c>
      <c r="X103" s="10">
        <f t="shared" ca="1" si="131"/>
        <v>2133</v>
      </c>
      <c r="Y103" s="10">
        <f t="shared" si="131"/>
        <v>2133</v>
      </c>
      <c r="Z103" s="67"/>
      <c r="AA103" s="10">
        <f t="shared" ca="1" si="131"/>
        <v>2657</v>
      </c>
      <c r="AB103" s="10">
        <f t="shared" ca="1" si="131"/>
        <v>2644</v>
      </c>
      <c r="AC103" s="10">
        <f t="shared" ca="1" si="131"/>
        <v>2631</v>
      </c>
      <c r="AD103" s="10">
        <f t="shared" ca="1" si="131"/>
        <v>2586</v>
      </c>
      <c r="AE103" s="10">
        <f t="shared" ca="1" si="131"/>
        <v>2572</v>
      </c>
      <c r="AF103" s="10">
        <f t="shared" ca="1" si="131"/>
        <v>2559</v>
      </c>
      <c r="AG103" s="10">
        <f t="shared" ca="1" si="131"/>
        <v>2514</v>
      </c>
      <c r="AH103" s="10">
        <f t="shared" ca="1" si="131"/>
        <v>2501</v>
      </c>
      <c r="AI103" s="10">
        <f t="shared" ca="1" si="131"/>
        <v>2488</v>
      </c>
      <c r="AJ103" s="10">
        <f t="shared" ca="1" si="131"/>
        <v>2443</v>
      </c>
      <c r="AK103" s="10">
        <f t="shared" ca="1" si="131"/>
        <v>2430</v>
      </c>
      <c r="AL103" s="10">
        <f t="shared" ca="1" si="131"/>
        <v>2417</v>
      </c>
      <c r="AM103" s="10">
        <f t="shared" ca="1" si="131"/>
        <v>2373</v>
      </c>
      <c r="AN103" s="10">
        <f t="shared" ca="1" si="131"/>
        <v>2360</v>
      </c>
      <c r="AO103" s="10">
        <f t="shared" ca="1" si="131"/>
        <v>2347</v>
      </c>
      <c r="AP103" s="10">
        <f t="shared" ca="1" si="131"/>
        <v>2302</v>
      </c>
      <c r="AQ103" s="10">
        <f t="shared" ca="1" si="131"/>
        <v>2288</v>
      </c>
      <c r="AR103" s="10">
        <f t="shared" ca="1" si="131"/>
        <v>2275</v>
      </c>
      <c r="AS103" s="10">
        <f t="shared" ca="1" si="131"/>
        <v>2230</v>
      </c>
      <c r="AT103" s="10">
        <f t="shared" ca="1" si="131"/>
        <v>2217</v>
      </c>
      <c r="AU103" s="10">
        <f t="shared" ca="1" si="131"/>
        <v>2204</v>
      </c>
      <c r="AV103" s="10">
        <f t="shared" ca="1" si="131"/>
        <v>2159</v>
      </c>
      <c r="AW103" s="10">
        <f t="shared" ca="1" si="131"/>
        <v>2146</v>
      </c>
      <c r="AX103" s="10">
        <f t="shared" ca="1" si="131"/>
        <v>2133</v>
      </c>
      <c r="AY103" s="10">
        <f t="shared" si="131"/>
        <v>2373</v>
      </c>
      <c r="AZ103" s="10">
        <f t="shared" si="131"/>
        <v>2360</v>
      </c>
      <c r="BA103" s="10">
        <f t="shared" si="131"/>
        <v>2347</v>
      </c>
      <c r="BB103" s="10">
        <f t="shared" si="131"/>
        <v>2302</v>
      </c>
      <c r="BC103" s="10">
        <f t="shared" si="131"/>
        <v>2288</v>
      </c>
      <c r="BD103" s="10">
        <f t="shared" si="131"/>
        <v>2275</v>
      </c>
      <c r="BE103" s="10">
        <f t="shared" si="131"/>
        <v>2230</v>
      </c>
      <c r="BF103" s="10">
        <f t="shared" si="131"/>
        <v>2217</v>
      </c>
      <c r="BG103" s="10">
        <f t="shared" si="131"/>
        <v>2204</v>
      </c>
      <c r="BH103" s="10">
        <f t="shared" si="131"/>
        <v>2159</v>
      </c>
      <c r="BI103" s="10">
        <f t="shared" si="131"/>
        <v>2146</v>
      </c>
      <c r="BJ103" s="10">
        <f t="shared" si="131"/>
        <v>2133</v>
      </c>
      <c r="BK103" s="67"/>
      <c r="BL103" s="10">
        <f t="shared" si="131"/>
        <v>2703</v>
      </c>
      <c r="BM103" s="10">
        <f t="shared" ca="1" si="131"/>
        <v>2417</v>
      </c>
      <c r="BN103" s="10">
        <f t="shared" ca="1" si="131"/>
        <v>2133</v>
      </c>
      <c r="BO103" s="10">
        <f t="shared" si="131"/>
        <v>2133</v>
      </c>
      <c r="BP103" s="10">
        <f t="shared" si="131"/>
        <v>2133</v>
      </c>
      <c r="BQ103" s="10">
        <f t="shared" si="131"/>
        <v>2133</v>
      </c>
      <c r="BR103" s="10">
        <f t="shared" si="131"/>
        <v>2133</v>
      </c>
      <c r="BS103" s="10">
        <f t="shared" si="131"/>
        <v>2133</v>
      </c>
      <c r="BT103" s="10">
        <f t="shared" si="131"/>
        <v>2133</v>
      </c>
      <c r="BU103" s="10">
        <f t="shared" si="131"/>
        <v>2133</v>
      </c>
      <c r="BV103" s="10">
        <f t="shared" si="131"/>
        <v>2133</v>
      </c>
      <c r="BW103" s="10">
        <f t="shared" si="131"/>
        <v>2133</v>
      </c>
      <c r="BY103" s="12"/>
      <c r="CA103" s="12"/>
      <c r="CF103" s="7">
        <f ca="1">IF(SUM(V103:Y103)=SUM(BL103:BO103), 0, 1)</f>
        <v>0</v>
      </c>
      <c r="CG103" s="12"/>
      <c r="CH103" s="11">
        <v>0</v>
      </c>
      <c r="CI103" s="11">
        <v>0</v>
      </c>
      <c r="CJ103" s="11">
        <v>0</v>
      </c>
      <c r="EX103" s="13" t="str">
        <f>IF($C103="","",CONCATENATE(D$99," ",D103))</f>
        <v>Commercial Loans Amount due after one year</v>
      </c>
    </row>
    <row r="104" spans="1:154" ht="8.1" customHeight="1" x14ac:dyDescent="0.25">
      <c r="C104" s="385"/>
      <c r="O104" s="335"/>
      <c r="P104" s="335"/>
      <c r="Q104" s="335"/>
      <c r="R104" s="335"/>
      <c r="S104" s="335"/>
      <c r="T104" s="335"/>
      <c r="U104" s="335"/>
      <c r="X104" s="11"/>
      <c r="Y104" s="11"/>
      <c r="BM104" s="6"/>
      <c r="BY104" s="12"/>
      <c r="CA104" s="12"/>
      <c r="CG104" s="12"/>
      <c r="CH104" s="11">
        <v>0</v>
      </c>
      <c r="CI104" s="11">
        <v>0</v>
      </c>
      <c r="CJ104" s="11">
        <v>0</v>
      </c>
      <c r="EX104" s="10" t="str">
        <f t="shared" si="80"/>
        <v/>
      </c>
    </row>
    <row r="105" spans="1:154" x14ac:dyDescent="0.25">
      <c r="B105" s="29"/>
      <c r="C105" s="385"/>
      <c r="D105" s="185" t="s">
        <v>128</v>
      </c>
      <c r="O105" s="335"/>
      <c r="P105" s="335"/>
      <c r="Q105" s="335"/>
      <c r="R105" s="335"/>
      <c r="S105" s="335"/>
      <c r="T105" s="335"/>
      <c r="U105" s="335"/>
      <c r="X105" s="11"/>
      <c r="Y105" s="11"/>
      <c r="AM105" s="335"/>
      <c r="BY105" s="12"/>
      <c r="CA105" s="12"/>
      <c r="CG105" s="12"/>
      <c r="CH105" s="11">
        <v>0</v>
      </c>
      <c r="CI105" s="11">
        <v>0</v>
      </c>
      <c r="CJ105" s="11">
        <v>0</v>
      </c>
      <c r="EX105" s="10" t="str">
        <f t="shared" si="80"/>
        <v/>
      </c>
    </row>
    <row r="106" spans="1:154" x14ac:dyDescent="0.25">
      <c r="A106" s="362" cm="1">
        <f t="array" aca="1" ref="A106" ca="1">HYPERLINK(CONCATENATE("#",CELL("address",IF(SUM($CA106:$CG106)=0,A106,INDEX($CA106:$CG106,MATCH(1,$CA106:$CG106,0))))),SUM($CA106:$CG106))</f>
        <v>0</v>
      </c>
      <c r="C106" s="340" t="s">
        <v>1431</v>
      </c>
      <c r="D106" s="335" t="s">
        <v>91</v>
      </c>
      <c r="G106" s="8"/>
      <c r="H106" s="47" t="s">
        <v>125</v>
      </c>
      <c r="O106" s="335"/>
      <c r="P106" s="335"/>
      <c r="Q106" s="335"/>
      <c r="R106" s="335"/>
      <c r="S106" s="335"/>
      <c r="T106" s="335"/>
      <c r="U106" s="335"/>
      <c r="V106" s="13">
        <f>'Opening Balances'!$V$39+'Opening Balances'!$V$59</f>
        <v>0</v>
      </c>
      <c r="W106" s="10">
        <f>V111</f>
        <v>524</v>
      </c>
      <c r="X106" s="10">
        <f t="shared" ref="X106:Y106" si="132">W111</f>
        <v>390</v>
      </c>
      <c r="Y106" s="10">
        <f t="shared" si="132"/>
        <v>256</v>
      </c>
      <c r="Z106" s="67"/>
      <c r="AA106" s="10">
        <f>W106</f>
        <v>524</v>
      </c>
      <c r="AB106" s="10">
        <f>AA111</f>
        <v>512</v>
      </c>
      <c r="AC106" s="10">
        <f t="shared" ref="AC106:BJ106" si="133">AB111</f>
        <v>500</v>
      </c>
      <c r="AD106" s="10">
        <f t="shared" si="133"/>
        <v>489</v>
      </c>
      <c r="AE106" s="10">
        <f t="shared" si="133"/>
        <v>478</v>
      </c>
      <c r="AF106" s="10">
        <f t="shared" si="133"/>
        <v>467</v>
      </c>
      <c r="AG106" s="10">
        <f t="shared" si="133"/>
        <v>456</v>
      </c>
      <c r="AH106" s="10">
        <f t="shared" si="133"/>
        <v>445</v>
      </c>
      <c r="AI106" s="10">
        <f t="shared" si="133"/>
        <v>434</v>
      </c>
      <c r="AJ106" s="10">
        <f t="shared" si="133"/>
        <v>423</v>
      </c>
      <c r="AK106" s="10">
        <f t="shared" si="133"/>
        <v>412</v>
      </c>
      <c r="AL106" s="10">
        <f t="shared" si="133"/>
        <v>401</v>
      </c>
      <c r="AM106" s="10">
        <f t="shared" si="133"/>
        <v>390</v>
      </c>
      <c r="AN106" s="10">
        <f t="shared" si="133"/>
        <v>378</v>
      </c>
      <c r="AO106" s="10">
        <f t="shared" si="133"/>
        <v>366</v>
      </c>
      <c r="AP106" s="10">
        <f t="shared" si="133"/>
        <v>355</v>
      </c>
      <c r="AQ106" s="10">
        <f t="shared" si="133"/>
        <v>344</v>
      </c>
      <c r="AR106" s="10">
        <f t="shared" si="133"/>
        <v>333</v>
      </c>
      <c r="AS106" s="10">
        <f t="shared" si="133"/>
        <v>322</v>
      </c>
      <c r="AT106" s="10">
        <f t="shared" si="133"/>
        <v>311</v>
      </c>
      <c r="AU106" s="10">
        <f t="shared" si="133"/>
        <v>300</v>
      </c>
      <c r="AV106" s="10">
        <f t="shared" si="133"/>
        <v>289</v>
      </c>
      <c r="AW106" s="10">
        <f t="shared" si="133"/>
        <v>278</v>
      </c>
      <c r="AX106" s="10">
        <f t="shared" si="133"/>
        <v>267</v>
      </c>
      <c r="AY106" s="10">
        <f t="shared" si="133"/>
        <v>256</v>
      </c>
      <c r="AZ106" s="10">
        <f t="shared" si="133"/>
        <v>244</v>
      </c>
      <c r="BA106" s="10">
        <f t="shared" si="133"/>
        <v>232</v>
      </c>
      <c r="BB106" s="10">
        <f t="shared" si="133"/>
        <v>221</v>
      </c>
      <c r="BC106" s="10">
        <f t="shared" si="133"/>
        <v>210</v>
      </c>
      <c r="BD106" s="10">
        <f t="shared" si="133"/>
        <v>199</v>
      </c>
      <c r="BE106" s="10">
        <f t="shared" si="133"/>
        <v>188</v>
      </c>
      <c r="BF106" s="10">
        <f t="shared" si="133"/>
        <v>177</v>
      </c>
      <c r="BG106" s="10">
        <f t="shared" si="133"/>
        <v>166</v>
      </c>
      <c r="BH106" s="10">
        <f t="shared" si="133"/>
        <v>155</v>
      </c>
      <c r="BI106" s="10">
        <f t="shared" si="133"/>
        <v>144</v>
      </c>
      <c r="BJ106" s="10">
        <f t="shared" si="133"/>
        <v>133</v>
      </c>
      <c r="BK106" s="67"/>
      <c r="BL106" s="13">
        <f>V106</f>
        <v>0</v>
      </c>
      <c r="BM106" s="13">
        <f>W106</f>
        <v>524</v>
      </c>
      <c r="BN106" s="13">
        <f>X106</f>
        <v>390</v>
      </c>
      <c r="BO106" s="13">
        <f>Y106</f>
        <v>256</v>
      </c>
      <c r="BP106" s="10">
        <f>BO111</f>
        <v>122</v>
      </c>
      <c r="BQ106" s="10">
        <f t="shared" ref="BQ106:BW106" si="134">BP111</f>
        <v>122</v>
      </c>
      <c r="BR106" s="10">
        <f t="shared" si="134"/>
        <v>122</v>
      </c>
      <c r="BS106" s="10">
        <f t="shared" si="134"/>
        <v>122</v>
      </c>
      <c r="BT106" s="10">
        <f t="shared" si="134"/>
        <v>122</v>
      </c>
      <c r="BU106" s="10">
        <f t="shared" si="134"/>
        <v>122</v>
      </c>
      <c r="BV106" s="10">
        <f t="shared" si="134"/>
        <v>122</v>
      </c>
      <c r="BW106" s="10">
        <f t="shared" si="134"/>
        <v>122</v>
      </c>
      <c r="BY106" s="12"/>
      <c r="CA106" s="12"/>
      <c r="CF106" s="7">
        <f t="shared" ref="CF106:CF111" si="135">IF(SUM(V106:Y106)=SUM(BL106:BO106), 0, 1)</f>
        <v>0</v>
      </c>
      <c r="CG106" s="12"/>
      <c r="CH106" s="11">
        <v>0</v>
      </c>
      <c r="CI106" s="11">
        <v>0</v>
      </c>
      <c r="CJ106" s="11">
        <v>0</v>
      </c>
      <c r="EX106" s="13" t="str">
        <f t="shared" ref="EX106:EX114" si="136">IF($C106="","",CONCATENATE(D$105," ",D106))</f>
        <v>Finance Lease Obligations Opening Balance</v>
      </c>
    </row>
    <row r="107" spans="1:154" x14ac:dyDescent="0.25">
      <c r="A107" s="362" cm="1">
        <f t="array" aca="1" ref="A107" ca="1">HYPERLINK(CONCATENATE("#",CELL("address",IF(SUM($CA107:$CG107)=0,A107,INDEX($CA107:$CG107,MATCH(1,$CA107:$CG107,0))))),SUM($CA107:$CG107))</f>
        <v>0</v>
      </c>
      <c r="C107" s="340" t="s">
        <v>1225</v>
      </c>
      <c r="D107" s="177" t="s">
        <v>93</v>
      </c>
      <c r="G107" s="8"/>
      <c r="H107" s="47" t="s">
        <v>125</v>
      </c>
      <c r="P107" s="335"/>
      <c r="Q107" s="335"/>
      <c r="R107" s="335"/>
      <c r="S107" s="335"/>
      <c r="T107" s="335"/>
      <c r="U107" s="335"/>
      <c r="V107" s="10">
        <f>'Investing Inputs'!V289</f>
        <v>0</v>
      </c>
      <c r="W107" s="10">
        <f>'Investing Inputs'!W289</f>
        <v>0</v>
      </c>
      <c r="X107" s="10">
        <f>'Investing Inputs'!X289</f>
        <v>0</v>
      </c>
      <c r="Y107" s="10">
        <f>'Investing Inputs'!Y289</f>
        <v>0</v>
      </c>
      <c r="Z107" s="67"/>
      <c r="AA107" s="10">
        <f>'Investing Inputs'!AA289</f>
        <v>0</v>
      </c>
      <c r="AB107" s="10">
        <f>'Investing Inputs'!AB289</f>
        <v>0</v>
      </c>
      <c r="AC107" s="10">
        <f>'Investing Inputs'!AC289</f>
        <v>0</v>
      </c>
      <c r="AD107" s="10">
        <f>'Investing Inputs'!AD289</f>
        <v>0</v>
      </c>
      <c r="AE107" s="10">
        <f>'Investing Inputs'!AE289</f>
        <v>0</v>
      </c>
      <c r="AF107" s="10">
        <f>'Investing Inputs'!AF289</f>
        <v>0</v>
      </c>
      <c r="AG107" s="10">
        <f>'Investing Inputs'!AG289</f>
        <v>0</v>
      </c>
      <c r="AH107" s="10">
        <f>'Investing Inputs'!AH289</f>
        <v>0</v>
      </c>
      <c r="AI107" s="10">
        <f>'Investing Inputs'!AI289</f>
        <v>0</v>
      </c>
      <c r="AJ107" s="10">
        <f>'Investing Inputs'!AJ289</f>
        <v>0</v>
      </c>
      <c r="AK107" s="10">
        <f>'Investing Inputs'!AK289</f>
        <v>0</v>
      </c>
      <c r="AL107" s="10">
        <f>'Investing Inputs'!AL289</f>
        <v>0</v>
      </c>
      <c r="AM107" s="10">
        <f>'Investing Inputs'!AM289</f>
        <v>0</v>
      </c>
      <c r="AN107" s="10">
        <f>'Investing Inputs'!AN289</f>
        <v>0</v>
      </c>
      <c r="AO107" s="10">
        <f>'Investing Inputs'!AO289</f>
        <v>0</v>
      </c>
      <c r="AP107" s="10">
        <f>'Investing Inputs'!AP289</f>
        <v>0</v>
      </c>
      <c r="AQ107" s="10">
        <f>'Investing Inputs'!AQ289</f>
        <v>0</v>
      </c>
      <c r="AR107" s="10">
        <f>'Investing Inputs'!AR289</f>
        <v>0</v>
      </c>
      <c r="AS107" s="10">
        <f>'Investing Inputs'!AS289</f>
        <v>0</v>
      </c>
      <c r="AT107" s="10">
        <f>'Investing Inputs'!AT289</f>
        <v>0</v>
      </c>
      <c r="AU107" s="10">
        <f>'Investing Inputs'!AU289</f>
        <v>0</v>
      </c>
      <c r="AV107" s="10">
        <f>'Investing Inputs'!AV289</f>
        <v>0</v>
      </c>
      <c r="AW107" s="10">
        <f>'Investing Inputs'!AW289</f>
        <v>0</v>
      </c>
      <c r="AX107" s="10">
        <f>'Investing Inputs'!AX289</f>
        <v>0</v>
      </c>
      <c r="AY107" s="10">
        <f>'Investing Inputs'!AY289</f>
        <v>0</v>
      </c>
      <c r="AZ107" s="10">
        <f>'Investing Inputs'!AZ289</f>
        <v>0</v>
      </c>
      <c r="BA107" s="10">
        <f>'Investing Inputs'!BA289</f>
        <v>0</v>
      </c>
      <c r="BB107" s="10">
        <f>'Investing Inputs'!BB289</f>
        <v>0</v>
      </c>
      <c r="BC107" s="10">
        <f>'Investing Inputs'!BC289</f>
        <v>0</v>
      </c>
      <c r="BD107" s="10">
        <f>'Investing Inputs'!BD289</f>
        <v>0</v>
      </c>
      <c r="BE107" s="10">
        <f>'Investing Inputs'!BE289</f>
        <v>0</v>
      </c>
      <c r="BF107" s="10">
        <f>'Investing Inputs'!BF289</f>
        <v>0</v>
      </c>
      <c r="BG107" s="10">
        <f>'Investing Inputs'!BG289</f>
        <v>0</v>
      </c>
      <c r="BH107" s="10">
        <f>'Investing Inputs'!BH289</f>
        <v>0</v>
      </c>
      <c r="BI107" s="10">
        <f>'Investing Inputs'!BI289</f>
        <v>0</v>
      </c>
      <c r="BJ107" s="10">
        <f>'Investing Inputs'!BJ289</f>
        <v>0</v>
      </c>
      <c r="BK107" s="67"/>
      <c r="BL107" s="10">
        <f>'Investing Inputs'!BL289</f>
        <v>0</v>
      </c>
      <c r="BM107" s="10">
        <f>'Investing Inputs'!BM289</f>
        <v>0</v>
      </c>
      <c r="BN107" s="10">
        <f>'Investing Inputs'!BN289</f>
        <v>0</v>
      </c>
      <c r="BO107" s="10">
        <f>'Investing Inputs'!BO289</f>
        <v>0</v>
      </c>
      <c r="BP107" s="10">
        <f>'Investing Inputs'!BP289</f>
        <v>0</v>
      </c>
      <c r="BQ107" s="10">
        <f>'Investing Inputs'!BQ289</f>
        <v>0</v>
      </c>
      <c r="BR107" s="10">
        <f>'Investing Inputs'!BR289</f>
        <v>0</v>
      </c>
      <c r="BS107" s="10">
        <f>'Investing Inputs'!BS289</f>
        <v>0</v>
      </c>
      <c r="BT107" s="10">
        <f>'Investing Inputs'!BT289</f>
        <v>0</v>
      </c>
      <c r="BU107" s="10">
        <f>'Investing Inputs'!BU289</f>
        <v>0</v>
      </c>
      <c r="BV107" s="10">
        <f>'Investing Inputs'!BV289</f>
        <v>0</v>
      </c>
      <c r="BW107" s="10">
        <f>'Investing Inputs'!BW289</f>
        <v>0</v>
      </c>
      <c r="BY107" s="12"/>
      <c r="CA107" s="12"/>
      <c r="CF107" s="7">
        <f t="shared" si="135"/>
        <v>0</v>
      </c>
      <c r="CG107" s="12"/>
      <c r="CH107" s="11">
        <v>0</v>
      </c>
      <c r="CI107" s="11">
        <v>0</v>
      </c>
      <c r="CJ107" s="11">
        <v>0</v>
      </c>
      <c r="EX107" s="13" t="str">
        <f t="shared" si="136"/>
        <v>Finance Lease Obligations Additions</v>
      </c>
    </row>
    <row r="108" spans="1:154" s="67" customFormat="1" x14ac:dyDescent="0.25">
      <c r="A108" s="362" cm="1">
        <f t="array" aca="1" ref="A108" ca="1">HYPERLINK(CONCATENATE("#",CELL("address",IF(SUM($CA108:$CG108)=0,A108,INDEX($CA108:$CG108,MATCH(1,$CA108:$CG108,0))))),SUM($CA108:$CG108))</f>
        <v>0</v>
      </c>
      <c r="C108" s="340" t="s">
        <v>1432</v>
      </c>
      <c r="D108" s="177" t="s">
        <v>340</v>
      </c>
      <c r="G108" s="8"/>
      <c r="H108" s="47" t="s">
        <v>125</v>
      </c>
      <c r="P108" s="335"/>
      <c r="Q108" s="335"/>
      <c r="R108" s="335"/>
      <c r="S108" s="335"/>
      <c r="T108" s="335"/>
      <c r="U108" s="335"/>
      <c r="V108" s="141"/>
      <c r="W108" s="215">
        <f t="shared" ref="W108:Y110" si="137" xml:space="preserve"> SUMIFS($AA108:$BJ108, $AA$3:$BJ$3, W$3)</f>
        <v>0</v>
      </c>
      <c r="X108" s="215">
        <f t="shared" si="137"/>
        <v>0</v>
      </c>
      <c r="Y108" s="215">
        <f t="shared" si="137"/>
        <v>0</v>
      </c>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L108" s="10">
        <f t="shared" ref="BL108:BO110" si="138">V108</f>
        <v>0</v>
      </c>
      <c r="BM108" s="10">
        <f t="shared" si="138"/>
        <v>0</v>
      </c>
      <c r="BN108" s="10">
        <f t="shared" si="138"/>
        <v>0</v>
      </c>
      <c r="BO108" s="10">
        <f t="shared" si="138"/>
        <v>0</v>
      </c>
      <c r="BP108" s="141"/>
      <c r="BQ108" s="141"/>
      <c r="BR108" s="141"/>
      <c r="BS108" s="141"/>
      <c r="BT108" s="141"/>
      <c r="BU108" s="141"/>
      <c r="BV108" s="141"/>
      <c r="BW108" s="141"/>
      <c r="BY108" s="12"/>
      <c r="BZ108" s="363">
        <f>IF(MIN($V108:$BW108)&lt;0, 1, 0)</f>
        <v>0</v>
      </c>
      <c r="CA108" s="12"/>
      <c r="CE108" s="335"/>
      <c r="CF108" s="7">
        <f t="shared" si="135"/>
        <v>0</v>
      </c>
      <c r="CG108" s="12"/>
      <c r="CH108" s="67">
        <v>1</v>
      </c>
      <c r="CI108" s="67">
        <v>1</v>
      </c>
      <c r="CJ108" s="67">
        <v>0</v>
      </c>
      <c r="EU108" s="335"/>
      <c r="EX108" s="13" t="str">
        <f t="shared" si="136"/>
        <v xml:space="preserve">Finance Lease Obligations Interest Expense </v>
      </c>
    </row>
    <row r="109" spans="1:154" ht="15.75" x14ac:dyDescent="0.3">
      <c r="A109" s="362" cm="1">
        <f t="array" aca="1" ref="A109" ca="1">HYPERLINK(CONCATENATE("#",CELL("address",IF(SUM($CA109:$CG109)=0,A109,INDEX($CA109:$CG109,MATCH(1,$CA109:$CG109,0))))),SUM($CA109:$CG109))</f>
        <v>0</v>
      </c>
      <c r="C109" s="340" t="s">
        <v>1433</v>
      </c>
      <c r="D109" s="177" t="s">
        <v>339</v>
      </c>
      <c r="E109" s="479" t="s">
        <v>335</v>
      </c>
      <c r="G109" s="8"/>
      <c r="H109" s="47" t="s">
        <v>157</v>
      </c>
      <c r="P109" s="335"/>
      <c r="Q109" s="335"/>
      <c r="R109" s="335"/>
      <c r="S109" s="335"/>
      <c r="T109" s="335"/>
      <c r="U109" s="335"/>
      <c r="V109" s="141"/>
      <c r="W109" s="215">
        <f t="shared" si="137"/>
        <v>-134</v>
      </c>
      <c r="X109" s="215">
        <f t="shared" si="137"/>
        <v>-134</v>
      </c>
      <c r="Y109" s="215">
        <f t="shared" si="137"/>
        <v>-134</v>
      </c>
      <c r="Z109" s="67"/>
      <c r="AA109" s="147">
        <v>-12</v>
      </c>
      <c r="AB109" s="147">
        <v>-12</v>
      </c>
      <c r="AC109" s="147">
        <v>-11</v>
      </c>
      <c r="AD109" s="147">
        <v>-11</v>
      </c>
      <c r="AE109" s="147">
        <v>-11</v>
      </c>
      <c r="AF109" s="147">
        <v>-11</v>
      </c>
      <c r="AG109" s="147">
        <v>-11</v>
      </c>
      <c r="AH109" s="147">
        <v>-11</v>
      </c>
      <c r="AI109" s="147">
        <v>-11</v>
      </c>
      <c r="AJ109" s="147">
        <v>-11</v>
      </c>
      <c r="AK109" s="147">
        <v>-11</v>
      </c>
      <c r="AL109" s="147">
        <v>-11</v>
      </c>
      <c r="AM109" s="147">
        <v>-12</v>
      </c>
      <c r="AN109" s="147">
        <v>-12</v>
      </c>
      <c r="AO109" s="147">
        <v>-11</v>
      </c>
      <c r="AP109" s="147">
        <v>-11</v>
      </c>
      <c r="AQ109" s="147">
        <v>-11</v>
      </c>
      <c r="AR109" s="147">
        <v>-11</v>
      </c>
      <c r="AS109" s="147">
        <v>-11</v>
      </c>
      <c r="AT109" s="147">
        <v>-11</v>
      </c>
      <c r="AU109" s="147">
        <v>-11</v>
      </c>
      <c r="AV109" s="147">
        <v>-11</v>
      </c>
      <c r="AW109" s="147">
        <v>-11</v>
      </c>
      <c r="AX109" s="147">
        <v>-11</v>
      </c>
      <c r="AY109" s="147">
        <v>-12</v>
      </c>
      <c r="AZ109" s="147">
        <v>-12</v>
      </c>
      <c r="BA109" s="147">
        <v>-11</v>
      </c>
      <c r="BB109" s="147">
        <v>-11</v>
      </c>
      <c r="BC109" s="147">
        <v>-11</v>
      </c>
      <c r="BD109" s="147">
        <v>-11</v>
      </c>
      <c r="BE109" s="147">
        <v>-11</v>
      </c>
      <c r="BF109" s="147">
        <v>-11</v>
      </c>
      <c r="BG109" s="147">
        <v>-11</v>
      </c>
      <c r="BH109" s="147">
        <v>-11</v>
      </c>
      <c r="BI109" s="147">
        <v>-11</v>
      </c>
      <c r="BJ109" s="147">
        <v>-11</v>
      </c>
      <c r="BK109" s="67"/>
      <c r="BL109" s="10">
        <f t="shared" si="138"/>
        <v>0</v>
      </c>
      <c r="BM109" s="10">
        <f t="shared" si="138"/>
        <v>-134</v>
      </c>
      <c r="BN109" s="10">
        <f t="shared" si="138"/>
        <v>-134</v>
      </c>
      <c r="BO109" s="10">
        <f t="shared" si="138"/>
        <v>-134</v>
      </c>
      <c r="BP109" s="141"/>
      <c r="BQ109" s="141"/>
      <c r="BR109" s="141"/>
      <c r="BS109" s="141"/>
      <c r="BT109" s="141"/>
      <c r="BU109" s="141"/>
      <c r="BV109" s="141"/>
      <c r="BW109" s="141"/>
      <c r="BY109" s="12"/>
      <c r="BZ109" s="363">
        <f>IF(MAX($V109:$BW109)&gt;0, 1, 0)</f>
        <v>0</v>
      </c>
      <c r="CA109" s="12"/>
      <c r="CF109" s="7">
        <f t="shared" si="135"/>
        <v>0</v>
      </c>
      <c r="CG109" s="12"/>
      <c r="CH109" s="11">
        <v>1</v>
      </c>
      <c r="CI109" s="11">
        <v>1</v>
      </c>
      <c r="CJ109" s="11">
        <v>0</v>
      </c>
      <c r="EX109" s="13" t="str">
        <f t="shared" si="136"/>
        <v>Finance Lease Obligations Repayments</v>
      </c>
    </row>
    <row r="110" spans="1:154" s="332" customFormat="1" x14ac:dyDescent="0.25">
      <c r="A110" s="362" cm="1">
        <f t="array" aca="1" ref="A110" ca="1">HYPERLINK(CONCATENATE("#",CELL("address",IF(SUM($CA110:$CG110)=0,A110,INDEX($CA110:$CG110,MATCH(1,$CA110:$CG110,0))))),SUM($CA110:$CG110))</f>
        <v>0</v>
      </c>
      <c r="C110" s="340" t="s">
        <v>1434</v>
      </c>
      <c r="D110" s="177" t="s">
        <v>882</v>
      </c>
      <c r="E110" s="490" t="s">
        <v>2356</v>
      </c>
      <c r="G110" s="8"/>
      <c r="H110" s="47" t="s">
        <v>157</v>
      </c>
      <c r="P110" s="335"/>
      <c r="Q110" s="335"/>
      <c r="R110" s="335"/>
      <c r="S110" s="335"/>
      <c r="T110" s="335"/>
      <c r="U110" s="335"/>
      <c r="V110" s="141"/>
      <c r="W110" s="215">
        <f t="shared" si="137"/>
        <v>0</v>
      </c>
      <c r="X110" s="215">
        <f t="shared" si="137"/>
        <v>0</v>
      </c>
      <c r="Y110" s="215">
        <f t="shared" si="137"/>
        <v>0</v>
      </c>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c r="BI110" s="147"/>
      <c r="BJ110" s="147"/>
      <c r="BL110" s="10">
        <f t="shared" si="138"/>
        <v>0</v>
      </c>
      <c r="BM110" s="10">
        <f t="shared" si="138"/>
        <v>0</v>
      </c>
      <c r="BN110" s="10">
        <f t="shared" si="138"/>
        <v>0</v>
      </c>
      <c r="BO110" s="10">
        <f t="shared" si="138"/>
        <v>0</v>
      </c>
      <c r="BP110" s="141"/>
      <c r="BQ110" s="141"/>
      <c r="BR110" s="141"/>
      <c r="BS110" s="141"/>
      <c r="BT110" s="141"/>
      <c r="BU110" s="141"/>
      <c r="BV110" s="141"/>
      <c r="BW110" s="141"/>
      <c r="BY110" s="12"/>
      <c r="BZ110" s="363">
        <f>IF(MAX($V110:$BW110)&gt;0, 1, 0)</f>
        <v>0</v>
      </c>
      <c r="CA110" s="12"/>
      <c r="CE110" s="335"/>
      <c r="CF110" s="7">
        <f t="shared" si="135"/>
        <v>0</v>
      </c>
      <c r="CG110" s="12"/>
      <c r="CH110" s="332">
        <v>1</v>
      </c>
      <c r="CI110" s="332">
        <v>1</v>
      </c>
      <c r="CJ110" s="332">
        <v>0</v>
      </c>
      <c r="EU110" s="335"/>
      <c r="EX110" s="13" t="str">
        <f t="shared" si="136"/>
        <v>Finance Lease Obligations Interest payments</v>
      </c>
    </row>
    <row r="111" spans="1:154" x14ac:dyDescent="0.25">
      <c r="A111" s="362" cm="1">
        <f t="array" aca="1" ref="A111" ca="1">HYPERLINK(CONCATENATE("#",CELL("address",IF(SUM($CA111:$CG111)=0,A111,INDEX($CA111:$CG111,MATCH(1,$CA111:$CG111,0))))),SUM($CA111:$CG111))</f>
        <v>0</v>
      </c>
      <c r="C111" s="340" t="s">
        <v>1435</v>
      </c>
      <c r="D111" s="335" t="s">
        <v>97</v>
      </c>
      <c r="E111" s="352">
        <f>ROUND(V111-SUM(V106:V110), rounding)*$V$10</f>
        <v>0</v>
      </c>
      <c r="G111" s="8"/>
      <c r="H111" s="47" t="s">
        <v>125</v>
      </c>
      <c r="O111" s="335"/>
      <c r="P111" s="335"/>
      <c r="Q111" s="335"/>
      <c r="R111" s="335"/>
      <c r="S111" s="335"/>
      <c r="T111" s="335"/>
      <c r="U111" s="335"/>
      <c r="V111" s="13">
        <f>'Opening Balances'!W39+'Opening Balances'!W59</f>
        <v>524</v>
      </c>
      <c r="W111" s="10">
        <f>SUM(W106:W110)</f>
        <v>390</v>
      </c>
      <c r="X111" s="10">
        <f t="shared" ref="X111:BJ111" si="139">SUM(X106:X110)</f>
        <v>256</v>
      </c>
      <c r="Y111" s="10">
        <f t="shared" si="139"/>
        <v>122</v>
      </c>
      <c r="Z111" s="332"/>
      <c r="AA111" s="10">
        <f t="shared" si="139"/>
        <v>512</v>
      </c>
      <c r="AB111" s="10">
        <f t="shared" si="139"/>
        <v>500</v>
      </c>
      <c r="AC111" s="10">
        <f t="shared" si="139"/>
        <v>489</v>
      </c>
      <c r="AD111" s="10">
        <f t="shared" si="139"/>
        <v>478</v>
      </c>
      <c r="AE111" s="10">
        <f t="shared" si="139"/>
        <v>467</v>
      </c>
      <c r="AF111" s="10">
        <f t="shared" si="139"/>
        <v>456</v>
      </c>
      <c r="AG111" s="10">
        <f t="shared" si="139"/>
        <v>445</v>
      </c>
      <c r="AH111" s="10">
        <f t="shared" si="139"/>
        <v>434</v>
      </c>
      <c r="AI111" s="10">
        <f t="shared" si="139"/>
        <v>423</v>
      </c>
      <c r="AJ111" s="10">
        <f t="shared" si="139"/>
        <v>412</v>
      </c>
      <c r="AK111" s="10">
        <f t="shared" si="139"/>
        <v>401</v>
      </c>
      <c r="AL111" s="10">
        <f t="shared" si="139"/>
        <v>390</v>
      </c>
      <c r="AM111" s="10">
        <f t="shared" si="139"/>
        <v>378</v>
      </c>
      <c r="AN111" s="10">
        <f t="shared" si="139"/>
        <v>366</v>
      </c>
      <c r="AO111" s="10">
        <f t="shared" si="139"/>
        <v>355</v>
      </c>
      <c r="AP111" s="10">
        <f t="shared" si="139"/>
        <v>344</v>
      </c>
      <c r="AQ111" s="10">
        <f t="shared" si="139"/>
        <v>333</v>
      </c>
      <c r="AR111" s="10">
        <f t="shared" si="139"/>
        <v>322</v>
      </c>
      <c r="AS111" s="10">
        <f t="shared" si="139"/>
        <v>311</v>
      </c>
      <c r="AT111" s="10">
        <f t="shared" si="139"/>
        <v>300</v>
      </c>
      <c r="AU111" s="10">
        <f t="shared" si="139"/>
        <v>289</v>
      </c>
      <c r="AV111" s="10">
        <f t="shared" si="139"/>
        <v>278</v>
      </c>
      <c r="AW111" s="10">
        <f t="shared" si="139"/>
        <v>267</v>
      </c>
      <c r="AX111" s="10">
        <f t="shared" si="139"/>
        <v>256</v>
      </c>
      <c r="AY111" s="10">
        <f t="shared" si="139"/>
        <v>244</v>
      </c>
      <c r="AZ111" s="10">
        <f t="shared" si="139"/>
        <v>232</v>
      </c>
      <c r="BA111" s="10">
        <f t="shared" si="139"/>
        <v>221</v>
      </c>
      <c r="BB111" s="10">
        <f t="shared" si="139"/>
        <v>210</v>
      </c>
      <c r="BC111" s="10">
        <f t="shared" si="139"/>
        <v>199</v>
      </c>
      <c r="BD111" s="10">
        <f t="shared" si="139"/>
        <v>188</v>
      </c>
      <c r="BE111" s="10">
        <f t="shared" si="139"/>
        <v>177</v>
      </c>
      <c r="BF111" s="10">
        <f t="shared" si="139"/>
        <v>166</v>
      </c>
      <c r="BG111" s="10">
        <f t="shared" si="139"/>
        <v>155</v>
      </c>
      <c r="BH111" s="10">
        <f t="shared" si="139"/>
        <v>144</v>
      </c>
      <c r="BI111" s="10">
        <f t="shared" si="139"/>
        <v>133</v>
      </c>
      <c r="BJ111" s="10">
        <f t="shared" si="139"/>
        <v>122</v>
      </c>
      <c r="BK111" s="67"/>
      <c r="BL111" s="13">
        <f>V111</f>
        <v>524</v>
      </c>
      <c r="BM111" s="10">
        <f t="shared" ref="BM111" si="140">SUM(BM106:BM110)</f>
        <v>390</v>
      </c>
      <c r="BN111" s="10">
        <f t="shared" ref="BN111" si="141">SUM(BN106:BN110)</f>
        <v>256</v>
      </c>
      <c r="BO111" s="10">
        <f t="shared" ref="BO111" si="142">SUM(BO106:BO110)</f>
        <v>122</v>
      </c>
      <c r="BP111" s="10">
        <f t="shared" ref="BP111" si="143">SUM(BP106:BP110)</f>
        <v>122</v>
      </c>
      <c r="BQ111" s="10">
        <f t="shared" ref="BQ111" si="144">SUM(BQ106:BQ110)</f>
        <v>122</v>
      </c>
      <c r="BR111" s="10">
        <f t="shared" ref="BR111" si="145">SUM(BR106:BR110)</f>
        <v>122</v>
      </c>
      <c r="BS111" s="10">
        <f t="shared" ref="BS111" si="146">SUM(BS106:BS110)</f>
        <v>122</v>
      </c>
      <c r="BT111" s="10">
        <f t="shared" ref="BT111" si="147">SUM(BT106:BT110)</f>
        <v>122</v>
      </c>
      <c r="BU111" s="10">
        <f t="shared" ref="BU111" si="148">SUM(BU106:BU110)</f>
        <v>122</v>
      </c>
      <c r="BV111" s="10">
        <f t="shared" ref="BV111" si="149">SUM(BV106:BV110)</f>
        <v>122</v>
      </c>
      <c r="BW111" s="10">
        <f>SUM(BW106:BW110)</f>
        <v>122</v>
      </c>
      <c r="BY111" s="12"/>
      <c r="CA111" s="12"/>
      <c r="CE111" s="188">
        <f>IF(ABS($E111)&gt;Parameters!$D$33, 1, 0)</f>
        <v>0</v>
      </c>
      <c r="CF111" s="7">
        <f t="shared" si="135"/>
        <v>0</v>
      </c>
      <c r="CG111" s="12"/>
      <c r="CH111" s="11">
        <v>0</v>
      </c>
      <c r="CI111" s="11">
        <v>0</v>
      </c>
      <c r="CJ111" s="1">
        <v>1</v>
      </c>
      <c r="CK111" s="335"/>
      <c r="EX111" s="13" t="str">
        <f t="shared" si="136"/>
        <v>Finance Lease Obligations Closing Balance</v>
      </c>
    </row>
    <row r="112" spans="1:154" ht="8.1" customHeight="1" x14ac:dyDescent="0.25">
      <c r="C112" s="385"/>
      <c r="D112" s="177"/>
      <c r="O112" s="335"/>
      <c r="P112" s="335"/>
      <c r="Q112" s="335"/>
      <c r="R112" s="335"/>
      <c r="S112" s="335"/>
      <c r="T112" s="335"/>
      <c r="U112" s="335"/>
      <c r="V112" s="88"/>
      <c r="X112" s="11"/>
      <c r="Y112" s="11"/>
      <c r="AA112" s="335"/>
      <c r="BM112" s="6"/>
      <c r="BY112" s="12"/>
      <c r="CA112" s="12"/>
      <c r="CG112" s="12"/>
      <c r="CH112" s="11">
        <v>0</v>
      </c>
      <c r="CI112" s="11">
        <v>0</v>
      </c>
      <c r="CJ112" s="11">
        <v>0</v>
      </c>
      <c r="EX112" s="13" t="str">
        <f t="shared" si="136"/>
        <v/>
      </c>
    </row>
    <row r="113" spans="1:154" x14ac:dyDescent="0.25">
      <c r="A113" s="362" cm="1">
        <f t="array" aca="1" ref="A113" ca="1">HYPERLINK(CONCATENATE("#",CELL("address",IF(SUM($CA113:$CG113)=0,A113,INDEX($CA113:$CG113,MATCH(1,$CA113:$CG113,0))))),SUM($CA113:$CG113))</f>
        <v>0</v>
      </c>
      <c r="C113" s="343" t="str">
        <f>REPLACE('Opening Balances'!$C$39, LEN('Opening Balances'!$C$39)-1, 1, "C")</f>
        <v>B-3d-CB</v>
      </c>
      <c r="D113" s="177" t="s">
        <v>141</v>
      </c>
      <c r="G113" s="8"/>
      <c r="H113" s="47" t="s">
        <v>125</v>
      </c>
      <c r="O113" s="335"/>
      <c r="P113" s="335"/>
      <c r="Q113" s="335"/>
      <c r="R113" s="335"/>
      <c r="S113" s="335"/>
      <c r="T113" s="335"/>
      <c r="U113" s="335"/>
      <c r="V113" s="13">
        <f>'Opening Balances'!W39</f>
        <v>131</v>
      </c>
      <c r="W113" s="10">
        <f>INDEX($AA113:$BJ113, MATCH(W$5, $AA$5:$BJ$5))</f>
        <v>134</v>
      </c>
      <c r="X113" s="10">
        <f>INDEX($AA113:$BJ113, MATCH(X$5, $AA$5:$BJ$5))</f>
        <v>134</v>
      </c>
      <c r="Y113" s="10">
        <f>INDEX($AA113:$BJ113, MATCH(Y$5, $AA$5:$BJ$5))</f>
        <v>122</v>
      </c>
      <c r="Z113" s="67"/>
      <c r="AA113" s="147"/>
      <c r="AB113" s="147"/>
      <c r="AC113" s="147"/>
      <c r="AD113" s="147"/>
      <c r="AE113" s="147"/>
      <c r="AF113" s="147"/>
      <c r="AG113" s="147"/>
      <c r="AH113" s="147"/>
      <c r="AI113" s="147"/>
      <c r="AJ113" s="147"/>
      <c r="AK113" s="147"/>
      <c r="AL113" s="147">
        <v>134</v>
      </c>
      <c r="AM113" s="147"/>
      <c r="AN113" s="147"/>
      <c r="AO113" s="147"/>
      <c r="AP113" s="147"/>
      <c r="AQ113" s="147"/>
      <c r="AR113" s="147"/>
      <c r="AS113" s="147"/>
      <c r="AT113" s="147"/>
      <c r="AU113" s="147"/>
      <c r="AV113" s="147"/>
      <c r="AW113" s="147"/>
      <c r="AX113" s="147">
        <v>134</v>
      </c>
      <c r="AY113" s="147"/>
      <c r="AZ113" s="147"/>
      <c r="BA113" s="147"/>
      <c r="BB113" s="147"/>
      <c r="BC113" s="147"/>
      <c r="BD113" s="147"/>
      <c r="BE113" s="147"/>
      <c r="BF113" s="147"/>
      <c r="BG113" s="147"/>
      <c r="BH113" s="147"/>
      <c r="BI113" s="147"/>
      <c r="BJ113" s="147">
        <v>122</v>
      </c>
      <c r="BK113" s="67"/>
      <c r="BL113" s="10">
        <f>V113</f>
        <v>131</v>
      </c>
      <c r="BM113" s="10">
        <f>W113</f>
        <v>134</v>
      </c>
      <c r="BN113" s="10">
        <f>X113</f>
        <v>134</v>
      </c>
      <c r="BO113" s="10">
        <f>Y113</f>
        <v>122</v>
      </c>
      <c r="BP113" s="141"/>
      <c r="BQ113" s="141"/>
      <c r="BR113" s="141"/>
      <c r="BS113" s="141"/>
      <c r="BT113" s="141"/>
      <c r="BU113" s="141"/>
      <c r="BV113" s="141"/>
      <c r="BW113" s="141"/>
      <c r="BY113" s="12"/>
      <c r="CA113" s="12"/>
      <c r="CF113" s="7">
        <f>IF(SUM(V113:Y113)=SUM(BL113:BO113), 0, 1)</f>
        <v>0</v>
      </c>
      <c r="CG113" s="12"/>
      <c r="CH113" s="11">
        <v>0</v>
      </c>
      <c r="CI113" s="11">
        <v>1</v>
      </c>
      <c r="CJ113" s="11">
        <v>0</v>
      </c>
      <c r="EX113" s="13" t="str">
        <f t="shared" si="136"/>
        <v>Finance Lease Obligations Amount due in one year</v>
      </c>
    </row>
    <row r="114" spans="1:154" x14ac:dyDescent="0.25">
      <c r="A114" s="362" cm="1">
        <f t="array" aca="1" ref="A114" ca="1">HYPERLINK(CONCATENATE("#",CELL("address",IF(SUM($CA114:$CG114)=0,A114,INDEX($CA114:$CG114,MATCH(1,$CA114:$CG114,0))))),SUM($CA114:$CG114))</f>
        <v>0</v>
      </c>
      <c r="C114" s="343" t="str">
        <f>REPLACE('Opening Balances'!$C$59, LEN('Opening Balances'!$C$59)-1, 1, "C")</f>
        <v>B-6c-CB</v>
      </c>
      <c r="D114" s="1" t="s">
        <v>142</v>
      </c>
      <c r="G114" s="8"/>
      <c r="H114" s="47" t="s">
        <v>125</v>
      </c>
      <c r="O114" s="335"/>
      <c r="P114" s="335"/>
      <c r="Q114" s="335"/>
      <c r="R114" s="335"/>
      <c r="S114" s="335"/>
      <c r="T114" s="335"/>
      <c r="U114" s="335"/>
      <c r="V114" s="10">
        <f>V111-V113</f>
        <v>393</v>
      </c>
      <c r="W114" s="10">
        <f t="shared" ref="W114:Y114" si="150">W111-W113</f>
        <v>256</v>
      </c>
      <c r="X114" s="10">
        <f t="shared" si="150"/>
        <v>122</v>
      </c>
      <c r="Y114" s="10">
        <f t="shared" si="150"/>
        <v>0</v>
      </c>
      <c r="Z114" s="67"/>
      <c r="AA114" s="10">
        <f t="shared" ref="AA114:AB114" si="151">AA111-AA113</f>
        <v>512</v>
      </c>
      <c r="AB114" s="10">
        <f t="shared" si="151"/>
        <v>500</v>
      </c>
      <c r="AC114" s="10">
        <f>AC111-AC113</f>
        <v>489</v>
      </c>
      <c r="AD114" s="10">
        <f t="shared" ref="AD114:BJ114" si="152">AD111-AD113</f>
        <v>478</v>
      </c>
      <c r="AE114" s="10">
        <f t="shared" si="152"/>
        <v>467</v>
      </c>
      <c r="AF114" s="10">
        <f t="shared" si="152"/>
        <v>456</v>
      </c>
      <c r="AG114" s="10">
        <f t="shared" si="152"/>
        <v>445</v>
      </c>
      <c r="AH114" s="10">
        <f t="shared" si="152"/>
        <v>434</v>
      </c>
      <c r="AI114" s="10">
        <f t="shared" si="152"/>
        <v>423</v>
      </c>
      <c r="AJ114" s="10">
        <f t="shared" si="152"/>
        <v>412</v>
      </c>
      <c r="AK114" s="10">
        <f t="shared" si="152"/>
        <v>401</v>
      </c>
      <c r="AL114" s="10">
        <f t="shared" si="152"/>
        <v>256</v>
      </c>
      <c r="AM114" s="10">
        <f t="shared" si="152"/>
        <v>378</v>
      </c>
      <c r="AN114" s="10">
        <f t="shared" si="152"/>
        <v>366</v>
      </c>
      <c r="AO114" s="10">
        <f t="shared" si="152"/>
        <v>355</v>
      </c>
      <c r="AP114" s="10">
        <f t="shared" si="152"/>
        <v>344</v>
      </c>
      <c r="AQ114" s="10">
        <f t="shared" si="152"/>
        <v>333</v>
      </c>
      <c r="AR114" s="10">
        <f t="shared" si="152"/>
        <v>322</v>
      </c>
      <c r="AS114" s="10">
        <f t="shared" si="152"/>
        <v>311</v>
      </c>
      <c r="AT114" s="10">
        <f t="shared" si="152"/>
        <v>300</v>
      </c>
      <c r="AU114" s="10">
        <f t="shared" si="152"/>
        <v>289</v>
      </c>
      <c r="AV114" s="10">
        <f t="shared" si="152"/>
        <v>278</v>
      </c>
      <c r="AW114" s="10">
        <f t="shared" si="152"/>
        <v>267</v>
      </c>
      <c r="AX114" s="10">
        <f t="shared" si="152"/>
        <v>122</v>
      </c>
      <c r="AY114" s="10">
        <f t="shared" si="152"/>
        <v>244</v>
      </c>
      <c r="AZ114" s="10">
        <f t="shared" si="152"/>
        <v>232</v>
      </c>
      <c r="BA114" s="10">
        <f t="shared" si="152"/>
        <v>221</v>
      </c>
      <c r="BB114" s="10">
        <f t="shared" si="152"/>
        <v>210</v>
      </c>
      <c r="BC114" s="10">
        <f t="shared" si="152"/>
        <v>199</v>
      </c>
      <c r="BD114" s="10">
        <f t="shared" si="152"/>
        <v>188</v>
      </c>
      <c r="BE114" s="10">
        <f t="shared" si="152"/>
        <v>177</v>
      </c>
      <c r="BF114" s="10">
        <f t="shared" si="152"/>
        <v>166</v>
      </c>
      <c r="BG114" s="10">
        <f t="shared" si="152"/>
        <v>155</v>
      </c>
      <c r="BH114" s="10">
        <f t="shared" si="152"/>
        <v>144</v>
      </c>
      <c r="BI114" s="10">
        <f t="shared" si="152"/>
        <v>133</v>
      </c>
      <c r="BJ114" s="10">
        <f t="shared" si="152"/>
        <v>0</v>
      </c>
      <c r="BK114" s="67"/>
      <c r="BL114" s="10">
        <f t="shared" ref="BL114:BW114" si="153">BL111-BL113</f>
        <v>393</v>
      </c>
      <c r="BM114" s="10">
        <f t="shared" si="153"/>
        <v>256</v>
      </c>
      <c r="BN114" s="10">
        <f t="shared" si="153"/>
        <v>122</v>
      </c>
      <c r="BO114" s="10">
        <f t="shared" si="153"/>
        <v>0</v>
      </c>
      <c r="BP114" s="10">
        <f t="shared" si="153"/>
        <v>122</v>
      </c>
      <c r="BQ114" s="10">
        <f t="shared" si="153"/>
        <v>122</v>
      </c>
      <c r="BR114" s="10">
        <f t="shared" si="153"/>
        <v>122</v>
      </c>
      <c r="BS114" s="10">
        <f t="shared" si="153"/>
        <v>122</v>
      </c>
      <c r="BT114" s="10">
        <f t="shared" si="153"/>
        <v>122</v>
      </c>
      <c r="BU114" s="10">
        <f t="shared" si="153"/>
        <v>122</v>
      </c>
      <c r="BV114" s="10">
        <f t="shared" si="153"/>
        <v>122</v>
      </c>
      <c r="BW114" s="10">
        <f t="shared" si="153"/>
        <v>122</v>
      </c>
      <c r="BY114" s="12"/>
      <c r="CA114" s="12"/>
      <c r="CF114" s="7">
        <f>IF(SUM(V114:Y114)=SUM(BL114:BO114), 0, 1)</f>
        <v>0</v>
      </c>
      <c r="CG114" s="12"/>
      <c r="CH114" s="11">
        <v>0</v>
      </c>
      <c r="CI114" s="11">
        <v>0</v>
      </c>
      <c r="CJ114" s="11">
        <v>0</v>
      </c>
      <c r="EX114" s="13" t="str">
        <f t="shared" si="136"/>
        <v>Finance Lease Obligations Amount due after one year</v>
      </c>
    </row>
    <row r="115" spans="1:154" ht="8.1" customHeight="1" x14ac:dyDescent="0.25">
      <c r="C115" s="385"/>
      <c r="O115" s="335"/>
      <c r="P115" s="335"/>
      <c r="Q115" s="335"/>
      <c r="R115" s="335"/>
      <c r="S115" s="335"/>
      <c r="T115" s="335"/>
      <c r="U115" s="335"/>
      <c r="X115" s="11"/>
      <c r="Y115" s="11"/>
      <c r="BM115" s="6"/>
      <c r="BY115" s="12"/>
      <c r="CA115" s="12"/>
      <c r="CG115" s="12"/>
      <c r="CH115" s="11">
        <v>0</v>
      </c>
      <c r="CI115" s="11">
        <v>0</v>
      </c>
      <c r="CJ115" s="11">
        <v>0</v>
      </c>
      <c r="EX115" s="10" t="str">
        <f t="shared" si="80"/>
        <v/>
      </c>
    </row>
    <row r="116" spans="1:154" x14ac:dyDescent="0.25">
      <c r="B116" s="29"/>
      <c r="C116" s="385"/>
      <c r="D116" s="27" t="s">
        <v>137</v>
      </c>
      <c r="O116" s="335"/>
      <c r="P116" s="335"/>
      <c r="Q116" s="335"/>
      <c r="R116" s="335"/>
      <c r="S116" s="335"/>
      <c r="T116" s="335"/>
      <c r="U116" s="335"/>
      <c r="X116" s="11"/>
      <c r="Y116" s="11"/>
      <c r="AB116" s="319"/>
      <c r="AC116" s="319"/>
      <c r="AD116" s="319"/>
      <c r="AE116" s="319"/>
      <c r="AF116" s="319"/>
      <c r="AG116" s="319"/>
      <c r="AH116" s="319"/>
      <c r="AI116" s="319"/>
      <c r="AJ116" s="319"/>
      <c r="AK116" s="319"/>
      <c r="AL116" s="319"/>
      <c r="AM116" s="335"/>
      <c r="AN116" s="319"/>
      <c r="AO116" s="319"/>
      <c r="AP116" s="319"/>
      <c r="AQ116" s="319"/>
      <c r="AR116" s="319"/>
      <c r="AS116" s="319"/>
      <c r="AT116" s="319"/>
      <c r="AU116" s="319"/>
      <c r="AV116" s="319"/>
      <c r="AW116" s="319"/>
      <c r="AX116" s="319"/>
      <c r="AY116" s="319"/>
      <c r="AZ116" s="319"/>
      <c r="BA116" s="319"/>
      <c r="BB116" s="319"/>
      <c r="BC116" s="319"/>
      <c r="BD116" s="319"/>
      <c r="BE116" s="319"/>
      <c r="BF116" s="319"/>
      <c r="BG116" s="319"/>
      <c r="BH116" s="319"/>
      <c r="BI116" s="319"/>
      <c r="BJ116" s="319"/>
      <c r="BK116" s="319"/>
      <c r="BY116" s="12"/>
      <c r="CA116" s="12"/>
      <c r="CG116" s="12"/>
      <c r="CH116" s="11">
        <v>0</v>
      </c>
      <c r="CI116" s="11">
        <v>0</v>
      </c>
      <c r="CJ116" s="11">
        <v>0</v>
      </c>
      <c r="EX116" s="10" t="str">
        <f t="shared" si="80"/>
        <v/>
      </c>
    </row>
    <row r="117" spans="1:154" x14ac:dyDescent="0.25">
      <c r="A117" s="362" cm="1">
        <f t="array" aca="1" ref="A117" ca="1">HYPERLINK(CONCATENATE("#",CELL("address",IF(SUM($CA117:$CG117)=0,A117,INDEX($CA117:$CG117,MATCH(1,$CA117:$CG117,0))))),SUM($CA117:$CG117))</f>
        <v>0</v>
      </c>
      <c r="C117" s="340" t="s">
        <v>1436</v>
      </c>
      <c r="D117" s="335" t="s">
        <v>97</v>
      </c>
      <c r="F117" s="335"/>
      <c r="G117" s="8"/>
      <c r="H117" s="47" t="s">
        <v>125</v>
      </c>
      <c r="O117" s="335"/>
      <c r="P117" s="335"/>
      <c r="Q117" s="335"/>
      <c r="R117" s="335"/>
      <c r="S117" s="335"/>
      <c r="T117" s="335"/>
      <c r="U117" s="335"/>
      <c r="V117" s="10">
        <f>Loans!V$1129</f>
        <v>0</v>
      </c>
      <c r="W117" s="10">
        <f>Loans!W$1129</f>
        <v>0</v>
      </c>
      <c r="X117" s="10">
        <f>Loans!X$1129</f>
        <v>0</v>
      </c>
      <c r="Y117" s="10">
        <f>Loans!Y$1129</f>
        <v>0</v>
      </c>
      <c r="Z117" s="67"/>
      <c r="AA117" s="10">
        <f>Loans!AA$1129</f>
        <v>0</v>
      </c>
      <c r="AB117" s="10">
        <f>Loans!AB$1129</f>
        <v>0</v>
      </c>
      <c r="AC117" s="10">
        <f>Loans!AC$1129</f>
        <v>0</v>
      </c>
      <c r="AD117" s="10">
        <f>Loans!AD$1129</f>
        <v>0</v>
      </c>
      <c r="AE117" s="10">
        <f>Loans!AE$1129</f>
        <v>0</v>
      </c>
      <c r="AF117" s="10">
        <f>Loans!AF$1129</f>
        <v>0</v>
      </c>
      <c r="AG117" s="10">
        <f>Loans!AG$1129</f>
        <v>0</v>
      </c>
      <c r="AH117" s="10">
        <f>Loans!AH$1129</f>
        <v>0</v>
      </c>
      <c r="AI117" s="10">
        <f>Loans!AI$1129</f>
        <v>0</v>
      </c>
      <c r="AJ117" s="10">
        <f>Loans!AJ$1129</f>
        <v>0</v>
      </c>
      <c r="AK117" s="10">
        <f>Loans!AK$1129</f>
        <v>0</v>
      </c>
      <c r="AL117" s="10">
        <f>Loans!AL$1129</f>
        <v>0</v>
      </c>
      <c r="AM117" s="10">
        <f>Loans!AM$1129</f>
        <v>0</v>
      </c>
      <c r="AN117" s="10">
        <f>Loans!AN$1129</f>
        <v>0</v>
      </c>
      <c r="AO117" s="10">
        <f>Loans!AO$1129</f>
        <v>0</v>
      </c>
      <c r="AP117" s="10">
        <f>Loans!AP$1129</f>
        <v>0</v>
      </c>
      <c r="AQ117" s="10">
        <f>Loans!AQ$1129</f>
        <v>0</v>
      </c>
      <c r="AR117" s="10">
        <f>Loans!AR$1129</f>
        <v>0</v>
      </c>
      <c r="AS117" s="10">
        <f>Loans!AS$1129</f>
        <v>0</v>
      </c>
      <c r="AT117" s="10">
        <f>Loans!AT$1129</f>
        <v>0</v>
      </c>
      <c r="AU117" s="10">
        <f>Loans!AU$1129</f>
        <v>0</v>
      </c>
      <c r="AV117" s="10">
        <f>Loans!AV$1129</f>
        <v>0</v>
      </c>
      <c r="AW117" s="10">
        <f>Loans!AW$1129</f>
        <v>0</v>
      </c>
      <c r="AX117" s="10">
        <f>Loans!AX$1129</f>
        <v>0</v>
      </c>
      <c r="AY117" s="10">
        <f>Loans!AY$1129</f>
        <v>0</v>
      </c>
      <c r="AZ117" s="10">
        <f>Loans!AZ$1129</f>
        <v>0</v>
      </c>
      <c r="BA117" s="10">
        <f>Loans!BA$1129</f>
        <v>0</v>
      </c>
      <c r="BB117" s="10">
        <f>Loans!BB$1129</f>
        <v>0</v>
      </c>
      <c r="BC117" s="10">
        <f>Loans!BC$1129</f>
        <v>0</v>
      </c>
      <c r="BD117" s="10">
        <f>Loans!BD$1129</f>
        <v>0</v>
      </c>
      <c r="BE117" s="10">
        <f>Loans!BE$1129</f>
        <v>0</v>
      </c>
      <c r="BF117" s="10">
        <f>Loans!BF$1129</f>
        <v>0</v>
      </c>
      <c r="BG117" s="10">
        <f>Loans!BG$1129</f>
        <v>0</v>
      </c>
      <c r="BH117" s="10">
        <f>Loans!BH$1129</f>
        <v>0</v>
      </c>
      <c r="BI117" s="10">
        <f>Loans!BI$1129</f>
        <v>0</v>
      </c>
      <c r="BJ117" s="10">
        <f>Loans!BJ$1129</f>
        <v>0</v>
      </c>
      <c r="BK117" s="67"/>
      <c r="BL117" s="10">
        <f>Loans!BL$1129</f>
        <v>0</v>
      </c>
      <c r="BM117" s="10">
        <f>Loans!BM$1129</f>
        <v>0</v>
      </c>
      <c r="BN117" s="10">
        <f>Loans!BN$1129</f>
        <v>0</v>
      </c>
      <c r="BO117" s="121">
        <f>Loans!BO$1129</f>
        <v>0</v>
      </c>
      <c r="BP117" s="121">
        <f>Loans!BP$1129</f>
        <v>0</v>
      </c>
      <c r="BQ117" s="121">
        <f>Loans!BQ$1129</f>
        <v>0</v>
      </c>
      <c r="BR117" s="121">
        <f>Loans!BR$1129</f>
        <v>0</v>
      </c>
      <c r="BS117" s="121">
        <f>Loans!BS$1129</f>
        <v>0</v>
      </c>
      <c r="BT117" s="121">
        <f>Loans!BT$1129</f>
        <v>0</v>
      </c>
      <c r="BU117" s="121">
        <f>Loans!BU$1129</f>
        <v>0</v>
      </c>
      <c r="BV117" s="121">
        <f>Loans!BV$1129</f>
        <v>0</v>
      </c>
      <c r="BW117" s="121">
        <f>Loans!BW$1129</f>
        <v>0</v>
      </c>
      <c r="BY117" s="12"/>
      <c r="CA117" s="12"/>
      <c r="CF117" s="7">
        <f>IF(SUM(V117:Y117)=SUM(BL117:BO117), 0, 1)</f>
        <v>0</v>
      </c>
      <c r="CG117" s="12"/>
      <c r="CH117" s="11">
        <v>0</v>
      </c>
      <c r="CI117" s="11">
        <v>0</v>
      </c>
      <c r="CJ117" s="1">
        <v>1</v>
      </c>
      <c r="CK117" s="335"/>
      <c r="EX117" s="13" t="str">
        <f>IF($C117="","",CONCATENATE(D$116," ",D117))</f>
        <v>Interest Payable Closing Balance</v>
      </c>
    </row>
    <row r="118" spans="1:154" s="335" customFormat="1" ht="8.1" customHeight="1" x14ac:dyDescent="0.25">
      <c r="C118" s="385"/>
      <c r="D118" s="1"/>
      <c r="BM118" s="6"/>
      <c r="BY118" s="12"/>
      <c r="CA118" s="12"/>
      <c r="CG118" s="12"/>
      <c r="CH118" s="335">
        <v>0</v>
      </c>
      <c r="CI118" s="335">
        <v>0</v>
      </c>
      <c r="CJ118" s="335">
        <v>0</v>
      </c>
      <c r="EX118" s="10" t="str">
        <f t="shared" si="80"/>
        <v/>
      </c>
    </row>
    <row r="119" spans="1:154" s="335" customFormat="1" x14ac:dyDescent="0.25">
      <c r="A119" s="362" cm="1">
        <f t="array" aca="1" ref="A119" ca="1">HYPERLINK(CONCATENATE("#",CELL("address",IF(SUM($CA119:$CG119)=0,A119,INDEX($CA119:$CG119,MATCH(1,$CA119:$CG119,0))))),SUM($CA119:$CG119))</f>
        <v>0</v>
      </c>
      <c r="C119" s="343" t="str">
        <f>REPLACE('Opening Balances'!$C$40, LEN('Opening Balances'!$C$40)-1, 1, "C")</f>
        <v>B-3e-CB</v>
      </c>
      <c r="D119" s="1" t="s">
        <v>141</v>
      </c>
      <c r="G119" s="8"/>
      <c r="H119" s="47" t="s">
        <v>125</v>
      </c>
      <c r="V119" s="13">
        <f>'Opening Balances'!$W$40</f>
        <v>0</v>
      </c>
      <c r="W119" s="10">
        <f ca="1">Loans!W1135</f>
        <v>0</v>
      </c>
      <c r="X119" s="10">
        <f ca="1">Loans!X1135</f>
        <v>0</v>
      </c>
      <c r="Y119" s="10">
        <f ca="1">Loans!Y1135</f>
        <v>0</v>
      </c>
      <c r="AA119" s="10">
        <f ca="1">Loans!AA1135</f>
        <v>0</v>
      </c>
      <c r="AB119" s="10">
        <f ca="1">Loans!AB1135</f>
        <v>0</v>
      </c>
      <c r="AC119" s="10">
        <f ca="1">Loans!AC1135</f>
        <v>0</v>
      </c>
      <c r="AD119" s="10">
        <f ca="1">Loans!AD1135</f>
        <v>0</v>
      </c>
      <c r="AE119" s="10">
        <f ca="1">Loans!AE1135</f>
        <v>0</v>
      </c>
      <c r="AF119" s="10">
        <f ca="1">Loans!AF1135</f>
        <v>0</v>
      </c>
      <c r="AG119" s="10">
        <f ca="1">Loans!AG1135</f>
        <v>0</v>
      </c>
      <c r="AH119" s="10">
        <f ca="1">Loans!AH1135</f>
        <v>0</v>
      </c>
      <c r="AI119" s="10">
        <f ca="1">Loans!AI1135</f>
        <v>0</v>
      </c>
      <c r="AJ119" s="10">
        <f ca="1">Loans!AJ1135</f>
        <v>0</v>
      </c>
      <c r="AK119" s="10">
        <f ca="1">Loans!AK1135</f>
        <v>0</v>
      </c>
      <c r="AL119" s="10">
        <f ca="1">Loans!AL1135</f>
        <v>0</v>
      </c>
      <c r="AM119" s="10">
        <f ca="1">Loans!AM1135</f>
        <v>0</v>
      </c>
      <c r="AN119" s="10">
        <f ca="1">Loans!AN1135</f>
        <v>0</v>
      </c>
      <c r="AO119" s="10">
        <f ca="1">Loans!AO1135</f>
        <v>0</v>
      </c>
      <c r="AP119" s="10">
        <f ca="1">Loans!AP1135</f>
        <v>0</v>
      </c>
      <c r="AQ119" s="10">
        <f ca="1">Loans!AQ1135</f>
        <v>0</v>
      </c>
      <c r="AR119" s="10">
        <f ca="1">Loans!AR1135</f>
        <v>0</v>
      </c>
      <c r="AS119" s="10">
        <f ca="1">Loans!AS1135</f>
        <v>0</v>
      </c>
      <c r="AT119" s="10">
        <f ca="1">Loans!AT1135</f>
        <v>0</v>
      </c>
      <c r="AU119" s="10">
        <f ca="1">Loans!AU1135</f>
        <v>0</v>
      </c>
      <c r="AV119" s="10">
        <f ca="1">Loans!AV1135</f>
        <v>0</v>
      </c>
      <c r="AW119" s="10">
        <f ca="1">Loans!AW1135</f>
        <v>0</v>
      </c>
      <c r="AX119" s="10">
        <f ca="1">Loans!AX1135</f>
        <v>0</v>
      </c>
      <c r="AY119" s="10">
        <f ca="1">Loans!AY1135</f>
        <v>0</v>
      </c>
      <c r="AZ119" s="10">
        <f ca="1">Loans!AZ1135</f>
        <v>0</v>
      </c>
      <c r="BA119" s="10">
        <f ca="1">Loans!BA1135</f>
        <v>0</v>
      </c>
      <c r="BB119" s="10">
        <f ca="1">Loans!BB1135</f>
        <v>0</v>
      </c>
      <c r="BC119" s="10">
        <f ca="1">Loans!BC1135</f>
        <v>0</v>
      </c>
      <c r="BD119" s="10">
        <f ca="1">Loans!BD1135</f>
        <v>0</v>
      </c>
      <c r="BE119" s="10">
        <f ca="1">Loans!BE1135</f>
        <v>0</v>
      </c>
      <c r="BF119" s="10">
        <f ca="1">Loans!BF1135</f>
        <v>0</v>
      </c>
      <c r="BG119" s="10">
        <f ca="1">Loans!BG1135</f>
        <v>0</v>
      </c>
      <c r="BH119" s="10">
        <f ca="1">Loans!BH1135</f>
        <v>0</v>
      </c>
      <c r="BI119" s="10">
        <f ca="1">Loans!BI1135</f>
        <v>0</v>
      </c>
      <c r="BJ119" s="10">
        <f ca="1">Loans!BJ1135</f>
        <v>0</v>
      </c>
      <c r="BL119" s="10">
        <f>Loans!BL1135</f>
        <v>0</v>
      </c>
      <c r="BM119" s="10">
        <f ca="1">Loans!BM1135</f>
        <v>0</v>
      </c>
      <c r="BN119" s="10">
        <f ca="1">Loans!BN1135</f>
        <v>0</v>
      </c>
      <c r="BO119" s="10">
        <f ca="1">Loans!BO1135</f>
        <v>0</v>
      </c>
      <c r="BP119" s="141">
        <v>2.2999999999999998</v>
      </c>
      <c r="BQ119" s="141">
        <v>2.2999999999999998</v>
      </c>
      <c r="BR119" s="141">
        <v>2.2999999999999998</v>
      </c>
      <c r="BS119" s="141">
        <v>2.2999999999999998</v>
      </c>
      <c r="BT119" s="141">
        <v>2.2999999999999998</v>
      </c>
      <c r="BU119" s="141">
        <v>2.2999999999999998</v>
      </c>
      <c r="BV119" s="141">
        <v>2.2999999999999998</v>
      </c>
      <c r="BW119" s="141">
        <v>2.2999999999999998</v>
      </c>
      <c r="BY119" s="12"/>
      <c r="CA119" s="12"/>
      <c r="CF119" s="7">
        <f ca="1">IF(SUM(V119:Y119)=SUM(BL119:BO119), 0, 1)</f>
        <v>0</v>
      </c>
      <c r="CG119" s="12"/>
      <c r="CH119" s="335">
        <v>0</v>
      </c>
      <c r="CI119" s="335">
        <v>1</v>
      </c>
      <c r="CJ119" s="335">
        <v>0</v>
      </c>
      <c r="EX119" s="13" t="str">
        <f>IF($C119="","",CONCATENATE(D$116," ",D119))</f>
        <v>Interest Payable Amount due in one year</v>
      </c>
    </row>
    <row r="120" spans="1:154" s="335" customFormat="1" x14ac:dyDescent="0.25">
      <c r="A120" s="362" cm="1">
        <f t="array" aca="1" ref="A120" ca="1">HYPERLINK(CONCATENATE("#",CELL("address",IF(SUM($CA120:$CG120)=0,A120,INDEX($CA120:$CG120,MATCH(1,$CA120:$CG120,0))))),SUM($CA120:$CG120))</f>
        <v>0</v>
      </c>
      <c r="C120" s="343" t="str">
        <f>REPLACE('Opening Balances'!$C$60, LEN('Opening Balances'!$C$60)-1, 1, "C")</f>
        <v>B-6d-CB</v>
      </c>
      <c r="D120" s="1" t="s">
        <v>142</v>
      </c>
      <c r="G120" s="8"/>
      <c r="H120" s="47" t="s">
        <v>125</v>
      </c>
      <c r="V120" s="10">
        <f>V117-V119</f>
        <v>0</v>
      </c>
      <c r="W120" s="10">
        <f t="shared" ref="W120:Y120" ca="1" si="154">W117-W119</f>
        <v>0</v>
      </c>
      <c r="X120" s="10">
        <f t="shared" ca="1" si="154"/>
        <v>0</v>
      </c>
      <c r="Y120" s="10">
        <f t="shared" ca="1" si="154"/>
        <v>0</v>
      </c>
      <c r="AA120" s="10">
        <f t="shared" ref="AA120:BJ120" ca="1" si="155">AA117-AA119</f>
        <v>0</v>
      </c>
      <c r="AB120" s="10">
        <f t="shared" ca="1" si="155"/>
        <v>0</v>
      </c>
      <c r="AC120" s="10">
        <f t="shared" ca="1" si="155"/>
        <v>0</v>
      </c>
      <c r="AD120" s="10">
        <f t="shared" ca="1" si="155"/>
        <v>0</v>
      </c>
      <c r="AE120" s="10">
        <f t="shared" ca="1" si="155"/>
        <v>0</v>
      </c>
      <c r="AF120" s="10">
        <f t="shared" ca="1" si="155"/>
        <v>0</v>
      </c>
      <c r="AG120" s="10">
        <f t="shared" ca="1" si="155"/>
        <v>0</v>
      </c>
      <c r="AH120" s="10">
        <f t="shared" ca="1" si="155"/>
        <v>0</v>
      </c>
      <c r="AI120" s="10">
        <f t="shared" ca="1" si="155"/>
        <v>0</v>
      </c>
      <c r="AJ120" s="10">
        <f t="shared" ca="1" si="155"/>
        <v>0</v>
      </c>
      <c r="AK120" s="10">
        <f t="shared" ca="1" si="155"/>
        <v>0</v>
      </c>
      <c r="AL120" s="10">
        <f t="shared" ca="1" si="155"/>
        <v>0</v>
      </c>
      <c r="AM120" s="10">
        <f t="shared" ca="1" si="155"/>
        <v>0</v>
      </c>
      <c r="AN120" s="10">
        <f t="shared" ca="1" si="155"/>
        <v>0</v>
      </c>
      <c r="AO120" s="10">
        <f t="shared" ca="1" si="155"/>
        <v>0</v>
      </c>
      <c r="AP120" s="10">
        <f t="shared" ca="1" si="155"/>
        <v>0</v>
      </c>
      <c r="AQ120" s="10">
        <f t="shared" ca="1" si="155"/>
        <v>0</v>
      </c>
      <c r="AR120" s="10">
        <f t="shared" ca="1" si="155"/>
        <v>0</v>
      </c>
      <c r="AS120" s="10">
        <f t="shared" ca="1" si="155"/>
        <v>0</v>
      </c>
      <c r="AT120" s="10">
        <f t="shared" ca="1" si="155"/>
        <v>0</v>
      </c>
      <c r="AU120" s="10">
        <f t="shared" ca="1" si="155"/>
        <v>0</v>
      </c>
      <c r="AV120" s="10">
        <f t="shared" ca="1" si="155"/>
        <v>0</v>
      </c>
      <c r="AW120" s="10">
        <f t="shared" ca="1" si="155"/>
        <v>0</v>
      </c>
      <c r="AX120" s="10">
        <f t="shared" ca="1" si="155"/>
        <v>0</v>
      </c>
      <c r="AY120" s="10">
        <f t="shared" ca="1" si="155"/>
        <v>0</v>
      </c>
      <c r="AZ120" s="10">
        <f t="shared" ca="1" si="155"/>
        <v>0</v>
      </c>
      <c r="BA120" s="10">
        <f t="shared" ca="1" si="155"/>
        <v>0</v>
      </c>
      <c r="BB120" s="10">
        <f t="shared" ca="1" si="155"/>
        <v>0</v>
      </c>
      <c r="BC120" s="10">
        <f t="shared" ca="1" si="155"/>
        <v>0</v>
      </c>
      <c r="BD120" s="10">
        <f t="shared" ca="1" si="155"/>
        <v>0</v>
      </c>
      <c r="BE120" s="10">
        <f t="shared" ca="1" si="155"/>
        <v>0</v>
      </c>
      <c r="BF120" s="10">
        <f t="shared" ca="1" si="155"/>
        <v>0</v>
      </c>
      <c r="BG120" s="10">
        <f t="shared" ca="1" si="155"/>
        <v>0</v>
      </c>
      <c r="BH120" s="10">
        <f t="shared" ca="1" si="155"/>
        <v>0</v>
      </c>
      <c r="BI120" s="10">
        <f t="shared" ca="1" si="155"/>
        <v>0</v>
      </c>
      <c r="BJ120" s="10">
        <f t="shared" ca="1" si="155"/>
        <v>0</v>
      </c>
      <c r="BL120" s="10">
        <f t="shared" ref="BL120:BW120" si="156">BL117-BL119</f>
        <v>0</v>
      </c>
      <c r="BM120" s="10">
        <f t="shared" ca="1" si="156"/>
        <v>0</v>
      </c>
      <c r="BN120" s="10">
        <f t="shared" ca="1" si="156"/>
        <v>0</v>
      </c>
      <c r="BO120" s="10">
        <f t="shared" ca="1" si="156"/>
        <v>0</v>
      </c>
      <c r="BP120" s="10">
        <f t="shared" si="156"/>
        <v>-2.2999999999999998</v>
      </c>
      <c r="BQ120" s="10">
        <f t="shared" si="156"/>
        <v>-2.2999999999999998</v>
      </c>
      <c r="BR120" s="10">
        <f t="shared" si="156"/>
        <v>-2.2999999999999998</v>
      </c>
      <c r="BS120" s="10">
        <f t="shared" si="156"/>
        <v>-2.2999999999999998</v>
      </c>
      <c r="BT120" s="10">
        <f t="shared" si="156"/>
        <v>-2.2999999999999998</v>
      </c>
      <c r="BU120" s="10">
        <f t="shared" si="156"/>
        <v>-2.2999999999999998</v>
      </c>
      <c r="BV120" s="10">
        <f t="shared" si="156"/>
        <v>-2.2999999999999998</v>
      </c>
      <c r="BW120" s="10">
        <f t="shared" si="156"/>
        <v>-2.2999999999999998</v>
      </c>
      <c r="BY120" s="12"/>
      <c r="CA120" s="12"/>
      <c r="CF120" s="7">
        <f ca="1">IF(SUM(V120:Y120)=SUM(BL120:BO120), 0, 1)</f>
        <v>0</v>
      </c>
      <c r="CG120" s="12"/>
      <c r="CH120" s="335">
        <v>0</v>
      </c>
      <c r="CI120" s="335">
        <v>0</v>
      </c>
      <c r="CJ120" s="335">
        <v>0</v>
      </c>
      <c r="EX120" s="13" t="str">
        <f>IF($C120="","",CONCATENATE(D$116," ",D120))</f>
        <v>Interest Payable Amount due after one year</v>
      </c>
    </row>
    <row r="121" spans="1:154" ht="8.1" customHeight="1" x14ac:dyDescent="0.25">
      <c r="C121" s="385"/>
      <c r="P121" s="335"/>
      <c r="Q121" s="335"/>
      <c r="R121" s="335"/>
      <c r="S121" s="335"/>
      <c r="T121" s="335"/>
      <c r="U121" s="335"/>
      <c r="X121" s="11"/>
      <c r="Y121" s="11"/>
      <c r="BY121" s="12"/>
      <c r="CA121" s="12"/>
      <c r="CG121" s="12"/>
      <c r="CH121" s="11">
        <v>0</v>
      </c>
      <c r="CI121" s="11">
        <v>0</v>
      </c>
      <c r="CJ121" s="11">
        <v>0</v>
      </c>
      <c r="EX121" s="10" t="str">
        <f t="shared" si="80"/>
        <v/>
      </c>
    </row>
    <row r="122" spans="1:154" x14ac:dyDescent="0.25">
      <c r="B122" s="94"/>
      <c r="C122" s="385"/>
      <c r="D122" s="27" t="s">
        <v>138</v>
      </c>
      <c r="P122" s="335"/>
      <c r="Q122" s="335"/>
      <c r="R122" s="335"/>
      <c r="S122" s="335"/>
      <c r="T122" s="335"/>
      <c r="U122" s="335"/>
      <c r="X122" s="11"/>
      <c r="Y122" s="11"/>
      <c r="AI122" s="319"/>
      <c r="AJ122" s="319"/>
      <c r="AK122" s="319"/>
      <c r="AL122" s="319"/>
      <c r="AM122" s="335"/>
      <c r="AN122" s="319"/>
      <c r="AO122" s="319"/>
      <c r="AP122" s="319"/>
      <c r="AQ122" s="319"/>
      <c r="AR122" s="319"/>
      <c r="AS122" s="319"/>
      <c r="AT122" s="319"/>
      <c r="AU122" s="319"/>
      <c r="AV122" s="319"/>
      <c r="AW122" s="319"/>
      <c r="AX122" s="319"/>
      <c r="AY122" s="319"/>
      <c r="AZ122" s="319"/>
      <c r="BY122" s="12"/>
      <c r="CA122" s="12"/>
      <c r="CG122" s="12"/>
      <c r="CH122" s="11">
        <v>0</v>
      </c>
      <c r="CI122" s="11">
        <v>0</v>
      </c>
      <c r="CJ122" s="11">
        <v>0</v>
      </c>
      <c r="EX122" s="10" t="str">
        <f t="shared" si="80"/>
        <v/>
      </c>
    </row>
    <row r="123" spans="1:154" x14ac:dyDescent="0.25">
      <c r="A123" s="362" cm="1">
        <f t="array" aca="1" ref="A123" ca="1">HYPERLINK(CONCATENATE("#",CELL("address",IF(SUM($CA123:$CG123)=0,A123,INDEX($CA123:$CG123,MATCH(1,$CA123:$CG123,0))))),SUM($CA123:$CG123))</f>
        <v>0</v>
      </c>
      <c r="C123" s="340" t="s">
        <v>1437</v>
      </c>
      <c r="D123" s="11" t="s">
        <v>91</v>
      </c>
      <c r="G123" s="8"/>
      <c r="H123" s="47" t="s">
        <v>125</v>
      </c>
      <c r="P123" s="335"/>
      <c r="Q123" s="335"/>
      <c r="R123" s="335"/>
      <c r="S123" s="335"/>
      <c r="T123" s="335"/>
      <c r="U123" s="335"/>
      <c r="V123" s="13">
        <f>'Opening Balances'!$V$41+'Opening Balances'!$V$61</f>
        <v>0</v>
      </c>
      <c r="W123" s="10">
        <f>V136</f>
        <v>9926</v>
      </c>
      <c r="X123" s="10">
        <f t="shared" ref="X123:BW123" si="157">W136</f>
        <v>11865</v>
      </c>
      <c r="Y123" s="10">
        <f t="shared" si="157"/>
        <v>14259</v>
      </c>
      <c r="Z123" s="67"/>
      <c r="AA123" s="10">
        <f>W123</f>
        <v>9926</v>
      </c>
      <c r="AB123" s="10">
        <f t="shared" si="157"/>
        <v>9894</v>
      </c>
      <c r="AC123" s="10">
        <f t="shared" si="157"/>
        <v>10926</v>
      </c>
      <c r="AD123" s="10">
        <f t="shared" si="157"/>
        <v>11457</v>
      </c>
      <c r="AE123" s="10">
        <f t="shared" si="157"/>
        <v>11423</v>
      </c>
      <c r="AF123" s="10">
        <f t="shared" si="157"/>
        <v>11737</v>
      </c>
      <c r="AG123" s="10">
        <f t="shared" si="157"/>
        <v>11699</v>
      </c>
      <c r="AH123" s="10">
        <f t="shared" si="157"/>
        <v>11666</v>
      </c>
      <c r="AI123" s="10">
        <f t="shared" si="157"/>
        <v>11982</v>
      </c>
      <c r="AJ123" s="10">
        <f t="shared" si="157"/>
        <v>11941</v>
      </c>
      <c r="AK123" s="10">
        <f t="shared" si="157"/>
        <v>11947</v>
      </c>
      <c r="AL123" s="10">
        <f t="shared" si="157"/>
        <v>11906</v>
      </c>
      <c r="AM123" s="10">
        <f t="shared" si="157"/>
        <v>11865</v>
      </c>
      <c r="AN123" s="10">
        <f t="shared" si="157"/>
        <v>11829</v>
      </c>
      <c r="AO123" s="10">
        <f t="shared" si="157"/>
        <v>11789</v>
      </c>
      <c r="AP123" s="10">
        <f t="shared" si="157"/>
        <v>11749</v>
      </c>
      <c r="AQ123" s="10">
        <f t="shared" si="157"/>
        <v>11708</v>
      </c>
      <c r="AR123" s="10">
        <f t="shared" si="157"/>
        <v>11667</v>
      </c>
      <c r="AS123" s="10">
        <f t="shared" si="157"/>
        <v>11626</v>
      </c>
      <c r="AT123" s="10">
        <f t="shared" si="157"/>
        <v>11584</v>
      </c>
      <c r="AU123" s="10">
        <f t="shared" si="157"/>
        <v>11538</v>
      </c>
      <c r="AV123" s="10">
        <f t="shared" si="157"/>
        <v>11492</v>
      </c>
      <c r="AW123" s="10">
        <f t="shared" si="157"/>
        <v>11446</v>
      </c>
      <c r="AX123" s="10">
        <f t="shared" si="157"/>
        <v>11399</v>
      </c>
      <c r="AY123" s="10">
        <f t="shared" si="157"/>
        <v>14259</v>
      </c>
      <c r="AZ123" s="10">
        <f t="shared" si="157"/>
        <v>14250</v>
      </c>
      <c r="BA123" s="10">
        <f t="shared" si="157"/>
        <v>14205</v>
      </c>
      <c r="BB123" s="10">
        <f t="shared" si="157"/>
        <v>14159</v>
      </c>
      <c r="BC123" s="10">
        <f t="shared" si="157"/>
        <v>14113</v>
      </c>
      <c r="BD123" s="10">
        <f t="shared" si="157"/>
        <v>14067</v>
      </c>
      <c r="BE123" s="10">
        <f t="shared" si="157"/>
        <v>14020</v>
      </c>
      <c r="BF123" s="10">
        <f t="shared" si="157"/>
        <v>13973</v>
      </c>
      <c r="BG123" s="10">
        <f t="shared" si="157"/>
        <v>13923</v>
      </c>
      <c r="BH123" s="10">
        <f t="shared" si="157"/>
        <v>13873</v>
      </c>
      <c r="BI123" s="10">
        <f t="shared" si="157"/>
        <v>13823</v>
      </c>
      <c r="BJ123" s="10">
        <f t="shared" si="157"/>
        <v>13773</v>
      </c>
      <c r="BK123" s="67"/>
      <c r="BL123" s="13">
        <f t="shared" ref="BL123:BL136" si="158">V123</f>
        <v>0</v>
      </c>
      <c r="BM123" s="13">
        <f t="shared" ref="BM123:BM136" si="159">W123</f>
        <v>9926</v>
      </c>
      <c r="BN123" s="13">
        <f t="shared" ref="BN123:BN136" si="160">X123</f>
        <v>11865</v>
      </c>
      <c r="BO123" s="13">
        <f t="shared" ref="BO123:BO136" si="161">Y123</f>
        <v>14259</v>
      </c>
      <c r="BP123" s="10">
        <f>BO136</f>
        <v>15353</v>
      </c>
      <c r="BQ123" s="10">
        <f t="shared" si="157"/>
        <v>15353</v>
      </c>
      <c r="BR123" s="10">
        <f t="shared" si="157"/>
        <v>15353</v>
      </c>
      <c r="BS123" s="10">
        <f t="shared" si="157"/>
        <v>15353</v>
      </c>
      <c r="BT123" s="10">
        <f t="shared" si="157"/>
        <v>15353</v>
      </c>
      <c r="BU123" s="10">
        <f t="shared" si="157"/>
        <v>15353</v>
      </c>
      <c r="BV123" s="10">
        <f t="shared" si="157"/>
        <v>15353</v>
      </c>
      <c r="BW123" s="10">
        <f t="shared" si="157"/>
        <v>15353</v>
      </c>
      <c r="BY123" s="12"/>
      <c r="CA123" s="12"/>
      <c r="CF123" s="7">
        <f t="shared" ref="CF123:CF136" si="162">IF(SUM(V123:Y123)=SUM(BL123:BO123), 0, 1)</f>
        <v>0</v>
      </c>
      <c r="CG123" s="12"/>
      <c r="CH123" s="11">
        <v>0</v>
      </c>
      <c r="CI123" s="11">
        <v>0</v>
      </c>
      <c r="CJ123" s="11">
        <v>0</v>
      </c>
      <c r="EX123" s="13" t="str">
        <f t="shared" ref="EX123:EX136" si="163">IF($C123="","",CONCATENATE(D$122," ",D123))</f>
        <v>Capital Grant Liability Opening Balance</v>
      </c>
    </row>
    <row r="124" spans="1:154" x14ac:dyDescent="0.25">
      <c r="A124" s="362" cm="1">
        <f t="array" aca="1" ref="A124" ca="1">HYPERLINK(CONCATENATE("#",CELL("address",IF(SUM($CA124:$CG124)=0,A124,INDEX($CA124:$CG124,MATCH(1,$CA124:$CG124,0))))),SUM($CA124:$CG124))</f>
        <v>0</v>
      </c>
      <c r="C124" s="340" t="s">
        <v>1438</v>
      </c>
      <c r="D124" s="177" t="s">
        <v>139</v>
      </c>
      <c r="G124" s="8"/>
      <c r="H124" s="47" t="s">
        <v>161</v>
      </c>
      <c r="P124" s="335"/>
      <c r="Q124" s="335"/>
      <c r="R124" s="335"/>
      <c r="S124" s="335"/>
      <c r="T124" s="335"/>
      <c r="U124" s="335"/>
      <c r="V124" s="141"/>
      <c r="W124" s="215">
        <f t="shared" ref="W124:Y135" si="164" xml:space="preserve"> SUMIFS($AA124:$BJ124, $AA$3:$BJ$3, W$3)</f>
        <v>1334</v>
      </c>
      <c r="X124" s="215">
        <f t="shared" si="164"/>
        <v>2908</v>
      </c>
      <c r="Y124" s="215">
        <f t="shared" si="164"/>
        <v>1665</v>
      </c>
      <c r="Z124" s="67"/>
      <c r="AA124" s="147"/>
      <c r="AB124" s="147">
        <v>1070</v>
      </c>
      <c r="AC124" s="147"/>
      <c r="AD124" s="147"/>
      <c r="AE124" s="147"/>
      <c r="AF124" s="147"/>
      <c r="AG124" s="147"/>
      <c r="AH124" s="147">
        <v>264</v>
      </c>
      <c r="AI124" s="147"/>
      <c r="AJ124" s="147"/>
      <c r="AK124" s="147"/>
      <c r="AL124" s="147"/>
      <c r="AM124" s="147"/>
      <c r="AN124" s="147"/>
      <c r="AO124" s="147"/>
      <c r="AP124" s="147"/>
      <c r="AQ124" s="147"/>
      <c r="AR124" s="147"/>
      <c r="AS124" s="147"/>
      <c r="AT124" s="147"/>
      <c r="AU124" s="147"/>
      <c r="AV124" s="147"/>
      <c r="AW124" s="147"/>
      <c r="AX124" s="147">
        <f>1662+1246</f>
        <v>2908</v>
      </c>
      <c r="AY124" s="147">
        <v>34</v>
      </c>
      <c r="AZ124" s="147"/>
      <c r="BA124" s="147"/>
      <c r="BB124" s="147"/>
      <c r="BC124" s="147"/>
      <c r="BD124" s="147"/>
      <c r="BE124" s="147"/>
      <c r="BF124" s="147"/>
      <c r="BG124" s="147"/>
      <c r="BH124" s="147"/>
      <c r="BI124" s="147"/>
      <c r="BJ124" s="147">
        <v>1631</v>
      </c>
      <c r="BK124" s="67"/>
      <c r="BL124" s="13">
        <f t="shared" si="158"/>
        <v>0</v>
      </c>
      <c r="BM124" s="13">
        <f t="shared" si="159"/>
        <v>1334</v>
      </c>
      <c r="BN124" s="13">
        <f t="shared" si="160"/>
        <v>2908</v>
      </c>
      <c r="BO124" s="13">
        <f t="shared" si="161"/>
        <v>1665</v>
      </c>
      <c r="BP124" s="141"/>
      <c r="BQ124" s="141"/>
      <c r="BR124" s="141"/>
      <c r="BS124" s="141"/>
      <c r="BT124" s="141"/>
      <c r="BU124" s="141"/>
      <c r="BV124" s="141"/>
      <c r="BW124" s="141"/>
      <c r="BY124" s="12"/>
      <c r="BZ124" s="363">
        <f>IF(MIN($V124:$BW124)&lt;0, 1, 0)</f>
        <v>0</v>
      </c>
      <c r="CA124" s="12"/>
      <c r="CF124" s="7">
        <f t="shared" si="162"/>
        <v>0</v>
      </c>
      <c r="CG124" s="12"/>
      <c r="CH124" s="11">
        <v>1</v>
      </c>
      <c r="CI124" s="11">
        <v>1</v>
      </c>
      <c r="CJ124" s="11">
        <v>0</v>
      </c>
      <c r="EX124" s="13" t="str">
        <f t="shared" si="163"/>
        <v>Capital Grant Liability Capital Grant received in cash: ESFA</v>
      </c>
    </row>
    <row r="125" spans="1:154" s="67" customFormat="1" x14ac:dyDescent="0.25">
      <c r="A125" s="362" cm="1">
        <f t="array" aca="1" ref="A125" ca="1">HYPERLINK(CONCATENATE("#",CELL("address",IF(SUM($CA125:$CG125)=0,A125,INDEX($CA125:$CG125,MATCH(1,$CA125:$CG125,0))))),SUM($CA125:$CG125))</f>
        <v>0</v>
      </c>
      <c r="C125" s="340" t="s">
        <v>1439</v>
      </c>
      <c r="D125" s="177" t="s">
        <v>341</v>
      </c>
      <c r="G125" s="8"/>
      <c r="H125" s="47" t="s">
        <v>161</v>
      </c>
      <c r="P125" s="335"/>
      <c r="Q125" s="335"/>
      <c r="R125" s="335"/>
      <c r="S125" s="335"/>
      <c r="T125" s="335"/>
      <c r="U125" s="335"/>
      <c r="V125" s="141"/>
      <c r="W125" s="215">
        <f t="shared" si="164"/>
        <v>13</v>
      </c>
      <c r="X125" s="215">
        <f t="shared" si="164"/>
        <v>0</v>
      </c>
      <c r="Y125" s="215">
        <f t="shared" si="164"/>
        <v>0</v>
      </c>
      <c r="AA125" s="147">
        <v>4</v>
      </c>
      <c r="AB125" s="147"/>
      <c r="AC125" s="147"/>
      <c r="AD125" s="147">
        <v>4</v>
      </c>
      <c r="AE125" s="147"/>
      <c r="AF125" s="147"/>
      <c r="AG125" s="147">
        <v>5</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L125" s="13">
        <f t="shared" si="158"/>
        <v>0</v>
      </c>
      <c r="BM125" s="13">
        <f t="shared" si="159"/>
        <v>13</v>
      </c>
      <c r="BN125" s="13">
        <f t="shared" si="160"/>
        <v>0</v>
      </c>
      <c r="BO125" s="13">
        <f t="shared" si="161"/>
        <v>0</v>
      </c>
      <c r="BP125" s="141"/>
      <c r="BQ125" s="141"/>
      <c r="BR125" s="141"/>
      <c r="BS125" s="141"/>
      <c r="BT125" s="141"/>
      <c r="BU125" s="141"/>
      <c r="BV125" s="141"/>
      <c r="BW125" s="141"/>
      <c r="BY125" s="12"/>
      <c r="BZ125" s="363">
        <f>IF(MIN($V125:$BW125)&lt;0, 1, 0)</f>
        <v>0</v>
      </c>
      <c r="CA125" s="12"/>
      <c r="CE125" s="335"/>
      <c r="CF125" s="7">
        <f t="shared" si="162"/>
        <v>0</v>
      </c>
      <c r="CG125" s="12"/>
      <c r="CH125" s="67">
        <v>1</v>
      </c>
      <c r="CI125" s="67">
        <v>1</v>
      </c>
      <c r="CJ125" s="67">
        <v>0</v>
      </c>
      <c r="EU125" s="335"/>
      <c r="EX125" s="13" t="str">
        <f t="shared" si="163"/>
        <v>Capital Grant Liability Capital Grant received in cash: OfS</v>
      </c>
    </row>
    <row r="126" spans="1:154" s="67" customFormat="1" x14ac:dyDescent="0.25">
      <c r="A126" s="362" cm="1">
        <f t="array" aca="1" ref="A126" ca="1">HYPERLINK(CONCATENATE("#",CELL("address",IF(SUM($CA126:$CG126)=0,A126,INDEX($CA126:$CG126,MATCH(1,$CA126:$CG126,0))))),SUM($CA126:$CG126))</f>
        <v>0</v>
      </c>
      <c r="C126" s="340" t="s">
        <v>1440</v>
      </c>
      <c r="D126" s="177" t="s">
        <v>299</v>
      </c>
      <c r="G126" s="8"/>
      <c r="H126" s="47" t="s">
        <v>161</v>
      </c>
      <c r="P126" s="335"/>
      <c r="Q126" s="335"/>
      <c r="R126" s="335"/>
      <c r="S126" s="335"/>
      <c r="T126" s="335"/>
      <c r="U126" s="335"/>
      <c r="V126" s="141"/>
      <c r="W126" s="215">
        <f t="shared" si="164"/>
        <v>1061</v>
      </c>
      <c r="X126" s="215">
        <f t="shared" si="164"/>
        <v>0</v>
      </c>
      <c r="Y126" s="215">
        <f t="shared" si="164"/>
        <v>0</v>
      </c>
      <c r="AA126" s="147"/>
      <c r="AB126" s="147"/>
      <c r="AC126" s="147">
        <v>569</v>
      </c>
      <c r="AD126" s="147"/>
      <c r="AE126" s="147">
        <v>352</v>
      </c>
      <c r="AF126" s="147"/>
      <c r="AG126" s="147"/>
      <c r="AH126" s="147">
        <v>93</v>
      </c>
      <c r="AI126" s="147"/>
      <c r="AJ126" s="147">
        <v>47</v>
      </c>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L126" s="13">
        <f t="shared" si="158"/>
        <v>0</v>
      </c>
      <c r="BM126" s="13">
        <f t="shared" si="159"/>
        <v>1061</v>
      </c>
      <c r="BN126" s="13">
        <f t="shared" si="160"/>
        <v>0</v>
      </c>
      <c r="BO126" s="13">
        <f t="shared" si="161"/>
        <v>0</v>
      </c>
      <c r="BP126" s="141"/>
      <c r="BQ126" s="141"/>
      <c r="BR126" s="141"/>
      <c r="BS126" s="141"/>
      <c r="BT126" s="141"/>
      <c r="BU126" s="141"/>
      <c r="BV126" s="141"/>
      <c r="BW126" s="141"/>
      <c r="BY126" s="12"/>
      <c r="BZ126" s="363">
        <f>IF(MIN($V126:$BW126)&lt;0, 1, 0)</f>
        <v>0</v>
      </c>
      <c r="CA126" s="12"/>
      <c r="CE126" s="335"/>
      <c r="CF126" s="7">
        <f t="shared" si="162"/>
        <v>0</v>
      </c>
      <c r="CG126" s="12"/>
      <c r="CH126" s="67">
        <v>1</v>
      </c>
      <c r="CI126" s="67">
        <v>1</v>
      </c>
      <c r="CJ126" s="67">
        <v>0</v>
      </c>
      <c r="EU126" s="335"/>
      <c r="EX126" s="13" t="str">
        <f t="shared" si="163"/>
        <v>Capital Grant Liability Capital Grant received in cash: LEP</v>
      </c>
    </row>
    <row r="127" spans="1:154" s="67" customFormat="1" x14ac:dyDescent="0.25">
      <c r="A127" s="362" cm="1">
        <f t="array" aca="1" ref="A127" ca="1">HYPERLINK(CONCATENATE("#",CELL("address",IF(SUM($CA127:$CG127)=0,A127,INDEX($CA127:$CG127,MATCH(1,$CA127:$CG127,0))))),SUM($CA127:$CG127))</f>
        <v>0</v>
      </c>
      <c r="C127" s="340" t="s">
        <v>1441</v>
      </c>
      <c r="D127" s="177" t="s">
        <v>300</v>
      </c>
      <c r="G127" s="8"/>
      <c r="H127" s="47" t="s">
        <v>161</v>
      </c>
      <c r="P127" s="335"/>
      <c r="Q127" s="335"/>
      <c r="R127" s="335"/>
      <c r="S127" s="335"/>
      <c r="T127" s="335"/>
      <c r="U127" s="335"/>
      <c r="V127" s="141"/>
      <c r="W127" s="215">
        <f t="shared" si="164"/>
        <v>0</v>
      </c>
      <c r="X127" s="215">
        <f t="shared" si="164"/>
        <v>0</v>
      </c>
      <c r="Y127" s="215">
        <f t="shared" si="164"/>
        <v>0</v>
      </c>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L127" s="13">
        <f t="shared" si="158"/>
        <v>0</v>
      </c>
      <c r="BM127" s="13">
        <f t="shared" si="159"/>
        <v>0</v>
      </c>
      <c r="BN127" s="13">
        <f t="shared" si="160"/>
        <v>0</v>
      </c>
      <c r="BO127" s="13">
        <f t="shared" si="161"/>
        <v>0</v>
      </c>
      <c r="BP127" s="141"/>
      <c r="BQ127" s="141"/>
      <c r="BR127" s="141"/>
      <c r="BS127" s="141"/>
      <c r="BT127" s="141"/>
      <c r="BU127" s="141"/>
      <c r="BV127" s="141"/>
      <c r="BW127" s="141"/>
      <c r="BY127" s="12"/>
      <c r="BZ127" s="363">
        <f>IF(MIN($V127:$BW127)&lt;0, 1, 0)</f>
        <v>0</v>
      </c>
      <c r="CA127" s="12"/>
      <c r="CE127" s="335"/>
      <c r="CF127" s="7">
        <f t="shared" si="162"/>
        <v>0</v>
      </c>
      <c r="CG127" s="12"/>
      <c r="CH127" s="67">
        <v>1</v>
      </c>
      <c r="CI127" s="67">
        <v>1</v>
      </c>
      <c r="CJ127" s="67">
        <v>0</v>
      </c>
      <c r="EU127" s="335"/>
      <c r="EX127" s="13" t="str">
        <f t="shared" si="163"/>
        <v>Capital Grant Liability Capital Grant received in cash: Other Grants</v>
      </c>
    </row>
    <row r="128" spans="1:154" x14ac:dyDescent="0.25">
      <c r="A128" s="362" cm="1">
        <f t="array" aca="1" ref="A128" ca="1">HYPERLINK(CONCATENATE("#",CELL("address",IF(SUM($CA128:$CG128)=0,A128,INDEX($CA128:$CG128,MATCH(1,$CA128:$CG128,0))))),SUM($CA128:$CG128))</f>
        <v>0</v>
      </c>
      <c r="C128" s="340" t="s">
        <v>1442</v>
      </c>
      <c r="D128" s="177" t="s">
        <v>990</v>
      </c>
      <c r="G128" s="8"/>
      <c r="H128" s="47" t="s">
        <v>157</v>
      </c>
      <c r="P128" s="335"/>
      <c r="Q128" s="335"/>
      <c r="R128" s="335"/>
      <c r="S128" s="335"/>
      <c r="T128" s="335"/>
      <c r="U128" s="335"/>
      <c r="V128" s="141"/>
      <c r="W128" s="215">
        <f t="shared" si="164"/>
        <v>0</v>
      </c>
      <c r="X128" s="215">
        <f t="shared" si="164"/>
        <v>0</v>
      </c>
      <c r="Y128" s="215">
        <f t="shared" si="164"/>
        <v>0</v>
      </c>
      <c r="Z128" s="6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67"/>
      <c r="BL128" s="13">
        <f t="shared" si="158"/>
        <v>0</v>
      </c>
      <c r="BM128" s="13">
        <f t="shared" si="159"/>
        <v>0</v>
      </c>
      <c r="BN128" s="13">
        <f t="shared" si="160"/>
        <v>0</v>
      </c>
      <c r="BO128" s="13">
        <f t="shared" si="161"/>
        <v>0</v>
      </c>
      <c r="BP128" s="141"/>
      <c r="BQ128" s="141"/>
      <c r="BR128" s="141"/>
      <c r="BS128" s="141"/>
      <c r="BT128" s="141"/>
      <c r="BU128" s="141"/>
      <c r="BV128" s="141"/>
      <c r="BW128" s="141"/>
      <c r="BY128" s="12"/>
      <c r="BZ128" s="363">
        <f t="shared" ref="BZ128:BZ135" si="165">IF(MAX($V128:$BW128)&gt;0, 1, 0)</f>
        <v>0</v>
      </c>
      <c r="CA128" s="12"/>
      <c r="CF128" s="7">
        <f t="shared" si="162"/>
        <v>0</v>
      </c>
      <c r="CG128" s="12"/>
      <c r="CH128" s="11">
        <v>1</v>
      </c>
      <c r="CI128" s="11">
        <v>1</v>
      </c>
      <c r="CJ128" s="11">
        <v>0</v>
      </c>
      <c r="EX128" s="13" t="str">
        <f t="shared" si="163"/>
        <v>Capital Grant Liability Capital grant repayments: ESFA</v>
      </c>
    </row>
    <row r="129" spans="1:154" s="67" customFormat="1" x14ac:dyDescent="0.25">
      <c r="A129" s="362" cm="1">
        <f t="array" aca="1" ref="A129" ca="1">HYPERLINK(CONCATENATE("#",CELL("address",IF(SUM($CA129:$CG129)=0,A129,INDEX($CA129:$CG129,MATCH(1,$CA129:$CG129,0))))),SUM($CA129:$CG129))</f>
        <v>0</v>
      </c>
      <c r="C129" s="340" t="s">
        <v>1443</v>
      </c>
      <c r="D129" s="177" t="s">
        <v>835</v>
      </c>
      <c r="G129" s="8"/>
      <c r="H129" s="47" t="s">
        <v>157</v>
      </c>
      <c r="P129" s="335"/>
      <c r="Q129" s="335"/>
      <c r="R129" s="335"/>
      <c r="S129" s="335"/>
      <c r="T129" s="335"/>
      <c r="U129" s="335"/>
      <c r="V129" s="141"/>
      <c r="W129" s="215">
        <f t="shared" si="164"/>
        <v>0</v>
      </c>
      <c r="X129" s="215">
        <f t="shared" si="164"/>
        <v>0</v>
      </c>
      <c r="Y129" s="215">
        <f t="shared" si="164"/>
        <v>0</v>
      </c>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L129" s="13">
        <f t="shared" si="158"/>
        <v>0</v>
      </c>
      <c r="BM129" s="13">
        <f t="shared" si="159"/>
        <v>0</v>
      </c>
      <c r="BN129" s="13">
        <f t="shared" si="160"/>
        <v>0</v>
      </c>
      <c r="BO129" s="13">
        <f t="shared" si="161"/>
        <v>0</v>
      </c>
      <c r="BP129" s="141"/>
      <c r="BQ129" s="141"/>
      <c r="BR129" s="141"/>
      <c r="BS129" s="141"/>
      <c r="BT129" s="141"/>
      <c r="BU129" s="141"/>
      <c r="BV129" s="141"/>
      <c r="BW129" s="141"/>
      <c r="BY129" s="12"/>
      <c r="BZ129" s="363">
        <f t="shared" si="165"/>
        <v>0</v>
      </c>
      <c r="CA129" s="12"/>
      <c r="CE129" s="335"/>
      <c r="CF129" s="7">
        <f t="shared" si="162"/>
        <v>0</v>
      </c>
      <c r="CG129" s="12"/>
      <c r="CH129" s="67">
        <v>1</v>
      </c>
      <c r="CI129" s="67">
        <v>1</v>
      </c>
      <c r="CJ129" s="67">
        <v>0</v>
      </c>
      <c r="EU129" s="335"/>
      <c r="EX129" s="13" t="str">
        <f t="shared" si="163"/>
        <v>Capital Grant Liability Capital grant repayments: OfS</v>
      </c>
    </row>
    <row r="130" spans="1:154" s="67" customFormat="1" x14ac:dyDescent="0.25">
      <c r="A130" s="362" cm="1">
        <f t="array" aca="1" ref="A130" ca="1">HYPERLINK(CONCATENATE("#",CELL("address",IF(SUM($CA130:$CG130)=0,A130,INDEX($CA130:$CG130,MATCH(1,$CA130:$CG130,0))))),SUM($CA130:$CG130))</f>
        <v>0</v>
      </c>
      <c r="C130" s="340" t="s">
        <v>1444</v>
      </c>
      <c r="D130" s="177" t="s">
        <v>836</v>
      </c>
      <c r="G130" s="8"/>
      <c r="H130" s="47" t="s">
        <v>157</v>
      </c>
      <c r="P130" s="335"/>
      <c r="Q130" s="335"/>
      <c r="R130" s="335"/>
      <c r="S130" s="335"/>
      <c r="T130" s="335"/>
      <c r="U130" s="335"/>
      <c r="V130" s="141"/>
      <c r="W130" s="215">
        <f t="shared" si="164"/>
        <v>0</v>
      </c>
      <c r="X130" s="215">
        <f t="shared" si="164"/>
        <v>0</v>
      </c>
      <c r="Y130" s="215">
        <f t="shared" si="164"/>
        <v>0</v>
      </c>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c r="BI130" s="147"/>
      <c r="BJ130" s="147"/>
      <c r="BL130" s="13">
        <f t="shared" si="158"/>
        <v>0</v>
      </c>
      <c r="BM130" s="13">
        <f t="shared" si="159"/>
        <v>0</v>
      </c>
      <c r="BN130" s="13">
        <f t="shared" si="160"/>
        <v>0</v>
      </c>
      <c r="BO130" s="13">
        <f t="shared" si="161"/>
        <v>0</v>
      </c>
      <c r="BP130" s="141"/>
      <c r="BQ130" s="141"/>
      <c r="BR130" s="141"/>
      <c r="BS130" s="141"/>
      <c r="BT130" s="141"/>
      <c r="BU130" s="141"/>
      <c r="BV130" s="141"/>
      <c r="BW130" s="141"/>
      <c r="BY130" s="12"/>
      <c r="BZ130" s="363">
        <f t="shared" si="165"/>
        <v>0</v>
      </c>
      <c r="CA130" s="12"/>
      <c r="CE130" s="335"/>
      <c r="CF130" s="7">
        <f t="shared" si="162"/>
        <v>0</v>
      </c>
      <c r="CG130" s="12"/>
      <c r="CH130" s="67">
        <v>1</v>
      </c>
      <c r="CI130" s="67">
        <v>1</v>
      </c>
      <c r="CJ130" s="67">
        <v>0</v>
      </c>
      <c r="EU130" s="335"/>
      <c r="EX130" s="13" t="str">
        <f t="shared" si="163"/>
        <v>Capital Grant Liability Capital grant repayments: LEP</v>
      </c>
    </row>
    <row r="131" spans="1:154" s="67" customFormat="1" x14ac:dyDescent="0.25">
      <c r="A131" s="362" cm="1">
        <f t="array" aca="1" ref="A131" ca="1">HYPERLINK(CONCATENATE("#",CELL("address",IF(SUM($CA131:$CG131)=0,A131,INDEX($CA131:$CG131,MATCH(1,$CA131:$CG131,0))))),SUM($CA131:$CG131))</f>
        <v>0</v>
      </c>
      <c r="C131" s="340" t="s">
        <v>1445</v>
      </c>
      <c r="D131" s="177" t="s">
        <v>837</v>
      </c>
      <c r="G131" s="8"/>
      <c r="H131" s="47" t="s">
        <v>157</v>
      </c>
      <c r="P131" s="335"/>
      <c r="Q131" s="335"/>
      <c r="R131" s="335"/>
      <c r="S131" s="335"/>
      <c r="T131" s="335"/>
      <c r="U131" s="335"/>
      <c r="V131" s="141"/>
      <c r="W131" s="215">
        <f t="shared" si="164"/>
        <v>0</v>
      </c>
      <c r="X131" s="215">
        <f t="shared" si="164"/>
        <v>0</v>
      </c>
      <c r="Y131" s="215">
        <f t="shared" si="164"/>
        <v>0</v>
      </c>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L131" s="13">
        <f t="shared" si="158"/>
        <v>0</v>
      </c>
      <c r="BM131" s="13">
        <f t="shared" si="159"/>
        <v>0</v>
      </c>
      <c r="BN131" s="13">
        <f t="shared" si="160"/>
        <v>0</v>
      </c>
      <c r="BO131" s="13">
        <f t="shared" si="161"/>
        <v>0</v>
      </c>
      <c r="BP131" s="141"/>
      <c r="BQ131" s="141"/>
      <c r="BR131" s="141"/>
      <c r="BS131" s="141"/>
      <c r="BT131" s="141"/>
      <c r="BU131" s="141"/>
      <c r="BV131" s="141"/>
      <c r="BW131" s="141"/>
      <c r="BY131" s="12"/>
      <c r="BZ131" s="363">
        <f t="shared" si="165"/>
        <v>0</v>
      </c>
      <c r="CA131" s="12"/>
      <c r="CE131" s="335"/>
      <c r="CF131" s="7">
        <f t="shared" si="162"/>
        <v>0</v>
      </c>
      <c r="CG131" s="12"/>
      <c r="CH131" s="67">
        <v>1</v>
      </c>
      <c r="CI131" s="67">
        <v>1</v>
      </c>
      <c r="CJ131" s="67">
        <v>0</v>
      </c>
      <c r="EU131" s="335"/>
      <c r="EX131" s="13" t="str">
        <f t="shared" si="163"/>
        <v>Capital Grant Liability Capital grant repayments: Other Grants</v>
      </c>
    </row>
    <row r="132" spans="1:154" x14ac:dyDescent="0.25">
      <c r="A132" s="362" cm="1">
        <f t="array" aca="1" ref="A132" ca="1">HYPERLINK(CONCATENATE("#",CELL("address",IF(SUM($CA132:$CG132)=0,A132,INDEX($CA132:$CG132,MATCH(1,$CA132:$CG132,0))))),SUM($CA132:$CG132))</f>
        <v>0</v>
      </c>
      <c r="C132" s="340" t="s">
        <v>1446</v>
      </c>
      <c r="D132" s="177" t="s">
        <v>140</v>
      </c>
      <c r="G132" s="8"/>
      <c r="H132" s="47" t="s">
        <v>157</v>
      </c>
      <c r="P132" s="335"/>
      <c r="Q132" s="335"/>
      <c r="R132" s="335"/>
      <c r="S132" s="335"/>
      <c r="T132" s="335"/>
      <c r="U132" s="335"/>
      <c r="V132" s="346"/>
      <c r="W132" s="215">
        <f t="shared" si="164"/>
        <v>-159</v>
      </c>
      <c r="X132" s="215">
        <f t="shared" si="164"/>
        <v>-204</v>
      </c>
      <c r="Y132" s="215">
        <f t="shared" si="164"/>
        <v>-261</v>
      </c>
      <c r="Z132" s="67"/>
      <c r="AA132" s="147">
        <v>-12</v>
      </c>
      <c r="AB132" s="147">
        <v>-12</v>
      </c>
      <c r="AC132" s="147">
        <v>-12</v>
      </c>
      <c r="AD132" s="147">
        <v>-12</v>
      </c>
      <c r="AE132" s="147">
        <v>-12</v>
      </c>
      <c r="AF132" s="147">
        <v>-12</v>
      </c>
      <c r="AG132" s="147">
        <v>-12</v>
      </c>
      <c r="AH132" s="147">
        <v>-15</v>
      </c>
      <c r="AI132" s="147">
        <v>-15</v>
      </c>
      <c r="AJ132" s="147">
        <v>-15</v>
      </c>
      <c r="AK132" s="147">
        <v>-15</v>
      </c>
      <c r="AL132" s="147">
        <v>-15</v>
      </c>
      <c r="AM132" s="147">
        <v>-12</v>
      </c>
      <c r="AN132" s="147">
        <f>-12+-2</f>
        <v>-14</v>
      </c>
      <c r="AO132" s="147">
        <f>-12+-2</f>
        <v>-14</v>
      </c>
      <c r="AP132" s="147">
        <f>-12+-3</f>
        <v>-15</v>
      </c>
      <c r="AQ132" s="147">
        <f>-12+-3</f>
        <v>-15</v>
      </c>
      <c r="AR132" s="147">
        <f>-12+-3</f>
        <v>-15</v>
      </c>
      <c r="AS132" s="147">
        <f>-12+-4</f>
        <v>-16</v>
      </c>
      <c r="AT132" s="147">
        <f>-15+-5</f>
        <v>-20</v>
      </c>
      <c r="AU132" s="147">
        <f>-15+-5</f>
        <v>-20</v>
      </c>
      <c r="AV132" s="147">
        <f>-15+-5</f>
        <v>-20</v>
      </c>
      <c r="AW132" s="147">
        <f>-15+-6</f>
        <v>-21</v>
      </c>
      <c r="AX132" s="147">
        <f>-15+-7</f>
        <v>-22</v>
      </c>
      <c r="AY132" s="147">
        <f>-12+-7</f>
        <v>-19</v>
      </c>
      <c r="AZ132" s="147">
        <f>-12+-7</f>
        <v>-19</v>
      </c>
      <c r="BA132" s="147">
        <f>-12+-8</f>
        <v>-20</v>
      </c>
      <c r="BB132" s="147">
        <f>-12+-8</f>
        <v>-20</v>
      </c>
      <c r="BC132" s="147">
        <f>-12+-8</f>
        <v>-20</v>
      </c>
      <c r="BD132" s="147">
        <f>-12+-9</f>
        <v>-21</v>
      </c>
      <c r="BE132" s="147">
        <f>-12+-9</f>
        <v>-21</v>
      </c>
      <c r="BF132" s="147">
        <f>-15+-9</f>
        <v>-24</v>
      </c>
      <c r="BG132" s="147">
        <f>-15+-9</f>
        <v>-24</v>
      </c>
      <c r="BH132" s="147">
        <f>-15+-9</f>
        <v>-24</v>
      </c>
      <c r="BI132" s="147">
        <f>-15+-9</f>
        <v>-24</v>
      </c>
      <c r="BJ132" s="147">
        <f>-15+-10</f>
        <v>-25</v>
      </c>
      <c r="BK132" s="67"/>
      <c r="BL132" s="13">
        <f t="shared" si="158"/>
        <v>0</v>
      </c>
      <c r="BM132" s="13">
        <f t="shared" si="159"/>
        <v>-159</v>
      </c>
      <c r="BN132" s="13">
        <f t="shared" si="160"/>
        <v>-204</v>
      </c>
      <c r="BO132" s="13">
        <f t="shared" si="161"/>
        <v>-261</v>
      </c>
      <c r="BP132" s="141"/>
      <c r="BQ132" s="141"/>
      <c r="BR132" s="141"/>
      <c r="BS132" s="141"/>
      <c r="BT132" s="141"/>
      <c r="BU132" s="141"/>
      <c r="BV132" s="141"/>
      <c r="BW132" s="141"/>
      <c r="BY132" s="12"/>
      <c r="BZ132" s="363">
        <f t="shared" si="165"/>
        <v>0</v>
      </c>
      <c r="CA132" s="12"/>
      <c r="CF132" s="7">
        <f t="shared" si="162"/>
        <v>0</v>
      </c>
      <c r="CG132" s="12"/>
      <c r="CH132" s="11">
        <v>1</v>
      </c>
      <c r="CI132" s="11">
        <v>1</v>
      </c>
      <c r="CJ132" s="11">
        <v>0</v>
      </c>
      <c r="EX132" s="13" t="str">
        <f t="shared" si="163"/>
        <v>Capital Grant Liability Amortisation through I&amp;E: ESFA</v>
      </c>
    </row>
    <row r="133" spans="1:154" s="67" customFormat="1" x14ac:dyDescent="0.25">
      <c r="A133" s="362" cm="1">
        <f t="array" aca="1" ref="A133" ca="1">HYPERLINK(CONCATENATE("#",CELL("address",IF(SUM($CA133:$CG133)=0,A133,INDEX($CA133:$CG133,MATCH(1,$CA133:$CG133,0))))),SUM($CA133:$CG133))</f>
        <v>0</v>
      </c>
      <c r="C133" s="340" t="s">
        <v>1447</v>
      </c>
      <c r="D133" s="177" t="s">
        <v>342</v>
      </c>
      <c r="G133" s="8"/>
      <c r="H133" s="47" t="s">
        <v>157</v>
      </c>
      <c r="P133" s="335"/>
      <c r="Q133" s="335"/>
      <c r="R133" s="335"/>
      <c r="S133" s="335"/>
      <c r="T133" s="335"/>
      <c r="U133" s="335"/>
      <c r="V133" s="141"/>
      <c r="W133" s="215">
        <f t="shared" si="164"/>
        <v>-12</v>
      </c>
      <c r="X133" s="215">
        <f t="shared" si="164"/>
        <v>-12</v>
      </c>
      <c r="Y133" s="215">
        <f t="shared" si="164"/>
        <v>-12</v>
      </c>
      <c r="AA133" s="147">
        <v>-1</v>
      </c>
      <c r="AB133" s="147">
        <v>-1</v>
      </c>
      <c r="AC133" s="147">
        <v>-1</v>
      </c>
      <c r="AD133" s="147">
        <v>-1</v>
      </c>
      <c r="AE133" s="147">
        <v>-1</v>
      </c>
      <c r="AF133" s="147">
        <v>-1</v>
      </c>
      <c r="AG133" s="147">
        <v>-1</v>
      </c>
      <c r="AH133" s="147">
        <v>-1</v>
      </c>
      <c r="AI133" s="147">
        <v>-1</v>
      </c>
      <c r="AJ133" s="147">
        <v>-1</v>
      </c>
      <c r="AK133" s="147">
        <v>-1</v>
      </c>
      <c r="AL133" s="147">
        <v>-1</v>
      </c>
      <c r="AM133" s="147">
        <v>-1</v>
      </c>
      <c r="AN133" s="147">
        <v>-1</v>
      </c>
      <c r="AO133" s="147">
        <v>-1</v>
      </c>
      <c r="AP133" s="147">
        <v>-1</v>
      </c>
      <c r="AQ133" s="147">
        <v>-1</v>
      </c>
      <c r="AR133" s="147">
        <v>-1</v>
      </c>
      <c r="AS133" s="147">
        <v>-1</v>
      </c>
      <c r="AT133" s="147">
        <v>-1</v>
      </c>
      <c r="AU133" s="147">
        <v>-1</v>
      </c>
      <c r="AV133" s="147">
        <v>-1</v>
      </c>
      <c r="AW133" s="147">
        <v>-1</v>
      </c>
      <c r="AX133" s="147">
        <v>-1</v>
      </c>
      <c r="AY133" s="147">
        <v>-1</v>
      </c>
      <c r="AZ133" s="147">
        <v>-1</v>
      </c>
      <c r="BA133" s="147">
        <v>-1</v>
      </c>
      <c r="BB133" s="147">
        <v>-1</v>
      </c>
      <c r="BC133" s="147">
        <v>-1</v>
      </c>
      <c r="BD133" s="147">
        <v>-1</v>
      </c>
      <c r="BE133" s="147">
        <v>-1</v>
      </c>
      <c r="BF133" s="147">
        <v>-1</v>
      </c>
      <c r="BG133" s="147">
        <v>-1</v>
      </c>
      <c r="BH133" s="147">
        <v>-1</v>
      </c>
      <c r="BI133" s="147">
        <v>-1</v>
      </c>
      <c r="BJ133" s="147">
        <v>-1</v>
      </c>
      <c r="BL133" s="13">
        <f t="shared" si="158"/>
        <v>0</v>
      </c>
      <c r="BM133" s="13">
        <f t="shared" si="159"/>
        <v>-12</v>
      </c>
      <c r="BN133" s="13">
        <f t="shared" si="160"/>
        <v>-12</v>
      </c>
      <c r="BO133" s="13">
        <f t="shared" si="161"/>
        <v>-12</v>
      </c>
      <c r="BP133" s="141"/>
      <c r="BQ133" s="141"/>
      <c r="BR133" s="141"/>
      <c r="BS133" s="141"/>
      <c r="BT133" s="141"/>
      <c r="BU133" s="141"/>
      <c r="BV133" s="141"/>
      <c r="BW133" s="141"/>
      <c r="BY133" s="12"/>
      <c r="BZ133" s="363">
        <f t="shared" si="165"/>
        <v>0</v>
      </c>
      <c r="CA133" s="12"/>
      <c r="CE133" s="335"/>
      <c r="CF133" s="7">
        <f t="shared" si="162"/>
        <v>0</v>
      </c>
      <c r="CG133" s="12"/>
      <c r="CH133" s="67">
        <v>1</v>
      </c>
      <c r="CI133" s="67">
        <v>1</v>
      </c>
      <c r="CJ133" s="67">
        <v>0</v>
      </c>
      <c r="EU133" s="335"/>
      <c r="EX133" s="13" t="str">
        <f t="shared" si="163"/>
        <v>Capital Grant Liability Amortisation through I&amp;E: OfS</v>
      </c>
    </row>
    <row r="134" spans="1:154" s="67" customFormat="1" ht="15.75" x14ac:dyDescent="0.3">
      <c r="A134" s="362" cm="1">
        <f t="array" aca="1" ref="A134" ca="1">HYPERLINK(CONCATENATE("#",CELL("address",IF(SUM($CA134:$CG134)=0,A134,INDEX($CA134:$CG134,MATCH(1,$CA134:$CG134,0))))),SUM($CA134:$CG134))</f>
        <v>0</v>
      </c>
      <c r="C134" s="340" t="s">
        <v>1448</v>
      </c>
      <c r="D134" s="177" t="s">
        <v>302</v>
      </c>
      <c r="E134" s="479" t="s">
        <v>335</v>
      </c>
      <c r="G134" s="8"/>
      <c r="H134" s="47" t="s">
        <v>157</v>
      </c>
      <c r="P134" s="335"/>
      <c r="Q134" s="335"/>
      <c r="R134" s="335"/>
      <c r="S134" s="335"/>
      <c r="T134" s="335"/>
      <c r="U134" s="335"/>
      <c r="V134" s="141"/>
      <c r="W134" s="215">
        <f t="shared" si="164"/>
        <v>-298</v>
      </c>
      <c r="X134" s="215">
        <f t="shared" si="164"/>
        <v>-298</v>
      </c>
      <c r="Y134" s="215">
        <f t="shared" si="164"/>
        <v>-298</v>
      </c>
      <c r="AA134" s="147">
        <v>-23</v>
      </c>
      <c r="AB134" s="147">
        <v>-25</v>
      </c>
      <c r="AC134" s="147">
        <v>-25</v>
      </c>
      <c r="AD134" s="147">
        <v>-25</v>
      </c>
      <c r="AE134" s="147">
        <v>-25</v>
      </c>
      <c r="AF134" s="147">
        <v>-25</v>
      </c>
      <c r="AG134" s="147">
        <v>-25</v>
      </c>
      <c r="AH134" s="147">
        <v>-25</v>
      </c>
      <c r="AI134" s="147">
        <v>-25</v>
      </c>
      <c r="AJ134" s="147">
        <v>-25</v>
      </c>
      <c r="AK134" s="147">
        <v>-25</v>
      </c>
      <c r="AL134" s="147">
        <v>-25</v>
      </c>
      <c r="AM134" s="147">
        <v>-23</v>
      </c>
      <c r="AN134" s="147">
        <v>-25</v>
      </c>
      <c r="AO134" s="147">
        <v>-25</v>
      </c>
      <c r="AP134" s="147">
        <v>-25</v>
      </c>
      <c r="AQ134" s="147">
        <v>-25</v>
      </c>
      <c r="AR134" s="147">
        <v>-25</v>
      </c>
      <c r="AS134" s="147">
        <v>-25</v>
      </c>
      <c r="AT134" s="147">
        <v>-25</v>
      </c>
      <c r="AU134" s="147">
        <v>-25</v>
      </c>
      <c r="AV134" s="147">
        <v>-25</v>
      </c>
      <c r="AW134" s="147">
        <v>-25</v>
      </c>
      <c r="AX134" s="147">
        <v>-25</v>
      </c>
      <c r="AY134" s="147">
        <v>-23</v>
      </c>
      <c r="AZ134" s="147">
        <v>-25</v>
      </c>
      <c r="BA134" s="147">
        <v>-25</v>
      </c>
      <c r="BB134" s="147">
        <v>-25</v>
      </c>
      <c r="BC134" s="147">
        <v>-25</v>
      </c>
      <c r="BD134" s="147">
        <v>-25</v>
      </c>
      <c r="BE134" s="147">
        <v>-25</v>
      </c>
      <c r="BF134" s="147">
        <v>-25</v>
      </c>
      <c r="BG134" s="147">
        <v>-25</v>
      </c>
      <c r="BH134" s="147">
        <v>-25</v>
      </c>
      <c r="BI134" s="147">
        <v>-25</v>
      </c>
      <c r="BJ134" s="147">
        <v>-25</v>
      </c>
      <c r="BL134" s="13">
        <f t="shared" si="158"/>
        <v>0</v>
      </c>
      <c r="BM134" s="13">
        <f t="shared" si="159"/>
        <v>-298</v>
      </c>
      <c r="BN134" s="13">
        <f t="shared" si="160"/>
        <v>-298</v>
      </c>
      <c r="BO134" s="13">
        <f t="shared" si="161"/>
        <v>-298</v>
      </c>
      <c r="BP134" s="141"/>
      <c r="BQ134" s="141"/>
      <c r="BR134" s="141"/>
      <c r="BS134" s="141"/>
      <c r="BT134" s="141"/>
      <c r="BU134" s="141"/>
      <c r="BV134" s="141"/>
      <c r="BW134" s="141"/>
      <c r="BY134" s="12"/>
      <c r="BZ134" s="363">
        <f t="shared" si="165"/>
        <v>0</v>
      </c>
      <c r="CA134" s="12"/>
      <c r="CE134" s="335"/>
      <c r="CF134" s="7">
        <f t="shared" si="162"/>
        <v>0</v>
      </c>
      <c r="CG134" s="12"/>
      <c r="CH134" s="67">
        <v>1</v>
      </c>
      <c r="CI134" s="67">
        <v>1</v>
      </c>
      <c r="CJ134" s="67">
        <v>0</v>
      </c>
      <c r="EU134" s="335"/>
      <c r="EX134" s="13" t="str">
        <f t="shared" si="163"/>
        <v>Capital Grant Liability Amortisation through I&amp;E: LEP</v>
      </c>
    </row>
    <row r="135" spans="1:154" s="67" customFormat="1" x14ac:dyDescent="0.25">
      <c r="A135" s="362" cm="1">
        <f t="array" aca="1" ref="A135" ca="1">HYPERLINK(CONCATENATE("#",CELL("address",IF(SUM($CA135:$CG135)=0,A135,INDEX($CA135:$CG135,MATCH(1,$CA135:$CG135,0))))),SUM($CA135:$CG135))</f>
        <v>0</v>
      </c>
      <c r="C135" s="340" t="s">
        <v>1449</v>
      </c>
      <c r="D135" s="177" t="s">
        <v>301</v>
      </c>
      <c r="E135" s="490" t="s">
        <v>2356</v>
      </c>
      <c r="G135" s="8"/>
      <c r="H135" s="47" t="s">
        <v>157</v>
      </c>
      <c r="P135" s="335"/>
      <c r="Q135" s="335"/>
      <c r="R135" s="335"/>
      <c r="S135" s="335"/>
      <c r="T135" s="335"/>
      <c r="U135" s="335"/>
      <c r="V135" s="141"/>
      <c r="W135" s="215">
        <f t="shared" si="164"/>
        <v>0</v>
      </c>
      <c r="X135" s="215">
        <f t="shared" si="164"/>
        <v>0</v>
      </c>
      <c r="Y135" s="215">
        <f t="shared" si="164"/>
        <v>0</v>
      </c>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c r="BI135" s="147"/>
      <c r="BJ135" s="147"/>
      <c r="BL135" s="13">
        <f t="shared" si="158"/>
        <v>0</v>
      </c>
      <c r="BM135" s="13">
        <f t="shared" si="159"/>
        <v>0</v>
      </c>
      <c r="BN135" s="13">
        <f t="shared" si="160"/>
        <v>0</v>
      </c>
      <c r="BO135" s="13">
        <f t="shared" si="161"/>
        <v>0</v>
      </c>
      <c r="BP135" s="141"/>
      <c r="BQ135" s="141"/>
      <c r="BR135" s="141"/>
      <c r="BS135" s="141"/>
      <c r="BT135" s="141"/>
      <c r="BU135" s="141"/>
      <c r="BV135" s="141"/>
      <c r="BW135" s="141"/>
      <c r="BY135" s="12"/>
      <c r="BZ135" s="363">
        <f t="shared" si="165"/>
        <v>0</v>
      </c>
      <c r="CA135" s="12"/>
      <c r="CE135" s="335"/>
      <c r="CF135" s="7">
        <f t="shared" si="162"/>
        <v>0</v>
      </c>
      <c r="CG135" s="12"/>
      <c r="CH135" s="67">
        <v>1</v>
      </c>
      <c r="CI135" s="67">
        <v>1</v>
      </c>
      <c r="CJ135" s="67">
        <v>0</v>
      </c>
      <c r="EU135" s="335"/>
      <c r="EX135" s="13" t="str">
        <f t="shared" si="163"/>
        <v>Capital Grant Liability Amortisation through I&amp;E: Other Grants</v>
      </c>
    </row>
    <row r="136" spans="1:154" x14ac:dyDescent="0.25">
      <c r="A136" s="362" cm="1">
        <f t="array" aca="1" ref="A136" ca="1">HYPERLINK(CONCATENATE("#",CELL("address",IF(SUM($CA136:$CG136)=0,A136,INDEX($CA136:$CG136,MATCH(1,$CA136:$CG136,0))))),SUM($CA136:$CG136))</f>
        <v>0</v>
      </c>
      <c r="C136" s="340" t="s">
        <v>1450</v>
      </c>
      <c r="D136" s="335" t="s">
        <v>97</v>
      </c>
      <c r="E136" s="352">
        <f>ROUND(V136-SUM(V123:V135), rounding)*$V$10</f>
        <v>0</v>
      </c>
      <c r="G136" s="8"/>
      <c r="H136" s="47" t="s">
        <v>125</v>
      </c>
      <c r="O136" s="335"/>
      <c r="P136" s="335"/>
      <c r="Q136" s="335"/>
      <c r="R136" s="335"/>
      <c r="S136" s="335"/>
      <c r="T136" s="335"/>
      <c r="U136" s="335"/>
      <c r="V136" s="13">
        <f>'Opening Balances'!W41+'Opening Balances'!W61</f>
        <v>9926</v>
      </c>
      <c r="W136" s="10">
        <f>SUM(W123:W135)</f>
        <v>11865</v>
      </c>
      <c r="X136" s="10">
        <f t="shared" ref="X136:BW136" si="166">SUM(X123:X135)</f>
        <v>14259</v>
      </c>
      <c r="Y136" s="10">
        <f t="shared" si="166"/>
        <v>15353</v>
      </c>
      <c r="Z136" s="67"/>
      <c r="AA136" s="10">
        <f t="shared" si="166"/>
        <v>9894</v>
      </c>
      <c r="AB136" s="10">
        <f t="shared" si="166"/>
        <v>10926</v>
      </c>
      <c r="AC136" s="10">
        <f t="shared" si="166"/>
        <v>11457</v>
      </c>
      <c r="AD136" s="10">
        <f t="shared" si="166"/>
        <v>11423</v>
      </c>
      <c r="AE136" s="10">
        <f t="shared" si="166"/>
        <v>11737</v>
      </c>
      <c r="AF136" s="10">
        <f t="shared" si="166"/>
        <v>11699</v>
      </c>
      <c r="AG136" s="10">
        <f t="shared" si="166"/>
        <v>11666</v>
      </c>
      <c r="AH136" s="10">
        <f t="shared" si="166"/>
        <v>11982</v>
      </c>
      <c r="AI136" s="10">
        <f>SUM(AI123:AI135)</f>
        <v>11941</v>
      </c>
      <c r="AJ136" s="10">
        <f t="shared" si="166"/>
        <v>11947</v>
      </c>
      <c r="AK136" s="10">
        <f t="shared" si="166"/>
        <v>11906</v>
      </c>
      <c r="AL136" s="10">
        <f t="shared" si="166"/>
        <v>11865</v>
      </c>
      <c r="AM136" s="10">
        <f t="shared" si="166"/>
        <v>11829</v>
      </c>
      <c r="AN136" s="10">
        <f t="shared" si="166"/>
        <v>11789</v>
      </c>
      <c r="AO136" s="10">
        <f t="shared" si="166"/>
        <v>11749</v>
      </c>
      <c r="AP136" s="10">
        <f t="shared" si="166"/>
        <v>11708</v>
      </c>
      <c r="AQ136" s="10">
        <f t="shared" si="166"/>
        <v>11667</v>
      </c>
      <c r="AR136" s="10">
        <f t="shared" si="166"/>
        <v>11626</v>
      </c>
      <c r="AS136" s="10">
        <f t="shared" si="166"/>
        <v>11584</v>
      </c>
      <c r="AT136" s="10">
        <f t="shared" si="166"/>
        <v>11538</v>
      </c>
      <c r="AU136" s="10">
        <f t="shared" si="166"/>
        <v>11492</v>
      </c>
      <c r="AV136" s="10">
        <f t="shared" si="166"/>
        <v>11446</v>
      </c>
      <c r="AW136" s="10">
        <f t="shared" si="166"/>
        <v>11399</v>
      </c>
      <c r="AX136" s="10">
        <f t="shared" si="166"/>
        <v>14259</v>
      </c>
      <c r="AY136" s="10">
        <f t="shared" si="166"/>
        <v>14250</v>
      </c>
      <c r="AZ136" s="10">
        <f t="shared" si="166"/>
        <v>14205</v>
      </c>
      <c r="BA136" s="10">
        <f t="shared" si="166"/>
        <v>14159</v>
      </c>
      <c r="BB136" s="10">
        <f t="shared" si="166"/>
        <v>14113</v>
      </c>
      <c r="BC136" s="10">
        <f t="shared" si="166"/>
        <v>14067</v>
      </c>
      <c r="BD136" s="10">
        <f t="shared" si="166"/>
        <v>14020</v>
      </c>
      <c r="BE136" s="10">
        <f t="shared" si="166"/>
        <v>13973</v>
      </c>
      <c r="BF136" s="10">
        <f t="shared" si="166"/>
        <v>13923</v>
      </c>
      <c r="BG136" s="10">
        <f t="shared" si="166"/>
        <v>13873</v>
      </c>
      <c r="BH136" s="10">
        <f t="shared" si="166"/>
        <v>13823</v>
      </c>
      <c r="BI136" s="10">
        <f t="shared" si="166"/>
        <v>13773</v>
      </c>
      <c r="BJ136" s="10">
        <f t="shared" si="166"/>
        <v>15353</v>
      </c>
      <c r="BK136" s="67"/>
      <c r="BL136" s="13">
        <f t="shared" si="158"/>
        <v>9926</v>
      </c>
      <c r="BM136" s="13">
        <f t="shared" si="159"/>
        <v>11865</v>
      </c>
      <c r="BN136" s="13">
        <f t="shared" si="160"/>
        <v>14259</v>
      </c>
      <c r="BO136" s="13">
        <f t="shared" si="161"/>
        <v>15353</v>
      </c>
      <c r="BP136" s="10">
        <f t="shared" si="166"/>
        <v>15353</v>
      </c>
      <c r="BQ136" s="10">
        <f t="shared" si="166"/>
        <v>15353</v>
      </c>
      <c r="BR136" s="10">
        <f t="shared" si="166"/>
        <v>15353</v>
      </c>
      <c r="BS136" s="10">
        <f t="shared" si="166"/>
        <v>15353</v>
      </c>
      <c r="BT136" s="10">
        <f t="shared" si="166"/>
        <v>15353</v>
      </c>
      <c r="BU136" s="10">
        <f t="shared" si="166"/>
        <v>15353</v>
      </c>
      <c r="BV136" s="10">
        <f t="shared" si="166"/>
        <v>15353</v>
      </c>
      <c r="BW136" s="10">
        <f t="shared" si="166"/>
        <v>15353</v>
      </c>
      <c r="BY136" s="12"/>
      <c r="CA136" s="12"/>
      <c r="CE136" s="188">
        <f>IF(ABS($E136)&gt;Parameters!$D$33, 1, 0)</f>
        <v>0</v>
      </c>
      <c r="CF136" s="7">
        <f t="shared" si="162"/>
        <v>0</v>
      </c>
      <c r="CG136" s="12"/>
      <c r="CH136" s="11">
        <v>0</v>
      </c>
      <c r="CI136" s="11">
        <v>0</v>
      </c>
      <c r="CJ136" s="1">
        <v>1</v>
      </c>
      <c r="CK136" s="335"/>
      <c r="EX136" s="13" t="str">
        <f t="shared" si="163"/>
        <v>Capital Grant Liability Closing Balance</v>
      </c>
    </row>
    <row r="137" spans="1:154" ht="8.1" customHeight="1" x14ac:dyDescent="0.25">
      <c r="C137" s="385"/>
      <c r="O137" s="335"/>
      <c r="P137" s="335"/>
      <c r="Q137" s="335"/>
      <c r="R137" s="335"/>
      <c r="S137" s="335"/>
      <c r="T137" s="335"/>
      <c r="U137" s="335"/>
      <c r="V137" s="93"/>
      <c r="X137" s="11"/>
      <c r="Y137" s="11"/>
      <c r="Z137" s="67"/>
      <c r="BK137" s="67"/>
      <c r="BY137" s="12"/>
      <c r="CA137" s="12"/>
      <c r="CF137" s="322"/>
      <c r="CG137" s="12"/>
      <c r="CH137" s="11">
        <v>0</v>
      </c>
      <c r="CI137" s="11">
        <v>0</v>
      </c>
      <c r="CJ137" s="11">
        <v>0</v>
      </c>
      <c r="EX137" s="10" t="str">
        <f t="shared" ref="EX137:EX180" si="167">IF($C137="","",$D137)</f>
        <v/>
      </c>
    </row>
    <row r="138" spans="1:154" x14ac:dyDescent="0.25">
      <c r="A138" s="362" cm="1">
        <f t="array" aca="1" ref="A138" ca="1">HYPERLINK(CONCATENATE("#",CELL("address",IF(SUM($CA138:$CG138)=0,A138,INDEX($CA138:$CG138,MATCH(1,$CA138:$CG138,0))))),SUM($CA138:$CG138))</f>
        <v>0</v>
      </c>
      <c r="C138" s="343" t="str">
        <f>REPLACE('Opening Balances'!$C$41, LEN('Opening Balances'!$C$41)-1, 1, "C")</f>
        <v>B-3f-CB</v>
      </c>
      <c r="D138" s="93" t="s">
        <v>141</v>
      </c>
      <c r="G138" s="8"/>
      <c r="H138" s="47" t="s">
        <v>125</v>
      </c>
      <c r="O138" s="335"/>
      <c r="P138" s="335"/>
      <c r="Q138" s="335"/>
      <c r="R138" s="335"/>
      <c r="S138" s="335"/>
      <c r="T138" s="335"/>
      <c r="U138" s="335"/>
      <c r="V138" s="13">
        <f>'Opening Balances'!W41</f>
        <v>389</v>
      </c>
      <c r="W138" s="10">
        <f>INDEX($AA138:$BJ138, MATCH(W$5, $AA$5:$BJ$5))</f>
        <v>469</v>
      </c>
      <c r="X138" s="10">
        <f>INDEX($AA138:$BJ138, MATCH(X$5, $AA$5:$BJ$5))</f>
        <v>514</v>
      </c>
      <c r="Y138" s="10">
        <f>INDEX($AA138:$BJ138, MATCH(Y$5, $AA$5:$BJ$5))</f>
        <v>571</v>
      </c>
      <c r="Z138" s="67"/>
      <c r="AA138" s="147"/>
      <c r="AB138" s="147"/>
      <c r="AC138" s="147"/>
      <c r="AD138" s="147"/>
      <c r="AE138" s="147"/>
      <c r="AF138" s="147"/>
      <c r="AG138" s="147"/>
      <c r="AH138" s="147"/>
      <c r="AI138" s="147"/>
      <c r="AJ138" s="147"/>
      <c r="AK138" s="147"/>
      <c r="AL138" s="147">
        <v>469</v>
      </c>
      <c r="AM138" s="147"/>
      <c r="AN138" s="147"/>
      <c r="AO138" s="147"/>
      <c r="AP138" s="147"/>
      <c r="AQ138" s="147"/>
      <c r="AR138" s="147"/>
      <c r="AS138" s="147"/>
      <c r="AT138" s="147"/>
      <c r="AU138" s="147"/>
      <c r="AV138" s="147"/>
      <c r="AW138" s="147"/>
      <c r="AX138" s="147">
        <v>514</v>
      </c>
      <c r="AY138" s="147"/>
      <c r="AZ138" s="147"/>
      <c r="BA138" s="147"/>
      <c r="BB138" s="147"/>
      <c r="BC138" s="147"/>
      <c r="BD138" s="147"/>
      <c r="BE138" s="147"/>
      <c r="BF138" s="147"/>
      <c r="BG138" s="147"/>
      <c r="BH138" s="147"/>
      <c r="BI138" s="147"/>
      <c r="BJ138" s="147">
        <v>571</v>
      </c>
      <c r="BK138" s="67"/>
      <c r="BL138" s="10">
        <f>V138</f>
        <v>389</v>
      </c>
      <c r="BM138" s="10">
        <f>W138</f>
        <v>469</v>
      </c>
      <c r="BN138" s="10">
        <f>X138</f>
        <v>514</v>
      </c>
      <c r="BO138" s="10">
        <f>Y138</f>
        <v>571</v>
      </c>
      <c r="BP138" s="141"/>
      <c r="BQ138" s="141"/>
      <c r="BR138" s="141"/>
      <c r="BS138" s="141"/>
      <c r="BT138" s="141"/>
      <c r="BU138" s="141"/>
      <c r="BV138" s="141"/>
      <c r="BW138" s="141"/>
      <c r="BY138" s="12"/>
      <c r="CA138" s="12"/>
      <c r="CF138" s="7">
        <f>IF(SUM(V138:Y138)=SUM(BL138:BO138), 0, 1)</f>
        <v>0</v>
      </c>
      <c r="CG138" s="12"/>
      <c r="CH138" s="11">
        <v>0</v>
      </c>
      <c r="CI138" s="11">
        <v>1</v>
      </c>
      <c r="CJ138" s="11">
        <v>0</v>
      </c>
      <c r="EX138" s="13" t="str">
        <f>IF($C138="","",CONCATENATE(D$122," ",D138))</f>
        <v>Capital Grant Liability Amount due in one year</v>
      </c>
    </row>
    <row r="139" spans="1:154" x14ac:dyDescent="0.25">
      <c r="A139" s="362" cm="1">
        <f t="array" aca="1" ref="A139" ca="1">HYPERLINK(CONCATENATE("#",CELL("address",IF(SUM($CA139:$CG139)=0,A139,INDEX($CA139:$CG139,MATCH(1,$CA139:$CG139,0))))),SUM($CA139:$CG139))</f>
        <v>0</v>
      </c>
      <c r="C139" s="343" t="str">
        <f>REPLACE('Opening Balances'!$C$61, LEN('Opening Balances'!$C$61)-1, 1, "C")</f>
        <v>B-6e-CB</v>
      </c>
      <c r="D139" s="11" t="s">
        <v>142</v>
      </c>
      <c r="G139" s="8"/>
      <c r="H139" s="47" t="s">
        <v>125</v>
      </c>
      <c r="O139" s="335"/>
      <c r="P139" s="335"/>
      <c r="Q139" s="335"/>
      <c r="R139" s="335"/>
      <c r="S139" s="335"/>
      <c r="T139" s="335"/>
      <c r="U139" s="335"/>
      <c r="V139" s="10">
        <f>V136-V138</f>
        <v>9537</v>
      </c>
      <c r="W139" s="10">
        <f>W136-W138</f>
        <v>11396</v>
      </c>
      <c r="X139" s="10">
        <f>X136-X138</f>
        <v>13745</v>
      </c>
      <c r="Y139" s="10">
        <f>Y136-Y138</f>
        <v>14782</v>
      </c>
      <c r="Z139" s="67"/>
      <c r="AA139" s="10">
        <f t="shared" ref="AA139:BJ139" si="168">AA136-AA138</f>
        <v>9894</v>
      </c>
      <c r="AB139" s="10">
        <f t="shared" si="168"/>
        <v>10926</v>
      </c>
      <c r="AC139" s="10">
        <f t="shared" si="168"/>
        <v>11457</v>
      </c>
      <c r="AD139" s="10">
        <f t="shared" si="168"/>
        <v>11423</v>
      </c>
      <c r="AE139" s="10">
        <f t="shared" si="168"/>
        <v>11737</v>
      </c>
      <c r="AF139" s="10">
        <f t="shared" si="168"/>
        <v>11699</v>
      </c>
      <c r="AG139" s="10">
        <f t="shared" si="168"/>
        <v>11666</v>
      </c>
      <c r="AH139" s="10">
        <f t="shared" si="168"/>
        <v>11982</v>
      </c>
      <c r="AI139" s="10">
        <f t="shared" si="168"/>
        <v>11941</v>
      </c>
      <c r="AJ139" s="10">
        <f t="shared" si="168"/>
        <v>11947</v>
      </c>
      <c r="AK139" s="10">
        <f t="shared" si="168"/>
        <v>11906</v>
      </c>
      <c r="AL139" s="10">
        <f t="shared" si="168"/>
        <v>11396</v>
      </c>
      <c r="AM139" s="10">
        <f t="shared" si="168"/>
        <v>11829</v>
      </c>
      <c r="AN139" s="10">
        <f t="shared" si="168"/>
        <v>11789</v>
      </c>
      <c r="AO139" s="10">
        <f t="shared" si="168"/>
        <v>11749</v>
      </c>
      <c r="AP139" s="10">
        <f t="shared" si="168"/>
        <v>11708</v>
      </c>
      <c r="AQ139" s="10">
        <f t="shared" si="168"/>
        <v>11667</v>
      </c>
      <c r="AR139" s="10">
        <f t="shared" si="168"/>
        <v>11626</v>
      </c>
      <c r="AS139" s="10">
        <f t="shared" si="168"/>
        <v>11584</v>
      </c>
      <c r="AT139" s="10">
        <f t="shared" si="168"/>
        <v>11538</v>
      </c>
      <c r="AU139" s="10">
        <f t="shared" si="168"/>
        <v>11492</v>
      </c>
      <c r="AV139" s="10">
        <f t="shared" si="168"/>
        <v>11446</v>
      </c>
      <c r="AW139" s="10">
        <f t="shared" si="168"/>
        <v>11399</v>
      </c>
      <c r="AX139" s="10">
        <f t="shared" si="168"/>
        <v>13745</v>
      </c>
      <c r="AY139" s="10">
        <f t="shared" si="168"/>
        <v>14250</v>
      </c>
      <c r="AZ139" s="10">
        <f t="shared" si="168"/>
        <v>14205</v>
      </c>
      <c r="BA139" s="10">
        <f t="shared" si="168"/>
        <v>14159</v>
      </c>
      <c r="BB139" s="10">
        <f t="shared" si="168"/>
        <v>14113</v>
      </c>
      <c r="BC139" s="10">
        <f t="shared" si="168"/>
        <v>14067</v>
      </c>
      <c r="BD139" s="10">
        <f t="shared" si="168"/>
        <v>14020</v>
      </c>
      <c r="BE139" s="10">
        <f t="shared" si="168"/>
        <v>13973</v>
      </c>
      <c r="BF139" s="10">
        <f t="shared" si="168"/>
        <v>13923</v>
      </c>
      <c r="BG139" s="10">
        <f t="shared" si="168"/>
        <v>13873</v>
      </c>
      <c r="BH139" s="10">
        <f t="shared" si="168"/>
        <v>13823</v>
      </c>
      <c r="BI139" s="10">
        <f t="shared" si="168"/>
        <v>13773</v>
      </c>
      <c r="BJ139" s="10">
        <f t="shared" si="168"/>
        <v>14782</v>
      </c>
      <c r="BK139" s="67"/>
      <c r="BL139" s="10">
        <f t="shared" ref="BL139:BW139" si="169">BL136-BL138</f>
        <v>9537</v>
      </c>
      <c r="BM139" s="10">
        <f t="shared" si="169"/>
        <v>11396</v>
      </c>
      <c r="BN139" s="10">
        <f t="shared" si="169"/>
        <v>13745</v>
      </c>
      <c r="BO139" s="10">
        <f t="shared" si="169"/>
        <v>14782</v>
      </c>
      <c r="BP139" s="10">
        <f t="shared" si="169"/>
        <v>15353</v>
      </c>
      <c r="BQ139" s="10">
        <f t="shared" si="169"/>
        <v>15353</v>
      </c>
      <c r="BR139" s="10">
        <f t="shared" si="169"/>
        <v>15353</v>
      </c>
      <c r="BS139" s="10">
        <f t="shared" si="169"/>
        <v>15353</v>
      </c>
      <c r="BT139" s="10">
        <f t="shared" si="169"/>
        <v>15353</v>
      </c>
      <c r="BU139" s="10">
        <f t="shared" si="169"/>
        <v>15353</v>
      </c>
      <c r="BV139" s="10">
        <f t="shared" si="169"/>
        <v>15353</v>
      </c>
      <c r="BW139" s="10">
        <f t="shared" si="169"/>
        <v>15353</v>
      </c>
      <c r="BY139" s="12"/>
      <c r="CA139" s="12"/>
      <c r="CF139" s="7">
        <f>IF(SUM(V139:Y139)=SUM(BL139:BO139), 0, 1)</f>
        <v>0</v>
      </c>
      <c r="CG139" s="12"/>
      <c r="CH139" s="11">
        <v>0</v>
      </c>
      <c r="CI139" s="11">
        <v>0</v>
      </c>
      <c r="CJ139" s="11">
        <v>0</v>
      </c>
      <c r="EX139" s="13" t="str">
        <f>IF($C139="","",CONCATENATE(D$122," ",D139))</f>
        <v>Capital Grant Liability Amount due after one year</v>
      </c>
    </row>
    <row r="140" spans="1:154" ht="8.1" customHeight="1" x14ac:dyDescent="0.25">
      <c r="A140" s="335"/>
      <c r="C140" s="385"/>
      <c r="O140" s="335"/>
      <c r="P140" s="335"/>
      <c r="Q140" s="335"/>
      <c r="R140" s="335"/>
      <c r="S140" s="335"/>
      <c r="T140" s="335"/>
      <c r="U140" s="335"/>
      <c r="X140" s="11"/>
      <c r="Y140" s="11"/>
      <c r="BY140" s="12"/>
      <c r="CA140" s="12"/>
      <c r="CG140" s="12"/>
      <c r="CH140" s="11">
        <v>0</v>
      </c>
      <c r="CI140" s="11">
        <v>0</v>
      </c>
      <c r="CJ140" s="11">
        <v>0</v>
      </c>
      <c r="EX140" s="10" t="str">
        <f t="shared" si="167"/>
        <v/>
      </c>
    </row>
    <row r="141" spans="1:154" x14ac:dyDescent="0.25">
      <c r="B141" s="29"/>
      <c r="C141" s="385"/>
      <c r="D141" s="27" t="s">
        <v>129</v>
      </c>
      <c r="G141" s="48"/>
      <c r="H141" s="48"/>
      <c r="O141" s="335"/>
      <c r="P141" s="335"/>
      <c r="Q141" s="335"/>
      <c r="R141" s="335"/>
      <c r="S141" s="335"/>
      <c r="T141" s="335"/>
      <c r="U141" s="335"/>
      <c r="X141" s="11"/>
      <c r="Y141" s="11"/>
      <c r="AB141" s="319"/>
      <c r="AC141" s="319"/>
      <c r="AD141" s="319"/>
      <c r="AE141" s="319"/>
      <c r="AF141" s="319"/>
      <c r="AG141" s="319"/>
      <c r="AH141" s="319"/>
      <c r="AI141" s="319"/>
      <c r="AJ141" s="319"/>
      <c r="AK141" s="319"/>
      <c r="AL141" s="319"/>
      <c r="AM141" s="335"/>
      <c r="AN141" s="319"/>
      <c r="AO141" s="319"/>
      <c r="AP141" s="319"/>
      <c r="AQ141" s="319"/>
      <c r="AR141" s="319"/>
      <c r="AS141" s="319"/>
      <c r="AT141" s="319"/>
      <c r="AU141" s="319"/>
      <c r="AV141" s="319"/>
      <c r="AW141" s="319"/>
      <c r="AX141" s="319"/>
      <c r="AY141" s="319"/>
      <c r="AZ141" s="319"/>
      <c r="BA141" s="319"/>
      <c r="BB141" s="319"/>
      <c r="BC141" s="319"/>
      <c r="BD141" s="319"/>
      <c r="BE141" s="319"/>
      <c r="BF141" s="319"/>
      <c r="BG141" s="319"/>
      <c r="BH141" s="319"/>
      <c r="BI141" s="319"/>
      <c r="BJ141" s="319"/>
      <c r="BM141" s="6"/>
      <c r="BN141" s="6"/>
      <c r="BY141" s="12"/>
      <c r="CA141" s="12"/>
      <c r="CG141" s="12"/>
      <c r="CH141" s="11">
        <v>0</v>
      </c>
      <c r="CI141" s="11">
        <v>0</v>
      </c>
      <c r="CJ141" s="11">
        <v>0</v>
      </c>
      <c r="EX141" s="10" t="str">
        <f t="shared" si="167"/>
        <v/>
      </c>
    </row>
    <row r="142" spans="1:154" x14ac:dyDescent="0.25">
      <c r="A142" s="362" cm="1">
        <f t="array" aca="1" ref="A142" ca="1">HYPERLINK(CONCATENATE("#",CELL("address",IF(SUM($CA142:$CG142)=0,A142,INDEX($CA142:$CG142,MATCH(1,$CA142:$CG142,0))))),SUM($CA142:$CG142))</f>
        <v>0</v>
      </c>
      <c r="C142" s="343" t="str">
        <f>REPLACE('Opening Balances'!$C$42, LEN('Opening Balances'!$C$42)-1, 1, "C")</f>
        <v>B-3g-CB</v>
      </c>
      <c r="D142" s="39" t="s">
        <v>97</v>
      </c>
      <c r="E142" s="39"/>
      <c r="G142" s="46"/>
      <c r="H142" s="47" t="s">
        <v>125</v>
      </c>
      <c r="O142" s="335"/>
      <c r="P142" s="335"/>
      <c r="Q142" s="335"/>
      <c r="R142" s="335"/>
      <c r="S142" s="335"/>
      <c r="T142" s="335"/>
      <c r="U142" s="335"/>
      <c r="V142" s="13">
        <f>'Opening Balances'!W42</f>
        <v>905</v>
      </c>
      <c r="W142" s="10">
        <f>INDEX($AA142:$BJ142, MATCH(W$5, $AA$5:$BJ$5))</f>
        <v>800</v>
      </c>
      <c r="X142" s="10">
        <f>INDEX($AA142:$BJ142, MATCH(X$5, $AA$5:$BJ$5))</f>
        <v>900</v>
      </c>
      <c r="Y142" s="10">
        <f>INDEX($AA142:$BJ142, MATCH(Y$5, $AA$5:$BJ$5))</f>
        <v>850</v>
      </c>
      <c r="Z142" s="67"/>
      <c r="AA142" s="147">
        <v>800</v>
      </c>
      <c r="AB142" s="147">
        <v>800</v>
      </c>
      <c r="AC142" s="147">
        <v>800</v>
      </c>
      <c r="AD142" s="147">
        <v>800</v>
      </c>
      <c r="AE142" s="147">
        <v>800</v>
      </c>
      <c r="AF142" s="147">
        <v>800</v>
      </c>
      <c r="AG142" s="147">
        <v>800</v>
      </c>
      <c r="AH142" s="147">
        <v>800</v>
      </c>
      <c r="AI142" s="147">
        <v>800</v>
      </c>
      <c r="AJ142" s="147">
        <v>800</v>
      </c>
      <c r="AK142" s="147">
        <v>800</v>
      </c>
      <c r="AL142" s="147">
        <v>800</v>
      </c>
      <c r="AM142" s="147">
        <v>900</v>
      </c>
      <c r="AN142" s="147">
        <v>900</v>
      </c>
      <c r="AO142" s="147">
        <v>900</v>
      </c>
      <c r="AP142" s="147">
        <v>900</v>
      </c>
      <c r="AQ142" s="147">
        <v>900</v>
      </c>
      <c r="AR142" s="147">
        <v>900</v>
      </c>
      <c r="AS142" s="147">
        <v>900</v>
      </c>
      <c r="AT142" s="147">
        <v>900</v>
      </c>
      <c r="AU142" s="147">
        <v>900</v>
      </c>
      <c r="AV142" s="147">
        <v>900</v>
      </c>
      <c r="AW142" s="147">
        <v>900</v>
      </c>
      <c r="AX142" s="147">
        <v>900</v>
      </c>
      <c r="AY142" s="147">
        <v>850</v>
      </c>
      <c r="AZ142" s="147">
        <v>850</v>
      </c>
      <c r="BA142" s="147">
        <v>850</v>
      </c>
      <c r="BB142" s="147">
        <v>850</v>
      </c>
      <c r="BC142" s="147">
        <v>850</v>
      </c>
      <c r="BD142" s="147">
        <v>850</v>
      </c>
      <c r="BE142" s="147">
        <v>850</v>
      </c>
      <c r="BF142" s="147">
        <v>850</v>
      </c>
      <c r="BG142" s="147">
        <v>850</v>
      </c>
      <c r="BH142" s="147">
        <v>850</v>
      </c>
      <c r="BI142" s="147">
        <v>850</v>
      </c>
      <c r="BJ142" s="147">
        <v>850</v>
      </c>
      <c r="BK142" s="67"/>
      <c r="BL142" s="10">
        <f>V142</f>
        <v>905</v>
      </c>
      <c r="BM142" s="10">
        <f>W142</f>
        <v>800</v>
      </c>
      <c r="BN142" s="10">
        <f>X142</f>
        <v>900</v>
      </c>
      <c r="BO142" s="10">
        <f>Y142</f>
        <v>850</v>
      </c>
      <c r="BP142" s="141"/>
      <c r="BQ142" s="141"/>
      <c r="BR142" s="141"/>
      <c r="BS142" s="141"/>
      <c r="BT142" s="141"/>
      <c r="BU142" s="141"/>
      <c r="BV142" s="141"/>
      <c r="BW142" s="141"/>
      <c r="BY142" s="12"/>
      <c r="CA142" s="12"/>
      <c r="CF142" s="7">
        <f>IF(SUM(V142:Y142)=SUM(BL142:BO142), 0, 1)</f>
        <v>0</v>
      </c>
      <c r="CG142" s="12"/>
      <c r="CH142" s="11">
        <v>0</v>
      </c>
      <c r="CI142" s="11">
        <v>1</v>
      </c>
      <c r="CJ142" s="1">
        <v>1</v>
      </c>
      <c r="CK142" s="335"/>
      <c r="EX142" s="13" t="str">
        <f>IF($C142="","",CONCATENATE(D141," ",D142))</f>
        <v>Trade Payables Closing Balance</v>
      </c>
    </row>
    <row r="143" spans="1:154" ht="8.1" customHeight="1" x14ac:dyDescent="0.25">
      <c r="C143" s="385"/>
      <c r="G143" s="48"/>
      <c r="H143" s="48"/>
      <c r="O143" s="335"/>
      <c r="P143" s="335"/>
      <c r="Q143" s="335"/>
      <c r="R143" s="335"/>
      <c r="S143" s="335"/>
      <c r="T143" s="335"/>
      <c r="U143" s="335"/>
      <c r="X143" s="11"/>
      <c r="Y143" s="11"/>
      <c r="AA143" s="332"/>
      <c r="AB143" s="332"/>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M143" s="6"/>
      <c r="BY143" s="12"/>
      <c r="CA143" s="12"/>
      <c r="CG143" s="12"/>
      <c r="CH143" s="11">
        <v>0</v>
      </c>
      <c r="CI143" s="11">
        <v>0</v>
      </c>
      <c r="CJ143" s="11">
        <v>0</v>
      </c>
      <c r="EX143" s="10" t="str">
        <f t="shared" si="167"/>
        <v/>
      </c>
    </row>
    <row r="144" spans="1:154" x14ac:dyDescent="0.25">
      <c r="B144" s="29"/>
      <c r="C144" s="385"/>
      <c r="D144" s="27" t="s">
        <v>290</v>
      </c>
      <c r="G144" s="48"/>
      <c r="H144" s="48"/>
      <c r="O144" s="335"/>
      <c r="P144" s="335"/>
      <c r="Q144" s="335"/>
      <c r="R144" s="335"/>
      <c r="S144" s="335"/>
      <c r="T144" s="335"/>
      <c r="U144" s="335"/>
      <c r="X144" s="11"/>
      <c r="Y144" s="11"/>
      <c r="AA144" s="332"/>
      <c r="AB144" s="332"/>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M144" s="6"/>
      <c r="BN144" s="6"/>
      <c r="BY144" s="12"/>
      <c r="CA144" s="12"/>
      <c r="CG144" s="12"/>
      <c r="CH144" s="11">
        <v>0</v>
      </c>
      <c r="CI144" s="11">
        <v>0</v>
      </c>
      <c r="CJ144" s="11">
        <v>0</v>
      </c>
      <c r="EX144" s="10" t="str">
        <f t="shared" si="167"/>
        <v/>
      </c>
    </row>
    <row r="145" spans="1:154" x14ac:dyDescent="0.25">
      <c r="A145" s="362" cm="1">
        <f t="array" aca="1" ref="A145" ca="1">HYPERLINK(CONCATENATE("#",CELL("address",IF(SUM($CA145:$CG145)=0,A145,INDEX($CA145:$CG145,MATCH(1,$CA145:$CG145,0))))),SUM($CA145:$CG145))</f>
        <v>0</v>
      </c>
      <c r="C145" s="343" t="str">
        <f>REPLACE('Opening Balances'!$C$43, LEN('Opening Balances'!$C$43)-1, 1, "C")</f>
        <v>B-3h-CB</v>
      </c>
      <c r="D145" s="39" t="s">
        <v>97</v>
      </c>
      <c r="E145" s="39"/>
      <c r="G145" s="46"/>
      <c r="H145" s="47"/>
      <c r="O145" s="335"/>
      <c r="P145" s="335"/>
      <c r="Q145" s="335"/>
      <c r="R145" s="335"/>
      <c r="S145" s="335"/>
      <c r="T145" s="335"/>
      <c r="U145" s="335"/>
      <c r="V145" s="13">
        <f>'Opening Balances'!W43</f>
        <v>0</v>
      </c>
      <c r="W145" s="10">
        <f>INDEX($AA145:$BJ145, MATCH(W$5, $AA$5:$BJ$5))</f>
        <v>0</v>
      </c>
      <c r="X145" s="10">
        <f>INDEX($AA145:$BJ145, MATCH(X$5, $AA$5:$BJ$5))</f>
        <v>0</v>
      </c>
      <c r="Y145" s="10">
        <f>INDEX($AA145:$BJ145, MATCH(Y$5, $AA$5:$BJ$5))</f>
        <v>0</v>
      </c>
      <c r="Z145" s="6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c r="BI145" s="147"/>
      <c r="BJ145" s="147"/>
      <c r="BK145" s="67"/>
      <c r="BL145" s="10">
        <f>V145</f>
        <v>0</v>
      </c>
      <c r="BM145" s="10">
        <f>W145</f>
        <v>0</v>
      </c>
      <c r="BN145" s="10">
        <f>X145</f>
        <v>0</v>
      </c>
      <c r="BO145" s="10">
        <f>Y145</f>
        <v>0</v>
      </c>
      <c r="BP145" s="141"/>
      <c r="BQ145" s="141"/>
      <c r="BR145" s="141"/>
      <c r="BS145" s="141"/>
      <c r="BT145" s="141"/>
      <c r="BU145" s="141"/>
      <c r="BV145" s="141"/>
      <c r="BW145" s="141"/>
      <c r="BY145" s="12"/>
      <c r="CA145" s="12"/>
      <c r="CF145" s="7">
        <f>IF(SUM(V145:Y145)=SUM(BL145:BO145), 0, 1)</f>
        <v>0</v>
      </c>
      <c r="CG145" s="12"/>
      <c r="CH145" s="11">
        <v>0</v>
      </c>
      <c r="CI145" s="11">
        <v>1</v>
      </c>
      <c r="CJ145" s="1">
        <v>1</v>
      </c>
      <c r="CK145" s="335"/>
      <c r="EX145" s="13" t="str">
        <f>IF($C145="","",CONCATENATE(D144," ",D145))</f>
        <v>Other Payments on Account Closing Balance</v>
      </c>
    </row>
    <row r="146" spans="1:154" ht="8.1" customHeight="1" x14ac:dyDescent="0.25">
      <c r="A146" s="335"/>
      <c r="C146" s="385"/>
      <c r="O146" s="335"/>
      <c r="P146" s="335"/>
      <c r="Q146" s="335"/>
      <c r="R146" s="335"/>
      <c r="S146" s="335"/>
      <c r="T146" s="335"/>
      <c r="U146" s="335"/>
      <c r="X146" s="11"/>
      <c r="Y146" s="11"/>
      <c r="Z146" s="67"/>
      <c r="BK146" s="67"/>
      <c r="BY146" s="12"/>
      <c r="CA146" s="12"/>
      <c r="CG146" s="12"/>
      <c r="CH146" s="11">
        <v>0</v>
      </c>
      <c r="CI146" s="11">
        <v>0</v>
      </c>
      <c r="CJ146" s="11">
        <v>0</v>
      </c>
      <c r="EX146" s="10" t="str">
        <f t="shared" si="167"/>
        <v/>
      </c>
    </row>
    <row r="147" spans="1:154" x14ac:dyDescent="0.25">
      <c r="A147" s="335"/>
      <c r="B147" s="29"/>
      <c r="C147" s="385"/>
      <c r="D147" s="27" t="s">
        <v>130</v>
      </c>
      <c r="O147" s="335"/>
      <c r="P147" s="335"/>
      <c r="Q147" s="335"/>
      <c r="R147" s="335"/>
      <c r="S147" s="335"/>
      <c r="T147" s="335"/>
      <c r="U147" s="335"/>
      <c r="X147" s="11"/>
      <c r="Y147" s="11"/>
      <c r="AM147" s="335"/>
      <c r="BY147" s="12"/>
      <c r="CA147" s="12"/>
      <c r="CG147" s="12"/>
      <c r="CH147" s="11">
        <v>0</v>
      </c>
      <c r="CI147" s="11">
        <v>0</v>
      </c>
      <c r="CJ147" s="11">
        <v>0</v>
      </c>
      <c r="EX147" s="10" t="str">
        <f t="shared" si="167"/>
        <v/>
      </c>
    </row>
    <row r="148" spans="1:154" x14ac:dyDescent="0.25">
      <c r="A148" s="362" cm="1">
        <f t="array" aca="1" ref="A148" ca="1">HYPERLINK(CONCATENATE("#",CELL("address",IF(SUM($CA148:$CG148)=0,A148,INDEX($CA148:$CG148,MATCH(1,$CA148:$CG148,0))))),SUM($CA148:$CG148))</f>
        <v>0</v>
      </c>
      <c r="C148" s="343" t="s">
        <v>1451</v>
      </c>
      <c r="D148" s="335" t="s">
        <v>97</v>
      </c>
      <c r="G148" s="8"/>
      <c r="H148" s="47" t="s">
        <v>125</v>
      </c>
      <c r="O148" s="335"/>
      <c r="P148" s="335"/>
      <c r="Q148" s="335"/>
      <c r="R148" s="335"/>
      <c r="S148" s="335"/>
      <c r="T148" s="335"/>
      <c r="U148" s="335"/>
      <c r="V148" s="13">
        <f>'Opening Balances'!W44+'Opening Balances'!W62</f>
        <v>38</v>
      </c>
      <c r="W148" s="10">
        <f>INDEX($AA148:$BJ148, MATCH(W$5, $AA$5:$BJ$5))</f>
        <v>38</v>
      </c>
      <c r="X148" s="10">
        <f>INDEX($AA148:$BJ148, MATCH(X$5, $AA$5:$BJ$5))</f>
        <v>38</v>
      </c>
      <c r="Y148" s="10">
        <f>INDEX($AA148:$BJ148, MATCH(Y$5, $AA$5:$BJ$5))</f>
        <v>38</v>
      </c>
      <c r="Z148" s="67"/>
      <c r="AA148" s="147">
        <v>38</v>
      </c>
      <c r="AB148" s="147">
        <v>38</v>
      </c>
      <c r="AC148" s="147">
        <v>38</v>
      </c>
      <c r="AD148" s="147">
        <v>38</v>
      </c>
      <c r="AE148" s="147">
        <v>38</v>
      </c>
      <c r="AF148" s="147">
        <v>38</v>
      </c>
      <c r="AG148" s="147">
        <v>38</v>
      </c>
      <c r="AH148" s="147">
        <v>38</v>
      </c>
      <c r="AI148" s="147">
        <v>38</v>
      </c>
      <c r="AJ148" s="147">
        <v>38</v>
      </c>
      <c r="AK148" s="147">
        <v>38</v>
      </c>
      <c r="AL148" s="147">
        <v>38</v>
      </c>
      <c r="AM148" s="147">
        <v>38</v>
      </c>
      <c r="AN148" s="147">
        <v>38</v>
      </c>
      <c r="AO148" s="147">
        <v>38</v>
      </c>
      <c r="AP148" s="147">
        <v>38</v>
      </c>
      <c r="AQ148" s="147">
        <v>38</v>
      </c>
      <c r="AR148" s="147">
        <v>38</v>
      </c>
      <c r="AS148" s="147">
        <v>38</v>
      </c>
      <c r="AT148" s="147">
        <v>38</v>
      </c>
      <c r="AU148" s="147">
        <v>38</v>
      </c>
      <c r="AV148" s="147">
        <v>38</v>
      </c>
      <c r="AW148" s="147">
        <v>38</v>
      </c>
      <c r="AX148" s="147">
        <v>38</v>
      </c>
      <c r="AY148" s="147">
        <v>38</v>
      </c>
      <c r="AZ148" s="147">
        <v>38</v>
      </c>
      <c r="BA148" s="147">
        <v>38</v>
      </c>
      <c r="BB148" s="147">
        <v>38</v>
      </c>
      <c r="BC148" s="147">
        <v>38</v>
      </c>
      <c r="BD148" s="147">
        <v>38</v>
      </c>
      <c r="BE148" s="147">
        <v>38</v>
      </c>
      <c r="BF148" s="147">
        <v>38</v>
      </c>
      <c r="BG148" s="147">
        <v>38</v>
      </c>
      <c r="BH148" s="147">
        <v>38</v>
      </c>
      <c r="BI148" s="147">
        <v>38</v>
      </c>
      <c r="BJ148" s="147">
        <v>38</v>
      </c>
      <c r="BK148" s="67"/>
      <c r="BL148" s="10">
        <f>V148</f>
        <v>38</v>
      </c>
      <c r="BM148" s="10">
        <f>W148</f>
        <v>38</v>
      </c>
      <c r="BN148" s="10">
        <f>X148</f>
        <v>38</v>
      </c>
      <c r="BO148" s="10">
        <f>Y148</f>
        <v>38</v>
      </c>
      <c r="BP148" s="141"/>
      <c r="BQ148" s="141"/>
      <c r="BR148" s="141"/>
      <c r="BS148" s="141"/>
      <c r="BT148" s="141"/>
      <c r="BU148" s="141"/>
      <c r="BV148" s="141"/>
      <c r="BW148" s="141"/>
      <c r="BY148" s="12"/>
      <c r="CA148" s="12"/>
      <c r="CF148" s="7">
        <f>IF(SUM(V148:Y148)=SUM(BL148:BO148), 0, 1)</f>
        <v>0</v>
      </c>
      <c r="CG148" s="12"/>
      <c r="CH148" s="11">
        <v>0</v>
      </c>
      <c r="CI148" s="11">
        <v>1</v>
      </c>
      <c r="CJ148" s="1">
        <v>1</v>
      </c>
      <c r="CK148" s="335"/>
      <c r="EX148" s="13" t="str">
        <f>IF($C148="","",CONCATENATE(D$147," ",D148))</f>
        <v>Other Liabilities Closing Balance</v>
      </c>
    </row>
    <row r="149" spans="1:154" ht="8.1" customHeight="1" x14ac:dyDescent="0.25">
      <c r="C149" s="385"/>
      <c r="O149" s="335"/>
      <c r="P149" s="335"/>
      <c r="Q149" s="335"/>
      <c r="R149" s="335"/>
      <c r="S149" s="335"/>
      <c r="T149" s="335"/>
      <c r="U149" s="335"/>
      <c r="X149" s="11"/>
      <c r="Y149" s="11"/>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c r="BG149" s="335"/>
      <c r="BH149" s="335"/>
      <c r="BI149" s="335"/>
      <c r="BJ149" s="335"/>
      <c r="BY149" s="12"/>
      <c r="CA149" s="12"/>
      <c r="CG149" s="12"/>
      <c r="CH149" s="11">
        <v>0</v>
      </c>
      <c r="CI149" s="11">
        <v>0</v>
      </c>
      <c r="CJ149" s="11">
        <v>0</v>
      </c>
      <c r="EX149" s="10" t="str">
        <f t="shared" si="167"/>
        <v/>
      </c>
    </row>
    <row r="150" spans="1:154" x14ac:dyDescent="0.25">
      <c r="A150" s="362" cm="1">
        <f t="array" aca="1" ref="A150" ca="1">HYPERLINK(CONCATENATE("#",CELL("address",IF(SUM($CA150:$CG150)=0,A150,INDEX($CA150:$CG150,MATCH(1,$CA150:$CG150,0))))),SUM($CA150:$CG150))</f>
        <v>0</v>
      </c>
      <c r="C150" s="343" t="str">
        <f>REPLACE('Opening Balances'!$C$44, LEN('Opening Balances'!$C$44)-1, 1, "C")</f>
        <v>B-3i-CB</v>
      </c>
      <c r="D150" s="11" t="s">
        <v>132</v>
      </c>
      <c r="G150" s="8"/>
      <c r="H150" s="47" t="s">
        <v>125</v>
      </c>
      <c r="P150" s="335"/>
      <c r="Q150" s="335"/>
      <c r="R150" s="335"/>
      <c r="S150" s="335"/>
      <c r="T150" s="335"/>
      <c r="U150" s="335"/>
      <c r="V150" s="13">
        <f>'Opening Balances'!W44</f>
        <v>0</v>
      </c>
      <c r="W150" s="10">
        <f>INDEX($AA150:$BJ150, MATCH(W$5, $AA$5:$BJ$5))</f>
        <v>0</v>
      </c>
      <c r="X150" s="10">
        <f>INDEX($AA150:$BJ150, MATCH(X$5, $AA$5:$BJ$5))</f>
        <v>0</v>
      </c>
      <c r="Y150" s="10">
        <f>INDEX($AA150:$BJ150, MATCH(Y$5, $AA$5:$BJ$5))</f>
        <v>0</v>
      </c>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c r="BI150" s="147"/>
      <c r="BJ150" s="147"/>
      <c r="BL150" s="10">
        <f>V150</f>
        <v>0</v>
      </c>
      <c r="BM150" s="10">
        <f>W150</f>
        <v>0</v>
      </c>
      <c r="BN150" s="10">
        <f>X150</f>
        <v>0</v>
      </c>
      <c r="BO150" s="10">
        <f>Y150</f>
        <v>0</v>
      </c>
      <c r="BP150" s="141"/>
      <c r="BQ150" s="141"/>
      <c r="BR150" s="141"/>
      <c r="BS150" s="141"/>
      <c r="BT150" s="141"/>
      <c r="BU150" s="141"/>
      <c r="BV150" s="141"/>
      <c r="BW150" s="141"/>
      <c r="BY150" s="12"/>
      <c r="CA150" s="12"/>
      <c r="CF150" s="7">
        <f>IF(SUM(V150:Y150)=SUM(BL150:BO150), 0, 1)</f>
        <v>0</v>
      </c>
      <c r="CG150" s="12"/>
      <c r="CH150" s="11">
        <v>0</v>
      </c>
      <c r="CI150" s="11">
        <v>1</v>
      </c>
      <c r="CJ150" s="11">
        <v>0</v>
      </c>
      <c r="EX150" s="13" t="str">
        <f>IF($C150="","",CONCATENATE(D$147," ",D150))</f>
        <v>Other Liabilities Amount due within one year</v>
      </c>
    </row>
    <row r="151" spans="1:154" x14ac:dyDescent="0.25">
      <c r="A151" s="362" cm="1">
        <f t="array" aca="1" ref="A151" ca="1">HYPERLINK(CONCATENATE("#",CELL("address",IF(SUM($CA151:$CG151)=0,A151,INDEX($CA151:$CG151,MATCH(1,$CA151:$CG151,0))))),SUM($CA151:$CG151))</f>
        <v>0</v>
      </c>
      <c r="C151" s="343" t="str">
        <f>REPLACE('Opening Balances'!$C$62, LEN('Opening Balances'!$C$62)-1, 1, "C")</f>
        <v>B-6f-CB</v>
      </c>
      <c r="D151" s="11" t="s">
        <v>142</v>
      </c>
      <c r="G151" s="8"/>
      <c r="H151" s="47" t="s">
        <v>125</v>
      </c>
      <c r="P151" s="335"/>
      <c r="Q151" s="335"/>
      <c r="R151" s="335"/>
      <c r="S151" s="335"/>
      <c r="T151" s="335"/>
      <c r="U151" s="335"/>
      <c r="V151" s="10">
        <f>V148-V150</f>
        <v>38</v>
      </c>
      <c r="W151" s="10">
        <f>W148-W150</f>
        <v>38</v>
      </c>
      <c r="X151" s="10">
        <f>X148-X150</f>
        <v>38</v>
      </c>
      <c r="Y151" s="10">
        <f>Y148-Y150</f>
        <v>38</v>
      </c>
      <c r="Z151" s="67"/>
      <c r="AA151" s="10">
        <f t="shared" ref="AA151:BJ151" si="170">AA148-AA150</f>
        <v>38</v>
      </c>
      <c r="AB151" s="10">
        <f t="shared" si="170"/>
        <v>38</v>
      </c>
      <c r="AC151" s="10">
        <f t="shared" si="170"/>
        <v>38</v>
      </c>
      <c r="AD151" s="10">
        <f t="shared" si="170"/>
        <v>38</v>
      </c>
      <c r="AE151" s="10">
        <f t="shared" si="170"/>
        <v>38</v>
      </c>
      <c r="AF151" s="10">
        <f t="shared" si="170"/>
        <v>38</v>
      </c>
      <c r="AG151" s="10">
        <f t="shared" si="170"/>
        <v>38</v>
      </c>
      <c r="AH151" s="10">
        <f t="shared" si="170"/>
        <v>38</v>
      </c>
      <c r="AI151" s="10">
        <f t="shared" si="170"/>
        <v>38</v>
      </c>
      <c r="AJ151" s="10">
        <f t="shared" si="170"/>
        <v>38</v>
      </c>
      <c r="AK151" s="10">
        <f t="shared" si="170"/>
        <v>38</v>
      </c>
      <c r="AL151" s="10">
        <f t="shared" si="170"/>
        <v>38</v>
      </c>
      <c r="AM151" s="10">
        <f t="shared" si="170"/>
        <v>38</v>
      </c>
      <c r="AN151" s="10">
        <f t="shared" si="170"/>
        <v>38</v>
      </c>
      <c r="AO151" s="10">
        <f t="shared" si="170"/>
        <v>38</v>
      </c>
      <c r="AP151" s="10">
        <f t="shared" si="170"/>
        <v>38</v>
      </c>
      <c r="AQ151" s="10">
        <f t="shared" si="170"/>
        <v>38</v>
      </c>
      <c r="AR151" s="10">
        <f t="shared" si="170"/>
        <v>38</v>
      </c>
      <c r="AS151" s="10">
        <f t="shared" si="170"/>
        <v>38</v>
      </c>
      <c r="AT151" s="10">
        <f t="shared" si="170"/>
        <v>38</v>
      </c>
      <c r="AU151" s="10">
        <f t="shared" si="170"/>
        <v>38</v>
      </c>
      <c r="AV151" s="10">
        <f t="shared" si="170"/>
        <v>38</v>
      </c>
      <c r="AW151" s="10">
        <f t="shared" si="170"/>
        <v>38</v>
      </c>
      <c r="AX151" s="10">
        <f t="shared" si="170"/>
        <v>38</v>
      </c>
      <c r="AY151" s="10">
        <f t="shared" si="170"/>
        <v>38</v>
      </c>
      <c r="AZ151" s="10">
        <f t="shared" si="170"/>
        <v>38</v>
      </c>
      <c r="BA151" s="10">
        <f t="shared" si="170"/>
        <v>38</v>
      </c>
      <c r="BB151" s="10">
        <f t="shared" si="170"/>
        <v>38</v>
      </c>
      <c r="BC151" s="10">
        <f t="shared" si="170"/>
        <v>38</v>
      </c>
      <c r="BD151" s="10">
        <f t="shared" si="170"/>
        <v>38</v>
      </c>
      <c r="BE151" s="10">
        <f t="shared" si="170"/>
        <v>38</v>
      </c>
      <c r="BF151" s="10">
        <f t="shared" si="170"/>
        <v>38</v>
      </c>
      <c r="BG151" s="10">
        <f t="shared" si="170"/>
        <v>38</v>
      </c>
      <c r="BH151" s="10">
        <f t="shared" si="170"/>
        <v>38</v>
      </c>
      <c r="BI151" s="10">
        <f t="shared" si="170"/>
        <v>38</v>
      </c>
      <c r="BJ151" s="10">
        <f t="shared" si="170"/>
        <v>38</v>
      </c>
      <c r="BK151" s="67"/>
      <c r="BL151" s="10">
        <f t="shared" ref="BL151:BW151" si="171">BL148-BL150</f>
        <v>38</v>
      </c>
      <c r="BM151" s="10">
        <f t="shared" si="171"/>
        <v>38</v>
      </c>
      <c r="BN151" s="10">
        <f t="shared" si="171"/>
        <v>38</v>
      </c>
      <c r="BO151" s="10">
        <f t="shared" si="171"/>
        <v>38</v>
      </c>
      <c r="BP151" s="10">
        <f t="shared" si="171"/>
        <v>0</v>
      </c>
      <c r="BQ151" s="10">
        <f t="shared" si="171"/>
        <v>0</v>
      </c>
      <c r="BR151" s="10">
        <f t="shared" si="171"/>
        <v>0</v>
      </c>
      <c r="BS151" s="10">
        <f t="shared" si="171"/>
        <v>0</v>
      </c>
      <c r="BT151" s="10">
        <f t="shared" si="171"/>
        <v>0</v>
      </c>
      <c r="BU151" s="10">
        <f t="shared" si="171"/>
        <v>0</v>
      </c>
      <c r="BV151" s="10">
        <f t="shared" si="171"/>
        <v>0</v>
      </c>
      <c r="BW151" s="10">
        <f t="shared" si="171"/>
        <v>0</v>
      </c>
      <c r="BY151" s="12"/>
      <c r="CA151" s="12"/>
      <c r="CF151" s="7">
        <f>IF(SUM(V151:Y151)=SUM(BL151:BO151), 0, 1)</f>
        <v>0</v>
      </c>
      <c r="CG151" s="12"/>
      <c r="CH151" s="11">
        <v>0</v>
      </c>
      <c r="CI151" s="11">
        <v>0</v>
      </c>
      <c r="CJ151" s="11">
        <v>0</v>
      </c>
      <c r="EX151" s="13" t="str">
        <f>IF($C151="","",CONCATENATE(D$147," ",D151))</f>
        <v>Other Liabilities Amount due after one year</v>
      </c>
    </row>
    <row r="152" spans="1:154" ht="8.1" customHeight="1" x14ac:dyDescent="0.25">
      <c r="C152" s="385"/>
      <c r="G152" s="48"/>
      <c r="H152" s="48"/>
      <c r="O152" s="335"/>
      <c r="P152" s="335"/>
      <c r="Q152" s="335"/>
      <c r="R152" s="335"/>
      <c r="S152" s="335"/>
      <c r="T152" s="335"/>
      <c r="U152" s="335"/>
      <c r="X152" s="11"/>
      <c r="Y152" s="11"/>
      <c r="BM152" s="6"/>
      <c r="BY152" s="12"/>
      <c r="CA152" s="12"/>
      <c r="CG152" s="12"/>
      <c r="CH152" s="11">
        <v>0</v>
      </c>
      <c r="CI152" s="11">
        <v>0</v>
      </c>
      <c r="CJ152" s="11">
        <v>0</v>
      </c>
      <c r="EX152" s="10" t="str">
        <f t="shared" si="167"/>
        <v/>
      </c>
    </row>
    <row r="153" spans="1:154" x14ac:dyDescent="0.25">
      <c r="B153" s="29"/>
      <c r="C153" s="385"/>
      <c r="D153" s="27" t="s">
        <v>131</v>
      </c>
      <c r="O153" s="335"/>
      <c r="P153" s="335"/>
      <c r="Q153" s="335"/>
      <c r="R153" s="335"/>
      <c r="S153" s="335"/>
      <c r="T153" s="335"/>
      <c r="U153" s="335"/>
      <c r="X153" s="11"/>
      <c r="Y153" s="11"/>
      <c r="AM153" s="335"/>
      <c r="BY153" s="12"/>
      <c r="CA153" s="12"/>
      <c r="CG153" s="12"/>
      <c r="CH153" s="11">
        <v>0</v>
      </c>
      <c r="CI153" s="11">
        <v>0</v>
      </c>
      <c r="CJ153" s="11">
        <v>0</v>
      </c>
      <c r="EX153" s="10" t="str">
        <f t="shared" si="167"/>
        <v/>
      </c>
    </row>
    <row r="154" spans="1:154" x14ac:dyDescent="0.25">
      <c r="A154" s="362" cm="1">
        <f t="array" aca="1" ref="A154" ca="1">HYPERLINK(CONCATENATE("#",CELL("address",IF(SUM($CA154:$CG154)=0,A154,INDEX($CA154:$CG154,MATCH(1,$CA154:$CG154,0))))),SUM($CA154:$CG154))</f>
        <v>0</v>
      </c>
      <c r="C154" s="340" t="str">
        <f>'Investing Inputs'!C281</f>
        <v>B-3j-CB</v>
      </c>
      <c r="D154" s="335" t="s">
        <v>97</v>
      </c>
      <c r="G154" s="8"/>
      <c r="H154" s="47" t="s">
        <v>125</v>
      </c>
      <c r="O154" s="335"/>
      <c r="P154" s="335"/>
      <c r="Q154" s="335"/>
      <c r="R154" s="335"/>
      <c r="S154" s="335"/>
      <c r="T154" s="335"/>
      <c r="U154" s="335"/>
      <c r="V154" s="10">
        <f>'Investing Inputs'!V281</f>
        <v>0</v>
      </c>
      <c r="W154" s="10">
        <f>'Investing Inputs'!W281</f>
        <v>0</v>
      </c>
      <c r="X154" s="10">
        <f>'Investing Inputs'!X281</f>
        <v>0</v>
      </c>
      <c r="Y154" s="10">
        <f>'Investing Inputs'!Y281</f>
        <v>0</v>
      </c>
      <c r="Z154" s="67"/>
      <c r="AA154" s="10">
        <f>'Investing Inputs'!AA281</f>
        <v>0</v>
      </c>
      <c r="AB154" s="10">
        <f>'Investing Inputs'!AB281</f>
        <v>0</v>
      </c>
      <c r="AC154" s="10">
        <f>'Investing Inputs'!AC281</f>
        <v>0</v>
      </c>
      <c r="AD154" s="10">
        <f>'Investing Inputs'!AD281</f>
        <v>0</v>
      </c>
      <c r="AE154" s="10">
        <f>'Investing Inputs'!AE281</f>
        <v>0</v>
      </c>
      <c r="AF154" s="10">
        <f>'Investing Inputs'!AF281</f>
        <v>0</v>
      </c>
      <c r="AG154" s="10">
        <f>'Investing Inputs'!AG281</f>
        <v>0</v>
      </c>
      <c r="AH154" s="10">
        <f>'Investing Inputs'!AH281</f>
        <v>0</v>
      </c>
      <c r="AI154" s="10">
        <f>'Investing Inputs'!AI281</f>
        <v>0</v>
      </c>
      <c r="AJ154" s="10">
        <f>'Investing Inputs'!AJ281</f>
        <v>0</v>
      </c>
      <c r="AK154" s="10">
        <f>'Investing Inputs'!AK281</f>
        <v>0</v>
      </c>
      <c r="AL154" s="10">
        <f>'Investing Inputs'!AL281</f>
        <v>0</v>
      </c>
      <c r="AM154" s="10">
        <f>'Investing Inputs'!AM281</f>
        <v>0</v>
      </c>
      <c r="AN154" s="10">
        <f>'Investing Inputs'!AN281</f>
        <v>0</v>
      </c>
      <c r="AO154" s="10">
        <f>'Investing Inputs'!AO281</f>
        <v>0</v>
      </c>
      <c r="AP154" s="10">
        <f>'Investing Inputs'!AP281</f>
        <v>0</v>
      </c>
      <c r="AQ154" s="10">
        <f>'Investing Inputs'!AQ281</f>
        <v>0</v>
      </c>
      <c r="AR154" s="10">
        <f>'Investing Inputs'!AR281</f>
        <v>0</v>
      </c>
      <c r="AS154" s="10">
        <f>'Investing Inputs'!AS281</f>
        <v>0</v>
      </c>
      <c r="AT154" s="10">
        <f>'Investing Inputs'!AT281</f>
        <v>0</v>
      </c>
      <c r="AU154" s="10">
        <f>'Investing Inputs'!AU281</f>
        <v>0</v>
      </c>
      <c r="AV154" s="10">
        <f>'Investing Inputs'!AV281</f>
        <v>0</v>
      </c>
      <c r="AW154" s="10">
        <f>'Investing Inputs'!AW281</f>
        <v>0</v>
      </c>
      <c r="AX154" s="10">
        <f>'Investing Inputs'!AX281</f>
        <v>0</v>
      </c>
      <c r="AY154" s="10">
        <f>'Investing Inputs'!AY281</f>
        <v>0</v>
      </c>
      <c r="AZ154" s="10">
        <f>'Investing Inputs'!AZ281</f>
        <v>0</v>
      </c>
      <c r="BA154" s="10">
        <f>'Investing Inputs'!BA281</f>
        <v>0</v>
      </c>
      <c r="BB154" s="10">
        <f>'Investing Inputs'!BB281</f>
        <v>0</v>
      </c>
      <c r="BC154" s="10">
        <f>'Investing Inputs'!BC281</f>
        <v>0</v>
      </c>
      <c r="BD154" s="10">
        <f>'Investing Inputs'!BD281</f>
        <v>0</v>
      </c>
      <c r="BE154" s="10">
        <f>'Investing Inputs'!BE281</f>
        <v>0</v>
      </c>
      <c r="BF154" s="10">
        <f>'Investing Inputs'!BF281</f>
        <v>0</v>
      </c>
      <c r="BG154" s="10">
        <f>'Investing Inputs'!BG281</f>
        <v>0</v>
      </c>
      <c r="BH154" s="10">
        <f>'Investing Inputs'!BH281</f>
        <v>0</v>
      </c>
      <c r="BI154" s="10">
        <f>'Investing Inputs'!BI281</f>
        <v>0</v>
      </c>
      <c r="BJ154" s="10">
        <f>'Investing Inputs'!BJ281</f>
        <v>0</v>
      </c>
      <c r="BK154" s="67"/>
      <c r="BL154" s="10">
        <f>'Investing Inputs'!BL281</f>
        <v>0</v>
      </c>
      <c r="BM154" s="10">
        <f>'Investing Inputs'!BM281</f>
        <v>0</v>
      </c>
      <c r="BN154" s="10">
        <f>'Investing Inputs'!BN281</f>
        <v>0</v>
      </c>
      <c r="BO154" s="10">
        <f>'Investing Inputs'!BO281</f>
        <v>0</v>
      </c>
      <c r="BP154" s="10">
        <f>'Investing Inputs'!BP281</f>
        <v>0</v>
      </c>
      <c r="BQ154" s="10">
        <f>'Investing Inputs'!BQ281</f>
        <v>0</v>
      </c>
      <c r="BR154" s="10">
        <f>'Investing Inputs'!BR281</f>
        <v>0</v>
      </c>
      <c r="BS154" s="10">
        <f>'Investing Inputs'!BS281</f>
        <v>0</v>
      </c>
      <c r="BT154" s="10">
        <f>'Investing Inputs'!BT281</f>
        <v>0</v>
      </c>
      <c r="BU154" s="10">
        <f>'Investing Inputs'!BU281</f>
        <v>0</v>
      </c>
      <c r="BV154" s="10">
        <f>'Investing Inputs'!BV281</f>
        <v>0</v>
      </c>
      <c r="BW154" s="10">
        <f>'Investing Inputs'!BW281</f>
        <v>0</v>
      </c>
      <c r="BY154" s="12"/>
      <c r="CA154" s="12"/>
      <c r="CF154" s="7">
        <f>IF(SUM(V154:Y154)=SUM(BL154:BO154), 0, 1)</f>
        <v>0</v>
      </c>
      <c r="CG154" s="12"/>
      <c r="CH154" s="11">
        <v>0</v>
      </c>
      <c r="CI154" s="11">
        <v>0</v>
      </c>
      <c r="CJ154" s="1">
        <v>1</v>
      </c>
      <c r="CK154" s="335"/>
      <c r="EX154" s="13" t="str">
        <f>IF($C154="","",CONCATENATE(D153," ",D154))</f>
        <v>Fixed Assets Retentions Closing Balance</v>
      </c>
    </row>
    <row r="155" spans="1:154" ht="8.1" customHeight="1" x14ac:dyDescent="0.25">
      <c r="C155" s="385"/>
      <c r="P155" s="335"/>
      <c r="Q155" s="335"/>
      <c r="R155" s="335"/>
      <c r="S155" s="335"/>
      <c r="T155" s="335"/>
      <c r="U155" s="335"/>
      <c r="X155" s="11"/>
      <c r="Y155" s="11"/>
      <c r="BY155" s="12"/>
      <c r="CA155" s="12"/>
      <c r="CG155" s="12"/>
      <c r="CH155" s="11">
        <v>0</v>
      </c>
      <c r="CI155" s="11">
        <v>0</v>
      </c>
      <c r="CJ155" s="11">
        <v>0</v>
      </c>
      <c r="EX155" s="10" t="str">
        <f t="shared" si="167"/>
        <v/>
      </c>
    </row>
    <row r="156" spans="1:154" x14ac:dyDescent="0.25">
      <c r="B156" s="29"/>
      <c r="C156" s="385"/>
      <c r="D156" s="185" t="s">
        <v>133</v>
      </c>
      <c r="P156" s="335"/>
      <c r="Q156" s="335"/>
      <c r="R156" s="335"/>
      <c r="S156" s="335"/>
      <c r="T156" s="335"/>
      <c r="U156" s="335"/>
      <c r="X156" s="11"/>
      <c r="Y156" s="11"/>
      <c r="AM156" s="335"/>
      <c r="BY156" s="12"/>
      <c r="CA156" s="12"/>
      <c r="CG156" s="12"/>
      <c r="CH156" s="11">
        <v>0</v>
      </c>
      <c r="CI156" s="11">
        <v>0</v>
      </c>
      <c r="CJ156" s="11">
        <v>0</v>
      </c>
      <c r="EX156" s="10" t="str">
        <f t="shared" si="167"/>
        <v/>
      </c>
    </row>
    <row r="157" spans="1:154" x14ac:dyDescent="0.25">
      <c r="A157" s="362" cm="1">
        <f t="array" aca="1" ref="A157" ca="1">HYPERLINK(CONCATENATE("#",CELL("address",IF(SUM($CA157:$CG157)=0,A157,INDEX($CA157:$CG157,MATCH(1,$CA157:$CG157,0))))),SUM($CA157:$CG157))</f>
        <v>0</v>
      </c>
      <c r="C157" s="343" t="str">
        <f>REPLACE('Opening Balances'!$C$46, LEN('Opening Balances'!$C$46)-1, 1, "C")</f>
        <v>B-3k-CB</v>
      </c>
      <c r="D157" s="335" t="s">
        <v>97</v>
      </c>
      <c r="F157" s="335"/>
      <c r="G157" s="8"/>
      <c r="H157" s="47" t="s">
        <v>125</v>
      </c>
      <c r="O157" s="335"/>
      <c r="P157" s="335"/>
      <c r="Q157" s="335"/>
      <c r="R157" s="335"/>
      <c r="S157" s="335"/>
      <c r="T157" s="335"/>
      <c r="U157" s="335"/>
      <c r="V157" s="13">
        <f>'Opening Balances'!W46</f>
        <v>257</v>
      </c>
      <c r="W157" s="10">
        <f>INDEX($AA157:$BJ157, MATCH(W$5, $AA$5:$BJ$5))</f>
        <v>0</v>
      </c>
      <c r="X157" s="10">
        <f>INDEX($AA157:$BJ157, MATCH(X$5, $AA$5:$BJ$5))</f>
        <v>0</v>
      </c>
      <c r="Y157" s="10">
        <f>INDEX($AA157:$BJ157, MATCH(Y$5, $AA$5:$BJ$5))</f>
        <v>0</v>
      </c>
      <c r="Z157" s="6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c r="BI157" s="147"/>
      <c r="BJ157" s="147"/>
      <c r="BK157" s="67"/>
      <c r="BL157" s="10">
        <f>V157</f>
        <v>257</v>
      </c>
      <c r="BM157" s="10">
        <f>W157</f>
        <v>0</v>
      </c>
      <c r="BN157" s="10">
        <f>X157</f>
        <v>0</v>
      </c>
      <c r="BO157" s="10">
        <f>Y157</f>
        <v>0</v>
      </c>
      <c r="BP157" s="141"/>
      <c r="BQ157" s="141"/>
      <c r="BR157" s="141"/>
      <c r="BS157" s="141"/>
      <c r="BT157" s="141"/>
      <c r="BU157" s="141"/>
      <c r="BV157" s="141"/>
      <c r="BW157" s="141"/>
      <c r="BY157" s="12"/>
      <c r="CA157" s="12"/>
      <c r="CF157" s="7">
        <f>IF(SUM(V157:Y157)=SUM(BL157:BO157), 0, 1)</f>
        <v>0</v>
      </c>
      <c r="CG157" s="12"/>
      <c r="CH157" s="11">
        <v>0</v>
      </c>
      <c r="CI157" s="11">
        <v>1</v>
      </c>
      <c r="CJ157" s="1">
        <v>1</v>
      </c>
      <c r="CK157" s="335"/>
      <c r="EX157" s="13" t="str">
        <f>IF($C157="","",CONCATENATE(D156," ",D157))</f>
        <v>Recovery of ESFA/DA Funding Closing Balance</v>
      </c>
    </row>
    <row r="158" spans="1:154" s="325" customFormat="1" ht="8.1" customHeight="1" x14ac:dyDescent="0.25">
      <c r="A158" s="29"/>
      <c r="C158" s="385"/>
      <c r="D158" s="1"/>
      <c r="O158" s="335"/>
      <c r="P158" s="335"/>
      <c r="Q158" s="335"/>
      <c r="R158" s="335"/>
      <c r="S158" s="335"/>
      <c r="T158" s="335"/>
      <c r="U158" s="335"/>
      <c r="BQ158" s="335"/>
      <c r="BR158" s="335"/>
      <c r="BS158" s="335"/>
      <c r="BT158" s="335"/>
      <c r="BU158" s="335"/>
      <c r="BV158" s="335"/>
      <c r="BW158" s="335"/>
      <c r="BY158" s="12"/>
      <c r="BZ158" s="335"/>
      <c r="CA158" s="12"/>
      <c r="CE158" s="335"/>
      <c r="CG158" s="12"/>
      <c r="CH158" s="325">
        <v>0</v>
      </c>
      <c r="CI158" s="325">
        <v>0</v>
      </c>
      <c r="CJ158" s="325">
        <v>0</v>
      </c>
      <c r="EU158" s="335"/>
      <c r="EX158" s="10" t="str">
        <f t="shared" si="167"/>
        <v/>
      </c>
    </row>
    <row r="159" spans="1:154" s="325" customFormat="1" x14ac:dyDescent="0.25">
      <c r="A159" s="29"/>
      <c r="B159" s="29"/>
      <c r="C159" s="385"/>
      <c r="D159" s="27" t="s">
        <v>861</v>
      </c>
      <c r="O159" s="335"/>
      <c r="P159" s="335"/>
      <c r="Q159" s="335"/>
      <c r="R159" s="335"/>
      <c r="S159" s="335"/>
      <c r="T159" s="335"/>
      <c r="U159" s="335"/>
      <c r="AM159" s="335"/>
      <c r="BQ159" s="335"/>
      <c r="BR159" s="335"/>
      <c r="BS159" s="335"/>
      <c r="BT159" s="335"/>
      <c r="BU159" s="335"/>
      <c r="BV159" s="335"/>
      <c r="BW159" s="335"/>
      <c r="BY159" s="12"/>
      <c r="BZ159" s="335"/>
      <c r="CA159" s="12"/>
      <c r="CE159" s="335"/>
      <c r="CG159" s="12"/>
      <c r="CH159" s="325">
        <v>0</v>
      </c>
      <c r="CI159" s="325">
        <v>0</v>
      </c>
      <c r="CJ159" s="325">
        <v>0</v>
      </c>
      <c r="EU159" s="335"/>
      <c r="EX159" s="10" t="str">
        <f t="shared" si="167"/>
        <v/>
      </c>
    </row>
    <row r="160" spans="1:154" s="325" customFormat="1" x14ac:dyDescent="0.25">
      <c r="A160" s="362" cm="1">
        <f t="array" aca="1" ref="A160" ca="1">HYPERLINK(CONCATENATE("#",CELL("address",IF(SUM($CA160:$CG160)=0,A160,INDEX($CA160:$CG160,MATCH(1,$CA160:$CG160,0))))),SUM($CA160:$CG160))</f>
        <v>0</v>
      </c>
      <c r="C160" s="343" t="str">
        <f>REPLACE('Opening Balances'!$C$47, LEN('Opening Balances'!$C$47)-1, 1, "C")</f>
        <v>B-3l-CB</v>
      </c>
      <c r="D160" s="93" t="s">
        <v>97</v>
      </c>
      <c r="G160" s="8"/>
      <c r="H160" s="47" t="s">
        <v>8</v>
      </c>
      <c r="O160" s="335"/>
      <c r="P160" s="335"/>
      <c r="Q160" s="335"/>
      <c r="R160" s="335"/>
      <c r="S160" s="335"/>
      <c r="T160" s="335"/>
      <c r="U160" s="335"/>
      <c r="V160" s="13">
        <f>'Opening Balances'!W47</f>
        <v>0</v>
      </c>
      <c r="W160" s="10">
        <f>INDEX($AA160:$BJ160, MATCH(W$5, $AA$5:$BJ$5))</f>
        <v>0</v>
      </c>
      <c r="X160" s="10">
        <f>INDEX($AA160:$BJ160, MATCH(X$5, $AA$5:$BJ$5))</f>
        <v>0</v>
      </c>
      <c r="Y160" s="10">
        <f>INDEX($AA160:$BJ160, MATCH(Y$5, $AA$5:$BJ$5))</f>
        <v>0</v>
      </c>
      <c r="AA160" s="147"/>
      <c r="AB160" s="147"/>
      <c r="AC160" s="147"/>
      <c r="AD160" s="147"/>
      <c r="AE160" s="147"/>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c r="BI160" s="147"/>
      <c r="BJ160" s="147"/>
      <c r="BL160" s="10">
        <f>V160</f>
        <v>0</v>
      </c>
      <c r="BM160" s="10">
        <f>W160</f>
        <v>0</v>
      </c>
      <c r="BN160" s="10">
        <f>X160</f>
        <v>0</v>
      </c>
      <c r="BO160" s="10">
        <f>Y160</f>
        <v>0</v>
      </c>
      <c r="BP160" s="141"/>
      <c r="BQ160" s="141"/>
      <c r="BR160" s="141"/>
      <c r="BS160" s="141"/>
      <c r="BT160" s="141"/>
      <c r="BU160" s="141"/>
      <c r="BV160" s="141"/>
      <c r="BW160" s="141"/>
      <c r="BY160" s="12"/>
      <c r="BZ160" s="335"/>
      <c r="CA160" s="12"/>
      <c r="CE160" s="335"/>
      <c r="CF160" s="7">
        <f>IF(SUM(V160:Y160)=SUM(BL160:BO160), 0, 1)</f>
        <v>0</v>
      </c>
      <c r="CG160" s="12"/>
      <c r="CH160" s="325">
        <v>0</v>
      </c>
      <c r="CI160" s="325">
        <v>1</v>
      </c>
      <c r="CJ160" s="1">
        <v>1</v>
      </c>
      <c r="CK160" s="335"/>
      <c r="EU160" s="335"/>
      <c r="EX160" s="13" t="str">
        <f>IF($C160="","",CONCATENATE(D159," ",D160))</f>
        <v>AEB Clawback Closing Balance</v>
      </c>
    </row>
    <row r="161" spans="1:154" ht="8.1" customHeight="1" x14ac:dyDescent="0.25">
      <c r="C161" s="385"/>
      <c r="O161" s="335"/>
      <c r="P161" s="335"/>
      <c r="Q161" s="335"/>
      <c r="R161" s="335"/>
      <c r="S161" s="335"/>
      <c r="T161" s="335"/>
      <c r="U161" s="335"/>
      <c r="X161" s="11"/>
      <c r="Y161" s="11"/>
      <c r="BM161" s="321"/>
      <c r="BN161" s="321"/>
      <c r="BO161" s="321"/>
      <c r="BQ161" s="335"/>
      <c r="BR161" s="335"/>
      <c r="BS161" s="335"/>
      <c r="BT161" s="335"/>
      <c r="BU161" s="335"/>
      <c r="BV161" s="335"/>
      <c r="BW161" s="335"/>
      <c r="BY161" s="12"/>
      <c r="CA161" s="12"/>
      <c r="CG161" s="12"/>
      <c r="CH161" s="11">
        <v>0</v>
      </c>
      <c r="CI161" s="11">
        <v>0</v>
      </c>
      <c r="CJ161" s="11">
        <v>0</v>
      </c>
      <c r="EX161" s="10" t="str">
        <f t="shared" si="167"/>
        <v/>
      </c>
    </row>
    <row r="162" spans="1:154" x14ac:dyDescent="0.25">
      <c r="B162" s="29"/>
      <c r="C162" s="385"/>
      <c r="D162" s="27" t="s">
        <v>134</v>
      </c>
      <c r="O162" s="335"/>
      <c r="P162" s="335"/>
      <c r="Q162" s="335"/>
      <c r="R162" s="335"/>
      <c r="S162" s="335"/>
      <c r="T162" s="335"/>
      <c r="U162" s="335"/>
      <c r="X162" s="11"/>
      <c r="Y162" s="11"/>
      <c r="AM162" s="335"/>
      <c r="BM162" s="321"/>
      <c r="BN162" s="321"/>
      <c r="BO162" s="321"/>
      <c r="BQ162" s="335"/>
      <c r="BR162" s="335"/>
      <c r="BS162" s="335"/>
      <c r="BT162" s="335"/>
      <c r="BU162" s="335"/>
      <c r="BV162" s="335"/>
      <c r="BW162" s="335"/>
      <c r="BY162" s="12"/>
      <c r="CA162" s="12"/>
      <c r="CG162" s="12"/>
      <c r="CH162" s="11">
        <v>0</v>
      </c>
      <c r="CI162" s="11">
        <v>0</v>
      </c>
      <c r="CJ162" s="11">
        <v>0</v>
      </c>
      <c r="EX162" s="10" t="str">
        <f t="shared" si="167"/>
        <v/>
      </c>
    </row>
    <row r="163" spans="1:154" x14ac:dyDescent="0.25">
      <c r="A163" s="362" cm="1">
        <f t="array" aca="1" ref="A163" ca="1">HYPERLINK(CONCATENATE("#",CELL("address",IF(SUM($CA163:$CG163)=0,A163,INDEX($CA163:$CG163,MATCH(1,$CA163:$CG163,0))))),SUM($CA163:$CG163))</f>
        <v>0</v>
      </c>
      <c r="C163" s="343" t="str">
        <f>REPLACE('Opening Balances'!$C$48, LEN('Opening Balances'!$C$48)-1, 1, "C")</f>
        <v>B-3m-CB</v>
      </c>
      <c r="D163" s="93" t="s">
        <v>97</v>
      </c>
      <c r="G163" s="8"/>
      <c r="H163" s="47"/>
      <c r="O163" s="335"/>
      <c r="P163" s="335"/>
      <c r="Q163" s="335"/>
      <c r="R163" s="335"/>
      <c r="S163" s="335"/>
      <c r="T163" s="335"/>
      <c r="U163" s="335"/>
      <c r="V163" s="13">
        <f>'Opening Balances'!W48</f>
        <v>86</v>
      </c>
      <c r="W163" s="10">
        <f>INDEX($AA163:$BJ163, MATCH(W$5, $AA$5:$BJ$5))</f>
        <v>0</v>
      </c>
      <c r="X163" s="10">
        <f>INDEX($AA163:$BJ163, MATCH(X$5, $AA$5:$BJ$5))</f>
        <v>0</v>
      </c>
      <c r="Y163" s="10">
        <f>INDEX($AA163:$BJ163, MATCH(Y$5, $AA$5:$BJ$5))</f>
        <v>0</v>
      </c>
      <c r="Z163" s="6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c r="BI163" s="147"/>
      <c r="BJ163" s="147"/>
      <c r="BK163" s="67"/>
      <c r="BL163" s="10">
        <f>V163</f>
        <v>86</v>
      </c>
      <c r="BM163" s="10">
        <f>W163</f>
        <v>0</v>
      </c>
      <c r="BN163" s="10">
        <f>X163</f>
        <v>0</v>
      </c>
      <c r="BO163" s="10">
        <f>Y163</f>
        <v>0</v>
      </c>
      <c r="BP163" s="141"/>
      <c r="BQ163" s="141"/>
      <c r="BR163" s="141"/>
      <c r="BS163" s="141"/>
      <c r="BT163" s="141"/>
      <c r="BU163" s="141"/>
      <c r="BV163" s="141"/>
      <c r="BW163" s="141"/>
      <c r="BY163" s="12"/>
      <c r="CA163" s="12"/>
      <c r="CF163" s="7">
        <f>IF(SUM(V163:Y163)=SUM(BL163:BO163), 0, 1)</f>
        <v>0</v>
      </c>
      <c r="CG163" s="12"/>
      <c r="CH163" s="11">
        <v>0</v>
      </c>
      <c r="CI163" s="11">
        <v>1</v>
      </c>
      <c r="CJ163" s="1">
        <v>1</v>
      </c>
      <c r="CK163" s="335"/>
      <c r="EX163" s="13" t="str">
        <f>IF($C163="","",CONCATENATE(D162," ",D163))</f>
        <v>Deferred Income Closing Balance</v>
      </c>
    </row>
    <row r="164" spans="1:154" ht="8.1" customHeight="1" x14ac:dyDescent="0.25">
      <c r="C164" s="385"/>
      <c r="O164" s="335"/>
      <c r="P164" s="335"/>
      <c r="Q164" s="335"/>
      <c r="R164" s="335"/>
      <c r="S164" s="335"/>
      <c r="T164" s="335"/>
      <c r="U164" s="335"/>
      <c r="X164" s="11"/>
      <c r="Y164" s="11"/>
      <c r="BM164" s="321"/>
      <c r="BN164" s="321"/>
      <c r="BO164" s="321"/>
      <c r="BQ164" s="335"/>
      <c r="BR164" s="335"/>
      <c r="BS164" s="335"/>
      <c r="BT164" s="335"/>
      <c r="BU164" s="335"/>
      <c r="BV164" s="335"/>
      <c r="BW164" s="335"/>
      <c r="BY164" s="12"/>
      <c r="CA164" s="12"/>
      <c r="CG164" s="12"/>
      <c r="CH164" s="11">
        <v>0</v>
      </c>
      <c r="CI164" s="11">
        <v>0</v>
      </c>
      <c r="CJ164" s="11">
        <v>0</v>
      </c>
      <c r="EX164" s="10" t="str">
        <f t="shared" si="167"/>
        <v/>
      </c>
    </row>
    <row r="165" spans="1:154" x14ac:dyDescent="0.25">
      <c r="B165" s="29"/>
      <c r="C165" s="385"/>
      <c r="D165" s="27" t="s">
        <v>135</v>
      </c>
      <c r="O165" s="335"/>
      <c r="P165" s="335"/>
      <c r="Q165" s="335"/>
      <c r="R165" s="335"/>
      <c r="S165" s="335"/>
      <c r="T165" s="335"/>
      <c r="U165" s="335"/>
      <c r="X165" s="11"/>
      <c r="Y165" s="11"/>
      <c r="AM165" s="335"/>
      <c r="BM165" s="321"/>
      <c r="BN165" s="321"/>
      <c r="BO165" s="321"/>
      <c r="BQ165" s="335"/>
      <c r="BR165" s="335"/>
      <c r="BS165" s="335"/>
      <c r="BT165" s="335"/>
      <c r="BU165" s="335"/>
      <c r="BV165" s="335"/>
      <c r="BW165" s="335"/>
      <c r="BY165" s="12"/>
      <c r="CA165" s="12"/>
      <c r="CG165" s="12"/>
      <c r="CH165" s="11">
        <v>0</v>
      </c>
      <c r="CI165" s="11">
        <v>0</v>
      </c>
      <c r="CJ165" s="11">
        <v>0</v>
      </c>
      <c r="EX165" s="10" t="str">
        <f t="shared" si="167"/>
        <v/>
      </c>
    </row>
    <row r="166" spans="1:154" x14ac:dyDescent="0.25">
      <c r="A166" s="362" cm="1">
        <f t="array" aca="1" ref="A166" ca="1">HYPERLINK(CONCATENATE("#",CELL("address",IF(SUM($CA166:$CG166)=0,A166,INDEX($CA166:$CG166,MATCH(1,$CA166:$CG166,0))))),SUM($CA166:$CG166))</f>
        <v>0</v>
      </c>
      <c r="C166" s="343" t="str">
        <f>REPLACE('Opening Balances'!$C$49, LEN('Opening Balances'!$C$49)-1, 1, "C")</f>
        <v>B-3n-CB</v>
      </c>
      <c r="D166" s="93" t="s">
        <v>97</v>
      </c>
      <c r="G166" s="8"/>
      <c r="H166" s="47" t="s">
        <v>125</v>
      </c>
      <c r="O166" s="335"/>
      <c r="P166" s="335"/>
      <c r="Q166" s="335"/>
      <c r="R166" s="335"/>
      <c r="S166" s="335"/>
      <c r="T166" s="335"/>
      <c r="U166" s="335"/>
      <c r="V166" s="13">
        <f>'Opening Balances'!W49</f>
        <v>526</v>
      </c>
      <c r="W166" s="10">
        <f>INDEX($AA166:$BJ166, MATCH(W$5, $AA$5:$BJ$5))</f>
        <v>500</v>
      </c>
      <c r="X166" s="10">
        <f>INDEX($AA166:$BJ166, MATCH(X$5, $AA$5:$BJ$5))</f>
        <v>511</v>
      </c>
      <c r="Y166" s="10">
        <f>INDEX($AA166:$BJ166, MATCH(Y$5, $AA$5:$BJ$5))</f>
        <v>450</v>
      </c>
      <c r="Z166" s="67"/>
      <c r="AA166" s="147">
        <v>500</v>
      </c>
      <c r="AB166" s="147">
        <v>500</v>
      </c>
      <c r="AC166" s="147">
        <v>500</v>
      </c>
      <c r="AD166" s="147">
        <v>500</v>
      </c>
      <c r="AE166" s="147">
        <v>500</v>
      </c>
      <c r="AF166" s="147">
        <v>500</v>
      </c>
      <c r="AG166" s="147">
        <v>500</v>
      </c>
      <c r="AH166" s="147">
        <v>500</v>
      </c>
      <c r="AI166" s="147">
        <v>500</v>
      </c>
      <c r="AJ166" s="147">
        <v>500</v>
      </c>
      <c r="AK166" s="147">
        <v>500</v>
      </c>
      <c r="AL166" s="147">
        <v>500</v>
      </c>
      <c r="AM166" s="147">
        <v>500</v>
      </c>
      <c r="AN166" s="147">
        <v>500</v>
      </c>
      <c r="AO166" s="147">
        <v>500</v>
      </c>
      <c r="AP166" s="147">
        <v>500</v>
      </c>
      <c r="AQ166" s="147">
        <v>500</v>
      </c>
      <c r="AR166" s="147">
        <v>500</v>
      </c>
      <c r="AS166" s="147">
        <v>500</v>
      </c>
      <c r="AT166" s="147">
        <v>500</v>
      </c>
      <c r="AU166" s="147">
        <v>500</v>
      </c>
      <c r="AV166" s="147">
        <v>500</v>
      </c>
      <c r="AW166" s="147">
        <v>500</v>
      </c>
      <c r="AX166" s="147">
        <v>511</v>
      </c>
      <c r="AY166" s="147">
        <v>450</v>
      </c>
      <c r="AZ166" s="147">
        <v>450</v>
      </c>
      <c r="BA166" s="147">
        <v>450</v>
      </c>
      <c r="BB166" s="147">
        <v>450</v>
      </c>
      <c r="BC166" s="147">
        <v>450</v>
      </c>
      <c r="BD166" s="147">
        <v>450</v>
      </c>
      <c r="BE166" s="147">
        <v>450</v>
      </c>
      <c r="BF166" s="147">
        <v>450</v>
      </c>
      <c r="BG166" s="147">
        <v>450</v>
      </c>
      <c r="BH166" s="147">
        <v>450</v>
      </c>
      <c r="BI166" s="147">
        <v>450</v>
      </c>
      <c r="BJ166" s="147">
        <v>450</v>
      </c>
      <c r="BK166" s="67"/>
      <c r="BL166" s="10">
        <f>V166</f>
        <v>526</v>
      </c>
      <c r="BM166" s="10">
        <f>W166</f>
        <v>500</v>
      </c>
      <c r="BN166" s="10">
        <f>X166</f>
        <v>511</v>
      </c>
      <c r="BO166" s="10">
        <f>Y166</f>
        <v>450</v>
      </c>
      <c r="BP166" s="141"/>
      <c r="BQ166" s="141"/>
      <c r="BR166" s="141"/>
      <c r="BS166" s="141"/>
      <c r="BT166" s="141"/>
      <c r="BU166" s="141"/>
      <c r="BV166" s="141"/>
      <c r="BW166" s="141"/>
      <c r="BY166" s="12"/>
      <c r="CA166" s="12"/>
      <c r="CF166" s="7">
        <f>IF(SUM(V166:Y166)=SUM(BL166:BO166), 0, 1)</f>
        <v>0</v>
      </c>
      <c r="CG166" s="12"/>
      <c r="CH166" s="11">
        <v>0</v>
      </c>
      <c r="CI166" s="11">
        <v>1</v>
      </c>
      <c r="CJ166" s="1">
        <v>1</v>
      </c>
      <c r="CK166" s="335"/>
      <c r="EX166" s="13" t="str">
        <f>IF($C166="","",CONCATENATE(D165," ",D166))</f>
        <v>Accruals Closing Balance</v>
      </c>
    </row>
    <row r="167" spans="1:154" ht="8.1" customHeight="1" x14ac:dyDescent="0.25">
      <c r="C167" s="385"/>
      <c r="O167" s="335"/>
      <c r="P167" s="335"/>
      <c r="Q167" s="335"/>
      <c r="R167" s="335"/>
      <c r="S167" s="335"/>
      <c r="T167" s="335"/>
      <c r="U167" s="335"/>
      <c r="X167" s="11"/>
      <c r="Y167" s="11"/>
      <c r="BM167" s="321"/>
      <c r="BN167" s="321"/>
      <c r="BO167" s="321"/>
      <c r="BQ167" s="335"/>
      <c r="BR167" s="335"/>
      <c r="BS167" s="335"/>
      <c r="BT167" s="335"/>
      <c r="BU167" s="335"/>
      <c r="BV167" s="335"/>
      <c r="BW167" s="335"/>
      <c r="BY167" s="12"/>
      <c r="CA167" s="12"/>
      <c r="CG167" s="12"/>
      <c r="CH167" s="11">
        <v>0</v>
      </c>
      <c r="CI167" s="11">
        <v>0</v>
      </c>
      <c r="CJ167" s="11">
        <v>0</v>
      </c>
      <c r="EX167" s="10" t="str">
        <f t="shared" si="167"/>
        <v/>
      </c>
    </row>
    <row r="168" spans="1:154" x14ac:dyDescent="0.25">
      <c r="B168" s="29"/>
      <c r="C168" s="385"/>
      <c r="D168" s="27" t="s">
        <v>136</v>
      </c>
      <c r="O168" s="335"/>
      <c r="P168" s="335"/>
      <c r="Q168" s="335"/>
      <c r="R168" s="335"/>
      <c r="S168" s="335"/>
      <c r="T168" s="335"/>
      <c r="U168" s="335"/>
      <c r="X168" s="11"/>
      <c r="Y168" s="11"/>
      <c r="AM168" s="335"/>
      <c r="BM168" s="321"/>
      <c r="BN168" s="321"/>
      <c r="BO168" s="321"/>
      <c r="BQ168" s="335"/>
      <c r="BR168" s="335"/>
      <c r="BS168" s="335"/>
      <c r="BT168" s="335"/>
      <c r="BU168" s="335"/>
      <c r="BV168" s="335"/>
      <c r="BW168" s="335"/>
      <c r="BY168" s="12"/>
      <c r="CA168" s="12"/>
      <c r="CG168" s="12"/>
      <c r="CH168" s="11">
        <v>0</v>
      </c>
      <c r="CI168" s="11">
        <v>0</v>
      </c>
      <c r="CJ168" s="11">
        <v>0</v>
      </c>
      <c r="EX168" s="10" t="str">
        <f t="shared" si="167"/>
        <v/>
      </c>
    </row>
    <row r="169" spans="1:154" x14ac:dyDescent="0.25">
      <c r="A169" s="362" cm="1">
        <f t="array" aca="1" ref="A169" ca="1">HYPERLINK(CONCATENATE("#",CELL("address",IF(SUM($CA169:$CG169)=0,A169,INDEX($CA169:$CG169,MATCH(1,$CA169:$CG169,0))))),SUM($CA169:$CG169))</f>
        <v>0</v>
      </c>
      <c r="C169" s="343" t="str">
        <f>REPLACE('Opening Balances'!$C$50, LEN('Opening Balances'!$C$50)-1, 1, "C")</f>
        <v>B-3o-CB</v>
      </c>
      <c r="D169" s="93" t="s">
        <v>97</v>
      </c>
      <c r="G169" s="8"/>
      <c r="H169" s="47" t="s">
        <v>125</v>
      </c>
      <c r="O169" s="335"/>
      <c r="P169" s="335"/>
      <c r="Q169" s="335"/>
      <c r="R169" s="335"/>
      <c r="S169" s="335"/>
      <c r="T169" s="335"/>
      <c r="U169" s="335"/>
      <c r="V169" s="13">
        <f>'Opening Balances'!W50</f>
        <v>0</v>
      </c>
      <c r="W169" s="10">
        <f>INDEX($AA169:$BJ169, MATCH(W$5, $AA$5:$BJ$5))</f>
        <v>0</v>
      </c>
      <c r="X169" s="10">
        <f>INDEX($AA169:$BJ169, MATCH(X$5, $AA$5:$BJ$5))</f>
        <v>0</v>
      </c>
      <c r="Y169" s="10">
        <f>INDEX($AA169:$BJ169, MATCH(Y$5, $AA$5:$BJ$5))</f>
        <v>0</v>
      </c>
      <c r="Z169" s="6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c r="BI169" s="147"/>
      <c r="BJ169" s="147"/>
      <c r="BK169" s="67"/>
      <c r="BL169" s="10">
        <f>V169</f>
        <v>0</v>
      </c>
      <c r="BM169" s="10">
        <f>W169</f>
        <v>0</v>
      </c>
      <c r="BN169" s="10">
        <f>X169</f>
        <v>0</v>
      </c>
      <c r="BO169" s="10">
        <f>Y169</f>
        <v>0</v>
      </c>
      <c r="BP169" s="141"/>
      <c r="BQ169" s="141"/>
      <c r="BR169" s="141"/>
      <c r="BS169" s="141"/>
      <c r="BT169" s="141"/>
      <c r="BU169" s="141"/>
      <c r="BV169" s="141"/>
      <c r="BW169" s="141"/>
      <c r="BY169" s="12"/>
      <c r="CA169" s="12"/>
      <c r="CF169" s="7">
        <f>IF(SUM(V169:Y169)=SUM(BL169:BO169), 0, 1)</f>
        <v>0</v>
      </c>
      <c r="CG169" s="12"/>
      <c r="CH169" s="11">
        <v>0</v>
      </c>
      <c r="CI169" s="11">
        <v>1</v>
      </c>
      <c r="CJ169" s="1">
        <v>1</v>
      </c>
      <c r="CK169" s="335"/>
      <c r="EX169" s="13" t="str">
        <f>IF($C169="","",CONCATENATE(D168," ",D169))</f>
        <v>Holiday and Sabbatical Pay Accrual Closing Balance</v>
      </c>
    </row>
    <row r="170" spans="1:154" ht="8.1" customHeight="1" x14ac:dyDescent="0.25">
      <c r="C170" s="385"/>
      <c r="O170" s="335"/>
      <c r="P170" s="335"/>
      <c r="Q170" s="335"/>
      <c r="R170" s="335"/>
      <c r="S170" s="335"/>
      <c r="T170" s="335"/>
      <c r="U170" s="335"/>
      <c r="X170" s="11"/>
      <c r="Y170" s="11"/>
      <c r="BY170" s="12"/>
      <c r="CA170" s="12"/>
      <c r="CG170" s="12"/>
      <c r="CH170" s="11">
        <v>0</v>
      </c>
      <c r="CI170" s="11">
        <v>0</v>
      </c>
      <c r="CJ170" s="11">
        <v>0</v>
      </c>
      <c r="EX170" s="10" t="str">
        <f t="shared" si="167"/>
        <v/>
      </c>
    </row>
    <row r="171" spans="1:154" x14ac:dyDescent="0.25">
      <c r="B171" s="29"/>
      <c r="C171" s="385"/>
      <c r="D171" s="27" t="s">
        <v>146</v>
      </c>
      <c r="O171" s="335"/>
      <c r="P171" s="335"/>
      <c r="Q171" s="335"/>
      <c r="R171" s="335"/>
      <c r="S171" s="335"/>
      <c r="T171" s="335"/>
      <c r="U171" s="335"/>
      <c r="X171" s="11"/>
      <c r="Y171" s="11"/>
      <c r="AM171" s="335"/>
      <c r="BY171" s="12"/>
      <c r="CA171" s="12"/>
      <c r="CG171" s="12"/>
      <c r="CH171" s="11">
        <v>0</v>
      </c>
      <c r="CI171" s="11">
        <v>0</v>
      </c>
      <c r="CJ171" s="11">
        <v>0</v>
      </c>
      <c r="EX171" s="10" t="str">
        <f t="shared" si="167"/>
        <v/>
      </c>
    </row>
    <row r="172" spans="1:154" x14ac:dyDescent="0.25">
      <c r="A172" s="362" cm="1">
        <f t="array" aca="1" ref="A172" ca="1">HYPERLINK(CONCATENATE("#",CELL("address",IF(SUM($CA172:$CG172)=0,A172,INDEX($CA172:$CG172,MATCH(1,$CA172:$CG172,0))))),SUM($CA172:$CG172))</f>
        <v>0</v>
      </c>
      <c r="C172" s="343" t="str">
        <f>REPLACE('Opening Balances'!$C$51, LEN('Opening Balances'!$C$51)-1, 1, "C")</f>
        <v>B-3p-CB</v>
      </c>
      <c r="D172" s="93" t="s">
        <v>97</v>
      </c>
      <c r="G172" s="8"/>
      <c r="H172" s="47" t="s">
        <v>8</v>
      </c>
      <c r="O172" s="335"/>
      <c r="P172" s="335"/>
      <c r="Q172" s="335"/>
      <c r="R172" s="335"/>
      <c r="S172" s="335"/>
      <c r="T172" s="335"/>
      <c r="U172" s="335"/>
      <c r="V172" s="13">
        <f>'Opening Balances'!W51</f>
        <v>0</v>
      </c>
      <c r="W172" s="10">
        <f>INDEX($AA172:$BJ172, MATCH(W$5, $AA$5:$BJ$5))</f>
        <v>0</v>
      </c>
      <c r="X172" s="10">
        <f>INDEX($AA172:$BJ172, MATCH(X$5, $AA$5:$BJ$5))</f>
        <v>0</v>
      </c>
      <c r="Y172" s="10">
        <f>INDEX($AA172:$BJ172, MATCH(Y$5, $AA$5:$BJ$5))</f>
        <v>0</v>
      </c>
      <c r="Z172" s="6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c r="BI172" s="147"/>
      <c r="BJ172" s="147"/>
      <c r="BK172" s="67"/>
      <c r="BL172" s="10">
        <f>V172</f>
        <v>0</v>
      </c>
      <c r="BM172" s="10">
        <f>W172</f>
        <v>0</v>
      </c>
      <c r="BN172" s="10">
        <f>X172</f>
        <v>0</v>
      </c>
      <c r="BO172" s="10">
        <f>Y172</f>
        <v>0</v>
      </c>
      <c r="BP172" s="141"/>
      <c r="BQ172" s="141"/>
      <c r="BR172" s="141"/>
      <c r="BS172" s="141"/>
      <c r="BT172" s="141"/>
      <c r="BU172" s="141"/>
      <c r="BV172" s="141"/>
      <c r="BW172" s="141"/>
      <c r="BY172" s="12"/>
      <c r="CA172" s="12"/>
      <c r="CF172" s="7">
        <f>IF(SUM(V172:Y172)=SUM(BL172:BO172), 0, 1)</f>
        <v>0</v>
      </c>
      <c r="CG172" s="12"/>
      <c r="CH172" s="11">
        <v>0</v>
      </c>
      <c r="CI172" s="11">
        <v>1</v>
      </c>
      <c r="CJ172" s="1">
        <v>1</v>
      </c>
      <c r="CK172" s="335"/>
      <c r="EX172" s="13" t="str">
        <f>IF($C172="","",CONCATENATE(D171," ",D172))</f>
        <v>Bursary Deferred Income Account Closing Balance</v>
      </c>
    </row>
    <row r="173" spans="1:154" ht="8.1" customHeight="1" x14ac:dyDescent="0.25">
      <c r="C173" s="385"/>
      <c r="O173" s="335"/>
      <c r="P173" s="335"/>
      <c r="Q173" s="335"/>
      <c r="R173" s="335"/>
      <c r="S173" s="335"/>
      <c r="T173" s="335"/>
      <c r="U173" s="335"/>
      <c r="X173" s="11"/>
      <c r="Y173" s="11"/>
      <c r="BM173" s="321"/>
      <c r="BN173" s="321"/>
      <c r="BO173" s="321"/>
      <c r="BY173" s="12"/>
      <c r="CA173" s="12"/>
      <c r="CG173" s="12"/>
      <c r="CH173" s="11">
        <v>0</v>
      </c>
      <c r="CI173" s="11">
        <v>0</v>
      </c>
      <c r="CJ173" s="11">
        <v>0</v>
      </c>
      <c r="EX173" s="10" t="str">
        <f t="shared" si="167"/>
        <v/>
      </c>
    </row>
    <row r="174" spans="1:154" x14ac:dyDescent="0.25">
      <c r="B174" s="29"/>
      <c r="C174" s="385"/>
      <c r="D174" s="27" t="s">
        <v>160</v>
      </c>
      <c r="O174" s="335"/>
      <c r="P174" s="335"/>
      <c r="Q174" s="335"/>
      <c r="R174" s="335"/>
      <c r="S174" s="335"/>
      <c r="T174" s="335"/>
      <c r="U174" s="335"/>
      <c r="X174" s="11"/>
      <c r="Y174" s="11"/>
      <c r="AA174" s="332"/>
      <c r="AB174" s="335"/>
      <c r="AC174" s="335"/>
      <c r="AD174" s="335"/>
      <c r="AE174" s="335"/>
      <c r="AF174" s="335"/>
      <c r="AG174" s="335"/>
      <c r="AH174" s="335"/>
      <c r="AI174" s="335"/>
      <c r="AJ174" s="335"/>
      <c r="AK174" s="335"/>
      <c r="AL174" s="335"/>
      <c r="AM174" s="335"/>
      <c r="AN174" s="335"/>
      <c r="AO174" s="335"/>
      <c r="AP174" s="335"/>
      <c r="AQ174" s="335"/>
      <c r="AR174" s="335"/>
      <c r="AS174" s="335"/>
      <c r="AT174" s="335"/>
      <c r="AU174" s="335"/>
      <c r="AV174" s="335"/>
      <c r="AW174" s="335"/>
      <c r="AX174" s="335"/>
      <c r="AY174" s="335"/>
      <c r="AZ174" s="335"/>
      <c r="BA174" s="335"/>
      <c r="BB174" s="335"/>
      <c r="BC174" s="335"/>
      <c r="BD174" s="335"/>
      <c r="BE174" s="335"/>
      <c r="BF174" s="335"/>
      <c r="BG174" s="335"/>
      <c r="BH174" s="335"/>
      <c r="BI174" s="335"/>
      <c r="BJ174" s="335"/>
      <c r="BM174" s="321"/>
      <c r="BN174" s="321"/>
      <c r="BO174" s="321"/>
      <c r="BY174" s="12"/>
      <c r="CA174" s="12"/>
      <c r="CG174" s="12"/>
      <c r="CH174" s="11">
        <v>0</v>
      </c>
      <c r="CI174" s="11">
        <v>0</v>
      </c>
      <c r="CJ174" s="11">
        <v>0</v>
      </c>
      <c r="EX174" s="10" t="str">
        <f t="shared" si="167"/>
        <v/>
      </c>
    </row>
    <row r="175" spans="1:154" x14ac:dyDescent="0.25">
      <c r="A175" s="362" cm="1">
        <f t="array" aca="1" ref="A175" ca="1">HYPERLINK(CONCATENATE("#",CELL("address",IF(SUM($CA175:$CG175)=0,A175,INDEX($CA175:$CG175,MATCH(1,$CA175:$CG175,0))))),SUM($CA175:$CG175))</f>
        <v>0</v>
      </c>
      <c r="C175" s="343" t="str">
        <f>REPLACE('Opening Balances'!$C$52, LEN('Opening Balances'!$C$52)-1, 1, "C")</f>
        <v>B-3q-CB</v>
      </c>
      <c r="D175" s="11" t="s">
        <v>97</v>
      </c>
      <c r="G175" s="8"/>
      <c r="H175" s="47" t="s">
        <v>8</v>
      </c>
      <c r="O175" s="335"/>
      <c r="P175" s="335"/>
      <c r="Q175" s="335"/>
      <c r="R175" s="335"/>
      <c r="S175" s="335"/>
      <c r="T175" s="335"/>
      <c r="U175" s="335"/>
      <c r="V175" s="13">
        <f>'Opening Balances'!W52</f>
        <v>0</v>
      </c>
      <c r="W175" s="10">
        <f>INDEX($AA175:$BJ175, MATCH(W$5, $AA$5:$BJ$5))</f>
        <v>0</v>
      </c>
      <c r="X175" s="10">
        <f>INDEX($AA175:$BJ175, MATCH(X$5, $AA$5:$BJ$5))</f>
        <v>0</v>
      </c>
      <c r="Y175" s="10">
        <f>INDEX($AA175:$BJ175, MATCH(Y$5, $AA$5:$BJ$5))</f>
        <v>0</v>
      </c>
      <c r="Z175" s="67"/>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c r="BI175" s="147"/>
      <c r="BJ175" s="147"/>
      <c r="BK175" s="67"/>
      <c r="BL175" s="10">
        <f>V175</f>
        <v>0</v>
      </c>
      <c r="BM175" s="10">
        <f>W175</f>
        <v>0</v>
      </c>
      <c r="BN175" s="10">
        <f>X175</f>
        <v>0</v>
      </c>
      <c r="BO175" s="10">
        <f>Y175</f>
        <v>0</v>
      </c>
      <c r="BP175" s="141"/>
      <c r="BQ175" s="141"/>
      <c r="BR175" s="141"/>
      <c r="BS175" s="141"/>
      <c r="BT175" s="141"/>
      <c r="BU175" s="141"/>
      <c r="BV175" s="141"/>
      <c r="BW175" s="141"/>
      <c r="BY175" s="12"/>
      <c r="CA175" s="12"/>
      <c r="CF175" s="7">
        <f>IF(SUM(V175:Y175)=SUM(BL175:BO175), 0, 1)</f>
        <v>0</v>
      </c>
      <c r="CG175" s="12"/>
      <c r="CH175" s="11">
        <v>0</v>
      </c>
      <c r="CI175" s="11">
        <v>1</v>
      </c>
      <c r="CJ175" s="1">
        <v>1</v>
      </c>
      <c r="CK175" s="335"/>
      <c r="EX175" s="13" t="str">
        <f>IF($C175="","",CONCATENATE(D174," ",D175))</f>
        <v>Corporation Tax Closing Balance</v>
      </c>
    </row>
    <row r="176" spans="1:154" s="335" customFormat="1" ht="8.1" customHeight="1" x14ac:dyDescent="0.25">
      <c r="C176" s="385"/>
      <c r="D176" s="1"/>
      <c r="BY176" s="12"/>
      <c r="CA176" s="12"/>
      <c r="CG176" s="12"/>
      <c r="CH176" s="335">
        <v>0</v>
      </c>
      <c r="CI176" s="335">
        <v>0</v>
      </c>
      <c r="CJ176" s="335">
        <v>0</v>
      </c>
      <c r="EX176" s="10" t="str">
        <f t="shared" si="167"/>
        <v/>
      </c>
    </row>
    <row r="177" spans="1:154" s="335" customFormat="1" x14ac:dyDescent="0.25">
      <c r="B177" s="29"/>
      <c r="C177" s="385"/>
      <c r="D177" s="27" t="s">
        <v>957</v>
      </c>
      <c r="BY177" s="12"/>
      <c r="CA177" s="12"/>
      <c r="CG177" s="12"/>
      <c r="CH177" s="335">
        <v>0</v>
      </c>
      <c r="CI177" s="335">
        <v>0</v>
      </c>
      <c r="CJ177" s="335">
        <v>0</v>
      </c>
      <c r="EX177" s="10" t="str">
        <f t="shared" si="167"/>
        <v/>
      </c>
    </row>
    <row r="178" spans="1:154" s="335" customFormat="1" x14ac:dyDescent="0.25">
      <c r="A178" s="362" cm="1">
        <f t="array" aca="1" ref="A178" ca="1">HYPERLINK(CONCATENATE("#",CELL("address",IF(SUM($CA178:$CG178)=0,A178,INDEX($CA178:$CG178,MATCH(1,$CA178:$CG178,0))))),SUM($CA178:$CG178))</f>
        <v>0</v>
      </c>
      <c r="C178" s="343" t="str">
        <f>REPLACE('Opening Balances'!$C$53, LEN('Opening Balances'!$C$53)-1, 1, "C")</f>
        <v>B-3r-CB</v>
      </c>
      <c r="D178" s="335" t="s">
        <v>97</v>
      </c>
      <c r="G178" s="8"/>
      <c r="H178" s="47" t="s">
        <v>125</v>
      </c>
      <c r="V178" s="13">
        <f>'Opening Balances'!$W$53</f>
        <v>571</v>
      </c>
      <c r="W178" s="10">
        <f>INDEX($AA178:$BJ178, MATCH(W$5, $AA$5:$BJ$5))</f>
        <v>600</v>
      </c>
      <c r="X178" s="10">
        <f>INDEX($AA178:$BJ178, MATCH(X$5, $AA$5:$BJ$5))</f>
        <v>610</v>
      </c>
      <c r="Y178" s="10">
        <f>INDEX($AA178:$BJ178, MATCH(Y$5, $AA$5:$BJ$5))</f>
        <v>620</v>
      </c>
      <c r="AA178" s="147">
        <v>600</v>
      </c>
      <c r="AB178" s="147">
        <v>600</v>
      </c>
      <c r="AC178" s="147">
        <v>600</v>
      </c>
      <c r="AD178" s="147">
        <v>600</v>
      </c>
      <c r="AE178" s="147">
        <v>600</v>
      </c>
      <c r="AF178" s="147">
        <v>600</v>
      </c>
      <c r="AG178" s="147">
        <v>600</v>
      </c>
      <c r="AH178" s="147">
        <v>600</v>
      </c>
      <c r="AI178" s="147">
        <v>600</v>
      </c>
      <c r="AJ178" s="147">
        <v>600</v>
      </c>
      <c r="AK178" s="147">
        <v>600</v>
      </c>
      <c r="AL178" s="147">
        <v>600</v>
      </c>
      <c r="AM178" s="147">
        <v>610</v>
      </c>
      <c r="AN178" s="147">
        <v>610</v>
      </c>
      <c r="AO178" s="147">
        <v>610</v>
      </c>
      <c r="AP178" s="147">
        <v>610</v>
      </c>
      <c r="AQ178" s="147">
        <v>610</v>
      </c>
      <c r="AR178" s="147">
        <v>610</v>
      </c>
      <c r="AS178" s="147">
        <v>610</v>
      </c>
      <c r="AT178" s="147">
        <v>610</v>
      </c>
      <c r="AU178" s="147">
        <v>610</v>
      </c>
      <c r="AV178" s="147">
        <v>610</v>
      </c>
      <c r="AW178" s="147">
        <v>610</v>
      </c>
      <c r="AX178" s="147">
        <v>610</v>
      </c>
      <c r="AY178" s="147">
        <v>620</v>
      </c>
      <c r="AZ178" s="147">
        <v>620</v>
      </c>
      <c r="BA178" s="147">
        <v>620</v>
      </c>
      <c r="BB178" s="147">
        <v>620</v>
      </c>
      <c r="BC178" s="147">
        <v>620</v>
      </c>
      <c r="BD178" s="147">
        <v>620</v>
      </c>
      <c r="BE178" s="147">
        <v>620</v>
      </c>
      <c r="BF178" s="147">
        <v>620</v>
      </c>
      <c r="BG178" s="147">
        <v>620</v>
      </c>
      <c r="BH178" s="147">
        <v>620</v>
      </c>
      <c r="BI178" s="147">
        <v>620</v>
      </c>
      <c r="BJ178" s="147">
        <v>620</v>
      </c>
      <c r="BL178" s="10">
        <f>V178</f>
        <v>571</v>
      </c>
      <c r="BM178" s="10">
        <f>W178</f>
        <v>600</v>
      </c>
      <c r="BN178" s="10">
        <f>X178</f>
        <v>610</v>
      </c>
      <c r="BO178" s="10">
        <f>Y178</f>
        <v>620</v>
      </c>
      <c r="BP178" s="141"/>
      <c r="BQ178" s="141"/>
      <c r="BR178" s="141"/>
      <c r="BS178" s="141"/>
      <c r="BT178" s="141"/>
      <c r="BU178" s="141"/>
      <c r="BV178" s="141"/>
      <c r="BW178" s="141"/>
      <c r="BY178" s="12"/>
      <c r="CA178" s="12"/>
      <c r="CF178" s="7">
        <f>IF(SUM(V178:Y178)=SUM(BL178:BO178), 0, 1)</f>
        <v>0</v>
      </c>
      <c r="CG178" s="12"/>
      <c r="CH178" s="335">
        <v>0</v>
      </c>
      <c r="CI178" s="335">
        <v>1</v>
      </c>
      <c r="CJ178" s="1">
        <v>1</v>
      </c>
      <c r="EX178" s="13" t="str">
        <f>IF($C178="","",CONCATENATE(D177," ",D178))</f>
        <v>Other Taxation and Social Security Closing Balance</v>
      </c>
    </row>
    <row r="179" spans="1:154" ht="8.1" customHeight="1" x14ac:dyDescent="0.25">
      <c r="C179" s="385"/>
      <c r="O179" s="335"/>
      <c r="P179" s="335"/>
      <c r="Q179" s="335"/>
      <c r="R179" s="335"/>
      <c r="S179" s="335"/>
      <c r="T179" s="335"/>
      <c r="U179" s="335"/>
      <c r="X179" s="11"/>
      <c r="Y179" s="11"/>
      <c r="BY179" s="12"/>
      <c r="CA179" s="12"/>
      <c r="CG179" s="12"/>
      <c r="CH179" s="11">
        <v>0</v>
      </c>
      <c r="CI179" s="11">
        <v>0</v>
      </c>
      <c r="CJ179" s="11">
        <v>0</v>
      </c>
      <c r="EX179" s="10" t="str">
        <f t="shared" si="167"/>
        <v/>
      </c>
    </row>
    <row r="180" spans="1:154" x14ac:dyDescent="0.25">
      <c r="B180" s="29"/>
      <c r="C180" s="385"/>
      <c r="D180" s="27" t="s">
        <v>147</v>
      </c>
      <c r="O180" s="335"/>
      <c r="P180" s="335"/>
      <c r="Q180" s="335"/>
      <c r="R180" s="335"/>
      <c r="S180" s="335"/>
      <c r="T180" s="335"/>
      <c r="U180" s="335"/>
      <c r="X180" s="11"/>
      <c r="Y180" s="11"/>
      <c r="AM180" s="335"/>
      <c r="BM180" s="321"/>
      <c r="BN180" s="321"/>
      <c r="BO180" s="321"/>
      <c r="BY180" s="12"/>
      <c r="CA180" s="12"/>
      <c r="CG180" s="12"/>
      <c r="CH180" s="11">
        <v>0</v>
      </c>
      <c r="CI180" s="11">
        <v>0</v>
      </c>
      <c r="CJ180" s="11">
        <v>0</v>
      </c>
      <c r="EX180" s="10" t="str">
        <f t="shared" si="167"/>
        <v/>
      </c>
    </row>
    <row r="181" spans="1:154" x14ac:dyDescent="0.25">
      <c r="A181" s="362" cm="1">
        <f t="array" aca="1" ref="A181" ca="1">HYPERLINK(CONCATENATE("#",CELL("address",IF(SUM($CA181:$CG181)=0,A181,INDEX($CA181:$CG181,MATCH(1,$CA181:$CG181,0))))),SUM($CA181:$CG181))</f>
        <v>0</v>
      </c>
      <c r="C181" s="340" t="str">
        <f>CONCATENATE("BS-",'Opening Balances'!$C$66)</f>
        <v>BS-B-7a-OB</v>
      </c>
      <c r="D181" s="1" t="s">
        <v>91</v>
      </c>
      <c r="G181" s="8"/>
      <c r="H181" s="53" t="s">
        <v>125</v>
      </c>
      <c r="O181" s="335"/>
      <c r="P181" s="335"/>
      <c r="Q181" s="335"/>
      <c r="R181" s="335"/>
      <c r="S181" s="335"/>
      <c r="T181" s="335"/>
      <c r="U181" s="335"/>
      <c r="V181" s="373">
        <f>'Opening Balances'!$V$66</f>
        <v>0</v>
      </c>
      <c r="W181" s="10">
        <f>V192</f>
        <v>20870</v>
      </c>
      <c r="X181" s="10">
        <f t="shared" ref="X181:BW181" si="172">W192</f>
        <v>20870</v>
      </c>
      <c r="Y181" s="10">
        <f t="shared" si="172"/>
        <v>20870</v>
      </c>
      <c r="Z181" s="67"/>
      <c r="AA181" s="10">
        <f>W181</f>
        <v>20870</v>
      </c>
      <c r="AB181" s="10">
        <f t="shared" si="172"/>
        <v>20870</v>
      </c>
      <c r="AC181" s="10">
        <f t="shared" si="172"/>
        <v>20870</v>
      </c>
      <c r="AD181" s="10">
        <f t="shared" si="172"/>
        <v>20870</v>
      </c>
      <c r="AE181" s="10">
        <f t="shared" si="172"/>
        <v>20870</v>
      </c>
      <c r="AF181" s="10">
        <f t="shared" si="172"/>
        <v>20870</v>
      </c>
      <c r="AG181" s="10">
        <f t="shared" si="172"/>
        <v>20870</v>
      </c>
      <c r="AH181" s="10">
        <f t="shared" si="172"/>
        <v>20870</v>
      </c>
      <c r="AI181" s="10">
        <f t="shared" si="172"/>
        <v>20870</v>
      </c>
      <c r="AJ181" s="10">
        <f t="shared" si="172"/>
        <v>20870</v>
      </c>
      <c r="AK181" s="10">
        <f t="shared" si="172"/>
        <v>20870</v>
      </c>
      <c r="AL181" s="10">
        <f t="shared" si="172"/>
        <v>20870</v>
      </c>
      <c r="AM181" s="10">
        <f t="shared" si="172"/>
        <v>20870</v>
      </c>
      <c r="AN181" s="10">
        <f t="shared" si="172"/>
        <v>20870</v>
      </c>
      <c r="AO181" s="10">
        <f t="shared" si="172"/>
        <v>20870</v>
      </c>
      <c r="AP181" s="10">
        <f t="shared" si="172"/>
        <v>20870</v>
      </c>
      <c r="AQ181" s="10">
        <f t="shared" si="172"/>
        <v>20870</v>
      </c>
      <c r="AR181" s="10">
        <f t="shared" si="172"/>
        <v>20870</v>
      </c>
      <c r="AS181" s="10">
        <f t="shared" si="172"/>
        <v>20870</v>
      </c>
      <c r="AT181" s="10">
        <f t="shared" si="172"/>
        <v>20870</v>
      </c>
      <c r="AU181" s="10">
        <f t="shared" si="172"/>
        <v>20870</v>
      </c>
      <c r="AV181" s="10">
        <f t="shared" si="172"/>
        <v>20870</v>
      </c>
      <c r="AW181" s="10">
        <f t="shared" si="172"/>
        <v>20870</v>
      </c>
      <c r="AX181" s="10">
        <f t="shared" si="172"/>
        <v>20870</v>
      </c>
      <c r="AY181" s="10">
        <f t="shared" si="172"/>
        <v>20870</v>
      </c>
      <c r="AZ181" s="10">
        <f t="shared" si="172"/>
        <v>20870</v>
      </c>
      <c r="BA181" s="10">
        <f t="shared" si="172"/>
        <v>20870</v>
      </c>
      <c r="BB181" s="10">
        <f t="shared" si="172"/>
        <v>20870</v>
      </c>
      <c r="BC181" s="10">
        <f t="shared" si="172"/>
        <v>20870</v>
      </c>
      <c r="BD181" s="10">
        <f t="shared" si="172"/>
        <v>20870</v>
      </c>
      <c r="BE181" s="10">
        <f t="shared" si="172"/>
        <v>20870</v>
      </c>
      <c r="BF181" s="10">
        <f t="shared" si="172"/>
        <v>20870</v>
      </c>
      <c r="BG181" s="10">
        <f t="shared" si="172"/>
        <v>20870</v>
      </c>
      <c r="BH181" s="10">
        <f t="shared" si="172"/>
        <v>20870</v>
      </c>
      <c r="BI181" s="10">
        <f t="shared" si="172"/>
        <v>20870</v>
      </c>
      <c r="BJ181" s="10">
        <f t="shared" si="172"/>
        <v>20870</v>
      </c>
      <c r="BK181" s="67"/>
      <c r="BL181" s="13">
        <f t="shared" ref="BL181:BL192" si="173">V181</f>
        <v>0</v>
      </c>
      <c r="BM181" s="13">
        <f t="shared" ref="BM181:BM192" si="174">W181</f>
        <v>20870</v>
      </c>
      <c r="BN181" s="13">
        <f t="shared" ref="BN181:BN192" si="175">X181</f>
        <v>20870</v>
      </c>
      <c r="BO181" s="13">
        <f t="shared" ref="BO181:BO192" si="176">Y181</f>
        <v>20870</v>
      </c>
      <c r="BP181" s="10">
        <f t="shared" si="172"/>
        <v>20870</v>
      </c>
      <c r="BQ181" s="10">
        <f t="shared" si="172"/>
        <v>20870</v>
      </c>
      <c r="BR181" s="10">
        <f t="shared" si="172"/>
        <v>20870</v>
      </c>
      <c r="BS181" s="10">
        <f t="shared" si="172"/>
        <v>20870</v>
      </c>
      <c r="BT181" s="10">
        <f t="shared" si="172"/>
        <v>20870</v>
      </c>
      <c r="BU181" s="10">
        <f t="shared" si="172"/>
        <v>20870</v>
      </c>
      <c r="BV181" s="10">
        <f t="shared" si="172"/>
        <v>20870</v>
      </c>
      <c r="BW181" s="10">
        <f t="shared" si="172"/>
        <v>20870</v>
      </c>
      <c r="BY181" s="12"/>
      <c r="CA181" s="12"/>
      <c r="CF181" s="7">
        <f t="shared" ref="CF181:CF192" si="177">IF(SUM(V181:Y181)=SUM(BL181:BO181), 0, 1)</f>
        <v>0</v>
      </c>
      <c r="CG181" s="12"/>
      <c r="CH181" s="11">
        <v>0</v>
      </c>
      <c r="CI181" s="11">
        <v>0</v>
      </c>
      <c r="CJ181" s="11">
        <v>0</v>
      </c>
      <c r="EX181" s="13" t="str">
        <f t="shared" ref="EX181:EX192" si="178">IF($C181="", "",CONCATENATE(D$180, " ", D181))</f>
        <v>Local Government Pension Scheme Provision Opening Balance</v>
      </c>
    </row>
    <row r="182" spans="1:154" x14ac:dyDescent="0.25">
      <c r="A182" s="362" cm="1">
        <f t="array" aca="1" ref="A182" ca="1">HYPERLINK(CONCATENATE("#",CELL("address",IF(SUM($CA182:$CG182)=0,A182,INDEX($CA182:$CG182,MATCH(1,$CA182:$CG182,0))))),SUM($CA182:$CG182))</f>
        <v>0</v>
      </c>
      <c r="C182" s="340" t="s">
        <v>1403</v>
      </c>
      <c r="D182" s="177" t="s">
        <v>150</v>
      </c>
      <c r="G182" s="8"/>
      <c r="H182" s="53" t="s">
        <v>125</v>
      </c>
      <c r="O182" s="335"/>
      <c r="P182" s="335"/>
      <c r="Q182" s="335"/>
      <c r="R182" s="335"/>
      <c r="S182" s="335"/>
      <c r="T182" s="335"/>
      <c r="U182" s="335"/>
      <c r="V182" s="346"/>
      <c r="W182" s="215">
        <f t="shared" ref="W182:Y191" si="179" xml:space="preserve"> SUMIFS($AA182:$BJ182, $AA$3:$BJ$3, W$3)</f>
        <v>0</v>
      </c>
      <c r="X182" s="215">
        <f t="shared" si="179"/>
        <v>0</v>
      </c>
      <c r="Y182" s="215">
        <f t="shared" si="179"/>
        <v>0</v>
      </c>
      <c r="Z182" s="6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c r="BI182" s="147"/>
      <c r="BJ182" s="147"/>
      <c r="BK182" s="67"/>
      <c r="BL182" s="13">
        <f t="shared" si="173"/>
        <v>0</v>
      </c>
      <c r="BM182" s="13">
        <f t="shared" si="174"/>
        <v>0</v>
      </c>
      <c r="BN182" s="13">
        <f t="shared" si="175"/>
        <v>0</v>
      </c>
      <c r="BO182" s="13">
        <f t="shared" si="176"/>
        <v>0</v>
      </c>
      <c r="BP182" s="141"/>
      <c r="BQ182" s="141"/>
      <c r="BR182" s="141"/>
      <c r="BS182" s="141"/>
      <c r="BT182" s="141"/>
      <c r="BU182" s="141"/>
      <c r="BV182" s="141"/>
      <c r="BW182" s="141"/>
      <c r="BY182" s="12"/>
      <c r="BZ182" s="363">
        <f>IF(MIN($V182:$BW182)&lt;0, 1, 0)</f>
        <v>0</v>
      </c>
      <c r="CA182" s="12"/>
      <c r="CF182" s="7">
        <f t="shared" si="177"/>
        <v>0</v>
      </c>
      <c r="CG182" s="12"/>
      <c r="CH182" s="11">
        <v>1</v>
      </c>
      <c r="CI182" s="11">
        <v>1</v>
      </c>
      <c r="CJ182" s="11">
        <v>0</v>
      </c>
      <c r="EX182" s="13" t="str">
        <f t="shared" si="178"/>
        <v>Local Government Pension Scheme Provision Current service charge net of employee contributions</v>
      </c>
    </row>
    <row r="183" spans="1:154" x14ac:dyDescent="0.25">
      <c r="A183" s="362" cm="1">
        <f t="array" aca="1" ref="A183" ca="1">HYPERLINK(CONCATENATE("#",CELL("address",IF(SUM($CA183:$CG183)=0,A183,INDEX($CA183:$CG183,MATCH(1,$CA183:$CG183,0))))),SUM($CA183:$CG183))</f>
        <v>0</v>
      </c>
      <c r="B183" s="2"/>
      <c r="C183" s="340" t="s">
        <v>1404</v>
      </c>
      <c r="D183" s="177" t="s">
        <v>151</v>
      </c>
      <c r="G183" s="8"/>
      <c r="H183" s="53" t="s">
        <v>157</v>
      </c>
      <c r="P183" s="335"/>
      <c r="Q183" s="335"/>
      <c r="R183" s="335"/>
      <c r="S183" s="335"/>
      <c r="T183" s="335"/>
      <c r="U183" s="335"/>
      <c r="V183" s="346"/>
      <c r="W183" s="215">
        <f t="shared" si="179"/>
        <v>0</v>
      </c>
      <c r="X183" s="215">
        <f t="shared" si="179"/>
        <v>0</v>
      </c>
      <c r="Y183" s="215">
        <f t="shared" si="179"/>
        <v>0</v>
      </c>
      <c r="Z183" s="6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c r="BI183" s="147"/>
      <c r="BJ183" s="147"/>
      <c r="BK183" s="67"/>
      <c r="BL183" s="13">
        <f t="shared" si="173"/>
        <v>0</v>
      </c>
      <c r="BM183" s="13">
        <f t="shared" si="174"/>
        <v>0</v>
      </c>
      <c r="BN183" s="13">
        <f t="shared" si="175"/>
        <v>0</v>
      </c>
      <c r="BO183" s="13">
        <f t="shared" si="176"/>
        <v>0</v>
      </c>
      <c r="BP183" s="141"/>
      <c r="BQ183" s="141"/>
      <c r="BR183" s="141"/>
      <c r="BS183" s="141"/>
      <c r="BT183" s="141"/>
      <c r="BU183" s="141"/>
      <c r="BV183" s="141"/>
      <c r="BW183" s="141"/>
      <c r="BY183" s="12"/>
      <c r="BZ183" s="363">
        <f>IF(MAX($V183:$BW183)&gt;0, 1, 0)</f>
        <v>0</v>
      </c>
      <c r="CA183" s="12"/>
      <c r="CF183" s="7">
        <f t="shared" si="177"/>
        <v>0</v>
      </c>
      <c r="CG183" s="12"/>
      <c r="CH183" s="11">
        <v>1</v>
      </c>
      <c r="CI183" s="11">
        <v>1</v>
      </c>
      <c r="CJ183" s="11">
        <v>0</v>
      </c>
      <c r="EX183" s="13" t="str">
        <f t="shared" si="178"/>
        <v xml:space="preserve">Local Government Pension Scheme Provision Employer Contributions </v>
      </c>
    </row>
    <row r="184" spans="1:154" s="67" customFormat="1" x14ac:dyDescent="0.25">
      <c r="A184" s="362" cm="1">
        <f t="array" aca="1" ref="A184" ca="1">HYPERLINK(CONCATENATE("#",CELL("address",IF(SUM($CA184:$CG184)=0,A184,INDEX($CA184:$CG184,MATCH(1,$CA184:$CG184,0))))),SUM($CA184:$CG184))</f>
        <v>0</v>
      </c>
      <c r="B184" s="2"/>
      <c r="C184" s="340" t="s">
        <v>1405</v>
      </c>
      <c r="D184" s="183" t="s">
        <v>298</v>
      </c>
      <c r="G184" s="8"/>
      <c r="H184" s="53" t="s">
        <v>157</v>
      </c>
      <c r="P184" s="335"/>
      <c r="Q184" s="335"/>
      <c r="R184" s="335"/>
      <c r="S184" s="335"/>
      <c r="T184" s="335"/>
      <c r="U184" s="335"/>
      <c r="V184" s="346"/>
      <c r="W184" s="215">
        <f t="shared" si="179"/>
        <v>0</v>
      </c>
      <c r="X184" s="215">
        <f t="shared" si="179"/>
        <v>0</v>
      </c>
      <c r="Y184" s="215">
        <f t="shared" si="179"/>
        <v>0</v>
      </c>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c r="BI184" s="147"/>
      <c r="BJ184" s="147"/>
      <c r="BL184" s="13">
        <f t="shared" si="173"/>
        <v>0</v>
      </c>
      <c r="BM184" s="13">
        <f t="shared" si="174"/>
        <v>0</v>
      </c>
      <c r="BN184" s="13">
        <f t="shared" si="175"/>
        <v>0</v>
      </c>
      <c r="BO184" s="13">
        <f t="shared" si="176"/>
        <v>0</v>
      </c>
      <c r="BP184" s="141"/>
      <c r="BQ184" s="141"/>
      <c r="BR184" s="141"/>
      <c r="BS184" s="141"/>
      <c r="BT184" s="141"/>
      <c r="BU184" s="141"/>
      <c r="BV184" s="141"/>
      <c r="BW184" s="141"/>
      <c r="BY184" s="12"/>
      <c r="BZ184" s="363">
        <f>IF(MAX($V184:$BW184)&gt;0, 1, 0)</f>
        <v>0</v>
      </c>
      <c r="CA184" s="12"/>
      <c r="CE184" s="335"/>
      <c r="CF184" s="7">
        <f t="shared" si="177"/>
        <v>0</v>
      </c>
      <c r="CG184" s="12"/>
      <c r="CH184" s="67">
        <v>1</v>
      </c>
      <c r="CI184" s="67">
        <v>1</v>
      </c>
      <c r="CJ184" s="67">
        <v>0</v>
      </c>
      <c r="EU184" s="335"/>
      <c r="EX184" s="13" t="str">
        <f t="shared" si="178"/>
        <v xml:space="preserve">Local Government Pension Scheme Provision Past Service Deficit Employer Contributions </v>
      </c>
    </row>
    <row r="185" spans="1:154" x14ac:dyDescent="0.25">
      <c r="A185" s="362" cm="1">
        <f t="array" aca="1" ref="A185" ca="1">HYPERLINK(CONCATENATE("#",CELL("address",IF(SUM($CA185:$CG185)=0,A185,INDEX($CA185:$CG185,MATCH(1,$CA185:$CG185,0))))),SUM($CA185:$CG185))</f>
        <v>0</v>
      </c>
      <c r="C185" s="340" t="s">
        <v>1406</v>
      </c>
      <c r="D185" s="177" t="s">
        <v>152</v>
      </c>
      <c r="G185" s="8"/>
      <c r="H185" s="53" t="s">
        <v>125</v>
      </c>
      <c r="P185" s="335"/>
      <c r="Q185" s="335"/>
      <c r="R185" s="335"/>
      <c r="S185" s="335"/>
      <c r="T185" s="335"/>
      <c r="U185" s="335"/>
      <c r="V185" s="346"/>
      <c r="W185" s="215">
        <f t="shared" si="179"/>
        <v>0</v>
      </c>
      <c r="X185" s="215">
        <f t="shared" si="179"/>
        <v>0</v>
      </c>
      <c r="Y185" s="215">
        <f t="shared" si="179"/>
        <v>0</v>
      </c>
      <c r="Z185" s="6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c r="BI185" s="147"/>
      <c r="BJ185" s="147"/>
      <c r="BK185" s="67"/>
      <c r="BL185" s="13">
        <f t="shared" si="173"/>
        <v>0</v>
      </c>
      <c r="BM185" s="13">
        <f t="shared" si="174"/>
        <v>0</v>
      </c>
      <c r="BN185" s="13">
        <f t="shared" si="175"/>
        <v>0</v>
      </c>
      <c r="BO185" s="13">
        <f t="shared" si="176"/>
        <v>0</v>
      </c>
      <c r="BP185" s="141"/>
      <c r="BQ185" s="141"/>
      <c r="BR185" s="141"/>
      <c r="BS185" s="141"/>
      <c r="BT185" s="141"/>
      <c r="BU185" s="141"/>
      <c r="BV185" s="141"/>
      <c r="BW185" s="141"/>
      <c r="BY185" s="12"/>
      <c r="BZ185" s="363">
        <f>IF(MIN($V185:$BW185)&lt;0, 1, 0)</f>
        <v>0</v>
      </c>
      <c r="CA185" s="12"/>
      <c r="CF185" s="7">
        <f t="shared" si="177"/>
        <v>0</v>
      </c>
      <c r="CG185" s="12"/>
      <c r="CH185" s="11">
        <v>1</v>
      </c>
      <c r="CI185" s="11">
        <v>1</v>
      </c>
      <c r="CJ185" s="11">
        <v>0</v>
      </c>
      <c r="EX185" s="13" t="str">
        <f t="shared" si="178"/>
        <v>Local Government Pension Scheme Provision Past service costs</v>
      </c>
    </row>
    <row r="186" spans="1:154" x14ac:dyDescent="0.25">
      <c r="A186" s="362" cm="1">
        <f t="array" aca="1" ref="A186" ca="1">HYPERLINK(CONCATENATE("#",CELL("address",IF(SUM($CA186:$CG186)=0,A186,INDEX($CA186:$CG186,MATCH(1,$CA186:$CG186,0))))),SUM($CA186:$CG186))</f>
        <v>0</v>
      </c>
      <c r="C186" s="340" t="s">
        <v>1407</v>
      </c>
      <c r="D186" s="184" t="s">
        <v>153</v>
      </c>
      <c r="G186" s="8"/>
      <c r="H186" s="53" t="s">
        <v>125</v>
      </c>
      <c r="P186" s="335"/>
      <c r="Q186" s="335"/>
      <c r="R186" s="335"/>
      <c r="S186" s="335"/>
      <c r="T186" s="335"/>
      <c r="U186" s="335"/>
      <c r="V186" s="346"/>
      <c r="W186" s="215">
        <f t="shared" si="179"/>
        <v>0</v>
      </c>
      <c r="X186" s="215">
        <f t="shared" si="179"/>
        <v>0</v>
      </c>
      <c r="Y186" s="215">
        <f t="shared" si="179"/>
        <v>0</v>
      </c>
      <c r="Z186" s="67"/>
      <c r="AA186" s="147"/>
      <c r="AB186" s="147"/>
      <c r="AC186" s="147"/>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c r="BI186" s="147"/>
      <c r="BJ186" s="147"/>
      <c r="BK186" s="67"/>
      <c r="BL186" s="13">
        <f t="shared" si="173"/>
        <v>0</v>
      </c>
      <c r="BM186" s="13">
        <f t="shared" si="174"/>
        <v>0</v>
      </c>
      <c r="BN186" s="13">
        <f t="shared" si="175"/>
        <v>0</v>
      </c>
      <c r="BO186" s="13">
        <f t="shared" si="176"/>
        <v>0</v>
      </c>
      <c r="BP186" s="141"/>
      <c r="BQ186" s="141"/>
      <c r="BR186" s="141"/>
      <c r="BS186" s="141"/>
      <c r="BT186" s="141"/>
      <c r="BU186" s="141"/>
      <c r="BV186" s="141"/>
      <c r="BW186" s="141"/>
      <c r="BY186" s="12"/>
      <c r="BZ186" s="363">
        <f>IF(MIN($V186:$BW186)&lt;0, 1, 0)</f>
        <v>0</v>
      </c>
      <c r="CA186" s="12"/>
      <c r="CF186" s="7">
        <f t="shared" si="177"/>
        <v>0</v>
      </c>
      <c r="CG186" s="12"/>
      <c r="CH186" s="11">
        <v>1</v>
      </c>
      <c r="CI186" s="11">
        <v>1</v>
      </c>
      <c r="CJ186" s="11">
        <v>0</v>
      </c>
      <c r="EX186" s="13" t="str">
        <f t="shared" si="178"/>
        <v>Local Government Pension Scheme Provision Curtailments and settlements</v>
      </c>
    </row>
    <row r="187" spans="1:154" x14ac:dyDescent="0.25">
      <c r="A187" s="362" cm="1">
        <f t="array" aca="1" ref="A187" ca="1">HYPERLINK(CONCATENATE("#",CELL("address",IF(SUM($CA187:$CG187)=0,A187,INDEX($CA187:$CG187,MATCH(1,$CA187:$CG187,0))))),SUM($CA187:$CG187))</f>
        <v>0</v>
      </c>
      <c r="C187" s="340" t="s">
        <v>1408</v>
      </c>
      <c r="D187" s="177" t="s">
        <v>154</v>
      </c>
      <c r="G187" s="8"/>
      <c r="H187" s="53" t="s">
        <v>8</v>
      </c>
      <c r="P187" s="335"/>
      <c r="Q187" s="335"/>
      <c r="R187" s="335"/>
      <c r="S187" s="335"/>
      <c r="T187" s="335"/>
      <c r="U187" s="335"/>
      <c r="V187" s="346"/>
      <c r="W187" s="215">
        <f t="shared" si="179"/>
        <v>0</v>
      </c>
      <c r="X187" s="215">
        <f t="shared" si="179"/>
        <v>0</v>
      </c>
      <c r="Y187" s="215">
        <f t="shared" si="179"/>
        <v>0</v>
      </c>
      <c r="Z187" s="6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c r="BI187" s="147"/>
      <c r="BJ187" s="147"/>
      <c r="BK187" s="67"/>
      <c r="BL187" s="13">
        <f t="shared" si="173"/>
        <v>0</v>
      </c>
      <c r="BM187" s="13">
        <f t="shared" si="174"/>
        <v>0</v>
      </c>
      <c r="BN187" s="13">
        <f t="shared" si="175"/>
        <v>0</v>
      </c>
      <c r="BO187" s="13">
        <f t="shared" si="176"/>
        <v>0</v>
      </c>
      <c r="BP187" s="141"/>
      <c r="BQ187" s="141"/>
      <c r="BR187" s="141"/>
      <c r="BS187" s="141"/>
      <c r="BT187" s="141"/>
      <c r="BU187" s="141"/>
      <c r="BV187" s="141"/>
      <c r="BW187" s="141"/>
      <c r="BY187" s="12"/>
      <c r="CA187" s="12"/>
      <c r="CF187" s="7">
        <f t="shared" si="177"/>
        <v>0</v>
      </c>
      <c r="CG187" s="12"/>
      <c r="CH187" s="11">
        <v>1</v>
      </c>
      <c r="CI187" s="11">
        <v>1</v>
      </c>
      <c r="CJ187" s="11">
        <v>0</v>
      </c>
      <c r="EX187" s="13" t="str">
        <f t="shared" si="178"/>
        <v>Local Government Pension Scheme Provision Expected return on pension assets</v>
      </c>
    </row>
    <row r="188" spans="1:154" x14ac:dyDescent="0.25">
      <c r="A188" s="362" cm="1">
        <f t="array" aca="1" ref="A188" ca="1">HYPERLINK(CONCATENATE("#",CELL("address",IF(SUM($CA188:$CG188)=0,A188,INDEX($CA188:$CG188,MATCH(1,$CA188:$CG188,0))))),SUM($CA188:$CG188))</f>
        <v>0</v>
      </c>
      <c r="B188" s="67"/>
      <c r="C188" s="340" t="s">
        <v>1409</v>
      </c>
      <c r="D188" s="177" t="s">
        <v>155</v>
      </c>
      <c r="G188" s="8"/>
      <c r="H188" s="53" t="s">
        <v>125</v>
      </c>
      <c r="P188" s="335"/>
      <c r="Q188" s="335"/>
      <c r="R188" s="335"/>
      <c r="S188" s="335"/>
      <c r="T188" s="335"/>
      <c r="U188" s="335"/>
      <c r="V188" s="346"/>
      <c r="W188" s="215">
        <f t="shared" si="179"/>
        <v>0</v>
      </c>
      <c r="X188" s="215">
        <f t="shared" si="179"/>
        <v>0</v>
      </c>
      <c r="Y188" s="215">
        <f t="shared" si="179"/>
        <v>0</v>
      </c>
      <c r="Z188" s="6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67"/>
      <c r="BL188" s="13">
        <f t="shared" si="173"/>
        <v>0</v>
      </c>
      <c r="BM188" s="13">
        <f t="shared" si="174"/>
        <v>0</v>
      </c>
      <c r="BN188" s="13">
        <f t="shared" si="175"/>
        <v>0</v>
      </c>
      <c r="BO188" s="13">
        <f t="shared" si="176"/>
        <v>0</v>
      </c>
      <c r="BP188" s="141"/>
      <c r="BQ188" s="141"/>
      <c r="BR188" s="141"/>
      <c r="BS188" s="141"/>
      <c r="BT188" s="141"/>
      <c r="BU188" s="141"/>
      <c r="BV188" s="141"/>
      <c r="BW188" s="141"/>
      <c r="BY188" s="12"/>
      <c r="BZ188" s="363">
        <f>IF(MIN($V188:$BW188)&lt;0, 1, 0)</f>
        <v>0</v>
      </c>
      <c r="CA188" s="12"/>
      <c r="CF188" s="7">
        <f t="shared" si="177"/>
        <v>0</v>
      </c>
      <c r="CG188" s="12"/>
      <c r="CH188" s="11">
        <v>1</v>
      </c>
      <c r="CI188" s="11">
        <v>1</v>
      </c>
      <c r="CJ188" s="11">
        <v>0</v>
      </c>
      <c r="EX188" s="13" t="str">
        <f t="shared" si="178"/>
        <v>Local Government Pension Scheme Provision Interest on pension liabilities</v>
      </c>
    </row>
    <row r="189" spans="1:154" x14ac:dyDescent="0.25">
      <c r="A189" s="362" cm="1">
        <f t="array" aca="1" ref="A189" ca="1">HYPERLINK(CONCATENATE("#",CELL("address",IF(SUM($CA189:$CG189)=0,A189,INDEX($CA189:$CG189,MATCH(1,$CA189:$CG189,0))))),SUM($CA189:$CG189))</f>
        <v>0</v>
      </c>
      <c r="B189" s="67"/>
      <c r="C189" s="340" t="s">
        <v>1410</v>
      </c>
      <c r="D189" s="177" t="s">
        <v>918</v>
      </c>
      <c r="G189" s="52"/>
      <c r="H189" s="53" t="s">
        <v>8</v>
      </c>
      <c r="P189" s="335"/>
      <c r="Q189" s="335"/>
      <c r="R189" s="335"/>
      <c r="S189" s="335"/>
      <c r="T189" s="335"/>
      <c r="U189" s="335"/>
      <c r="V189" s="346"/>
      <c r="W189" s="215">
        <f t="shared" si="179"/>
        <v>0</v>
      </c>
      <c r="X189" s="215">
        <f t="shared" si="179"/>
        <v>0</v>
      </c>
      <c r="Y189" s="215">
        <f t="shared" si="179"/>
        <v>0</v>
      </c>
      <c r="Z189" s="67"/>
      <c r="AA189" s="147"/>
      <c r="AB189" s="147"/>
      <c r="AC189" s="147"/>
      <c r="AD189" s="147"/>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c r="BI189" s="147"/>
      <c r="BJ189" s="147"/>
      <c r="BK189" s="67"/>
      <c r="BL189" s="13">
        <f t="shared" si="173"/>
        <v>0</v>
      </c>
      <c r="BM189" s="13">
        <f t="shared" si="174"/>
        <v>0</v>
      </c>
      <c r="BN189" s="13">
        <f t="shared" si="175"/>
        <v>0</v>
      </c>
      <c r="BO189" s="13">
        <f t="shared" si="176"/>
        <v>0</v>
      </c>
      <c r="BP189" s="141"/>
      <c r="BQ189" s="141"/>
      <c r="BR189" s="141"/>
      <c r="BS189" s="141"/>
      <c r="BT189" s="141"/>
      <c r="BU189" s="141"/>
      <c r="BV189" s="141"/>
      <c r="BW189" s="141"/>
      <c r="BY189" s="12"/>
      <c r="CA189" s="12"/>
      <c r="CF189" s="7">
        <f t="shared" si="177"/>
        <v>0</v>
      </c>
      <c r="CG189" s="12"/>
      <c r="CH189" s="11">
        <v>1</v>
      </c>
      <c r="CI189" s="11">
        <v>1</v>
      </c>
      <c r="CJ189" s="11">
        <v>0</v>
      </c>
      <c r="EX189" s="13" t="str">
        <f t="shared" si="178"/>
        <v>Local Government Pension Scheme Provision Actuarial (gain)/loss</v>
      </c>
    </row>
    <row r="190" spans="1:154" ht="15.75" x14ac:dyDescent="0.3">
      <c r="A190" s="362" cm="1">
        <f t="array" aca="1" ref="A190" ca="1">HYPERLINK(CONCATENATE("#",CELL("address",IF(SUM($CA190:$CG190)=0,A190,INDEX($CA190:$CG190,MATCH(1,$CA190:$CG190,0))))),SUM($CA190:$CG190))</f>
        <v>0</v>
      </c>
      <c r="C190" s="340" t="s">
        <v>1411</v>
      </c>
      <c r="D190" s="177" t="s">
        <v>156</v>
      </c>
      <c r="E190" s="479" t="s">
        <v>335</v>
      </c>
      <c r="G190" s="52"/>
      <c r="H190" s="53" t="s">
        <v>157</v>
      </c>
      <c r="P190" s="335"/>
      <c r="Q190" s="335"/>
      <c r="R190" s="335"/>
      <c r="S190" s="335"/>
      <c r="T190" s="335"/>
      <c r="U190" s="335"/>
      <c r="V190" s="346"/>
      <c r="W190" s="215">
        <f t="shared" si="179"/>
        <v>0</v>
      </c>
      <c r="X190" s="215">
        <f t="shared" si="179"/>
        <v>0</v>
      </c>
      <c r="Y190" s="215">
        <f t="shared" si="179"/>
        <v>0</v>
      </c>
      <c r="Z190" s="67"/>
      <c r="AA190" s="147"/>
      <c r="AB190" s="147"/>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c r="BI190" s="147"/>
      <c r="BJ190" s="147"/>
      <c r="BK190" s="67"/>
      <c r="BL190" s="13">
        <f t="shared" si="173"/>
        <v>0</v>
      </c>
      <c r="BM190" s="13">
        <f t="shared" si="174"/>
        <v>0</v>
      </c>
      <c r="BN190" s="13">
        <f t="shared" si="175"/>
        <v>0</v>
      </c>
      <c r="BO190" s="13">
        <f t="shared" si="176"/>
        <v>0</v>
      </c>
      <c r="BP190" s="141"/>
      <c r="BQ190" s="141"/>
      <c r="BR190" s="141"/>
      <c r="BS190" s="141"/>
      <c r="BT190" s="141"/>
      <c r="BU190" s="141"/>
      <c r="BV190" s="141"/>
      <c r="BW190" s="141"/>
      <c r="BY190" s="12"/>
      <c r="BZ190" s="363">
        <f>IF(MAX($V190:$BW190)&gt;0, 1, 0)</f>
        <v>0</v>
      </c>
      <c r="CA190" s="12"/>
      <c r="CF190" s="7">
        <f t="shared" si="177"/>
        <v>0</v>
      </c>
      <c r="CG190" s="12"/>
      <c r="CH190" s="11">
        <v>1</v>
      </c>
      <c r="CI190" s="11">
        <v>1</v>
      </c>
      <c r="CJ190" s="11">
        <v>0</v>
      </c>
      <c r="EX190" s="13" t="str">
        <f t="shared" si="178"/>
        <v>Local Government Pension Scheme Provision Lumpsum settlement payment</v>
      </c>
    </row>
    <row r="191" spans="1:154" x14ac:dyDescent="0.25">
      <c r="A191" s="362" cm="1">
        <f t="array" aca="1" ref="A191" ca="1">HYPERLINK(CONCATENATE("#",CELL("address",IF(SUM($CA191:$CG191)=0,A191,INDEX($CA191:$CG191,MATCH(1,$CA191:$CG191,0))))),SUM($CA191:$CG191))</f>
        <v>0</v>
      </c>
      <c r="C191" s="340" t="s">
        <v>1412</v>
      </c>
      <c r="D191" s="177" t="s">
        <v>149</v>
      </c>
      <c r="E191" s="490" t="s">
        <v>2356</v>
      </c>
      <c r="G191" s="52"/>
      <c r="H191" s="53" t="s">
        <v>8</v>
      </c>
      <c r="P191" s="335"/>
      <c r="Q191" s="335"/>
      <c r="R191" s="335"/>
      <c r="S191" s="335"/>
      <c r="T191" s="335"/>
      <c r="U191" s="335"/>
      <c r="V191" s="346"/>
      <c r="W191" s="215">
        <f t="shared" si="179"/>
        <v>0</v>
      </c>
      <c r="X191" s="215">
        <f t="shared" si="179"/>
        <v>0</v>
      </c>
      <c r="Y191" s="215">
        <f t="shared" si="179"/>
        <v>0</v>
      </c>
      <c r="Z191" s="6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c r="BI191" s="147"/>
      <c r="BJ191" s="147"/>
      <c r="BK191" s="67"/>
      <c r="BL191" s="13">
        <f t="shared" si="173"/>
        <v>0</v>
      </c>
      <c r="BM191" s="13">
        <f t="shared" si="174"/>
        <v>0</v>
      </c>
      <c r="BN191" s="13">
        <f t="shared" si="175"/>
        <v>0</v>
      </c>
      <c r="BO191" s="13">
        <f t="shared" si="176"/>
        <v>0</v>
      </c>
      <c r="BP191" s="141"/>
      <c r="BQ191" s="141"/>
      <c r="BR191" s="141"/>
      <c r="BS191" s="141"/>
      <c r="BT191" s="141"/>
      <c r="BU191" s="141"/>
      <c r="BV191" s="141"/>
      <c r="BW191" s="141"/>
      <c r="BY191" s="12"/>
      <c r="CA191" s="12"/>
      <c r="CF191" s="7">
        <f t="shared" si="177"/>
        <v>0</v>
      </c>
      <c r="CG191" s="12"/>
      <c r="CH191" s="11">
        <v>1</v>
      </c>
      <c r="CI191" s="11">
        <v>1</v>
      </c>
      <c r="CJ191" s="11">
        <v>0</v>
      </c>
      <c r="EX191" s="13" t="str">
        <f t="shared" si="178"/>
        <v>Local Government Pension Scheme Provision Movement due to mergers</v>
      </c>
    </row>
    <row r="192" spans="1:154" x14ac:dyDescent="0.25">
      <c r="A192" s="362" cm="1">
        <f t="array" aca="1" ref="A192" ca="1">HYPERLINK(CONCATENATE("#",CELL("address",IF(SUM($CA192:$CG192)=0,A192,INDEX($CA192:$CG192,MATCH(1,$CA192:$CG192,0))))),SUM($CA192:$CG192))</f>
        <v>0</v>
      </c>
      <c r="C192" s="343" t="str">
        <f>REPLACE('Opening Balances'!$C$66, LEN('Opening Balances'!$C$66)-1, 1, "C")</f>
        <v>B-7a-CB</v>
      </c>
      <c r="D192" s="93" t="s">
        <v>97</v>
      </c>
      <c r="E192" s="352">
        <f>ROUND(V192-SUM(V181:V191), rounding)*$V$10</f>
        <v>0</v>
      </c>
      <c r="G192" s="8"/>
      <c r="H192" s="47" t="s">
        <v>125</v>
      </c>
      <c r="O192" s="335"/>
      <c r="P192" s="335"/>
      <c r="Q192" s="335"/>
      <c r="R192" s="335"/>
      <c r="S192" s="335"/>
      <c r="T192" s="335"/>
      <c r="U192" s="335"/>
      <c r="V192" s="13">
        <f>'Opening Balances'!W66</f>
        <v>20870</v>
      </c>
      <c r="W192" s="10">
        <f>SUM(W181:W191)</f>
        <v>20870</v>
      </c>
      <c r="X192" s="10">
        <f>SUM(X181:X191)</f>
        <v>20870</v>
      </c>
      <c r="Y192" s="10">
        <f t="shared" ref="Y192:BW192" si="180">SUM(Y181:Y191)</f>
        <v>20870</v>
      </c>
      <c r="Z192" s="67"/>
      <c r="AA192" s="10">
        <f t="shared" si="180"/>
        <v>20870</v>
      </c>
      <c r="AB192" s="10">
        <f t="shared" si="180"/>
        <v>20870</v>
      </c>
      <c r="AC192" s="10">
        <f t="shared" si="180"/>
        <v>20870</v>
      </c>
      <c r="AD192" s="10">
        <f t="shared" si="180"/>
        <v>20870</v>
      </c>
      <c r="AE192" s="10">
        <f t="shared" si="180"/>
        <v>20870</v>
      </c>
      <c r="AF192" s="10">
        <f t="shared" si="180"/>
        <v>20870</v>
      </c>
      <c r="AG192" s="10">
        <f t="shared" si="180"/>
        <v>20870</v>
      </c>
      <c r="AH192" s="10">
        <f t="shared" si="180"/>
        <v>20870</v>
      </c>
      <c r="AI192" s="10">
        <f t="shared" si="180"/>
        <v>20870</v>
      </c>
      <c r="AJ192" s="10">
        <f t="shared" si="180"/>
        <v>20870</v>
      </c>
      <c r="AK192" s="10">
        <f t="shared" si="180"/>
        <v>20870</v>
      </c>
      <c r="AL192" s="10">
        <f t="shared" si="180"/>
        <v>20870</v>
      </c>
      <c r="AM192" s="10">
        <f t="shared" si="180"/>
        <v>20870</v>
      </c>
      <c r="AN192" s="10">
        <f t="shared" si="180"/>
        <v>20870</v>
      </c>
      <c r="AO192" s="10">
        <f t="shared" si="180"/>
        <v>20870</v>
      </c>
      <c r="AP192" s="10">
        <f t="shared" si="180"/>
        <v>20870</v>
      </c>
      <c r="AQ192" s="10">
        <f t="shared" si="180"/>
        <v>20870</v>
      </c>
      <c r="AR192" s="10">
        <f t="shared" si="180"/>
        <v>20870</v>
      </c>
      <c r="AS192" s="10">
        <f t="shared" si="180"/>
        <v>20870</v>
      </c>
      <c r="AT192" s="10">
        <f t="shared" si="180"/>
        <v>20870</v>
      </c>
      <c r="AU192" s="10">
        <f t="shared" si="180"/>
        <v>20870</v>
      </c>
      <c r="AV192" s="10">
        <f t="shared" si="180"/>
        <v>20870</v>
      </c>
      <c r="AW192" s="10">
        <f t="shared" si="180"/>
        <v>20870</v>
      </c>
      <c r="AX192" s="10">
        <f t="shared" si="180"/>
        <v>20870</v>
      </c>
      <c r="AY192" s="10">
        <f t="shared" si="180"/>
        <v>20870</v>
      </c>
      <c r="AZ192" s="10">
        <f t="shared" si="180"/>
        <v>20870</v>
      </c>
      <c r="BA192" s="10">
        <f t="shared" si="180"/>
        <v>20870</v>
      </c>
      <c r="BB192" s="10">
        <f t="shared" si="180"/>
        <v>20870</v>
      </c>
      <c r="BC192" s="10">
        <f t="shared" si="180"/>
        <v>20870</v>
      </c>
      <c r="BD192" s="10">
        <f t="shared" si="180"/>
        <v>20870</v>
      </c>
      <c r="BE192" s="10">
        <f t="shared" si="180"/>
        <v>20870</v>
      </c>
      <c r="BF192" s="10">
        <f t="shared" si="180"/>
        <v>20870</v>
      </c>
      <c r="BG192" s="10">
        <f t="shared" si="180"/>
        <v>20870</v>
      </c>
      <c r="BH192" s="10">
        <f t="shared" si="180"/>
        <v>20870</v>
      </c>
      <c r="BI192" s="10">
        <f t="shared" si="180"/>
        <v>20870</v>
      </c>
      <c r="BJ192" s="10">
        <f t="shared" si="180"/>
        <v>20870</v>
      </c>
      <c r="BK192" s="67"/>
      <c r="BL192" s="13">
        <f t="shared" si="173"/>
        <v>20870</v>
      </c>
      <c r="BM192" s="13">
        <f t="shared" si="174"/>
        <v>20870</v>
      </c>
      <c r="BN192" s="13">
        <f t="shared" si="175"/>
        <v>20870</v>
      </c>
      <c r="BO192" s="13">
        <f t="shared" si="176"/>
        <v>20870</v>
      </c>
      <c r="BP192" s="10">
        <f t="shared" si="180"/>
        <v>20870</v>
      </c>
      <c r="BQ192" s="10">
        <f t="shared" si="180"/>
        <v>20870</v>
      </c>
      <c r="BR192" s="10">
        <f t="shared" si="180"/>
        <v>20870</v>
      </c>
      <c r="BS192" s="10">
        <f t="shared" si="180"/>
        <v>20870</v>
      </c>
      <c r="BT192" s="10">
        <f t="shared" si="180"/>
        <v>20870</v>
      </c>
      <c r="BU192" s="10">
        <f t="shared" si="180"/>
        <v>20870</v>
      </c>
      <c r="BV192" s="10">
        <f t="shared" si="180"/>
        <v>20870</v>
      </c>
      <c r="BW192" s="10">
        <f t="shared" si="180"/>
        <v>20870</v>
      </c>
      <c r="BY192" s="12"/>
      <c r="CA192" s="12"/>
      <c r="CE192" s="188">
        <f>IF(ABS($E192)&gt;Parameters!$D$33, 1, 0)</f>
        <v>0</v>
      </c>
      <c r="CF192" s="7">
        <f t="shared" si="177"/>
        <v>0</v>
      </c>
      <c r="CG192" s="12"/>
      <c r="CH192" s="11">
        <v>0</v>
      </c>
      <c r="CI192" s="11">
        <v>0</v>
      </c>
      <c r="CJ192" s="1">
        <v>1</v>
      </c>
      <c r="CK192" s="335"/>
      <c r="EX192" s="13" t="str">
        <f t="shared" si="178"/>
        <v>Local Government Pension Scheme Provision Closing Balance</v>
      </c>
    </row>
    <row r="193" spans="1:154" ht="8.1" customHeight="1" x14ac:dyDescent="0.25">
      <c r="C193" s="385"/>
      <c r="D193" s="177"/>
      <c r="O193" s="335"/>
      <c r="P193" s="335"/>
      <c r="Q193" s="335"/>
      <c r="R193" s="335"/>
      <c r="S193" s="335"/>
      <c r="T193" s="335"/>
      <c r="U193" s="335"/>
      <c r="V193" s="93"/>
      <c r="X193" s="11"/>
      <c r="Y193" s="11"/>
      <c r="BY193" s="12"/>
      <c r="CA193" s="12"/>
      <c r="CG193" s="12"/>
      <c r="CH193" s="11">
        <v>0</v>
      </c>
      <c r="CI193" s="11">
        <v>0</v>
      </c>
      <c r="CJ193" s="11">
        <v>0</v>
      </c>
      <c r="EX193" s="10" t="str">
        <f t="shared" ref="EX193:EX194" si="181">IF($C193="","",$D193)</f>
        <v/>
      </c>
    </row>
    <row r="194" spans="1:154" x14ac:dyDescent="0.25">
      <c r="B194" s="29"/>
      <c r="C194" s="385"/>
      <c r="D194" s="185" t="s">
        <v>148</v>
      </c>
      <c r="O194" s="335"/>
      <c r="P194" s="335"/>
      <c r="Q194" s="335"/>
      <c r="R194" s="335"/>
      <c r="S194" s="335"/>
      <c r="T194" s="335"/>
      <c r="U194" s="335"/>
      <c r="X194" s="11"/>
      <c r="Y194" s="11"/>
      <c r="AM194" s="335"/>
      <c r="AN194" s="335"/>
      <c r="BY194" s="12"/>
      <c r="CA194" s="12"/>
      <c r="CG194" s="12"/>
      <c r="CH194" s="11">
        <v>0</v>
      </c>
      <c r="CI194" s="11">
        <v>0</v>
      </c>
      <c r="CJ194" s="11">
        <v>0</v>
      </c>
      <c r="EX194" s="10" t="str">
        <f t="shared" si="181"/>
        <v/>
      </c>
    </row>
    <row r="195" spans="1:154" x14ac:dyDescent="0.25">
      <c r="A195" s="362" cm="1">
        <f t="array" aca="1" ref="A195" ca="1">HYPERLINK(CONCATENATE("#",CELL("address",IF(SUM($CA195:$CG195)=0,A195,INDEX($CA195:$CG195,MATCH(1,$CA195:$CG195,0))))),SUM($CA195:$CG195))</f>
        <v>0</v>
      </c>
      <c r="C195" s="340" t="str">
        <f>CONCATENATE("BS-",'Opening Balances'!$C$67)</f>
        <v>BS-B-7b-OB</v>
      </c>
      <c r="D195" s="177" t="s">
        <v>91</v>
      </c>
      <c r="G195" s="8"/>
      <c r="H195" s="47" t="s">
        <v>125</v>
      </c>
      <c r="P195" s="335"/>
      <c r="Q195" s="335"/>
      <c r="R195" s="335"/>
      <c r="S195" s="335"/>
      <c r="T195" s="335"/>
      <c r="U195" s="335"/>
      <c r="V195" s="373">
        <f>'Opening Balances'!$V$67</f>
        <v>0</v>
      </c>
      <c r="W195" s="10">
        <f>V201</f>
        <v>148</v>
      </c>
      <c r="X195" s="10">
        <f t="shared" ref="X195:BW195" si="182">W201</f>
        <v>154</v>
      </c>
      <c r="Y195" s="10">
        <f t="shared" si="182"/>
        <v>160</v>
      </c>
      <c r="Z195" s="67"/>
      <c r="AA195" s="10">
        <f>W195</f>
        <v>148</v>
      </c>
      <c r="AB195" s="10">
        <f t="shared" si="182"/>
        <v>148</v>
      </c>
      <c r="AC195" s="10">
        <f t="shared" si="182"/>
        <v>148</v>
      </c>
      <c r="AD195" s="10">
        <f t="shared" si="182"/>
        <v>148</v>
      </c>
      <c r="AE195" s="10">
        <f t="shared" si="182"/>
        <v>148</v>
      </c>
      <c r="AF195" s="10">
        <f t="shared" si="182"/>
        <v>148</v>
      </c>
      <c r="AG195" s="10">
        <f t="shared" si="182"/>
        <v>148</v>
      </c>
      <c r="AH195" s="10">
        <f t="shared" si="182"/>
        <v>148</v>
      </c>
      <c r="AI195" s="10">
        <f t="shared" si="182"/>
        <v>148</v>
      </c>
      <c r="AJ195" s="10">
        <f t="shared" si="182"/>
        <v>148</v>
      </c>
      <c r="AK195" s="10">
        <f t="shared" si="182"/>
        <v>148</v>
      </c>
      <c r="AL195" s="10">
        <f t="shared" si="182"/>
        <v>148</v>
      </c>
      <c r="AM195" s="10">
        <f t="shared" si="182"/>
        <v>154</v>
      </c>
      <c r="AN195" s="10">
        <f t="shared" si="182"/>
        <v>154</v>
      </c>
      <c r="AO195" s="10">
        <f t="shared" si="182"/>
        <v>154</v>
      </c>
      <c r="AP195" s="10">
        <f t="shared" si="182"/>
        <v>154</v>
      </c>
      <c r="AQ195" s="10">
        <f t="shared" si="182"/>
        <v>154</v>
      </c>
      <c r="AR195" s="10">
        <f t="shared" si="182"/>
        <v>154</v>
      </c>
      <c r="AS195" s="10">
        <f t="shared" si="182"/>
        <v>154</v>
      </c>
      <c r="AT195" s="10">
        <f t="shared" si="182"/>
        <v>154</v>
      </c>
      <c r="AU195" s="10">
        <f t="shared" si="182"/>
        <v>154</v>
      </c>
      <c r="AV195" s="10">
        <f t="shared" si="182"/>
        <v>154</v>
      </c>
      <c r="AW195" s="10">
        <f t="shared" si="182"/>
        <v>154</v>
      </c>
      <c r="AX195" s="10">
        <f t="shared" si="182"/>
        <v>154</v>
      </c>
      <c r="AY195" s="10">
        <f t="shared" si="182"/>
        <v>160</v>
      </c>
      <c r="AZ195" s="10">
        <f t="shared" si="182"/>
        <v>160</v>
      </c>
      <c r="BA195" s="10">
        <f t="shared" si="182"/>
        <v>160</v>
      </c>
      <c r="BB195" s="10">
        <f t="shared" si="182"/>
        <v>160</v>
      </c>
      <c r="BC195" s="10">
        <f t="shared" si="182"/>
        <v>160</v>
      </c>
      <c r="BD195" s="10">
        <f t="shared" si="182"/>
        <v>160</v>
      </c>
      <c r="BE195" s="10">
        <f t="shared" si="182"/>
        <v>160</v>
      </c>
      <c r="BF195" s="10">
        <f t="shared" si="182"/>
        <v>160</v>
      </c>
      <c r="BG195" s="10">
        <f t="shared" si="182"/>
        <v>160</v>
      </c>
      <c r="BH195" s="10">
        <f t="shared" si="182"/>
        <v>160</v>
      </c>
      <c r="BI195" s="10">
        <f t="shared" si="182"/>
        <v>160</v>
      </c>
      <c r="BJ195" s="10">
        <f t="shared" si="182"/>
        <v>160</v>
      </c>
      <c r="BK195" s="67"/>
      <c r="BL195" s="13">
        <f t="shared" ref="BL195:BO201" si="183">V195</f>
        <v>0</v>
      </c>
      <c r="BM195" s="13">
        <f t="shared" si="183"/>
        <v>148</v>
      </c>
      <c r="BN195" s="13">
        <f t="shared" si="183"/>
        <v>154</v>
      </c>
      <c r="BO195" s="13">
        <f t="shared" si="183"/>
        <v>160</v>
      </c>
      <c r="BP195" s="10">
        <f t="shared" si="182"/>
        <v>166</v>
      </c>
      <c r="BQ195" s="10">
        <f t="shared" si="182"/>
        <v>166</v>
      </c>
      <c r="BR195" s="10">
        <f t="shared" si="182"/>
        <v>166</v>
      </c>
      <c r="BS195" s="10">
        <f t="shared" si="182"/>
        <v>166</v>
      </c>
      <c r="BT195" s="10">
        <f t="shared" si="182"/>
        <v>166</v>
      </c>
      <c r="BU195" s="10">
        <f t="shared" si="182"/>
        <v>166</v>
      </c>
      <c r="BV195" s="10">
        <f t="shared" si="182"/>
        <v>166</v>
      </c>
      <c r="BW195" s="10">
        <f t="shared" si="182"/>
        <v>166</v>
      </c>
      <c r="BY195" s="12"/>
      <c r="CA195" s="12"/>
      <c r="CF195" s="7">
        <f t="shared" ref="CF195:CF201" si="184">IF(SUM(V195:Y195)=SUM(BL195:BO195), 0, 1)</f>
        <v>0</v>
      </c>
      <c r="CG195" s="12"/>
      <c r="CH195" s="11">
        <v>0</v>
      </c>
      <c r="CI195" s="11">
        <v>0</v>
      </c>
      <c r="CJ195" s="11">
        <v>0</v>
      </c>
      <c r="EX195" s="13" t="str">
        <f t="shared" ref="EX195:EX201" si="185">IF($C195="", "",CONCATENATE(D$194, " ", D195))</f>
        <v>Enhanced Pension Provision Opening Balance</v>
      </c>
    </row>
    <row r="196" spans="1:154" x14ac:dyDescent="0.25">
      <c r="A196" s="362" cm="1">
        <f t="array" aca="1" ref="A196" ca="1">HYPERLINK(CONCATENATE("#",CELL("address",IF(SUM($CA196:$CG196)=0,A196,INDEX($CA196:$CG196,MATCH(1,$CA196:$CG196,0))))),SUM($CA196:$CG196))</f>
        <v>0</v>
      </c>
      <c r="C196" s="340" t="s">
        <v>1413</v>
      </c>
      <c r="D196" s="177" t="s">
        <v>2405</v>
      </c>
      <c r="E196" s="335"/>
      <c r="G196" s="8"/>
      <c r="H196" s="47" t="s">
        <v>125</v>
      </c>
      <c r="P196" s="335"/>
      <c r="Q196" s="335"/>
      <c r="R196" s="335"/>
      <c r="S196" s="335"/>
      <c r="T196" s="335"/>
      <c r="U196" s="335"/>
      <c r="V196" s="141"/>
      <c r="W196" s="215">
        <f t="shared" ref="W196:Y200" si="186" xml:space="preserve"> SUMIFS($AA196:$BJ196, $AA$3:$BJ$3, W$3)</f>
        <v>0</v>
      </c>
      <c r="X196" s="215">
        <f t="shared" si="186"/>
        <v>0</v>
      </c>
      <c r="Y196" s="215">
        <f t="shared" si="186"/>
        <v>0</v>
      </c>
      <c r="Z196" s="67"/>
      <c r="AA196" s="147"/>
      <c r="AB196" s="147"/>
      <c r="AC196" s="147"/>
      <c r="AD196" s="147"/>
      <c r="AE196" s="147"/>
      <c r="AF196" s="147"/>
      <c r="AG196" s="147"/>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c r="BI196" s="147"/>
      <c r="BJ196" s="147"/>
      <c r="BK196" s="67"/>
      <c r="BL196" s="13">
        <f t="shared" si="183"/>
        <v>0</v>
      </c>
      <c r="BM196" s="13">
        <f t="shared" si="183"/>
        <v>0</v>
      </c>
      <c r="BN196" s="13">
        <f t="shared" si="183"/>
        <v>0</v>
      </c>
      <c r="BO196" s="13">
        <f t="shared" si="183"/>
        <v>0</v>
      </c>
      <c r="BP196" s="141"/>
      <c r="BQ196" s="141"/>
      <c r="BR196" s="141"/>
      <c r="BS196" s="141"/>
      <c r="BT196" s="141"/>
      <c r="BU196" s="141"/>
      <c r="BV196" s="141"/>
      <c r="BW196" s="141"/>
      <c r="BY196" s="12"/>
      <c r="BZ196" s="363">
        <f>IF(MIN($V196:$BW196)&lt;0, 1, 0)</f>
        <v>0</v>
      </c>
      <c r="CA196" s="12"/>
      <c r="CF196" s="7">
        <f t="shared" si="184"/>
        <v>0</v>
      </c>
      <c r="CG196" s="12"/>
      <c r="CH196" s="11">
        <v>1</v>
      </c>
      <c r="CI196" s="11">
        <v>1</v>
      </c>
      <c r="CJ196" s="11">
        <v>0</v>
      </c>
      <c r="EX196" s="13" t="str">
        <f t="shared" si="185"/>
        <v>Enhanced Pension Provision Additions in period</v>
      </c>
    </row>
    <row r="197" spans="1:154" x14ac:dyDescent="0.25">
      <c r="A197" s="362" cm="1">
        <f t="array" aca="1" ref="A197" ca="1">HYPERLINK(CONCATENATE("#",CELL("address",IF(SUM($CA197:$CG197)=0,A197,INDEX($CA197:$CG197,MATCH(1,$CA197:$CG197,0))))),SUM($CA197:$CG197))</f>
        <v>0</v>
      </c>
      <c r="B197" s="67"/>
      <c r="C197" s="340" t="s">
        <v>1414</v>
      </c>
      <c r="D197" s="177" t="s">
        <v>2407</v>
      </c>
      <c r="E197" s="335"/>
      <c r="G197" s="8"/>
      <c r="H197" s="53" t="s">
        <v>8</v>
      </c>
      <c r="P197" s="335"/>
      <c r="Q197" s="335"/>
      <c r="R197" s="335"/>
      <c r="S197" s="335"/>
      <c r="T197" s="335"/>
      <c r="U197" s="335"/>
      <c r="V197" s="345"/>
      <c r="W197" s="215">
        <f t="shared" si="186"/>
        <v>0</v>
      </c>
      <c r="X197" s="215">
        <f t="shared" si="186"/>
        <v>0</v>
      </c>
      <c r="Y197" s="215">
        <f t="shared" si="186"/>
        <v>0</v>
      </c>
      <c r="Z197" s="67"/>
      <c r="AA197" s="147"/>
      <c r="AB197" s="147"/>
      <c r="AC197" s="147"/>
      <c r="AD197" s="147"/>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c r="BI197" s="147"/>
      <c r="BJ197" s="147"/>
      <c r="BK197" s="67"/>
      <c r="BL197" s="13">
        <f t="shared" si="183"/>
        <v>0</v>
      </c>
      <c r="BM197" s="13">
        <f t="shared" si="183"/>
        <v>0</v>
      </c>
      <c r="BN197" s="13">
        <f t="shared" si="183"/>
        <v>0</v>
      </c>
      <c r="BO197" s="13">
        <f t="shared" si="183"/>
        <v>0</v>
      </c>
      <c r="BP197" s="141"/>
      <c r="BQ197" s="141"/>
      <c r="BR197" s="141"/>
      <c r="BS197" s="141"/>
      <c r="BT197" s="141"/>
      <c r="BU197" s="141"/>
      <c r="BV197" s="141"/>
      <c r="BW197" s="141"/>
      <c r="BY197" s="12"/>
      <c r="CA197" s="12"/>
      <c r="CF197" s="7">
        <f t="shared" si="184"/>
        <v>0</v>
      </c>
      <c r="CG197" s="12"/>
      <c r="CH197" s="11">
        <v>1</v>
      </c>
      <c r="CI197" s="11">
        <v>1</v>
      </c>
      <c r="CJ197" s="11">
        <v>0</v>
      </c>
      <c r="EX197" s="13" t="str">
        <f t="shared" si="185"/>
        <v>Enhanced Pension Provision Net interest on provision in period</v>
      </c>
    </row>
    <row r="198" spans="1:154" x14ac:dyDescent="0.25">
      <c r="A198" s="362" cm="1">
        <f t="array" aca="1" ref="A198" ca="1">HYPERLINK(CONCATENATE("#",CELL("address",IF(SUM($CA198:$CG198)=0,A198,INDEX($CA198:$CG198,MATCH(1,$CA198:$CG198,0))))),SUM($CA198:$CG198))</f>
        <v>0</v>
      </c>
      <c r="B198" s="67"/>
      <c r="C198" s="340" t="s">
        <v>1415</v>
      </c>
      <c r="D198" s="184" t="s">
        <v>2406</v>
      </c>
      <c r="E198" s="335"/>
      <c r="G198" s="8"/>
      <c r="H198" s="47" t="s">
        <v>157</v>
      </c>
      <c r="P198" s="335"/>
      <c r="Q198" s="335"/>
      <c r="R198" s="335"/>
      <c r="S198" s="335"/>
      <c r="T198" s="335"/>
      <c r="U198" s="335"/>
      <c r="V198" s="141"/>
      <c r="W198" s="215">
        <f t="shared" si="186"/>
        <v>0</v>
      </c>
      <c r="X198" s="215">
        <f t="shared" si="186"/>
        <v>0</v>
      </c>
      <c r="Y198" s="215">
        <f t="shared" si="186"/>
        <v>0</v>
      </c>
      <c r="Z198" s="67"/>
      <c r="AA198" s="147"/>
      <c r="AB198" s="147"/>
      <c r="AC198" s="147"/>
      <c r="AD198" s="147"/>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c r="BI198" s="147"/>
      <c r="BJ198" s="147"/>
      <c r="BK198" s="67"/>
      <c r="BL198" s="13">
        <f t="shared" si="183"/>
        <v>0</v>
      </c>
      <c r="BM198" s="13">
        <f t="shared" si="183"/>
        <v>0</v>
      </c>
      <c r="BN198" s="13">
        <f t="shared" si="183"/>
        <v>0</v>
      </c>
      <c r="BO198" s="13">
        <f t="shared" si="183"/>
        <v>0</v>
      </c>
      <c r="BP198" s="141"/>
      <c r="BQ198" s="141"/>
      <c r="BR198" s="141"/>
      <c r="BS198" s="141"/>
      <c r="BT198" s="141"/>
      <c r="BU198" s="141"/>
      <c r="BV198" s="141"/>
      <c r="BW198" s="141"/>
      <c r="BY198" s="12"/>
      <c r="BZ198" s="363">
        <f>IF(MAX($V198:$BW198)&gt;0, 1, 0)</f>
        <v>0</v>
      </c>
      <c r="CA198" s="12"/>
      <c r="CF198" s="7">
        <f t="shared" si="184"/>
        <v>0</v>
      </c>
      <c r="CG198" s="12"/>
      <c r="CH198" s="11">
        <v>1</v>
      </c>
      <c r="CI198" s="11">
        <v>1</v>
      </c>
      <c r="CJ198" s="11">
        <v>0</v>
      </c>
      <c r="EX198" s="13" t="str">
        <f t="shared" si="185"/>
        <v>Enhanced Pension Provision Released in period</v>
      </c>
    </row>
    <row r="199" spans="1:154" ht="15.75" x14ac:dyDescent="0.3">
      <c r="A199" s="362" cm="1">
        <f t="array" aca="1" ref="A199" ca="1">HYPERLINK(CONCATENATE("#",CELL("address",IF(SUM($CA199:$CG199)=0,A199,INDEX($CA199:$CG199,MATCH(1,$CA199:$CG199,0))))),SUM($CA199:$CG199))</f>
        <v>0</v>
      </c>
      <c r="B199" s="2"/>
      <c r="C199" s="340" t="s">
        <v>1416</v>
      </c>
      <c r="D199" s="177" t="s">
        <v>918</v>
      </c>
      <c r="E199" s="479" t="s">
        <v>335</v>
      </c>
      <c r="G199" s="8"/>
      <c r="H199" s="47" t="s">
        <v>8</v>
      </c>
      <c r="P199" s="335"/>
      <c r="Q199" s="335"/>
      <c r="R199" s="335"/>
      <c r="S199" s="335"/>
      <c r="T199" s="335"/>
      <c r="U199" s="335"/>
      <c r="V199" s="141"/>
      <c r="W199" s="215">
        <f t="shared" si="186"/>
        <v>6</v>
      </c>
      <c r="X199" s="215">
        <f t="shared" si="186"/>
        <v>6</v>
      </c>
      <c r="Y199" s="215">
        <f t="shared" si="186"/>
        <v>6</v>
      </c>
      <c r="Z199" s="67"/>
      <c r="AA199" s="147"/>
      <c r="AB199" s="147"/>
      <c r="AC199" s="147"/>
      <c r="AD199" s="147"/>
      <c r="AE199" s="147"/>
      <c r="AF199" s="147"/>
      <c r="AG199" s="147"/>
      <c r="AH199" s="147"/>
      <c r="AI199" s="147"/>
      <c r="AJ199" s="147"/>
      <c r="AK199" s="147"/>
      <c r="AL199" s="147">
        <v>6</v>
      </c>
      <c r="AM199" s="147"/>
      <c r="AN199" s="147"/>
      <c r="AO199" s="147"/>
      <c r="AP199" s="147"/>
      <c r="AQ199" s="147"/>
      <c r="AR199" s="147"/>
      <c r="AS199" s="147"/>
      <c r="AT199" s="147"/>
      <c r="AU199" s="147"/>
      <c r="AV199" s="147"/>
      <c r="AW199" s="147"/>
      <c r="AX199" s="147">
        <v>6</v>
      </c>
      <c r="AY199" s="147"/>
      <c r="AZ199" s="147"/>
      <c r="BA199" s="147"/>
      <c r="BB199" s="147"/>
      <c r="BC199" s="147"/>
      <c r="BD199" s="147"/>
      <c r="BE199" s="147"/>
      <c r="BF199" s="147"/>
      <c r="BG199" s="147"/>
      <c r="BH199" s="147"/>
      <c r="BI199" s="147"/>
      <c r="BJ199" s="147">
        <v>6</v>
      </c>
      <c r="BK199" s="67"/>
      <c r="BL199" s="13">
        <f t="shared" si="183"/>
        <v>0</v>
      </c>
      <c r="BM199" s="13">
        <f t="shared" si="183"/>
        <v>6</v>
      </c>
      <c r="BN199" s="13">
        <f t="shared" si="183"/>
        <v>6</v>
      </c>
      <c r="BO199" s="13">
        <f t="shared" si="183"/>
        <v>6</v>
      </c>
      <c r="BP199" s="141"/>
      <c r="BQ199" s="141"/>
      <c r="BR199" s="141"/>
      <c r="BS199" s="141"/>
      <c r="BT199" s="141"/>
      <c r="BU199" s="141"/>
      <c r="BV199" s="141"/>
      <c r="BW199" s="141"/>
      <c r="BY199" s="12"/>
      <c r="CA199" s="12"/>
      <c r="CF199" s="7">
        <f t="shared" si="184"/>
        <v>0</v>
      </c>
      <c r="CG199" s="12"/>
      <c r="CH199" s="11">
        <v>1</v>
      </c>
      <c r="CI199" s="11">
        <v>1</v>
      </c>
      <c r="CJ199" s="11">
        <v>0</v>
      </c>
      <c r="EX199" s="13" t="str">
        <f t="shared" si="185"/>
        <v>Enhanced Pension Provision Actuarial (gain)/loss</v>
      </c>
    </row>
    <row r="200" spans="1:154" x14ac:dyDescent="0.25">
      <c r="A200" s="362" cm="1">
        <f t="array" aca="1" ref="A200" ca="1">HYPERLINK(CONCATENATE("#",CELL("address",IF(SUM($CA200:$CG200)=0,A200,INDEX($CA200:$CG200,MATCH(1,$CA200:$CG200,0))))),SUM($CA200:$CG200))</f>
        <v>0</v>
      </c>
      <c r="C200" s="340" t="s">
        <v>1417</v>
      </c>
      <c r="D200" s="177" t="s">
        <v>149</v>
      </c>
      <c r="E200" s="490" t="s">
        <v>2356</v>
      </c>
      <c r="G200" s="8"/>
      <c r="H200" s="47" t="s">
        <v>8</v>
      </c>
      <c r="P200" s="335"/>
      <c r="Q200" s="335"/>
      <c r="R200" s="335"/>
      <c r="S200" s="335"/>
      <c r="T200" s="335"/>
      <c r="U200" s="335"/>
      <c r="V200" s="141"/>
      <c r="W200" s="215">
        <f t="shared" si="186"/>
        <v>0</v>
      </c>
      <c r="X200" s="215">
        <f t="shared" si="186"/>
        <v>0</v>
      </c>
      <c r="Y200" s="215">
        <f t="shared" si="186"/>
        <v>0</v>
      </c>
      <c r="Z200" s="6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c r="BI200" s="147"/>
      <c r="BJ200" s="147"/>
      <c r="BK200" s="67"/>
      <c r="BL200" s="13">
        <f t="shared" si="183"/>
        <v>0</v>
      </c>
      <c r="BM200" s="13">
        <f t="shared" si="183"/>
        <v>0</v>
      </c>
      <c r="BN200" s="13">
        <f t="shared" si="183"/>
        <v>0</v>
      </c>
      <c r="BO200" s="13">
        <f t="shared" si="183"/>
        <v>0</v>
      </c>
      <c r="BP200" s="141"/>
      <c r="BQ200" s="141"/>
      <c r="BR200" s="141"/>
      <c r="BS200" s="141"/>
      <c r="BT200" s="141"/>
      <c r="BU200" s="141"/>
      <c r="BV200" s="141"/>
      <c r="BW200" s="141"/>
      <c r="BY200" s="12"/>
      <c r="CA200" s="12"/>
      <c r="CF200" s="7">
        <f t="shared" si="184"/>
        <v>0</v>
      </c>
      <c r="CG200" s="12"/>
      <c r="CH200" s="11">
        <v>1</v>
      </c>
      <c r="CI200" s="11">
        <v>1</v>
      </c>
      <c r="CJ200" s="11">
        <v>0</v>
      </c>
      <c r="EX200" s="13" t="str">
        <f t="shared" si="185"/>
        <v>Enhanced Pension Provision Movement due to mergers</v>
      </c>
    </row>
    <row r="201" spans="1:154" x14ac:dyDescent="0.25">
      <c r="A201" s="362" cm="1">
        <f t="array" aca="1" ref="A201" ca="1">HYPERLINK(CONCATENATE("#",CELL("address",IF(SUM($CA201:$CG201)=0,A201,INDEX($CA201:$CG201,MATCH(1,$CA201:$CG201,0))))),SUM($CA201:$CG201))</f>
        <v>0</v>
      </c>
      <c r="C201" s="343" t="str">
        <f>REPLACE('Opening Balances'!$C$67, LEN('Opening Balances'!$C$67)-1, 1, "C")</f>
        <v>B-7b-CB</v>
      </c>
      <c r="D201" s="93" t="s">
        <v>97</v>
      </c>
      <c r="E201" s="352">
        <f>ROUND(V201-SUM(V195:V200), rounding)*$V$10</f>
        <v>0</v>
      </c>
      <c r="G201" s="8"/>
      <c r="H201" s="47" t="s">
        <v>125</v>
      </c>
      <c r="O201" s="335"/>
      <c r="P201" s="335"/>
      <c r="Q201" s="335"/>
      <c r="R201" s="335"/>
      <c r="S201" s="335"/>
      <c r="T201" s="335"/>
      <c r="U201" s="335"/>
      <c r="V201" s="13">
        <f>'Opening Balances'!W67</f>
        <v>148</v>
      </c>
      <c r="W201" s="10">
        <f>SUM(W195:W200)</f>
        <v>154</v>
      </c>
      <c r="X201" s="10">
        <f>SUM(X195:X200)</f>
        <v>160</v>
      </c>
      <c r="Y201" s="10">
        <f t="shared" ref="Y201:BW201" si="187">SUM(Y195:Y200)</f>
        <v>166</v>
      </c>
      <c r="Z201" s="67"/>
      <c r="AA201" s="10">
        <f t="shared" si="187"/>
        <v>148</v>
      </c>
      <c r="AB201" s="10">
        <f t="shared" si="187"/>
        <v>148</v>
      </c>
      <c r="AC201" s="10">
        <f t="shared" si="187"/>
        <v>148</v>
      </c>
      <c r="AD201" s="10">
        <f t="shared" si="187"/>
        <v>148</v>
      </c>
      <c r="AE201" s="10">
        <f t="shared" si="187"/>
        <v>148</v>
      </c>
      <c r="AF201" s="10">
        <f t="shared" si="187"/>
        <v>148</v>
      </c>
      <c r="AG201" s="10">
        <f t="shared" si="187"/>
        <v>148</v>
      </c>
      <c r="AH201" s="10">
        <f t="shared" si="187"/>
        <v>148</v>
      </c>
      <c r="AI201" s="10">
        <f t="shared" si="187"/>
        <v>148</v>
      </c>
      <c r="AJ201" s="10">
        <f t="shared" si="187"/>
        <v>148</v>
      </c>
      <c r="AK201" s="10">
        <f t="shared" si="187"/>
        <v>148</v>
      </c>
      <c r="AL201" s="10">
        <f t="shared" si="187"/>
        <v>154</v>
      </c>
      <c r="AM201" s="10">
        <f t="shared" si="187"/>
        <v>154</v>
      </c>
      <c r="AN201" s="10">
        <f t="shared" si="187"/>
        <v>154</v>
      </c>
      <c r="AO201" s="10">
        <f t="shared" si="187"/>
        <v>154</v>
      </c>
      <c r="AP201" s="10">
        <f t="shared" si="187"/>
        <v>154</v>
      </c>
      <c r="AQ201" s="10">
        <f t="shared" si="187"/>
        <v>154</v>
      </c>
      <c r="AR201" s="10">
        <f t="shared" si="187"/>
        <v>154</v>
      </c>
      <c r="AS201" s="10">
        <f t="shared" si="187"/>
        <v>154</v>
      </c>
      <c r="AT201" s="10">
        <f t="shared" si="187"/>
        <v>154</v>
      </c>
      <c r="AU201" s="10">
        <f t="shared" si="187"/>
        <v>154</v>
      </c>
      <c r="AV201" s="10">
        <f t="shared" si="187"/>
        <v>154</v>
      </c>
      <c r="AW201" s="10">
        <f t="shared" si="187"/>
        <v>154</v>
      </c>
      <c r="AX201" s="10">
        <f t="shared" si="187"/>
        <v>160</v>
      </c>
      <c r="AY201" s="10">
        <f t="shared" si="187"/>
        <v>160</v>
      </c>
      <c r="AZ201" s="10">
        <f t="shared" si="187"/>
        <v>160</v>
      </c>
      <c r="BA201" s="10">
        <f t="shared" si="187"/>
        <v>160</v>
      </c>
      <c r="BB201" s="10">
        <f t="shared" si="187"/>
        <v>160</v>
      </c>
      <c r="BC201" s="10">
        <f t="shared" si="187"/>
        <v>160</v>
      </c>
      <c r="BD201" s="10">
        <f t="shared" si="187"/>
        <v>160</v>
      </c>
      <c r="BE201" s="10">
        <f t="shared" si="187"/>
        <v>160</v>
      </c>
      <c r="BF201" s="10">
        <f t="shared" si="187"/>
        <v>160</v>
      </c>
      <c r="BG201" s="10">
        <f t="shared" si="187"/>
        <v>160</v>
      </c>
      <c r="BH201" s="10">
        <f t="shared" si="187"/>
        <v>160</v>
      </c>
      <c r="BI201" s="10">
        <f t="shared" si="187"/>
        <v>160</v>
      </c>
      <c r="BJ201" s="10">
        <f t="shared" si="187"/>
        <v>166</v>
      </c>
      <c r="BK201" s="67"/>
      <c r="BL201" s="13">
        <f t="shared" si="183"/>
        <v>148</v>
      </c>
      <c r="BM201" s="13">
        <f t="shared" si="183"/>
        <v>154</v>
      </c>
      <c r="BN201" s="13">
        <f t="shared" si="183"/>
        <v>160</v>
      </c>
      <c r="BO201" s="13">
        <f t="shared" si="183"/>
        <v>166</v>
      </c>
      <c r="BP201" s="10">
        <f t="shared" si="187"/>
        <v>166</v>
      </c>
      <c r="BQ201" s="10">
        <f t="shared" si="187"/>
        <v>166</v>
      </c>
      <c r="BR201" s="10">
        <f t="shared" si="187"/>
        <v>166</v>
      </c>
      <c r="BS201" s="10">
        <f t="shared" si="187"/>
        <v>166</v>
      </c>
      <c r="BT201" s="10">
        <f t="shared" si="187"/>
        <v>166</v>
      </c>
      <c r="BU201" s="10">
        <f t="shared" si="187"/>
        <v>166</v>
      </c>
      <c r="BV201" s="10">
        <f t="shared" si="187"/>
        <v>166</v>
      </c>
      <c r="BW201" s="10">
        <f t="shared" si="187"/>
        <v>166</v>
      </c>
      <c r="BY201" s="12"/>
      <c r="CA201" s="12"/>
      <c r="CE201" s="188">
        <f>IF(ABS($E201)&gt;Parameters!$D$33, 1, 0)</f>
        <v>0</v>
      </c>
      <c r="CF201" s="7">
        <f t="shared" si="184"/>
        <v>0</v>
      </c>
      <c r="CG201" s="12"/>
      <c r="CH201" s="11">
        <v>0</v>
      </c>
      <c r="CI201" s="11">
        <v>0</v>
      </c>
      <c r="CJ201" s="1">
        <v>1</v>
      </c>
      <c r="CK201" s="335"/>
      <c r="EX201" s="13" t="str">
        <f t="shared" si="185"/>
        <v>Enhanced Pension Provision Closing Balance</v>
      </c>
    </row>
    <row r="202" spans="1:154" ht="8.1" customHeight="1" x14ac:dyDescent="0.25">
      <c r="C202" s="385"/>
      <c r="D202" s="177"/>
      <c r="O202" s="335"/>
      <c r="P202" s="335"/>
      <c r="Q202" s="335"/>
      <c r="R202" s="335"/>
      <c r="S202" s="335"/>
      <c r="T202" s="335"/>
      <c r="U202" s="335"/>
      <c r="V202" s="335"/>
      <c r="X202" s="11"/>
      <c r="Y202" s="11"/>
      <c r="BY202" s="12"/>
      <c r="CA202" s="12"/>
      <c r="CG202" s="12"/>
      <c r="CH202" s="11">
        <v>0</v>
      </c>
      <c r="CI202" s="11">
        <v>0</v>
      </c>
      <c r="CJ202" s="11">
        <v>0</v>
      </c>
      <c r="EX202" s="10" t="str">
        <f t="shared" ref="EX202:EX203" si="188">IF($C202="","",$D202)</f>
        <v/>
      </c>
    </row>
    <row r="203" spans="1:154" x14ac:dyDescent="0.25">
      <c r="B203" s="29"/>
      <c r="C203" s="385"/>
      <c r="D203" s="27" t="s">
        <v>159</v>
      </c>
      <c r="O203" s="335"/>
      <c r="P203" s="335"/>
      <c r="Q203" s="335"/>
      <c r="R203" s="335"/>
      <c r="S203" s="335"/>
      <c r="T203" s="335"/>
      <c r="U203" s="335"/>
      <c r="X203" s="11"/>
      <c r="Y203" s="11"/>
      <c r="AM203" s="335"/>
      <c r="BY203" s="12"/>
      <c r="CA203" s="12"/>
      <c r="CG203" s="12"/>
      <c r="CH203" s="11">
        <v>0</v>
      </c>
      <c r="CI203" s="11">
        <v>0</v>
      </c>
      <c r="CJ203" s="11">
        <v>0</v>
      </c>
      <c r="EX203" s="10" t="str">
        <f t="shared" si="188"/>
        <v/>
      </c>
    </row>
    <row r="204" spans="1:154" x14ac:dyDescent="0.25">
      <c r="A204" s="362" cm="1">
        <f t="array" aca="1" ref="A204" ca="1">HYPERLINK(CONCATENATE("#",CELL("address",IF(SUM($CA204:$CG204)=0,A204,INDEX($CA204:$CG204,MATCH(1,$CA204:$CG204,0))))),SUM($CA204:$CG204))</f>
        <v>0</v>
      </c>
      <c r="C204" s="340" t="str">
        <f>CONCATENATE("BS-",'Opening Balances'!$C$68)</f>
        <v>BS-B-7c-OB</v>
      </c>
      <c r="D204" s="1" t="s">
        <v>91</v>
      </c>
      <c r="G204" s="8"/>
      <c r="H204" s="47" t="s">
        <v>125</v>
      </c>
      <c r="O204" s="335"/>
      <c r="P204" s="335"/>
      <c r="Q204" s="335"/>
      <c r="R204" s="335"/>
      <c r="S204" s="335"/>
      <c r="T204" s="335"/>
      <c r="U204" s="335"/>
      <c r="V204" s="373">
        <f>'Opening Balances'!$V$68</f>
        <v>0</v>
      </c>
      <c r="W204" s="10">
        <f>V211</f>
        <v>0</v>
      </c>
      <c r="X204" s="10">
        <f t="shared" ref="X204:Y204" si="189">W211</f>
        <v>0</v>
      </c>
      <c r="Y204" s="10">
        <f t="shared" si="189"/>
        <v>0</v>
      </c>
      <c r="Z204" s="67"/>
      <c r="AA204" s="10">
        <f>W204</f>
        <v>0</v>
      </c>
      <c r="AB204" s="10">
        <f t="shared" ref="AB204:BJ204" si="190">AA211</f>
        <v>0</v>
      </c>
      <c r="AC204" s="10">
        <f t="shared" si="190"/>
        <v>0</v>
      </c>
      <c r="AD204" s="10">
        <f t="shared" si="190"/>
        <v>0</v>
      </c>
      <c r="AE204" s="10">
        <f t="shared" si="190"/>
        <v>0</v>
      </c>
      <c r="AF204" s="10">
        <f t="shared" si="190"/>
        <v>0</v>
      </c>
      <c r="AG204" s="10">
        <f t="shared" si="190"/>
        <v>0</v>
      </c>
      <c r="AH204" s="10">
        <f t="shared" si="190"/>
        <v>0</v>
      </c>
      <c r="AI204" s="10">
        <f t="shared" si="190"/>
        <v>0</v>
      </c>
      <c r="AJ204" s="10">
        <f t="shared" si="190"/>
        <v>0</v>
      </c>
      <c r="AK204" s="10">
        <f t="shared" si="190"/>
        <v>0</v>
      </c>
      <c r="AL204" s="10">
        <f t="shared" si="190"/>
        <v>0</v>
      </c>
      <c r="AM204" s="10">
        <f t="shared" si="190"/>
        <v>0</v>
      </c>
      <c r="AN204" s="10">
        <f t="shared" si="190"/>
        <v>0</v>
      </c>
      <c r="AO204" s="10">
        <f t="shared" si="190"/>
        <v>0</v>
      </c>
      <c r="AP204" s="10">
        <f t="shared" si="190"/>
        <v>0</v>
      </c>
      <c r="AQ204" s="10">
        <f t="shared" si="190"/>
        <v>0</v>
      </c>
      <c r="AR204" s="10">
        <f t="shared" si="190"/>
        <v>0</v>
      </c>
      <c r="AS204" s="10">
        <f t="shared" si="190"/>
        <v>0</v>
      </c>
      <c r="AT204" s="10">
        <f t="shared" si="190"/>
        <v>0</v>
      </c>
      <c r="AU204" s="10">
        <f t="shared" si="190"/>
        <v>0</v>
      </c>
      <c r="AV204" s="10">
        <f t="shared" si="190"/>
        <v>0</v>
      </c>
      <c r="AW204" s="10">
        <f t="shared" si="190"/>
        <v>0</v>
      </c>
      <c r="AX204" s="10">
        <f t="shared" si="190"/>
        <v>0</v>
      </c>
      <c r="AY204" s="10">
        <f t="shared" si="190"/>
        <v>0</v>
      </c>
      <c r="AZ204" s="10">
        <f t="shared" si="190"/>
        <v>0</v>
      </c>
      <c r="BA204" s="10">
        <f t="shared" si="190"/>
        <v>0</v>
      </c>
      <c r="BB204" s="10">
        <f t="shared" si="190"/>
        <v>0</v>
      </c>
      <c r="BC204" s="10">
        <f t="shared" si="190"/>
        <v>0</v>
      </c>
      <c r="BD204" s="10">
        <f t="shared" si="190"/>
        <v>0</v>
      </c>
      <c r="BE204" s="10">
        <f t="shared" si="190"/>
        <v>0</v>
      </c>
      <c r="BF204" s="10">
        <f t="shared" si="190"/>
        <v>0</v>
      </c>
      <c r="BG204" s="10">
        <f t="shared" si="190"/>
        <v>0</v>
      </c>
      <c r="BH204" s="10">
        <f t="shared" si="190"/>
        <v>0</v>
      </c>
      <c r="BI204" s="10">
        <f t="shared" si="190"/>
        <v>0</v>
      </c>
      <c r="BJ204" s="10">
        <f t="shared" si="190"/>
        <v>0</v>
      </c>
      <c r="BK204" s="67"/>
      <c r="BL204" s="13">
        <f t="shared" ref="BL204:BO211" si="191">V204</f>
        <v>0</v>
      </c>
      <c r="BM204" s="13">
        <f t="shared" si="191"/>
        <v>0</v>
      </c>
      <c r="BN204" s="13">
        <f t="shared" si="191"/>
        <v>0</v>
      </c>
      <c r="BO204" s="13">
        <f t="shared" si="191"/>
        <v>0</v>
      </c>
      <c r="BP204" s="10">
        <f t="shared" ref="BP204:BW204" si="192">BO211</f>
        <v>0</v>
      </c>
      <c r="BQ204" s="10">
        <f t="shared" si="192"/>
        <v>0</v>
      </c>
      <c r="BR204" s="10">
        <f t="shared" si="192"/>
        <v>0</v>
      </c>
      <c r="BS204" s="10">
        <f t="shared" si="192"/>
        <v>0</v>
      </c>
      <c r="BT204" s="10">
        <f t="shared" si="192"/>
        <v>0</v>
      </c>
      <c r="BU204" s="10">
        <f t="shared" si="192"/>
        <v>0</v>
      </c>
      <c r="BV204" s="10">
        <f t="shared" si="192"/>
        <v>0</v>
      </c>
      <c r="BW204" s="10">
        <f t="shared" si="192"/>
        <v>0</v>
      </c>
      <c r="BY204" s="12"/>
      <c r="CA204" s="12"/>
      <c r="CF204" s="7">
        <f t="shared" ref="CF204:CF211" si="193">IF(SUM(V204:Y204)=SUM(BL204:BO204), 0, 1)</f>
        <v>0</v>
      </c>
      <c r="CG204" s="12"/>
      <c r="CH204" s="11">
        <v>0</v>
      </c>
      <c r="CI204" s="11">
        <v>0</v>
      </c>
      <c r="CJ204" s="11">
        <v>0</v>
      </c>
      <c r="EX204" s="13" t="str">
        <f t="shared" ref="EX204:EX211" si="194">IF($C204="", "",CONCATENATE(D$203, " ", D204))</f>
        <v>Other Pension Provisions Opening Balance</v>
      </c>
    </row>
    <row r="205" spans="1:154" x14ac:dyDescent="0.25">
      <c r="A205" s="362" cm="1">
        <f t="array" aca="1" ref="A205" ca="1">HYPERLINK(CONCATENATE("#",CELL("address",IF(SUM($CA205:$CG205)=0,A205,INDEX($CA205:$CG205,MATCH(1,$CA205:$CG205,0))))),SUM($CA205:$CG205))</f>
        <v>0</v>
      </c>
      <c r="C205" s="340" t="s">
        <v>1418</v>
      </c>
      <c r="D205" s="177" t="s">
        <v>2405</v>
      </c>
      <c r="E205" s="335"/>
      <c r="G205" s="8"/>
      <c r="H205" s="47" t="s">
        <v>125</v>
      </c>
      <c r="P205" s="335"/>
      <c r="Q205" s="335"/>
      <c r="R205" s="335"/>
      <c r="S205" s="335"/>
      <c r="T205" s="335"/>
      <c r="U205" s="335"/>
      <c r="V205" s="141"/>
      <c r="W205" s="215">
        <f t="shared" ref="W205:Y210" si="195" xml:space="preserve"> SUMIFS($AA205:$BJ205, $AA$3:$BJ$3, W$3)</f>
        <v>0</v>
      </c>
      <c r="X205" s="215">
        <f t="shared" si="195"/>
        <v>0</v>
      </c>
      <c r="Y205" s="215">
        <f t="shared" si="195"/>
        <v>0</v>
      </c>
      <c r="Z205" s="67"/>
      <c r="AA205" s="147"/>
      <c r="AB205" s="147"/>
      <c r="AC205" s="147"/>
      <c r="AD205" s="147"/>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c r="BI205" s="147"/>
      <c r="BJ205" s="147"/>
      <c r="BK205" s="67"/>
      <c r="BL205" s="13">
        <f t="shared" si="191"/>
        <v>0</v>
      </c>
      <c r="BM205" s="13">
        <f t="shared" si="191"/>
        <v>0</v>
      </c>
      <c r="BN205" s="13">
        <f t="shared" si="191"/>
        <v>0</v>
      </c>
      <c r="BO205" s="13">
        <f t="shared" si="191"/>
        <v>0</v>
      </c>
      <c r="BP205" s="141"/>
      <c r="BQ205" s="141"/>
      <c r="BR205" s="141"/>
      <c r="BS205" s="141"/>
      <c r="BT205" s="141"/>
      <c r="BU205" s="141"/>
      <c r="BV205" s="141"/>
      <c r="BW205" s="141"/>
      <c r="BY205" s="12"/>
      <c r="BZ205" s="363">
        <f>IF(MIN($V205:$BW205)&lt;0, 1, 0)</f>
        <v>0</v>
      </c>
      <c r="CA205" s="12"/>
      <c r="CF205" s="7">
        <f t="shared" si="193"/>
        <v>0</v>
      </c>
      <c r="CG205" s="12"/>
      <c r="CH205" s="11">
        <v>1</v>
      </c>
      <c r="CI205" s="11">
        <v>1</v>
      </c>
      <c r="CJ205" s="11">
        <v>0</v>
      </c>
      <c r="EX205" s="13" t="str">
        <f t="shared" si="194"/>
        <v>Other Pension Provisions Additions in period</v>
      </c>
    </row>
    <row r="206" spans="1:154" x14ac:dyDescent="0.25">
      <c r="A206" s="362" cm="1">
        <f t="array" aca="1" ref="A206" ca="1">HYPERLINK(CONCATENATE("#",CELL("address",IF(SUM($CA206:$CG206)=0,A206,INDEX($CA206:$CG206,MATCH(1,$CA206:$CG206,0))))),SUM($CA206:$CG206))</f>
        <v>0</v>
      </c>
      <c r="B206" s="67"/>
      <c r="C206" s="340" t="s">
        <v>1419</v>
      </c>
      <c r="D206" s="177" t="s">
        <v>2407</v>
      </c>
      <c r="E206" s="335"/>
      <c r="G206" s="8"/>
      <c r="H206" s="53" t="s">
        <v>8</v>
      </c>
      <c r="P206" s="335"/>
      <c r="Q206" s="335"/>
      <c r="R206" s="335"/>
      <c r="S206" s="335"/>
      <c r="T206" s="335"/>
      <c r="U206" s="335"/>
      <c r="V206" s="141"/>
      <c r="W206" s="215">
        <f t="shared" si="195"/>
        <v>0</v>
      </c>
      <c r="X206" s="215">
        <f t="shared" si="195"/>
        <v>0</v>
      </c>
      <c r="Y206" s="215">
        <f t="shared" si="195"/>
        <v>0</v>
      </c>
      <c r="Z206" s="67"/>
      <c r="AA206" s="147"/>
      <c r="AB206" s="147"/>
      <c r="AC206" s="147"/>
      <c r="AD206" s="147"/>
      <c r="AE206" s="147"/>
      <c r="AF206" s="147"/>
      <c r="AG206" s="147"/>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c r="BI206" s="147"/>
      <c r="BJ206" s="147"/>
      <c r="BK206" s="67"/>
      <c r="BL206" s="13">
        <f t="shared" si="191"/>
        <v>0</v>
      </c>
      <c r="BM206" s="13">
        <f t="shared" si="191"/>
        <v>0</v>
      </c>
      <c r="BN206" s="13">
        <f t="shared" si="191"/>
        <v>0</v>
      </c>
      <c r="BO206" s="13">
        <f t="shared" si="191"/>
        <v>0</v>
      </c>
      <c r="BP206" s="141"/>
      <c r="BQ206" s="141"/>
      <c r="BR206" s="141"/>
      <c r="BS206" s="141"/>
      <c r="BT206" s="141"/>
      <c r="BU206" s="141"/>
      <c r="BV206" s="141"/>
      <c r="BW206" s="141"/>
      <c r="BY206" s="12"/>
      <c r="CA206" s="12"/>
      <c r="CF206" s="7">
        <f t="shared" si="193"/>
        <v>0</v>
      </c>
      <c r="CG206" s="12"/>
      <c r="CH206" s="11">
        <v>1</v>
      </c>
      <c r="CI206" s="11">
        <v>1</v>
      </c>
      <c r="CJ206" s="11">
        <v>0</v>
      </c>
      <c r="EX206" s="13" t="str">
        <f t="shared" si="194"/>
        <v>Other Pension Provisions Net interest on provision in period</v>
      </c>
    </row>
    <row r="207" spans="1:154" x14ac:dyDescent="0.25">
      <c r="A207" s="362" cm="1">
        <f t="array" aca="1" ref="A207" ca="1">HYPERLINK(CONCATENATE("#",CELL("address",IF(SUM($CA207:$CG207)=0,A207,INDEX($CA207:$CG207,MATCH(1,$CA207:$CG207,0))))),SUM($CA207:$CG207))</f>
        <v>0</v>
      </c>
      <c r="B207" s="67"/>
      <c r="C207" s="340" t="s">
        <v>1420</v>
      </c>
      <c r="D207" s="184" t="s">
        <v>2406</v>
      </c>
      <c r="E207" s="335"/>
      <c r="G207" s="8"/>
      <c r="H207" s="47" t="s">
        <v>157</v>
      </c>
      <c r="P207" s="335"/>
      <c r="Q207" s="335"/>
      <c r="R207" s="335"/>
      <c r="S207" s="335"/>
      <c r="T207" s="335"/>
      <c r="U207" s="335"/>
      <c r="V207" s="141"/>
      <c r="W207" s="215">
        <f t="shared" si="195"/>
        <v>0</v>
      </c>
      <c r="X207" s="215">
        <f t="shared" si="195"/>
        <v>0</v>
      </c>
      <c r="Y207" s="215">
        <f t="shared" si="195"/>
        <v>0</v>
      </c>
      <c r="Z207" s="6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67"/>
      <c r="BL207" s="13">
        <f t="shared" si="191"/>
        <v>0</v>
      </c>
      <c r="BM207" s="13">
        <f t="shared" si="191"/>
        <v>0</v>
      </c>
      <c r="BN207" s="13">
        <f t="shared" si="191"/>
        <v>0</v>
      </c>
      <c r="BO207" s="13">
        <f t="shared" si="191"/>
        <v>0</v>
      </c>
      <c r="BP207" s="141"/>
      <c r="BQ207" s="141"/>
      <c r="BR207" s="141"/>
      <c r="BS207" s="141"/>
      <c r="BT207" s="141"/>
      <c r="BU207" s="141"/>
      <c r="BV207" s="141"/>
      <c r="BW207" s="141"/>
      <c r="BY207" s="12"/>
      <c r="BZ207" s="363">
        <f>IF(MAX($V207:$BW207)&gt;0, 1, 0)</f>
        <v>0</v>
      </c>
      <c r="CA207" s="12"/>
      <c r="CF207" s="7">
        <f t="shared" si="193"/>
        <v>0</v>
      </c>
      <c r="CG207" s="12"/>
      <c r="CH207" s="11">
        <v>1</v>
      </c>
      <c r="CI207" s="11">
        <v>1</v>
      </c>
      <c r="CJ207" s="11">
        <v>0</v>
      </c>
      <c r="EX207" s="13" t="str">
        <f t="shared" si="194"/>
        <v>Other Pension Provisions Released in period</v>
      </c>
    </row>
    <row r="208" spans="1:154" ht="15.75" x14ac:dyDescent="0.3">
      <c r="A208" s="362" cm="1">
        <f t="array" aca="1" ref="A208" ca="1">HYPERLINK(CONCATENATE("#",CELL("address",IF(SUM($CA208:$CG208)=0,A208,INDEX($CA208:$CG208,MATCH(1,$CA208:$CG208,0))))),SUM($CA208:$CG208))</f>
        <v>0</v>
      </c>
      <c r="C208" s="340" t="s">
        <v>1421</v>
      </c>
      <c r="D208" s="177" t="s">
        <v>918</v>
      </c>
      <c r="E208" s="479" t="s">
        <v>335</v>
      </c>
      <c r="G208" s="8"/>
      <c r="H208" s="47" t="s">
        <v>8</v>
      </c>
      <c r="P208" s="335"/>
      <c r="Q208" s="335"/>
      <c r="R208" s="335"/>
      <c r="S208" s="335"/>
      <c r="T208" s="335"/>
      <c r="U208" s="335"/>
      <c r="V208" s="141"/>
      <c r="W208" s="215">
        <f t="shared" si="195"/>
        <v>0</v>
      </c>
      <c r="X208" s="215">
        <f t="shared" si="195"/>
        <v>0</v>
      </c>
      <c r="Y208" s="215">
        <f t="shared" si="195"/>
        <v>0</v>
      </c>
      <c r="Z208" s="67"/>
      <c r="AA208" s="147"/>
      <c r="AB208" s="147"/>
      <c r="AC208" s="147"/>
      <c r="AD208" s="147"/>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c r="BI208" s="147"/>
      <c r="BJ208" s="147"/>
      <c r="BK208" s="67"/>
      <c r="BL208" s="13">
        <f t="shared" si="191"/>
        <v>0</v>
      </c>
      <c r="BM208" s="13">
        <f t="shared" si="191"/>
        <v>0</v>
      </c>
      <c r="BN208" s="13">
        <f t="shared" si="191"/>
        <v>0</v>
      </c>
      <c r="BO208" s="13">
        <f t="shared" si="191"/>
        <v>0</v>
      </c>
      <c r="BP208" s="141"/>
      <c r="BQ208" s="141"/>
      <c r="BR208" s="141"/>
      <c r="BS208" s="141"/>
      <c r="BT208" s="141"/>
      <c r="BU208" s="141"/>
      <c r="BV208" s="141"/>
      <c r="BW208" s="141"/>
      <c r="BY208" s="12"/>
      <c r="CA208" s="12"/>
      <c r="CF208" s="7">
        <f t="shared" si="193"/>
        <v>0</v>
      </c>
      <c r="CG208" s="12"/>
      <c r="CH208" s="11">
        <v>1</v>
      </c>
      <c r="CI208" s="11">
        <v>1</v>
      </c>
      <c r="CJ208" s="11">
        <v>0</v>
      </c>
      <c r="EX208" s="13" t="str">
        <f t="shared" si="194"/>
        <v>Other Pension Provisions Actuarial (gain)/loss</v>
      </c>
    </row>
    <row r="209" spans="1:154" s="335" customFormat="1" x14ac:dyDescent="0.25">
      <c r="A209" s="362" cm="1">
        <f t="array" aca="1" ref="A209" ca="1">HYPERLINK(CONCATENATE("#",CELL("address",IF(SUM($CA209:$CG209)=0,A209,INDEX($CA209:$CG209,MATCH(1,$CA209:$CG209,0))))),SUM($CA209:$CG209))</f>
        <v>0</v>
      </c>
      <c r="C209" s="340" t="s">
        <v>1422</v>
      </c>
      <c r="D209" s="177" t="s">
        <v>156</v>
      </c>
      <c r="G209" s="8"/>
      <c r="H209" s="47" t="s">
        <v>157</v>
      </c>
      <c r="V209" s="141"/>
      <c r="W209" s="215">
        <f t="shared" si="195"/>
        <v>0</v>
      </c>
      <c r="X209" s="215">
        <f t="shared" si="195"/>
        <v>0</v>
      </c>
      <c r="Y209" s="215">
        <f t="shared" si="195"/>
        <v>0</v>
      </c>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L209" s="13">
        <f t="shared" ref="BL209" si="196">V209</f>
        <v>0</v>
      </c>
      <c r="BM209" s="13">
        <f t="shared" ref="BM209" si="197">W209</f>
        <v>0</v>
      </c>
      <c r="BN209" s="13">
        <f t="shared" ref="BN209" si="198">X209</f>
        <v>0</v>
      </c>
      <c r="BO209" s="13">
        <f t="shared" ref="BO209" si="199">Y209</f>
        <v>0</v>
      </c>
      <c r="BP209" s="141"/>
      <c r="BQ209" s="141"/>
      <c r="BR209" s="141"/>
      <c r="BS209" s="141"/>
      <c r="BT209" s="141"/>
      <c r="BU209" s="141"/>
      <c r="BV209" s="141"/>
      <c r="BW209" s="141"/>
      <c r="BY209" s="12"/>
      <c r="BZ209" s="363">
        <f>IF(MAX($V209:$BW209)&gt;0, 1, 0)</f>
        <v>0</v>
      </c>
      <c r="CA209" s="12"/>
      <c r="CF209" s="7">
        <f>IF(SUM(V209:Y209)=SUM(BL209:BO209), 0, 1)</f>
        <v>0</v>
      </c>
      <c r="CG209" s="12"/>
      <c r="CH209" s="335">
        <v>1</v>
      </c>
      <c r="CI209" s="335">
        <v>1</v>
      </c>
      <c r="CJ209" s="335">
        <v>0</v>
      </c>
      <c r="EX209" s="13" t="str">
        <f t="shared" ref="EX209" si="200">IF($C209="", "",CONCATENATE(D$203, " ", D209))</f>
        <v>Other Pension Provisions Lumpsum settlement payment</v>
      </c>
    </row>
    <row r="210" spans="1:154" x14ac:dyDescent="0.25">
      <c r="A210" s="362" cm="1">
        <f t="array" aca="1" ref="A210" ca="1">HYPERLINK(CONCATENATE("#",CELL("address",IF(SUM($CA210:$CG210)=0,A210,INDEX($CA210:$CG210,MATCH(1,$CA210:$CG210,0))))),SUM($CA210:$CG210))</f>
        <v>0</v>
      </c>
      <c r="C210" s="340" t="s">
        <v>2492</v>
      </c>
      <c r="D210" s="177" t="s">
        <v>149</v>
      </c>
      <c r="E210" s="490" t="s">
        <v>2356</v>
      </c>
      <c r="G210" s="8"/>
      <c r="H210" s="47" t="s">
        <v>8</v>
      </c>
      <c r="P210" s="335"/>
      <c r="Q210" s="335"/>
      <c r="R210" s="335"/>
      <c r="S210" s="335"/>
      <c r="T210" s="335"/>
      <c r="U210" s="335"/>
      <c r="V210" s="141"/>
      <c r="W210" s="215">
        <f t="shared" si="195"/>
        <v>0</v>
      </c>
      <c r="X210" s="215">
        <f t="shared" si="195"/>
        <v>0</v>
      </c>
      <c r="Y210" s="215">
        <f t="shared" si="195"/>
        <v>0</v>
      </c>
      <c r="Z210" s="6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67"/>
      <c r="BL210" s="13">
        <f t="shared" si="191"/>
        <v>0</v>
      </c>
      <c r="BM210" s="13">
        <f t="shared" si="191"/>
        <v>0</v>
      </c>
      <c r="BN210" s="13">
        <f t="shared" si="191"/>
        <v>0</v>
      </c>
      <c r="BO210" s="13">
        <f t="shared" si="191"/>
        <v>0</v>
      </c>
      <c r="BP210" s="141"/>
      <c r="BQ210" s="141"/>
      <c r="BR210" s="141"/>
      <c r="BS210" s="141"/>
      <c r="BT210" s="141"/>
      <c r="BU210" s="141"/>
      <c r="BV210" s="141"/>
      <c r="BW210" s="141"/>
      <c r="BY210" s="12"/>
      <c r="CA210" s="12"/>
      <c r="CF210" s="7">
        <f t="shared" si="193"/>
        <v>0</v>
      </c>
      <c r="CG210" s="12"/>
      <c r="CH210" s="11">
        <v>1</v>
      </c>
      <c r="CI210" s="11">
        <v>1</v>
      </c>
      <c r="CJ210" s="11">
        <v>0</v>
      </c>
      <c r="EX210" s="13" t="str">
        <f t="shared" si="194"/>
        <v>Other Pension Provisions Movement due to mergers</v>
      </c>
    </row>
    <row r="211" spans="1:154" x14ac:dyDescent="0.25">
      <c r="A211" s="362" cm="1">
        <f t="array" aca="1" ref="A211" ca="1">HYPERLINK(CONCATENATE("#",CELL("address",IF(SUM($CA211:$CG211)=0,A211,INDEX($CA211:$CG211,MATCH(1,$CA211:$CG211,0))))),SUM($CA211:$CG211))</f>
        <v>0</v>
      </c>
      <c r="C211" s="343" t="str">
        <f>REPLACE('Opening Balances'!$C$68, LEN('Opening Balances'!$C$68)-1, 1, "C")</f>
        <v>B-7c-CB</v>
      </c>
      <c r="D211" s="93" t="s">
        <v>97</v>
      </c>
      <c r="E211" s="352">
        <f>ROUND(V211-SUM(V204:V210), rounding)*$V$10</f>
        <v>0</v>
      </c>
      <c r="G211" s="8"/>
      <c r="H211" s="47" t="s">
        <v>125</v>
      </c>
      <c r="O211" s="335"/>
      <c r="P211" s="335"/>
      <c r="Q211" s="335"/>
      <c r="R211" s="335"/>
      <c r="S211" s="335"/>
      <c r="T211" s="335"/>
      <c r="U211" s="335"/>
      <c r="V211" s="13">
        <f>'Opening Balances'!W68</f>
        <v>0</v>
      </c>
      <c r="W211" s="10">
        <f>SUM(W204:W210)</f>
        <v>0</v>
      </c>
      <c r="X211" s="10">
        <f t="shared" ref="X211" si="201">SUM(X204:X210)</f>
        <v>0</v>
      </c>
      <c r="Y211" s="10">
        <f t="shared" ref="Y211" si="202">SUM(Y204:Y210)</f>
        <v>0</v>
      </c>
      <c r="Z211" s="67"/>
      <c r="AA211" s="10">
        <f t="shared" ref="AA211" si="203">SUM(AA204:AA210)</f>
        <v>0</v>
      </c>
      <c r="AB211" s="10">
        <f t="shared" ref="AB211" si="204">SUM(AB204:AB210)</f>
        <v>0</v>
      </c>
      <c r="AC211" s="10">
        <f t="shared" ref="AC211" si="205">SUM(AC204:AC210)</f>
        <v>0</v>
      </c>
      <c r="AD211" s="10">
        <f>SUM(AD204:AD210)</f>
        <v>0</v>
      </c>
      <c r="AE211" s="10">
        <f t="shared" ref="AE211" si="206">SUM(AE204:AE210)</f>
        <v>0</v>
      </c>
      <c r="AF211" s="10">
        <f t="shared" ref="AF211" si="207">SUM(AF204:AF210)</f>
        <v>0</v>
      </c>
      <c r="AG211" s="10">
        <f t="shared" ref="AG211" si="208">SUM(AG204:AG210)</f>
        <v>0</v>
      </c>
      <c r="AH211" s="10">
        <f t="shared" ref="AH211" si="209">SUM(AH204:AH210)</f>
        <v>0</v>
      </c>
      <c r="AI211" s="10">
        <f t="shared" ref="AI211" si="210">SUM(AI204:AI210)</f>
        <v>0</v>
      </c>
      <c r="AJ211" s="10">
        <f t="shared" ref="AJ211" si="211">SUM(AJ204:AJ210)</f>
        <v>0</v>
      </c>
      <c r="AK211" s="10">
        <f t="shared" ref="AK211" si="212">SUM(AK204:AK210)</f>
        <v>0</v>
      </c>
      <c r="AL211" s="10">
        <f t="shared" ref="AL211" si="213">SUM(AL204:AL210)</f>
        <v>0</v>
      </c>
      <c r="AM211" s="10">
        <f t="shared" ref="AM211" si="214">SUM(AM204:AM210)</f>
        <v>0</v>
      </c>
      <c r="AN211" s="10">
        <f t="shared" ref="AN211" si="215">SUM(AN204:AN210)</f>
        <v>0</v>
      </c>
      <c r="AO211" s="10">
        <f t="shared" ref="AO211" si="216">SUM(AO204:AO210)</f>
        <v>0</v>
      </c>
      <c r="AP211" s="10">
        <f t="shared" ref="AP211" si="217">SUM(AP204:AP210)</f>
        <v>0</v>
      </c>
      <c r="AQ211" s="10">
        <f t="shared" ref="AQ211" si="218">SUM(AQ204:AQ210)</f>
        <v>0</v>
      </c>
      <c r="AR211" s="10">
        <f t="shared" ref="AR211" si="219">SUM(AR204:AR210)</f>
        <v>0</v>
      </c>
      <c r="AS211" s="10">
        <f t="shared" ref="AS211" si="220">SUM(AS204:AS210)</f>
        <v>0</v>
      </c>
      <c r="AT211" s="10">
        <f t="shared" ref="AT211" si="221">SUM(AT204:AT210)</f>
        <v>0</v>
      </c>
      <c r="AU211" s="10">
        <f t="shared" ref="AU211" si="222">SUM(AU204:AU210)</f>
        <v>0</v>
      </c>
      <c r="AV211" s="10">
        <f t="shared" ref="AV211" si="223">SUM(AV204:AV210)</f>
        <v>0</v>
      </c>
      <c r="AW211" s="10">
        <f t="shared" ref="AW211" si="224">SUM(AW204:AW210)</f>
        <v>0</v>
      </c>
      <c r="AX211" s="10">
        <f t="shared" ref="AX211" si="225">SUM(AX204:AX210)</f>
        <v>0</v>
      </c>
      <c r="AY211" s="10">
        <f t="shared" ref="AY211" si="226">SUM(AY204:AY210)</f>
        <v>0</v>
      </c>
      <c r="AZ211" s="10">
        <f t="shared" ref="AZ211" si="227">SUM(AZ204:AZ210)</f>
        <v>0</v>
      </c>
      <c r="BA211" s="10">
        <f t="shared" ref="BA211" si="228">SUM(BA204:BA210)</f>
        <v>0</v>
      </c>
      <c r="BB211" s="10">
        <f t="shared" ref="BB211" si="229">SUM(BB204:BB210)</f>
        <v>0</v>
      </c>
      <c r="BC211" s="10">
        <f t="shared" ref="BC211" si="230">SUM(BC204:BC210)</f>
        <v>0</v>
      </c>
      <c r="BD211" s="10">
        <f t="shared" ref="BD211" si="231">SUM(BD204:BD210)</f>
        <v>0</v>
      </c>
      <c r="BE211" s="10">
        <f t="shared" ref="BE211" si="232">SUM(BE204:BE210)</f>
        <v>0</v>
      </c>
      <c r="BF211" s="10">
        <f t="shared" ref="BF211" si="233">SUM(BF204:BF210)</f>
        <v>0</v>
      </c>
      <c r="BG211" s="10">
        <f t="shared" ref="BG211" si="234">SUM(BG204:BG210)</f>
        <v>0</v>
      </c>
      <c r="BH211" s="10">
        <f t="shared" ref="BH211" si="235">SUM(BH204:BH210)</f>
        <v>0</v>
      </c>
      <c r="BI211" s="10">
        <f t="shared" ref="BI211" si="236">SUM(BI204:BI210)</f>
        <v>0</v>
      </c>
      <c r="BJ211" s="10">
        <f t="shared" ref="BJ211" si="237">SUM(BJ204:BJ210)</f>
        <v>0</v>
      </c>
      <c r="BK211" s="67"/>
      <c r="BL211" s="13">
        <f t="shared" si="191"/>
        <v>0</v>
      </c>
      <c r="BM211" s="13">
        <f t="shared" si="191"/>
        <v>0</v>
      </c>
      <c r="BN211" s="13">
        <f t="shared" si="191"/>
        <v>0</v>
      </c>
      <c r="BO211" s="13">
        <f t="shared" si="191"/>
        <v>0</v>
      </c>
      <c r="BP211" s="10">
        <f t="shared" ref="BP211" si="238">SUM(BP204:BP210)</f>
        <v>0</v>
      </c>
      <c r="BQ211" s="10">
        <f t="shared" ref="BQ211" si="239">SUM(BQ204:BQ210)</f>
        <v>0</v>
      </c>
      <c r="BR211" s="10">
        <f t="shared" ref="BR211" si="240">SUM(BR204:BR210)</f>
        <v>0</v>
      </c>
      <c r="BS211" s="10">
        <f t="shared" ref="BS211" si="241">SUM(BS204:BS210)</f>
        <v>0</v>
      </c>
      <c r="BT211" s="10">
        <f t="shared" ref="BT211" si="242">SUM(BT204:BT210)</f>
        <v>0</v>
      </c>
      <c r="BU211" s="10">
        <f t="shared" ref="BU211" si="243">SUM(BU204:BU210)</f>
        <v>0</v>
      </c>
      <c r="BV211" s="10">
        <f t="shared" ref="BV211" si="244">SUM(BV204:BV210)</f>
        <v>0</v>
      </c>
      <c r="BW211" s="10">
        <f t="shared" ref="BW211" si="245">SUM(BW204:BW210)</f>
        <v>0</v>
      </c>
      <c r="BY211" s="12"/>
      <c r="CA211" s="12"/>
      <c r="CE211" s="188">
        <f>IF(ABS($E211)&gt;Parameters!$D$33, 1, 0)</f>
        <v>0</v>
      </c>
      <c r="CF211" s="7">
        <f t="shared" si="193"/>
        <v>0</v>
      </c>
      <c r="CG211" s="12"/>
      <c r="CH211" s="11">
        <v>0</v>
      </c>
      <c r="CI211" s="11">
        <v>0</v>
      </c>
      <c r="CJ211" s="1">
        <v>1</v>
      </c>
      <c r="CK211" s="335"/>
      <c r="EX211" s="13" t="str">
        <f t="shared" si="194"/>
        <v>Other Pension Provisions Closing Balance</v>
      </c>
    </row>
    <row r="212" spans="1:154" ht="8.1" customHeight="1" x14ac:dyDescent="0.25">
      <c r="C212" s="385"/>
      <c r="O212" s="335"/>
      <c r="P212" s="335"/>
      <c r="Q212" s="335"/>
      <c r="R212" s="335"/>
      <c r="S212" s="335"/>
      <c r="T212" s="335"/>
      <c r="U212" s="335"/>
      <c r="V212" s="335"/>
      <c r="X212" s="11"/>
      <c r="Y212" s="11"/>
      <c r="BY212" s="12"/>
      <c r="CA212" s="12"/>
      <c r="CG212" s="12"/>
      <c r="CH212" s="11">
        <v>0</v>
      </c>
      <c r="CI212" s="11">
        <v>0</v>
      </c>
      <c r="CJ212" s="11">
        <v>0</v>
      </c>
      <c r="EX212" s="10" t="str">
        <f t="shared" ref="EX212:EX213" si="246">IF($C212="","",$D212)</f>
        <v/>
      </c>
    </row>
    <row r="213" spans="1:154" x14ac:dyDescent="0.25">
      <c r="B213" s="29"/>
      <c r="C213" s="385"/>
      <c r="D213" s="27" t="s">
        <v>158</v>
      </c>
      <c r="O213" s="335"/>
      <c r="P213" s="335"/>
      <c r="Q213" s="335"/>
      <c r="R213" s="335"/>
      <c r="S213" s="335"/>
      <c r="T213" s="335"/>
      <c r="U213" s="335"/>
      <c r="X213" s="11"/>
      <c r="Y213" s="11"/>
      <c r="AM213" s="335"/>
      <c r="BY213" s="12"/>
      <c r="CA213" s="12"/>
      <c r="CG213" s="12"/>
      <c r="CH213" s="11">
        <v>0</v>
      </c>
      <c r="CI213" s="11">
        <v>0</v>
      </c>
      <c r="CJ213" s="11">
        <v>0</v>
      </c>
      <c r="EX213" s="10" t="str">
        <f t="shared" si="246"/>
        <v/>
      </c>
    </row>
    <row r="214" spans="1:154" s="335" customFormat="1" x14ac:dyDescent="0.25">
      <c r="A214" s="362" cm="1">
        <f t="array" aca="1" ref="A214" ca="1">HYPERLINK(CONCATENATE("#",CELL("address",IF(SUM($CA214:$CG214)=0,A214,INDEX($CA214:$CG214,MATCH(1,$CA214:$CG214,0))))),SUM($CA214:$CG214))</f>
        <v>0</v>
      </c>
      <c r="C214" s="340" t="str">
        <f>CONCATENATE("BS-",'Opening Balances'!$C$69)</f>
        <v>BS-B-7d-OB</v>
      </c>
      <c r="D214" s="1" t="s">
        <v>91</v>
      </c>
      <c r="G214" s="8"/>
      <c r="H214" s="47" t="s">
        <v>125</v>
      </c>
      <c r="V214" s="373">
        <f>'Opening Balances'!$V$69</f>
        <v>0</v>
      </c>
      <c r="W214" s="10">
        <f>V217</f>
        <v>0</v>
      </c>
      <c r="X214" s="10">
        <f>W217</f>
        <v>0</v>
      </c>
      <c r="Y214" s="10">
        <f t="shared" ref="Y214" si="247">X217</f>
        <v>0</v>
      </c>
      <c r="AA214" s="10">
        <f>W214</f>
        <v>0</v>
      </c>
      <c r="AB214" s="10">
        <f>AA217</f>
        <v>0</v>
      </c>
      <c r="AC214" s="10">
        <f t="shared" ref="AC214:BJ214" si="248">AB217</f>
        <v>0</v>
      </c>
      <c r="AD214" s="10">
        <f t="shared" si="248"/>
        <v>0</v>
      </c>
      <c r="AE214" s="10">
        <f t="shared" si="248"/>
        <v>0</v>
      </c>
      <c r="AF214" s="10">
        <f t="shared" si="248"/>
        <v>0</v>
      </c>
      <c r="AG214" s="10">
        <f t="shared" si="248"/>
        <v>0</v>
      </c>
      <c r="AH214" s="10">
        <f t="shared" si="248"/>
        <v>0</v>
      </c>
      <c r="AI214" s="10">
        <f t="shared" si="248"/>
        <v>0</v>
      </c>
      <c r="AJ214" s="10">
        <f t="shared" si="248"/>
        <v>0</v>
      </c>
      <c r="AK214" s="10">
        <f t="shared" si="248"/>
        <v>0</v>
      </c>
      <c r="AL214" s="10">
        <f t="shared" si="248"/>
        <v>0</v>
      </c>
      <c r="AM214" s="10">
        <f t="shared" si="248"/>
        <v>0</v>
      </c>
      <c r="AN214" s="10">
        <f t="shared" si="248"/>
        <v>0</v>
      </c>
      <c r="AO214" s="10">
        <f t="shared" si="248"/>
        <v>0</v>
      </c>
      <c r="AP214" s="10">
        <f t="shared" si="248"/>
        <v>0</v>
      </c>
      <c r="AQ214" s="10">
        <f t="shared" si="248"/>
        <v>0</v>
      </c>
      <c r="AR214" s="10">
        <f t="shared" si="248"/>
        <v>0</v>
      </c>
      <c r="AS214" s="10">
        <f t="shared" si="248"/>
        <v>0</v>
      </c>
      <c r="AT214" s="10">
        <f t="shared" si="248"/>
        <v>0</v>
      </c>
      <c r="AU214" s="10">
        <f t="shared" si="248"/>
        <v>0</v>
      </c>
      <c r="AV214" s="10">
        <f t="shared" si="248"/>
        <v>0</v>
      </c>
      <c r="AW214" s="10">
        <f t="shared" si="248"/>
        <v>0</v>
      </c>
      <c r="AX214" s="10">
        <f t="shared" si="248"/>
        <v>0</v>
      </c>
      <c r="AY214" s="10">
        <f t="shared" si="248"/>
        <v>0</v>
      </c>
      <c r="AZ214" s="10">
        <f t="shared" si="248"/>
        <v>0</v>
      </c>
      <c r="BA214" s="10">
        <f t="shared" si="248"/>
        <v>0</v>
      </c>
      <c r="BB214" s="10">
        <f t="shared" si="248"/>
        <v>0</v>
      </c>
      <c r="BC214" s="10">
        <f t="shared" si="248"/>
        <v>0</v>
      </c>
      <c r="BD214" s="10">
        <f t="shared" si="248"/>
        <v>0</v>
      </c>
      <c r="BE214" s="10">
        <f t="shared" si="248"/>
        <v>0</v>
      </c>
      <c r="BF214" s="10">
        <f t="shared" si="248"/>
        <v>0</v>
      </c>
      <c r="BG214" s="10">
        <f t="shared" si="248"/>
        <v>0</v>
      </c>
      <c r="BH214" s="10">
        <f t="shared" si="248"/>
        <v>0</v>
      </c>
      <c r="BI214" s="10">
        <f t="shared" si="248"/>
        <v>0</v>
      </c>
      <c r="BJ214" s="10">
        <f t="shared" si="248"/>
        <v>0</v>
      </c>
      <c r="BL214" s="13">
        <f t="shared" ref="BL214:BO217" si="249">V214</f>
        <v>0</v>
      </c>
      <c r="BM214" s="13">
        <f t="shared" si="249"/>
        <v>0</v>
      </c>
      <c r="BN214" s="13">
        <f t="shared" si="249"/>
        <v>0</v>
      </c>
      <c r="BO214" s="13">
        <f t="shared" si="249"/>
        <v>0</v>
      </c>
      <c r="BP214" s="10">
        <f>BO217</f>
        <v>0</v>
      </c>
      <c r="BQ214" s="10">
        <f t="shared" ref="BQ214:BW214" si="250">BP217</f>
        <v>0</v>
      </c>
      <c r="BR214" s="10">
        <f t="shared" si="250"/>
        <v>0</v>
      </c>
      <c r="BS214" s="10">
        <f t="shared" si="250"/>
        <v>0</v>
      </c>
      <c r="BT214" s="10">
        <f t="shared" si="250"/>
        <v>0</v>
      </c>
      <c r="BU214" s="10">
        <f t="shared" si="250"/>
        <v>0</v>
      </c>
      <c r="BV214" s="10">
        <f t="shared" si="250"/>
        <v>0</v>
      </c>
      <c r="BW214" s="10">
        <f t="shared" si="250"/>
        <v>0</v>
      </c>
      <c r="BY214" s="12"/>
      <c r="CA214" s="12"/>
      <c r="CF214" s="7">
        <f>IF(SUM(V214:Y214)=SUM(BL214:BO214), 0, 1)</f>
        <v>0</v>
      </c>
      <c r="CG214" s="12"/>
      <c r="CH214" s="335">
        <v>0</v>
      </c>
      <c r="CI214" s="335">
        <v>0</v>
      </c>
      <c r="CJ214" s="335">
        <v>0</v>
      </c>
      <c r="EX214" s="13" t="str">
        <f>IF($C214="", "",CONCATENATE(D$213, " ", D214))</f>
        <v>Other Provisions Opening Balance</v>
      </c>
    </row>
    <row r="215" spans="1:154" ht="15.75" x14ac:dyDescent="0.3">
      <c r="A215" s="362" cm="1">
        <f t="array" aca="1" ref="A215" ca="1">HYPERLINK(CONCATENATE("#",CELL("address",IF(SUM($CA215:$CG215)=0,A215,INDEX($CA215:$CG215,MATCH(1,$CA215:$CG215,0))))),SUM($CA215:$CG215))</f>
        <v>0</v>
      </c>
      <c r="B215" s="67"/>
      <c r="C215" s="343" t="s">
        <v>1423</v>
      </c>
      <c r="D215" s="177" t="s">
        <v>960</v>
      </c>
      <c r="E215" s="479" t="s">
        <v>335</v>
      </c>
      <c r="F215" s="335"/>
      <c r="G215" s="335"/>
      <c r="H215" s="47" t="s">
        <v>125</v>
      </c>
      <c r="O215" s="335"/>
      <c r="P215" s="335"/>
      <c r="Q215" s="335"/>
      <c r="R215" s="335"/>
      <c r="S215" s="335"/>
      <c r="T215" s="335"/>
      <c r="U215" s="335"/>
      <c r="V215" s="141"/>
      <c r="W215" s="215">
        <f t="shared" ref="W215:Y216" si="251" xml:space="preserve"> SUMIFS($AA215:$BJ215, $AA$3:$BJ$3, W$3)</f>
        <v>0</v>
      </c>
      <c r="X215" s="215">
        <f t="shared" si="251"/>
        <v>0</v>
      </c>
      <c r="Y215" s="215">
        <f t="shared" si="251"/>
        <v>0</v>
      </c>
      <c r="Z215" s="6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c r="BI215" s="147"/>
      <c r="BJ215" s="147"/>
      <c r="BK215" s="67"/>
      <c r="BL215" s="10">
        <f t="shared" si="249"/>
        <v>0</v>
      </c>
      <c r="BM215" s="10">
        <f t="shared" si="249"/>
        <v>0</v>
      </c>
      <c r="BN215" s="10">
        <f t="shared" si="249"/>
        <v>0</v>
      </c>
      <c r="BO215" s="10">
        <f t="shared" si="249"/>
        <v>0</v>
      </c>
      <c r="BP215" s="141"/>
      <c r="BQ215" s="141"/>
      <c r="BR215" s="141"/>
      <c r="BS215" s="141"/>
      <c r="BT215" s="141"/>
      <c r="BU215" s="141"/>
      <c r="BV215" s="141"/>
      <c r="BW215" s="141"/>
      <c r="BY215" s="12"/>
      <c r="BZ215" s="363">
        <f>IF(MIN($V215:$BW215)&lt;0, 1, 0)</f>
        <v>0</v>
      </c>
      <c r="CA215" s="12"/>
      <c r="CF215" s="7">
        <f>IF(SUM(V215:Y215)=SUM(BL215:BO215), 0, 1)</f>
        <v>0</v>
      </c>
      <c r="CG215" s="12"/>
      <c r="CH215" s="11">
        <v>1</v>
      </c>
      <c r="CI215" s="11">
        <v>1</v>
      </c>
      <c r="CJ215" s="11">
        <v>0</v>
      </c>
      <c r="EX215" s="13" t="str">
        <f>IF($C215="", "",CONCATENATE(D$213, " ", D215))</f>
        <v>Other Provisions Provisions made (released)</v>
      </c>
    </row>
    <row r="216" spans="1:154" s="335" customFormat="1" x14ac:dyDescent="0.25">
      <c r="A216" s="362" cm="1">
        <f t="array" aca="1" ref="A216" ca="1">HYPERLINK(CONCATENATE("#",CELL("address",IF(SUM($CA216:$CG216)=0,A216,INDEX($CA216:$CG216,MATCH(1,$CA216:$CG216,0))))),SUM($CA216:$CG216))</f>
        <v>0</v>
      </c>
      <c r="C216" s="343" t="s">
        <v>1424</v>
      </c>
      <c r="D216" s="177" t="s">
        <v>959</v>
      </c>
      <c r="E216" s="490" t="s">
        <v>2356</v>
      </c>
      <c r="H216" s="47" t="s">
        <v>157</v>
      </c>
      <c r="V216" s="141"/>
      <c r="W216" s="215">
        <f t="shared" si="251"/>
        <v>0</v>
      </c>
      <c r="X216" s="215">
        <f t="shared" si="251"/>
        <v>0</v>
      </c>
      <c r="Y216" s="215">
        <f t="shared" si="251"/>
        <v>0</v>
      </c>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L216" s="10">
        <f t="shared" si="249"/>
        <v>0</v>
      </c>
      <c r="BM216" s="10">
        <f t="shared" si="249"/>
        <v>0</v>
      </c>
      <c r="BN216" s="10">
        <f t="shared" si="249"/>
        <v>0</v>
      </c>
      <c r="BO216" s="10">
        <f t="shared" si="249"/>
        <v>0</v>
      </c>
      <c r="BP216" s="141"/>
      <c r="BQ216" s="141"/>
      <c r="BR216" s="141"/>
      <c r="BS216" s="141"/>
      <c r="BT216" s="141"/>
      <c r="BU216" s="141"/>
      <c r="BV216" s="141"/>
      <c r="BW216" s="141"/>
      <c r="BY216" s="12"/>
      <c r="BZ216" s="363">
        <f>IF(MAX($V216:$BW216)&gt;0, 1, 0)</f>
        <v>0</v>
      </c>
      <c r="CA216" s="12"/>
      <c r="CF216" s="7">
        <f>IF(SUM(V216:Y216)=SUM(BL216:BO216), 0, 1)</f>
        <v>0</v>
      </c>
      <c r="CG216" s="12"/>
      <c r="CH216" s="335">
        <v>1</v>
      </c>
      <c r="CI216" s="335">
        <v>1</v>
      </c>
      <c r="CJ216" s="335">
        <v>0</v>
      </c>
      <c r="EX216" s="13" t="str">
        <f>IF($C216="", "",CONCATENATE(D$213, " ", D216))</f>
        <v>Other Provisions Cash paid</v>
      </c>
    </row>
    <row r="217" spans="1:154" x14ac:dyDescent="0.25">
      <c r="A217" s="362" cm="1">
        <f t="array" aca="1" ref="A217" ca="1">HYPERLINK(CONCATENATE("#",CELL("address",IF(SUM($CA217:$CG217)=0,A217,INDEX($CA217:$CG217,MATCH(1,$CA217:$CG217,0))))),SUM($CA217:$CG217))</f>
        <v>0</v>
      </c>
      <c r="C217" s="343" t="str">
        <f>REPLACE('Opening Balances'!$C$69, LEN('Opening Balances'!$C$69)-1, 1, "C")</f>
        <v>B-7d-CB</v>
      </c>
      <c r="D217" s="93" t="s">
        <v>97</v>
      </c>
      <c r="E217" s="352">
        <f>ROUND(V217-SUM(V214:V216), rounding)*$V$10</f>
        <v>0</v>
      </c>
      <c r="G217" s="8"/>
      <c r="H217" s="47" t="s">
        <v>125</v>
      </c>
      <c r="O217" s="335"/>
      <c r="P217" s="335"/>
      <c r="Q217" s="335"/>
      <c r="R217" s="335"/>
      <c r="S217" s="335"/>
      <c r="T217" s="335"/>
      <c r="U217" s="335"/>
      <c r="V217" s="13">
        <f>'Opening Balances'!W69</f>
        <v>0</v>
      </c>
      <c r="W217" s="10">
        <f>SUM(W214:W216)</f>
        <v>0</v>
      </c>
      <c r="X217" s="10">
        <f t="shared" ref="X217:BJ217" si="252">SUM(X214:X216)</f>
        <v>0</v>
      </c>
      <c r="Y217" s="10">
        <f t="shared" si="252"/>
        <v>0</v>
      </c>
      <c r="Z217" s="10">
        <f t="shared" si="252"/>
        <v>0</v>
      </c>
      <c r="AA217" s="10">
        <f t="shared" si="252"/>
        <v>0</v>
      </c>
      <c r="AB217" s="10">
        <f t="shared" si="252"/>
        <v>0</v>
      </c>
      <c r="AC217" s="10">
        <f t="shared" si="252"/>
        <v>0</v>
      </c>
      <c r="AD217" s="10">
        <f t="shared" si="252"/>
        <v>0</v>
      </c>
      <c r="AE217" s="10">
        <f t="shared" si="252"/>
        <v>0</v>
      </c>
      <c r="AF217" s="10">
        <f t="shared" si="252"/>
        <v>0</v>
      </c>
      <c r="AG217" s="10">
        <f t="shared" si="252"/>
        <v>0</v>
      </c>
      <c r="AH217" s="10">
        <f t="shared" si="252"/>
        <v>0</v>
      </c>
      <c r="AI217" s="10">
        <f t="shared" si="252"/>
        <v>0</v>
      </c>
      <c r="AJ217" s="10">
        <f t="shared" si="252"/>
        <v>0</v>
      </c>
      <c r="AK217" s="10">
        <f t="shared" si="252"/>
        <v>0</v>
      </c>
      <c r="AL217" s="10">
        <f t="shared" si="252"/>
        <v>0</v>
      </c>
      <c r="AM217" s="10">
        <f t="shared" si="252"/>
        <v>0</v>
      </c>
      <c r="AN217" s="10">
        <f t="shared" si="252"/>
        <v>0</v>
      </c>
      <c r="AO217" s="10">
        <f t="shared" si="252"/>
        <v>0</v>
      </c>
      <c r="AP217" s="10">
        <f t="shared" si="252"/>
        <v>0</v>
      </c>
      <c r="AQ217" s="10">
        <f t="shared" si="252"/>
        <v>0</v>
      </c>
      <c r="AR217" s="10">
        <f t="shared" si="252"/>
        <v>0</v>
      </c>
      <c r="AS217" s="10">
        <f t="shared" si="252"/>
        <v>0</v>
      </c>
      <c r="AT217" s="10">
        <f t="shared" si="252"/>
        <v>0</v>
      </c>
      <c r="AU217" s="10">
        <f t="shared" si="252"/>
        <v>0</v>
      </c>
      <c r="AV217" s="10">
        <f t="shared" si="252"/>
        <v>0</v>
      </c>
      <c r="AW217" s="10">
        <f t="shared" si="252"/>
        <v>0</v>
      </c>
      <c r="AX217" s="10">
        <f t="shared" si="252"/>
        <v>0</v>
      </c>
      <c r="AY217" s="10">
        <f t="shared" si="252"/>
        <v>0</v>
      </c>
      <c r="AZ217" s="10">
        <f t="shared" si="252"/>
        <v>0</v>
      </c>
      <c r="BA217" s="10">
        <f t="shared" si="252"/>
        <v>0</v>
      </c>
      <c r="BB217" s="10">
        <f t="shared" si="252"/>
        <v>0</v>
      </c>
      <c r="BC217" s="10">
        <f t="shared" si="252"/>
        <v>0</v>
      </c>
      <c r="BD217" s="10">
        <f t="shared" si="252"/>
        <v>0</v>
      </c>
      <c r="BE217" s="10">
        <f t="shared" si="252"/>
        <v>0</v>
      </c>
      <c r="BF217" s="10">
        <f t="shared" si="252"/>
        <v>0</v>
      </c>
      <c r="BG217" s="10">
        <f t="shared" si="252"/>
        <v>0</v>
      </c>
      <c r="BH217" s="10">
        <f t="shared" si="252"/>
        <v>0</v>
      </c>
      <c r="BI217" s="10">
        <f t="shared" si="252"/>
        <v>0</v>
      </c>
      <c r="BJ217" s="10">
        <f t="shared" si="252"/>
        <v>0</v>
      </c>
      <c r="BK217" s="335"/>
      <c r="BL217" s="13">
        <f t="shared" si="249"/>
        <v>0</v>
      </c>
      <c r="BM217" s="13">
        <f t="shared" si="249"/>
        <v>0</v>
      </c>
      <c r="BN217" s="13">
        <f t="shared" si="249"/>
        <v>0</v>
      </c>
      <c r="BO217" s="13">
        <f t="shared" si="249"/>
        <v>0</v>
      </c>
      <c r="BP217" s="10">
        <f t="shared" ref="BP217" si="253">SUM(BP214:BP216)</f>
        <v>0</v>
      </c>
      <c r="BQ217" s="10">
        <f>SUM(BQ214:BQ216)</f>
        <v>0</v>
      </c>
      <c r="BR217" s="10">
        <f t="shared" ref="BR217" si="254">SUM(BR214:BR216)</f>
        <v>0</v>
      </c>
      <c r="BS217" s="10">
        <f t="shared" ref="BS217" si="255">SUM(BS214:BS216)</f>
        <v>0</v>
      </c>
      <c r="BT217" s="10">
        <f t="shared" ref="BT217" si="256">SUM(BT214:BT216)</f>
        <v>0</v>
      </c>
      <c r="BU217" s="10">
        <f t="shared" ref="BU217" si="257">SUM(BU214:BU216)</f>
        <v>0</v>
      </c>
      <c r="BV217" s="10">
        <f t="shared" ref="BV217" si="258">SUM(BV214:BV216)</f>
        <v>0</v>
      </c>
      <c r="BW217" s="10">
        <f>SUM(BW214:BW216)</f>
        <v>0</v>
      </c>
      <c r="BY217" s="12"/>
      <c r="CA217" s="12"/>
      <c r="CE217" s="188">
        <f>IF(ABS($E217)&gt;Parameters!$D$33, 1, 0)</f>
        <v>0</v>
      </c>
      <c r="CF217" s="7">
        <f>IF(SUM(V217:Y217)=SUM(BL217:BO217), 0, 1)</f>
        <v>0</v>
      </c>
      <c r="CG217" s="12"/>
      <c r="CH217" s="11">
        <v>0</v>
      </c>
      <c r="CI217" s="11">
        <v>0</v>
      </c>
      <c r="CJ217" s="1">
        <v>1</v>
      </c>
      <c r="CK217" s="335"/>
      <c r="EX217" s="13" t="str">
        <f>IF($C217="", "",CONCATENATE(D$213, " ", D217))</f>
        <v>Other Provisions Closing Balance</v>
      </c>
    </row>
    <row r="218" spans="1:154" s="335" customFormat="1" ht="8.1" customHeight="1" x14ac:dyDescent="0.25">
      <c r="C218" s="385"/>
      <c r="D218" s="1"/>
      <c r="BY218" s="12"/>
      <c r="CA218" s="12"/>
      <c r="CG218" s="12"/>
      <c r="CH218" s="335">
        <v>0</v>
      </c>
      <c r="CI218" s="335">
        <v>0</v>
      </c>
      <c r="CJ218" s="335">
        <v>0</v>
      </c>
      <c r="EX218" s="10" t="str">
        <f t="shared" ref="EX218:EX264" si="259">IF($C218="","",$D218)</f>
        <v/>
      </c>
    </row>
    <row r="219" spans="1:154" x14ac:dyDescent="0.25">
      <c r="B219" s="29"/>
      <c r="C219" s="385"/>
      <c r="D219" s="27" t="s">
        <v>165</v>
      </c>
      <c r="O219" s="335"/>
      <c r="P219" s="335"/>
      <c r="Q219" s="335"/>
      <c r="R219" s="335"/>
      <c r="S219" s="335"/>
      <c r="T219" s="335"/>
      <c r="U219" s="335"/>
      <c r="X219" s="11"/>
      <c r="Y219" s="11"/>
      <c r="AM219" s="335"/>
      <c r="BY219" s="12"/>
      <c r="CA219" s="12"/>
      <c r="CG219" s="12"/>
      <c r="CH219" s="11">
        <v>0</v>
      </c>
      <c r="CI219" s="11">
        <v>0</v>
      </c>
      <c r="CJ219" s="11">
        <v>0</v>
      </c>
      <c r="EX219" s="10" t="str">
        <f t="shared" si="259"/>
        <v/>
      </c>
    </row>
    <row r="220" spans="1:154" x14ac:dyDescent="0.25">
      <c r="A220" s="362" cm="1">
        <f t="array" aca="1" ref="A220" ca="1">HYPERLINK(CONCATENATE("#",CELL("address",IF(SUM($CA220:$CG220)=0,A220,INDEX($CA220:$CG220,MATCH(1,$CA220:$CG220,0))))),SUM($CA220:$CG220))</f>
        <v>0</v>
      </c>
      <c r="C220" s="340" t="str">
        <f>CONCATENATE("BS-",'Opening Balances'!$C$73)</f>
        <v>BS-B-9a-OB</v>
      </c>
      <c r="D220" s="1" t="s">
        <v>91</v>
      </c>
      <c r="G220" s="8"/>
      <c r="H220" s="47" t="s">
        <v>125</v>
      </c>
      <c r="O220" s="335"/>
      <c r="P220" s="335"/>
      <c r="Q220" s="335"/>
      <c r="R220" s="335"/>
      <c r="S220" s="335"/>
      <c r="T220" s="335"/>
      <c r="U220" s="335"/>
      <c r="V220" s="373">
        <f>'Opening Balances'!$V$73</f>
        <v>0</v>
      </c>
      <c r="W220" s="10">
        <f>V223</f>
        <v>1653</v>
      </c>
      <c r="X220" s="10">
        <f t="shared" ref="X220:BW220" si="260">W223</f>
        <v>1602</v>
      </c>
      <c r="Y220" s="10">
        <f t="shared" si="260"/>
        <v>1551</v>
      </c>
      <c r="Z220" s="67"/>
      <c r="AA220" s="10">
        <f>W220</f>
        <v>1653</v>
      </c>
      <c r="AB220" s="10">
        <f t="shared" si="260"/>
        <v>1648</v>
      </c>
      <c r="AC220" s="10">
        <f t="shared" si="260"/>
        <v>1643</v>
      </c>
      <c r="AD220" s="10">
        <f t="shared" si="260"/>
        <v>1638</v>
      </c>
      <c r="AE220" s="10">
        <f t="shared" si="260"/>
        <v>1634</v>
      </c>
      <c r="AF220" s="10">
        <f t="shared" si="260"/>
        <v>1630</v>
      </c>
      <c r="AG220" s="10">
        <f t="shared" si="260"/>
        <v>1626</v>
      </c>
      <c r="AH220" s="10">
        <f t="shared" si="260"/>
        <v>1622</v>
      </c>
      <c r="AI220" s="10">
        <f t="shared" si="260"/>
        <v>1618</v>
      </c>
      <c r="AJ220" s="10">
        <f t="shared" si="260"/>
        <v>1614</v>
      </c>
      <c r="AK220" s="10">
        <f t="shared" si="260"/>
        <v>1610</v>
      </c>
      <c r="AL220" s="10">
        <f t="shared" si="260"/>
        <v>1606</v>
      </c>
      <c r="AM220" s="10">
        <f t="shared" si="260"/>
        <v>1602</v>
      </c>
      <c r="AN220" s="10">
        <f t="shared" si="260"/>
        <v>1597</v>
      </c>
      <c r="AO220" s="10">
        <f t="shared" si="260"/>
        <v>1592</v>
      </c>
      <c r="AP220" s="10">
        <f t="shared" si="260"/>
        <v>1587</v>
      </c>
      <c r="AQ220" s="10">
        <f t="shared" si="260"/>
        <v>1583</v>
      </c>
      <c r="AR220" s="10">
        <f t="shared" si="260"/>
        <v>1579</v>
      </c>
      <c r="AS220" s="10">
        <f t="shared" si="260"/>
        <v>1575</v>
      </c>
      <c r="AT220" s="10">
        <f t="shared" si="260"/>
        <v>1571</v>
      </c>
      <c r="AU220" s="10">
        <f t="shared" si="260"/>
        <v>1567</v>
      </c>
      <c r="AV220" s="10">
        <f t="shared" si="260"/>
        <v>1563</v>
      </c>
      <c r="AW220" s="10">
        <f t="shared" si="260"/>
        <v>1559</v>
      </c>
      <c r="AX220" s="10">
        <f t="shared" si="260"/>
        <v>1555</v>
      </c>
      <c r="AY220" s="10">
        <f t="shared" si="260"/>
        <v>1551</v>
      </c>
      <c r="AZ220" s="10">
        <f t="shared" si="260"/>
        <v>1546</v>
      </c>
      <c r="BA220" s="10">
        <f t="shared" si="260"/>
        <v>1541</v>
      </c>
      <c r="BB220" s="10">
        <f t="shared" si="260"/>
        <v>1536</v>
      </c>
      <c r="BC220" s="10">
        <f t="shared" si="260"/>
        <v>1532</v>
      </c>
      <c r="BD220" s="10">
        <f t="shared" si="260"/>
        <v>1528</v>
      </c>
      <c r="BE220" s="10">
        <f t="shared" si="260"/>
        <v>1524</v>
      </c>
      <c r="BF220" s="10">
        <f t="shared" si="260"/>
        <v>1520</v>
      </c>
      <c r="BG220" s="10">
        <f t="shared" si="260"/>
        <v>1516</v>
      </c>
      <c r="BH220" s="10">
        <f t="shared" si="260"/>
        <v>1512</v>
      </c>
      <c r="BI220" s="10">
        <f t="shared" si="260"/>
        <v>1508</v>
      </c>
      <c r="BJ220" s="10">
        <f t="shared" si="260"/>
        <v>1504</v>
      </c>
      <c r="BK220" s="67"/>
      <c r="BL220" s="13">
        <f>V220</f>
        <v>0</v>
      </c>
      <c r="BM220" s="13">
        <f>W220</f>
        <v>1653</v>
      </c>
      <c r="BN220" s="13">
        <f>X220</f>
        <v>1602</v>
      </c>
      <c r="BO220" s="13">
        <f>Y220</f>
        <v>1551</v>
      </c>
      <c r="BP220" s="10">
        <f>BO223</f>
        <v>1500</v>
      </c>
      <c r="BQ220" s="10">
        <f t="shared" si="260"/>
        <v>1500</v>
      </c>
      <c r="BR220" s="10">
        <f t="shared" si="260"/>
        <v>1500</v>
      </c>
      <c r="BS220" s="10">
        <f t="shared" si="260"/>
        <v>1500</v>
      </c>
      <c r="BT220" s="10">
        <f t="shared" si="260"/>
        <v>1500</v>
      </c>
      <c r="BU220" s="10">
        <f t="shared" si="260"/>
        <v>1500</v>
      </c>
      <c r="BV220" s="10">
        <f t="shared" si="260"/>
        <v>1500</v>
      </c>
      <c r="BW220" s="10">
        <f t="shared" si="260"/>
        <v>1500</v>
      </c>
      <c r="BY220" s="12"/>
      <c r="CA220" s="12"/>
      <c r="CF220" s="7">
        <f>IF(SUM(V220:Y220)=SUM(BL220:BO220), 0, 1)</f>
        <v>0</v>
      </c>
      <c r="CG220" s="12"/>
      <c r="CH220" s="11">
        <v>0</v>
      </c>
      <c r="CI220" s="11">
        <v>0</v>
      </c>
      <c r="CJ220" s="11">
        <v>0</v>
      </c>
      <c r="EX220" s="13" t="str">
        <f>IF($C220="", "",CONCATENATE(D$219, " ", D220))</f>
        <v>Revaluation Reserve Opening Balance</v>
      </c>
    </row>
    <row r="221" spans="1:154" s="335" customFormat="1" ht="15.75" x14ac:dyDescent="0.3">
      <c r="A221" s="362" cm="1">
        <f t="array" aca="1" ref="A221" ca="1">HYPERLINK(CONCATENATE("#",CELL("address",IF(SUM($CA221:$CG221)=0,A221,INDEX($CA221:$CG221,MATCH(1,$CA221:$CG221,0))))),SUM($CA221:$CG221))</f>
        <v>0</v>
      </c>
      <c r="C221" s="340" t="s">
        <v>1425</v>
      </c>
      <c r="D221" s="1" t="s">
        <v>2563</v>
      </c>
      <c r="E221" s="479" t="s">
        <v>335</v>
      </c>
      <c r="G221" s="8"/>
      <c r="H221" s="47" t="s">
        <v>8</v>
      </c>
      <c r="V221" s="10">
        <f>'Investing Inputs'!V97-'Investing Inputs'!V95</f>
        <v>0</v>
      </c>
      <c r="W221" s="10">
        <f>'Investing Inputs'!W97-'Investing Inputs'!W95</f>
        <v>0</v>
      </c>
      <c r="X221" s="10">
        <f>'Investing Inputs'!X97-'Investing Inputs'!X95</f>
        <v>0</v>
      </c>
      <c r="Y221" s="10">
        <f>'Investing Inputs'!Y97-'Investing Inputs'!Y95</f>
        <v>0</v>
      </c>
      <c r="AA221" s="10">
        <f>'Investing Inputs'!AA97-'Investing Inputs'!AA95</f>
        <v>0</v>
      </c>
      <c r="AB221" s="10">
        <f>'Investing Inputs'!AB97-'Investing Inputs'!AB95</f>
        <v>0</v>
      </c>
      <c r="AC221" s="10">
        <f>'Investing Inputs'!AC97-'Investing Inputs'!AC95</f>
        <v>0</v>
      </c>
      <c r="AD221" s="10">
        <f>'Investing Inputs'!AD97-'Investing Inputs'!AD95</f>
        <v>0</v>
      </c>
      <c r="AE221" s="10">
        <f>'Investing Inputs'!AE97-'Investing Inputs'!AE95</f>
        <v>0</v>
      </c>
      <c r="AF221" s="10">
        <f>'Investing Inputs'!AF97-'Investing Inputs'!AF95</f>
        <v>0</v>
      </c>
      <c r="AG221" s="10">
        <f>'Investing Inputs'!AG97-'Investing Inputs'!AG95</f>
        <v>0</v>
      </c>
      <c r="AH221" s="10">
        <f>'Investing Inputs'!AH97-'Investing Inputs'!AH95</f>
        <v>0</v>
      </c>
      <c r="AI221" s="10">
        <f>'Investing Inputs'!AI97-'Investing Inputs'!AI95</f>
        <v>0</v>
      </c>
      <c r="AJ221" s="10">
        <f>'Investing Inputs'!AJ97-'Investing Inputs'!AJ95</f>
        <v>0</v>
      </c>
      <c r="AK221" s="10">
        <f>'Investing Inputs'!AK97-'Investing Inputs'!AK95</f>
        <v>0</v>
      </c>
      <c r="AL221" s="10">
        <f>'Investing Inputs'!AL97-'Investing Inputs'!AL95</f>
        <v>0</v>
      </c>
      <c r="AM221" s="10">
        <f>'Investing Inputs'!AM97-'Investing Inputs'!AM95</f>
        <v>0</v>
      </c>
      <c r="AN221" s="10">
        <f>'Investing Inputs'!AN97-'Investing Inputs'!AN95</f>
        <v>0</v>
      </c>
      <c r="AO221" s="10">
        <f>'Investing Inputs'!AO97-'Investing Inputs'!AO95</f>
        <v>0</v>
      </c>
      <c r="AP221" s="10">
        <f>'Investing Inputs'!AP97-'Investing Inputs'!AP95</f>
        <v>0</v>
      </c>
      <c r="AQ221" s="10">
        <f>'Investing Inputs'!AQ97-'Investing Inputs'!AQ95</f>
        <v>0</v>
      </c>
      <c r="AR221" s="10">
        <f>'Investing Inputs'!AR97-'Investing Inputs'!AR95</f>
        <v>0</v>
      </c>
      <c r="AS221" s="10">
        <f>'Investing Inputs'!AS97-'Investing Inputs'!AS95</f>
        <v>0</v>
      </c>
      <c r="AT221" s="10">
        <f>'Investing Inputs'!AT97-'Investing Inputs'!AT95</f>
        <v>0</v>
      </c>
      <c r="AU221" s="10">
        <f>'Investing Inputs'!AU97-'Investing Inputs'!AU95</f>
        <v>0</v>
      </c>
      <c r="AV221" s="10">
        <f>'Investing Inputs'!AV97-'Investing Inputs'!AV95</f>
        <v>0</v>
      </c>
      <c r="AW221" s="10">
        <f>'Investing Inputs'!AW97-'Investing Inputs'!AW95</f>
        <v>0</v>
      </c>
      <c r="AX221" s="10">
        <f>'Investing Inputs'!AX97-'Investing Inputs'!AX95</f>
        <v>0</v>
      </c>
      <c r="AY221" s="10">
        <f>'Investing Inputs'!AY97-'Investing Inputs'!AY95</f>
        <v>0</v>
      </c>
      <c r="AZ221" s="10">
        <f>'Investing Inputs'!AZ97-'Investing Inputs'!AZ95</f>
        <v>0</v>
      </c>
      <c r="BA221" s="10">
        <f>'Investing Inputs'!BA97-'Investing Inputs'!BA95</f>
        <v>0</v>
      </c>
      <c r="BB221" s="10">
        <f>'Investing Inputs'!BB97-'Investing Inputs'!BB95</f>
        <v>0</v>
      </c>
      <c r="BC221" s="10">
        <f>'Investing Inputs'!BC97-'Investing Inputs'!BC95</f>
        <v>0</v>
      </c>
      <c r="BD221" s="10">
        <f>'Investing Inputs'!BD97-'Investing Inputs'!BD95</f>
        <v>0</v>
      </c>
      <c r="BE221" s="10">
        <f>'Investing Inputs'!BE97-'Investing Inputs'!BE95</f>
        <v>0</v>
      </c>
      <c r="BF221" s="10">
        <f>'Investing Inputs'!BF97-'Investing Inputs'!BF95</f>
        <v>0</v>
      </c>
      <c r="BG221" s="10">
        <f>'Investing Inputs'!BG97-'Investing Inputs'!BG95</f>
        <v>0</v>
      </c>
      <c r="BH221" s="10">
        <f>'Investing Inputs'!BH97-'Investing Inputs'!BH95</f>
        <v>0</v>
      </c>
      <c r="BI221" s="10">
        <f>'Investing Inputs'!BI97-'Investing Inputs'!BI95</f>
        <v>0</v>
      </c>
      <c r="BJ221" s="10">
        <f>'Investing Inputs'!BJ97-'Investing Inputs'!BJ95</f>
        <v>0</v>
      </c>
      <c r="BL221" s="10">
        <f>'Investing Inputs'!BL97-'Investing Inputs'!BL95</f>
        <v>0</v>
      </c>
      <c r="BM221" s="10">
        <f>'Investing Inputs'!BM97-'Investing Inputs'!BM95</f>
        <v>0</v>
      </c>
      <c r="BN221" s="10">
        <f>'Investing Inputs'!BN97-'Investing Inputs'!BN95</f>
        <v>0</v>
      </c>
      <c r="BO221" s="10">
        <f>'Investing Inputs'!BO97-'Investing Inputs'!BO95</f>
        <v>0</v>
      </c>
      <c r="BP221" s="10">
        <f>'Investing Inputs'!BP97-'Investing Inputs'!BP95</f>
        <v>0</v>
      </c>
      <c r="BQ221" s="10">
        <f>'Investing Inputs'!BQ97-'Investing Inputs'!BQ95</f>
        <v>0</v>
      </c>
      <c r="BR221" s="10">
        <f>'Investing Inputs'!BR97-'Investing Inputs'!BR95</f>
        <v>0</v>
      </c>
      <c r="BS221" s="10">
        <f>'Investing Inputs'!BS97-'Investing Inputs'!BS95</f>
        <v>0</v>
      </c>
      <c r="BT221" s="10">
        <f>'Investing Inputs'!BT97-'Investing Inputs'!BT95</f>
        <v>0</v>
      </c>
      <c r="BU221" s="10">
        <f>'Investing Inputs'!BU97-'Investing Inputs'!BU95</f>
        <v>0</v>
      </c>
      <c r="BV221" s="10">
        <f>'Investing Inputs'!BV97-'Investing Inputs'!BV95</f>
        <v>0</v>
      </c>
      <c r="BW221" s="10">
        <f>'Investing Inputs'!BW97-'Investing Inputs'!BW95</f>
        <v>0</v>
      </c>
      <c r="BY221" s="12"/>
      <c r="CA221" s="12"/>
      <c r="CF221" s="7"/>
      <c r="CG221" s="12"/>
      <c r="CH221" s="335">
        <v>0</v>
      </c>
      <c r="CI221" s="335">
        <v>0</v>
      </c>
      <c r="CJ221" s="335">
        <v>0</v>
      </c>
      <c r="EX221" s="13" t="str">
        <f>IF($C221="", "",CONCATENATE(D$219, " ", D221))</f>
        <v>Revaluation Reserve Surplus/Loss on Revaluation of Tangible Non-Current Assets</v>
      </c>
    </row>
    <row r="222" spans="1:154" x14ac:dyDescent="0.25">
      <c r="A222" s="362" cm="1">
        <f t="array" aca="1" ref="A222" ca="1">HYPERLINK(CONCATENATE("#",CELL("address",IF(SUM($CA222:$CG222)=0,A222,INDEX($CA222:$CG222,MATCH(1,$CA222:$CG222,0))))),SUM($CA222:$CG222))</f>
        <v>0</v>
      </c>
      <c r="C222" s="340" t="s">
        <v>1426</v>
      </c>
      <c r="D222" s="1" t="s">
        <v>2562</v>
      </c>
      <c r="E222" s="490" t="s">
        <v>2356</v>
      </c>
      <c r="G222" s="8"/>
      <c r="H222" s="47" t="s">
        <v>8</v>
      </c>
      <c r="O222" s="335"/>
      <c r="P222" s="335"/>
      <c r="Q222" s="335"/>
      <c r="R222" s="335"/>
      <c r="S222" s="335"/>
      <c r="T222" s="335"/>
      <c r="U222" s="335"/>
      <c r="V222" s="13">
        <f>V223-SUM(V220:V221)</f>
        <v>1653</v>
      </c>
      <c r="W222" s="10">
        <f t="shared" ref="W222:BW222" si="261">W257</f>
        <v>-51</v>
      </c>
      <c r="X222" s="10">
        <f t="shared" si="261"/>
        <v>-51</v>
      </c>
      <c r="Y222" s="10">
        <f t="shared" si="261"/>
        <v>-51</v>
      </c>
      <c r="Z222" s="67"/>
      <c r="AA222" s="10">
        <f>AA257</f>
        <v>-5</v>
      </c>
      <c r="AB222" s="10">
        <f t="shared" si="261"/>
        <v>-5</v>
      </c>
      <c r="AC222" s="10">
        <f t="shared" si="261"/>
        <v>-5</v>
      </c>
      <c r="AD222" s="10">
        <f t="shared" si="261"/>
        <v>-4</v>
      </c>
      <c r="AE222" s="10">
        <f t="shared" si="261"/>
        <v>-4</v>
      </c>
      <c r="AF222" s="10">
        <f t="shared" si="261"/>
        <v>-4</v>
      </c>
      <c r="AG222" s="10">
        <f t="shared" si="261"/>
        <v>-4</v>
      </c>
      <c r="AH222" s="10">
        <f t="shared" si="261"/>
        <v>-4</v>
      </c>
      <c r="AI222" s="10">
        <f t="shared" si="261"/>
        <v>-4</v>
      </c>
      <c r="AJ222" s="10">
        <f t="shared" si="261"/>
        <v>-4</v>
      </c>
      <c r="AK222" s="10">
        <f t="shared" si="261"/>
        <v>-4</v>
      </c>
      <c r="AL222" s="10">
        <f t="shared" si="261"/>
        <v>-4</v>
      </c>
      <c r="AM222" s="10">
        <f t="shared" si="261"/>
        <v>-5</v>
      </c>
      <c r="AN222" s="10">
        <f t="shared" si="261"/>
        <v>-5</v>
      </c>
      <c r="AO222" s="10">
        <f t="shared" si="261"/>
        <v>-5</v>
      </c>
      <c r="AP222" s="10">
        <f t="shared" si="261"/>
        <v>-4</v>
      </c>
      <c r="AQ222" s="10">
        <f t="shared" si="261"/>
        <v>-4</v>
      </c>
      <c r="AR222" s="10">
        <f t="shared" si="261"/>
        <v>-4</v>
      </c>
      <c r="AS222" s="10">
        <f t="shared" si="261"/>
        <v>-4</v>
      </c>
      <c r="AT222" s="10">
        <f t="shared" si="261"/>
        <v>-4</v>
      </c>
      <c r="AU222" s="10">
        <f t="shared" si="261"/>
        <v>-4</v>
      </c>
      <c r="AV222" s="10">
        <f t="shared" si="261"/>
        <v>-4</v>
      </c>
      <c r="AW222" s="10">
        <f t="shared" si="261"/>
        <v>-4</v>
      </c>
      <c r="AX222" s="10">
        <f t="shared" si="261"/>
        <v>-4</v>
      </c>
      <c r="AY222" s="10">
        <f t="shared" si="261"/>
        <v>-5</v>
      </c>
      <c r="AZ222" s="10">
        <f t="shared" si="261"/>
        <v>-5</v>
      </c>
      <c r="BA222" s="10">
        <f t="shared" si="261"/>
        <v>-5</v>
      </c>
      <c r="BB222" s="10">
        <f t="shared" si="261"/>
        <v>-4</v>
      </c>
      <c r="BC222" s="10">
        <f t="shared" si="261"/>
        <v>-4</v>
      </c>
      <c r="BD222" s="10">
        <f t="shared" si="261"/>
        <v>-4</v>
      </c>
      <c r="BE222" s="10">
        <f t="shared" si="261"/>
        <v>-4</v>
      </c>
      <c r="BF222" s="10">
        <f t="shared" si="261"/>
        <v>-4</v>
      </c>
      <c r="BG222" s="10">
        <f t="shared" si="261"/>
        <v>-4</v>
      </c>
      <c r="BH222" s="10">
        <f t="shared" si="261"/>
        <v>-4</v>
      </c>
      <c r="BI222" s="10">
        <f t="shared" si="261"/>
        <v>-4</v>
      </c>
      <c r="BJ222" s="10">
        <f t="shared" si="261"/>
        <v>-4</v>
      </c>
      <c r="BK222" s="67"/>
      <c r="BL222" s="13">
        <f>V222</f>
        <v>1653</v>
      </c>
      <c r="BM222" s="10">
        <f t="shared" si="261"/>
        <v>-51</v>
      </c>
      <c r="BN222" s="10">
        <f t="shared" si="261"/>
        <v>-51</v>
      </c>
      <c r="BO222" s="10">
        <f t="shared" si="261"/>
        <v>-51</v>
      </c>
      <c r="BP222" s="10">
        <f t="shared" si="261"/>
        <v>0</v>
      </c>
      <c r="BQ222" s="10">
        <f t="shared" si="261"/>
        <v>0</v>
      </c>
      <c r="BR222" s="10">
        <f t="shared" si="261"/>
        <v>0</v>
      </c>
      <c r="BS222" s="10">
        <f t="shared" si="261"/>
        <v>0</v>
      </c>
      <c r="BT222" s="10">
        <f t="shared" si="261"/>
        <v>0</v>
      </c>
      <c r="BU222" s="10">
        <f t="shared" si="261"/>
        <v>0</v>
      </c>
      <c r="BV222" s="10">
        <f t="shared" si="261"/>
        <v>0</v>
      </c>
      <c r="BW222" s="10">
        <f t="shared" si="261"/>
        <v>0</v>
      </c>
      <c r="BY222" s="12"/>
      <c r="CA222" s="12"/>
      <c r="CF222" s="7">
        <f>IF(SUM(V222:Y222)=SUM(BL222:BO222), 0, 1)</f>
        <v>0</v>
      </c>
      <c r="CG222" s="12"/>
      <c r="CH222" s="11">
        <v>0</v>
      </c>
      <c r="CI222" s="11">
        <v>0</v>
      </c>
      <c r="CJ222" s="11">
        <v>0</v>
      </c>
      <c r="EX222" s="13" t="str">
        <f>IF($C222="", "",CONCATENATE(D$219, " ", D222))</f>
        <v>Revaluation Reserve Transfers to/(from) Revaluation Reserve</v>
      </c>
    </row>
    <row r="223" spans="1:154" x14ac:dyDescent="0.25">
      <c r="A223" s="362" cm="1">
        <f t="array" aca="1" ref="A223" ca="1">HYPERLINK(CONCATENATE("#",CELL("address",IF(SUM($CA223:$CG223)=0,A223,INDEX($CA223:$CG223,MATCH(1,$CA223:$CG223,0))))),SUM($CA223:$CG223))</f>
        <v>0</v>
      </c>
      <c r="C223" s="343" t="str">
        <f>REPLACE('Opening Balances'!$C$73, LEN('Opening Balances'!$C$73)-1, 1, "C")</f>
        <v>B-9a-CB</v>
      </c>
      <c r="D223" s="11" t="s">
        <v>97</v>
      </c>
      <c r="E223" s="352">
        <f>ROUND(V223-SUM(V220:V222), rounding)*$V$10</f>
        <v>0</v>
      </c>
      <c r="G223" s="8"/>
      <c r="H223" s="47" t="s">
        <v>125</v>
      </c>
      <c r="O223" s="335"/>
      <c r="P223" s="335"/>
      <c r="Q223" s="335"/>
      <c r="R223" s="335"/>
      <c r="S223" s="335"/>
      <c r="T223" s="335"/>
      <c r="U223" s="335"/>
      <c r="V223" s="13">
        <f>'Opening Balances'!W73</f>
        <v>1653</v>
      </c>
      <c r="W223" s="10">
        <f>SUM(W220:W222)</f>
        <v>1602</v>
      </c>
      <c r="X223" s="10">
        <f>SUM(X220:X222)</f>
        <v>1551</v>
      </c>
      <c r="Y223" s="10">
        <f>SUM(Y220:Y222)</f>
        <v>1500</v>
      </c>
      <c r="Z223" s="67"/>
      <c r="AA223" s="10">
        <f t="shared" ref="AA223:BJ223" si="262">SUM(AA220:AA222)</f>
        <v>1648</v>
      </c>
      <c r="AB223" s="10">
        <f t="shared" si="262"/>
        <v>1643</v>
      </c>
      <c r="AC223" s="10">
        <f t="shared" si="262"/>
        <v>1638</v>
      </c>
      <c r="AD223" s="10">
        <f t="shared" si="262"/>
        <v>1634</v>
      </c>
      <c r="AE223" s="10">
        <f t="shared" si="262"/>
        <v>1630</v>
      </c>
      <c r="AF223" s="10">
        <f t="shared" si="262"/>
        <v>1626</v>
      </c>
      <c r="AG223" s="10">
        <f t="shared" si="262"/>
        <v>1622</v>
      </c>
      <c r="AH223" s="10">
        <f t="shared" si="262"/>
        <v>1618</v>
      </c>
      <c r="AI223" s="10">
        <f t="shared" si="262"/>
        <v>1614</v>
      </c>
      <c r="AJ223" s="10">
        <f t="shared" si="262"/>
        <v>1610</v>
      </c>
      <c r="AK223" s="10">
        <f t="shared" si="262"/>
        <v>1606</v>
      </c>
      <c r="AL223" s="10">
        <f t="shared" si="262"/>
        <v>1602</v>
      </c>
      <c r="AM223" s="10">
        <f t="shared" si="262"/>
        <v>1597</v>
      </c>
      <c r="AN223" s="10">
        <f t="shared" si="262"/>
        <v>1592</v>
      </c>
      <c r="AO223" s="10">
        <f t="shared" si="262"/>
        <v>1587</v>
      </c>
      <c r="AP223" s="10">
        <f t="shared" si="262"/>
        <v>1583</v>
      </c>
      <c r="AQ223" s="10">
        <f t="shared" si="262"/>
        <v>1579</v>
      </c>
      <c r="AR223" s="10">
        <f t="shared" si="262"/>
        <v>1575</v>
      </c>
      <c r="AS223" s="10">
        <f t="shared" si="262"/>
        <v>1571</v>
      </c>
      <c r="AT223" s="10">
        <f t="shared" si="262"/>
        <v>1567</v>
      </c>
      <c r="AU223" s="10">
        <f t="shared" si="262"/>
        <v>1563</v>
      </c>
      <c r="AV223" s="10">
        <f t="shared" si="262"/>
        <v>1559</v>
      </c>
      <c r="AW223" s="10">
        <f t="shared" si="262"/>
        <v>1555</v>
      </c>
      <c r="AX223" s="10">
        <f t="shared" si="262"/>
        <v>1551</v>
      </c>
      <c r="AY223" s="10">
        <f t="shared" si="262"/>
        <v>1546</v>
      </c>
      <c r="AZ223" s="10">
        <f t="shared" si="262"/>
        <v>1541</v>
      </c>
      <c r="BA223" s="10">
        <f t="shared" si="262"/>
        <v>1536</v>
      </c>
      <c r="BB223" s="10">
        <f t="shared" si="262"/>
        <v>1532</v>
      </c>
      <c r="BC223" s="10">
        <f t="shared" si="262"/>
        <v>1528</v>
      </c>
      <c r="BD223" s="10">
        <f t="shared" si="262"/>
        <v>1524</v>
      </c>
      <c r="BE223" s="10">
        <f t="shared" si="262"/>
        <v>1520</v>
      </c>
      <c r="BF223" s="10">
        <f t="shared" si="262"/>
        <v>1516</v>
      </c>
      <c r="BG223" s="10">
        <f t="shared" si="262"/>
        <v>1512</v>
      </c>
      <c r="BH223" s="10">
        <f t="shared" si="262"/>
        <v>1508</v>
      </c>
      <c r="BI223" s="10">
        <f t="shared" si="262"/>
        <v>1504</v>
      </c>
      <c r="BJ223" s="10">
        <f t="shared" si="262"/>
        <v>1500</v>
      </c>
      <c r="BK223" s="67"/>
      <c r="BL223" s="13">
        <f>V223</f>
        <v>1653</v>
      </c>
      <c r="BM223" s="10">
        <f t="shared" ref="BM223:BW223" si="263">SUM(BM220:BM222)</f>
        <v>1602</v>
      </c>
      <c r="BN223" s="10">
        <f t="shared" si="263"/>
        <v>1551</v>
      </c>
      <c r="BO223" s="10">
        <f t="shared" si="263"/>
        <v>1500</v>
      </c>
      <c r="BP223" s="10">
        <f t="shared" si="263"/>
        <v>1500</v>
      </c>
      <c r="BQ223" s="10">
        <f t="shared" si="263"/>
        <v>1500</v>
      </c>
      <c r="BR223" s="10">
        <f t="shared" si="263"/>
        <v>1500</v>
      </c>
      <c r="BS223" s="10">
        <f t="shared" si="263"/>
        <v>1500</v>
      </c>
      <c r="BT223" s="10">
        <f t="shared" si="263"/>
        <v>1500</v>
      </c>
      <c r="BU223" s="10">
        <f t="shared" si="263"/>
        <v>1500</v>
      </c>
      <c r="BV223" s="10">
        <f t="shared" si="263"/>
        <v>1500</v>
      </c>
      <c r="BW223" s="10">
        <f t="shared" si="263"/>
        <v>1500</v>
      </c>
      <c r="BY223" s="12"/>
      <c r="CA223" s="12"/>
      <c r="CE223" s="188">
        <f>IF(ABS($E223)&gt;Parameters!$D$33, 1, 0)</f>
        <v>0</v>
      </c>
      <c r="CF223" s="7">
        <f>IF(SUM(V223:Y223)=SUM(BL223:BO223), 0, 1)</f>
        <v>0</v>
      </c>
      <c r="CG223" s="12"/>
      <c r="CH223" s="11">
        <v>0</v>
      </c>
      <c r="CI223" s="11">
        <v>0</v>
      </c>
      <c r="CJ223" s="1">
        <v>1</v>
      </c>
      <c r="CK223" s="335"/>
      <c r="EX223" s="13" t="str">
        <f>IF($C223="", "",CONCATENATE(D$219, " ", D223))</f>
        <v>Revaluation Reserve Closing Balance</v>
      </c>
    </row>
    <row r="224" spans="1:154" ht="8.1" customHeight="1" x14ac:dyDescent="0.25">
      <c r="C224" s="385"/>
      <c r="O224" s="335"/>
      <c r="P224" s="335"/>
      <c r="Q224" s="335"/>
      <c r="R224" s="335"/>
      <c r="S224" s="335"/>
      <c r="T224" s="335"/>
      <c r="U224" s="335"/>
      <c r="V224" s="335"/>
      <c r="X224" s="11"/>
      <c r="Y224" s="11"/>
      <c r="Z224" s="67"/>
      <c r="BK224" s="67"/>
      <c r="BY224" s="12"/>
      <c r="CA224" s="12"/>
      <c r="CG224" s="12"/>
      <c r="CH224" s="11">
        <v>0</v>
      </c>
      <c r="CI224" s="11">
        <v>0</v>
      </c>
      <c r="CJ224" s="11">
        <v>0</v>
      </c>
      <c r="EX224" s="10" t="str">
        <f t="shared" si="259"/>
        <v/>
      </c>
    </row>
    <row r="225" spans="1:154" x14ac:dyDescent="0.25">
      <c r="B225" s="29"/>
      <c r="C225" s="385"/>
      <c r="D225" s="27" t="s">
        <v>162</v>
      </c>
      <c r="H225" s="47" t="s">
        <v>125</v>
      </c>
      <c r="O225" s="335"/>
      <c r="P225" s="335"/>
      <c r="Q225" s="335"/>
      <c r="R225" s="335"/>
      <c r="S225" s="335"/>
      <c r="T225" s="335"/>
      <c r="U225" s="335"/>
      <c r="X225" s="11"/>
      <c r="Y225" s="11"/>
      <c r="Z225" s="67"/>
      <c r="AM225" s="335"/>
      <c r="BK225" s="67"/>
      <c r="BY225" s="12"/>
      <c r="CA225" s="12"/>
      <c r="CG225" s="12"/>
      <c r="CH225" s="11">
        <v>0</v>
      </c>
      <c r="CI225" s="11">
        <v>0</v>
      </c>
      <c r="CJ225" s="11">
        <v>0</v>
      </c>
      <c r="EX225" s="10" t="str">
        <f t="shared" si="259"/>
        <v/>
      </c>
    </row>
    <row r="226" spans="1:154" ht="15.75" x14ac:dyDescent="0.3">
      <c r="A226" s="362" cm="1">
        <f t="array" aca="1" ref="A226" ca="1">HYPERLINK(CONCATENATE("#",CELL("address",IF(SUM($CA226:$CG226)=0,A226,INDEX($CA226:$CG226,MATCH(1,$CA226:$CG226,0))))),SUM($CA226:$CG226))</f>
        <v>0</v>
      </c>
      <c r="C226" s="340" t="str">
        <f>CONCATENATE("BS-",'Opening Balances'!$C$74)</f>
        <v>BS-B-9b-OB</v>
      </c>
      <c r="D226" s="1" t="s">
        <v>91</v>
      </c>
      <c r="E226" s="479" t="s">
        <v>335</v>
      </c>
      <c r="G226" s="8"/>
      <c r="H226" s="47" t="s">
        <v>8</v>
      </c>
      <c r="O226" s="335"/>
      <c r="P226" s="335"/>
      <c r="Q226" s="335"/>
      <c r="R226" s="335"/>
      <c r="S226" s="335"/>
      <c r="T226" s="335"/>
      <c r="U226" s="335"/>
      <c r="V226" s="373">
        <f>'Opening Balances'!$V$74</f>
        <v>0</v>
      </c>
      <c r="W226" s="10">
        <f>V228</f>
        <v>0</v>
      </c>
      <c r="X226" s="10">
        <f t="shared" ref="X226:Y226" si="264">W228</f>
        <v>0</v>
      </c>
      <c r="Y226" s="10">
        <f t="shared" si="264"/>
        <v>0</v>
      </c>
      <c r="Z226" s="67"/>
      <c r="AA226" s="10">
        <f>W226</f>
        <v>0</v>
      </c>
      <c r="AB226" s="10">
        <f t="shared" ref="AB226:BJ226" si="265">AA228</f>
        <v>0</v>
      </c>
      <c r="AC226" s="10">
        <f t="shared" si="265"/>
        <v>0</v>
      </c>
      <c r="AD226" s="10">
        <f t="shared" si="265"/>
        <v>0</v>
      </c>
      <c r="AE226" s="10">
        <f t="shared" si="265"/>
        <v>0</v>
      </c>
      <c r="AF226" s="10">
        <f t="shared" si="265"/>
        <v>0</v>
      </c>
      <c r="AG226" s="10">
        <f t="shared" si="265"/>
        <v>0</v>
      </c>
      <c r="AH226" s="10">
        <f t="shared" si="265"/>
        <v>0</v>
      </c>
      <c r="AI226" s="10">
        <f t="shared" si="265"/>
        <v>0</v>
      </c>
      <c r="AJ226" s="10">
        <f t="shared" si="265"/>
        <v>0</v>
      </c>
      <c r="AK226" s="10">
        <f t="shared" si="265"/>
        <v>0</v>
      </c>
      <c r="AL226" s="10">
        <f t="shared" si="265"/>
        <v>0</v>
      </c>
      <c r="AM226" s="10">
        <f t="shared" si="265"/>
        <v>0</v>
      </c>
      <c r="AN226" s="10">
        <f t="shared" si="265"/>
        <v>0</v>
      </c>
      <c r="AO226" s="10">
        <f t="shared" si="265"/>
        <v>0</v>
      </c>
      <c r="AP226" s="10">
        <f t="shared" si="265"/>
        <v>0</v>
      </c>
      <c r="AQ226" s="10">
        <f t="shared" si="265"/>
        <v>0</v>
      </c>
      <c r="AR226" s="10">
        <f t="shared" si="265"/>
        <v>0</v>
      </c>
      <c r="AS226" s="10">
        <f t="shared" si="265"/>
        <v>0</v>
      </c>
      <c r="AT226" s="10">
        <f t="shared" si="265"/>
        <v>0</v>
      </c>
      <c r="AU226" s="10">
        <f t="shared" si="265"/>
        <v>0</v>
      </c>
      <c r="AV226" s="10">
        <f t="shared" si="265"/>
        <v>0</v>
      </c>
      <c r="AW226" s="10">
        <f t="shared" si="265"/>
        <v>0</v>
      </c>
      <c r="AX226" s="10">
        <f t="shared" si="265"/>
        <v>0</v>
      </c>
      <c r="AY226" s="10">
        <f t="shared" si="265"/>
        <v>0</v>
      </c>
      <c r="AZ226" s="10">
        <f t="shared" si="265"/>
        <v>0</v>
      </c>
      <c r="BA226" s="10">
        <f t="shared" si="265"/>
        <v>0</v>
      </c>
      <c r="BB226" s="10">
        <f t="shared" si="265"/>
        <v>0</v>
      </c>
      <c r="BC226" s="10">
        <f t="shared" si="265"/>
        <v>0</v>
      </c>
      <c r="BD226" s="10">
        <f t="shared" si="265"/>
        <v>0</v>
      </c>
      <c r="BE226" s="10">
        <f t="shared" si="265"/>
        <v>0</v>
      </c>
      <c r="BF226" s="10">
        <f t="shared" si="265"/>
        <v>0</v>
      </c>
      <c r="BG226" s="10">
        <f t="shared" si="265"/>
        <v>0</v>
      </c>
      <c r="BH226" s="10">
        <f t="shared" si="265"/>
        <v>0</v>
      </c>
      <c r="BI226" s="10">
        <f t="shared" si="265"/>
        <v>0</v>
      </c>
      <c r="BJ226" s="10">
        <f t="shared" si="265"/>
        <v>0</v>
      </c>
      <c r="BK226" s="67"/>
      <c r="BL226" s="13">
        <f>V226</f>
        <v>0</v>
      </c>
      <c r="BM226" s="13">
        <f>W226</f>
        <v>0</v>
      </c>
      <c r="BN226" s="13">
        <f>X226</f>
        <v>0</v>
      </c>
      <c r="BO226" s="13">
        <f>Y226</f>
        <v>0</v>
      </c>
      <c r="BP226" s="10">
        <f>BO228</f>
        <v>0</v>
      </c>
      <c r="BQ226" s="10">
        <f t="shared" ref="BQ226:BW226" si="266">BP228</f>
        <v>0</v>
      </c>
      <c r="BR226" s="10">
        <f t="shared" si="266"/>
        <v>0</v>
      </c>
      <c r="BS226" s="10">
        <f t="shared" si="266"/>
        <v>0</v>
      </c>
      <c r="BT226" s="10">
        <f t="shared" si="266"/>
        <v>0</v>
      </c>
      <c r="BU226" s="10">
        <f t="shared" si="266"/>
        <v>0</v>
      </c>
      <c r="BV226" s="10">
        <f t="shared" si="266"/>
        <v>0</v>
      </c>
      <c r="BW226" s="10">
        <f t="shared" si="266"/>
        <v>0</v>
      </c>
      <c r="BY226" s="12"/>
      <c r="CA226" s="12"/>
      <c r="CF226" s="7">
        <f>IF(SUM(V226:Y226)=SUM(BL226:BO226), 0, 1)</f>
        <v>0</v>
      </c>
      <c r="CG226" s="12"/>
      <c r="CH226" s="11">
        <v>0</v>
      </c>
      <c r="CI226" s="11">
        <v>0</v>
      </c>
      <c r="CJ226" s="11">
        <v>0</v>
      </c>
      <c r="EX226" s="13" t="str">
        <f>IF($C226="", "",CONCATENATE(D$225, " ", D226))</f>
        <v>Restricted Reserve Opening Balance</v>
      </c>
    </row>
    <row r="227" spans="1:154" x14ac:dyDescent="0.25">
      <c r="A227" s="362" cm="1">
        <f t="array" aca="1" ref="A227" ca="1">HYPERLINK(CONCATENATE("#",CELL("address",IF(SUM($CA227:$CG227)=0,A227,INDEX($CA227:$CG227,MATCH(1,$CA227:$CG227,0))))),SUM($CA227:$CG227))</f>
        <v>0</v>
      </c>
      <c r="C227" s="340" t="s">
        <v>2491</v>
      </c>
      <c r="D227" s="1" t="s">
        <v>164</v>
      </c>
      <c r="E227" s="490" t="s">
        <v>2356</v>
      </c>
      <c r="G227" s="8"/>
      <c r="H227" s="47" t="s">
        <v>8</v>
      </c>
      <c r="O227" s="335"/>
      <c r="P227" s="335"/>
      <c r="Q227" s="335"/>
      <c r="R227" s="335"/>
      <c r="S227" s="335"/>
      <c r="T227" s="335"/>
      <c r="U227" s="335"/>
      <c r="V227" s="13">
        <f>V228-V226</f>
        <v>0</v>
      </c>
      <c r="W227" s="10">
        <f t="shared" ref="W227:BW227" si="267">W258</f>
        <v>0</v>
      </c>
      <c r="X227" s="10">
        <f>X258</f>
        <v>0</v>
      </c>
      <c r="Y227" s="10">
        <f t="shared" si="267"/>
        <v>0</v>
      </c>
      <c r="Z227" s="67"/>
      <c r="AA227" s="10">
        <f t="shared" si="267"/>
        <v>0</v>
      </c>
      <c r="AB227" s="10">
        <f t="shared" si="267"/>
        <v>0</v>
      </c>
      <c r="AC227" s="10">
        <f t="shared" si="267"/>
        <v>0</v>
      </c>
      <c r="AD227" s="10">
        <f t="shared" si="267"/>
        <v>0</v>
      </c>
      <c r="AE227" s="10">
        <f t="shared" si="267"/>
        <v>0</v>
      </c>
      <c r="AF227" s="10">
        <f t="shared" si="267"/>
        <v>0</v>
      </c>
      <c r="AG227" s="10">
        <f t="shared" si="267"/>
        <v>0</v>
      </c>
      <c r="AH227" s="10">
        <f t="shared" si="267"/>
        <v>0</v>
      </c>
      <c r="AI227" s="10">
        <f t="shared" si="267"/>
        <v>0</v>
      </c>
      <c r="AJ227" s="10">
        <f t="shared" si="267"/>
        <v>0</v>
      </c>
      <c r="AK227" s="10">
        <f t="shared" si="267"/>
        <v>0</v>
      </c>
      <c r="AL227" s="10">
        <f t="shared" si="267"/>
        <v>0</v>
      </c>
      <c r="AM227" s="10">
        <f t="shared" si="267"/>
        <v>0</v>
      </c>
      <c r="AN227" s="10">
        <f t="shared" si="267"/>
        <v>0</v>
      </c>
      <c r="AO227" s="10">
        <f t="shared" si="267"/>
        <v>0</v>
      </c>
      <c r="AP227" s="10">
        <f t="shared" si="267"/>
        <v>0</v>
      </c>
      <c r="AQ227" s="10">
        <f t="shared" si="267"/>
        <v>0</v>
      </c>
      <c r="AR227" s="10">
        <f t="shared" si="267"/>
        <v>0</v>
      </c>
      <c r="AS227" s="10">
        <f t="shared" si="267"/>
        <v>0</v>
      </c>
      <c r="AT227" s="10">
        <f t="shared" si="267"/>
        <v>0</v>
      </c>
      <c r="AU227" s="10">
        <f t="shared" si="267"/>
        <v>0</v>
      </c>
      <c r="AV227" s="10">
        <f t="shared" si="267"/>
        <v>0</v>
      </c>
      <c r="AW227" s="10">
        <f t="shared" si="267"/>
        <v>0</v>
      </c>
      <c r="AX227" s="10">
        <f t="shared" si="267"/>
        <v>0</v>
      </c>
      <c r="AY227" s="10">
        <f t="shared" si="267"/>
        <v>0</v>
      </c>
      <c r="AZ227" s="10">
        <f t="shared" si="267"/>
        <v>0</v>
      </c>
      <c r="BA227" s="10">
        <f t="shared" si="267"/>
        <v>0</v>
      </c>
      <c r="BB227" s="10">
        <f t="shared" si="267"/>
        <v>0</v>
      </c>
      <c r="BC227" s="10">
        <f t="shared" si="267"/>
        <v>0</v>
      </c>
      <c r="BD227" s="10">
        <f t="shared" si="267"/>
        <v>0</v>
      </c>
      <c r="BE227" s="10">
        <f t="shared" si="267"/>
        <v>0</v>
      </c>
      <c r="BF227" s="10">
        <f t="shared" si="267"/>
        <v>0</v>
      </c>
      <c r="BG227" s="10">
        <f t="shared" si="267"/>
        <v>0</v>
      </c>
      <c r="BH227" s="10">
        <f t="shared" si="267"/>
        <v>0</v>
      </c>
      <c r="BI227" s="10">
        <f t="shared" si="267"/>
        <v>0</v>
      </c>
      <c r="BJ227" s="10">
        <f t="shared" si="267"/>
        <v>0</v>
      </c>
      <c r="BK227" s="67"/>
      <c r="BL227" s="13">
        <f>V227</f>
        <v>0</v>
      </c>
      <c r="BM227" s="10">
        <f t="shared" si="267"/>
        <v>0</v>
      </c>
      <c r="BN227" s="10">
        <f t="shared" si="267"/>
        <v>0</v>
      </c>
      <c r="BO227" s="10">
        <f t="shared" si="267"/>
        <v>0</v>
      </c>
      <c r="BP227" s="10">
        <f t="shared" si="267"/>
        <v>0</v>
      </c>
      <c r="BQ227" s="10">
        <f t="shared" si="267"/>
        <v>0</v>
      </c>
      <c r="BR227" s="10">
        <f t="shared" si="267"/>
        <v>0</v>
      </c>
      <c r="BS227" s="10">
        <f t="shared" si="267"/>
        <v>0</v>
      </c>
      <c r="BT227" s="10">
        <f t="shared" si="267"/>
        <v>0</v>
      </c>
      <c r="BU227" s="10">
        <f t="shared" si="267"/>
        <v>0</v>
      </c>
      <c r="BV227" s="10">
        <f t="shared" si="267"/>
        <v>0</v>
      </c>
      <c r="BW227" s="10">
        <f t="shared" si="267"/>
        <v>0</v>
      </c>
      <c r="BY227" s="12"/>
      <c r="CA227" s="12"/>
      <c r="CF227" s="7">
        <f>IF(SUM(V227:Y227)=SUM(BL227:BO227), 0, 1)</f>
        <v>0</v>
      </c>
      <c r="CG227" s="12"/>
      <c r="CH227" s="11">
        <v>0</v>
      </c>
      <c r="CI227" s="11">
        <v>0</v>
      </c>
      <c r="CJ227" s="11">
        <v>0</v>
      </c>
      <c r="EX227" s="13" t="str">
        <f>IF($C227="", "",CONCATENATE(D$225, " ", D227))</f>
        <v>Restricted Reserve Transfer to/(from) restricted reserve</v>
      </c>
    </row>
    <row r="228" spans="1:154" x14ac:dyDescent="0.25">
      <c r="A228" s="362" cm="1">
        <f t="array" aca="1" ref="A228" ca="1">HYPERLINK(CONCATENATE("#",CELL("address",IF(SUM($CA228:$CG228)=0,A228,INDEX($CA228:$CG228,MATCH(1,$CA228:$CG228,0))))),SUM($CA228:$CG228))</f>
        <v>0</v>
      </c>
      <c r="C228" s="343" t="str">
        <f>REPLACE('Opening Balances'!$C$74, LEN('Opening Balances'!$C$74)-1, 1, "C")</f>
        <v>B-9b-CB</v>
      </c>
      <c r="D228" s="11" t="s">
        <v>97</v>
      </c>
      <c r="E228" s="352">
        <f>ROUND(V228-SUM(V226:V227), rounding)*$V$10</f>
        <v>0</v>
      </c>
      <c r="G228" s="8"/>
      <c r="H228" s="47" t="s">
        <v>125</v>
      </c>
      <c r="O228" s="335"/>
      <c r="P228" s="335"/>
      <c r="Q228" s="335"/>
      <c r="R228" s="335"/>
      <c r="S228" s="335"/>
      <c r="T228" s="335"/>
      <c r="U228" s="335"/>
      <c r="V228" s="13">
        <f>'Opening Balances'!W74</f>
        <v>0</v>
      </c>
      <c r="W228" s="10">
        <f>SUM(W226:W227)</f>
        <v>0</v>
      </c>
      <c r="X228" s="10">
        <f>SUM(X226:X227)</f>
        <v>0</v>
      </c>
      <c r="Y228" s="10">
        <f>SUM(Y226:Y227)</f>
        <v>0</v>
      </c>
      <c r="Z228" s="67"/>
      <c r="AA228" s="10">
        <f t="shared" ref="AA228:BJ228" si="268">SUM(AA226:AA227)</f>
        <v>0</v>
      </c>
      <c r="AB228" s="10">
        <f t="shared" si="268"/>
        <v>0</v>
      </c>
      <c r="AC228" s="10">
        <f t="shared" si="268"/>
        <v>0</v>
      </c>
      <c r="AD228" s="10">
        <f t="shared" si="268"/>
        <v>0</v>
      </c>
      <c r="AE228" s="10">
        <f t="shared" si="268"/>
        <v>0</v>
      </c>
      <c r="AF228" s="10">
        <f t="shared" si="268"/>
        <v>0</v>
      </c>
      <c r="AG228" s="10">
        <f t="shared" si="268"/>
        <v>0</v>
      </c>
      <c r="AH228" s="10">
        <f t="shared" si="268"/>
        <v>0</v>
      </c>
      <c r="AI228" s="10">
        <f t="shared" si="268"/>
        <v>0</v>
      </c>
      <c r="AJ228" s="10">
        <f t="shared" si="268"/>
        <v>0</v>
      </c>
      <c r="AK228" s="10">
        <f t="shared" si="268"/>
        <v>0</v>
      </c>
      <c r="AL228" s="10">
        <f t="shared" si="268"/>
        <v>0</v>
      </c>
      <c r="AM228" s="10">
        <f t="shared" si="268"/>
        <v>0</v>
      </c>
      <c r="AN228" s="10">
        <f t="shared" si="268"/>
        <v>0</v>
      </c>
      <c r="AO228" s="10">
        <f t="shared" si="268"/>
        <v>0</v>
      </c>
      <c r="AP228" s="10">
        <f t="shared" si="268"/>
        <v>0</v>
      </c>
      <c r="AQ228" s="10">
        <f t="shared" si="268"/>
        <v>0</v>
      </c>
      <c r="AR228" s="10">
        <f t="shared" si="268"/>
        <v>0</v>
      </c>
      <c r="AS228" s="10">
        <f t="shared" si="268"/>
        <v>0</v>
      </c>
      <c r="AT228" s="10">
        <f t="shared" si="268"/>
        <v>0</v>
      </c>
      <c r="AU228" s="10">
        <f t="shared" si="268"/>
        <v>0</v>
      </c>
      <c r="AV228" s="10">
        <f t="shared" si="268"/>
        <v>0</v>
      </c>
      <c r="AW228" s="10">
        <f t="shared" si="268"/>
        <v>0</v>
      </c>
      <c r="AX228" s="10">
        <f t="shared" si="268"/>
        <v>0</v>
      </c>
      <c r="AY228" s="10">
        <f t="shared" si="268"/>
        <v>0</v>
      </c>
      <c r="AZ228" s="10">
        <f t="shared" si="268"/>
        <v>0</v>
      </c>
      <c r="BA228" s="10">
        <f t="shared" si="268"/>
        <v>0</v>
      </c>
      <c r="BB228" s="10">
        <f t="shared" si="268"/>
        <v>0</v>
      </c>
      <c r="BC228" s="10">
        <f t="shared" si="268"/>
        <v>0</v>
      </c>
      <c r="BD228" s="10">
        <f t="shared" si="268"/>
        <v>0</v>
      </c>
      <c r="BE228" s="10">
        <f t="shared" si="268"/>
        <v>0</v>
      </c>
      <c r="BF228" s="10">
        <f t="shared" si="268"/>
        <v>0</v>
      </c>
      <c r="BG228" s="10">
        <f t="shared" si="268"/>
        <v>0</v>
      </c>
      <c r="BH228" s="10">
        <f t="shared" si="268"/>
        <v>0</v>
      </c>
      <c r="BI228" s="10">
        <f t="shared" si="268"/>
        <v>0</v>
      </c>
      <c r="BJ228" s="10">
        <f t="shared" si="268"/>
        <v>0</v>
      </c>
      <c r="BK228" s="67"/>
      <c r="BL228" s="13">
        <f>V228</f>
        <v>0</v>
      </c>
      <c r="BM228" s="10">
        <f t="shared" ref="BM228:BW228" si="269">SUM(BM226:BM227)</f>
        <v>0</v>
      </c>
      <c r="BN228" s="10">
        <f t="shared" si="269"/>
        <v>0</v>
      </c>
      <c r="BO228" s="10">
        <f t="shared" si="269"/>
        <v>0</v>
      </c>
      <c r="BP228" s="10">
        <f t="shared" si="269"/>
        <v>0</v>
      </c>
      <c r="BQ228" s="10">
        <f t="shared" si="269"/>
        <v>0</v>
      </c>
      <c r="BR228" s="10">
        <f t="shared" si="269"/>
        <v>0</v>
      </c>
      <c r="BS228" s="10">
        <f t="shared" si="269"/>
        <v>0</v>
      </c>
      <c r="BT228" s="10">
        <f t="shared" si="269"/>
        <v>0</v>
      </c>
      <c r="BU228" s="10">
        <f t="shared" si="269"/>
        <v>0</v>
      </c>
      <c r="BV228" s="10">
        <f t="shared" si="269"/>
        <v>0</v>
      </c>
      <c r="BW228" s="10">
        <f t="shared" si="269"/>
        <v>0</v>
      </c>
      <c r="BY228" s="12"/>
      <c r="CA228" s="12"/>
      <c r="CE228" s="188">
        <f>IF(ABS($E228)&gt;Parameters!$D$33, 1, 0)</f>
        <v>0</v>
      </c>
      <c r="CF228" s="7">
        <f>IF(SUM(V228:Y228)=SUM(BL228:BO228), 0, 1)</f>
        <v>0</v>
      </c>
      <c r="CG228" s="12"/>
      <c r="CH228" s="11">
        <v>0</v>
      </c>
      <c r="CI228" s="11">
        <v>0</v>
      </c>
      <c r="CJ228" s="1">
        <v>1</v>
      </c>
      <c r="CK228" s="335"/>
      <c r="EX228" s="13" t="str">
        <f>IF($C228="", "",CONCATENATE(D$225, " ", D228))</f>
        <v>Restricted Reserve Closing Balance</v>
      </c>
    </row>
    <row r="229" spans="1:154" ht="8.1" customHeight="1" x14ac:dyDescent="0.25">
      <c r="C229" s="385"/>
      <c r="O229" s="335"/>
      <c r="P229" s="335"/>
      <c r="Q229" s="335"/>
      <c r="R229" s="335"/>
      <c r="S229" s="335"/>
      <c r="T229" s="335"/>
      <c r="U229" s="335"/>
      <c r="V229" s="335"/>
      <c r="X229" s="11"/>
      <c r="Y229" s="11"/>
      <c r="BY229" s="12"/>
      <c r="CA229" s="12"/>
      <c r="CG229" s="12"/>
      <c r="CH229" s="11">
        <v>0</v>
      </c>
      <c r="CI229" s="11">
        <v>0</v>
      </c>
      <c r="CJ229" s="11">
        <v>0</v>
      </c>
      <c r="EX229" s="10" t="str">
        <f t="shared" si="259"/>
        <v/>
      </c>
    </row>
    <row r="230" spans="1:154" x14ac:dyDescent="0.25">
      <c r="B230" s="29"/>
      <c r="C230" s="385"/>
      <c r="D230" s="27" t="s">
        <v>166</v>
      </c>
      <c r="O230" s="335"/>
      <c r="P230" s="335"/>
      <c r="Q230" s="335"/>
      <c r="R230" s="335"/>
      <c r="S230" s="335"/>
      <c r="T230" s="335"/>
      <c r="U230" s="335"/>
      <c r="X230" s="11"/>
      <c r="Y230" s="11"/>
      <c r="AB230" s="335"/>
      <c r="AC230" s="335"/>
      <c r="AD230" s="319"/>
      <c r="AE230" s="319"/>
      <c r="AF230" s="319"/>
      <c r="AG230" s="319"/>
      <c r="AH230" s="319"/>
      <c r="AI230" s="319"/>
      <c r="AJ230" s="319"/>
      <c r="AK230" s="319"/>
      <c r="AL230" s="319"/>
      <c r="AM230" s="335"/>
      <c r="AN230" s="319"/>
      <c r="AO230" s="319"/>
      <c r="AP230" s="319"/>
      <c r="AQ230" s="319"/>
      <c r="AR230" s="319"/>
      <c r="AS230" s="319"/>
      <c r="AT230" s="319"/>
      <c r="AU230" s="319"/>
      <c r="AV230" s="319"/>
      <c r="AW230" s="319"/>
      <c r="AX230" s="319"/>
      <c r="AY230" s="319"/>
      <c r="AZ230" s="319"/>
      <c r="BA230" s="319"/>
      <c r="BB230" s="319"/>
      <c r="BC230" s="319"/>
      <c r="BD230" s="319"/>
      <c r="BE230" s="319"/>
      <c r="BF230" s="319"/>
      <c r="BG230" s="319"/>
      <c r="BH230" s="319"/>
      <c r="BI230" s="319"/>
      <c r="BJ230" s="319"/>
      <c r="BK230" s="319"/>
      <c r="BY230" s="12"/>
      <c r="CA230" s="12"/>
      <c r="CG230" s="12"/>
      <c r="CH230" s="11">
        <v>0</v>
      </c>
      <c r="CI230" s="11">
        <v>0</v>
      </c>
      <c r="CJ230" s="11">
        <v>0</v>
      </c>
      <c r="EX230" s="10" t="str">
        <f t="shared" si="259"/>
        <v/>
      </c>
    </row>
    <row r="231" spans="1:154" x14ac:dyDescent="0.25">
      <c r="A231" s="362" cm="1">
        <f t="array" aca="1" ref="A231" ca="1">HYPERLINK(CONCATENATE("#",CELL("address",IF(SUM($CA231:$CG231)=0,A231,INDEX($CA231:$CG231,MATCH(1,$CA231:$CG231,0))))),SUM($CA231:$CG231))</f>
        <v>0</v>
      </c>
      <c r="C231" s="340" t="str">
        <f>CONCATENATE("BS-",'Opening Balances'!$C$75)</f>
        <v>BS-B-9c-OB</v>
      </c>
      <c r="D231" s="1" t="s">
        <v>91</v>
      </c>
      <c r="G231" s="8"/>
      <c r="H231" s="47" t="s">
        <v>125</v>
      </c>
      <c r="O231" s="335"/>
      <c r="P231" s="335"/>
      <c r="Q231" s="335"/>
      <c r="R231" s="335"/>
      <c r="S231" s="335"/>
      <c r="T231" s="335"/>
      <c r="U231" s="335"/>
      <c r="V231" s="373">
        <f>'Opening Balances'!$V$75</f>
        <v>0</v>
      </c>
      <c r="W231" s="10">
        <f>V234</f>
        <v>8741</v>
      </c>
      <c r="X231" s="10">
        <f t="shared" ref="X231:Y231" si="270">W234</f>
        <v>9226</v>
      </c>
      <c r="Y231" s="10">
        <f t="shared" si="270"/>
        <v>9707</v>
      </c>
      <c r="Z231" s="67"/>
      <c r="AA231" s="10">
        <f>W231</f>
        <v>8741</v>
      </c>
      <c r="AB231" s="10">
        <f t="shared" ref="AB231:BJ231" si="271">AA234</f>
        <v>10466</v>
      </c>
      <c r="AC231" s="10">
        <f t="shared" si="271"/>
        <v>11619</v>
      </c>
      <c r="AD231" s="10">
        <f t="shared" si="271"/>
        <v>11754</v>
      </c>
      <c r="AE231" s="10">
        <f t="shared" si="271"/>
        <v>11548</v>
      </c>
      <c r="AF231" s="10">
        <f>AE234</f>
        <v>10665</v>
      </c>
      <c r="AG231" s="10">
        <f t="shared" si="271"/>
        <v>9994</v>
      </c>
      <c r="AH231" s="10">
        <f t="shared" si="271"/>
        <v>9277</v>
      </c>
      <c r="AI231" s="10">
        <f t="shared" si="271"/>
        <v>8381</v>
      </c>
      <c r="AJ231" s="10">
        <f t="shared" si="271"/>
        <v>9635</v>
      </c>
      <c r="AK231" s="10">
        <f t="shared" si="271"/>
        <v>9903</v>
      </c>
      <c r="AL231" s="10">
        <f t="shared" si="271"/>
        <v>10165</v>
      </c>
      <c r="AM231" s="10">
        <f t="shared" si="271"/>
        <v>9226</v>
      </c>
      <c r="AN231" s="10">
        <f t="shared" si="271"/>
        <v>11209</v>
      </c>
      <c r="AO231" s="10">
        <f t="shared" si="271"/>
        <v>12344</v>
      </c>
      <c r="AP231" s="10">
        <f t="shared" si="271"/>
        <v>12474</v>
      </c>
      <c r="AQ231" s="10">
        <f t="shared" si="271"/>
        <v>12036</v>
      </c>
      <c r="AR231" s="10">
        <f t="shared" si="271"/>
        <v>11149</v>
      </c>
      <c r="AS231" s="10">
        <f t="shared" si="271"/>
        <v>10577</v>
      </c>
      <c r="AT231" s="10">
        <f t="shared" si="271"/>
        <v>9610</v>
      </c>
      <c r="AU231" s="10">
        <f t="shared" si="271"/>
        <v>8701</v>
      </c>
      <c r="AV231" s="10">
        <f t="shared" si="271"/>
        <v>10192</v>
      </c>
      <c r="AW231" s="10">
        <f t="shared" si="271"/>
        <v>10564</v>
      </c>
      <c r="AX231" s="10">
        <f t="shared" si="271"/>
        <v>10514</v>
      </c>
      <c r="AY231" s="10">
        <f t="shared" si="271"/>
        <v>9707</v>
      </c>
      <c r="AZ231" s="10">
        <f t="shared" si="271"/>
        <v>11735.748333333333</v>
      </c>
      <c r="BA231" s="10">
        <f t="shared" si="271"/>
        <v>12887.105</v>
      </c>
      <c r="BB231" s="10">
        <f t="shared" si="271"/>
        <v>13024.593333333332</v>
      </c>
      <c r="BC231" s="10">
        <f t="shared" si="271"/>
        <v>12578.98</v>
      </c>
      <c r="BD231" s="10">
        <f t="shared" si="271"/>
        <v>11672.449999999999</v>
      </c>
      <c r="BE231" s="10">
        <f t="shared" si="271"/>
        <v>11093.22</v>
      </c>
      <c r="BF231" s="10">
        <f t="shared" si="271"/>
        <v>10106.478333333333</v>
      </c>
      <c r="BG231" s="10">
        <f t="shared" si="271"/>
        <v>9182.9599999999991</v>
      </c>
      <c r="BH231" s="10">
        <f t="shared" si="271"/>
        <v>10727.338333333333</v>
      </c>
      <c r="BI231" s="10">
        <f t="shared" si="271"/>
        <v>11148.406666666666</v>
      </c>
      <c r="BJ231" s="10">
        <f t="shared" si="271"/>
        <v>11108.599999999999</v>
      </c>
      <c r="BK231" s="67"/>
      <c r="BL231" s="13">
        <f>V231</f>
        <v>0</v>
      </c>
      <c r="BM231" s="13">
        <f>W231</f>
        <v>8741</v>
      </c>
      <c r="BN231" s="13">
        <f>X231</f>
        <v>9226</v>
      </c>
      <c r="BO231" s="274">
        <f>Y231</f>
        <v>9707</v>
      </c>
      <c r="BP231" s="275">
        <f>BO234</f>
        <v>10293.810000000001</v>
      </c>
      <c r="BQ231" s="10">
        <f t="shared" ref="BQ231:BW231" si="272">BP234</f>
        <v>10293.810000000001</v>
      </c>
      <c r="BR231" s="10">
        <f t="shared" si="272"/>
        <v>10293.810000000001</v>
      </c>
      <c r="BS231" s="10">
        <f t="shared" si="272"/>
        <v>10293.810000000001</v>
      </c>
      <c r="BT231" s="10">
        <f t="shared" si="272"/>
        <v>10293.810000000001</v>
      </c>
      <c r="BU231" s="10">
        <f t="shared" si="272"/>
        <v>10293.810000000001</v>
      </c>
      <c r="BV231" s="10">
        <f t="shared" si="272"/>
        <v>10293.810000000001</v>
      </c>
      <c r="BW231" s="10">
        <f t="shared" si="272"/>
        <v>10293.810000000001</v>
      </c>
      <c r="BY231" s="12"/>
      <c r="CA231" s="12"/>
      <c r="CF231" s="7">
        <f>IF(SUM(V231:Y231)=SUM(BL231:BO231), 0, 1)</f>
        <v>0</v>
      </c>
      <c r="CG231" s="12"/>
      <c r="CH231" s="11">
        <v>0</v>
      </c>
      <c r="CI231" s="11">
        <v>0</v>
      </c>
      <c r="CJ231" s="11">
        <v>0</v>
      </c>
      <c r="EX231" s="13" t="str">
        <f>IF($C231="", "",CONCATENATE(D$230, " ", D231))</f>
        <v>I&amp;E Reserve Opening Balance</v>
      </c>
    </row>
    <row r="232" spans="1:154" ht="15.75" x14ac:dyDescent="0.3">
      <c r="A232" s="362" cm="1">
        <f t="array" aca="1" ref="A232" ca="1">HYPERLINK(CONCATENATE("#",CELL("address",IF(SUM($CA232:$CG232)=0,A232,INDEX($CA232:$CG232,MATCH(1,$CA232:$CG232,0))))),SUM($CA232:$CG232))</f>
        <v>0</v>
      </c>
      <c r="C232" s="340" t="s">
        <v>1427</v>
      </c>
      <c r="D232" s="177" t="s">
        <v>163</v>
      </c>
      <c r="E232" s="479" t="s">
        <v>335</v>
      </c>
      <c r="G232" s="8"/>
      <c r="H232" s="47" t="s">
        <v>8</v>
      </c>
      <c r="O232" s="335"/>
      <c r="P232" s="335"/>
      <c r="Q232" s="335"/>
      <c r="R232" s="335"/>
      <c r="S232" s="335"/>
      <c r="T232" s="335"/>
      <c r="U232" s="335"/>
      <c r="V232" s="13">
        <f>BL232*'Opening Balances'!$V$81</f>
        <v>0</v>
      </c>
      <c r="W232" s="13">
        <f t="shared" ref="W232:Y232" si="273">BM232</f>
        <v>434</v>
      </c>
      <c r="X232" s="13">
        <f t="shared" si="273"/>
        <v>430</v>
      </c>
      <c r="Y232" s="13">
        <f t="shared" si="273"/>
        <v>535.81000000000131</v>
      </c>
      <c r="Z232" s="335"/>
      <c r="AA232" s="10">
        <f>'I&amp;E Annual'!AA185-(AA189+AA199+AA208)</f>
        <v>1720</v>
      </c>
      <c r="AB232" s="10">
        <f>'I&amp;E Annual'!AB185-(AB189+AB199+AB208)</f>
        <v>1148</v>
      </c>
      <c r="AC232" s="10">
        <f>'I&amp;E Annual'!AC185-(AC189+AC199+AC208)</f>
        <v>130</v>
      </c>
      <c r="AD232" s="10">
        <f>'I&amp;E Annual'!AD185-(AD189+AD199+AD208)</f>
        <v>-210</v>
      </c>
      <c r="AE232" s="10">
        <f>'I&amp;E Annual'!AE185-(AE189+AE199+AE208)</f>
        <v>-887</v>
      </c>
      <c r="AF232" s="10">
        <f>'I&amp;E Annual'!AF185-(AF189+AF199+AF208)</f>
        <v>-675</v>
      </c>
      <c r="AG232" s="10">
        <f>'I&amp;E Annual'!AG185-(AG189+AG199+AG208)</f>
        <v>-721</v>
      </c>
      <c r="AH232" s="10">
        <f>'I&amp;E Annual'!AH185-(AH189+AH199+AH208)</f>
        <v>-900</v>
      </c>
      <c r="AI232" s="10">
        <f>'I&amp;E Annual'!AI185-(AI189+AI199+AI208)</f>
        <v>1250</v>
      </c>
      <c r="AJ232" s="10">
        <f>'I&amp;E Annual'!AJ185-(AJ189+AJ199+AJ208)</f>
        <v>264</v>
      </c>
      <c r="AK232" s="10">
        <f>'I&amp;E Annual'!AK185-(AK189+AK199+AK208)</f>
        <v>258</v>
      </c>
      <c r="AL232" s="10">
        <f>'I&amp;E Annual'!AL185-(AL189+AL199+AL208)</f>
        <v>-943</v>
      </c>
      <c r="AM232" s="10">
        <f>'I&amp;E Annual'!AM185-(AM189+AM199+AM208)</f>
        <v>1978</v>
      </c>
      <c r="AN232" s="10">
        <f>'I&amp;E Annual'!AN185-(AN189+AN199+AN208)</f>
        <v>1130</v>
      </c>
      <c r="AO232" s="10">
        <f>'I&amp;E Annual'!AO185-(AO189+AO199+AO208)</f>
        <v>125</v>
      </c>
      <c r="AP232" s="10">
        <f>'I&amp;E Annual'!AP185-(AP189+AP199+AP208)</f>
        <v>-442</v>
      </c>
      <c r="AQ232" s="10">
        <f>'I&amp;E Annual'!AQ185-(AQ189+AQ199+AQ208)</f>
        <v>-891</v>
      </c>
      <c r="AR232" s="10">
        <f>'I&amp;E Annual'!AR185-(AR189+AR199+AR208)</f>
        <v>-576</v>
      </c>
      <c r="AS232" s="10">
        <f>'I&amp;E Annual'!AS185-(AS189+AS199+AS208)</f>
        <v>-971</v>
      </c>
      <c r="AT232" s="10">
        <f>'I&amp;E Annual'!AT185-(AT189+AT199+AT208)</f>
        <v>-913</v>
      </c>
      <c r="AU232" s="10">
        <f>'I&amp;E Annual'!AU185-(AU189+AU199+AU208)</f>
        <v>1487</v>
      </c>
      <c r="AV232" s="10">
        <f>'I&amp;E Annual'!AV185-(AV189+AV199+AV208)</f>
        <v>368</v>
      </c>
      <c r="AW232" s="10">
        <f>'I&amp;E Annual'!AW185-(AW189+AW199+AW208)</f>
        <v>-54</v>
      </c>
      <c r="AX232" s="10">
        <f>'I&amp;E Annual'!AX185-(AX189+AX199+AX208)</f>
        <v>-811</v>
      </c>
      <c r="AY232" s="10">
        <f>'I&amp;E Annual'!AY185-(AY189+AY199+AY208)</f>
        <v>2023.7483333333334</v>
      </c>
      <c r="AZ232" s="10">
        <f>'I&amp;E Annual'!AZ185-(AZ189+AZ199+AZ208)</f>
        <v>1146.3566666666661</v>
      </c>
      <c r="BA232" s="10">
        <f>'I&amp;E Annual'!BA185-(BA189+BA199+BA208)</f>
        <v>132.48833333333278</v>
      </c>
      <c r="BB232" s="10">
        <f>'I&amp;E Annual'!BB185-(BB189+BB199+BB208)</f>
        <v>-449.61333333333323</v>
      </c>
      <c r="BC232" s="10">
        <f>'I&amp;E Annual'!BC185-(BC189+BC199+BC208)</f>
        <v>-910.53</v>
      </c>
      <c r="BD232" s="10">
        <f>'I&amp;E Annual'!BD185-(BD189+BD199+BD208)</f>
        <v>-583.22999999999979</v>
      </c>
      <c r="BE232" s="10">
        <f>'I&amp;E Annual'!BE185-(BE189+BE199+BE208)</f>
        <v>-990.74166666666702</v>
      </c>
      <c r="BF232" s="10">
        <f>'I&amp;E Annual'!BF185-(BF189+BF199+BF208)</f>
        <v>-927.5183333333332</v>
      </c>
      <c r="BG232" s="10">
        <f>'I&amp;E Annual'!BG185-(BG189+BG199+BG208)</f>
        <v>1540.378333333334</v>
      </c>
      <c r="BH232" s="10">
        <f>'I&amp;E Annual'!BH185-(BH189+BH199+BH208)</f>
        <v>417.06833333333361</v>
      </c>
      <c r="BI232" s="10">
        <f>'I&amp;E Annual'!BI185-(BI189+BI199+BI208)</f>
        <v>-43.806666666666388</v>
      </c>
      <c r="BJ232" s="10">
        <f>'I&amp;E Annual'!BJ185-(BJ189+BJ199+BJ208)</f>
        <v>-818.79000000000042</v>
      </c>
      <c r="BK232" s="335"/>
      <c r="BL232" s="10">
        <f>'I&amp;E Annual'!BL185-(BL189+BL199+BL208)</f>
        <v>0</v>
      </c>
      <c r="BM232" s="10">
        <f>'I&amp;E Annual'!BM185-(BM189+BM199+BM208)</f>
        <v>434</v>
      </c>
      <c r="BN232" s="10">
        <f>'I&amp;E Annual'!BN185-(BN189+BN199+BN208)</f>
        <v>430</v>
      </c>
      <c r="BO232" s="10">
        <f>'I&amp;E Annual'!BO185-(BO189+BO199+BO208)</f>
        <v>535.81000000000131</v>
      </c>
      <c r="BP232" s="10">
        <f>'I&amp;E Annual'!BP185-(BP189+BP199+BP208)</f>
        <v>0</v>
      </c>
      <c r="BQ232" s="10">
        <f>'I&amp;E Annual'!BQ185-(BQ189+BQ199+BQ208)</f>
        <v>0</v>
      </c>
      <c r="BR232" s="10">
        <f>'I&amp;E Annual'!BR185-(BR189+BR199+BR208)</f>
        <v>0</v>
      </c>
      <c r="BS232" s="10">
        <f>'I&amp;E Annual'!BS185-(BS189+BS199+BS208)</f>
        <v>0</v>
      </c>
      <c r="BT232" s="10">
        <f>'I&amp;E Annual'!BT185-(BT189+BT199+BT208)</f>
        <v>0</v>
      </c>
      <c r="BU232" s="10">
        <f>'I&amp;E Annual'!BU185-(BU189+BU199+BU208)</f>
        <v>0</v>
      </c>
      <c r="BV232" s="10">
        <f>'I&amp;E Annual'!BV185-(BV189+BV199+BV208)</f>
        <v>0</v>
      </c>
      <c r="BW232" s="10">
        <f>'I&amp;E Annual'!BW185-(BW189+BW199+BW208)</f>
        <v>0</v>
      </c>
      <c r="BY232" s="12"/>
      <c r="CA232" s="12"/>
      <c r="CF232" s="7">
        <f>IF(SUM(V232:Y232)=SUM(BL232:BO232), 0, 1)</f>
        <v>0</v>
      </c>
      <c r="CG232" s="12"/>
      <c r="CH232" s="11">
        <v>0</v>
      </c>
      <c r="CI232" s="11">
        <v>0</v>
      </c>
      <c r="CJ232" s="11">
        <v>0</v>
      </c>
      <c r="EX232" s="13" t="str">
        <f>IF($C232="", "",CONCATENATE(D$230, " ", D232))</f>
        <v>I&amp;E Reserve Movement in year</v>
      </c>
    </row>
    <row r="233" spans="1:154" x14ac:dyDescent="0.25">
      <c r="A233" s="362" cm="1">
        <f t="array" aca="1" ref="A233" ca="1">HYPERLINK(CONCATENATE("#",CELL("address",IF(SUM($CA233:$CG233)=0,A233,INDEX($CA233:$CG233,MATCH(1,$CA233:$CG233,0))))),SUM($CA233:$CG233))</f>
        <v>0</v>
      </c>
      <c r="C233" s="340" t="s">
        <v>1428</v>
      </c>
      <c r="D233" s="1" t="s">
        <v>2561</v>
      </c>
      <c r="E233" s="490" t="s">
        <v>2356</v>
      </c>
      <c r="G233" s="8"/>
      <c r="H233" s="47" t="s">
        <v>8</v>
      </c>
      <c r="O233" s="335"/>
      <c r="P233" s="335"/>
      <c r="Q233" s="335"/>
      <c r="R233" s="335"/>
      <c r="S233" s="335"/>
      <c r="T233" s="335"/>
      <c r="U233" s="335"/>
      <c r="V233" s="13">
        <f>(V234-SUM(V231:V232))*'Opening Balances'!$V$81</f>
        <v>0</v>
      </c>
      <c r="W233" s="10">
        <f t="shared" ref="W233:BW233" si="274">W259</f>
        <v>51</v>
      </c>
      <c r="X233" s="10">
        <f t="shared" si="274"/>
        <v>51</v>
      </c>
      <c r="Y233" s="10">
        <f t="shared" si="274"/>
        <v>51</v>
      </c>
      <c r="Z233" s="67"/>
      <c r="AA233" s="10">
        <f t="shared" si="274"/>
        <v>5</v>
      </c>
      <c r="AB233" s="10">
        <f t="shared" si="274"/>
        <v>5</v>
      </c>
      <c r="AC233" s="10">
        <f t="shared" si="274"/>
        <v>5</v>
      </c>
      <c r="AD233" s="10">
        <f t="shared" si="274"/>
        <v>4</v>
      </c>
      <c r="AE233" s="10">
        <f t="shared" si="274"/>
        <v>4</v>
      </c>
      <c r="AF233" s="10">
        <f t="shared" si="274"/>
        <v>4</v>
      </c>
      <c r="AG233" s="10">
        <f t="shared" si="274"/>
        <v>4</v>
      </c>
      <c r="AH233" s="10">
        <f t="shared" si="274"/>
        <v>4</v>
      </c>
      <c r="AI233" s="10">
        <f t="shared" si="274"/>
        <v>4</v>
      </c>
      <c r="AJ233" s="10">
        <f t="shared" si="274"/>
        <v>4</v>
      </c>
      <c r="AK233" s="10">
        <f t="shared" si="274"/>
        <v>4</v>
      </c>
      <c r="AL233" s="10">
        <f t="shared" si="274"/>
        <v>4</v>
      </c>
      <c r="AM233" s="10">
        <f t="shared" si="274"/>
        <v>5</v>
      </c>
      <c r="AN233" s="10">
        <f t="shared" si="274"/>
        <v>5</v>
      </c>
      <c r="AO233" s="10">
        <f t="shared" si="274"/>
        <v>5</v>
      </c>
      <c r="AP233" s="10">
        <f t="shared" si="274"/>
        <v>4</v>
      </c>
      <c r="AQ233" s="10">
        <f t="shared" si="274"/>
        <v>4</v>
      </c>
      <c r="AR233" s="10">
        <f t="shared" si="274"/>
        <v>4</v>
      </c>
      <c r="AS233" s="10">
        <f t="shared" si="274"/>
        <v>4</v>
      </c>
      <c r="AT233" s="10">
        <f t="shared" si="274"/>
        <v>4</v>
      </c>
      <c r="AU233" s="10">
        <f t="shared" si="274"/>
        <v>4</v>
      </c>
      <c r="AV233" s="10">
        <f t="shared" si="274"/>
        <v>4</v>
      </c>
      <c r="AW233" s="10">
        <f t="shared" si="274"/>
        <v>4</v>
      </c>
      <c r="AX233" s="10">
        <f t="shared" si="274"/>
        <v>4</v>
      </c>
      <c r="AY233" s="10">
        <f t="shared" si="274"/>
        <v>5</v>
      </c>
      <c r="AZ233" s="10">
        <f t="shared" si="274"/>
        <v>5</v>
      </c>
      <c r="BA233" s="10">
        <f t="shared" si="274"/>
        <v>5</v>
      </c>
      <c r="BB233" s="10">
        <f t="shared" si="274"/>
        <v>4</v>
      </c>
      <c r="BC233" s="10">
        <f t="shared" si="274"/>
        <v>4</v>
      </c>
      <c r="BD233" s="10">
        <f t="shared" si="274"/>
        <v>4</v>
      </c>
      <c r="BE233" s="10">
        <f t="shared" si="274"/>
        <v>4</v>
      </c>
      <c r="BF233" s="10">
        <f t="shared" si="274"/>
        <v>4</v>
      </c>
      <c r="BG233" s="10">
        <f t="shared" si="274"/>
        <v>4</v>
      </c>
      <c r="BH233" s="10">
        <f t="shared" si="274"/>
        <v>4</v>
      </c>
      <c r="BI233" s="10">
        <f t="shared" si="274"/>
        <v>4</v>
      </c>
      <c r="BJ233" s="10">
        <f t="shared" si="274"/>
        <v>4</v>
      </c>
      <c r="BK233" s="67"/>
      <c r="BL233" s="13">
        <f>V233</f>
        <v>0</v>
      </c>
      <c r="BM233" s="10">
        <f t="shared" si="274"/>
        <v>51</v>
      </c>
      <c r="BN233" s="10">
        <f t="shared" si="274"/>
        <v>51</v>
      </c>
      <c r="BO233" s="275">
        <f t="shared" si="274"/>
        <v>51</v>
      </c>
      <c r="BP233" s="275">
        <f t="shared" si="274"/>
        <v>0</v>
      </c>
      <c r="BQ233" s="10">
        <f t="shared" si="274"/>
        <v>0</v>
      </c>
      <c r="BR233" s="10">
        <f t="shared" si="274"/>
        <v>0</v>
      </c>
      <c r="BS233" s="10">
        <f t="shared" si="274"/>
        <v>0</v>
      </c>
      <c r="BT233" s="10">
        <f t="shared" si="274"/>
        <v>0</v>
      </c>
      <c r="BU233" s="10">
        <f t="shared" si="274"/>
        <v>0</v>
      </c>
      <c r="BV233" s="10">
        <f t="shared" si="274"/>
        <v>0</v>
      </c>
      <c r="BW233" s="10">
        <f t="shared" si="274"/>
        <v>0</v>
      </c>
      <c r="BY233" s="12"/>
      <c r="CA233" s="12"/>
      <c r="CF233" s="7">
        <f>IF(SUM(V233:Y233)=SUM(BL233:BO233), 0, 1)</f>
        <v>0</v>
      </c>
      <c r="CG233" s="12"/>
      <c r="CH233" s="11">
        <v>0</v>
      </c>
      <c r="CI233" s="11">
        <v>0</v>
      </c>
      <c r="CJ233" s="11">
        <v>0</v>
      </c>
      <c r="EX233" s="13" t="str">
        <f>IF($C233="", "",CONCATENATE(D$230, " ", D233))</f>
        <v>I&amp;E Reserve Transfers to/(from) I&amp;E reserve</v>
      </c>
    </row>
    <row r="234" spans="1:154" x14ac:dyDescent="0.25">
      <c r="A234" s="362" cm="1">
        <f t="array" aca="1" ref="A234" ca="1">HYPERLINK(CONCATENATE("#",CELL("address",IF(SUM($CA234:$CG234)=0,A234,INDEX($CA234:$CG234,MATCH(1,$CA234:$CG234,0))))),SUM($CA234:$CG234))</f>
        <v>0</v>
      </c>
      <c r="C234" s="343" t="str">
        <f>REPLACE('Opening Balances'!$C$75, LEN('Opening Balances'!$C$75)-1, 1, "C")</f>
        <v>B-9c-CB</v>
      </c>
      <c r="D234" s="11" t="s">
        <v>97</v>
      </c>
      <c r="E234" s="352">
        <f>ROUND(V234-SUM(V231:V233), rounding)*$V$10</f>
        <v>0</v>
      </c>
      <c r="G234" s="8"/>
      <c r="H234" s="47" t="s">
        <v>125</v>
      </c>
      <c r="O234" s="335"/>
      <c r="P234" s="335"/>
      <c r="Q234" s="335"/>
      <c r="R234" s="335"/>
      <c r="S234" s="335"/>
      <c r="T234" s="335"/>
      <c r="U234" s="335"/>
      <c r="V234" s="13">
        <f>'Opening Balances'!W75</f>
        <v>8741</v>
      </c>
      <c r="W234" s="10">
        <f>SUM(W231:W233)</f>
        <v>9226</v>
      </c>
      <c r="X234" s="10">
        <f t="shared" ref="X234:Y234" si="275">SUM(X231:X233)</f>
        <v>9707</v>
      </c>
      <c r="Y234" s="10">
        <f t="shared" si="275"/>
        <v>10293.810000000001</v>
      </c>
      <c r="Z234" s="67"/>
      <c r="AA234" s="10">
        <f>SUM(AA231:AA233)</f>
        <v>10466</v>
      </c>
      <c r="AB234" s="10">
        <f t="shared" ref="AB234:BJ234" si="276">SUM(AB231:AB233)</f>
        <v>11619</v>
      </c>
      <c r="AC234" s="10">
        <f t="shared" si="276"/>
        <v>11754</v>
      </c>
      <c r="AD234" s="10">
        <f>SUM(AD231:AD233)</f>
        <v>11548</v>
      </c>
      <c r="AE234" s="10">
        <f t="shared" si="276"/>
        <v>10665</v>
      </c>
      <c r="AF234" s="10">
        <f t="shared" si="276"/>
        <v>9994</v>
      </c>
      <c r="AG234" s="10">
        <f t="shared" si="276"/>
        <v>9277</v>
      </c>
      <c r="AH234" s="10">
        <f t="shared" si="276"/>
        <v>8381</v>
      </c>
      <c r="AI234" s="10">
        <f t="shared" si="276"/>
        <v>9635</v>
      </c>
      <c r="AJ234" s="10">
        <f t="shared" si="276"/>
        <v>9903</v>
      </c>
      <c r="AK234" s="10">
        <f t="shared" si="276"/>
        <v>10165</v>
      </c>
      <c r="AL234" s="10">
        <f t="shared" si="276"/>
        <v>9226</v>
      </c>
      <c r="AM234" s="10">
        <f t="shared" si="276"/>
        <v>11209</v>
      </c>
      <c r="AN234" s="10">
        <f t="shared" si="276"/>
        <v>12344</v>
      </c>
      <c r="AO234" s="10">
        <f t="shared" si="276"/>
        <v>12474</v>
      </c>
      <c r="AP234" s="10">
        <f t="shared" si="276"/>
        <v>12036</v>
      </c>
      <c r="AQ234" s="10">
        <f t="shared" si="276"/>
        <v>11149</v>
      </c>
      <c r="AR234" s="10">
        <f t="shared" si="276"/>
        <v>10577</v>
      </c>
      <c r="AS234" s="10">
        <f t="shared" si="276"/>
        <v>9610</v>
      </c>
      <c r="AT234" s="10">
        <f t="shared" si="276"/>
        <v>8701</v>
      </c>
      <c r="AU234" s="10">
        <f t="shared" si="276"/>
        <v>10192</v>
      </c>
      <c r="AV234" s="10">
        <f t="shared" si="276"/>
        <v>10564</v>
      </c>
      <c r="AW234" s="10">
        <f t="shared" si="276"/>
        <v>10514</v>
      </c>
      <c r="AX234" s="10">
        <f t="shared" si="276"/>
        <v>9707</v>
      </c>
      <c r="AY234" s="10">
        <f t="shared" si="276"/>
        <v>11735.748333333333</v>
      </c>
      <c r="AZ234" s="10">
        <f t="shared" si="276"/>
        <v>12887.105</v>
      </c>
      <c r="BA234" s="10">
        <f t="shared" si="276"/>
        <v>13024.593333333332</v>
      </c>
      <c r="BB234" s="10">
        <f t="shared" si="276"/>
        <v>12578.98</v>
      </c>
      <c r="BC234" s="10">
        <f t="shared" si="276"/>
        <v>11672.449999999999</v>
      </c>
      <c r="BD234" s="10">
        <f t="shared" si="276"/>
        <v>11093.22</v>
      </c>
      <c r="BE234" s="10">
        <f t="shared" si="276"/>
        <v>10106.478333333333</v>
      </c>
      <c r="BF234" s="10">
        <f t="shared" si="276"/>
        <v>9182.9599999999991</v>
      </c>
      <c r="BG234" s="10">
        <f t="shared" si="276"/>
        <v>10727.338333333333</v>
      </c>
      <c r="BH234" s="10">
        <f t="shared" si="276"/>
        <v>11148.406666666666</v>
      </c>
      <c r="BI234" s="10">
        <f t="shared" si="276"/>
        <v>11108.599999999999</v>
      </c>
      <c r="BJ234" s="10">
        <f t="shared" si="276"/>
        <v>10293.809999999998</v>
      </c>
      <c r="BK234" s="67"/>
      <c r="BL234" s="13">
        <f>V234</f>
        <v>8741</v>
      </c>
      <c r="BM234" s="10">
        <f t="shared" ref="BM234:BW234" si="277">SUM(BM231:BM233)</f>
        <v>9226</v>
      </c>
      <c r="BN234" s="10">
        <f t="shared" si="277"/>
        <v>9707</v>
      </c>
      <c r="BO234" s="275">
        <f t="shared" si="277"/>
        <v>10293.810000000001</v>
      </c>
      <c r="BP234" s="275">
        <f t="shared" si="277"/>
        <v>10293.810000000001</v>
      </c>
      <c r="BQ234" s="10">
        <f t="shared" si="277"/>
        <v>10293.810000000001</v>
      </c>
      <c r="BR234" s="10">
        <f t="shared" si="277"/>
        <v>10293.810000000001</v>
      </c>
      <c r="BS234" s="10">
        <f t="shared" si="277"/>
        <v>10293.810000000001</v>
      </c>
      <c r="BT234" s="10">
        <f t="shared" si="277"/>
        <v>10293.810000000001</v>
      </c>
      <c r="BU234" s="10">
        <f t="shared" si="277"/>
        <v>10293.810000000001</v>
      </c>
      <c r="BV234" s="10">
        <f t="shared" si="277"/>
        <v>10293.810000000001</v>
      </c>
      <c r="BW234" s="10">
        <f t="shared" si="277"/>
        <v>10293.810000000001</v>
      </c>
      <c r="BY234" s="12"/>
      <c r="CA234" s="12"/>
      <c r="CE234" s="188">
        <f>IF(ABS($E234)&gt;Parameters!$D$33, 1, 0)</f>
        <v>0</v>
      </c>
      <c r="CF234" s="7">
        <f>IF(SUM(V234:Y234)=SUM(BL234:BO234), 0, 1)</f>
        <v>0</v>
      </c>
      <c r="CG234" s="12"/>
      <c r="CH234" s="11">
        <v>0</v>
      </c>
      <c r="CI234" s="11">
        <v>0</v>
      </c>
      <c r="CJ234" s="1">
        <v>1</v>
      </c>
      <c r="CK234" s="335"/>
      <c r="EX234" s="13" t="str">
        <f>IF($C234="", "",CONCATENATE(D$230, " ", D234))</f>
        <v>I&amp;E Reserve Closing Balance</v>
      </c>
    </row>
    <row r="235" spans="1:154" ht="8.1" customHeight="1" x14ac:dyDescent="0.25">
      <c r="C235" s="385"/>
      <c r="S235" s="335"/>
      <c r="V235" s="335"/>
      <c r="X235" s="11"/>
      <c r="Y235" s="11"/>
      <c r="BY235" s="12"/>
      <c r="CA235" s="12"/>
      <c r="CG235" s="12"/>
      <c r="CH235" s="11">
        <v>0</v>
      </c>
      <c r="CI235" s="11">
        <v>0</v>
      </c>
      <c r="CJ235" s="11">
        <v>0</v>
      </c>
      <c r="EX235" s="10" t="str">
        <f t="shared" si="259"/>
        <v/>
      </c>
    </row>
    <row r="236" spans="1:154" x14ac:dyDescent="0.25">
      <c r="A236" s="40"/>
      <c r="B236" s="40"/>
      <c r="C236" s="381"/>
      <c r="D236" s="40" t="s">
        <v>170</v>
      </c>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12"/>
      <c r="CA236" s="12"/>
      <c r="CG236" s="12"/>
      <c r="CH236" s="11">
        <v>0</v>
      </c>
      <c r="CI236" s="11">
        <v>0</v>
      </c>
      <c r="EX236" s="10" t="str">
        <f t="shared" si="259"/>
        <v/>
      </c>
    </row>
    <row r="237" spans="1:154" ht="8.1" customHeight="1" x14ac:dyDescent="0.25">
      <c r="C237" s="385"/>
      <c r="S237" s="335"/>
      <c r="X237" s="11"/>
      <c r="Y237" s="11"/>
      <c r="BY237" s="12"/>
      <c r="CA237" s="12"/>
      <c r="CG237" s="12"/>
      <c r="CH237" s="11">
        <v>0</v>
      </c>
      <c r="CI237" s="11">
        <v>0</v>
      </c>
      <c r="EX237" s="10" t="str">
        <f t="shared" si="259"/>
        <v/>
      </c>
    </row>
    <row r="238" spans="1:154" x14ac:dyDescent="0.25">
      <c r="C238" s="340" t="s">
        <v>1452</v>
      </c>
      <c r="D238" s="27" t="s">
        <v>402</v>
      </c>
      <c r="S238" s="335"/>
      <c r="BY238" s="12"/>
      <c r="CA238" s="12"/>
      <c r="CG238" s="12"/>
      <c r="CH238" s="11">
        <v>0</v>
      </c>
      <c r="CI238" s="11">
        <v>0</v>
      </c>
      <c r="EX238" s="10" t="str">
        <f t="shared" si="259"/>
        <v>Transfer 1 - Movement from revaluation reserve to I&amp;E</v>
      </c>
    </row>
    <row r="239" spans="1:154" x14ac:dyDescent="0.25">
      <c r="C239" s="385"/>
      <c r="D239" s="1" t="s">
        <v>171</v>
      </c>
      <c r="S239" s="335"/>
      <c r="BY239" s="12"/>
      <c r="CA239" s="12"/>
      <c r="CG239" s="12"/>
      <c r="CH239" s="11">
        <v>0</v>
      </c>
      <c r="CI239" s="11">
        <v>0</v>
      </c>
      <c r="EX239" s="10" t="str">
        <f t="shared" si="259"/>
        <v/>
      </c>
    </row>
    <row r="240" spans="1:154" ht="15.75" x14ac:dyDescent="0.3">
      <c r="A240" s="362" cm="1">
        <f t="array" aca="1" ref="A240" ca="1">HYPERLINK(CONCATENATE("#",CELL("address",IF(SUM($CA240:$CG240)=0,A240,INDEX($CA240:$CG240,MATCH(1,$CA240:$CG240,0))))),SUM($CA240:$CG240))</f>
        <v>0</v>
      </c>
      <c r="B240" s="105" t="s">
        <v>335</v>
      </c>
      <c r="C240" s="340" t="s">
        <v>1453</v>
      </c>
      <c r="D240" s="185" t="str">
        <f>$D$230</f>
        <v>I&amp;E Reserve</v>
      </c>
      <c r="E240" s="335"/>
      <c r="H240" s="11" t="s">
        <v>8</v>
      </c>
      <c r="S240" s="335"/>
      <c r="T240" s="335"/>
      <c r="U240" s="335"/>
      <c r="V240" s="136"/>
      <c r="W240" s="215">
        <f xml:space="preserve"> SUMIFS($AA240:$BJ240, $AA$3:$BJ$3, W$3)</f>
        <v>51</v>
      </c>
      <c r="X240" s="215">
        <f xml:space="preserve"> SUMIFS($AA240:$BJ240, $AA$3:$BJ$3, X$3)</f>
        <v>51</v>
      </c>
      <c r="Y240" s="215">
        <f xml:space="preserve"> SUMIFS($AA240:$BJ240, $AA$3:$BJ$3, Y$3)</f>
        <v>51</v>
      </c>
      <c r="Z240" s="67"/>
      <c r="AA240" s="147">
        <v>5</v>
      </c>
      <c r="AB240" s="147">
        <v>5</v>
      </c>
      <c r="AC240" s="147">
        <v>5</v>
      </c>
      <c r="AD240" s="147">
        <v>4</v>
      </c>
      <c r="AE240" s="147">
        <v>4</v>
      </c>
      <c r="AF240" s="147">
        <v>4</v>
      </c>
      <c r="AG240" s="147">
        <v>4</v>
      </c>
      <c r="AH240" s="147">
        <v>4</v>
      </c>
      <c r="AI240" s="147">
        <v>4</v>
      </c>
      <c r="AJ240" s="147">
        <v>4</v>
      </c>
      <c r="AK240" s="147">
        <v>4</v>
      </c>
      <c r="AL240" s="147">
        <v>4</v>
      </c>
      <c r="AM240" s="147">
        <v>5</v>
      </c>
      <c r="AN240" s="147">
        <v>5</v>
      </c>
      <c r="AO240" s="147">
        <v>5</v>
      </c>
      <c r="AP240" s="147">
        <v>4</v>
      </c>
      <c r="AQ240" s="147">
        <v>4</v>
      </c>
      <c r="AR240" s="147">
        <v>4</v>
      </c>
      <c r="AS240" s="147">
        <v>4</v>
      </c>
      <c r="AT240" s="147">
        <v>4</v>
      </c>
      <c r="AU240" s="147">
        <v>4</v>
      </c>
      <c r="AV240" s="147">
        <v>4</v>
      </c>
      <c r="AW240" s="147">
        <v>4</v>
      </c>
      <c r="AX240" s="147">
        <v>4</v>
      </c>
      <c r="AY240" s="147">
        <v>5</v>
      </c>
      <c r="AZ240" s="147">
        <v>5</v>
      </c>
      <c r="BA240" s="147">
        <v>5</v>
      </c>
      <c r="BB240" s="147">
        <v>4</v>
      </c>
      <c r="BC240" s="147">
        <v>4</v>
      </c>
      <c r="BD240" s="147">
        <v>4</v>
      </c>
      <c r="BE240" s="147">
        <v>4</v>
      </c>
      <c r="BF240" s="147">
        <v>4</v>
      </c>
      <c r="BG240" s="147">
        <v>4</v>
      </c>
      <c r="BH240" s="147">
        <v>4</v>
      </c>
      <c r="BI240" s="147">
        <v>4</v>
      </c>
      <c r="BJ240" s="147">
        <v>4</v>
      </c>
      <c r="BK240" s="67"/>
      <c r="BL240" s="10">
        <f>V240</f>
        <v>0</v>
      </c>
      <c r="BM240" s="10">
        <f>W240</f>
        <v>51</v>
      </c>
      <c r="BN240" s="10">
        <f>X240</f>
        <v>51</v>
      </c>
      <c r="BO240" s="10">
        <f>Y240</f>
        <v>51</v>
      </c>
      <c r="BP240" s="141"/>
      <c r="BQ240" s="141"/>
      <c r="BR240" s="141"/>
      <c r="BS240" s="141"/>
      <c r="BT240" s="141"/>
      <c r="BU240" s="141"/>
      <c r="BV240" s="141"/>
      <c r="BW240" s="141"/>
      <c r="BY240" s="12"/>
      <c r="CA240" s="12"/>
      <c r="CF240" s="7">
        <f>IF(SUM(V240:Y240)=SUM(BL240:BO240), 0, 1)</f>
        <v>0</v>
      </c>
      <c r="CG240" s="12"/>
      <c r="CH240" s="11">
        <v>0</v>
      </c>
      <c r="CI240" s="11">
        <v>1</v>
      </c>
      <c r="EX240" s="13" t="str">
        <f>IF($C240="", "",CONCATENATE($C$238, " ", D240))</f>
        <v>T-1 I&amp;E Reserve</v>
      </c>
    </row>
    <row r="241" spans="1:154" x14ac:dyDescent="0.25">
      <c r="C241" s="385"/>
      <c r="D241" s="177" t="s">
        <v>2560</v>
      </c>
      <c r="S241" s="335"/>
      <c r="T241" s="335"/>
      <c r="U241" s="335"/>
      <c r="X241" s="11"/>
      <c r="Y241" s="11"/>
      <c r="BM241" s="321"/>
      <c r="BN241" s="321"/>
      <c r="BO241" s="321"/>
      <c r="BY241" s="12"/>
      <c r="CA241" s="12"/>
      <c r="CG241" s="12"/>
      <c r="CH241" s="11">
        <v>0</v>
      </c>
      <c r="CI241" s="11">
        <v>0</v>
      </c>
      <c r="EX241" s="10" t="str">
        <f t="shared" si="259"/>
        <v/>
      </c>
    </row>
    <row r="242" spans="1:154" x14ac:dyDescent="0.25">
      <c r="A242" s="362" cm="1">
        <f t="array" aca="1" ref="A242" ca="1">HYPERLINK(CONCATENATE("#",CELL("address",IF(SUM($CA242:$CG242)=0,A242,INDEX($CA242:$CG242,MATCH(1,$CA242:$CG242,0))))),SUM($CA242:$CG242))</f>
        <v>0</v>
      </c>
      <c r="C242" s="340" t="s">
        <v>1454</v>
      </c>
      <c r="D242" s="185" t="str">
        <f>$D$219</f>
        <v>Revaluation Reserve</v>
      </c>
      <c r="H242" s="11" t="s">
        <v>8</v>
      </c>
      <c r="S242" s="335"/>
      <c r="T242" s="335"/>
      <c r="U242" s="335"/>
      <c r="V242" s="136"/>
      <c r="W242" s="10">
        <f>0-W240</f>
        <v>-51</v>
      </c>
      <c r="X242" s="10">
        <f>0-X240</f>
        <v>-51</v>
      </c>
      <c r="Y242" s="10">
        <f>0-Y240</f>
        <v>-51</v>
      </c>
      <c r="Z242" s="67"/>
      <c r="AA242" s="10">
        <f>0-AA240</f>
        <v>-5</v>
      </c>
      <c r="AB242" s="10">
        <f t="shared" ref="AB242:BJ242" si="278">0-AB240</f>
        <v>-5</v>
      </c>
      <c r="AC242" s="10">
        <f t="shared" si="278"/>
        <v>-5</v>
      </c>
      <c r="AD242" s="10">
        <f t="shared" si="278"/>
        <v>-4</v>
      </c>
      <c r="AE242" s="10">
        <f t="shared" si="278"/>
        <v>-4</v>
      </c>
      <c r="AF242" s="10">
        <f t="shared" si="278"/>
        <v>-4</v>
      </c>
      <c r="AG242" s="10">
        <f t="shared" si="278"/>
        <v>-4</v>
      </c>
      <c r="AH242" s="10">
        <f t="shared" si="278"/>
        <v>-4</v>
      </c>
      <c r="AI242" s="10">
        <f t="shared" si="278"/>
        <v>-4</v>
      </c>
      <c r="AJ242" s="10">
        <f t="shared" si="278"/>
        <v>-4</v>
      </c>
      <c r="AK242" s="10">
        <f t="shared" si="278"/>
        <v>-4</v>
      </c>
      <c r="AL242" s="10">
        <f t="shared" si="278"/>
        <v>-4</v>
      </c>
      <c r="AM242" s="10">
        <f t="shared" si="278"/>
        <v>-5</v>
      </c>
      <c r="AN242" s="10">
        <f t="shared" si="278"/>
        <v>-5</v>
      </c>
      <c r="AO242" s="10">
        <f t="shared" si="278"/>
        <v>-5</v>
      </c>
      <c r="AP242" s="10">
        <f t="shared" si="278"/>
        <v>-4</v>
      </c>
      <c r="AQ242" s="10">
        <f t="shared" si="278"/>
        <v>-4</v>
      </c>
      <c r="AR242" s="10">
        <f t="shared" si="278"/>
        <v>-4</v>
      </c>
      <c r="AS242" s="10">
        <f t="shared" si="278"/>
        <v>-4</v>
      </c>
      <c r="AT242" s="10">
        <f t="shared" si="278"/>
        <v>-4</v>
      </c>
      <c r="AU242" s="10">
        <f t="shared" si="278"/>
        <v>-4</v>
      </c>
      <c r="AV242" s="10">
        <f t="shared" si="278"/>
        <v>-4</v>
      </c>
      <c r="AW242" s="10">
        <f t="shared" si="278"/>
        <v>-4</v>
      </c>
      <c r="AX242" s="10">
        <f t="shared" si="278"/>
        <v>-4</v>
      </c>
      <c r="AY242" s="10">
        <f t="shared" si="278"/>
        <v>-5</v>
      </c>
      <c r="AZ242" s="10">
        <f t="shared" si="278"/>
        <v>-5</v>
      </c>
      <c r="BA242" s="10">
        <f t="shared" si="278"/>
        <v>-5</v>
      </c>
      <c r="BB242" s="10">
        <f t="shared" si="278"/>
        <v>-4</v>
      </c>
      <c r="BC242" s="10">
        <f t="shared" si="278"/>
        <v>-4</v>
      </c>
      <c r="BD242" s="10">
        <f t="shared" si="278"/>
        <v>-4</v>
      </c>
      <c r="BE242" s="10">
        <f t="shared" si="278"/>
        <v>-4</v>
      </c>
      <c r="BF242" s="10">
        <f t="shared" si="278"/>
        <v>-4</v>
      </c>
      <c r="BG242" s="10">
        <f t="shared" si="278"/>
        <v>-4</v>
      </c>
      <c r="BH242" s="10">
        <f t="shared" si="278"/>
        <v>-4</v>
      </c>
      <c r="BI242" s="10">
        <f t="shared" si="278"/>
        <v>-4</v>
      </c>
      <c r="BJ242" s="10">
        <f t="shared" si="278"/>
        <v>-4</v>
      </c>
      <c r="BK242" s="67"/>
      <c r="BL242" s="10">
        <f t="shared" ref="BL242:BW242" si="279">0-BL240</f>
        <v>0</v>
      </c>
      <c r="BM242" s="10">
        <f t="shared" ref="BM242:BO242" si="280">0-BM240</f>
        <v>-51</v>
      </c>
      <c r="BN242" s="10">
        <f t="shared" si="280"/>
        <v>-51</v>
      </c>
      <c r="BO242" s="10">
        <f t="shared" si="280"/>
        <v>-51</v>
      </c>
      <c r="BP242" s="10">
        <f t="shared" si="279"/>
        <v>0</v>
      </c>
      <c r="BQ242" s="10">
        <f t="shared" si="279"/>
        <v>0</v>
      </c>
      <c r="BR242" s="10">
        <f t="shared" si="279"/>
        <v>0</v>
      </c>
      <c r="BS242" s="10">
        <f t="shared" si="279"/>
        <v>0</v>
      </c>
      <c r="BT242" s="10">
        <f t="shared" si="279"/>
        <v>0</v>
      </c>
      <c r="BU242" s="10">
        <f t="shared" si="279"/>
        <v>0</v>
      </c>
      <c r="BV242" s="10">
        <f t="shared" si="279"/>
        <v>0</v>
      </c>
      <c r="BW242" s="10">
        <f t="shared" si="279"/>
        <v>0</v>
      </c>
      <c r="BY242" s="12"/>
      <c r="CA242" s="12"/>
      <c r="CF242" s="7">
        <f>IF(SUM(V242:Y242)=SUM(BL242:BO242), 0, 1)</f>
        <v>0</v>
      </c>
      <c r="CG242" s="12"/>
      <c r="CH242" s="11">
        <v>0</v>
      </c>
      <c r="CI242" s="11">
        <v>0</v>
      </c>
      <c r="EX242" s="13" t="str">
        <f>IF($C242="", "",CONCATENATE($C$238, " ", D242))</f>
        <v>T-1 Revaluation Reserve</v>
      </c>
    </row>
    <row r="243" spans="1:154" ht="8.1" customHeight="1" x14ac:dyDescent="0.25">
      <c r="C243" s="385"/>
      <c r="S243" s="335"/>
      <c r="T243" s="335"/>
      <c r="U243" s="335"/>
      <c r="X243" s="11"/>
      <c r="Y243" s="11"/>
      <c r="Z243" s="67"/>
      <c r="BK243" s="67"/>
      <c r="BM243" s="321"/>
      <c r="BN243" s="321"/>
      <c r="BO243" s="321"/>
      <c r="BY243" s="12"/>
      <c r="CA243" s="12"/>
      <c r="CG243" s="12"/>
      <c r="CH243" s="11">
        <v>0</v>
      </c>
      <c r="CI243" s="11">
        <v>0</v>
      </c>
      <c r="EX243" s="10" t="str">
        <f t="shared" si="259"/>
        <v/>
      </c>
    </row>
    <row r="244" spans="1:154" x14ac:dyDescent="0.25">
      <c r="C244" s="340" t="s">
        <v>1455</v>
      </c>
      <c r="D244" s="27" t="s">
        <v>172</v>
      </c>
      <c r="S244" s="335"/>
      <c r="T244" s="335"/>
      <c r="U244" s="335"/>
      <c r="X244" s="11"/>
      <c r="Y244" s="11"/>
      <c r="Z244" s="67"/>
      <c r="BK244" s="67"/>
      <c r="BM244" s="321"/>
      <c r="BN244" s="321"/>
      <c r="BO244" s="321"/>
      <c r="BY244" s="12"/>
      <c r="CA244" s="12"/>
      <c r="CG244" s="12"/>
      <c r="CH244" s="11">
        <v>0</v>
      </c>
      <c r="CI244" s="11">
        <v>0</v>
      </c>
      <c r="EX244" s="10" t="str">
        <f t="shared" si="259"/>
        <v>Transfer 2 - Movements between Reserves</v>
      </c>
    </row>
    <row r="245" spans="1:154" x14ac:dyDescent="0.25">
      <c r="C245" s="385"/>
      <c r="D245" s="1" t="s">
        <v>171</v>
      </c>
      <c r="S245" s="335"/>
      <c r="T245" s="335"/>
      <c r="U245" s="335"/>
      <c r="X245" s="11"/>
      <c r="Y245" s="11"/>
      <c r="Z245" s="67"/>
      <c r="BK245" s="67"/>
      <c r="BM245" s="321"/>
      <c r="BN245" s="321"/>
      <c r="BO245" s="321"/>
      <c r="BY245" s="12"/>
      <c r="CA245" s="12"/>
      <c r="CG245" s="12"/>
      <c r="CH245" s="11">
        <v>0</v>
      </c>
      <c r="CI245" s="11">
        <v>0</v>
      </c>
      <c r="EX245" s="10" t="str">
        <f t="shared" si="259"/>
        <v/>
      </c>
    </row>
    <row r="246" spans="1:154" ht="15.75" x14ac:dyDescent="0.3">
      <c r="A246" s="362" cm="1">
        <f t="array" aca="1" ref="A246" ca="1">HYPERLINK(CONCATENATE("#",CELL("address",IF(SUM($CA246:$CG246)=0,A246,INDEX($CA246:$CG246,MATCH(1,$CA246:$CG246,0))))),SUM($CA246:$CG246))</f>
        <v>0</v>
      </c>
      <c r="B246" s="105" t="s">
        <v>335</v>
      </c>
      <c r="C246" s="340" t="s">
        <v>1456</v>
      </c>
      <c r="D246" s="142"/>
      <c r="E246" s="335"/>
      <c r="H246" s="9" t="s">
        <v>125</v>
      </c>
      <c r="S246" s="335"/>
      <c r="T246" s="335"/>
      <c r="U246" s="335"/>
      <c r="V246" s="136"/>
      <c r="W246" s="215">
        <f xml:space="preserve"> SUMIFS($AA246:$BJ246, $AA$3:$BJ$3, W$3)</f>
        <v>0</v>
      </c>
      <c r="X246" s="215">
        <f xml:space="preserve"> SUMIFS($AA246:$BJ246, $AA$3:$BJ$3, X$3)</f>
        <v>0</v>
      </c>
      <c r="Y246" s="215">
        <f xml:space="preserve"> SUMIFS($AA246:$BJ246, $AA$3:$BJ$3, Y$3)</f>
        <v>0</v>
      </c>
      <c r="Z246" s="6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67"/>
      <c r="BL246" s="10">
        <f>V246</f>
        <v>0</v>
      </c>
      <c r="BM246" s="10">
        <f>W246</f>
        <v>0</v>
      </c>
      <c r="BN246" s="10">
        <f>X246</f>
        <v>0</v>
      </c>
      <c r="BO246" s="10">
        <f>Y246</f>
        <v>0</v>
      </c>
      <c r="BP246" s="141"/>
      <c r="BQ246" s="141"/>
      <c r="BR246" s="141"/>
      <c r="BS246" s="141"/>
      <c r="BT246" s="141"/>
      <c r="BU246" s="141"/>
      <c r="BV246" s="141"/>
      <c r="BW246" s="141"/>
      <c r="BY246" s="12"/>
      <c r="BZ246" s="363">
        <f>IF(MAX($V246:$BW246)&lt;0, 1, 0)</f>
        <v>0</v>
      </c>
      <c r="CA246" s="12"/>
      <c r="CB246" s="7">
        <f>IF(AND(SUM($V246:$BW246)&lt;&gt;0, D246=""), 1, 0)</f>
        <v>0</v>
      </c>
      <c r="CC246" s="7">
        <f>IF(AND(SUM($V246:$BW246)&lt;&gt;0, _xlfn.IFNA(MATCH(D246, $D$257:$D$259, 0), "N/A")="N/A"), 1, 0)</f>
        <v>0</v>
      </c>
      <c r="CF246" s="7">
        <f>IF(SUM(V246:Y246)=SUM(BL246:BO246), 0, 1)</f>
        <v>0</v>
      </c>
      <c r="CG246" s="12"/>
      <c r="CH246" s="11">
        <v>0</v>
      </c>
      <c r="CI246" s="11">
        <v>1</v>
      </c>
      <c r="EX246" s="13" t="str">
        <f>IF($C246="", "",CONCATENATE($C$244, " ", D246))</f>
        <v xml:space="preserve">T-2 </v>
      </c>
    </row>
    <row r="247" spans="1:154" x14ac:dyDescent="0.25">
      <c r="B247" s="335"/>
      <c r="C247" s="385"/>
      <c r="D247" s="177" t="s">
        <v>2560</v>
      </c>
      <c r="H247" s="9"/>
      <c r="S247" s="335"/>
      <c r="T247" s="335"/>
      <c r="U247" s="335"/>
      <c r="X247" s="11"/>
      <c r="Y247" s="11"/>
      <c r="BK247" s="67"/>
      <c r="BM247" s="321"/>
      <c r="BN247" s="321"/>
      <c r="BO247" s="321"/>
      <c r="BY247" s="12"/>
      <c r="CA247" s="12"/>
      <c r="CG247" s="12"/>
      <c r="CH247" s="11">
        <v>0</v>
      </c>
      <c r="CI247" s="11">
        <v>0</v>
      </c>
      <c r="EX247" s="10" t="str">
        <f t="shared" si="259"/>
        <v/>
      </c>
    </row>
    <row r="248" spans="1:154" x14ac:dyDescent="0.25">
      <c r="A248" s="362" cm="1">
        <f t="array" aca="1" ref="A248" ca="1">HYPERLINK(CONCATENATE("#",CELL("address",IF(SUM($CA248:$CG248)=0,A248,INDEX($CA248:$CG248,MATCH(1,$CA248:$CG248,0))))),SUM($CA248:$CG248))</f>
        <v>0</v>
      </c>
      <c r="B248" s="335"/>
      <c r="C248" s="340" t="s">
        <v>1457</v>
      </c>
      <c r="D248" s="142"/>
      <c r="E248" s="67"/>
      <c r="H248" s="9" t="s">
        <v>157</v>
      </c>
      <c r="S248" s="335"/>
      <c r="T248" s="335"/>
      <c r="U248" s="335"/>
      <c r="V248" s="136"/>
      <c r="W248" s="10">
        <f>0-W246</f>
        <v>0</v>
      </c>
      <c r="X248" s="10">
        <f>0-X246</f>
        <v>0</v>
      </c>
      <c r="Y248" s="10">
        <f>0-Y246</f>
        <v>0</v>
      </c>
      <c r="Z248" s="67"/>
      <c r="AA248" s="10">
        <f t="shared" ref="AA248:BJ248" si="281">0-AA246</f>
        <v>0</v>
      </c>
      <c r="AB248" s="10">
        <f t="shared" si="281"/>
        <v>0</v>
      </c>
      <c r="AC248" s="10">
        <f t="shared" si="281"/>
        <v>0</v>
      </c>
      <c r="AD248" s="10">
        <f t="shared" si="281"/>
        <v>0</v>
      </c>
      <c r="AE248" s="10">
        <f t="shared" si="281"/>
        <v>0</v>
      </c>
      <c r="AF248" s="10">
        <f t="shared" si="281"/>
        <v>0</v>
      </c>
      <c r="AG248" s="10">
        <f t="shared" si="281"/>
        <v>0</v>
      </c>
      <c r="AH248" s="10">
        <f t="shared" si="281"/>
        <v>0</v>
      </c>
      <c r="AI248" s="10">
        <f t="shared" si="281"/>
        <v>0</v>
      </c>
      <c r="AJ248" s="10">
        <f t="shared" si="281"/>
        <v>0</v>
      </c>
      <c r="AK248" s="10">
        <f t="shared" si="281"/>
        <v>0</v>
      </c>
      <c r="AL248" s="10">
        <f t="shared" si="281"/>
        <v>0</v>
      </c>
      <c r="AM248" s="10">
        <f t="shared" si="281"/>
        <v>0</v>
      </c>
      <c r="AN248" s="10">
        <f t="shared" si="281"/>
        <v>0</v>
      </c>
      <c r="AO248" s="10">
        <f t="shared" si="281"/>
        <v>0</v>
      </c>
      <c r="AP248" s="10">
        <f t="shared" si="281"/>
        <v>0</v>
      </c>
      <c r="AQ248" s="10">
        <f t="shared" si="281"/>
        <v>0</v>
      </c>
      <c r="AR248" s="10">
        <f t="shared" si="281"/>
        <v>0</v>
      </c>
      <c r="AS248" s="10">
        <f t="shared" si="281"/>
        <v>0</v>
      </c>
      <c r="AT248" s="10">
        <f t="shared" si="281"/>
        <v>0</v>
      </c>
      <c r="AU248" s="10">
        <f t="shared" si="281"/>
        <v>0</v>
      </c>
      <c r="AV248" s="10">
        <f t="shared" si="281"/>
        <v>0</v>
      </c>
      <c r="AW248" s="10">
        <f t="shared" si="281"/>
        <v>0</v>
      </c>
      <c r="AX248" s="10">
        <f t="shared" si="281"/>
        <v>0</v>
      </c>
      <c r="AY248" s="10">
        <f t="shared" si="281"/>
        <v>0</v>
      </c>
      <c r="AZ248" s="10">
        <f t="shared" si="281"/>
        <v>0</v>
      </c>
      <c r="BA248" s="10">
        <f t="shared" si="281"/>
        <v>0</v>
      </c>
      <c r="BB248" s="10">
        <f t="shared" si="281"/>
        <v>0</v>
      </c>
      <c r="BC248" s="10">
        <f t="shared" si="281"/>
        <v>0</v>
      </c>
      <c r="BD248" s="10">
        <f t="shared" si="281"/>
        <v>0</v>
      </c>
      <c r="BE248" s="10">
        <f t="shared" si="281"/>
        <v>0</v>
      </c>
      <c r="BF248" s="10">
        <f t="shared" si="281"/>
        <v>0</v>
      </c>
      <c r="BG248" s="10">
        <f t="shared" si="281"/>
        <v>0</v>
      </c>
      <c r="BH248" s="10">
        <f t="shared" si="281"/>
        <v>0</v>
      </c>
      <c r="BI248" s="10">
        <f t="shared" si="281"/>
        <v>0</v>
      </c>
      <c r="BJ248" s="10">
        <f t="shared" si="281"/>
        <v>0</v>
      </c>
      <c r="BK248" s="67"/>
      <c r="BL248" s="10">
        <f t="shared" ref="BL248:BW248" si="282">0-BL246</f>
        <v>0</v>
      </c>
      <c r="BM248" s="10">
        <f t="shared" ref="BM248:BO248" si="283">0-BM246</f>
        <v>0</v>
      </c>
      <c r="BN248" s="10">
        <f t="shared" si="283"/>
        <v>0</v>
      </c>
      <c r="BO248" s="10">
        <f t="shared" si="283"/>
        <v>0</v>
      </c>
      <c r="BP248" s="10">
        <f t="shared" si="282"/>
        <v>0</v>
      </c>
      <c r="BQ248" s="10">
        <f t="shared" si="282"/>
        <v>0</v>
      </c>
      <c r="BR248" s="10">
        <f t="shared" si="282"/>
        <v>0</v>
      </c>
      <c r="BS248" s="10">
        <f t="shared" si="282"/>
        <v>0</v>
      </c>
      <c r="BT248" s="10">
        <f t="shared" si="282"/>
        <v>0</v>
      </c>
      <c r="BU248" s="10">
        <f t="shared" si="282"/>
        <v>0</v>
      </c>
      <c r="BV248" s="10">
        <f t="shared" si="282"/>
        <v>0</v>
      </c>
      <c r="BW248" s="10">
        <f t="shared" si="282"/>
        <v>0</v>
      </c>
      <c r="BY248" s="12"/>
      <c r="CA248" s="12"/>
      <c r="CC248" s="7">
        <f>IF(AND(SUM($V248:$BW248)&lt;&gt;0, _xlfn.IFNA(MATCH(D248, $D$257:$D$259, 0), "N/A")="N/A"), 1, 0)</f>
        <v>0</v>
      </c>
      <c r="CF248" s="7">
        <f>IF(SUM(V248:Y248)=SUM(BL248:BO248), 0, 1)</f>
        <v>0</v>
      </c>
      <c r="CG248" s="12"/>
      <c r="CH248" s="11">
        <v>0</v>
      </c>
      <c r="CI248" s="11">
        <v>0</v>
      </c>
      <c r="EX248" s="13" t="str">
        <f>IF($C248="", "",CONCATENATE($C$244, " ", D248))</f>
        <v xml:space="preserve">T-2 </v>
      </c>
    </row>
    <row r="249" spans="1:154" ht="8.1" customHeight="1" x14ac:dyDescent="0.25">
      <c r="B249" s="335"/>
      <c r="C249" s="385"/>
      <c r="S249" s="335"/>
      <c r="T249" s="335"/>
      <c r="U249" s="335"/>
      <c r="X249" s="11"/>
      <c r="Y249" s="11"/>
      <c r="BK249" s="67"/>
      <c r="BM249" s="321"/>
      <c r="BN249" s="321"/>
      <c r="BO249" s="321"/>
      <c r="BY249" s="12"/>
      <c r="CA249" s="12"/>
      <c r="CG249" s="12"/>
      <c r="CH249" s="11">
        <v>0</v>
      </c>
      <c r="CI249" s="11">
        <v>0</v>
      </c>
      <c r="EX249" s="10" t="str">
        <f t="shared" si="259"/>
        <v/>
      </c>
    </row>
    <row r="250" spans="1:154" x14ac:dyDescent="0.25">
      <c r="B250" s="335"/>
      <c r="C250" s="340" t="s">
        <v>1458</v>
      </c>
      <c r="D250" s="27" t="s">
        <v>981</v>
      </c>
      <c r="S250" s="335"/>
      <c r="T250" s="335"/>
      <c r="U250" s="335"/>
      <c r="X250" s="11"/>
      <c r="Y250" s="11"/>
      <c r="BK250" s="67"/>
      <c r="BM250" s="321"/>
      <c r="BN250" s="321"/>
      <c r="BO250" s="321"/>
      <c r="BY250" s="12"/>
      <c r="CA250" s="12"/>
      <c r="CG250" s="12"/>
      <c r="CH250" s="11">
        <v>0</v>
      </c>
      <c r="CI250" s="11">
        <v>0</v>
      </c>
      <c r="EX250" s="10" t="str">
        <f>IF($C250="","",$D250)</f>
        <v>Transfer 3 - Movements between Reserves</v>
      </c>
    </row>
    <row r="251" spans="1:154" x14ac:dyDescent="0.25">
      <c r="B251" s="335"/>
      <c r="C251" s="385"/>
      <c r="D251" s="1" t="s">
        <v>171</v>
      </c>
      <c r="S251" s="335"/>
      <c r="T251" s="335"/>
      <c r="U251" s="335"/>
      <c r="X251" s="11"/>
      <c r="Y251" s="11"/>
      <c r="BK251" s="67"/>
      <c r="BM251" s="321"/>
      <c r="BN251" s="321"/>
      <c r="BO251" s="321"/>
      <c r="BY251" s="12"/>
      <c r="CA251" s="12"/>
      <c r="CG251" s="12"/>
      <c r="CH251" s="11">
        <v>0</v>
      </c>
      <c r="CI251" s="11">
        <v>0</v>
      </c>
      <c r="EX251" s="10" t="str">
        <f t="shared" si="259"/>
        <v/>
      </c>
    </row>
    <row r="252" spans="1:154" ht="15.75" x14ac:dyDescent="0.3">
      <c r="A252" s="362" cm="1">
        <f t="array" aca="1" ref="A252" ca="1">HYPERLINK(CONCATENATE("#",CELL("address",IF(SUM($CA252:$CG252)=0,A252,INDEX($CA252:$CG252,MATCH(1,$CA252:$CG252,0))))),SUM($CA252:$CG252))</f>
        <v>0</v>
      </c>
      <c r="B252" s="105" t="s">
        <v>335</v>
      </c>
      <c r="C252" s="340" t="s">
        <v>1459</v>
      </c>
      <c r="D252" s="142"/>
      <c r="E252" s="335"/>
      <c r="H252" s="9" t="s">
        <v>125</v>
      </c>
      <c r="S252" s="335"/>
      <c r="T252" s="335"/>
      <c r="U252" s="335"/>
      <c r="V252" s="136"/>
      <c r="W252" s="215">
        <f xml:space="preserve"> SUMIFS($AA252:$BJ252, $AA$3:$BJ$3, W$3)</f>
        <v>0</v>
      </c>
      <c r="X252" s="215">
        <f xml:space="preserve"> SUMIFS($AA252:$BJ252, $AA$3:$BJ$3, X$3)</f>
        <v>0</v>
      </c>
      <c r="Y252" s="215">
        <f xml:space="preserve"> SUMIFS($AA252:$BJ252, $AA$3:$BJ$3, Y$3)</f>
        <v>0</v>
      </c>
      <c r="Z252" s="67"/>
      <c r="AA252" s="147"/>
      <c r="AB252" s="147"/>
      <c r="AC252" s="147"/>
      <c r="AD252" s="147"/>
      <c r="AE252" s="147"/>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c r="BI252" s="147"/>
      <c r="BJ252" s="147"/>
      <c r="BK252" s="67"/>
      <c r="BL252" s="10">
        <f>V252</f>
        <v>0</v>
      </c>
      <c r="BM252" s="10">
        <f>W252</f>
        <v>0</v>
      </c>
      <c r="BN252" s="10">
        <f>X252</f>
        <v>0</v>
      </c>
      <c r="BO252" s="10">
        <f>Y252</f>
        <v>0</v>
      </c>
      <c r="BP252" s="141"/>
      <c r="BQ252" s="141"/>
      <c r="BR252" s="141"/>
      <c r="BS252" s="141"/>
      <c r="BT252" s="141"/>
      <c r="BU252" s="141"/>
      <c r="BV252" s="141"/>
      <c r="BW252" s="141"/>
      <c r="BY252" s="12"/>
      <c r="BZ252" s="363">
        <f>IF(MAX($V252:$BW252)&lt;0, 1, 0)</f>
        <v>0</v>
      </c>
      <c r="CA252" s="12"/>
      <c r="CB252" s="7">
        <f>IF(AND(SUM($V252:$BW252)&lt;&gt;0, D252=""), 1, 0)</f>
        <v>0</v>
      </c>
      <c r="CC252" s="7">
        <f>IF(AND(SUM($V252:$BW252)&lt;&gt;0, _xlfn.IFNA(MATCH(D252, $D$257:$D$259, 0), "N/A")="N/A"), 1, 0)</f>
        <v>0</v>
      </c>
      <c r="CF252" s="7">
        <f>IF(SUM(V252:Y252)=SUM(BL252:BO252), 0, 1)</f>
        <v>0</v>
      </c>
      <c r="CG252" s="12"/>
      <c r="CH252" s="11">
        <v>0</v>
      </c>
      <c r="CI252" s="11">
        <v>1</v>
      </c>
      <c r="EX252" s="13" t="str">
        <f>IF($C252="", "",CONCATENATE($C$250, " ", D252))</f>
        <v xml:space="preserve">T-3 </v>
      </c>
    </row>
    <row r="253" spans="1:154" x14ac:dyDescent="0.25">
      <c r="C253" s="385"/>
      <c r="D253" s="177" t="s">
        <v>2560</v>
      </c>
      <c r="H253" s="9"/>
      <c r="S253" s="335"/>
      <c r="T253" s="335"/>
      <c r="U253" s="335"/>
      <c r="X253" s="11"/>
      <c r="Y253" s="11"/>
      <c r="BK253" s="67"/>
      <c r="BM253" s="321"/>
      <c r="BN253" s="321"/>
      <c r="BO253" s="321"/>
      <c r="BY253" s="12"/>
      <c r="CA253" s="12"/>
      <c r="CG253" s="12"/>
      <c r="CH253" s="11">
        <v>0</v>
      </c>
      <c r="CI253" s="11">
        <v>0</v>
      </c>
      <c r="EX253" s="10" t="str">
        <f t="shared" si="259"/>
        <v/>
      </c>
    </row>
    <row r="254" spans="1:154" x14ac:dyDescent="0.25">
      <c r="A254" s="362" cm="1">
        <f t="array" aca="1" ref="A254" ca="1">HYPERLINK(CONCATENATE("#",CELL("address",IF(SUM($CA254:$CG254)=0,A254,INDEX($CA254:$CG254,MATCH(1,$CA254:$CG254,0))))),SUM($CA254:$CG254))</f>
        <v>0</v>
      </c>
      <c r="C254" s="340" t="s">
        <v>1460</v>
      </c>
      <c r="D254" s="142"/>
      <c r="H254" s="9" t="s">
        <v>157</v>
      </c>
      <c r="S254" s="335"/>
      <c r="T254" s="335"/>
      <c r="U254" s="335"/>
      <c r="V254" s="136"/>
      <c r="W254" s="10">
        <f>0-W252</f>
        <v>0</v>
      </c>
      <c r="X254" s="10">
        <f>0-X252</f>
        <v>0</v>
      </c>
      <c r="Y254" s="10">
        <f>0-Y252</f>
        <v>0</v>
      </c>
      <c r="Z254" s="67"/>
      <c r="AA254" s="10">
        <f t="shared" ref="AA254:BJ254" si="284">0-AA252</f>
        <v>0</v>
      </c>
      <c r="AB254" s="10">
        <f t="shared" si="284"/>
        <v>0</v>
      </c>
      <c r="AC254" s="10">
        <f t="shared" si="284"/>
        <v>0</v>
      </c>
      <c r="AD254" s="10">
        <f t="shared" si="284"/>
        <v>0</v>
      </c>
      <c r="AE254" s="10">
        <f t="shared" si="284"/>
        <v>0</v>
      </c>
      <c r="AF254" s="10">
        <f t="shared" si="284"/>
        <v>0</v>
      </c>
      <c r="AG254" s="10">
        <f t="shared" si="284"/>
        <v>0</v>
      </c>
      <c r="AH254" s="10">
        <f t="shared" si="284"/>
        <v>0</v>
      </c>
      <c r="AI254" s="10">
        <f t="shared" si="284"/>
        <v>0</v>
      </c>
      <c r="AJ254" s="10">
        <f t="shared" si="284"/>
        <v>0</v>
      </c>
      <c r="AK254" s="10">
        <f t="shared" si="284"/>
        <v>0</v>
      </c>
      <c r="AL254" s="10">
        <f t="shared" si="284"/>
        <v>0</v>
      </c>
      <c r="AM254" s="10">
        <f t="shared" si="284"/>
        <v>0</v>
      </c>
      <c r="AN254" s="10">
        <f t="shared" si="284"/>
        <v>0</v>
      </c>
      <c r="AO254" s="10">
        <f t="shared" si="284"/>
        <v>0</v>
      </c>
      <c r="AP254" s="10">
        <f t="shared" si="284"/>
        <v>0</v>
      </c>
      <c r="AQ254" s="10">
        <f t="shared" si="284"/>
        <v>0</v>
      </c>
      <c r="AR254" s="10">
        <f t="shared" si="284"/>
        <v>0</v>
      </c>
      <c r="AS254" s="10">
        <f t="shared" si="284"/>
        <v>0</v>
      </c>
      <c r="AT254" s="10">
        <f t="shared" si="284"/>
        <v>0</v>
      </c>
      <c r="AU254" s="10">
        <f t="shared" si="284"/>
        <v>0</v>
      </c>
      <c r="AV254" s="10">
        <f t="shared" si="284"/>
        <v>0</v>
      </c>
      <c r="AW254" s="10">
        <f t="shared" si="284"/>
        <v>0</v>
      </c>
      <c r="AX254" s="10">
        <f t="shared" si="284"/>
        <v>0</v>
      </c>
      <c r="AY254" s="10">
        <f t="shared" si="284"/>
        <v>0</v>
      </c>
      <c r="AZ254" s="10">
        <f t="shared" si="284"/>
        <v>0</v>
      </c>
      <c r="BA254" s="10">
        <f t="shared" si="284"/>
        <v>0</v>
      </c>
      <c r="BB254" s="10">
        <f t="shared" si="284"/>
        <v>0</v>
      </c>
      <c r="BC254" s="10">
        <f t="shared" si="284"/>
        <v>0</v>
      </c>
      <c r="BD254" s="10">
        <f t="shared" si="284"/>
        <v>0</v>
      </c>
      <c r="BE254" s="10">
        <f t="shared" si="284"/>
        <v>0</v>
      </c>
      <c r="BF254" s="10">
        <f t="shared" si="284"/>
        <v>0</v>
      </c>
      <c r="BG254" s="10">
        <f t="shared" si="284"/>
        <v>0</v>
      </c>
      <c r="BH254" s="10">
        <f t="shared" si="284"/>
        <v>0</v>
      </c>
      <c r="BI254" s="10">
        <f t="shared" si="284"/>
        <v>0</v>
      </c>
      <c r="BJ254" s="10">
        <f t="shared" si="284"/>
        <v>0</v>
      </c>
      <c r="BK254" s="67"/>
      <c r="BL254" s="10">
        <f t="shared" ref="BL254:BW254" si="285">0-BL252</f>
        <v>0</v>
      </c>
      <c r="BM254" s="10">
        <f t="shared" ref="BM254:BO254" si="286">0-BM252</f>
        <v>0</v>
      </c>
      <c r="BN254" s="10">
        <f t="shared" si="286"/>
        <v>0</v>
      </c>
      <c r="BO254" s="10">
        <f t="shared" si="286"/>
        <v>0</v>
      </c>
      <c r="BP254" s="10">
        <f t="shared" si="285"/>
        <v>0</v>
      </c>
      <c r="BQ254" s="10">
        <f t="shared" si="285"/>
        <v>0</v>
      </c>
      <c r="BR254" s="10">
        <f t="shared" si="285"/>
        <v>0</v>
      </c>
      <c r="BS254" s="10">
        <f t="shared" si="285"/>
        <v>0</v>
      </c>
      <c r="BT254" s="10">
        <f t="shared" si="285"/>
        <v>0</v>
      </c>
      <c r="BU254" s="10">
        <f t="shared" si="285"/>
        <v>0</v>
      </c>
      <c r="BV254" s="10">
        <f t="shared" si="285"/>
        <v>0</v>
      </c>
      <c r="BW254" s="10">
        <f t="shared" si="285"/>
        <v>0</v>
      </c>
      <c r="BY254" s="12"/>
      <c r="CA254" s="12"/>
      <c r="CC254" s="7">
        <f>IF(AND(SUM($V254:$BW254)&lt;&gt;0, _xlfn.IFNA(MATCH(D254, $D$257:$D$259, 0), "N/A")="N/A"), 1, 0)</f>
        <v>0</v>
      </c>
      <c r="CF254" s="7">
        <f>IF(SUM(V254:Y254)=SUM(BL254:BO254), 0, 1)</f>
        <v>0</v>
      </c>
      <c r="CG254" s="12"/>
      <c r="CH254" s="11">
        <v>0</v>
      </c>
      <c r="CI254" s="11">
        <v>0</v>
      </c>
      <c r="EX254" s="13" t="str">
        <f>IF($C254="", "",CONCATENATE($C$250, " ", D254))</f>
        <v xml:space="preserve">T-3 </v>
      </c>
    </row>
    <row r="255" spans="1:154" ht="8.1" customHeight="1" x14ac:dyDescent="0.25">
      <c r="C255" s="385"/>
      <c r="S255" s="335"/>
      <c r="T255" s="335"/>
      <c r="U255" s="335"/>
      <c r="X255" s="11"/>
      <c r="Y255" s="11"/>
      <c r="BY255" s="12"/>
      <c r="CA255" s="12"/>
      <c r="CG255" s="12"/>
      <c r="CH255" s="11">
        <v>0</v>
      </c>
      <c r="CI255" s="11">
        <v>0</v>
      </c>
      <c r="EX255" s="10" t="str">
        <f t="shared" si="259"/>
        <v/>
      </c>
    </row>
    <row r="256" spans="1:154" s="67" customFormat="1" x14ac:dyDescent="0.25">
      <c r="C256" s="385"/>
      <c r="D256" s="27" t="s">
        <v>404</v>
      </c>
      <c r="S256" s="335"/>
      <c r="T256" s="335"/>
      <c r="U256" s="335"/>
      <c r="BY256" s="12"/>
      <c r="BZ256" s="335"/>
      <c r="CA256" s="12"/>
      <c r="CE256" s="335"/>
      <c r="CF256" s="321"/>
      <c r="CG256" s="12"/>
      <c r="CH256" s="67">
        <v>0</v>
      </c>
      <c r="CI256" s="67">
        <v>0</v>
      </c>
      <c r="EU256" s="335"/>
      <c r="EX256" s="10" t="str">
        <f t="shared" si="259"/>
        <v/>
      </c>
    </row>
    <row r="257" spans="1:154" s="67" customFormat="1" x14ac:dyDescent="0.25">
      <c r="A257" s="362" cm="1">
        <f t="array" aca="1" ref="A257" ca="1">HYPERLINK(CONCATENATE("#",CELL("address",IF(SUM($CA257:$CG257)=0,A257,INDEX($CA257:$CG257,MATCH(1,$CA257:$CG257,0))))),SUM($CA257:$CG257))</f>
        <v>0</v>
      </c>
      <c r="C257" s="385"/>
      <c r="D257" s="67" t="str">
        <f>$D$219</f>
        <v>Revaluation Reserve</v>
      </c>
      <c r="H257" s="67" t="s">
        <v>8</v>
      </c>
      <c r="S257" s="335"/>
      <c r="T257" s="335"/>
      <c r="U257" s="335"/>
      <c r="V257" s="13">
        <f>V222</f>
        <v>1653</v>
      </c>
      <c r="W257" s="10">
        <f>SUMIFS(W$240:W$254, $D$240:$D$254, $D257)</f>
        <v>-51</v>
      </c>
      <c r="X257" s="10">
        <f t="shared" ref="X257:BW259" si="287">SUMIFS(X$240:X$254, $D$240:$D$254, $D257)</f>
        <v>-51</v>
      </c>
      <c r="Y257" s="10">
        <f t="shared" si="287"/>
        <v>-51</v>
      </c>
      <c r="AA257" s="10">
        <f t="shared" si="287"/>
        <v>-5</v>
      </c>
      <c r="AB257" s="10">
        <f t="shared" si="287"/>
        <v>-5</v>
      </c>
      <c r="AC257" s="10">
        <f t="shared" si="287"/>
        <v>-5</v>
      </c>
      <c r="AD257" s="10">
        <f t="shared" si="287"/>
        <v>-4</v>
      </c>
      <c r="AE257" s="10">
        <f t="shared" si="287"/>
        <v>-4</v>
      </c>
      <c r="AF257" s="10">
        <f t="shared" si="287"/>
        <v>-4</v>
      </c>
      <c r="AG257" s="10">
        <f t="shared" si="287"/>
        <v>-4</v>
      </c>
      <c r="AH257" s="10">
        <f t="shared" si="287"/>
        <v>-4</v>
      </c>
      <c r="AI257" s="10">
        <f t="shared" si="287"/>
        <v>-4</v>
      </c>
      <c r="AJ257" s="10">
        <f t="shared" si="287"/>
        <v>-4</v>
      </c>
      <c r="AK257" s="10">
        <f t="shared" si="287"/>
        <v>-4</v>
      </c>
      <c r="AL257" s="10">
        <f t="shared" si="287"/>
        <v>-4</v>
      </c>
      <c r="AM257" s="10">
        <f t="shared" si="287"/>
        <v>-5</v>
      </c>
      <c r="AN257" s="10">
        <f t="shared" si="287"/>
        <v>-5</v>
      </c>
      <c r="AO257" s="10">
        <f t="shared" si="287"/>
        <v>-5</v>
      </c>
      <c r="AP257" s="10">
        <f t="shared" si="287"/>
        <v>-4</v>
      </c>
      <c r="AQ257" s="10">
        <f t="shared" si="287"/>
        <v>-4</v>
      </c>
      <c r="AR257" s="10">
        <f t="shared" si="287"/>
        <v>-4</v>
      </c>
      <c r="AS257" s="10">
        <f t="shared" si="287"/>
        <v>-4</v>
      </c>
      <c r="AT257" s="10">
        <f t="shared" si="287"/>
        <v>-4</v>
      </c>
      <c r="AU257" s="10">
        <f t="shared" si="287"/>
        <v>-4</v>
      </c>
      <c r="AV257" s="10">
        <f t="shared" si="287"/>
        <v>-4</v>
      </c>
      <c r="AW257" s="10">
        <f t="shared" si="287"/>
        <v>-4</v>
      </c>
      <c r="AX257" s="10">
        <f t="shared" si="287"/>
        <v>-4</v>
      </c>
      <c r="AY257" s="10">
        <f t="shared" si="287"/>
        <v>-5</v>
      </c>
      <c r="AZ257" s="10">
        <f t="shared" si="287"/>
        <v>-5</v>
      </c>
      <c r="BA257" s="10">
        <f t="shared" si="287"/>
        <v>-5</v>
      </c>
      <c r="BB257" s="10">
        <f t="shared" si="287"/>
        <v>-4</v>
      </c>
      <c r="BC257" s="10">
        <f t="shared" si="287"/>
        <v>-4</v>
      </c>
      <c r="BD257" s="10">
        <f t="shared" si="287"/>
        <v>-4</v>
      </c>
      <c r="BE257" s="10">
        <f t="shared" si="287"/>
        <v>-4</v>
      </c>
      <c r="BF257" s="10">
        <f t="shared" si="287"/>
        <v>-4</v>
      </c>
      <c r="BG257" s="10">
        <f t="shared" si="287"/>
        <v>-4</v>
      </c>
      <c r="BH257" s="10">
        <f t="shared" si="287"/>
        <v>-4</v>
      </c>
      <c r="BI257" s="10">
        <f t="shared" si="287"/>
        <v>-4</v>
      </c>
      <c r="BJ257" s="10">
        <f t="shared" si="287"/>
        <v>-4</v>
      </c>
      <c r="BL257" s="13">
        <f>BL222</f>
        <v>1653</v>
      </c>
      <c r="BM257" s="10">
        <f t="shared" si="287"/>
        <v>-51</v>
      </c>
      <c r="BN257" s="10">
        <f t="shared" si="287"/>
        <v>-51</v>
      </c>
      <c r="BO257" s="10">
        <f t="shared" si="287"/>
        <v>-51</v>
      </c>
      <c r="BP257" s="10">
        <f t="shared" si="287"/>
        <v>0</v>
      </c>
      <c r="BQ257" s="10">
        <f t="shared" si="287"/>
        <v>0</v>
      </c>
      <c r="BR257" s="10">
        <f t="shared" si="287"/>
        <v>0</v>
      </c>
      <c r="BS257" s="10">
        <f t="shared" si="287"/>
        <v>0</v>
      </c>
      <c r="BT257" s="10">
        <f t="shared" si="287"/>
        <v>0</v>
      </c>
      <c r="BU257" s="10">
        <f t="shared" si="287"/>
        <v>0</v>
      </c>
      <c r="BV257" s="10">
        <f t="shared" si="287"/>
        <v>0</v>
      </c>
      <c r="BW257" s="10">
        <f t="shared" si="287"/>
        <v>0</v>
      </c>
      <c r="BY257" s="12"/>
      <c r="BZ257" s="335"/>
      <c r="CA257" s="12"/>
      <c r="CE257" s="335"/>
      <c r="CF257" s="7">
        <f>IF(SUM(V257:Y257)=SUM(BL257:BO257), 0, 1)</f>
        <v>0</v>
      </c>
      <c r="CG257" s="12"/>
      <c r="CH257" s="67">
        <v>0</v>
      </c>
      <c r="CI257" s="67">
        <v>0</v>
      </c>
      <c r="EU257" s="335"/>
      <c r="EX257" s="10" t="str">
        <f t="shared" si="259"/>
        <v/>
      </c>
    </row>
    <row r="258" spans="1:154" s="67" customFormat="1" x14ac:dyDescent="0.25">
      <c r="A258" s="362" cm="1">
        <f t="array" aca="1" ref="A258" ca="1">HYPERLINK(CONCATENATE("#",CELL("address",IF(SUM($CA258:$CG258)=0,A258,INDEX($CA258:$CG258,MATCH(1,$CA258:$CG258,0))))),SUM($CA258:$CG258))</f>
        <v>0</v>
      </c>
      <c r="C258" s="385"/>
      <c r="D258" s="67" t="str">
        <f>$D$225</f>
        <v>Restricted Reserve</v>
      </c>
      <c r="H258" s="67" t="s">
        <v>8</v>
      </c>
      <c r="S258" s="335"/>
      <c r="T258" s="335"/>
      <c r="U258" s="335"/>
      <c r="V258" s="13">
        <f>V227</f>
        <v>0</v>
      </c>
      <c r="W258" s="10">
        <f t="shared" ref="W258:AH259" si="288">SUMIFS(W$240:W$254, $D$240:$D$254, $D258)</f>
        <v>0</v>
      </c>
      <c r="X258" s="10">
        <f t="shared" si="288"/>
        <v>0</v>
      </c>
      <c r="Y258" s="10">
        <f>SUMIFS(Y$240:Y$254, $D$240:$D$254, $D258)</f>
        <v>0</v>
      </c>
      <c r="AA258" s="10">
        <f t="shared" si="287"/>
        <v>0</v>
      </c>
      <c r="AB258" s="10">
        <f t="shared" si="287"/>
        <v>0</v>
      </c>
      <c r="AC258" s="10">
        <f t="shared" si="287"/>
        <v>0</v>
      </c>
      <c r="AD258" s="10">
        <f t="shared" si="287"/>
        <v>0</v>
      </c>
      <c r="AE258" s="10">
        <f t="shared" si="287"/>
        <v>0</v>
      </c>
      <c r="AF258" s="10">
        <f t="shared" si="287"/>
        <v>0</v>
      </c>
      <c r="AG258" s="10">
        <f t="shared" si="287"/>
        <v>0</v>
      </c>
      <c r="AH258" s="10">
        <f t="shared" si="287"/>
        <v>0</v>
      </c>
      <c r="AI258" s="10">
        <f t="shared" si="287"/>
        <v>0</v>
      </c>
      <c r="AJ258" s="10">
        <f t="shared" si="287"/>
        <v>0</v>
      </c>
      <c r="AK258" s="10">
        <f t="shared" si="287"/>
        <v>0</v>
      </c>
      <c r="AL258" s="10">
        <f t="shared" si="287"/>
        <v>0</v>
      </c>
      <c r="AM258" s="10">
        <f t="shared" si="287"/>
        <v>0</v>
      </c>
      <c r="AN258" s="10">
        <f t="shared" si="287"/>
        <v>0</v>
      </c>
      <c r="AO258" s="10">
        <f t="shared" si="287"/>
        <v>0</v>
      </c>
      <c r="AP258" s="10">
        <f t="shared" si="287"/>
        <v>0</v>
      </c>
      <c r="AQ258" s="10">
        <f t="shared" si="287"/>
        <v>0</v>
      </c>
      <c r="AR258" s="10">
        <f t="shared" si="287"/>
        <v>0</v>
      </c>
      <c r="AS258" s="10">
        <f t="shared" si="287"/>
        <v>0</v>
      </c>
      <c r="AT258" s="10">
        <f t="shared" si="287"/>
        <v>0</v>
      </c>
      <c r="AU258" s="10">
        <f t="shared" si="287"/>
        <v>0</v>
      </c>
      <c r="AV258" s="10">
        <f t="shared" si="287"/>
        <v>0</v>
      </c>
      <c r="AW258" s="10">
        <f t="shared" si="287"/>
        <v>0</v>
      </c>
      <c r="AX258" s="10">
        <f t="shared" si="287"/>
        <v>0</v>
      </c>
      <c r="AY258" s="10">
        <f t="shared" si="287"/>
        <v>0</v>
      </c>
      <c r="AZ258" s="10">
        <f t="shared" si="287"/>
        <v>0</v>
      </c>
      <c r="BA258" s="10">
        <f t="shared" si="287"/>
        <v>0</v>
      </c>
      <c r="BB258" s="10">
        <f t="shared" si="287"/>
        <v>0</v>
      </c>
      <c r="BC258" s="10">
        <f t="shared" si="287"/>
        <v>0</v>
      </c>
      <c r="BD258" s="10">
        <f t="shared" si="287"/>
        <v>0</v>
      </c>
      <c r="BE258" s="10">
        <f t="shared" si="287"/>
        <v>0</v>
      </c>
      <c r="BF258" s="10">
        <f t="shared" si="287"/>
        <v>0</v>
      </c>
      <c r="BG258" s="10">
        <f t="shared" si="287"/>
        <v>0</v>
      </c>
      <c r="BH258" s="10">
        <f t="shared" si="287"/>
        <v>0</v>
      </c>
      <c r="BI258" s="10">
        <f t="shared" si="287"/>
        <v>0</v>
      </c>
      <c r="BJ258" s="10">
        <f t="shared" si="287"/>
        <v>0</v>
      </c>
      <c r="BL258" s="13">
        <f>BL227</f>
        <v>0</v>
      </c>
      <c r="BM258" s="10">
        <f t="shared" si="287"/>
        <v>0</v>
      </c>
      <c r="BN258" s="10">
        <f t="shared" si="287"/>
        <v>0</v>
      </c>
      <c r="BO258" s="10">
        <f t="shared" si="287"/>
        <v>0</v>
      </c>
      <c r="BP258" s="10">
        <f t="shared" si="287"/>
        <v>0</v>
      </c>
      <c r="BQ258" s="10">
        <f t="shared" si="287"/>
        <v>0</v>
      </c>
      <c r="BR258" s="10">
        <f t="shared" si="287"/>
        <v>0</v>
      </c>
      <c r="BS258" s="10">
        <f t="shared" si="287"/>
        <v>0</v>
      </c>
      <c r="BT258" s="10">
        <f t="shared" si="287"/>
        <v>0</v>
      </c>
      <c r="BU258" s="10">
        <f t="shared" si="287"/>
        <v>0</v>
      </c>
      <c r="BV258" s="10">
        <f t="shared" si="287"/>
        <v>0</v>
      </c>
      <c r="BW258" s="10">
        <f t="shared" si="287"/>
        <v>0</v>
      </c>
      <c r="BY258" s="12"/>
      <c r="BZ258" s="335"/>
      <c r="CA258" s="12"/>
      <c r="CE258" s="335"/>
      <c r="CF258" s="7">
        <f>IF(SUM(V258:Y258)=SUM(BL258:BO258), 0, 1)</f>
        <v>0</v>
      </c>
      <c r="CG258" s="12"/>
      <c r="CH258" s="67">
        <v>0</v>
      </c>
      <c r="CI258" s="67">
        <v>0</v>
      </c>
      <c r="EU258" s="335"/>
      <c r="EX258" s="10" t="str">
        <f t="shared" si="259"/>
        <v/>
      </c>
    </row>
    <row r="259" spans="1:154" s="67" customFormat="1" x14ac:dyDescent="0.25">
      <c r="A259" s="362" cm="1">
        <f t="array" aca="1" ref="A259" ca="1">HYPERLINK(CONCATENATE("#",CELL("address",IF(SUM($CA259:$CG259)=0,A259,INDEX($CA259:$CG259,MATCH(1,$CA259:$CG259,0))))),SUM($CA259:$CG259))</f>
        <v>0</v>
      </c>
      <c r="C259" s="385"/>
      <c r="D259" s="67" t="str">
        <f>$D$230</f>
        <v>I&amp;E Reserve</v>
      </c>
      <c r="H259" s="67" t="s">
        <v>8</v>
      </c>
      <c r="S259" s="335"/>
      <c r="T259" s="335"/>
      <c r="U259" s="335"/>
      <c r="V259" s="13">
        <f>V233</f>
        <v>0</v>
      </c>
      <c r="W259" s="10">
        <f t="shared" si="288"/>
        <v>51</v>
      </c>
      <c r="X259" s="10">
        <f t="shared" si="288"/>
        <v>51</v>
      </c>
      <c r="Y259" s="10">
        <f t="shared" si="288"/>
        <v>51</v>
      </c>
      <c r="AA259" s="10">
        <f>SUMIFS(AA$240:AA$254, $D$240:$D$254, $D259)</f>
        <v>5</v>
      </c>
      <c r="AB259" s="10">
        <f t="shared" si="288"/>
        <v>5</v>
      </c>
      <c r="AC259" s="10">
        <f t="shared" si="288"/>
        <v>5</v>
      </c>
      <c r="AD259" s="10">
        <f t="shared" si="288"/>
        <v>4</v>
      </c>
      <c r="AE259" s="10">
        <f t="shared" si="288"/>
        <v>4</v>
      </c>
      <c r="AF259" s="10">
        <f t="shared" si="288"/>
        <v>4</v>
      </c>
      <c r="AG259" s="10">
        <f t="shared" si="288"/>
        <v>4</v>
      </c>
      <c r="AH259" s="10">
        <f t="shared" si="288"/>
        <v>4</v>
      </c>
      <c r="AI259" s="10">
        <f t="shared" si="287"/>
        <v>4</v>
      </c>
      <c r="AJ259" s="10">
        <f t="shared" si="287"/>
        <v>4</v>
      </c>
      <c r="AK259" s="10">
        <f t="shared" si="287"/>
        <v>4</v>
      </c>
      <c r="AL259" s="10">
        <f t="shared" si="287"/>
        <v>4</v>
      </c>
      <c r="AM259" s="10">
        <f t="shared" si="287"/>
        <v>5</v>
      </c>
      <c r="AN259" s="10">
        <f t="shared" si="287"/>
        <v>5</v>
      </c>
      <c r="AO259" s="10">
        <f t="shared" si="287"/>
        <v>5</v>
      </c>
      <c r="AP259" s="10">
        <f t="shared" si="287"/>
        <v>4</v>
      </c>
      <c r="AQ259" s="10">
        <f t="shared" si="287"/>
        <v>4</v>
      </c>
      <c r="AR259" s="10">
        <f t="shared" si="287"/>
        <v>4</v>
      </c>
      <c r="AS259" s="10">
        <f t="shared" si="287"/>
        <v>4</v>
      </c>
      <c r="AT259" s="10">
        <f t="shared" si="287"/>
        <v>4</v>
      </c>
      <c r="AU259" s="10">
        <f t="shared" si="287"/>
        <v>4</v>
      </c>
      <c r="AV259" s="10">
        <f t="shared" si="287"/>
        <v>4</v>
      </c>
      <c r="AW259" s="10">
        <f t="shared" si="287"/>
        <v>4</v>
      </c>
      <c r="AX259" s="10">
        <f t="shared" si="287"/>
        <v>4</v>
      </c>
      <c r="AY259" s="10">
        <f t="shared" si="287"/>
        <v>5</v>
      </c>
      <c r="AZ259" s="10">
        <f t="shared" si="287"/>
        <v>5</v>
      </c>
      <c r="BA259" s="10">
        <f t="shared" si="287"/>
        <v>5</v>
      </c>
      <c r="BB259" s="10">
        <f t="shared" si="287"/>
        <v>4</v>
      </c>
      <c r="BC259" s="10">
        <f t="shared" si="287"/>
        <v>4</v>
      </c>
      <c r="BD259" s="10">
        <f t="shared" si="287"/>
        <v>4</v>
      </c>
      <c r="BE259" s="10">
        <f t="shared" si="287"/>
        <v>4</v>
      </c>
      <c r="BF259" s="10">
        <f t="shared" si="287"/>
        <v>4</v>
      </c>
      <c r="BG259" s="10">
        <f t="shared" si="287"/>
        <v>4</v>
      </c>
      <c r="BH259" s="10">
        <f t="shared" si="287"/>
        <v>4</v>
      </c>
      <c r="BI259" s="10">
        <f t="shared" si="287"/>
        <v>4</v>
      </c>
      <c r="BJ259" s="10">
        <f t="shared" si="287"/>
        <v>4</v>
      </c>
      <c r="BL259" s="13">
        <f>BL233</f>
        <v>0</v>
      </c>
      <c r="BM259" s="10">
        <f t="shared" si="287"/>
        <v>51</v>
      </c>
      <c r="BN259" s="10">
        <f t="shared" si="287"/>
        <v>51</v>
      </c>
      <c r="BO259" s="10">
        <f t="shared" si="287"/>
        <v>51</v>
      </c>
      <c r="BP259" s="10">
        <f t="shared" si="287"/>
        <v>0</v>
      </c>
      <c r="BQ259" s="10">
        <f t="shared" si="287"/>
        <v>0</v>
      </c>
      <c r="BR259" s="10">
        <f t="shared" si="287"/>
        <v>0</v>
      </c>
      <c r="BS259" s="10">
        <f t="shared" si="287"/>
        <v>0</v>
      </c>
      <c r="BT259" s="10">
        <f t="shared" si="287"/>
        <v>0</v>
      </c>
      <c r="BU259" s="10">
        <f t="shared" si="287"/>
        <v>0</v>
      </c>
      <c r="BV259" s="10">
        <f t="shared" si="287"/>
        <v>0</v>
      </c>
      <c r="BW259" s="10">
        <f t="shared" si="287"/>
        <v>0</v>
      </c>
      <c r="BY259" s="12"/>
      <c r="BZ259" s="335"/>
      <c r="CA259" s="12"/>
      <c r="CE259" s="335"/>
      <c r="CF259" s="7">
        <f>IF(SUM(V259:Y259)=SUM(BL259:BO259), 0, 1)</f>
        <v>0</v>
      </c>
      <c r="CG259" s="12"/>
      <c r="CH259" s="67">
        <v>0</v>
      </c>
      <c r="CI259" s="67">
        <v>0</v>
      </c>
      <c r="EU259" s="335"/>
      <c r="EX259" s="10" t="str">
        <f t="shared" si="259"/>
        <v/>
      </c>
    </row>
    <row r="260" spans="1:154" s="326" customFormat="1" x14ac:dyDescent="0.25">
      <c r="C260" s="385"/>
      <c r="D260" s="1"/>
      <c r="S260" s="335"/>
      <c r="T260" s="335"/>
      <c r="U260" s="335"/>
      <c r="BY260" s="42"/>
      <c r="BZ260" s="335"/>
      <c r="CA260" s="42"/>
      <c r="CE260" s="335"/>
      <c r="CG260" s="42"/>
      <c r="EU260" s="335"/>
      <c r="EX260" s="10" t="str">
        <f t="shared" si="259"/>
        <v/>
      </c>
    </row>
    <row r="261" spans="1:154" s="5" customFormat="1" x14ac:dyDescent="0.25">
      <c r="A261" s="328"/>
      <c r="C261" s="406"/>
      <c r="D261" s="74" t="s">
        <v>2321</v>
      </c>
      <c r="E261" s="48" t="s">
        <v>1746</v>
      </c>
      <c r="R261" s="328"/>
      <c r="S261" s="335"/>
      <c r="T261" s="335"/>
      <c r="U261" s="335"/>
      <c r="V261" s="13">
        <f>1*(SUMIFS(V25:V259,$CH$25:$CH$259, 1)&lt;&gt;0)</f>
        <v>0</v>
      </c>
      <c r="W261" s="136"/>
      <c r="X261" s="136"/>
      <c r="Y261" s="136"/>
      <c r="Z261" s="335"/>
      <c r="AA261" s="136"/>
      <c r="AB261" s="136"/>
      <c r="AC261" s="136"/>
      <c r="AD261" s="136"/>
      <c r="AE261" s="136"/>
      <c r="AF261" s="136"/>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335"/>
      <c r="BL261" s="136"/>
      <c r="BM261" s="136"/>
      <c r="BN261" s="136"/>
      <c r="BO261" s="136"/>
      <c r="BP261" s="13">
        <f t="shared" ref="BP261:BW261" si="289">1*(SUMIFS(BP25:BP259, $CI$25:$CI$259, 1)&lt;&gt;0)</f>
        <v>1</v>
      </c>
      <c r="BQ261" s="13">
        <f t="shared" si="289"/>
        <v>1</v>
      </c>
      <c r="BR261" s="13">
        <f t="shared" si="289"/>
        <v>1</v>
      </c>
      <c r="BS261" s="13">
        <f t="shared" si="289"/>
        <v>1</v>
      </c>
      <c r="BT261" s="13">
        <f t="shared" si="289"/>
        <v>1</v>
      </c>
      <c r="BU261" s="13">
        <f t="shared" si="289"/>
        <v>1</v>
      </c>
      <c r="BV261" s="13">
        <f t="shared" si="289"/>
        <v>1</v>
      </c>
      <c r="BW261" s="13">
        <f t="shared" si="289"/>
        <v>1</v>
      </c>
      <c r="BY261" s="12"/>
      <c r="BZ261" s="335"/>
      <c r="CA261" s="12"/>
      <c r="CB261" s="328"/>
      <c r="CC261" s="328"/>
      <c r="CD261" s="328"/>
      <c r="CE261" s="335"/>
      <c r="CG261" s="42"/>
      <c r="EX261" s="10" t="str">
        <f t="shared" si="259"/>
        <v/>
      </c>
    </row>
    <row r="262" spans="1:154" s="326" customFormat="1" ht="15.75" x14ac:dyDescent="0.3">
      <c r="B262" s="479" t="s">
        <v>335</v>
      </c>
      <c r="C262" s="385"/>
      <c r="D262" s="74" t="s">
        <v>937</v>
      </c>
      <c r="E262" s="45">
        <v>1</v>
      </c>
      <c r="F262" s="5"/>
      <c r="G262" s="5"/>
      <c r="H262" s="5"/>
      <c r="I262" s="5"/>
      <c r="J262" s="5"/>
      <c r="K262" s="5"/>
      <c r="L262" s="5"/>
      <c r="M262" s="5"/>
      <c r="N262" s="5"/>
      <c r="O262" s="5"/>
      <c r="P262" s="5"/>
      <c r="Q262" s="5"/>
      <c r="R262" s="5"/>
      <c r="S262" s="335"/>
      <c r="T262" s="335"/>
      <c r="U262" s="335"/>
      <c r="V262" s="13">
        <f>IF(V261=0, 0, 1)</f>
        <v>0</v>
      </c>
      <c r="W262" s="45">
        <f>$E262</f>
        <v>1</v>
      </c>
      <c r="X262" s="45">
        <f t="shared" ref="X262:BJ262" si="290">$E262</f>
        <v>1</v>
      </c>
      <c r="Y262" s="45">
        <f t="shared" si="290"/>
        <v>1</v>
      </c>
      <c r="Z262" s="335"/>
      <c r="AA262" s="45">
        <f t="shared" si="290"/>
        <v>1</v>
      </c>
      <c r="AB262" s="45">
        <f t="shared" si="290"/>
        <v>1</v>
      </c>
      <c r="AC262" s="45">
        <f>$E262</f>
        <v>1</v>
      </c>
      <c r="AD262" s="45">
        <f t="shared" si="290"/>
        <v>1</v>
      </c>
      <c r="AE262" s="45">
        <f t="shared" si="290"/>
        <v>1</v>
      </c>
      <c r="AF262" s="45">
        <f t="shared" si="290"/>
        <v>1</v>
      </c>
      <c r="AG262" s="45">
        <f t="shared" si="290"/>
        <v>1</v>
      </c>
      <c r="AH262" s="45">
        <f t="shared" si="290"/>
        <v>1</v>
      </c>
      <c r="AI262" s="45">
        <f t="shared" si="290"/>
        <v>1</v>
      </c>
      <c r="AJ262" s="45">
        <f t="shared" si="290"/>
        <v>1</v>
      </c>
      <c r="AK262" s="45">
        <f t="shared" si="290"/>
        <v>1</v>
      </c>
      <c r="AL262" s="45">
        <f t="shared" si="290"/>
        <v>1</v>
      </c>
      <c r="AM262" s="45">
        <f t="shared" si="290"/>
        <v>1</v>
      </c>
      <c r="AN262" s="45">
        <f t="shared" si="290"/>
        <v>1</v>
      </c>
      <c r="AO262" s="45">
        <f t="shared" si="290"/>
        <v>1</v>
      </c>
      <c r="AP262" s="45">
        <f t="shared" si="290"/>
        <v>1</v>
      </c>
      <c r="AQ262" s="45">
        <f t="shared" si="290"/>
        <v>1</v>
      </c>
      <c r="AR262" s="45">
        <f t="shared" si="290"/>
        <v>1</v>
      </c>
      <c r="AS262" s="45">
        <f t="shared" si="290"/>
        <v>1</v>
      </c>
      <c r="AT262" s="45">
        <f t="shared" si="290"/>
        <v>1</v>
      </c>
      <c r="AU262" s="45">
        <f t="shared" si="290"/>
        <v>1</v>
      </c>
      <c r="AV262" s="45">
        <f t="shared" si="290"/>
        <v>1</v>
      </c>
      <c r="AW262" s="45">
        <f t="shared" si="290"/>
        <v>1</v>
      </c>
      <c r="AX262" s="45">
        <f t="shared" si="290"/>
        <v>1</v>
      </c>
      <c r="AY262" s="45">
        <f t="shared" si="290"/>
        <v>1</v>
      </c>
      <c r="AZ262" s="45">
        <f t="shared" si="290"/>
        <v>1</v>
      </c>
      <c r="BA262" s="45">
        <f t="shared" si="290"/>
        <v>1</v>
      </c>
      <c r="BB262" s="45">
        <f t="shared" si="290"/>
        <v>1</v>
      </c>
      <c r="BC262" s="45">
        <f t="shared" si="290"/>
        <v>1</v>
      </c>
      <c r="BD262" s="45">
        <f t="shared" si="290"/>
        <v>1</v>
      </c>
      <c r="BE262" s="45">
        <f t="shared" si="290"/>
        <v>1</v>
      </c>
      <c r="BF262" s="45">
        <f t="shared" si="290"/>
        <v>1</v>
      </c>
      <c r="BG262" s="45">
        <f t="shared" si="290"/>
        <v>1</v>
      </c>
      <c r="BH262" s="45">
        <f t="shared" si="290"/>
        <v>1</v>
      </c>
      <c r="BI262" s="45">
        <f t="shared" si="290"/>
        <v>1</v>
      </c>
      <c r="BJ262" s="45">
        <f t="shared" si="290"/>
        <v>1</v>
      </c>
      <c r="BL262" s="10">
        <f>V262</f>
        <v>0</v>
      </c>
      <c r="BM262" s="10">
        <f>W262</f>
        <v>1</v>
      </c>
      <c r="BN262" s="10">
        <f>X262</f>
        <v>1</v>
      </c>
      <c r="BO262" s="10">
        <f>Y262</f>
        <v>1</v>
      </c>
      <c r="BP262" s="13">
        <f>IF(SUM($BP261:$BW261)=0, 0, 1)</f>
        <v>1</v>
      </c>
      <c r="BQ262" s="13">
        <f t="shared" ref="BQ262:BV262" si="291">IF(SUM($BP261:$BW261)=0, 0, 1)</f>
        <v>1</v>
      </c>
      <c r="BR262" s="13">
        <f t="shared" si="291"/>
        <v>1</v>
      </c>
      <c r="BS262" s="13">
        <f t="shared" si="291"/>
        <v>1</v>
      </c>
      <c r="BT262" s="13">
        <f t="shared" si="291"/>
        <v>1</v>
      </c>
      <c r="BU262" s="13">
        <f t="shared" si="291"/>
        <v>1</v>
      </c>
      <c r="BV262" s="13">
        <f t="shared" si="291"/>
        <v>1</v>
      </c>
      <c r="BW262" s="13">
        <f>IF(SUM($BP261:$BW261)=0, 0, 1)</f>
        <v>1</v>
      </c>
      <c r="BY262" s="12"/>
      <c r="BZ262" s="335"/>
      <c r="CA262" s="12"/>
      <c r="CE262" s="335"/>
      <c r="CG262" s="12"/>
      <c r="EU262" s="335"/>
      <c r="EX262" s="10" t="str">
        <f t="shared" si="259"/>
        <v/>
      </c>
    </row>
    <row r="263" spans="1:154" s="67" customFormat="1" ht="8.1" customHeight="1" x14ac:dyDescent="0.25">
      <c r="C263" s="385"/>
      <c r="D263" s="1"/>
      <c r="S263" s="335"/>
      <c r="BY263" s="12"/>
      <c r="BZ263" s="335"/>
      <c r="CA263" s="12"/>
      <c r="CE263" s="335"/>
      <c r="CF263" s="321"/>
      <c r="CG263" s="12"/>
      <c r="EU263" s="335"/>
      <c r="EX263" s="10" t="str">
        <f t="shared" si="259"/>
        <v/>
      </c>
    </row>
    <row r="264" spans="1:154" x14ac:dyDescent="0.25">
      <c r="A264" s="12" t="s">
        <v>88</v>
      </c>
      <c r="B264" s="12" t="s">
        <v>88</v>
      </c>
      <c r="C264" s="42" t="s">
        <v>88</v>
      </c>
      <c r="D264" s="28" t="s">
        <v>88</v>
      </c>
      <c r="E264" s="12" t="s">
        <v>88</v>
      </c>
      <c r="F264" s="12" t="s">
        <v>88</v>
      </c>
      <c r="G264" s="12" t="s">
        <v>88</v>
      </c>
      <c r="H264" s="12" t="s">
        <v>88</v>
      </c>
      <c r="I264" s="12" t="s">
        <v>88</v>
      </c>
      <c r="J264" s="12" t="s">
        <v>88</v>
      </c>
      <c r="K264" s="12" t="s">
        <v>88</v>
      </c>
      <c r="L264" s="12" t="s">
        <v>88</v>
      </c>
      <c r="M264" s="12" t="s">
        <v>88</v>
      </c>
      <c r="N264" s="12" t="s">
        <v>88</v>
      </c>
      <c r="O264" s="12" t="s">
        <v>88</v>
      </c>
      <c r="P264" s="12" t="s">
        <v>88</v>
      </c>
      <c r="Q264" s="12" t="s">
        <v>88</v>
      </c>
      <c r="R264" s="12" t="s">
        <v>88</v>
      </c>
      <c r="S264" s="12"/>
      <c r="T264" s="12" t="s">
        <v>88</v>
      </c>
      <c r="U264" s="12" t="s">
        <v>88</v>
      </c>
      <c r="V264" s="12" t="s">
        <v>88</v>
      </c>
      <c r="W264" s="12" t="s">
        <v>88</v>
      </c>
      <c r="X264" s="12"/>
      <c r="Y264" s="12"/>
      <c r="Z264" s="12" t="s">
        <v>88</v>
      </c>
      <c r="AA264" s="12" t="s">
        <v>88</v>
      </c>
      <c r="AB264" s="12" t="s">
        <v>88</v>
      </c>
      <c r="AC264" s="12" t="s">
        <v>88</v>
      </c>
      <c r="AD264" s="12" t="s">
        <v>88</v>
      </c>
      <c r="AE264" s="12" t="s">
        <v>88</v>
      </c>
      <c r="AF264" s="12" t="s">
        <v>88</v>
      </c>
      <c r="AG264" s="12" t="s">
        <v>88</v>
      </c>
      <c r="AH264" s="12" t="s">
        <v>88</v>
      </c>
      <c r="AI264" s="12" t="s">
        <v>88</v>
      </c>
      <c r="AJ264" s="12" t="s">
        <v>88</v>
      </c>
      <c r="AK264" s="12" t="s">
        <v>88</v>
      </c>
      <c r="AL264" s="12" t="s">
        <v>88</v>
      </c>
      <c r="AM264" s="12" t="s">
        <v>88</v>
      </c>
      <c r="AN264" s="12" t="s">
        <v>88</v>
      </c>
      <c r="AO264" s="12" t="s">
        <v>88</v>
      </c>
      <c r="AP264" s="12" t="s">
        <v>88</v>
      </c>
      <c r="AQ264" s="12" t="s">
        <v>88</v>
      </c>
      <c r="AR264" s="12" t="s">
        <v>88</v>
      </c>
      <c r="AS264" s="12" t="s">
        <v>88</v>
      </c>
      <c r="AT264" s="12" t="s">
        <v>88</v>
      </c>
      <c r="AU264" s="12" t="s">
        <v>88</v>
      </c>
      <c r="AV264" s="12" t="s">
        <v>88</v>
      </c>
      <c r="AW264" s="12" t="s">
        <v>88</v>
      </c>
      <c r="AX264" s="12" t="s">
        <v>88</v>
      </c>
      <c r="AY264" s="12" t="s">
        <v>88</v>
      </c>
      <c r="AZ264" s="12" t="s">
        <v>88</v>
      </c>
      <c r="BA264" s="12" t="s">
        <v>88</v>
      </c>
      <c r="BB264" s="12" t="s">
        <v>88</v>
      </c>
      <c r="BC264" s="12" t="s">
        <v>88</v>
      </c>
      <c r="BD264" s="12" t="s">
        <v>88</v>
      </c>
      <c r="BE264" s="12" t="s">
        <v>88</v>
      </c>
      <c r="BF264" s="12" t="s">
        <v>88</v>
      </c>
      <c r="BG264" s="12" t="s">
        <v>88</v>
      </c>
      <c r="BH264" s="12" t="s">
        <v>88</v>
      </c>
      <c r="BI264" s="12" t="s">
        <v>88</v>
      </c>
      <c r="BJ264" s="12" t="s">
        <v>88</v>
      </c>
      <c r="BK264" s="12" t="s">
        <v>88</v>
      </c>
      <c r="BL264" s="12" t="s">
        <v>88</v>
      </c>
      <c r="BM264" s="12" t="s">
        <v>88</v>
      </c>
      <c r="BN264" s="12" t="s">
        <v>88</v>
      </c>
      <c r="BO264" s="12" t="s">
        <v>88</v>
      </c>
      <c r="BP264" s="12" t="s">
        <v>88</v>
      </c>
      <c r="BQ264" s="12" t="s">
        <v>88</v>
      </c>
      <c r="BR264" s="12" t="s">
        <v>88</v>
      </c>
      <c r="BS264" s="12" t="s">
        <v>88</v>
      </c>
      <c r="BT264" s="12" t="s">
        <v>88</v>
      </c>
      <c r="BU264" s="12" t="s">
        <v>88</v>
      </c>
      <c r="BV264" s="12" t="s">
        <v>88</v>
      </c>
      <c r="BW264" s="12" t="s">
        <v>88</v>
      </c>
      <c r="BX264" s="12" t="s">
        <v>88</v>
      </c>
      <c r="BY264" s="12" t="s">
        <v>88</v>
      </c>
      <c r="BZ264" s="12" t="s">
        <v>88</v>
      </c>
      <c r="CA264" s="12" t="s">
        <v>88</v>
      </c>
      <c r="CB264" s="12" t="s">
        <v>88</v>
      </c>
      <c r="CC264" s="12" t="s">
        <v>88</v>
      </c>
      <c r="CD264" s="12" t="s">
        <v>88</v>
      </c>
      <c r="CE264" s="12"/>
      <c r="CF264" s="12"/>
      <c r="CG264" s="12" t="s">
        <v>88</v>
      </c>
      <c r="EX264" s="10" t="str">
        <f t="shared" si="259"/>
        <v>*</v>
      </c>
    </row>
  </sheetData>
  <sheetProtection algorithmName="SHA-512" hashValue="rDiDuLlt8LmT1HnebdF9qnXWyfgkw1e5OeuMf0ly92v5yUlnwqv/B6TxGBTcAOw73wCv97o6dXrpmdp5aDF5KQ==" saltValue="n9oQDH+OP99+UxoW1/Azlw==" spinCount="100000" sheet="1" objects="1" scenarios="1"/>
  <mergeCells count="11">
    <mergeCell ref="BY1:BY6"/>
    <mergeCell ref="CD3:CD6"/>
    <mergeCell ref="CB3:CB6"/>
    <mergeCell ref="CC3:CC6"/>
    <mergeCell ref="CA1:CA6"/>
    <mergeCell ref="CE3:CE6"/>
    <mergeCell ref="CH2:CH6"/>
    <mergeCell ref="CI2:CI6"/>
    <mergeCell ref="CJ2:CJ6"/>
    <mergeCell ref="CG1:CG6"/>
    <mergeCell ref="CF3:CF6"/>
  </mergeCells>
  <phoneticPr fontId="9" type="noConversion"/>
  <conditionalFormatting sqref="CF106:CF109 CF111 CF222:CF223 CF215 CF217 CF227:CF228 CB246">
    <cfRule type="cellIs" dxfId="555" priority="729" operator="equal">
      <formula>0</formula>
    </cfRule>
    <cfRule type="cellIs" dxfId="554" priority="730" operator="equal">
      <formula>1</formula>
    </cfRule>
  </conditionalFormatting>
  <conditionalFormatting sqref="W20:Y20 BL20:BW20 AA20:BJ20">
    <cfRule type="cellIs" dxfId="553" priority="541" operator="equal">
      <formula>0</formula>
    </cfRule>
    <cfRule type="cellIs" dxfId="552" priority="542" operator="equal">
      <formula>1</formula>
    </cfRule>
  </conditionalFormatting>
  <conditionalFormatting sqref="CD20">
    <cfRule type="cellIs" dxfId="551" priority="489" operator="equal">
      <formula>0</formula>
    </cfRule>
    <cfRule type="cellIs" dxfId="550" priority="490" operator="equal">
      <formula>1</formula>
    </cfRule>
  </conditionalFormatting>
  <conditionalFormatting sqref="CB252">
    <cfRule type="cellIs" dxfId="549" priority="481" operator="equal">
      <formula>0</formula>
    </cfRule>
    <cfRule type="cellIs" dxfId="548" priority="482" operator="equal">
      <formula>1</formula>
    </cfRule>
  </conditionalFormatting>
  <conditionalFormatting sqref="CC246 CC248">
    <cfRule type="cellIs" dxfId="547" priority="475" operator="equal">
      <formula>0</formula>
    </cfRule>
    <cfRule type="cellIs" dxfId="546" priority="476" operator="equal">
      <formula>1</formula>
    </cfRule>
  </conditionalFormatting>
  <conditionalFormatting sqref="CC252 CC254">
    <cfRule type="cellIs" dxfId="545" priority="471" operator="equal">
      <formula>0</formula>
    </cfRule>
    <cfRule type="cellIs" dxfId="544" priority="472" operator="equal">
      <formula>1</formula>
    </cfRule>
  </conditionalFormatting>
  <conditionalFormatting sqref="BL20:BW20 AA20:BJ20 V20:Y20">
    <cfRule type="cellIs" dxfId="543" priority="411" operator="equal">
      <formula>0</formula>
    </cfRule>
    <cfRule type="cellIs" dxfId="542" priority="412" operator="greaterThan">
      <formula>0</formula>
    </cfRule>
  </conditionalFormatting>
  <conditionalFormatting sqref="BL18:BW18 AA18:BJ18 V18:Y18">
    <cfRule type="cellIs" dxfId="541" priority="403" operator="equal">
      <formula>0</formula>
    </cfRule>
    <cfRule type="cellIs" dxfId="540" priority="404" operator="greaterThan">
      <formula>0</formula>
    </cfRule>
  </conditionalFormatting>
  <conditionalFormatting sqref="CF12 CF14 CF16">
    <cfRule type="cellIs" dxfId="539" priority="387" operator="equal">
      <formula>0</formula>
    </cfRule>
    <cfRule type="cellIs" dxfId="538" priority="388" operator="equal">
      <formula>1</formula>
    </cfRule>
  </conditionalFormatting>
  <conditionalFormatting sqref="CF25">
    <cfRule type="cellIs" dxfId="537" priority="383" operator="equal">
      <formula>0</formula>
    </cfRule>
    <cfRule type="cellIs" dxfId="536" priority="384" operator="equal">
      <formula>1</formula>
    </cfRule>
  </conditionalFormatting>
  <conditionalFormatting sqref="CF28">
    <cfRule type="cellIs" dxfId="535" priority="381" operator="equal">
      <formula>0</formula>
    </cfRule>
    <cfRule type="cellIs" dxfId="534" priority="382" operator="equal">
      <formula>1</formula>
    </cfRule>
  </conditionalFormatting>
  <conditionalFormatting sqref="CF37">
    <cfRule type="cellIs" dxfId="533" priority="379" operator="equal">
      <formula>0</formula>
    </cfRule>
    <cfRule type="cellIs" dxfId="532" priority="380" operator="equal">
      <formula>1</formula>
    </cfRule>
  </conditionalFormatting>
  <conditionalFormatting sqref="CF41">
    <cfRule type="cellIs" dxfId="531" priority="377" operator="equal">
      <formula>0</formula>
    </cfRule>
    <cfRule type="cellIs" dxfId="530" priority="378" operator="equal">
      <formula>1</formula>
    </cfRule>
  </conditionalFormatting>
  <conditionalFormatting sqref="CF31">
    <cfRule type="cellIs" dxfId="529" priority="375" operator="equal">
      <formula>0</formula>
    </cfRule>
    <cfRule type="cellIs" dxfId="528" priority="376" operator="equal">
      <formula>1</formula>
    </cfRule>
  </conditionalFormatting>
  <conditionalFormatting sqref="CF34">
    <cfRule type="cellIs" dxfId="527" priority="373" operator="equal">
      <formula>0</formula>
    </cfRule>
    <cfRule type="cellIs" dxfId="526" priority="374" operator="equal">
      <formula>1</formula>
    </cfRule>
  </conditionalFormatting>
  <conditionalFormatting sqref="CF52">
    <cfRule type="cellIs" dxfId="525" priority="371" operator="equal">
      <formula>0</formula>
    </cfRule>
    <cfRule type="cellIs" dxfId="524" priority="372" operator="equal">
      <formula>1</formula>
    </cfRule>
  </conditionalFormatting>
  <conditionalFormatting sqref="CF55:CF56">
    <cfRule type="cellIs" dxfId="523" priority="367" operator="equal">
      <formula>0</formula>
    </cfRule>
    <cfRule type="cellIs" dxfId="522" priority="368" operator="equal">
      <formula>1</formula>
    </cfRule>
  </conditionalFormatting>
  <conditionalFormatting sqref="CF59">
    <cfRule type="cellIs" dxfId="521" priority="363" operator="equal">
      <formula>0</formula>
    </cfRule>
    <cfRule type="cellIs" dxfId="520" priority="364" operator="equal">
      <formula>1</formula>
    </cfRule>
  </conditionalFormatting>
  <conditionalFormatting sqref="CF60">
    <cfRule type="cellIs" dxfId="519" priority="361" operator="equal">
      <formula>0</formula>
    </cfRule>
    <cfRule type="cellIs" dxfId="518" priority="362" operator="equal">
      <formula>1</formula>
    </cfRule>
  </conditionalFormatting>
  <conditionalFormatting sqref="CF63">
    <cfRule type="cellIs" dxfId="517" priority="359" operator="equal">
      <formula>0</formula>
    </cfRule>
    <cfRule type="cellIs" dxfId="516" priority="360" operator="equal">
      <formula>1</formula>
    </cfRule>
  </conditionalFormatting>
  <conditionalFormatting sqref="CF64 CF67:CF70">
    <cfRule type="cellIs" dxfId="515" priority="357" operator="equal">
      <formula>0</formula>
    </cfRule>
    <cfRule type="cellIs" dxfId="514" priority="358" operator="equal">
      <formula>1</formula>
    </cfRule>
  </conditionalFormatting>
  <conditionalFormatting sqref="CF73">
    <cfRule type="cellIs" dxfId="513" priority="355" operator="equal">
      <formula>0</formula>
    </cfRule>
    <cfRule type="cellIs" dxfId="512" priority="356" operator="equal">
      <formula>1</formula>
    </cfRule>
  </conditionalFormatting>
  <conditionalFormatting sqref="CF76 CF79">
    <cfRule type="cellIs" dxfId="511" priority="353" operator="equal">
      <formula>0</formula>
    </cfRule>
    <cfRule type="cellIs" dxfId="510" priority="354" operator="equal">
      <formula>1</formula>
    </cfRule>
  </conditionalFormatting>
  <conditionalFormatting sqref="CF83">
    <cfRule type="cellIs" dxfId="509" priority="351" operator="equal">
      <formula>0</formula>
    </cfRule>
    <cfRule type="cellIs" dxfId="508" priority="352" operator="equal">
      <formula>1</formula>
    </cfRule>
  </conditionalFormatting>
  <conditionalFormatting sqref="CF86">
    <cfRule type="cellIs" dxfId="507" priority="349" operator="equal">
      <formula>0</formula>
    </cfRule>
    <cfRule type="cellIs" dxfId="506" priority="350" operator="equal">
      <formula>1</formula>
    </cfRule>
  </conditionalFormatting>
  <conditionalFormatting sqref="CF91">
    <cfRule type="cellIs" dxfId="505" priority="339" operator="equal">
      <formula>0</formula>
    </cfRule>
    <cfRule type="cellIs" dxfId="504" priority="340" operator="equal">
      <formula>1</formula>
    </cfRule>
  </conditionalFormatting>
  <conditionalFormatting sqref="CF94">
    <cfRule type="cellIs" dxfId="503" priority="335" operator="equal">
      <formula>0</formula>
    </cfRule>
    <cfRule type="cellIs" dxfId="502" priority="336" operator="equal">
      <formula>1</formula>
    </cfRule>
  </conditionalFormatting>
  <conditionalFormatting sqref="CF96:CF97">
    <cfRule type="cellIs" dxfId="501" priority="333" operator="equal">
      <formula>0</formula>
    </cfRule>
    <cfRule type="cellIs" dxfId="500" priority="334" operator="equal">
      <formula>1</formula>
    </cfRule>
  </conditionalFormatting>
  <conditionalFormatting sqref="CF100">
    <cfRule type="cellIs" dxfId="499" priority="331" operator="equal">
      <formula>0</formula>
    </cfRule>
    <cfRule type="cellIs" dxfId="498" priority="332" operator="equal">
      <formula>1</formula>
    </cfRule>
  </conditionalFormatting>
  <conditionalFormatting sqref="CF102:CF103">
    <cfRule type="cellIs" dxfId="497" priority="329" operator="equal">
      <formula>0</formula>
    </cfRule>
    <cfRule type="cellIs" dxfId="496" priority="330" operator="equal">
      <formula>1</formula>
    </cfRule>
  </conditionalFormatting>
  <conditionalFormatting sqref="CF113:CF114">
    <cfRule type="cellIs" dxfId="495" priority="323" operator="equal">
      <formula>0</formula>
    </cfRule>
    <cfRule type="cellIs" dxfId="494" priority="324" operator="equal">
      <formula>1</formula>
    </cfRule>
  </conditionalFormatting>
  <conditionalFormatting sqref="CF142">
    <cfRule type="cellIs" dxfId="493" priority="321" operator="equal">
      <formula>0</formula>
    </cfRule>
    <cfRule type="cellIs" dxfId="492" priority="322" operator="equal">
      <formula>1</formula>
    </cfRule>
  </conditionalFormatting>
  <conditionalFormatting sqref="CF145:CF151">
    <cfRule type="cellIs" dxfId="491" priority="319" operator="equal">
      <formula>0</formula>
    </cfRule>
    <cfRule type="cellIs" dxfId="490" priority="320" operator="equal">
      <formula>1</formula>
    </cfRule>
  </conditionalFormatting>
  <conditionalFormatting sqref="CF154">
    <cfRule type="cellIs" dxfId="489" priority="317" operator="equal">
      <formula>0</formula>
    </cfRule>
    <cfRule type="cellIs" dxfId="488" priority="318" operator="equal">
      <formula>1</formula>
    </cfRule>
  </conditionalFormatting>
  <conditionalFormatting sqref="CF148:CF151">
    <cfRule type="cellIs" dxfId="487" priority="315" operator="equal">
      <formula>0</formula>
    </cfRule>
    <cfRule type="cellIs" dxfId="486" priority="316" operator="equal">
      <formula>1</formula>
    </cfRule>
  </conditionalFormatting>
  <conditionalFormatting sqref="CF150:CF151">
    <cfRule type="cellIs" dxfId="485" priority="313" operator="equal">
      <formula>0</formula>
    </cfRule>
    <cfRule type="cellIs" dxfId="484" priority="314" operator="equal">
      <formula>1</formula>
    </cfRule>
  </conditionalFormatting>
  <conditionalFormatting sqref="CF157:CF160">
    <cfRule type="cellIs" dxfId="483" priority="311" operator="equal">
      <formula>0</formula>
    </cfRule>
    <cfRule type="cellIs" dxfId="482" priority="312" operator="equal">
      <formula>1</formula>
    </cfRule>
  </conditionalFormatting>
  <conditionalFormatting sqref="CF163">
    <cfRule type="cellIs" dxfId="481" priority="309" operator="equal">
      <formula>0</formula>
    </cfRule>
    <cfRule type="cellIs" dxfId="480" priority="310" operator="equal">
      <formula>1</formula>
    </cfRule>
  </conditionalFormatting>
  <conditionalFormatting sqref="CF166">
    <cfRule type="cellIs" dxfId="479" priority="307" operator="equal">
      <formula>0</formula>
    </cfRule>
    <cfRule type="cellIs" dxfId="478" priority="308" operator="equal">
      <formula>1</formula>
    </cfRule>
  </conditionalFormatting>
  <conditionalFormatting sqref="CF169">
    <cfRule type="cellIs" dxfId="477" priority="305" operator="equal">
      <formula>0</formula>
    </cfRule>
    <cfRule type="cellIs" dxfId="476" priority="306" operator="equal">
      <formula>1</formula>
    </cfRule>
  </conditionalFormatting>
  <conditionalFormatting sqref="CF117">
    <cfRule type="cellIs" dxfId="475" priority="303" operator="equal">
      <formula>0</formula>
    </cfRule>
    <cfRule type="cellIs" dxfId="474" priority="304" operator="equal">
      <formula>1</formula>
    </cfRule>
  </conditionalFormatting>
  <conditionalFormatting sqref="CF124:CF136">
    <cfRule type="cellIs" dxfId="473" priority="301" operator="equal">
      <formula>0</formula>
    </cfRule>
    <cfRule type="cellIs" dxfId="472" priority="302" operator="equal">
      <formula>1</formula>
    </cfRule>
  </conditionalFormatting>
  <conditionalFormatting sqref="CF257:CF259 CF254 CF252 CF248 CF246 CF242 CF240 CF232:CF234 CF175 CF205:CF208 CF196:CF201 CF182:CF192 CF172 CF68:CF70 CF138:CF140 CF210:CF211">
    <cfRule type="cellIs" dxfId="471" priority="295" operator="equal">
      <formula>0</formula>
    </cfRule>
    <cfRule type="cellIs" dxfId="470" priority="296" operator="equal">
      <formula>1</formula>
    </cfRule>
  </conditionalFormatting>
  <conditionalFormatting sqref="CF44">
    <cfRule type="cellIs" dxfId="469" priority="293" operator="equal">
      <formula>0</formula>
    </cfRule>
    <cfRule type="cellIs" dxfId="468" priority="294" operator="equal">
      <formula>1</formula>
    </cfRule>
  </conditionalFormatting>
  <conditionalFormatting sqref="A149">
    <cfRule type="cellIs" dxfId="467" priority="289" operator="equal">
      <formula>0</formula>
    </cfRule>
    <cfRule type="cellIs" dxfId="466" priority="290" operator="equal">
      <formula>1</formula>
    </cfRule>
  </conditionalFormatting>
  <conditionalFormatting sqref="CF231 CF226 CF220:CF221 CF204 CF195 CF181 CF67 CF123 CF40">
    <cfRule type="cellIs" dxfId="465" priority="287" operator="equal">
      <formula>0</formula>
    </cfRule>
    <cfRule type="cellIs" dxfId="464" priority="288" operator="equal">
      <formula>1</formula>
    </cfRule>
  </conditionalFormatting>
  <conditionalFormatting sqref="A1">
    <cfRule type="cellIs" dxfId="463" priority="283" operator="equal">
      <formula>0</formula>
    </cfRule>
    <cfRule type="cellIs" dxfId="462" priority="284" operator="greaterThan">
      <formula>0</formula>
    </cfRule>
  </conditionalFormatting>
  <conditionalFormatting sqref="CF160">
    <cfRule type="cellIs" dxfId="461" priority="281" operator="equal">
      <formula>0</formula>
    </cfRule>
    <cfRule type="cellIs" dxfId="460" priority="282" operator="equal">
      <formula>1</formula>
    </cfRule>
  </conditionalFormatting>
  <conditionalFormatting sqref="CF110">
    <cfRule type="cellIs" dxfId="459" priority="271" operator="equal">
      <formula>0</formula>
    </cfRule>
    <cfRule type="cellIs" dxfId="458" priority="272" operator="equal">
      <formula>1</formula>
    </cfRule>
  </conditionalFormatting>
  <conditionalFormatting sqref="CF42:CF43">
    <cfRule type="cellIs" dxfId="457" priority="253" operator="equal">
      <formula>0</formula>
    </cfRule>
    <cfRule type="cellIs" dxfId="456" priority="254" operator="equal">
      <formula>1</formula>
    </cfRule>
  </conditionalFormatting>
  <conditionalFormatting sqref="CF119:CF120">
    <cfRule type="cellIs" dxfId="455" priority="251" operator="equal">
      <formula>0</formula>
    </cfRule>
    <cfRule type="cellIs" dxfId="454" priority="252" operator="equal">
      <formula>1</formula>
    </cfRule>
  </conditionalFormatting>
  <conditionalFormatting sqref="CF214">
    <cfRule type="cellIs" dxfId="453" priority="245" operator="equal">
      <formula>0</formula>
    </cfRule>
    <cfRule type="cellIs" dxfId="452" priority="246" operator="equal">
      <formula>1</formula>
    </cfRule>
  </conditionalFormatting>
  <conditionalFormatting sqref="CF79">
    <cfRule type="cellIs" dxfId="451" priority="233" operator="equal">
      <formula>0</formula>
    </cfRule>
    <cfRule type="cellIs" dxfId="450" priority="234" operator="equal">
      <formula>1</formula>
    </cfRule>
  </conditionalFormatting>
  <conditionalFormatting sqref="CF178">
    <cfRule type="cellIs" dxfId="449" priority="229" operator="equal">
      <formula>0</formula>
    </cfRule>
    <cfRule type="cellIs" dxfId="448" priority="230" operator="equal">
      <formula>1</formula>
    </cfRule>
  </conditionalFormatting>
  <conditionalFormatting sqref="CF216">
    <cfRule type="cellIs" dxfId="447" priority="225" operator="equal">
      <formula>0</formula>
    </cfRule>
    <cfRule type="cellIs" dxfId="446" priority="226" operator="equal">
      <formula>1</formula>
    </cfRule>
  </conditionalFormatting>
  <conditionalFormatting sqref="BZ2">
    <cfRule type="cellIs" dxfId="445" priority="161" operator="greaterThan">
      <formula>0</formula>
    </cfRule>
    <cfRule type="cellIs" dxfId="444" priority="162" operator="equal">
      <formula>0</formula>
    </cfRule>
  </conditionalFormatting>
  <conditionalFormatting sqref="BZ42">
    <cfRule type="cellIs" dxfId="443" priority="157" operator="greaterThan">
      <formula>0</formula>
    </cfRule>
    <cfRule type="cellIs" dxfId="442" priority="158" operator="equal">
      <formula>0</formula>
    </cfRule>
  </conditionalFormatting>
  <conditionalFormatting sqref="BZ59">
    <cfRule type="cellIs" dxfId="441" priority="153" operator="greaterThan">
      <formula>0</formula>
    </cfRule>
    <cfRule type="cellIs" dxfId="440" priority="154" operator="equal">
      <formula>0</formula>
    </cfRule>
  </conditionalFormatting>
  <conditionalFormatting sqref="BZ63">
    <cfRule type="cellIs" dxfId="439" priority="151" operator="greaterThan">
      <formula>0</formula>
    </cfRule>
    <cfRule type="cellIs" dxfId="438" priority="152" operator="equal">
      <formula>0</formula>
    </cfRule>
  </conditionalFormatting>
  <conditionalFormatting sqref="BZ108">
    <cfRule type="cellIs" dxfId="437" priority="149" operator="greaterThan">
      <formula>0</formula>
    </cfRule>
    <cfRule type="cellIs" dxfId="436" priority="150" operator="equal">
      <formula>0</formula>
    </cfRule>
  </conditionalFormatting>
  <conditionalFormatting sqref="BZ109">
    <cfRule type="cellIs" dxfId="435" priority="147" operator="greaterThan">
      <formula>0</formula>
    </cfRule>
    <cfRule type="cellIs" dxfId="434" priority="148" operator="equal">
      <formula>0</formula>
    </cfRule>
  </conditionalFormatting>
  <conditionalFormatting sqref="BZ110">
    <cfRule type="cellIs" dxfId="433" priority="145" operator="greaterThan">
      <formula>0</formula>
    </cfRule>
    <cfRule type="cellIs" dxfId="432" priority="146" operator="equal">
      <formula>0</formula>
    </cfRule>
  </conditionalFormatting>
  <conditionalFormatting sqref="BZ124">
    <cfRule type="cellIs" dxfId="431" priority="143" operator="greaterThan">
      <formula>0</formula>
    </cfRule>
    <cfRule type="cellIs" dxfId="430" priority="144" operator="equal">
      <formula>0</formula>
    </cfRule>
  </conditionalFormatting>
  <conditionalFormatting sqref="BZ125">
    <cfRule type="cellIs" dxfId="429" priority="141" operator="greaterThan">
      <formula>0</formula>
    </cfRule>
    <cfRule type="cellIs" dxfId="428" priority="142" operator="equal">
      <formula>0</formula>
    </cfRule>
  </conditionalFormatting>
  <conditionalFormatting sqref="BZ126">
    <cfRule type="cellIs" dxfId="427" priority="139" operator="greaterThan">
      <formula>0</formula>
    </cfRule>
    <cfRule type="cellIs" dxfId="426" priority="140" operator="equal">
      <formula>0</formula>
    </cfRule>
  </conditionalFormatting>
  <conditionalFormatting sqref="BZ127">
    <cfRule type="cellIs" dxfId="425" priority="137" operator="greaterThan">
      <formula>0</formula>
    </cfRule>
    <cfRule type="cellIs" dxfId="424" priority="138" operator="equal">
      <formula>0</formula>
    </cfRule>
  </conditionalFormatting>
  <conditionalFormatting sqref="BZ128">
    <cfRule type="cellIs" dxfId="423" priority="135" operator="greaterThan">
      <formula>0</formula>
    </cfRule>
    <cfRule type="cellIs" dxfId="422" priority="136" operator="equal">
      <formula>0</formula>
    </cfRule>
  </conditionalFormatting>
  <conditionalFormatting sqref="BZ129">
    <cfRule type="cellIs" dxfId="421" priority="133" operator="greaterThan">
      <formula>0</formula>
    </cfRule>
    <cfRule type="cellIs" dxfId="420" priority="134" operator="equal">
      <formula>0</formula>
    </cfRule>
  </conditionalFormatting>
  <conditionalFormatting sqref="BZ130">
    <cfRule type="cellIs" dxfId="419" priority="131" operator="greaterThan">
      <formula>0</formula>
    </cfRule>
    <cfRule type="cellIs" dxfId="418" priority="132" operator="equal">
      <formula>0</formula>
    </cfRule>
  </conditionalFormatting>
  <conditionalFormatting sqref="BZ131">
    <cfRule type="cellIs" dxfId="417" priority="129" operator="greaterThan">
      <formula>0</formula>
    </cfRule>
    <cfRule type="cellIs" dxfId="416" priority="130" operator="equal">
      <formula>0</formula>
    </cfRule>
  </conditionalFormatting>
  <conditionalFormatting sqref="BZ132">
    <cfRule type="cellIs" dxfId="415" priority="127" operator="greaterThan">
      <formula>0</formula>
    </cfRule>
    <cfRule type="cellIs" dxfId="414" priority="128" operator="equal">
      <formula>0</formula>
    </cfRule>
  </conditionalFormatting>
  <conditionalFormatting sqref="BZ133">
    <cfRule type="cellIs" dxfId="413" priority="125" operator="greaterThan">
      <formula>0</formula>
    </cfRule>
    <cfRule type="cellIs" dxfId="412" priority="126" operator="equal">
      <formula>0</formula>
    </cfRule>
  </conditionalFormatting>
  <conditionalFormatting sqref="BZ134">
    <cfRule type="cellIs" dxfId="411" priority="123" operator="greaterThan">
      <formula>0</formula>
    </cfRule>
    <cfRule type="cellIs" dxfId="410" priority="124" operator="equal">
      <formula>0</formula>
    </cfRule>
  </conditionalFormatting>
  <conditionalFormatting sqref="BZ135">
    <cfRule type="cellIs" dxfId="409" priority="121" operator="greaterThan">
      <formula>0</formula>
    </cfRule>
    <cfRule type="cellIs" dxfId="408" priority="122" operator="equal">
      <formula>0</formula>
    </cfRule>
  </conditionalFormatting>
  <conditionalFormatting sqref="BZ182">
    <cfRule type="cellIs" dxfId="407" priority="119" operator="greaterThan">
      <formula>0</formula>
    </cfRule>
    <cfRule type="cellIs" dxfId="406" priority="120" operator="equal">
      <formula>0</formula>
    </cfRule>
  </conditionalFormatting>
  <conditionalFormatting sqref="BZ183">
    <cfRule type="cellIs" dxfId="405" priority="117" operator="greaterThan">
      <formula>0</formula>
    </cfRule>
    <cfRule type="cellIs" dxfId="404" priority="118" operator="equal">
      <formula>0</formula>
    </cfRule>
  </conditionalFormatting>
  <conditionalFormatting sqref="BZ184">
    <cfRule type="cellIs" dxfId="403" priority="115" operator="greaterThan">
      <formula>0</formula>
    </cfRule>
    <cfRule type="cellIs" dxfId="402" priority="116" operator="equal">
      <formula>0</formula>
    </cfRule>
  </conditionalFormatting>
  <conditionalFormatting sqref="BZ185">
    <cfRule type="cellIs" dxfId="401" priority="113" operator="greaterThan">
      <formula>0</formula>
    </cfRule>
    <cfRule type="cellIs" dxfId="400" priority="114" operator="equal">
      <formula>0</formula>
    </cfRule>
  </conditionalFormatting>
  <conditionalFormatting sqref="BZ186">
    <cfRule type="cellIs" dxfId="399" priority="111" operator="greaterThan">
      <formula>0</formula>
    </cfRule>
    <cfRule type="cellIs" dxfId="398" priority="112" operator="equal">
      <formula>0</formula>
    </cfRule>
  </conditionalFormatting>
  <conditionalFormatting sqref="BZ246">
    <cfRule type="cellIs" dxfId="397" priority="85" operator="greaterThan">
      <formula>0</formula>
    </cfRule>
    <cfRule type="cellIs" dxfId="396" priority="86" operator="equal">
      <formula>0</formula>
    </cfRule>
  </conditionalFormatting>
  <conditionalFormatting sqref="BZ216">
    <cfRule type="cellIs" dxfId="395" priority="87" operator="greaterThan">
      <formula>0</formula>
    </cfRule>
    <cfRule type="cellIs" dxfId="394" priority="88" operator="equal">
      <formula>0</formula>
    </cfRule>
  </conditionalFormatting>
  <conditionalFormatting sqref="BZ188">
    <cfRule type="cellIs" dxfId="393" priority="105" operator="greaterThan">
      <formula>0</formula>
    </cfRule>
    <cfRule type="cellIs" dxfId="392" priority="106" operator="equal">
      <formula>0</formula>
    </cfRule>
  </conditionalFormatting>
  <conditionalFormatting sqref="BZ190">
    <cfRule type="cellIs" dxfId="391" priority="103" operator="greaterThan">
      <formula>0</formula>
    </cfRule>
    <cfRule type="cellIs" dxfId="390" priority="104" operator="equal">
      <formula>0</formula>
    </cfRule>
  </conditionalFormatting>
  <conditionalFormatting sqref="BZ196">
    <cfRule type="cellIs" dxfId="389" priority="101" operator="greaterThan">
      <formula>0</formula>
    </cfRule>
    <cfRule type="cellIs" dxfId="388" priority="102" operator="equal">
      <formula>0</formula>
    </cfRule>
  </conditionalFormatting>
  <conditionalFormatting sqref="BZ198">
    <cfRule type="cellIs" dxfId="387" priority="97" operator="greaterThan">
      <formula>0</formula>
    </cfRule>
    <cfRule type="cellIs" dxfId="386" priority="98" operator="equal">
      <formula>0</formula>
    </cfRule>
  </conditionalFormatting>
  <conditionalFormatting sqref="BZ205">
    <cfRule type="cellIs" dxfId="385" priority="95" operator="greaterThan">
      <formula>0</formula>
    </cfRule>
    <cfRule type="cellIs" dxfId="384" priority="96" operator="equal">
      <formula>0</formula>
    </cfRule>
  </conditionalFormatting>
  <conditionalFormatting sqref="BZ70">
    <cfRule type="cellIs" dxfId="383" priority="79" operator="greaterThan">
      <formula>0</formula>
    </cfRule>
    <cfRule type="cellIs" dxfId="382" priority="80" operator="equal">
      <formula>0</formula>
    </cfRule>
  </conditionalFormatting>
  <conditionalFormatting sqref="BZ207">
    <cfRule type="cellIs" dxfId="381" priority="91" operator="greaterThan">
      <formula>0</formula>
    </cfRule>
    <cfRule type="cellIs" dxfId="380" priority="92" operator="equal">
      <formula>0</formula>
    </cfRule>
  </conditionalFormatting>
  <conditionalFormatting sqref="BZ215">
    <cfRule type="cellIs" dxfId="379" priority="89" operator="greaterThan">
      <formula>0</formula>
    </cfRule>
    <cfRule type="cellIs" dxfId="378" priority="90" operator="equal">
      <formula>0</formula>
    </cfRule>
  </conditionalFormatting>
  <conditionalFormatting sqref="BZ252">
    <cfRule type="cellIs" dxfId="377" priority="83" operator="greaterThan">
      <formula>0</formula>
    </cfRule>
    <cfRule type="cellIs" dxfId="376" priority="84" operator="equal">
      <formula>0</formula>
    </cfRule>
  </conditionalFormatting>
  <conditionalFormatting sqref="BZ64 BZ60">
    <cfRule type="cellIs" dxfId="375" priority="77" operator="greaterThan">
      <formula>0</formula>
    </cfRule>
    <cfRule type="cellIs" dxfId="374" priority="78" operator="equal">
      <formula>0</formula>
    </cfRule>
  </conditionalFormatting>
  <conditionalFormatting sqref="CF47">
    <cfRule type="cellIs" dxfId="373" priority="75" operator="equal">
      <formula>0</formula>
    </cfRule>
    <cfRule type="cellIs" dxfId="372" priority="76" operator="equal">
      <formula>1</formula>
    </cfRule>
  </conditionalFormatting>
  <conditionalFormatting sqref="BZ47">
    <cfRule type="cellIs" dxfId="371" priority="73" operator="greaterThan">
      <formula>0</formula>
    </cfRule>
    <cfRule type="cellIs" dxfId="370" priority="74" operator="equal">
      <formula>0</formula>
    </cfRule>
  </conditionalFormatting>
  <conditionalFormatting sqref="CF82">
    <cfRule type="cellIs" dxfId="369" priority="67" operator="equal">
      <formula>0</formula>
    </cfRule>
    <cfRule type="cellIs" dxfId="368" priority="68" operator="equal">
      <formula>1</formula>
    </cfRule>
  </conditionalFormatting>
  <conditionalFormatting sqref="A2">
    <cfRule type="cellIs" dxfId="367" priority="65" operator="equal">
      <formula>0</formula>
    </cfRule>
    <cfRule type="cellIs" dxfId="366" priority="66" operator="greaterThan">
      <formula>0</formula>
    </cfRule>
  </conditionalFormatting>
  <conditionalFormatting sqref="E44">
    <cfRule type="cellIs" dxfId="365" priority="62" operator="lessThan">
      <formula>0</formula>
    </cfRule>
    <cfRule type="cellIs" dxfId="364" priority="63" operator="greaterThan">
      <formula>0</formula>
    </cfRule>
    <cfRule type="cellIs" dxfId="363" priority="64" operator="equal">
      <formula>0</formula>
    </cfRule>
  </conditionalFormatting>
  <conditionalFormatting sqref="E70">
    <cfRule type="cellIs" dxfId="362" priority="59" operator="lessThan">
      <formula>0</formula>
    </cfRule>
    <cfRule type="cellIs" dxfId="361" priority="60" operator="greaterThan">
      <formula>0</formula>
    </cfRule>
    <cfRule type="cellIs" dxfId="360" priority="61" operator="equal">
      <formula>0</formula>
    </cfRule>
  </conditionalFormatting>
  <conditionalFormatting sqref="E111">
    <cfRule type="cellIs" dxfId="359" priority="56" operator="lessThan">
      <formula>0</formula>
    </cfRule>
    <cfRule type="cellIs" dxfId="358" priority="57" operator="greaterThan">
      <formula>0</formula>
    </cfRule>
    <cfRule type="cellIs" dxfId="357" priority="58" operator="equal">
      <formula>0</formula>
    </cfRule>
  </conditionalFormatting>
  <conditionalFormatting sqref="E136">
    <cfRule type="cellIs" dxfId="356" priority="53" operator="lessThan">
      <formula>0</formula>
    </cfRule>
    <cfRule type="cellIs" dxfId="355" priority="54" operator="greaterThan">
      <formula>0</formula>
    </cfRule>
    <cfRule type="cellIs" dxfId="354" priority="55" operator="equal">
      <formula>0</formula>
    </cfRule>
  </conditionalFormatting>
  <conditionalFormatting sqref="E192">
    <cfRule type="cellIs" dxfId="353" priority="50" operator="lessThan">
      <formula>0</formula>
    </cfRule>
    <cfRule type="cellIs" dxfId="352" priority="51" operator="greaterThan">
      <formula>0</formula>
    </cfRule>
    <cfRule type="cellIs" dxfId="351" priority="52" operator="equal">
      <formula>0</formula>
    </cfRule>
  </conditionalFormatting>
  <conditionalFormatting sqref="E201">
    <cfRule type="cellIs" dxfId="350" priority="47" operator="lessThan">
      <formula>0</formula>
    </cfRule>
    <cfRule type="cellIs" dxfId="349" priority="48" operator="greaterThan">
      <formula>0</formula>
    </cfRule>
    <cfRule type="cellIs" dxfId="348" priority="49" operator="equal">
      <formula>0</formula>
    </cfRule>
  </conditionalFormatting>
  <conditionalFormatting sqref="E211">
    <cfRule type="cellIs" dxfId="347" priority="44" operator="lessThan">
      <formula>0</formula>
    </cfRule>
    <cfRule type="cellIs" dxfId="346" priority="45" operator="greaterThan">
      <formula>0</formula>
    </cfRule>
    <cfRule type="cellIs" dxfId="345" priority="46" operator="equal">
      <formula>0</formula>
    </cfRule>
  </conditionalFormatting>
  <conditionalFormatting sqref="E217">
    <cfRule type="cellIs" dxfId="344" priority="41" operator="lessThan">
      <formula>0</formula>
    </cfRule>
    <cfRule type="cellIs" dxfId="343" priority="42" operator="greaterThan">
      <formula>0</formula>
    </cfRule>
    <cfRule type="cellIs" dxfId="342" priority="43" operator="equal">
      <formula>0</formula>
    </cfRule>
  </conditionalFormatting>
  <conditionalFormatting sqref="E223">
    <cfRule type="cellIs" dxfId="341" priority="38" operator="lessThan">
      <formula>0</formula>
    </cfRule>
    <cfRule type="cellIs" dxfId="340" priority="39" operator="greaterThan">
      <formula>0</formula>
    </cfRule>
    <cfRule type="cellIs" dxfId="339" priority="40" operator="equal">
      <formula>0</formula>
    </cfRule>
  </conditionalFormatting>
  <conditionalFormatting sqref="E234">
    <cfRule type="cellIs" dxfId="338" priority="32" operator="lessThan">
      <formula>0</formula>
    </cfRule>
    <cfRule type="cellIs" dxfId="337" priority="33" operator="greaterThan">
      <formula>0</formula>
    </cfRule>
    <cfRule type="cellIs" dxfId="336" priority="34" operator="equal">
      <formula>0</formula>
    </cfRule>
  </conditionalFormatting>
  <conditionalFormatting sqref="E228">
    <cfRule type="cellIs" dxfId="335" priority="35" operator="lessThan">
      <formula>0</formula>
    </cfRule>
    <cfRule type="cellIs" dxfId="334" priority="36" operator="greaterThan">
      <formula>0</formula>
    </cfRule>
    <cfRule type="cellIs" dxfId="333" priority="37" operator="equal">
      <formula>0</formula>
    </cfRule>
  </conditionalFormatting>
  <conditionalFormatting sqref="CE211">
    <cfRule type="cellIs" dxfId="332" priority="30" operator="equal">
      <formula>0</formula>
    </cfRule>
    <cfRule type="cellIs" dxfId="331" priority="31" operator="equal">
      <formula>1</formula>
    </cfRule>
  </conditionalFormatting>
  <conditionalFormatting sqref="CE201">
    <cfRule type="cellIs" dxfId="330" priority="28" operator="equal">
      <formula>0</formula>
    </cfRule>
    <cfRule type="cellIs" dxfId="329" priority="29" operator="equal">
      <formula>1</formula>
    </cfRule>
  </conditionalFormatting>
  <conditionalFormatting sqref="CE234 CE228 CE223 CE217 CE192 CE136 CE111 CE70 CE44">
    <cfRule type="cellIs" dxfId="328" priority="26" operator="equal">
      <formula>0</formula>
    </cfRule>
    <cfRule type="cellIs" dxfId="327" priority="27" operator="equal">
      <formula>1</formula>
    </cfRule>
  </conditionalFormatting>
  <conditionalFormatting sqref="AA252:BJ252 AA246:BJ246 AA215:BJ216 AA205:BJ208 AA196:BJ200 AA182:BJ191 AA175:BJ175 AA172:BJ172 AA169:BJ169 AA163:BJ163 AA160:BJ160 AA157:BJ157 AA150:BJ150 AA145:BJ145 AA138:BJ138 AA113:BJ113 AA86:BJ86 AA82:BJ82 AA76:BJ76 AA73:BJ73 AA70:BJ70 AA63:BJ64 AA55:BJ56 AA42:BJ43 AA210:BJ210 AA59:BJ60 AA47:BJ47 AA124:BJ135 AA79:BJ79 AA108:BJ110 AA142:BJ142 AA148:BJ148 AA166:BJ166 AA178:BJ178 AA240:BJ240">
    <cfRule type="expression" dxfId="326" priority="19">
      <formula>AND(AA$4=0,AB$4=1)</formula>
    </cfRule>
  </conditionalFormatting>
  <conditionalFormatting sqref="CF209">
    <cfRule type="cellIs" dxfId="325" priority="14" operator="equal">
      <formula>0</formula>
    </cfRule>
    <cfRule type="cellIs" dxfId="324" priority="15" operator="equal">
      <formula>1</formula>
    </cfRule>
  </conditionalFormatting>
  <conditionalFormatting sqref="BZ209">
    <cfRule type="cellIs" dxfId="323" priority="12" operator="greaterThan">
      <formula>0</formula>
    </cfRule>
    <cfRule type="cellIs" dxfId="322" priority="13" operator="equal">
      <formula>0</formula>
    </cfRule>
  </conditionalFormatting>
  <conditionalFormatting sqref="AA209:BJ209">
    <cfRule type="expression" dxfId="321" priority="9">
      <formula>AND(AA$4=0,AB$4=1)</formula>
    </cfRule>
  </conditionalFormatting>
  <conditionalFormatting sqref="A20">
    <cfRule type="cellIs" dxfId="320" priority="6" operator="equal">
      <formula>0</formula>
    </cfRule>
    <cfRule type="cellIs" dxfId="319" priority="7" operator="greaterThan">
      <formula>0</formula>
    </cfRule>
  </conditionalFormatting>
  <conditionalFormatting sqref="A12">
    <cfRule type="cellIs" dxfId="318" priority="4" operator="equal">
      <formula>0</formula>
    </cfRule>
    <cfRule type="cellIs" dxfId="317" priority="5" operator="greaterThan">
      <formula>0</formula>
    </cfRule>
  </conditionalFormatting>
  <conditionalFormatting sqref="A257:A259 A254 A252 A248 A246 A242 A240 A231:A234 A226:A228 A220:A223 A214:A217 A204:A211 A195:A201 A181:A192 A178 A175 A172 A169 A166 A163 A160 A157 A154 A150:A151 A148 A145 A142 A138:A139 A123:A136 A119:A120 A117 A113:A114 A106:A111 A102:A103 A100 A96:A97 A94 A91 A86 A82:A83 A79 A76 A73 A67:A70 A63:A64 A59:A60 A55:A56 A52 A47 A40:A44 A37 A34 A31 A28 A25 A16 A14">
    <cfRule type="cellIs" dxfId="316" priority="2" operator="equal">
      <formula>0</formula>
    </cfRule>
    <cfRule type="cellIs" dxfId="315" priority="3" operator="greaterThan">
      <formula>0</formula>
    </cfRule>
  </conditionalFormatting>
  <dataValidations count="10">
    <dataValidation allowBlank="1" showInputMessage="1" promptTitle="Reserve credits sign" prompt="Enter reserve credits with a positive sign." sqref="B252 B246 B240" xr:uid="{456E3480-9DE2-4A1B-B433-588396FA5C59}"/>
    <dataValidation allowBlank="1" showInputMessage="1" promptTitle="Bad Debt Provision Balance" prompt="Bad debt provision balance to be entered as a negative asset amount to be netted against receivables as follows:_x000a_Credit Assets: -ve (Cr.)" sqref="B70" xr:uid="{CE1260F8-41BC-4672-8E04-51649171AE80}"/>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BZ7" xr:uid="{FF41BEF8-9607-40CD-968A-6789771BC42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262" xr:uid="{C8D5C8F6-F5DB-4DAD-B838-3443B236AEA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0" xr:uid="{50EDA6FC-2E4F-456B-A55F-7F3DD05FCEC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E42 E68 E109 E134 E190 E199 CE7 E215 E221 E226 E232 E208" xr:uid="{EB90F37F-25D9-4F29-918F-5F647DB1C75C}"/>
    <dataValidation allowBlank="1" showInputMessage="1" promptTitle="Reserve Account selection" prompt="Checks that a Reserve account name is selected from the dropdown menue if reserve transfer is applied." sqref="CB7" xr:uid="{993B8477-1C33-45AA-B2FC-8668657C9448}"/>
    <dataValidation allowBlank="1" showInputMessage="1" promptTitle="Valid Reserve Account selection" prompt="Checks that the Reserve Account name entered is valid, i.e. it matches one of the pre-set reserve names. _x000a__x000a_If flagged, please make sure you have selected a valid Reserve Account name from the dropdown menu." sqref="CC7" xr:uid="{7D77C76C-CB74-4E62-8815-CF61A47E4B89}"/>
    <dataValidation allowBlank="1" showInputMessage="1" promptTitle="Balance Sheet check" prompt="Checks that the Balance Sheet reconciles, i.e.:_x000a_ Assets= Liabilities + Reserves" sqref="CD7" xr:uid="{8C1140BA-DD8C-4CF0-9343-893947957094}"/>
    <dataValidation allowBlank="1" showInputMessage="1" promptTitle="Annual timelines Reconciliation" prompt="Checks that the amounts on the 4 year timeline = amounts on the 12 year timeline" sqref="CF7" xr:uid="{91E2BF1B-59BC-4A0B-8C75-A2A4313535EA}"/>
  </dataValidations>
  <pageMargins left="0.70866141732283472" right="0.70866141732283472" top="0.74803149606299213" bottom="0.74803149606299213" header="0.31496062992125984" footer="0.31496062992125984"/>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18" id="{3FE80FDD-4C0D-484C-B68B-19A2CB00767F}">
            <xm:f>AND('Cover Sheet'!$E$29=0, AA$4=0, AB$4=0)</xm:f>
            <x14:dxf>
              <fill>
                <patternFill>
                  <bgColor theme="0"/>
                </patternFill>
              </fill>
            </x14:dxf>
          </x14:cfRule>
          <xm:sqref>AA252:BJ252 AA246:BJ246 AA215:BJ216 AA205:BJ208 AA196:BJ200 AA182:BJ191 AA175:BJ175 AA172:BJ172 AA169:BJ169 AA163:BJ163 AA160:BJ160 AA157:BJ157 AA150:BJ150 AA145:BJ145 AA138:BJ138 AA113:BJ113 AA86:BJ86 AA82:BJ82 AA76:BJ76 AA73:BJ73 AA70:BJ70 AA63:BJ64 AA55:BJ56 AA42:BJ43 AA210:BJ210 AA59:BJ60 AA47:BJ47 AA124:BJ135 AA79:BJ79 AA108:BJ110 AA142:BJ142 AA148:BJ148 AA166:BJ166 AA178:BJ178 AA240:BJ240</xm:sqref>
        </x14:conditionalFormatting>
        <x14:conditionalFormatting xmlns:xm="http://schemas.microsoft.com/office/excel/2006/main">
          <x14:cfRule type="expression" priority="8" id="{AB5574D0-A15C-4BDA-9BF3-4288E9CF2E03}">
            <xm:f>AND('Cover Sheet'!$E$29=0, AA$4=0, AB$4=0)</xm:f>
            <x14:dxf>
              <fill>
                <patternFill>
                  <bgColor theme="0"/>
                </patternFill>
              </fill>
            </x14:dxf>
          </x14:cfRule>
          <xm:sqref>AA209:BJ209</xm:sqref>
        </x14:conditionalFormatting>
        <x14:conditionalFormatting xmlns:xm="http://schemas.microsoft.com/office/excel/2006/main">
          <x14:cfRule type="expression" priority="1" id="{C20D60F5-E388-4AE5-9A82-609A58772F90}">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BC4A81D-48B6-43FE-8BFE-5E7A5000A78D}">
          <x14:formula1>
            <xm:f>Parameters!$D$61:$D$63</xm:f>
          </x14:formula1>
          <xm:sqref>D246 D254 D252 D248</xm:sqref>
        </x14:dataValidation>
        <x14:dataValidation type="list" allowBlank="1" showInputMessage="1" showErrorMessage="1" xr:uid="{EE32C11A-AE6E-4CBC-BCA4-CCE70CCE65E7}">
          <x14:formula1>
            <xm:f>'Dash Data'!$D$93:$D$100</xm:f>
          </x14:formula1>
          <xm:sqref>D2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71AB-60D6-47B7-A2C6-86D914942CDC}">
  <sheetPr codeName="Sheet19">
    <tabColor rgb="FFBBF7DC"/>
    <outlinePr summaryBelow="0" summaryRight="0"/>
    <pageSetUpPr autoPageBreaks="0"/>
  </sheetPr>
  <dimension ref="A1:CA32"/>
  <sheetViews>
    <sheetView showGridLines="0" zoomScaleNormal="100" workbookViewId="0">
      <pane xSplit="8" ySplit="7" topLeftCell="I35" activePane="bottomRight" state="frozen"/>
      <selection pane="topRight"/>
      <selection pane="bottomLeft"/>
      <selection pane="bottomRight" activeCell="Y23" sqref="Y23"/>
    </sheetView>
  </sheetViews>
  <sheetFormatPr defaultColWidth="8.5703125" defaultRowHeight="15" outlineLevelCol="1" x14ac:dyDescent="0.25"/>
  <cols>
    <col min="1" max="1" width="6.5703125" style="279" bestFit="1" customWidth="1" collapsed="1"/>
    <col min="2" max="3" width="9.42578125" style="279" bestFit="1" customWidth="1"/>
    <col min="4" max="4" width="48.42578125" style="279" customWidth="1"/>
    <col min="5" max="5" width="12.42578125" style="1" customWidth="1" outlineLevel="1"/>
    <col min="6" max="6" width="1.5703125" style="279" customWidth="1" collapsed="1"/>
    <col min="7" max="7" width="7.42578125" style="279" hidden="1" customWidth="1" outlineLevel="1"/>
    <col min="8" max="8" width="15" style="279" hidden="1" customWidth="1" outlineLevel="1"/>
    <col min="9" max="9" width="2" style="279" bestFit="1" customWidth="1" collapsed="1"/>
    <col min="10" max="10" width="2" style="279" hidden="1" customWidth="1" outlineLevel="1"/>
    <col min="11" max="18" width="8.5703125" style="279" hidden="1" customWidth="1" outlineLevel="1"/>
    <col min="19" max="19" width="3" style="279" hidden="1" customWidth="1" outlineLevel="1"/>
    <col min="20" max="20" width="11.5703125" style="279" hidden="1" customWidth="1" outlineLevel="1"/>
    <col min="21" max="21" width="9.5703125" style="279" hidden="1" customWidth="1" outlineLevel="1"/>
    <col min="22" max="25" width="8.5703125" style="279" bestFit="1" customWidth="1"/>
    <col min="26" max="26" width="1.42578125" style="279" customWidth="1"/>
    <col min="27" max="62" width="9.5703125" style="279" bestFit="1" customWidth="1"/>
    <col min="63" max="63" width="1.42578125" style="279" customWidth="1"/>
    <col min="64" max="75" width="8.5703125" style="279" bestFit="1" customWidth="1"/>
    <col min="76" max="76" width="3" style="279" bestFit="1" customWidth="1"/>
    <col min="77" max="77" width="3.42578125" style="279" customWidth="1"/>
    <col min="78" max="78" width="13.42578125" style="279" customWidth="1"/>
    <col min="79" max="79" width="2.5703125" style="279" customWidth="1"/>
    <col min="80" max="16384" width="8.5703125" style="279"/>
  </cols>
  <sheetData>
    <row r="1" spans="1:79" x14ac:dyDescent="0.25">
      <c r="A1" s="7">
        <f ca="1">ToC!A1</f>
        <v>0</v>
      </c>
      <c r="B1" s="14" t="s">
        <v>827</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CA1" s="575"/>
    </row>
    <row r="2" spans="1:79" ht="14.45" customHeight="1" x14ac:dyDescent="0.25">
      <c r="A2" s="7">
        <f>SUM(A$7:A$32)</f>
        <v>0</v>
      </c>
      <c r="B2" s="92" t="str" cm="1">
        <f t="array" aca="1" ref="B2" ca="1">HYPERLINK(CONCATENATE("#",CELL("address",Guide!$C$110)),Guide!$B$1)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CA2" s="575"/>
    </row>
    <row r="3" spans="1:79" x14ac:dyDescent="0.25">
      <c r="A3" s="92" t="str" cm="1">
        <f t="array" aca="1" ref="A3" ca="1">HYPERLINK(CONCATENATE("#",CELL("address",ToC!$A$1)),ToC!$C$1)</f>
        <v>ToC</v>
      </c>
      <c r="B3" s="14"/>
      <c r="C3" s="14"/>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CA3" s="575"/>
    </row>
    <row r="4" spans="1:79" x14ac:dyDescent="0.25">
      <c r="A4" s="14"/>
      <c r="B4" s="14"/>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6"/>
      <c r="CA4" s="575"/>
    </row>
    <row r="5" spans="1:79" x14ac:dyDescent="0.25">
      <c r="A5" s="14"/>
      <c r="B5" s="14"/>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6"/>
      <c r="CA5" s="575"/>
    </row>
    <row r="6" spans="1:79" x14ac:dyDescent="0.25">
      <c r="A6" s="80" t="str" cm="1">
        <f t="array" aca="1" ref="A6" ca="1">HYPERLINK(CONCATENATE("#",CELL("address",BY7)),"Check")</f>
        <v>Check</v>
      </c>
      <c r="B6" s="14"/>
      <c r="C6" s="14" t="str">
        <f>Template!$C$6</f>
        <v>Ref. No.</v>
      </c>
      <c r="D6" s="26" t="s">
        <v>5</v>
      </c>
      <c r="E6" s="14"/>
      <c r="F6" s="14"/>
      <c r="G6" s="14" t="s">
        <v>6</v>
      </c>
      <c r="H6" s="14" t="s">
        <v>117</v>
      </c>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576"/>
      <c r="CA6" s="575"/>
    </row>
    <row r="7" spans="1:79" x14ac:dyDescent="0.25">
      <c r="B7" s="139" t="s">
        <v>2494</v>
      </c>
      <c r="D7" s="1"/>
      <c r="E7" s="279"/>
      <c r="BM7" s="6"/>
      <c r="BY7" s="42"/>
      <c r="CA7" s="42"/>
    </row>
    <row r="8" spans="1:79" ht="8.1" customHeight="1" x14ac:dyDescent="0.25">
      <c r="A8" s="157"/>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42"/>
      <c r="CA8" s="42"/>
    </row>
    <row r="9" spans="1:79" x14ac:dyDescent="0.25">
      <c r="A9" s="157"/>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2"/>
      <c r="CA9" s="42"/>
    </row>
    <row r="10" spans="1:79" x14ac:dyDescent="0.25">
      <c r="A10" s="157"/>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2"/>
      <c r="CA10" s="42"/>
    </row>
    <row r="11" spans="1:79" x14ac:dyDescent="0.25">
      <c r="A11" s="157"/>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2"/>
      <c r="CA11" s="42"/>
    </row>
    <row r="12" spans="1:79" x14ac:dyDescent="0.25">
      <c r="A12" s="157"/>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2"/>
      <c r="CA12" s="42"/>
    </row>
    <row r="13" spans="1:79" x14ac:dyDescent="0.25">
      <c r="A13" s="157"/>
      <c r="B13" s="157"/>
      <c r="C13" s="157"/>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2"/>
      <c r="CA13" s="42"/>
    </row>
    <row r="14" spans="1:79" x14ac:dyDescent="0.25">
      <c r="A14" s="157"/>
      <c r="B14" s="157"/>
      <c r="C14" s="157"/>
      <c r="D14" s="157"/>
      <c r="E14" s="158"/>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2"/>
      <c r="CA14" s="42"/>
    </row>
    <row r="15" spans="1:79" x14ac:dyDescent="0.25">
      <c r="A15" s="157"/>
      <c r="B15" s="157"/>
      <c r="C15" s="157"/>
      <c r="D15" s="157"/>
      <c r="E15" s="158"/>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2"/>
      <c r="CA15" s="42"/>
    </row>
    <row r="16" spans="1:79" x14ac:dyDescent="0.25">
      <c r="A16" s="157"/>
      <c r="B16" s="157"/>
      <c r="C16" s="157"/>
      <c r="D16" s="157"/>
      <c r="E16" s="158"/>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12"/>
      <c r="CA16" s="42"/>
    </row>
    <row r="17" spans="1:79" x14ac:dyDescent="0.25">
      <c r="A17" s="157"/>
      <c r="B17" s="157"/>
      <c r="C17" s="157"/>
      <c r="D17" s="157"/>
      <c r="E17" s="158"/>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2"/>
      <c r="CA17" s="42"/>
    </row>
    <row r="18" spans="1:79" x14ac:dyDescent="0.25">
      <c r="A18" s="157"/>
      <c r="B18" s="157"/>
      <c r="C18" s="157"/>
      <c r="D18" s="157"/>
      <c r="E18" s="158"/>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2"/>
      <c r="CA18" s="42"/>
    </row>
    <row r="19" spans="1:79" x14ac:dyDescent="0.25">
      <c r="A19" s="157"/>
      <c r="B19" s="157"/>
      <c r="C19" s="157"/>
      <c r="D19" s="157"/>
      <c r="E19" s="158"/>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2"/>
      <c r="CA19" s="42"/>
    </row>
    <row r="20" spans="1:79" x14ac:dyDescent="0.25">
      <c r="A20" s="157"/>
      <c r="B20" s="157"/>
      <c r="C20" s="157"/>
      <c r="D20" s="157"/>
      <c r="E20" s="158"/>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2"/>
      <c r="CA20" s="42"/>
    </row>
    <row r="21" spans="1:79" x14ac:dyDescent="0.25">
      <c r="A21" s="157"/>
      <c r="B21" s="157"/>
      <c r="C21" s="157"/>
      <c r="D21" s="157"/>
      <c r="E21" s="158"/>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2"/>
      <c r="CA21" s="42"/>
    </row>
    <row r="22" spans="1:79" x14ac:dyDescent="0.25">
      <c r="A22" s="157"/>
      <c r="B22" s="157"/>
      <c r="C22" s="157"/>
      <c r="D22" s="157"/>
      <c r="E22" s="158"/>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2"/>
      <c r="CA22" s="42"/>
    </row>
    <row r="23" spans="1:79" x14ac:dyDescent="0.25">
      <c r="A23" s="157"/>
      <c r="B23" s="157"/>
      <c r="C23" s="157"/>
      <c r="D23" s="157"/>
      <c r="E23" s="158"/>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2"/>
      <c r="CA23" s="42"/>
    </row>
    <row r="24" spans="1:79" x14ac:dyDescent="0.25">
      <c r="A24" s="157"/>
      <c r="B24" s="157"/>
      <c r="C24" s="157"/>
      <c r="D24" s="157"/>
      <c r="E24" s="158"/>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2"/>
      <c r="CA24" s="42"/>
    </row>
    <row r="25" spans="1:79" x14ac:dyDescent="0.25">
      <c r="A25" s="157"/>
      <c r="B25" s="157"/>
      <c r="C25" s="157"/>
      <c r="D25" s="157"/>
      <c r="E25" s="158"/>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2"/>
      <c r="CA25" s="42"/>
    </row>
    <row r="26" spans="1:79" x14ac:dyDescent="0.25">
      <c r="A26" s="157"/>
      <c r="B26" s="157"/>
      <c r="C26" s="157"/>
      <c r="D26" s="157"/>
      <c r="E26" s="158"/>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12"/>
      <c r="CA26" s="42"/>
    </row>
    <row r="27" spans="1:79" x14ac:dyDescent="0.25">
      <c r="A27" s="157"/>
      <c r="B27" s="157"/>
      <c r="C27" s="157"/>
      <c r="D27" s="157"/>
      <c r="E27" s="158"/>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2"/>
      <c r="CA27" s="42"/>
    </row>
    <row r="28" spans="1:79" x14ac:dyDescent="0.25">
      <c r="A28" s="157"/>
      <c r="B28" s="157"/>
      <c r="C28" s="157"/>
      <c r="D28" s="157"/>
      <c r="E28" s="158"/>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2"/>
      <c r="CA28" s="42"/>
    </row>
    <row r="29" spans="1:79" x14ac:dyDescent="0.25">
      <c r="A29" s="157"/>
      <c r="B29" s="157"/>
      <c r="C29" s="157"/>
      <c r="D29" s="157"/>
      <c r="E29" s="158"/>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2"/>
      <c r="CA29" s="42"/>
    </row>
    <row r="30" spans="1:79" x14ac:dyDescent="0.25">
      <c r="A30" s="157"/>
      <c r="B30" s="157"/>
      <c r="C30" s="157"/>
      <c r="D30" s="157"/>
      <c r="E30" s="158"/>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2"/>
      <c r="CA30" s="42"/>
    </row>
    <row r="31" spans="1:79" x14ac:dyDescent="0.25">
      <c r="A31" s="157"/>
      <c r="B31" s="157"/>
      <c r="C31" s="157"/>
      <c r="D31" s="157"/>
      <c r="E31" s="158"/>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2"/>
      <c r="CA31" s="42"/>
    </row>
    <row r="32" spans="1:79" x14ac:dyDescent="0.25">
      <c r="A32" s="12" t="s">
        <v>88</v>
      </c>
      <c r="B32" s="12" t="s">
        <v>88</v>
      </c>
      <c r="C32" s="12" t="s">
        <v>88</v>
      </c>
      <c r="D32" s="12" t="s">
        <v>88</v>
      </c>
      <c r="E32" s="28" t="s">
        <v>88</v>
      </c>
      <c r="F32" s="12" t="s">
        <v>88</v>
      </c>
      <c r="G32" s="12" t="s">
        <v>88</v>
      </c>
      <c r="H32" s="12" t="s">
        <v>88</v>
      </c>
      <c r="I32" s="12" t="s">
        <v>88</v>
      </c>
      <c r="J32" s="12" t="s">
        <v>88</v>
      </c>
      <c r="K32" s="12" t="s">
        <v>88</v>
      </c>
      <c r="L32" s="12" t="s">
        <v>88</v>
      </c>
      <c r="M32" s="12" t="s">
        <v>88</v>
      </c>
      <c r="N32" s="12" t="s">
        <v>88</v>
      </c>
      <c r="O32" s="12" t="s">
        <v>88</v>
      </c>
      <c r="P32" s="12" t="s">
        <v>88</v>
      </c>
      <c r="Q32" s="12" t="s">
        <v>88</v>
      </c>
      <c r="R32" s="12" t="s">
        <v>88</v>
      </c>
      <c r="S32" s="12"/>
      <c r="T32" s="12" t="s">
        <v>88</v>
      </c>
      <c r="U32" s="12" t="s">
        <v>88</v>
      </c>
      <c r="V32" s="12" t="s">
        <v>88</v>
      </c>
      <c r="W32" s="12" t="s">
        <v>88</v>
      </c>
      <c r="X32" s="12"/>
      <c r="Y32" s="12"/>
      <c r="Z32" s="12" t="s">
        <v>88</v>
      </c>
      <c r="AA32" s="12" t="s">
        <v>88</v>
      </c>
      <c r="AB32" s="12" t="s">
        <v>88</v>
      </c>
      <c r="AC32" s="12" t="s">
        <v>88</v>
      </c>
      <c r="AD32" s="12" t="s">
        <v>88</v>
      </c>
      <c r="AE32" s="12" t="s">
        <v>88</v>
      </c>
      <c r="AF32" s="12" t="s">
        <v>88</v>
      </c>
      <c r="AG32" s="12" t="s">
        <v>88</v>
      </c>
      <c r="AH32" s="12" t="s">
        <v>88</v>
      </c>
      <c r="AI32" s="12" t="s">
        <v>88</v>
      </c>
      <c r="AJ32" s="12" t="s">
        <v>88</v>
      </c>
      <c r="AK32" s="12" t="s">
        <v>88</v>
      </c>
      <c r="AL32" s="12" t="s">
        <v>88</v>
      </c>
      <c r="AM32" s="12" t="s">
        <v>88</v>
      </c>
      <c r="AN32" s="12" t="s">
        <v>88</v>
      </c>
      <c r="AO32" s="12" t="s">
        <v>88</v>
      </c>
      <c r="AP32" s="12" t="s">
        <v>88</v>
      </c>
      <c r="AQ32" s="12" t="s">
        <v>88</v>
      </c>
      <c r="AR32" s="12" t="s">
        <v>88</v>
      </c>
      <c r="AS32" s="12" t="s">
        <v>88</v>
      </c>
      <c r="AT32" s="12" t="s">
        <v>88</v>
      </c>
      <c r="AU32" s="12" t="s">
        <v>88</v>
      </c>
      <c r="AV32" s="12" t="s">
        <v>88</v>
      </c>
      <c r="AW32" s="12" t="s">
        <v>88</v>
      </c>
      <c r="AX32" s="12" t="s">
        <v>88</v>
      </c>
      <c r="AY32" s="12" t="s">
        <v>88</v>
      </c>
      <c r="AZ32" s="12" t="s">
        <v>88</v>
      </c>
      <c r="BA32" s="12" t="s">
        <v>88</v>
      </c>
      <c r="BB32" s="12" t="s">
        <v>88</v>
      </c>
      <c r="BC32" s="12" t="s">
        <v>88</v>
      </c>
      <c r="BD32" s="12" t="s">
        <v>88</v>
      </c>
      <c r="BE32" s="12" t="s">
        <v>88</v>
      </c>
      <c r="BF32" s="12" t="s">
        <v>88</v>
      </c>
      <c r="BG32" s="12" t="s">
        <v>88</v>
      </c>
      <c r="BH32" s="12" t="s">
        <v>88</v>
      </c>
      <c r="BI32" s="12" t="s">
        <v>88</v>
      </c>
      <c r="BJ32" s="12" t="s">
        <v>88</v>
      </c>
      <c r="BK32" s="12" t="s">
        <v>88</v>
      </c>
      <c r="BL32" s="12" t="s">
        <v>88</v>
      </c>
      <c r="BM32" s="12" t="s">
        <v>88</v>
      </c>
      <c r="BN32" s="12" t="s">
        <v>88</v>
      </c>
      <c r="BO32" s="12" t="s">
        <v>88</v>
      </c>
      <c r="BP32" s="12" t="s">
        <v>88</v>
      </c>
      <c r="BQ32" s="12" t="s">
        <v>88</v>
      </c>
      <c r="BR32" s="12" t="s">
        <v>88</v>
      </c>
      <c r="BS32" s="12" t="s">
        <v>88</v>
      </c>
      <c r="BT32" s="12" t="s">
        <v>88</v>
      </c>
      <c r="BU32" s="12" t="s">
        <v>88</v>
      </c>
      <c r="BV32" s="12" t="s">
        <v>88</v>
      </c>
      <c r="BW32" s="12" t="s">
        <v>88</v>
      </c>
      <c r="BX32" s="12" t="s">
        <v>88</v>
      </c>
      <c r="BY32" s="12" t="s">
        <v>88</v>
      </c>
      <c r="BZ32" s="12" t="s">
        <v>88</v>
      </c>
      <c r="CA32" s="12" t="s">
        <v>88</v>
      </c>
    </row>
  </sheetData>
  <sheetProtection insertRows="0" deleteRows="0"/>
  <mergeCells count="3">
    <mergeCell ref="BY1:BY6"/>
    <mergeCell ref="CA1:CA6"/>
    <mergeCell ref="BZ4:BZ6"/>
  </mergeCells>
  <conditionalFormatting sqref="A2">
    <cfRule type="cellIs" dxfId="311" priority="6" operator="equal">
      <formula>0</formula>
    </cfRule>
    <cfRule type="cellIs" dxfId="310" priority="7" operator="greaterThan">
      <formula>0</formula>
    </cfRule>
  </conditionalFormatting>
  <conditionalFormatting sqref="A1">
    <cfRule type="cellIs" dxfId="309" priority="4" operator="equal">
      <formula>0</formula>
    </cfRule>
    <cfRule type="cellIs" dxfId="308" priority="5"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extLst>
    <ext xmlns:x14="http://schemas.microsoft.com/office/spreadsheetml/2009/9/main" uri="{78C0D931-6437-407d-A8EE-F0AAD7539E65}">
      <x14:conditionalFormattings>
        <x14:conditionalFormatting xmlns:xm="http://schemas.microsoft.com/office/excel/2006/main">
          <x14:cfRule type="expression" priority="1" id="{C24BAB73-0D49-4ECF-9757-1A6FD85EAAB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F62631D-7A7F-4A2A-A0A3-CC5E7B89BE8F}">
          <x14:formula1>
            <xm:f>'Dash Data'!$D$93:$D$100</xm:f>
          </x14:formula1>
          <xm:sqref>D2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6F5CC-E1BC-4B8E-A181-2E415F77B7A3}">
  <sheetPr codeName="Sheet20">
    <tabColor rgb="FF00B0F0"/>
    <outlinePr summaryBelow="0" summaryRight="0"/>
    <pageSetUpPr autoPageBreaks="0"/>
  </sheetPr>
  <dimension ref="A1:EX213"/>
  <sheetViews>
    <sheetView showGridLines="0" zoomScaleNormal="100" workbookViewId="0">
      <pane xSplit="8" ySplit="7" topLeftCell="I194" activePane="bottomRight" state="frozen"/>
      <selection pane="topRight"/>
      <selection pane="bottomLeft"/>
      <selection pane="bottomRight" activeCell="G33" sqref="G33"/>
    </sheetView>
  </sheetViews>
  <sheetFormatPr defaultColWidth="8.5703125" defaultRowHeight="15" outlineLevelCol="1" x14ac:dyDescent="0.25"/>
  <cols>
    <col min="1" max="1" width="6.5703125" style="67" bestFit="1" customWidth="1" collapsed="1"/>
    <col min="2" max="2" width="9.42578125" style="67" bestFit="1" customWidth="1"/>
    <col min="3" max="3" width="9.42578125" style="162" bestFit="1" customWidth="1"/>
    <col min="4" max="4" width="49.5703125" style="162" customWidth="1"/>
    <col min="5" max="5" width="9.5703125" style="1" customWidth="1"/>
    <col min="6" max="7" width="9.5703125" style="67" customWidth="1"/>
    <col min="8" max="8" width="10" style="67" customWidth="1"/>
    <col min="9" max="9" width="2" style="67" bestFit="1" customWidth="1" collapsed="1"/>
    <col min="10" max="10" width="2" style="67" hidden="1" customWidth="1" outlineLevel="1" collapsed="1"/>
    <col min="11" max="14" width="8.42578125" style="67" hidden="1" customWidth="1" outlineLevel="1"/>
    <col min="15" max="18" width="12.42578125" style="67" hidden="1" customWidth="1" outlineLevel="1"/>
    <col min="19" max="19" width="1.42578125" style="67" hidden="1" customWidth="1" outlineLevel="1"/>
    <col min="20" max="21" width="11.140625" style="67" hidden="1" customWidth="1" outlineLevel="1"/>
    <col min="22" max="25" width="9.42578125" style="67" bestFit="1" customWidth="1"/>
    <col min="26" max="26" width="1.42578125" style="67" customWidth="1"/>
    <col min="27" max="62" width="9.5703125" style="67" bestFit="1" customWidth="1"/>
    <col min="63" max="63" width="1.42578125" style="67" customWidth="1"/>
    <col min="64" max="75" width="9.42578125" style="67" bestFit="1" customWidth="1"/>
    <col min="76" max="76" width="1.42578125" style="67" customWidth="1"/>
    <col min="77" max="77" width="3.42578125" style="67" customWidth="1"/>
    <col min="78" max="79" width="13.42578125" style="67" customWidth="1"/>
    <col min="80" max="83" width="13.42578125" style="335" customWidth="1"/>
    <col min="84" max="84" width="2.5703125" style="67" customWidth="1"/>
    <col min="85" max="152" width="8.5703125" style="67"/>
    <col min="153" max="153" width="8.5703125" style="67" collapsed="1"/>
    <col min="154" max="154" width="64" style="67" hidden="1" customWidth="1" outlineLevel="1"/>
    <col min="155" max="16384" width="8.5703125" style="67"/>
  </cols>
  <sheetData>
    <row r="1" spans="1:154" x14ac:dyDescent="0.25">
      <c r="A1" s="7">
        <f ca="1">ToC!A1</f>
        <v>0</v>
      </c>
      <c r="B1" s="14" t="s">
        <v>798</v>
      </c>
      <c r="C1" s="101"/>
      <c r="D1" s="131"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5" t="s">
        <v>2326</v>
      </c>
      <c r="CF1" s="575"/>
      <c r="CG1" s="67" t="s">
        <v>932</v>
      </c>
      <c r="EX1" s="5" t="s">
        <v>1563</v>
      </c>
    </row>
    <row r="2" spans="1:154" ht="14.45" customHeight="1" x14ac:dyDescent="0.25">
      <c r="A2" s="362" cm="1">
        <f t="array" aca="1" ref="A2" ca="1">HYPERLINK(CONCATENATE("#",CELL("address",IF(SUM(A$7:A$211)=0,$A$2,INDEX(A$7:A$211,MATCH(1,A$7:A$211,0))))),SUM(A$7:A$211))</f>
        <v>0</v>
      </c>
      <c r="B2" s="92" t="str" cm="1">
        <f t="array" aca="1" ref="B2" ca="1">HYPERLINK(CONCATENATE("#",CELL("address",Guide!$C$116)),Guide!$B$1)</f>
        <v>Guide</v>
      </c>
      <c r="C2" s="68"/>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CC2" s="576" t="s">
        <v>2296</v>
      </c>
      <c r="CD2" s="576" t="s">
        <v>953</v>
      </c>
      <c r="CE2" s="576" t="s">
        <v>951</v>
      </c>
      <c r="CF2" s="575"/>
      <c r="CG2" s="580" t="s">
        <v>2327</v>
      </c>
      <c r="CH2" s="583" t="s">
        <v>2328</v>
      </c>
      <c r="CI2" s="586" t="s">
        <v>2329</v>
      </c>
      <c r="CJ2" s="580" t="s">
        <v>2330</v>
      </c>
      <c r="CK2" s="583" t="s">
        <v>2331</v>
      </c>
      <c r="CL2" s="586" t="s">
        <v>2332</v>
      </c>
      <c r="CM2" s="589" t="s">
        <v>2333</v>
      </c>
      <c r="CO2" s="335"/>
      <c r="EX2" s="335"/>
    </row>
    <row r="3" spans="1:154" ht="14.45" customHeight="1" x14ac:dyDescent="0.25">
      <c r="A3" s="92" t="str" cm="1">
        <f t="array" aca="1" ref="A3" ca="1">HYPERLINK(CONCATENATE("#",CELL("address",ToC!$A$1)),ToC!$C$1)</f>
        <v>ToC</v>
      </c>
      <c r="B3" s="92" t="str" cm="1">
        <f t="array" aca="1" ref="B3" ca="1">HYPERLINK(CONCATENATE("#",CELL("address",$D$11)),$D$11)</f>
        <v>Income &amp; Expenditure</v>
      </c>
      <c r="C3" s="101"/>
      <c r="D3" s="72"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577" t="s">
        <v>596</v>
      </c>
      <c r="CA3" s="576" t="s">
        <v>169</v>
      </c>
      <c r="CB3" s="576" t="s">
        <v>2335</v>
      </c>
      <c r="CC3" s="576"/>
      <c r="CD3" s="576"/>
      <c r="CE3" s="576"/>
      <c r="CF3" s="575"/>
      <c r="CG3" s="581"/>
      <c r="CH3" s="584"/>
      <c r="CI3" s="587"/>
      <c r="CJ3" s="581"/>
      <c r="CK3" s="584"/>
      <c r="CL3" s="587"/>
      <c r="CM3" s="590"/>
      <c r="CO3" s="335"/>
      <c r="EX3" s="335"/>
    </row>
    <row r="4" spans="1:154" x14ac:dyDescent="0.25">
      <c r="A4" s="14"/>
      <c r="B4" s="92" t="str" cm="1">
        <f t="array" aca="1" ref="B4" ca="1">HYPERLINK(CONCATENATE("#",CELL("address",$B$67)),$D$63)</f>
        <v>Balance Sheet</v>
      </c>
      <c r="C4" s="101"/>
      <c r="D4" s="72"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7"/>
      <c r="CA4" s="576"/>
      <c r="CB4" s="576"/>
      <c r="CC4" s="576"/>
      <c r="CD4" s="576"/>
      <c r="CE4" s="576"/>
      <c r="CF4" s="575"/>
      <c r="CG4" s="581"/>
      <c r="CH4" s="584"/>
      <c r="CI4" s="587"/>
      <c r="CJ4" s="581"/>
      <c r="CK4" s="584"/>
      <c r="CL4" s="587"/>
      <c r="CM4" s="590"/>
      <c r="CO4" s="335"/>
      <c r="EX4" s="335"/>
    </row>
    <row r="5" spans="1:154" x14ac:dyDescent="0.25">
      <c r="A5" s="14"/>
      <c r="B5" s="92" t="str" cm="1">
        <f t="array" aca="1" ref="B5" ca="1">HYPERLINK(CONCATENATE("#",CELL("address",$B$144)),$D$141)</f>
        <v>Cash Flow</v>
      </c>
      <c r="C5" s="101"/>
      <c r="D5" s="72"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7"/>
      <c r="CA5" s="576"/>
      <c r="CB5" s="576"/>
      <c r="CC5" s="576"/>
      <c r="CD5" s="576"/>
      <c r="CE5" s="576"/>
      <c r="CF5" s="575"/>
      <c r="CG5" s="581"/>
      <c r="CH5" s="584"/>
      <c r="CI5" s="587"/>
      <c r="CJ5" s="581"/>
      <c r="CK5" s="584"/>
      <c r="CL5" s="587"/>
      <c r="CM5" s="590"/>
      <c r="CO5" s="335"/>
      <c r="EX5" s="335"/>
    </row>
    <row r="6" spans="1:154" x14ac:dyDescent="0.25">
      <c r="A6" s="80" t="str" cm="1">
        <f t="array" aca="1" ref="A6" ca="1">HYPERLINK(CONCATENATE("#",CELL("address",BY7)),"Check")</f>
        <v>Check</v>
      </c>
      <c r="B6" s="14"/>
      <c r="C6" s="14" t="str">
        <f>Template!$C$6</f>
        <v>Ref. No.</v>
      </c>
      <c r="D6" s="68" t="str">
        <f>Template!D6</f>
        <v>Description</v>
      </c>
      <c r="E6" s="14" t="s">
        <v>888</v>
      </c>
      <c r="F6" s="14"/>
      <c r="G6" s="14"/>
      <c r="H6" s="14"/>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577"/>
      <c r="CA6" s="576"/>
      <c r="CB6" s="576"/>
      <c r="CC6" s="576"/>
      <c r="CD6" s="576"/>
      <c r="CE6" s="576"/>
      <c r="CF6" s="575"/>
      <c r="CG6" s="582"/>
      <c r="CH6" s="585"/>
      <c r="CI6" s="588"/>
      <c r="CJ6" s="582"/>
      <c r="CK6" s="585"/>
      <c r="CL6" s="588"/>
      <c r="CM6" s="591"/>
      <c r="CO6" s="335"/>
      <c r="EX6" s="335"/>
    </row>
    <row r="7" spans="1:154" ht="15.75" x14ac:dyDescent="0.3">
      <c r="B7" s="139" t="s">
        <v>2494</v>
      </c>
      <c r="D7" s="69"/>
      <c r="E7" s="67"/>
      <c r="BM7" s="6"/>
      <c r="BY7" s="42"/>
      <c r="BZ7" s="479" t="s">
        <v>335</v>
      </c>
      <c r="CA7" s="479" t="s">
        <v>335</v>
      </c>
      <c r="CB7" s="479" t="s">
        <v>335</v>
      </c>
      <c r="CC7" s="105" t="s">
        <v>335</v>
      </c>
      <c r="CD7" s="105" t="s">
        <v>335</v>
      </c>
      <c r="CE7" s="105" t="s">
        <v>335</v>
      </c>
      <c r="CF7" s="42"/>
      <c r="EX7" s="335"/>
    </row>
    <row r="8" spans="1:154" s="328" customFormat="1" ht="8.1" customHeight="1" x14ac:dyDescent="0.25">
      <c r="C8" s="356"/>
      <c r="D8" s="69"/>
      <c r="BY8" s="12"/>
      <c r="CB8" s="335"/>
      <c r="CC8" s="335"/>
      <c r="CD8" s="335"/>
      <c r="CE8" s="335"/>
      <c r="CF8" s="42"/>
      <c r="CH8" s="332"/>
      <c r="CI8" s="332"/>
      <c r="EX8" s="10" t="str">
        <f>IF($C8="","",$D8)</f>
        <v/>
      </c>
    </row>
    <row r="9" spans="1:154" s="328" customFormat="1" ht="15.75" x14ac:dyDescent="0.3">
      <c r="B9" s="479" t="s">
        <v>335</v>
      </c>
      <c r="C9" s="356"/>
      <c r="D9" s="529" t="s">
        <v>2495</v>
      </c>
      <c r="S9" s="335"/>
      <c r="T9" s="335"/>
      <c r="U9" s="335"/>
      <c r="V9" s="45">
        <f>'BS Forecasts'!V$10</f>
        <v>0</v>
      </c>
      <c r="W9" s="45">
        <f>'BS Forecasts'!W$10</f>
        <v>1</v>
      </c>
      <c r="X9" s="45">
        <f>'BS Forecasts'!X$10</f>
        <v>1</v>
      </c>
      <c r="Y9" s="45">
        <f>'BS Forecasts'!Y$10</f>
        <v>1</v>
      </c>
      <c r="Z9" s="335"/>
      <c r="AA9" s="45">
        <f>'BS Forecasts'!AA$10</f>
        <v>1</v>
      </c>
      <c r="AB9" s="45">
        <f>'BS Forecasts'!AB$10</f>
        <v>1</v>
      </c>
      <c r="AC9" s="45">
        <f>'BS Forecasts'!AC$10</f>
        <v>1</v>
      </c>
      <c r="AD9" s="45">
        <f>'BS Forecasts'!AD$10</f>
        <v>1</v>
      </c>
      <c r="AE9" s="45">
        <f>'BS Forecasts'!AE$10</f>
        <v>1</v>
      </c>
      <c r="AF9" s="45">
        <f>'BS Forecasts'!AF$10</f>
        <v>1</v>
      </c>
      <c r="AG9" s="45">
        <f>'BS Forecasts'!AG$10</f>
        <v>1</v>
      </c>
      <c r="AH9" s="45">
        <f>'BS Forecasts'!AH$10</f>
        <v>1</v>
      </c>
      <c r="AI9" s="45">
        <f>'BS Forecasts'!AI$10</f>
        <v>1</v>
      </c>
      <c r="AJ9" s="45">
        <f>'BS Forecasts'!AJ$10</f>
        <v>1</v>
      </c>
      <c r="AK9" s="45">
        <f>'BS Forecasts'!AK$10</f>
        <v>1</v>
      </c>
      <c r="AL9" s="45">
        <f>'BS Forecasts'!AL$10</f>
        <v>1</v>
      </c>
      <c r="AM9" s="45">
        <f>'BS Forecasts'!AM$10</f>
        <v>1</v>
      </c>
      <c r="AN9" s="45">
        <f>'BS Forecasts'!AN$10</f>
        <v>1</v>
      </c>
      <c r="AO9" s="45">
        <f>'BS Forecasts'!AO$10</f>
        <v>1</v>
      </c>
      <c r="AP9" s="45">
        <f>'BS Forecasts'!AP$10</f>
        <v>1</v>
      </c>
      <c r="AQ9" s="45">
        <f>'BS Forecasts'!AQ$10</f>
        <v>1</v>
      </c>
      <c r="AR9" s="45">
        <f>'BS Forecasts'!AR$10</f>
        <v>1</v>
      </c>
      <c r="AS9" s="45">
        <f>'BS Forecasts'!AS$10</f>
        <v>1</v>
      </c>
      <c r="AT9" s="45">
        <f>'BS Forecasts'!AT$10</f>
        <v>1</v>
      </c>
      <c r="AU9" s="45">
        <f>'BS Forecasts'!AU$10</f>
        <v>1</v>
      </c>
      <c r="AV9" s="45">
        <f>'BS Forecasts'!AV$10</f>
        <v>1</v>
      </c>
      <c r="AW9" s="45">
        <f>'BS Forecasts'!AW$10</f>
        <v>1</v>
      </c>
      <c r="AX9" s="45">
        <f>'BS Forecasts'!AX$10</f>
        <v>1</v>
      </c>
      <c r="AY9" s="45">
        <f>'BS Forecasts'!AY$10</f>
        <v>1</v>
      </c>
      <c r="AZ9" s="45">
        <f>'BS Forecasts'!AZ$10</f>
        <v>1</v>
      </c>
      <c r="BA9" s="45">
        <f>'BS Forecasts'!BA$10</f>
        <v>1</v>
      </c>
      <c r="BB9" s="45">
        <f>'BS Forecasts'!BB$10</f>
        <v>1</v>
      </c>
      <c r="BC9" s="45">
        <f>'BS Forecasts'!BC$10</f>
        <v>1</v>
      </c>
      <c r="BD9" s="45">
        <f>'BS Forecasts'!BD$10</f>
        <v>1</v>
      </c>
      <c r="BE9" s="45">
        <f>'BS Forecasts'!BE$10</f>
        <v>1</v>
      </c>
      <c r="BF9" s="45">
        <f>'BS Forecasts'!BF$10</f>
        <v>1</v>
      </c>
      <c r="BG9" s="45">
        <f>'BS Forecasts'!BG$10</f>
        <v>1</v>
      </c>
      <c r="BH9" s="45">
        <f>'BS Forecasts'!BH$10</f>
        <v>1</v>
      </c>
      <c r="BI9" s="45">
        <f>'BS Forecasts'!BI$10</f>
        <v>1</v>
      </c>
      <c r="BJ9" s="45">
        <f>'BS Forecasts'!BJ$10</f>
        <v>1</v>
      </c>
      <c r="BK9" s="335"/>
      <c r="BL9" s="45">
        <f>'BS Forecasts'!BL$10</f>
        <v>0</v>
      </c>
      <c r="BM9" s="45">
        <f>'BS Forecasts'!BM$10</f>
        <v>1</v>
      </c>
      <c r="BN9" s="45">
        <f>'BS Forecasts'!BN$10</f>
        <v>1</v>
      </c>
      <c r="BO9" s="45">
        <f>'BS Forecasts'!BO$10</f>
        <v>1</v>
      </c>
      <c r="BP9" s="45">
        <f>'BS Forecasts'!BP$10</f>
        <v>0</v>
      </c>
      <c r="BQ9" s="45">
        <f>'BS Forecasts'!BQ$10</f>
        <v>0</v>
      </c>
      <c r="BR9" s="45">
        <f>'BS Forecasts'!BR$10</f>
        <v>0</v>
      </c>
      <c r="BS9" s="45">
        <f>'BS Forecasts'!BS$10</f>
        <v>0</v>
      </c>
      <c r="BT9" s="45">
        <f>'BS Forecasts'!BT$10</f>
        <v>0</v>
      </c>
      <c r="BU9" s="45">
        <f>'BS Forecasts'!BU$10</f>
        <v>0</v>
      </c>
      <c r="BV9" s="45">
        <f>'BS Forecasts'!BV$10</f>
        <v>0</v>
      </c>
      <c r="BW9" s="45">
        <f>'BS Forecasts'!BW$10</f>
        <v>0</v>
      </c>
      <c r="BY9" s="12"/>
      <c r="CB9" s="335"/>
      <c r="CC9" s="335"/>
      <c r="CD9" s="335"/>
      <c r="CE9" s="335"/>
      <c r="CF9" s="42"/>
      <c r="CH9" s="332"/>
      <c r="CI9" s="332"/>
      <c r="EX9" s="10" t="str">
        <f t="shared" ref="EX9:EX73" si="0">IF($C9="","",$D9)</f>
        <v/>
      </c>
    </row>
    <row r="10" spans="1:154" ht="8.1" customHeight="1" x14ac:dyDescent="0.25">
      <c r="A10" s="157"/>
      <c r="B10" s="157"/>
      <c r="C10" s="180"/>
      <c r="D10" s="556"/>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42"/>
      <c r="CF10" s="42"/>
      <c r="EX10" s="10" t="str">
        <f t="shared" si="0"/>
        <v/>
      </c>
    </row>
    <row r="11" spans="1:154" x14ac:dyDescent="0.25">
      <c r="A11" s="40"/>
      <c r="B11" s="40" t="s">
        <v>593</v>
      </c>
      <c r="C11" s="99"/>
      <c r="D11" s="559" t="s">
        <v>603</v>
      </c>
      <c r="E11" s="40"/>
      <c r="F11" s="40"/>
      <c r="G11" s="40"/>
      <c r="H11" s="40"/>
      <c r="I11" s="40"/>
      <c r="J11" s="40"/>
      <c r="K11" s="40"/>
      <c r="L11" s="40"/>
      <c r="M11" s="40"/>
      <c r="N11" s="40"/>
      <c r="O11" s="40"/>
      <c r="P11" s="40"/>
      <c r="Q11" s="40"/>
      <c r="R11" s="40"/>
      <c r="S11" s="40"/>
      <c r="T11" s="40"/>
      <c r="U11" s="40"/>
      <c r="V11" s="186" t="str" cm="1">
        <f t="array" aca="1" ref="V11" ca="1">HYPERLINK(CONCATENATE("#",CELL("address",$BW11)),"Link to 12 Year Annual Timeline")</f>
        <v>Link to 12 Year Annual Timeline</v>
      </c>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186" t="str" cm="1">
        <f t="array" aca="1" ref="BL11" ca="1">HYPERLINK(CONCATENATE("#",CELL("address",$V11)),"Link to 4 Year Annual Timeline")</f>
        <v>Link to 4 Year Annual Timeline</v>
      </c>
      <c r="BM11" s="40"/>
      <c r="BN11" s="40"/>
      <c r="BO11" s="40"/>
      <c r="BP11" s="40"/>
      <c r="BQ11" s="40"/>
      <c r="BR11" s="40"/>
      <c r="BS11" s="40"/>
      <c r="BT11" s="40"/>
      <c r="BU11" s="40"/>
      <c r="BV11" s="40"/>
      <c r="BW11" s="40"/>
      <c r="BX11" s="40"/>
      <c r="BY11" s="12"/>
      <c r="CF11" s="42"/>
      <c r="EX11" s="10" t="str">
        <f t="shared" si="0"/>
        <v/>
      </c>
    </row>
    <row r="12" spans="1:154" ht="8.1" customHeight="1" x14ac:dyDescent="0.25">
      <c r="A12" s="157"/>
      <c r="B12" s="157"/>
      <c r="C12" s="356"/>
      <c r="D12" s="556"/>
      <c r="E12" s="157"/>
      <c r="F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42"/>
      <c r="CF12" s="42"/>
      <c r="EX12" s="10" t="str">
        <f t="shared" si="0"/>
        <v/>
      </c>
    </row>
    <row r="13" spans="1:154" ht="27" customHeight="1" x14ac:dyDescent="0.25">
      <c r="A13" s="362" cm="1">
        <f t="array" aca="1" ref="A13" ca="1">HYPERLINK(CONCATENATE("#",CELL("address",IF(SUM($BY13:$CF13)=0,A13,INDEX($BY13:$CF13,MATCH(1,$BY13:$CF13,0))))),SUM($BY13:$CF13))</f>
        <v>0</v>
      </c>
      <c r="C13" s="343" t="s">
        <v>1461</v>
      </c>
      <c r="D13" s="556" t="s">
        <v>594</v>
      </c>
      <c r="E13" s="130" t="str" cm="1">
        <f t="array" aca="1" ref="E13" ca="1">HYPERLINK(CONCATENATE("#",CELL("address",'I&amp;E Annual'!$D$15)),'I&amp;E Annual'!$D$15)</f>
        <v>Total 14-16 Income</v>
      </c>
      <c r="F13" s="130" t="str" cm="1">
        <f t="array" aca="1" ref="F13" ca="1">HYPERLINK(CONCATENATE("#",CELL("address",'I&amp;E Annual'!$D$28)),'I&amp;E Annual'!$D$28)</f>
        <v>Total 16-19 Income</v>
      </c>
      <c r="H13" s="335"/>
      <c r="I13" s="335"/>
      <c r="J13" s="157"/>
      <c r="S13" s="157"/>
      <c r="T13" s="157"/>
      <c r="U13" s="157"/>
      <c r="V13" s="13">
        <f>BL13</f>
        <v>0</v>
      </c>
      <c r="W13" s="13">
        <f t="shared" ref="W13:Y21" si="1">BM13</f>
        <v>21270</v>
      </c>
      <c r="X13" s="13">
        <f t="shared" si="1"/>
        <v>22371</v>
      </c>
      <c r="Y13" s="13">
        <f t="shared" si="1"/>
        <v>23144.85</v>
      </c>
      <c r="Z13" s="157"/>
      <c r="AA13" s="121">
        <f>'I&amp;E Annual'!AA$15+'I&amp;E Annual'!AA$28</f>
        <v>2586</v>
      </c>
      <c r="AB13" s="121">
        <f>'I&amp;E Annual'!AB$15+'I&amp;E Annual'!AB$28</f>
        <v>1944</v>
      </c>
      <c r="AC13" s="121">
        <f>'I&amp;E Annual'!AC$15+'I&amp;E Annual'!AC$28</f>
        <v>2049</v>
      </c>
      <c r="AD13" s="121">
        <f>'I&amp;E Annual'!AD$15+'I&amp;E Annual'!AD$28</f>
        <v>1692</v>
      </c>
      <c r="AE13" s="121">
        <f>'I&amp;E Annual'!AE$15+'I&amp;E Annual'!AE$28</f>
        <v>1176</v>
      </c>
      <c r="AF13" s="121">
        <f>'I&amp;E Annual'!AF$15+'I&amp;E Annual'!AF$28</f>
        <v>1186</v>
      </c>
      <c r="AG13" s="121">
        <f>'I&amp;E Annual'!AG$15+'I&amp;E Annual'!AG$28</f>
        <v>1125</v>
      </c>
      <c r="AH13" s="121">
        <f>'I&amp;E Annual'!AH$15+'I&amp;E Annual'!AH$28</f>
        <v>1150</v>
      </c>
      <c r="AI13" s="121">
        <f>'I&amp;E Annual'!AI$15+'I&amp;E Annual'!AI$28</f>
        <v>2643</v>
      </c>
      <c r="AJ13" s="121">
        <f>'I&amp;E Annual'!AJ$15+'I&amp;E Annual'!AJ$28</f>
        <v>2496</v>
      </c>
      <c r="AK13" s="121">
        <f>'I&amp;E Annual'!AK$15+'I&amp;E Annual'!AK$28</f>
        <v>2021</v>
      </c>
      <c r="AL13" s="121">
        <f>'I&amp;E Annual'!AL$15+'I&amp;E Annual'!AL$28</f>
        <v>1202</v>
      </c>
      <c r="AM13" s="121">
        <f>'I&amp;E Annual'!AM$15+'I&amp;E Annual'!AM$28</f>
        <v>2789</v>
      </c>
      <c r="AN13" s="121">
        <f>'I&amp;E Annual'!AN$15+'I&amp;E Annual'!AN$28</f>
        <v>2096</v>
      </c>
      <c r="AO13" s="121">
        <f>'I&amp;E Annual'!AO$15+'I&amp;E Annual'!AO$28</f>
        <v>2121</v>
      </c>
      <c r="AP13" s="121">
        <f>'I&amp;E Annual'!AP$15+'I&amp;E Annual'!AP$28</f>
        <v>1652</v>
      </c>
      <c r="AQ13" s="121">
        <f>'I&amp;E Annual'!AQ$15+'I&amp;E Annual'!AQ$28</f>
        <v>1256</v>
      </c>
      <c r="AR13" s="121">
        <f>'I&amp;E Annual'!AR$15+'I&amp;E Annual'!AR$28</f>
        <v>1244</v>
      </c>
      <c r="AS13" s="121">
        <f>'I&amp;E Annual'!AS$15+'I&amp;E Annual'!AS$28</f>
        <v>1153</v>
      </c>
      <c r="AT13" s="121">
        <f>'I&amp;E Annual'!AT$15+'I&amp;E Annual'!AT$28</f>
        <v>1274</v>
      </c>
      <c r="AU13" s="121">
        <f>'I&amp;E Annual'!AU$15+'I&amp;E Annual'!AU$28</f>
        <v>2805</v>
      </c>
      <c r="AV13" s="121">
        <f>'I&amp;E Annual'!AV$15+'I&amp;E Annual'!AV$28</f>
        <v>2579</v>
      </c>
      <c r="AW13" s="121">
        <f>'I&amp;E Annual'!AW$15+'I&amp;E Annual'!AW$28</f>
        <v>2130</v>
      </c>
      <c r="AX13" s="121">
        <f>'I&amp;E Annual'!AX$15+'I&amp;E Annual'!AX$28</f>
        <v>1272</v>
      </c>
      <c r="AY13" s="121">
        <f>'I&amp;E Annual'!AY$15+'I&amp;E Annual'!AY$28</f>
        <v>2884.3033333333337</v>
      </c>
      <c r="AZ13" s="121">
        <f>'I&amp;E Annual'!AZ$15+'I&amp;E Annual'!AZ$28</f>
        <v>2167.6466666666665</v>
      </c>
      <c r="BA13" s="121">
        <f>'I&amp;E Annual'!BA$15+'I&amp;E Annual'!BA$28</f>
        <v>2193.5333333333333</v>
      </c>
      <c r="BB13" s="121">
        <f>'I&amp;E Annual'!BB$15+'I&amp;E Annual'!BB$28</f>
        <v>1708.4666666666667</v>
      </c>
      <c r="BC13" s="121">
        <f>'I&amp;E Annual'!BC$15+'I&amp;E Annual'!BC$28</f>
        <v>1298.6100000000001</v>
      </c>
      <c r="BD13" s="121">
        <f>'I&amp;E Annual'!BD$15+'I&amp;E Annual'!BD$28</f>
        <v>1286.6100000000001</v>
      </c>
      <c r="BE13" s="121">
        <f>'I&amp;E Annual'!BE$15+'I&amp;E Annual'!BE$28</f>
        <v>1192.4833333333333</v>
      </c>
      <c r="BF13" s="121">
        <f>'I&amp;E Annual'!BF$15+'I&amp;E Annual'!BF$28</f>
        <v>1323.0766666666668</v>
      </c>
      <c r="BG13" s="121">
        <f>'I&amp;E Annual'!BG$15+'I&amp;E Annual'!BG$28</f>
        <v>2905.3033333333337</v>
      </c>
      <c r="BH13" s="121">
        <f>'I&amp;E Annual'!BH$15+'I&amp;E Annual'!BH$28</f>
        <v>2666.9533333333334</v>
      </c>
      <c r="BI13" s="121">
        <f>'I&amp;E Annual'!BI$15+'I&amp;E Annual'!BI$28</f>
        <v>2202.7733333333335</v>
      </c>
      <c r="BJ13" s="121">
        <f>'I&amp;E Annual'!BJ$15+'I&amp;E Annual'!BJ$28</f>
        <v>1315.09</v>
      </c>
      <c r="BK13" s="157"/>
      <c r="BL13" s="121">
        <f>'I&amp;E Annual'!BL$15+'I&amp;E Annual'!BL$28</f>
        <v>0</v>
      </c>
      <c r="BM13" s="121">
        <f>'I&amp;E Annual'!BM$15+'I&amp;E Annual'!BM$28</f>
        <v>21270</v>
      </c>
      <c r="BN13" s="121">
        <f>'I&amp;E Annual'!BN$15+'I&amp;E Annual'!BN$28</f>
        <v>22371</v>
      </c>
      <c r="BO13" s="121">
        <f>'I&amp;E Annual'!BO$15+'I&amp;E Annual'!BO$28</f>
        <v>23144.85</v>
      </c>
      <c r="BP13" s="121">
        <f>'I&amp;E Annual'!BP$15+'I&amp;E Annual'!BP$28</f>
        <v>0</v>
      </c>
      <c r="BQ13" s="121">
        <f>'I&amp;E Annual'!BQ$15+'I&amp;E Annual'!BQ$28</f>
        <v>0</v>
      </c>
      <c r="BR13" s="121">
        <f>'I&amp;E Annual'!BR$15+'I&amp;E Annual'!BR$28</f>
        <v>0</v>
      </c>
      <c r="BS13" s="121">
        <f>'I&amp;E Annual'!BS$15+'I&amp;E Annual'!BS$28</f>
        <v>0</v>
      </c>
      <c r="BT13" s="121">
        <f>'I&amp;E Annual'!BT$15+'I&amp;E Annual'!BT$28</f>
        <v>0</v>
      </c>
      <c r="BU13" s="121">
        <f>'I&amp;E Annual'!BU$15+'I&amp;E Annual'!BU$28</f>
        <v>0</v>
      </c>
      <c r="BV13" s="121">
        <f>'I&amp;E Annual'!BV$15+'I&amp;E Annual'!BV$28</f>
        <v>0</v>
      </c>
      <c r="BW13" s="121">
        <f>'I&amp;E Annual'!BW$15+'I&amp;E Annual'!BW$28</f>
        <v>0</v>
      </c>
      <c r="BY13" s="42"/>
      <c r="CC13" s="126">
        <f>IF(SUM($CG13:$CI13)=0, 0, 1)</f>
        <v>0</v>
      </c>
      <c r="CD13" s="126">
        <f>IF(SUM($CJ13:$CL13)=0, 0, 1)</f>
        <v>0</v>
      </c>
      <c r="CE13" s="126">
        <f>IF(CM13=0, 0, 1)</f>
        <v>0</v>
      </c>
      <c r="CF13" s="42"/>
      <c r="CG13" s="352">
        <f t="shared" ref="CG13:CG24" si="2">ROUND(W13-SUMIFS($AA13:$BJ13, $AA$3:$BJ$3, W$3), rounding)</f>
        <v>0</v>
      </c>
      <c r="CH13" s="352">
        <f t="shared" ref="CH13:CH24" si="3">ROUND($X13-SUMIFS($AA13:$BJ13, $AA$3:$BJ$3, X$3), rounding)</f>
        <v>0</v>
      </c>
      <c r="CI13" s="352">
        <f t="shared" ref="CI13:CI24" si="4">ROUND($Y13-SUMIFS($AA13:$BJ13, $AA$3:$BJ$3, Y$3), rounding)</f>
        <v>0</v>
      </c>
      <c r="CJ13" s="352">
        <f t="shared" ref="CJ13:CJ24" si="5">ROUND(W13-BM13, rounding)</f>
        <v>0</v>
      </c>
      <c r="CK13" s="352">
        <f t="shared" ref="CK13:CK24" si="6">ROUND(X13-BN13, rounding)</f>
        <v>0</v>
      </c>
      <c r="CL13" s="352">
        <f t="shared" ref="CL13:CL24" si="7">ROUND(Y13-BO13, rounding)</f>
        <v>0</v>
      </c>
      <c r="CM13" s="352">
        <f t="shared" ref="CM13:CM24" si="8">ROUND(V13-BL13, rounding)</f>
        <v>0</v>
      </c>
      <c r="EX13" s="10" t="str">
        <f t="shared" si="0"/>
        <v>Total 14-19 Income</v>
      </c>
    </row>
    <row r="14" spans="1:154" ht="15" customHeight="1" x14ac:dyDescent="0.25">
      <c r="A14" s="362" cm="1">
        <f t="array" aca="1" ref="A14" ca="1">HYPERLINK(CONCATENATE("#",CELL("address",IF(SUM($BY14:$CF14)=0,A14,INDEX($BY14:$CF14,MATCH(1,$BY14:$CF14,0))))),SUM($BY14:$CF14))</f>
        <v>0</v>
      </c>
      <c r="C14" s="343" t="str">
        <f>CONCATENATE("FS-",'I&amp;E Annual'!C$37)</f>
        <v>FS-IE-1b</v>
      </c>
      <c r="D14" s="560" t="str" cm="1">
        <f t="array" aca="1" ref="D14" ca="1">HYPERLINK(CONCATENATE("#",CELL("address",'I&amp;E Annual'!$D$37)),'I&amp;E Annual'!$D$37)</f>
        <v>Total Apprenticeships Income</v>
      </c>
      <c r="E14" s="67"/>
      <c r="H14" s="335"/>
      <c r="I14" s="335"/>
      <c r="J14" s="157"/>
      <c r="Q14" s="335"/>
      <c r="R14" s="335"/>
      <c r="S14" s="157"/>
      <c r="T14" s="157"/>
      <c r="U14" s="157"/>
      <c r="V14" s="13">
        <f>BL14</f>
        <v>0</v>
      </c>
      <c r="W14" s="13">
        <f t="shared" si="1"/>
        <v>509</v>
      </c>
      <c r="X14" s="13">
        <f t="shared" si="1"/>
        <v>615</v>
      </c>
      <c r="Y14" s="13">
        <f t="shared" si="1"/>
        <v>638.89</v>
      </c>
      <c r="Z14" s="157"/>
      <c r="AA14" s="121">
        <f>'I&amp;E Annual'!AA$37</f>
        <v>0</v>
      </c>
      <c r="AB14" s="121">
        <f>'I&amp;E Annual'!AB$37</f>
        <v>32</v>
      </c>
      <c r="AC14" s="121">
        <f>'I&amp;E Annual'!AC$37</f>
        <v>41</v>
      </c>
      <c r="AD14" s="121">
        <f>'I&amp;E Annual'!AD$37</f>
        <v>65</v>
      </c>
      <c r="AE14" s="121">
        <f>'I&amp;E Annual'!AE$37</f>
        <v>69</v>
      </c>
      <c r="AF14" s="121">
        <f>'I&amp;E Annual'!AF$37</f>
        <v>38</v>
      </c>
      <c r="AG14" s="121">
        <f>'I&amp;E Annual'!AG$37</f>
        <v>51</v>
      </c>
      <c r="AH14" s="121">
        <f>'I&amp;E Annual'!AH$37</f>
        <v>39</v>
      </c>
      <c r="AI14" s="121">
        <f>'I&amp;E Annual'!AI$37</f>
        <v>45</v>
      </c>
      <c r="AJ14" s="121">
        <f>'I&amp;E Annual'!AJ$37</f>
        <v>49</v>
      </c>
      <c r="AK14" s="121">
        <f>'I&amp;E Annual'!AK$37</f>
        <v>40</v>
      </c>
      <c r="AL14" s="121">
        <f>'I&amp;E Annual'!AL$37</f>
        <v>40</v>
      </c>
      <c r="AM14" s="121">
        <f>'I&amp;E Annual'!AM$37</f>
        <v>36</v>
      </c>
      <c r="AN14" s="121">
        <f>'I&amp;E Annual'!AN$37</f>
        <v>40</v>
      </c>
      <c r="AO14" s="121">
        <f>'I&amp;E Annual'!AO$37</f>
        <v>40</v>
      </c>
      <c r="AP14" s="121">
        <f>'I&amp;E Annual'!AP$37</f>
        <v>45</v>
      </c>
      <c r="AQ14" s="121">
        <f>'I&amp;E Annual'!AQ$37</f>
        <v>49</v>
      </c>
      <c r="AR14" s="121">
        <f>'I&amp;E Annual'!AR$37</f>
        <v>55</v>
      </c>
      <c r="AS14" s="121">
        <f>'I&amp;E Annual'!AS$37</f>
        <v>55</v>
      </c>
      <c r="AT14" s="121">
        <f>'I&amp;E Annual'!AT$37</f>
        <v>55</v>
      </c>
      <c r="AU14" s="121">
        <f>'I&amp;E Annual'!AU$37</f>
        <v>55</v>
      </c>
      <c r="AV14" s="121">
        <f>'I&amp;E Annual'!AV$37</f>
        <v>55</v>
      </c>
      <c r="AW14" s="121">
        <f>'I&amp;E Annual'!AW$37</f>
        <v>65</v>
      </c>
      <c r="AX14" s="121">
        <f>'I&amp;E Annual'!AX$37</f>
        <v>65</v>
      </c>
      <c r="AY14" s="121">
        <f>'I&amp;E Annual'!AY$37</f>
        <v>36.54</v>
      </c>
      <c r="AZ14" s="121">
        <f>'I&amp;E Annual'!AZ$37</f>
        <v>40.599999999999994</v>
      </c>
      <c r="BA14" s="121">
        <f>'I&amp;E Annual'!BA$37</f>
        <v>40.599999999999994</v>
      </c>
      <c r="BB14" s="121">
        <f>'I&amp;E Annual'!BB$37</f>
        <v>45.674999999999997</v>
      </c>
      <c r="BC14" s="121">
        <f>'I&amp;E Annual'!BC$37</f>
        <v>50.224999999999994</v>
      </c>
      <c r="BD14" s="121">
        <f>'I&amp;E Annual'!BD$37</f>
        <v>57.75</v>
      </c>
      <c r="BE14" s="121">
        <f>'I&amp;E Annual'!BE$37</f>
        <v>57.75</v>
      </c>
      <c r="BF14" s="121">
        <f>'I&amp;E Annual'!BF$37</f>
        <v>57.75</v>
      </c>
      <c r="BG14" s="121">
        <f>'I&amp;E Annual'!BG$37</f>
        <v>57.75</v>
      </c>
      <c r="BH14" s="121">
        <f>'I&amp;E Annual'!BH$37</f>
        <v>57.75</v>
      </c>
      <c r="BI14" s="121">
        <f>'I&amp;E Annual'!BI$37</f>
        <v>68.25</v>
      </c>
      <c r="BJ14" s="121">
        <f>'I&amp;E Annual'!BJ$37</f>
        <v>68.25</v>
      </c>
      <c r="BK14" s="157"/>
      <c r="BL14" s="121">
        <f>'I&amp;E Annual'!BL$37</f>
        <v>0</v>
      </c>
      <c r="BM14" s="121">
        <f>'I&amp;E Annual'!BM$37</f>
        <v>509</v>
      </c>
      <c r="BN14" s="121">
        <f>'I&amp;E Annual'!BN$37</f>
        <v>615</v>
      </c>
      <c r="BO14" s="121">
        <f>'I&amp;E Annual'!BO$37</f>
        <v>638.89</v>
      </c>
      <c r="BP14" s="121">
        <f>'I&amp;E Annual'!BP$37</f>
        <v>0</v>
      </c>
      <c r="BQ14" s="121">
        <f>'I&amp;E Annual'!BQ$37</f>
        <v>0</v>
      </c>
      <c r="BR14" s="121">
        <f>'I&amp;E Annual'!BR$37</f>
        <v>0</v>
      </c>
      <c r="BS14" s="121">
        <f>'I&amp;E Annual'!BS$37</f>
        <v>0</v>
      </c>
      <c r="BT14" s="121">
        <f>'I&amp;E Annual'!BT$37</f>
        <v>0</v>
      </c>
      <c r="BU14" s="121">
        <f>'I&amp;E Annual'!BU$37</f>
        <v>0</v>
      </c>
      <c r="BV14" s="121">
        <f>'I&amp;E Annual'!BV$37</f>
        <v>0</v>
      </c>
      <c r="BW14" s="121">
        <f>'I&amp;E Annual'!BW$37</f>
        <v>0</v>
      </c>
      <c r="BY14" s="42"/>
      <c r="CC14" s="126">
        <f t="shared" ref="CC14:CC61" si="9">IF(SUM($CG14:$CI14)=0, 0, 1)</f>
        <v>0</v>
      </c>
      <c r="CD14" s="126">
        <f t="shared" ref="CD14:CD61" si="10">IF(SUM($CJ14:$CL14)=0, 0, 1)</f>
        <v>0</v>
      </c>
      <c r="CE14" s="126">
        <f t="shared" ref="CE14:CE24" si="11">IF(CM14=0, 0, 1)</f>
        <v>0</v>
      </c>
      <c r="CF14" s="42"/>
      <c r="CG14" s="352">
        <f t="shared" si="2"/>
        <v>0</v>
      </c>
      <c r="CH14" s="352">
        <f t="shared" si="3"/>
        <v>0</v>
      </c>
      <c r="CI14" s="352">
        <f t="shared" si="4"/>
        <v>0</v>
      </c>
      <c r="CJ14" s="352">
        <f t="shared" si="5"/>
        <v>0</v>
      </c>
      <c r="CK14" s="352">
        <f t="shared" si="6"/>
        <v>0</v>
      </c>
      <c r="CL14" s="352">
        <f t="shared" si="7"/>
        <v>0</v>
      </c>
      <c r="CM14" s="352">
        <f t="shared" si="8"/>
        <v>0</v>
      </c>
      <c r="EX14" s="10" t="str">
        <f t="shared" ca="1" si="0"/>
        <v>Total Apprenticeships Income</v>
      </c>
    </row>
    <row r="15" spans="1:154" ht="15" customHeight="1" x14ac:dyDescent="0.25">
      <c r="A15" s="362" cm="1">
        <f t="array" aca="1" ref="A15" ca="1">HYPERLINK(CONCATENATE("#",CELL("address",IF(SUM($BY15:$CF15)=0,A15,INDEX($BY15:$CF15,MATCH(1,$BY15:$CF15,0))))),SUM($BY15:$CF15))</f>
        <v>0</v>
      </c>
      <c r="C15" s="343" t="str">
        <f>CONCATENATE("FS-",'I&amp;E Annual'!C$49)</f>
        <v>FS-IE-1c</v>
      </c>
      <c r="D15" s="560" t="str" cm="1">
        <f t="array" aca="1" ref="D15" ca="1">HYPERLINK(CONCATENATE("#",CELL("address",'I&amp;E Annual'!$D$49)),'I&amp;E Annual'!$D$49)</f>
        <v>Total Adult Education and Training Income (Excluding clawbacks)</v>
      </c>
      <c r="H15" s="335"/>
      <c r="I15" s="335"/>
      <c r="J15" s="157"/>
      <c r="Q15" s="335"/>
      <c r="R15" s="335"/>
      <c r="S15" s="157"/>
      <c r="T15" s="157"/>
      <c r="U15" s="157"/>
      <c r="V15" s="13">
        <f t="shared" ref="V15:V21" si="12">BL15</f>
        <v>0</v>
      </c>
      <c r="W15" s="13">
        <f t="shared" si="1"/>
        <v>1461</v>
      </c>
      <c r="X15" s="13">
        <f t="shared" si="1"/>
        <v>1497</v>
      </c>
      <c r="Y15" s="13">
        <f t="shared" si="1"/>
        <v>1567.3999999999996</v>
      </c>
      <c r="Z15" s="157"/>
      <c r="AA15" s="121">
        <f>'I&amp;E Annual'!AA$49</f>
        <v>212</v>
      </c>
      <c r="AB15" s="121">
        <f>'I&amp;E Annual'!AB$49</f>
        <v>126</v>
      </c>
      <c r="AC15" s="121">
        <f>'I&amp;E Annual'!AC$49</f>
        <v>128</v>
      </c>
      <c r="AD15" s="121">
        <f>'I&amp;E Annual'!AD$49</f>
        <v>104</v>
      </c>
      <c r="AE15" s="121">
        <f>'I&amp;E Annual'!AE$49</f>
        <v>83</v>
      </c>
      <c r="AF15" s="121">
        <f>'I&amp;E Annual'!AF$49</f>
        <v>109</v>
      </c>
      <c r="AG15" s="121">
        <f>'I&amp;E Annual'!AG$49</f>
        <v>79</v>
      </c>
      <c r="AH15" s="121">
        <f>'I&amp;E Annual'!AH$49</f>
        <v>79</v>
      </c>
      <c r="AI15" s="121">
        <f>'I&amp;E Annual'!AI$49</f>
        <v>188</v>
      </c>
      <c r="AJ15" s="121">
        <f>'I&amp;E Annual'!AJ$49</f>
        <v>151</v>
      </c>
      <c r="AK15" s="121">
        <f>'I&amp;E Annual'!AK$49</f>
        <v>129</v>
      </c>
      <c r="AL15" s="121">
        <f>'I&amp;E Annual'!AL$49</f>
        <v>73</v>
      </c>
      <c r="AM15" s="121">
        <f>'I&amp;E Annual'!AM$49</f>
        <v>215</v>
      </c>
      <c r="AN15" s="121">
        <f>'I&amp;E Annual'!AN$49</f>
        <v>129</v>
      </c>
      <c r="AO15" s="121">
        <f>'I&amp;E Annual'!AO$49</f>
        <v>131</v>
      </c>
      <c r="AP15" s="121">
        <f>'I&amp;E Annual'!AP$49</f>
        <v>107</v>
      </c>
      <c r="AQ15" s="121">
        <f>'I&amp;E Annual'!AQ$49</f>
        <v>86</v>
      </c>
      <c r="AR15" s="121">
        <f>'I&amp;E Annual'!AR$49</f>
        <v>111</v>
      </c>
      <c r="AS15" s="121">
        <f>'I&amp;E Annual'!AS$49</f>
        <v>82</v>
      </c>
      <c r="AT15" s="121">
        <f>'I&amp;E Annual'!AT$49</f>
        <v>81</v>
      </c>
      <c r="AU15" s="121">
        <f>'I&amp;E Annual'!AU$49</f>
        <v>191</v>
      </c>
      <c r="AV15" s="121">
        <f>'I&amp;E Annual'!AV$49</f>
        <v>155</v>
      </c>
      <c r="AW15" s="121">
        <f>'I&amp;E Annual'!AW$49</f>
        <v>133</v>
      </c>
      <c r="AX15" s="121">
        <f>'I&amp;E Annual'!AX$49</f>
        <v>76</v>
      </c>
      <c r="AY15" s="121">
        <f>'I&amp;E Annual'!AY$49</f>
        <v>220.14999999999998</v>
      </c>
      <c r="AZ15" s="121">
        <f>'I&amp;E Annual'!AZ$49</f>
        <v>132.04999999999998</v>
      </c>
      <c r="BA15" s="121">
        <f>'I&amp;E Annual'!BA$49</f>
        <v>134.1</v>
      </c>
      <c r="BB15" s="121">
        <f>'I&amp;E Annual'!BB$49</f>
        <v>109.52499999999999</v>
      </c>
      <c r="BC15" s="121">
        <f>'I&amp;E Annual'!BC$49</f>
        <v>88.024999999999991</v>
      </c>
      <c r="BD15" s="121">
        <f>'I&amp;E Annual'!BD$49</f>
        <v>113.64999999999999</v>
      </c>
      <c r="BE15" s="121">
        <f>'I&amp;E Annual'!BE$49</f>
        <v>83.924999999999997</v>
      </c>
      <c r="BF15" s="121">
        <f>'I&amp;E Annual'!BF$49</f>
        <v>82.924999999999997</v>
      </c>
      <c r="BG15" s="121">
        <f>'I&amp;E Annual'!BG$49</f>
        <v>205.54999999999998</v>
      </c>
      <c r="BH15" s="121">
        <f>'I&amp;E Annual'!BH$49</f>
        <v>183.64999999999998</v>
      </c>
      <c r="BI15" s="121">
        <f>'I&amp;E Annual'!BI$49</f>
        <v>136.125</v>
      </c>
      <c r="BJ15" s="121">
        <f>'I&amp;E Annual'!BJ$49</f>
        <v>77.724999999999994</v>
      </c>
      <c r="BK15" s="157"/>
      <c r="BL15" s="121">
        <f>'I&amp;E Annual'!BL$49</f>
        <v>0</v>
      </c>
      <c r="BM15" s="121">
        <f>'I&amp;E Annual'!BM$49</f>
        <v>1461</v>
      </c>
      <c r="BN15" s="121">
        <f>'I&amp;E Annual'!BN$49</f>
        <v>1497</v>
      </c>
      <c r="BO15" s="121">
        <f>'I&amp;E Annual'!BO$49</f>
        <v>1567.3999999999996</v>
      </c>
      <c r="BP15" s="121">
        <f>'I&amp;E Annual'!BP$49</f>
        <v>0</v>
      </c>
      <c r="BQ15" s="121">
        <f>'I&amp;E Annual'!BQ$49</f>
        <v>0</v>
      </c>
      <c r="BR15" s="121">
        <f>'I&amp;E Annual'!BR$49</f>
        <v>0</v>
      </c>
      <c r="BS15" s="121">
        <f>'I&amp;E Annual'!BS$49</f>
        <v>0</v>
      </c>
      <c r="BT15" s="121">
        <f>'I&amp;E Annual'!BT$49</f>
        <v>0</v>
      </c>
      <c r="BU15" s="121">
        <f>'I&amp;E Annual'!BU$49</f>
        <v>0</v>
      </c>
      <c r="BV15" s="121">
        <f>'I&amp;E Annual'!BV$49</f>
        <v>0</v>
      </c>
      <c r="BW15" s="121">
        <f>'I&amp;E Annual'!BW$49</f>
        <v>0</v>
      </c>
      <c r="BY15" s="42"/>
      <c r="CC15" s="126">
        <f t="shared" si="9"/>
        <v>0</v>
      </c>
      <c r="CD15" s="126">
        <f t="shared" si="10"/>
        <v>0</v>
      </c>
      <c r="CE15" s="126">
        <f t="shared" si="11"/>
        <v>0</v>
      </c>
      <c r="CF15" s="42"/>
      <c r="CG15" s="352">
        <f t="shared" si="2"/>
        <v>0</v>
      </c>
      <c r="CH15" s="352">
        <f t="shared" si="3"/>
        <v>0</v>
      </c>
      <c r="CI15" s="352">
        <f t="shared" si="4"/>
        <v>0</v>
      </c>
      <c r="CJ15" s="352">
        <f t="shared" si="5"/>
        <v>0</v>
      </c>
      <c r="CK15" s="352">
        <f t="shared" si="6"/>
        <v>0</v>
      </c>
      <c r="CL15" s="352">
        <f t="shared" si="7"/>
        <v>0</v>
      </c>
      <c r="CM15" s="352">
        <f t="shared" si="8"/>
        <v>0</v>
      </c>
      <c r="EX15" s="10" t="str">
        <f t="shared" ca="1" si="0"/>
        <v>Total Adult Education and Training Income (Excluding clawbacks)</v>
      </c>
    </row>
    <row r="16" spans="1:154" ht="15" customHeight="1" x14ac:dyDescent="0.25">
      <c r="A16" s="362" cm="1">
        <f t="array" aca="1" ref="A16" ca="1">HYPERLINK(CONCATENATE("#",CELL("address",IF(SUM($BY16:$CF16)=0,A16,INDEX($BY16:$CF16,MATCH(1,$BY16:$CF16,0))))),SUM($BY16:$CF16))</f>
        <v>0</v>
      </c>
      <c r="C16" s="343" t="str">
        <f>CONCATENATE("FS-",'I&amp;E Annual'!C$60)</f>
        <v>FS-IE-1d</v>
      </c>
      <c r="D16" s="560" t="str" cm="1">
        <f t="array" aca="1" ref="D16" ca="1">HYPERLINK(CONCATENATE("#",CELL("address",'I&amp;E Annual'!$D$60)),'I&amp;E Annual'!$D$60)</f>
        <v>Total HE Income</v>
      </c>
      <c r="H16" s="335"/>
      <c r="I16" s="335"/>
      <c r="J16" s="157"/>
      <c r="Q16" s="335"/>
      <c r="R16" s="335"/>
      <c r="S16" s="157"/>
      <c r="T16" s="157"/>
      <c r="U16" s="157"/>
      <c r="V16" s="13">
        <f t="shared" si="12"/>
        <v>0</v>
      </c>
      <c r="W16" s="13">
        <f t="shared" si="1"/>
        <v>751</v>
      </c>
      <c r="X16" s="13">
        <f t="shared" si="1"/>
        <v>750</v>
      </c>
      <c r="Y16" s="13">
        <f t="shared" si="1"/>
        <v>795</v>
      </c>
      <c r="Z16" s="157"/>
      <c r="AA16" s="121">
        <f>'I&amp;E Annual'!AA$60</f>
        <v>22</v>
      </c>
      <c r="AB16" s="121">
        <f>'I&amp;E Annual'!AB$60</f>
        <v>22</v>
      </c>
      <c r="AC16" s="121">
        <f>'I&amp;E Annual'!AC$60</f>
        <v>0</v>
      </c>
      <c r="AD16" s="121">
        <f>'I&amp;E Annual'!AD$60</f>
        <v>15</v>
      </c>
      <c r="AE16" s="121">
        <f>'I&amp;E Annual'!AE$60</f>
        <v>15</v>
      </c>
      <c r="AF16" s="121">
        <f>'I&amp;E Annual'!AF$60</f>
        <v>15</v>
      </c>
      <c r="AG16" s="121">
        <f>'I&amp;E Annual'!AG$60</f>
        <v>11</v>
      </c>
      <c r="AH16" s="121">
        <f>'I&amp;E Annual'!AH$60</f>
        <v>0</v>
      </c>
      <c r="AI16" s="121">
        <f>'I&amp;E Annual'!AI$60</f>
        <v>12</v>
      </c>
      <c r="AJ16" s="121">
        <f>'I&amp;E Annual'!AJ$60</f>
        <v>12</v>
      </c>
      <c r="AK16" s="121">
        <f>'I&amp;E Annual'!AK$60</f>
        <v>615</v>
      </c>
      <c r="AL16" s="121">
        <f>'I&amp;E Annual'!AL$60</f>
        <v>12</v>
      </c>
      <c r="AM16" s="121">
        <f>'I&amp;E Annual'!AM$60</f>
        <v>20</v>
      </c>
      <c r="AN16" s="121">
        <f>'I&amp;E Annual'!AN$60</f>
        <v>19</v>
      </c>
      <c r="AO16" s="121">
        <f>'I&amp;E Annual'!AO$60</f>
        <v>0</v>
      </c>
      <c r="AP16" s="121">
        <f>'I&amp;E Annual'!AP$60</f>
        <v>13</v>
      </c>
      <c r="AQ16" s="121">
        <f>'I&amp;E Annual'!AQ$60</f>
        <v>13</v>
      </c>
      <c r="AR16" s="121">
        <f>'I&amp;E Annual'!AR$60</f>
        <v>220</v>
      </c>
      <c r="AS16" s="121">
        <f>'I&amp;E Annual'!AS$60</f>
        <v>10</v>
      </c>
      <c r="AT16" s="121">
        <f>'I&amp;E Annual'!AT$60</f>
        <v>0</v>
      </c>
      <c r="AU16" s="121">
        <f>'I&amp;E Annual'!AU$60</f>
        <v>218</v>
      </c>
      <c r="AV16" s="121">
        <f>'I&amp;E Annual'!AV$60</f>
        <v>11</v>
      </c>
      <c r="AW16" s="121">
        <f>'I&amp;E Annual'!AW$60</f>
        <v>10</v>
      </c>
      <c r="AX16" s="121">
        <f>'I&amp;E Annual'!AX$60</f>
        <v>216</v>
      </c>
      <c r="AY16" s="121">
        <f>'I&amp;E Annual'!AY$60</f>
        <v>22</v>
      </c>
      <c r="AZ16" s="121">
        <f>'I&amp;E Annual'!AZ$60</f>
        <v>21</v>
      </c>
      <c r="BA16" s="121">
        <f>'I&amp;E Annual'!BA$60</f>
        <v>0</v>
      </c>
      <c r="BB16" s="121">
        <f>'I&amp;E Annual'!BB$60</f>
        <v>15</v>
      </c>
      <c r="BC16" s="121">
        <f>'I&amp;E Annual'!BC$60</f>
        <v>15</v>
      </c>
      <c r="BD16" s="121">
        <f>'I&amp;E Annual'!BD$60</f>
        <v>232</v>
      </c>
      <c r="BE16" s="121">
        <f>'I&amp;E Annual'!BE$60</f>
        <v>12</v>
      </c>
      <c r="BF16" s="121">
        <f>'I&amp;E Annual'!BF$60</f>
        <v>0</v>
      </c>
      <c r="BG16" s="121">
        <f>'I&amp;E Annual'!BG$60</f>
        <v>225</v>
      </c>
      <c r="BH16" s="121">
        <f>'I&amp;E Annual'!BH$60</f>
        <v>13</v>
      </c>
      <c r="BI16" s="121">
        <f>'I&amp;E Annual'!BI$60</f>
        <v>12</v>
      </c>
      <c r="BJ16" s="121">
        <f>'I&amp;E Annual'!BJ$60</f>
        <v>228</v>
      </c>
      <c r="BK16" s="157"/>
      <c r="BL16" s="121">
        <f>'I&amp;E Annual'!BL$60</f>
        <v>0</v>
      </c>
      <c r="BM16" s="121">
        <f>'I&amp;E Annual'!BM$60</f>
        <v>751</v>
      </c>
      <c r="BN16" s="121">
        <f>'I&amp;E Annual'!BN$60</f>
        <v>750</v>
      </c>
      <c r="BO16" s="121">
        <f>'I&amp;E Annual'!BO$60</f>
        <v>795</v>
      </c>
      <c r="BP16" s="121">
        <f>'I&amp;E Annual'!BP$60</f>
        <v>0</v>
      </c>
      <c r="BQ16" s="121">
        <f>'I&amp;E Annual'!BQ$60</f>
        <v>0</v>
      </c>
      <c r="BR16" s="121">
        <f>'I&amp;E Annual'!BR$60</f>
        <v>0</v>
      </c>
      <c r="BS16" s="121">
        <f>'I&amp;E Annual'!BS$60</f>
        <v>0</v>
      </c>
      <c r="BT16" s="121">
        <f>'I&amp;E Annual'!BT$60</f>
        <v>0</v>
      </c>
      <c r="BU16" s="121">
        <f>'I&amp;E Annual'!BU$60</f>
        <v>0</v>
      </c>
      <c r="BV16" s="121">
        <f>'I&amp;E Annual'!BV$60</f>
        <v>0</v>
      </c>
      <c r="BW16" s="121">
        <f>'I&amp;E Annual'!BW$60</f>
        <v>0</v>
      </c>
      <c r="BY16" s="42"/>
      <c r="CC16" s="126">
        <f t="shared" si="9"/>
        <v>0</v>
      </c>
      <c r="CD16" s="126">
        <f t="shared" si="10"/>
        <v>0</v>
      </c>
      <c r="CE16" s="126">
        <f t="shared" si="11"/>
        <v>0</v>
      </c>
      <c r="CF16" s="42"/>
      <c r="CG16" s="352">
        <f t="shared" si="2"/>
        <v>0</v>
      </c>
      <c r="CH16" s="352">
        <f t="shared" si="3"/>
        <v>0</v>
      </c>
      <c r="CI16" s="352">
        <f t="shared" si="4"/>
        <v>0</v>
      </c>
      <c r="CJ16" s="352">
        <f t="shared" si="5"/>
        <v>0</v>
      </c>
      <c r="CK16" s="352">
        <f t="shared" si="6"/>
        <v>0</v>
      </c>
      <c r="CL16" s="352">
        <f t="shared" si="7"/>
        <v>0</v>
      </c>
      <c r="CM16" s="352">
        <f t="shared" si="8"/>
        <v>0</v>
      </c>
      <c r="EX16" s="10" t="str">
        <f t="shared" ca="1" si="0"/>
        <v>Total HE Income</v>
      </c>
    </row>
    <row r="17" spans="1:154" s="323" customFormat="1" ht="15" customHeight="1" x14ac:dyDescent="0.25">
      <c r="A17" s="362" cm="1">
        <f t="array" aca="1" ref="A17" ca="1">HYPERLINK(CONCATENATE("#",CELL("address",IF(SUM($BY17:$CF17)=0,A17,INDEX($BY17:$CF17,MATCH(1,$BY17:$CF17,0))))),SUM($BY17:$CF17))</f>
        <v>0</v>
      </c>
      <c r="C17" s="343" t="str">
        <f>CONCATENATE("FS-",'I&amp;E Annual'!C$67)</f>
        <v>FS-IE-1e</v>
      </c>
      <c r="D17" s="560" t="str" cm="1">
        <f t="array" aca="1" ref="D17" ca="1">HYPERLINK(CONCATENATE("#",CELL("address",'I&amp;E Annual'!$D$67)),'I&amp;E Annual'!$D$67)</f>
        <v>Total European Funding</v>
      </c>
      <c r="E17" s="1"/>
      <c r="H17" s="335"/>
      <c r="I17" s="335"/>
      <c r="J17" s="157"/>
      <c r="Q17" s="335"/>
      <c r="R17" s="335"/>
      <c r="S17" s="157"/>
      <c r="T17" s="157"/>
      <c r="U17" s="157"/>
      <c r="V17" s="13">
        <f t="shared" si="12"/>
        <v>0</v>
      </c>
      <c r="W17" s="13">
        <f t="shared" si="1"/>
        <v>8</v>
      </c>
      <c r="X17" s="13">
        <f t="shared" si="1"/>
        <v>0</v>
      </c>
      <c r="Y17" s="13">
        <f t="shared" si="1"/>
        <v>0</v>
      </c>
      <c r="Z17" s="157"/>
      <c r="AA17" s="121">
        <f>'I&amp;E Annual'!AA$67</f>
        <v>0</v>
      </c>
      <c r="AB17" s="121">
        <f>'I&amp;E Annual'!AB$67</f>
        <v>0</v>
      </c>
      <c r="AC17" s="121">
        <f>'I&amp;E Annual'!AC$67</f>
        <v>0</v>
      </c>
      <c r="AD17" s="121">
        <f>'I&amp;E Annual'!AD$67</f>
        <v>0</v>
      </c>
      <c r="AE17" s="121">
        <f>'I&amp;E Annual'!AE$67</f>
        <v>0</v>
      </c>
      <c r="AF17" s="121">
        <f>'I&amp;E Annual'!AF$67</f>
        <v>0</v>
      </c>
      <c r="AG17" s="121">
        <f>'I&amp;E Annual'!AG$67</f>
        <v>8</v>
      </c>
      <c r="AH17" s="121">
        <f>'I&amp;E Annual'!AH$67</f>
        <v>0</v>
      </c>
      <c r="AI17" s="121">
        <f>'I&amp;E Annual'!AI$67</f>
        <v>0</v>
      </c>
      <c r="AJ17" s="121">
        <f>'I&amp;E Annual'!AJ$67</f>
        <v>0</v>
      </c>
      <c r="AK17" s="121">
        <f>'I&amp;E Annual'!AK$67</f>
        <v>0</v>
      </c>
      <c r="AL17" s="121">
        <f>'I&amp;E Annual'!AL$67</f>
        <v>0</v>
      </c>
      <c r="AM17" s="121">
        <f>'I&amp;E Annual'!AM$67</f>
        <v>0</v>
      </c>
      <c r="AN17" s="121">
        <f>'I&amp;E Annual'!AN$67</f>
        <v>0</v>
      </c>
      <c r="AO17" s="121">
        <f>'I&amp;E Annual'!AO$67</f>
        <v>0</v>
      </c>
      <c r="AP17" s="121">
        <f>'I&amp;E Annual'!AP$67</f>
        <v>0</v>
      </c>
      <c r="AQ17" s="121">
        <f>'I&amp;E Annual'!AQ$67</f>
        <v>0</v>
      </c>
      <c r="AR17" s="121">
        <f>'I&amp;E Annual'!AR$67</f>
        <v>0</v>
      </c>
      <c r="AS17" s="121">
        <f>'I&amp;E Annual'!AS$67</f>
        <v>0</v>
      </c>
      <c r="AT17" s="121">
        <f>'I&amp;E Annual'!AT$67</f>
        <v>0</v>
      </c>
      <c r="AU17" s="121">
        <f>'I&amp;E Annual'!AU$67</f>
        <v>0</v>
      </c>
      <c r="AV17" s="121">
        <f>'I&amp;E Annual'!AV$67</f>
        <v>0</v>
      </c>
      <c r="AW17" s="121">
        <f>'I&amp;E Annual'!AW$67</f>
        <v>0</v>
      </c>
      <c r="AX17" s="121">
        <f>'I&amp;E Annual'!AX$67</f>
        <v>0</v>
      </c>
      <c r="AY17" s="121">
        <f>'I&amp;E Annual'!AY$67</f>
        <v>0</v>
      </c>
      <c r="AZ17" s="121">
        <f>'I&amp;E Annual'!AZ$67</f>
        <v>0</v>
      </c>
      <c r="BA17" s="121">
        <f>'I&amp;E Annual'!BA$67</f>
        <v>0</v>
      </c>
      <c r="BB17" s="121">
        <f>'I&amp;E Annual'!BB$67</f>
        <v>0</v>
      </c>
      <c r="BC17" s="121">
        <f>'I&amp;E Annual'!BC$67</f>
        <v>0</v>
      </c>
      <c r="BD17" s="121">
        <f>'I&amp;E Annual'!BD$67</f>
        <v>0</v>
      </c>
      <c r="BE17" s="121">
        <f>'I&amp;E Annual'!BE$67</f>
        <v>0</v>
      </c>
      <c r="BF17" s="121">
        <f>'I&amp;E Annual'!BF$67</f>
        <v>0</v>
      </c>
      <c r="BG17" s="121">
        <f>'I&amp;E Annual'!BG$67</f>
        <v>0</v>
      </c>
      <c r="BH17" s="121">
        <f>'I&amp;E Annual'!BH$67</f>
        <v>0</v>
      </c>
      <c r="BI17" s="121">
        <f>'I&amp;E Annual'!BI$67</f>
        <v>0</v>
      </c>
      <c r="BJ17" s="121">
        <f>'I&amp;E Annual'!BJ$67</f>
        <v>0</v>
      </c>
      <c r="BK17" s="157"/>
      <c r="BL17" s="121">
        <f>'I&amp;E Annual'!BL$67</f>
        <v>0</v>
      </c>
      <c r="BM17" s="121">
        <f>'I&amp;E Annual'!BM$67</f>
        <v>8</v>
      </c>
      <c r="BN17" s="121">
        <f>'I&amp;E Annual'!BN$67</f>
        <v>0</v>
      </c>
      <c r="BO17" s="121">
        <f>'I&amp;E Annual'!BO$67</f>
        <v>0</v>
      </c>
      <c r="BP17" s="121">
        <f>'I&amp;E Annual'!BP$67</f>
        <v>0</v>
      </c>
      <c r="BQ17" s="121">
        <f>'I&amp;E Annual'!BQ$67</f>
        <v>0</v>
      </c>
      <c r="BR17" s="121">
        <f>'I&amp;E Annual'!BR$67</f>
        <v>0</v>
      </c>
      <c r="BS17" s="121">
        <f>'I&amp;E Annual'!BS$67</f>
        <v>0</v>
      </c>
      <c r="BT17" s="121">
        <f>'I&amp;E Annual'!BT$67</f>
        <v>0</v>
      </c>
      <c r="BU17" s="121">
        <f>'I&amp;E Annual'!BU$67</f>
        <v>0</v>
      </c>
      <c r="BV17" s="121">
        <f>'I&amp;E Annual'!BV$67</f>
        <v>0</v>
      </c>
      <c r="BW17" s="121">
        <f>'I&amp;E Annual'!BW$67</f>
        <v>0</v>
      </c>
      <c r="BY17" s="42"/>
      <c r="CB17" s="335"/>
      <c r="CC17" s="126">
        <f t="shared" si="9"/>
        <v>0</v>
      </c>
      <c r="CD17" s="126">
        <f t="shared" si="10"/>
        <v>0</v>
      </c>
      <c r="CE17" s="126">
        <f t="shared" si="11"/>
        <v>0</v>
      </c>
      <c r="CF17" s="42"/>
      <c r="CG17" s="352">
        <f t="shared" si="2"/>
        <v>0</v>
      </c>
      <c r="CH17" s="352">
        <f t="shared" si="3"/>
        <v>0</v>
      </c>
      <c r="CI17" s="352">
        <f t="shared" si="4"/>
        <v>0</v>
      </c>
      <c r="CJ17" s="352">
        <f t="shared" si="5"/>
        <v>0</v>
      </c>
      <c r="CK17" s="352">
        <f t="shared" si="6"/>
        <v>0</v>
      </c>
      <c r="CL17" s="352">
        <f t="shared" si="7"/>
        <v>0</v>
      </c>
      <c r="CM17" s="352">
        <f t="shared" si="8"/>
        <v>0</v>
      </c>
      <c r="EX17" s="10" t="str">
        <f t="shared" ca="1" si="0"/>
        <v>Total European Funding</v>
      </c>
    </row>
    <row r="18" spans="1:154" ht="15" customHeight="1" x14ac:dyDescent="0.25">
      <c r="A18" s="362" cm="1">
        <f t="array" aca="1" ref="A18" ca="1">HYPERLINK(CONCATENATE("#",CELL("address",IF(SUM($BY18:$CF18)=0,A18,INDEX($BY18:$CF18,MATCH(1,$BY18:$CF18,0))))),SUM($BY18:$CF18))</f>
        <v>0</v>
      </c>
      <c r="C18" s="343" t="str">
        <f>CONCATENATE("FS-",'I&amp;E Annual'!C$84)</f>
        <v>FS-IE-1f</v>
      </c>
      <c r="D18" s="560" t="str" cm="1">
        <f t="array" aca="1" ref="D18" ca="1">HYPERLINK(CONCATENATE("#",CELL("address",'I&amp;E Annual'!$D$84)),'I&amp;E Annual'!$D$84)</f>
        <v>Total Other Income from Provision of Education and Training</v>
      </c>
      <c r="H18" s="335"/>
      <c r="I18" s="335"/>
      <c r="J18" s="157"/>
      <c r="Q18" s="335"/>
      <c r="R18" s="335"/>
      <c r="S18" s="157"/>
      <c r="T18" s="157"/>
      <c r="U18" s="157"/>
      <c r="V18" s="13">
        <f t="shared" si="12"/>
        <v>0</v>
      </c>
      <c r="W18" s="13">
        <f t="shared" si="1"/>
        <v>2901</v>
      </c>
      <c r="X18" s="13">
        <f t="shared" si="1"/>
        <v>2650</v>
      </c>
      <c r="Y18" s="13">
        <f t="shared" si="1"/>
        <v>2650</v>
      </c>
      <c r="Z18" s="157"/>
      <c r="AA18" s="121">
        <f>'I&amp;E Annual'!AA$84</f>
        <v>640</v>
      </c>
      <c r="AB18" s="121">
        <f>'I&amp;E Annual'!AB$84</f>
        <v>1030</v>
      </c>
      <c r="AC18" s="121">
        <f>'I&amp;E Annual'!AC$84</f>
        <v>134</v>
      </c>
      <c r="AD18" s="121">
        <f>'I&amp;E Annual'!AD$84</f>
        <v>258</v>
      </c>
      <c r="AE18" s="121">
        <f>'I&amp;E Annual'!AE$84</f>
        <v>-27</v>
      </c>
      <c r="AF18" s="121">
        <f>'I&amp;E Annual'!AF$84</f>
        <v>131</v>
      </c>
      <c r="AG18" s="121">
        <f>'I&amp;E Annual'!AG$84</f>
        <v>-16</v>
      </c>
      <c r="AH18" s="121">
        <f>'I&amp;E Annual'!AH$84</f>
        <v>56</v>
      </c>
      <c r="AI18" s="121">
        <f>'I&amp;E Annual'!AI$84</f>
        <v>547</v>
      </c>
      <c r="AJ18" s="121">
        <f>'I&amp;E Annual'!AJ$84</f>
        <v>21</v>
      </c>
      <c r="AK18" s="121">
        <f>'I&amp;E Annual'!AK$84</f>
        <v>7</v>
      </c>
      <c r="AL18" s="121">
        <f>'I&amp;E Annual'!AL$84</f>
        <v>120</v>
      </c>
      <c r="AM18" s="121">
        <f>'I&amp;E Annual'!AM$84</f>
        <v>794</v>
      </c>
      <c r="AN18" s="121">
        <f>'I&amp;E Annual'!AN$84</f>
        <v>899</v>
      </c>
      <c r="AO18" s="121">
        <f>'I&amp;E Annual'!AO$84</f>
        <v>119</v>
      </c>
      <c r="AP18" s="121">
        <f>'I&amp;E Annual'!AP$84</f>
        <v>129</v>
      </c>
      <c r="AQ18" s="121">
        <f>'I&amp;E Annual'!AQ$84</f>
        <v>2</v>
      </c>
      <c r="AR18" s="121">
        <f>'I&amp;E Annual'!AR$84</f>
        <v>47</v>
      </c>
      <c r="AS18" s="121">
        <f>'I&amp;E Annual'!AS$84</f>
        <v>22</v>
      </c>
      <c r="AT18" s="121">
        <f>'I&amp;E Annual'!AT$84</f>
        <v>43</v>
      </c>
      <c r="AU18" s="121">
        <f>'I&amp;E Annual'!AU$84</f>
        <v>601</v>
      </c>
      <c r="AV18" s="121">
        <f>'I&amp;E Annual'!AV$84</f>
        <v>38</v>
      </c>
      <c r="AW18" s="121">
        <f>'I&amp;E Annual'!AW$84</f>
        <v>53</v>
      </c>
      <c r="AX18" s="121">
        <f>'I&amp;E Annual'!AX$84</f>
        <v>-97</v>
      </c>
      <c r="AY18" s="121">
        <f>'I&amp;E Annual'!AY$84</f>
        <v>794</v>
      </c>
      <c r="AZ18" s="121">
        <f>'I&amp;E Annual'!AZ$84</f>
        <v>899</v>
      </c>
      <c r="BA18" s="121">
        <f>'I&amp;E Annual'!BA$84</f>
        <v>119</v>
      </c>
      <c r="BB18" s="121">
        <f>'I&amp;E Annual'!BB$84</f>
        <v>129</v>
      </c>
      <c r="BC18" s="121">
        <f>'I&amp;E Annual'!BC$84</f>
        <v>2</v>
      </c>
      <c r="BD18" s="121">
        <f>'I&amp;E Annual'!BD$84</f>
        <v>47</v>
      </c>
      <c r="BE18" s="121">
        <f>'I&amp;E Annual'!BE$84</f>
        <v>22</v>
      </c>
      <c r="BF18" s="121">
        <f>'I&amp;E Annual'!BF$84</f>
        <v>43</v>
      </c>
      <c r="BG18" s="121">
        <f>'I&amp;E Annual'!BG$84</f>
        <v>601</v>
      </c>
      <c r="BH18" s="121">
        <f>'I&amp;E Annual'!BH$84</f>
        <v>38</v>
      </c>
      <c r="BI18" s="121">
        <f>'I&amp;E Annual'!BI$84</f>
        <v>53</v>
      </c>
      <c r="BJ18" s="121">
        <f>'I&amp;E Annual'!BJ$84</f>
        <v>-97</v>
      </c>
      <c r="BK18" s="157"/>
      <c r="BL18" s="121">
        <f>'I&amp;E Annual'!BL$84</f>
        <v>0</v>
      </c>
      <c r="BM18" s="121">
        <f>'I&amp;E Annual'!BM$84</f>
        <v>2901</v>
      </c>
      <c r="BN18" s="121">
        <f>'I&amp;E Annual'!BN$84</f>
        <v>2650</v>
      </c>
      <c r="BO18" s="121">
        <f>'I&amp;E Annual'!BO$84</f>
        <v>2650</v>
      </c>
      <c r="BP18" s="121">
        <f>'I&amp;E Annual'!BP$84</f>
        <v>0</v>
      </c>
      <c r="BQ18" s="121">
        <f>'I&amp;E Annual'!BQ$84</f>
        <v>0</v>
      </c>
      <c r="BR18" s="121">
        <f>'I&amp;E Annual'!BR$84</f>
        <v>0</v>
      </c>
      <c r="BS18" s="121">
        <f>'I&amp;E Annual'!BS$84</f>
        <v>0</v>
      </c>
      <c r="BT18" s="121">
        <f>'I&amp;E Annual'!BT$84</f>
        <v>0</v>
      </c>
      <c r="BU18" s="121">
        <f>'I&amp;E Annual'!BU$84</f>
        <v>0</v>
      </c>
      <c r="BV18" s="121">
        <f>'I&amp;E Annual'!BV$84</f>
        <v>0</v>
      </c>
      <c r="BW18" s="121">
        <f>'I&amp;E Annual'!BW$84</f>
        <v>0</v>
      </c>
      <c r="BY18" s="42"/>
      <c r="CC18" s="126">
        <f t="shared" si="9"/>
        <v>0</v>
      </c>
      <c r="CD18" s="126">
        <f t="shared" si="10"/>
        <v>0</v>
      </c>
      <c r="CE18" s="126">
        <f t="shared" si="11"/>
        <v>0</v>
      </c>
      <c r="CF18" s="42"/>
      <c r="CG18" s="352">
        <f t="shared" si="2"/>
        <v>0</v>
      </c>
      <c r="CH18" s="352">
        <f t="shared" si="3"/>
        <v>0</v>
      </c>
      <c r="CI18" s="352">
        <f t="shared" si="4"/>
        <v>0</v>
      </c>
      <c r="CJ18" s="352">
        <f t="shared" si="5"/>
        <v>0</v>
      </c>
      <c r="CK18" s="352">
        <f t="shared" si="6"/>
        <v>0</v>
      </c>
      <c r="CL18" s="352">
        <f t="shared" si="7"/>
        <v>0</v>
      </c>
      <c r="CM18" s="352">
        <f t="shared" si="8"/>
        <v>0</v>
      </c>
      <c r="EX18" s="10" t="str">
        <f t="shared" ca="1" si="0"/>
        <v>Total Other Income from Provision of Education and Training</v>
      </c>
    </row>
    <row r="19" spans="1:154" ht="15" customHeight="1" x14ac:dyDescent="0.25">
      <c r="A19" s="362" cm="1">
        <f t="array" aca="1" ref="A19" ca="1">HYPERLINK(CONCATENATE("#",CELL("address",IF(SUM($BY19:$CF19)=0,A19,INDEX($BY19:$CF19,MATCH(1,$BY19:$CF19,0))))),SUM($BY19:$CF19))</f>
        <v>0</v>
      </c>
      <c r="C19" s="343" t="str">
        <f>CONCATENATE("FS-",'I&amp;E Annual'!C$98)</f>
        <v>FS-IE-1g</v>
      </c>
      <c r="D19" s="560" t="str" cm="1">
        <f t="array" aca="1" ref="D19" ca="1">HYPERLINK(CONCATENATE("#",CELL("address",'I&amp;E Annual'!$D$98)),'I&amp;E Annual'!$D$98)</f>
        <v>Total commercial income</v>
      </c>
      <c r="H19" s="335"/>
      <c r="I19" s="335"/>
      <c r="J19" s="157"/>
      <c r="Q19" s="335"/>
      <c r="R19" s="335"/>
      <c r="S19" s="157"/>
      <c r="T19" s="157"/>
      <c r="U19" s="157"/>
      <c r="V19" s="13">
        <f t="shared" si="12"/>
        <v>0</v>
      </c>
      <c r="W19" s="13">
        <f t="shared" si="1"/>
        <v>938</v>
      </c>
      <c r="X19" s="13">
        <f t="shared" si="1"/>
        <v>1250</v>
      </c>
      <c r="Y19" s="13">
        <f t="shared" si="1"/>
        <v>1275.2299999999998</v>
      </c>
      <c r="Z19" s="157"/>
      <c r="AA19" s="121">
        <f>'I&amp;E Annual'!AA$98</f>
        <v>42</v>
      </c>
      <c r="AB19" s="121">
        <f>'I&amp;E Annual'!AB$98</f>
        <v>64</v>
      </c>
      <c r="AC19" s="121">
        <f>'I&amp;E Annual'!AC$98</f>
        <v>80</v>
      </c>
      <c r="AD19" s="121">
        <f>'I&amp;E Annual'!AD$98</f>
        <v>81</v>
      </c>
      <c r="AE19" s="121">
        <f>'I&amp;E Annual'!AE$98</f>
        <v>99</v>
      </c>
      <c r="AF19" s="121">
        <f>'I&amp;E Annual'!AF$98</f>
        <v>76</v>
      </c>
      <c r="AG19" s="121">
        <f>'I&amp;E Annual'!AG$98</f>
        <v>100</v>
      </c>
      <c r="AH19" s="121">
        <f>'I&amp;E Annual'!AH$98</f>
        <v>103</v>
      </c>
      <c r="AI19" s="121">
        <f>'I&amp;E Annual'!AI$98</f>
        <v>95</v>
      </c>
      <c r="AJ19" s="121">
        <f>'I&amp;E Annual'!AJ$98</f>
        <v>114</v>
      </c>
      <c r="AK19" s="121">
        <f>'I&amp;E Annual'!AK$98</f>
        <v>59</v>
      </c>
      <c r="AL19" s="121">
        <f>'I&amp;E Annual'!AL$98</f>
        <v>25</v>
      </c>
      <c r="AM19" s="121">
        <f>'I&amp;E Annual'!AM$98</f>
        <v>54</v>
      </c>
      <c r="AN19" s="121">
        <f>'I&amp;E Annual'!AN$98</f>
        <v>92</v>
      </c>
      <c r="AO19" s="121">
        <f>'I&amp;E Annual'!AO$98</f>
        <v>100</v>
      </c>
      <c r="AP19" s="121">
        <f>'I&amp;E Annual'!AP$98</f>
        <v>111</v>
      </c>
      <c r="AQ19" s="121">
        <f>'I&amp;E Annual'!AQ$98</f>
        <v>129</v>
      </c>
      <c r="AR19" s="121">
        <f>'I&amp;E Annual'!AR$98</f>
        <v>109</v>
      </c>
      <c r="AS19" s="121">
        <f>'I&amp;E Annual'!AS$98</f>
        <v>120</v>
      </c>
      <c r="AT19" s="121">
        <f>'I&amp;E Annual'!AT$98</f>
        <v>123</v>
      </c>
      <c r="AU19" s="121">
        <f>'I&amp;E Annual'!AU$98</f>
        <v>115</v>
      </c>
      <c r="AV19" s="121">
        <f>'I&amp;E Annual'!AV$98</f>
        <v>124</v>
      </c>
      <c r="AW19" s="121">
        <f>'I&amp;E Annual'!AW$98</f>
        <v>109</v>
      </c>
      <c r="AX19" s="121">
        <f>'I&amp;E Annual'!AX$98</f>
        <v>64</v>
      </c>
      <c r="AY19" s="121">
        <f>'I&amp;E Annual'!AY$98</f>
        <v>55.12</v>
      </c>
      <c r="AZ19" s="121">
        <f>'I&amp;E Annual'!AZ$98</f>
        <v>93.864999999999995</v>
      </c>
      <c r="BA19" s="121">
        <f>'I&amp;E Annual'!BA$98</f>
        <v>101.99</v>
      </c>
      <c r="BB19" s="121">
        <f>'I&amp;E Annual'!BB$98</f>
        <v>113.235</v>
      </c>
      <c r="BC19" s="121">
        <f>'I&amp;E Annual'!BC$98</f>
        <v>131.61500000000001</v>
      </c>
      <c r="BD19" s="121">
        <f>'I&amp;E Annual'!BD$98</f>
        <v>111.22</v>
      </c>
      <c r="BE19" s="121">
        <f>'I&amp;E Annual'!BE$98</f>
        <v>122.39</v>
      </c>
      <c r="BF19" s="121">
        <f>'I&amp;E Annual'!BF$98</f>
        <v>125.455</v>
      </c>
      <c r="BG19" s="121">
        <f>'I&amp;E Annual'!BG$98</f>
        <v>117.32499999999999</v>
      </c>
      <c r="BH19" s="121">
        <f>'I&amp;E Annual'!BH$98</f>
        <v>126.50999999999999</v>
      </c>
      <c r="BI19" s="121">
        <f>'I&amp;E Annual'!BI$98</f>
        <v>111.16499999999999</v>
      </c>
      <c r="BJ19" s="121">
        <f>'I&amp;E Annual'!BJ$98</f>
        <v>65.34</v>
      </c>
      <c r="BK19" s="157"/>
      <c r="BL19" s="121">
        <f>'I&amp;E Annual'!BL$98</f>
        <v>0</v>
      </c>
      <c r="BM19" s="121">
        <f>'I&amp;E Annual'!BM$98</f>
        <v>938</v>
      </c>
      <c r="BN19" s="121">
        <f>'I&amp;E Annual'!BN$98</f>
        <v>1250</v>
      </c>
      <c r="BO19" s="121">
        <f>'I&amp;E Annual'!BO$98</f>
        <v>1275.2299999999998</v>
      </c>
      <c r="BP19" s="121">
        <f>'I&amp;E Annual'!BP$98</f>
        <v>0</v>
      </c>
      <c r="BQ19" s="121">
        <f>'I&amp;E Annual'!BQ$98</f>
        <v>0</v>
      </c>
      <c r="BR19" s="121">
        <f>'I&amp;E Annual'!BR$98</f>
        <v>0</v>
      </c>
      <c r="BS19" s="121">
        <f>'I&amp;E Annual'!BS$98</f>
        <v>0</v>
      </c>
      <c r="BT19" s="121">
        <f>'I&amp;E Annual'!BT$98</f>
        <v>0</v>
      </c>
      <c r="BU19" s="121">
        <f>'I&amp;E Annual'!BU$98</f>
        <v>0</v>
      </c>
      <c r="BV19" s="121">
        <f>'I&amp;E Annual'!BV$98</f>
        <v>0</v>
      </c>
      <c r="BW19" s="121">
        <f>'I&amp;E Annual'!BW$98</f>
        <v>0</v>
      </c>
      <c r="BY19" s="42"/>
      <c r="CC19" s="126">
        <f t="shared" si="9"/>
        <v>0</v>
      </c>
      <c r="CD19" s="126">
        <f t="shared" si="10"/>
        <v>0</v>
      </c>
      <c r="CE19" s="126">
        <f t="shared" si="11"/>
        <v>0</v>
      </c>
      <c r="CF19" s="42"/>
      <c r="CG19" s="352">
        <f t="shared" si="2"/>
        <v>0</v>
      </c>
      <c r="CH19" s="352">
        <f t="shared" si="3"/>
        <v>0</v>
      </c>
      <c r="CI19" s="352">
        <f t="shared" si="4"/>
        <v>0</v>
      </c>
      <c r="CJ19" s="352">
        <f t="shared" si="5"/>
        <v>0</v>
      </c>
      <c r="CK19" s="352">
        <f t="shared" si="6"/>
        <v>0</v>
      </c>
      <c r="CL19" s="352">
        <f t="shared" si="7"/>
        <v>0</v>
      </c>
      <c r="CM19" s="352">
        <f t="shared" si="8"/>
        <v>0</v>
      </c>
      <c r="EX19" s="10" t="str">
        <f t="shared" ca="1" si="0"/>
        <v>Total commercial income</v>
      </c>
    </row>
    <row r="20" spans="1:154" ht="15" customHeight="1" x14ac:dyDescent="0.25">
      <c r="A20" s="362" cm="1">
        <f t="array" aca="1" ref="A20" ca="1">HYPERLINK(CONCATENATE("#",CELL("address",IF(SUM($BY20:$CF20)=0,A20,INDEX($BY20:$CF20,MATCH(1,$BY20:$CF20,0))))),SUM($BY20:$CF20))</f>
        <v>0</v>
      </c>
      <c r="C20" s="343" t="str">
        <f>CONCATENATE("FS-",'I&amp;E Annual'!C$107)</f>
        <v>FS-IE-1h</v>
      </c>
      <c r="D20" s="560" t="str" cm="1">
        <f t="array" aca="1" ref="D20" ca="1">HYPERLINK(CONCATENATE("#",CELL("address",'I&amp;E Annual'!$D$107)),'I&amp;E Annual'!$D$107)</f>
        <v>Total Other Income</v>
      </c>
      <c r="H20" s="335"/>
      <c r="I20" s="335"/>
      <c r="J20" s="157"/>
      <c r="Q20" s="335"/>
      <c r="R20" s="335"/>
      <c r="S20" s="157"/>
      <c r="T20" s="157"/>
      <c r="U20" s="157"/>
      <c r="V20" s="13">
        <f t="shared" si="12"/>
        <v>0</v>
      </c>
      <c r="W20" s="13">
        <f t="shared" si="1"/>
        <v>135</v>
      </c>
      <c r="X20" s="13">
        <f t="shared" si="1"/>
        <v>0</v>
      </c>
      <c r="Y20" s="13">
        <f t="shared" si="1"/>
        <v>0</v>
      </c>
      <c r="Z20" s="157"/>
      <c r="AA20" s="121">
        <f>'I&amp;E Annual'!AA$107</f>
        <v>0</v>
      </c>
      <c r="AB20" s="121">
        <f>'I&amp;E Annual'!AB$107</f>
        <v>0</v>
      </c>
      <c r="AC20" s="121">
        <f>'I&amp;E Annual'!AC$107</f>
        <v>10</v>
      </c>
      <c r="AD20" s="121">
        <f>'I&amp;E Annual'!AD$107</f>
        <v>0</v>
      </c>
      <c r="AE20" s="121">
        <f>'I&amp;E Annual'!AE$107</f>
        <v>0</v>
      </c>
      <c r="AF20" s="121">
        <f>'I&amp;E Annual'!AF$107</f>
        <v>7</v>
      </c>
      <c r="AG20" s="121">
        <f>'I&amp;E Annual'!AG$107</f>
        <v>24</v>
      </c>
      <c r="AH20" s="121">
        <f>'I&amp;E Annual'!AH$107</f>
        <v>25</v>
      </c>
      <c r="AI20" s="121">
        <f>'I&amp;E Annual'!AI$107</f>
        <v>22</v>
      </c>
      <c r="AJ20" s="121">
        <f>'I&amp;E Annual'!AJ$107</f>
        <v>47</v>
      </c>
      <c r="AK20" s="121">
        <f>'I&amp;E Annual'!AK$107</f>
        <v>0</v>
      </c>
      <c r="AL20" s="121">
        <f>'I&amp;E Annual'!AL$107</f>
        <v>0</v>
      </c>
      <c r="AM20" s="121">
        <f>'I&amp;E Annual'!AM$107</f>
        <v>0</v>
      </c>
      <c r="AN20" s="121">
        <f>'I&amp;E Annual'!AN$107</f>
        <v>0</v>
      </c>
      <c r="AO20" s="121">
        <f>'I&amp;E Annual'!AO$107</f>
        <v>0</v>
      </c>
      <c r="AP20" s="121">
        <f>'I&amp;E Annual'!AP$107</f>
        <v>0</v>
      </c>
      <c r="AQ20" s="121">
        <f>'I&amp;E Annual'!AQ$107</f>
        <v>0</v>
      </c>
      <c r="AR20" s="121">
        <f>'I&amp;E Annual'!AR$107</f>
        <v>0</v>
      </c>
      <c r="AS20" s="121">
        <f>'I&amp;E Annual'!AS$107</f>
        <v>0</v>
      </c>
      <c r="AT20" s="121">
        <f>'I&amp;E Annual'!AT$107</f>
        <v>0</v>
      </c>
      <c r="AU20" s="121">
        <f>'I&amp;E Annual'!AU$107</f>
        <v>0</v>
      </c>
      <c r="AV20" s="121">
        <f>'I&amp;E Annual'!AV$107</f>
        <v>0</v>
      </c>
      <c r="AW20" s="121">
        <f>'I&amp;E Annual'!AW$107</f>
        <v>0</v>
      </c>
      <c r="AX20" s="121">
        <f>'I&amp;E Annual'!AX$107</f>
        <v>0</v>
      </c>
      <c r="AY20" s="121">
        <f>'I&amp;E Annual'!AY$107</f>
        <v>0</v>
      </c>
      <c r="AZ20" s="121">
        <f>'I&amp;E Annual'!AZ$107</f>
        <v>0</v>
      </c>
      <c r="BA20" s="121">
        <f>'I&amp;E Annual'!BA$107</f>
        <v>0</v>
      </c>
      <c r="BB20" s="121">
        <f>'I&amp;E Annual'!BB$107</f>
        <v>0</v>
      </c>
      <c r="BC20" s="121">
        <f>'I&amp;E Annual'!BC$107</f>
        <v>0</v>
      </c>
      <c r="BD20" s="121">
        <f>'I&amp;E Annual'!BD$107</f>
        <v>0</v>
      </c>
      <c r="BE20" s="121">
        <f>'I&amp;E Annual'!BE$107</f>
        <v>0</v>
      </c>
      <c r="BF20" s="121">
        <f>'I&amp;E Annual'!BF$107</f>
        <v>0</v>
      </c>
      <c r="BG20" s="121">
        <f>'I&amp;E Annual'!BG$107</f>
        <v>0</v>
      </c>
      <c r="BH20" s="121">
        <f>'I&amp;E Annual'!BH$107</f>
        <v>0</v>
      </c>
      <c r="BI20" s="121">
        <f>'I&amp;E Annual'!BI$107</f>
        <v>0</v>
      </c>
      <c r="BJ20" s="121">
        <f>'I&amp;E Annual'!BJ$107</f>
        <v>0</v>
      </c>
      <c r="BK20" s="157"/>
      <c r="BL20" s="121">
        <f>'I&amp;E Annual'!BL$107</f>
        <v>0</v>
      </c>
      <c r="BM20" s="121">
        <f>'I&amp;E Annual'!BM$107</f>
        <v>135</v>
      </c>
      <c r="BN20" s="121">
        <f>'I&amp;E Annual'!BN$107</f>
        <v>0</v>
      </c>
      <c r="BO20" s="121">
        <f>'I&amp;E Annual'!BO$107</f>
        <v>0</v>
      </c>
      <c r="BP20" s="121">
        <f>'I&amp;E Annual'!BP$107</f>
        <v>0</v>
      </c>
      <c r="BQ20" s="121">
        <f>'I&amp;E Annual'!BQ$107</f>
        <v>0</v>
      </c>
      <c r="BR20" s="121">
        <f>'I&amp;E Annual'!BR$107</f>
        <v>0</v>
      </c>
      <c r="BS20" s="121">
        <f>'I&amp;E Annual'!BS$107</f>
        <v>0</v>
      </c>
      <c r="BT20" s="121">
        <f>'I&amp;E Annual'!BT$107</f>
        <v>0</v>
      </c>
      <c r="BU20" s="121">
        <f>'I&amp;E Annual'!BU$107</f>
        <v>0</v>
      </c>
      <c r="BV20" s="121">
        <f>'I&amp;E Annual'!BV$107</f>
        <v>0</v>
      </c>
      <c r="BW20" s="121">
        <f>'I&amp;E Annual'!BW$107</f>
        <v>0</v>
      </c>
      <c r="BY20" s="42"/>
      <c r="CC20" s="126">
        <f t="shared" si="9"/>
        <v>0</v>
      </c>
      <c r="CD20" s="126">
        <f t="shared" si="10"/>
        <v>0</v>
      </c>
      <c r="CE20" s="126">
        <f t="shared" si="11"/>
        <v>0</v>
      </c>
      <c r="CF20" s="42"/>
      <c r="CG20" s="352">
        <f t="shared" si="2"/>
        <v>0</v>
      </c>
      <c r="CH20" s="352">
        <f t="shared" si="3"/>
        <v>0</v>
      </c>
      <c r="CI20" s="352">
        <f t="shared" si="4"/>
        <v>0</v>
      </c>
      <c r="CJ20" s="352">
        <f t="shared" si="5"/>
        <v>0</v>
      </c>
      <c r="CK20" s="352">
        <f t="shared" si="6"/>
        <v>0</v>
      </c>
      <c r="CL20" s="352">
        <f t="shared" si="7"/>
        <v>0</v>
      </c>
      <c r="CM20" s="352">
        <f t="shared" si="8"/>
        <v>0</v>
      </c>
      <c r="EX20" s="10" t="str">
        <f t="shared" ca="1" si="0"/>
        <v>Total Other Income</v>
      </c>
    </row>
    <row r="21" spans="1:154" ht="15" customHeight="1" x14ac:dyDescent="0.25">
      <c r="A21" s="362" cm="1">
        <f t="array" aca="1" ref="A21" ca="1">HYPERLINK(CONCATENATE("#",CELL("address",IF(SUM($BY21:$CF21)=0,A21,INDEX($BY21:$CF21,MATCH(1,$BY21:$CF21,0))))),SUM($BY21:$CF21))</f>
        <v>0</v>
      </c>
      <c r="C21" s="343" t="str">
        <f>CONCATENATE("FS-",'I&amp;E Annual'!C$113)</f>
        <v>FS-IE-1i</v>
      </c>
      <c r="D21" s="560" t="str" cm="1">
        <f t="array" aca="1" ref="D21" ca="1">HYPERLINK(CONCATENATE("#",CELL("address",'I&amp;E Annual'!$D$113)),'I&amp;E Annual'!$D$113)</f>
        <v>Total Emergency Funding</v>
      </c>
      <c r="H21" s="335"/>
      <c r="I21" s="335"/>
      <c r="J21" s="157"/>
      <c r="Q21" s="335"/>
      <c r="R21" s="335"/>
      <c r="S21" s="157"/>
      <c r="T21" s="157"/>
      <c r="U21" s="157"/>
      <c r="V21" s="13">
        <f t="shared" si="12"/>
        <v>0</v>
      </c>
      <c r="W21" s="13">
        <f t="shared" si="1"/>
        <v>0</v>
      </c>
      <c r="X21" s="13">
        <f t="shared" si="1"/>
        <v>0</v>
      </c>
      <c r="Y21" s="13">
        <f t="shared" si="1"/>
        <v>0</v>
      </c>
      <c r="Z21" s="157"/>
      <c r="AA21" s="121">
        <f>'I&amp;E Annual'!AA$113</f>
        <v>0</v>
      </c>
      <c r="AB21" s="121">
        <f>'I&amp;E Annual'!AB$113</f>
        <v>0</v>
      </c>
      <c r="AC21" s="121">
        <f>'I&amp;E Annual'!AC$113</f>
        <v>0</v>
      </c>
      <c r="AD21" s="121">
        <f>'I&amp;E Annual'!AD$113</f>
        <v>0</v>
      </c>
      <c r="AE21" s="121">
        <f>'I&amp;E Annual'!AE$113</f>
        <v>0</v>
      </c>
      <c r="AF21" s="121">
        <f>'I&amp;E Annual'!AF$113</f>
        <v>0</v>
      </c>
      <c r="AG21" s="121">
        <f>'I&amp;E Annual'!AG$113</f>
        <v>0</v>
      </c>
      <c r="AH21" s="121">
        <f>'I&amp;E Annual'!AH$113</f>
        <v>0</v>
      </c>
      <c r="AI21" s="121">
        <f>'I&amp;E Annual'!AI$113</f>
        <v>0</v>
      </c>
      <c r="AJ21" s="121">
        <f>'I&amp;E Annual'!AJ$113</f>
        <v>0</v>
      </c>
      <c r="AK21" s="121">
        <f>'I&amp;E Annual'!AK$113</f>
        <v>0</v>
      </c>
      <c r="AL21" s="121">
        <f>'I&amp;E Annual'!AL$113</f>
        <v>0</v>
      </c>
      <c r="AM21" s="121">
        <f>'I&amp;E Annual'!AM$113</f>
        <v>0</v>
      </c>
      <c r="AN21" s="121">
        <f>'I&amp;E Annual'!AN$113</f>
        <v>0</v>
      </c>
      <c r="AO21" s="121">
        <f>'I&amp;E Annual'!AO$113</f>
        <v>0</v>
      </c>
      <c r="AP21" s="121">
        <f>'I&amp;E Annual'!AP$113</f>
        <v>0</v>
      </c>
      <c r="AQ21" s="121">
        <f>'I&amp;E Annual'!AQ$113</f>
        <v>0</v>
      </c>
      <c r="AR21" s="121">
        <f>'I&amp;E Annual'!AR$113</f>
        <v>0</v>
      </c>
      <c r="AS21" s="121">
        <f>'I&amp;E Annual'!AS$113</f>
        <v>0</v>
      </c>
      <c r="AT21" s="121">
        <f>'I&amp;E Annual'!AT$113</f>
        <v>0</v>
      </c>
      <c r="AU21" s="121">
        <f>'I&amp;E Annual'!AU$113</f>
        <v>0</v>
      </c>
      <c r="AV21" s="121">
        <f>'I&amp;E Annual'!AV$113</f>
        <v>0</v>
      </c>
      <c r="AW21" s="121">
        <f>'I&amp;E Annual'!AW$113</f>
        <v>0</v>
      </c>
      <c r="AX21" s="121">
        <f>'I&amp;E Annual'!AX$113</f>
        <v>0</v>
      </c>
      <c r="AY21" s="121">
        <f>'I&amp;E Annual'!AY$113</f>
        <v>0</v>
      </c>
      <c r="AZ21" s="121">
        <f>'I&amp;E Annual'!AZ$113</f>
        <v>0</v>
      </c>
      <c r="BA21" s="121">
        <f>'I&amp;E Annual'!BA$113</f>
        <v>0</v>
      </c>
      <c r="BB21" s="121">
        <f>'I&amp;E Annual'!BB$113</f>
        <v>0</v>
      </c>
      <c r="BC21" s="121">
        <f>'I&amp;E Annual'!BC$113</f>
        <v>0</v>
      </c>
      <c r="BD21" s="121">
        <f>'I&amp;E Annual'!BD$113</f>
        <v>0</v>
      </c>
      <c r="BE21" s="121">
        <f>'I&amp;E Annual'!BE$113</f>
        <v>0</v>
      </c>
      <c r="BF21" s="121">
        <f>'I&amp;E Annual'!BF$113</f>
        <v>0</v>
      </c>
      <c r="BG21" s="121">
        <f>'I&amp;E Annual'!BG$113</f>
        <v>0</v>
      </c>
      <c r="BH21" s="121">
        <f>'I&amp;E Annual'!BH$113</f>
        <v>0</v>
      </c>
      <c r="BI21" s="121">
        <f>'I&amp;E Annual'!BI$113</f>
        <v>0</v>
      </c>
      <c r="BJ21" s="121">
        <f>'I&amp;E Annual'!BJ$113</f>
        <v>0</v>
      </c>
      <c r="BK21" s="157"/>
      <c r="BL21" s="121">
        <f>'I&amp;E Annual'!BL$113</f>
        <v>0</v>
      </c>
      <c r="BM21" s="121">
        <f>'I&amp;E Annual'!BM$113</f>
        <v>0</v>
      </c>
      <c r="BN21" s="121">
        <f>'I&amp;E Annual'!BN$113</f>
        <v>0</v>
      </c>
      <c r="BO21" s="121">
        <f>'I&amp;E Annual'!BO$113</f>
        <v>0</v>
      </c>
      <c r="BP21" s="121">
        <f>'I&amp;E Annual'!BP$113</f>
        <v>0</v>
      </c>
      <c r="BQ21" s="121">
        <f>'I&amp;E Annual'!BQ$113</f>
        <v>0</v>
      </c>
      <c r="BR21" s="121">
        <f>'I&amp;E Annual'!BR$113</f>
        <v>0</v>
      </c>
      <c r="BS21" s="121">
        <f>'I&amp;E Annual'!BS$113</f>
        <v>0</v>
      </c>
      <c r="BT21" s="121">
        <f>'I&amp;E Annual'!BT$113</f>
        <v>0</v>
      </c>
      <c r="BU21" s="121">
        <f>'I&amp;E Annual'!BU$113</f>
        <v>0</v>
      </c>
      <c r="BV21" s="121">
        <f>'I&amp;E Annual'!BV$113</f>
        <v>0</v>
      </c>
      <c r="BW21" s="121">
        <f>'I&amp;E Annual'!BW$113</f>
        <v>0</v>
      </c>
      <c r="BY21" s="42"/>
      <c r="CC21" s="126">
        <f t="shared" si="9"/>
        <v>0</v>
      </c>
      <c r="CD21" s="126">
        <f t="shared" si="10"/>
        <v>0</v>
      </c>
      <c r="CE21" s="126">
        <f t="shared" si="11"/>
        <v>0</v>
      </c>
      <c r="CF21" s="42"/>
      <c r="CG21" s="352">
        <f t="shared" si="2"/>
        <v>0</v>
      </c>
      <c r="CH21" s="352">
        <f t="shared" si="3"/>
        <v>0</v>
      </c>
      <c r="CI21" s="352">
        <f t="shared" si="4"/>
        <v>0</v>
      </c>
      <c r="CJ21" s="352">
        <f t="shared" si="5"/>
        <v>0</v>
      </c>
      <c r="CK21" s="352">
        <f t="shared" si="6"/>
        <v>0</v>
      </c>
      <c r="CL21" s="352">
        <f t="shared" si="7"/>
        <v>0</v>
      </c>
      <c r="CM21" s="352">
        <f t="shared" si="8"/>
        <v>0</v>
      </c>
      <c r="EX21" s="10" t="str">
        <f t="shared" ca="1" si="0"/>
        <v>Total Emergency Funding</v>
      </c>
    </row>
    <row r="22" spans="1:154" s="323" customFormat="1" ht="15" customHeight="1" x14ac:dyDescent="0.25">
      <c r="A22" s="362" cm="1">
        <f t="array" aca="1" ref="A22" ca="1">HYPERLINK(CONCATENATE("#",CELL("address",IF(SUM($BY22:$CF22)=0,A22,INDEX($BY22:$CF22,MATCH(1,$BY22:$CF22,0))))),SUM($BY22:$CF22))</f>
        <v>0</v>
      </c>
      <c r="C22" s="343" t="str">
        <f>CONCATENATE("FS-",'I&amp;E Annual'!C$117)</f>
        <v>FS-IE-1j</v>
      </c>
      <c r="D22" s="560" t="str" cm="1">
        <f t="array" aca="1" ref="D22" ca="1">HYPERLINK(CONCATENATE("#",CELL("address",'I&amp;E Annual'!$D$117)),'I&amp;E Annual'!$D$117)</f>
        <v>Total gifts and donated assets</v>
      </c>
      <c r="E22" s="1"/>
      <c r="H22" s="335"/>
      <c r="I22" s="335"/>
      <c r="J22" s="157"/>
      <c r="Q22" s="335"/>
      <c r="R22" s="335"/>
      <c r="S22" s="157"/>
      <c r="T22" s="157"/>
      <c r="U22" s="157"/>
      <c r="V22" s="13">
        <f t="shared" ref="V22" si="13">BL22</f>
        <v>0</v>
      </c>
      <c r="W22" s="13">
        <f t="shared" ref="W22" si="14">BM22</f>
        <v>0</v>
      </c>
      <c r="X22" s="13">
        <f t="shared" ref="X22" si="15">BN22</f>
        <v>0</v>
      </c>
      <c r="Y22" s="13">
        <f t="shared" ref="Y22" si="16">BO22</f>
        <v>0</v>
      </c>
      <c r="Z22" s="157"/>
      <c r="AA22" s="10">
        <f>'I&amp;E Annual'!AA$117</f>
        <v>0</v>
      </c>
      <c r="AB22" s="10">
        <f>'I&amp;E Annual'!AB$117</f>
        <v>0</v>
      </c>
      <c r="AC22" s="10">
        <f>'I&amp;E Annual'!AC$117</f>
        <v>0</v>
      </c>
      <c r="AD22" s="10">
        <f>'I&amp;E Annual'!AD$117</f>
        <v>0</v>
      </c>
      <c r="AE22" s="10">
        <f>'I&amp;E Annual'!AE$117</f>
        <v>0</v>
      </c>
      <c r="AF22" s="10">
        <f>'I&amp;E Annual'!AF$117</f>
        <v>0</v>
      </c>
      <c r="AG22" s="10">
        <f>'I&amp;E Annual'!AG$117</f>
        <v>0</v>
      </c>
      <c r="AH22" s="10">
        <f>'I&amp;E Annual'!AH$117</f>
        <v>0</v>
      </c>
      <c r="AI22" s="10">
        <f>'I&amp;E Annual'!AI$117</f>
        <v>0</v>
      </c>
      <c r="AJ22" s="10">
        <f>'I&amp;E Annual'!AJ$117</f>
        <v>0</v>
      </c>
      <c r="AK22" s="10">
        <f>'I&amp;E Annual'!AK$117</f>
        <v>0</v>
      </c>
      <c r="AL22" s="10">
        <f>'I&amp;E Annual'!AL$117</f>
        <v>0</v>
      </c>
      <c r="AM22" s="10">
        <f>'I&amp;E Annual'!AM$117</f>
        <v>0</v>
      </c>
      <c r="AN22" s="10">
        <f>'I&amp;E Annual'!AN$117</f>
        <v>0</v>
      </c>
      <c r="AO22" s="10">
        <f>'I&amp;E Annual'!AO$117</f>
        <v>0</v>
      </c>
      <c r="AP22" s="10">
        <f>'I&amp;E Annual'!AP$117</f>
        <v>0</v>
      </c>
      <c r="AQ22" s="10">
        <f>'I&amp;E Annual'!AQ$117</f>
        <v>0</v>
      </c>
      <c r="AR22" s="10">
        <f>'I&amp;E Annual'!AR$117</f>
        <v>0</v>
      </c>
      <c r="AS22" s="10">
        <f>'I&amp;E Annual'!AS$117</f>
        <v>0</v>
      </c>
      <c r="AT22" s="10">
        <f>'I&amp;E Annual'!AT$117</f>
        <v>0</v>
      </c>
      <c r="AU22" s="10">
        <f>'I&amp;E Annual'!AU$117</f>
        <v>0</v>
      </c>
      <c r="AV22" s="10">
        <f>'I&amp;E Annual'!AV$117</f>
        <v>0</v>
      </c>
      <c r="AW22" s="10">
        <f>'I&amp;E Annual'!AW$117</f>
        <v>0</v>
      </c>
      <c r="AX22" s="10">
        <f>'I&amp;E Annual'!AX$117</f>
        <v>0</v>
      </c>
      <c r="AY22" s="10">
        <f>'I&amp;E Annual'!AY$117</f>
        <v>0</v>
      </c>
      <c r="AZ22" s="10">
        <f>'I&amp;E Annual'!AZ$117</f>
        <v>0</v>
      </c>
      <c r="BA22" s="10">
        <f>'I&amp;E Annual'!BA$117</f>
        <v>0</v>
      </c>
      <c r="BB22" s="10">
        <f>'I&amp;E Annual'!BB$117</f>
        <v>0</v>
      </c>
      <c r="BC22" s="10">
        <f>'I&amp;E Annual'!BC$117</f>
        <v>0</v>
      </c>
      <c r="BD22" s="10">
        <f>'I&amp;E Annual'!BD$117</f>
        <v>0</v>
      </c>
      <c r="BE22" s="10">
        <f>'I&amp;E Annual'!BE$117</f>
        <v>0</v>
      </c>
      <c r="BF22" s="10">
        <f>'I&amp;E Annual'!BF$117</f>
        <v>0</v>
      </c>
      <c r="BG22" s="10">
        <f>'I&amp;E Annual'!BG$117</f>
        <v>0</v>
      </c>
      <c r="BH22" s="10">
        <f>'I&amp;E Annual'!BH$117</f>
        <v>0</v>
      </c>
      <c r="BI22" s="10">
        <f>'I&amp;E Annual'!BI$117</f>
        <v>0</v>
      </c>
      <c r="BJ22" s="10">
        <f>'I&amp;E Annual'!BJ$117</f>
        <v>0</v>
      </c>
      <c r="BK22" s="157"/>
      <c r="BL22" s="10">
        <f>'I&amp;E Annual'!BL$117</f>
        <v>0</v>
      </c>
      <c r="BM22" s="10">
        <f>'I&amp;E Annual'!BM$117</f>
        <v>0</v>
      </c>
      <c r="BN22" s="10">
        <f>'I&amp;E Annual'!BN$117</f>
        <v>0</v>
      </c>
      <c r="BO22" s="10">
        <f>'I&amp;E Annual'!BO$117</f>
        <v>0</v>
      </c>
      <c r="BP22" s="10">
        <f>'I&amp;E Annual'!BP$117</f>
        <v>0</v>
      </c>
      <c r="BQ22" s="10">
        <f>'I&amp;E Annual'!BQ$117</f>
        <v>0</v>
      </c>
      <c r="BR22" s="10">
        <f>'I&amp;E Annual'!BR$117</f>
        <v>0</v>
      </c>
      <c r="BS22" s="10">
        <f>'I&amp;E Annual'!BS$117</f>
        <v>0</v>
      </c>
      <c r="BT22" s="10">
        <f>'I&amp;E Annual'!BT$117</f>
        <v>0</v>
      </c>
      <c r="BU22" s="10">
        <f>'I&amp;E Annual'!BU$117</f>
        <v>0</v>
      </c>
      <c r="BV22" s="10">
        <f>'I&amp;E Annual'!BV$117</f>
        <v>0</v>
      </c>
      <c r="BW22" s="10">
        <f>'I&amp;E Annual'!BW$117</f>
        <v>0</v>
      </c>
      <c r="BY22" s="42"/>
      <c r="CB22" s="335"/>
      <c r="CC22" s="126">
        <f t="shared" si="9"/>
        <v>0</v>
      </c>
      <c r="CD22" s="126">
        <f t="shared" si="10"/>
        <v>0</v>
      </c>
      <c r="CE22" s="126">
        <f t="shared" si="11"/>
        <v>0</v>
      </c>
      <c r="CF22" s="42"/>
      <c r="CG22" s="352">
        <f t="shared" si="2"/>
        <v>0</v>
      </c>
      <c r="CH22" s="352">
        <f t="shared" si="3"/>
        <v>0</v>
      </c>
      <c r="CI22" s="352">
        <f t="shared" si="4"/>
        <v>0</v>
      </c>
      <c r="CJ22" s="352">
        <f t="shared" si="5"/>
        <v>0</v>
      </c>
      <c r="CK22" s="352">
        <f t="shared" si="6"/>
        <v>0</v>
      </c>
      <c r="CL22" s="352">
        <f t="shared" si="7"/>
        <v>0</v>
      </c>
      <c r="CM22" s="352">
        <f t="shared" si="8"/>
        <v>0</v>
      </c>
      <c r="EX22" s="10" t="str">
        <f t="shared" ca="1" si="0"/>
        <v>Total gifts and donated assets</v>
      </c>
    </row>
    <row r="23" spans="1:154" ht="15" customHeight="1" x14ac:dyDescent="0.25">
      <c r="A23" s="362" cm="1">
        <f t="array" aca="1" ref="A23" ca="1">HYPERLINK(CONCATENATE("#",CELL("address",IF(SUM($BY23:$CF23)=0,A23,INDEX($BY23:$CF23,MATCH(1,$BY23:$CF23,0))))),SUM($BY23:$CF23))</f>
        <v>0</v>
      </c>
      <c r="C23" s="343" t="str">
        <f>CONCATENATE("FS-",'I&amp;E Annual'!C$119)</f>
        <v>FS-IE-1</v>
      </c>
      <c r="D23" s="554" t="s">
        <v>638</v>
      </c>
      <c r="H23" s="335"/>
      <c r="I23" s="335"/>
      <c r="J23" s="157"/>
      <c r="Q23" s="335"/>
      <c r="R23" s="335"/>
      <c r="S23" s="157"/>
      <c r="T23" s="157"/>
      <c r="U23" s="157"/>
      <c r="V23" s="13">
        <f>SUM(V$13:V$22)*V$9</f>
        <v>0</v>
      </c>
      <c r="W23" s="13">
        <f>SUM(W$13:W$22)*W$9</f>
        <v>27973</v>
      </c>
      <c r="X23" s="13">
        <f>SUM(X$13:X$22)*X$9</f>
        <v>29133</v>
      </c>
      <c r="Y23" s="13">
        <f>SUM(Y$13:Y$22)*Y$9</f>
        <v>30071.37</v>
      </c>
      <c r="Z23" s="157"/>
      <c r="AA23" s="13">
        <f t="shared" ref="AA23:BJ23" si="17">SUM(AA$13:AA$22)*AA$9</f>
        <v>3502</v>
      </c>
      <c r="AB23" s="13">
        <f t="shared" si="17"/>
        <v>3218</v>
      </c>
      <c r="AC23" s="13">
        <f t="shared" si="17"/>
        <v>2442</v>
      </c>
      <c r="AD23" s="13">
        <f t="shared" si="17"/>
        <v>2215</v>
      </c>
      <c r="AE23" s="13">
        <f t="shared" si="17"/>
        <v>1415</v>
      </c>
      <c r="AF23" s="13">
        <f t="shared" si="17"/>
        <v>1562</v>
      </c>
      <c r="AG23" s="13">
        <f t="shared" si="17"/>
        <v>1382</v>
      </c>
      <c r="AH23" s="13">
        <f t="shared" si="17"/>
        <v>1452</v>
      </c>
      <c r="AI23" s="13">
        <f t="shared" si="17"/>
        <v>3552</v>
      </c>
      <c r="AJ23" s="13">
        <f t="shared" si="17"/>
        <v>2890</v>
      </c>
      <c r="AK23" s="13">
        <f t="shared" si="17"/>
        <v>2871</v>
      </c>
      <c r="AL23" s="13">
        <f t="shared" si="17"/>
        <v>1472</v>
      </c>
      <c r="AM23" s="13">
        <f t="shared" si="17"/>
        <v>3908</v>
      </c>
      <c r="AN23" s="13">
        <f t="shared" si="17"/>
        <v>3275</v>
      </c>
      <c r="AO23" s="13">
        <f t="shared" si="17"/>
        <v>2511</v>
      </c>
      <c r="AP23" s="13">
        <f t="shared" si="17"/>
        <v>2057</v>
      </c>
      <c r="AQ23" s="13">
        <f t="shared" si="17"/>
        <v>1535</v>
      </c>
      <c r="AR23" s="13">
        <f t="shared" si="17"/>
        <v>1786</v>
      </c>
      <c r="AS23" s="13">
        <f t="shared" si="17"/>
        <v>1442</v>
      </c>
      <c r="AT23" s="13">
        <f t="shared" si="17"/>
        <v>1576</v>
      </c>
      <c r="AU23" s="13">
        <f t="shared" si="17"/>
        <v>3985</v>
      </c>
      <c r="AV23" s="13">
        <f t="shared" si="17"/>
        <v>2962</v>
      </c>
      <c r="AW23" s="13">
        <f t="shared" si="17"/>
        <v>2500</v>
      </c>
      <c r="AX23" s="13">
        <f t="shared" si="17"/>
        <v>1596</v>
      </c>
      <c r="AY23" s="13">
        <f t="shared" si="17"/>
        <v>4012.1133333333337</v>
      </c>
      <c r="AZ23" s="13">
        <f t="shared" si="17"/>
        <v>3354.1616666666664</v>
      </c>
      <c r="BA23" s="13">
        <f t="shared" si="17"/>
        <v>2589.2233333333329</v>
      </c>
      <c r="BB23" s="13">
        <f t="shared" si="17"/>
        <v>2120.9016666666666</v>
      </c>
      <c r="BC23" s="13">
        <f t="shared" si="17"/>
        <v>1585.4750000000001</v>
      </c>
      <c r="BD23" s="13">
        <f t="shared" si="17"/>
        <v>1848.2300000000002</v>
      </c>
      <c r="BE23" s="13">
        <f t="shared" si="17"/>
        <v>1490.5483333333334</v>
      </c>
      <c r="BF23" s="13">
        <f t="shared" si="17"/>
        <v>1632.2066666666667</v>
      </c>
      <c r="BG23" s="13">
        <f t="shared" si="17"/>
        <v>4111.9283333333342</v>
      </c>
      <c r="BH23" s="13">
        <f t="shared" si="17"/>
        <v>3085.8633333333337</v>
      </c>
      <c r="BI23" s="13">
        <f t="shared" si="17"/>
        <v>2583.3133333333335</v>
      </c>
      <c r="BJ23" s="13">
        <f t="shared" si="17"/>
        <v>1657.4049999999997</v>
      </c>
      <c r="BK23" s="157"/>
      <c r="BL23" s="13">
        <f t="shared" ref="BL23:BW23" si="18">SUM(BL$13:BL$22)*BL$9</f>
        <v>0</v>
      </c>
      <c r="BM23" s="13">
        <f t="shared" si="18"/>
        <v>27973</v>
      </c>
      <c r="BN23" s="13">
        <f t="shared" si="18"/>
        <v>29133</v>
      </c>
      <c r="BO23" s="13">
        <f t="shared" si="18"/>
        <v>30071.37</v>
      </c>
      <c r="BP23" s="13">
        <f t="shared" si="18"/>
        <v>0</v>
      </c>
      <c r="BQ23" s="13">
        <f t="shared" si="18"/>
        <v>0</v>
      </c>
      <c r="BR23" s="13">
        <f t="shared" si="18"/>
        <v>0</v>
      </c>
      <c r="BS23" s="13">
        <f t="shared" si="18"/>
        <v>0</v>
      </c>
      <c r="BT23" s="13">
        <f t="shared" si="18"/>
        <v>0</v>
      </c>
      <c r="BU23" s="13">
        <f t="shared" si="18"/>
        <v>0</v>
      </c>
      <c r="BV23" s="13">
        <f t="shared" si="18"/>
        <v>0</v>
      </c>
      <c r="BW23" s="13">
        <f t="shared" si="18"/>
        <v>0</v>
      </c>
      <c r="BY23" s="42"/>
      <c r="CC23" s="126">
        <f t="shared" si="9"/>
        <v>0</v>
      </c>
      <c r="CD23" s="126">
        <f t="shared" si="10"/>
        <v>0</v>
      </c>
      <c r="CE23" s="126">
        <f t="shared" si="11"/>
        <v>0</v>
      </c>
      <c r="CF23" s="42"/>
      <c r="CG23" s="352">
        <f t="shared" si="2"/>
        <v>0</v>
      </c>
      <c r="CH23" s="352">
        <f t="shared" si="3"/>
        <v>0</v>
      </c>
      <c r="CI23" s="352">
        <f t="shared" si="4"/>
        <v>0</v>
      </c>
      <c r="CJ23" s="352">
        <f t="shared" si="5"/>
        <v>0</v>
      </c>
      <c r="CK23" s="352">
        <f t="shared" si="6"/>
        <v>0</v>
      </c>
      <c r="CL23" s="352">
        <f t="shared" si="7"/>
        <v>0</v>
      </c>
      <c r="CM23" s="352">
        <f t="shared" si="8"/>
        <v>0</v>
      </c>
      <c r="EX23" s="10" t="str">
        <f t="shared" si="0"/>
        <v>Total Operating Income</v>
      </c>
    </row>
    <row r="24" spans="1:154" ht="15" customHeight="1" x14ac:dyDescent="0.25">
      <c r="A24" s="362" cm="1">
        <f t="array" aca="1" ref="A24" ca="1">HYPERLINK(CONCATENATE("#",CELL("address",IF(SUM($BY24:$CF24)=0,A24,INDEX($BY24:$CF24,MATCH(1,$BY24:$CF24,0))))),SUM($BY24:$CF24))</f>
        <v>0</v>
      </c>
      <c r="B24" s="335"/>
      <c r="C24" s="343" t="str">
        <f>CONCATENATE(C23, "SO")</f>
        <v>FS-IE-1SO</v>
      </c>
      <c r="D24" s="556" t="s">
        <v>11</v>
      </c>
      <c r="H24" s="335"/>
      <c r="I24" s="335"/>
      <c r="J24" s="157"/>
      <c r="Q24" s="335"/>
      <c r="R24" s="335"/>
      <c r="S24" s="157"/>
      <c r="T24" s="157"/>
      <c r="U24" s="157"/>
      <c r="V24" s="13">
        <f>BL24</f>
        <v>0</v>
      </c>
      <c r="W24" s="13">
        <f t="shared" ref="W24:Y24" si="19">BM24</f>
        <v>0</v>
      </c>
      <c r="X24" s="13">
        <f t="shared" si="19"/>
        <v>0</v>
      </c>
      <c r="Y24" s="13">
        <f t="shared" si="19"/>
        <v>0</v>
      </c>
      <c r="Z24" s="157"/>
      <c r="AA24" s="121">
        <f>'I&amp;E Annual'!AA$16+'I&amp;E Annual'!AA$29+'I&amp;E Annual'!AA$38+'I&amp;E Annual'!AA$50+'I&amp;E Annual'!AA$61</f>
        <v>0</v>
      </c>
      <c r="AB24" s="121">
        <f>'I&amp;E Annual'!AB$16+'I&amp;E Annual'!AB$29+'I&amp;E Annual'!AB$38+'I&amp;E Annual'!AB$50+'I&amp;E Annual'!AB$61</f>
        <v>0</v>
      </c>
      <c r="AC24" s="121">
        <f>'I&amp;E Annual'!AC$16+'I&amp;E Annual'!AC$29+'I&amp;E Annual'!AC$38+'I&amp;E Annual'!AC$50+'I&amp;E Annual'!AC$61</f>
        <v>0</v>
      </c>
      <c r="AD24" s="121">
        <f>'I&amp;E Annual'!AD$16+'I&amp;E Annual'!AD$29+'I&amp;E Annual'!AD$38+'I&amp;E Annual'!AD$50+'I&amp;E Annual'!AD$61</f>
        <v>0</v>
      </c>
      <c r="AE24" s="121">
        <f>'I&amp;E Annual'!AE$16+'I&amp;E Annual'!AE$29+'I&amp;E Annual'!AE$38+'I&amp;E Annual'!AE$50+'I&amp;E Annual'!AE$61</f>
        <v>0</v>
      </c>
      <c r="AF24" s="121">
        <f>'I&amp;E Annual'!AF$16+'I&amp;E Annual'!AF$29+'I&amp;E Annual'!AF$38+'I&amp;E Annual'!AF$50+'I&amp;E Annual'!AF$61</f>
        <v>0</v>
      </c>
      <c r="AG24" s="121">
        <f>'I&amp;E Annual'!AG$16+'I&amp;E Annual'!AG$29+'I&amp;E Annual'!AG$38+'I&amp;E Annual'!AG$50+'I&amp;E Annual'!AG$61</f>
        <v>0</v>
      </c>
      <c r="AH24" s="121">
        <f>'I&amp;E Annual'!AH$16+'I&amp;E Annual'!AH$29+'I&amp;E Annual'!AH$38+'I&amp;E Annual'!AH$50+'I&amp;E Annual'!AH$61</f>
        <v>0</v>
      </c>
      <c r="AI24" s="121">
        <f>'I&amp;E Annual'!AI$16+'I&amp;E Annual'!AI$29+'I&amp;E Annual'!AI$38+'I&amp;E Annual'!AI$50+'I&amp;E Annual'!AI$61</f>
        <v>0</v>
      </c>
      <c r="AJ24" s="121">
        <f>'I&amp;E Annual'!AJ$16+'I&amp;E Annual'!AJ$29+'I&amp;E Annual'!AJ$38+'I&amp;E Annual'!AJ$50+'I&amp;E Annual'!AJ$61</f>
        <v>0</v>
      </c>
      <c r="AK24" s="121">
        <f>'I&amp;E Annual'!AK$16+'I&amp;E Annual'!AK$29+'I&amp;E Annual'!AK$38+'I&amp;E Annual'!AK$50+'I&amp;E Annual'!AK$61</f>
        <v>0</v>
      </c>
      <c r="AL24" s="121">
        <f>'I&amp;E Annual'!AL$16+'I&amp;E Annual'!AL$29+'I&amp;E Annual'!AL$38+'I&amp;E Annual'!AL$50+'I&amp;E Annual'!AL$61</f>
        <v>0</v>
      </c>
      <c r="AM24" s="121">
        <f>'I&amp;E Annual'!AM$16+'I&amp;E Annual'!AM$29+'I&amp;E Annual'!AM$38+'I&amp;E Annual'!AM$50+'I&amp;E Annual'!AM$61</f>
        <v>0</v>
      </c>
      <c r="AN24" s="121">
        <f>'I&amp;E Annual'!AN$16+'I&amp;E Annual'!AN$29+'I&amp;E Annual'!AN$38+'I&amp;E Annual'!AN$50+'I&amp;E Annual'!AN$61</f>
        <v>0</v>
      </c>
      <c r="AO24" s="121">
        <f>'I&amp;E Annual'!AO$16+'I&amp;E Annual'!AO$29+'I&amp;E Annual'!AO$38+'I&amp;E Annual'!AO$50+'I&amp;E Annual'!AO$61</f>
        <v>0</v>
      </c>
      <c r="AP24" s="121">
        <f>'I&amp;E Annual'!AP$16+'I&amp;E Annual'!AP$29+'I&amp;E Annual'!AP$38+'I&amp;E Annual'!AP$50+'I&amp;E Annual'!AP$61</f>
        <v>0</v>
      </c>
      <c r="AQ24" s="121">
        <f>'I&amp;E Annual'!AQ$16+'I&amp;E Annual'!AQ$29+'I&amp;E Annual'!AQ$38+'I&amp;E Annual'!AQ$50+'I&amp;E Annual'!AQ$61</f>
        <v>0</v>
      </c>
      <c r="AR24" s="121">
        <f>'I&amp;E Annual'!AR$16+'I&amp;E Annual'!AR$29+'I&amp;E Annual'!AR$38+'I&amp;E Annual'!AR$50+'I&amp;E Annual'!AR$61</f>
        <v>0</v>
      </c>
      <c r="AS24" s="121">
        <f>'I&amp;E Annual'!AS$16+'I&amp;E Annual'!AS$29+'I&amp;E Annual'!AS$38+'I&amp;E Annual'!AS$50+'I&amp;E Annual'!AS$61</f>
        <v>0</v>
      </c>
      <c r="AT24" s="121">
        <f>'I&amp;E Annual'!AT$16+'I&amp;E Annual'!AT$29+'I&amp;E Annual'!AT$38+'I&amp;E Annual'!AT$50+'I&amp;E Annual'!AT$61</f>
        <v>0</v>
      </c>
      <c r="AU24" s="121">
        <f>'I&amp;E Annual'!AU$16+'I&amp;E Annual'!AU$29+'I&amp;E Annual'!AU$38+'I&amp;E Annual'!AU$50+'I&amp;E Annual'!AU$61</f>
        <v>0</v>
      </c>
      <c r="AV24" s="121">
        <f>'I&amp;E Annual'!AV$16+'I&amp;E Annual'!AV$29+'I&amp;E Annual'!AV$38+'I&amp;E Annual'!AV$50+'I&amp;E Annual'!AV$61</f>
        <v>0</v>
      </c>
      <c r="AW24" s="121">
        <f>'I&amp;E Annual'!AW$16+'I&amp;E Annual'!AW$29+'I&amp;E Annual'!AW$38+'I&amp;E Annual'!AW$50+'I&amp;E Annual'!AW$61</f>
        <v>0</v>
      </c>
      <c r="AX24" s="121">
        <f>'I&amp;E Annual'!AX$16+'I&amp;E Annual'!AX$29+'I&amp;E Annual'!AX$38+'I&amp;E Annual'!AX$50+'I&amp;E Annual'!AX$61</f>
        <v>0</v>
      </c>
      <c r="AY24" s="121">
        <f>'I&amp;E Annual'!AY$16+'I&amp;E Annual'!AY$29+'I&amp;E Annual'!AY$38+'I&amp;E Annual'!AY$50+'I&amp;E Annual'!AY$61</f>
        <v>0</v>
      </c>
      <c r="AZ24" s="121">
        <f>'I&amp;E Annual'!AZ$16+'I&amp;E Annual'!AZ$29+'I&amp;E Annual'!AZ$38+'I&amp;E Annual'!AZ$50+'I&amp;E Annual'!AZ$61</f>
        <v>0</v>
      </c>
      <c r="BA24" s="121">
        <f>'I&amp;E Annual'!BA$16+'I&amp;E Annual'!BA$29+'I&amp;E Annual'!BA$38+'I&amp;E Annual'!BA$50+'I&amp;E Annual'!BA$61</f>
        <v>0</v>
      </c>
      <c r="BB24" s="121">
        <f>'I&amp;E Annual'!BB$16+'I&amp;E Annual'!BB$29+'I&amp;E Annual'!BB$38+'I&amp;E Annual'!BB$50+'I&amp;E Annual'!BB$61</f>
        <v>0</v>
      </c>
      <c r="BC24" s="121">
        <f>'I&amp;E Annual'!BC$16+'I&amp;E Annual'!BC$29+'I&amp;E Annual'!BC$38+'I&amp;E Annual'!BC$50+'I&amp;E Annual'!BC$61</f>
        <v>0</v>
      </c>
      <c r="BD24" s="121">
        <f>'I&amp;E Annual'!BD$16+'I&amp;E Annual'!BD$29+'I&amp;E Annual'!BD$38+'I&amp;E Annual'!BD$50+'I&amp;E Annual'!BD$61</f>
        <v>0</v>
      </c>
      <c r="BE24" s="121">
        <f>'I&amp;E Annual'!BE$16+'I&amp;E Annual'!BE$29+'I&amp;E Annual'!BE$38+'I&amp;E Annual'!BE$50+'I&amp;E Annual'!BE$61</f>
        <v>0</v>
      </c>
      <c r="BF24" s="121">
        <f>'I&amp;E Annual'!BF$16+'I&amp;E Annual'!BF$29+'I&amp;E Annual'!BF$38+'I&amp;E Annual'!BF$50+'I&amp;E Annual'!BF$61</f>
        <v>0</v>
      </c>
      <c r="BG24" s="121">
        <f>'I&amp;E Annual'!BG$16+'I&amp;E Annual'!BG$29+'I&amp;E Annual'!BG$38+'I&amp;E Annual'!BG$50+'I&amp;E Annual'!BG$61</f>
        <v>0</v>
      </c>
      <c r="BH24" s="121">
        <f>'I&amp;E Annual'!BH$16+'I&amp;E Annual'!BH$29+'I&amp;E Annual'!BH$38+'I&amp;E Annual'!BH$50+'I&amp;E Annual'!BH$61</f>
        <v>0</v>
      </c>
      <c r="BI24" s="121">
        <f>'I&amp;E Annual'!BI$16+'I&amp;E Annual'!BI$29+'I&amp;E Annual'!BI$38+'I&amp;E Annual'!BI$50+'I&amp;E Annual'!BI$61</f>
        <v>0</v>
      </c>
      <c r="BJ24" s="121">
        <f>'I&amp;E Annual'!BJ$16+'I&amp;E Annual'!BJ$29+'I&amp;E Annual'!BJ$38+'I&amp;E Annual'!BJ$50+'I&amp;E Annual'!BJ$61</f>
        <v>0</v>
      </c>
      <c r="BK24" s="157"/>
      <c r="BL24" s="121">
        <f>'I&amp;E Annual'!BL$16+'I&amp;E Annual'!BL$29+'I&amp;E Annual'!BL$38+'I&amp;E Annual'!BL$50+'I&amp;E Annual'!BL$61</f>
        <v>0</v>
      </c>
      <c r="BM24" s="121">
        <f>'I&amp;E Annual'!BM$16+'I&amp;E Annual'!BM$29+'I&amp;E Annual'!BM$38+'I&amp;E Annual'!BM$50+'I&amp;E Annual'!BM$61</f>
        <v>0</v>
      </c>
      <c r="BN24" s="121">
        <f>'I&amp;E Annual'!BN$16+'I&amp;E Annual'!BN$29+'I&amp;E Annual'!BN$38+'I&amp;E Annual'!BN$50+'I&amp;E Annual'!BN$61</f>
        <v>0</v>
      </c>
      <c r="BO24" s="121">
        <f>'I&amp;E Annual'!BO$16+'I&amp;E Annual'!BO$29+'I&amp;E Annual'!BO$38+'I&amp;E Annual'!BO$50+'I&amp;E Annual'!BO$61</f>
        <v>0</v>
      </c>
      <c r="BP24" s="121">
        <f>'I&amp;E Annual'!BP$16+'I&amp;E Annual'!BP$29+'I&amp;E Annual'!BP$38+'I&amp;E Annual'!BP$50+'I&amp;E Annual'!BP$61</f>
        <v>0</v>
      </c>
      <c r="BQ24" s="121">
        <f>'I&amp;E Annual'!BQ$16+'I&amp;E Annual'!BQ$29+'I&amp;E Annual'!BQ$38+'I&amp;E Annual'!BQ$50+'I&amp;E Annual'!BQ$61</f>
        <v>0</v>
      </c>
      <c r="BR24" s="121">
        <f>'I&amp;E Annual'!BR$16+'I&amp;E Annual'!BR$29+'I&amp;E Annual'!BR$38+'I&amp;E Annual'!BR$50+'I&amp;E Annual'!BR$61</f>
        <v>0</v>
      </c>
      <c r="BS24" s="121">
        <f>'I&amp;E Annual'!BS$16+'I&amp;E Annual'!BS$29+'I&amp;E Annual'!BS$38+'I&amp;E Annual'!BS$50+'I&amp;E Annual'!BS$61</f>
        <v>0</v>
      </c>
      <c r="BT24" s="121">
        <f>'I&amp;E Annual'!BT$16+'I&amp;E Annual'!BT$29+'I&amp;E Annual'!BT$38+'I&amp;E Annual'!BT$50+'I&amp;E Annual'!BT$61</f>
        <v>0</v>
      </c>
      <c r="BU24" s="121">
        <f>'I&amp;E Annual'!BU$16+'I&amp;E Annual'!BU$29+'I&amp;E Annual'!BU$38+'I&amp;E Annual'!BU$50+'I&amp;E Annual'!BU$61</f>
        <v>0</v>
      </c>
      <c r="BV24" s="121">
        <f>'I&amp;E Annual'!BV$16+'I&amp;E Annual'!BV$29+'I&amp;E Annual'!BV$38+'I&amp;E Annual'!BV$50+'I&amp;E Annual'!BV$61</f>
        <v>0</v>
      </c>
      <c r="BW24" s="121">
        <f>'I&amp;E Annual'!BW$16+'I&amp;E Annual'!BW$29+'I&amp;E Annual'!BW$38+'I&amp;E Annual'!BW$50+'I&amp;E Annual'!BW$61</f>
        <v>0</v>
      </c>
      <c r="BY24" s="42"/>
      <c r="CC24" s="126">
        <f t="shared" si="9"/>
        <v>0</v>
      </c>
      <c r="CD24" s="126">
        <f t="shared" si="10"/>
        <v>0</v>
      </c>
      <c r="CE24" s="126">
        <f t="shared" si="11"/>
        <v>0</v>
      </c>
      <c r="CF24" s="42"/>
      <c r="CG24" s="352">
        <f t="shared" si="2"/>
        <v>0</v>
      </c>
      <c r="CH24" s="352">
        <f t="shared" si="3"/>
        <v>0</v>
      </c>
      <c r="CI24" s="352">
        <f t="shared" si="4"/>
        <v>0</v>
      </c>
      <c r="CJ24" s="352">
        <f t="shared" si="5"/>
        <v>0</v>
      </c>
      <c r="CK24" s="352">
        <f t="shared" si="6"/>
        <v>0</v>
      </c>
      <c r="CL24" s="352">
        <f t="shared" si="7"/>
        <v>0</v>
      </c>
      <c r="CM24" s="352">
        <f t="shared" si="8"/>
        <v>0</v>
      </c>
      <c r="EX24" s="10" t="str">
        <f t="shared" si="0"/>
        <v>Of which: subcontracted out</v>
      </c>
    </row>
    <row r="25" spans="1:154" ht="15" customHeight="1" x14ac:dyDescent="0.25">
      <c r="A25" s="157"/>
      <c r="B25" s="335"/>
      <c r="C25" s="343"/>
      <c r="D25" s="556"/>
      <c r="E25" s="157"/>
      <c r="F25" s="157"/>
      <c r="G25" s="157"/>
      <c r="H25" s="335"/>
      <c r="I25" s="335"/>
      <c r="J25" s="157"/>
      <c r="K25" s="157"/>
      <c r="L25" s="157"/>
      <c r="M25" s="157"/>
      <c r="N25" s="157"/>
      <c r="O25" s="157"/>
      <c r="P25" s="157"/>
      <c r="Q25" s="335"/>
      <c r="R25" s="335"/>
      <c r="S25" s="157"/>
      <c r="T25" s="157"/>
      <c r="U25" s="157"/>
      <c r="V25" s="157"/>
      <c r="W25" s="157"/>
      <c r="X25" s="157"/>
      <c r="Y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42"/>
      <c r="CF25" s="42"/>
      <c r="EX25" s="10" t="str">
        <f t="shared" si="0"/>
        <v/>
      </c>
    </row>
    <row r="26" spans="1:154" ht="15" customHeight="1" x14ac:dyDescent="0.25">
      <c r="A26" s="362" cm="1">
        <f t="array" aca="1" ref="A26" ca="1">HYPERLINK(CONCATENATE("#",CELL("address",IF(SUM($BY26:$CF26)=0,A26,INDEX($BY26:$CF26,MATCH(1,$BY26:$CF26,0))))),SUM($BY26:$CF26))</f>
        <v>0</v>
      </c>
      <c r="B26" s="335"/>
      <c r="C26" s="343" t="str">
        <f>CONCATENATE("FS-",'I&amp;E Annual'!C$134)</f>
        <v>FS-IE-2a</v>
      </c>
      <c r="D26" s="560" t="str" cm="1">
        <f t="array" aca="1" ref="D26" ca="1">HYPERLINK(CONCATENATE("#",CELL("address",'I&amp;E Annual'!$D$134)),'I&amp;E Annual'!$D$134)</f>
        <v>Total Staff Costs (excl. restructuring)</v>
      </c>
      <c r="H26" s="335"/>
      <c r="I26" s="335"/>
      <c r="J26" s="157"/>
      <c r="Q26" s="335"/>
      <c r="R26" s="335"/>
      <c r="S26" s="157"/>
      <c r="T26" s="157"/>
      <c r="U26" s="157"/>
      <c r="V26" s="13">
        <f t="shared" ref="V26:V28" si="20">BL26</f>
        <v>0</v>
      </c>
      <c r="W26" s="13">
        <f t="shared" ref="W26:W28" si="21">BM26</f>
        <v>17308</v>
      </c>
      <c r="X26" s="13">
        <f t="shared" ref="X26:X28" si="22">BN26</f>
        <v>18061</v>
      </c>
      <c r="Y26" s="13">
        <f t="shared" ref="Y26:Y28" si="23">BO26</f>
        <v>18645.304999999997</v>
      </c>
      <c r="Z26" s="157"/>
      <c r="AA26" s="121">
        <f>'I&amp;E Annual'!AA$134</f>
        <v>1327</v>
      </c>
      <c r="AB26" s="121">
        <f>'I&amp;E Annual'!AB$134</f>
        <v>1356</v>
      </c>
      <c r="AC26" s="121">
        <f>'I&amp;E Annual'!AC$134</f>
        <v>1462</v>
      </c>
      <c r="AD26" s="121">
        <f>'I&amp;E Annual'!AD$134</f>
        <v>1453</v>
      </c>
      <c r="AE26" s="121">
        <f>'I&amp;E Annual'!AE$134</f>
        <v>1482</v>
      </c>
      <c r="AF26" s="121">
        <f>'I&amp;E Annual'!AF$134</f>
        <v>1451</v>
      </c>
      <c r="AG26" s="121">
        <f>'I&amp;E Annual'!AG$134</f>
        <v>1407</v>
      </c>
      <c r="AH26" s="121">
        <f>'I&amp;E Annual'!AH$134</f>
        <v>1437</v>
      </c>
      <c r="AI26" s="121">
        <f>'I&amp;E Annual'!AI$134</f>
        <v>1549</v>
      </c>
      <c r="AJ26" s="121">
        <f>'I&amp;E Annual'!AJ$134</f>
        <v>1457</v>
      </c>
      <c r="AK26" s="121">
        <f>'I&amp;E Annual'!AK$134</f>
        <v>1478</v>
      </c>
      <c r="AL26" s="121">
        <f>'I&amp;E Annual'!AL$134</f>
        <v>1449</v>
      </c>
      <c r="AM26" s="121">
        <f>'I&amp;E Annual'!AM$134</f>
        <v>1390</v>
      </c>
      <c r="AN26" s="121">
        <f>'I&amp;E Annual'!AN$134</f>
        <v>1419</v>
      </c>
      <c r="AO26" s="121">
        <f>'I&amp;E Annual'!AO$134</f>
        <v>1525</v>
      </c>
      <c r="AP26" s="121">
        <f>'I&amp;E Annual'!AP$134</f>
        <v>1516</v>
      </c>
      <c r="AQ26" s="121">
        <f>'I&amp;E Annual'!AQ$134</f>
        <v>1545</v>
      </c>
      <c r="AR26" s="121">
        <f>'I&amp;E Annual'!AR$134</f>
        <v>1522</v>
      </c>
      <c r="AS26" s="121">
        <f>'I&amp;E Annual'!AS$134</f>
        <v>1478</v>
      </c>
      <c r="AT26" s="121">
        <f>'I&amp;E Annual'!AT$134</f>
        <v>1510</v>
      </c>
      <c r="AU26" s="121">
        <f>'I&amp;E Annual'!AU$134</f>
        <v>1581</v>
      </c>
      <c r="AV26" s="121">
        <f>'I&amp;E Annual'!AV$134</f>
        <v>1520</v>
      </c>
      <c r="AW26" s="121">
        <f>'I&amp;E Annual'!AW$134</f>
        <v>1542</v>
      </c>
      <c r="AX26" s="121">
        <f>'I&amp;E Annual'!AX$134</f>
        <v>1513</v>
      </c>
      <c r="AY26" s="121">
        <f>'I&amp;E Annual'!AY$134</f>
        <v>1434.6850000000002</v>
      </c>
      <c r="AZ26" s="121">
        <f>'I&amp;E Annual'!AZ$134</f>
        <v>1464.8150000000001</v>
      </c>
      <c r="BA26" s="121">
        <f>'I&amp;E Annual'!BA$134</f>
        <v>1574.41</v>
      </c>
      <c r="BB26" s="121">
        <f>'I&amp;E Annual'!BB$134</f>
        <v>1564.99</v>
      </c>
      <c r="BC26" s="121">
        <f>'I&amp;E Annual'!BC$134</f>
        <v>1595.0049999999999</v>
      </c>
      <c r="BD26" s="121">
        <f>'I&amp;E Annual'!BD$134</f>
        <v>1571.2450000000003</v>
      </c>
      <c r="BE26" s="121">
        <f>'I&amp;E Annual'!BE$134</f>
        <v>1525.7000000000003</v>
      </c>
      <c r="BF26" s="121">
        <f>'I&amp;E Annual'!BF$134</f>
        <v>1558.7950000000001</v>
      </c>
      <c r="BG26" s="121">
        <f>'I&amp;E Annual'!BG$134</f>
        <v>1632.3050000000001</v>
      </c>
      <c r="BH26" s="121">
        <f>'I&amp;E Annual'!BH$134</f>
        <v>1569.2349999999999</v>
      </c>
      <c r="BI26" s="121">
        <f>'I&amp;E Annual'!BI$134</f>
        <v>1592.0450000000001</v>
      </c>
      <c r="BJ26" s="121">
        <f>'I&amp;E Annual'!BJ$134</f>
        <v>1562.075</v>
      </c>
      <c r="BK26" s="157"/>
      <c r="BL26" s="121">
        <f>'I&amp;E Annual'!BL$134</f>
        <v>0</v>
      </c>
      <c r="BM26" s="121">
        <f>'I&amp;E Annual'!BM$134</f>
        <v>17308</v>
      </c>
      <c r="BN26" s="121">
        <f>'I&amp;E Annual'!BN$134</f>
        <v>18061</v>
      </c>
      <c r="BO26" s="121">
        <f>'I&amp;E Annual'!BO$134</f>
        <v>18645.304999999997</v>
      </c>
      <c r="BP26" s="121">
        <f>'I&amp;E Annual'!BP$134</f>
        <v>0</v>
      </c>
      <c r="BQ26" s="121">
        <f>'I&amp;E Annual'!BQ$134</f>
        <v>0</v>
      </c>
      <c r="BR26" s="121">
        <f>'I&amp;E Annual'!BR$134</f>
        <v>0</v>
      </c>
      <c r="BS26" s="121">
        <f>'I&amp;E Annual'!BS$134</f>
        <v>0</v>
      </c>
      <c r="BT26" s="121">
        <f>'I&amp;E Annual'!BT$134</f>
        <v>0</v>
      </c>
      <c r="BU26" s="121">
        <f>'I&amp;E Annual'!BU$134</f>
        <v>0</v>
      </c>
      <c r="BV26" s="121">
        <f>'I&amp;E Annual'!BV$134</f>
        <v>0</v>
      </c>
      <c r="BW26" s="121">
        <f>'I&amp;E Annual'!BW$134</f>
        <v>0</v>
      </c>
      <c r="BY26" s="42"/>
      <c r="CC26" s="126">
        <f t="shared" si="9"/>
        <v>0</v>
      </c>
      <c r="CD26" s="126">
        <f t="shared" si="10"/>
        <v>0</v>
      </c>
      <c r="CE26" s="126">
        <f t="shared" ref="CE26:CE29" si="24">IF(CM26=0, 0, 1)</f>
        <v>0</v>
      </c>
      <c r="CF26" s="42"/>
      <c r="CG26" s="352">
        <f>ROUND(W26-SUMIFS($AA26:$BJ26, $AA$3:$BJ$3, W$3), rounding)</f>
        <v>0</v>
      </c>
      <c r="CH26" s="352">
        <f>ROUND($X26-SUMIFS($AA26:$BJ26, $AA$3:$BJ$3, X$3), rounding)</f>
        <v>0</v>
      </c>
      <c r="CI26" s="352">
        <f>ROUND($Y26-SUMIFS($AA26:$BJ26, $AA$3:$BJ$3, Y$3), rounding)</f>
        <v>0</v>
      </c>
      <c r="CJ26" s="352">
        <f t="shared" ref="CJ26:CL29" si="25">ROUND(W26-BM26, rounding)</f>
        <v>0</v>
      </c>
      <c r="CK26" s="352">
        <f t="shared" si="25"/>
        <v>0</v>
      </c>
      <c r="CL26" s="352">
        <f t="shared" si="25"/>
        <v>0</v>
      </c>
      <c r="CM26" s="352">
        <f>ROUND(V26-BL26, rounding)</f>
        <v>0</v>
      </c>
      <c r="EX26" s="10" t="str">
        <f t="shared" ca="1" si="0"/>
        <v>Total Staff Costs (excl. restructuring)</v>
      </c>
    </row>
    <row r="27" spans="1:154" ht="15" customHeight="1" x14ac:dyDescent="0.25">
      <c r="A27" s="362" cm="1">
        <f t="array" aca="1" ref="A27" ca="1">HYPERLINK(CONCATENATE("#",CELL("address",IF(SUM($BY27:$CF27)=0,A27,INDEX($BY27:$CF27,MATCH(1,$BY27:$CF27,0))))),SUM($BY27:$CF27))</f>
        <v>0</v>
      </c>
      <c r="B27" s="335"/>
      <c r="C27" s="343" t="str">
        <f>CONCATENATE("FS-",'I&amp;E Annual'!C$151)</f>
        <v>FS-IE-2b</v>
      </c>
      <c r="D27" s="560" t="str" cm="1">
        <f t="array" aca="1" ref="D27" ca="1">HYPERLINK(CONCATENATE("#",CELL("address",'I&amp;E Annual'!$D$151)),'I&amp;E Annual'!$D$151)</f>
        <v>Total Other operating expenditure</v>
      </c>
      <c r="H27" s="335"/>
      <c r="I27" s="335"/>
      <c r="J27" s="157"/>
      <c r="Q27" s="335"/>
      <c r="R27" s="335"/>
      <c r="S27" s="157"/>
      <c r="T27" s="157"/>
      <c r="U27" s="157"/>
      <c r="V27" s="13">
        <f t="shared" si="20"/>
        <v>0</v>
      </c>
      <c r="W27" s="13">
        <f t="shared" si="21"/>
        <v>8553</v>
      </c>
      <c r="X27" s="13">
        <f t="shared" si="22"/>
        <v>9022</v>
      </c>
      <c r="Y27" s="13">
        <f t="shared" si="23"/>
        <v>9252.2549999999992</v>
      </c>
      <c r="Z27" s="157"/>
      <c r="AA27" s="121">
        <f>'I&amp;E Annual'!AA$151</f>
        <v>310</v>
      </c>
      <c r="AB27" s="121">
        <f>'I&amp;E Annual'!AB$151</f>
        <v>595</v>
      </c>
      <c r="AC27" s="121">
        <f>'I&amp;E Annual'!AC$151</f>
        <v>730</v>
      </c>
      <c r="AD27" s="121">
        <f>'I&amp;E Annual'!AD$151</f>
        <v>832</v>
      </c>
      <c r="AE27" s="121">
        <f>'I&amp;E Annual'!AE$151</f>
        <v>697</v>
      </c>
      <c r="AF27" s="121">
        <f>'I&amp;E Annual'!AF$151</f>
        <v>664</v>
      </c>
      <c r="AG27" s="121">
        <f>'I&amp;E Annual'!AG$151</f>
        <v>518</v>
      </c>
      <c r="AH27" s="121">
        <f>'I&amp;E Annual'!AH$151</f>
        <v>787</v>
      </c>
      <c r="AI27" s="121">
        <f>'I&amp;E Annual'!AI$151</f>
        <v>635</v>
      </c>
      <c r="AJ27" s="121">
        <f>'I&amp;E Annual'!AJ$151</f>
        <v>1022</v>
      </c>
      <c r="AK27" s="121">
        <f>'I&amp;E Annual'!AK$151</f>
        <v>960</v>
      </c>
      <c r="AL27" s="121">
        <f>'I&amp;E Annual'!AL$151</f>
        <v>803</v>
      </c>
      <c r="AM27" s="121">
        <f>'I&amp;E Annual'!AM$151</f>
        <v>395</v>
      </c>
      <c r="AN27" s="121">
        <f>'I&amp;E Annual'!AN$151</f>
        <v>605</v>
      </c>
      <c r="AO27" s="121">
        <f>'I&amp;E Annual'!AO$151</f>
        <v>740</v>
      </c>
      <c r="AP27" s="121">
        <f>'I&amp;E Annual'!AP$151</f>
        <v>842</v>
      </c>
      <c r="AQ27" s="121">
        <f>'I&amp;E Annual'!AQ$151</f>
        <v>757</v>
      </c>
      <c r="AR27" s="121">
        <f>'I&amp;E Annual'!AR$151</f>
        <v>716</v>
      </c>
      <c r="AS27" s="121">
        <f>'I&amp;E Annual'!AS$151</f>
        <v>792</v>
      </c>
      <c r="AT27" s="121">
        <f>'I&amp;E Annual'!AT$151</f>
        <v>861</v>
      </c>
      <c r="AU27" s="121">
        <f>'I&amp;E Annual'!AU$151</f>
        <v>797</v>
      </c>
      <c r="AV27" s="121">
        <f>'I&amp;E Annual'!AV$151</f>
        <v>937</v>
      </c>
      <c r="AW27" s="121">
        <f>'I&amp;E Annual'!AW$151</f>
        <v>852</v>
      </c>
      <c r="AX27" s="121">
        <f>'I&amp;E Annual'!AX$151</f>
        <v>728</v>
      </c>
      <c r="AY27" s="121">
        <f>'I&amp;E Annual'!AY$151</f>
        <v>405.68</v>
      </c>
      <c r="AZ27" s="121">
        <f>'I&amp;E Annual'!AZ$151</f>
        <v>620.99</v>
      </c>
      <c r="BA27" s="121">
        <f>'I&amp;E Annual'!BA$151</f>
        <v>759.32499999999993</v>
      </c>
      <c r="BB27" s="121">
        <f>'I&amp;E Annual'!BB$151</f>
        <v>862.52499999999998</v>
      </c>
      <c r="BC27" s="121">
        <f>'I&amp;E Annual'!BC$151</f>
        <v>775</v>
      </c>
      <c r="BD27" s="121">
        <f>'I&amp;E Annual'!BD$151</f>
        <v>735.21499999999992</v>
      </c>
      <c r="BE27" s="121">
        <f>'I&amp;E Annual'!BE$151</f>
        <v>811.59</v>
      </c>
      <c r="BF27" s="121">
        <f>'I&amp;E Annual'!BF$151</f>
        <v>881.93</v>
      </c>
      <c r="BG27" s="121">
        <f>'I&amp;E Annual'!BG$151</f>
        <v>817.245</v>
      </c>
      <c r="BH27" s="121">
        <f>'I&amp;E Annual'!BH$151</f>
        <v>961.56000000000006</v>
      </c>
      <c r="BI27" s="121">
        <f>'I&amp;E Annual'!BI$151</f>
        <v>874.07500000000005</v>
      </c>
      <c r="BJ27" s="121">
        <f>'I&amp;E Annual'!BJ$151</f>
        <v>747.12000000000012</v>
      </c>
      <c r="BK27" s="157"/>
      <c r="BL27" s="121">
        <f>'I&amp;E Annual'!BL$151</f>
        <v>0</v>
      </c>
      <c r="BM27" s="121">
        <f>'I&amp;E Annual'!BM$151</f>
        <v>8553</v>
      </c>
      <c r="BN27" s="121">
        <f>'I&amp;E Annual'!BN$151</f>
        <v>9022</v>
      </c>
      <c r="BO27" s="121">
        <f>'I&amp;E Annual'!BO$151</f>
        <v>9252.2549999999992</v>
      </c>
      <c r="BP27" s="121">
        <f>'I&amp;E Annual'!BP$151</f>
        <v>0</v>
      </c>
      <c r="BQ27" s="121">
        <f>'I&amp;E Annual'!BQ$151</f>
        <v>0</v>
      </c>
      <c r="BR27" s="121">
        <f>'I&amp;E Annual'!BR$151</f>
        <v>0</v>
      </c>
      <c r="BS27" s="121">
        <f>'I&amp;E Annual'!BS$151</f>
        <v>0</v>
      </c>
      <c r="BT27" s="121">
        <f>'I&amp;E Annual'!BT$151</f>
        <v>0</v>
      </c>
      <c r="BU27" s="121">
        <f>'I&amp;E Annual'!BU$151</f>
        <v>0</v>
      </c>
      <c r="BV27" s="121">
        <f>'I&amp;E Annual'!BV$151</f>
        <v>0</v>
      </c>
      <c r="BW27" s="121">
        <f>'I&amp;E Annual'!BW$151</f>
        <v>0</v>
      </c>
      <c r="BY27" s="42"/>
      <c r="CC27" s="126">
        <f t="shared" si="9"/>
        <v>0</v>
      </c>
      <c r="CD27" s="126">
        <f t="shared" si="10"/>
        <v>0</v>
      </c>
      <c r="CE27" s="126">
        <f t="shared" si="24"/>
        <v>0</v>
      </c>
      <c r="CF27" s="42"/>
      <c r="CG27" s="352">
        <f>ROUND(W27-SUMIFS($AA27:$BJ27, $AA$3:$BJ$3, W$3), rounding)</f>
        <v>0</v>
      </c>
      <c r="CH27" s="352">
        <f>ROUND($X27-SUMIFS($AA27:$BJ27, $AA$3:$BJ$3, X$3), rounding)</f>
        <v>0</v>
      </c>
      <c r="CI27" s="352">
        <f>ROUND($Y27-SUMIFS($AA27:$BJ27, $AA$3:$BJ$3, Y$3), rounding)</f>
        <v>0</v>
      </c>
      <c r="CJ27" s="352">
        <f t="shared" si="25"/>
        <v>0</v>
      </c>
      <c r="CK27" s="352">
        <f t="shared" si="25"/>
        <v>0</v>
      </c>
      <c r="CL27" s="352">
        <f t="shared" si="25"/>
        <v>0</v>
      </c>
      <c r="CM27" s="352">
        <f>ROUND(V27-BL27, rounding)</f>
        <v>0</v>
      </c>
      <c r="EX27" s="10" t="str">
        <f t="shared" ca="1" si="0"/>
        <v>Total Other operating expenditure</v>
      </c>
    </row>
    <row r="28" spans="1:154" ht="15" customHeight="1" x14ac:dyDescent="0.25">
      <c r="A28" s="362" cm="1">
        <f t="array" aca="1" ref="A28" ca="1">HYPERLINK(CONCATENATE("#",CELL("address",IF(SUM($BY28:$CF28)=0,A28,INDEX($BY28:$CF28,MATCH(1,$BY28:$CF28,0))))),SUM($BY28:$CF28))</f>
        <v>0</v>
      </c>
      <c r="B28" s="335"/>
      <c r="C28" s="343" t="str">
        <f>CONCATENATE("FS-",'I&amp;E Annual'!C$156)</f>
        <v>FS-IE-2c</v>
      </c>
      <c r="D28" s="560" t="str" cm="1">
        <f t="array" aca="1" ref="D28" ca="1">HYPERLINK(CONCATENATE("#",CELL("address",'I&amp;E Annual'!$D$156)),'I&amp;E Annual'!$D$156)</f>
        <v>Total Staff Restructuring Costs</v>
      </c>
      <c r="H28" s="335"/>
      <c r="I28" s="335"/>
      <c r="J28" s="157"/>
      <c r="Q28" s="335"/>
      <c r="R28" s="335"/>
      <c r="S28" s="157"/>
      <c r="T28" s="157"/>
      <c r="U28" s="157"/>
      <c r="V28" s="13">
        <f t="shared" si="20"/>
        <v>0</v>
      </c>
      <c r="W28" s="13">
        <f t="shared" si="21"/>
        <v>80</v>
      </c>
      <c r="X28" s="13">
        <f t="shared" si="22"/>
        <v>0</v>
      </c>
      <c r="Y28" s="13">
        <f t="shared" si="23"/>
        <v>0</v>
      </c>
      <c r="Z28" s="157"/>
      <c r="AA28" s="121">
        <f>'I&amp;E Annual'!AA$156</f>
        <v>0</v>
      </c>
      <c r="AB28" s="121">
        <f>'I&amp;E Annual'!AB$156</f>
        <v>0</v>
      </c>
      <c r="AC28" s="121">
        <f>'I&amp;E Annual'!AC$156</f>
        <v>0</v>
      </c>
      <c r="AD28" s="121">
        <f>'I&amp;E Annual'!AD$156</f>
        <v>0</v>
      </c>
      <c r="AE28" s="121">
        <f>'I&amp;E Annual'!AE$156</f>
        <v>0</v>
      </c>
      <c r="AF28" s="121">
        <f>'I&amp;E Annual'!AF$156</f>
        <v>0</v>
      </c>
      <c r="AG28" s="121">
        <f>'I&amp;E Annual'!AG$156</f>
        <v>37</v>
      </c>
      <c r="AH28" s="121">
        <f>'I&amp;E Annual'!AH$156</f>
        <v>12</v>
      </c>
      <c r="AI28" s="121">
        <f>'I&amp;E Annual'!AI$156</f>
        <v>0</v>
      </c>
      <c r="AJ28" s="121">
        <f>'I&amp;E Annual'!AJ$156</f>
        <v>13</v>
      </c>
      <c r="AK28" s="121">
        <f>'I&amp;E Annual'!AK$156</f>
        <v>18</v>
      </c>
      <c r="AL28" s="121">
        <f>'I&amp;E Annual'!AL$156</f>
        <v>0</v>
      </c>
      <c r="AM28" s="121">
        <f>'I&amp;E Annual'!AM$156</f>
        <v>0</v>
      </c>
      <c r="AN28" s="121">
        <f>'I&amp;E Annual'!AN$156</f>
        <v>0</v>
      </c>
      <c r="AO28" s="121">
        <f>'I&amp;E Annual'!AO$156</f>
        <v>0</v>
      </c>
      <c r="AP28" s="121">
        <f>'I&amp;E Annual'!AP$156</f>
        <v>0</v>
      </c>
      <c r="AQ28" s="121">
        <f>'I&amp;E Annual'!AQ$156</f>
        <v>0</v>
      </c>
      <c r="AR28" s="121">
        <f>'I&amp;E Annual'!AR$156</f>
        <v>0</v>
      </c>
      <c r="AS28" s="121">
        <f>'I&amp;E Annual'!AS$156</f>
        <v>0</v>
      </c>
      <c r="AT28" s="121">
        <f>'I&amp;E Annual'!AT$156</f>
        <v>0</v>
      </c>
      <c r="AU28" s="121">
        <f>'I&amp;E Annual'!AU$156</f>
        <v>0</v>
      </c>
      <c r="AV28" s="121">
        <f>'I&amp;E Annual'!AV$156</f>
        <v>0</v>
      </c>
      <c r="AW28" s="121">
        <f>'I&amp;E Annual'!AW$156</f>
        <v>0</v>
      </c>
      <c r="AX28" s="121">
        <f>'I&amp;E Annual'!AX$156</f>
        <v>0</v>
      </c>
      <c r="AY28" s="121">
        <f>'I&amp;E Annual'!AY$156</f>
        <v>0</v>
      </c>
      <c r="AZ28" s="121">
        <f>'I&amp;E Annual'!AZ$156</f>
        <v>0</v>
      </c>
      <c r="BA28" s="121">
        <f>'I&amp;E Annual'!BA$156</f>
        <v>0</v>
      </c>
      <c r="BB28" s="121">
        <f>'I&amp;E Annual'!BB$156</f>
        <v>0</v>
      </c>
      <c r="BC28" s="121">
        <f>'I&amp;E Annual'!BC$156</f>
        <v>0</v>
      </c>
      <c r="BD28" s="121">
        <f>'I&amp;E Annual'!BD$156</f>
        <v>0</v>
      </c>
      <c r="BE28" s="121">
        <f>'I&amp;E Annual'!BE$156</f>
        <v>0</v>
      </c>
      <c r="BF28" s="121">
        <f>'I&amp;E Annual'!BF$156</f>
        <v>0</v>
      </c>
      <c r="BG28" s="121">
        <f>'I&amp;E Annual'!BG$156</f>
        <v>0</v>
      </c>
      <c r="BH28" s="121">
        <f>'I&amp;E Annual'!BH$156</f>
        <v>0</v>
      </c>
      <c r="BI28" s="121">
        <f>'I&amp;E Annual'!BI$156</f>
        <v>0</v>
      </c>
      <c r="BJ28" s="121">
        <f>'I&amp;E Annual'!BJ$156</f>
        <v>0</v>
      </c>
      <c r="BK28" s="157"/>
      <c r="BL28" s="121">
        <f>'I&amp;E Annual'!BL$156</f>
        <v>0</v>
      </c>
      <c r="BM28" s="121">
        <f>'I&amp;E Annual'!BM$156</f>
        <v>80</v>
      </c>
      <c r="BN28" s="121">
        <f>'I&amp;E Annual'!BN$156</f>
        <v>0</v>
      </c>
      <c r="BO28" s="121">
        <f>'I&amp;E Annual'!BO$156</f>
        <v>0</v>
      </c>
      <c r="BP28" s="121">
        <f>'I&amp;E Annual'!BP$156</f>
        <v>0</v>
      </c>
      <c r="BQ28" s="121">
        <f>'I&amp;E Annual'!BQ$156</f>
        <v>0</v>
      </c>
      <c r="BR28" s="121">
        <f>'I&amp;E Annual'!BR$156</f>
        <v>0</v>
      </c>
      <c r="BS28" s="121">
        <f>'I&amp;E Annual'!BS$156</f>
        <v>0</v>
      </c>
      <c r="BT28" s="121">
        <f>'I&amp;E Annual'!BT$156</f>
        <v>0</v>
      </c>
      <c r="BU28" s="121">
        <f>'I&amp;E Annual'!BU$156</f>
        <v>0</v>
      </c>
      <c r="BV28" s="121">
        <f>'I&amp;E Annual'!BV$156</f>
        <v>0</v>
      </c>
      <c r="BW28" s="121">
        <f>'I&amp;E Annual'!BW$156</f>
        <v>0</v>
      </c>
      <c r="BY28" s="42"/>
      <c r="CC28" s="126">
        <f t="shared" si="9"/>
        <v>0</v>
      </c>
      <c r="CD28" s="126">
        <f t="shared" si="10"/>
        <v>0</v>
      </c>
      <c r="CE28" s="126">
        <f t="shared" si="24"/>
        <v>0</v>
      </c>
      <c r="CF28" s="42"/>
      <c r="CG28" s="352">
        <f>ROUND(W28-SUMIFS($AA28:$BJ28, $AA$3:$BJ$3, W$3), rounding)</f>
        <v>0</v>
      </c>
      <c r="CH28" s="352">
        <f>ROUND($X28-SUMIFS($AA28:$BJ28, $AA$3:$BJ$3, X$3), rounding)</f>
        <v>0</v>
      </c>
      <c r="CI28" s="352">
        <f>ROUND($Y28-SUMIFS($AA28:$BJ28, $AA$3:$BJ$3, Y$3), rounding)</f>
        <v>0</v>
      </c>
      <c r="CJ28" s="352">
        <f t="shared" si="25"/>
        <v>0</v>
      </c>
      <c r="CK28" s="352">
        <f t="shared" si="25"/>
        <v>0</v>
      </c>
      <c r="CL28" s="352">
        <f t="shared" si="25"/>
        <v>0</v>
      </c>
      <c r="CM28" s="352">
        <f>ROUND(V28-BL28, rounding)</f>
        <v>0</v>
      </c>
      <c r="EX28" s="10" t="str">
        <f t="shared" ca="1" si="0"/>
        <v>Total Staff Restructuring Costs</v>
      </c>
    </row>
    <row r="29" spans="1:154" ht="15" customHeight="1" x14ac:dyDescent="0.25">
      <c r="A29" s="362" cm="1">
        <f t="array" aca="1" ref="A29" ca="1">HYPERLINK(CONCATENATE("#",CELL("address",IF(SUM($BY29:$CF29)=0,A29,INDEX($BY29:$CF29,MATCH(1,$BY29:$CF29,0))))),SUM($BY29:$CF29))</f>
        <v>0</v>
      </c>
      <c r="B29" s="335"/>
      <c r="C29" s="343" t="str">
        <f>CONCATENATE("FS-",'I&amp;E Annual'!C$158)</f>
        <v>FS-IE-2</v>
      </c>
      <c r="D29" s="554" t="s">
        <v>874</v>
      </c>
      <c r="H29" s="335"/>
      <c r="I29" s="335"/>
      <c r="J29" s="157"/>
      <c r="Q29" s="335"/>
      <c r="R29" s="335"/>
      <c r="S29" s="157"/>
      <c r="T29" s="157"/>
      <c r="U29" s="157"/>
      <c r="V29" s="13">
        <f>SUM(V$26:V$28)*V$9</f>
        <v>0</v>
      </c>
      <c r="W29" s="13">
        <f>SUM(W$26:W$28)*W$9</f>
        <v>25941</v>
      </c>
      <c r="X29" s="13">
        <f>SUM(X$26:X$28)*X$9</f>
        <v>27083</v>
      </c>
      <c r="Y29" s="13">
        <f>SUM(Y$26:Y$28)*Y$9</f>
        <v>27897.559999999998</v>
      </c>
      <c r="Z29" s="157"/>
      <c r="AA29" s="13">
        <f t="shared" ref="AA29:BJ29" si="26">SUM(AA$26:AA$28)*AA$9</f>
        <v>1637</v>
      </c>
      <c r="AB29" s="13">
        <f t="shared" si="26"/>
        <v>1951</v>
      </c>
      <c r="AC29" s="13">
        <f t="shared" si="26"/>
        <v>2192</v>
      </c>
      <c r="AD29" s="13">
        <f t="shared" si="26"/>
        <v>2285</v>
      </c>
      <c r="AE29" s="13">
        <f t="shared" si="26"/>
        <v>2179</v>
      </c>
      <c r="AF29" s="13">
        <f t="shared" si="26"/>
        <v>2115</v>
      </c>
      <c r="AG29" s="13">
        <f t="shared" si="26"/>
        <v>1962</v>
      </c>
      <c r="AH29" s="13">
        <f t="shared" si="26"/>
        <v>2236</v>
      </c>
      <c r="AI29" s="13">
        <f t="shared" si="26"/>
        <v>2184</v>
      </c>
      <c r="AJ29" s="13">
        <f t="shared" si="26"/>
        <v>2492</v>
      </c>
      <c r="AK29" s="13">
        <f t="shared" si="26"/>
        <v>2456</v>
      </c>
      <c r="AL29" s="13">
        <f t="shared" si="26"/>
        <v>2252</v>
      </c>
      <c r="AM29" s="13">
        <f t="shared" si="26"/>
        <v>1785</v>
      </c>
      <c r="AN29" s="13">
        <f t="shared" si="26"/>
        <v>2024</v>
      </c>
      <c r="AO29" s="13">
        <f t="shared" si="26"/>
        <v>2265</v>
      </c>
      <c r="AP29" s="13">
        <f t="shared" si="26"/>
        <v>2358</v>
      </c>
      <c r="AQ29" s="13">
        <f t="shared" si="26"/>
        <v>2302</v>
      </c>
      <c r="AR29" s="13">
        <f t="shared" si="26"/>
        <v>2238</v>
      </c>
      <c r="AS29" s="13">
        <f t="shared" si="26"/>
        <v>2270</v>
      </c>
      <c r="AT29" s="13">
        <f t="shared" si="26"/>
        <v>2371</v>
      </c>
      <c r="AU29" s="13">
        <f t="shared" si="26"/>
        <v>2378</v>
      </c>
      <c r="AV29" s="13">
        <f t="shared" si="26"/>
        <v>2457</v>
      </c>
      <c r="AW29" s="13">
        <f t="shared" si="26"/>
        <v>2394</v>
      </c>
      <c r="AX29" s="13">
        <f t="shared" si="26"/>
        <v>2241</v>
      </c>
      <c r="AY29" s="13">
        <f t="shared" si="26"/>
        <v>1840.3650000000002</v>
      </c>
      <c r="AZ29" s="13">
        <f t="shared" si="26"/>
        <v>2085.8050000000003</v>
      </c>
      <c r="BA29" s="13">
        <f t="shared" si="26"/>
        <v>2333.7350000000001</v>
      </c>
      <c r="BB29" s="13">
        <f t="shared" si="26"/>
        <v>2427.5149999999999</v>
      </c>
      <c r="BC29" s="13">
        <f t="shared" si="26"/>
        <v>2370.0050000000001</v>
      </c>
      <c r="BD29" s="13">
        <f t="shared" si="26"/>
        <v>2306.46</v>
      </c>
      <c r="BE29" s="13">
        <f t="shared" si="26"/>
        <v>2337.2900000000004</v>
      </c>
      <c r="BF29" s="13">
        <f t="shared" si="26"/>
        <v>2440.7249999999999</v>
      </c>
      <c r="BG29" s="13">
        <f t="shared" si="26"/>
        <v>2449.5500000000002</v>
      </c>
      <c r="BH29" s="13">
        <f t="shared" si="26"/>
        <v>2530.7950000000001</v>
      </c>
      <c r="BI29" s="13">
        <f t="shared" si="26"/>
        <v>2466.12</v>
      </c>
      <c r="BJ29" s="13">
        <f t="shared" si="26"/>
        <v>2309.1950000000002</v>
      </c>
      <c r="BK29" s="157"/>
      <c r="BL29" s="13">
        <f t="shared" ref="BL29:BW29" si="27">SUM(BL$26:BL$28)*BL$9</f>
        <v>0</v>
      </c>
      <c r="BM29" s="13">
        <f t="shared" si="27"/>
        <v>25941</v>
      </c>
      <c r="BN29" s="13">
        <f t="shared" si="27"/>
        <v>27083</v>
      </c>
      <c r="BO29" s="13">
        <f t="shared" si="27"/>
        <v>27897.559999999998</v>
      </c>
      <c r="BP29" s="13">
        <f t="shared" si="27"/>
        <v>0</v>
      </c>
      <c r="BQ29" s="13">
        <f t="shared" si="27"/>
        <v>0</v>
      </c>
      <c r="BR29" s="13">
        <f t="shared" si="27"/>
        <v>0</v>
      </c>
      <c r="BS29" s="13">
        <f t="shared" si="27"/>
        <v>0</v>
      </c>
      <c r="BT29" s="13">
        <f t="shared" si="27"/>
        <v>0</v>
      </c>
      <c r="BU29" s="13">
        <f t="shared" si="27"/>
        <v>0</v>
      </c>
      <c r="BV29" s="13">
        <f t="shared" si="27"/>
        <v>0</v>
      </c>
      <c r="BW29" s="13">
        <f t="shared" si="27"/>
        <v>0</v>
      </c>
      <c r="BY29" s="42"/>
      <c r="CC29" s="126">
        <f t="shared" si="9"/>
        <v>0</v>
      </c>
      <c r="CD29" s="126">
        <f t="shared" si="10"/>
        <v>0</v>
      </c>
      <c r="CE29" s="126">
        <f t="shared" si="24"/>
        <v>0</v>
      </c>
      <c r="CF29" s="42"/>
      <c r="CG29" s="352">
        <f>ROUND(W29-SUMIFS($AA29:$BJ29, $AA$3:$BJ$3, W$3), rounding)</f>
        <v>0</v>
      </c>
      <c r="CH29" s="352">
        <f>ROUND($X29-SUMIFS($AA29:$BJ29, $AA$3:$BJ$3, X$3), rounding)</f>
        <v>0</v>
      </c>
      <c r="CI29" s="352">
        <f>ROUND($Y29-SUMIFS($AA29:$BJ29, $AA$3:$BJ$3, Y$3), rounding)</f>
        <v>0</v>
      </c>
      <c r="CJ29" s="352">
        <f t="shared" si="25"/>
        <v>0</v>
      </c>
      <c r="CK29" s="352">
        <f t="shared" si="25"/>
        <v>0</v>
      </c>
      <c r="CL29" s="352">
        <f t="shared" si="25"/>
        <v>0</v>
      </c>
      <c r="CM29" s="352">
        <f>ROUND(V29-BL29, rounding)</f>
        <v>0</v>
      </c>
      <c r="EX29" s="10" t="str">
        <f t="shared" si="0"/>
        <v xml:space="preserve">Total Operating Expenditure </v>
      </c>
    </row>
    <row r="30" spans="1:154" ht="11.45" customHeight="1" x14ac:dyDescent="0.25">
      <c r="A30" s="157"/>
      <c r="B30" s="335"/>
      <c r="C30" s="343"/>
      <c r="D30" s="556"/>
      <c r="E30" s="157"/>
      <c r="F30" s="157"/>
      <c r="G30" s="157"/>
      <c r="H30" s="335"/>
      <c r="I30" s="335"/>
      <c r="J30" s="157"/>
      <c r="K30" s="157"/>
      <c r="L30" s="157"/>
      <c r="M30" s="157"/>
      <c r="N30" s="157"/>
      <c r="O30" s="157"/>
      <c r="P30" s="157"/>
      <c r="Q30" s="335"/>
      <c r="R30" s="335"/>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42"/>
      <c r="CC30" s="162"/>
      <c r="CD30" s="162"/>
      <c r="CE30" s="162"/>
      <c r="CF30" s="42"/>
      <c r="EX30" s="10" t="str">
        <f t="shared" si="0"/>
        <v/>
      </c>
    </row>
    <row r="31" spans="1:154" ht="15" customHeight="1" x14ac:dyDescent="0.25">
      <c r="A31" s="362" cm="1">
        <f t="array" aca="1" ref="A31" ca="1">HYPERLINK(CONCATENATE("#",CELL("address",IF(SUM($BY31:$CF31)=0,A31,INDEX($BY31:$CF31,MATCH(1,$BY31:$CF31,0))))),SUM($BY31:$CF31))</f>
        <v>0</v>
      </c>
      <c r="B31" s="335"/>
      <c r="C31" s="343" t="str">
        <f>CONCATENATE("FS-",'I&amp;E Annual'!C$160)</f>
        <v>FS-IE-3</v>
      </c>
      <c r="D31" s="554" t="s">
        <v>872</v>
      </c>
      <c r="H31" s="335"/>
      <c r="I31" s="335"/>
      <c r="J31" s="157"/>
      <c r="Q31" s="335"/>
      <c r="R31" s="335"/>
      <c r="S31" s="157"/>
      <c r="T31" s="157"/>
      <c r="U31" s="157"/>
      <c r="V31" s="13">
        <f>(V23-V29)</f>
        <v>0</v>
      </c>
      <c r="W31" s="13">
        <f t="shared" ref="W31:BW31" si="28">(W23-W29)</f>
        <v>2032</v>
      </c>
      <c r="X31" s="13">
        <f t="shared" si="28"/>
        <v>2050</v>
      </c>
      <c r="Y31" s="13">
        <f t="shared" si="28"/>
        <v>2173.8100000000013</v>
      </c>
      <c r="Z31" s="157"/>
      <c r="AA31" s="13">
        <f t="shared" si="28"/>
        <v>1865</v>
      </c>
      <c r="AB31" s="13">
        <f t="shared" si="28"/>
        <v>1267</v>
      </c>
      <c r="AC31" s="13">
        <f t="shared" si="28"/>
        <v>250</v>
      </c>
      <c r="AD31" s="13">
        <f t="shared" si="28"/>
        <v>-70</v>
      </c>
      <c r="AE31" s="13">
        <f t="shared" si="28"/>
        <v>-764</v>
      </c>
      <c r="AF31" s="13">
        <f t="shared" si="28"/>
        <v>-553</v>
      </c>
      <c r="AG31" s="13">
        <f t="shared" si="28"/>
        <v>-580</v>
      </c>
      <c r="AH31" s="13">
        <f t="shared" si="28"/>
        <v>-784</v>
      </c>
      <c r="AI31" s="13">
        <f t="shared" si="28"/>
        <v>1368</v>
      </c>
      <c r="AJ31" s="13">
        <f t="shared" si="28"/>
        <v>398</v>
      </c>
      <c r="AK31" s="13">
        <f t="shared" si="28"/>
        <v>415</v>
      </c>
      <c r="AL31" s="13">
        <f t="shared" si="28"/>
        <v>-780</v>
      </c>
      <c r="AM31" s="13">
        <f t="shared" si="28"/>
        <v>2123</v>
      </c>
      <c r="AN31" s="13">
        <f t="shared" si="28"/>
        <v>1251</v>
      </c>
      <c r="AO31" s="13">
        <f t="shared" si="28"/>
        <v>246</v>
      </c>
      <c r="AP31" s="13">
        <f t="shared" si="28"/>
        <v>-301</v>
      </c>
      <c r="AQ31" s="13">
        <f t="shared" si="28"/>
        <v>-767</v>
      </c>
      <c r="AR31" s="13">
        <f t="shared" si="28"/>
        <v>-452</v>
      </c>
      <c r="AS31" s="13">
        <f t="shared" si="28"/>
        <v>-828</v>
      </c>
      <c r="AT31" s="13">
        <f t="shared" si="28"/>
        <v>-795</v>
      </c>
      <c r="AU31" s="13">
        <f t="shared" si="28"/>
        <v>1607</v>
      </c>
      <c r="AV31" s="13">
        <f t="shared" si="28"/>
        <v>505</v>
      </c>
      <c r="AW31" s="13">
        <f t="shared" si="28"/>
        <v>106</v>
      </c>
      <c r="AX31" s="13">
        <f t="shared" si="28"/>
        <v>-645</v>
      </c>
      <c r="AY31" s="13">
        <f t="shared" si="28"/>
        <v>2171.7483333333334</v>
      </c>
      <c r="AZ31" s="13">
        <f t="shared" si="28"/>
        <v>1268.3566666666661</v>
      </c>
      <c r="BA31" s="13">
        <f t="shared" si="28"/>
        <v>255.48833333333278</v>
      </c>
      <c r="BB31" s="13">
        <f t="shared" si="28"/>
        <v>-306.61333333333323</v>
      </c>
      <c r="BC31" s="13">
        <f t="shared" si="28"/>
        <v>-784.53</v>
      </c>
      <c r="BD31" s="13">
        <f t="shared" si="28"/>
        <v>-458.22999999999979</v>
      </c>
      <c r="BE31" s="13">
        <f t="shared" si="28"/>
        <v>-846.74166666666702</v>
      </c>
      <c r="BF31" s="13">
        <f t="shared" si="28"/>
        <v>-808.5183333333332</v>
      </c>
      <c r="BG31" s="13">
        <f t="shared" si="28"/>
        <v>1662.378333333334</v>
      </c>
      <c r="BH31" s="13">
        <f t="shared" si="28"/>
        <v>555.06833333333361</v>
      </c>
      <c r="BI31" s="13">
        <f t="shared" si="28"/>
        <v>117.19333333333361</v>
      </c>
      <c r="BJ31" s="13">
        <f t="shared" si="28"/>
        <v>-651.79000000000042</v>
      </c>
      <c r="BK31" s="157"/>
      <c r="BL31" s="13">
        <f t="shared" si="28"/>
        <v>0</v>
      </c>
      <c r="BM31" s="13">
        <f t="shared" si="28"/>
        <v>2032</v>
      </c>
      <c r="BN31" s="13">
        <f t="shared" si="28"/>
        <v>2050</v>
      </c>
      <c r="BO31" s="13">
        <f t="shared" si="28"/>
        <v>2173.8100000000013</v>
      </c>
      <c r="BP31" s="13">
        <f t="shared" si="28"/>
        <v>0</v>
      </c>
      <c r="BQ31" s="13">
        <f t="shared" si="28"/>
        <v>0</v>
      </c>
      <c r="BR31" s="13">
        <f t="shared" si="28"/>
        <v>0</v>
      </c>
      <c r="BS31" s="13">
        <f t="shared" si="28"/>
        <v>0</v>
      </c>
      <c r="BT31" s="13">
        <f t="shared" si="28"/>
        <v>0</v>
      </c>
      <c r="BU31" s="13">
        <f t="shared" si="28"/>
        <v>0</v>
      </c>
      <c r="BV31" s="13">
        <f t="shared" si="28"/>
        <v>0</v>
      </c>
      <c r="BW31" s="13">
        <f t="shared" si="28"/>
        <v>0</v>
      </c>
      <c r="BY31" s="42"/>
      <c r="CC31" s="126">
        <f t="shared" si="9"/>
        <v>0</v>
      </c>
      <c r="CD31" s="126">
        <f t="shared" si="10"/>
        <v>0</v>
      </c>
      <c r="CE31" s="126">
        <f t="shared" ref="CE31" si="29">IF(CM31=0, 0, 1)</f>
        <v>0</v>
      </c>
      <c r="CF31" s="42"/>
      <c r="CG31" s="352">
        <f>ROUND(W31-SUMIFS($AA31:$BJ31, $AA$3:$BJ$3, W$3), rounding)</f>
        <v>0</v>
      </c>
      <c r="CH31" s="352">
        <f>ROUND($X31-SUMIFS($AA31:$BJ31, $AA$3:$BJ$3, X$3), rounding)</f>
        <v>0</v>
      </c>
      <c r="CI31" s="352">
        <f>ROUND($Y31-SUMIFS($AA31:$BJ31, $AA$3:$BJ$3, Y$3), rounding)</f>
        <v>0</v>
      </c>
      <c r="CJ31" s="352">
        <f>ROUND(W31-BM31, rounding)</f>
        <v>0</v>
      </c>
      <c r="CK31" s="352">
        <f>ROUND(X31-BN31, rounding)</f>
        <v>0</v>
      </c>
      <c r="CL31" s="352">
        <f>ROUND(Y31-BO31, rounding)</f>
        <v>0</v>
      </c>
      <c r="CM31" s="352">
        <f>ROUND(V31-BL31, rounding)</f>
        <v>0</v>
      </c>
      <c r="EX31" s="10" t="str">
        <f t="shared" si="0"/>
        <v>Net Operating Income</v>
      </c>
    </row>
    <row r="32" spans="1:154" ht="8.1" customHeight="1" x14ac:dyDescent="0.25">
      <c r="A32" s="157"/>
      <c r="B32" s="335"/>
      <c r="C32" s="343"/>
      <c r="D32" s="556"/>
      <c r="E32" s="157"/>
      <c r="F32" s="157"/>
      <c r="G32" s="157"/>
      <c r="H32" s="335"/>
      <c r="I32" s="335"/>
      <c r="J32" s="157"/>
      <c r="K32" s="157"/>
      <c r="L32" s="157"/>
      <c r="M32" s="157"/>
      <c r="N32" s="157"/>
      <c r="O32" s="157"/>
      <c r="P32" s="157"/>
      <c r="Q32" s="335"/>
      <c r="R32" s="335"/>
      <c r="S32" s="157"/>
      <c r="T32" s="157"/>
      <c r="U32" s="157"/>
      <c r="V32" s="157"/>
      <c r="W32" s="157"/>
      <c r="X32" s="157"/>
      <c r="Y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42"/>
      <c r="CC32" s="162"/>
      <c r="CD32" s="162"/>
      <c r="CE32" s="162"/>
      <c r="CF32" s="42"/>
      <c r="EX32" s="10" t="str">
        <f t="shared" si="0"/>
        <v/>
      </c>
    </row>
    <row r="33" spans="1:154" ht="15" customHeight="1" x14ac:dyDescent="0.25">
      <c r="A33" s="362" cm="1">
        <f t="array" aca="1" ref="A33" ca="1">HYPERLINK(CONCATENATE("#",CELL("address",IF(SUM($BY33:$CF33)=0,A33,INDEX($BY33:$CF33,MATCH(1,$BY33:$CF33,0))))),SUM($BY33:$CF33))</f>
        <v>0</v>
      </c>
      <c r="B33" s="335"/>
      <c r="C33" s="343" t="str">
        <f>CONCATENATE("FS-",'I&amp;E Annual'!C$162)</f>
        <v>FS-IE-4a</v>
      </c>
      <c r="D33" s="560" t="str" cm="1">
        <f t="array" aca="1" ref="D33" ca="1">HYPERLINK(CONCATENATE("#",CELL("address",'I&amp;E Annual'!$D$162)),'I&amp;E Annual'!$D$162)</f>
        <v>Release of Capital Grants</v>
      </c>
      <c r="H33" s="335"/>
      <c r="I33" s="335"/>
      <c r="J33" s="157"/>
      <c r="Q33" s="335"/>
      <c r="R33" s="335"/>
      <c r="S33" s="157"/>
      <c r="T33" s="157"/>
      <c r="U33" s="157"/>
      <c r="V33" s="13">
        <f t="shared" ref="V33:Y34" si="30">BL33</f>
        <v>0</v>
      </c>
      <c r="W33" s="13">
        <f t="shared" si="30"/>
        <v>469</v>
      </c>
      <c r="X33" s="13">
        <f t="shared" si="30"/>
        <v>514</v>
      </c>
      <c r="Y33" s="13">
        <f t="shared" si="30"/>
        <v>571</v>
      </c>
      <c r="Z33" s="157"/>
      <c r="AA33" s="121">
        <f>'I&amp;E Annual'!AA$162</f>
        <v>36</v>
      </c>
      <c r="AB33" s="121">
        <f>'I&amp;E Annual'!AB$162</f>
        <v>38</v>
      </c>
      <c r="AC33" s="121">
        <f>'I&amp;E Annual'!AC$162</f>
        <v>38</v>
      </c>
      <c r="AD33" s="121">
        <f>'I&amp;E Annual'!AD$162</f>
        <v>38</v>
      </c>
      <c r="AE33" s="121">
        <f>'I&amp;E Annual'!AE$162</f>
        <v>38</v>
      </c>
      <c r="AF33" s="121">
        <f>'I&amp;E Annual'!AF$162</f>
        <v>38</v>
      </c>
      <c r="AG33" s="121">
        <f>'I&amp;E Annual'!AG$162</f>
        <v>38</v>
      </c>
      <c r="AH33" s="121">
        <f>'I&amp;E Annual'!AH$162</f>
        <v>41</v>
      </c>
      <c r="AI33" s="121">
        <f>'I&amp;E Annual'!AI$162</f>
        <v>41</v>
      </c>
      <c r="AJ33" s="121">
        <f>'I&amp;E Annual'!AJ$162</f>
        <v>41</v>
      </c>
      <c r="AK33" s="121">
        <f>'I&amp;E Annual'!AK$162</f>
        <v>41</v>
      </c>
      <c r="AL33" s="121">
        <f>'I&amp;E Annual'!AL$162</f>
        <v>41</v>
      </c>
      <c r="AM33" s="121">
        <f>'I&amp;E Annual'!AM$162</f>
        <v>36</v>
      </c>
      <c r="AN33" s="121">
        <f>'I&amp;E Annual'!AN$162</f>
        <v>40</v>
      </c>
      <c r="AO33" s="121">
        <f>'I&amp;E Annual'!AO$162</f>
        <v>40</v>
      </c>
      <c r="AP33" s="121">
        <f>'I&amp;E Annual'!AP$162</f>
        <v>41</v>
      </c>
      <c r="AQ33" s="121">
        <f>'I&amp;E Annual'!AQ$162</f>
        <v>41</v>
      </c>
      <c r="AR33" s="121">
        <f>'I&amp;E Annual'!AR$162</f>
        <v>41</v>
      </c>
      <c r="AS33" s="121">
        <f>'I&amp;E Annual'!AS$162</f>
        <v>42</v>
      </c>
      <c r="AT33" s="121">
        <f>'I&amp;E Annual'!AT$162</f>
        <v>46</v>
      </c>
      <c r="AU33" s="121">
        <f>'I&amp;E Annual'!AU$162</f>
        <v>46</v>
      </c>
      <c r="AV33" s="121">
        <f>'I&amp;E Annual'!AV$162</f>
        <v>46</v>
      </c>
      <c r="AW33" s="121">
        <f>'I&amp;E Annual'!AW$162</f>
        <v>47</v>
      </c>
      <c r="AX33" s="121">
        <f>'I&amp;E Annual'!AX$162</f>
        <v>48</v>
      </c>
      <c r="AY33" s="121">
        <f>'I&amp;E Annual'!AY$162</f>
        <v>43</v>
      </c>
      <c r="AZ33" s="121">
        <f>'I&amp;E Annual'!AZ$162</f>
        <v>45</v>
      </c>
      <c r="BA33" s="121">
        <f>'I&amp;E Annual'!BA$162</f>
        <v>46</v>
      </c>
      <c r="BB33" s="121">
        <f>'I&amp;E Annual'!BB$162</f>
        <v>46</v>
      </c>
      <c r="BC33" s="121">
        <f>'I&amp;E Annual'!BC$162</f>
        <v>46</v>
      </c>
      <c r="BD33" s="121">
        <f>'I&amp;E Annual'!BD$162</f>
        <v>47</v>
      </c>
      <c r="BE33" s="121">
        <f>'I&amp;E Annual'!BE$162</f>
        <v>47</v>
      </c>
      <c r="BF33" s="121">
        <f>'I&amp;E Annual'!BF$162</f>
        <v>50</v>
      </c>
      <c r="BG33" s="121">
        <f>'I&amp;E Annual'!BG$162</f>
        <v>50</v>
      </c>
      <c r="BH33" s="121">
        <f>'I&amp;E Annual'!BH$162</f>
        <v>50</v>
      </c>
      <c r="BI33" s="121">
        <f>'I&amp;E Annual'!BI$162</f>
        <v>50</v>
      </c>
      <c r="BJ33" s="121">
        <f>'I&amp;E Annual'!BJ$162</f>
        <v>51</v>
      </c>
      <c r="BK33" s="157"/>
      <c r="BL33" s="121">
        <f>'I&amp;E Annual'!BL$162</f>
        <v>0</v>
      </c>
      <c r="BM33" s="121">
        <f>'I&amp;E Annual'!BM$162</f>
        <v>469</v>
      </c>
      <c r="BN33" s="121">
        <f>'I&amp;E Annual'!BN$162</f>
        <v>514</v>
      </c>
      <c r="BO33" s="121">
        <f>'I&amp;E Annual'!BO$162</f>
        <v>571</v>
      </c>
      <c r="BP33" s="121">
        <f>'I&amp;E Annual'!BP$162</f>
        <v>0</v>
      </c>
      <c r="BQ33" s="121">
        <f>'I&amp;E Annual'!BQ$162</f>
        <v>0</v>
      </c>
      <c r="BR33" s="121">
        <f>'I&amp;E Annual'!BR$162</f>
        <v>0</v>
      </c>
      <c r="BS33" s="121">
        <f>'I&amp;E Annual'!BS$162</f>
        <v>0</v>
      </c>
      <c r="BT33" s="121">
        <f>'I&amp;E Annual'!BT$162</f>
        <v>0</v>
      </c>
      <c r="BU33" s="121">
        <f>'I&amp;E Annual'!BU$162</f>
        <v>0</v>
      </c>
      <c r="BV33" s="121">
        <f>'I&amp;E Annual'!BV$162</f>
        <v>0</v>
      </c>
      <c r="BW33" s="121">
        <f>'I&amp;E Annual'!BW$162</f>
        <v>0</v>
      </c>
      <c r="BY33" s="42"/>
      <c r="CC33" s="126">
        <f t="shared" si="9"/>
        <v>0</v>
      </c>
      <c r="CD33" s="126">
        <f t="shared" si="10"/>
        <v>0</v>
      </c>
      <c r="CE33" s="126">
        <f t="shared" ref="CE33:CE35" si="31">IF(CM33=0, 0, 1)</f>
        <v>0</v>
      </c>
      <c r="CF33" s="42"/>
      <c r="CG33" s="352">
        <f>ROUND(W33-SUMIFS($AA33:$BJ33, $AA$3:$BJ$3, W$3), rounding)</f>
        <v>0</v>
      </c>
      <c r="CH33" s="352">
        <f>ROUND($X33-SUMIFS($AA33:$BJ33, $AA$3:$BJ$3, X$3), rounding)</f>
        <v>0</v>
      </c>
      <c r="CI33" s="352">
        <f>ROUND($Y33-SUMIFS($AA33:$BJ33, $AA$3:$BJ$3, Y$3), rounding)</f>
        <v>0</v>
      </c>
      <c r="CJ33" s="352">
        <f t="shared" ref="CJ33:CL35" si="32">ROUND(W33-BM33, rounding)</f>
        <v>0</v>
      </c>
      <c r="CK33" s="352">
        <f t="shared" si="32"/>
        <v>0</v>
      </c>
      <c r="CL33" s="352">
        <f t="shared" si="32"/>
        <v>0</v>
      </c>
      <c r="CM33" s="352">
        <f>ROUND(V33-BL33, rounding)</f>
        <v>0</v>
      </c>
      <c r="EX33" s="10" t="str">
        <f t="shared" ca="1" si="0"/>
        <v>Release of Capital Grants</v>
      </c>
    </row>
    <row r="34" spans="1:154" ht="15" customHeight="1" x14ac:dyDescent="0.25">
      <c r="A34" s="362" cm="1">
        <f t="array" aca="1" ref="A34" ca="1">HYPERLINK(CONCATENATE("#",CELL("address",IF(SUM($BY34:$CF34)=0,A34,INDEX($BY34:$CF34,MATCH(1,$BY34:$CF34,0))))),SUM($BY34:$CF34))</f>
        <v>0</v>
      </c>
      <c r="B34" s="335"/>
      <c r="C34" s="343" t="str">
        <f>CONCATENATE("FS-",'I&amp;E Annual'!C$163)</f>
        <v>FS-IE-4b</v>
      </c>
      <c r="D34" s="560" t="str" cm="1">
        <f t="array" aca="1" ref="D34" ca="1">HYPERLINK(CONCATENATE("#",CELL("address",'I&amp;E Annual'!$D$163)),'I&amp;E Annual'!$D$163)</f>
        <v>Movement in holiday pay accrual</v>
      </c>
      <c r="H34" s="335"/>
      <c r="I34" s="335"/>
      <c r="J34" s="157"/>
      <c r="Q34" s="335"/>
      <c r="R34" s="335"/>
      <c r="S34" s="157"/>
      <c r="T34" s="157"/>
      <c r="U34" s="157"/>
      <c r="V34" s="13">
        <f t="shared" si="30"/>
        <v>0</v>
      </c>
      <c r="W34" s="13">
        <f t="shared" si="30"/>
        <v>0</v>
      </c>
      <c r="X34" s="13">
        <f t="shared" si="30"/>
        <v>0</v>
      </c>
      <c r="Y34" s="13">
        <f t="shared" si="30"/>
        <v>0</v>
      </c>
      <c r="Z34" s="157"/>
      <c r="AA34" s="121">
        <f>'I&amp;E Annual'!AA$163</f>
        <v>0</v>
      </c>
      <c r="AB34" s="121">
        <f>'I&amp;E Annual'!AB$163</f>
        <v>0</v>
      </c>
      <c r="AC34" s="121">
        <f>'I&amp;E Annual'!AC$163</f>
        <v>0</v>
      </c>
      <c r="AD34" s="121">
        <f>'I&amp;E Annual'!AD$163</f>
        <v>0</v>
      </c>
      <c r="AE34" s="121">
        <f>'I&amp;E Annual'!AE$163</f>
        <v>0</v>
      </c>
      <c r="AF34" s="121">
        <f>'I&amp;E Annual'!AF$163</f>
        <v>0</v>
      </c>
      <c r="AG34" s="121">
        <f>'I&amp;E Annual'!AG$163</f>
        <v>0</v>
      </c>
      <c r="AH34" s="121">
        <f>'I&amp;E Annual'!AH$163</f>
        <v>0</v>
      </c>
      <c r="AI34" s="121">
        <f>'I&amp;E Annual'!AI$163</f>
        <v>0</v>
      </c>
      <c r="AJ34" s="121">
        <f>'I&amp;E Annual'!AJ$163</f>
        <v>0</v>
      </c>
      <c r="AK34" s="121">
        <f>'I&amp;E Annual'!AK$163</f>
        <v>0</v>
      </c>
      <c r="AL34" s="121">
        <f>'I&amp;E Annual'!AL$163</f>
        <v>0</v>
      </c>
      <c r="AM34" s="121">
        <f>'I&amp;E Annual'!AM$163</f>
        <v>0</v>
      </c>
      <c r="AN34" s="121">
        <f>'I&amp;E Annual'!AN$163</f>
        <v>0</v>
      </c>
      <c r="AO34" s="121">
        <f>'I&amp;E Annual'!AO$163</f>
        <v>0</v>
      </c>
      <c r="AP34" s="121">
        <f>'I&amp;E Annual'!AP$163</f>
        <v>0</v>
      </c>
      <c r="AQ34" s="121">
        <f>'I&amp;E Annual'!AQ$163</f>
        <v>0</v>
      </c>
      <c r="AR34" s="121">
        <f>'I&amp;E Annual'!AR$163</f>
        <v>0</v>
      </c>
      <c r="AS34" s="121">
        <f>'I&amp;E Annual'!AS$163</f>
        <v>0</v>
      </c>
      <c r="AT34" s="121">
        <f>'I&amp;E Annual'!AT$163</f>
        <v>0</v>
      </c>
      <c r="AU34" s="121">
        <f>'I&amp;E Annual'!AU$163</f>
        <v>0</v>
      </c>
      <c r="AV34" s="121">
        <f>'I&amp;E Annual'!AV$163</f>
        <v>0</v>
      </c>
      <c r="AW34" s="121">
        <f>'I&amp;E Annual'!AW$163</f>
        <v>0</v>
      </c>
      <c r="AX34" s="121">
        <f>'I&amp;E Annual'!AX$163</f>
        <v>0</v>
      </c>
      <c r="AY34" s="121">
        <f>'I&amp;E Annual'!AY$163</f>
        <v>0</v>
      </c>
      <c r="AZ34" s="121">
        <f>'I&amp;E Annual'!AZ$163</f>
        <v>0</v>
      </c>
      <c r="BA34" s="121">
        <f>'I&amp;E Annual'!BA$163</f>
        <v>0</v>
      </c>
      <c r="BB34" s="121">
        <f>'I&amp;E Annual'!BB$163</f>
        <v>0</v>
      </c>
      <c r="BC34" s="121">
        <f>'I&amp;E Annual'!BC$163</f>
        <v>0</v>
      </c>
      <c r="BD34" s="121">
        <f>'I&amp;E Annual'!BD$163</f>
        <v>0</v>
      </c>
      <c r="BE34" s="121">
        <f>'I&amp;E Annual'!BE$163</f>
        <v>0</v>
      </c>
      <c r="BF34" s="121">
        <f>'I&amp;E Annual'!BF$163</f>
        <v>0</v>
      </c>
      <c r="BG34" s="121">
        <f>'I&amp;E Annual'!BG$163</f>
        <v>0</v>
      </c>
      <c r="BH34" s="121">
        <f>'I&amp;E Annual'!BH$163</f>
        <v>0</v>
      </c>
      <c r="BI34" s="121">
        <f>'I&amp;E Annual'!BI$163</f>
        <v>0</v>
      </c>
      <c r="BJ34" s="121">
        <f>'I&amp;E Annual'!BJ$163</f>
        <v>0</v>
      </c>
      <c r="BK34" s="157"/>
      <c r="BL34" s="121">
        <f>'I&amp;E Annual'!BL$163</f>
        <v>0</v>
      </c>
      <c r="BM34" s="121">
        <f>'I&amp;E Annual'!BM$163</f>
        <v>0</v>
      </c>
      <c r="BN34" s="121">
        <f>'I&amp;E Annual'!BN$163</f>
        <v>0</v>
      </c>
      <c r="BO34" s="121">
        <f>'I&amp;E Annual'!BO$163</f>
        <v>0</v>
      </c>
      <c r="BP34" s="121">
        <f>'I&amp;E Annual'!BP$163</f>
        <v>0</v>
      </c>
      <c r="BQ34" s="121">
        <f>'I&amp;E Annual'!BQ$163</f>
        <v>0</v>
      </c>
      <c r="BR34" s="121">
        <f>'I&amp;E Annual'!BR$163</f>
        <v>0</v>
      </c>
      <c r="BS34" s="121">
        <f>'I&amp;E Annual'!BS$163</f>
        <v>0</v>
      </c>
      <c r="BT34" s="121">
        <f>'I&amp;E Annual'!BT$163</f>
        <v>0</v>
      </c>
      <c r="BU34" s="121">
        <f>'I&amp;E Annual'!BU$163</f>
        <v>0</v>
      </c>
      <c r="BV34" s="121">
        <f>'I&amp;E Annual'!BV$163</f>
        <v>0</v>
      </c>
      <c r="BW34" s="121">
        <f>'I&amp;E Annual'!BW$163</f>
        <v>0</v>
      </c>
      <c r="BY34" s="42"/>
      <c r="CC34" s="126">
        <f t="shared" si="9"/>
        <v>0</v>
      </c>
      <c r="CD34" s="126">
        <f t="shared" si="10"/>
        <v>0</v>
      </c>
      <c r="CE34" s="126">
        <f t="shared" si="31"/>
        <v>0</v>
      </c>
      <c r="CF34" s="42"/>
      <c r="CG34" s="352">
        <f>ROUND(W34-SUMIFS($AA34:$BJ34, $AA$3:$BJ$3, W$3), rounding)</f>
        <v>0</v>
      </c>
      <c r="CH34" s="352">
        <f>ROUND($X34-SUMIFS($AA34:$BJ34, $AA$3:$BJ$3, X$3), rounding)</f>
        <v>0</v>
      </c>
      <c r="CI34" s="352">
        <f>ROUND($Y34-SUMIFS($AA34:$BJ34, $AA$3:$BJ$3, Y$3), rounding)</f>
        <v>0</v>
      </c>
      <c r="CJ34" s="352">
        <f t="shared" si="32"/>
        <v>0</v>
      </c>
      <c r="CK34" s="352">
        <f t="shared" si="32"/>
        <v>0</v>
      </c>
      <c r="CL34" s="352">
        <f t="shared" si="32"/>
        <v>0</v>
      </c>
      <c r="CM34" s="352">
        <f>ROUND(V34-BL34, rounding)</f>
        <v>0</v>
      </c>
      <c r="EX34" s="10" t="str">
        <f t="shared" ca="1" si="0"/>
        <v>Movement in holiday pay accrual</v>
      </c>
    </row>
    <row r="35" spans="1:154" ht="15" customHeight="1" x14ac:dyDescent="0.25">
      <c r="A35" s="362" cm="1">
        <f t="array" aca="1" ref="A35" ca="1">HYPERLINK(CONCATENATE("#",CELL("address",IF(SUM($BY35:$CF35)=0,A35,INDEX($BY35:$CF35,MATCH(1,$BY35:$CF35,0))))),SUM($BY35:$CF35))</f>
        <v>0</v>
      </c>
      <c r="B35" s="335"/>
      <c r="C35" s="343" t="str">
        <f>CONCATENATE("FS-",'I&amp;E Annual'!C$165)</f>
        <v>FS-IE-4</v>
      </c>
      <c r="D35" s="554" t="str">
        <f>'I&amp;E Annual'!D$165</f>
        <v>Surplus/(deficit) before ITDA</v>
      </c>
      <c r="Q35" s="335"/>
      <c r="R35" s="335"/>
      <c r="S35" s="157"/>
      <c r="T35" s="157"/>
      <c r="U35" s="157"/>
      <c r="V35" s="13">
        <f>(V31+V33-V34)*V$9</f>
        <v>0</v>
      </c>
      <c r="W35" s="13">
        <f t="shared" ref="W35:BW35" si="33">(W31+W33-W34)*W$9</f>
        <v>2501</v>
      </c>
      <c r="X35" s="13">
        <f t="shared" si="33"/>
        <v>2564</v>
      </c>
      <c r="Y35" s="13">
        <f t="shared" si="33"/>
        <v>2744.8100000000013</v>
      </c>
      <c r="Z35" s="157"/>
      <c r="AA35" s="13">
        <f t="shared" si="33"/>
        <v>1901</v>
      </c>
      <c r="AB35" s="13">
        <f t="shared" si="33"/>
        <v>1305</v>
      </c>
      <c r="AC35" s="13">
        <f t="shared" si="33"/>
        <v>288</v>
      </c>
      <c r="AD35" s="13">
        <f t="shared" si="33"/>
        <v>-32</v>
      </c>
      <c r="AE35" s="13">
        <f t="shared" si="33"/>
        <v>-726</v>
      </c>
      <c r="AF35" s="13">
        <f t="shared" si="33"/>
        <v>-515</v>
      </c>
      <c r="AG35" s="13">
        <f t="shared" si="33"/>
        <v>-542</v>
      </c>
      <c r="AH35" s="13">
        <f t="shared" si="33"/>
        <v>-743</v>
      </c>
      <c r="AI35" s="13">
        <f t="shared" si="33"/>
        <v>1409</v>
      </c>
      <c r="AJ35" s="13">
        <f t="shared" si="33"/>
        <v>439</v>
      </c>
      <c r="AK35" s="13">
        <f t="shared" si="33"/>
        <v>456</v>
      </c>
      <c r="AL35" s="13">
        <f t="shared" si="33"/>
        <v>-739</v>
      </c>
      <c r="AM35" s="13">
        <f t="shared" si="33"/>
        <v>2159</v>
      </c>
      <c r="AN35" s="13">
        <f t="shared" si="33"/>
        <v>1291</v>
      </c>
      <c r="AO35" s="13">
        <f t="shared" si="33"/>
        <v>286</v>
      </c>
      <c r="AP35" s="13">
        <f t="shared" si="33"/>
        <v>-260</v>
      </c>
      <c r="AQ35" s="13">
        <f t="shared" si="33"/>
        <v>-726</v>
      </c>
      <c r="AR35" s="13">
        <f t="shared" si="33"/>
        <v>-411</v>
      </c>
      <c r="AS35" s="13">
        <f t="shared" si="33"/>
        <v>-786</v>
      </c>
      <c r="AT35" s="13">
        <f t="shared" si="33"/>
        <v>-749</v>
      </c>
      <c r="AU35" s="13">
        <f t="shared" si="33"/>
        <v>1653</v>
      </c>
      <c r="AV35" s="13">
        <f t="shared" si="33"/>
        <v>551</v>
      </c>
      <c r="AW35" s="13">
        <f t="shared" si="33"/>
        <v>153</v>
      </c>
      <c r="AX35" s="13">
        <f t="shared" si="33"/>
        <v>-597</v>
      </c>
      <c r="AY35" s="13">
        <f t="shared" si="33"/>
        <v>2214.7483333333334</v>
      </c>
      <c r="AZ35" s="13">
        <f t="shared" si="33"/>
        <v>1313.3566666666661</v>
      </c>
      <c r="BA35" s="13">
        <f t="shared" si="33"/>
        <v>301.48833333333278</v>
      </c>
      <c r="BB35" s="13">
        <f t="shared" si="33"/>
        <v>-260.61333333333323</v>
      </c>
      <c r="BC35" s="13">
        <f t="shared" si="33"/>
        <v>-738.53</v>
      </c>
      <c r="BD35" s="13">
        <f t="shared" si="33"/>
        <v>-411.22999999999979</v>
      </c>
      <c r="BE35" s="13">
        <f t="shared" si="33"/>
        <v>-799.74166666666702</v>
      </c>
      <c r="BF35" s="13">
        <f t="shared" si="33"/>
        <v>-758.5183333333332</v>
      </c>
      <c r="BG35" s="13">
        <f t="shared" si="33"/>
        <v>1712.378333333334</v>
      </c>
      <c r="BH35" s="13">
        <f t="shared" si="33"/>
        <v>605.06833333333361</v>
      </c>
      <c r="BI35" s="13">
        <f t="shared" si="33"/>
        <v>167.19333333333361</v>
      </c>
      <c r="BJ35" s="13">
        <f t="shared" si="33"/>
        <v>-600.79000000000042</v>
      </c>
      <c r="BK35" s="157"/>
      <c r="BL35" s="13">
        <f t="shared" si="33"/>
        <v>0</v>
      </c>
      <c r="BM35" s="13">
        <f t="shared" si="33"/>
        <v>2501</v>
      </c>
      <c r="BN35" s="13">
        <f t="shared" si="33"/>
        <v>2564</v>
      </c>
      <c r="BO35" s="13">
        <f t="shared" si="33"/>
        <v>2744.8100000000013</v>
      </c>
      <c r="BP35" s="13">
        <f t="shared" si="33"/>
        <v>0</v>
      </c>
      <c r="BQ35" s="13">
        <f t="shared" si="33"/>
        <v>0</v>
      </c>
      <c r="BR35" s="13">
        <f t="shared" si="33"/>
        <v>0</v>
      </c>
      <c r="BS35" s="13">
        <f t="shared" si="33"/>
        <v>0</v>
      </c>
      <c r="BT35" s="13">
        <f t="shared" si="33"/>
        <v>0</v>
      </c>
      <c r="BU35" s="13">
        <f t="shared" si="33"/>
        <v>0</v>
      </c>
      <c r="BV35" s="13">
        <f t="shared" si="33"/>
        <v>0</v>
      </c>
      <c r="BW35" s="13">
        <f t="shared" si="33"/>
        <v>0</v>
      </c>
      <c r="BY35" s="42"/>
      <c r="CC35" s="126">
        <f t="shared" si="9"/>
        <v>0</v>
      </c>
      <c r="CD35" s="126">
        <f t="shared" si="10"/>
        <v>0</v>
      </c>
      <c r="CE35" s="126">
        <f t="shared" si="31"/>
        <v>0</v>
      </c>
      <c r="CF35" s="42"/>
      <c r="CG35" s="352">
        <f>ROUND(W35-SUMIFS($AA35:$BJ35, $AA$3:$BJ$3, W$3), rounding)</f>
        <v>0</v>
      </c>
      <c r="CH35" s="352">
        <f>ROUND($X35-SUMIFS($AA35:$BJ35, $AA$3:$BJ$3, X$3), rounding)</f>
        <v>0</v>
      </c>
      <c r="CI35" s="352">
        <f>ROUND($Y35-SUMIFS($AA35:$BJ35, $AA$3:$BJ$3, Y$3), rounding)</f>
        <v>0</v>
      </c>
      <c r="CJ35" s="352">
        <f t="shared" si="32"/>
        <v>0</v>
      </c>
      <c r="CK35" s="352">
        <f t="shared" si="32"/>
        <v>0</v>
      </c>
      <c r="CL35" s="352">
        <f t="shared" si="32"/>
        <v>0</v>
      </c>
      <c r="CM35" s="352">
        <f>ROUND(V35-BL35, rounding)</f>
        <v>0</v>
      </c>
      <c r="EX35" s="10" t="str">
        <f t="shared" si="0"/>
        <v>Surplus/(deficit) before ITDA</v>
      </c>
    </row>
    <row r="36" spans="1:154" s="335" customFormat="1" ht="11.45" customHeight="1" x14ac:dyDescent="0.25">
      <c r="A36" s="157"/>
      <c r="C36" s="343"/>
      <c r="D36" s="556"/>
      <c r="E36" s="157"/>
      <c r="F36" s="157"/>
      <c r="G36" s="157"/>
      <c r="J36" s="157"/>
      <c r="K36" s="157"/>
      <c r="L36" s="157"/>
      <c r="M36" s="157"/>
      <c r="N36" s="157"/>
      <c r="O36" s="157"/>
      <c r="P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42"/>
      <c r="CC36" s="162"/>
      <c r="CD36" s="162"/>
      <c r="CE36" s="162"/>
      <c r="CF36" s="42"/>
      <c r="EX36" s="10" t="str">
        <f t="shared" si="0"/>
        <v/>
      </c>
    </row>
    <row r="37" spans="1:154" ht="15" customHeight="1" x14ac:dyDescent="0.25">
      <c r="A37" s="362" cm="1">
        <f t="array" aca="1" ref="A37" ca="1">HYPERLINK(CONCATENATE("#",CELL("address",IF(SUM($BY37:$CF37)=0,A37,INDEX($BY37:$CF37,MATCH(1,$BY37:$CF37,0))))),SUM($BY37:$CF37))</f>
        <v>0</v>
      </c>
      <c r="B37" s="335"/>
      <c r="C37" s="343"/>
      <c r="D37" s="561" t="s">
        <v>595</v>
      </c>
      <c r="J37" s="157"/>
      <c r="Q37" s="335"/>
      <c r="R37" s="335"/>
      <c r="S37" s="157"/>
      <c r="T37" s="157"/>
      <c r="U37" s="157"/>
      <c r="V37" s="169">
        <f>ROUND(V35-'I&amp;E Annual'!BL165, rounding)*V$9</f>
        <v>0</v>
      </c>
      <c r="W37" s="169">
        <f>ROUND(W35-'I&amp;E Annual'!BM165, rounding)*W$9</f>
        <v>0</v>
      </c>
      <c r="X37" s="169">
        <f>ROUND(X35-'I&amp;E Annual'!BN165, rounding)*X$9</f>
        <v>0</v>
      </c>
      <c r="Y37" s="169">
        <f>ROUND(Y35-'I&amp;E Annual'!BO165, rounding)*Y$9</f>
        <v>0</v>
      </c>
      <c r="Z37" s="335"/>
      <c r="AA37" s="169">
        <f>ROUND(AA35-'I&amp;E Annual'!AA165, rounding)*AA$9</f>
        <v>0</v>
      </c>
      <c r="AB37" s="169">
        <f>ROUND(AB35-'I&amp;E Annual'!AB165, rounding)*AB$9</f>
        <v>0</v>
      </c>
      <c r="AC37" s="169">
        <f>ROUND(AC35-'I&amp;E Annual'!AC165, rounding)*AC$9</f>
        <v>0</v>
      </c>
      <c r="AD37" s="169">
        <f>ROUND(AD35-'I&amp;E Annual'!AD165, rounding)*AD$9</f>
        <v>0</v>
      </c>
      <c r="AE37" s="169">
        <f>ROUND(AE35-'I&amp;E Annual'!AE165, rounding)*AE$9</f>
        <v>0</v>
      </c>
      <c r="AF37" s="169">
        <f>ROUND(AF35-'I&amp;E Annual'!AF165, rounding)*AF$9</f>
        <v>0</v>
      </c>
      <c r="AG37" s="169">
        <f>ROUND(AG35-'I&amp;E Annual'!AG165, rounding)*AG$9</f>
        <v>0</v>
      </c>
      <c r="AH37" s="169">
        <f>ROUND(AH35-'I&amp;E Annual'!AH165, rounding)*AH$9</f>
        <v>0</v>
      </c>
      <c r="AI37" s="169">
        <f>ROUND(AI35-'I&amp;E Annual'!AI165, rounding)*AI$9</f>
        <v>0</v>
      </c>
      <c r="AJ37" s="169">
        <f>ROUND(AJ35-'I&amp;E Annual'!AJ165, rounding)*AJ$9</f>
        <v>0</v>
      </c>
      <c r="AK37" s="169">
        <f>ROUND(AK35-'I&amp;E Annual'!AK165, rounding)*AK$9</f>
        <v>0</v>
      </c>
      <c r="AL37" s="169">
        <f>ROUND(AL35-'I&amp;E Annual'!AL165, rounding)*AL$9</f>
        <v>0</v>
      </c>
      <c r="AM37" s="169">
        <f>ROUND(AM35-'I&amp;E Annual'!AM165, rounding)*AM$9</f>
        <v>0</v>
      </c>
      <c r="AN37" s="169">
        <f>ROUND(AN35-'I&amp;E Annual'!AN165, rounding)*AN$9</f>
        <v>0</v>
      </c>
      <c r="AO37" s="169">
        <f>ROUND(AO35-'I&amp;E Annual'!AO165, rounding)*AO$9</f>
        <v>0</v>
      </c>
      <c r="AP37" s="169">
        <f>ROUND(AP35-'I&amp;E Annual'!AP165, rounding)*AP$9</f>
        <v>0</v>
      </c>
      <c r="AQ37" s="169">
        <f>ROUND(AQ35-'I&amp;E Annual'!AQ165, rounding)*AQ$9</f>
        <v>0</v>
      </c>
      <c r="AR37" s="169">
        <f>ROUND(AR35-'I&amp;E Annual'!AR165, rounding)*AR$9</f>
        <v>0</v>
      </c>
      <c r="AS37" s="169">
        <f>ROUND(AS35-'I&amp;E Annual'!AS165, rounding)*AS$9</f>
        <v>0</v>
      </c>
      <c r="AT37" s="169">
        <f>ROUND(AT35-'I&amp;E Annual'!AT165, rounding)*AT$9</f>
        <v>0</v>
      </c>
      <c r="AU37" s="169">
        <f>ROUND(AU35-'I&amp;E Annual'!AU165, rounding)*AU$9</f>
        <v>0</v>
      </c>
      <c r="AV37" s="169">
        <f>ROUND(AV35-'I&amp;E Annual'!AV165, rounding)*AV$9</f>
        <v>0</v>
      </c>
      <c r="AW37" s="169">
        <f>ROUND(AW35-'I&amp;E Annual'!AW165, rounding)*AW$9</f>
        <v>0</v>
      </c>
      <c r="AX37" s="169">
        <f>ROUND(AX35-'I&amp;E Annual'!AX165, rounding)*AX$9</f>
        <v>0</v>
      </c>
      <c r="AY37" s="169">
        <f>ROUND(AY35-'I&amp;E Annual'!AY165, rounding)*AY$9</f>
        <v>0</v>
      </c>
      <c r="AZ37" s="169">
        <f>ROUND(AZ35-'I&amp;E Annual'!AZ165, rounding)*AZ$9</f>
        <v>0</v>
      </c>
      <c r="BA37" s="169">
        <f>ROUND(BA35-'I&amp;E Annual'!BA165, rounding)*BA$9</f>
        <v>0</v>
      </c>
      <c r="BB37" s="169">
        <f>ROUND(BB35-'I&amp;E Annual'!BB165, rounding)*BB$9</f>
        <v>0</v>
      </c>
      <c r="BC37" s="169">
        <f>ROUND(BC35-'I&amp;E Annual'!BC165, rounding)*BC$9</f>
        <v>0</v>
      </c>
      <c r="BD37" s="169">
        <f>ROUND(BD35-'I&amp;E Annual'!BD165, rounding)*BD$9</f>
        <v>0</v>
      </c>
      <c r="BE37" s="169">
        <f>ROUND(BE35-'I&amp;E Annual'!BE165, rounding)*BE$9</f>
        <v>0</v>
      </c>
      <c r="BF37" s="169">
        <f>ROUND(BF35-'I&amp;E Annual'!BF165, rounding)*BF$9</f>
        <v>0</v>
      </c>
      <c r="BG37" s="169">
        <f>ROUND(BG35-'I&amp;E Annual'!BG165, rounding)*BG$9</f>
        <v>0</v>
      </c>
      <c r="BH37" s="169">
        <f>ROUND(BH35-'I&amp;E Annual'!BH165, rounding)*BH$9</f>
        <v>0</v>
      </c>
      <c r="BI37" s="169">
        <f>ROUND(BI35-'I&amp;E Annual'!BI165, rounding)*BI$9</f>
        <v>0</v>
      </c>
      <c r="BJ37" s="169">
        <f>ROUND(BJ35-'I&amp;E Annual'!BJ165, rounding)*BJ$9</f>
        <v>0</v>
      </c>
      <c r="BK37" s="157"/>
      <c r="BL37" s="169">
        <f>ROUND(BL35-'I&amp;E Annual'!BL165, rounding)*BL$9</f>
        <v>0</v>
      </c>
      <c r="BM37" s="169">
        <f>ROUND(BM35-'I&amp;E Annual'!BM165, rounding)*BM$9</f>
        <v>0</v>
      </c>
      <c r="BN37" s="169">
        <f>ROUND(BN35-'I&amp;E Annual'!BN165, rounding)*BN$9</f>
        <v>0</v>
      </c>
      <c r="BO37" s="169">
        <f>ROUND(BO35-'I&amp;E Annual'!BO165, rounding)*BO$9</f>
        <v>0</v>
      </c>
      <c r="BP37" s="169">
        <f>ROUND(BP35-'I&amp;E Annual'!BP165, rounding)*BP$9</f>
        <v>0</v>
      </c>
      <c r="BQ37" s="169">
        <f>ROUND(BQ35-'I&amp;E Annual'!BQ165, rounding)*BQ$9</f>
        <v>0</v>
      </c>
      <c r="BR37" s="169">
        <f>ROUND(BR35-'I&amp;E Annual'!BR165, rounding)*BR$9</f>
        <v>0</v>
      </c>
      <c r="BS37" s="169">
        <f>ROUND(BS35-'I&amp;E Annual'!BS165, rounding)*BS$9</f>
        <v>0</v>
      </c>
      <c r="BT37" s="169">
        <f>ROUND(BT35-'I&amp;E Annual'!BT165, rounding)*BT$9</f>
        <v>0</v>
      </c>
      <c r="BU37" s="169">
        <f>ROUND(BU35-'I&amp;E Annual'!BU165, rounding)*BU$9</f>
        <v>0</v>
      </c>
      <c r="BV37" s="169">
        <f>ROUND(BV35-'I&amp;E Annual'!BV165, rounding)*BV$9</f>
        <v>0</v>
      </c>
      <c r="BW37" s="169">
        <f>ROUND(BW35-'I&amp;E Annual'!BW165, rounding)*BW$9</f>
        <v>0</v>
      </c>
      <c r="BY37" s="42"/>
      <c r="BZ37" s="7">
        <f>IF(SUM($V37:$BW37)=0, 0, 1)</f>
        <v>0</v>
      </c>
      <c r="CA37" s="335"/>
      <c r="CC37" s="126">
        <f>IF(SUM($CG37:$CI37)=0, 0, 1)</f>
        <v>0</v>
      </c>
      <c r="CD37" s="126">
        <f>IF(SUM($CJ37:$CL37)=0, 0, 1)</f>
        <v>0</v>
      </c>
      <c r="CE37" s="126">
        <f>IF(CM37=0, 0, 1)</f>
        <v>0</v>
      </c>
      <c r="CF37" s="42"/>
      <c r="CG37" s="352">
        <f>ROUND(W37-SUMIFS($AA37:$BJ37, $AA$3:$BJ$3, W$3), rounding)</f>
        <v>0</v>
      </c>
      <c r="CH37" s="352">
        <f>ROUND($X37-SUMIFS($AA37:$BJ37, $AA$3:$BJ$3, X$3), rounding)</f>
        <v>0</v>
      </c>
      <c r="CI37" s="352">
        <f>ROUND($Y37-SUMIFS($AA37:$BJ37, $AA$3:$BJ$3, Y$3), rounding)</f>
        <v>0</v>
      </c>
      <c r="CJ37" s="352">
        <f>ROUND(W37-BM37, rounding)</f>
        <v>0</v>
      </c>
      <c r="CK37" s="352">
        <f>ROUND(X37-BN37, rounding)</f>
        <v>0</v>
      </c>
      <c r="CL37" s="352">
        <f>ROUND(Y37-BO37, rounding)</f>
        <v>0</v>
      </c>
      <c r="CM37" s="352">
        <f>ROUND(V37-BL37, rounding)</f>
        <v>0</v>
      </c>
      <c r="EX37" s="10" t="str">
        <f t="shared" si="0"/>
        <v/>
      </c>
    </row>
    <row r="38" spans="1:154" ht="8.1" customHeight="1" x14ac:dyDescent="0.25">
      <c r="A38" s="157"/>
      <c r="B38" s="335"/>
      <c r="C38" s="343"/>
      <c r="D38" s="556"/>
      <c r="E38" s="157"/>
      <c r="F38" s="157"/>
      <c r="G38" s="157"/>
      <c r="H38" s="157"/>
      <c r="I38" s="157"/>
      <c r="J38" s="157"/>
      <c r="K38" s="157"/>
      <c r="L38" s="157"/>
      <c r="M38" s="157"/>
      <c r="N38" s="157"/>
      <c r="O38" s="157"/>
      <c r="P38" s="157"/>
      <c r="Q38" s="335"/>
      <c r="R38" s="335"/>
      <c r="S38" s="157"/>
      <c r="T38" s="157"/>
      <c r="U38" s="157"/>
      <c r="V38" s="157"/>
      <c r="W38" s="157"/>
      <c r="X38" s="157"/>
      <c r="Y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42"/>
      <c r="CA38" s="335"/>
      <c r="CC38" s="162"/>
      <c r="CD38" s="162"/>
      <c r="CE38" s="162"/>
      <c r="CF38" s="42"/>
      <c r="EX38" s="10" t="str">
        <f t="shared" si="0"/>
        <v/>
      </c>
    </row>
    <row r="39" spans="1:154" ht="15" customHeight="1" x14ac:dyDescent="0.25">
      <c r="A39" s="362" cm="1">
        <f t="array" aca="1" ref="A39" ca="1">HYPERLINK(CONCATENATE("#",CELL("address",IF(SUM($BY39:$CF39)=0,A39,INDEX($BY39:$CF39,MATCH(1,$BY39:$CF39,0))))),SUM($BY39:$CF39))</f>
        <v>0</v>
      </c>
      <c r="B39" s="335"/>
      <c r="C39" s="343" t="str">
        <f>CONCATENATE("FS-",'I&amp;E Annual'!C$168)</f>
        <v>FS-IE-5a-1</v>
      </c>
      <c r="D39" s="560" t="str" cm="1">
        <f t="array" aca="1" ref="D39" ca="1">HYPERLINK(CONCATENATE("#",CELL("address",'I&amp;E Annual'!$D$168)),'I&amp;E Annual'!$D$168)</f>
        <v>Depreciation and amortisation</v>
      </c>
      <c r="F39" s="179"/>
      <c r="H39" s="335"/>
      <c r="I39" s="335"/>
      <c r="J39" s="157"/>
      <c r="Q39" s="335"/>
      <c r="R39" s="335"/>
      <c r="T39" s="157"/>
      <c r="U39" s="157"/>
      <c r="V39" s="13">
        <f t="shared" ref="V39:V43" si="34">BL39</f>
        <v>0</v>
      </c>
      <c r="W39" s="13">
        <f t="shared" ref="W39:W43" si="35">BM39</f>
        <v>1916</v>
      </c>
      <c r="X39" s="13">
        <f t="shared" ref="X39:X43" si="36">BN39</f>
        <v>1993</v>
      </c>
      <c r="Y39" s="13">
        <f t="shared" ref="Y39:Y43" si="37">BO39</f>
        <v>2070</v>
      </c>
      <c r="AA39" s="121">
        <f>'I&amp;E Annual'!AA$168</f>
        <v>156</v>
      </c>
      <c r="AB39" s="121">
        <f>'I&amp;E Annual'!AB$168</f>
        <v>151</v>
      </c>
      <c r="AC39" s="121">
        <f>'I&amp;E Annual'!AC$168</f>
        <v>152</v>
      </c>
      <c r="AD39" s="121">
        <f>'I&amp;E Annual'!AD$168</f>
        <v>154</v>
      </c>
      <c r="AE39" s="121">
        <f>'I&amp;E Annual'!AE$168</f>
        <v>155</v>
      </c>
      <c r="AF39" s="121">
        <f>'I&amp;E Annual'!AF$168</f>
        <v>154</v>
      </c>
      <c r="AG39" s="121">
        <f>'I&amp;E Annual'!AG$168</f>
        <v>155</v>
      </c>
      <c r="AH39" s="121">
        <f>'I&amp;E Annual'!AH$168</f>
        <v>151</v>
      </c>
      <c r="AI39" s="121">
        <f>'I&amp;E Annual'!AI$168</f>
        <v>153</v>
      </c>
      <c r="AJ39" s="121">
        <f>'I&amp;E Annual'!AJ$168</f>
        <v>151</v>
      </c>
      <c r="AK39" s="121">
        <f>'I&amp;E Annual'!AK$168</f>
        <v>192</v>
      </c>
      <c r="AL39" s="121">
        <f>'I&amp;E Annual'!AL$168</f>
        <v>192</v>
      </c>
      <c r="AM39" s="121">
        <f>'I&amp;E Annual'!AM$168</f>
        <v>156</v>
      </c>
      <c r="AN39" s="121">
        <f>'I&amp;E Annual'!AN$168</f>
        <v>155</v>
      </c>
      <c r="AO39" s="121">
        <f>'I&amp;E Annual'!AO$168</f>
        <v>156</v>
      </c>
      <c r="AP39" s="121">
        <f>'I&amp;E Annual'!AP$168</f>
        <v>159</v>
      </c>
      <c r="AQ39" s="121">
        <f>'I&amp;E Annual'!AQ$168</f>
        <v>160</v>
      </c>
      <c r="AR39" s="121">
        <f>'I&amp;E Annual'!AR$168</f>
        <v>160</v>
      </c>
      <c r="AS39" s="121">
        <f>'I&amp;E Annual'!AS$168</f>
        <v>162</v>
      </c>
      <c r="AT39" s="121">
        <f>'I&amp;E Annual'!AT$168</f>
        <v>159</v>
      </c>
      <c r="AU39" s="121">
        <f>'I&amp;E Annual'!AU$168</f>
        <v>161</v>
      </c>
      <c r="AV39" s="121">
        <f>'I&amp;E Annual'!AV$168</f>
        <v>160</v>
      </c>
      <c r="AW39" s="121">
        <f>'I&amp;E Annual'!AW$168</f>
        <v>202</v>
      </c>
      <c r="AX39" s="121">
        <f>'I&amp;E Annual'!AX$168</f>
        <v>203</v>
      </c>
      <c r="AY39" s="121">
        <f>'I&amp;E Annual'!AY$168</f>
        <v>167</v>
      </c>
      <c r="AZ39" s="121">
        <f>'I&amp;E Annual'!AZ$168</f>
        <v>162</v>
      </c>
      <c r="BA39" s="121">
        <f>'I&amp;E Annual'!BA$168</f>
        <v>164</v>
      </c>
      <c r="BB39" s="121">
        <f>'I&amp;E Annual'!BB$168</f>
        <v>166</v>
      </c>
      <c r="BC39" s="121">
        <f>'I&amp;E Annual'!BC$168</f>
        <v>167</v>
      </c>
      <c r="BD39" s="121">
        <f>'I&amp;E Annual'!BD$168</f>
        <v>167</v>
      </c>
      <c r="BE39" s="121">
        <f>'I&amp;E Annual'!BE$168</f>
        <v>168</v>
      </c>
      <c r="BF39" s="121">
        <f>'I&amp;E Annual'!BF$168</f>
        <v>164</v>
      </c>
      <c r="BG39" s="121">
        <f>'I&amp;E Annual'!BG$168</f>
        <v>167</v>
      </c>
      <c r="BH39" s="121">
        <f>'I&amp;E Annual'!BH$168</f>
        <v>165</v>
      </c>
      <c r="BI39" s="121">
        <f>'I&amp;E Annual'!BI$168</f>
        <v>206</v>
      </c>
      <c r="BJ39" s="121">
        <f>'I&amp;E Annual'!BJ$168</f>
        <v>207</v>
      </c>
      <c r="BL39" s="121">
        <f>'I&amp;E Annual'!BL$168</f>
        <v>0</v>
      </c>
      <c r="BM39" s="121">
        <f>'I&amp;E Annual'!BM$168</f>
        <v>1916</v>
      </c>
      <c r="BN39" s="121">
        <f>'I&amp;E Annual'!BN$168</f>
        <v>1993</v>
      </c>
      <c r="BO39" s="121">
        <f>'I&amp;E Annual'!BO$168</f>
        <v>2070</v>
      </c>
      <c r="BP39" s="121">
        <f>'I&amp;E Annual'!BP$168</f>
        <v>0</v>
      </c>
      <c r="BQ39" s="121">
        <f>'I&amp;E Annual'!BQ$168</f>
        <v>0</v>
      </c>
      <c r="BR39" s="121">
        <f>'I&amp;E Annual'!BR$168</f>
        <v>0</v>
      </c>
      <c r="BS39" s="121">
        <f>'I&amp;E Annual'!BS$168</f>
        <v>0</v>
      </c>
      <c r="BT39" s="121">
        <f>'I&amp;E Annual'!BT$168</f>
        <v>0</v>
      </c>
      <c r="BU39" s="121">
        <f>'I&amp;E Annual'!BU$168</f>
        <v>0</v>
      </c>
      <c r="BV39" s="121">
        <f>'I&amp;E Annual'!BV$168</f>
        <v>0</v>
      </c>
      <c r="BW39" s="121">
        <f>'I&amp;E Annual'!BW$168</f>
        <v>0</v>
      </c>
      <c r="BY39" s="42"/>
      <c r="CA39" s="335"/>
      <c r="CC39" s="126">
        <f t="shared" si="9"/>
        <v>0</v>
      </c>
      <c r="CD39" s="126">
        <f t="shared" si="10"/>
        <v>0</v>
      </c>
      <c r="CE39" s="126">
        <f t="shared" ref="CE39:CE44" si="38">IF(CM39=0, 0, 1)</f>
        <v>0</v>
      </c>
      <c r="CF39" s="42"/>
      <c r="CG39" s="352">
        <f t="shared" ref="CG39:CG44" si="39">ROUND(W39-SUMIFS($AA39:$BJ39, $AA$3:$BJ$3, W$3), rounding)</f>
        <v>0</v>
      </c>
      <c r="CH39" s="352">
        <f t="shared" ref="CH39:CH44" si="40">ROUND($X39-SUMIFS($AA39:$BJ39, $AA$3:$BJ$3, X$3), rounding)</f>
        <v>0</v>
      </c>
      <c r="CI39" s="352">
        <f t="shared" ref="CI39:CI44" si="41">ROUND($Y39-SUMIFS($AA39:$BJ39, $AA$3:$BJ$3, Y$3), rounding)</f>
        <v>0</v>
      </c>
      <c r="CJ39" s="352">
        <f t="shared" ref="CJ39:CL44" si="42">ROUND(W39-BM39, rounding)</f>
        <v>0</v>
      </c>
      <c r="CK39" s="352">
        <f t="shared" si="42"/>
        <v>0</v>
      </c>
      <c r="CL39" s="352">
        <f t="shared" si="42"/>
        <v>0</v>
      </c>
      <c r="CM39" s="352">
        <f t="shared" ref="CM39:CM44" si="43">ROUND(V39-BL39, rounding)</f>
        <v>0</v>
      </c>
      <c r="EX39" s="10" t="str">
        <f t="shared" ca="1" si="0"/>
        <v>Depreciation and amortisation</v>
      </c>
    </row>
    <row r="40" spans="1:154" ht="15" customHeight="1" x14ac:dyDescent="0.25">
      <c r="A40" s="362" cm="1">
        <f t="array" aca="1" ref="A40" ca="1">HYPERLINK(CONCATENATE("#",CELL("address",IF(SUM($BY40:$CF40)=0,A40,INDEX($BY40:$CF40,MATCH(1,$BY40:$CF40,0))))),SUM($BY40:$CF40))</f>
        <v>0</v>
      </c>
      <c r="B40" s="335"/>
      <c r="C40" s="343" t="str">
        <f>CONCATENATE("FS-",'I&amp;E Annual'!C$169)</f>
        <v>FS-IE-5a-2</v>
      </c>
      <c r="D40" s="560" t="str" cm="1">
        <f t="array" aca="1" ref="D40" ca="1">HYPERLINK(CONCATENATE("#",CELL("address",'I&amp;E Annual'!$D$169)),'I&amp;E Annual'!$D$169)</f>
        <v>Interest and investment income</v>
      </c>
      <c r="H40" s="157"/>
      <c r="I40" s="157"/>
      <c r="J40" s="157"/>
      <c r="Q40" s="335"/>
      <c r="R40" s="335"/>
      <c r="T40" s="157"/>
      <c r="U40" s="157"/>
      <c r="V40" s="13">
        <f t="shared" si="34"/>
        <v>0</v>
      </c>
      <c r="W40" s="13">
        <f t="shared" si="35"/>
        <v>0</v>
      </c>
      <c r="X40" s="13">
        <f t="shared" si="36"/>
        <v>10</v>
      </c>
      <c r="Y40" s="13">
        <f t="shared" si="37"/>
        <v>12</v>
      </c>
      <c r="AA40" s="121">
        <f>'I&amp;E Annual'!AA$169</f>
        <v>0</v>
      </c>
      <c r="AB40" s="121">
        <f>'I&amp;E Annual'!AB$169</f>
        <v>0</v>
      </c>
      <c r="AC40" s="121">
        <f>'I&amp;E Annual'!AC$169</f>
        <v>0</v>
      </c>
      <c r="AD40" s="121">
        <f>'I&amp;E Annual'!AD$169</f>
        <v>0</v>
      </c>
      <c r="AE40" s="121">
        <f>'I&amp;E Annual'!AE$169</f>
        <v>0</v>
      </c>
      <c r="AF40" s="121">
        <f>'I&amp;E Annual'!AF$169</f>
        <v>0</v>
      </c>
      <c r="AG40" s="121">
        <f>'I&amp;E Annual'!AG$169</f>
        <v>0</v>
      </c>
      <c r="AH40" s="121">
        <f>'I&amp;E Annual'!AH$169</f>
        <v>0</v>
      </c>
      <c r="AI40" s="121">
        <f>'I&amp;E Annual'!AI$169</f>
        <v>0</v>
      </c>
      <c r="AJ40" s="121">
        <f>'I&amp;E Annual'!AJ$169</f>
        <v>0</v>
      </c>
      <c r="AK40" s="121">
        <f>'I&amp;E Annual'!AK$169</f>
        <v>0</v>
      </c>
      <c r="AL40" s="121">
        <f>'I&amp;E Annual'!AL$169</f>
        <v>0</v>
      </c>
      <c r="AM40" s="121">
        <f>'I&amp;E Annual'!AM$169</f>
        <v>0</v>
      </c>
      <c r="AN40" s="121">
        <f>'I&amp;E Annual'!AN$169</f>
        <v>0</v>
      </c>
      <c r="AO40" s="121">
        <f>'I&amp;E Annual'!AO$169</f>
        <v>1</v>
      </c>
      <c r="AP40" s="121">
        <f>'I&amp;E Annual'!AP$169</f>
        <v>1</v>
      </c>
      <c r="AQ40" s="121">
        <f>'I&amp;E Annual'!AQ$169</f>
        <v>1</v>
      </c>
      <c r="AR40" s="121">
        <f>'I&amp;E Annual'!AR$169</f>
        <v>1</v>
      </c>
      <c r="AS40" s="121">
        <f>'I&amp;E Annual'!AS$169</f>
        <v>1</v>
      </c>
      <c r="AT40" s="121">
        <f>'I&amp;E Annual'!AT$169</f>
        <v>1</v>
      </c>
      <c r="AU40" s="121">
        <f>'I&amp;E Annual'!AU$169</f>
        <v>1</v>
      </c>
      <c r="AV40" s="121">
        <f>'I&amp;E Annual'!AV$169</f>
        <v>1</v>
      </c>
      <c r="AW40" s="121">
        <f>'I&amp;E Annual'!AW$169</f>
        <v>1</v>
      </c>
      <c r="AX40" s="121">
        <f>'I&amp;E Annual'!AX$169</f>
        <v>1</v>
      </c>
      <c r="AY40" s="121">
        <f>'I&amp;E Annual'!AY$169</f>
        <v>1</v>
      </c>
      <c r="AZ40" s="121">
        <f>'I&amp;E Annual'!AZ$169</f>
        <v>1</v>
      </c>
      <c r="BA40" s="121">
        <f>'I&amp;E Annual'!BA$169</f>
        <v>1</v>
      </c>
      <c r="BB40" s="121">
        <f>'I&amp;E Annual'!BB$169</f>
        <v>1</v>
      </c>
      <c r="BC40" s="121">
        <f>'I&amp;E Annual'!BC$169</f>
        <v>1</v>
      </c>
      <c r="BD40" s="121">
        <f>'I&amp;E Annual'!BD$169</f>
        <v>1</v>
      </c>
      <c r="BE40" s="121">
        <f>'I&amp;E Annual'!BE$169</f>
        <v>1</v>
      </c>
      <c r="BF40" s="121">
        <f>'I&amp;E Annual'!BF$169</f>
        <v>1</v>
      </c>
      <c r="BG40" s="121">
        <f>'I&amp;E Annual'!BG$169</f>
        <v>1</v>
      </c>
      <c r="BH40" s="121">
        <f>'I&amp;E Annual'!BH$169</f>
        <v>1</v>
      </c>
      <c r="BI40" s="121">
        <f>'I&amp;E Annual'!BI$169</f>
        <v>1</v>
      </c>
      <c r="BJ40" s="121">
        <f>'I&amp;E Annual'!BJ$169</f>
        <v>1</v>
      </c>
      <c r="BL40" s="121">
        <f>'I&amp;E Annual'!BL$169</f>
        <v>0</v>
      </c>
      <c r="BM40" s="121">
        <f>'I&amp;E Annual'!BM$169</f>
        <v>0</v>
      </c>
      <c r="BN40" s="121">
        <f>'I&amp;E Annual'!BN$169</f>
        <v>10</v>
      </c>
      <c r="BO40" s="121">
        <f>'I&amp;E Annual'!BO$169</f>
        <v>12</v>
      </c>
      <c r="BP40" s="121">
        <f>'I&amp;E Annual'!BP$169</f>
        <v>0</v>
      </c>
      <c r="BQ40" s="121">
        <f>'I&amp;E Annual'!BQ$169</f>
        <v>0</v>
      </c>
      <c r="BR40" s="121">
        <f>'I&amp;E Annual'!BR$169</f>
        <v>0</v>
      </c>
      <c r="BS40" s="121">
        <f>'I&amp;E Annual'!BS$169</f>
        <v>0</v>
      </c>
      <c r="BT40" s="121">
        <f>'I&amp;E Annual'!BT$169</f>
        <v>0</v>
      </c>
      <c r="BU40" s="121">
        <f>'I&amp;E Annual'!BU$169</f>
        <v>0</v>
      </c>
      <c r="BV40" s="121">
        <f>'I&amp;E Annual'!BV$169</f>
        <v>0</v>
      </c>
      <c r="BW40" s="121">
        <f>'I&amp;E Annual'!BW$169</f>
        <v>0</v>
      </c>
      <c r="BY40" s="42"/>
      <c r="CA40" s="335"/>
      <c r="CC40" s="126">
        <f t="shared" si="9"/>
        <v>0</v>
      </c>
      <c r="CD40" s="126">
        <f t="shared" si="10"/>
        <v>0</v>
      </c>
      <c r="CE40" s="126">
        <f t="shared" si="38"/>
        <v>0</v>
      </c>
      <c r="CF40" s="42"/>
      <c r="CG40" s="352">
        <f t="shared" si="39"/>
        <v>0</v>
      </c>
      <c r="CH40" s="352">
        <f t="shared" si="40"/>
        <v>0</v>
      </c>
      <c r="CI40" s="352">
        <f t="shared" si="41"/>
        <v>0</v>
      </c>
      <c r="CJ40" s="352">
        <f t="shared" si="42"/>
        <v>0</v>
      </c>
      <c r="CK40" s="352">
        <f t="shared" si="42"/>
        <v>0</v>
      </c>
      <c r="CL40" s="352">
        <f t="shared" si="42"/>
        <v>0</v>
      </c>
      <c r="CM40" s="352">
        <f t="shared" si="43"/>
        <v>0</v>
      </c>
      <c r="EX40" s="10" t="str">
        <f t="shared" ca="1" si="0"/>
        <v>Interest and investment income</v>
      </c>
    </row>
    <row r="41" spans="1:154" ht="15" customHeight="1" x14ac:dyDescent="0.25">
      <c r="A41" s="362" cm="1">
        <f t="array" aca="1" ref="A41" ca="1">HYPERLINK(CONCATENATE("#",CELL("address",IF(SUM($BY41:$CF41)=0,A41,INDEX($BY41:$CF41,MATCH(1,$BY41:$CF41,0))))),SUM($BY41:$CF41))</f>
        <v>0</v>
      </c>
      <c r="B41" s="93"/>
      <c r="C41" s="343" t="str">
        <f>CONCATENATE("FS-",'I&amp;E Annual'!C$170)</f>
        <v>FS-IE-5a-3</v>
      </c>
      <c r="D41" s="560" t="str" cm="1">
        <f t="array" aca="1" ref="D41" ca="1">HYPERLINK(CONCATENATE("#",CELL("address",'I&amp;E Annual'!$D$170)),'I&amp;E Annual'!$D$170)</f>
        <v>Interest and other finance costs</v>
      </c>
      <c r="H41" s="335"/>
      <c r="I41" s="335"/>
      <c r="J41" s="157"/>
      <c r="Q41" s="335"/>
      <c r="R41" s="335"/>
      <c r="T41" s="157"/>
      <c r="U41" s="157"/>
      <c r="V41" s="13">
        <f t="shared" si="34"/>
        <v>0</v>
      </c>
      <c r="W41" s="13">
        <f t="shared" si="35"/>
        <v>145</v>
      </c>
      <c r="X41" s="13">
        <f t="shared" si="36"/>
        <v>145</v>
      </c>
      <c r="Y41" s="13">
        <f t="shared" si="37"/>
        <v>145</v>
      </c>
      <c r="AA41" s="121">
        <f>'I&amp;E Annual'!AA$170</f>
        <v>25</v>
      </c>
      <c r="AB41" s="121">
        <f>'I&amp;E Annual'!AB$170</f>
        <v>6</v>
      </c>
      <c r="AC41" s="121">
        <f>'I&amp;E Annual'!AC$170</f>
        <v>6</v>
      </c>
      <c r="AD41" s="121">
        <f>'I&amp;E Annual'!AD$170</f>
        <v>24</v>
      </c>
      <c r="AE41" s="121">
        <f>'I&amp;E Annual'!AE$170</f>
        <v>6</v>
      </c>
      <c r="AF41" s="121">
        <f>'I&amp;E Annual'!AF$170</f>
        <v>6</v>
      </c>
      <c r="AG41" s="121">
        <f>'I&amp;E Annual'!AG$170</f>
        <v>24</v>
      </c>
      <c r="AH41" s="121">
        <f>'I&amp;E Annual'!AH$170</f>
        <v>6</v>
      </c>
      <c r="AI41" s="121">
        <f>'I&amp;E Annual'!AI$170</f>
        <v>6</v>
      </c>
      <c r="AJ41" s="121">
        <f>'I&amp;E Annual'!AJ$170</f>
        <v>24</v>
      </c>
      <c r="AK41" s="121">
        <f>'I&amp;E Annual'!AK$170</f>
        <v>6</v>
      </c>
      <c r="AL41" s="121">
        <f>'I&amp;E Annual'!AL$170</f>
        <v>6</v>
      </c>
      <c r="AM41" s="121">
        <f>'I&amp;E Annual'!AM$170</f>
        <v>25</v>
      </c>
      <c r="AN41" s="121">
        <f>'I&amp;E Annual'!AN$170</f>
        <v>6</v>
      </c>
      <c r="AO41" s="121">
        <f>'I&amp;E Annual'!AO$170</f>
        <v>6</v>
      </c>
      <c r="AP41" s="121">
        <f>'I&amp;E Annual'!AP$170</f>
        <v>24</v>
      </c>
      <c r="AQ41" s="121">
        <f>'I&amp;E Annual'!AQ$170</f>
        <v>6</v>
      </c>
      <c r="AR41" s="121">
        <f>'I&amp;E Annual'!AR$170</f>
        <v>6</v>
      </c>
      <c r="AS41" s="121">
        <f>'I&amp;E Annual'!AS$170</f>
        <v>24</v>
      </c>
      <c r="AT41" s="121">
        <f>'I&amp;E Annual'!AT$170</f>
        <v>6</v>
      </c>
      <c r="AU41" s="121">
        <f>'I&amp;E Annual'!AU$170</f>
        <v>6</v>
      </c>
      <c r="AV41" s="121">
        <f>'I&amp;E Annual'!AV$170</f>
        <v>24</v>
      </c>
      <c r="AW41" s="121">
        <f>'I&amp;E Annual'!AW$170</f>
        <v>6</v>
      </c>
      <c r="AX41" s="121">
        <f>'I&amp;E Annual'!AX$170</f>
        <v>6</v>
      </c>
      <c r="AY41" s="121">
        <f>'I&amp;E Annual'!AY$170</f>
        <v>25</v>
      </c>
      <c r="AZ41" s="121">
        <f>'I&amp;E Annual'!AZ$170</f>
        <v>6</v>
      </c>
      <c r="BA41" s="121">
        <f>'I&amp;E Annual'!BA$170</f>
        <v>6</v>
      </c>
      <c r="BB41" s="121">
        <f>'I&amp;E Annual'!BB$170</f>
        <v>24</v>
      </c>
      <c r="BC41" s="121">
        <f>'I&amp;E Annual'!BC$170</f>
        <v>6</v>
      </c>
      <c r="BD41" s="121">
        <f>'I&amp;E Annual'!BD$170</f>
        <v>6</v>
      </c>
      <c r="BE41" s="121">
        <f>'I&amp;E Annual'!BE$170</f>
        <v>24</v>
      </c>
      <c r="BF41" s="121">
        <f>'I&amp;E Annual'!BF$170</f>
        <v>6</v>
      </c>
      <c r="BG41" s="121">
        <f>'I&amp;E Annual'!BG$170</f>
        <v>6</v>
      </c>
      <c r="BH41" s="121">
        <f>'I&amp;E Annual'!BH$170</f>
        <v>24</v>
      </c>
      <c r="BI41" s="121">
        <f>'I&amp;E Annual'!BI$170</f>
        <v>6</v>
      </c>
      <c r="BJ41" s="121">
        <f>'I&amp;E Annual'!BJ$170</f>
        <v>6</v>
      </c>
      <c r="BL41" s="121">
        <f>'I&amp;E Annual'!BL$170</f>
        <v>0</v>
      </c>
      <c r="BM41" s="121">
        <f>'I&amp;E Annual'!BM$170</f>
        <v>145</v>
      </c>
      <c r="BN41" s="121">
        <f>'I&amp;E Annual'!BN$170</f>
        <v>145</v>
      </c>
      <c r="BO41" s="121">
        <f>'I&amp;E Annual'!BO$170</f>
        <v>145</v>
      </c>
      <c r="BP41" s="121">
        <f>'I&amp;E Annual'!BP$170</f>
        <v>0</v>
      </c>
      <c r="BQ41" s="121">
        <f>'I&amp;E Annual'!BQ$170</f>
        <v>0</v>
      </c>
      <c r="BR41" s="121">
        <f>'I&amp;E Annual'!BR$170</f>
        <v>0</v>
      </c>
      <c r="BS41" s="121">
        <f>'I&amp;E Annual'!BS$170</f>
        <v>0</v>
      </c>
      <c r="BT41" s="121">
        <f>'I&amp;E Annual'!BT$170</f>
        <v>0</v>
      </c>
      <c r="BU41" s="121">
        <f>'I&amp;E Annual'!BU$170</f>
        <v>0</v>
      </c>
      <c r="BV41" s="121">
        <f>'I&amp;E Annual'!BV$170</f>
        <v>0</v>
      </c>
      <c r="BW41" s="121">
        <f>'I&amp;E Annual'!BW$170</f>
        <v>0</v>
      </c>
      <c r="BY41" s="42"/>
      <c r="CA41" s="335"/>
      <c r="CC41" s="126">
        <f t="shared" si="9"/>
        <v>0</v>
      </c>
      <c r="CD41" s="126">
        <f t="shared" si="10"/>
        <v>0</v>
      </c>
      <c r="CE41" s="126">
        <f t="shared" si="38"/>
        <v>0</v>
      </c>
      <c r="CF41" s="42"/>
      <c r="CG41" s="352">
        <f t="shared" si="39"/>
        <v>0</v>
      </c>
      <c r="CH41" s="352">
        <f t="shared" si="40"/>
        <v>0</v>
      </c>
      <c r="CI41" s="352">
        <f t="shared" si="41"/>
        <v>0</v>
      </c>
      <c r="CJ41" s="352">
        <f t="shared" si="42"/>
        <v>0</v>
      </c>
      <c r="CK41" s="352">
        <f t="shared" si="42"/>
        <v>0</v>
      </c>
      <c r="CL41" s="352">
        <f t="shared" si="42"/>
        <v>0</v>
      </c>
      <c r="CM41" s="352">
        <f t="shared" si="43"/>
        <v>0</v>
      </c>
      <c r="EX41" s="10" t="str">
        <f t="shared" ca="1" si="0"/>
        <v>Interest and other finance costs</v>
      </c>
    </row>
    <row r="42" spans="1:154" ht="15" customHeight="1" x14ac:dyDescent="0.25">
      <c r="A42" s="362" cm="1">
        <f t="array" aca="1" ref="A42" ca="1">HYPERLINK(CONCATENATE("#",CELL("address",IF(SUM($BY42:$CF42)=0,A42,INDEX($BY42:$CF42,MATCH(1,$BY42:$CF42,0))))),SUM($BY42:$CF42))</f>
        <v>0</v>
      </c>
      <c r="B42" s="93"/>
      <c r="C42" s="343" t="str">
        <f>CONCATENATE("FS-",'I&amp;E Annual'!C$171)</f>
        <v>FS-IE-5a-4</v>
      </c>
      <c r="D42" s="560" t="str" cm="1">
        <f t="array" aca="1" ref="D42" ca="1">HYPERLINK(CONCATENATE("#",CELL("address",'I&amp;E Annual'!$D$171)),'I&amp;E Annual'!$D$171)</f>
        <v>FRS102 adj. - LGPS and EPP net interest charge (non-cash)</v>
      </c>
      <c r="H42" s="157"/>
      <c r="I42" s="157"/>
      <c r="J42" s="157"/>
      <c r="Q42" s="335"/>
      <c r="R42" s="335"/>
      <c r="T42" s="157"/>
      <c r="U42" s="157"/>
      <c r="V42" s="13">
        <f t="shared" si="34"/>
        <v>0</v>
      </c>
      <c r="W42" s="13">
        <f t="shared" si="35"/>
        <v>0</v>
      </c>
      <c r="X42" s="13">
        <f t="shared" si="36"/>
        <v>0</v>
      </c>
      <c r="Y42" s="13">
        <f t="shared" si="37"/>
        <v>0</v>
      </c>
      <c r="AA42" s="121">
        <f>'I&amp;E Annual'!AA$171</f>
        <v>0</v>
      </c>
      <c r="AB42" s="121">
        <f>'I&amp;E Annual'!AB$171</f>
        <v>0</v>
      </c>
      <c r="AC42" s="121">
        <f>'I&amp;E Annual'!AC$171</f>
        <v>0</v>
      </c>
      <c r="AD42" s="121">
        <f>'I&amp;E Annual'!AD$171</f>
        <v>0</v>
      </c>
      <c r="AE42" s="121">
        <f>'I&amp;E Annual'!AE$171</f>
        <v>0</v>
      </c>
      <c r="AF42" s="121">
        <f>'I&amp;E Annual'!AF$171</f>
        <v>0</v>
      </c>
      <c r="AG42" s="121">
        <f>'I&amp;E Annual'!AG$171</f>
        <v>0</v>
      </c>
      <c r="AH42" s="121">
        <f>'I&amp;E Annual'!AH$171</f>
        <v>0</v>
      </c>
      <c r="AI42" s="121">
        <f>'I&amp;E Annual'!AI$171</f>
        <v>0</v>
      </c>
      <c r="AJ42" s="121">
        <f>'I&amp;E Annual'!AJ$171</f>
        <v>0</v>
      </c>
      <c r="AK42" s="121">
        <f>'I&amp;E Annual'!AK$171</f>
        <v>0</v>
      </c>
      <c r="AL42" s="121">
        <f>'I&amp;E Annual'!AL$171</f>
        <v>0</v>
      </c>
      <c r="AM42" s="121">
        <f>'I&amp;E Annual'!AM$171</f>
        <v>0</v>
      </c>
      <c r="AN42" s="121">
        <f>'I&amp;E Annual'!AN$171</f>
        <v>0</v>
      </c>
      <c r="AO42" s="121">
        <f>'I&amp;E Annual'!AO$171</f>
        <v>0</v>
      </c>
      <c r="AP42" s="121">
        <f>'I&amp;E Annual'!AP$171</f>
        <v>0</v>
      </c>
      <c r="AQ42" s="121">
        <f>'I&amp;E Annual'!AQ$171</f>
        <v>0</v>
      </c>
      <c r="AR42" s="121">
        <f>'I&amp;E Annual'!AR$171</f>
        <v>0</v>
      </c>
      <c r="AS42" s="121">
        <f>'I&amp;E Annual'!AS$171</f>
        <v>0</v>
      </c>
      <c r="AT42" s="121">
        <f>'I&amp;E Annual'!AT$171</f>
        <v>0</v>
      </c>
      <c r="AU42" s="121">
        <f>'I&amp;E Annual'!AU$171</f>
        <v>0</v>
      </c>
      <c r="AV42" s="121">
        <f>'I&amp;E Annual'!AV$171</f>
        <v>0</v>
      </c>
      <c r="AW42" s="121">
        <f>'I&amp;E Annual'!AW$171</f>
        <v>0</v>
      </c>
      <c r="AX42" s="121">
        <f>'I&amp;E Annual'!AX$171</f>
        <v>0</v>
      </c>
      <c r="AY42" s="121">
        <f>'I&amp;E Annual'!AY$171</f>
        <v>0</v>
      </c>
      <c r="AZ42" s="121">
        <f>'I&amp;E Annual'!AZ$171</f>
        <v>0</v>
      </c>
      <c r="BA42" s="121">
        <f>'I&amp;E Annual'!BA$171</f>
        <v>0</v>
      </c>
      <c r="BB42" s="121">
        <f>'I&amp;E Annual'!BB$171</f>
        <v>0</v>
      </c>
      <c r="BC42" s="121">
        <f>'I&amp;E Annual'!BC$171</f>
        <v>0</v>
      </c>
      <c r="BD42" s="121">
        <f>'I&amp;E Annual'!BD$171</f>
        <v>0</v>
      </c>
      <c r="BE42" s="121">
        <f>'I&amp;E Annual'!BE$171</f>
        <v>0</v>
      </c>
      <c r="BF42" s="121">
        <f>'I&amp;E Annual'!BF$171</f>
        <v>0</v>
      </c>
      <c r="BG42" s="121">
        <f>'I&amp;E Annual'!BG$171</f>
        <v>0</v>
      </c>
      <c r="BH42" s="121">
        <f>'I&amp;E Annual'!BH$171</f>
        <v>0</v>
      </c>
      <c r="BI42" s="121">
        <f>'I&amp;E Annual'!BI$171</f>
        <v>0</v>
      </c>
      <c r="BJ42" s="121">
        <f>'I&amp;E Annual'!BJ$171</f>
        <v>0</v>
      </c>
      <c r="BL42" s="121">
        <f>'I&amp;E Annual'!BL$171</f>
        <v>0</v>
      </c>
      <c r="BM42" s="121">
        <f>'I&amp;E Annual'!BM$171</f>
        <v>0</v>
      </c>
      <c r="BN42" s="121">
        <f>'I&amp;E Annual'!BN$171</f>
        <v>0</v>
      </c>
      <c r="BO42" s="121">
        <f>'I&amp;E Annual'!BO$171</f>
        <v>0</v>
      </c>
      <c r="BP42" s="121">
        <f>'I&amp;E Annual'!BP$171</f>
        <v>0</v>
      </c>
      <c r="BQ42" s="121">
        <f>'I&amp;E Annual'!BQ$171</f>
        <v>0</v>
      </c>
      <c r="BR42" s="121">
        <f>'I&amp;E Annual'!BR$171</f>
        <v>0</v>
      </c>
      <c r="BS42" s="121">
        <f>'I&amp;E Annual'!BS$171</f>
        <v>0</v>
      </c>
      <c r="BT42" s="121">
        <f>'I&amp;E Annual'!BT$171</f>
        <v>0</v>
      </c>
      <c r="BU42" s="121">
        <f>'I&amp;E Annual'!BU$171</f>
        <v>0</v>
      </c>
      <c r="BV42" s="121">
        <f>'I&amp;E Annual'!BV$171</f>
        <v>0</v>
      </c>
      <c r="BW42" s="121">
        <f>'I&amp;E Annual'!BW$171</f>
        <v>0</v>
      </c>
      <c r="BY42" s="42"/>
      <c r="CA42" s="335"/>
      <c r="CC42" s="126">
        <f t="shared" si="9"/>
        <v>0</v>
      </c>
      <c r="CD42" s="126">
        <f t="shared" si="10"/>
        <v>0</v>
      </c>
      <c r="CE42" s="126">
        <f t="shared" si="38"/>
        <v>0</v>
      </c>
      <c r="CF42" s="42"/>
      <c r="CG42" s="352">
        <f t="shared" si="39"/>
        <v>0</v>
      </c>
      <c r="CH42" s="352">
        <f t="shared" si="40"/>
        <v>0</v>
      </c>
      <c r="CI42" s="352">
        <f t="shared" si="41"/>
        <v>0</v>
      </c>
      <c r="CJ42" s="352">
        <f t="shared" si="42"/>
        <v>0</v>
      </c>
      <c r="CK42" s="352">
        <f t="shared" si="42"/>
        <v>0</v>
      </c>
      <c r="CL42" s="352">
        <f t="shared" si="42"/>
        <v>0</v>
      </c>
      <c r="CM42" s="352">
        <f t="shared" si="43"/>
        <v>0</v>
      </c>
      <c r="EX42" s="10" t="str">
        <f t="shared" ca="1" si="0"/>
        <v>FRS102 adj. - LGPS and EPP net interest charge (non-cash)</v>
      </c>
    </row>
    <row r="43" spans="1:154" ht="15" customHeight="1" x14ac:dyDescent="0.25">
      <c r="A43" s="362" cm="1">
        <f t="array" aca="1" ref="A43" ca="1">HYPERLINK(CONCATENATE("#",CELL("address",IF(SUM($BY43:$CF43)=0,A43,INDEX($BY43:$CF43,MATCH(1,$BY43:$CF43,0))))),SUM($BY43:$CF43))</f>
        <v>0</v>
      </c>
      <c r="B43" s="93"/>
      <c r="C43" s="343" t="str">
        <f>CONCATENATE("FS-",'I&amp;E Annual'!C$172)</f>
        <v>FS-IE-5a-5</v>
      </c>
      <c r="D43" s="560" t="str" cm="1">
        <f t="array" aca="1" ref="D43" ca="1">HYPERLINK(CONCATENATE("#",CELL("address",'I&amp;E Annual'!$D$172)),'I&amp;E Annual'!$D$172)</f>
        <v>Taxation</v>
      </c>
      <c r="H43" s="335"/>
      <c r="I43" s="335"/>
      <c r="J43" s="157"/>
      <c r="Q43" s="335"/>
      <c r="R43" s="335"/>
      <c r="T43" s="157"/>
      <c r="U43" s="157"/>
      <c r="V43" s="13">
        <f t="shared" si="34"/>
        <v>0</v>
      </c>
      <c r="W43" s="13">
        <f t="shared" si="35"/>
        <v>0</v>
      </c>
      <c r="X43" s="13">
        <f t="shared" si="36"/>
        <v>0</v>
      </c>
      <c r="Y43" s="13">
        <f t="shared" si="37"/>
        <v>0</v>
      </c>
      <c r="AA43" s="121">
        <f>'I&amp;E Annual'!AA$172</f>
        <v>0</v>
      </c>
      <c r="AB43" s="121">
        <f>'I&amp;E Annual'!AB$172</f>
        <v>0</v>
      </c>
      <c r="AC43" s="121">
        <f>'I&amp;E Annual'!AC$172</f>
        <v>0</v>
      </c>
      <c r="AD43" s="121">
        <f>'I&amp;E Annual'!AD$172</f>
        <v>0</v>
      </c>
      <c r="AE43" s="121">
        <f>'I&amp;E Annual'!AE$172</f>
        <v>0</v>
      </c>
      <c r="AF43" s="121">
        <f>'I&amp;E Annual'!AF$172</f>
        <v>0</v>
      </c>
      <c r="AG43" s="121">
        <f>'I&amp;E Annual'!AG$172</f>
        <v>0</v>
      </c>
      <c r="AH43" s="121">
        <f>'I&amp;E Annual'!AH$172</f>
        <v>0</v>
      </c>
      <c r="AI43" s="121">
        <f>'I&amp;E Annual'!AI$172</f>
        <v>0</v>
      </c>
      <c r="AJ43" s="121">
        <f>'I&amp;E Annual'!AJ$172</f>
        <v>0</v>
      </c>
      <c r="AK43" s="121">
        <f>'I&amp;E Annual'!AK$172</f>
        <v>0</v>
      </c>
      <c r="AL43" s="121">
        <f>'I&amp;E Annual'!AL$172</f>
        <v>0</v>
      </c>
      <c r="AM43" s="121">
        <f>'I&amp;E Annual'!AM$172</f>
        <v>0</v>
      </c>
      <c r="AN43" s="121">
        <f>'I&amp;E Annual'!AN$172</f>
        <v>0</v>
      </c>
      <c r="AO43" s="121">
        <f>'I&amp;E Annual'!AO$172</f>
        <v>0</v>
      </c>
      <c r="AP43" s="121">
        <f>'I&amp;E Annual'!AP$172</f>
        <v>0</v>
      </c>
      <c r="AQ43" s="121">
        <f>'I&amp;E Annual'!AQ$172</f>
        <v>0</v>
      </c>
      <c r="AR43" s="121">
        <f>'I&amp;E Annual'!AR$172</f>
        <v>0</v>
      </c>
      <c r="AS43" s="121">
        <f>'I&amp;E Annual'!AS$172</f>
        <v>0</v>
      </c>
      <c r="AT43" s="121">
        <f>'I&amp;E Annual'!AT$172</f>
        <v>0</v>
      </c>
      <c r="AU43" s="121">
        <f>'I&amp;E Annual'!AU$172</f>
        <v>0</v>
      </c>
      <c r="AV43" s="121">
        <f>'I&amp;E Annual'!AV$172</f>
        <v>0</v>
      </c>
      <c r="AW43" s="121">
        <f>'I&amp;E Annual'!AW$172</f>
        <v>0</v>
      </c>
      <c r="AX43" s="121">
        <f>'I&amp;E Annual'!AX$172</f>
        <v>0</v>
      </c>
      <c r="AY43" s="121">
        <f>'I&amp;E Annual'!AY$172</f>
        <v>0</v>
      </c>
      <c r="AZ43" s="121">
        <f>'I&amp;E Annual'!AZ$172</f>
        <v>0</v>
      </c>
      <c r="BA43" s="121">
        <f>'I&amp;E Annual'!BA$172</f>
        <v>0</v>
      </c>
      <c r="BB43" s="121">
        <f>'I&amp;E Annual'!BB$172</f>
        <v>0</v>
      </c>
      <c r="BC43" s="121">
        <f>'I&amp;E Annual'!BC$172</f>
        <v>0</v>
      </c>
      <c r="BD43" s="121">
        <f>'I&amp;E Annual'!BD$172</f>
        <v>0</v>
      </c>
      <c r="BE43" s="121">
        <f>'I&amp;E Annual'!BE$172</f>
        <v>0</v>
      </c>
      <c r="BF43" s="121">
        <f>'I&amp;E Annual'!BF$172</f>
        <v>0</v>
      </c>
      <c r="BG43" s="121">
        <f>'I&amp;E Annual'!BG$172</f>
        <v>0</v>
      </c>
      <c r="BH43" s="121">
        <f>'I&amp;E Annual'!BH$172</f>
        <v>0</v>
      </c>
      <c r="BI43" s="121">
        <f>'I&amp;E Annual'!BI$172</f>
        <v>0</v>
      </c>
      <c r="BJ43" s="121">
        <f>'I&amp;E Annual'!BJ$172</f>
        <v>0</v>
      </c>
      <c r="BL43" s="121">
        <f>'I&amp;E Annual'!BL$172</f>
        <v>0</v>
      </c>
      <c r="BM43" s="121">
        <f>'I&amp;E Annual'!BM$172</f>
        <v>0</v>
      </c>
      <c r="BN43" s="121">
        <f>'I&amp;E Annual'!BN$172</f>
        <v>0</v>
      </c>
      <c r="BO43" s="121">
        <f>'I&amp;E Annual'!BO$172</f>
        <v>0</v>
      </c>
      <c r="BP43" s="121">
        <f>'I&amp;E Annual'!BP$172</f>
        <v>0</v>
      </c>
      <c r="BQ43" s="121">
        <f>'I&amp;E Annual'!BQ$172</f>
        <v>0</v>
      </c>
      <c r="BR43" s="121">
        <f>'I&amp;E Annual'!BR$172</f>
        <v>0</v>
      </c>
      <c r="BS43" s="121">
        <f>'I&amp;E Annual'!BS$172</f>
        <v>0</v>
      </c>
      <c r="BT43" s="121">
        <f>'I&amp;E Annual'!BT$172</f>
        <v>0</v>
      </c>
      <c r="BU43" s="121">
        <f>'I&amp;E Annual'!BU$172</f>
        <v>0</v>
      </c>
      <c r="BV43" s="121">
        <f>'I&amp;E Annual'!BV$172</f>
        <v>0</v>
      </c>
      <c r="BW43" s="121">
        <f>'I&amp;E Annual'!BW$172</f>
        <v>0</v>
      </c>
      <c r="BY43" s="42"/>
      <c r="CA43" s="335"/>
      <c r="CC43" s="126">
        <f t="shared" si="9"/>
        <v>0</v>
      </c>
      <c r="CD43" s="126">
        <f t="shared" si="10"/>
        <v>0</v>
      </c>
      <c r="CE43" s="126">
        <f t="shared" si="38"/>
        <v>0</v>
      </c>
      <c r="CF43" s="42"/>
      <c r="CG43" s="352">
        <f t="shared" si="39"/>
        <v>0</v>
      </c>
      <c r="CH43" s="352">
        <f t="shared" si="40"/>
        <v>0</v>
      </c>
      <c r="CI43" s="352">
        <f t="shared" si="41"/>
        <v>0</v>
      </c>
      <c r="CJ43" s="352">
        <f t="shared" si="42"/>
        <v>0</v>
      </c>
      <c r="CK43" s="352">
        <f t="shared" si="42"/>
        <v>0</v>
      </c>
      <c r="CL43" s="352">
        <f t="shared" si="42"/>
        <v>0</v>
      </c>
      <c r="CM43" s="352">
        <f t="shared" si="43"/>
        <v>0</v>
      </c>
      <c r="EX43" s="10" t="str">
        <f t="shared" ca="1" si="0"/>
        <v>Taxation</v>
      </c>
    </row>
    <row r="44" spans="1:154" ht="15" customHeight="1" x14ac:dyDescent="0.25">
      <c r="A44" s="362" cm="1">
        <f t="array" aca="1" ref="A44" ca="1">HYPERLINK(CONCATENATE("#",CELL("address",IF(SUM($BY44:$CF44)=0,A44,INDEX($BY44:$CF44,MATCH(1,$BY44:$CF44,0))))),SUM($BY44:$CF44))</f>
        <v>0</v>
      </c>
      <c r="B44" s="93"/>
      <c r="C44" s="343" t="str">
        <f>CONCATENATE("FS-",'I&amp;E Annual'!C$173)</f>
        <v>FS-IE-5a</v>
      </c>
      <c r="D44" s="554" t="str">
        <f>'I&amp;E Annual'!D$173</f>
        <v>Total interest, tax, depreciation and amortisation</v>
      </c>
      <c r="Q44" s="335"/>
      <c r="R44" s="335"/>
      <c r="S44" s="335"/>
      <c r="T44" s="157"/>
      <c r="U44" s="157"/>
      <c r="V44" s="13">
        <f>(SUM(V39,V41:V43)-V40)*V$9</f>
        <v>0</v>
      </c>
      <c r="W44" s="13">
        <f t="shared" ref="W44:BW44" si="44">(SUM(W39,W41:W43)-W40)*W$9</f>
        <v>2061</v>
      </c>
      <c r="X44" s="13">
        <f t="shared" si="44"/>
        <v>2128</v>
      </c>
      <c r="Y44" s="13">
        <f t="shared" si="44"/>
        <v>2203</v>
      </c>
      <c r="Z44" s="335"/>
      <c r="AA44" s="13">
        <f t="shared" si="44"/>
        <v>181</v>
      </c>
      <c r="AB44" s="13">
        <f t="shared" si="44"/>
        <v>157</v>
      </c>
      <c r="AC44" s="13">
        <f t="shared" si="44"/>
        <v>158</v>
      </c>
      <c r="AD44" s="13">
        <f t="shared" si="44"/>
        <v>178</v>
      </c>
      <c r="AE44" s="13">
        <f t="shared" si="44"/>
        <v>161</v>
      </c>
      <c r="AF44" s="13">
        <f t="shared" si="44"/>
        <v>160</v>
      </c>
      <c r="AG44" s="13">
        <f t="shared" si="44"/>
        <v>179</v>
      </c>
      <c r="AH44" s="13">
        <f t="shared" si="44"/>
        <v>157</v>
      </c>
      <c r="AI44" s="13">
        <f t="shared" si="44"/>
        <v>159</v>
      </c>
      <c r="AJ44" s="13">
        <f t="shared" si="44"/>
        <v>175</v>
      </c>
      <c r="AK44" s="13">
        <f t="shared" si="44"/>
        <v>198</v>
      </c>
      <c r="AL44" s="13">
        <f t="shared" si="44"/>
        <v>198</v>
      </c>
      <c r="AM44" s="13">
        <f t="shared" si="44"/>
        <v>181</v>
      </c>
      <c r="AN44" s="13">
        <f t="shared" si="44"/>
        <v>161</v>
      </c>
      <c r="AO44" s="13">
        <f t="shared" si="44"/>
        <v>161</v>
      </c>
      <c r="AP44" s="13">
        <f t="shared" si="44"/>
        <v>182</v>
      </c>
      <c r="AQ44" s="13">
        <f t="shared" si="44"/>
        <v>165</v>
      </c>
      <c r="AR44" s="13">
        <f t="shared" si="44"/>
        <v>165</v>
      </c>
      <c r="AS44" s="13">
        <f t="shared" si="44"/>
        <v>185</v>
      </c>
      <c r="AT44" s="13">
        <f t="shared" si="44"/>
        <v>164</v>
      </c>
      <c r="AU44" s="13">
        <f t="shared" si="44"/>
        <v>166</v>
      </c>
      <c r="AV44" s="13">
        <f t="shared" si="44"/>
        <v>183</v>
      </c>
      <c r="AW44" s="13">
        <f t="shared" si="44"/>
        <v>207</v>
      </c>
      <c r="AX44" s="13">
        <f t="shared" si="44"/>
        <v>208</v>
      </c>
      <c r="AY44" s="13">
        <f t="shared" si="44"/>
        <v>191</v>
      </c>
      <c r="AZ44" s="13">
        <f t="shared" si="44"/>
        <v>167</v>
      </c>
      <c r="BA44" s="13">
        <f t="shared" si="44"/>
        <v>169</v>
      </c>
      <c r="BB44" s="13">
        <f t="shared" si="44"/>
        <v>189</v>
      </c>
      <c r="BC44" s="13">
        <f t="shared" si="44"/>
        <v>172</v>
      </c>
      <c r="BD44" s="13">
        <f t="shared" si="44"/>
        <v>172</v>
      </c>
      <c r="BE44" s="13">
        <f t="shared" si="44"/>
        <v>191</v>
      </c>
      <c r="BF44" s="13">
        <f t="shared" si="44"/>
        <v>169</v>
      </c>
      <c r="BG44" s="13">
        <f t="shared" si="44"/>
        <v>172</v>
      </c>
      <c r="BH44" s="13">
        <f t="shared" si="44"/>
        <v>188</v>
      </c>
      <c r="BI44" s="13">
        <f t="shared" si="44"/>
        <v>211</v>
      </c>
      <c r="BJ44" s="13">
        <f t="shared" si="44"/>
        <v>212</v>
      </c>
      <c r="BK44" s="335"/>
      <c r="BL44" s="13">
        <f t="shared" si="44"/>
        <v>0</v>
      </c>
      <c r="BM44" s="13">
        <f t="shared" si="44"/>
        <v>2061</v>
      </c>
      <c r="BN44" s="13">
        <f t="shared" si="44"/>
        <v>2128</v>
      </c>
      <c r="BO44" s="13">
        <f t="shared" si="44"/>
        <v>2203</v>
      </c>
      <c r="BP44" s="13">
        <f t="shared" si="44"/>
        <v>0</v>
      </c>
      <c r="BQ44" s="13">
        <f t="shared" si="44"/>
        <v>0</v>
      </c>
      <c r="BR44" s="13">
        <f t="shared" si="44"/>
        <v>0</v>
      </c>
      <c r="BS44" s="13">
        <f t="shared" si="44"/>
        <v>0</v>
      </c>
      <c r="BT44" s="13">
        <f t="shared" si="44"/>
        <v>0</v>
      </c>
      <c r="BU44" s="13">
        <f t="shared" si="44"/>
        <v>0</v>
      </c>
      <c r="BV44" s="13">
        <f t="shared" si="44"/>
        <v>0</v>
      </c>
      <c r="BW44" s="13">
        <f t="shared" si="44"/>
        <v>0</v>
      </c>
      <c r="BY44" s="42"/>
      <c r="CA44" s="335"/>
      <c r="CC44" s="126">
        <f t="shared" si="9"/>
        <v>0</v>
      </c>
      <c r="CD44" s="126">
        <f t="shared" si="10"/>
        <v>0</v>
      </c>
      <c r="CE44" s="126">
        <f t="shared" si="38"/>
        <v>0</v>
      </c>
      <c r="CF44" s="42"/>
      <c r="CG44" s="352">
        <f t="shared" si="39"/>
        <v>0</v>
      </c>
      <c r="CH44" s="352">
        <f t="shared" si="40"/>
        <v>0</v>
      </c>
      <c r="CI44" s="352">
        <f t="shared" si="41"/>
        <v>0</v>
      </c>
      <c r="CJ44" s="352">
        <f t="shared" si="42"/>
        <v>0</v>
      </c>
      <c r="CK44" s="352">
        <f t="shared" si="42"/>
        <v>0</v>
      </c>
      <c r="CL44" s="352">
        <f t="shared" si="42"/>
        <v>0</v>
      </c>
      <c r="CM44" s="352">
        <f t="shared" si="43"/>
        <v>0</v>
      </c>
      <c r="EX44" s="10" t="str">
        <f t="shared" si="0"/>
        <v>Total interest, tax, depreciation and amortisation</v>
      </c>
    </row>
    <row r="45" spans="1:154" s="335" customFormat="1" ht="11.45" customHeight="1" x14ac:dyDescent="0.25">
      <c r="A45" s="157"/>
      <c r="B45" s="187"/>
      <c r="C45" s="343"/>
      <c r="D45" s="556"/>
      <c r="E45" s="157"/>
      <c r="F45" s="157"/>
      <c r="G45" s="157"/>
      <c r="J45" s="157"/>
      <c r="K45" s="157"/>
      <c r="L45" s="157"/>
      <c r="M45" s="157"/>
      <c r="N45" s="157"/>
      <c r="O45" s="157"/>
      <c r="P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42"/>
      <c r="CC45" s="162"/>
      <c r="CD45" s="162"/>
      <c r="CE45" s="162"/>
      <c r="CF45" s="42"/>
      <c r="EX45" s="10" t="str">
        <f t="shared" si="0"/>
        <v/>
      </c>
    </row>
    <row r="46" spans="1:154" ht="15" customHeight="1" x14ac:dyDescent="0.25">
      <c r="A46" s="362" cm="1">
        <f t="array" aca="1" ref="A46" ca="1">HYPERLINK(CONCATENATE("#",CELL("address",IF(SUM($BY46:$CF46)=0,A46,INDEX($BY46:$CF46,MATCH(1,$BY46:$CF46,0))))),SUM($BY46:$CF46))</f>
        <v>0</v>
      </c>
      <c r="B46" s="93"/>
      <c r="C46" s="343" t="str">
        <f>CONCATENATE("FS-",'I&amp;E Annual'!C$175)</f>
        <v>FS-IE-5</v>
      </c>
      <c r="D46" s="554" t="str">
        <f>'I&amp;E Annual'!D$175</f>
        <v>Surplus/(deficit) after interest, tax, depreciation and amortisation costs</v>
      </c>
      <c r="Q46" s="335"/>
      <c r="R46" s="335"/>
      <c r="S46" s="280"/>
      <c r="T46" s="157"/>
      <c r="U46" s="157"/>
      <c r="V46" s="13">
        <f>V35-V44</f>
        <v>0</v>
      </c>
      <c r="W46" s="13">
        <f>W35-W44</f>
        <v>440</v>
      </c>
      <c r="X46" s="13">
        <f>X35-X44</f>
        <v>436</v>
      </c>
      <c r="Y46" s="13">
        <f>Y35-Y44</f>
        <v>541.81000000000131</v>
      </c>
      <c r="Z46" s="280"/>
      <c r="AA46" s="13">
        <f t="shared" ref="AA46:BJ46" si="45">AA35-AA44</f>
        <v>1720</v>
      </c>
      <c r="AB46" s="13">
        <f t="shared" si="45"/>
        <v>1148</v>
      </c>
      <c r="AC46" s="13">
        <f t="shared" si="45"/>
        <v>130</v>
      </c>
      <c r="AD46" s="13">
        <f t="shared" si="45"/>
        <v>-210</v>
      </c>
      <c r="AE46" s="13">
        <f t="shared" si="45"/>
        <v>-887</v>
      </c>
      <c r="AF46" s="13">
        <f t="shared" si="45"/>
        <v>-675</v>
      </c>
      <c r="AG46" s="13">
        <f t="shared" si="45"/>
        <v>-721</v>
      </c>
      <c r="AH46" s="13">
        <f t="shared" si="45"/>
        <v>-900</v>
      </c>
      <c r="AI46" s="13">
        <f t="shared" si="45"/>
        <v>1250</v>
      </c>
      <c r="AJ46" s="13">
        <f t="shared" si="45"/>
        <v>264</v>
      </c>
      <c r="AK46" s="13">
        <f t="shared" si="45"/>
        <v>258</v>
      </c>
      <c r="AL46" s="13">
        <f t="shared" si="45"/>
        <v>-937</v>
      </c>
      <c r="AM46" s="13">
        <f t="shared" si="45"/>
        <v>1978</v>
      </c>
      <c r="AN46" s="13">
        <f t="shared" si="45"/>
        <v>1130</v>
      </c>
      <c r="AO46" s="13">
        <f t="shared" si="45"/>
        <v>125</v>
      </c>
      <c r="AP46" s="13">
        <f t="shared" si="45"/>
        <v>-442</v>
      </c>
      <c r="AQ46" s="13">
        <f t="shared" si="45"/>
        <v>-891</v>
      </c>
      <c r="AR46" s="13">
        <f t="shared" si="45"/>
        <v>-576</v>
      </c>
      <c r="AS46" s="13">
        <f t="shared" si="45"/>
        <v>-971</v>
      </c>
      <c r="AT46" s="13">
        <f t="shared" si="45"/>
        <v>-913</v>
      </c>
      <c r="AU46" s="13">
        <f t="shared" si="45"/>
        <v>1487</v>
      </c>
      <c r="AV46" s="13">
        <f t="shared" si="45"/>
        <v>368</v>
      </c>
      <c r="AW46" s="13">
        <f t="shared" si="45"/>
        <v>-54</v>
      </c>
      <c r="AX46" s="13">
        <f t="shared" si="45"/>
        <v>-805</v>
      </c>
      <c r="AY46" s="13">
        <f t="shared" si="45"/>
        <v>2023.7483333333334</v>
      </c>
      <c r="AZ46" s="13">
        <f t="shared" si="45"/>
        <v>1146.3566666666661</v>
      </c>
      <c r="BA46" s="13">
        <f t="shared" si="45"/>
        <v>132.48833333333278</v>
      </c>
      <c r="BB46" s="13">
        <f t="shared" si="45"/>
        <v>-449.61333333333323</v>
      </c>
      <c r="BC46" s="13">
        <f t="shared" si="45"/>
        <v>-910.53</v>
      </c>
      <c r="BD46" s="13">
        <f t="shared" si="45"/>
        <v>-583.22999999999979</v>
      </c>
      <c r="BE46" s="13">
        <f t="shared" si="45"/>
        <v>-990.74166666666702</v>
      </c>
      <c r="BF46" s="13">
        <f t="shared" si="45"/>
        <v>-927.5183333333332</v>
      </c>
      <c r="BG46" s="13">
        <f t="shared" si="45"/>
        <v>1540.378333333334</v>
      </c>
      <c r="BH46" s="13">
        <f t="shared" si="45"/>
        <v>417.06833333333361</v>
      </c>
      <c r="BI46" s="13">
        <f t="shared" si="45"/>
        <v>-43.806666666666388</v>
      </c>
      <c r="BJ46" s="13">
        <f t="shared" si="45"/>
        <v>-812.79000000000042</v>
      </c>
      <c r="BK46" s="280"/>
      <c r="BL46" s="13">
        <f t="shared" ref="BL46:BW46" si="46">BL35-BL44</f>
        <v>0</v>
      </c>
      <c r="BM46" s="13">
        <f t="shared" si="46"/>
        <v>440</v>
      </c>
      <c r="BN46" s="13">
        <f t="shared" si="46"/>
        <v>436</v>
      </c>
      <c r="BO46" s="13">
        <f t="shared" si="46"/>
        <v>541.81000000000131</v>
      </c>
      <c r="BP46" s="13">
        <f t="shared" si="46"/>
        <v>0</v>
      </c>
      <c r="BQ46" s="13">
        <f t="shared" si="46"/>
        <v>0</v>
      </c>
      <c r="BR46" s="13">
        <f t="shared" si="46"/>
        <v>0</v>
      </c>
      <c r="BS46" s="13">
        <f t="shared" si="46"/>
        <v>0</v>
      </c>
      <c r="BT46" s="13">
        <f t="shared" si="46"/>
        <v>0</v>
      </c>
      <c r="BU46" s="13">
        <f t="shared" si="46"/>
        <v>0</v>
      </c>
      <c r="BV46" s="13">
        <f t="shared" si="46"/>
        <v>0</v>
      </c>
      <c r="BW46" s="13">
        <f t="shared" si="46"/>
        <v>0</v>
      </c>
      <c r="BY46" s="42"/>
      <c r="CA46" s="335"/>
      <c r="CC46" s="126">
        <f t="shared" si="9"/>
        <v>0</v>
      </c>
      <c r="CD46" s="126">
        <f t="shared" si="10"/>
        <v>0</v>
      </c>
      <c r="CE46" s="126">
        <f t="shared" ref="CE46" si="47">IF(CM46=0, 0, 1)</f>
        <v>0</v>
      </c>
      <c r="CF46" s="42"/>
      <c r="CG46" s="352">
        <f>ROUND(W46-SUMIFS($AA46:$BJ46, $AA$3:$BJ$3, W$3), rounding)</f>
        <v>0</v>
      </c>
      <c r="CH46" s="352">
        <f>ROUND($X46-SUMIFS($AA46:$BJ46, $AA$3:$BJ$3, X$3), rounding)</f>
        <v>0</v>
      </c>
      <c r="CI46" s="352">
        <f>ROUND($Y46-SUMIFS($AA46:$BJ46, $AA$3:$BJ$3, Y$3), rounding)</f>
        <v>0</v>
      </c>
      <c r="CJ46" s="352">
        <f>ROUND(W46-BM46, rounding)</f>
        <v>0</v>
      </c>
      <c r="CK46" s="352">
        <f>ROUND(X46-BN46, rounding)</f>
        <v>0</v>
      </c>
      <c r="CL46" s="352">
        <f>ROUND(Y46-BO46, rounding)</f>
        <v>0</v>
      </c>
      <c r="CM46" s="352">
        <f>ROUND(V46-BL46, rounding)</f>
        <v>0</v>
      </c>
      <c r="EX46" s="10" t="str">
        <f t="shared" si="0"/>
        <v>Surplus/(deficit) after interest, tax, depreciation and amortisation costs</v>
      </c>
    </row>
    <row r="47" spans="1:154" s="335" customFormat="1" ht="11.45" customHeight="1" x14ac:dyDescent="0.25">
      <c r="A47" s="157"/>
      <c r="B47" s="187"/>
      <c r="C47" s="343"/>
      <c r="D47" s="556"/>
      <c r="E47" s="157"/>
      <c r="F47" s="157"/>
      <c r="G47" s="157"/>
      <c r="J47" s="157"/>
      <c r="K47" s="157"/>
      <c r="L47" s="157"/>
      <c r="M47" s="157"/>
      <c r="N47" s="157"/>
      <c r="O47" s="157"/>
      <c r="P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42"/>
      <c r="CC47" s="162"/>
      <c r="CD47" s="162"/>
      <c r="CE47" s="162"/>
      <c r="CF47" s="42"/>
      <c r="EX47" s="10" t="str">
        <f t="shared" si="0"/>
        <v/>
      </c>
    </row>
    <row r="48" spans="1:154" ht="23.1" customHeight="1" x14ac:dyDescent="0.25">
      <c r="A48" s="362" cm="1">
        <f t="array" aca="1" ref="A48" ca="1">HYPERLINK(CONCATENATE("#",CELL("address",IF(SUM($BY48:$CF48)=0,A48,INDEX($BY48:$CF48,MATCH(1,$BY48:$CF48,0))))),SUM($BY48:$CF48))</f>
        <v>0</v>
      </c>
      <c r="B48" s="93"/>
      <c r="C48" s="343" t="str">
        <f>CONCATENATE("FS-",'I&amp;E Annual'!C$178)</f>
        <v>FS-IE-6a-1a</v>
      </c>
      <c r="D48" s="560" t="str" cm="1">
        <f t="array" aca="1" ref="D48" ca="1">HYPERLINK(CONCATENATE("#",CELL("address",'I&amp;E Annual'!$D$178)),'I&amp;E Annual'!$D$178)</f>
        <v>Gain/(loss) on disposal of fixed assets</v>
      </c>
      <c r="E48" s="324" t="str" cm="1">
        <f t="array" aca="1" ref="E48" ca="1">HYPERLINK(CONCATENATE("#",CELL("address",'Investing Inputs'!$D$294)),'Investing Inputs'!$D$294)</f>
        <v>Land &amp; Buildings</v>
      </c>
      <c r="F48" s="324" t="str" cm="1">
        <f t="array" aca="1" ref="F48" ca="1">HYPERLINK(CONCATENATE("#",CELL("address",'Investing Inputs'!$D$295)),'Investing Inputs'!$D$295)</f>
        <v>Equipment</v>
      </c>
      <c r="G48" s="324" t="str" cm="1">
        <f t="array" aca="1" ref="G48" ca="1">HYPERLINK(CONCATENATE("#",CELL("address",'Investing Inputs'!$D$297)),'Investing Inputs'!$D$297)</f>
        <v>Other NCA</v>
      </c>
      <c r="H48" s="324" t="str" cm="1">
        <f t="array" aca="1" ref="H48" ca="1">HYPERLINK(CONCATENATE("#",CELL("address",'Investing Inputs'!$D$298)),'Investing Inputs'!$D$298)</f>
        <v xml:space="preserve">Assets Held for Sale </v>
      </c>
      <c r="Q48" s="335"/>
      <c r="R48" s="335"/>
      <c r="T48" s="157"/>
      <c r="U48" s="157"/>
      <c r="V48" s="13">
        <f t="shared" ref="V48:V51" si="48">BL48</f>
        <v>0</v>
      </c>
      <c r="W48" s="13">
        <f t="shared" ref="W48:W51" si="49">BM48</f>
        <v>0</v>
      </c>
      <c r="X48" s="13">
        <f t="shared" ref="X48:X51" si="50">BN48</f>
        <v>0</v>
      </c>
      <c r="Y48" s="13">
        <f t="shared" ref="Y48:Y51" si="51">BO48</f>
        <v>0</v>
      </c>
      <c r="AA48" s="121">
        <f>'I&amp;E Annual'!AA$178</f>
        <v>0</v>
      </c>
      <c r="AB48" s="121">
        <f>'I&amp;E Annual'!AB$178</f>
        <v>0</v>
      </c>
      <c r="AC48" s="121">
        <f>'I&amp;E Annual'!AC$178</f>
        <v>0</v>
      </c>
      <c r="AD48" s="121">
        <f>'I&amp;E Annual'!AD$178</f>
        <v>0</v>
      </c>
      <c r="AE48" s="121">
        <f>'I&amp;E Annual'!AE$178</f>
        <v>0</v>
      </c>
      <c r="AF48" s="121">
        <f>'I&amp;E Annual'!AF$178</f>
        <v>0</v>
      </c>
      <c r="AG48" s="121">
        <f>'I&amp;E Annual'!AG$178</f>
        <v>0</v>
      </c>
      <c r="AH48" s="121">
        <f>'I&amp;E Annual'!AH$178</f>
        <v>0</v>
      </c>
      <c r="AI48" s="121">
        <f>'I&amp;E Annual'!AI$178</f>
        <v>0</v>
      </c>
      <c r="AJ48" s="121">
        <f>'I&amp;E Annual'!AJ$178</f>
        <v>0</v>
      </c>
      <c r="AK48" s="121">
        <f>'I&amp;E Annual'!AK$178</f>
        <v>0</v>
      </c>
      <c r="AL48" s="121">
        <f>'I&amp;E Annual'!AL$178</f>
        <v>0</v>
      </c>
      <c r="AM48" s="121">
        <f>'I&amp;E Annual'!AM$178</f>
        <v>0</v>
      </c>
      <c r="AN48" s="121">
        <f>'I&amp;E Annual'!AN$178</f>
        <v>0</v>
      </c>
      <c r="AO48" s="121">
        <f>'I&amp;E Annual'!AO$178</f>
        <v>0</v>
      </c>
      <c r="AP48" s="121">
        <f>'I&amp;E Annual'!AP$178</f>
        <v>0</v>
      </c>
      <c r="AQ48" s="121">
        <f>'I&amp;E Annual'!AQ$178</f>
        <v>0</v>
      </c>
      <c r="AR48" s="121">
        <f>'I&amp;E Annual'!AR$178</f>
        <v>0</v>
      </c>
      <c r="AS48" s="121">
        <f>'I&amp;E Annual'!AS$178</f>
        <v>0</v>
      </c>
      <c r="AT48" s="121">
        <f>'I&amp;E Annual'!AT$178</f>
        <v>0</v>
      </c>
      <c r="AU48" s="121">
        <f>'I&amp;E Annual'!AU$178</f>
        <v>0</v>
      </c>
      <c r="AV48" s="121">
        <f>'I&amp;E Annual'!AV$178</f>
        <v>0</v>
      </c>
      <c r="AW48" s="121">
        <f>'I&amp;E Annual'!AW$178</f>
        <v>0</v>
      </c>
      <c r="AX48" s="121">
        <f>'I&amp;E Annual'!AX$178</f>
        <v>0</v>
      </c>
      <c r="AY48" s="121">
        <f>'I&amp;E Annual'!AY$178</f>
        <v>0</v>
      </c>
      <c r="AZ48" s="121">
        <f>'I&amp;E Annual'!AZ$178</f>
        <v>0</v>
      </c>
      <c r="BA48" s="121">
        <f>'I&amp;E Annual'!BA$178</f>
        <v>0</v>
      </c>
      <c r="BB48" s="121">
        <f>'I&amp;E Annual'!BB$178</f>
        <v>0</v>
      </c>
      <c r="BC48" s="121">
        <f>'I&amp;E Annual'!BC$178</f>
        <v>0</v>
      </c>
      <c r="BD48" s="121">
        <f>'I&amp;E Annual'!BD$178</f>
        <v>0</v>
      </c>
      <c r="BE48" s="121">
        <f>'I&amp;E Annual'!BE$178</f>
        <v>0</v>
      </c>
      <c r="BF48" s="121">
        <f>'I&amp;E Annual'!BF$178</f>
        <v>0</v>
      </c>
      <c r="BG48" s="121">
        <f>'I&amp;E Annual'!BG$178</f>
        <v>0</v>
      </c>
      <c r="BH48" s="121">
        <f>'I&amp;E Annual'!BH$178</f>
        <v>0</v>
      </c>
      <c r="BI48" s="121">
        <f>'I&amp;E Annual'!BI$178</f>
        <v>0</v>
      </c>
      <c r="BJ48" s="121">
        <f>'I&amp;E Annual'!BJ$178</f>
        <v>0</v>
      </c>
      <c r="BL48" s="121">
        <f>'I&amp;E Annual'!BL$178</f>
        <v>0</v>
      </c>
      <c r="BM48" s="121">
        <f>'I&amp;E Annual'!BM$178</f>
        <v>0</v>
      </c>
      <c r="BN48" s="121">
        <f>'I&amp;E Annual'!BN$178</f>
        <v>0</v>
      </c>
      <c r="BO48" s="121">
        <f>'I&amp;E Annual'!BO$178</f>
        <v>0</v>
      </c>
      <c r="BP48" s="121">
        <f>'I&amp;E Annual'!BP$178</f>
        <v>0</v>
      </c>
      <c r="BQ48" s="121">
        <f>'I&amp;E Annual'!BQ$178</f>
        <v>0</v>
      </c>
      <c r="BR48" s="121">
        <f>'I&amp;E Annual'!BR$178</f>
        <v>0</v>
      </c>
      <c r="BS48" s="121">
        <f>'I&amp;E Annual'!BS$178</f>
        <v>0</v>
      </c>
      <c r="BT48" s="121">
        <f>'I&amp;E Annual'!BT$178</f>
        <v>0</v>
      </c>
      <c r="BU48" s="121">
        <f>'I&amp;E Annual'!BU$178</f>
        <v>0</v>
      </c>
      <c r="BV48" s="121">
        <f>'I&amp;E Annual'!BV$178</f>
        <v>0</v>
      </c>
      <c r="BW48" s="121">
        <f>'I&amp;E Annual'!BW$178</f>
        <v>0</v>
      </c>
      <c r="BY48" s="42"/>
      <c r="CA48" s="335"/>
      <c r="CC48" s="126">
        <f t="shared" si="9"/>
        <v>0</v>
      </c>
      <c r="CD48" s="126">
        <f t="shared" si="10"/>
        <v>0</v>
      </c>
      <c r="CE48" s="126">
        <f t="shared" ref="CE48:CE53" si="52">IF(CM48=0, 0, 1)</f>
        <v>0</v>
      </c>
      <c r="CF48" s="42"/>
      <c r="CG48" s="352">
        <f t="shared" ref="CG48:CG53" si="53">ROUND(W48-SUMIFS($AA48:$BJ48, $AA$3:$BJ$3, W$3), rounding)</f>
        <v>0</v>
      </c>
      <c r="CH48" s="352">
        <f t="shared" ref="CH48:CH53" si="54">ROUND($X48-SUMIFS($AA48:$BJ48, $AA$3:$BJ$3, X$3), rounding)</f>
        <v>0</v>
      </c>
      <c r="CI48" s="352">
        <f t="shared" ref="CI48:CI53" si="55">ROUND($Y48-SUMIFS($AA48:$BJ48, $AA$3:$BJ$3, Y$3), rounding)</f>
        <v>0</v>
      </c>
      <c r="CJ48" s="352">
        <f t="shared" ref="CJ48:CL53" si="56">ROUND(W48-BM48, rounding)</f>
        <v>0</v>
      </c>
      <c r="CK48" s="352">
        <f t="shared" si="56"/>
        <v>0</v>
      </c>
      <c r="CL48" s="352">
        <f t="shared" si="56"/>
        <v>0</v>
      </c>
      <c r="CM48" s="352">
        <f t="shared" ref="CM48:CM53" si="57">ROUND(V48-BL48, rounding)</f>
        <v>0</v>
      </c>
      <c r="EX48" s="10" t="str">
        <f t="shared" ca="1" si="0"/>
        <v>Gain/(loss) on disposal of fixed assets</v>
      </c>
    </row>
    <row r="49" spans="1:154" ht="15" customHeight="1" x14ac:dyDescent="0.25">
      <c r="A49" s="362" cm="1">
        <f t="array" aca="1" ref="A49" ca="1">HYPERLINK(CONCATENATE("#",CELL("address",IF(SUM($BY49:$CF49)=0,A49,INDEX($BY49:$CF49,MATCH(1,$BY49:$CF49,0))))),SUM($BY49:$CF49))</f>
        <v>0</v>
      </c>
      <c r="B49" s="93"/>
      <c r="C49" s="343" t="str">
        <f>CONCATENATE("FS-",'I&amp;E Annual'!C$179)</f>
        <v>FS-IE-6a-1b</v>
      </c>
      <c r="D49" s="560" t="str" cm="1">
        <f t="array" aca="1" ref="D49" ca="1">HYPERLINK(CONCATENATE("#",CELL("address",'I&amp;E Annual'!$D$179)),'I&amp;E Annual'!$D$179)</f>
        <v>Gain/(loss) on Disposal of Investments</v>
      </c>
      <c r="Q49" s="335"/>
      <c r="R49" s="335"/>
      <c r="T49" s="157"/>
      <c r="U49" s="157"/>
      <c r="V49" s="13">
        <f t="shared" si="48"/>
        <v>0</v>
      </c>
      <c r="W49" s="13">
        <f t="shared" si="49"/>
        <v>0</v>
      </c>
      <c r="X49" s="13">
        <f t="shared" si="50"/>
        <v>0</v>
      </c>
      <c r="Y49" s="13">
        <f t="shared" si="51"/>
        <v>0</v>
      </c>
      <c r="AA49" s="121">
        <f>'I&amp;E Annual'!AA$179</f>
        <v>0</v>
      </c>
      <c r="AB49" s="121">
        <f>'I&amp;E Annual'!AB$179</f>
        <v>0</v>
      </c>
      <c r="AC49" s="121">
        <f>'I&amp;E Annual'!AC$179</f>
        <v>0</v>
      </c>
      <c r="AD49" s="121">
        <f>'I&amp;E Annual'!AD$179</f>
        <v>0</v>
      </c>
      <c r="AE49" s="121">
        <f>'I&amp;E Annual'!AE$179</f>
        <v>0</v>
      </c>
      <c r="AF49" s="121">
        <f>'I&amp;E Annual'!AF$179</f>
        <v>0</v>
      </c>
      <c r="AG49" s="121">
        <f>'I&amp;E Annual'!AG$179</f>
        <v>0</v>
      </c>
      <c r="AH49" s="121">
        <f>'I&amp;E Annual'!AH$179</f>
        <v>0</v>
      </c>
      <c r="AI49" s="121">
        <f>'I&amp;E Annual'!AI$179</f>
        <v>0</v>
      </c>
      <c r="AJ49" s="121">
        <f>'I&amp;E Annual'!AJ$179</f>
        <v>0</v>
      </c>
      <c r="AK49" s="121">
        <f>'I&amp;E Annual'!AK$179</f>
        <v>0</v>
      </c>
      <c r="AL49" s="121">
        <f>'I&amp;E Annual'!AL$179</f>
        <v>0</v>
      </c>
      <c r="AM49" s="121">
        <f>'I&amp;E Annual'!AM$179</f>
        <v>0</v>
      </c>
      <c r="AN49" s="121">
        <f>'I&amp;E Annual'!AN$179</f>
        <v>0</v>
      </c>
      <c r="AO49" s="121">
        <f>'I&amp;E Annual'!AO$179</f>
        <v>0</v>
      </c>
      <c r="AP49" s="121">
        <f>'I&amp;E Annual'!AP$179</f>
        <v>0</v>
      </c>
      <c r="AQ49" s="121">
        <f>'I&amp;E Annual'!AQ$179</f>
        <v>0</v>
      </c>
      <c r="AR49" s="121">
        <f>'I&amp;E Annual'!AR$179</f>
        <v>0</v>
      </c>
      <c r="AS49" s="121">
        <f>'I&amp;E Annual'!AS$179</f>
        <v>0</v>
      </c>
      <c r="AT49" s="121">
        <f>'I&amp;E Annual'!AT$179</f>
        <v>0</v>
      </c>
      <c r="AU49" s="121">
        <f>'I&amp;E Annual'!AU$179</f>
        <v>0</v>
      </c>
      <c r="AV49" s="121">
        <f>'I&amp;E Annual'!AV$179</f>
        <v>0</v>
      </c>
      <c r="AW49" s="121">
        <f>'I&amp;E Annual'!AW$179</f>
        <v>0</v>
      </c>
      <c r="AX49" s="121">
        <f>'I&amp;E Annual'!AX$179</f>
        <v>0</v>
      </c>
      <c r="AY49" s="121">
        <f>'I&amp;E Annual'!AY$179</f>
        <v>0</v>
      </c>
      <c r="AZ49" s="121">
        <f>'I&amp;E Annual'!AZ$179</f>
        <v>0</v>
      </c>
      <c r="BA49" s="121">
        <f>'I&amp;E Annual'!BA$179</f>
        <v>0</v>
      </c>
      <c r="BB49" s="121">
        <f>'I&amp;E Annual'!BB$179</f>
        <v>0</v>
      </c>
      <c r="BC49" s="121">
        <f>'I&amp;E Annual'!BC$179</f>
        <v>0</v>
      </c>
      <c r="BD49" s="121">
        <f>'I&amp;E Annual'!BD$179</f>
        <v>0</v>
      </c>
      <c r="BE49" s="121">
        <f>'I&amp;E Annual'!BE$179</f>
        <v>0</v>
      </c>
      <c r="BF49" s="121">
        <f>'I&amp;E Annual'!BF$179</f>
        <v>0</v>
      </c>
      <c r="BG49" s="121">
        <f>'I&amp;E Annual'!BG$179</f>
        <v>0</v>
      </c>
      <c r="BH49" s="121">
        <f>'I&amp;E Annual'!BH$179</f>
        <v>0</v>
      </c>
      <c r="BI49" s="121">
        <f>'I&amp;E Annual'!BI$179</f>
        <v>0</v>
      </c>
      <c r="BJ49" s="121">
        <f>'I&amp;E Annual'!BJ$179</f>
        <v>0</v>
      </c>
      <c r="BL49" s="121">
        <f>'I&amp;E Annual'!BL$179</f>
        <v>0</v>
      </c>
      <c r="BM49" s="121">
        <f>'I&amp;E Annual'!BM$179</f>
        <v>0</v>
      </c>
      <c r="BN49" s="121">
        <f>'I&amp;E Annual'!BN$179</f>
        <v>0</v>
      </c>
      <c r="BO49" s="121">
        <f>'I&amp;E Annual'!BO$179</f>
        <v>0</v>
      </c>
      <c r="BP49" s="121">
        <f>'I&amp;E Annual'!BP$179</f>
        <v>0</v>
      </c>
      <c r="BQ49" s="121">
        <f>'I&amp;E Annual'!BQ$179</f>
        <v>0</v>
      </c>
      <c r="BR49" s="121">
        <f>'I&amp;E Annual'!BR$179</f>
        <v>0</v>
      </c>
      <c r="BS49" s="121">
        <f>'I&amp;E Annual'!BS$179</f>
        <v>0</v>
      </c>
      <c r="BT49" s="121">
        <f>'I&amp;E Annual'!BT$179</f>
        <v>0</v>
      </c>
      <c r="BU49" s="121">
        <f>'I&amp;E Annual'!BU$179</f>
        <v>0</v>
      </c>
      <c r="BV49" s="121">
        <f>'I&amp;E Annual'!BV$179</f>
        <v>0</v>
      </c>
      <c r="BW49" s="121">
        <f>'I&amp;E Annual'!BW$179</f>
        <v>0</v>
      </c>
      <c r="BY49" s="42"/>
      <c r="CA49" s="335"/>
      <c r="CC49" s="126">
        <f t="shared" si="9"/>
        <v>0</v>
      </c>
      <c r="CD49" s="126">
        <f t="shared" si="10"/>
        <v>0</v>
      </c>
      <c r="CE49" s="126">
        <f t="shared" si="52"/>
        <v>0</v>
      </c>
      <c r="CF49" s="42"/>
      <c r="CG49" s="352">
        <f t="shared" si="53"/>
        <v>0</v>
      </c>
      <c r="CH49" s="352">
        <f t="shared" si="54"/>
        <v>0</v>
      </c>
      <c r="CI49" s="352">
        <f t="shared" si="55"/>
        <v>0</v>
      </c>
      <c r="CJ49" s="352">
        <f t="shared" si="56"/>
        <v>0</v>
      </c>
      <c r="CK49" s="352">
        <f t="shared" si="56"/>
        <v>0</v>
      </c>
      <c r="CL49" s="352">
        <f t="shared" si="56"/>
        <v>0</v>
      </c>
      <c r="CM49" s="352">
        <f t="shared" si="57"/>
        <v>0</v>
      </c>
      <c r="EX49" s="10" t="str">
        <f t="shared" ca="1" si="0"/>
        <v>Gain/(loss) on Disposal of Investments</v>
      </c>
    </row>
    <row r="50" spans="1:154" s="335" customFormat="1" ht="15" customHeight="1" x14ac:dyDescent="0.25">
      <c r="A50" s="362" cm="1">
        <f t="array" aca="1" ref="A50" ca="1">HYPERLINK(CONCATENATE("#",CELL("address",IF(SUM($BY50:$CF50)=0,A50,INDEX($BY50:$CF50,MATCH(1,$BY50:$CF50,0))))),SUM($BY50:$CF50))</f>
        <v>0</v>
      </c>
      <c r="B50" s="93"/>
      <c r="C50" s="343" t="str">
        <f>CONCATENATE("FS-",'I&amp;E Annual'!C$180)</f>
        <v>FS-IE-6a-2</v>
      </c>
      <c r="D50" s="562" t="str" cm="1">
        <f t="array" aca="1" ref="D50" ca="1">HYPERLINK(CONCATENATE("#",CELL("address",'I&amp;E Annual'!$D$180)),'I&amp;E Annual'!$D$180)</f>
        <v>Surplus/(loss) on Revaluation of Investments</v>
      </c>
      <c r="E50" s="1"/>
      <c r="T50" s="157"/>
      <c r="U50" s="157"/>
      <c r="V50" s="13">
        <f t="shared" ref="V50" si="58">BL50</f>
        <v>0</v>
      </c>
      <c r="W50" s="13">
        <f t="shared" ref="W50" si="59">BM50</f>
        <v>0</v>
      </c>
      <c r="X50" s="13">
        <f t="shared" ref="X50" si="60">BN50</f>
        <v>0</v>
      </c>
      <c r="Y50" s="13">
        <f t="shared" ref="Y50" si="61">BO50</f>
        <v>0</v>
      </c>
      <c r="AA50" s="121">
        <f>'I&amp;E Annual'!AA$180</f>
        <v>0</v>
      </c>
      <c r="AB50" s="121">
        <f>'I&amp;E Annual'!AB$180</f>
        <v>0</v>
      </c>
      <c r="AC50" s="121">
        <f>'I&amp;E Annual'!AC$180</f>
        <v>0</v>
      </c>
      <c r="AD50" s="121">
        <f>'I&amp;E Annual'!AD$180</f>
        <v>0</v>
      </c>
      <c r="AE50" s="121">
        <f>'I&amp;E Annual'!AE$180</f>
        <v>0</v>
      </c>
      <c r="AF50" s="121">
        <f>'I&amp;E Annual'!AF$180</f>
        <v>0</v>
      </c>
      <c r="AG50" s="121">
        <f>'I&amp;E Annual'!AG$180</f>
        <v>0</v>
      </c>
      <c r="AH50" s="121">
        <f>'I&amp;E Annual'!AH$180</f>
        <v>0</v>
      </c>
      <c r="AI50" s="121">
        <f>'I&amp;E Annual'!AI$180</f>
        <v>0</v>
      </c>
      <c r="AJ50" s="121">
        <f>'I&amp;E Annual'!AJ$180</f>
        <v>0</v>
      </c>
      <c r="AK50" s="121">
        <f>'I&amp;E Annual'!AK$180</f>
        <v>0</v>
      </c>
      <c r="AL50" s="121">
        <f>'I&amp;E Annual'!AL$180</f>
        <v>0</v>
      </c>
      <c r="AM50" s="121">
        <f>'I&amp;E Annual'!AM$180</f>
        <v>0</v>
      </c>
      <c r="AN50" s="121">
        <f>'I&amp;E Annual'!AN$180</f>
        <v>0</v>
      </c>
      <c r="AO50" s="121">
        <f>'I&amp;E Annual'!AO$180</f>
        <v>0</v>
      </c>
      <c r="AP50" s="121">
        <f>'I&amp;E Annual'!AP$180</f>
        <v>0</v>
      </c>
      <c r="AQ50" s="121">
        <f>'I&amp;E Annual'!AQ$180</f>
        <v>0</v>
      </c>
      <c r="AR50" s="121">
        <f>'I&amp;E Annual'!AR$180</f>
        <v>0</v>
      </c>
      <c r="AS50" s="121">
        <f>'I&amp;E Annual'!AS$180</f>
        <v>0</v>
      </c>
      <c r="AT50" s="121">
        <f>'I&amp;E Annual'!AT$180</f>
        <v>0</v>
      </c>
      <c r="AU50" s="121">
        <f>'I&amp;E Annual'!AU$180</f>
        <v>0</v>
      </c>
      <c r="AV50" s="121">
        <f>'I&amp;E Annual'!AV$180</f>
        <v>0</v>
      </c>
      <c r="AW50" s="121">
        <f>'I&amp;E Annual'!AW$180</f>
        <v>0</v>
      </c>
      <c r="AX50" s="121">
        <f>'I&amp;E Annual'!AX$180</f>
        <v>0</v>
      </c>
      <c r="AY50" s="121">
        <f>'I&amp;E Annual'!AY$180</f>
        <v>0</v>
      </c>
      <c r="AZ50" s="121">
        <f>'I&amp;E Annual'!AZ$180</f>
        <v>0</v>
      </c>
      <c r="BA50" s="121">
        <f>'I&amp;E Annual'!BA$180</f>
        <v>0</v>
      </c>
      <c r="BB50" s="121">
        <f>'I&amp;E Annual'!BB$180</f>
        <v>0</v>
      </c>
      <c r="BC50" s="121">
        <f>'I&amp;E Annual'!BC$180</f>
        <v>0</v>
      </c>
      <c r="BD50" s="121">
        <f>'I&amp;E Annual'!BD$180</f>
        <v>0</v>
      </c>
      <c r="BE50" s="121">
        <f>'I&amp;E Annual'!BE$180</f>
        <v>0</v>
      </c>
      <c r="BF50" s="121">
        <f>'I&amp;E Annual'!BF$180</f>
        <v>0</v>
      </c>
      <c r="BG50" s="121">
        <f>'I&amp;E Annual'!BG$180</f>
        <v>0</v>
      </c>
      <c r="BH50" s="121">
        <f>'I&amp;E Annual'!BH$180</f>
        <v>0</v>
      </c>
      <c r="BI50" s="121">
        <f>'I&amp;E Annual'!BI$180</f>
        <v>0</v>
      </c>
      <c r="BJ50" s="121">
        <f>'I&amp;E Annual'!BJ$180</f>
        <v>0</v>
      </c>
      <c r="BL50" s="121">
        <f>'I&amp;E Annual'!BL$180</f>
        <v>0</v>
      </c>
      <c r="BM50" s="121">
        <f>'I&amp;E Annual'!BM$180</f>
        <v>0</v>
      </c>
      <c r="BN50" s="121">
        <f>'I&amp;E Annual'!BN$180</f>
        <v>0</v>
      </c>
      <c r="BO50" s="121">
        <f>'I&amp;E Annual'!BO$180</f>
        <v>0</v>
      </c>
      <c r="BP50" s="121">
        <f>'I&amp;E Annual'!BP$180</f>
        <v>0</v>
      </c>
      <c r="BQ50" s="121">
        <f>'I&amp;E Annual'!BQ$180</f>
        <v>0</v>
      </c>
      <c r="BR50" s="121">
        <f>'I&amp;E Annual'!BR$180</f>
        <v>0</v>
      </c>
      <c r="BS50" s="121">
        <f>'I&amp;E Annual'!BS$180</f>
        <v>0</v>
      </c>
      <c r="BT50" s="121">
        <f>'I&amp;E Annual'!BT$180</f>
        <v>0</v>
      </c>
      <c r="BU50" s="121">
        <f>'I&amp;E Annual'!BU$180</f>
        <v>0</v>
      </c>
      <c r="BV50" s="121">
        <f>'I&amp;E Annual'!BV$180</f>
        <v>0</v>
      </c>
      <c r="BW50" s="121">
        <f>'I&amp;E Annual'!BW$180</f>
        <v>0</v>
      </c>
      <c r="BY50" s="42"/>
      <c r="CC50" s="126">
        <f t="shared" si="9"/>
        <v>0</v>
      </c>
      <c r="CD50" s="126">
        <f t="shared" si="10"/>
        <v>0</v>
      </c>
      <c r="CE50" s="126">
        <f t="shared" si="52"/>
        <v>0</v>
      </c>
      <c r="CF50" s="42"/>
      <c r="CG50" s="352">
        <f t="shared" si="53"/>
        <v>0</v>
      </c>
      <c r="CH50" s="352">
        <f t="shared" si="54"/>
        <v>0</v>
      </c>
      <c r="CI50" s="352">
        <f t="shared" si="55"/>
        <v>0</v>
      </c>
      <c r="CJ50" s="352">
        <f t="shared" si="56"/>
        <v>0</v>
      </c>
      <c r="CK50" s="352">
        <f t="shared" si="56"/>
        <v>0</v>
      </c>
      <c r="CL50" s="352">
        <f t="shared" si="56"/>
        <v>0</v>
      </c>
      <c r="CM50" s="352">
        <f t="shared" si="57"/>
        <v>0</v>
      </c>
      <c r="EX50" s="10" t="str">
        <f t="shared" ca="1" si="0"/>
        <v>Surplus/(loss) on Revaluation of Investments</v>
      </c>
    </row>
    <row r="51" spans="1:154" ht="15" customHeight="1" x14ac:dyDescent="0.25">
      <c r="A51" s="362" cm="1">
        <f t="array" aca="1" ref="A51" ca="1">HYPERLINK(CONCATENATE("#",CELL("address",IF(SUM($BY51:$CF51)=0,A51,INDEX($BY51:$CF51,MATCH(1,$BY51:$CF51,0))))),SUM($BY51:$CF51))</f>
        <v>0</v>
      </c>
      <c r="B51" s="93"/>
      <c r="C51" s="343" t="str">
        <f>CONCATENATE("FS-",'I&amp;E Annual'!C$181)</f>
        <v>FS-IE-6a-3</v>
      </c>
      <c r="D51" s="560" t="str" cm="1">
        <f t="array" aca="1" ref="D51" ca="1">HYPERLINK(CONCATENATE("#",CELL("address",'I&amp;E Annual'!$D$181)),'I&amp;E Annual'!$D$181)</f>
        <v>Share of surplus / (deficit) in JVs and Associates (inc. overseas)</v>
      </c>
      <c r="Q51" s="335"/>
      <c r="R51" s="335"/>
      <c r="T51" s="157"/>
      <c r="U51" s="157"/>
      <c r="V51" s="13">
        <f t="shared" si="48"/>
        <v>0</v>
      </c>
      <c r="W51" s="13">
        <f t="shared" si="49"/>
        <v>0</v>
      </c>
      <c r="X51" s="13">
        <f t="shared" si="50"/>
        <v>0</v>
      </c>
      <c r="Y51" s="13">
        <f t="shared" si="51"/>
        <v>0</v>
      </c>
      <c r="AA51" s="121">
        <f>'I&amp;E Annual'!AA$181</f>
        <v>0</v>
      </c>
      <c r="AB51" s="121">
        <f>'I&amp;E Annual'!AB$181</f>
        <v>0</v>
      </c>
      <c r="AC51" s="121">
        <f>'I&amp;E Annual'!AC$181</f>
        <v>0</v>
      </c>
      <c r="AD51" s="121">
        <f>'I&amp;E Annual'!AD$181</f>
        <v>0</v>
      </c>
      <c r="AE51" s="121">
        <f>'I&amp;E Annual'!AE$181</f>
        <v>0</v>
      </c>
      <c r="AF51" s="121">
        <f>'I&amp;E Annual'!AF$181</f>
        <v>0</v>
      </c>
      <c r="AG51" s="121">
        <f>'I&amp;E Annual'!AG$181</f>
        <v>0</v>
      </c>
      <c r="AH51" s="121">
        <f>'I&amp;E Annual'!AH$181</f>
        <v>0</v>
      </c>
      <c r="AI51" s="121">
        <f>'I&amp;E Annual'!AI$181</f>
        <v>0</v>
      </c>
      <c r="AJ51" s="121">
        <f>'I&amp;E Annual'!AJ$181</f>
        <v>0</v>
      </c>
      <c r="AK51" s="121">
        <f>'I&amp;E Annual'!AK$181</f>
        <v>0</v>
      </c>
      <c r="AL51" s="121">
        <f>'I&amp;E Annual'!AL$181</f>
        <v>0</v>
      </c>
      <c r="AM51" s="121">
        <f>'I&amp;E Annual'!AM$181</f>
        <v>0</v>
      </c>
      <c r="AN51" s="121">
        <f>'I&amp;E Annual'!AN$181</f>
        <v>0</v>
      </c>
      <c r="AO51" s="121">
        <f>'I&amp;E Annual'!AO$181</f>
        <v>0</v>
      </c>
      <c r="AP51" s="121">
        <f>'I&amp;E Annual'!AP$181</f>
        <v>0</v>
      </c>
      <c r="AQ51" s="121">
        <f>'I&amp;E Annual'!AQ$181</f>
        <v>0</v>
      </c>
      <c r="AR51" s="121">
        <f>'I&amp;E Annual'!AR$181</f>
        <v>0</v>
      </c>
      <c r="AS51" s="121">
        <f>'I&amp;E Annual'!AS$181</f>
        <v>0</v>
      </c>
      <c r="AT51" s="121">
        <f>'I&amp;E Annual'!AT$181</f>
        <v>0</v>
      </c>
      <c r="AU51" s="121">
        <f>'I&amp;E Annual'!AU$181</f>
        <v>0</v>
      </c>
      <c r="AV51" s="121">
        <f>'I&amp;E Annual'!AV$181</f>
        <v>0</v>
      </c>
      <c r="AW51" s="121">
        <f>'I&amp;E Annual'!AW$181</f>
        <v>0</v>
      </c>
      <c r="AX51" s="121">
        <f>'I&amp;E Annual'!AX$181</f>
        <v>0</v>
      </c>
      <c r="AY51" s="121">
        <f>'I&amp;E Annual'!AY$181</f>
        <v>0</v>
      </c>
      <c r="AZ51" s="121">
        <f>'I&amp;E Annual'!AZ$181</f>
        <v>0</v>
      </c>
      <c r="BA51" s="121">
        <f>'I&amp;E Annual'!BA$181</f>
        <v>0</v>
      </c>
      <c r="BB51" s="121">
        <f>'I&amp;E Annual'!BB$181</f>
        <v>0</v>
      </c>
      <c r="BC51" s="121">
        <f>'I&amp;E Annual'!BC$181</f>
        <v>0</v>
      </c>
      <c r="BD51" s="121">
        <f>'I&amp;E Annual'!BD$181</f>
        <v>0</v>
      </c>
      <c r="BE51" s="121">
        <f>'I&amp;E Annual'!BE$181</f>
        <v>0</v>
      </c>
      <c r="BF51" s="121">
        <f>'I&amp;E Annual'!BF$181</f>
        <v>0</v>
      </c>
      <c r="BG51" s="121">
        <f>'I&amp;E Annual'!BG$181</f>
        <v>0</v>
      </c>
      <c r="BH51" s="121">
        <f>'I&amp;E Annual'!BH$181</f>
        <v>0</v>
      </c>
      <c r="BI51" s="121">
        <f>'I&amp;E Annual'!BI$181</f>
        <v>0</v>
      </c>
      <c r="BJ51" s="121">
        <f>'I&amp;E Annual'!BJ$181</f>
        <v>0</v>
      </c>
      <c r="BL51" s="121">
        <f>'I&amp;E Annual'!BL$181</f>
        <v>0</v>
      </c>
      <c r="BM51" s="121">
        <f>'I&amp;E Annual'!BM$181</f>
        <v>0</v>
      </c>
      <c r="BN51" s="121">
        <f>'I&amp;E Annual'!BN$181</f>
        <v>0</v>
      </c>
      <c r="BO51" s="121">
        <f>'I&amp;E Annual'!BO$181</f>
        <v>0</v>
      </c>
      <c r="BP51" s="121">
        <f>'I&amp;E Annual'!BP$181</f>
        <v>0</v>
      </c>
      <c r="BQ51" s="121">
        <f>'I&amp;E Annual'!BQ$181</f>
        <v>0</v>
      </c>
      <c r="BR51" s="121">
        <f>'I&amp;E Annual'!BR$181</f>
        <v>0</v>
      </c>
      <c r="BS51" s="121">
        <f>'I&amp;E Annual'!BS$181</f>
        <v>0</v>
      </c>
      <c r="BT51" s="121">
        <f>'I&amp;E Annual'!BT$181</f>
        <v>0</v>
      </c>
      <c r="BU51" s="121">
        <f>'I&amp;E Annual'!BU$181</f>
        <v>0</v>
      </c>
      <c r="BV51" s="121">
        <f>'I&amp;E Annual'!BV$181</f>
        <v>0</v>
      </c>
      <c r="BW51" s="121">
        <f>'I&amp;E Annual'!BW$181</f>
        <v>0</v>
      </c>
      <c r="BY51" s="42"/>
      <c r="CA51" s="335"/>
      <c r="CC51" s="126">
        <f t="shared" si="9"/>
        <v>0</v>
      </c>
      <c r="CD51" s="126">
        <f t="shared" si="10"/>
        <v>0</v>
      </c>
      <c r="CE51" s="126">
        <f t="shared" si="52"/>
        <v>0</v>
      </c>
      <c r="CF51" s="42"/>
      <c r="CG51" s="352">
        <f t="shared" si="53"/>
        <v>0</v>
      </c>
      <c r="CH51" s="352">
        <f t="shared" si="54"/>
        <v>0</v>
      </c>
      <c r="CI51" s="352">
        <f t="shared" si="55"/>
        <v>0</v>
      </c>
      <c r="CJ51" s="352">
        <f t="shared" si="56"/>
        <v>0</v>
      </c>
      <c r="CK51" s="352">
        <f t="shared" si="56"/>
        <v>0</v>
      </c>
      <c r="CL51" s="352">
        <f t="shared" si="56"/>
        <v>0</v>
      </c>
      <c r="CM51" s="352">
        <f t="shared" si="57"/>
        <v>0</v>
      </c>
      <c r="EX51" s="10" t="str">
        <f t="shared" ca="1" si="0"/>
        <v>Share of surplus / (deficit) in JVs and Associates (inc. overseas)</v>
      </c>
    </row>
    <row r="52" spans="1:154" s="335" customFormat="1" ht="15" customHeight="1" x14ac:dyDescent="0.25">
      <c r="A52" s="362" cm="1">
        <f t="array" aca="1" ref="A52" ca="1">HYPERLINK(CONCATENATE("#",CELL("address",IF(SUM($BY52:$CF52)=0,A52,INDEX($BY52:$CF52,MATCH(1,$BY52:$CF52,0))))),SUM($BY52:$CF52))</f>
        <v>0</v>
      </c>
      <c r="B52" s="93"/>
      <c r="C52" s="343" t="str">
        <f>CONCATENATE("FS-",'I&amp;E Annual'!C$182)</f>
        <v>FS-IE-6a-4</v>
      </c>
      <c r="D52" s="560" t="str" cm="1">
        <f t="array" aca="1" ref="D52" ca="1">HYPERLINK(CONCATENATE("#",CELL("address",'I&amp;E Annual'!$D$182)),'I&amp;E Annual'!$D$182)</f>
        <v>Fair value of Net Assets due to merger / de-merger</v>
      </c>
      <c r="E52" s="1"/>
      <c r="T52" s="157"/>
      <c r="U52" s="157"/>
      <c r="V52" s="13">
        <f t="shared" ref="V52" si="62">BL52</f>
        <v>0</v>
      </c>
      <c r="W52" s="13">
        <f t="shared" ref="W52" si="63">BM52</f>
        <v>0</v>
      </c>
      <c r="X52" s="13">
        <f t="shared" ref="X52" si="64">BN52</f>
        <v>0</v>
      </c>
      <c r="Y52" s="13">
        <f t="shared" ref="Y52" si="65">BO52</f>
        <v>0</v>
      </c>
      <c r="AA52" s="121">
        <f>'I&amp;E Annual'!AA$182</f>
        <v>0</v>
      </c>
      <c r="AB52" s="121">
        <f>'I&amp;E Annual'!AB$182</f>
        <v>0</v>
      </c>
      <c r="AC52" s="121">
        <f>'I&amp;E Annual'!AC$182</f>
        <v>0</v>
      </c>
      <c r="AD52" s="121">
        <f>'I&amp;E Annual'!AD$182</f>
        <v>0</v>
      </c>
      <c r="AE52" s="121">
        <f>'I&amp;E Annual'!AE$182</f>
        <v>0</v>
      </c>
      <c r="AF52" s="121">
        <f>'I&amp;E Annual'!AF$182</f>
        <v>0</v>
      </c>
      <c r="AG52" s="121">
        <f>'I&amp;E Annual'!AG$182</f>
        <v>0</v>
      </c>
      <c r="AH52" s="121">
        <f>'I&amp;E Annual'!AH$182</f>
        <v>0</v>
      </c>
      <c r="AI52" s="121">
        <f>'I&amp;E Annual'!AI$182</f>
        <v>0</v>
      </c>
      <c r="AJ52" s="121">
        <f>'I&amp;E Annual'!AJ$182</f>
        <v>0</v>
      </c>
      <c r="AK52" s="121">
        <f>'I&amp;E Annual'!AK$182</f>
        <v>0</v>
      </c>
      <c r="AL52" s="121">
        <f>'I&amp;E Annual'!AL$182</f>
        <v>0</v>
      </c>
      <c r="AM52" s="121">
        <f>'I&amp;E Annual'!AM$182</f>
        <v>0</v>
      </c>
      <c r="AN52" s="121">
        <f>'I&amp;E Annual'!AN$182</f>
        <v>0</v>
      </c>
      <c r="AO52" s="121">
        <f>'I&amp;E Annual'!AO$182</f>
        <v>0</v>
      </c>
      <c r="AP52" s="121">
        <f>'I&amp;E Annual'!AP$182</f>
        <v>0</v>
      </c>
      <c r="AQ52" s="121">
        <f>'I&amp;E Annual'!AQ$182</f>
        <v>0</v>
      </c>
      <c r="AR52" s="121">
        <f>'I&amp;E Annual'!AR$182</f>
        <v>0</v>
      </c>
      <c r="AS52" s="121">
        <f>'I&amp;E Annual'!AS$182</f>
        <v>0</v>
      </c>
      <c r="AT52" s="121">
        <f>'I&amp;E Annual'!AT$182</f>
        <v>0</v>
      </c>
      <c r="AU52" s="121">
        <f>'I&amp;E Annual'!AU$182</f>
        <v>0</v>
      </c>
      <c r="AV52" s="121">
        <f>'I&amp;E Annual'!AV$182</f>
        <v>0</v>
      </c>
      <c r="AW52" s="121">
        <f>'I&amp;E Annual'!AW$182</f>
        <v>0</v>
      </c>
      <c r="AX52" s="121">
        <f>'I&amp;E Annual'!AX$182</f>
        <v>0</v>
      </c>
      <c r="AY52" s="121">
        <f>'I&amp;E Annual'!AY$182</f>
        <v>0</v>
      </c>
      <c r="AZ52" s="121">
        <f>'I&amp;E Annual'!AZ$182</f>
        <v>0</v>
      </c>
      <c r="BA52" s="121">
        <f>'I&amp;E Annual'!BA$182</f>
        <v>0</v>
      </c>
      <c r="BB52" s="121">
        <f>'I&amp;E Annual'!BB$182</f>
        <v>0</v>
      </c>
      <c r="BC52" s="121">
        <f>'I&amp;E Annual'!BC$182</f>
        <v>0</v>
      </c>
      <c r="BD52" s="121">
        <f>'I&amp;E Annual'!BD$182</f>
        <v>0</v>
      </c>
      <c r="BE52" s="121">
        <f>'I&amp;E Annual'!BE$182</f>
        <v>0</v>
      </c>
      <c r="BF52" s="121">
        <f>'I&amp;E Annual'!BF$182</f>
        <v>0</v>
      </c>
      <c r="BG52" s="121">
        <f>'I&amp;E Annual'!BG$182</f>
        <v>0</v>
      </c>
      <c r="BH52" s="121">
        <f>'I&amp;E Annual'!BH$182</f>
        <v>0</v>
      </c>
      <c r="BI52" s="121">
        <f>'I&amp;E Annual'!BI$182</f>
        <v>0</v>
      </c>
      <c r="BJ52" s="121">
        <f>'I&amp;E Annual'!BJ$182</f>
        <v>0</v>
      </c>
      <c r="BL52" s="121">
        <f>'I&amp;E Annual'!BL$182</f>
        <v>0</v>
      </c>
      <c r="BM52" s="121">
        <f>'I&amp;E Annual'!BM$182</f>
        <v>0</v>
      </c>
      <c r="BN52" s="121">
        <f>'I&amp;E Annual'!BN$182</f>
        <v>0</v>
      </c>
      <c r="BO52" s="121">
        <f>'I&amp;E Annual'!BO$182</f>
        <v>0</v>
      </c>
      <c r="BP52" s="121">
        <f>'I&amp;E Annual'!BP$182</f>
        <v>0</v>
      </c>
      <c r="BQ52" s="121">
        <f>'I&amp;E Annual'!BQ$182</f>
        <v>0</v>
      </c>
      <c r="BR52" s="121">
        <f>'I&amp;E Annual'!BR$182</f>
        <v>0</v>
      </c>
      <c r="BS52" s="121">
        <f>'I&amp;E Annual'!BS$182</f>
        <v>0</v>
      </c>
      <c r="BT52" s="121">
        <f>'I&amp;E Annual'!BT$182</f>
        <v>0</v>
      </c>
      <c r="BU52" s="121">
        <f>'I&amp;E Annual'!BU$182</f>
        <v>0</v>
      </c>
      <c r="BV52" s="121">
        <f>'I&amp;E Annual'!BV$182</f>
        <v>0</v>
      </c>
      <c r="BW52" s="121">
        <f>'I&amp;E Annual'!BW$182</f>
        <v>0</v>
      </c>
      <c r="BY52" s="42"/>
      <c r="CC52" s="126">
        <f t="shared" si="9"/>
        <v>0</v>
      </c>
      <c r="CD52" s="126">
        <f t="shared" si="10"/>
        <v>0</v>
      </c>
      <c r="CE52" s="126">
        <f t="shared" si="52"/>
        <v>0</v>
      </c>
      <c r="CF52" s="42"/>
      <c r="CG52" s="352">
        <f t="shared" si="53"/>
        <v>0</v>
      </c>
      <c r="CH52" s="352">
        <f t="shared" si="54"/>
        <v>0</v>
      </c>
      <c r="CI52" s="352">
        <f t="shared" si="55"/>
        <v>0</v>
      </c>
      <c r="CJ52" s="352">
        <f t="shared" si="56"/>
        <v>0</v>
      </c>
      <c r="CK52" s="352">
        <f t="shared" si="56"/>
        <v>0</v>
      </c>
      <c r="CL52" s="352">
        <f t="shared" si="56"/>
        <v>0</v>
      </c>
      <c r="CM52" s="352">
        <f t="shared" si="57"/>
        <v>0</v>
      </c>
      <c r="EX52" s="10"/>
    </row>
    <row r="53" spans="1:154" ht="15" customHeight="1" x14ac:dyDescent="0.25">
      <c r="A53" s="362" cm="1">
        <f t="array" aca="1" ref="A53" ca="1">HYPERLINK(CONCATENATE("#",CELL("address",IF(SUM($BY53:$CF53)=0,A53,INDEX($BY53:$CF53,MATCH(1,$BY53:$CF53,0))))),SUM($BY53:$CF53))</f>
        <v>0</v>
      </c>
      <c r="B53" s="93"/>
      <c r="C53" s="343" t="str">
        <f>CONCATENATE("FS-",'I&amp;E Annual'!C$183)</f>
        <v>FS-IE-6a</v>
      </c>
      <c r="D53" s="554" t="str">
        <f>'I&amp;E Annual'!D$183</f>
        <v>Total other gains and losses</v>
      </c>
      <c r="Q53" s="335"/>
      <c r="R53" s="335"/>
      <c r="S53" s="335"/>
      <c r="T53" s="157"/>
      <c r="U53" s="157"/>
      <c r="V53" s="13">
        <f>SUM(V48:V52)*V$9</f>
        <v>0</v>
      </c>
      <c r="W53" s="13">
        <f t="shared" ref="W53:BW53" si="66">SUM(W48:W52)*W$9</f>
        <v>0</v>
      </c>
      <c r="X53" s="13">
        <f t="shared" si="66"/>
        <v>0</v>
      </c>
      <c r="Y53" s="13">
        <f t="shared" si="66"/>
        <v>0</v>
      </c>
      <c r="Z53" s="335"/>
      <c r="AA53" s="13">
        <f t="shared" si="66"/>
        <v>0</v>
      </c>
      <c r="AB53" s="13">
        <f t="shared" si="66"/>
        <v>0</v>
      </c>
      <c r="AC53" s="13">
        <f t="shared" si="66"/>
        <v>0</v>
      </c>
      <c r="AD53" s="13">
        <f t="shared" si="66"/>
        <v>0</v>
      </c>
      <c r="AE53" s="13">
        <f t="shared" si="66"/>
        <v>0</v>
      </c>
      <c r="AF53" s="13">
        <f t="shared" si="66"/>
        <v>0</v>
      </c>
      <c r="AG53" s="13">
        <f t="shared" si="66"/>
        <v>0</v>
      </c>
      <c r="AH53" s="13">
        <f t="shared" si="66"/>
        <v>0</v>
      </c>
      <c r="AI53" s="13">
        <f t="shared" si="66"/>
        <v>0</v>
      </c>
      <c r="AJ53" s="13">
        <f t="shared" si="66"/>
        <v>0</v>
      </c>
      <c r="AK53" s="13">
        <f t="shared" si="66"/>
        <v>0</v>
      </c>
      <c r="AL53" s="13">
        <f t="shared" si="66"/>
        <v>0</v>
      </c>
      <c r="AM53" s="13">
        <f t="shared" si="66"/>
        <v>0</v>
      </c>
      <c r="AN53" s="13">
        <f t="shared" si="66"/>
        <v>0</v>
      </c>
      <c r="AO53" s="13">
        <f t="shared" si="66"/>
        <v>0</v>
      </c>
      <c r="AP53" s="13">
        <f t="shared" si="66"/>
        <v>0</v>
      </c>
      <c r="AQ53" s="13">
        <f t="shared" si="66"/>
        <v>0</v>
      </c>
      <c r="AR53" s="13">
        <f t="shared" si="66"/>
        <v>0</v>
      </c>
      <c r="AS53" s="13">
        <f t="shared" si="66"/>
        <v>0</v>
      </c>
      <c r="AT53" s="13">
        <f t="shared" si="66"/>
        <v>0</v>
      </c>
      <c r="AU53" s="13">
        <f t="shared" si="66"/>
        <v>0</v>
      </c>
      <c r="AV53" s="13">
        <f t="shared" si="66"/>
        <v>0</v>
      </c>
      <c r="AW53" s="13">
        <f t="shared" si="66"/>
        <v>0</v>
      </c>
      <c r="AX53" s="13">
        <f t="shared" si="66"/>
        <v>0</v>
      </c>
      <c r="AY53" s="13">
        <f t="shared" si="66"/>
        <v>0</v>
      </c>
      <c r="AZ53" s="13">
        <f t="shared" si="66"/>
        <v>0</v>
      </c>
      <c r="BA53" s="13">
        <f t="shared" si="66"/>
        <v>0</v>
      </c>
      <c r="BB53" s="13">
        <f t="shared" si="66"/>
        <v>0</v>
      </c>
      <c r="BC53" s="13">
        <f t="shared" si="66"/>
        <v>0</v>
      </c>
      <c r="BD53" s="13">
        <f t="shared" si="66"/>
        <v>0</v>
      </c>
      <c r="BE53" s="13">
        <f t="shared" si="66"/>
        <v>0</v>
      </c>
      <c r="BF53" s="13">
        <f t="shared" si="66"/>
        <v>0</v>
      </c>
      <c r="BG53" s="13">
        <f t="shared" si="66"/>
        <v>0</v>
      </c>
      <c r="BH53" s="13">
        <f t="shared" si="66"/>
        <v>0</v>
      </c>
      <c r="BI53" s="13">
        <f t="shared" si="66"/>
        <v>0</v>
      </c>
      <c r="BJ53" s="13">
        <f t="shared" si="66"/>
        <v>0</v>
      </c>
      <c r="BK53" s="335"/>
      <c r="BL53" s="13">
        <f t="shared" si="66"/>
        <v>0</v>
      </c>
      <c r="BM53" s="13">
        <f t="shared" si="66"/>
        <v>0</v>
      </c>
      <c r="BN53" s="13">
        <f t="shared" si="66"/>
        <v>0</v>
      </c>
      <c r="BO53" s="13">
        <f t="shared" si="66"/>
        <v>0</v>
      </c>
      <c r="BP53" s="13">
        <f t="shared" si="66"/>
        <v>0</v>
      </c>
      <c r="BQ53" s="13">
        <f t="shared" si="66"/>
        <v>0</v>
      </c>
      <c r="BR53" s="13">
        <f t="shared" si="66"/>
        <v>0</v>
      </c>
      <c r="BS53" s="13">
        <f t="shared" si="66"/>
        <v>0</v>
      </c>
      <c r="BT53" s="13">
        <f t="shared" si="66"/>
        <v>0</v>
      </c>
      <c r="BU53" s="13">
        <f t="shared" si="66"/>
        <v>0</v>
      </c>
      <c r="BV53" s="13">
        <f t="shared" si="66"/>
        <v>0</v>
      </c>
      <c r="BW53" s="13">
        <f t="shared" si="66"/>
        <v>0</v>
      </c>
      <c r="BY53" s="42"/>
      <c r="CA53" s="335"/>
      <c r="CC53" s="126">
        <f t="shared" si="9"/>
        <v>0</v>
      </c>
      <c r="CD53" s="126">
        <f t="shared" si="10"/>
        <v>0</v>
      </c>
      <c r="CE53" s="126">
        <f t="shared" si="52"/>
        <v>0</v>
      </c>
      <c r="CF53" s="42"/>
      <c r="CG53" s="352">
        <f t="shared" si="53"/>
        <v>0</v>
      </c>
      <c r="CH53" s="352">
        <f t="shared" si="54"/>
        <v>0</v>
      </c>
      <c r="CI53" s="352">
        <f t="shared" si="55"/>
        <v>0</v>
      </c>
      <c r="CJ53" s="352">
        <f t="shared" si="56"/>
        <v>0</v>
      </c>
      <c r="CK53" s="352">
        <f t="shared" si="56"/>
        <v>0</v>
      </c>
      <c r="CL53" s="352">
        <f t="shared" si="56"/>
        <v>0</v>
      </c>
      <c r="CM53" s="352">
        <f t="shared" si="57"/>
        <v>0</v>
      </c>
      <c r="EX53" s="10" t="str">
        <f t="shared" si="0"/>
        <v>Total other gains and losses</v>
      </c>
    </row>
    <row r="54" spans="1:154" s="335" customFormat="1" ht="11.45" customHeight="1" x14ac:dyDescent="0.25">
      <c r="A54" s="157"/>
      <c r="B54" s="187"/>
      <c r="C54" s="343"/>
      <c r="D54" s="556"/>
      <c r="E54" s="157"/>
      <c r="F54" s="157"/>
      <c r="G54" s="157"/>
      <c r="J54" s="157"/>
      <c r="K54" s="157"/>
      <c r="L54" s="157"/>
      <c r="M54" s="157"/>
      <c r="N54" s="157"/>
      <c r="O54" s="157"/>
      <c r="P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42"/>
      <c r="CC54" s="162"/>
      <c r="CD54" s="162"/>
      <c r="CE54" s="162"/>
      <c r="CF54" s="42"/>
      <c r="EX54" s="10" t="str">
        <f t="shared" si="0"/>
        <v/>
      </c>
    </row>
    <row r="55" spans="1:154" ht="15" customHeight="1" x14ac:dyDescent="0.25">
      <c r="A55" s="362" cm="1">
        <f t="array" aca="1" ref="A55" ca="1">HYPERLINK(CONCATENATE("#",CELL("address",IF(SUM($BY55:$CF55)=0,A55,INDEX($BY55:$CF55,MATCH(1,$BY55:$CF55,0))))),SUM($BY55:$CF55))</f>
        <v>0</v>
      </c>
      <c r="B55" s="187"/>
      <c r="C55" s="343" t="str">
        <f>CONCATENATE("FS-",'I&amp;E Annual'!C$185)</f>
        <v>FS-IE-6</v>
      </c>
      <c r="D55" s="554" t="str">
        <f>'I&amp;E Annual'!D$185</f>
        <v>Total surplus/(deficit) for the year</v>
      </c>
      <c r="Q55" s="335"/>
      <c r="R55" s="335"/>
      <c r="T55" s="157"/>
      <c r="U55" s="157"/>
      <c r="V55" s="13">
        <f>SUM(V46+V53)</f>
        <v>0</v>
      </c>
      <c r="W55" s="13">
        <f>SUM(W46+W53)</f>
        <v>440</v>
      </c>
      <c r="X55" s="13">
        <f>SUM(X46+X53)</f>
        <v>436</v>
      </c>
      <c r="Y55" s="13">
        <f>SUM(Y46+Y53)</f>
        <v>541.81000000000131</v>
      </c>
      <c r="AA55" s="13">
        <f t="shared" ref="AA55:BJ55" si="67">SUM(AA46+AA53)</f>
        <v>1720</v>
      </c>
      <c r="AB55" s="13">
        <f t="shared" si="67"/>
        <v>1148</v>
      </c>
      <c r="AC55" s="13">
        <f t="shared" si="67"/>
        <v>130</v>
      </c>
      <c r="AD55" s="13">
        <f t="shared" si="67"/>
        <v>-210</v>
      </c>
      <c r="AE55" s="13">
        <f t="shared" si="67"/>
        <v>-887</v>
      </c>
      <c r="AF55" s="13">
        <f t="shared" si="67"/>
        <v>-675</v>
      </c>
      <c r="AG55" s="13">
        <f t="shared" si="67"/>
        <v>-721</v>
      </c>
      <c r="AH55" s="13">
        <f t="shared" si="67"/>
        <v>-900</v>
      </c>
      <c r="AI55" s="13">
        <f t="shared" si="67"/>
        <v>1250</v>
      </c>
      <c r="AJ55" s="13">
        <f t="shared" si="67"/>
        <v>264</v>
      </c>
      <c r="AK55" s="13">
        <f t="shared" si="67"/>
        <v>258</v>
      </c>
      <c r="AL55" s="13">
        <f t="shared" si="67"/>
        <v>-937</v>
      </c>
      <c r="AM55" s="13">
        <f t="shared" si="67"/>
        <v>1978</v>
      </c>
      <c r="AN55" s="13">
        <f t="shared" si="67"/>
        <v>1130</v>
      </c>
      <c r="AO55" s="13">
        <f t="shared" si="67"/>
        <v>125</v>
      </c>
      <c r="AP55" s="13">
        <f t="shared" si="67"/>
        <v>-442</v>
      </c>
      <c r="AQ55" s="13">
        <f t="shared" si="67"/>
        <v>-891</v>
      </c>
      <c r="AR55" s="13">
        <f t="shared" si="67"/>
        <v>-576</v>
      </c>
      <c r="AS55" s="13">
        <f t="shared" si="67"/>
        <v>-971</v>
      </c>
      <c r="AT55" s="13">
        <f t="shared" si="67"/>
        <v>-913</v>
      </c>
      <c r="AU55" s="13">
        <f t="shared" si="67"/>
        <v>1487</v>
      </c>
      <c r="AV55" s="13">
        <f t="shared" si="67"/>
        <v>368</v>
      </c>
      <c r="AW55" s="13">
        <f t="shared" si="67"/>
        <v>-54</v>
      </c>
      <c r="AX55" s="13">
        <f t="shared" si="67"/>
        <v>-805</v>
      </c>
      <c r="AY55" s="13">
        <f t="shared" si="67"/>
        <v>2023.7483333333334</v>
      </c>
      <c r="AZ55" s="13">
        <f t="shared" si="67"/>
        <v>1146.3566666666661</v>
      </c>
      <c r="BA55" s="13">
        <f t="shared" si="67"/>
        <v>132.48833333333278</v>
      </c>
      <c r="BB55" s="13">
        <f t="shared" si="67"/>
        <v>-449.61333333333323</v>
      </c>
      <c r="BC55" s="13">
        <f t="shared" si="67"/>
        <v>-910.53</v>
      </c>
      <c r="BD55" s="13">
        <f t="shared" si="67"/>
        <v>-583.22999999999979</v>
      </c>
      <c r="BE55" s="13">
        <f t="shared" si="67"/>
        <v>-990.74166666666702</v>
      </c>
      <c r="BF55" s="13">
        <f t="shared" si="67"/>
        <v>-927.5183333333332</v>
      </c>
      <c r="BG55" s="13">
        <f t="shared" si="67"/>
        <v>1540.378333333334</v>
      </c>
      <c r="BH55" s="13">
        <f t="shared" si="67"/>
        <v>417.06833333333361</v>
      </c>
      <c r="BI55" s="13">
        <f t="shared" si="67"/>
        <v>-43.806666666666388</v>
      </c>
      <c r="BJ55" s="13">
        <f t="shared" si="67"/>
        <v>-812.79000000000042</v>
      </c>
      <c r="BL55" s="13">
        <f t="shared" ref="BL55:BW55" si="68">SUM(BL46+BL53)</f>
        <v>0</v>
      </c>
      <c r="BM55" s="13">
        <f t="shared" si="68"/>
        <v>440</v>
      </c>
      <c r="BN55" s="13">
        <f t="shared" si="68"/>
        <v>436</v>
      </c>
      <c r="BO55" s="13">
        <f t="shared" si="68"/>
        <v>541.81000000000131</v>
      </c>
      <c r="BP55" s="13">
        <f t="shared" si="68"/>
        <v>0</v>
      </c>
      <c r="BQ55" s="13">
        <f t="shared" si="68"/>
        <v>0</v>
      </c>
      <c r="BR55" s="13">
        <f t="shared" si="68"/>
        <v>0</v>
      </c>
      <c r="BS55" s="13">
        <f t="shared" si="68"/>
        <v>0</v>
      </c>
      <c r="BT55" s="13">
        <f t="shared" si="68"/>
        <v>0</v>
      </c>
      <c r="BU55" s="13">
        <f t="shared" si="68"/>
        <v>0</v>
      </c>
      <c r="BV55" s="13">
        <f t="shared" si="68"/>
        <v>0</v>
      </c>
      <c r="BW55" s="13">
        <f t="shared" si="68"/>
        <v>0</v>
      </c>
      <c r="BY55" s="42"/>
      <c r="CA55" s="335"/>
      <c r="CC55" s="126">
        <f t="shared" si="9"/>
        <v>0</v>
      </c>
      <c r="CD55" s="126">
        <f t="shared" si="10"/>
        <v>0</v>
      </c>
      <c r="CE55" s="126">
        <f t="shared" ref="CE55" si="69">IF(CM55=0, 0, 1)</f>
        <v>0</v>
      </c>
      <c r="CF55" s="42"/>
      <c r="CG55" s="352">
        <f>ROUND(W55-SUMIFS($AA55:$BJ55, $AA$3:$BJ$3, W$3), rounding)</f>
        <v>0</v>
      </c>
      <c r="CH55" s="352">
        <f>ROUND($X55-SUMIFS($AA55:$BJ55, $AA$3:$BJ$3, X$3), rounding)</f>
        <v>0</v>
      </c>
      <c r="CI55" s="352">
        <f>ROUND($Y55-SUMIFS($AA55:$BJ55, $AA$3:$BJ$3, Y$3), rounding)</f>
        <v>0</v>
      </c>
      <c r="CJ55" s="352">
        <f>ROUND(W55-BM55, rounding)</f>
        <v>0</v>
      </c>
      <c r="CK55" s="352">
        <f>ROUND(X55-BN55, rounding)</f>
        <v>0</v>
      </c>
      <c r="CL55" s="352">
        <f>ROUND(Y55-BO55, rounding)</f>
        <v>0</v>
      </c>
      <c r="CM55" s="352">
        <f>ROUND(V55-BL55, rounding)</f>
        <v>0</v>
      </c>
      <c r="EX55" s="10" t="str">
        <f t="shared" si="0"/>
        <v>Total surplus/(deficit) for the year</v>
      </c>
    </row>
    <row r="56" spans="1:154" s="335" customFormat="1" ht="11.45" customHeight="1" x14ac:dyDescent="0.25">
      <c r="A56" s="157"/>
      <c r="B56" s="187"/>
      <c r="C56" s="343"/>
      <c r="D56" s="556"/>
      <c r="E56" s="157"/>
      <c r="F56" s="157"/>
      <c r="G56" s="157"/>
      <c r="J56" s="157"/>
      <c r="K56" s="157"/>
      <c r="L56" s="157"/>
      <c r="M56" s="157"/>
      <c r="N56" s="157"/>
      <c r="O56" s="157"/>
      <c r="P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42"/>
      <c r="CC56" s="162"/>
      <c r="CD56" s="162"/>
      <c r="CE56" s="162"/>
      <c r="CF56" s="42"/>
      <c r="EX56" s="10" t="str">
        <f t="shared" si="0"/>
        <v/>
      </c>
    </row>
    <row r="57" spans="1:154" ht="15" customHeight="1" x14ac:dyDescent="0.25">
      <c r="A57" s="362" cm="1">
        <f t="array" aca="1" ref="A57" ca="1">HYPERLINK(CONCATENATE("#",CELL("address",IF(SUM($BY57:$CF57)=0,A57,INDEX($BY57:$CF57,MATCH(1,$BY57:$CF57,0))))),SUM($BY57:$CF57))</f>
        <v>0</v>
      </c>
      <c r="B57" s="93"/>
      <c r="C57" s="343"/>
      <c r="D57" s="561" t="s">
        <v>597</v>
      </c>
      <c r="J57" s="157"/>
      <c r="Q57" s="335"/>
      <c r="R57" s="335"/>
      <c r="T57" s="157"/>
      <c r="U57" s="157"/>
      <c r="V57" s="169">
        <f>ROUND(V55-'I&amp;E Annual'!BL$185, rounding)*V$9</f>
        <v>0</v>
      </c>
      <c r="W57" s="169">
        <f>ROUND(W55-'I&amp;E Annual'!BM$185, rounding)*W$9</f>
        <v>0</v>
      </c>
      <c r="X57" s="169">
        <f>ROUND(X55-'I&amp;E Annual'!BN$185, rounding)*X$9</f>
        <v>0</v>
      </c>
      <c r="Y57" s="169">
        <f>ROUND(Y55-'I&amp;E Annual'!BO$185, rounding)*Y$9</f>
        <v>0</v>
      </c>
      <c r="Z57" s="335"/>
      <c r="AA57" s="169">
        <f>ROUND(AA55-'I&amp;E Annual'!AA$185, rounding)*AA$9</f>
        <v>0</v>
      </c>
      <c r="AB57" s="169">
        <f>ROUND(AB55-'I&amp;E Annual'!AB$185, rounding)*AB$9</f>
        <v>0</v>
      </c>
      <c r="AC57" s="169">
        <f>ROUND(AC55-'I&amp;E Annual'!AC$185, rounding)*AC$9</f>
        <v>0</v>
      </c>
      <c r="AD57" s="169">
        <f>ROUND(AD55-'I&amp;E Annual'!AD$185, rounding)*AD$9</f>
        <v>0</v>
      </c>
      <c r="AE57" s="169">
        <f>ROUND(AE55-'I&amp;E Annual'!AE$185, rounding)*AE$9</f>
        <v>0</v>
      </c>
      <c r="AF57" s="169">
        <f>ROUND(AF55-'I&amp;E Annual'!AF$185, rounding)*AF$9</f>
        <v>0</v>
      </c>
      <c r="AG57" s="169">
        <f>ROUND(AG55-'I&amp;E Annual'!AG$185, rounding)*AG$9</f>
        <v>0</v>
      </c>
      <c r="AH57" s="169">
        <f>ROUND(AH55-'I&amp;E Annual'!AH$185, rounding)*AH$9</f>
        <v>0</v>
      </c>
      <c r="AI57" s="169">
        <f>ROUND(AI55-'I&amp;E Annual'!AI$185, rounding)*AI$9</f>
        <v>0</v>
      </c>
      <c r="AJ57" s="169">
        <f>ROUND(AJ55-'I&amp;E Annual'!AJ$185, rounding)*AJ$9</f>
        <v>0</v>
      </c>
      <c r="AK57" s="169">
        <f>ROUND(AK55-'I&amp;E Annual'!AK$185, rounding)*AK$9</f>
        <v>0</v>
      </c>
      <c r="AL57" s="169">
        <f>ROUND(AL55-'I&amp;E Annual'!AL$185, rounding)*AL$9</f>
        <v>0</v>
      </c>
      <c r="AM57" s="169">
        <f>ROUND(AM55-'I&amp;E Annual'!AM$185, rounding)*AM$9</f>
        <v>0</v>
      </c>
      <c r="AN57" s="169">
        <f>ROUND(AN55-'I&amp;E Annual'!AN$185, rounding)*AN$9</f>
        <v>0</v>
      </c>
      <c r="AO57" s="169">
        <f>ROUND(AO55-'I&amp;E Annual'!AO$185, rounding)*AO$9</f>
        <v>0</v>
      </c>
      <c r="AP57" s="169">
        <f>ROUND(AP55-'I&amp;E Annual'!AP$185, rounding)*AP$9</f>
        <v>0</v>
      </c>
      <c r="AQ57" s="169">
        <f>ROUND(AQ55-'I&amp;E Annual'!AQ$185, rounding)*AQ$9</f>
        <v>0</v>
      </c>
      <c r="AR57" s="169">
        <f>ROUND(AR55-'I&amp;E Annual'!AR$185, rounding)*AR$9</f>
        <v>0</v>
      </c>
      <c r="AS57" s="169">
        <f>ROUND(AS55-'I&amp;E Annual'!AS$185, rounding)*AS$9</f>
        <v>0</v>
      </c>
      <c r="AT57" s="169">
        <f>ROUND(AT55-'I&amp;E Annual'!AT$185, rounding)*AT$9</f>
        <v>0</v>
      </c>
      <c r="AU57" s="169">
        <f>ROUND(AU55-'I&amp;E Annual'!AU$185, rounding)*AU$9</f>
        <v>0</v>
      </c>
      <c r="AV57" s="169">
        <f>ROUND(AV55-'I&amp;E Annual'!AV$185, rounding)*AV$9</f>
        <v>0</v>
      </c>
      <c r="AW57" s="169">
        <f>ROUND(AW55-'I&amp;E Annual'!AW$185, rounding)*AW$9</f>
        <v>0</v>
      </c>
      <c r="AX57" s="169">
        <f>ROUND(AX55-'I&amp;E Annual'!AX$185, rounding)*AX$9</f>
        <v>0</v>
      </c>
      <c r="AY57" s="169">
        <f>ROUND(AY55-'I&amp;E Annual'!AY$185, rounding)*AY$9</f>
        <v>0</v>
      </c>
      <c r="AZ57" s="169">
        <f>ROUND(AZ55-'I&amp;E Annual'!AZ$185, rounding)*AZ$9</f>
        <v>0</v>
      </c>
      <c r="BA57" s="169">
        <f>ROUND(BA55-'I&amp;E Annual'!BA$185, rounding)*BA$9</f>
        <v>0</v>
      </c>
      <c r="BB57" s="169">
        <f>ROUND(BB55-'I&amp;E Annual'!BB$185, rounding)*BB$9</f>
        <v>0</v>
      </c>
      <c r="BC57" s="169">
        <f>ROUND(BC55-'I&amp;E Annual'!BC$185, rounding)*BC$9</f>
        <v>0</v>
      </c>
      <c r="BD57" s="169">
        <f>ROUND(BD55-'I&amp;E Annual'!BD$185, rounding)*BD$9</f>
        <v>0</v>
      </c>
      <c r="BE57" s="169">
        <f>ROUND(BE55-'I&amp;E Annual'!BE$185, rounding)*BE$9</f>
        <v>0</v>
      </c>
      <c r="BF57" s="169">
        <f>ROUND(BF55-'I&amp;E Annual'!BF$185, rounding)*BF$9</f>
        <v>0</v>
      </c>
      <c r="BG57" s="169">
        <f>ROUND(BG55-'I&amp;E Annual'!BG$185, rounding)*BG$9</f>
        <v>0</v>
      </c>
      <c r="BH57" s="169">
        <f>ROUND(BH55-'I&amp;E Annual'!BH$185, rounding)*BH$9</f>
        <v>0</v>
      </c>
      <c r="BI57" s="169">
        <f>ROUND(BI55-'I&amp;E Annual'!BI$185, rounding)*BI$9</f>
        <v>0</v>
      </c>
      <c r="BJ57" s="169">
        <f>ROUND(BJ55-'I&amp;E Annual'!BJ$185, rounding)*BJ$9</f>
        <v>0</v>
      </c>
      <c r="BK57" s="157"/>
      <c r="BL57" s="169">
        <f>ROUND(BL55-'I&amp;E Annual'!BL$185, rounding)*BL$9</f>
        <v>0</v>
      </c>
      <c r="BM57" s="169">
        <f>ROUND(BM55-'I&amp;E Annual'!BM$185, rounding)*BM$9</f>
        <v>0</v>
      </c>
      <c r="BN57" s="169">
        <f>ROUND(BN55-'I&amp;E Annual'!BN$185, rounding)*BN$9</f>
        <v>0</v>
      </c>
      <c r="BO57" s="169">
        <f>ROUND(BO55-'I&amp;E Annual'!BO$185, rounding)*BO$9</f>
        <v>0</v>
      </c>
      <c r="BP57" s="169">
        <f>ROUND(BP55-'I&amp;E Annual'!BP$185, rounding)*BP$9</f>
        <v>0</v>
      </c>
      <c r="BQ57" s="169">
        <f>ROUND(BQ55-'I&amp;E Annual'!BQ$185, rounding)*BQ$9</f>
        <v>0</v>
      </c>
      <c r="BR57" s="169">
        <f>ROUND(BR55-'I&amp;E Annual'!BR$185, rounding)*BR$9</f>
        <v>0</v>
      </c>
      <c r="BS57" s="169">
        <f>ROUND(BS55-'I&amp;E Annual'!BS$185, rounding)*BS$9</f>
        <v>0</v>
      </c>
      <c r="BT57" s="169">
        <f>ROUND(BT55-'I&amp;E Annual'!BT$185, rounding)*BT$9</f>
        <v>0</v>
      </c>
      <c r="BU57" s="169">
        <f>ROUND(BU55-'I&amp;E Annual'!BU$185, rounding)*BU$9</f>
        <v>0</v>
      </c>
      <c r="BV57" s="169">
        <f>ROUND(BV55-'I&amp;E Annual'!BV$185, rounding)*BV$9</f>
        <v>0</v>
      </c>
      <c r="BW57" s="169">
        <f>ROUND(BW55-'I&amp;E Annual'!BW$185, rounding)*BW$9</f>
        <v>0</v>
      </c>
      <c r="BY57" s="42"/>
      <c r="BZ57" s="7">
        <f>IF(SUM($V57:$BW57)=0, 0, 1)</f>
        <v>0</v>
      </c>
      <c r="CA57" s="335"/>
      <c r="CC57" s="126">
        <f t="shared" si="9"/>
        <v>0</v>
      </c>
      <c r="CD57" s="126">
        <f t="shared" si="10"/>
        <v>0</v>
      </c>
      <c r="CE57" s="126">
        <f t="shared" ref="CE57" si="70">IF(CM57=0, 0, 1)</f>
        <v>0</v>
      </c>
      <c r="CF57" s="42"/>
      <c r="CG57" s="352">
        <f>ROUND(W57-SUMIFS($AA57:$BJ57, $AA$3:$BJ$3, W$3), rounding)</f>
        <v>0</v>
      </c>
      <c r="CH57" s="352">
        <f>ROUND($X57-SUMIFS($AA57:$BJ57, $AA$3:$BJ$3, X$3), rounding)</f>
        <v>0</v>
      </c>
      <c r="CI57" s="352">
        <f>ROUND($Y57-SUMIFS($AA57:$BJ57, $AA$3:$BJ$3, Y$3), rounding)</f>
        <v>0</v>
      </c>
      <c r="CJ57" s="352">
        <f>ROUND(W57-BM57, rounding)</f>
        <v>0</v>
      </c>
      <c r="CK57" s="352">
        <f>ROUND(X57-BN57, rounding)</f>
        <v>0</v>
      </c>
      <c r="CL57" s="352">
        <f>ROUND(Y57-BO57, rounding)</f>
        <v>0</v>
      </c>
      <c r="CM57" s="352">
        <f>ROUND(V57-BL57, rounding)</f>
        <v>0</v>
      </c>
      <c r="EX57" s="10" t="str">
        <f t="shared" si="0"/>
        <v/>
      </c>
    </row>
    <row r="58" spans="1:154" ht="8.1" customHeight="1" x14ac:dyDescent="0.25">
      <c r="A58" s="187"/>
      <c r="B58" s="157"/>
      <c r="C58" s="343"/>
      <c r="D58" s="556"/>
      <c r="E58" s="157"/>
      <c r="F58" s="157"/>
      <c r="G58" s="157"/>
      <c r="H58" s="157"/>
      <c r="I58" s="157"/>
      <c r="J58" s="157"/>
      <c r="K58" s="157"/>
      <c r="L58" s="157"/>
      <c r="M58" s="157"/>
      <c r="N58" s="157"/>
      <c r="O58" s="157"/>
      <c r="P58" s="157"/>
      <c r="Q58" s="157"/>
      <c r="R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42"/>
      <c r="BZ58" s="332"/>
      <c r="CA58" s="335"/>
      <c r="CC58" s="162"/>
      <c r="CD58" s="162"/>
      <c r="CE58" s="162"/>
      <c r="CF58" s="42"/>
      <c r="EX58" s="10" t="str">
        <f t="shared" si="0"/>
        <v/>
      </c>
    </row>
    <row r="59" spans="1:154" s="335" customFormat="1" ht="15" customHeight="1" x14ac:dyDescent="0.25">
      <c r="A59" s="362" cm="1">
        <f t="array" aca="1" ref="A59" ca="1">HYPERLINK(CONCATENATE("#",CELL("address",IF(SUM($BY59:$CF59)=0,A59,INDEX($BY59:$CF59,MATCH(1,$BY59:$CF59,0))))),SUM($BY59:$CF59))</f>
        <v>0</v>
      </c>
      <c r="C59" s="343" t="str">
        <f>CONCATENATE("FS-",'I&amp;E Annual'!C$189)</f>
        <v>FS-IE-7</v>
      </c>
      <c r="D59" s="554" t="str">
        <f>'I&amp;E Annual'!D$189</f>
        <v>Total Comprehensive Income</v>
      </c>
      <c r="E59" s="1"/>
      <c r="J59" s="157"/>
      <c r="T59" s="157"/>
      <c r="U59" s="157"/>
      <c r="V59" s="13">
        <f>BL59</f>
        <v>0</v>
      </c>
      <c r="W59" s="13">
        <f t="shared" ref="W59:Y59" si="71">BM59</f>
        <v>485</v>
      </c>
      <c r="X59" s="13">
        <f t="shared" si="71"/>
        <v>481</v>
      </c>
      <c r="Y59" s="13">
        <f t="shared" si="71"/>
        <v>586.81000000000131</v>
      </c>
      <c r="Z59" s="157"/>
      <c r="AA59" s="13">
        <f>'I&amp;E Annual'!AA$189*AA$9</f>
        <v>1725</v>
      </c>
      <c r="AB59" s="13">
        <f>'I&amp;E Annual'!AB$189*AB$9</f>
        <v>1153</v>
      </c>
      <c r="AC59" s="13">
        <f>'I&amp;E Annual'!AC$189*AC$9</f>
        <v>135</v>
      </c>
      <c r="AD59" s="13">
        <f>'I&amp;E Annual'!AD$189*AD$9</f>
        <v>-206</v>
      </c>
      <c r="AE59" s="13">
        <f>'I&amp;E Annual'!AE$189*AE$9</f>
        <v>-883</v>
      </c>
      <c r="AF59" s="13">
        <f>'I&amp;E Annual'!AF$189*AF$9</f>
        <v>-671</v>
      </c>
      <c r="AG59" s="13">
        <f>'I&amp;E Annual'!AG$189*AG$9</f>
        <v>-717</v>
      </c>
      <c r="AH59" s="13">
        <f>'I&amp;E Annual'!AH$189*AH$9</f>
        <v>-896</v>
      </c>
      <c r="AI59" s="13">
        <f>'I&amp;E Annual'!AI$189*AI$9</f>
        <v>1254</v>
      </c>
      <c r="AJ59" s="13">
        <f>'I&amp;E Annual'!AJ$189*AJ$9</f>
        <v>268</v>
      </c>
      <c r="AK59" s="13">
        <f>'I&amp;E Annual'!AK$189*AK$9</f>
        <v>262</v>
      </c>
      <c r="AL59" s="13">
        <f>'I&amp;E Annual'!AL$189*AL$9</f>
        <v>-939</v>
      </c>
      <c r="AM59" s="13">
        <f>'I&amp;E Annual'!AM$189*AM$9</f>
        <v>1983</v>
      </c>
      <c r="AN59" s="13">
        <f>'I&amp;E Annual'!AN$189*AN$9</f>
        <v>1135</v>
      </c>
      <c r="AO59" s="13">
        <f>'I&amp;E Annual'!AO$189*AO$9</f>
        <v>130</v>
      </c>
      <c r="AP59" s="13">
        <f>'I&amp;E Annual'!AP$189*AP$9</f>
        <v>-438</v>
      </c>
      <c r="AQ59" s="13">
        <f>'I&amp;E Annual'!AQ$189*AQ$9</f>
        <v>-887</v>
      </c>
      <c r="AR59" s="13">
        <f>'I&amp;E Annual'!AR$189*AR$9</f>
        <v>-572</v>
      </c>
      <c r="AS59" s="13">
        <f>'I&amp;E Annual'!AS$189*AS$9</f>
        <v>-967</v>
      </c>
      <c r="AT59" s="13">
        <f>'I&amp;E Annual'!AT$189*AT$9</f>
        <v>-909</v>
      </c>
      <c r="AU59" s="13">
        <f>'I&amp;E Annual'!AU$189*AU$9</f>
        <v>1491</v>
      </c>
      <c r="AV59" s="13">
        <f>'I&amp;E Annual'!AV$189*AV$9</f>
        <v>372</v>
      </c>
      <c r="AW59" s="13">
        <f>'I&amp;E Annual'!AW$189*AW$9</f>
        <v>-50</v>
      </c>
      <c r="AX59" s="13">
        <f>'I&amp;E Annual'!AX$189*AX$9</f>
        <v>-807</v>
      </c>
      <c r="AY59" s="13">
        <f>'I&amp;E Annual'!AY$189*AY$9</f>
        <v>2028.7483333333334</v>
      </c>
      <c r="AZ59" s="13">
        <f>'I&amp;E Annual'!AZ$189*AZ$9</f>
        <v>1151.3566666666661</v>
      </c>
      <c r="BA59" s="13">
        <f>'I&amp;E Annual'!BA$189*BA$9</f>
        <v>137.48833333333278</v>
      </c>
      <c r="BB59" s="13">
        <f>'I&amp;E Annual'!BB$189*BB$9</f>
        <v>-445.61333333333323</v>
      </c>
      <c r="BC59" s="13">
        <f>'I&amp;E Annual'!BC$189*BC$9</f>
        <v>-906.53</v>
      </c>
      <c r="BD59" s="13">
        <f>'I&amp;E Annual'!BD$189*BD$9</f>
        <v>-579.22999999999979</v>
      </c>
      <c r="BE59" s="13">
        <f>'I&amp;E Annual'!BE$189*BE$9</f>
        <v>-986.74166666666702</v>
      </c>
      <c r="BF59" s="13">
        <f>'I&amp;E Annual'!BF$189*BF$9</f>
        <v>-923.5183333333332</v>
      </c>
      <c r="BG59" s="13">
        <f>'I&amp;E Annual'!BG$189*BG$9</f>
        <v>1544.378333333334</v>
      </c>
      <c r="BH59" s="13">
        <f>'I&amp;E Annual'!BH$189*BH$9</f>
        <v>421.06833333333361</v>
      </c>
      <c r="BI59" s="13">
        <f>'I&amp;E Annual'!BI$189*BI$9</f>
        <v>-39.806666666666388</v>
      </c>
      <c r="BJ59" s="13">
        <f>'I&amp;E Annual'!BJ$189*BJ$9</f>
        <v>-814.79000000000042</v>
      </c>
      <c r="BK59" s="157"/>
      <c r="BL59" s="13">
        <f>'I&amp;E Annual'!BL$189*BL$9</f>
        <v>0</v>
      </c>
      <c r="BM59" s="13">
        <f>'I&amp;E Annual'!BM$189*BM$9</f>
        <v>485</v>
      </c>
      <c r="BN59" s="13">
        <f>'I&amp;E Annual'!BN$189*BN$9</f>
        <v>481</v>
      </c>
      <c r="BO59" s="13">
        <f>'I&amp;E Annual'!BO$189*BO$9</f>
        <v>586.81000000000131</v>
      </c>
      <c r="BP59" s="13">
        <f>'I&amp;E Annual'!BP$189*BP$9</f>
        <v>0</v>
      </c>
      <c r="BQ59" s="13">
        <f>'I&amp;E Annual'!BQ$189*BQ$9</f>
        <v>0</v>
      </c>
      <c r="BR59" s="13">
        <f>'I&amp;E Annual'!BR$189*BR$9</f>
        <v>0</v>
      </c>
      <c r="BS59" s="13">
        <f>'I&amp;E Annual'!BS$189*BS$9</f>
        <v>0</v>
      </c>
      <c r="BT59" s="13">
        <f>'I&amp;E Annual'!BT$189*BT$9</f>
        <v>0</v>
      </c>
      <c r="BU59" s="13">
        <f>'I&amp;E Annual'!BU$189*BU$9</f>
        <v>0</v>
      </c>
      <c r="BV59" s="13">
        <f>'I&amp;E Annual'!BV$189*BV$9</f>
        <v>0</v>
      </c>
      <c r="BW59" s="13">
        <f>'I&amp;E Annual'!BW$189*BW$9</f>
        <v>0</v>
      </c>
      <c r="BY59" s="42"/>
      <c r="CC59" s="126">
        <f t="shared" si="9"/>
        <v>0</v>
      </c>
      <c r="CD59" s="126">
        <f t="shared" si="10"/>
        <v>0</v>
      </c>
      <c r="CE59" s="126">
        <f t="shared" ref="CE59" si="72">IF(CM59=0, 0, 1)</f>
        <v>0</v>
      </c>
      <c r="CF59" s="42"/>
      <c r="CG59" s="352">
        <f>ROUND(W59-SUMIFS($AA59:$BJ59, $AA$3:$BJ$3, W$3), rounding)</f>
        <v>0</v>
      </c>
      <c r="CH59" s="352">
        <f>ROUND($X59-SUMIFS($AA59:$BJ59, $AA$3:$BJ$3, X$3), rounding)</f>
        <v>0</v>
      </c>
      <c r="CI59" s="352">
        <f>ROUND($Y59-SUMIFS($AA59:$BJ59, $AA$3:$BJ$3, Y$3), rounding)</f>
        <v>0</v>
      </c>
      <c r="CJ59" s="352">
        <f>ROUND(W59-BM59, rounding)</f>
        <v>0</v>
      </c>
      <c r="CK59" s="352">
        <f>ROUND(X59-BN59, rounding)</f>
        <v>0</v>
      </c>
      <c r="CL59" s="352">
        <f>ROUND(Y59-BO59, rounding)</f>
        <v>0</v>
      </c>
      <c r="CM59" s="352">
        <f>ROUND(V59-BL59, rounding)</f>
        <v>0</v>
      </c>
      <c r="EX59" s="10" t="str">
        <f t="shared" si="0"/>
        <v>Total Comprehensive Income</v>
      </c>
    </row>
    <row r="60" spans="1:154" s="335" customFormat="1" ht="8.1" customHeight="1" x14ac:dyDescent="0.25">
      <c r="A60" s="187"/>
      <c r="B60" s="187"/>
      <c r="C60" s="343"/>
      <c r="D60" s="556"/>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42"/>
      <c r="CC60" s="162"/>
      <c r="CD60" s="162"/>
      <c r="CE60" s="162"/>
      <c r="CF60" s="42"/>
      <c r="EX60" s="10" t="str">
        <f t="shared" si="0"/>
        <v/>
      </c>
    </row>
    <row r="61" spans="1:154" ht="15" customHeight="1" x14ac:dyDescent="0.25">
      <c r="A61" s="362" cm="1">
        <f t="array" aca="1" ref="A61" ca="1">HYPERLINK(CONCATENATE("#",CELL("address",IF(SUM($BY61:$CF61)=0,A61,INDEX($BY61:$CF61,MATCH(1,$BY61:$CF61,0))))),SUM($BY61:$CF61))</f>
        <v>0</v>
      </c>
      <c r="C61" s="343" t="str">
        <f>CONCATENATE("FS-",'I&amp;E Annual'!C$199)</f>
        <v>FS-IE-8</v>
      </c>
      <c r="D61" s="554" t="str">
        <f>'I&amp;E Annual'!D$199</f>
        <v>Education-specific EBITDA</v>
      </c>
      <c r="J61" s="157"/>
      <c r="Q61" s="335"/>
      <c r="R61" s="335"/>
      <c r="S61" s="157"/>
      <c r="T61" s="157"/>
      <c r="U61" s="157"/>
      <c r="V61" s="13">
        <f>BL61</f>
        <v>0</v>
      </c>
      <c r="W61" s="13">
        <f t="shared" ref="W61:Y61" si="73">BM61</f>
        <v>2032</v>
      </c>
      <c r="X61" s="13">
        <f t="shared" si="73"/>
        <v>2050</v>
      </c>
      <c r="Y61" s="13">
        <f t="shared" si="73"/>
        <v>2173.8100000000013</v>
      </c>
      <c r="Z61" s="157"/>
      <c r="AA61" s="13">
        <f>'I&amp;E Annual'!AA$199*AA$9</f>
        <v>1865</v>
      </c>
      <c r="AB61" s="13">
        <f>'I&amp;E Annual'!AB$199*AB$9</f>
        <v>1267</v>
      </c>
      <c r="AC61" s="13">
        <f>'I&amp;E Annual'!AC$199*AC$9</f>
        <v>250</v>
      </c>
      <c r="AD61" s="13">
        <f>'I&amp;E Annual'!AD$199*AD$9</f>
        <v>-70</v>
      </c>
      <c r="AE61" s="13">
        <f>'I&amp;E Annual'!AE$199*AE$9</f>
        <v>-764</v>
      </c>
      <c r="AF61" s="13">
        <f>'I&amp;E Annual'!AF$199*AF$9</f>
        <v>-553</v>
      </c>
      <c r="AG61" s="13">
        <f>'I&amp;E Annual'!AG$199*AG$9</f>
        <v>-580</v>
      </c>
      <c r="AH61" s="13">
        <f>'I&amp;E Annual'!AH$199*AH$9</f>
        <v>-784</v>
      </c>
      <c r="AI61" s="13">
        <f>'I&amp;E Annual'!AI$199*AI$9</f>
        <v>1368</v>
      </c>
      <c r="AJ61" s="13">
        <f>'I&amp;E Annual'!AJ$199*AJ$9</f>
        <v>398</v>
      </c>
      <c r="AK61" s="13">
        <f>'I&amp;E Annual'!AK$199*AK$9</f>
        <v>415</v>
      </c>
      <c r="AL61" s="13">
        <f>'I&amp;E Annual'!AL$199*AL$9</f>
        <v>-780</v>
      </c>
      <c r="AM61" s="13">
        <f>'I&amp;E Annual'!AM$199*AM$9</f>
        <v>2123</v>
      </c>
      <c r="AN61" s="13">
        <f>'I&amp;E Annual'!AN$199*AN$9</f>
        <v>1251</v>
      </c>
      <c r="AO61" s="13">
        <f>'I&amp;E Annual'!AO$199*AO$9</f>
        <v>246</v>
      </c>
      <c r="AP61" s="13">
        <f>'I&amp;E Annual'!AP$199*AP$9</f>
        <v>-301</v>
      </c>
      <c r="AQ61" s="13">
        <f>'I&amp;E Annual'!AQ$199*AQ$9</f>
        <v>-767</v>
      </c>
      <c r="AR61" s="13">
        <f>'I&amp;E Annual'!AR$199*AR$9</f>
        <v>-452</v>
      </c>
      <c r="AS61" s="13">
        <f>'I&amp;E Annual'!AS$199*AS$9</f>
        <v>-828</v>
      </c>
      <c r="AT61" s="13">
        <f>'I&amp;E Annual'!AT$199*AT$9</f>
        <v>-795</v>
      </c>
      <c r="AU61" s="13">
        <f>'I&amp;E Annual'!AU$199*AU$9</f>
        <v>1607</v>
      </c>
      <c r="AV61" s="13">
        <f>'I&amp;E Annual'!AV$199*AV$9</f>
        <v>505</v>
      </c>
      <c r="AW61" s="13">
        <f>'I&amp;E Annual'!AW$199*AW$9</f>
        <v>106</v>
      </c>
      <c r="AX61" s="13">
        <f>'I&amp;E Annual'!AX$199*AX$9</f>
        <v>-645</v>
      </c>
      <c r="AY61" s="13">
        <f>'I&amp;E Annual'!AY$199*AY$9</f>
        <v>2171.7483333333334</v>
      </c>
      <c r="AZ61" s="13">
        <f>'I&amp;E Annual'!AZ$199*AZ$9</f>
        <v>1268.3566666666661</v>
      </c>
      <c r="BA61" s="13">
        <f>'I&amp;E Annual'!BA$199*BA$9</f>
        <v>255.48833333333278</v>
      </c>
      <c r="BB61" s="13">
        <f>'I&amp;E Annual'!BB$199*BB$9</f>
        <v>-306.61333333333323</v>
      </c>
      <c r="BC61" s="13">
        <f>'I&amp;E Annual'!BC$199*BC$9</f>
        <v>-784.53</v>
      </c>
      <c r="BD61" s="13">
        <f>'I&amp;E Annual'!BD$199*BD$9</f>
        <v>-458.22999999999979</v>
      </c>
      <c r="BE61" s="13">
        <f>'I&amp;E Annual'!BE$199*BE$9</f>
        <v>-846.74166666666702</v>
      </c>
      <c r="BF61" s="13">
        <f>'I&amp;E Annual'!BF$199*BF$9</f>
        <v>-808.5183333333332</v>
      </c>
      <c r="BG61" s="13">
        <f>'I&amp;E Annual'!BG$199*BG$9</f>
        <v>1662.378333333334</v>
      </c>
      <c r="BH61" s="13">
        <f>'I&amp;E Annual'!BH$199*BH$9</f>
        <v>555.06833333333361</v>
      </c>
      <c r="BI61" s="13">
        <f>'I&amp;E Annual'!BI$199*BI$9</f>
        <v>117.19333333333361</v>
      </c>
      <c r="BJ61" s="13">
        <f>'I&amp;E Annual'!BJ$199*BJ$9</f>
        <v>-651.79000000000042</v>
      </c>
      <c r="BK61" s="157"/>
      <c r="BL61" s="13">
        <f>'I&amp;E Annual'!BL$199*BL$9</f>
        <v>0</v>
      </c>
      <c r="BM61" s="13">
        <f>'I&amp;E Annual'!BM$199*BM$9</f>
        <v>2032</v>
      </c>
      <c r="BN61" s="13">
        <f>'I&amp;E Annual'!BN$199*BN$9</f>
        <v>2050</v>
      </c>
      <c r="BO61" s="13">
        <f>'I&amp;E Annual'!BO$199*BO$9</f>
        <v>2173.8100000000013</v>
      </c>
      <c r="BP61" s="13">
        <f>'I&amp;E Annual'!BP$199*BP$9</f>
        <v>0</v>
      </c>
      <c r="BQ61" s="13">
        <f>'I&amp;E Annual'!BQ$199*BQ$9</f>
        <v>0</v>
      </c>
      <c r="BR61" s="13">
        <f>'I&amp;E Annual'!BR$199*BR$9</f>
        <v>0</v>
      </c>
      <c r="BS61" s="13">
        <f>'I&amp;E Annual'!BS$199*BS$9</f>
        <v>0</v>
      </c>
      <c r="BT61" s="13">
        <f>'I&amp;E Annual'!BT$199*BT$9</f>
        <v>0</v>
      </c>
      <c r="BU61" s="13">
        <f>'I&amp;E Annual'!BU$199*BU$9</f>
        <v>0</v>
      </c>
      <c r="BV61" s="13">
        <f>'I&amp;E Annual'!BV$199*BV$9</f>
        <v>0</v>
      </c>
      <c r="BW61" s="13">
        <f>'I&amp;E Annual'!BW$199*BW$9</f>
        <v>0</v>
      </c>
      <c r="BY61" s="42"/>
      <c r="BZ61" s="332"/>
      <c r="CA61" s="335"/>
      <c r="CC61" s="126">
        <f t="shared" si="9"/>
        <v>0</v>
      </c>
      <c r="CD61" s="126">
        <f t="shared" si="10"/>
        <v>0</v>
      </c>
      <c r="CE61" s="126">
        <f t="shared" ref="CE61" si="74">IF(CM61=0, 0, 1)</f>
        <v>0</v>
      </c>
      <c r="CF61" s="42"/>
      <c r="CG61" s="352">
        <f>ROUND(W61-SUMIFS($AA61:$BJ61, $AA$3:$BJ$3, W$3), rounding)</f>
        <v>0</v>
      </c>
      <c r="CH61" s="352">
        <f>ROUND($X61-SUMIFS($AA61:$BJ61, $AA$3:$BJ$3, X$3), rounding)</f>
        <v>0</v>
      </c>
      <c r="CI61" s="352">
        <f>ROUND($Y61-SUMIFS($AA61:$BJ61, $AA$3:$BJ$3, Y$3), rounding)</f>
        <v>0</v>
      </c>
      <c r="CJ61" s="352">
        <f>ROUND(W61-BM61, rounding)</f>
        <v>0</v>
      </c>
      <c r="CK61" s="352">
        <f>ROUND(X61-BN61, rounding)</f>
        <v>0</v>
      </c>
      <c r="CL61" s="352">
        <f>ROUND(Y61-BO61, rounding)</f>
        <v>0</v>
      </c>
      <c r="CM61" s="352">
        <f>ROUND(V61-BL61, rounding)</f>
        <v>0</v>
      </c>
      <c r="EX61" s="10" t="str">
        <f t="shared" si="0"/>
        <v>Education-specific EBITDA</v>
      </c>
    </row>
    <row r="62" spans="1:154" s="335" customFormat="1" ht="11.45" customHeight="1" x14ac:dyDescent="0.25">
      <c r="A62" s="157"/>
      <c r="B62" s="187"/>
      <c r="C62" s="343"/>
      <c r="D62" s="556"/>
      <c r="E62" s="157"/>
      <c r="F62" s="157"/>
      <c r="G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42"/>
      <c r="CC62" s="162"/>
      <c r="CD62" s="162"/>
      <c r="CE62" s="162"/>
      <c r="CF62" s="42"/>
      <c r="EX62" s="10" t="str">
        <f t="shared" si="0"/>
        <v/>
      </c>
    </row>
    <row r="63" spans="1:154" ht="15" customHeight="1" x14ac:dyDescent="0.25">
      <c r="A63" s="40"/>
      <c r="B63" s="40"/>
      <c r="C63" s="390"/>
      <c r="D63" s="559" t="s">
        <v>598</v>
      </c>
      <c r="E63" s="40"/>
      <c r="F63" s="40"/>
      <c r="G63" s="40"/>
      <c r="H63" s="40"/>
      <c r="I63" s="40"/>
      <c r="J63" s="40"/>
      <c r="K63" s="40"/>
      <c r="L63" s="40"/>
      <c r="M63" s="40"/>
      <c r="N63" s="40"/>
      <c r="O63" s="40"/>
      <c r="P63" s="40"/>
      <c r="Q63" s="40"/>
      <c r="R63" s="40"/>
      <c r="S63" s="40"/>
      <c r="T63" s="40"/>
      <c r="U63" s="40"/>
      <c r="V63" s="186" t="str" cm="1">
        <f t="array" aca="1" ref="V63" ca="1">HYPERLINK(CONCATENATE("#",CELL("address",$BW63)),"Link to 12 Year Annual Timeline")</f>
        <v>Link to 12 Year Annual Timeline</v>
      </c>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186" t="str" cm="1">
        <f t="array" aca="1" ref="BL63" ca="1">HYPERLINK(CONCATENATE("#",CELL("address",$V63)),"Link to 4 Year Annual Timeline")</f>
        <v>Link to 4 Year Annual Timeline</v>
      </c>
      <c r="BM63" s="40"/>
      <c r="BN63" s="40"/>
      <c r="BO63" s="40"/>
      <c r="BP63" s="40"/>
      <c r="BQ63" s="40"/>
      <c r="BR63" s="40"/>
      <c r="BS63" s="40"/>
      <c r="BT63" s="40"/>
      <c r="BU63" s="40"/>
      <c r="BV63" s="40"/>
      <c r="BW63" s="40"/>
      <c r="BX63" s="40"/>
      <c r="BY63" s="42"/>
      <c r="CA63" s="335"/>
      <c r="CC63" s="162"/>
      <c r="CD63" s="162"/>
      <c r="CE63" s="162"/>
      <c r="CF63" s="42"/>
      <c r="EX63" s="10" t="str">
        <f t="shared" si="0"/>
        <v/>
      </c>
    </row>
    <row r="64" spans="1:154" ht="8.1" customHeight="1" x14ac:dyDescent="0.25">
      <c r="A64" s="187"/>
      <c r="B64" s="187"/>
      <c r="C64" s="343"/>
      <c r="D64" s="556"/>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42"/>
      <c r="CC64" s="162"/>
      <c r="CD64" s="162"/>
      <c r="CE64" s="162"/>
      <c r="CF64" s="42"/>
      <c r="EX64" s="10" t="str">
        <f t="shared" si="0"/>
        <v/>
      </c>
    </row>
    <row r="65" spans="1:154" x14ac:dyDescent="0.25">
      <c r="A65" s="93"/>
      <c r="B65" s="189"/>
      <c r="C65" s="343"/>
      <c r="D65" s="554" t="str">
        <f>'BS Forecasts'!D$22</f>
        <v>Non-Current Assets</v>
      </c>
      <c r="BY65" s="42"/>
      <c r="CC65" s="162"/>
      <c r="CD65" s="162"/>
      <c r="CE65" s="162"/>
      <c r="CF65" s="42"/>
      <c r="EX65" s="10" t="str">
        <f t="shared" si="0"/>
        <v/>
      </c>
    </row>
    <row r="66" spans="1:154" x14ac:dyDescent="0.25">
      <c r="A66" s="362" cm="1">
        <f t="array" aca="1" ref="A66" ca="1">HYPERLINK(CONCATENATE("#",CELL("address",IF(SUM($BY66:$CF66)=0,A66,INDEX($BY66:$CF66,MATCH(1,$BY66:$CF66,0))))),SUM($BY66:$CF66))</f>
        <v>0</v>
      </c>
      <c r="B66" s="93"/>
      <c r="C66" s="343" t="str">
        <f>'BS Forecasts'!C$25</f>
        <v>B-1a-CB</v>
      </c>
      <c r="D66" s="560" t="str" cm="1">
        <f t="array" aca="1" ref="D66" ca="1">HYPERLINK(CONCATENATE("#",CELL("address",'BS Forecasts'!$D$25)),'BS Forecasts'!$D$24)</f>
        <v>Land &amp; Buildings</v>
      </c>
      <c r="J66" s="335"/>
      <c r="Q66" s="335"/>
      <c r="R66" s="335"/>
      <c r="T66" s="335"/>
      <c r="U66" s="335"/>
      <c r="V66" s="10">
        <f>'BS Forecasts'!V$25</f>
        <v>31898</v>
      </c>
      <c r="W66" s="121">
        <f>'BS Forecasts'!W$25</f>
        <v>34953</v>
      </c>
      <c r="X66" s="121">
        <f>'BS Forecasts'!X$25</f>
        <v>38593</v>
      </c>
      <c r="Y66" s="121">
        <f>'BS Forecasts'!Y$25</f>
        <v>39602</v>
      </c>
      <c r="AA66" s="121">
        <f>'BS Forecasts'!AA$25</f>
        <v>31814</v>
      </c>
      <c r="AB66" s="121">
        <f>'BS Forecasts'!AB$25</f>
        <v>31720</v>
      </c>
      <c r="AC66" s="121">
        <f>'BS Forecasts'!AC$25</f>
        <v>34435</v>
      </c>
      <c r="AD66" s="121">
        <f>'BS Forecasts'!AD$25</f>
        <v>34336</v>
      </c>
      <c r="AE66" s="121">
        <f>'BS Forecasts'!AE$25</f>
        <v>34237</v>
      </c>
      <c r="AF66" s="121">
        <f>'BS Forecasts'!AF$25</f>
        <v>34137</v>
      </c>
      <c r="AG66" s="121">
        <f>'BS Forecasts'!AG$25</f>
        <v>34037</v>
      </c>
      <c r="AH66" s="121">
        <f>'BS Forecasts'!AH$25</f>
        <v>35363</v>
      </c>
      <c r="AI66" s="121">
        <f>'BS Forecasts'!AI$25</f>
        <v>35262</v>
      </c>
      <c r="AJ66" s="121">
        <f>'BS Forecasts'!AJ$25</f>
        <v>35160</v>
      </c>
      <c r="AK66" s="121">
        <f>'BS Forecasts'!AK$25</f>
        <v>35020</v>
      </c>
      <c r="AL66" s="121">
        <f>'BS Forecasts'!AL$25</f>
        <v>34953</v>
      </c>
      <c r="AM66" s="121">
        <f>'BS Forecasts'!AM$25</f>
        <v>35142</v>
      </c>
      <c r="AN66" s="121">
        <f>'BS Forecasts'!AN$25</f>
        <v>35838</v>
      </c>
      <c r="AO66" s="121">
        <f>'BS Forecasts'!AO$25</f>
        <v>36107</v>
      </c>
      <c r="AP66" s="121">
        <f>'BS Forecasts'!AP$25</f>
        <v>36201</v>
      </c>
      <c r="AQ66" s="121">
        <f>'BS Forecasts'!AQ$25</f>
        <v>36539</v>
      </c>
      <c r="AR66" s="121">
        <f>'BS Forecasts'!AR$25</f>
        <v>36882</v>
      </c>
      <c r="AS66" s="121">
        <f>'BS Forecasts'!AS$25</f>
        <v>37225</v>
      </c>
      <c r="AT66" s="121">
        <f>'BS Forecasts'!AT$25</f>
        <v>37662</v>
      </c>
      <c r="AU66" s="121">
        <f>'BS Forecasts'!AU$25</f>
        <v>38056</v>
      </c>
      <c r="AV66" s="121">
        <f>'BS Forecasts'!AV$25</f>
        <v>38271</v>
      </c>
      <c r="AW66" s="121">
        <f>'BS Forecasts'!AW$25</f>
        <v>38443</v>
      </c>
      <c r="AX66" s="121">
        <f>'BS Forecasts'!AX$25</f>
        <v>38593</v>
      </c>
      <c r="AY66" s="121">
        <f>'BS Forecasts'!AY$25</f>
        <v>38734</v>
      </c>
      <c r="AZ66" s="121">
        <f>'BS Forecasts'!AZ$25</f>
        <v>38828</v>
      </c>
      <c r="BA66" s="121">
        <f>'BS Forecasts'!BA$25</f>
        <v>38930</v>
      </c>
      <c r="BB66" s="121">
        <f>'BS Forecasts'!BB$25</f>
        <v>39033</v>
      </c>
      <c r="BC66" s="121">
        <f>'BS Forecasts'!BC$25</f>
        <v>39136</v>
      </c>
      <c r="BD66" s="121">
        <f>'BS Forecasts'!BD$25</f>
        <v>39232</v>
      </c>
      <c r="BE66" s="121">
        <f>'BS Forecasts'!BE$25</f>
        <v>39388</v>
      </c>
      <c r="BF66" s="121">
        <f>'BS Forecasts'!BF$25</f>
        <v>39434</v>
      </c>
      <c r="BG66" s="121">
        <f>'BS Forecasts'!BG$25</f>
        <v>39479</v>
      </c>
      <c r="BH66" s="121">
        <f>'BS Forecasts'!BH$25</f>
        <v>39542</v>
      </c>
      <c r="BI66" s="121">
        <f>'BS Forecasts'!BI$25</f>
        <v>39572</v>
      </c>
      <c r="BJ66" s="121">
        <f>'BS Forecasts'!BJ$25</f>
        <v>39602</v>
      </c>
      <c r="BL66" s="121">
        <f>'BS Forecasts'!BL$25</f>
        <v>31898</v>
      </c>
      <c r="BM66" s="121">
        <f>'BS Forecasts'!BM$25</f>
        <v>34953</v>
      </c>
      <c r="BN66" s="121">
        <f>'BS Forecasts'!BN$25</f>
        <v>38593</v>
      </c>
      <c r="BO66" s="121">
        <f>'BS Forecasts'!BO$25</f>
        <v>39602</v>
      </c>
      <c r="BP66" s="121">
        <f>'BS Forecasts'!BP$25</f>
        <v>39602</v>
      </c>
      <c r="BQ66" s="121">
        <f>'BS Forecasts'!BQ$25</f>
        <v>39602</v>
      </c>
      <c r="BR66" s="121">
        <f>'BS Forecasts'!BR$25</f>
        <v>39602</v>
      </c>
      <c r="BS66" s="121">
        <f>'BS Forecasts'!BS$25</f>
        <v>39602</v>
      </c>
      <c r="BT66" s="121">
        <f>'BS Forecasts'!BT$25</f>
        <v>39602</v>
      </c>
      <c r="BU66" s="121">
        <f>'BS Forecasts'!BU$25</f>
        <v>39602</v>
      </c>
      <c r="BV66" s="121">
        <f>'BS Forecasts'!BV$25</f>
        <v>39602</v>
      </c>
      <c r="BW66" s="121">
        <f>'BS Forecasts'!BW$25</f>
        <v>39602</v>
      </c>
      <c r="BY66" s="42"/>
      <c r="CC66" s="126">
        <f t="shared" ref="CC66:CC129" si="75">IF(SUM($CG66:$CI66)=0, 0, 1)</f>
        <v>0</v>
      </c>
      <c r="CD66" s="126">
        <f t="shared" ref="CD66:CD129" si="76">IF(SUM($CJ66:$CL66)=0, 0, 1)</f>
        <v>0</v>
      </c>
      <c r="CE66" s="126">
        <f t="shared" ref="CE66" si="77">IF(CM66=0, 0, 1)</f>
        <v>0</v>
      </c>
      <c r="CF66" s="42"/>
      <c r="CG66" s="352">
        <f t="shared" ref="CG66:CI73" si="78">ROUND(W66-INDEX($AA66:$BJ66, MATCH(W$5, $AA$5:$BJ$5,0)), rounding)</f>
        <v>0</v>
      </c>
      <c r="CH66" s="352">
        <f t="shared" si="78"/>
        <v>0</v>
      </c>
      <c r="CI66" s="352">
        <f t="shared" si="78"/>
        <v>0</v>
      </c>
      <c r="CJ66" s="352">
        <f t="shared" ref="CJ66:CL73" si="79">ROUND(W66-BM66, rounding)</f>
        <v>0</v>
      </c>
      <c r="CK66" s="352">
        <f t="shared" si="79"/>
        <v>0</v>
      </c>
      <c r="CL66" s="352">
        <f t="shared" si="79"/>
        <v>0</v>
      </c>
      <c r="CM66" s="352">
        <f t="shared" ref="CM66:CM73" si="80">ROUND(V66-BL66, rounding)</f>
        <v>0</v>
      </c>
      <c r="EX66" s="10" t="str">
        <f t="shared" ca="1" si="0"/>
        <v>Land &amp; Buildings</v>
      </c>
    </row>
    <row r="67" spans="1:154" x14ac:dyDescent="0.25">
      <c r="A67" s="362" cm="1">
        <f t="array" aca="1" ref="A67" ca="1">HYPERLINK(CONCATENATE("#",CELL("address",IF(SUM($BY67:$CF67)=0,A67,INDEX($BY67:$CF67,MATCH(1,$BY67:$CF67,0))))),SUM($BY67:$CF67))</f>
        <v>0</v>
      </c>
      <c r="B67" s="93"/>
      <c r="C67" s="343" t="str">
        <f>'BS Forecasts'!C$28</f>
        <v>B-1b-CB</v>
      </c>
      <c r="D67" s="560" t="str" cm="1">
        <f t="array" aca="1" ref="D67" ca="1">HYPERLINK(CONCATENATE("#",CELL("address",'BS Forecasts'!$D$28)),'BS Forecasts'!$D$27)</f>
        <v>Equipment</v>
      </c>
      <c r="J67" s="335"/>
      <c r="Q67" s="335"/>
      <c r="R67" s="335"/>
      <c r="T67" s="335"/>
      <c r="U67" s="335"/>
      <c r="V67" s="10">
        <f>'BS Forecasts'!V$28</f>
        <v>1667</v>
      </c>
      <c r="W67" s="121">
        <f>'BS Forecasts'!W$28</f>
        <v>1326</v>
      </c>
      <c r="X67" s="121">
        <f>'BS Forecasts'!X$28</f>
        <v>1627</v>
      </c>
      <c r="Y67" s="121">
        <f>'BS Forecasts'!Y$28</f>
        <v>1126</v>
      </c>
      <c r="AA67" s="121">
        <f>'BS Forecasts'!AA$28</f>
        <v>1722</v>
      </c>
      <c r="AB67" s="121">
        <f>'BS Forecasts'!AB$28</f>
        <v>1681</v>
      </c>
      <c r="AC67" s="121">
        <f>'BS Forecasts'!AC$28</f>
        <v>1640</v>
      </c>
      <c r="AD67" s="121">
        <f>'BS Forecasts'!AD$28</f>
        <v>1601</v>
      </c>
      <c r="AE67" s="121">
        <f>'BS Forecasts'!AE$28</f>
        <v>1562</v>
      </c>
      <c r="AF67" s="121">
        <f>'BS Forecasts'!AF$28</f>
        <v>1524</v>
      </c>
      <c r="AG67" s="121">
        <f>'BS Forecasts'!AG$28</f>
        <v>1486</v>
      </c>
      <c r="AH67" s="121">
        <f>'BS Forecasts'!AH$28</f>
        <v>1451</v>
      </c>
      <c r="AI67" s="121">
        <f>'BS Forecasts'!AI$28</f>
        <v>1416</v>
      </c>
      <c r="AJ67" s="121">
        <f>'BS Forecasts'!AJ$28</f>
        <v>1384</v>
      </c>
      <c r="AK67" s="121">
        <f>'BS Forecasts'!AK$28</f>
        <v>1361</v>
      </c>
      <c r="AL67" s="121">
        <f>'BS Forecasts'!AL$28</f>
        <v>1326</v>
      </c>
      <c r="AM67" s="121">
        <f>'BS Forecasts'!AM$28</f>
        <v>2079</v>
      </c>
      <c r="AN67" s="121">
        <f>'BS Forecasts'!AN$28</f>
        <v>2034</v>
      </c>
      <c r="AO67" s="121">
        <f>'BS Forecasts'!AO$28</f>
        <v>1989</v>
      </c>
      <c r="AP67" s="121">
        <f>'BS Forecasts'!AP$28</f>
        <v>1946</v>
      </c>
      <c r="AQ67" s="121">
        <f>'BS Forecasts'!AQ$28</f>
        <v>1903</v>
      </c>
      <c r="AR67" s="121">
        <f>'BS Forecasts'!AR$28</f>
        <v>1861</v>
      </c>
      <c r="AS67" s="121">
        <f>'BS Forecasts'!AS$28</f>
        <v>1819</v>
      </c>
      <c r="AT67" s="121">
        <f>'BS Forecasts'!AT$28</f>
        <v>1780</v>
      </c>
      <c r="AU67" s="121">
        <f>'BS Forecasts'!AU$28</f>
        <v>1741</v>
      </c>
      <c r="AV67" s="121">
        <f>'BS Forecasts'!AV$28</f>
        <v>1705</v>
      </c>
      <c r="AW67" s="121">
        <f>'BS Forecasts'!AW$28</f>
        <v>1666</v>
      </c>
      <c r="AX67" s="121">
        <f>'BS Forecasts'!AX$28</f>
        <v>1627</v>
      </c>
      <c r="AY67" s="121">
        <f>'BS Forecasts'!AY$28</f>
        <v>1578</v>
      </c>
      <c r="AZ67" s="121">
        <f>'BS Forecasts'!AZ$28</f>
        <v>1533</v>
      </c>
      <c r="BA67" s="121">
        <f>'BS Forecasts'!BA$28</f>
        <v>1488</v>
      </c>
      <c r="BB67" s="121">
        <f>'BS Forecasts'!BB$28</f>
        <v>1445</v>
      </c>
      <c r="BC67" s="121">
        <f>'BS Forecasts'!BC$28</f>
        <v>1402</v>
      </c>
      <c r="BD67" s="121">
        <f>'BS Forecasts'!BD$28</f>
        <v>1360</v>
      </c>
      <c r="BE67" s="121">
        <f>'BS Forecasts'!BE$28</f>
        <v>1318</v>
      </c>
      <c r="BF67" s="121">
        <f>'BS Forecasts'!BF$28</f>
        <v>1279</v>
      </c>
      <c r="BG67" s="121">
        <f>'BS Forecasts'!BG$28</f>
        <v>1240</v>
      </c>
      <c r="BH67" s="121">
        <f>'BS Forecasts'!BH$28</f>
        <v>1204</v>
      </c>
      <c r="BI67" s="121">
        <f>'BS Forecasts'!BI$28</f>
        <v>1165</v>
      </c>
      <c r="BJ67" s="121">
        <f>'BS Forecasts'!BJ$28</f>
        <v>1126</v>
      </c>
      <c r="BL67" s="121">
        <f>'BS Forecasts'!BL$28</f>
        <v>1667</v>
      </c>
      <c r="BM67" s="121">
        <f>'BS Forecasts'!BM$28</f>
        <v>1326</v>
      </c>
      <c r="BN67" s="121">
        <f>'BS Forecasts'!BN$28</f>
        <v>1627</v>
      </c>
      <c r="BO67" s="121">
        <f>'BS Forecasts'!BO$28</f>
        <v>1126</v>
      </c>
      <c r="BP67" s="121">
        <f>'BS Forecasts'!BP$28</f>
        <v>1126</v>
      </c>
      <c r="BQ67" s="121">
        <f>'BS Forecasts'!BQ$28</f>
        <v>1126</v>
      </c>
      <c r="BR67" s="121">
        <f>'BS Forecasts'!BR$28</f>
        <v>1126</v>
      </c>
      <c r="BS67" s="121">
        <f>'BS Forecasts'!BS$28</f>
        <v>1126</v>
      </c>
      <c r="BT67" s="121">
        <f>'BS Forecasts'!BT$28</f>
        <v>1126</v>
      </c>
      <c r="BU67" s="121">
        <f>'BS Forecasts'!BU$28</f>
        <v>1126</v>
      </c>
      <c r="BV67" s="121">
        <f>'BS Forecasts'!BV$28</f>
        <v>1126</v>
      </c>
      <c r="BW67" s="121">
        <f>'BS Forecasts'!BW$28</f>
        <v>1126</v>
      </c>
      <c r="BY67" s="42"/>
      <c r="CC67" s="126">
        <f t="shared" si="75"/>
        <v>0</v>
      </c>
      <c r="CD67" s="126">
        <f t="shared" si="76"/>
        <v>0</v>
      </c>
      <c r="CE67" s="126">
        <f t="shared" ref="CE67:CE73" si="81">IF(CM67=0, 0, 1)</f>
        <v>0</v>
      </c>
      <c r="CF67" s="42"/>
      <c r="CG67" s="352">
        <f t="shared" si="78"/>
        <v>0</v>
      </c>
      <c r="CH67" s="352">
        <f t="shared" si="78"/>
        <v>0</v>
      </c>
      <c r="CI67" s="352">
        <f t="shared" si="78"/>
        <v>0</v>
      </c>
      <c r="CJ67" s="352">
        <f t="shared" si="79"/>
        <v>0</v>
      </c>
      <c r="CK67" s="352">
        <f t="shared" si="79"/>
        <v>0</v>
      </c>
      <c r="CL67" s="352">
        <f t="shared" si="79"/>
        <v>0</v>
      </c>
      <c r="CM67" s="352">
        <f t="shared" si="80"/>
        <v>0</v>
      </c>
      <c r="EX67" s="10" t="str">
        <f t="shared" ca="1" si="0"/>
        <v>Equipment</v>
      </c>
    </row>
    <row r="68" spans="1:154" x14ac:dyDescent="0.25">
      <c r="A68" s="362" cm="1">
        <f t="array" aca="1" ref="A68" ca="1">HYPERLINK(CONCATENATE("#",CELL("address",IF(SUM($BY68:$CF68)=0,A68,INDEX($BY68:$CF68,MATCH(1,$BY68:$CF68,0))))),SUM($BY68:$CF68))</f>
        <v>0</v>
      </c>
      <c r="B68" s="93"/>
      <c r="C68" s="343" t="str">
        <f>'BS Forecasts'!C$31</f>
        <v>B-1c-CB</v>
      </c>
      <c r="D68" s="560" t="str" cm="1">
        <f t="array" aca="1" ref="D68" ca="1">HYPERLINK(CONCATENATE("#",CELL("address",'BS Forecasts'!$D$31)),'BS Forecasts'!$D$30)</f>
        <v>Other NCA</v>
      </c>
      <c r="J68" s="335"/>
      <c r="Q68" s="335"/>
      <c r="R68" s="335"/>
      <c r="T68" s="335"/>
      <c r="U68" s="335"/>
      <c r="V68" s="10">
        <f>'BS Forecasts'!V$31</f>
        <v>600</v>
      </c>
      <c r="W68" s="121">
        <f>'BS Forecasts'!W$31</f>
        <v>400</v>
      </c>
      <c r="X68" s="121">
        <f>'BS Forecasts'!X$31</f>
        <v>200</v>
      </c>
      <c r="Y68" s="121">
        <f>'BS Forecasts'!Y$31</f>
        <v>0</v>
      </c>
      <c r="AA68" s="121">
        <f>'BS Forecasts'!AA$31</f>
        <v>583</v>
      </c>
      <c r="AB68" s="121">
        <f>'BS Forecasts'!AB$31</f>
        <v>567</v>
      </c>
      <c r="AC68" s="121">
        <f>'BS Forecasts'!AC$31</f>
        <v>550</v>
      </c>
      <c r="AD68" s="121">
        <f>'BS Forecasts'!AD$31</f>
        <v>534</v>
      </c>
      <c r="AE68" s="121">
        <f>'BS Forecasts'!AE$31</f>
        <v>517</v>
      </c>
      <c r="AF68" s="121">
        <f>'BS Forecasts'!AF$31</f>
        <v>501</v>
      </c>
      <c r="AG68" s="121">
        <f>'BS Forecasts'!AG$31</f>
        <v>484</v>
      </c>
      <c r="AH68" s="121">
        <f>'BS Forecasts'!AH$31</f>
        <v>468</v>
      </c>
      <c r="AI68" s="121">
        <f>'BS Forecasts'!AI$31</f>
        <v>451</v>
      </c>
      <c r="AJ68" s="121">
        <f>'BS Forecasts'!AJ$31</f>
        <v>434</v>
      </c>
      <c r="AK68" s="121">
        <f>'BS Forecasts'!AK$31</f>
        <v>417</v>
      </c>
      <c r="AL68" s="121">
        <f>'BS Forecasts'!AL$31</f>
        <v>400</v>
      </c>
      <c r="AM68" s="121">
        <f>'BS Forecasts'!AM$31</f>
        <v>383</v>
      </c>
      <c r="AN68" s="121">
        <f>'BS Forecasts'!AN$31</f>
        <v>367</v>
      </c>
      <c r="AO68" s="121">
        <f>'BS Forecasts'!AO$31</f>
        <v>350</v>
      </c>
      <c r="AP68" s="121">
        <f>'BS Forecasts'!AP$31</f>
        <v>334</v>
      </c>
      <c r="AQ68" s="121">
        <f>'BS Forecasts'!AQ$31</f>
        <v>317</v>
      </c>
      <c r="AR68" s="121">
        <f>'BS Forecasts'!AR$31</f>
        <v>301</v>
      </c>
      <c r="AS68" s="121">
        <f>'BS Forecasts'!AS$31</f>
        <v>284</v>
      </c>
      <c r="AT68" s="121">
        <f>'BS Forecasts'!AT$31</f>
        <v>268</v>
      </c>
      <c r="AU68" s="121">
        <f>'BS Forecasts'!AU$31</f>
        <v>251</v>
      </c>
      <c r="AV68" s="121">
        <f>'BS Forecasts'!AV$31</f>
        <v>234</v>
      </c>
      <c r="AW68" s="121">
        <f>'BS Forecasts'!AW$31</f>
        <v>217</v>
      </c>
      <c r="AX68" s="121">
        <f>'BS Forecasts'!AX$31</f>
        <v>200</v>
      </c>
      <c r="AY68" s="121">
        <f>'BS Forecasts'!AY$31</f>
        <v>183</v>
      </c>
      <c r="AZ68" s="121">
        <f>'BS Forecasts'!AZ$31</f>
        <v>167</v>
      </c>
      <c r="BA68" s="121">
        <f>'BS Forecasts'!BA$31</f>
        <v>150</v>
      </c>
      <c r="BB68" s="121">
        <f>'BS Forecasts'!BB$31</f>
        <v>134</v>
      </c>
      <c r="BC68" s="121">
        <f>'BS Forecasts'!BC$31</f>
        <v>117</v>
      </c>
      <c r="BD68" s="121">
        <f>'BS Forecasts'!BD$31</f>
        <v>101</v>
      </c>
      <c r="BE68" s="121">
        <f>'BS Forecasts'!BE$31</f>
        <v>84</v>
      </c>
      <c r="BF68" s="121">
        <f>'BS Forecasts'!BF$31</f>
        <v>68</v>
      </c>
      <c r="BG68" s="121">
        <f>'BS Forecasts'!BG$31</f>
        <v>51</v>
      </c>
      <c r="BH68" s="121">
        <f>'BS Forecasts'!BH$31</f>
        <v>34</v>
      </c>
      <c r="BI68" s="121">
        <f>'BS Forecasts'!BI$31</f>
        <v>17</v>
      </c>
      <c r="BJ68" s="121">
        <f>'BS Forecasts'!BJ$31</f>
        <v>0</v>
      </c>
      <c r="BL68" s="121">
        <f>'BS Forecasts'!BL$31</f>
        <v>600</v>
      </c>
      <c r="BM68" s="121">
        <f>'BS Forecasts'!BM$31</f>
        <v>400</v>
      </c>
      <c r="BN68" s="121">
        <f>'BS Forecasts'!BN$31</f>
        <v>200</v>
      </c>
      <c r="BO68" s="121">
        <f>'BS Forecasts'!BO$31</f>
        <v>0</v>
      </c>
      <c r="BP68" s="121">
        <f>'BS Forecasts'!BP$31</f>
        <v>0</v>
      </c>
      <c r="BQ68" s="121">
        <f>'BS Forecasts'!BQ$31</f>
        <v>0</v>
      </c>
      <c r="BR68" s="121">
        <f>'BS Forecasts'!BR$31</f>
        <v>0</v>
      </c>
      <c r="BS68" s="121">
        <f>'BS Forecasts'!BS$31</f>
        <v>0</v>
      </c>
      <c r="BT68" s="121">
        <f>'BS Forecasts'!BT$31</f>
        <v>0</v>
      </c>
      <c r="BU68" s="121">
        <f>'BS Forecasts'!BU$31</f>
        <v>0</v>
      </c>
      <c r="BV68" s="121">
        <f>'BS Forecasts'!BV$31</f>
        <v>0</v>
      </c>
      <c r="BW68" s="121">
        <f>'BS Forecasts'!BW$31</f>
        <v>0</v>
      </c>
      <c r="BY68" s="42"/>
      <c r="CC68" s="126">
        <f t="shared" si="75"/>
        <v>0</v>
      </c>
      <c r="CD68" s="126">
        <f t="shared" si="76"/>
        <v>0</v>
      </c>
      <c r="CE68" s="126">
        <f t="shared" si="81"/>
        <v>0</v>
      </c>
      <c r="CF68" s="42"/>
      <c r="CG68" s="352">
        <f t="shared" si="78"/>
        <v>0</v>
      </c>
      <c r="CH68" s="352">
        <f t="shared" si="78"/>
        <v>0</v>
      </c>
      <c r="CI68" s="352">
        <f t="shared" si="78"/>
        <v>0</v>
      </c>
      <c r="CJ68" s="352">
        <f t="shared" si="79"/>
        <v>0</v>
      </c>
      <c r="CK68" s="352">
        <f t="shared" si="79"/>
        <v>0</v>
      </c>
      <c r="CL68" s="352">
        <f t="shared" si="79"/>
        <v>0</v>
      </c>
      <c r="CM68" s="352">
        <f t="shared" si="80"/>
        <v>0</v>
      </c>
      <c r="EX68" s="10" t="str">
        <f t="shared" ca="1" si="0"/>
        <v>Other NCA</v>
      </c>
    </row>
    <row r="69" spans="1:154" x14ac:dyDescent="0.25">
      <c r="A69" s="362" cm="1">
        <f t="array" aca="1" ref="A69" ca="1">HYPERLINK(CONCATENATE("#",CELL("address",IF(SUM($BY69:$CF69)=0,A69,INDEX($BY69:$CF69,MATCH(1,$BY69:$CF69,0))))),SUM($BY69:$CF69))</f>
        <v>0</v>
      </c>
      <c r="B69" s="93"/>
      <c r="C69" s="343" t="str">
        <f>'BS Forecasts'!C$34</f>
        <v>B-1d-CB</v>
      </c>
      <c r="D69" s="560" t="str" cm="1">
        <f t="array" aca="1" ref="D69" ca="1">HYPERLINK(CONCATENATE("#",CELL("address",'BS Forecasts'!$D$34)),'BS Forecasts'!$D$33)</f>
        <v>Assets under Construction</v>
      </c>
      <c r="J69" s="335"/>
      <c r="Q69" s="335"/>
      <c r="R69" s="335"/>
      <c r="T69" s="335"/>
      <c r="U69" s="335"/>
      <c r="V69" s="10">
        <f>'BS Forecasts'!V$34</f>
        <v>0</v>
      </c>
      <c r="W69" s="121">
        <f>'BS Forecasts'!W$34</f>
        <v>0</v>
      </c>
      <c r="X69" s="121">
        <f>'BS Forecasts'!X$34</f>
        <v>0</v>
      </c>
      <c r="Y69" s="121">
        <f>'BS Forecasts'!Y$34</f>
        <v>0</v>
      </c>
      <c r="AA69" s="121">
        <f>'BS Forecasts'!AA$34</f>
        <v>0</v>
      </c>
      <c r="AB69" s="121">
        <f>'BS Forecasts'!AB$34</f>
        <v>0</v>
      </c>
      <c r="AC69" s="121">
        <f>'BS Forecasts'!AC$34</f>
        <v>0</v>
      </c>
      <c r="AD69" s="121">
        <f>'BS Forecasts'!AD$34</f>
        <v>0</v>
      </c>
      <c r="AE69" s="121">
        <f>'BS Forecasts'!AE$34</f>
        <v>0</v>
      </c>
      <c r="AF69" s="121">
        <f>'BS Forecasts'!AF$34</f>
        <v>0</v>
      </c>
      <c r="AG69" s="121">
        <f>'BS Forecasts'!AG$34</f>
        <v>0</v>
      </c>
      <c r="AH69" s="121">
        <f>'BS Forecasts'!AH$34</f>
        <v>0</v>
      </c>
      <c r="AI69" s="121">
        <f>'BS Forecasts'!AI$34</f>
        <v>0</v>
      </c>
      <c r="AJ69" s="121">
        <f>'BS Forecasts'!AJ$34</f>
        <v>0</v>
      </c>
      <c r="AK69" s="121">
        <f>'BS Forecasts'!AK$34</f>
        <v>0</v>
      </c>
      <c r="AL69" s="121">
        <f>'BS Forecasts'!AL$34</f>
        <v>0</v>
      </c>
      <c r="AM69" s="121">
        <f>'BS Forecasts'!AM$34</f>
        <v>0</v>
      </c>
      <c r="AN69" s="121">
        <f>'BS Forecasts'!AN$34</f>
        <v>0</v>
      </c>
      <c r="AO69" s="121">
        <f>'BS Forecasts'!AO$34</f>
        <v>0</v>
      </c>
      <c r="AP69" s="121">
        <f>'BS Forecasts'!AP$34</f>
        <v>0</v>
      </c>
      <c r="AQ69" s="121">
        <f>'BS Forecasts'!AQ$34</f>
        <v>0</v>
      </c>
      <c r="AR69" s="121">
        <f>'BS Forecasts'!AR$34</f>
        <v>0</v>
      </c>
      <c r="AS69" s="121">
        <f>'BS Forecasts'!AS$34</f>
        <v>0</v>
      </c>
      <c r="AT69" s="121">
        <f>'BS Forecasts'!AT$34</f>
        <v>0</v>
      </c>
      <c r="AU69" s="121">
        <f>'BS Forecasts'!AU$34</f>
        <v>0</v>
      </c>
      <c r="AV69" s="121">
        <f>'BS Forecasts'!AV$34</f>
        <v>0</v>
      </c>
      <c r="AW69" s="121">
        <f>'BS Forecasts'!AW$34</f>
        <v>0</v>
      </c>
      <c r="AX69" s="121">
        <f>'BS Forecasts'!AX$34</f>
        <v>0</v>
      </c>
      <c r="AY69" s="121">
        <f>'BS Forecasts'!AY$34</f>
        <v>0</v>
      </c>
      <c r="AZ69" s="121">
        <f>'BS Forecasts'!AZ$34</f>
        <v>0</v>
      </c>
      <c r="BA69" s="121">
        <f>'BS Forecasts'!BA$34</f>
        <v>0</v>
      </c>
      <c r="BB69" s="121">
        <f>'BS Forecasts'!BB$34</f>
        <v>0</v>
      </c>
      <c r="BC69" s="121">
        <f>'BS Forecasts'!BC$34</f>
        <v>0</v>
      </c>
      <c r="BD69" s="121">
        <f>'BS Forecasts'!BD$34</f>
        <v>0</v>
      </c>
      <c r="BE69" s="121">
        <f>'BS Forecasts'!BE$34</f>
        <v>0</v>
      </c>
      <c r="BF69" s="121">
        <f>'BS Forecasts'!BF$34</f>
        <v>0</v>
      </c>
      <c r="BG69" s="121">
        <f>'BS Forecasts'!BG$34</f>
        <v>0</v>
      </c>
      <c r="BH69" s="121">
        <f>'BS Forecasts'!BH$34</f>
        <v>0</v>
      </c>
      <c r="BI69" s="121">
        <f>'BS Forecasts'!BI$34</f>
        <v>0</v>
      </c>
      <c r="BJ69" s="121">
        <f>'BS Forecasts'!BJ$34</f>
        <v>0</v>
      </c>
      <c r="BL69" s="121">
        <f>'BS Forecasts'!BL$34</f>
        <v>0</v>
      </c>
      <c r="BM69" s="121">
        <f>'BS Forecasts'!BM$34</f>
        <v>0</v>
      </c>
      <c r="BN69" s="121">
        <f>'BS Forecasts'!BN$34</f>
        <v>0</v>
      </c>
      <c r="BO69" s="121">
        <f>'BS Forecasts'!BO$34</f>
        <v>0</v>
      </c>
      <c r="BP69" s="121">
        <f>'BS Forecasts'!BP$34</f>
        <v>0</v>
      </c>
      <c r="BQ69" s="121">
        <f>'BS Forecasts'!BQ$34</f>
        <v>0</v>
      </c>
      <c r="BR69" s="121">
        <f>'BS Forecasts'!BR$34</f>
        <v>0</v>
      </c>
      <c r="BS69" s="121">
        <f>'BS Forecasts'!BS$34</f>
        <v>0</v>
      </c>
      <c r="BT69" s="121">
        <f>'BS Forecasts'!BT$34</f>
        <v>0</v>
      </c>
      <c r="BU69" s="121">
        <f>'BS Forecasts'!BU$34</f>
        <v>0</v>
      </c>
      <c r="BV69" s="121">
        <f>'BS Forecasts'!BV$34</f>
        <v>0</v>
      </c>
      <c r="BW69" s="121">
        <f>'BS Forecasts'!BW$34</f>
        <v>0</v>
      </c>
      <c r="BY69" s="42"/>
      <c r="CC69" s="126">
        <f t="shared" si="75"/>
        <v>0</v>
      </c>
      <c r="CD69" s="126">
        <f t="shared" si="76"/>
        <v>0</v>
      </c>
      <c r="CE69" s="126">
        <f t="shared" si="81"/>
        <v>0</v>
      </c>
      <c r="CF69" s="42"/>
      <c r="CG69" s="352">
        <f t="shared" si="78"/>
        <v>0</v>
      </c>
      <c r="CH69" s="352">
        <f t="shared" si="78"/>
        <v>0</v>
      </c>
      <c r="CI69" s="352">
        <f t="shared" si="78"/>
        <v>0</v>
      </c>
      <c r="CJ69" s="352">
        <f t="shared" si="79"/>
        <v>0</v>
      </c>
      <c r="CK69" s="352">
        <f t="shared" si="79"/>
        <v>0</v>
      </c>
      <c r="CL69" s="352">
        <f t="shared" si="79"/>
        <v>0</v>
      </c>
      <c r="CM69" s="352">
        <f t="shared" si="80"/>
        <v>0</v>
      </c>
      <c r="EX69" s="10" t="str">
        <f t="shared" ca="1" si="0"/>
        <v>Assets under Construction</v>
      </c>
    </row>
    <row r="70" spans="1:154" x14ac:dyDescent="0.25">
      <c r="A70" s="362" cm="1">
        <f t="array" aca="1" ref="A70" ca="1">HYPERLINK(CONCATENATE("#",CELL("address",IF(SUM($BY70:$CF70)=0,A70,INDEX($BY70:$CF70,MATCH(1,$BY70:$CF70,0))))),SUM($BY70:$CF70))</f>
        <v>0</v>
      </c>
      <c r="B70" s="93"/>
      <c r="C70" s="343" t="str">
        <f>'BS Forecasts'!C$37</f>
        <v>B-1e-CB</v>
      </c>
      <c r="D70" s="560" t="str" cm="1">
        <f t="array" aca="1" ref="D70" ca="1">HYPERLINK(CONCATENATE("#",CELL("address",'BS Forecasts'!$D$37)),'BS Forecasts'!$D$36)</f>
        <v>Investments</v>
      </c>
      <c r="J70" s="335"/>
      <c r="Q70" s="335"/>
      <c r="R70" s="335"/>
      <c r="T70" s="335"/>
      <c r="U70" s="335"/>
      <c r="V70" s="10">
        <f>'BS Forecasts'!V$37</f>
        <v>0</v>
      </c>
      <c r="W70" s="121">
        <f>'BS Forecasts'!W$37</f>
        <v>0</v>
      </c>
      <c r="X70" s="121">
        <f>'BS Forecasts'!X$37</f>
        <v>0</v>
      </c>
      <c r="Y70" s="121">
        <f>'BS Forecasts'!Y$37</f>
        <v>0</v>
      </c>
      <c r="AA70" s="121">
        <f>'BS Forecasts'!AA$37</f>
        <v>0</v>
      </c>
      <c r="AB70" s="121">
        <f>'BS Forecasts'!AB$37</f>
        <v>0</v>
      </c>
      <c r="AC70" s="121">
        <f>'BS Forecasts'!AC$37</f>
        <v>0</v>
      </c>
      <c r="AD70" s="121">
        <f>'BS Forecasts'!AD$37</f>
        <v>0</v>
      </c>
      <c r="AE70" s="121">
        <f>'BS Forecasts'!AE$37</f>
        <v>0</v>
      </c>
      <c r="AF70" s="121">
        <f>'BS Forecasts'!AF$37</f>
        <v>0</v>
      </c>
      <c r="AG70" s="121">
        <f>'BS Forecasts'!AG$37</f>
        <v>0</v>
      </c>
      <c r="AH70" s="121">
        <f>'BS Forecasts'!AH$37</f>
        <v>0</v>
      </c>
      <c r="AI70" s="121">
        <f>'BS Forecasts'!AI$37</f>
        <v>0</v>
      </c>
      <c r="AJ70" s="121">
        <f>'BS Forecasts'!AJ$37</f>
        <v>0</v>
      </c>
      <c r="AK70" s="121">
        <f>'BS Forecasts'!AK$37</f>
        <v>0</v>
      </c>
      <c r="AL70" s="121">
        <f>'BS Forecasts'!AL$37</f>
        <v>0</v>
      </c>
      <c r="AM70" s="121">
        <f>'BS Forecasts'!AM$37</f>
        <v>0</v>
      </c>
      <c r="AN70" s="121">
        <f>'BS Forecasts'!AN$37</f>
        <v>0</v>
      </c>
      <c r="AO70" s="121">
        <f>'BS Forecasts'!AO$37</f>
        <v>0</v>
      </c>
      <c r="AP70" s="121">
        <f>'BS Forecasts'!AP$37</f>
        <v>0</v>
      </c>
      <c r="AQ70" s="121">
        <f>'BS Forecasts'!AQ$37</f>
        <v>0</v>
      </c>
      <c r="AR70" s="121">
        <f>'BS Forecasts'!AR$37</f>
        <v>0</v>
      </c>
      <c r="AS70" s="121">
        <f>'BS Forecasts'!AS$37</f>
        <v>0</v>
      </c>
      <c r="AT70" s="121">
        <f>'BS Forecasts'!AT$37</f>
        <v>0</v>
      </c>
      <c r="AU70" s="121">
        <f>'BS Forecasts'!AU$37</f>
        <v>0</v>
      </c>
      <c r="AV70" s="121">
        <f>'BS Forecasts'!AV$37</f>
        <v>0</v>
      </c>
      <c r="AW70" s="121">
        <f>'BS Forecasts'!AW$37</f>
        <v>0</v>
      </c>
      <c r="AX70" s="121">
        <f>'BS Forecasts'!AX$37</f>
        <v>0</v>
      </c>
      <c r="AY70" s="121">
        <f>'BS Forecasts'!AY$37</f>
        <v>0</v>
      </c>
      <c r="AZ70" s="121">
        <f>'BS Forecasts'!AZ$37</f>
        <v>0</v>
      </c>
      <c r="BA70" s="121">
        <f>'BS Forecasts'!BA$37</f>
        <v>0</v>
      </c>
      <c r="BB70" s="121">
        <f>'BS Forecasts'!BB$37</f>
        <v>0</v>
      </c>
      <c r="BC70" s="121">
        <f>'BS Forecasts'!BC$37</f>
        <v>0</v>
      </c>
      <c r="BD70" s="121">
        <f>'BS Forecasts'!BD$37</f>
        <v>0</v>
      </c>
      <c r="BE70" s="121">
        <f>'BS Forecasts'!BE$37</f>
        <v>0</v>
      </c>
      <c r="BF70" s="121">
        <f>'BS Forecasts'!BF$37</f>
        <v>0</v>
      </c>
      <c r="BG70" s="121">
        <f>'BS Forecasts'!BG$37</f>
        <v>0</v>
      </c>
      <c r="BH70" s="121">
        <f>'BS Forecasts'!BH$37</f>
        <v>0</v>
      </c>
      <c r="BI70" s="121">
        <f>'BS Forecasts'!BI$37</f>
        <v>0</v>
      </c>
      <c r="BJ70" s="121">
        <f>'BS Forecasts'!BJ$37</f>
        <v>0</v>
      </c>
      <c r="BL70" s="121">
        <f>'BS Forecasts'!BL$37</f>
        <v>0</v>
      </c>
      <c r="BM70" s="121">
        <f>'BS Forecasts'!BM$37</f>
        <v>0</v>
      </c>
      <c r="BN70" s="121">
        <f>'BS Forecasts'!BN$37</f>
        <v>0</v>
      </c>
      <c r="BO70" s="121">
        <f>'BS Forecasts'!BO$37</f>
        <v>0</v>
      </c>
      <c r="BP70" s="121">
        <f>'BS Forecasts'!BP$37</f>
        <v>0</v>
      </c>
      <c r="BQ70" s="121">
        <f>'BS Forecasts'!BQ$37</f>
        <v>0</v>
      </c>
      <c r="BR70" s="121">
        <f>'BS Forecasts'!BR$37</f>
        <v>0</v>
      </c>
      <c r="BS70" s="121">
        <f>'BS Forecasts'!BS$37</f>
        <v>0</v>
      </c>
      <c r="BT70" s="121">
        <f>'BS Forecasts'!BT$37</f>
        <v>0</v>
      </c>
      <c r="BU70" s="121">
        <f>'BS Forecasts'!BU$37</f>
        <v>0</v>
      </c>
      <c r="BV70" s="121">
        <f>'BS Forecasts'!BV$37</f>
        <v>0</v>
      </c>
      <c r="BW70" s="121">
        <f>'BS Forecasts'!BW$37</f>
        <v>0</v>
      </c>
      <c r="BY70" s="42"/>
      <c r="CC70" s="126">
        <f t="shared" si="75"/>
        <v>0</v>
      </c>
      <c r="CD70" s="126">
        <f t="shared" si="76"/>
        <v>0</v>
      </c>
      <c r="CE70" s="126">
        <f t="shared" si="81"/>
        <v>0</v>
      </c>
      <c r="CF70" s="42"/>
      <c r="CG70" s="352">
        <f t="shared" si="78"/>
        <v>0</v>
      </c>
      <c r="CH70" s="352">
        <f t="shared" si="78"/>
        <v>0</v>
      </c>
      <c r="CI70" s="352">
        <f t="shared" si="78"/>
        <v>0</v>
      </c>
      <c r="CJ70" s="352">
        <f t="shared" si="79"/>
        <v>0</v>
      </c>
      <c r="CK70" s="352">
        <f t="shared" si="79"/>
        <v>0</v>
      </c>
      <c r="CL70" s="352">
        <f t="shared" si="79"/>
        <v>0</v>
      </c>
      <c r="CM70" s="352">
        <f t="shared" si="80"/>
        <v>0</v>
      </c>
      <c r="EX70" s="10" t="str">
        <f t="shared" ca="1" si="0"/>
        <v>Investments</v>
      </c>
    </row>
    <row r="71" spans="1:154" x14ac:dyDescent="0.25">
      <c r="A71" s="362" cm="1">
        <f t="array" aca="1" ref="A71" ca="1">HYPERLINK(CONCATENATE("#",CELL("address",IF(SUM($BY71:$CF71)=0,A71,INDEX($BY71:$CF71,MATCH(1,$BY71:$CF71,0))))),SUM($BY71:$CF71))</f>
        <v>0</v>
      </c>
      <c r="B71" s="93"/>
      <c r="C71" s="343" t="str">
        <f>'BS Forecasts'!C$44</f>
        <v>B-1f-CB</v>
      </c>
      <c r="D71" s="560" t="str" cm="1">
        <f t="array" aca="1" ref="D71" ca="1">HYPERLINK(CONCATENATE("#",CELL("address",'BS Forecasts'!$D$44)),'BS Forecasts'!$D$39)</f>
        <v>Investment in JVs and Associates (inc. overseas)</v>
      </c>
      <c r="J71" s="335"/>
      <c r="Q71" s="335"/>
      <c r="R71" s="335"/>
      <c r="T71" s="335"/>
      <c r="U71" s="335"/>
      <c r="V71" s="10">
        <f>'BS Forecasts'!V$44</f>
        <v>0</v>
      </c>
      <c r="W71" s="121">
        <f>'BS Forecasts'!W$44</f>
        <v>0</v>
      </c>
      <c r="X71" s="121">
        <f>'BS Forecasts'!X$44</f>
        <v>0</v>
      </c>
      <c r="Y71" s="121">
        <f>'BS Forecasts'!Y$44</f>
        <v>0</v>
      </c>
      <c r="AA71" s="121">
        <f>'BS Forecasts'!AA$44</f>
        <v>0</v>
      </c>
      <c r="AB71" s="121">
        <f>'BS Forecasts'!AB$44</f>
        <v>0</v>
      </c>
      <c r="AC71" s="121">
        <f>'BS Forecasts'!AC$44</f>
        <v>0</v>
      </c>
      <c r="AD71" s="121">
        <f>'BS Forecasts'!AD$44</f>
        <v>0</v>
      </c>
      <c r="AE71" s="121">
        <f>'BS Forecasts'!AE$44</f>
        <v>0</v>
      </c>
      <c r="AF71" s="121">
        <f>'BS Forecasts'!AF$44</f>
        <v>0</v>
      </c>
      <c r="AG71" s="121">
        <f>'BS Forecasts'!AG$44</f>
        <v>0</v>
      </c>
      <c r="AH71" s="121">
        <f>'BS Forecasts'!AH$44</f>
        <v>0</v>
      </c>
      <c r="AI71" s="121">
        <f>'BS Forecasts'!AI$44</f>
        <v>0</v>
      </c>
      <c r="AJ71" s="121">
        <f>'BS Forecasts'!AJ$44</f>
        <v>0</v>
      </c>
      <c r="AK71" s="121">
        <f>'BS Forecasts'!AK$44</f>
        <v>0</v>
      </c>
      <c r="AL71" s="121">
        <f>'BS Forecasts'!AL$44</f>
        <v>0</v>
      </c>
      <c r="AM71" s="121">
        <f>'BS Forecasts'!AM$44</f>
        <v>0</v>
      </c>
      <c r="AN71" s="121">
        <f>'BS Forecasts'!AN$44</f>
        <v>0</v>
      </c>
      <c r="AO71" s="121">
        <f>'BS Forecasts'!AO$44</f>
        <v>0</v>
      </c>
      <c r="AP71" s="121">
        <f>'BS Forecasts'!AP$44</f>
        <v>0</v>
      </c>
      <c r="AQ71" s="121">
        <f>'BS Forecasts'!AQ$44</f>
        <v>0</v>
      </c>
      <c r="AR71" s="121">
        <f>'BS Forecasts'!AR$44</f>
        <v>0</v>
      </c>
      <c r="AS71" s="121">
        <f>'BS Forecasts'!AS$44</f>
        <v>0</v>
      </c>
      <c r="AT71" s="121">
        <f>'BS Forecasts'!AT$44</f>
        <v>0</v>
      </c>
      <c r="AU71" s="121">
        <f>'BS Forecasts'!AU$44</f>
        <v>0</v>
      </c>
      <c r="AV71" s="121">
        <f>'BS Forecasts'!AV$44</f>
        <v>0</v>
      </c>
      <c r="AW71" s="121">
        <f>'BS Forecasts'!AW$44</f>
        <v>0</v>
      </c>
      <c r="AX71" s="121">
        <f>'BS Forecasts'!AX$44</f>
        <v>0</v>
      </c>
      <c r="AY71" s="121">
        <f>'BS Forecasts'!AY$44</f>
        <v>0</v>
      </c>
      <c r="AZ71" s="121">
        <f>'BS Forecasts'!AZ$44</f>
        <v>0</v>
      </c>
      <c r="BA71" s="121">
        <f>'BS Forecasts'!BA$44</f>
        <v>0</v>
      </c>
      <c r="BB71" s="121">
        <f>'BS Forecasts'!BB$44</f>
        <v>0</v>
      </c>
      <c r="BC71" s="121">
        <f>'BS Forecasts'!BC$44</f>
        <v>0</v>
      </c>
      <c r="BD71" s="121">
        <f>'BS Forecasts'!BD$44</f>
        <v>0</v>
      </c>
      <c r="BE71" s="121">
        <f>'BS Forecasts'!BE$44</f>
        <v>0</v>
      </c>
      <c r="BF71" s="121">
        <f>'BS Forecasts'!BF$44</f>
        <v>0</v>
      </c>
      <c r="BG71" s="121">
        <f>'BS Forecasts'!BG$44</f>
        <v>0</v>
      </c>
      <c r="BH71" s="121">
        <f>'BS Forecasts'!BH$44</f>
        <v>0</v>
      </c>
      <c r="BI71" s="121">
        <f>'BS Forecasts'!BI$44</f>
        <v>0</v>
      </c>
      <c r="BJ71" s="121">
        <f>'BS Forecasts'!BJ$44</f>
        <v>0</v>
      </c>
      <c r="BL71" s="121">
        <f>'BS Forecasts'!BL$44</f>
        <v>0</v>
      </c>
      <c r="BM71" s="121">
        <f>'BS Forecasts'!BM$44</f>
        <v>0</v>
      </c>
      <c r="BN71" s="121">
        <f>'BS Forecasts'!BN$44</f>
        <v>0</v>
      </c>
      <c r="BO71" s="121">
        <f>'BS Forecasts'!BO$44</f>
        <v>0</v>
      </c>
      <c r="BP71" s="121">
        <f>'BS Forecasts'!BP$44</f>
        <v>0</v>
      </c>
      <c r="BQ71" s="121">
        <f>'BS Forecasts'!BQ$44</f>
        <v>0</v>
      </c>
      <c r="BR71" s="121">
        <f>'BS Forecasts'!BR$44</f>
        <v>0</v>
      </c>
      <c r="BS71" s="121">
        <f>'BS Forecasts'!BS$44</f>
        <v>0</v>
      </c>
      <c r="BT71" s="121">
        <f>'BS Forecasts'!BT$44</f>
        <v>0</v>
      </c>
      <c r="BU71" s="121">
        <f>'BS Forecasts'!BU$44</f>
        <v>0</v>
      </c>
      <c r="BV71" s="121">
        <f>'BS Forecasts'!BV$44</f>
        <v>0</v>
      </c>
      <c r="BW71" s="121">
        <f>'BS Forecasts'!BW$44</f>
        <v>0</v>
      </c>
      <c r="BY71" s="42"/>
      <c r="CC71" s="126">
        <f t="shared" si="75"/>
        <v>0</v>
      </c>
      <c r="CD71" s="126">
        <f t="shared" si="76"/>
        <v>0</v>
      </c>
      <c r="CE71" s="126">
        <f t="shared" si="81"/>
        <v>0</v>
      </c>
      <c r="CF71" s="42"/>
      <c r="CG71" s="352">
        <f t="shared" si="78"/>
        <v>0</v>
      </c>
      <c r="CH71" s="352">
        <f t="shared" si="78"/>
        <v>0</v>
      </c>
      <c r="CI71" s="352">
        <f t="shared" si="78"/>
        <v>0</v>
      </c>
      <c r="CJ71" s="352">
        <f t="shared" si="79"/>
        <v>0</v>
      </c>
      <c r="CK71" s="352">
        <f t="shared" si="79"/>
        <v>0</v>
      </c>
      <c r="CL71" s="352">
        <f t="shared" si="79"/>
        <v>0</v>
      </c>
      <c r="CM71" s="352">
        <f t="shared" si="80"/>
        <v>0</v>
      </c>
      <c r="EX71" s="10" t="str">
        <f t="shared" ca="1" si="0"/>
        <v>Investment in JVs and Associates (inc. overseas)</v>
      </c>
    </row>
    <row r="72" spans="1:154" s="335" customFormat="1" x14ac:dyDescent="0.25">
      <c r="A72" s="362" cm="1">
        <f t="array" aca="1" ref="A72" ca="1">HYPERLINK(CONCATENATE("#",CELL("address",IF(SUM($BY72:$CF72)=0,A72,INDEX($BY72:$CF72,MATCH(1,$BY72:$CF72,0))))),SUM($BY72:$CF72))</f>
        <v>0</v>
      </c>
      <c r="B72" s="93"/>
      <c r="C72" s="343" t="str">
        <f>'BS Forecasts'!C$47</f>
        <v>B-1g-CB</v>
      </c>
      <c r="D72" s="560" t="str" cm="1">
        <f t="array" aca="1" ref="D72" ca="1">HYPERLINK(CONCATENATE("#",CELL("address",'BS Forecasts'!$D$47)),'BS Forecasts'!$D$46)</f>
        <v>Debtors falling due after one year</v>
      </c>
      <c r="E72" s="1"/>
      <c r="V72" s="10">
        <f>'BS Forecasts'!V$47</f>
        <v>0</v>
      </c>
      <c r="W72" s="10">
        <f>'BS Forecasts'!W$47</f>
        <v>0</v>
      </c>
      <c r="X72" s="10">
        <f>'BS Forecasts'!X$47</f>
        <v>0</v>
      </c>
      <c r="Y72" s="10">
        <f>'BS Forecasts'!Y$47</f>
        <v>0</v>
      </c>
      <c r="AA72" s="10">
        <f>'BS Forecasts'!AA$47</f>
        <v>0</v>
      </c>
      <c r="AB72" s="10">
        <f>'BS Forecasts'!AB$47</f>
        <v>0</v>
      </c>
      <c r="AC72" s="10">
        <f>'BS Forecasts'!AC$47</f>
        <v>0</v>
      </c>
      <c r="AD72" s="10">
        <f>'BS Forecasts'!AD$47</f>
        <v>0</v>
      </c>
      <c r="AE72" s="10">
        <f>'BS Forecasts'!AE$47</f>
        <v>0</v>
      </c>
      <c r="AF72" s="10">
        <f>'BS Forecasts'!AF$47</f>
        <v>0</v>
      </c>
      <c r="AG72" s="10">
        <f>'BS Forecasts'!AG$47</f>
        <v>0</v>
      </c>
      <c r="AH72" s="10">
        <f>'BS Forecasts'!AH$47</f>
        <v>0</v>
      </c>
      <c r="AI72" s="10">
        <f>'BS Forecasts'!AI$47</f>
        <v>0</v>
      </c>
      <c r="AJ72" s="10">
        <f>'BS Forecasts'!AJ$47</f>
        <v>0</v>
      </c>
      <c r="AK72" s="10">
        <f>'BS Forecasts'!AK$47</f>
        <v>0</v>
      </c>
      <c r="AL72" s="10">
        <f>'BS Forecasts'!AL$47</f>
        <v>0</v>
      </c>
      <c r="AM72" s="10">
        <f>'BS Forecasts'!AM$47</f>
        <v>0</v>
      </c>
      <c r="AN72" s="10">
        <f>'BS Forecasts'!AN$47</f>
        <v>0</v>
      </c>
      <c r="AO72" s="10">
        <f>'BS Forecasts'!AO$47</f>
        <v>0</v>
      </c>
      <c r="AP72" s="10">
        <f>'BS Forecasts'!AP$47</f>
        <v>0</v>
      </c>
      <c r="AQ72" s="10">
        <f>'BS Forecasts'!AQ$47</f>
        <v>0</v>
      </c>
      <c r="AR72" s="10">
        <f>'BS Forecasts'!AR$47</f>
        <v>0</v>
      </c>
      <c r="AS72" s="10">
        <f>'BS Forecasts'!AS$47</f>
        <v>0</v>
      </c>
      <c r="AT72" s="10">
        <f>'BS Forecasts'!AT$47</f>
        <v>0</v>
      </c>
      <c r="AU72" s="10">
        <f>'BS Forecasts'!AU$47</f>
        <v>0</v>
      </c>
      <c r="AV72" s="10">
        <f>'BS Forecasts'!AV$47</f>
        <v>0</v>
      </c>
      <c r="AW72" s="10">
        <f>'BS Forecasts'!AW$47</f>
        <v>0</v>
      </c>
      <c r="AX72" s="10">
        <f>'BS Forecasts'!AX$47</f>
        <v>0</v>
      </c>
      <c r="AY72" s="10">
        <f>'BS Forecasts'!AY$47</f>
        <v>0</v>
      </c>
      <c r="AZ72" s="10">
        <f>'BS Forecasts'!AZ$47</f>
        <v>0</v>
      </c>
      <c r="BA72" s="10">
        <f>'BS Forecasts'!BA$47</f>
        <v>0</v>
      </c>
      <c r="BB72" s="10">
        <f>'BS Forecasts'!BB$47</f>
        <v>0</v>
      </c>
      <c r="BC72" s="10">
        <f>'BS Forecasts'!BC$47</f>
        <v>0</v>
      </c>
      <c r="BD72" s="10">
        <f>'BS Forecasts'!BD$47</f>
        <v>0</v>
      </c>
      <c r="BE72" s="10">
        <f>'BS Forecasts'!BE$47</f>
        <v>0</v>
      </c>
      <c r="BF72" s="10">
        <f>'BS Forecasts'!BF$47</f>
        <v>0</v>
      </c>
      <c r="BG72" s="10">
        <f>'BS Forecasts'!BG$47</f>
        <v>0</v>
      </c>
      <c r="BH72" s="10">
        <f>'BS Forecasts'!BH$47</f>
        <v>0</v>
      </c>
      <c r="BI72" s="10">
        <f>'BS Forecasts'!BI$47</f>
        <v>0</v>
      </c>
      <c r="BJ72" s="10">
        <f>'BS Forecasts'!BJ$47</f>
        <v>0</v>
      </c>
      <c r="BL72" s="10">
        <f>'BS Forecasts'!BL$47</f>
        <v>0</v>
      </c>
      <c r="BM72" s="10">
        <f>'BS Forecasts'!BM$47</f>
        <v>0</v>
      </c>
      <c r="BN72" s="10">
        <f>'BS Forecasts'!BN$47</f>
        <v>0</v>
      </c>
      <c r="BO72" s="10">
        <f>'BS Forecasts'!BO$47</f>
        <v>0</v>
      </c>
      <c r="BP72" s="10">
        <f>'BS Forecasts'!BP$47</f>
        <v>0</v>
      </c>
      <c r="BQ72" s="10">
        <f>'BS Forecasts'!BQ$47</f>
        <v>0</v>
      </c>
      <c r="BR72" s="10">
        <f>'BS Forecasts'!BR$47</f>
        <v>0</v>
      </c>
      <c r="BS72" s="10">
        <f>'BS Forecasts'!BS$47</f>
        <v>0</v>
      </c>
      <c r="BT72" s="10">
        <f>'BS Forecasts'!BT$47</f>
        <v>0</v>
      </c>
      <c r="BU72" s="10">
        <f>'BS Forecasts'!BU$47</f>
        <v>0</v>
      </c>
      <c r="BV72" s="10">
        <f>'BS Forecasts'!BV$47</f>
        <v>0</v>
      </c>
      <c r="BW72" s="10">
        <f>'BS Forecasts'!BW$47</f>
        <v>0</v>
      </c>
      <c r="BY72" s="42"/>
      <c r="CC72" s="126">
        <f t="shared" si="75"/>
        <v>0</v>
      </c>
      <c r="CD72" s="126">
        <f t="shared" si="76"/>
        <v>0</v>
      </c>
      <c r="CE72" s="126">
        <f t="shared" si="81"/>
        <v>0</v>
      </c>
      <c r="CF72" s="42"/>
      <c r="CG72" s="352">
        <f t="shared" si="78"/>
        <v>0</v>
      </c>
      <c r="CH72" s="352">
        <f t="shared" si="78"/>
        <v>0</v>
      </c>
      <c r="CI72" s="352">
        <f t="shared" si="78"/>
        <v>0</v>
      </c>
      <c r="CJ72" s="352">
        <f t="shared" si="79"/>
        <v>0</v>
      </c>
      <c r="CK72" s="352">
        <f t="shared" si="79"/>
        <v>0</v>
      </c>
      <c r="CL72" s="352">
        <f t="shared" si="79"/>
        <v>0</v>
      </c>
      <c r="CM72" s="352">
        <f t="shared" si="80"/>
        <v>0</v>
      </c>
      <c r="EX72" s="10" t="str">
        <f t="shared" ca="1" si="0"/>
        <v>Debtors falling due after one year</v>
      </c>
    </row>
    <row r="73" spans="1:154" x14ac:dyDescent="0.25">
      <c r="A73" s="362" cm="1">
        <f t="array" aca="1" ref="A73" ca="1">HYPERLINK(CONCATENATE("#",CELL("address",IF(SUM($BY73:$CF73)=0,A73,INDEX($BY73:$CF73,MATCH(1,$BY73:$CF73,0))))),SUM($BY73:$CF73))</f>
        <v>0</v>
      </c>
      <c r="B73" s="93"/>
      <c r="C73" s="343" t="s">
        <v>1462</v>
      </c>
      <c r="D73" s="554" t="s">
        <v>174</v>
      </c>
      <c r="J73" s="335"/>
      <c r="Q73" s="335"/>
      <c r="R73" s="335"/>
      <c r="S73" s="335"/>
      <c r="T73" s="335"/>
      <c r="U73" s="335"/>
      <c r="V73" s="13">
        <f>SUM(V66:V72)*V$9</f>
        <v>0</v>
      </c>
      <c r="W73" s="13">
        <f>SUM(W66:W72)*W$9</f>
        <v>36679</v>
      </c>
      <c r="X73" s="13">
        <f>SUM(X66:X72)*X$9</f>
        <v>40420</v>
      </c>
      <c r="Y73" s="13">
        <f>SUM(Y66:Y72)*Y$9</f>
        <v>40728</v>
      </c>
      <c r="Z73" s="335"/>
      <c r="AA73" s="13">
        <f t="shared" ref="AA73:BJ73" si="82">SUM(AA66:AA72)*AA$9</f>
        <v>34119</v>
      </c>
      <c r="AB73" s="13">
        <f t="shared" si="82"/>
        <v>33968</v>
      </c>
      <c r="AC73" s="13">
        <f t="shared" si="82"/>
        <v>36625</v>
      </c>
      <c r="AD73" s="13">
        <f t="shared" si="82"/>
        <v>36471</v>
      </c>
      <c r="AE73" s="13">
        <f t="shared" si="82"/>
        <v>36316</v>
      </c>
      <c r="AF73" s="13">
        <f t="shared" si="82"/>
        <v>36162</v>
      </c>
      <c r="AG73" s="13">
        <f t="shared" si="82"/>
        <v>36007</v>
      </c>
      <c r="AH73" s="13">
        <f t="shared" si="82"/>
        <v>37282</v>
      </c>
      <c r="AI73" s="13">
        <f t="shared" si="82"/>
        <v>37129</v>
      </c>
      <c r="AJ73" s="13">
        <f t="shared" si="82"/>
        <v>36978</v>
      </c>
      <c r="AK73" s="13">
        <f t="shared" si="82"/>
        <v>36798</v>
      </c>
      <c r="AL73" s="13">
        <f t="shared" si="82"/>
        <v>36679</v>
      </c>
      <c r="AM73" s="13">
        <f t="shared" si="82"/>
        <v>37604</v>
      </c>
      <c r="AN73" s="13">
        <f t="shared" si="82"/>
        <v>38239</v>
      </c>
      <c r="AO73" s="13">
        <f t="shared" si="82"/>
        <v>38446</v>
      </c>
      <c r="AP73" s="13">
        <f t="shared" si="82"/>
        <v>38481</v>
      </c>
      <c r="AQ73" s="13">
        <f t="shared" si="82"/>
        <v>38759</v>
      </c>
      <c r="AR73" s="13">
        <f t="shared" si="82"/>
        <v>39044</v>
      </c>
      <c r="AS73" s="13">
        <f t="shared" si="82"/>
        <v>39328</v>
      </c>
      <c r="AT73" s="13">
        <f t="shared" si="82"/>
        <v>39710</v>
      </c>
      <c r="AU73" s="13">
        <f t="shared" si="82"/>
        <v>40048</v>
      </c>
      <c r="AV73" s="13">
        <f t="shared" si="82"/>
        <v>40210</v>
      </c>
      <c r="AW73" s="13">
        <f t="shared" si="82"/>
        <v>40326</v>
      </c>
      <c r="AX73" s="13">
        <f t="shared" si="82"/>
        <v>40420</v>
      </c>
      <c r="AY73" s="13">
        <f t="shared" si="82"/>
        <v>40495</v>
      </c>
      <c r="AZ73" s="13">
        <f t="shared" si="82"/>
        <v>40528</v>
      </c>
      <c r="BA73" s="13">
        <f t="shared" si="82"/>
        <v>40568</v>
      </c>
      <c r="BB73" s="13">
        <f t="shared" si="82"/>
        <v>40612</v>
      </c>
      <c r="BC73" s="13">
        <f t="shared" si="82"/>
        <v>40655</v>
      </c>
      <c r="BD73" s="13">
        <f t="shared" si="82"/>
        <v>40693</v>
      </c>
      <c r="BE73" s="13">
        <f t="shared" si="82"/>
        <v>40790</v>
      </c>
      <c r="BF73" s="13">
        <f t="shared" si="82"/>
        <v>40781</v>
      </c>
      <c r="BG73" s="13">
        <f t="shared" si="82"/>
        <v>40770</v>
      </c>
      <c r="BH73" s="13">
        <f t="shared" si="82"/>
        <v>40780</v>
      </c>
      <c r="BI73" s="13">
        <f t="shared" si="82"/>
        <v>40754</v>
      </c>
      <c r="BJ73" s="13">
        <f t="shared" si="82"/>
        <v>40728</v>
      </c>
      <c r="BK73" s="335"/>
      <c r="BL73" s="13">
        <f t="shared" ref="BL73:BW73" si="83">SUM(BL66:BL72)*BL$9</f>
        <v>0</v>
      </c>
      <c r="BM73" s="13">
        <f t="shared" si="83"/>
        <v>36679</v>
      </c>
      <c r="BN73" s="13">
        <f t="shared" si="83"/>
        <v>40420</v>
      </c>
      <c r="BO73" s="13">
        <f t="shared" si="83"/>
        <v>40728</v>
      </c>
      <c r="BP73" s="13">
        <f t="shared" si="83"/>
        <v>0</v>
      </c>
      <c r="BQ73" s="13">
        <f t="shared" si="83"/>
        <v>0</v>
      </c>
      <c r="BR73" s="13">
        <f t="shared" si="83"/>
        <v>0</v>
      </c>
      <c r="BS73" s="13">
        <f t="shared" si="83"/>
        <v>0</v>
      </c>
      <c r="BT73" s="13">
        <f t="shared" si="83"/>
        <v>0</v>
      </c>
      <c r="BU73" s="13">
        <f t="shared" si="83"/>
        <v>0</v>
      </c>
      <c r="BV73" s="13">
        <f t="shared" si="83"/>
        <v>0</v>
      </c>
      <c r="BW73" s="13">
        <f t="shared" si="83"/>
        <v>0</v>
      </c>
      <c r="BY73" s="42"/>
      <c r="CC73" s="126">
        <f t="shared" si="75"/>
        <v>0</v>
      </c>
      <c r="CD73" s="126">
        <f t="shared" si="76"/>
        <v>0</v>
      </c>
      <c r="CE73" s="126">
        <f t="shared" si="81"/>
        <v>0</v>
      </c>
      <c r="CF73" s="42"/>
      <c r="CG73" s="352">
        <f t="shared" si="78"/>
        <v>0</v>
      </c>
      <c r="CH73" s="352">
        <f t="shared" si="78"/>
        <v>0</v>
      </c>
      <c r="CI73" s="352">
        <f t="shared" si="78"/>
        <v>0</v>
      </c>
      <c r="CJ73" s="352">
        <f t="shared" si="79"/>
        <v>0</v>
      </c>
      <c r="CK73" s="352">
        <f t="shared" si="79"/>
        <v>0</v>
      </c>
      <c r="CL73" s="352">
        <f t="shared" si="79"/>
        <v>0</v>
      </c>
      <c r="CM73" s="352">
        <f t="shared" si="80"/>
        <v>0</v>
      </c>
      <c r="EX73" s="10" t="str">
        <f t="shared" si="0"/>
        <v>Total Non-Current Assets</v>
      </c>
    </row>
    <row r="74" spans="1:154" s="335" customFormat="1" ht="11.45" customHeight="1" x14ac:dyDescent="0.25">
      <c r="A74" s="157"/>
      <c r="B74" s="187"/>
      <c r="C74" s="343"/>
      <c r="D74" s="556"/>
      <c r="E74" s="157"/>
      <c r="F74" s="157"/>
      <c r="G74" s="157"/>
      <c r="J74" s="157"/>
      <c r="K74" s="157"/>
      <c r="L74" s="157"/>
      <c r="M74" s="157"/>
      <c r="N74" s="157"/>
      <c r="O74" s="157"/>
      <c r="P74" s="157"/>
      <c r="S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42"/>
      <c r="CC74" s="162"/>
      <c r="CD74" s="162"/>
      <c r="CE74" s="162"/>
      <c r="CF74" s="42"/>
      <c r="EX74" s="10" t="str">
        <f t="shared" ref="EX74:EX137" si="84">IF($C74="","",$D74)</f>
        <v/>
      </c>
    </row>
    <row r="75" spans="1:154" x14ac:dyDescent="0.25">
      <c r="A75" s="362" cm="1">
        <f t="array" aca="1" ref="A75" ca="1">HYPERLINK(CONCATENATE("#",CELL("address",IF(SUM($BY75:$CF75)=0,A75,INDEX($BY75:$CF75,MATCH(1,$BY75:$CF75,0))))),SUM($BY75:$CF75))</f>
        <v>0</v>
      </c>
      <c r="B75" s="189"/>
      <c r="C75" s="343"/>
      <c r="D75" s="554" t="str">
        <f>'BS Forecasts'!D$49</f>
        <v>Current Assets</v>
      </c>
      <c r="J75" s="335"/>
      <c r="Q75" s="335"/>
      <c r="R75" s="335"/>
      <c r="T75" s="335"/>
      <c r="U75" s="335"/>
      <c r="BY75" s="42"/>
      <c r="CC75" s="126">
        <f t="shared" si="75"/>
        <v>0</v>
      </c>
      <c r="CD75" s="126">
        <f t="shared" si="76"/>
        <v>0</v>
      </c>
      <c r="CE75" s="126">
        <f t="shared" ref="CE75:CE86" si="85">IF(CM75=0, 0, 1)</f>
        <v>0</v>
      </c>
      <c r="CF75" s="42"/>
      <c r="CG75" s="352">
        <f t="shared" ref="CG75:CG86" si="86">ROUND(W75-INDEX($AA75:$BJ75, MATCH(W$5, $AA$5:$BJ$5,0)), rounding)</f>
        <v>0</v>
      </c>
      <c r="CH75" s="352">
        <f t="shared" ref="CH75:CH86" si="87">ROUND(X75-INDEX($AA75:$BJ75, MATCH(X$5, $AA$5:$BJ$5,0)), rounding)</f>
        <v>0</v>
      </c>
      <c r="CI75" s="352">
        <f t="shared" ref="CI75:CI86" si="88">ROUND(Y75-INDEX($AA75:$BJ75, MATCH(Y$5, $AA$5:$BJ$5,0)), rounding)</f>
        <v>0</v>
      </c>
      <c r="CJ75" s="352">
        <f t="shared" ref="CJ75:CJ86" si="89">ROUND(W75-BM75, rounding)</f>
        <v>0</v>
      </c>
      <c r="CK75" s="352">
        <f t="shared" ref="CK75:CK86" si="90">ROUND(X75-BN75, rounding)</f>
        <v>0</v>
      </c>
      <c r="CL75" s="352">
        <f t="shared" ref="CL75:CL86" si="91">ROUND(Y75-BO75, rounding)</f>
        <v>0</v>
      </c>
      <c r="CM75" s="352">
        <f t="shared" ref="CM75:CM86" si="92">ROUND(V75-BL75, rounding)</f>
        <v>0</v>
      </c>
      <c r="EX75" s="10" t="str">
        <f t="shared" si="84"/>
        <v/>
      </c>
    </row>
    <row r="76" spans="1:154" x14ac:dyDescent="0.25">
      <c r="A76" s="362" cm="1">
        <f t="array" aca="1" ref="A76" ca="1">HYPERLINK(CONCATENATE("#",CELL("address",IF(SUM($BY76:$CF76)=0,A76,INDEX($BY76:$CF76,MATCH(1,$BY76:$CF76,0))))),SUM($BY76:$CF76))</f>
        <v>0</v>
      </c>
      <c r="B76" s="93"/>
      <c r="C76" s="343" t="str">
        <f>'BS Forecasts'!C$52</f>
        <v>B-2a-CB</v>
      </c>
      <c r="D76" s="562" t="str" cm="1">
        <f t="array" aca="1" ref="D76" ca="1">HYPERLINK(CONCATENATE("#",CELL("address",'BS Forecasts'!$D$52)),'BS Forecasts'!$D$51)</f>
        <v xml:space="preserve">Assets Held for Sale </v>
      </c>
      <c r="J76" s="335"/>
      <c r="Q76" s="335"/>
      <c r="R76" s="335"/>
      <c r="T76" s="335"/>
      <c r="U76" s="335"/>
      <c r="V76" s="10">
        <f>'BS Forecasts'!V$52</f>
        <v>0</v>
      </c>
      <c r="W76" s="121">
        <f>'BS Forecasts'!W$52</f>
        <v>0</v>
      </c>
      <c r="X76" s="121">
        <f>'BS Forecasts'!X$52</f>
        <v>0</v>
      </c>
      <c r="Y76" s="121">
        <f>'BS Forecasts'!Y$52</f>
        <v>0</v>
      </c>
      <c r="AA76" s="121">
        <f>'BS Forecasts'!AA$52</f>
        <v>0</v>
      </c>
      <c r="AB76" s="121">
        <f>'BS Forecasts'!AB$52</f>
        <v>0</v>
      </c>
      <c r="AC76" s="121">
        <f>'BS Forecasts'!AC$52</f>
        <v>0</v>
      </c>
      <c r="AD76" s="121">
        <f>'BS Forecasts'!AD$52</f>
        <v>0</v>
      </c>
      <c r="AE76" s="121">
        <f>'BS Forecasts'!AE$52</f>
        <v>0</v>
      </c>
      <c r="AF76" s="121">
        <f>'BS Forecasts'!AF$52</f>
        <v>0</v>
      </c>
      <c r="AG76" s="121">
        <f>'BS Forecasts'!AG$52</f>
        <v>0</v>
      </c>
      <c r="AH76" s="121">
        <f>'BS Forecasts'!AH$52</f>
        <v>0</v>
      </c>
      <c r="AI76" s="121">
        <f>'BS Forecasts'!AI$52</f>
        <v>0</v>
      </c>
      <c r="AJ76" s="121">
        <f>'BS Forecasts'!AJ$52</f>
        <v>0</v>
      </c>
      <c r="AK76" s="121">
        <f>'BS Forecasts'!AK$52</f>
        <v>0</v>
      </c>
      <c r="AL76" s="121">
        <f>'BS Forecasts'!AL$52</f>
        <v>0</v>
      </c>
      <c r="AM76" s="121">
        <f>'BS Forecasts'!AM$52</f>
        <v>0</v>
      </c>
      <c r="AN76" s="121">
        <f>'BS Forecasts'!AN$52</f>
        <v>0</v>
      </c>
      <c r="AO76" s="121">
        <f>'BS Forecasts'!AO$52</f>
        <v>0</v>
      </c>
      <c r="AP76" s="121">
        <f>'BS Forecasts'!AP$52</f>
        <v>0</v>
      </c>
      <c r="AQ76" s="121">
        <f>'BS Forecasts'!AQ$52</f>
        <v>0</v>
      </c>
      <c r="AR76" s="121">
        <f>'BS Forecasts'!AR$52</f>
        <v>0</v>
      </c>
      <c r="AS76" s="121">
        <f>'BS Forecasts'!AS$52</f>
        <v>0</v>
      </c>
      <c r="AT76" s="121">
        <f>'BS Forecasts'!AT$52</f>
        <v>0</v>
      </c>
      <c r="AU76" s="121">
        <f>'BS Forecasts'!AU$52</f>
        <v>0</v>
      </c>
      <c r="AV76" s="121">
        <f>'BS Forecasts'!AV$52</f>
        <v>0</v>
      </c>
      <c r="AW76" s="121">
        <f>'BS Forecasts'!AW$52</f>
        <v>0</v>
      </c>
      <c r="AX76" s="121">
        <f>'BS Forecasts'!AX$52</f>
        <v>0</v>
      </c>
      <c r="AY76" s="121">
        <f>'BS Forecasts'!AY$52</f>
        <v>0</v>
      </c>
      <c r="AZ76" s="121">
        <f>'BS Forecasts'!AZ$52</f>
        <v>0</v>
      </c>
      <c r="BA76" s="121">
        <f>'BS Forecasts'!BA$52</f>
        <v>0</v>
      </c>
      <c r="BB76" s="121">
        <f>'BS Forecasts'!BB$52</f>
        <v>0</v>
      </c>
      <c r="BC76" s="121">
        <f>'BS Forecasts'!BC$52</f>
        <v>0</v>
      </c>
      <c r="BD76" s="121">
        <f>'BS Forecasts'!BD$52</f>
        <v>0</v>
      </c>
      <c r="BE76" s="121">
        <f>'BS Forecasts'!BE$52</f>
        <v>0</v>
      </c>
      <c r="BF76" s="121">
        <f>'BS Forecasts'!BF$52</f>
        <v>0</v>
      </c>
      <c r="BG76" s="121">
        <f>'BS Forecasts'!BG$52</f>
        <v>0</v>
      </c>
      <c r="BH76" s="121">
        <f>'BS Forecasts'!BH$52</f>
        <v>0</v>
      </c>
      <c r="BI76" s="121">
        <f>'BS Forecasts'!BI$52</f>
        <v>0</v>
      </c>
      <c r="BJ76" s="121">
        <f>'BS Forecasts'!BJ$52</f>
        <v>0</v>
      </c>
      <c r="BL76" s="121">
        <f>'BS Forecasts'!BL$52</f>
        <v>0</v>
      </c>
      <c r="BM76" s="121">
        <f>'BS Forecasts'!BM$52</f>
        <v>0</v>
      </c>
      <c r="BN76" s="121">
        <f>'BS Forecasts'!BN$52</f>
        <v>0</v>
      </c>
      <c r="BO76" s="121">
        <f>'BS Forecasts'!BO$52</f>
        <v>0</v>
      </c>
      <c r="BP76" s="121">
        <f>'BS Forecasts'!BP$52</f>
        <v>0</v>
      </c>
      <c r="BQ76" s="121">
        <f>'BS Forecasts'!BQ$52</f>
        <v>0</v>
      </c>
      <c r="BR76" s="121">
        <f>'BS Forecasts'!BR$52</f>
        <v>0</v>
      </c>
      <c r="BS76" s="121">
        <f>'BS Forecasts'!BS$52</f>
        <v>0</v>
      </c>
      <c r="BT76" s="121">
        <f>'BS Forecasts'!BT$52</f>
        <v>0</v>
      </c>
      <c r="BU76" s="121">
        <f>'BS Forecasts'!BU$52</f>
        <v>0</v>
      </c>
      <c r="BV76" s="121">
        <f>'BS Forecasts'!BV$52</f>
        <v>0</v>
      </c>
      <c r="BW76" s="121">
        <f>'BS Forecasts'!BW$52</f>
        <v>0</v>
      </c>
      <c r="BY76" s="42"/>
      <c r="CC76" s="126">
        <f t="shared" si="75"/>
        <v>0</v>
      </c>
      <c r="CD76" s="126">
        <f t="shared" si="76"/>
        <v>0</v>
      </c>
      <c r="CE76" s="126">
        <f t="shared" si="85"/>
        <v>0</v>
      </c>
      <c r="CF76" s="42"/>
      <c r="CG76" s="352">
        <f t="shared" si="86"/>
        <v>0</v>
      </c>
      <c r="CH76" s="352">
        <f t="shared" si="87"/>
        <v>0</v>
      </c>
      <c r="CI76" s="352">
        <f t="shared" si="88"/>
        <v>0</v>
      </c>
      <c r="CJ76" s="352">
        <f t="shared" si="89"/>
        <v>0</v>
      </c>
      <c r="CK76" s="352">
        <f t="shared" si="90"/>
        <v>0</v>
      </c>
      <c r="CL76" s="352">
        <f t="shared" si="91"/>
        <v>0</v>
      </c>
      <c r="CM76" s="352">
        <f t="shared" si="92"/>
        <v>0</v>
      </c>
      <c r="EX76" s="10" t="str">
        <f t="shared" ca="1" si="84"/>
        <v xml:space="preserve">Assets Held for Sale </v>
      </c>
    </row>
    <row r="77" spans="1:154" x14ac:dyDescent="0.25">
      <c r="A77" s="362" cm="1">
        <f t="array" aca="1" ref="A77" ca="1">HYPERLINK(CONCATENATE("#",CELL("address",IF(SUM($BY77:$CF77)=0,A77,INDEX($BY77:$CF77,MATCH(1,$BY77:$CF77,0))))),SUM($BY77:$CF77))</f>
        <v>0</v>
      </c>
      <c r="B77" s="93"/>
      <c r="C77" s="343" t="str">
        <f>'BS Forecasts'!C$56</f>
        <v>B-2b-CB</v>
      </c>
      <c r="D77" s="560" t="str" cm="1">
        <f t="array" aca="1" ref="D77" ca="1">HYPERLINK(CONCATENATE("#",CELL("address",'BS Forecasts'!$D$56)),'BS Forecasts'!$D$54)</f>
        <v>Stock</v>
      </c>
      <c r="J77" s="335"/>
      <c r="Q77" s="335"/>
      <c r="R77" s="335"/>
      <c r="T77" s="335"/>
      <c r="U77" s="335"/>
      <c r="V77" s="10">
        <f>'BS Forecasts'!V$56</f>
        <v>34</v>
      </c>
      <c r="W77" s="121">
        <f>'BS Forecasts'!W$56</f>
        <v>26</v>
      </c>
      <c r="X77" s="121">
        <f>'BS Forecasts'!X$56</f>
        <v>30</v>
      </c>
      <c r="Y77" s="121">
        <f>'BS Forecasts'!Y$56</f>
        <v>30</v>
      </c>
      <c r="AA77" s="121">
        <f>'BS Forecasts'!AA$56</f>
        <v>26</v>
      </c>
      <c r="AB77" s="121">
        <f>'BS Forecasts'!AB$56</f>
        <v>26</v>
      </c>
      <c r="AC77" s="121">
        <f>'BS Forecasts'!AC$56</f>
        <v>26</v>
      </c>
      <c r="AD77" s="121">
        <f>'BS Forecasts'!AD$56</f>
        <v>26</v>
      </c>
      <c r="AE77" s="121">
        <f>'BS Forecasts'!AE$56</f>
        <v>26</v>
      </c>
      <c r="AF77" s="121">
        <f>'BS Forecasts'!AF$56</f>
        <v>26</v>
      </c>
      <c r="AG77" s="121">
        <f>'BS Forecasts'!AG$56</f>
        <v>26</v>
      </c>
      <c r="AH77" s="121">
        <f>'BS Forecasts'!AH$56</f>
        <v>26</v>
      </c>
      <c r="AI77" s="121">
        <f>'BS Forecasts'!AI$56</f>
        <v>26</v>
      </c>
      <c r="AJ77" s="121">
        <f>'BS Forecasts'!AJ$56</f>
        <v>26</v>
      </c>
      <c r="AK77" s="121">
        <f>'BS Forecasts'!AK$56</f>
        <v>26</v>
      </c>
      <c r="AL77" s="121">
        <f>'BS Forecasts'!AL$56</f>
        <v>26</v>
      </c>
      <c r="AM77" s="121">
        <f>'BS Forecasts'!AM$56</f>
        <v>26</v>
      </c>
      <c r="AN77" s="121">
        <f>'BS Forecasts'!AN$56</f>
        <v>30</v>
      </c>
      <c r="AO77" s="121">
        <f>'BS Forecasts'!AO$56</f>
        <v>30</v>
      </c>
      <c r="AP77" s="121">
        <f>'BS Forecasts'!AP$56</f>
        <v>30</v>
      </c>
      <c r="AQ77" s="121">
        <f>'BS Forecasts'!AQ$56</f>
        <v>30</v>
      </c>
      <c r="AR77" s="121">
        <f>'BS Forecasts'!AR$56</f>
        <v>30</v>
      </c>
      <c r="AS77" s="121">
        <f>'BS Forecasts'!AS$56</f>
        <v>30</v>
      </c>
      <c r="AT77" s="121">
        <f>'BS Forecasts'!AT$56</f>
        <v>30</v>
      </c>
      <c r="AU77" s="121">
        <f>'BS Forecasts'!AU$56</f>
        <v>30</v>
      </c>
      <c r="AV77" s="121">
        <f>'BS Forecasts'!AV$56</f>
        <v>30</v>
      </c>
      <c r="AW77" s="121">
        <f>'BS Forecasts'!AW$56</f>
        <v>30</v>
      </c>
      <c r="AX77" s="121">
        <f>'BS Forecasts'!AX$56</f>
        <v>30</v>
      </c>
      <c r="AY77" s="121">
        <f>'BS Forecasts'!AY$56</f>
        <v>30</v>
      </c>
      <c r="AZ77" s="121">
        <f>'BS Forecasts'!AZ$56</f>
        <v>30</v>
      </c>
      <c r="BA77" s="121">
        <f>'BS Forecasts'!BA$56</f>
        <v>30</v>
      </c>
      <c r="BB77" s="121">
        <f>'BS Forecasts'!BB$56</f>
        <v>30</v>
      </c>
      <c r="BC77" s="121">
        <f>'BS Forecasts'!BC$56</f>
        <v>30</v>
      </c>
      <c r="BD77" s="121">
        <f>'BS Forecasts'!BD$56</f>
        <v>30</v>
      </c>
      <c r="BE77" s="121">
        <f>'BS Forecasts'!BE$56</f>
        <v>30</v>
      </c>
      <c r="BF77" s="121">
        <f>'BS Forecasts'!BF$56</f>
        <v>30</v>
      </c>
      <c r="BG77" s="121">
        <f>'BS Forecasts'!BG$56</f>
        <v>30</v>
      </c>
      <c r="BH77" s="121">
        <f>'BS Forecasts'!BH$56</f>
        <v>30</v>
      </c>
      <c r="BI77" s="121">
        <f>'BS Forecasts'!BI$56</f>
        <v>30</v>
      </c>
      <c r="BJ77" s="121">
        <f>'BS Forecasts'!BJ$56</f>
        <v>30</v>
      </c>
      <c r="BL77" s="121">
        <f>'BS Forecasts'!BL$56</f>
        <v>34</v>
      </c>
      <c r="BM77" s="121">
        <f>'BS Forecasts'!BM$56</f>
        <v>26</v>
      </c>
      <c r="BN77" s="121">
        <f>'BS Forecasts'!BN$56</f>
        <v>30</v>
      </c>
      <c r="BO77" s="121">
        <f>'BS Forecasts'!BO$56</f>
        <v>30</v>
      </c>
      <c r="BP77" s="121">
        <f>'BS Forecasts'!BP$56</f>
        <v>0</v>
      </c>
      <c r="BQ77" s="121">
        <f>'BS Forecasts'!BQ$56</f>
        <v>0</v>
      </c>
      <c r="BR77" s="121">
        <f>'BS Forecasts'!BR$56</f>
        <v>0</v>
      </c>
      <c r="BS77" s="121">
        <f>'BS Forecasts'!BS$56</f>
        <v>0</v>
      </c>
      <c r="BT77" s="121">
        <f>'BS Forecasts'!BT$56</f>
        <v>0</v>
      </c>
      <c r="BU77" s="121">
        <f>'BS Forecasts'!BU$56</f>
        <v>0</v>
      </c>
      <c r="BV77" s="121">
        <f>'BS Forecasts'!BV$56</f>
        <v>0</v>
      </c>
      <c r="BW77" s="121">
        <f>'BS Forecasts'!BW$56</f>
        <v>0</v>
      </c>
      <c r="BY77" s="42"/>
      <c r="CC77" s="126">
        <f t="shared" si="75"/>
        <v>0</v>
      </c>
      <c r="CD77" s="126">
        <f t="shared" si="76"/>
        <v>0</v>
      </c>
      <c r="CE77" s="126">
        <f t="shared" si="85"/>
        <v>0</v>
      </c>
      <c r="CF77" s="42"/>
      <c r="CG77" s="352">
        <f t="shared" si="86"/>
        <v>0</v>
      </c>
      <c r="CH77" s="352">
        <f t="shared" si="87"/>
        <v>0</v>
      </c>
      <c r="CI77" s="352">
        <f t="shared" si="88"/>
        <v>0</v>
      </c>
      <c r="CJ77" s="352">
        <f t="shared" si="89"/>
        <v>0</v>
      </c>
      <c r="CK77" s="352">
        <f t="shared" si="90"/>
        <v>0</v>
      </c>
      <c r="CL77" s="352">
        <f t="shared" si="91"/>
        <v>0</v>
      </c>
      <c r="CM77" s="352">
        <f t="shared" si="92"/>
        <v>0</v>
      </c>
      <c r="EX77" s="10" t="str">
        <f t="shared" ca="1" si="84"/>
        <v>Stock</v>
      </c>
    </row>
    <row r="78" spans="1:154" x14ac:dyDescent="0.25">
      <c r="A78" s="362" cm="1">
        <f t="array" aca="1" ref="A78" ca="1">HYPERLINK(CONCATENATE("#",CELL("address",IF(SUM($BY78:$CF78)=0,A78,INDEX($BY78:$CF78,MATCH(1,$BY78:$CF78,0))))),SUM($BY78:$CF78))</f>
        <v>0</v>
      </c>
      <c r="B78" s="93"/>
      <c r="C78" s="343" t="str">
        <f>'BS Forecasts'!C$60</f>
        <v>B-2c-CB</v>
      </c>
      <c r="D78" s="560" t="str" cm="1">
        <f t="array" aca="1" ref="D78" ca="1">HYPERLINK(CONCATENATE("#",CELL("address",'BS Forecasts'!$D$60)),'BS Forecasts'!$D$58)</f>
        <v>Trade Receivables</v>
      </c>
      <c r="J78" s="335"/>
      <c r="Q78" s="335"/>
      <c r="R78" s="335"/>
      <c r="T78" s="335"/>
      <c r="U78" s="335"/>
      <c r="V78" s="10">
        <f>'BS Forecasts'!V$60</f>
        <v>314</v>
      </c>
      <c r="W78" s="121">
        <f>'BS Forecasts'!W$60</f>
        <v>1125</v>
      </c>
      <c r="X78" s="121">
        <f>'BS Forecasts'!X$60</f>
        <v>1150</v>
      </c>
      <c r="Y78" s="121">
        <f>'BS Forecasts'!Y$60</f>
        <v>1100</v>
      </c>
      <c r="AA78" s="121">
        <f>'BS Forecasts'!AA$60</f>
        <v>1000</v>
      </c>
      <c r="AB78" s="121">
        <f>'BS Forecasts'!AB$60</f>
        <v>1300</v>
      </c>
      <c r="AC78" s="121">
        <f>'BS Forecasts'!AC$60</f>
        <v>1300</v>
      </c>
      <c r="AD78" s="121">
        <f>'BS Forecasts'!AD$60</f>
        <v>1300</v>
      </c>
      <c r="AE78" s="121">
        <f>'BS Forecasts'!AE$60</f>
        <v>1200</v>
      </c>
      <c r="AF78" s="121">
        <f>'BS Forecasts'!AF$60</f>
        <v>1200</v>
      </c>
      <c r="AG78" s="121">
        <f>'BS Forecasts'!AG$60</f>
        <v>1200</v>
      </c>
      <c r="AH78" s="121">
        <f>'BS Forecasts'!AH$60</f>
        <v>1200</v>
      </c>
      <c r="AI78" s="121">
        <f>'BS Forecasts'!AI$60</f>
        <v>1200</v>
      </c>
      <c r="AJ78" s="121">
        <f>'BS Forecasts'!AJ$60</f>
        <v>1200</v>
      </c>
      <c r="AK78" s="121">
        <f>'BS Forecasts'!AK$60</f>
        <v>1150</v>
      </c>
      <c r="AL78" s="121">
        <f>'BS Forecasts'!AL$60</f>
        <v>1125</v>
      </c>
      <c r="AM78" s="121">
        <f>'BS Forecasts'!AM$60</f>
        <v>1125</v>
      </c>
      <c r="AN78" s="121">
        <f>'BS Forecasts'!AN$60</f>
        <v>1250</v>
      </c>
      <c r="AO78" s="121">
        <f>'BS Forecasts'!AO$60</f>
        <v>1250</v>
      </c>
      <c r="AP78" s="121">
        <f>'BS Forecasts'!AP$60</f>
        <v>1250</v>
      </c>
      <c r="AQ78" s="121">
        <f>'BS Forecasts'!AQ$60</f>
        <v>1250</v>
      </c>
      <c r="AR78" s="121">
        <f>'BS Forecasts'!AR$60</f>
        <v>1250</v>
      </c>
      <c r="AS78" s="121">
        <f>'BS Forecasts'!AS$60</f>
        <v>1150</v>
      </c>
      <c r="AT78" s="121">
        <f>'BS Forecasts'!AT$60</f>
        <v>1150</v>
      </c>
      <c r="AU78" s="121">
        <f>'BS Forecasts'!AU$60</f>
        <v>1150</v>
      </c>
      <c r="AV78" s="121">
        <f>'BS Forecasts'!AV$60</f>
        <v>1150</v>
      </c>
      <c r="AW78" s="121">
        <f>'BS Forecasts'!AW$60</f>
        <v>1150</v>
      </c>
      <c r="AX78" s="121">
        <f>'BS Forecasts'!AX$60</f>
        <v>1150</v>
      </c>
      <c r="AY78" s="121">
        <f>'BS Forecasts'!AY$60</f>
        <v>1150</v>
      </c>
      <c r="AZ78" s="121">
        <f>'BS Forecasts'!AZ$60</f>
        <v>1250</v>
      </c>
      <c r="BA78" s="121">
        <f>'BS Forecasts'!BA$60</f>
        <v>1250</v>
      </c>
      <c r="BB78" s="121">
        <f>'BS Forecasts'!BB$60</f>
        <v>1250</v>
      </c>
      <c r="BC78" s="121">
        <f>'BS Forecasts'!BC$60</f>
        <v>1250</v>
      </c>
      <c r="BD78" s="121">
        <f>'BS Forecasts'!BD$60</f>
        <v>1200</v>
      </c>
      <c r="BE78" s="121">
        <f>'BS Forecasts'!BE$60</f>
        <v>1200</v>
      </c>
      <c r="BF78" s="121">
        <f>'BS Forecasts'!BF$60</f>
        <v>1200</v>
      </c>
      <c r="BG78" s="121">
        <f>'BS Forecasts'!BG$60</f>
        <v>1100</v>
      </c>
      <c r="BH78" s="121">
        <f>'BS Forecasts'!BH$60</f>
        <v>1100</v>
      </c>
      <c r="BI78" s="121">
        <f>'BS Forecasts'!BI$60</f>
        <v>1100</v>
      </c>
      <c r="BJ78" s="121">
        <f>'BS Forecasts'!BJ$60</f>
        <v>1100</v>
      </c>
      <c r="BL78" s="121">
        <f>'BS Forecasts'!BL$60</f>
        <v>314</v>
      </c>
      <c r="BM78" s="121">
        <f>'BS Forecasts'!BM$60</f>
        <v>1125</v>
      </c>
      <c r="BN78" s="121">
        <f>'BS Forecasts'!BN$60</f>
        <v>1150</v>
      </c>
      <c r="BO78" s="121">
        <f>'BS Forecasts'!BO$60</f>
        <v>1100</v>
      </c>
      <c r="BP78" s="121">
        <f>'BS Forecasts'!BP$60</f>
        <v>0</v>
      </c>
      <c r="BQ78" s="121">
        <f>'BS Forecasts'!BQ$60</f>
        <v>0</v>
      </c>
      <c r="BR78" s="121">
        <f>'BS Forecasts'!BR$60</f>
        <v>0</v>
      </c>
      <c r="BS78" s="121">
        <f>'BS Forecasts'!BS$60</f>
        <v>0</v>
      </c>
      <c r="BT78" s="121">
        <f>'BS Forecasts'!BT$60</f>
        <v>0</v>
      </c>
      <c r="BU78" s="121">
        <f>'BS Forecasts'!BU$60</f>
        <v>0</v>
      </c>
      <c r="BV78" s="121">
        <f>'BS Forecasts'!BV$60</f>
        <v>0</v>
      </c>
      <c r="BW78" s="121">
        <f>'BS Forecasts'!BW$60</f>
        <v>0</v>
      </c>
      <c r="BY78" s="42"/>
      <c r="CC78" s="126">
        <f t="shared" si="75"/>
        <v>0</v>
      </c>
      <c r="CD78" s="126">
        <f t="shared" si="76"/>
        <v>0</v>
      </c>
      <c r="CE78" s="126">
        <f t="shared" si="85"/>
        <v>0</v>
      </c>
      <c r="CF78" s="42"/>
      <c r="CG78" s="352">
        <f t="shared" si="86"/>
        <v>0</v>
      </c>
      <c r="CH78" s="352">
        <f t="shared" si="87"/>
        <v>0</v>
      </c>
      <c r="CI78" s="352">
        <f t="shared" si="88"/>
        <v>0</v>
      </c>
      <c r="CJ78" s="352">
        <f t="shared" si="89"/>
        <v>0</v>
      </c>
      <c r="CK78" s="352">
        <f t="shared" si="90"/>
        <v>0</v>
      </c>
      <c r="CL78" s="352">
        <f t="shared" si="91"/>
        <v>0</v>
      </c>
      <c r="CM78" s="352">
        <f t="shared" si="92"/>
        <v>0</v>
      </c>
      <c r="EX78" s="10" t="str">
        <f t="shared" ca="1" si="84"/>
        <v>Trade Receivables</v>
      </c>
    </row>
    <row r="79" spans="1:154" x14ac:dyDescent="0.25">
      <c r="A79" s="362" cm="1">
        <f t="array" aca="1" ref="A79" ca="1">HYPERLINK(CONCATENATE("#",CELL("address",IF(SUM($BY79:$CF79)=0,A79,INDEX($BY79:$CF79,MATCH(1,$BY79:$CF79,0))))),SUM($BY79:$CF79))</f>
        <v>0</v>
      </c>
      <c r="B79" s="93"/>
      <c r="C79" s="343" t="str">
        <f>'BS Forecasts'!C$64</f>
        <v>B-2d-CB</v>
      </c>
      <c r="D79" s="560" t="str" cm="1">
        <f t="array" aca="1" ref="D79" ca="1">HYPERLINK(CONCATENATE("#",CELL("address",'BS Forecasts'!$D$64)),'BS Forecasts'!$D$62)</f>
        <v>Other Receivables</v>
      </c>
      <c r="J79" s="335"/>
      <c r="Q79" s="335"/>
      <c r="R79" s="335"/>
      <c r="T79" s="335"/>
      <c r="U79" s="335"/>
      <c r="V79" s="10">
        <f>'BS Forecasts'!V$64</f>
        <v>0</v>
      </c>
      <c r="W79" s="121">
        <f>'BS Forecasts'!W$64</f>
        <v>0</v>
      </c>
      <c r="X79" s="121">
        <f>'BS Forecasts'!X$64</f>
        <v>0</v>
      </c>
      <c r="Y79" s="121">
        <f>'BS Forecasts'!Y$64</f>
        <v>0</v>
      </c>
      <c r="AA79" s="121">
        <f>'BS Forecasts'!AA$64</f>
        <v>0</v>
      </c>
      <c r="AB79" s="121">
        <f>'BS Forecasts'!AB$64</f>
        <v>0</v>
      </c>
      <c r="AC79" s="121">
        <f>'BS Forecasts'!AC$64</f>
        <v>0</v>
      </c>
      <c r="AD79" s="121">
        <f>'BS Forecasts'!AD$64</f>
        <v>0</v>
      </c>
      <c r="AE79" s="121">
        <f>'BS Forecasts'!AE$64</f>
        <v>0</v>
      </c>
      <c r="AF79" s="121">
        <f>'BS Forecasts'!AF$64</f>
        <v>0</v>
      </c>
      <c r="AG79" s="121">
        <f>'BS Forecasts'!AG$64</f>
        <v>0</v>
      </c>
      <c r="AH79" s="121">
        <f>'BS Forecasts'!AH$64</f>
        <v>0</v>
      </c>
      <c r="AI79" s="121">
        <f>'BS Forecasts'!AI$64</f>
        <v>0</v>
      </c>
      <c r="AJ79" s="121">
        <f>'BS Forecasts'!AJ$64</f>
        <v>0</v>
      </c>
      <c r="AK79" s="121">
        <f>'BS Forecasts'!AK$64</f>
        <v>0</v>
      </c>
      <c r="AL79" s="121">
        <f>'BS Forecasts'!AL$64</f>
        <v>0</v>
      </c>
      <c r="AM79" s="121">
        <f>'BS Forecasts'!AM$64</f>
        <v>0</v>
      </c>
      <c r="AN79" s="121">
        <f>'BS Forecasts'!AN$64</f>
        <v>0</v>
      </c>
      <c r="AO79" s="121">
        <f>'BS Forecasts'!AO$64</f>
        <v>0</v>
      </c>
      <c r="AP79" s="121">
        <f>'BS Forecasts'!AP$64</f>
        <v>0</v>
      </c>
      <c r="AQ79" s="121">
        <f>'BS Forecasts'!AQ$64</f>
        <v>0</v>
      </c>
      <c r="AR79" s="121">
        <f>'BS Forecasts'!AR$64</f>
        <v>0</v>
      </c>
      <c r="AS79" s="121">
        <f>'BS Forecasts'!AS$64</f>
        <v>0</v>
      </c>
      <c r="AT79" s="121">
        <f>'BS Forecasts'!AT$64</f>
        <v>0</v>
      </c>
      <c r="AU79" s="121">
        <f>'BS Forecasts'!AU$64</f>
        <v>0</v>
      </c>
      <c r="AV79" s="121">
        <f>'BS Forecasts'!AV$64</f>
        <v>0</v>
      </c>
      <c r="AW79" s="121">
        <f>'BS Forecasts'!AW$64</f>
        <v>0</v>
      </c>
      <c r="AX79" s="121">
        <f>'BS Forecasts'!AX$64</f>
        <v>0</v>
      </c>
      <c r="AY79" s="121">
        <f>'BS Forecasts'!AY$64</f>
        <v>0</v>
      </c>
      <c r="AZ79" s="121">
        <f>'BS Forecasts'!AZ$64</f>
        <v>0</v>
      </c>
      <c r="BA79" s="121">
        <f>'BS Forecasts'!BA$64</f>
        <v>0</v>
      </c>
      <c r="BB79" s="121">
        <f>'BS Forecasts'!BB$64</f>
        <v>0</v>
      </c>
      <c r="BC79" s="121">
        <f>'BS Forecasts'!BC$64</f>
        <v>0</v>
      </c>
      <c r="BD79" s="121">
        <f>'BS Forecasts'!BD$64</f>
        <v>0</v>
      </c>
      <c r="BE79" s="121">
        <f>'BS Forecasts'!BE$64</f>
        <v>0</v>
      </c>
      <c r="BF79" s="121">
        <f>'BS Forecasts'!BF$64</f>
        <v>0</v>
      </c>
      <c r="BG79" s="121">
        <f>'BS Forecasts'!BG$64</f>
        <v>0</v>
      </c>
      <c r="BH79" s="121">
        <f>'BS Forecasts'!BH$64</f>
        <v>0</v>
      </c>
      <c r="BI79" s="121">
        <f>'BS Forecasts'!BI$64</f>
        <v>0</v>
      </c>
      <c r="BJ79" s="121">
        <f>'BS Forecasts'!BJ$64</f>
        <v>0</v>
      </c>
      <c r="BL79" s="121">
        <f>'BS Forecasts'!BL$64</f>
        <v>0</v>
      </c>
      <c r="BM79" s="121">
        <f>'BS Forecasts'!BM$64</f>
        <v>0</v>
      </c>
      <c r="BN79" s="121">
        <f>'BS Forecasts'!BN$64</f>
        <v>0</v>
      </c>
      <c r="BO79" s="121">
        <f>'BS Forecasts'!BO$64</f>
        <v>0</v>
      </c>
      <c r="BP79" s="121">
        <f>'BS Forecasts'!BP$64</f>
        <v>0</v>
      </c>
      <c r="BQ79" s="121">
        <f>'BS Forecasts'!BQ$64</f>
        <v>0</v>
      </c>
      <c r="BR79" s="121">
        <f>'BS Forecasts'!BR$64</f>
        <v>0</v>
      </c>
      <c r="BS79" s="121">
        <f>'BS Forecasts'!BS$64</f>
        <v>0</v>
      </c>
      <c r="BT79" s="121">
        <f>'BS Forecasts'!BT$64</f>
        <v>0</v>
      </c>
      <c r="BU79" s="121">
        <f>'BS Forecasts'!BU$64</f>
        <v>0</v>
      </c>
      <c r="BV79" s="121">
        <f>'BS Forecasts'!BV$64</f>
        <v>0</v>
      </c>
      <c r="BW79" s="121">
        <f>'BS Forecasts'!BW$64</f>
        <v>0</v>
      </c>
      <c r="BY79" s="42"/>
      <c r="CC79" s="126">
        <f t="shared" si="75"/>
        <v>0</v>
      </c>
      <c r="CD79" s="126">
        <f t="shared" si="76"/>
        <v>0</v>
      </c>
      <c r="CE79" s="126">
        <f t="shared" si="85"/>
        <v>0</v>
      </c>
      <c r="CF79" s="42"/>
      <c r="CG79" s="352">
        <f t="shared" si="86"/>
        <v>0</v>
      </c>
      <c r="CH79" s="352">
        <f t="shared" si="87"/>
        <v>0</v>
      </c>
      <c r="CI79" s="352">
        <f t="shared" si="88"/>
        <v>0</v>
      </c>
      <c r="CJ79" s="352">
        <f t="shared" si="89"/>
        <v>0</v>
      </c>
      <c r="CK79" s="352">
        <f t="shared" si="90"/>
        <v>0</v>
      </c>
      <c r="CL79" s="352">
        <f t="shared" si="91"/>
        <v>0</v>
      </c>
      <c r="CM79" s="352">
        <f t="shared" si="92"/>
        <v>0</v>
      </c>
      <c r="EX79" s="10" t="str">
        <f t="shared" ca="1" si="84"/>
        <v>Other Receivables</v>
      </c>
    </row>
    <row r="80" spans="1:154" x14ac:dyDescent="0.25">
      <c r="A80" s="362" cm="1">
        <f t="array" aca="1" ref="A80" ca="1">HYPERLINK(CONCATENATE("#",CELL("address",IF(SUM($BY80:$CF80)=0,A80,INDEX($BY80:$CF80,MATCH(1,$BY80:$CF80,0))))),SUM($BY80:$CF80))</f>
        <v>0</v>
      </c>
      <c r="B80" s="93"/>
      <c r="C80" s="343" t="str">
        <f>'BS Forecasts'!C$70</f>
        <v>B-2e-CB</v>
      </c>
      <c r="D80" s="560" t="str" cm="1">
        <f t="array" aca="1" ref="D80" ca="1">HYPERLINK(CONCATENATE("#",CELL("address",'BS Forecasts'!$D$70)),'BS Forecasts'!$D$66)</f>
        <v>Bad Debt Provision</v>
      </c>
      <c r="J80" s="335"/>
      <c r="Q80" s="335"/>
      <c r="R80" s="335"/>
      <c r="S80" s="280"/>
      <c r="T80" s="335"/>
      <c r="U80" s="335"/>
      <c r="V80" s="10">
        <f>'BS Forecasts'!V$70</f>
        <v>0</v>
      </c>
      <c r="W80" s="10">
        <f>'BS Forecasts'!W$70</f>
        <v>0</v>
      </c>
      <c r="X80" s="10">
        <f>'BS Forecasts'!X$70</f>
        <v>0</v>
      </c>
      <c r="Y80" s="10">
        <f>'BS Forecasts'!Y$70</f>
        <v>0</v>
      </c>
      <c r="Z80" s="280"/>
      <c r="AA80" s="10">
        <f>'BS Forecasts'!AA$70</f>
        <v>0</v>
      </c>
      <c r="AB80" s="10">
        <f>'BS Forecasts'!AB$70</f>
        <v>0</v>
      </c>
      <c r="AC80" s="10">
        <f>'BS Forecasts'!AC$70</f>
        <v>0</v>
      </c>
      <c r="AD80" s="10">
        <f>'BS Forecasts'!AD$70</f>
        <v>0</v>
      </c>
      <c r="AE80" s="10">
        <f>'BS Forecasts'!AE$70</f>
        <v>0</v>
      </c>
      <c r="AF80" s="10">
        <f>'BS Forecasts'!AF$70</f>
        <v>0</v>
      </c>
      <c r="AG80" s="10">
        <f>'BS Forecasts'!AG$70</f>
        <v>0</v>
      </c>
      <c r="AH80" s="10">
        <f>'BS Forecasts'!AH$70</f>
        <v>0</v>
      </c>
      <c r="AI80" s="10">
        <f>'BS Forecasts'!AI$70</f>
        <v>0</v>
      </c>
      <c r="AJ80" s="10">
        <f>'BS Forecasts'!AJ$70</f>
        <v>0</v>
      </c>
      <c r="AK80" s="10">
        <f>'BS Forecasts'!AK$70</f>
        <v>0</v>
      </c>
      <c r="AL80" s="10">
        <f>'BS Forecasts'!AL$70</f>
        <v>0</v>
      </c>
      <c r="AM80" s="10">
        <f>'BS Forecasts'!AM$70</f>
        <v>0</v>
      </c>
      <c r="AN80" s="10">
        <f>'BS Forecasts'!AN$70</f>
        <v>0</v>
      </c>
      <c r="AO80" s="10">
        <f>'BS Forecasts'!AO$70</f>
        <v>0</v>
      </c>
      <c r="AP80" s="10">
        <f>'BS Forecasts'!AP$70</f>
        <v>0</v>
      </c>
      <c r="AQ80" s="10">
        <f>'BS Forecasts'!AQ$70</f>
        <v>0</v>
      </c>
      <c r="AR80" s="10">
        <f>'BS Forecasts'!AR$70</f>
        <v>0</v>
      </c>
      <c r="AS80" s="10">
        <f>'BS Forecasts'!AS$70</f>
        <v>0</v>
      </c>
      <c r="AT80" s="10">
        <f>'BS Forecasts'!AT$70</f>
        <v>0</v>
      </c>
      <c r="AU80" s="10">
        <f>'BS Forecasts'!AU$70</f>
        <v>0</v>
      </c>
      <c r="AV80" s="10">
        <f>'BS Forecasts'!AV$70</f>
        <v>0</v>
      </c>
      <c r="AW80" s="10">
        <f>'BS Forecasts'!AW$70</f>
        <v>0</v>
      </c>
      <c r="AX80" s="10">
        <f>'BS Forecasts'!AX$70</f>
        <v>0</v>
      </c>
      <c r="AY80" s="10">
        <f>'BS Forecasts'!AY$70</f>
        <v>0</v>
      </c>
      <c r="AZ80" s="10">
        <f>'BS Forecasts'!AZ$70</f>
        <v>0</v>
      </c>
      <c r="BA80" s="10">
        <f>'BS Forecasts'!BA$70</f>
        <v>0</v>
      </c>
      <c r="BB80" s="10">
        <f>'BS Forecasts'!BB$70</f>
        <v>0</v>
      </c>
      <c r="BC80" s="10">
        <f>'BS Forecasts'!BC$70</f>
        <v>0</v>
      </c>
      <c r="BD80" s="10">
        <f>'BS Forecasts'!BD$70</f>
        <v>0</v>
      </c>
      <c r="BE80" s="10">
        <f>'BS Forecasts'!BE$70</f>
        <v>0</v>
      </c>
      <c r="BF80" s="10">
        <f>'BS Forecasts'!BF$70</f>
        <v>0</v>
      </c>
      <c r="BG80" s="10">
        <f>'BS Forecasts'!BG$70</f>
        <v>0</v>
      </c>
      <c r="BH80" s="10">
        <f>'BS Forecasts'!BH$70</f>
        <v>0</v>
      </c>
      <c r="BI80" s="10">
        <f>'BS Forecasts'!BI$70</f>
        <v>0</v>
      </c>
      <c r="BJ80" s="10">
        <f>'BS Forecasts'!BJ$70</f>
        <v>0</v>
      </c>
      <c r="BK80" s="280"/>
      <c r="BL80" s="10">
        <f>'BS Forecasts'!BL$70</f>
        <v>0</v>
      </c>
      <c r="BM80" s="10">
        <f>'BS Forecasts'!BM$70</f>
        <v>0</v>
      </c>
      <c r="BN80" s="10">
        <f>'BS Forecasts'!BN$70</f>
        <v>0</v>
      </c>
      <c r="BO80" s="10">
        <f>'BS Forecasts'!BO$70</f>
        <v>0</v>
      </c>
      <c r="BP80" s="10">
        <f>'BS Forecasts'!BP$70</f>
        <v>0</v>
      </c>
      <c r="BQ80" s="10">
        <f>'BS Forecasts'!BQ$70</f>
        <v>0</v>
      </c>
      <c r="BR80" s="10">
        <f>'BS Forecasts'!BR$70</f>
        <v>0</v>
      </c>
      <c r="BS80" s="10">
        <f>'BS Forecasts'!BS$70</f>
        <v>0</v>
      </c>
      <c r="BT80" s="10">
        <f>'BS Forecasts'!BT$70</f>
        <v>0</v>
      </c>
      <c r="BU80" s="10">
        <f>'BS Forecasts'!BU$70</f>
        <v>0</v>
      </c>
      <c r="BV80" s="10">
        <f>'BS Forecasts'!BV$70</f>
        <v>0</v>
      </c>
      <c r="BW80" s="10">
        <f>'BS Forecasts'!BW$70</f>
        <v>0</v>
      </c>
      <c r="BY80" s="42"/>
      <c r="CC80" s="126">
        <f t="shared" si="75"/>
        <v>0</v>
      </c>
      <c r="CD80" s="126">
        <f t="shared" si="76"/>
        <v>0</v>
      </c>
      <c r="CE80" s="126">
        <f t="shared" si="85"/>
        <v>0</v>
      </c>
      <c r="CF80" s="42"/>
      <c r="CG80" s="352">
        <f t="shared" si="86"/>
        <v>0</v>
      </c>
      <c r="CH80" s="352">
        <f t="shared" si="87"/>
        <v>0</v>
      </c>
      <c r="CI80" s="352">
        <f t="shared" si="88"/>
        <v>0</v>
      </c>
      <c r="CJ80" s="352">
        <f t="shared" si="89"/>
        <v>0</v>
      </c>
      <c r="CK80" s="352">
        <f t="shared" si="90"/>
        <v>0</v>
      </c>
      <c r="CL80" s="352">
        <f t="shared" si="91"/>
        <v>0</v>
      </c>
      <c r="CM80" s="352">
        <f t="shared" si="92"/>
        <v>0</v>
      </c>
      <c r="EX80" s="10" t="str">
        <f t="shared" ca="1" si="84"/>
        <v>Bad Debt Provision</v>
      </c>
    </row>
    <row r="81" spans="1:154" x14ac:dyDescent="0.25">
      <c r="A81" s="362" cm="1">
        <f t="array" aca="1" ref="A81" ca="1">HYPERLINK(CONCATENATE("#",CELL("address",IF(SUM($BY81:$CF81)=0,A81,INDEX($BY81:$CF81,MATCH(1,$BY81:$CF81,0))))),SUM($BY81:$CF81))</f>
        <v>0</v>
      </c>
      <c r="B81" s="93"/>
      <c r="C81" s="343" t="str">
        <f>'BS Forecasts'!C$73</f>
        <v>B-2f-CB</v>
      </c>
      <c r="D81" s="560" t="str" cm="1">
        <f t="array" aca="1" ref="D81" ca="1">HYPERLINK(CONCATENATE("#",CELL("address",'BS Forecasts'!$D$73)),'BS Forecasts'!$D$72)</f>
        <v>Prepayments</v>
      </c>
      <c r="J81" s="335"/>
      <c r="Q81" s="335"/>
      <c r="R81" s="335"/>
      <c r="T81" s="335"/>
      <c r="U81" s="335"/>
      <c r="V81" s="10">
        <f>'BS Forecasts'!V$73</f>
        <v>0</v>
      </c>
      <c r="W81" s="121">
        <f>'BS Forecasts'!W$73</f>
        <v>0</v>
      </c>
      <c r="X81" s="121">
        <f>'BS Forecasts'!X$73</f>
        <v>0</v>
      </c>
      <c r="Y81" s="121">
        <f>'BS Forecasts'!Y$73</f>
        <v>0</v>
      </c>
      <c r="AA81" s="121">
        <f>'BS Forecasts'!AA$73</f>
        <v>0</v>
      </c>
      <c r="AB81" s="121">
        <f>'BS Forecasts'!AB$73</f>
        <v>0</v>
      </c>
      <c r="AC81" s="121">
        <f>'BS Forecasts'!AC$73</f>
        <v>0</v>
      </c>
      <c r="AD81" s="121">
        <f>'BS Forecasts'!AD$73</f>
        <v>0</v>
      </c>
      <c r="AE81" s="121">
        <f>'BS Forecasts'!AE$73</f>
        <v>0</v>
      </c>
      <c r="AF81" s="121">
        <f>'BS Forecasts'!AF$73</f>
        <v>0</v>
      </c>
      <c r="AG81" s="121">
        <f>'BS Forecasts'!AG$73</f>
        <v>0</v>
      </c>
      <c r="AH81" s="121">
        <f>'BS Forecasts'!AH$73</f>
        <v>0</v>
      </c>
      <c r="AI81" s="121">
        <f>'BS Forecasts'!AI$73</f>
        <v>0</v>
      </c>
      <c r="AJ81" s="121">
        <f>'BS Forecasts'!AJ$73</f>
        <v>0</v>
      </c>
      <c r="AK81" s="121">
        <f>'BS Forecasts'!AK$73</f>
        <v>0</v>
      </c>
      <c r="AL81" s="121">
        <f>'BS Forecasts'!AL$73</f>
        <v>0</v>
      </c>
      <c r="AM81" s="121">
        <f>'BS Forecasts'!AM$73</f>
        <v>0</v>
      </c>
      <c r="AN81" s="121">
        <f>'BS Forecasts'!AN$73</f>
        <v>0</v>
      </c>
      <c r="AO81" s="121">
        <f>'BS Forecasts'!AO$73</f>
        <v>0</v>
      </c>
      <c r="AP81" s="121">
        <f>'BS Forecasts'!AP$73</f>
        <v>0</v>
      </c>
      <c r="AQ81" s="121">
        <f>'BS Forecasts'!AQ$73</f>
        <v>0</v>
      </c>
      <c r="AR81" s="121">
        <f>'BS Forecasts'!AR$73</f>
        <v>0</v>
      </c>
      <c r="AS81" s="121">
        <f>'BS Forecasts'!AS$73</f>
        <v>0</v>
      </c>
      <c r="AT81" s="121">
        <f>'BS Forecasts'!AT$73</f>
        <v>0</v>
      </c>
      <c r="AU81" s="121">
        <f>'BS Forecasts'!AU$73</f>
        <v>0</v>
      </c>
      <c r="AV81" s="121">
        <f>'BS Forecasts'!AV$73</f>
        <v>0</v>
      </c>
      <c r="AW81" s="121">
        <f>'BS Forecasts'!AW$73</f>
        <v>0</v>
      </c>
      <c r="AX81" s="121">
        <f>'BS Forecasts'!AX$73</f>
        <v>0</v>
      </c>
      <c r="AY81" s="121">
        <f>'BS Forecasts'!AY$73</f>
        <v>0</v>
      </c>
      <c r="AZ81" s="121">
        <f>'BS Forecasts'!AZ$73</f>
        <v>0</v>
      </c>
      <c r="BA81" s="121">
        <f>'BS Forecasts'!BA$73</f>
        <v>0</v>
      </c>
      <c r="BB81" s="121">
        <f>'BS Forecasts'!BB$73</f>
        <v>0</v>
      </c>
      <c r="BC81" s="121">
        <f>'BS Forecasts'!BC$73</f>
        <v>0</v>
      </c>
      <c r="BD81" s="121">
        <f>'BS Forecasts'!BD$73</f>
        <v>0</v>
      </c>
      <c r="BE81" s="121">
        <f>'BS Forecasts'!BE$73</f>
        <v>0</v>
      </c>
      <c r="BF81" s="121">
        <f>'BS Forecasts'!BF$73</f>
        <v>0</v>
      </c>
      <c r="BG81" s="121">
        <f>'BS Forecasts'!BG$73</f>
        <v>0</v>
      </c>
      <c r="BH81" s="121">
        <f>'BS Forecasts'!BH$73</f>
        <v>0</v>
      </c>
      <c r="BI81" s="121">
        <f>'BS Forecasts'!BI$73</f>
        <v>0</v>
      </c>
      <c r="BJ81" s="121">
        <f>'BS Forecasts'!BJ$73</f>
        <v>0</v>
      </c>
      <c r="BL81" s="121">
        <f>'BS Forecasts'!BL$73</f>
        <v>0</v>
      </c>
      <c r="BM81" s="121">
        <f>'BS Forecasts'!BM$73</f>
        <v>0</v>
      </c>
      <c r="BN81" s="121">
        <f>'BS Forecasts'!BN$73</f>
        <v>0</v>
      </c>
      <c r="BO81" s="121">
        <f>'BS Forecasts'!BO$73</f>
        <v>0</v>
      </c>
      <c r="BP81" s="121">
        <f>'BS Forecasts'!BP$73</f>
        <v>0</v>
      </c>
      <c r="BQ81" s="121">
        <f>'BS Forecasts'!BQ$73</f>
        <v>0</v>
      </c>
      <c r="BR81" s="121">
        <f>'BS Forecasts'!BR$73</f>
        <v>0</v>
      </c>
      <c r="BS81" s="121">
        <f>'BS Forecasts'!BS$73</f>
        <v>0</v>
      </c>
      <c r="BT81" s="121">
        <f>'BS Forecasts'!BT$73</f>
        <v>0</v>
      </c>
      <c r="BU81" s="121">
        <f>'BS Forecasts'!BU$73</f>
        <v>0</v>
      </c>
      <c r="BV81" s="121">
        <f>'BS Forecasts'!BV$73</f>
        <v>0</v>
      </c>
      <c r="BW81" s="121">
        <f>'BS Forecasts'!BW$73</f>
        <v>0</v>
      </c>
      <c r="BY81" s="42"/>
      <c r="CC81" s="126">
        <f t="shared" si="75"/>
        <v>0</v>
      </c>
      <c r="CD81" s="126">
        <f t="shared" si="76"/>
        <v>0</v>
      </c>
      <c r="CE81" s="126">
        <f t="shared" si="85"/>
        <v>0</v>
      </c>
      <c r="CF81" s="42"/>
      <c r="CG81" s="352">
        <f t="shared" si="86"/>
        <v>0</v>
      </c>
      <c r="CH81" s="352">
        <f t="shared" si="87"/>
        <v>0</v>
      </c>
      <c r="CI81" s="352">
        <f t="shared" si="88"/>
        <v>0</v>
      </c>
      <c r="CJ81" s="352">
        <f t="shared" si="89"/>
        <v>0</v>
      </c>
      <c r="CK81" s="352">
        <f t="shared" si="90"/>
        <v>0</v>
      </c>
      <c r="CL81" s="352">
        <f t="shared" si="91"/>
        <v>0</v>
      </c>
      <c r="CM81" s="352">
        <f t="shared" si="92"/>
        <v>0</v>
      </c>
      <c r="EX81" s="10" t="str">
        <f t="shared" ca="1" si="84"/>
        <v>Prepayments</v>
      </c>
    </row>
    <row r="82" spans="1:154" x14ac:dyDescent="0.25">
      <c r="A82" s="362" cm="1">
        <f t="array" aca="1" ref="A82" ca="1">HYPERLINK(CONCATENATE("#",CELL("address",IF(SUM($BY82:$CF82)=0,A82,INDEX($BY82:$CF82,MATCH(1,$BY82:$CF82,0))))),SUM($BY82:$CF82))</f>
        <v>0</v>
      </c>
      <c r="B82" s="93"/>
      <c r="C82" s="343" t="str">
        <f>'BS Forecasts'!C$76</f>
        <v>B-2g-CB</v>
      </c>
      <c r="D82" s="560" t="str" cm="1">
        <f t="array" aca="1" ref="D82" ca="1">HYPERLINK(CONCATENATE("#",CELL("address",'BS Forecasts'!$D$76)),'BS Forecasts'!$D$75)</f>
        <v>Accrued Income</v>
      </c>
      <c r="J82" s="335"/>
      <c r="Q82" s="335"/>
      <c r="R82" s="335"/>
      <c r="T82" s="335"/>
      <c r="U82" s="335"/>
      <c r="V82" s="10">
        <f>'BS Forecasts'!V$76</f>
        <v>1216</v>
      </c>
      <c r="W82" s="121">
        <f>'BS Forecasts'!W$76</f>
        <v>475</v>
      </c>
      <c r="X82" s="121">
        <f>'BS Forecasts'!X$76</f>
        <v>500</v>
      </c>
      <c r="Y82" s="121">
        <f>'BS Forecasts'!Y$76</f>
        <v>509</v>
      </c>
      <c r="AA82" s="121">
        <f>'BS Forecasts'!AA$76</f>
        <v>500</v>
      </c>
      <c r="AB82" s="121">
        <f>'BS Forecasts'!AB$76</f>
        <v>400</v>
      </c>
      <c r="AC82" s="121">
        <f>'BS Forecasts'!AC$76</f>
        <v>300</v>
      </c>
      <c r="AD82" s="121">
        <f>'BS Forecasts'!AD$76</f>
        <v>100</v>
      </c>
      <c r="AE82" s="121">
        <f>'BS Forecasts'!AE$76</f>
        <v>200</v>
      </c>
      <c r="AF82" s="121">
        <f>'BS Forecasts'!AF$76</f>
        <v>200</v>
      </c>
      <c r="AG82" s="121">
        <f>'BS Forecasts'!AG$76</f>
        <v>200</v>
      </c>
      <c r="AH82" s="121">
        <f>'BS Forecasts'!AH$76</f>
        <v>200</v>
      </c>
      <c r="AI82" s="121">
        <f>'BS Forecasts'!AI$76</f>
        <v>100</v>
      </c>
      <c r="AJ82" s="121">
        <f>'BS Forecasts'!AJ$76</f>
        <v>100</v>
      </c>
      <c r="AK82" s="121">
        <f>'BS Forecasts'!AK$76</f>
        <v>100</v>
      </c>
      <c r="AL82" s="121">
        <f>'BS Forecasts'!AL$76</f>
        <v>475</v>
      </c>
      <c r="AM82" s="121">
        <f>'BS Forecasts'!AM$76</f>
        <v>100</v>
      </c>
      <c r="AN82" s="121">
        <f>'BS Forecasts'!AN$76</f>
        <v>100</v>
      </c>
      <c r="AO82" s="121">
        <f>'BS Forecasts'!AO$76</f>
        <v>100</v>
      </c>
      <c r="AP82" s="121">
        <f>'BS Forecasts'!AP$76</f>
        <v>100</v>
      </c>
      <c r="AQ82" s="121">
        <f>'BS Forecasts'!AQ$76</f>
        <v>100</v>
      </c>
      <c r="AR82" s="121">
        <f>'BS Forecasts'!AR$76</f>
        <v>400</v>
      </c>
      <c r="AS82" s="121">
        <f>'BS Forecasts'!AS$76</f>
        <v>400</v>
      </c>
      <c r="AT82" s="121">
        <f>'BS Forecasts'!AT$76</f>
        <v>400</v>
      </c>
      <c r="AU82" s="121">
        <f>'BS Forecasts'!AU$76</f>
        <v>400</v>
      </c>
      <c r="AV82" s="121">
        <f>'BS Forecasts'!AV$76</f>
        <v>400</v>
      </c>
      <c r="AW82" s="121">
        <f>'BS Forecasts'!AW$76</f>
        <v>400</v>
      </c>
      <c r="AX82" s="121">
        <f>'BS Forecasts'!AX$76</f>
        <v>500</v>
      </c>
      <c r="AY82" s="121">
        <f>'BS Forecasts'!AY$76</f>
        <v>200</v>
      </c>
      <c r="AZ82" s="121">
        <f>'BS Forecasts'!AZ$76</f>
        <v>200</v>
      </c>
      <c r="BA82" s="121">
        <f>'BS Forecasts'!BA$76</f>
        <v>200</v>
      </c>
      <c r="BB82" s="121">
        <f>'BS Forecasts'!BB$76</f>
        <v>200</v>
      </c>
      <c r="BC82" s="121">
        <f>'BS Forecasts'!BC$76</f>
        <v>200</v>
      </c>
      <c r="BD82" s="121">
        <f>'BS Forecasts'!BD$76</f>
        <v>400</v>
      </c>
      <c r="BE82" s="121">
        <f>'BS Forecasts'!BE$76</f>
        <v>400</v>
      </c>
      <c r="BF82" s="121">
        <f>'BS Forecasts'!BF$76</f>
        <v>400</v>
      </c>
      <c r="BG82" s="121">
        <f>'BS Forecasts'!BG$76</f>
        <v>400</v>
      </c>
      <c r="BH82" s="121">
        <f>'BS Forecasts'!BH$76</f>
        <v>400</v>
      </c>
      <c r="BI82" s="121">
        <f>'BS Forecasts'!BI$76</f>
        <v>400</v>
      </c>
      <c r="BJ82" s="121">
        <f>'BS Forecasts'!BJ$76</f>
        <v>509</v>
      </c>
      <c r="BL82" s="121">
        <f>'BS Forecasts'!BL$76</f>
        <v>1216</v>
      </c>
      <c r="BM82" s="121">
        <f>'BS Forecasts'!BM$76</f>
        <v>475</v>
      </c>
      <c r="BN82" s="121">
        <f>'BS Forecasts'!BN$76</f>
        <v>500</v>
      </c>
      <c r="BO82" s="121">
        <f>'BS Forecasts'!BO$76</f>
        <v>509</v>
      </c>
      <c r="BP82" s="121">
        <f>'BS Forecasts'!BP$76</f>
        <v>0</v>
      </c>
      <c r="BQ82" s="121">
        <f>'BS Forecasts'!BQ$76</f>
        <v>0</v>
      </c>
      <c r="BR82" s="121">
        <f>'BS Forecasts'!BR$76</f>
        <v>0</v>
      </c>
      <c r="BS82" s="121">
        <f>'BS Forecasts'!BS$76</f>
        <v>0</v>
      </c>
      <c r="BT82" s="121">
        <f>'BS Forecasts'!BT$76</f>
        <v>0</v>
      </c>
      <c r="BU82" s="121">
        <f>'BS Forecasts'!BU$76</f>
        <v>0</v>
      </c>
      <c r="BV82" s="121">
        <f>'BS Forecasts'!BV$76</f>
        <v>0</v>
      </c>
      <c r="BW82" s="121">
        <f>'BS Forecasts'!BW$76</f>
        <v>0</v>
      </c>
      <c r="BY82" s="42"/>
      <c r="CC82" s="126">
        <f t="shared" si="75"/>
        <v>0</v>
      </c>
      <c r="CD82" s="126">
        <f t="shared" si="76"/>
        <v>0</v>
      </c>
      <c r="CE82" s="126">
        <f t="shared" si="85"/>
        <v>0</v>
      </c>
      <c r="CF82" s="42"/>
      <c r="CG82" s="352">
        <f t="shared" si="86"/>
        <v>0</v>
      </c>
      <c r="CH82" s="352">
        <f t="shared" si="87"/>
        <v>0</v>
      </c>
      <c r="CI82" s="352">
        <f t="shared" si="88"/>
        <v>0</v>
      </c>
      <c r="CJ82" s="352">
        <f t="shared" si="89"/>
        <v>0</v>
      </c>
      <c r="CK82" s="352">
        <f t="shared" si="90"/>
        <v>0</v>
      </c>
      <c r="CL82" s="352">
        <f t="shared" si="91"/>
        <v>0</v>
      </c>
      <c r="CM82" s="352">
        <f t="shared" si="92"/>
        <v>0</v>
      </c>
      <c r="EX82" s="10" t="str">
        <f t="shared" ca="1" si="84"/>
        <v>Accrued Income</v>
      </c>
    </row>
    <row r="83" spans="1:154" s="335" customFormat="1" x14ac:dyDescent="0.25">
      <c r="A83" s="362" cm="1">
        <f t="array" aca="1" ref="A83" ca="1">HYPERLINK(CONCATENATE("#",CELL("address",IF(SUM($BY83:$CF83)=0,A83,INDEX($BY83:$CF83,MATCH(1,$BY83:$CF83,0))))),SUM($BY83:$CF83))</f>
        <v>0</v>
      </c>
      <c r="B83" s="93"/>
      <c r="C83" s="343" t="str">
        <f>'BS Forecasts'!C$79</f>
        <v>B-2h-CB</v>
      </c>
      <c r="D83" s="560" t="str" cm="1">
        <f t="array" aca="1" ref="D83" ca="1">HYPERLINK(CONCATENATE("#",CELL("address",'BS Forecasts'!$D$79)),'BS Forecasts'!$D$78)</f>
        <v>Short-term Investments</v>
      </c>
      <c r="E83" s="1"/>
      <c r="V83" s="10">
        <f>'BS Forecasts'!V$79</f>
        <v>7911</v>
      </c>
      <c r="W83" s="10">
        <f>'BS Forecasts'!W$79</f>
        <v>4000</v>
      </c>
      <c r="X83" s="10">
        <f>'BS Forecasts'!X$79</f>
        <v>3688</v>
      </c>
      <c r="Y83" s="10">
        <f>'BS Forecasts'!Y$79</f>
        <v>3688</v>
      </c>
      <c r="AA83" s="10">
        <f>'BS Forecasts'!AA$79</f>
        <v>4000</v>
      </c>
      <c r="AB83" s="10">
        <f>'BS Forecasts'!AB$79</f>
        <v>4000</v>
      </c>
      <c r="AC83" s="10">
        <f>'BS Forecasts'!AC$79</f>
        <v>4000</v>
      </c>
      <c r="AD83" s="10">
        <f>'BS Forecasts'!AD$79</f>
        <v>4000</v>
      </c>
      <c r="AE83" s="10">
        <f>'BS Forecasts'!AE$79</f>
        <v>4000</v>
      </c>
      <c r="AF83" s="10">
        <f>'BS Forecasts'!AF$79</f>
        <v>4000</v>
      </c>
      <c r="AG83" s="10">
        <f>'BS Forecasts'!AG$79</f>
        <v>4000</v>
      </c>
      <c r="AH83" s="10">
        <f>'BS Forecasts'!AH$79</f>
        <v>4000</v>
      </c>
      <c r="AI83" s="10">
        <f>'BS Forecasts'!AI$79</f>
        <v>4000</v>
      </c>
      <c r="AJ83" s="10">
        <f>'BS Forecasts'!AJ$79</f>
        <v>4000</v>
      </c>
      <c r="AK83" s="10">
        <f>'BS Forecasts'!AK$79</f>
        <v>4000</v>
      </c>
      <c r="AL83" s="10">
        <f>'BS Forecasts'!AL$79</f>
        <v>4000</v>
      </c>
      <c r="AM83" s="10">
        <f>'BS Forecasts'!AM$79</f>
        <v>3688</v>
      </c>
      <c r="AN83" s="10">
        <f>'BS Forecasts'!AN$79</f>
        <v>3688</v>
      </c>
      <c r="AO83" s="10">
        <f>'BS Forecasts'!AO$79</f>
        <v>3688</v>
      </c>
      <c r="AP83" s="10">
        <f>'BS Forecasts'!AP$79</f>
        <v>3688</v>
      </c>
      <c r="AQ83" s="10">
        <f>'BS Forecasts'!AQ$79</f>
        <v>3688</v>
      </c>
      <c r="AR83" s="10">
        <f>'BS Forecasts'!AR$79</f>
        <v>3688</v>
      </c>
      <c r="AS83" s="10">
        <f>'BS Forecasts'!AS$79</f>
        <v>3688</v>
      </c>
      <c r="AT83" s="10">
        <f>'BS Forecasts'!AT$79</f>
        <v>3688</v>
      </c>
      <c r="AU83" s="10">
        <f>'BS Forecasts'!AU$79</f>
        <v>3688</v>
      </c>
      <c r="AV83" s="10">
        <f>'BS Forecasts'!AV$79</f>
        <v>3688</v>
      </c>
      <c r="AW83" s="10">
        <f>'BS Forecasts'!AW$79</f>
        <v>3688</v>
      </c>
      <c r="AX83" s="10">
        <f>'BS Forecasts'!AX$79</f>
        <v>3688</v>
      </c>
      <c r="AY83" s="10">
        <f>'BS Forecasts'!AY$79</f>
        <v>3688</v>
      </c>
      <c r="AZ83" s="10">
        <f>'BS Forecasts'!AZ$79</f>
        <v>3688</v>
      </c>
      <c r="BA83" s="10">
        <f>'BS Forecasts'!BA$79</f>
        <v>3688</v>
      </c>
      <c r="BB83" s="10">
        <f>'BS Forecasts'!BB$79</f>
        <v>3688</v>
      </c>
      <c r="BC83" s="10">
        <f>'BS Forecasts'!BC$79</f>
        <v>3688</v>
      </c>
      <c r="BD83" s="10">
        <f>'BS Forecasts'!BD$79</f>
        <v>3688</v>
      </c>
      <c r="BE83" s="10">
        <f>'BS Forecasts'!BE$79</f>
        <v>3688</v>
      </c>
      <c r="BF83" s="10">
        <f>'BS Forecasts'!BF$79</f>
        <v>3688</v>
      </c>
      <c r="BG83" s="10">
        <f>'BS Forecasts'!BG$79</f>
        <v>3688</v>
      </c>
      <c r="BH83" s="10">
        <f>'BS Forecasts'!BH$79</f>
        <v>3688</v>
      </c>
      <c r="BI83" s="10">
        <f>'BS Forecasts'!BI$79</f>
        <v>3688</v>
      </c>
      <c r="BJ83" s="10">
        <f>'BS Forecasts'!BJ$79</f>
        <v>3688</v>
      </c>
      <c r="BL83" s="10">
        <f>'BS Forecasts'!BL$79</f>
        <v>7911</v>
      </c>
      <c r="BM83" s="10">
        <f>'BS Forecasts'!BM$79</f>
        <v>4000</v>
      </c>
      <c r="BN83" s="10">
        <f>'BS Forecasts'!BN$79</f>
        <v>3688</v>
      </c>
      <c r="BO83" s="10">
        <f>'BS Forecasts'!BO$79</f>
        <v>3688</v>
      </c>
      <c r="BP83" s="10">
        <f>'BS Forecasts'!BP$79</f>
        <v>0</v>
      </c>
      <c r="BQ83" s="10">
        <f>'BS Forecasts'!BQ$79</f>
        <v>0</v>
      </c>
      <c r="BR83" s="10">
        <f>'BS Forecasts'!BR$79</f>
        <v>0</v>
      </c>
      <c r="BS83" s="10">
        <f>'BS Forecasts'!BS$79</f>
        <v>0</v>
      </c>
      <c r="BT83" s="10">
        <f>'BS Forecasts'!BT$79</f>
        <v>0</v>
      </c>
      <c r="BU83" s="10">
        <f>'BS Forecasts'!BU$79</f>
        <v>0</v>
      </c>
      <c r="BV83" s="10">
        <f>'BS Forecasts'!BV$79</f>
        <v>0</v>
      </c>
      <c r="BW83" s="10">
        <f>'BS Forecasts'!BW$79</f>
        <v>0</v>
      </c>
      <c r="BY83" s="42"/>
      <c r="CC83" s="126">
        <f t="shared" si="75"/>
        <v>0</v>
      </c>
      <c r="CD83" s="126">
        <f t="shared" si="76"/>
        <v>0</v>
      </c>
      <c r="CE83" s="126">
        <f t="shared" si="85"/>
        <v>0</v>
      </c>
      <c r="CF83" s="42"/>
      <c r="CG83" s="352">
        <f t="shared" si="86"/>
        <v>0</v>
      </c>
      <c r="CH83" s="352">
        <f t="shared" si="87"/>
        <v>0</v>
      </c>
      <c r="CI83" s="352">
        <f t="shared" si="88"/>
        <v>0</v>
      </c>
      <c r="CJ83" s="352">
        <f t="shared" si="89"/>
        <v>0</v>
      </c>
      <c r="CK83" s="352">
        <f t="shared" si="90"/>
        <v>0</v>
      </c>
      <c r="CL83" s="352">
        <f t="shared" si="91"/>
        <v>0</v>
      </c>
      <c r="CM83" s="352">
        <f t="shared" si="92"/>
        <v>0</v>
      </c>
      <c r="EX83" s="10" t="str">
        <f t="shared" ca="1" si="84"/>
        <v>Short-term Investments</v>
      </c>
    </row>
    <row r="84" spans="1:154" x14ac:dyDescent="0.25">
      <c r="A84" s="362" cm="1">
        <f t="array" aca="1" ref="A84" ca="1">HYPERLINK(CONCATENATE("#",CELL("address",IF(SUM($BY84:$CF84)=0,A84,INDEX($BY84:$CF84,MATCH(1,$BY84:$CF84,0))))),SUM($BY84:$CF84))</f>
        <v>0</v>
      </c>
      <c r="B84" s="93"/>
      <c r="C84" s="343" t="str">
        <f>'BS Forecasts'!C$83</f>
        <v>IC-5</v>
      </c>
      <c r="D84" s="560" t="str" cm="1">
        <f t="array" aca="1" ref="D84" ca="1">HYPERLINK(CONCATENATE("#",CELL("address",'BS Forecasts'!$D$83)),'BS Forecasts'!$D$81)</f>
        <v>Cash and Cash Equivalents</v>
      </c>
      <c r="J84" s="335"/>
      <c r="Q84" s="335"/>
      <c r="R84" s="335"/>
      <c r="T84" s="335"/>
      <c r="U84" s="335"/>
      <c r="V84" s="10">
        <f>'BS Forecasts'!V$83</f>
        <v>3647</v>
      </c>
      <c r="W84" s="121">
        <f>'BS Forecasts'!W$83</f>
        <v>6441</v>
      </c>
      <c r="X84" s="121">
        <f>'BS Forecasts'!X$83</f>
        <v>5491</v>
      </c>
      <c r="Y84" s="121">
        <f>'BS Forecasts'!Y$83</f>
        <v>6340.8100000000013</v>
      </c>
      <c r="AA84" s="121">
        <f>'BS Forecasts'!AA$83</f>
        <v>8818</v>
      </c>
      <c r="AB84" s="121">
        <f>'BS Forecasts'!AB$83</f>
        <v>10913</v>
      </c>
      <c r="AC84" s="121">
        <f>'BS Forecasts'!AC$83</f>
        <v>8982</v>
      </c>
      <c r="AD84" s="121">
        <f>'BS Forecasts'!AD$83</f>
        <v>9025</v>
      </c>
      <c r="AE84" s="121">
        <f>'BS Forecasts'!AE$83</f>
        <v>8571</v>
      </c>
      <c r="AF84" s="121">
        <f>'BS Forecasts'!AF$83</f>
        <v>7986</v>
      </c>
      <c r="AG84" s="121">
        <f>'BS Forecasts'!AG$83</f>
        <v>7331</v>
      </c>
      <c r="AH84" s="121">
        <f>'BS Forecasts'!AH$83</f>
        <v>5448</v>
      </c>
      <c r="AI84" s="121">
        <f>'BS Forecasts'!AI$83</f>
        <v>6886</v>
      </c>
      <c r="AJ84" s="121">
        <f>'BS Forecasts'!AJ$83</f>
        <v>7251</v>
      </c>
      <c r="AK84" s="121">
        <f>'BS Forecasts'!AK$83</f>
        <v>7674</v>
      </c>
      <c r="AL84" s="121">
        <f>'BS Forecasts'!AL$83</f>
        <v>6441</v>
      </c>
      <c r="AM84" s="121">
        <f>'BS Forecasts'!AM$83</f>
        <v>8199</v>
      </c>
      <c r="AN84" s="121">
        <f>'BS Forecasts'!AN$83</f>
        <v>8500</v>
      </c>
      <c r="AO84" s="121">
        <f>'BS Forecasts'!AO$83</f>
        <v>8354</v>
      </c>
      <c r="AP84" s="121">
        <f>'BS Forecasts'!AP$83</f>
        <v>7780</v>
      </c>
      <c r="AQ84" s="121">
        <f>'BS Forecasts'!AQ$83</f>
        <v>6545</v>
      </c>
      <c r="AR84" s="121">
        <f>'BS Forecasts'!AR$83</f>
        <v>5319</v>
      </c>
      <c r="AS84" s="121">
        <f>'BS Forecasts'!AS$83</f>
        <v>4066</v>
      </c>
      <c r="AT84" s="121">
        <f>'BS Forecasts'!AT$83</f>
        <v>2701</v>
      </c>
      <c r="AU84" s="121">
        <f>'BS Forecasts'!AU$83</f>
        <v>3780</v>
      </c>
      <c r="AV84" s="121">
        <f>'BS Forecasts'!AV$83</f>
        <v>3884</v>
      </c>
      <c r="AW84" s="121">
        <f>'BS Forecasts'!AW$83</f>
        <v>3643</v>
      </c>
      <c r="AX84" s="121">
        <f>'BS Forecasts'!AX$83</f>
        <v>5491</v>
      </c>
      <c r="AY84" s="121">
        <f>'BS Forecasts'!AY$83</f>
        <v>7573.748333333333</v>
      </c>
      <c r="AZ84" s="121">
        <f>'BS Forecasts'!AZ$83</f>
        <v>8517.1049999999996</v>
      </c>
      <c r="BA84" s="121">
        <f>'BS Forecasts'!BA$83</f>
        <v>8539.5933333333323</v>
      </c>
      <c r="BB84" s="121">
        <f>'BS Forecasts'!BB$83</f>
        <v>7943.98</v>
      </c>
      <c r="BC84" s="121">
        <f>'BS Forecasts'!BC$83</f>
        <v>6919.45</v>
      </c>
      <c r="BD84" s="121">
        <f>'BS Forecasts'!BD$83</f>
        <v>6077.22</v>
      </c>
      <c r="BE84" s="121">
        <f>'BS Forecasts'!BE$83</f>
        <v>4886.4783333333335</v>
      </c>
      <c r="BF84" s="121">
        <f>'BS Forecasts'!BF$83</f>
        <v>3893.96</v>
      </c>
      <c r="BG84" s="121">
        <f>'BS Forecasts'!BG$83</f>
        <v>5471.338333333334</v>
      </c>
      <c r="BH84" s="121">
        <f>'BS Forecasts'!BH$83</f>
        <v>5772.4066666666677</v>
      </c>
      <c r="BI84" s="121">
        <f>'BS Forecasts'!BI$83</f>
        <v>5680.6000000000013</v>
      </c>
      <c r="BJ84" s="121">
        <f>'BS Forecasts'!BJ$83</f>
        <v>6340.8100000000013</v>
      </c>
      <c r="BL84" s="121">
        <f>'BS Forecasts'!BL$83</f>
        <v>3647</v>
      </c>
      <c r="BM84" s="121">
        <f>'BS Forecasts'!BM$83</f>
        <v>6441</v>
      </c>
      <c r="BN84" s="121">
        <f>'BS Forecasts'!BN$83</f>
        <v>5491</v>
      </c>
      <c r="BO84" s="121">
        <f>'BS Forecasts'!BO$83</f>
        <v>6340.8100000000013</v>
      </c>
      <c r="BP84" s="121">
        <f>'BS Forecasts'!BP$83</f>
        <v>6340.8100000000013</v>
      </c>
      <c r="BQ84" s="121">
        <f>'BS Forecasts'!BQ$83</f>
        <v>6340.8100000000013</v>
      </c>
      <c r="BR84" s="121">
        <f>'BS Forecasts'!BR$83</f>
        <v>6340.8100000000013</v>
      </c>
      <c r="BS84" s="121">
        <f>'BS Forecasts'!BS$83</f>
        <v>6340.8100000000013</v>
      </c>
      <c r="BT84" s="121">
        <f>'BS Forecasts'!BT$83</f>
        <v>6340.8100000000013</v>
      </c>
      <c r="BU84" s="121">
        <f>'BS Forecasts'!BU$83</f>
        <v>6340.8100000000013</v>
      </c>
      <c r="BV84" s="121">
        <f>'BS Forecasts'!BV$83</f>
        <v>6340.8100000000013</v>
      </c>
      <c r="BW84" s="121">
        <f>'BS Forecasts'!BW$83</f>
        <v>6340.8100000000013</v>
      </c>
      <c r="BY84" s="42"/>
      <c r="CC84" s="126">
        <f t="shared" si="75"/>
        <v>0</v>
      </c>
      <c r="CD84" s="126">
        <f t="shared" si="76"/>
        <v>0</v>
      </c>
      <c r="CE84" s="126">
        <f t="shared" si="85"/>
        <v>0</v>
      </c>
      <c r="CF84" s="42"/>
      <c r="CG84" s="352">
        <f t="shared" si="86"/>
        <v>0</v>
      </c>
      <c r="CH84" s="352">
        <f t="shared" si="87"/>
        <v>0</v>
      </c>
      <c r="CI84" s="352">
        <f t="shared" si="88"/>
        <v>0</v>
      </c>
      <c r="CJ84" s="352">
        <f t="shared" si="89"/>
        <v>0</v>
      </c>
      <c r="CK84" s="352">
        <f t="shared" si="90"/>
        <v>0</v>
      </c>
      <c r="CL84" s="352">
        <f t="shared" si="91"/>
        <v>0</v>
      </c>
      <c r="CM84" s="352">
        <f t="shared" si="92"/>
        <v>0</v>
      </c>
      <c r="EX84" s="10" t="str">
        <f t="shared" ca="1" si="84"/>
        <v>Cash and Cash Equivalents</v>
      </c>
    </row>
    <row r="85" spans="1:154" x14ac:dyDescent="0.25">
      <c r="A85" s="362" cm="1">
        <f t="array" aca="1" ref="A85" ca="1">HYPERLINK(CONCATENATE("#",CELL("address",IF(SUM($BY85:$CF85)=0,A85,INDEX($BY85:$CF85,MATCH(1,$BY85:$CF85,0))))),SUM($BY85:$CF85))</f>
        <v>0</v>
      </c>
      <c r="B85" s="93"/>
      <c r="C85" s="343" t="str">
        <f>'BS Forecasts'!C$86</f>
        <v>B-2j-CB</v>
      </c>
      <c r="D85" s="562" t="str" cm="1">
        <f t="array" aca="1" ref="D85" ca="1">HYPERLINK(CONCATENATE("#",CELL("address",'BS Forecasts'!$D$86)),'BS Forecasts'!$D$85)</f>
        <v xml:space="preserve">Restricted Cash </v>
      </c>
      <c r="J85" s="335"/>
      <c r="Q85" s="335"/>
      <c r="R85" s="335"/>
      <c r="T85" s="335"/>
      <c r="U85" s="335"/>
      <c r="V85" s="10">
        <f>'BS Forecasts'!V$86</f>
        <v>0</v>
      </c>
      <c r="W85" s="121">
        <f>'BS Forecasts'!W$86</f>
        <v>0</v>
      </c>
      <c r="X85" s="121">
        <f>'BS Forecasts'!X$86</f>
        <v>0</v>
      </c>
      <c r="Y85" s="121">
        <f>'BS Forecasts'!Y$86</f>
        <v>0</v>
      </c>
      <c r="AA85" s="121">
        <f>'BS Forecasts'!AA$86</f>
        <v>0</v>
      </c>
      <c r="AB85" s="121">
        <f>'BS Forecasts'!AB$86</f>
        <v>0</v>
      </c>
      <c r="AC85" s="121">
        <f>'BS Forecasts'!AC$86</f>
        <v>0</v>
      </c>
      <c r="AD85" s="121">
        <f>'BS Forecasts'!AD$86</f>
        <v>0</v>
      </c>
      <c r="AE85" s="121">
        <f>'BS Forecasts'!AE$86</f>
        <v>0</v>
      </c>
      <c r="AF85" s="121">
        <f>'BS Forecasts'!AF$86</f>
        <v>0</v>
      </c>
      <c r="AG85" s="121">
        <f>'BS Forecasts'!AG$86</f>
        <v>0</v>
      </c>
      <c r="AH85" s="121">
        <f>'BS Forecasts'!AH$86</f>
        <v>0</v>
      </c>
      <c r="AI85" s="121">
        <f>'BS Forecasts'!AI$86</f>
        <v>0</v>
      </c>
      <c r="AJ85" s="121">
        <f>'BS Forecasts'!AJ$86</f>
        <v>0</v>
      </c>
      <c r="AK85" s="121">
        <f>'BS Forecasts'!AK$86</f>
        <v>0</v>
      </c>
      <c r="AL85" s="121">
        <f>'BS Forecasts'!AL$86</f>
        <v>0</v>
      </c>
      <c r="AM85" s="121">
        <f>'BS Forecasts'!AM$86</f>
        <v>0</v>
      </c>
      <c r="AN85" s="121">
        <f>'BS Forecasts'!AN$86</f>
        <v>0</v>
      </c>
      <c r="AO85" s="121">
        <f>'BS Forecasts'!AO$86</f>
        <v>0</v>
      </c>
      <c r="AP85" s="121">
        <f>'BS Forecasts'!AP$86</f>
        <v>0</v>
      </c>
      <c r="AQ85" s="121">
        <f>'BS Forecasts'!AQ$86</f>
        <v>0</v>
      </c>
      <c r="AR85" s="121">
        <f>'BS Forecasts'!AR$86</f>
        <v>0</v>
      </c>
      <c r="AS85" s="121">
        <f>'BS Forecasts'!AS$86</f>
        <v>0</v>
      </c>
      <c r="AT85" s="121">
        <f>'BS Forecasts'!AT$86</f>
        <v>0</v>
      </c>
      <c r="AU85" s="121">
        <f>'BS Forecasts'!AU$86</f>
        <v>0</v>
      </c>
      <c r="AV85" s="121">
        <f>'BS Forecasts'!AV$86</f>
        <v>0</v>
      </c>
      <c r="AW85" s="121">
        <f>'BS Forecasts'!AW$86</f>
        <v>0</v>
      </c>
      <c r="AX85" s="121">
        <f>'BS Forecasts'!AX$86</f>
        <v>0</v>
      </c>
      <c r="AY85" s="121">
        <f>'BS Forecasts'!AY$86</f>
        <v>0</v>
      </c>
      <c r="AZ85" s="121">
        <f>'BS Forecasts'!AZ$86</f>
        <v>0</v>
      </c>
      <c r="BA85" s="121">
        <f>'BS Forecasts'!BA$86</f>
        <v>0</v>
      </c>
      <c r="BB85" s="121">
        <f>'BS Forecasts'!BB$86</f>
        <v>0</v>
      </c>
      <c r="BC85" s="121">
        <f>'BS Forecasts'!BC$86</f>
        <v>0</v>
      </c>
      <c r="BD85" s="121">
        <f>'BS Forecasts'!BD$86</f>
        <v>0</v>
      </c>
      <c r="BE85" s="121">
        <f>'BS Forecasts'!BE$86</f>
        <v>0</v>
      </c>
      <c r="BF85" s="121">
        <f>'BS Forecasts'!BF$86</f>
        <v>0</v>
      </c>
      <c r="BG85" s="121">
        <f>'BS Forecasts'!BG$86</f>
        <v>0</v>
      </c>
      <c r="BH85" s="121">
        <f>'BS Forecasts'!BH$86</f>
        <v>0</v>
      </c>
      <c r="BI85" s="121">
        <f>'BS Forecasts'!BI$86</f>
        <v>0</v>
      </c>
      <c r="BJ85" s="121">
        <f>'BS Forecasts'!BJ$86</f>
        <v>0</v>
      </c>
      <c r="BL85" s="121">
        <f>'BS Forecasts'!BL$86</f>
        <v>0</v>
      </c>
      <c r="BM85" s="121">
        <f>'BS Forecasts'!BM$86</f>
        <v>0</v>
      </c>
      <c r="BN85" s="121">
        <f>'BS Forecasts'!BN$86</f>
        <v>0</v>
      </c>
      <c r="BO85" s="121">
        <f>'BS Forecasts'!BO$86</f>
        <v>0</v>
      </c>
      <c r="BP85" s="121">
        <f>'BS Forecasts'!BP$86</f>
        <v>0</v>
      </c>
      <c r="BQ85" s="121">
        <f>'BS Forecasts'!BQ$86</f>
        <v>0</v>
      </c>
      <c r="BR85" s="121">
        <f>'BS Forecasts'!BR$86</f>
        <v>0</v>
      </c>
      <c r="BS85" s="121">
        <f>'BS Forecasts'!BS$86</f>
        <v>0</v>
      </c>
      <c r="BT85" s="121">
        <f>'BS Forecasts'!BT$86</f>
        <v>0</v>
      </c>
      <c r="BU85" s="121">
        <f>'BS Forecasts'!BU$86</f>
        <v>0</v>
      </c>
      <c r="BV85" s="121">
        <f>'BS Forecasts'!BV$86</f>
        <v>0</v>
      </c>
      <c r="BW85" s="121">
        <f>'BS Forecasts'!BW$86</f>
        <v>0</v>
      </c>
      <c r="BY85" s="42"/>
      <c r="CC85" s="126">
        <f t="shared" si="75"/>
        <v>0</v>
      </c>
      <c r="CD85" s="126">
        <f t="shared" si="76"/>
        <v>0</v>
      </c>
      <c r="CE85" s="126">
        <f t="shared" si="85"/>
        <v>0</v>
      </c>
      <c r="CF85" s="42"/>
      <c r="CG85" s="352">
        <f t="shared" si="86"/>
        <v>0</v>
      </c>
      <c r="CH85" s="352">
        <f t="shared" si="87"/>
        <v>0</v>
      </c>
      <c r="CI85" s="352">
        <f t="shared" si="88"/>
        <v>0</v>
      </c>
      <c r="CJ85" s="352">
        <f t="shared" si="89"/>
        <v>0</v>
      </c>
      <c r="CK85" s="352">
        <f t="shared" si="90"/>
        <v>0</v>
      </c>
      <c r="CL85" s="352">
        <f t="shared" si="91"/>
        <v>0</v>
      </c>
      <c r="CM85" s="352">
        <f t="shared" si="92"/>
        <v>0</v>
      </c>
      <c r="EX85" s="10" t="str">
        <f t="shared" ca="1" si="84"/>
        <v xml:space="preserve">Restricted Cash </v>
      </c>
    </row>
    <row r="86" spans="1:154" x14ac:dyDescent="0.25">
      <c r="A86" s="362" cm="1">
        <f t="array" aca="1" ref="A86" ca="1">HYPERLINK(CONCATENATE("#",CELL("address",IF(SUM($BY86:$CF86)=0,A86,INDEX($BY86:$CF86,MATCH(1,$BY86:$CF86,0))))),SUM($BY86:$CF86))</f>
        <v>0</v>
      </c>
      <c r="B86" s="93"/>
      <c r="C86" s="343" t="s">
        <v>1463</v>
      </c>
      <c r="D86" s="554" t="s">
        <v>175</v>
      </c>
      <c r="J86" s="335"/>
      <c r="Q86" s="335"/>
      <c r="R86" s="335"/>
      <c r="S86" s="335"/>
      <c r="T86" s="335"/>
      <c r="U86" s="335"/>
      <c r="V86" s="13">
        <f>SUM(V76:V85)*V$9</f>
        <v>0</v>
      </c>
      <c r="W86" s="13">
        <f>SUM(W76:W85)*W$9</f>
        <v>12067</v>
      </c>
      <c r="X86" s="13">
        <f>SUM(X76:X85)*X$9</f>
        <v>10859</v>
      </c>
      <c r="Y86" s="13">
        <f>SUM(Y76:Y85)*Y$9</f>
        <v>11667.810000000001</v>
      </c>
      <c r="Z86" s="335"/>
      <c r="AA86" s="13">
        <f t="shared" ref="AA86:BJ86" si="93">SUM(AA76:AA85)*AA$9</f>
        <v>14344</v>
      </c>
      <c r="AB86" s="13">
        <f t="shared" si="93"/>
        <v>16639</v>
      </c>
      <c r="AC86" s="13">
        <f t="shared" si="93"/>
        <v>14608</v>
      </c>
      <c r="AD86" s="13">
        <f t="shared" si="93"/>
        <v>14451</v>
      </c>
      <c r="AE86" s="13">
        <f t="shared" si="93"/>
        <v>13997</v>
      </c>
      <c r="AF86" s="13">
        <f t="shared" si="93"/>
        <v>13412</v>
      </c>
      <c r="AG86" s="13">
        <f t="shared" si="93"/>
        <v>12757</v>
      </c>
      <c r="AH86" s="13">
        <f t="shared" si="93"/>
        <v>10874</v>
      </c>
      <c r="AI86" s="13">
        <f t="shared" si="93"/>
        <v>12212</v>
      </c>
      <c r="AJ86" s="13">
        <f t="shared" si="93"/>
        <v>12577</v>
      </c>
      <c r="AK86" s="13">
        <f t="shared" si="93"/>
        <v>12950</v>
      </c>
      <c r="AL86" s="13">
        <f t="shared" si="93"/>
        <v>12067</v>
      </c>
      <c r="AM86" s="13">
        <f t="shared" si="93"/>
        <v>13138</v>
      </c>
      <c r="AN86" s="13">
        <f t="shared" si="93"/>
        <v>13568</v>
      </c>
      <c r="AO86" s="13">
        <f t="shared" si="93"/>
        <v>13422</v>
      </c>
      <c r="AP86" s="13">
        <f t="shared" si="93"/>
        <v>12848</v>
      </c>
      <c r="AQ86" s="13">
        <f t="shared" si="93"/>
        <v>11613</v>
      </c>
      <c r="AR86" s="13">
        <f t="shared" si="93"/>
        <v>10687</v>
      </c>
      <c r="AS86" s="13">
        <f t="shared" si="93"/>
        <v>9334</v>
      </c>
      <c r="AT86" s="13">
        <f t="shared" si="93"/>
        <v>7969</v>
      </c>
      <c r="AU86" s="13">
        <f t="shared" si="93"/>
        <v>9048</v>
      </c>
      <c r="AV86" s="13">
        <f t="shared" si="93"/>
        <v>9152</v>
      </c>
      <c r="AW86" s="13">
        <f t="shared" si="93"/>
        <v>8911</v>
      </c>
      <c r="AX86" s="13">
        <f t="shared" si="93"/>
        <v>10859</v>
      </c>
      <c r="AY86" s="13">
        <f t="shared" si="93"/>
        <v>12641.748333333333</v>
      </c>
      <c r="AZ86" s="13">
        <f t="shared" si="93"/>
        <v>13685.105</v>
      </c>
      <c r="BA86" s="13">
        <f t="shared" si="93"/>
        <v>13707.593333333332</v>
      </c>
      <c r="BB86" s="13">
        <f t="shared" si="93"/>
        <v>13111.98</v>
      </c>
      <c r="BC86" s="13">
        <f t="shared" si="93"/>
        <v>12087.45</v>
      </c>
      <c r="BD86" s="13">
        <f t="shared" si="93"/>
        <v>11395.220000000001</v>
      </c>
      <c r="BE86" s="13">
        <f t="shared" si="93"/>
        <v>10204.478333333333</v>
      </c>
      <c r="BF86" s="13">
        <f t="shared" si="93"/>
        <v>9211.9599999999991</v>
      </c>
      <c r="BG86" s="13">
        <f t="shared" si="93"/>
        <v>10689.338333333333</v>
      </c>
      <c r="BH86" s="13">
        <f t="shared" si="93"/>
        <v>10990.406666666668</v>
      </c>
      <c r="BI86" s="13">
        <f t="shared" si="93"/>
        <v>10898.600000000002</v>
      </c>
      <c r="BJ86" s="13">
        <f t="shared" si="93"/>
        <v>11667.810000000001</v>
      </c>
      <c r="BK86" s="335"/>
      <c r="BL86" s="13">
        <f t="shared" ref="BL86:BW86" si="94">SUM(BL76:BL85)*BL$9</f>
        <v>0</v>
      </c>
      <c r="BM86" s="13">
        <f t="shared" si="94"/>
        <v>12067</v>
      </c>
      <c r="BN86" s="13">
        <f t="shared" si="94"/>
        <v>10859</v>
      </c>
      <c r="BO86" s="13">
        <f t="shared" si="94"/>
        <v>11667.810000000001</v>
      </c>
      <c r="BP86" s="13">
        <f t="shared" si="94"/>
        <v>0</v>
      </c>
      <c r="BQ86" s="13">
        <f t="shared" si="94"/>
        <v>0</v>
      </c>
      <c r="BR86" s="13">
        <f t="shared" si="94"/>
        <v>0</v>
      </c>
      <c r="BS86" s="13">
        <f t="shared" si="94"/>
        <v>0</v>
      </c>
      <c r="BT86" s="13">
        <f t="shared" si="94"/>
        <v>0</v>
      </c>
      <c r="BU86" s="13">
        <f t="shared" si="94"/>
        <v>0</v>
      </c>
      <c r="BV86" s="13">
        <f t="shared" si="94"/>
        <v>0</v>
      </c>
      <c r="BW86" s="13">
        <f t="shared" si="94"/>
        <v>0</v>
      </c>
      <c r="BY86" s="42"/>
      <c r="CC86" s="126">
        <f t="shared" si="75"/>
        <v>0</v>
      </c>
      <c r="CD86" s="126">
        <f t="shared" si="76"/>
        <v>0</v>
      </c>
      <c r="CE86" s="126">
        <f t="shared" si="85"/>
        <v>0</v>
      </c>
      <c r="CF86" s="42"/>
      <c r="CG86" s="352">
        <f t="shared" si="86"/>
        <v>0</v>
      </c>
      <c r="CH86" s="352">
        <f t="shared" si="87"/>
        <v>0</v>
      </c>
      <c r="CI86" s="352">
        <f t="shared" si="88"/>
        <v>0</v>
      </c>
      <c r="CJ86" s="352">
        <f t="shared" si="89"/>
        <v>0</v>
      </c>
      <c r="CK86" s="352">
        <f t="shared" si="90"/>
        <v>0</v>
      </c>
      <c r="CL86" s="352">
        <f t="shared" si="91"/>
        <v>0</v>
      </c>
      <c r="CM86" s="352">
        <f t="shared" si="92"/>
        <v>0</v>
      </c>
      <c r="EX86" s="10" t="str">
        <f t="shared" si="84"/>
        <v>Total Current Assets</v>
      </c>
    </row>
    <row r="87" spans="1:154" s="335" customFormat="1" ht="11.45" customHeight="1" x14ac:dyDescent="0.25">
      <c r="A87" s="157"/>
      <c r="B87" s="187"/>
      <c r="C87" s="343"/>
      <c r="D87" s="556"/>
      <c r="E87" s="157"/>
      <c r="F87" s="157"/>
      <c r="G87" s="157"/>
      <c r="J87" s="157"/>
      <c r="K87" s="157"/>
      <c r="L87" s="157"/>
      <c r="M87" s="157"/>
      <c r="N87" s="157"/>
      <c r="O87" s="157"/>
      <c r="P87" s="157"/>
      <c r="S87" s="157"/>
      <c r="V87" s="157"/>
      <c r="W87" s="157"/>
      <c r="X87" s="157"/>
      <c r="Y87" s="157"/>
      <c r="Z87" s="157"/>
      <c r="AA87" s="157"/>
      <c r="AB87" s="157"/>
      <c r="AC87" s="157"/>
      <c r="AD87" s="157"/>
      <c r="AE87" s="157"/>
      <c r="AF87" s="157"/>
      <c r="AG87" s="157"/>
      <c r="AH87" s="157"/>
      <c r="AI87" s="157"/>
      <c r="AJ87" s="157"/>
      <c r="AK87" s="157"/>
      <c r="AL87" s="157"/>
      <c r="AM87" s="157"/>
      <c r="AN87" s="157"/>
      <c r="AO87" s="157"/>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42"/>
      <c r="CC87" s="162"/>
      <c r="CD87" s="162"/>
      <c r="CE87" s="162"/>
      <c r="CF87" s="42"/>
      <c r="EX87" s="10" t="str">
        <f t="shared" si="84"/>
        <v/>
      </c>
    </row>
    <row r="88" spans="1:154" x14ac:dyDescent="0.25">
      <c r="A88" s="362" cm="1">
        <f t="array" aca="1" ref="A88" ca="1">HYPERLINK(CONCATENATE("#",CELL("address",IF(SUM($BY88:$CF88)=0,A88,INDEX($BY88:$CF88,MATCH(1,$BY88:$CF88,0))))),SUM($BY88:$CF88))</f>
        <v>0</v>
      </c>
      <c r="B88" s="189"/>
      <c r="C88" s="343"/>
      <c r="D88" s="554" t="s">
        <v>289</v>
      </c>
      <c r="J88" s="335"/>
      <c r="Q88" s="335"/>
      <c r="R88" s="335"/>
      <c r="T88" s="335"/>
      <c r="U88" s="335"/>
      <c r="BY88" s="42"/>
      <c r="CC88" s="126">
        <f t="shared" si="75"/>
        <v>0</v>
      </c>
      <c r="CD88" s="126">
        <f t="shared" si="76"/>
        <v>0</v>
      </c>
      <c r="CE88" s="126">
        <f t="shared" ref="CE88:CE107" si="95">IF(CM88=0, 0, 1)</f>
        <v>0</v>
      </c>
      <c r="CF88" s="42"/>
      <c r="CG88" s="352">
        <f t="shared" ref="CG88:CG107" si="96">ROUND(W88-INDEX($AA88:$BJ88, MATCH(W$5, $AA$5:$BJ$5,0)), rounding)</f>
        <v>0</v>
      </c>
      <c r="CH88" s="352">
        <f t="shared" ref="CH88:CH107" si="97">ROUND(X88-INDEX($AA88:$BJ88, MATCH(X$5, $AA$5:$BJ$5,0)), rounding)</f>
        <v>0</v>
      </c>
      <c r="CI88" s="352">
        <f t="shared" ref="CI88:CI107" si="98">ROUND(Y88-INDEX($AA88:$BJ88, MATCH(Y$5, $AA$5:$BJ$5,0)), rounding)</f>
        <v>0</v>
      </c>
      <c r="CJ88" s="352">
        <f t="shared" ref="CJ88:CJ107" si="99">ROUND(W88-BM88, rounding)</f>
        <v>0</v>
      </c>
      <c r="CK88" s="352">
        <f t="shared" ref="CK88:CK107" si="100">ROUND(X88-BN88, rounding)</f>
        <v>0</v>
      </c>
      <c r="CL88" s="352">
        <f t="shared" ref="CL88:CL107" si="101">ROUND(Y88-BO88, rounding)</f>
        <v>0</v>
      </c>
      <c r="CM88" s="352">
        <f t="shared" ref="CM88:CM107" si="102">ROUND(V88-BL88, rounding)</f>
        <v>0</v>
      </c>
      <c r="EX88" s="10" t="str">
        <f t="shared" si="84"/>
        <v/>
      </c>
    </row>
    <row r="89" spans="1:154" x14ac:dyDescent="0.25">
      <c r="A89" s="362" cm="1">
        <f t="array" aca="1" ref="A89" ca="1">HYPERLINK(CONCATENATE("#",CELL("address",IF(SUM($BY89:$CF89)=0,A89,INDEX($BY89:$CF89,MATCH(1,$BY89:$CF89,0))))),SUM($BY89:$CF89))</f>
        <v>0</v>
      </c>
      <c r="B89" s="93"/>
      <c r="C89" s="343" t="str">
        <f>'BS Forecasts'!C$91</f>
        <v>B-3a-CB</v>
      </c>
      <c r="D89" s="560" t="str" cm="1">
        <f t="array" aca="1" ref="D89" ca="1">HYPERLINK(CONCATENATE("#",CELL("address",'BS Forecasts'!$D$91)),'BS Forecasts'!$D$90)</f>
        <v>Overdrafts</v>
      </c>
      <c r="J89" s="335"/>
      <c r="Q89" s="335"/>
      <c r="R89" s="335"/>
      <c r="S89" s="280"/>
      <c r="T89" s="335"/>
      <c r="U89" s="335"/>
      <c r="V89" s="201">
        <f>'BS Forecasts'!V$91</f>
        <v>0</v>
      </c>
      <c r="W89" s="201">
        <f>'BS Forecasts'!W$91</f>
        <v>0</v>
      </c>
      <c r="X89" s="201">
        <f>'BS Forecasts'!X$91</f>
        <v>0</v>
      </c>
      <c r="Y89" s="201">
        <f>'BS Forecasts'!Y$91</f>
        <v>0</v>
      </c>
      <c r="Z89" s="280"/>
      <c r="AA89" s="201">
        <f>'BS Forecasts'!AA$91</f>
        <v>0</v>
      </c>
      <c r="AB89" s="201">
        <f>'BS Forecasts'!AB$91</f>
        <v>0</v>
      </c>
      <c r="AC89" s="201">
        <f>'BS Forecasts'!AC$91</f>
        <v>0</v>
      </c>
      <c r="AD89" s="201">
        <f>'BS Forecasts'!AD$91</f>
        <v>0</v>
      </c>
      <c r="AE89" s="201">
        <f>'BS Forecasts'!AE$91</f>
        <v>0</v>
      </c>
      <c r="AF89" s="201">
        <f>'BS Forecasts'!AF$91</f>
        <v>0</v>
      </c>
      <c r="AG89" s="201">
        <f>'BS Forecasts'!AG$91</f>
        <v>0</v>
      </c>
      <c r="AH89" s="201">
        <f>'BS Forecasts'!AH$91</f>
        <v>0</v>
      </c>
      <c r="AI89" s="201">
        <f>'BS Forecasts'!AI$91</f>
        <v>0</v>
      </c>
      <c r="AJ89" s="201">
        <f>'BS Forecasts'!AJ$91</f>
        <v>0</v>
      </c>
      <c r="AK89" s="201">
        <f>'BS Forecasts'!AK$91</f>
        <v>0</v>
      </c>
      <c r="AL89" s="201">
        <f>'BS Forecasts'!AL$91</f>
        <v>0</v>
      </c>
      <c r="AM89" s="201">
        <f>'BS Forecasts'!AM$91</f>
        <v>0</v>
      </c>
      <c r="AN89" s="201">
        <f>'BS Forecasts'!AN$91</f>
        <v>0</v>
      </c>
      <c r="AO89" s="201">
        <f>'BS Forecasts'!AO$91</f>
        <v>0</v>
      </c>
      <c r="AP89" s="201">
        <f>'BS Forecasts'!AP$91</f>
        <v>0</v>
      </c>
      <c r="AQ89" s="201">
        <f>'BS Forecasts'!AQ$91</f>
        <v>0</v>
      </c>
      <c r="AR89" s="201">
        <f>'BS Forecasts'!AR$91</f>
        <v>0</v>
      </c>
      <c r="AS89" s="201">
        <f>'BS Forecasts'!AS$91</f>
        <v>0</v>
      </c>
      <c r="AT89" s="201">
        <f>'BS Forecasts'!AT$91</f>
        <v>0</v>
      </c>
      <c r="AU89" s="201">
        <f>'BS Forecasts'!AU$91</f>
        <v>0</v>
      </c>
      <c r="AV89" s="201">
        <f>'BS Forecasts'!AV$91</f>
        <v>0</v>
      </c>
      <c r="AW89" s="201">
        <f>'BS Forecasts'!AW$91</f>
        <v>0</v>
      </c>
      <c r="AX89" s="201">
        <f>'BS Forecasts'!AX$91</f>
        <v>0</v>
      </c>
      <c r="AY89" s="201">
        <f>'BS Forecasts'!AY$91</f>
        <v>0</v>
      </c>
      <c r="AZ89" s="201">
        <f>'BS Forecasts'!AZ$91</f>
        <v>0</v>
      </c>
      <c r="BA89" s="201">
        <f>'BS Forecasts'!BA$91</f>
        <v>0</v>
      </c>
      <c r="BB89" s="201">
        <f>'BS Forecasts'!BB$91</f>
        <v>0</v>
      </c>
      <c r="BC89" s="201">
        <f>'BS Forecasts'!BC$91</f>
        <v>0</v>
      </c>
      <c r="BD89" s="201">
        <f>'BS Forecasts'!BD$91</f>
        <v>0</v>
      </c>
      <c r="BE89" s="201">
        <f>'BS Forecasts'!BE$91</f>
        <v>0</v>
      </c>
      <c r="BF89" s="201">
        <f>'BS Forecasts'!BF$91</f>
        <v>0</v>
      </c>
      <c r="BG89" s="201">
        <f>'BS Forecasts'!BG$91</f>
        <v>0</v>
      </c>
      <c r="BH89" s="201">
        <f>'BS Forecasts'!BH$91</f>
        <v>0</v>
      </c>
      <c r="BI89" s="201">
        <f>'BS Forecasts'!BI$91</f>
        <v>0</v>
      </c>
      <c r="BJ89" s="201">
        <f>'BS Forecasts'!BJ$91</f>
        <v>0</v>
      </c>
      <c r="BK89" s="280"/>
      <c r="BL89" s="201">
        <f>'BS Forecasts'!BL$91</f>
        <v>0</v>
      </c>
      <c r="BM89" s="201">
        <f>'BS Forecasts'!BM$91</f>
        <v>0</v>
      </c>
      <c r="BN89" s="201">
        <f>'BS Forecasts'!BN$91</f>
        <v>0</v>
      </c>
      <c r="BO89" s="201">
        <f>'BS Forecasts'!BO$91</f>
        <v>0</v>
      </c>
      <c r="BP89" s="201">
        <f>'BS Forecasts'!BP$91</f>
        <v>0</v>
      </c>
      <c r="BQ89" s="201">
        <f>'BS Forecasts'!BQ$91</f>
        <v>0</v>
      </c>
      <c r="BR89" s="201">
        <f>'BS Forecasts'!BR$91</f>
        <v>0</v>
      </c>
      <c r="BS89" s="201">
        <f>'BS Forecasts'!BS$91</f>
        <v>0</v>
      </c>
      <c r="BT89" s="201">
        <f>'BS Forecasts'!BT$91</f>
        <v>0</v>
      </c>
      <c r="BU89" s="201">
        <f>'BS Forecasts'!BU$91</f>
        <v>0</v>
      </c>
      <c r="BV89" s="201">
        <f>'BS Forecasts'!BV$91</f>
        <v>0</v>
      </c>
      <c r="BW89" s="201">
        <f>'BS Forecasts'!BW$91</f>
        <v>0</v>
      </c>
      <c r="BY89" s="42"/>
      <c r="CC89" s="126">
        <f t="shared" si="75"/>
        <v>0</v>
      </c>
      <c r="CD89" s="126">
        <f t="shared" si="76"/>
        <v>0</v>
      </c>
      <c r="CE89" s="126">
        <f t="shared" si="95"/>
        <v>0</v>
      </c>
      <c r="CF89" s="42"/>
      <c r="CG89" s="352">
        <f t="shared" si="96"/>
        <v>0</v>
      </c>
      <c r="CH89" s="352">
        <f t="shared" si="97"/>
        <v>0</v>
      </c>
      <c r="CI89" s="352">
        <f t="shared" si="98"/>
        <v>0</v>
      </c>
      <c r="CJ89" s="352">
        <f t="shared" si="99"/>
        <v>0</v>
      </c>
      <c r="CK89" s="352">
        <f t="shared" si="100"/>
        <v>0</v>
      </c>
      <c r="CL89" s="352">
        <f t="shared" si="101"/>
        <v>0</v>
      </c>
      <c r="CM89" s="352">
        <f t="shared" si="102"/>
        <v>0</v>
      </c>
      <c r="EX89" s="10" t="str">
        <f t="shared" ca="1" si="84"/>
        <v>Overdrafts</v>
      </c>
    </row>
    <row r="90" spans="1:154" x14ac:dyDescent="0.25">
      <c r="A90" s="362" cm="1">
        <f t="array" aca="1" ref="A90" ca="1">HYPERLINK(CONCATENATE("#",CELL("address",IF(SUM($BY90:$CF90)=0,A90,INDEX($BY90:$CF90,MATCH(1,$BY90:$CF90,0))))),SUM($BY90:$CF90))</f>
        <v>0</v>
      </c>
      <c r="B90" s="93"/>
      <c r="C90" s="343" t="str">
        <f>'BS Forecasts'!C$96</f>
        <v>B-3b-CB</v>
      </c>
      <c r="D90" s="560" t="str" cm="1">
        <f t="array" aca="1" ref="D90" ca="1">HYPERLINK(CONCATENATE("#",CELL("address",'BS Forecasts'!$D$96)),'BS Forecasts'!$D$93)</f>
        <v>Exceptional Financial Support (EFS) / Restructuring Fund (RF) Loans</v>
      </c>
      <c r="J90" s="335"/>
      <c r="Q90" s="335"/>
      <c r="R90" s="335"/>
      <c r="S90" s="280"/>
      <c r="T90" s="335"/>
      <c r="U90" s="335"/>
      <c r="V90" s="10">
        <f>'BS Forecasts'!V$96</f>
        <v>0</v>
      </c>
      <c r="W90" s="10">
        <f>'BS Forecasts'!W$96</f>
        <v>0</v>
      </c>
      <c r="X90" s="10">
        <f>'BS Forecasts'!X$96</f>
        <v>0</v>
      </c>
      <c r="Y90" s="10">
        <f>'BS Forecasts'!Y$96</f>
        <v>0</v>
      </c>
      <c r="Z90" s="280"/>
      <c r="AA90" s="10">
        <f>'BS Forecasts'!AA$96</f>
        <v>0</v>
      </c>
      <c r="AB90" s="10">
        <f>'BS Forecasts'!AB$96</f>
        <v>0</v>
      </c>
      <c r="AC90" s="10">
        <f>'BS Forecasts'!AC$96</f>
        <v>0</v>
      </c>
      <c r="AD90" s="10">
        <f>'BS Forecasts'!AD$96</f>
        <v>0</v>
      </c>
      <c r="AE90" s="10">
        <f>'BS Forecasts'!AE$96</f>
        <v>0</v>
      </c>
      <c r="AF90" s="10">
        <f>'BS Forecasts'!AF$96</f>
        <v>0</v>
      </c>
      <c r="AG90" s="10">
        <f>'BS Forecasts'!AG$96</f>
        <v>0</v>
      </c>
      <c r="AH90" s="10">
        <f>'BS Forecasts'!AH$96</f>
        <v>0</v>
      </c>
      <c r="AI90" s="10">
        <f>'BS Forecasts'!AI$96</f>
        <v>0</v>
      </c>
      <c r="AJ90" s="10">
        <f>'BS Forecasts'!AJ$96</f>
        <v>0</v>
      </c>
      <c r="AK90" s="10">
        <f>'BS Forecasts'!AK$96</f>
        <v>0</v>
      </c>
      <c r="AL90" s="10">
        <f>'BS Forecasts'!AL$96</f>
        <v>0</v>
      </c>
      <c r="AM90" s="10">
        <f>'BS Forecasts'!AM$96</f>
        <v>0</v>
      </c>
      <c r="AN90" s="10">
        <f>'BS Forecasts'!AN$96</f>
        <v>0</v>
      </c>
      <c r="AO90" s="10">
        <f>'BS Forecasts'!AO$96</f>
        <v>0</v>
      </c>
      <c r="AP90" s="10">
        <f>'BS Forecasts'!AP$96</f>
        <v>0</v>
      </c>
      <c r="AQ90" s="10">
        <f>'BS Forecasts'!AQ$96</f>
        <v>0</v>
      </c>
      <c r="AR90" s="10">
        <f>'BS Forecasts'!AR$96</f>
        <v>0</v>
      </c>
      <c r="AS90" s="10">
        <f>'BS Forecasts'!AS$96</f>
        <v>0</v>
      </c>
      <c r="AT90" s="10">
        <f>'BS Forecasts'!AT$96</f>
        <v>0</v>
      </c>
      <c r="AU90" s="10">
        <f>'BS Forecasts'!AU$96</f>
        <v>0</v>
      </c>
      <c r="AV90" s="10">
        <f>'BS Forecasts'!AV$96</f>
        <v>0</v>
      </c>
      <c r="AW90" s="10">
        <f>'BS Forecasts'!AW$96</f>
        <v>0</v>
      </c>
      <c r="AX90" s="10">
        <f>'BS Forecasts'!AX$96</f>
        <v>0</v>
      </c>
      <c r="AY90" s="10">
        <f>'BS Forecasts'!AY$96</f>
        <v>0</v>
      </c>
      <c r="AZ90" s="10">
        <f>'BS Forecasts'!AZ$96</f>
        <v>0</v>
      </c>
      <c r="BA90" s="10">
        <f>'BS Forecasts'!BA$96</f>
        <v>0</v>
      </c>
      <c r="BB90" s="10">
        <f>'BS Forecasts'!BB$96</f>
        <v>0</v>
      </c>
      <c r="BC90" s="10">
        <f>'BS Forecasts'!BC$96</f>
        <v>0</v>
      </c>
      <c r="BD90" s="10">
        <f>'BS Forecasts'!BD$96</f>
        <v>0</v>
      </c>
      <c r="BE90" s="10">
        <f>'BS Forecasts'!BE$96</f>
        <v>0</v>
      </c>
      <c r="BF90" s="10">
        <f>'BS Forecasts'!BF$96</f>
        <v>0</v>
      </c>
      <c r="BG90" s="10">
        <f>'BS Forecasts'!BG$96</f>
        <v>0</v>
      </c>
      <c r="BH90" s="10">
        <f>'BS Forecasts'!BH$96</f>
        <v>0</v>
      </c>
      <c r="BI90" s="10">
        <f>'BS Forecasts'!BI$96</f>
        <v>0</v>
      </c>
      <c r="BJ90" s="10">
        <f>'BS Forecasts'!BJ$96</f>
        <v>0</v>
      </c>
      <c r="BK90" s="280"/>
      <c r="BL90" s="10">
        <f>'BS Forecasts'!BL$96</f>
        <v>0</v>
      </c>
      <c r="BM90" s="10">
        <f>'BS Forecasts'!BM$96</f>
        <v>0</v>
      </c>
      <c r="BN90" s="10">
        <f>'BS Forecasts'!BN$96</f>
        <v>0</v>
      </c>
      <c r="BO90" s="10">
        <f>'BS Forecasts'!BO$96</f>
        <v>0</v>
      </c>
      <c r="BP90" s="10">
        <f>'BS Forecasts'!BP$96</f>
        <v>0</v>
      </c>
      <c r="BQ90" s="10">
        <f>'BS Forecasts'!BQ$96</f>
        <v>0</v>
      </c>
      <c r="BR90" s="10">
        <f>'BS Forecasts'!BR$96</f>
        <v>0</v>
      </c>
      <c r="BS90" s="10">
        <f>'BS Forecasts'!BS$96</f>
        <v>0</v>
      </c>
      <c r="BT90" s="10">
        <f>'BS Forecasts'!BT$96</f>
        <v>0</v>
      </c>
      <c r="BU90" s="10">
        <f>'BS Forecasts'!BU$96</f>
        <v>0</v>
      </c>
      <c r="BV90" s="10">
        <f>'BS Forecasts'!BV$96</f>
        <v>0</v>
      </c>
      <c r="BW90" s="10">
        <f>'BS Forecasts'!BW$96</f>
        <v>0</v>
      </c>
      <c r="BY90" s="42"/>
      <c r="CC90" s="126">
        <f t="shared" si="75"/>
        <v>0</v>
      </c>
      <c r="CD90" s="126">
        <f t="shared" si="76"/>
        <v>0</v>
      </c>
      <c r="CE90" s="126">
        <f t="shared" si="95"/>
        <v>0</v>
      </c>
      <c r="CF90" s="42"/>
      <c r="CG90" s="352">
        <f t="shared" si="96"/>
        <v>0</v>
      </c>
      <c r="CH90" s="352">
        <f t="shared" si="97"/>
        <v>0</v>
      </c>
      <c r="CI90" s="352">
        <f t="shared" si="98"/>
        <v>0</v>
      </c>
      <c r="CJ90" s="352">
        <f t="shared" si="99"/>
        <v>0</v>
      </c>
      <c r="CK90" s="352">
        <f t="shared" si="100"/>
        <v>0</v>
      </c>
      <c r="CL90" s="352">
        <f t="shared" si="101"/>
        <v>0</v>
      </c>
      <c r="CM90" s="352">
        <f t="shared" si="102"/>
        <v>0</v>
      </c>
      <c r="EX90" s="13" t="str">
        <f ca="1">IF($C90="","",CONCATENATE(D$88," ",$D90))</f>
        <v>Creditors: amounts falling due within one year Exceptional Financial Support (EFS) / Restructuring Fund (RF) Loans</v>
      </c>
    </row>
    <row r="91" spans="1:154" x14ac:dyDescent="0.25">
      <c r="A91" s="362" cm="1">
        <f t="array" aca="1" ref="A91" ca="1">HYPERLINK(CONCATENATE("#",CELL("address",IF(SUM($BY91:$CF91)=0,A91,INDEX($BY91:$CF91,MATCH(1,$BY91:$CF91,0))))),SUM($BY91:$CF91))</f>
        <v>0</v>
      </c>
      <c r="B91" s="93"/>
      <c r="C91" s="343" t="str">
        <f>'BS Forecasts'!C$102</f>
        <v>B-3c-CB</v>
      </c>
      <c r="D91" s="560" t="str" cm="1">
        <f t="array" aca="1" ref="D91" ca="1">HYPERLINK(CONCATENATE("#",CELL("address",'BS Forecasts'!$D$102)),'BS Forecasts'!$D$99)</f>
        <v>Commercial Loans</v>
      </c>
      <c r="J91" s="335"/>
      <c r="Q91" s="335"/>
      <c r="R91" s="335"/>
      <c r="S91" s="280"/>
      <c r="T91" s="335"/>
      <c r="U91" s="335"/>
      <c r="V91" s="10">
        <f>'BS Forecasts'!V$102</f>
        <v>339</v>
      </c>
      <c r="W91" s="10">
        <f ca="1">'BS Forecasts'!W$102</f>
        <v>284</v>
      </c>
      <c r="X91" s="10">
        <f ca="1">'BS Forecasts'!X$102</f>
        <v>284</v>
      </c>
      <c r="Y91" s="10">
        <f>'BS Forecasts'!Y$102</f>
        <v>0</v>
      </c>
      <c r="Z91" s="280"/>
      <c r="AA91" s="10">
        <f ca="1">'BS Forecasts'!AA$102</f>
        <v>330</v>
      </c>
      <c r="AB91" s="10">
        <f ca="1">'BS Forecasts'!AB$102</f>
        <v>319</v>
      </c>
      <c r="AC91" s="10">
        <f ca="1">'BS Forecasts'!AC$102</f>
        <v>308</v>
      </c>
      <c r="AD91" s="10">
        <f ca="1">'BS Forecasts'!AD$102</f>
        <v>297</v>
      </c>
      <c r="AE91" s="10">
        <f ca="1">'BS Forecasts'!AE$102</f>
        <v>286</v>
      </c>
      <c r="AF91" s="10">
        <f ca="1">'BS Forecasts'!AF$102</f>
        <v>284</v>
      </c>
      <c r="AG91" s="10">
        <f ca="1">'BS Forecasts'!AG$102</f>
        <v>284</v>
      </c>
      <c r="AH91" s="10">
        <f ca="1">'BS Forecasts'!AH$102</f>
        <v>284</v>
      </c>
      <c r="AI91" s="10">
        <f ca="1">'BS Forecasts'!AI$102</f>
        <v>284</v>
      </c>
      <c r="AJ91" s="10">
        <f ca="1">'BS Forecasts'!AJ$102</f>
        <v>284</v>
      </c>
      <c r="AK91" s="10">
        <f ca="1">'BS Forecasts'!AK$102</f>
        <v>284</v>
      </c>
      <c r="AL91" s="10">
        <f ca="1">'BS Forecasts'!AL$102</f>
        <v>284</v>
      </c>
      <c r="AM91" s="10">
        <f ca="1">'BS Forecasts'!AM$102</f>
        <v>284</v>
      </c>
      <c r="AN91" s="10">
        <f ca="1">'BS Forecasts'!AN$102</f>
        <v>284</v>
      </c>
      <c r="AO91" s="10">
        <f ca="1">'BS Forecasts'!AO$102</f>
        <v>284</v>
      </c>
      <c r="AP91" s="10">
        <f ca="1">'BS Forecasts'!AP$102</f>
        <v>284</v>
      </c>
      <c r="AQ91" s="10">
        <f ca="1">'BS Forecasts'!AQ$102</f>
        <v>284</v>
      </c>
      <c r="AR91" s="10">
        <f ca="1">'BS Forecasts'!AR$102</f>
        <v>284</v>
      </c>
      <c r="AS91" s="10">
        <f ca="1">'BS Forecasts'!AS$102</f>
        <v>284</v>
      </c>
      <c r="AT91" s="10">
        <f ca="1">'BS Forecasts'!AT$102</f>
        <v>284</v>
      </c>
      <c r="AU91" s="10">
        <f ca="1">'BS Forecasts'!AU$102</f>
        <v>284</v>
      </c>
      <c r="AV91" s="10">
        <f ca="1">'BS Forecasts'!AV$102</f>
        <v>284</v>
      </c>
      <c r="AW91" s="10">
        <f ca="1">'BS Forecasts'!AW$102</f>
        <v>284</v>
      </c>
      <c r="AX91" s="10">
        <f ca="1">'BS Forecasts'!AX$102</f>
        <v>284</v>
      </c>
      <c r="AY91" s="10">
        <f>'BS Forecasts'!AY$102</f>
        <v>0</v>
      </c>
      <c r="AZ91" s="10">
        <f>'BS Forecasts'!AZ$102</f>
        <v>0</v>
      </c>
      <c r="BA91" s="10">
        <f>'BS Forecasts'!BA$102</f>
        <v>0</v>
      </c>
      <c r="BB91" s="10">
        <f>'BS Forecasts'!BB$102</f>
        <v>0</v>
      </c>
      <c r="BC91" s="10">
        <f>'BS Forecasts'!BC$102</f>
        <v>0</v>
      </c>
      <c r="BD91" s="10">
        <f>'BS Forecasts'!BD$102</f>
        <v>0</v>
      </c>
      <c r="BE91" s="10">
        <f>'BS Forecasts'!BE$102</f>
        <v>0</v>
      </c>
      <c r="BF91" s="10">
        <f>'BS Forecasts'!BF$102</f>
        <v>0</v>
      </c>
      <c r="BG91" s="10">
        <f>'BS Forecasts'!BG$102</f>
        <v>0</v>
      </c>
      <c r="BH91" s="10">
        <f>'BS Forecasts'!BH$102</f>
        <v>0</v>
      </c>
      <c r="BI91" s="10">
        <f>'BS Forecasts'!BI$102</f>
        <v>0</v>
      </c>
      <c r="BJ91" s="10">
        <f>'BS Forecasts'!BJ$102</f>
        <v>0</v>
      </c>
      <c r="BK91" s="280"/>
      <c r="BL91" s="10">
        <f>'BS Forecasts'!BL$102</f>
        <v>339</v>
      </c>
      <c r="BM91" s="10">
        <f ca="1">'BS Forecasts'!BM$102</f>
        <v>284</v>
      </c>
      <c r="BN91" s="10">
        <f ca="1">'BS Forecasts'!BN$102</f>
        <v>284</v>
      </c>
      <c r="BO91" s="10">
        <f>'BS Forecasts'!BO$102</f>
        <v>0</v>
      </c>
      <c r="BP91" s="10">
        <f>'BS Forecasts'!BP$102</f>
        <v>0</v>
      </c>
      <c r="BQ91" s="10">
        <f>'BS Forecasts'!BQ$102</f>
        <v>0</v>
      </c>
      <c r="BR91" s="10">
        <f>'BS Forecasts'!BR$102</f>
        <v>0</v>
      </c>
      <c r="BS91" s="10">
        <f>'BS Forecasts'!BS$102</f>
        <v>0</v>
      </c>
      <c r="BT91" s="10">
        <f>'BS Forecasts'!BT$102</f>
        <v>0</v>
      </c>
      <c r="BU91" s="10">
        <f>'BS Forecasts'!BU$102</f>
        <v>0</v>
      </c>
      <c r="BV91" s="10">
        <f>'BS Forecasts'!BV$102</f>
        <v>0</v>
      </c>
      <c r="BW91" s="10">
        <f>'BS Forecasts'!BW$102</f>
        <v>0</v>
      </c>
      <c r="BY91" s="42"/>
      <c r="CC91" s="126">
        <f t="shared" ca="1" si="75"/>
        <v>0</v>
      </c>
      <c r="CD91" s="126">
        <f t="shared" ca="1" si="76"/>
        <v>0</v>
      </c>
      <c r="CE91" s="126">
        <f t="shared" si="95"/>
        <v>0</v>
      </c>
      <c r="CF91" s="42"/>
      <c r="CG91" s="352">
        <f t="shared" ca="1" si="96"/>
        <v>0</v>
      </c>
      <c r="CH91" s="352">
        <f t="shared" ca="1" si="97"/>
        <v>0</v>
      </c>
      <c r="CI91" s="352">
        <f t="shared" si="98"/>
        <v>0</v>
      </c>
      <c r="CJ91" s="352">
        <f t="shared" ca="1" si="99"/>
        <v>0</v>
      </c>
      <c r="CK91" s="352">
        <f t="shared" ca="1" si="100"/>
        <v>0</v>
      </c>
      <c r="CL91" s="352">
        <f t="shared" si="101"/>
        <v>0</v>
      </c>
      <c r="CM91" s="352">
        <f t="shared" si="102"/>
        <v>0</v>
      </c>
      <c r="EX91" s="13" t="str">
        <f ca="1">IF($C91="","",CONCATENATE(D$88," ",$D91))</f>
        <v>Creditors: amounts falling due within one year Commercial Loans</v>
      </c>
    </row>
    <row r="92" spans="1:154" x14ac:dyDescent="0.25">
      <c r="A92" s="362" cm="1">
        <f t="array" aca="1" ref="A92" ca="1">HYPERLINK(CONCATENATE("#",CELL("address",IF(SUM($BY92:$CF92)=0,A92,INDEX($BY92:$CF92,MATCH(1,$BY92:$CF92,0))))),SUM($BY92:$CF92))</f>
        <v>0</v>
      </c>
      <c r="B92" s="93"/>
      <c r="C92" s="343" t="str">
        <f>'BS Forecasts'!C$113</f>
        <v>B-3d-CB</v>
      </c>
      <c r="D92" s="560" t="str" cm="1">
        <f t="array" aca="1" ref="D92" ca="1">HYPERLINK(CONCATENATE("#",CELL("address",'BS Forecasts'!$D$113)),'BS Forecasts'!$D$105)</f>
        <v>Finance Lease Obligations</v>
      </c>
      <c r="J92" s="335"/>
      <c r="Q92" s="335"/>
      <c r="R92" s="335"/>
      <c r="S92" s="280"/>
      <c r="T92" s="335"/>
      <c r="U92" s="335"/>
      <c r="V92" s="10">
        <f>'BS Forecasts'!V$113</f>
        <v>131</v>
      </c>
      <c r="W92" s="10">
        <f>'BS Forecasts'!W$113</f>
        <v>134</v>
      </c>
      <c r="X92" s="10">
        <f>'BS Forecasts'!X$113</f>
        <v>134</v>
      </c>
      <c r="Y92" s="10">
        <f>'BS Forecasts'!Y$113</f>
        <v>122</v>
      </c>
      <c r="Z92" s="280"/>
      <c r="AA92" s="10">
        <f>'BS Forecasts'!AA$113</f>
        <v>0</v>
      </c>
      <c r="AB92" s="10">
        <f>'BS Forecasts'!AB$113</f>
        <v>0</v>
      </c>
      <c r="AC92" s="10">
        <f>'BS Forecasts'!AC$113</f>
        <v>0</v>
      </c>
      <c r="AD92" s="10">
        <f>'BS Forecasts'!AD$113</f>
        <v>0</v>
      </c>
      <c r="AE92" s="10">
        <f>'BS Forecasts'!AE$113</f>
        <v>0</v>
      </c>
      <c r="AF92" s="10">
        <f>'BS Forecasts'!AF$113</f>
        <v>0</v>
      </c>
      <c r="AG92" s="10">
        <f>'BS Forecasts'!AG$113</f>
        <v>0</v>
      </c>
      <c r="AH92" s="10">
        <f>'BS Forecasts'!AH$113</f>
        <v>0</v>
      </c>
      <c r="AI92" s="10">
        <f>'BS Forecasts'!AI$113</f>
        <v>0</v>
      </c>
      <c r="AJ92" s="10">
        <f>'BS Forecasts'!AJ$113</f>
        <v>0</v>
      </c>
      <c r="AK92" s="10">
        <f>'BS Forecasts'!AK$113</f>
        <v>0</v>
      </c>
      <c r="AL92" s="10">
        <f>'BS Forecasts'!AL$113</f>
        <v>134</v>
      </c>
      <c r="AM92" s="10">
        <f>'BS Forecasts'!AM$113</f>
        <v>0</v>
      </c>
      <c r="AN92" s="10">
        <f>'BS Forecasts'!AN$113</f>
        <v>0</v>
      </c>
      <c r="AO92" s="10">
        <f>'BS Forecasts'!AO$113</f>
        <v>0</v>
      </c>
      <c r="AP92" s="10">
        <f>'BS Forecasts'!AP$113</f>
        <v>0</v>
      </c>
      <c r="AQ92" s="10">
        <f>'BS Forecasts'!AQ$113</f>
        <v>0</v>
      </c>
      <c r="AR92" s="10">
        <f>'BS Forecasts'!AR$113</f>
        <v>0</v>
      </c>
      <c r="AS92" s="10">
        <f>'BS Forecasts'!AS$113</f>
        <v>0</v>
      </c>
      <c r="AT92" s="10">
        <f>'BS Forecasts'!AT$113</f>
        <v>0</v>
      </c>
      <c r="AU92" s="10">
        <f>'BS Forecasts'!AU$113</f>
        <v>0</v>
      </c>
      <c r="AV92" s="10">
        <f>'BS Forecasts'!AV$113</f>
        <v>0</v>
      </c>
      <c r="AW92" s="10">
        <f>'BS Forecasts'!AW$113</f>
        <v>0</v>
      </c>
      <c r="AX92" s="10">
        <f>'BS Forecasts'!AX$113</f>
        <v>134</v>
      </c>
      <c r="AY92" s="10">
        <f>'BS Forecasts'!AY$113</f>
        <v>0</v>
      </c>
      <c r="AZ92" s="10">
        <f>'BS Forecasts'!AZ$113</f>
        <v>0</v>
      </c>
      <c r="BA92" s="10">
        <f>'BS Forecasts'!BA$113</f>
        <v>0</v>
      </c>
      <c r="BB92" s="10">
        <f>'BS Forecasts'!BB$113</f>
        <v>0</v>
      </c>
      <c r="BC92" s="10">
        <f>'BS Forecasts'!BC$113</f>
        <v>0</v>
      </c>
      <c r="BD92" s="10">
        <f>'BS Forecasts'!BD$113</f>
        <v>0</v>
      </c>
      <c r="BE92" s="10">
        <f>'BS Forecasts'!BE$113</f>
        <v>0</v>
      </c>
      <c r="BF92" s="10">
        <f>'BS Forecasts'!BF$113</f>
        <v>0</v>
      </c>
      <c r="BG92" s="10">
        <f>'BS Forecasts'!BG$113</f>
        <v>0</v>
      </c>
      <c r="BH92" s="10">
        <f>'BS Forecasts'!BH$113</f>
        <v>0</v>
      </c>
      <c r="BI92" s="10">
        <f>'BS Forecasts'!BI$113</f>
        <v>0</v>
      </c>
      <c r="BJ92" s="10">
        <f>'BS Forecasts'!BJ$113</f>
        <v>122</v>
      </c>
      <c r="BK92" s="280"/>
      <c r="BL92" s="10">
        <f>'BS Forecasts'!BL$113</f>
        <v>131</v>
      </c>
      <c r="BM92" s="10">
        <f>'BS Forecasts'!BM$113</f>
        <v>134</v>
      </c>
      <c r="BN92" s="10">
        <f>'BS Forecasts'!BN$113</f>
        <v>134</v>
      </c>
      <c r="BO92" s="10">
        <f>'BS Forecasts'!BO$113</f>
        <v>122</v>
      </c>
      <c r="BP92" s="10">
        <f>'BS Forecasts'!BP$113</f>
        <v>0</v>
      </c>
      <c r="BQ92" s="10">
        <f>'BS Forecasts'!BQ$113</f>
        <v>0</v>
      </c>
      <c r="BR92" s="10">
        <f>'BS Forecasts'!BR$113</f>
        <v>0</v>
      </c>
      <c r="BS92" s="10">
        <f>'BS Forecasts'!BS$113</f>
        <v>0</v>
      </c>
      <c r="BT92" s="10">
        <f>'BS Forecasts'!BT$113</f>
        <v>0</v>
      </c>
      <c r="BU92" s="10">
        <f>'BS Forecasts'!BU$113</f>
        <v>0</v>
      </c>
      <c r="BV92" s="10">
        <f>'BS Forecasts'!BV$113</f>
        <v>0</v>
      </c>
      <c r="BW92" s="10">
        <f>'BS Forecasts'!BW$113</f>
        <v>0</v>
      </c>
      <c r="BY92" s="42"/>
      <c r="CC92" s="126">
        <f t="shared" si="75"/>
        <v>0</v>
      </c>
      <c r="CD92" s="126">
        <f t="shared" si="76"/>
        <v>0</v>
      </c>
      <c r="CE92" s="126">
        <f t="shared" si="95"/>
        <v>0</v>
      </c>
      <c r="CF92" s="42"/>
      <c r="CG92" s="352">
        <f t="shared" si="96"/>
        <v>0</v>
      </c>
      <c r="CH92" s="352">
        <f t="shared" si="97"/>
        <v>0</v>
      </c>
      <c r="CI92" s="352">
        <f t="shared" si="98"/>
        <v>0</v>
      </c>
      <c r="CJ92" s="352">
        <f t="shared" si="99"/>
        <v>0</v>
      </c>
      <c r="CK92" s="352">
        <f t="shared" si="100"/>
        <v>0</v>
      </c>
      <c r="CL92" s="352">
        <f t="shared" si="101"/>
        <v>0</v>
      </c>
      <c r="CM92" s="352">
        <f t="shared" si="102"/>
        <v>0</v>
      </c>
      <c r="EX92" s="13" t="str">
        <f ca="1">IF($C92="","",CONCATENATE(D$88," ",$D92))</f>
        <v>Creditors: amounts falling due within one year Finance Lease Obligations</v>
      </c>
    </row>
    <row r="93" spans="1:154" x14ac:dyDescent="0.25">
      <c r="A93" s="362" cm="1">
        <f t="array" aca="1" ref="A93" ca="1">HYPERLINK(CONCATENATE("#",CELL("address",IF(SUM($BY93:$CF93)=0,A93,INDEX($BY93:$CF93,MATCH(1,$BY93:$CF93,0))))),SUM($BY93:$CF93))</f>
        <v>0</v>
      </c>
      <c r="B93" s="93"/>
      <c r="C93" s="343" t="str">
        <f>'BS Forecasts'!C$119</f>
        <v>B-3e-CB</v>
      </c>
      <c r="D93" s="560" t="str" cm="1">
        <f t="array" aca="1" ref="D93" ca="1">HYPERLINK(CONCATENATE("#",CELL("address",'BS Forecasts'!$D$119)),'BS Forecasts'!$D$116)</f>
        <v>Interest Payable</v>
      </c>
      <c r="J93" s="335"/>
      <c r="Q93" s="335"/>
      <c r="R93" s="335"/>
      <c r="S93" s="335"/>
      <c r="T93" s="335"/>
      <c r="U93" s="335"/>
      <c r="V93" s="10">
        <f>'BS Forecasts'!V$119</f>
        <v>0</v>
      </c>
      <c r="W93" s="10">
        <f ca="1">'BS Forecasts'!W$119</f>
        <v>0</v>
      </c>
      <c r="X93" s="10">
        <f ca="1">'BS Forecasts'!X$119</f>
        <v>0</v>
      </c>
      <c r="Y93" s="10">
        <f ca="1">'BS Forecasts'!Y$119</f>
        <v>0</v>
      </c>
      <c r="Z93" s="335"/>
      <c r="AA93" s="10">
        <f ca="1">'BS Forecasts'!AA$119</f>
        <v>0</v>
      </c>
      <c r="AB93" s="10">
        <f ca="1">'BS Forecasts'!AB$119</f>
        <v>0</v>
      </c>
      <c r="AC93" s="10">
        <f ca="1">'BS Forecasts'!AC$119</f>
        <v>0</v>
      </c>
      <c r="AD93" s="10">
        <f ca="1">'BS Forecasts'!AD$119</f>
        <v>0</v>
      </c>
      <c r="AE93" s="10">
        <f ca="1">'BS Forecasts'!AE$119</f>
        <v>0</v>
      </c>
      <c r="AF93" s="10">
        <f ca="1">'BS Forecasts'!AF$119</f>
        <v>0</v>
      </c>
      <c r="AG93" s="10">
        <f ca="1">'BS Forecasts'!AG$119</f>
        <v>0</v>
      </c>
      <c r="AH93" s="10">
        <f ca="1">'BS Forecasts'!AH$119</f>
        <v>0</v>
      </c>
      <c r="AI93" s="10">
        <f ca="1">'BS Forecasts'!AI$119</f>
        <v>0</v>
      </c>
      <c r="AJ93" s="10">
        <f ca="1">'BS Forecasts'!AJ$119</f>
        <v>0</v>
      </c>
      <c r="AK93" s="10">
        <f ca="1">'BS Forecasts'!AK$119</f>
        <v>0</v>
      </c>
      <c r="AL93" s="10">
        <f ca="1">'BS Forecasts'!AL$119</f>
        <v>0</v>
      </c>
      <c r="AM93" s="10">
        <f ca="1">'BS Forecasts'!AM$119</f>
        <v>0</v>
      </c>
      <c r="AN93" s="10">
        <f ca="1">'BS Forecasts'!AN$119</f>
        <v>0</v>
      </c>
      <c r="AO93" s="10">
        <f ca="1">'BS Forecasts'!AO$119</f>
        <v>0</v>
      </c>
      <c r="AP93" s="10">
        <f ca="1">'BS Forecasts'!AP$119</f>
        <v>0</v>
      </c>
      <c r="AQ93" s="10">
        <f ca="1">'BS Forecasts'!AQ$119</f>
        <v>0</v>
      </c>
      <c r="AR93" s="10">
        <f ca="1">'BS Forecasts'!AR$119</f>
        <v>0</v>
      </c>
      <c r="AS93" s="10">
        <f ca="1">'BS Forecasts'!AS$119</f>
        <v>0</v>
      </c>
      <c r="AT93" s="10">
        <f ca="1">'BS Forecasts'!AT$119</f>
        <v>0</v>
      </c>
      <c r="AU93" s="10">
        <f ca="1">'BS Forecasts'!AU$119</f>
        <v>0</v>
      </c>
      <c r="AV93" s="10">
        <f ca="1">'BS Forecasts'!AV$119</f>
        <v>0</v>
      </c>
      <c r="AW93" s="10">
        <f ca="1">'BS Forecasts'!AW$119</f>
        <v>0</v>
      </c>
      <c r="AX93" s="10">
        <f ca="1">'BS Forecasts'!AX$119</f>
        <v>0</v>
      </c>
      <c r="AY93" s="10">
        <f ca="1">'BS Forecasts'!AY$119</f>
        <v>0</v>
      </c>
      <c r="AZ93" s="10">
        <f ca="1">'BS Forecasts'!AZ$119</f>
        <v>0</v>
      </c>
      <c r="BA93" s="10">
        <f ca="1">'BS Forecasts'!BA$119</f>
        <v>0</v>
      </c>
      <c r="BB93" s="10">
        <f ca="1">'BS Forecasts'!BB$119</f>
        <v>0</v>
      </c>
      <c r="BC93" s="10">
        <f ca="1">'BS Forecasts'!BC$119</f>
        <v>0</v>
      </c>
      <c r="BD93" s="10">
        <f ca="1">'BS Forecasts'!BD$119</f>
        <v>0</v>
      </c>
      <c r="BE93" s="10">
        <f ca="1">'BS Forecasts'!BE$119</f>
        <v>0</v>
      </c>
      <c r="BF93" s="10">
        <f ca="1">'BS Forecasts'!BF$119</f>
        <v>0</v>
      </c>
      <c r="BG93" s="10">
        <f ca="1">'BS Forecasts'!BG$119</f>
        <v>0</v>
      </c>
      <c r="BH93" s="10">
        <f ca="1">'BS Forecasts'!BH$119</f>
        <v>0</v>
      </c>
      <c r="BI93" s="10">
        <f ca="1">'BS Forecasts'!BI$119</f>
        <v>0</v>
      </c>
      <c r="BJ93" s="10">
        <f ca="1">'BS Forecasts'!BJ$119</f>
        <v>0</v>
      </c>
      <c r="BK93" s="335"/>
      <c r="BL93" s="10">
        <f>'BS Forecasts'!BL$119</f>
        <v>0</v>
      </c>
      <c r="BM93" s="10">
        <f ca="1">'BS Forecasts'!BM$119</f>
        <v>0</v>
      </c>
      <c r="BN93" s="10">
        <f ca="1">'BS Forecasts'!BN$119</f>
        <v>0</v>
      </c>
      <c r="BO93" s="10">
        <f ca="1">'BS Forecasts'!BO$119</f>
        <v>0</v>
      </c>
      <c r="BP93" s="10">
        <f>'BS Forecasts'!BP$119</f>
        <v>2.2999999999999998</v>
      </c>
      <c r="BQ93" s="10">
        <f>'BS Forecasts'!BQ$119</f>
        <v>2.2999999999999998</v>
      </c>
      <c r="BR93" s="10">
        <f>'BS Forecasts'!BR$119</f>
        <v>2.2999999999999998</v>
      </c>
      <c r="BS93" s="10">
        <f>'BS Forecasts'!BS$119</f>
        <v>2.2999999999999998</v>
      </c>
      <c r="BT93" s="10">
        <f>'BS Forecasts'!BT$119</f>
        <v>2.2999999999999998</v>
      </c>
      <c r="BU93" s="10">
        <f>'BS Forecasts'!BU$119</f>
        <v>2.2999999999999998</v>
      </c>
      <c r="BV93" s="10">
        <f>'BS Forecasts'!BV$119</f>
        <v>2.2999999999999998</v>
      </c>
      <c r="BW93" s="10">
        <f>'BS Forecasts'!BW$119</f>
        <v>2.2999999999999998</v>
      </c>
      <c r="BY93" s="42"/>
      <c r="CC93" s="126">
        <f t="shared" ca="1" si="75"/>
        <v>0</v>
      </c>
      <c r="CD93" s="126">
        <f t="shared" ca="1" si="76"/>
        <v>0</v>
      </c>
      <c r="CE93" s="126">
        <f t="shared" si="95"/>
        <v>0</v>
      </c>
      <c r="CF93" s="42"/>
      <c r="CG93" s="352">
        <f t="shared" ca="1" si="96"/>
        <v>0</v>
      </c>
      <c r="CH93" s="352">
        <f t="shared" ca="1" si="97"/>
        <v>0</v>
      </c>
      <c r="CI93" s="352">
        <f t="shared" ca="1" si="98"/>
        <v>0</v>
      </c>
      <c r="CJ93" s="352">
        <f t="shared" ca="1" si="99"/>
        <v>0</v>
      </c>
      <c r="CK93" s="352">
        <f t="shared" ca="1" si="100"/>
        <v>0</v>
      </c>
      <c r="CL93" s="352">
        <f t="shared" ca="1" si="101"/>
        <v>0</v>
      </c>
      <c r="CM93" s="352">
        <f t="shared" si="102"/>
        <v>0</v>
      </c>
      <c r="EX93" s="13" t="str">
        <f ca="1">IF($C93="","",CONCATENATE(D$88," ",$D93))</f>
        <v>Creditors: amounts falling due within one year Interest Payable</v>
      </c>
    </row>
    <row r="94" spans="1:154" x14ac:dyDescent="0.25">
      <c r="A94" s="362" cm="1">
        <f t="array" aca="1" ref="A94" ca="1">HYPERLINK(CONCATENATE("#",CELL("address",IF(SUM($BY94:$CF94)=0,A94,INDEX($BY94:$CF94,MATCH(1,$BY94:$CF94,0))))),SUM($BY94:$CF94))</f>
        <v>0</v>
      </c>
      <c r="B94" s="93"/>
      <c r="C94" s="343" t="str">
        <f>'BS Forecasts'!C$138</f>
        <v>B-3f-CB</v>
      </c>
      <c r="D94" s="560" t="str" cm="1">
        <f t="array" aca="1" ref="D94" ca="1">HYPERLINK(CONCATENATE("#",CELL("address",'BS Forecasts'!$D$138)),'BS Forecasts'!$D$122)</f>
        <v>Capital Grant Liability</v>
      </c>
      <c r="J94" s="335"/>
      <c r="Q94" s="335"/>
      <c r="R94" s="335"/>
      <c r="S94" s="280"/>
      <c r="T94" s="335"/>
      <c r="U94" s="335"/>
      <c r="V94" s="10">
        <f>'BS Forecasts'!V$138</f>
        <v>389</v>
      </c>
      <c r="W94" s="10">
        <f>'BS Forecasts'!W$138</f>
        <v>469</v>
      </c>
      <c r="X94" s="10">
        <f>'BS Forecasts'!X$138</f>
        <v>514</v>
      </c>
      <c r="Y94" s="10">
        <f>'BS Forecasts'!Y$138</f>
        <v>571</v>
      </c>
      <c r="Z94" s="280"/>
      <c r="AA94" s="10">
        <f>'BS Forecasts'!AA$138</f>
        <v>0</v>
      </c>
      <c r="AB94" s="10">
        <f>'BS Forecasts'!AB$138</f>
        <v>0</v>
      </c>
      <c r="AC94" s="10">
        <f>'BS Forecasts'!AC$138</f>
        <v>0</v>
      </c>
      <c r="AD94" s="10">
        <f>'BS Forecasts'!AD$138</f>
        <v>0</v>
      </c>
      <c r="AE94" s="10">
        <f>'BS Forecasts'!AE$138</f>
        <v>0</v>
      </c>
      <c r="AF94" s="10">
        <f>'BS Forecasts'!AF$138</f>
        <v>0</v>
      </c>
      <c r="AG94" s="10">
        <f>'BS Forecasts'!AG$138</f>
        <v>0</v>
      </c>
      <c r="AH94" s="10">
        <f>'BS Forecasts'!AH$138</f>
        <v>0</v>
      </c>
      <c r="AI94" s="10">
        <f>'BS Forecasts'!AI$138</f>
        <v>0</v>
      </c>
      <c r="AJ94" s="10">
        <f>'BS Forecasts'!AJ$138</f>
        <v>0</v>
      </c>
      <c r="AK94" s="10">
        <f>'BS Forecasts'!AK$138</f>
        <v>0</v>
      </c>
      <c r="AL94" s="10">
        <f>'BS Forecasts'!AL$138</f>
        <v>469</v>
      </c>
      <c r="AM94" s="10">
        <f>'BS Forecasts'!AM$138</f>
        <v>0</v>
      </c>
      <c r="AN94" s="10">
        <f>'BS Forecasts'!AN$138</f>
        <v>0</v>
      </c>
      <c r="AO94" s="10">
        <f>'BS Forecasts'!AO$138</f>
        <v>0</v>
      </c>
      <c r="AP94" s="10">
        <f>'BS Forecasts'!AP$138</f>
        <v>0</v>
      </c>
      <c r="AQ94" s="10">
        <f>'BS Forecasts'!AQ$138</f>
        <v>0</v>
      </c>
      <c r="AR94" s="10">
        <f>'BS Forecasts'!AR$138</f>
        <v>0</v>
      </c>
      <c r="AS94" s="10">
        <f>'BS Forecasts'!AS$138</f>
        <v>0</v>
      </c>
      <c r="AT94" s="10">
        <f>'BS Forecasts'!AT$138</f>
        <v>0</v>
      </c>
      <c r="AU94" s="10">
        <f>'BS Forecasts'!AU$138</f>
        <v>0</v>
      </c>
      <c r="AV94" s="10">
        <f>'BS Forecasts'!AV$138</f>
        <v>0</v>
      </c>
      <c r="AW94" s="10">
        <f>'BS Forecasts'!AW$138</f>
        <v>0</v>
      </c>
      <c r="AX94" s="10">
        <f>'BS Forecasts'!AX$138</f>
        <v>514</v>
      </c>
      <c r="AY94" s="10">
        <f>'BS Forecasts'!AY$138</f>
        <v>0</v>
      </c>
      <c r="AZ94" s="10">
        <f>'BS Forecasts'!AZ$138</f>
        <v>0</v>
      </c>
      <c r="BA94" s="10">
        <f>'BS Forecasts'!BA$138</f>
        <v>0</v>
      </c>
      <c r="BB94" s="10">
        <f>'BS Forecasts'!BB$138</f>
        <v>0</v>
      </c>
      <c r="BC94" s="10">
        <f>'BS Forecasts'!BC$138</f>
        <v>0</v>
      </c>
      <c r="BD94" s="10">
        <f>'BS Forecasts'!BD$138</f>
        <v>0</v>
      </c>
      <c r="BE94" s="10">
        <f>'BS Forecasts'!BE$138</f>
        <v>0</v>
      </c>
      <c r="BF94" s="10">
        <f>'BS Forecasts'!BF$138</f>
        <v>0</v>
      </c>
      <c r="BG94" s="10">
        <f>'BS Forecasts'!BG$138</f>
        <v>0</v>
      </c>
      <c r="BH94" s="10">
        <f>'BS Forecasts'!BH$138</f>
        <v>0</v>
      </c>
      <c r="BI94" s="10">
        <f>'BS Forecasts'!BI$138</f>
        <v>0</v>
      </c>
      <c r="BJ94" s="10">
        <f>'BS Forecasts'!BJ$138</f>
        <v>571</v>
      </c>
      <c r="BK94" s="280"/>
      <c r="BL94" s="10">
        <f>'BS Forecasts'!BL$138</f>
        <v>389</v>
      </c>
      <c r="BM94" s="10">
        <f>'BS Forecasts'!BM$138</f>
        <v>469</v>
      </c>
      <c r="BN94" s="10">
        <f>'BS Forecasts'!BN$138</f>
        <v>514</v>
      </c>
      <c r="BO94" s="10">
        <f>'BS Forecasts'!BO$138</f>
        <v>571</v>
      </c>
      <c r="BP94" s="10">
        <f>'BS Forecasts'!BP$138</f>
        <v>0</v>
      </c>
      <c r="BQ94" s="10">
        <f>'BS Forecasts'!BQ$138</f>
        <v>0</v>
      </c>
      <c r="BR94" s="10">
        <f>'BS Forecasts'!BR$138</f>
        <v>0</v>
      </c>
      <c r="BS94" s="10">
        <f>'BS Forecasts'!BS$138</f>
        <v>0</v>
      </c>
      <c r="BT94" s="10">
        <f>'BS Forecasts'!BT$138</f>
        <v>0</v>
      </c>
      <c r="BU94" s="10">
        <f>'BS Forecasts'!BU$138</f>
        <v>0</v>
      </c>
      <c r="BV94" s="10">
        <f>'BS Forecasts'!BV$138</f>
        <v>0</v>
      </c>
      <c r="BW94" s="10">
        <f>'BS Forecasts'!BW$138</f>
        <v>0</v>
      </c>
      <c r="BY94" s="42"/>
      <c r="CC94" s="126">
        <f t="shared" si="75"/>
        <v>0</v>
      </c>
      <c r="CD94" s="126">
        <f t="shared" si="76"/>
        <v>0</v>
      </c>
      <c r="CE94" s="126">
        <f t="shared" si="95"/>
        <v>0</v>
      </c>
      <c r="CF94" s="42"/>
      <c r="CG94" s="352">
        <f t="shared" si="96"/>
        <v>0</v>
      </c>
      <c r="CH94" s="352">
        <f t="shared" si="97"/>
        <v>0</v>
      </c>
      <c r="CI94" s="352">
        <f t="shared" si="98"/>
        <v>0</v>
      </c>
      <c r="CJ94" s="352">
        <f t="shared" si="99"/>
        <v>0</v>
      </c>
      <c r="CK94" s="352">
        <f t="shared" si="100"/>
        <v>0</v>
      </c>
      <c r="CL94" s="352">
        <f t="shared" si="101"/>
        <v>0</v>
      </c>
      <c r="CM94" s="352">
        <f t="shared" si="102"/>
        <v>0</v>
      </c>
      <c r="EX94" s="13" t="str">
        <f ca="1">IF($C94="","",CONCATENATE(D$88," ",$D94))</f>
        <v>Creditors: amounts falling due within one year Capital Grant Liability</v>
      </c>
    </row>
    <row r="95" spans="1:154" x14ac:dyDescent="0.25">
      <c r="A95" s="362" cm="1">
        <f t="array" aca="1" ref="A95" ca="1">HYPERLINK(CONCATENATE("#",CELL("address",IF(SUM($BY95:$CF95)=0,A95,INDEX($BY95:$CF95,MATCH(1,$BY95:$CF95,0))))),SUM($BY95:$CF95))</f>
        <v>0</v>
      </c>
      <c r="B95" s="93"/>
      <c r="C95" s="343" t="str">
        <f>'BS Forecasts'!C$142</f>
        <v>B-3g-CB</v>
      </c>
      <c r="D95" s="560" t="str" cm="1">
        <f t="array" aca="1" ref="D95" ca="1">HYPERLINK(CONCATENATE("#",CELL("address",'BS Forecasts'!$D$142)),'BS Forecasts'!$D$141)</f>
        <v>Trade Payables</v>
      </c>
      <c r="J95" s="335"/>
      <c r="Q95" s="335"/>
      <c r="R95" s="335"/>
      <c r="S95" s="280"/>
      <c r="T95" s="335"/>
      <c r="U95" s="335"/>
      <c r="V95" s="10">
        <f>'BS Forecasts'!V$142</f>
        <v>905</v>
      </c>
      <c r="W95" s="10">
        <f>'BS Forecasts'!W$142</f>
        <v>800</v>
      </c>
      <c r="X95" s="10">
        <f>'BS Forecasts'!X$142</f>
        <v>900</v>
      </c>
      <c r="Y95" s="10">
        <f>'BS Forecasts'!Y$142</f>
        <v>850</v>
      </c>
      <c r="Z95" s="280"/>
      <c r="AA95" s="10">
        <f>'BS Forecasts'!AA$142</f>
        <v>800</v>
      </c>
      <c r="AB95" s="10">
        <f>'BS Forecasts'!AB$142</f>
        <v>800</v>
      </c>
      <c r="AC95" s="10">
        <f>'BS Forecasts'!AC$142</f>
        <v>800</v>
      </c>
      <c r="AD95" s="10">
        <f>'BS Forecasts'!AD$142</f>
        <v>800</v>
      </c>
      <c r="AE95" s="10">
        <f>'BS Forecasts'!AE$142</f>
        <v>800</v>
      </c>
      <c r="AF95" s="10">
        <f>'BS Forecasts'!AF$142</f>
        <v>800</v>
      </c>
      <c r="AG95" s="10">
        <f>'BS Forecasts'!AG$142</f>
        <v>800</v>
      </c>
      <c r="AH95" s="10">
        <f>'BS Forecasts'!AH$142</f>
        <v>800</v>
      </c>
      <c r="AI95" s="10">
        <f>'BS Forecasts'!AI$142</f>
        <v>800</v>
      </c>
      <c r="AJ95" s="10">
        <f>'BS Forecasts'!AJ$142</f>
        <v>800</v>
      </c>
      <c r="AK95" s="10">
        <f>'BS Forecasts'!AK$142</f>
        <v>800</v>
      </c>
      <c r="AL95" s="10">
        <f>'BS Forecasts'!AL$142</f>
        <v>800</v>
      </c>
      <c r="AM95" s="10">
        <f>'BS Forecasts'!AM$142</f>
        <v>900</v>
      </c>
      <c r="AN95" s="10">
        <f>'BS Forecasts'!AN$142</f>
        <v>900</v>
      </c>
      <c r="AO95" s="10">
        <f>'BS Forecasts'!AO$142</f>
        <v>900</v>
      </c>
      <c r="AP95" s="10">
        <f>'BS Forecasts'!AP$142</f>
        <v>900</v>
      </c>
      <c r="AQ95" s="10">
        <f>'BS Forecasts'!AQ$142</f>
        <v>900</v>
      </c>
      <c r="AR95" s="10">
        <f>'BS Forecasts'!AR$142</f>
        <v>900</v>
      </c>
      <c r="AS95" s="10">
        <f>'BS Forecasts'!AS$142</f>
        <v>900</v>
      </c>
      <c r="AT95" s="10">
        <f>'BS Forecasts'!AT$142</f>
        <v>900</v>
      </c>
      <c r="AU95" s="10">
        <f>'BS Forecasts'!AU$142</f>
        <v>900</v>
      </c>
      <c r="AV95" s="10">
        <f>'BS Forecasts'!AV$142</f>
        <v>900</v>
      </c>
      <c r="AW95" s="10">
        <f>'BS Forecasts'!AW$142</f>
        <v>900</v>
      </c>
      <c r="AX95" s="10">
        <f>'BS Forecasts'!AX$142</f>
        <v>900</v>
      </c>
      <c r="AY95" s="10">
        <f>'BS Forecasts'!AY$142</f>
        <v>850</v>
      </c>
      <c r="AZ95" s="10">
        <f>'BS Forecasts'!AZ$142</f>
        <v>850</v>
      </c>
      <c r="BA95" s="10">
        <f>'BS Forecasts'!BA$142</f>
        <v>850</v>
      </c>
      <c r="BB95" s="10">
        <f>'BS Forecasts'!BB$142</f>
        <v>850</v>
      </c>
      <c r="BC95" s="10">
        <f>'BS Forecasts'!BC$142</f>
        <v>850</v>
      </c>
      <c r="BD95" s="10">
        <f>'BS Forecasts'!BD$142</f>
        <v>850</v>
      </c>
      <c r="BE95" s="10">
        <f>'BS Forecasts'!BE$142</f>
        <v>850</v>
      </c>
      <c r="BF95" s="10">
        <f>'BS Forecasts'!BF$142</f>
        <v>850</v>
      </c>
      <c r="BG95" s="10">
        <f>'BS Forecasts'!BG$142</f>
        <v>850</v>
      </c>
      <c r="BH95" s="10">
        <f>'BS Forecasts'!BH$142</f>
        <v>850</v>
      </c>
      <c r="BI95" s="10">
        <f>'BS Forecasts'!BI$142</f>
        <v>850</v>
      </c>
      <c r="BJ95" s="10">
        <f>'BS Forecasts'!BJ$142</f>
        <v>850</v>
      </c>
      <c r="BK95" s="280"/>
      <c r="BL95" s="10">
        <f>'BS Forecasts'!BL$142</f>
        <v>905</v>
      </c>
      <c r="BM95" s="10">
        <f>'BS Forecasts'!BM$142</f>
        <v>800</v>
      </c>
      <c r="BN95" s="10">
        <f>'BS Forecasts'!BN$142</f>
        <v>900</v>
      </c>
      <c r="BO95" s="10">
        <f>'BS Forecasts'!BO$142</f>
        <v>850</v>
      </c>
      <c r="BP95" s="10">
        <f>'BS Forecasts'!BP$142</f>
        <v>0</v>
      </c>
      <c r="BQ95" s="10">
        <f>'BS Forecasts'!BQ$142</f>
        <v>0</v>
      </c>
      <c r="BR95" s="10">
        <f>'BS Forecasts'!BR$142</f>
        <v>0</v>
      </c>
      <c r="BS95" s="10">
        <f>'BS Forecasts'!BS$142</f>
        <v>0</v>
      </c>
      <c r="BT95" s="10">
        <f>'BS Forecasts'!BT$142</f>
        <v>0</v>
      </c>
      <c r="BU95" s="10">
        <f>'BS Forecasts'!BU$142</f>
        <v>0</v>
      </c>
      <c r="BV95" s="10">
        <f>'BS Forecasts'!BV$142</f>
        <v>0</v>
      </c>
      <c r="BW95" s="10">
        <f>'BS Forecasts'!BW$142</f>
        <v>0</v>
      </c>
      <c r="BY95" s="42"/>
      <c r="CC95" s="126">
        <f t="shared" si="75"/>
        <v>0</v>
      </c>
      <c r="CD95" s="126">
        <f t="shared" si="76"/>
        <v>0</v>
      </c>
      <c r="CE95" s="126">
        <f t="shared" si="95"/>
        <v>0</v>
      </c>
      <c r="CF95" s="42"/>
      <c r="CG95" s="352">
        <f t="shared" si="96"/>
        <v>0</v>
      </c>
      <c r="CH95" s="352">
        <f t="shared" si="97"/>
        <v>0</v>
      </c>
      <c r="CI95" s="352">
        <f t="shared" si="98"/>
        <v>0</v>
      </c>
      <c r="CJ95" s="352">
        <f t="shared" si="99"/>
        <v>0</v>
      </c>
      <c r="CK95" s="352">
        <f t="shared" si="100"/>
        <v>0</v>
      </c>
      <c r="CL95" s="352">
        <f t="shared" si="101"/>
        <v>0</v>
      </c>
      <c r="CM95" s="352">
        <f t="shared" si="102"/>
        <v>0</v>
      </c>
      <c r="EX95" s="10" t="str">
        <f t="shared" ca="1" si="84"/>
        <v>Trade Payables</v>
      </c>
    </row>
    <row r="96" spans="1:154" x14ac:dyDescent="0.25">
      <c r="A96" s="362" cm="1">
        <f t="array" aca="1" ref="A96" ca="1">HYPERLINK(CONCATENATE("#",CELL("address",IF(SUM($BY96:$CF96)=0,A96,INDEX($BY96:$CF96,MATCH(1,$BY96:$CF96,0))))),SUM($BY96:$CF96))</f>
        <v>0</v>
      </c>
      <c r="B96" s="93"/>
      <c r="C96" s="343" t="str">
        <f>'BS Forecasts'!C$145</f>
        <v>B-3h-CB</v>
      </c>
      <c r="D96" s="560" t="str" cm="1">
        <f t="array" aca="1" ref="D96" ca="1">HYPERLINK(CONCATENATE("#",CELL("address",'BS Forecasts'!$D$145)),'BS Forecasts'!$D$144)</f>
        <v>Other Payments on Account</v>
      </c>
      <c r="J96" s="335"/>
      <c r="Q96" s="335"/>
      <c r="R96" s="335"/>
      <c r="S96" s="280"/>
      <c r="T96" s="335"/>
      <c r="U96" s="335"/>
      <c r="V96" s="10">
        <f>'BS Forecasts'!V$145</f>
        <v>0</v>
      </c>
      <c r="W96" s="10">
        <f>'BS Forecasts'!W$145</f>
        <v>0</v>
      </c>
      <c r="X96" s="10">
        <f>'BS Forecasts'!X$145</f>
        <v>0</v>
      </c>
      <c r="Y96" s="10">
        <f>'BS Forecasts'!Y$145</f>
        <v>0</v>
      </c>
      <c r="Z96" s="280"/>
      <c r="AA96" s="10">
        <f>'BS Forecasts'!AA$145</f>
        <v>0</v>
      </c>
      <c r="AB96" s="10">
        <f>'BS Forecasts'!AB$145</f>
        <v>0</v>
      </c>
      <c r="AC96" s="10">
        <f>'BS Forecasts'!AC$145</f>
        <v>0</v>
      </c>
      <c r="AD96" s="10">
        <f>'BS Forecasts'!AD$145</f>
        <v>0</v>
      </c>
      <c r="AE96" s="10">
        <f>'BS Forecasts'!AE$145</f>
        <v>0</v>
      </c>
      <c r="AF96" s="10">
        <f>'BS Forecasts'!AF$145</f>
        <v>0</v>
      </c>
      <c r="AG96" s="10">
        <f>'BS Forecasts'!AG$145</f>
        <v>0</v>
      </c>
      <c r="AH96" s="10">
        <f>'BS Forecasts'!AH$145</f>
        <v>0</v>
      </c>
      <c r="AI96" s="10">
        <f>'BS Forecasts'!AI$145</f>
        <v>0</v>
      </c>
      <c r="AJ96" s="10">
        <f>'BS Forecasts'!AJ$145</f>
        <v>0</v>
      </c>
      <c r="AK96" s="10">
        <f>'BS Forecasts'!AK$145</f>
        <v>0</v>
      </c>
      <c r="AL96" s="10">
        <f>'BS Forecasts'!AL$145</f>
        <v>0</v>
      </c>
      <c r="AM96" s="10">
        <f>'BS Forecasts'!AM$145</f>
        <v>0</v>
      </c>
      <c r="AN96" s="10">
        <f>'BS Forecasts'!AN$145</f>
        <v>0</v>
      </c>
      <c r="AO96" s="10">
        <f>'BS Forecasts'!AO$145</f>
        <v>0</v>
      </c>
      <c r="AP96" s="10">
        <f>'BS Forecasts'!AP$145</f>
        <v>0</v>
      </c>
      <c r="AQ96" s="10">
        <f>'BS Forecasts'!AQ$145</f>
        <v>0</v>
      </c>
      <c r="AR96" s="10">
        <f>'BS Forecasts'!AR$145</f>
        <v>0</v>
      </c>
      <c r="AS96" s="10">
        <f>'BS Forecasts'!AS$145</f>
        <v>0</v>
      </c>
      <c r="AT96" s="10">
        <f>'BS Forecasts'!AT$145</f>
        <v>0</v>
      </c>
      <c r="AU96" s="10">
        <f>'BS Forecasts'!AU$145</f>
        <v>0</v>
      </c>
      <c r="AV96" s="10">
        <f>'BS Forecasts'!AV$145</f>
        <v>0</v>
      </c>
      <c r="AW96" s="10">
        <f>'BS Forecasts'!AW$145</f>
        <v>0</v>
      </c>
      <c r="AX96" s="10">
        <f>'BS Forecasts'!AX$145</f>
        <v>0</v>
      </c>
      <c r="AY96" s="10">
        <f>'BS Forecasts'!AY$145</f>
        <v>0</v>
      </c>
      <c r="AZ96" s="10">
        <f>'BS Forecasts'!AZ$145</f>
        <v>0</v>
      </c>
      <c r="BA96" s="10">
        <f>'BS Forecasts'!BA$145</f>
        <v>0</v>
      </c>
      <c r="BB96" s="10">
        <f>'BS Forecasts'!BB$145</f>
        <v>0</v>
      </c>
      <c r="BC96" s="10">
        <f>'BS Forecasts'!BC$145</f>
        <v>0</v>
      </c>
      <c r="BD96" s="10">
        <f>'BS Forecasts'!BD$145</f>
        <v>0</v>
      </c>
      <c r="BE96" s="10">
        <f>'BS Forecasts'!BE$145</f>
        <v>0</v>
      </c>
      <c r="BF96" s="10">
        <f>'BS Forecasts'!BF$145</f>
        <v>0</v>
      </c>
      <c r="BG96" s="10">
        <f>'BS Forecasts'!BG$145</f>
        <v>0</v>
      </c>
      <c r="BH96" s="10">
        <f>'BS Forecasts'!BH$145</f>
        <v>0</v>
      </c>
      <c r="BI96" s="10">
        <f>'BS Forecasts'!BI$145</f>
        <v>0</v>
      </c>
      <c r="BJ96" s="10">
        <f>'BS Forecasts'!BJ$145</f>
        <v>0</v>
      </c>
      <c r="BK96" s="280"/>
      <c r="BL96" s="10">
        <f>'BS Forecasts'!BL$145</f>
        <v>0</v>
      </c>
      <c r="BM96" s="10">
        <f>'BS Forecasts'!BM$145</f>
        <v>0</v>
      </c>
      <c r="BN96" s="10">
        <f>'BS Forecasts'!BN$145</f>
        <v>0</v>
      </c>
      <c r="BO96" s="10">
        <f>'BS Forecasts'!BO$145</f>
        <v>0</v>
      </c>
      <c r="BP96" s="10">
        <f>'BS Forecasts'!BP$145</f>
        <v>0</v>
      </c>
      <c r="BQ96" s="10">
        <f>'BS Forecasts'!BQ$145</f>
        <v>0</v>
      </c>
      <c r="BR96" s="10">
        <f>'BS Forecasts'!BR$145</f>
        <v>0</v>
      </c>
      <c r="BS96" s="10">
        <f>'BS Forecasts'!BS$145</f>
        <v>0</v>
      </c>
      <c r="BT96" s="10">
        <f>'BS Forecasts'!BT$145</f>
        <v>0</v>
      </c>
      <c r="BU96" s="10">
        <f>'BS Forecasts'!BU$145</f>
        <v>0</v>
      </c>
      <c r="BV96" s="10">
        <f>'BS Forecasts'!BV$145</f>
        <v>0</v>
      </c>
      <c r="BW96" s="10">
        <f>'BS Forecasts'!BW$145</f>
        <v>0</v>
      </c>
      <c r="BY96" s="42"/>
      <c r="CC96" s="126">
        <f t="shared" si="75"/>
        <v>0</v>
      </c>
      <c r="CD96" s="126">
        <f t="shared" si="76"/>
        <v>0</v>
      </c>
      <c r="CE96" s="126">
        <f t="shared" si="95"/>
        <v>0</v>
      </c>
      <c r="CF96" s="42"/>
      <c r="CG96" s="352">
        <f t="shared" si="96"/>
        <v>0</v>
      </c>
      <c r="CH96" s="352">
        <f t="shared" si="97"/>
        <v>0</v>
      </c>
      <c r="CI96" s="352">
        <f t="shared" si="98"/>
        <v>0</v>
      </c>
      <c r="CJ96" s="352">
        <f t="shared" si="99"/>
        <v>0</v>
      </c>
      <c r="CK96" s="352">
        <f t="shared" si="100"/>
        <v>0</v>
      </c>
      <c r="CL96" s="352">
        <f t="shared" si="101"/>
        <v>0</v>
      </c>
      <c r="CM96" s="352">
        <f t="shared" si="102"/>
        <v>0</v>
      </c>
      <c r="EX96" s="10" t="str">
        <f t="shared" ca="1" si="84"/>
        <v>Other Payments on Account</v>
      </c>
    </row>
    <row r="97" spans="1:154" x14ac:dyDescent="0.25">
      <c r="A97" s="362" cm="1">
        <f t="array" aca="1" ref="A97" ca="1">HYPERLINK(CONCATENATE("#",CELL("address",IF(SUM($BY97:$CF97)=0,A97,INDEX($BY97:$CF97,MATCH(1,$BY97:$CF97,0))))),SUM($BY97:$CF97))</f>
        <v>0</v>
      </c>
      <c r="C97" s="343" t="str">
        <f>'BS Forecasts'!C$150</f>
        <v>B-3i-CB</v>
      </c>
      <c r="D97" s="560" t="str" cm="1">
        <f t="array" aca="1" ref="D97" ca="1">HYPERLINK(CONCATENATE("#",CELL("address",'BS Forecasts'!$D$150)),'BS Forecasts'!$D$147)</f>
        <v>Other Liabilities</v>
      </c>
      <c r="J97" s="335"/>
      <c r="Q97" s="335"/>
      <c r="R97" s="335"/>
      <c r="S97" s="280"/>
      <c r="T97" s="335"/>
      <c r="U97" s="335"/>
      <c r="V97" s="10">
        <f>'BS Forecasts'!V$150</f>
        <v>0</v>
      </c>
      <c r="W97" s="10">
        <f>'BS Forecasts'!W$150</f>
        <v>0</v>
      </c>
      <c r="X97" s="10">
        <f>'BS Forecasts'!X$150</f>
        <v>0</v>
      </c>
      <c r="Y97" s="10">
        <f>'BS Forecasts'!Y$150</f>
        <v>0</v>
      </c>
      <c r="Z97" s="280"/>
      <c r="AA97" s="10">
        <f>'BS Forecasts'!AA$150</f>
        <v>0</v>
      </c>
      <c r="AB97" s="10">
        <f>'BS Forecasts'!AB$150</f>
        <v>0</v>
      </c>
      <c r="AC97" s="10">
        <f>'BS Forecasts'!AC$150</f>
        <v>0</v>
      </c>
      <c r="AD97" s="10">
        <f>'BS Forecasts'!AD$150</f>
        <v>0</v>
      </c>
      <c r="AE97" s="10">
        <f>'BS Forecasts'!AE$150</f>
        <v>0</v>
      </c>
      <c r="AF97" s="10">
        <f>'BS Forecasts'!AF$150</f>
        <v>0</v>
      </c>
      <c r="AG97" s="10">
        <f>'BS Forecasts'!AG$150</f>
        <v>0</v>
      </c>
      <c r="AH97" s="10">
        <f>'BS Forecasts'!AH$150</f>
        <v>0</v>
      </c>
      <c r="AI97" s="10">
        <f>'BS Forecasts'!AI$150</f>
        <v>0</v>
      </c>
      <c r="AJ97" s="10">
        <f>'BS Forecasts'!AJ$150</f>
        <v>0</v>
      </c>
      <c r="AK97" s="10">
        <f>'BS Forecasts'!AK$150</f>
        <v>0</v>
      </c>
      <c r="AL97" s="10">
        <f>'BS Forecasts'!AL$150</f>
        <v>0</v>
      </c>
      <c r="AM97" s="10">
        <f>'BS Forecasts'!AM$150</f>
        <v>0</v>
      </c>
      <c r="AN97" s="10">
        <f>'BS Forecasts'!AN$150</f>
        <v>0</v>
      </c>
      <c r="AO97" s="10">
        <f>'BS Forecasts'!AO$150</f>
        <v>0</v>
      </c>
      <c r="AP97" s="10">
        <f>'BS Forecasts'!AP$150</f>
        <v>0</v>
      </c>
      <c r="AQ97" s="10">
        <f>'BS Forecasts'!AQ$150</f>
        <v>0</v>
      </c>
      <c r="AR97" s="10">
        <f>'BS Forecasts'!AR$150</f>
        <v>0</v>
      </c>
      <c r="AS97" s="10">
        <f>'BS Forecasts'!AS$150</f>
        <v>0</v>
      </c>
      <c r="AT97" s="10">
        <f>'BS Forecasts'!AT$150</f>
        <v>0</v>
      </c>
      <c r="AU97" s="10">
        <f>'BS Forecasts'!AU$150</f>
        <v>0</v>
      </c>
      <c r="AV97" s="10">
        <f>'BS Forecasts'!AV$150</f>
        <v>0</v>
      </c>
      <c r="AW97" s="10">
        <f>'BS Forecasts'!AW$150</f>
        <v>0</v>
      </c>
      <c r="AX97" s="10">
        <f>'BS Forecasts'!AX$150</f>
        <v>0</v>
      </c>
      <c r="AY97" s="10">
        <f>'BS Forecasts'!AY$150</f>
        <v>0</v>
      </c>
      <c r="AZ97" s="10">
        <f>'BS Forecasts'!AZ$150</f>
        <v>0</v>
      </c>
      <c r="BA97" s="10">
        <f>'BS Forecasts'!BA$150</f>
        <v>0</v>
      </c>
      <c r="BB97" s="10">
        <f>'BS Forecasts'!BB$150</f>
        <v>0</v>
      </c>
      <c r="BC97" s="10">
        <f>'BS Forecasts'!BC$150</f>
        <v>0</v>
      </c>
      <c r="BD97" s="10">
        <f>'BS Forecasts'!BD$150</f>
        <v>0</v>
      </c>
      <c r="BE97" s="10">
        <f>'BS Forecasts'!BE$150</f>
        <v>0</v>
      </c>
      <c r="BF97" s="10">
        <f>'BS Forecasts'!BF$150</f>
        <v>0</v>
      </c>
      <c r="BG97" s="10">
        <f>'BS Forecasts'!BG$150</f>
        <v>0</v>
      </c>
      <c r="BH97" s="10">
        <f>'BS Forecasts'!BH$150</f>
        <v>0</v>
      </c>
      <c r="BI97" s="10">
        <f>'BS Forecasts'!BI$150</f>
        <v>0</v>
      </c>
      <c r="BJ97" s="10">
        <f>'BS Forecasts'!BJ$150</f>
        <v>0</v>
      </c>
      <c r="BK97" s="280"/>
      <c r="BL97" s="10">
        <f>'BS Forecasts'!BL$150</f>
        <v>0</v>
      </c>
      <c r="BM97" s="10">
        <f>'BS Forecasts'!BM$150</f>
        <v>0</v>
      </c>
      <c r="BN97" s="10">
        <f>'BS Forecasts'!BN$150</f>
        <v>0</v>
      </c>
      <c r="BO97" s="10">
        <f>'BS Forecasts'!BO$150</f>
        <v>0</v>
      </c>
      <c r="BP97" s="10">
        <f>'BS Forecasts'!BP$150</f>
        <v>0</v>
      </c>
      <c r="BQ97" s="10">
        <f>'BS Forecasts'!BQ$150</f>
        <v>0</v>
      </c>
      <c r="BR97" s="10">
        <f>'BS Forecasts'!BR$150</f>
        <v>0</v>
      </c>
      <c r="BS97" s="10">
        <f>'BS Forecasts'!BS$150</f>
        <v>0</v>
      </c>
      <c r="BT97" s="10">
        <f>'BS Forecasts'!BT$150</f>
        <v>0</v>
      </c>
      <c r="BU97" s="10">
        <f>'BS Forecasts'!BU$150</f>
        <v>0</v>
      </c>
      <c r="BV97" s="10">
        <f>'BS Forecasts'!BV$150</f>
        <v>0</v>
      </c>
      <c r="BW97" s="10">
        <f>'BS Forecasts'!BW$150</f>
        <v>0</v>
      </c>
      <c r="BY97" s="42"/>
      <c r="CC97" s="126">
        <f t="shared" si="75"/>
        <v>0</v>
      </c>
      <c r="CD97" s="126">
        <f t="shared" si="76"/>
        <v>0</v>
      </c>
      <c r="CE97" s="126">
        <f t="shared" si="95"/>
        <v>0</v>
      </c>
      <c r="CF97" s="42"/>
      <c r="CG97" s="352">
        <f t="shared" si="96"/>
        <v>0</v>
      </c>
      <c r="CH97" s="352">
        <f t="shared" si="97"/>
        <v>0</v>
      </c>
      <c r="CI97" s="352">
        <f t="shared" si="98"/>
        <v>0</v>
      </c>
      <c r="CJ97" s="352">
        <f t="shared" si="99"/>
        <v>0</v>
      </c>
      <c r="CK97" s="352">
        <f t="shared" si="100"/>
        <v>0</v>
      </c>
      <c r="CL97" s="352">
        <f t="shared" si="101"/>
        <v>0</v>
      </c>
      <c r="CM97" s="352">
        <f t="shared" si="102"/>
        <v>0</v>
      </c>
      <c r="EX97" s="13" t="str">
        <f ca="1">IF($C97="","",CONCATENATE(D$88," ",$D97))</f>
        <v>Creditors: amounts falling due within one year Other Liabilities</v>
      </c>
    </row>
    <row r="98" spans="1:154" x14ac:dyDescent="0.25">
      <c r="A98" s="362" cm="1">
        <f t="array" aca="1" ref="A98" ca="1">HYPERLINK(CONCATENATE("#",CELL("address",IF(SUM($BY98:$CF98)=0,A98,INDEX($BY98:$CF98,MATCH(1,$BY98:$CF98,0))))),SUM($BY98:$CF98))</f>
        <v>0</v>
      </c>
      <c r="B98" s="93"/>
      <c r="C98" s="343" t="str">
        <f>'BS Forecasts'!C$154</f>
        <v>B-3j-CB</v>
      </c>
      <c r="D98" s="560" t="str" cm="1">
        <f t="array" aca="1" ref="D98" ca="1">HYPERLINK(CONCATENATE("#",CELL("address",'BS Forecasts'!$D$154)),'BS Forecasts'!$D$153)</f>
        <v>Fixed Assets Retentions</v>
      </c>
      <c r="J98" s="335"/>
      <c r="Q98" s="335"/>
      <c r="R98" s="335"/>
      <c r="S98" s="280"/>
      <c r="T98" s="335"/>
      <c r="U98" s="335"/>
      <c r="V98" s="10">
        <f>'BS Forecasts'!V$154</f>
        <v>0</v>
      </c>
      <c r="W98" s="10">
        <f>'BS Forecasts'!W$154</f>
        <v>0</v>
      </c>
      <c r="X98" s="10">
        <f>'BS Forecasts'!X$154</f>
        <v>0</v>
      </c>
      <c r="Y98" s="10">
        <f>'BS Forecasts'!Y$154</f>
        <v>0</v>
      </c>
      <c r="Z98" s="280"/>
      <c r="AA98" s="10">
        <f>'BS Forecasts'!AA$154</f>
        <v>0</v>
      </c>
      <c r="AB98" s="10">
        <f>'BS Forecasts'!AB$154</f>
        <v>0</v>
      </c>
      <c r="AC98" s="10">
        <f>'BS Forecasts'!AC$154</f>
        <v>0</v>
      </c>
      <c r="AD98" s="10">
        <f>'BS Forecasts'!AD$154</f>
        <v>0</v>
      </c>
      <c r="AE98" s="10">
        <f>'BS Forecasts'!AE$154</f>
        <v>0</v>
      </c>
      <c r="AF98" s="10">
        <f>'BS Forecasts'!AF$154</f>
        <v>0</v>
      </c>
      <c r="AG98" s="10">
        <f>'BS Forecasts'!AG$154</f>
        <v>0</v>
      </c>
      <c r="AH98" s="10">
        <f>'BS Forecasts'!AH$154</f>
        <v>0</v>
      </c>
      <c r="AI98" s="10">
        <f>'BS Forecasts'!AI$154</f>
        <v>0</v>
      </c>
      <c r="AJ98" s="10">
        <f>'BS Forecasts'!AJ$154</f>
        <v>0</v>
      </c>
      <c r="AK98" s="10">
        <f>'BS Forecasts'!AK$154</f>
        <v>0</v>
      </c>
      <c r="AL98" s="10">
        <f>'BS Forecasts'!AL$154</f>
        <v>0</v>
      </c>
      <c r="AM98" s="10">
        <f>'BS Forecasts'!AM$154</f>
        <v>0</v>
      </c>
      <c r="AN98" s="10">
        <f>'BS Forecasts'!AN$154</f>
        <v>0</v>
      </c>
      <c r="AO98" s="10">
        <f>'BS Forecasts'!AO$154</f>
        <v>0</v>
      </c>
      <c r="AP98" s="10">
        <f>'BS Forecasts'!AP$154</f>
        <v>0</v>
      </c>
      <c r="AQ98" s="10">
        <f>'BS Forecasts'!AQ$154</f>
        <v>0</v>
      </c>
      <c r="AR98" s="10">
        <f>'BS Forecasts'!AR$154</f>
        <v>0</v>
      </c>
      <c r="AS98" s="10">
        <f>'BS Forecasts'!AS$154</f>
        <v>0</v>
      </c>
      <c r="AT98" s="10">
        <f>'BS Forecasts'!AT$154</f>
        <v>0</v>
      </c>
      <c r="AU98" s="10">
        <f>'BS Forecasts'!AU$154</f>
        <v>0</v>
      </c>
      <c r="AV98" s="10">
        <f>'BS Forecasts'!AV$154</f>
        <v>0</v>
      </c>
      <c r="AW98" s="10">
        <f>'BS Forecasts'!AW$154</f>
        <v>0</v>
      </c>
      <c r="AX98" s="10">
        <f>'BS Forecasts'!AX$154</f>
        <v>0</v>
      </c>
      <c r="AY98" s="10">
        <f>'BS Forecasts'!AY$154</f>
        <v>0</v>
      </c>
      <c r="AZ98" s="10">
        <f>'BS Forecasts'!AZ$154</f>
        <v>0</v>
      </c>
      <c r="BA98" s="10">
        <f>'BS Forecasts'!BA$154</f>
        <v>0</v>
      </c>
      <c r="BB98" s="10">
        <f>'BS Forecasts'!BB$154</f>
        <v>0</v>
      </c>
      <c r="BC98" s="10">
        <f>'BS Forecasts'!BC$154</f>
        <v>0</v>
      </c>
      <c r="BD98" s="10">
        <f>'BS Forecasts'!BD$154</f>
        <v>0</v>
      </c>
      <c r="BE98" s="10">
        <f>'BS Forecasts'!BE$154</f>
        <v>0</v>
      </c>
      <c r="BF98" s="10">
        <f>'BS Forecasts'!BF$154</f>
        <v>0</v>
      </c>
      <c r="BG98" s="10">
        <f>'BS Forecasts'!BG$154</f>
        <v>0</v>
      </c>
      <c r="BH98" s="10">
        <f>'BS Forecasts'!BH$154</f>
        <v>0</v>
      </c>
      <c r="BI98" s="10">
        <f>'BS Forecasts'!BI$154</f>
        <v>0</v>
      </c>
      <c r="BJ98" s="10">
        <f>'BS Forecasts'!BJ$154</f>
        <v>0</v>
      </c>
      <c r="BK98" s="280"/>
      <c r="BL98" s="10">
        <f>'BS Forecasts'!BL$154</f>
        <v>0</v>
      </c>
      <c r="BM98" s="10">
        <f>'BS Forecasts'!BM$154</f>
        <v>0</v>
      </c>
      <c r="BN98" s="10">
        <f>'BS Forecasts'!BN$154</f>
        <v>0</v>
      </c>
      <c r="BO98" s="10">
        <f>'BS Forecasts'!BO$154</f>
        <v>0</v>
      </c>
      <c r="BP98" s="10">
        <f>'BS Forecasts'!BP$154</f>
        <v>0</v>
      </c>
      <c r="BQ98" s="10">
        <f>'BS Forecasts'!BQ$154</f>
        <v>0</v>
      </c>
      <c r="BR98" s="10">
        <f>'BS Forecasts'!BR$154</f>
        <v>0</v>
      </c>
      <c r="BS98" s="10">
        <f>'BS Forecasts'!BS$154</f>
        <v>0</v>
      </c>
      <c r="BT98" s="10">
        <f>'BS Forecasts'!BT$154</f>
        <v>0</v>
      </c>
      <c r="BU98" s="10">
        <f>'BS Forecasts'!BU$154</f>
        <v>0</v>
      </c>
      <c r="BV98" s="10">
        <f>'BS Forecasts'!BV$154</f>
        <v>0</v>
      </c>
      <c r="BW98" s="10">
        <f>'BS Forecasts'!BW$154</f>
        <v>0</v>
      </c>
      <c r="BY98" s="42"/>
      <c r="CC98" s="126">
        <f t="shared" si="75"/>
        <v>0</v>
      </c>
      <c r="CD98" s="126">
        <f t="shared" si="76"/>
        <v>0</v>
      </c>
      <c r="CE98" s="126">
        <f t="shared" si="95"/>
        <v>0</v>
      </c>
      <c r="CF98" s="42"/>
      <c r="CG98" s="352">
        <f t="shared" si="96"/>
        <v>0</v>
      </c>
      <c r="CH98" s="352">
        <f t="shared" si="97"/>
        <v>0</v>
      </c>
      <c r="CI98" s="352">
        <f t="shared" si="98"/>
        <v>0</v>
      </c>
      <c r="CJ98" s="352">
        <f t="shared" si="99"/>
        <v>0</v>
      </c>
      <c r="CK98" s="352">
        <f t="shared" si="100"/>
        <v>0</v>
      </c>
      <c r="CL98" s="352">
        <f t="shared" si="101"/>
        <v>0</v>
      </c>
      <c r="CM98" s="352">
        <f t="shared" si="102"/>
        <v>0</v>
      </c>
      <c r="EX98" s="10" t="str">
        <f t="shared" ca="1" si="84"/>
        <v>Fixed Assets Retentions</v>
      </c>
    </row>
    <row r="99" spans="1:154" x14ac:dyDescent="0.25">
      <c r="A99" s="362" cm="1">
        <f t="array" aca="1" ref="A99" ca="1">HYPERLINK(CONCATENATE("#",CELL("address",IF(SUM($BY99:$CF99)=0,A99,INDEX($BY99:$CF99,MATCH(1,$BY99:$CF99,0))))),SUM($BY99:$CF99))</f>
        <v>0</v>
      </c>
      <c r="B99" s="93"/>
      <c r="C99" s="343" t="str">
        <f>'BS Forecasts'!C$157</f>
        <v>B-3k-CB</v>
      </c>
      <c r="D99" s="560" t="str" cm="1">
        <f t="array" aca="1" ref="D99" ca="1">HYPERLINK(CONCATENATE("#",CELL("address",'BS Forecasts'!$D$157)),'BS Forecasts'!$D$156)</f>
        <v>Recovery of ESFA/DA Funding</v>
      </c>
      <c r="J99" s="335"/>
      <c r="Q99" s="335"/>
      <c r="R99" s="335"/>
      <c r="S99" s="280"/>
      <c r="T99" s="335"/>
      <c r="U99" s="335"/>
      <c r="V99" s="10">
        <f>'BS Forecasts'!V$157</f>
        <v>257</v>
      </c>
      <c r="W99" s="10">
        <f>'BS Forecasts'!W$157</f>
        <v>0</v>
      </c>
      <c r="X99" s="10">
        <f>'BS Forecasts'!X$157</f>
        <v>0</v>
      </c>
      <c r="Y99" s="10">
        <f>'BS Forecasts'!Y$157</f>
        <v>0</v>
      </c>
      <c r="Z99" s="280"/>
      <c r="AA99" s="10">
        <f>'BS Forecasts'!AA$157</f>
        <v>0</v>
      </c>
      <c r="AB99" s="10">
        <f>'BS Forecasts'!AB$157</f>
        <v>0</v>
      </c>
      <c r="AC99" s="10">
        <f>'BS Forecasts'!AC$157</f>
        <v>0</v>
      </c>
      <c r="AD99" s="10">
        <f>'BS Forecasts'!AD$157</f>
        <v>0</v>
      </c>
      <c r="AE99" s="10">
        <f>'BS Forecasts'!AE$157</f>
        <v>0</v>
      </c>
      <c r="AF99" s="10">
        <f>'BS Forecasts'!AF$157</f>
        <v>0</v>
      </c>
      <c r="AG99" s="10">
        <f>'BS Forecasts'!AG$157</f>
        <v>0</v>
      </c>
      <c r="AH99" s="10">
        <f>'BS Forecasts'!AH$157</f>
        <v>0</v>
      </c>
      <c r="AI99" s="10">
        <f>'BS Forecasts'!AI$157</f>
        <v>0</v>
      </c>
      <c r="AJ99" s="10">
        <f>'BS Forecasts'!AJ$157</f>
        <v>0</v>
      </c>
      <c r="AK99" s="10">
        <f>'BS Forecasts'!AK$157</f>
        <v>0</v>
      </c>
      <c r="AL99" s="10">
        <f>'BS Forecasts'!AL$157</f>
        <v>0</v>
      </c>
      <c r="AM99" s="10">
        <f>'BS Forecasts'!AM$157</f>
        <v>0</v>
      </c>
      <c r="AN99" s="10">
        <f>'BS Forecasts'!AN$157</f>
        <v>0</v>
      </c>
      <c r="AO99" s="10">
        <f>'BS Forecasts'!AO$157</f>
        <v>0</v>
      </c>
      <c r="AP99" s="10">
        <f>'BS Forecasts'!AP$157</f>
        <v>0</v>
      </c>
      <c r="AQ99" s="10">
        <f>'BS Forecasts'!AQ$157</f>
        <v>0</v>
      </c>
      <c r="AR99" s="10">
        <f>'BS Forecasts'!AR$157</f>
        <v>0</v>
      </c>
      <c r="AS99" s="10">
        <f>'BS Forecasts'!AS$157</f>
        <v>0</v>
      </c>
      <c r="AT99" s="10">
        <f>'BS Forecasts'!AT$157</f>
        <v>0</v>
      </c>
      <c r="AU99" s="10">
        <f>'BS Forecasts'!AU$157</f>
        <v>0</v>
      </c>
      <c r="AV99" s="10">
        <f>'BS Forecasts'!AV$157</f>
        <v>0</v>
      </c>
      <c r="AW99" s="10">
        <f>'BS Forecasts'!AW$157</f>
        <v>0</v>
      </c>
      <c r="AX99" s="10">
        <f>'BS Forecasts'!AX$157</f>
        <v>0</v>
      </c>
      <c r="AY99" s="10">
        <f>'BS Forecasts'!AY$157</f>
        <v>0</v>
      </c>
      <c r="AZ99" s="10">
        <f>'BS Forecasts'!AZ$157</f>
        <v>0</v>
      </c>
      <c r="BA99" s="10">
        <f>'BS Forecasts'!BA$157</f>
        <v>0</v>
      </c>
      <c r="BB99" s="10">
        <f>'BS Forecasts'!BB$157</f>
        <v>0</v>
      </c>
      <c r="BC99" s="10">
        <f>'BS Forecasts'!BC$157</f>
        <v>0</v>
      </c>
      <c r="BD99" s="10">
        <f>'BS Forecasts'!BD$157</f>
        <v>0</v>
      </c>
      <c r="BE99" s="10">
        <f>'BS Forecasts'!BE$157</f>
        <v>0</v>
      </c>
      <c r="BF99" s="10">
        <f>'BS Forecasts'!BF$157</f>
        <v>0</v>
      </c>
      <c r="BG99" s="10">
        <f>'BS Forecasts'!BG$157</f>
        <v>0</v>
      </c>
      <c r="BH99" s="10">
        <f>'BS Forecasts'!BH$157</f>
        <v>0</v>
      </c>
      <c r="BI99" s="10">
        <f>'BS Forecasts'!BI$157</f>
        <v>0</v>
      </c>
      <c r="BJ99" s="10">
        <f>'BS Forecasts'!BJ$157</f>
        <v>0</v>
      </c>
      <c r="BK99" s="280"/>
      <c r="BL99" s="10">
        <f>'BS Forecasts'!BL$157</f>
        <v>257</v>
      </c>
      <c r="BM99" s="10">
        <f>'BS Forecasts'!BM$157</f>
        <v>0</v>
      </c>
      <c r="BN99" s="10">
        <f>'BS Forecasts'!BN$157</f>
        <v>0</v>
      </c>
      <c r="BO99" s="10">
        <f>'BS Forecasts'!BO$157</f>
        <v>0</v>
      </c>
      <c r="BP99" s="10">
        <f>'BS Forecasts'!BP$157</f>
        <v>0</v>
      </c>
      <c r="BQ99" s="10">
        <f>'BS Forecasts'!BQ$157</f>
        <v>0</v>
      </c>
      <c r="BR99" s="10">
        <f>'BS Forecasts'!BR$157</f>
        <v>0</v>
      </c>
      <c r="BS99" s="10">
        <f>'BS Forecasts'!BS$157</f>
        <v>0</v>
      </c>
      <c r="BT99" s="10">
        <f>'BS Forecasts'!BT$157</f>
        <v>0</v>
      </c>
      <c r="BU99" s="10">
        <f>'BS Forecasts'!BU$157</f>
        <v>0</v>
      </c>
      <c r="BV99" s="10">
        <f>'BS Forecasts'!BV$157</f>
        <v>0</v>
      </c>
      <c r="BW99" s="10">
        <f>'BS Forecasts'!BW$157</f>
        <v>0</v>
      </c>
      <c r="BY99" s="42"/>
      <c r="CC99" s="126">
        <f t="shared" si="75"/>
        <v>0</v>
      </c>
      <c r="CD99" s="126">
        <f t="shared" si="76"/>
        <v>0</v>
      </c>
      <c r="CE99" s="126">
        <f t="shared" si="95"/>
        <v>0</v>
      </c>
      <c r="CF99" s="42"/>
      <c r="CG99" s="352">
        <f t="shared" si="96"/>
        <v>0</v>
      </c>
      <c r="CH99" s="352">
        <f t="shared" si="97"/>
        <v>0</v>
      </c>
      <c r="CI99" s="352">
        <f t="shared" si="98"/>
        <v>0</v>
      </c>
      <c r="CJ99" s="352">
        <f t="shared" si="99"/>
        <v>0</v>
      </c>
      <c r="CK99" s="352">
        <f t="shared" si="100"/>
        <v>0</v>
      </c>
      <c r="CL99" s="352">
        <f t="shared" si="101"/>
        <v>0</v>
      </c>
      <c r="CM99" s="352">
        <f t="shared" si="102"/>
        <v>0</v>
      </c>
      <c r="EX99" s="10" t="str">
        <f t="shared" ca="1" si="84"/>
        <v>Recovery of ESFA/DA Funding</v>
      </c>
    </row>
    <row r="100" spans="1:154" s="325" customFormat="1" x14ac:dyDescent="0.25">
      <c r="A100" s="362" cm="1">
        <f t="array" aca="1" ref="A100" ca="1">HYPERLINK(CONCATENATE("#",CELL("address",IF(SUM($BY100:$CF100)=0,A100,INDEX($BY100:$CF100,MATCH(1,$BY100:$CF100,0))))),SUM($BY100:$CF100))</f>
        <v>0</v>
      </c>
      <c r="B100" s="93"/>
      <c r="C100" s="343" t="str">
        <f>'BS Forecasts'!C$160</f>
        <v>B-3l-CB</v>
      </c>
      <c r="D100" s="560" t="str" cm="1">
        <f t="array" aca="1" ref="D100" ca="1">HYPERLINK(CONCATENATE("#",CELL("address",'BS Forecasts'!$D$160)),'BS Forecasts'!$D$159)</f>
        <v>AEB Clawback</v>
      </c>
      <c r="E100" s="1"/>
      <c r="J100" s="335"/>
      <c r="Q100" s="335"/>
      <c r="R100" s="335"/>
      <c r="T100" s="335"/>
      <c r="U100" s="335"/>
      <c r="V100" s="10">
        <f>'BS Forecasts'!V$160</f>
        <v>0</v>
      </c>
      <c r="W100" s="10">
        <f>'BS Forecasts'!W$160</f>
        <v>0</v>
      </c>
      <c r="X100" s="10">
        <f>'BS Forecasts'!X$160</f>
        <v>0</v>
      </c>
      <c r="Y100" s="10">
        <f>'BS Forecasts'!Y$160</f>
        <v>0</v>
      </c>
      <c r="AA100" s="10">
        <f>'BS Forecasts'!AA$160</f>
        <v>0</v>
      </c>
      <c r="AB100" s="10">
        <f>'BS Forecasts'!AB$160</f>
        <v>0</v>
      </c>
      <c r="AC100" s="10">
        <f>'BS Forecasts'!AC$160</f>
        <v>0</v>
      </c>
      <c r="AD100" s="10">
        <f>'BS Forecasts'!AD$160</f>
        <v>0</v>
      </c>
      <c r="AE100" s="10">
        <f>'BS Forecasts'!AE$160</f>
        <v>0</v>
      </c>
      <c r="AF100" s="10">
        <f>'BS Forecasts'!AF$160</f>
        <v>0</v>
      </c>
      <c r="AG100" s="10">
        <f>'BS Forecasts'!AG$160</f>
        <v>0</v>
      </c>
      <c r="AH100" s="10">
        <f>'BS Forecasts'!AH$160</f>
        <v>0</v>
      </c>
      <c r="AI100" s="10">
        <f>'BS Forecasts'!AI$160</f>
        <v>0</v>
      </c>
      <c r="AJ100" s="10">
        <f>'BS Forecasts'!AJ$160</f>
        <v>0</v>
      </c>
      <c r="AK100" s="10">
        <f>'BS Forecasts'!AK$160</f>
        <v>0</v>
      </c>
      <c r="AL100" s="10">
        <f>'BS Forecasts'!AL$160</f>
        <v>0</v>
      </c>
      <c r="AM100" s="10">
        <f>'BS Forecasts'!AM$160</f>
        <v>0</v>
      </c>
      <c r="AN100" s="10">
        <f>'BS Forecasts'!AN$160</f>
        <v>0</v>
      </c>
      <c r="AO100" s="10">
        <f>'BS Forecasts'!AO$160</f>
        <v>0</v>
      </c>
      <c r="AP100" s="10">
        <f>'BS Forecasts'!AP$160</f>
        <v>0</v>
      </c>
      <c r="AQ100" s="10">
        <f>'BS Forecasts'!AQ$160</f>
        <v>0</v>
      </c>
      <c r="AR100" s="10">
        <f>'BS Forecasts'!AR$160</f>
        <v>0</v>
      </c>
      <c r="AS100" s="10">
        <f>'BS Forecasts'!AS$160</f>
        <v>0</v>
      </c>
      <c r="AT100" s="10">
        <f>'BS Forecasts'!AT$160</f>
        <v>0</v>
      </c>
      <c r="AU100" s="10">
        <f>'BS Forecasts'!AU$160</f>
        <v>0</v>
      </c>
      <c r="AV100" s="10">
        <f>'BS Forecasts'!AV$160</f>
        <v>0</v>
      </c>
      <c r="AW100" s="10">
        <f>'BS Forecasts'!AW$160</f>
        <v>0</v>
      </c>
      <c r="AX100" s="10">
        <f>'BS Forecasts'!AX$160</f>
        <v>0</v>
      </c>
      <c r="AY100" s="10">
        <f>'BS Forecasts'!AY$160</f>
        <v>0</v>
      </c>
      <c r="AZ100" s="10">
        <f>'BS Forecasts'!AZ$160</f>
        <v>0</v>
      </c>
      <c r="BA100" s="10">
        <f>'BS Forecasts'!BA$160</f>
        <v>0</v>
      </c>
      <c r="BB100" s="10">
        <f>'BS Forecasts'!BB$160</f>
        <v>0</v>
      </c>
      <c r="BC100" s="10">
        <f>'BS Forecasts'!BC$160</f>
        <v>0</v>
      </c>
      <c r="BD100" s="10">
        <f>'BS Forecasts'!BD$160</f>
        <v>0</v>
      </c>
      <c r="BE100" s="10">
        <f>'BS Forecasts'!BE$160</f>
        <v>0</v>
      </c>
      <c r="BF100" s="10">
        <f>'BS Forecasts'!BF$160</f>
        <v>0</v>
      </c>
      <c r="BG100" s="10">
        <f>'BS Forecasts'!BG$160</f>
        <v>0</v>
      </c>
      <c r="BH100" s="10">
        <f>'BS Forecasts'!BH$160</f>
        <v>0</v>
      </c>
      <c r="BI100" s="10">
        <f>'BS Forecasts'!BI$160</f>
        <v>0</v>
      </c>
      <c r="BJ100" s="10">
        <f>'BS Forecasts'!BJ$160</f>
        <v>0</v>
      </c>
      <c r="BL100" s="10">
        <f>'BS Forecasts'!BL$160</f>
        <v>0</v>
      </c>
      <c r="BM100" s="10">
        <f>'BS Forecasts'!BM$160</f>
        <v>0</v>
      </c>
      <c r="BN100" s="10">
        <f>'BS Forecasts'!BN$160</f>
        <v>0</v>
      </c>
      <c r="BO100" s="10">
        <f>'BS Forecasts'!BO$160</f>
        <v>0</v>
      </c>
      <c r="BP100" s="10">
        <f>'BS Forecasts'!BP$160</f>
        <v>0</v>
      </c>
      <c r="BQ100" s="10">
        <f>'BS Forecasts'!BQ$160</f>
        <v>0</v>
      </c>
      <c r="BR100" s="10">
        <f>'BS Forecasts'!BR$160</f>
        <v>0</v>
      </c>
      <c r="BS100" s="10">
        <f>'BS Forecasts'!BS$160</f>
        <v>0</v>
      </c>
      <c r="BT100" s="10">
        <f>'BS Forecasts'!BT$160</f>
        <v>0</v>
      </c>
      <c r="BU100" s="10">
        <f>'BS Forecasts'!BU$160</f>
        <v>0</v>
      </c>
      <c r="BV100" s="10">
        <f>'BS Forecasts'!BV$160</f>
        <v>0</v>
      </c>
      <c r="BW100" s="10">
        <f>'BS Forecasts'!BW$160</f>
        <v>0</v>
      </c>
      <c r="BY100" s="42"/>
      <c r="CB100" s="335"/>
      <c r="CC100" s="126">
        <f t="shared" si="75"/>
        <v>0</v>
      </c>
      <c r="CD100" s="126">
        <f t="shared" si="76"/>
        <v>0</v>
      </c>
      <c r="CE100" s="126">
        <f t="shared" si="95"/>
        <v>0</v>
      </c>
      <c r="CF100" s="42"/>
      <c r="CG100" s="352">
        <f t="shared" si="96"/>
        <v>0</v>
      </c>
      <c r="CH100" s="352">
        <f t="shared" si="97"/>
        <v>0</v>
      </c>
      <c r="CI100" s="352">
        <f t="shared" si="98"/>
        <v>0</v>
      </c>
      <c r="CJ100" s="352">
        <f t="shared" si="99"/>
        <v>0</v>
      </c>
      <c r="CK100" s="352">
        <f t="shared" si="100"/>
        <v>0</v>
      </c>
      <c r="CL100" s="352">
        <f t="shared" si="101"/>
        <v>0</v>
      </c>
      <c r="CM100" s="352">
        <f t="shared" si="102"/>
        <v>0</v>
      </c>
      <c r="EX100" s="10" t="str">
        <f t="shared" ca="1" si="84"/>
        <v>AEB Clawback</v>
      </c>
    </row>
    <row r="101" spans="1:154" x14ac:dyDescent="0.25">
      <c r="A101" s="362" cm="1">
        <f t="array" aca="1" ref="A101" ca="1">HYPERLINK(CONCATENATE("#",CELL("address",IF(SUM($BY101:$CF101)=0,A101,INDEX($BY101:$CF101,MATCH(1,$BY101:$CF101,0))))),SUM($BY101:$CF101))</f>
        <v>0</v>
      </c>
      <c r="B101" s="93"/>
      <c r="C101" s="343" t="str">
        <f>'BS Forecasts'!C$163</f>
        <v>B-3m-CB</v>
      </c>
      <c r="D101" s="560" t="str" cm="1">
        <f t="array" aca="1" ref="D101" ca="1">HYPERLINK(CONCATENATE("#",CELL("address",'BS Forecasts'!$D$163)),'BS Forecasts'!$D$162)</f>
        <v>Deferred Income</v>
      </c>
      <c r="J101" s="335"/>
      <c r="Q101" s="335"/>
      <c r="R101" s="335"/>
      <c r="S101" s="280"/>
      <c r="T101" s="335"/>
      <c r="U101" s="335"/>
      <c r="V101" s="10">
        <f>'BS Forecasts'!V$163</f>
        <v>86</v>
      </c>
      <c r="W101" s="10">
        <f>'BS Forecasts'!W$163</f>
        <v>0</v>
      </c>
      <c r="X101" s="10">
        <f>'BS Forecasts'!X$163</f>
        <v>0</v>
      </c>
      <c r="Y101" s="10">
        <f>'BS Forecasts'!Y$163</f>
        <v>0</v>
      </c>
      <c r="Z101" s="280"/>
      <c r="AA101" s="10">
        <f>'BS Forecasts'!AA$163</f>
        <v>0</v>
      </c>
      <c r="AB101" s="10">
        <f>'BS Forecasts'!AB$163</f>
        <v>0</v>
      </c>
      <c r="AC101" s="10">
        <f>'BS Forecasts'!AC$163</f>
        <v>0</v>
      </c>
      <c r="AD101" s="10">
        <f>'BS Forecasts'!AD$163</f>
        <v>0</v>
      </c>
      <c r="AE101" s="10">
        <f>'BS Forecasts'!AE$163</f>
        <v>0</v>
      </c>
      <c r="AF101" s="10">
        <f>'BS Forecasts'!AF$163</f>
        <v>0</v>
      </c>
      <c r="AG101" s="10">
        <f>'BS Forecasts'!AG$163</f>
        <v>0</v>
      </c>
      <c r="AH101" s="10">
        <f>'BS Forecasts'!AH$163</f>
        <v>0</v>
      </c>
      <c r="AI101" s="10">
        <f>'BS Forecasts'!AI$163</f>
        <v>0</v>
      </c>
      <c r="AJ101" s="10">
        <f>'BS Forecasts'!AJ$163</f>
        <v>0</v>
      </c>
      <c r="AK101" s="10">
        <f>'BS Forecasts'!AK$163</f>
        <v>0</v>
      </c>
      <c r="AL101" s="10">
        <f>'BS Forecasts'!AL$163</f>
        <v>0</v>
      </c>
      <c r="AM101" s="10">
        <f>'BS Forecasts'!AM$163</f>
        <v>0</v>
      </c>
      <c r="AN101" s="10">
        <f>'BS Forecasts'!AN$163</f>
        <v>0</v>
      </c>
      <c r="AO101" s="10">
        <f>'BS Forecasts'!AO$163</f>
        <v>0</v>
      </c>
      <c r="AP101" s="10">
        <f>'BS Forecasts'!AP$163</f>
        <v>0</v>
      </c>
      <c r="AQ101" s="10">
        <f>'BS Forecasts'!AQ$163</f>
        <v>0</v>
      </c>
      <c r="AR101" s="10">
        <f>'BS Forecasts'!AR$163</f>
        <v>0</v>
      </c>
      <c r="AS101" s="10">
        <f>'BS Forecasts'!AS$163</f>
        <v>0</v>
      </c>
      <c r="AT101" s="10">
        <f>'BS Forecasts'!AT$163</f>
        <v>0</v>
      </c>
      <c r="AU101" s="10">
        <f>'BS Forecasts'!AU$163</f>
        <v>0</v>
      </c>
      <c r="AV101" s="10">
        <f>'BS Forecasts'!AV$163</f>
        <v>0</v>
      </c>
      <c r="AW101" s="10">
        <f>'BS Forecasts'!AW$163</f>
        <v>0</v>
      </c>
      <c r="AX101" s="10">
        <f>'BS Forecasts'!AX$163</f>
        <v>0</v>
      </c>
      <c r="AY101" s="10">
        <f>'BS Forecasts'!AY$163</f>
        <v>0</v>
      </c>
      <c r="AZ101" s="10">
        <f>'BS Forecasts'!AZ$163</f>
        <v>0</v>
      </c>
      <c r="BA101" s="10">
        <f>'BS Forecasts'!BA$163</f>
        <v>0</v>
      </c>
      <c r="BB101" s="10">
        <f>'BS Forecasts'!BB$163</f>
        <v>0</v>
      </c>
      <c r="BC101" s="10">
        <f>'BS Forecasts'!BC$163</f>
        <v>0</v>
      </c>
      <c r="BD101" s="10">
        <f>'BS Forecasts'!BD$163</f>
        <v>0</v>
      </c>
      <c r="BE101" s="10">
        <f>'BS Forecasts'!BE$163</f>
        <v>0</v>
      </c>
      <c r="BF101" s="10">
        <f>'BS Forecasts'!BF$163</f>
        <v>0</v>
      </c>
      <c r="BG101" s="10">
        <f>'BS Forecasts'!BG$163</f>
        <v>0</v>
      </c>
      <c r="BH101" s="10">
        <f>'BS Forecasts'!BH$163</f>
        <v>0</v>
      </c>
      <c r="BI101" s="10">
        <f>'BS Forecasts'!BI$163</f>
        <v>0</v>
      </c>
      <c r="BJ101" s="10">
        <f>'BS Forecasts'!BJ$163</f>
        <v>0</v>
      </c>
      <c r="BK101" s="280"/>
      <c r="BL101" s="10">
        <f>'BS Forecasts'!BL$163</f>
        <v>86</v>
      </c>
      <c r="BM101" s="10">
        <f>'BS Forecasts'!BM$163</f>
        <v>0</v>
      </c>
      <c r="BN101" s="10">
        <f>'BS Forecasts'!BN$163</f>
        <v>0</v>
      </c>
      <c r="BO101" s="10">
        <f>'BS Forecasts'!BO$163</f>
        <v>0</v>
      </c>
      <c r="BP101" s="10">
        <f>'BS Forecasts'!BP$163</f>
        <v>0</v>
      </c>
      <c r="BQ101" s="10">
        <f>'BS Forecasts'!BQ$163</f>
        <v>0</v>
      </c>
      <c r="BR101" s="10">
        <f>'BS Forecasts'!BR$163</f>
        <v>0</v>
      </c>
      <c r="BS101" s="10">
        <f>'BS Forecasts'!BS$163</f>
        <v>0</v>
      </c>
      <c r="BT101" s="10">
        <f>'BS Forecasts'!BT$163</f>
        <v>0</v>
      </c>
      <c r="BU101" s="10">
        <f>'BS Forecasts'!BU$163</f>
        <v>0</v>
      </c>
      <c r="BV101" s="10">
        <f>'BS Forecasts'!BV$163</f>
        <v>0</v>
      </c>
      <c r="BW101" s="10">
        <f>'BS Forecasts'!BW$163</f>
        <v>0</v>
      </c>
      <c r="BY101" s="42"/>
      <c r="CC101" s="126">
        <f t="shared" si="75"/>
        <v>0</v>
      </c>
      <c r="CD101" s="126">
        <f t="shared" si="76"/>
        <v>0</v>
      </c>
      <c r="CE101" s="126">
        <f t="shared" si="95"/>
        <v>0</v>
      </c>
      <c r="CF101" s="42"/>
      <c r="CG101" s="352">
        <f t="shared" si="96"/>
        <v>0</v>
      </c>
      <c r="CH101" s="352">
        <f t="shared" si="97"/>
        <v>0</v>
      </c>
      <c r="CI101" s="352">
        <f t="shared" si="98"/>
        <v>0</v>
      </c>
      <c r="CJ101" s="352">
        <f t="shared" si="99"/>
        <v>0</v>
      </c>
      <c r="CK101" s="352">
        <f t="shared" si="100"/>
        <v>0</v>
      </c>
      <c r="CL101" s="352">
        <f t="shared" si="101"/>
        <v>0</v>
      </c>
      <c r="CM101" s="352">
        <f t="shared" si="102"/>
        <v>0</v>
      </c>
      <c r="EX101" s="10" t="str">
        <f t="shared" ca="1" si="84"/>
        <v>Deferred Income</v>
      </c>
    </row>
    <row r="102" spans="1:154" x14ac:dyDescent="0.25">
      <c r="A102" s="362" cm="1">
        <f t="array" aca="1" ref="A102" ca="1">HYPERLINK(CONCATENATE("#",CELL("address",IF(SUM($BY102:$CF102)=0,A102,INDEX($BY102:$CF102,MATCH(1,$BY102:$CF102,0))))),SUM($BY102:$CF102))</f>
        <v>0</v>
      </c>
      <c r="B102" s="93"/>
      <c r="C102" s="343" t="str">
        <f>'BS Forecasts'!C$166</f>
        <v>B-3n-CB</v>
      </c>
      <c r="D102" s="562" t="str" cm="1">
        <f t="array" aca="1" ref="D102" ca="1">HYPERLINK(CONCATENATE("#",CELL("address",'BS Forecasts'!$D$166)),'BS Forecasts'!$D$165)</f>
        <v>Accruals</v>
      </c>
      <c r="J102" s="335"/>
      <c r="Q102" s="335"/>
      <c r="R102" s="335"/>
      <c r="S102" s="280"/>
      <c r="T102" s="335"/>
      <c r="U102" s="335"/>
      <c r="V102" s="10">
        <f>'BS Forecasts'!V$166</f>
        <v>526</v>
      </c>
      <c r="W102" s="10">
        <f>'BS Forecasts'!W$166</f>
        <v>500</v>
      </c>
      <c r="X102" s="10">
        <f>'BS Forecasts'!X$166</f>
        <v>511</v>
      </c>
      <c r="Y102" s="10">
        <f>'BS Forecasts'!Y$166</f>
        <v>450</v>
      </c>
      <c r="Z102" s="280"/>
      <c r="AA102" s="10">
        <f>'BS Forecasts'!AA$166</f>
        <v>500</v>
      </c>
      <c r="AB102" s="10">
        <f>'BS Forecasts'!AB$166</f>
        <v>500</v>
      </c>
      <c r="AC102" s="10">
        <f>'BS Forecasts'!AC$166</f>
        <v>500</v>
      </c>
      <c r="AD102" s="10">
        <f>'BS Forecasts'!AD$166</f>
        <v>500</v>
      </c>
      <c r="AE102" s="10">
        <f>'BS Forecasts'!AE$166</f>
        <v>500</v>
      </c>
      <c r="AF102" s="10">
        <f>'BS Forecasts'!AF$166</f>
        <v>500</v>
      </c>
      <c r="AG102" s="10">
        <f>'BS Forecasts'!AG$166</f>
        <v>500</v>
      </c>
      <c r="AH102" s="10">
        <f>'BS Forecasts'!AH$166</f>
        <v>500</v>
      </c>
      <c r="AI102" s="10">
        <f>'BS Forecasts'!AI$166</f>
        <v>500</v>
      </c>
      <c r="AJ102" s="10">
        <f>'BS Forecasts'!AJ$166</f>
        <v>500</v>
      </c>
      <c r="AK102" s="10">
        <f>'BS Forecasts'!AK$166</f>
        <v>500</v>
      </c>
      <c r="AL102" s="10">
        <f>'BS Forecasts'!AL$166</f>
        <v>500</v>
      </c>
      <c r="AM102" s="10">
        <f>'BS Forecasts'!AM$166</f>
        <v>500</v>
      </c>
      <c r="AN102" s="10">
        <f>'BS Forecasts'!AN$166</f>
        <v>500</v>
      </c>
      <c r="AO102" s="10">
        <f>'BS Forecasts'!AO$166</f>
        <v>500</v>
      </c>
      <c r="AP102" s="10">
        <f>'BS Forecasts'!AP$166</f>
        <v>500</v>
      </c>
      <c r="AQ102" s="10">
        <f>'BS Forecasts'!AQ$166</f>
        <v>500</v>
      </c>
      <c r="AR102" s="10">
        <f>'BS Forecasts'!AR$166</f>
        <v>500</v>
      </c>
      <c r="AS102" s="10">
        <f>'BS Forecasts'!AS$166</f>
        <v>500</v>
      </c>
      <c r="AT102" s="10">
        <f>'BS Forecasts'!AT$166</f>
        <v>500</v>
      </c>
      <c r="AU102" s="10">
        <f>'BS Forecasts'!AU$166</f>
        <v>500</v>
      </c>
      <c r="AV102" s="10">
        <f>'BS Forecasts'!AV$166</f>
        <v>500</v>
      </c>
      <c r="AW102" s="10">
        <f>'BS Forecasts'!AW$166</f>
        <v>500</v>
      </c>
      <c r="AX102" s="10">
        <f>'BS Forecasts'!AX$166</f>
        <v>511</v>
      </c>
      <c r="AY102" s="10">
        <f>'BS Forecasts'!AY$166</f>
        <v>450</v>
      </c>
      <c r="AZ102" s="10">
        <f>'BS Forecasts'!AZ$166</f>
        <v>450</v>
      </c>
      <c r="BA102" s="10">
        <f>'BS Forecasts'!BA$166</f>
        <v>450</v>
      </c>
      <c r="BB102" s="10">
        <f>'BS Forecasts'!BB$166</f>
        <v>450</v>
      </c>
      <c r="BC102" s="10">
        <f>'BS Forecasts'!BC$166</f>
        <v>450</v>
      </c>
      <c r="BD102" s="10">
        <f>'BS Forecasts'!BD$166</f>
        <v>450</v>
      </c>
      <c r="BE102" s="10">
        <f>'BS Forecasts'!BE$166</f>
        <v>450</v>
      </c>
      <c r="BF102" s="10">
        <f>'BS Forecasts'!BF$166</f>
        <v>450</v>
      </c>
      <c r="BG102" s="10">
        <f>'BS Forecasts'!BG$166</f>
        <v>450</v>
      </c>
      <c r="BH102" s="10">
        <f>'BS Forecasts'!BH$166</f>
        <v>450</v>
      </c>
      <c r="BI102" s="10">
        <f>'BS Forecasts'!BI$166</f>
        <v>450</v>
      </c>
      <c r="BJ102" s="10">
        <f>'BS Forecasts'!BJ$166</f>
        <v>450</v>
      </c>
      <c r="BK102" s="280"/>
      <c r="BL102" s="10">
        <f>'BS Forecasts'!BL$166</f>
        <v>526</v>
      </c>
      <c r="BM102" s="10">
        <f>'BS Forecasts'!BM$166</f>
        <v>500</v>
      </c>
      <c r="BN102" s="10">
        <f>'BS Forecasts'!BN$166</f>
        <v>511</v>
      </c>
      <c r="BO102" s="10">
        <f>'BS Forecasts'!BO$166</f>
        <v>450</v>
      </c>
      <c r="BP102" s="10">
        <f>'BS Forecasts'!BP$166</f>
        <v>0</v>
      </c>
      <c r="BQ102" s="10">
        <f>'BS Forecasts'!BQ$166</f>
        <v>0</v>
      </c>
      <c r="BR102" s="10">
        <f>'BS Forecasts'!BR$166</f>
        <v>0</v>
      </c>
      <c r="BS102" s="10">
        <f>'BS Forecasts'!BS$166</f>
        <v>0</v>
      </c>
      <c r="BT102" s="10">
        <f>'BS Forecasts'!BT$166</f>
        <v>0</v>
      </c>
      <c r="BU102" s="10">
        <f>'BS Forecasts'!BU$166</f>
        <v>0</v>
      </c>
      <c r="BV102" s="10">
        <f>'BS Forecasts'!BV$166</f>
        <v>0</v>
      </c>
      <c r="BW102" s="10">
        <f>'BS Forecasts'!BW$166</f>
        <v>0</v>
      </c>
      <c r="BY102" s="42"/>
      <c r="CC102" s="126">
        <f t="shared" si="75"/>
        <v>0</v>
      </c>
      <c r="CD102" s="126">
        <f t="shared" si="76"/>
        <v>0</v>
      </c>
      <c r="CE102" s="126">
        <f t="shared" si="95"/>
        <v>0</v>
      </c>
      <c r="CF102" s="42"/>
      <c r="CG102" s="352">
        <f t="shared" si="96"/>
        <v>0</v>
      </c>
      <c r="CH102" s="352">
        <f t="shared" si="97"/>
        <v>0</v>
      </c>
      <c r="CI102" s="352">
        <f t="shared" si="98"/>
        <v>0</v>
      </c>
      <c r="CJ102" s="352">
        <f t="shared" si="99"/>
        <v>0</v>
      </c>
      <c r="CK102" s="352">
        <f t="shared" si="100"/>
        <v>0</v>
      </c>
      <c r="CL102" s="352">
        <f t="shared" si="101"/>
        <v>0</v>
      </c>
      <c r="CM102" s="352">
        <f t="shared" si="102"/>
        <v>0</v>
      </c>
      <c r="EX102" s="10" t="str">
        <f t="shared" ca="1" si="84"/>
        <v>Accruals</v>
      </c>
    </row>
    <row r="103" spans="1:154" x14ac:dyDescent="0.25">
      <c r="A103" s="362" cm="1">
        <f t="array" aca="1" ref="A103" ca="1">HYPERLINK(CONCATENATE("#",CELL("address",IF(SUM($BY103:$CF103)=0,A103,INDEX($BY103:$CF103,MATCH(1,$BY103:$CF103,0))))),SUM($BY103:$CF103))</f>
        <v>0</v>
      </c>
      <c r="B103" s="93"/>
      <c r="C103" s="343" t="str">
        <f>'BS Forecasts'!C$169</f>
        <v>B-3o-CB</v>
      </c>
      <c r="D103" s="560" t="str" cm="1">
        <f t="array" aca="1" ref="D103" ca="1">HYPERLINK(CONCATENATE("#",CELL("address",'BS Forecasts'!$D$169)),'BS Forecasts'!$D$168)</f>
        <v>Holiday and Sabbatical Pay Accrual</v>
      </c>
      <c r="J103" s="335"/>
      <c r="Q103" s="335"/>
      <c r="R103" s="335"/>
      <c r="S103" s="280"/>
      <c r="T103" s="335"/>
      <c r="U103" s="335"/>
      <c r="V103" s="10">
        <f>'BS Forecasts'!V$169</f>
        <v>0</v>
      </c>
      <c r="W103" s="10">
        <f>'BS Forecasts'!W$169</f>
        <v>0</v>
      </c>
      <c r="X103" s="10">
        <f>'BS Forecasts'!X$169</f>
        <v>0</v>
      </c>
      <c r="Y103" s="10">
        <f>'BS Forecasts'!Y$169</f>
        <v>0</v>
      </c>
      <c r="Z103" s="280"/>
      <c r="AA103" s="10">
        <f>'BS Forecasts'!AA$169</f>
        <v>0</v>
      </c>
      <c r="AB103" s="10">
        <f>'BS Forecasts'!AB$169</f>
        <v>0</v>
      </c>
      <c r="AC103" s="10">
        <f>'BS Forecasts'!AC$169</f>
        <v>0</v>
      </c>
      <c r="AD103" s="10">
        <f>'BS Forecasts'!AD$169</f>
        <v>0</v>
      </c>
      <c r="AE103" s="10">
        <f>'BS Forecasts'!AE$169</f>
        <v>0</v>
      </c>
      <c r="AF103" s="10">
        <f>'BS Forecasts'!AF$169</f>
        <v>0</v>
      </c>
      <c r="AG103" s="10">
        <f>'BS Forecasts'!AG$169</f>
        <v>0</v>
      </c>
      <c r="AH103" s="10">
        <f>'BS Forecasts'!AH$169</f>
        <v>0</v>
      </c>
      <c r="AI103" s="10">
        <f>'BS Forecasts'!AI$169</f>
        <v>0</v>
      </c>
      <c r="AJ103" s="10">
        <f>'BS Forecasts'!AJ$169</f>
        <v>0</v>
      </c>
      <c r="AK103" s="10">
        <f>'BS Forecasts'!AK$169</f>
        <v>0</v>
      </c>
      <c r="AL103" s="10">
        <f>'BS Forecasts'!AL$169</f>
        <v>0</v>
      </c>
      <c r="AM103" s="10">
        <f>'BS Forecasts'!AM$169</f>
        <v>0</v>
      </c>
      <c r="AN103" s="10">
        <f>'BS Forecasts'!AN$169</f>
        <v>0</v>
      </c>
      <c r="AO103" s="10">
        <f>'BS Forecasts'!AO$169</f>
        <v>0</v>
      </c>
      <c r="AP103" s="10">
        <f>'BS Forecasts'!AP$169</f>
        <v>0</v>
      </c>
      <c r="AQ103" s="10">
        <f>'BS Forecasts'!AQ$169</f>
        <v>0</v>
      </c>
      <c r="AR103" s="10">
        <f>'BS Forecasts'!AR$169</f>
        <v>0</v>
      </c>
      <c r="AS103" s="10">
        <f>'BS Forecasts'!AS$169</f>
        <v>0</v>
      </c>
      <c r="AT103" s="10">
        <f>'BS Forecasts'!AT$169</f>
        <v>0</v>
      </c>
      <c r="AU103" s="10">
        <f>'BS Forecasts'!AU$169</f>
        <v>0</v>
      </c>
      <c r="AV103" s="10">
        <f>'BS Forecasts'!AV$169</f>
        <v>0</v>
      </c>
      <c r="AW103" s="10">
        <f>'BS Forecasts'!AW$169</f>
        <v>0</v>
      </c>
      <c r="AX103" s="10">
        <f>'BS Forecasts'!AX$169</f>
        <v>0</v>
      </c>
      <c r="AY103" s="10">
        <f>'BS Forecasts'!AY$169</f>
        <v>0</v>
      </c>
      <c r="AZ103" s="10">
        <f>'BS Forecasts'!AZ$169</f>
        <v>0</v>
      </c>
      <c r="BA103" s="10">
        <f>'BS Forecasts'!BA$169</f>
        <v>0</v>
      </c>
      <c r="BB103" s="10">
        <f>'BS Forecasts'!BB$169</f>
        <v>0</v>
      </c>
      <c r="BC103" s="10">
        <f>'BS Forecasts'!BC$169</f>
        <v>0</v>
      </c>
      <c r="BD103" s="10">
        <f>'BS Forecasts'!BD$169</f>
        <v>0</v>
      </c>
      <c r="BE103" s="10">
        <f>'BS Forecasts'!BE$169</f>
        <v>0</v>
      </c>
      <c r="BF103" s="10">
        <f>'BS Forecasts'!BF$169</f>
        <v>0</v>
      </c>
      <c r="BG103" s="10">
        <f>'BS Forecasts'!BG$169</f>
        <v>0</v>
      </c>
      <c r="BH103" s="10">
        <f>'BS Forecasts'!BH$169</f>
        <v>0</v>
      </c>
      <c r="BI103" s="10">
        <f>'BS Forecasts'!BI$169</f>
        <v>0</v>
      </c>
      <c r="BJ103" s="10">
        <f>'BS Forecasts'!BJ$169</f>
        <v>0</v>
      </c>
      <c r="BK103" s="280"/>
      <c r="BL103" s="10">
        <f>'BS Forecasts'!BL$169</f>
        <v>0</v>
      </c>
      <c r="BM103" s="10">
        <f>'BS Forecasts'!BM$169</f>
        <v>0</v>
      </c>
      <c r="BN103" s="10">
        <f>'BS Forecasts'!BN$169</f>
        <v>0</v>
      </c>
      <c r="BO103" s="10">
        <f>'BS Forecasts'!BO$169</f>
        <v>0</v>
      </c>
      <c r="BP103" s="10">
        <f>'BS Forecasts'!BP$169</f>
        <v>0</v>
      </c>
      <c r="BQ103" s="10">
        <f>'BS Forecasts'!BQ$169</f>
        <v>0</v>
      </c>
      <c r="BR103" s="10">
        <f>'BS Forecasts'!BR$169</f>
        <v>0</v>
      </c>
      <c r="BS103" s="10">
        <f>'BS Forecasts'!BS$169</f>
        <v>0</v>
      </c>
      <c r="BT103" s="10">
        <f>'BS Forecasts'!BT$169</f>
        <v>0</v>
      </c>
      <c r="BU103" s="10">
        <f>'BS Forecasts'!BU$169</f>
        <v>0</v>
      </c>
      <c r="BV103" s="10">
        <f>'BS Forecasts'!BV$169</f>
        <v>0</v>
      </c>
      <c r="BW103" s="10">
        <f>'BS Forecasts'!BW$169</f>
        <v>0</v>
      </c>
      <c r="BY103" s="42"/>
      <c r="CC103" s="126">
        <f t="shared" si="75"/>
        <v>0</v>
      </c>
      <c r="CD103" s="126">
        <f t="shared" si="76"/>
        <v>0</v>
      </c>
      <c r="CE103" s="126">
        <f t="shared" si="95"/>
        <v>0</v>
      </c>
      <c r="CF103" s="42"/>
      <c r="CG103" s="352">
        <f t="shared" si="96"/>
        <v>0</v>
      </c>
      <c r="CH103" s="352">
        <f t="shared" si="97"/>
        <v>0</v>
      </c>
      <c r="CI103" s="352">
        <f t="shared" si="98"/>
        <v>0</v>
      </c>
      <c r="CJ103" s="352">
        <f t="shared" si="99"/>
        <v>0</v>
      </c>
      <c r="CK103" s="352">
        <f t="shared" si="100"/>
        <v>0</v>
      </c>
      <c r="CL103" s="352">
        <f t="shared" si="101"/>
        <v>0</v>
      </c>
      <c r="CM103" s="352">
        <f t="shared" si="102"/>
        <v>0</v>
      </c>
      <c r="EX103" s="10" t="str">
        <f t="shared" ca="1" si="84"/>
        <v>Holiday and Sabbatical Pay Accrual</v>
      </c>
    </row>
    <row r="104" spans="1:154" x14ac:dyDescent="0.25">
      <c r="A104" s="362" cm="1">
        <f t="array" aca="1" ref="A104" ca="1">HYPERLINK(CONCATENATE("#",CELL("address",IF(SUM($BY104:$CF104)=0,A104,INDEX($BY104:$CF104,MATCH(1,$BY104:$CF104,0))))),SUM($BY104:$CF104))</f>
        <v>0</v>
      </c>
      <c r="B104" s="93"/>
      <c r="C104" s="343" t="str">
        <f>'BS Forecasts'!C$172</f>
        <v>B-3p-CB</v>
      </c>
      <c r="D104" s="560" t="str" cm="1">
        <f t="array" aca="1" ref="D104" ca="1">HYPERLINK(CONCATENATE("#",CELL("address",'BS Forecasts'!$D$172)),'BS Forecasts'!$D$171)</f>
        <v>Bursary Deferred Income Account</v>
      </c>
      <c r="J104" s="335"/>
      <c r="Q104" s="335"/>
      <c r="R104" s="335"/>
      <c r="S104" s="280"/>
      <c r="T104" s="335"/>
      <c r="U104" s="335"/>
      <c r="V104" s="10">
        <f>'BS Forecasts'!V$172</f>
        <v>0</v>
      </c>
      <c r="W104" s="10">
        <f>'BS Forecasts'!W$172</f>
        <v>0</v>
      </c>
      <c r="X104" s="10">
        <f>'BS Forecasts'!X$172</f>
        <v>0</v>
      </c>
      <c r="Y104" s="10">
        <f>'BS Forecasts'!Y$172</f>
        <v>0</v>
      </c>
      <c r="Z104" s="280"/>
      <c r="AA104" s="10">
        <f>'BS Forecasts'!AA$172</f>
        <v>0</v>
      </c>
      <c r="AB104" s="10">
        <f>'BS Forecasts'!AB$172</f>
        <v>0</v>
      </c>
      <c r="AC104" s="10">
        <f>'BS Forecasts'!AC$172</f>
        <v>0</v>
      </c>
      <c r="AD104" s="10">
        <f>'BS Forecasts'!AD$172</f>
        <v>0</v>
      </c>
      <c r="AE104" s="10">
        <f>'BS Forecasts'!AE$172</f>
        <v>0</v>
      </c>
      <c r="AF104" s="10">
        <f>'BS Forecasts'!AF$172</f>
        <v>0</v>
      </c>
      <c r="AG104" s="10">
        <f>'BS Forecasts'!AG$172</f>
        <v>0</v>
      </c>
      <c r="AH104" s="10">
        <f>'BS Forecasts'!AH$172</f>
        <v>0</v>
      </c>
      <c r="AI104" s="10">
        <f>'BS Forecasts'!AI$172</f>
        <v>0</v>
      </c>
      <c r="AJ104" s="10">
        <f>'BS Forecasts'!AJ$172</f>
        <v>0</v>
      </c>
      <c r="AK104" s="10">
        <f>'BS Forecasts'!AK$172</f>
        <v>0</v>
      </c>
      <c r="AL104" s="10">
        <f>'BS Forecasts'!AL$172</f>
        <v>0</v>
      </c>
      <c r="AM104" s="10">
        <f>'BS Forecasts'!AM$172</f>
        <v>0</v>
      </c>
      <c r="AN104" s="10">
        <f>'BS Forecasts'!AN$172</f>
        <v>0</v>
      </c>
      <c r="AO104" s="10">
        <f>'BS Forecasts'!AO$172</f>
        <v>0</v>
      </c>
      <c r="AP104" s="10">
        <f>'BS Forecasts'!AP$172</f>
        <v>0</v>
      </c>
      <c r="AQ104" s="10">
        <f>'BS Forecasts'!AQ$172</f>
        <v>0</v>
      </c>
      <c r="AR104" s="10">
        <f>'BS Forecasts'!AR$172</f>
        <v>0</v>
      </c>
      <c r="AS104" s="10">
        <f>'BS Forecasts'!AS$172</f>
        <v>0</v>
      </c>
      <c r="AT104" s="10">
        <f>'BS Forecasts'!AT$172</f>
        <v>0</v>
      </c>
      <c r="AU104" s="10">
        <f>'BS Forecasts'!AU$172</f>
        <v>0</v>
      </c>
      <c r="AV104" s="10">
        <f>'BS Forecasts'!AV$172</f>
        <v>0</v>
      </c>
      <c r="AW104" s="10">
        <f>'BS Forecasts'!AW$172</f>
        <v>0</v>
      </c>
      <c r="AX104" s="10">
        <f>'BS Forecasts'!AX$172</f>
        <v>0</v>
      </c>
      <c r="AY104" s="10">
        <f>'BS Forecasts'!AY$172</f>
        <v>0</v>
      </c>
      <c r="AZ104" s="10">
        <f>'BS Forecasts'!AZ$172</f>
        <v>0</v>
      </c>
      <c r="BA104" s="10">
        <f>'BS Forecasts'!BA$172</f>
        <v>0</v>
      </c>
      <c r="BB104" s="10">
        <f>'BS Forecasts'!BB$172</f>
        <v>0</v>
      </c>
      <c r="BC104" s="10">
        <f>'BS Forecasts'!BC$172</f>
        <v>0</v>
      </c>
      <c r="BD104" s="10">
        <f>'BS Forecasts'!BD$172</f>
        <v>0</v>
      </c>
      <c r="BE104" s="10">
        <f>'BS Forecasts'!BE$172</f>
        <v>0</v>
      </c>
      <c r="BF104" s="10">
        <f>'BS Forecasts'!BF$172</f>
        <v>0</v>
      </c>
      <c r="BG104" s="10">
        <f>'BS Forecasts'!BG$172</f>
        <v>0</v>
      </c>
      <c r="BH104" s="10">
        <f>'BS Forecasts'!BH$172</f>
        <v>0</v>
      </c>
      <c r="BI104" s="10">
        <f>'BS Forecasts'!BI$172</f>
        <v>0</v>
      </c>
      <c r="BJ104" s="10">
        <f>'BS Forecasts'!BJ$172</f>
        <v>0</v>
      </c>
      <c r="BK104" s="280"/>
      <c r="BL104" s="10">
        <f>'BS Forecasts'!BL$172</f>
        <v>0</v>
      </c>
      <c r="BM104" s="10">
        <f>'BS Forecasts'!BM$172</f>
        <v>0</v>
      </c>
      <c r="BN104" s="10">
        <f>'BS Forecasts'!BN$172</f>
        <v>0</v>
      </c>
      <c r="BO104" s="10">
        <f>'BS Forecasts'!BO$172</f>
        <v>0</v>
      </c>
      <c r="BP104" s="10">
        <f>'BS Forecasts'!BP$172</f>
        <v>0</v>
      </c>
      <c r="BQ104" s="10">
        <f>'BS Forecasts'!BQ$172</f>
        <v>0</v>
      </c>
      <c r="BR104" s="10">
        <f>'BS Forecasts'!BR$172</f>
        <v>0</v>
      </c>
      <c r="BS104" s="10">
        <f>'BS Forecasts'!BS$172</f>
        <v>0</v>
      </c>
      <c r="BT104" s="10">
        <f>'BS Forecasts'!BT$172</f>
        <v>0</v>
      </c>
      <c r="BU104" s="10">
        <f>'BS Forecasts'!BU$172</f>
        <v>0</v>
      </c>
      <c r="BV104" s="10">
        <f>'BS Forecasts'!BV$172</f>
        <v>0</v>
      </c>
      <c r="BW104" s="10">
        <f>'BS Forecasts'!BW$172</f>
        <v>0</v>
      </c>
      <c r="BY104" s="42"/>
      <c r="CC104" s="126">
        <f t="shared" si="75"/>
        <v>0</v>
      </c>
      <c r="CD104" s="126">
        <f t="shared" si="76"/>
        <v>0</v>
      </c>
      <c r="CE104" s="126">
        <f t="shared" si="95"/>
        <v>0</v>
      </c>
      <c r="CF104" s="42"/>
      <c r="CG104" s="352">
        <f t="shared" si="96"/>
        <v>0</v>
      </c>
      <c r="CH104" s="352">
        <f t="shared" si="97"/>
        <v>0</v>
      </c>
      <c r="CI104" s="352">
        <f t="shared" si="98"/>
        <v>0</v>
      </c>
      <c r="CJ104" s="352">
        <f t="shared" si="99"/>
        <v>0</v>
      </c>
      <c r="CK104" s="352">
        <f t="shared" si="100"/>
        <v>0</v>
      </c>
      <c r="CL104" s="352">
        <f t="shared" si="101"/>
        <v>0</v>
      </c>
      <c r="CM104" s="352">
        <f t="shared" si="102"/>
        <v>0</v>
      </c>
      <c r="EX104" s="10" t="str">
        <f t="shared" ca="1" si="84"/>
        <v>Bursary Deferred Income Account</v>
      </c>
    </row>
    <row r="105" spans="1:154" x14ac:dyDescent="0.25">
      <c r="A105" s="362" cm="1">
        <f t="array" aca="1" ref="A105" ca="1">HYPERLINK(CONCATENATE("#",CELL("address",IF(SUM($BY105:$CF105)=0,A105,INDEX($BY105:$CF105,MATCH(1,$BY105:$CF105,0))))),SUM($BY105:$CF105))</f>
        <v>0</v>
      </c>
      <c r="B105" s="93"/>
      <c r="C105" s="343" t="str">
        <f>'BS Forecasts'!C$175</f>
        <v>B-3q-CB</v>
      </c>
      <c r="D105" s="560" t="str" cm="1">
        <f t="array" aca="1" ref="D105" ca="1">HYPERLINK(CONCATENATE("#",CELL("address",'BS Forecasts'!$D$175)),'BS Forecasts'!$D$174)</f>
        <v>Corporation Tax</v>
      </c>
      <c r="J105" s="335"/>
      <c r="Q105" s="335"/>
      <c r="R105" s="335"/>
      <c r="S105" s="280"/>
      <c r="T105" s="335"/>
      <c r="U105" s="335"/>
      <c r="V105" s="10">
        <f>'BS Forecasts'!V$175</f>
        <v>0</v>
      </c>
      <c r="W105" s="10">
        <f>'BS Forecasts'!W$175</f>
        <v>0</v>
      </c>
      <c r="X105" s="10">
        <f>'BS Forecasts'!X$175</f>
        <v>0</v>
      </c>
      <c r="Y105" s="10">
        <f>'BS Forecasts'!Y$175</f>
        <v>0</v>
      </c>
      <c r="Z105" s="280"/>
      <c r="AA105" s="10">
        <f>'BS Forecasts'!AA$175</f>
        <v>0</v>
      </c>
      <c r="AB105" s="10">
        <f>'BS Forecasts'!AB$175</f>
        <v>0</v>
      </c>
      <c r="AC105" s="10">
        <f>'BS Forecasts'!AC$175</f>
        <v>0</v>
      </c>
      <c r="AD105" s="10">
        <f>'BS Forecasts'!AD$175</f>
        <v>0</v>
      </c>
      <c r="AE105" s="10">
        <f>'BS Forecasts'!AE$175</f>
        <v>0</v>
      </c>
      <c r="AF105" s="10">
        <f>'BS Forecasts'!AF$175</f>
        <v>0</v>
      </c>
      <c r="AG105" s="10">
        <f>'BS Forecasts'!AG$175</f>
        <v>0</v>
      </c>
      <c r="AH105" s="10">
        <f>'BS Forecasts'!AH$175</f>
        <v>0</v>
      </c>
      <c r="AI105" s="10">
        <f>'BS Forecasts'!AI$175</f>
        <v>0</v>
      </c>
      <c r="AJ105" s="10">
        <f>'BS Forecasts'!AJ$175</f>
        <v>0</v>
      </c>
      <c r="AK105" s="10">
        <f>'BS Forecasts'!AK$175</f>
        <v>0</v>
      </c>
      <c r="AL105" s="10">
        <f>'BS Forecasts'!AL$175</f>
        <v>0</v>
      </c>
      <c r="AM105" s="10">
        <f>'BS Forecasts'!AM$175</f>
        <v>0</v>
      </c>
      <c r="AN105" s="10">
        <f>'BS Forecasts'!AN$175</f>
        <v>0</v>
      </c>
      <c r="AO105" s="10">
        <f>'BS Forecasts'!AO$175</f>
        <v>0</v>
      </c>
      <c r="AP105" s="10">
        <f>'BS Forecasts'!AP$175</f>
        <v>0</v>
      </c>
      <c r="AQ105" s="10">
        <f>'BS Forecasts'!AQ$175</f>
        <v>0</v>
      </c>
      <c r="AR105" s="10">
        <f>'BS Forecasts'!AR$175</f>
        <v>0</v>
      </c>
      <c r="AS105" s="10">
        <f>'BS Forecasts'!AS$175</f>
        <v>0</v>
      </c>
      <c r="AT105" s="10">
        <f>'BS Forecasts'!AT$175</f>
        <v>0</v>
      </c>
      <c r="AU105" s="10">
        <f>'BS Forecasts'!AU$175</f>
        <v>0</v>
      </c>
      <c r="AV105" s="10">
        <f>'BS Forecasts'!AV$175</f>
        <v>0</v>
      </c>
      <c r="AW105" s="10">
        <f>'BS Forecasts'!AW$175</f>
        <v>0</v>
      </c>
      <c r="AX105" s="10">
        <f>'BS Forecasts'!AX$175</f>
        <v>0</v>
      </c>
      <c r="AY105" s="10">
        <f>'BS Forecasts'!AY$175</f>
        <v>0</v>
      </c>
      <c r="AZ105" s="10">
        <f>'BS Forecasts'!AZ$175</f>
        <v>0</v>
      </c>
      <c r="BA105" s="10">
        <f>'BS Forecasts'!BA$175</f>
        <v>0</v>
      </c>
      <c r="BB105" s="10">
        <f>'BS Forecasts'!BB$175</f>
        <v>0</v>
      </c>
      <c r="BC105" s="10">
        <f>'BS Forecasts'!BC$175</f>
        <v>0</v>
      </c>
      <c r="BD105" s="10">
        <f>'BS Forecasts'!BD$175</f>
        <v>0</v>
      </c>
      <c r="BE105" s="10">
        <f>'BS Forecasts'!BE$175</f>
        <v>0</v>
      </c>
      <c r="BF105" s="10">
        <f>'BS Forecasts'!BF$175</f>
        <v>0</v>
      </c>
      <c r="BG105" s="10">
        <f>'BS Forecasts'!BG$175</f>
        <v>0</v>
      </c>
      <c r="BH105" s="10">
        <f>'BS Forecasts'!BH$175</f>
        <v>0</v>
      </c>
      <c r="BI105" s="10">
        <f>'BS Forecasts'!BI$175</f>
        <v>0</v>
      </c>
      <c r="BJ105" s="10">
        <f>'BS Forecasts'!BJ$175</f>
        <v>0</v>
      </c>
      <c r="BK105" s="280"/>
      <c r="BL105" s="10">
        <f>'BS Forecasts'!BL$175</f>
        <v>0</v>
      </c>
      <c r="BM105" s="10">
        <f>'BS Forecasts'!BM$175</f>
        <v>0</v>
      </c>
      <c r="BN105" s="10">
        <f>'BS Forecasts'!BN$175</f>
        <v>0</v>
      </c>
      <c r="BO105" s="10">
        <f>'BS Forecasts'!BO$175</f>
        <v>0</v>
      </c>
      <c r="BP105" s="10">
        <f>'BS Forecasts'!BP$175</f>
        <v>0</v>
      </c>
      <c r="BQ105" s="10">
        <f>'BS Forecasts'!BQ$175</f>
        <v>0</v>
      </c>
      <c r="BR105" s="10">
        <f>'BS Forecasts'!BR$175</f>
        <v>0</v>
      </c>
      <c r="BS105" s="10">
        <f>'BS Forecasts'!BS$175</f>
        <v>0</v>
      </c>
      <c r="BT105" s="10">
        <f>'BS Forecasts'!BT$175</f>
        <v>0</v>
      </c>
      <c r="BU105" s="10">
        <f>'BS Forecasts'!BU$175</f>
        <v>0</v>
      </c>
      <c r="BV105" s="10">
        <f>'BS Forecasts'!BV$175</f>
        <v>0</v>
      </c>
      <c r="BW105" s="10">
        <f>'BS Forecasts'!BW$175</f>
        <v>0</v>
      </c>
      <c r="BY105" s="42"/>
      <c r="CC105" s="126">
        <f t="shared" si="75"/>
        <v>0</v>
      </c>
      <c r="CD105" s="126">
        <f t="shared" si="76"/>
        <v>0</v>
      </c>
      <c r="CE105" s="126">
        <f t="shared" si="95"/>
        <v>0</v>
      </c>
      <c r="CF105" s="42"/>
      <c r="CG105" s="352">
        <f t="shared" si="96"/>
        <v>0</v>
      </c>
      <c r="CH105" s="352">
        <f t="shared" si="97"/>
        <v>0</v>
      </c>
      <c r="CI105" s="352">
        <f t="shared" si="98"/>
        <v>0</v>
      </c>
      <c r="CJ105" s="352">
        <f t="shared" si="99"/>
        <v>0</v>
      </c>
      <c r="CK105" s="352">
        <f t="shared" si="100"/>
        <v>0</v>
      </c>
      <c r="CL105" s="352">
        <f t="shared" si="101"/>
        <v>0</v>
      </c>
      <c r="CM105" s="352">
        <f t="shared" si="102"/>
        <v>0</v>
      </c>
      <c r="EX105" s="10" t="str">
        <f t="shared" ca="1" si="84"/>
        <v>Corporation Tax</v>
      </c>
    </row>
    <row r="106" spans="1:154" s="335" customFormat="1" x14ac:dyDescent="0.25">
      <c r="A106" s="362" cm="1">
        <f t="array" aca="1" ref="A106" ca="1">HYPERLINK(CONCATENATE("#",CELL("address",IF(SUM($BY106:$CF106)=0,A106,INDEX($BY106:$CF106,MATCH(1,$BY106:$CF106,0))))),SUM($BY106:$CF106))</f>
        <v>0</v>
      </c>
      <c r="B106" s="93"/>
      <c r="C106" s="343" t="str">
        <f>'BS Forecasts'!C$178</f>
        <v>B-3r-CB</v>
      </c>
      <c r="D106" s="560" t="str" cm="1">
        <f t="array" aca="1" ref="D106" ca="1">HYPERLINK(CONCATENATE("#",CELL("address",'BS Forecasts'!$D$178)),'BS Forecasts'!$D$177)</f>
        <v>Other Taxation and Social Security</v>
      </c>
      <c r="E106" s="1"/>
      <c r="V106" s="10">
        <f>'BS Forecasts'!V$178</f>
        <v>571</v>
      </c>
      <c r="W106" s="10">
        <f>'BS Forecasts'!W$178</f>
        <v>600</v>
      </c>
      <c r="X106" s="10">
        <f>'BS Forecasts'!X$178</f>
        <v>610</v>
      </c>
      <c r="Y106" s="10">
        <f>'BS Forecasts'!Y$178</f>
        <v>620</v>
      </c>
      <c r="AA106" s="10">
        <f>'BS Forecasts'!AA$178</f>
        <v>600</v>
      </c>
      <c r="AB106" s="10">
        <f>'BS Forecasts'!AB$178</f>
        <v>600</v>
      </c>
      <c r="AC106" s="10">
        <f>'BS Forecasts'!AC$178</f>
        <v>600</v>
      </c>
      <c r="AD106" s="10">
        <f>'BS Forecasts'!AD$178</f>
        <v>600</v>
      </c>
      <c r="AE106" s="10">
        <f>'BS Forecasts'!AE$178</f>
        <v>600</v>
      </c>
      <c r="AF106" s="10">
        <f>'BS Forecasts'!AF$178</f>
        <v>600</v>
      </c>
      <c r="AG106" s="10">
        <f>'BS Forecasts'!AG$178</f>
        <v>600</v>
      </c>
      <c r="AH106" s="10">
        <f>'BS Forecasts'!AH$178</f>
        <v>600</v>
      </c>
      <c r="AI106" s="10">
        <f>'BS Forecasts'!AI$178</f>
        <v>600</v>
      </c>
      <c r="AJ106" s="10">
        <f>'BS Forecasts'!AJ$178</f>
        <v>600</v>
      </c>
      <c r="AK106" s="10">
        <f>'BS Forecasts'!AK$178</f>
        <v>600</v>
      </c>
      <c r="AL106" s="10">
        <f>'BS Forecasts'!AL$178</f>
        <v>600</v>
      </c>
      <c r="AM106" s="10">
        <f>'BS Forecasts'!AM$178</f>
        <v>610</v>
      </c>
      <c r="AN106" s="10">
        <f>'BS Forecasts'!AN$178</f>
        <v>610</v>
      </c>
      <c r="AO106" s="10">
        <f>'BS Forecasts'!AO$178</f>
        <v>610</v>
      </c>
      <c r="AP106" s="10">
        <f>'BS Forecasts'!AP$178</f>
        <v>610</v>
      </c>
      <c r="AQ106" s="10">
        <f>'BS Forecasts'!AQ$178</f>
        <v>610</v>
      </c>
      <c r="AR106" s="10">
        <f>'BS Forecasts'!AR$178</f>
        <v>610</v>
      </c>
      <c r="AS106" s="10">
        <f>'BS Forecasts'!AS$178</f>
        <v>610</v>
      </c>
      <c r="AT106" s="10">
        <f>'BS Forecasts'!AT$178</f>
        <v>610</v>
      </c>
      <c r="AU106" s="10">
        <f>'BS Forecasts'!AU$178</f>
        <v>610</v>
      </c>
      <c r="AV106" s="10">
        <f>'BS Forecasts'!AV$178</f>
        <v>610</v>
      </c>
      <c r="AW106" s="10">
        <f>'BS Forecasts'!AW$178</f>
        <v>610</v>
      </c>
      <c r="AX106" s="10">
        <f>'BS Forecasts'!AX$178</f>
        <v>610</v>
      </c>
      <c r="AY106" s="10">
        <f>'BS Forecasts'!AY$178</f>
        <v>620</v>
      </c>
      <c r="AZ106" s="10">
        <f>'BS Forecasts'!AZ$178</f>
        <v>620</v>
      </c>
      <c r="BA106" s="10">
        <f>'BS Forecasts'!BA$178</f>
        <v>620</v>
      </c>
      <c r="BB106" s="10">
        <f>'BS Forecasts'!BB$178</f>
        <v>620</v>
      </c>
      <c r="BC106" s="10">
        <f>'BS Forecasts'!BC$178</f>
        <v>620</v>
      </c>
      <c r="BD106" s="10">
        <f>'BS Forecasts'!BD$178</f>
        <v>620</v>
      </c>
      <c r="BE106" s="10">
        <f>'BS Forecasts'!BE$178</f>
        <v>620</v>
      </c>
      <c r="BF106" s="10">
        <f>'BS Forecasts'!BF$178</f>
        <v>620</v>
      </c>
      <c r="BG106" s="10">
        <f>'BS Forecasts'!BG$178</f>
        <v>620</v>
      </c>
      <c r="BH106" s="10">
        <f>'BS Forecasts'!BH$178</f>
        <v>620</v>
      </c>
      <c r="BI106" s="10">
        <f>'BS Forecasts'!BI$178</f>
        <v>620</v>
      </c>
      <c r="BJ106" s="10">
        <f>'BS Forecasts'!BJ$178</f>
        <v>620</v>
      </c>
      <c r="BL106" s="10">
        <f>'BS Forecasts'!BL$178</f>
        <v>571</v>
      </c>
      <c r="BM106" s="10">
        <f>'BS Forecasts'!BM$178</f>
        <v>600</v>
      </c>
      <c r="BN106" s="10">
        <f>'BS Forecasts'!BN$178</f>
        <v>610</v>
      </c>
      <c r="BO106" s="10">
        <f>'BS Forecasts'!BO$178</f>
        <v>620</v>
      </c>
      <c r="BP106" s="10">
        <f>'BS Forecasts'!BP$178</f>
        <v>0</v>
      </c>
      <c r="BQ106" s="10">
        <f>'BS Forecasts'!BQ$178</f>
        <v>0</v>
      </c>
      <c r="BR106" s="10">
        <f>'BS Forecasts'!BR$178</f>
        <v>0</v>
      </c>
      <c r="BS106" s="10">
        <f>'BS Forecasts'!BS$178</f>
        <v>0</v>
      </c>
      <c r="BT106" s="10">
        <f>'BS Forecasts'!BT$178</f>
        <v>0</v>
      </c>
      <c r="BU106" s="10">
        <f>'BS Forecasts'!BU$178</f>
        <v>0</v>
      </c>
      <c r="BV106" s="10">
        <f>'BS Forecasts'!BV$178</f>
        <v>0</v>
      </c>
      <c r="BW106" s="10">
        <f>'BS Forecasts'!BW$178</f>
        <v>0</v>
      </c>
      <c r="BY106" s="42"/>
      <c r="CC106" s="126">
        <f t="shared" si="75"/>
        <v>0</v>
      </c>
      <c r="CD106" s="126">
        <f t="shared" si="76"/>
        <v>0</v>
      </c>
      <c r="CE106" s="126">
        <f t="shared" si="95"/>
        <v>0</v>
      </c>
      <c r="CF106" s="42"/>
      <c r="CG106" s="352">
        <f t="shared" si="96"/>
        <v>0</v>
      </c>
      <c r="CH106" s="352">
        <f t="shared" si="97"/>
        <v>0</v>
      </c>
      <c r="CI106" s="352">
        <f t="shared" si="98"/>
        <v>0</v>
      </c>
      <c r="CJ106" s="352">
        <f t="shared" si="99"/>
        <v>0</v>
      </c>
      <c r="CK106" s="352">
        <f t="shared" si="100"/>
        <v>0</v>
      </c>
      <c r="CL106" s="352">
        <f t="shared" si="101"/>
        <v>0</v>
      </c>
      <c r="CM106" s="352">
        <f t="shared" si="102"/>
        <v>0</v>
      </c>
      <c r="EX106" s="10" t="str">
        <f t="shared" ca="1" si="84"/>
        <v>Other Taxation and Social Security</v>
      </c>
    </row>
    <row r="107" spans="1:154" x14ac:dyDescent="0.25">
      <c r="A107" s="362" cm="1">
        <f t="array" aca="1" ref="A107" ca="1">HYPERLINK(CONCATENATE("#",CELL("address",IF(SUM($BY107:$CF107)=0,A107,INDEX($BY107:$CF107,MATCH(1,$BY107:$CF107,0))))),SUM($BY107:$CF107))</f>
        <v>0</v>
      </c>
      <c r="B107" s="93"/>
      <c r="C107" s="343" t="s">
        <v>1464</v>
      </c>
      <c r="D107" s="554" t="s">
        <v>291</v>
      </c>
      <c r="J107" s="335"/>
      <c r="Q107" s="335"/>
      <c r="R107" s="335"/>
      <c r="S107" s="335"/>
      <c r="T107" s="335"/>
      <c r="U107" s="335"/>
      <c r="V107" s="13">
        <f>SUM(V89:V106)*V$9</f>
        <v>0</v>
      </c>
      <c r="W107" s="13">
        <f ca="1">SUM(W89:W106)*W$9</f>
        <v>2787</v>
      </c>
      <c r="X107" s="13">
        <f ca="1">SUM(X89:X106)*X$9</f>
        <v>2953</v>
      </c>
      <c r="Y107" s="13">
        <f ca="1">SUM(Y89:Y106)*Y$9</f>
        <v>2613</v>
      </c>
      <c r="Z107" s="335"/>
      <c r="AA107" s="13">
        <f t="shared" ref="AA107:BJ107" ca="1" si="103">SUM(AA89:AA106)*AA$9</f>
        <v>2230</v>
      </c>
      <c r="AB107" s="13">
        <f t="shared" ca="1" si="103"/>
        <v>2219</v>
      </c>
      <c r="AC107" s="13">
        <f t="shared" ca="1" si="103"/>
        <v>2208</v>
      </c>
      <c r="AD107" s="13">
        <f t="shared" ca="1" si="103"/>
        <v>2197</v>
      </c>
      <c r="AE107" s="13">
        <f t="shared" ca="1" si="103"/>
        <v>2186</v>
      </c>
      <c r="AF107" s="13">
        <f t="shared" ca="1" si="103"/>
        <v>2184</v>
      </c>
      <c r="AG107" s="13">
        <f t="shared" ca="1" si="103"/>
        <v>2184</v>
      </c>
      <c r="AH107" s="13">
        <f t="shared" ca="1" si="103"/>
        <v>2184</v>
      </c>
      <c r="AI107" s="13">
        <f t="shared" ca="1" si="103"/>
        <v>2184</v>
      </c>
      <c r="AJ107" s="13">
        <f t="shared" ca="1" si="103"/>
        <v>2184</v>
      </c>
      <c r="AK107" s="13">
        <f t="shared" ca="1" si="103"/>
        <v>2184</v>
      </c>
      <c r="AL107" s="13">
        <f t="shared" ca="1" si="103"/>
        <v>2787</v>
      </c>
      <c r="AM107" s="13">
        <f t="shared" ca="1" si="103"/>
        <v>2294</v>
      </c>
      <c r="AN107" s="13">
        <f t="shared" ca="1" si="103"/>
        <v>2294</v>
      </c>
      <c r="AO107" s="13">
        <f t="shared" ca="1" si="103"/>
        <v>2294</v>
      </c>
      <c r="AP107" s="13">
        <f t="shared" ca="1" si="103"/>
        <v>2294</v>
      </c>
      <c r="AQ107" s="13">
        <f t="shared" ca="1" si="103"/>
        <v>2294</v>
      </c>
      <c r="AR107" s="13">
        <f t="shared" ca="1" si="103"/>
        <v>2294</v>
      </c>
      <c r="AS107" s="13">
        <f t="shared" ca="1" si="103"/>
        <v>2294</v>
      </c>
      <c r="AT107" s="13">
        <f t="shared" ca="1" si="103"/>
        <v>2294</v>
      </c>
      <c r="AU107" s="13">
        <f t="shared" ca="1" si="103"/>
        <v>2294</v>
      </c>
      <c r="AV107" s="13">
        <f t="shared" ca="1" si="103"/>
        <v>2294</v>
      </c>
      <c r="AW107" s="13">
        <f t="shared" ca="1" si="103"/>
        <v>2294</v>
      </c>
      <c r="AX107" s="13">
        <f t="shared" ca="1" si="103"/>
        <v>2953</v>
      </c>
      <c r="AY107" s="13">
        <f t="shared" ca="1" si="103"/>
        <v>1920</v>
      </c>
      <c r="AZ107" s="13">
        <f t="shared" ca="1" si="103"/>
        <v>1920</v>
      </c>
      <c r="BA107" s="13">
        <f t="shared" ca="1" si="103"/>
        <v>1920</v>
      </c>
      <c r="BB107" s="13">
        <f t="shared" ca="1" si="103"/>
        <v>1920</v>
      </c>
      <c r="BC107" s="13">
        <f t="shared" ca="1" si="103"/>
        <v>1920</v>
      </c>
      <c r="BD107" s="13">
        <f t="shared" ca="1" si="103"/>
        <v>1920</v>
      </c>
      <c r="BE107" s="13">
        <f t="shared" ca="1" si="103"/>
        <v>1920</v>
      </c>
      <c r="BF107" s="13">
        <f t="shared" ca="1" si="103"/>
        <v>1920</v>
      </c>
      <c r="BG107" s="13">
        <f t="shared" ca="1" si="103"/>
        <v>1920</v>
      </c>
      <c r="BH107" s="13">
        <f t="shared" ca="1" si="103"/>
        <v>1920</v>
      </c>
      <c r="BI107" s="13">
        <f t="shared" ca="1" si="103"/>
        <v>1920</v>
      </c>
      <c r="BJ107" s="13">
        <f t="shared" ca="1" si="103"/>
        <v>2613</v>
      </c>
      <c r="BK107" s="335"/>
      <c r="BL107" s="13">
        <f t="shared" ref="BL107:BW107" si="104">SUM(BL89:BL106)*BL$9</f>
        <v>0</v>
      </c>
      <c r="BM107" s="13">
        <f t="shared" ca="1" si="104"/>
        <v>2787</v>
      </c>
      <c r="BN107" s="13">
        <f t="shared" ca="1" si="104"/>
        <v>2953</v>
      </c>
      <c r="BO107" s="13">
        <f t="shared" ca="1" si="104"/>
        <v>2613</v>
      </c>
      <c r="BP107" s="13">
        <f t="shared" si="104"/>
        <v>0</v>
      </c>
      <c r="BQ107" s="13">
        <f t="shared" si="104"/>
        <v>0</v>
      </c>
      <c r="BR107" s="13">
        <f t="shared" si="104"/>
        <v>0</v>
      </c>
      <c r="BS107" s="13">
        <f t="shared" si="104"/>
        <v>0</v>
      </c>
      <c r="BT107" s="13">
        <f t="shared" si="104"/>
        <v>0</v>
      </c>
      <c r="BU107" s="13">
        <f t="shared" si="104"/>
        <v>0</v>
      </c>
      <c r="BV107" s="13">
        <f t="shared" si="104"/>
        <v>0</v>
      </c>
      <c r="BW107" s="13">
        <f t="shared" si="104"/>
        <v>0</v>
      </c>
      <c r="BY107" s="42"/>
      <c r="CC107" s="126">
        <f t="shared" ca="1" si="75"/>
        <v>0</v>
      </c>
      <c r="CD107" s="126">
        <f t="shared" ca="1" si="76"/>
        <v>0</v>
      </c>
      <c r="CE107" s="126">
        <f t="shared" si="95"/>
        <v>0</v>
      </c>
      <c r="CF107" s="42"/>
      <c r="CG107" s="352">
        <f t="shared" ca="1" si="96"/>
        <v>0</v>
      </c>
      <c r="CH107" s="352">
        <f t="shared" ca="1" si="97"/>
        <v>0</v>
      </c>
      <c r="CI107" s="352">
        <f t="shared" ca="1" si="98"/>
        <v>0</v>
      </c>
      <c r="CJ107" s="352">
        <f t="shared" ca="1" si="99"/>
        <v>0</v>
      </c>
      <c r="CK107" s="352">
        <f t="shared" ca="1" si="100"/>
        <v>0</v>
      </c>
      <c r="CL107" s="352">
        <f t="shared" ca="1" si="101"/>
        <v>0</v>
      </c>
      <c r="CM107" s="352">
        <f t="shared" si="102"/>
        <v>0</v>
      </c>
      <c r="EX107" s="10" t="str">
        <f t="shared" si="84"/>
        <v>Total Creditors: amounts falling due within one year</v>
      </c>
    </row>
    <row r="108" spans="1:154" s="335" customFormat="1" ht="11.45" customHeight="1" x14ac:dyDescent="0.25">
      <c r="A108" s="157"/>
      <c r="B108" s="187"/>
      <c r="C108" s="343"/>
      <c r="D108" s="556"/>
      <c r="E108" s="157"/>
      <c r="F108" s="157"/>
      <c r="G108" s="157"/>
      <c r="J108" s="157"/>
      <c r="K108" s="157"/>
      <c r="L108" s="157"/>
      <c r="M108" s="157"/>
      <c r="N108" s="157"/>
      <c r="O108" s="157"/>
      <c r="P108" s="157"/>
      <c r="S108" s="157"/>
      <c r="V108" s="157"/>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L108" s="157"/>
      <c r="BM108" s="157"/>
      <c r="BN108" s="157"/>
      <c r="BO108" s="157"/>
      <c r="BP108" s="157"/>
      <c r="BQ108" s="157"/>
      <c r="BR108" s="157"/>
      <c r="BS108" s="157"/>
      <c r="BT108" s="157"/>
      <c r="BU108" s="157"/>
      <c r="BV108" s="157"/>
      <c r="BW108" s="157"/>
      <c r="BX108" s="157"/>
      <c r="BY108" s="42"/>
      <c r="CC108" s="162"/>
      <c r="CD108" s="162"/>
      <c r="CE108" s="162"/>
      <c r="CF108" s="42"/>
      <c r="EX108" s="10" t="str">
        <f t="shared" si="84"/>
        <v/>
      </c>
    </row>
    <row r="109" spans="1:154" x14ac:dyDescent="0.25">
      <c r="A109" s="362" cm="1">
        <f t="array" aca="1" ref="A109" ca="1">HYPERLINK(CONCATENATE("#",CELL("address",IF(SUM($BY109:$CF109)=0,A109,INDEX($BY109:$CF109,MATCH(1,$BY109:$CF109,0))))),SUM($BY109:$CF109))</f>
        <v>0</v>
      </c>
      <c r="B109" s="5"/>
      <c r="C109" s="343"/>
      <c r="D109" s="554" t="s">
        <v>599</v>
      </c>
      <c r="J109" s="335"/>
      <c r="Q109" s="335"/>
      <c r="R109" s="335"/>
      <c r="S109" s="280"/>
      <c r="T109" s="335"/>
      <c r="U109" s="335"/>
      <c r="V109" s="13">
        <f>V86-V107</f>
        <v>0</v>
      </c>
      <c r="W109" s="13">
        <f ca="1">W86-W107</f>
        <v>9280</v>
      </c>
      <c r="X109" s="13">
        <f ca="1">X86-X107</f>
        <v>7906</v>
      </c>
      <c r="Y109" s="13">
        <f ca="1">Y86-Y107</f>
        <v>9054.8100000000013</v>
      </c>
      <c r="Z109" s="280"/>
      <c r="AA109" s="13">
        <f t="shared" ref="AA109:BJ109" ca="1" si="105">AA86-AA107</f>
        <v>12114</v>
      </c>
      <c r="AB109" s="13">
        <f t="shared" ca="1" si="105"/>
        <v>14420</v>
      </c>
      <c r="AC109" s="13">
        <f t="shared" ca="1" si="105"/>
        <v>12400</v>
      </c>
      <c r="AD109" s="13">
        <f t="shared" ca="1" si="105"/>
        <v>12254</v>
      </c>
      <c r="AE109" s="13">
        <f t="shared" ca="1" si="105"/>
        <v>11811</v>
      </c>
      <c r="AF109" s="13">
        <f t="shared" ca="1" si="105"/>
        <v>11228</v>
      </c>
      <c r="AG109" s="13">
        <f t="shared" ca="1" si="105"/>
        <v>10573</v>
      </c>
      <c r="AH109" s="13">
        <f t="shared" ca="1" si="105"/>
        <v>8690</v>
      </c>
      <c r="AI109" s="13">
        <f t="shared" ca="1" si="105"/>
        <v>10028</v>
      </c>
      <c r="AJ109" s="13">
        <f t="shared" ca="1" si="105"/>
        <v>10393</v>
      </c>
      <c r="AK109" s="13">
        <f t="shared" ca="1" si="105"/>
        <v>10766</v>
      </c>
      <c r="AL109" s="13">
        <f t="shared" ca="1" si="105"/>
        <v>9280</v>
      </c>
      <c r="AM109" s="13">
        <f t="shared" ca="1" si="105"/>
        <v>10844</v>
      </c>
      <c r="AN109" s="13">
        <f t="shared" ca="1" si="105"/>
        <v>11274</v>
      </c>
      <c r="AO109" s="13">
        <f t="shared" ca="1" si="105"/>
        <v>11128</v>
      </c>
      <c r="AP109" s="13">
        <f t="shared" ca="1" si="105"/>
        <v>10554</v>
      </c>
      <c r="AQ109" s="13">
        <f t="shared" ca="1" si="105"/>
        <v>9319</v>
      </c>
      <c r="AR109" s="13">
        <f t="shared" ca="1" si="105"/>
        <v>8393</v>
      </c>
      <c r="AS109" s="13">
        <f t="shared" ca="1" si="105"/>
        <v>7040</v>
      </c>
      <c r="AT109" s="13">
        <f t="shared" ca="1" si="105"/>
        <v>5675</v>
      </c>
      <c r="AU109" s="13">
        <f t="shared" ca="1" si="105"/>
        <v>6754</v>
      </c>
      <c r="AV109" s="13">
        <f t="shared" ca="1" si="105"/>
        <v>6858</v>
      </c>
      <c r="AW109" s="13">
        <f t="shared" ca="1" si="105"/>
        <v>6617</v>
      </c>
      <c r="AX109" s="13">
        <f t="shared" ca="1" si="105"/>
        <v>7906</v>
      </c>
      <c r="AY109" s="13">
        <f t="shared" ca="1" si="105"/>
        <v>10721.748333333333</v>
      </c>
      <c r="AZ109" s="13">
        <f t="shared" ca="1" si="105"/>
        <v>11765.105</v>
      </c>
      <c r="BA109" s="13">
        <f t="shared" ca="1" si="105"/>
        <v>11787.593333333332</v>
      </c>
      <c r="BB109" s="13">
        <f t="shared" ca="1" si="105"/>
        <v>11191.98</v>
      </c>
      <c r="BC109" s="13">
        <f t="shared" ca="1" si="105"/>
        <v>10167.450000000001</v>
      </c>
      <c r="BD109" s="13">
        <f t="shared" ca="1" si="105"/>
        <v>9475.2200000000012</v>
      </c>
      <c r="BE109" s="13">
        <f t="shared" ca="1" si="105"/>
        <v>8284.4783333333326</v>
      </c>
      <c r="BF109" s="13">
        <f t="shared" ca="1" si="105"/>
        <v>7291.9599999999991</v>
      </c>
      <c r="BG109" s="13">
        <f t="shared" ca="1" si="105"/>
        <v>8769.3383333333331</v>
      </c>
      <c r="BH109" s="13">
        <f t="shared" ca="1" si="105"/>
        <v>9070.4066666666677</v>
      </c>
      <c r="BI109" s="13">
        <f t="shared" ca="1" si="105"/>
        <v>8978.6000000000022</v>
      </c>
      <c r="BJ109" s="13">
        <f t="shared" ca="1" si="105"/>
        <v>9054.8100000000013</v>
      </c>
      <c r="BK109" s="280"/>
      <c r="BL109" s="13">
        <f t="shared" ref="BL109:BW109" si="106">BL86-BL107</f>
        <v>0</v>
      </c>
      <c r="BM109" s="13">
        <f t="shared" ca="1" si="106"/>
        <v>9280</v>
      </c>
      <c r="BN109" s="13">
        <f t="shared" ca="1" si="106"/>
        <v>7906</v>
      </c>
      <c r="BO109" s="13">
        <f t="shared" ca="1" si="106"/>
        <v>9054.8100000000013</v>
      </c>
      <c r="BP109" s="13">
        <f t="shared" si="106"/>
        <v>0</v>
      </c>
      <c r="BQ109" s="13">
        <f t="shared" si="106"/>
        <v>0</v>
      </c>
      <c r="BR109" s="13">
        <f t="shared" si="106"/>
        <v>0</v>
      </c>
      <c r="BS109" s="13">
        <f t="shared" si="106"/>
        <v>0</v>
      </c>
      <c r="BT109" s="13">
        <f t="shared" si="106"/>
        <v>0</v>
      </c>
      <c r="BU109" s="13">
        <f t="shared" si="106"/>
        <v>0</v>
      </c>
      <c r="BV109" s="13">
        <f t="shared" si="106"/>
        <v>0</v>
      </c>
      <c r="BW109" s="13">
        <f t="shared" si="106"/>
        <v>0</v>
      </c>
      <c r="BY109" s="42"/>
      <c r="CC109" s="126">
        <f t="shared" ca="1" si="75"/>
        <v>0</v>
      </c>
      <c r="CD109" s="126">
        <f t="shared" ca="1" si="76"/>
        <v>0</v>
      </c>
      <c r="CE109" s="126">
        <f t="shared" ref="CE109" si="107">IF(CM109=0, 0, 1)</f>
        <v>0</v>
      </c>
      <c r="CF109" s="42"/>
      <c r="CG109" s="352">
        <f ca="1">ROUND(W109-INDEX($AA109:$BJ109, MATCH(W$5, $AA$5:$BJ$5,0)), rounding)</f>
        <v>0</v>
      </c>
      <c r="CH109" s="352">
        <f ca="1">ROUND(X109-INDEX($AA109:$BJ109, MATCH(X$5, $AA$5:$BJ$5,0)), rounding)</f>
        <v>0</v>
      </c>
      <c r="CI109" s="352">
        <f ca="1">ROUND(Y109-INDEX($AA109:$BJ109, MATCH(Y$5, $AA$5:$BJ$5,0)), rounding)</f>
        <v>0</v>
      </c>
      <c r="CJ109" s="352">
        <f ca="1">ROUND(W109-BM109, rounding)</f>
        <v>0</v>
      </c>
      <c r="CK109" s="352">
        <f ca="1">ROUND(X109-BN109, rounding)</f>
        <v>0</v>
      </c>
      <c r="CL109" s="352">
        <f ca="1">ROUND(Y109-BO109, rounding)</f>
        <v>0</v>
      </c>
      <c r="CM109" s="352">
        <f>ROUND(V109-BL109, rounding)</f>
        <v>0</v>
      </c>
      <c r="EX109" s="10" t="str">
        <f t="shared" si="84"/>
        <v/>
      </c>
    </row>
    <row r="110" spans="1:154" s="328" customFormat="1" ht="8.1" customHeight="1" x14ac:dyDescent="0.25">
      <c r="C110" s="343"/>
      <c r="D110" s="529"/>
      <c r="J110" s="335"/>
      <c r="Q110" s="335"/>
      <c r="R110" s="335"/>
      <c r="T110" s="335"/>
      <c r="U110" s="335"/>
      <c r="BY110" s="12"/>
      <c r="CB110" s="335"/>
      <c r="CC110" s="162"/>
      <c r="CD110" s="162"/>
      <c r="CE110" s="162"/>
      <c r="CF110" s="42"/>
      <c r="CI110" s="332"/>
      <c r="EX110" s="10" t="str">
        <f t="shared" si="84"/>
        <v/>
      </c>
    </row>
    <row r="111" spans="1:154" x14ac:dyDescent="0.25">
      <c r="A111" s="362" cm="1">
        <f t="array" aca="1" ref="A111" ca="1">HYPERLINK(CONCATENATE("#",CELL("address",IF(SUM($BY111:$CF111)=0,A111,INDEX($BY111:$CF111,MATCH(1,$BY111:$CF111,0))))),SUM($BY111:$CF111))</f>
        <v>0</v>
      </c>
      <c r="B111" s="5"/>
      <c r="C111" s="343"/>
      <c r="D111" s="554" t="s">
        <v>600</v>
      </c>
      <c r="J111" s="335"/>
      <c r="Q111" s="335"/>
      <c r="R111" s="335"/>
      <c r="S111" s="280"/>
      <c r="T111" s="335"/>
      <c r="U111" s="335"/>
      <c r="V111" s="13">
        <f>V73+V86-V107</f>
        <v>0</v>
      </c>
      <c r="W111" s="13">
        <f ca="1">W73+W86-W107</f>
        <v>45959</v>
      </c>
      <c r="X111" s="13">
        <f ca="1">X73+X86-X107</f>
        <v>48326</v>
      </c>
      <c r="Y111" s="13">
        <f ca="1">Y73+Y86-Y107</f>
        <v>49782.81</v>
      </c>
      <c r="Z111" s="280"/>
      <c r="AA111" s="13">
        <f t="shared" ref="AA111:BJ111" ca="1" si="108">AA73+AA86-AA107</f>
        <v>46233</v>
      </c>
      <c r="AB111" s="13">
        <f t="shared" ca="1" si="108"/>
        <v>48388</v>
      </c>
      <c r="AC111" s="13">
        <f t="shared" ca="1" si="108"/>
        <v>49025</v>
      </c>
      <c r="AD111" s="13">
        <f t="shared" ca="1" si="108"/>
        <v>48725</v>
      </c>
      <c r="AE111" s="13">
        <f t="shared" ca="1" si="108"/>
        <v>48127</v>
      </c>
      <c r="AF111" s="13">
        <f t="shared" ca="1" si="108"/>
        <v>47390</v>
      </c>
      <c r="AG111" s="13">
        <f t="shared" ca="1" si="108"/>
        <v>46580</v>
      </c>
      <c r="AH111" s="13">
        <f t="shared" ca="1" si="108"/>
        <v>45972</v>
      </c>
      <c r="AI111" s="13">
        <f t="shared" ca="1" si="108"/>
        <v>47157</v>
      </c>
      <c r="AJ111" s="13">
        <f t="shared" ca="1" si="108"/>
        <v>47371</v>
      </c>
      <c r="AK111" s="13">
        <f t="shared" ca="1" si="108"/>
        <v>47564</v>
      </c>
      <c r="AL111" s="13">
        <f t="shared" ca="1" si="108"/>
        <v>45959</v>
      </c>
      <c r="AM111" s="13">
        <f t="shared" ca="1" si="108"/>
        <v>48448</v>
      </c>
      <c r="AN111" s="13">
        <f t="shared" ca="1" si="108"/>
        <v>49513</v>
      </c>
      <c r="AO111" s="13">
        <f t="shared" ca="1" si="108"/>
        <v>49574</v>
      </c>
      <c r="AP111" s="13">
        <f t="shared" ca="1" si="108"/>
        <v>49035</v>
      </c>
      <c r="AQ111" s="13">
        <f t="shared" ca="1" si="108"/>
        <v>48078</v>
      </c>
      <c r="AR111" s="13">
        <f t="shared" ca="1" si="108"/>
        <v>47437</v>
      </c>
      <c r="AS111" s="13">
        <f t="shared" ca="1" si="108"/>
        <v>46368</v>
      </c>
      <c r="AT111" s="13">
        <f t="shared" ca="1" si="108"/>
        <v>45385</v>
      </c>
      <c r="AU111" s="13">
        <f t="shared" ca="1" si="108"/>
        <v>46802</v>
      </c>
      <c r="AV111" s="13">
        <f t="shared" ca="1" si="108"/>
        <v>47068</v>
      </c>
      <c r="AW111" s="13">
        <f t="shared" ca="1" si="108"/>
        <v>46943</v>
      </c>
      <c r="AX111" s="13">
        <f t="shared" ca="1" si="108"/>
        <v>48326</v>
      </c>
      <c r="AY111" s="13">
        <f t="shared" ca="1" si="108"/>
        <v>51216.748333333337</v>
      </c>
      <c r="AZ111" s="13">
        <f t="shared" ca="1" si="108"/>
        <v>52293.104999999996</v>
      </c>
      <c r="BA111" s="13">
        <f t="shared" ca="1" si="108"/>
        <v>52355.593333333331</v>
      </c>
      <c r="BB111" s="13">
        <f t="shared" ca="1" si="108"/>
        <v>51803.979999999996</v>
      </c>
      <c r="BC111" s="13">
        <f t="shared" ca="1" si="108"/>
        <v>50822.45</v>
      </c>
      <c r="BD111" s="13">
        <f t="shared" ca="1" si="108"/>
        <v>50168.22</v>
      </c>
      <c r="BE111" s="13">
        <f t="shared" ca="1" si="108"/>
        <v>49074.478333333333</v>
      </c>
      <c r="BF111" s="13">
        <f t="shared" ca="1" si="108"/>
        <v>48072.959999999999</v>
      </c>
      <c r="BG111" s="13">
        <f t="shared" ca="1" si="108"/>
        <v>49539.338333333333</v>
      </c>
      <c r="BH111" s="13">
        <f t="shared" ca="1" si="108"/>
        <v>49850.406666666669</v>
      </c>
      <c r="BI111" s="13">
        <f t="shared" ca="1" si="108"/>
        <v>49732.600000000006</v>
      </c>
      <c r="BJ111" s="13">
        <f t="shared" ca="1" si="108"/>
        <v>49782.81</v>
      </c>
      <c r="BK111" s="280"/>
      <c r="BL111" s="13">
        <f t="shared" ref="BL111:BW111" si="109">BL73+BL86-BL107</f>
        <v>0</v>
      </c>
      <c r="BM111" s="13">
        <f t="shared" ca="1" si="109"/>
        <v>45959</v>
      </c>
      <c r="BN111" s="13">
        <f t="shared" ca="1" si="109"/>
        <v>48326</v>
      </c>
      <c r="BO111" s="13">
        <f t="shared" ca="1" si="109"/>
        <v>49782.81</v>
      </c>
      <c r="BP111" s="13">
        <f t="shared" si="109"/>
        <v>0</v>
      </c>
      <c r="BQ111" s="13">
        <f t="shared" si="109"/>
        <v>0</v>
      </c>
      <c r="BR111" s="13">
        <f t="shared" si="109"/>
        <v>0</v>
      </c>
      <c r="BS111" s="13">
        <f t="shared" si="109"/>
        <v>0</v>
      </c>
      <c r="BT111" s="13">
        <f t="shared" si="109"/>
        <v>0</v>
      </c>
      <c r="BU111" s="13">
        <f t="shared" si="109"/>
        <v>0</v>
      </c>
      <c r="BV111" s="13">
        <f t="shared" si="109"/>
        <v>0</v>
      </c>
      <c r="BW111" s="13">
        <f t="shared" si="109"/>
        <v>0</v>
      </c>
      <c r="BY111" s="42"/>
      <c r="CC111" s="126">
        <f t="shared" ca="1" si="75"/>
        <v>0</v>
      </c>
      <c r="CD111" s="126">
        <f t="shared" ca="1" si="76"/>
        <v>0</v>
      </c>
      <c r="CE111" s="126">
        <f t="shared" ref="CE111" si="110">IF(CM111=0, 0, 1)</f>
        <v>0</v>
      </c>
      <c r="CF111" s="42"/>
      <c r="CG111" s="352">
        <f ca="1">ROUND(W111-INDEX($AA111:$BJ111, MATCH(W$5, $AA$5:$BJ$5,0)), rounding)</f>
        <v>0</v>
      </c>
      <c r="CH111" s="352">
        <f ca="1">ROUND(X111-INDEX($AA111:$BJ111, MATCH(X$5, $AA$5:$BJ$5,0)), rounding)</f>
        <v>0</v>
      </c>
      <c r="CI111" s="352">
        <f ca="1">ROUND(Y111-INDEX($AA111:$BJ111, MATCH(Y$5, $AA$5:$BJ$5,0)), rounding)</f>
        <v>0</v>
      </c>
      <c r="CJ111" s="352">
        <f ca="1">ROUND(W111-BM111, rounding)</f>
        <v>0</v>
      </c>
      <c r="CK111" s="352">
        <f ca="1">ROUND(X111-BN111, rounding)</f>
        <v>0</v>
      </c>
      <c r="CL111" s="352">
        <f ca="1">ROUND(Y111-BO111, rounding)</f>
        <v>0</v>
      </c>
      <c r="CM111" s="352">
        <f>ROUND(V111-BL111, rounding)</f>
        <v>0</v>
      </c>
      <c r="EX111" s="10" t="str">
        <f t="shared" si="84"/>
        <v/>
      </c>
    </row>
    <row r="112" spans="1:154" s="328" customFormat="1" ht="8.1" customHeight="1" x14ac:dyDescent="0.25">
      <c r="C112" s="343"/>
      <c r="D112" s="529"/>
      <c r="J112" s="335"/>
      <c r="Q112" s="335"/>
      <c r="R112" s="335"/>
      <c r="T112" s="335"/>
      <c r="U112" s="335"/>
      <c r="BY112" s="12"/>
      <c r="CB112" s="335"/>
      <c r="CC112" s="162"/>
      <c r="CD112" s="162"/>
      <c r="CE112" s="162"/>
      <c r="CF112" s="42"/>
      <c r="CI112" s="332"/>
      <c r="EX112" s="10" t="str">
        <f t="shared" si="84"/>
        <v/>
      </c>
    </row>
    <row r="113" spans="1:154" x14ac:dyDescent="0.25">
      <c r="A113" s="362" cm="1">
        <f t="array" aca="1" ref="A113" ca="1">HYPERLINK(CONCATENATE("#",CELL("address",IF(SUM($BY113:$CF113)=0,A113,INDEX($BY113:$CF113,MATCH(1,$BY113:$CF113,0))))),SUM($BY113:$CF113))</f>
        <v>0</v>
      </c>
      <c r="B113" s="5"/>
      <c r="C113" s="343"/>
      <c r="D113" s="554" t="s">
        <v>292</v>
      </c>
      <c r="J113" s="335"/>
      <c r="Q113" s="335"/>
      <c r="R113" s="335"/>
      <c r="T113" s="335"/>
      <c r="U113" s="335"/>
      <c r="BY113" s="42"/>
      <c r="CC113" s="126">
        <f t="shared" si="75"/>
        <v>0</v>
      </c>
      <c r="CD113" s="126">
        <f t="shared" si="76"/>
        <v>0</v>
      </c>
      <c r="CE113" s="126">
        <f t="shared" ref="CE113:CE120" si="111">IF(CM113=0, 0, 1)</f>
        <v>0</v>
      </c>
      <c r="CF113" s="42"/>
      <c r="CG113" s="352">
        <f t="shared" ref="CG113:CI120" si="112">ROUND(W113-INDEX($AA113:$BJ113, MATCH(W$5, $AA$5:$BJ$5,0)), rounding)</f>
        <v>0</v>
      </c>
      <c r="CH113" s="352">
        <f t="shared" si="112"/>
        <v>0</v>
      </c>
      <c r="CI113" s="352">
        <f t="shared" si="112"/>
        <v>0</v>
      </c>
      <c r="CJ113" s="352">
        <f t="shared" ref="CJ113:CL120" si="113">ROUND(W113-BM113, rounding)</f>
        <v>0</v>
      </c>
      <c r="CK113" s="352">
        <f t="shared" si="113"/>
        <v>0</v>
      </c>
      <c r="CL113" s="352">
        <f t="shared" si="113"/>
        <v>0</v>
      </c>
      <c r="CM113" s="352">
        <f t="shared" ref="CM113:CM120" si="114">ROUND(V113-BL113, rounding)</f>
        <v>0</v>
      </c>
      <c r="EX113" s="10" t="str">
        <f t="shared" si="84"/>
        <v/>
      </c>
    </row>
    <row r="114" spans="1:154" x14ac:dyDescent="0.25">
      <c r="A114" s="362" cm="1">
        <f t="array" aca="1" ref="A114" ca="1">HYPERLINK(CONCATENATE("#",CELL("address",IF(SUM($BY114:$CF114)=0,A114,INDEX($BY114:$CF114,MATCH(1,$BY114:$CF114,0))))),SUM($BY114:$CF114))</f>
        <v>0</v>
      </c>
      <c r="C114" s="343" t="str">
        <f>'BS Forecasts'!C$97</f>
        <v>B-6a-CB</v>
      </c>
      <c r="D114" s="560" t="str" cm="1">
        <f t="array" aca="1" ref="D114" ca="1">HYPERLINK(CONCATENATE("#",CELL("address",'BS Forecasts'!$D$97)),'BS Forecasts'!$D$93)</f>
        <v>Exceptional Financial Support (EFS) / Restructuring Fund (RF) Loans</v>
      </c>
      <c r="J114" s="335"/>
      <c r="Q114" s="335"/>
      <c r="R114" s="335"/>
      <c r="S114" s="327"/>
      <c r="T114" s="335"/>
      <c r="U114" s="335"/>
      <c r="V114" s="10">
        <f>'BS Forecasts'!V$97</f>
        <v>0</v>
      </c>
      <c r="W114" s="10">
        <f>'BS Forecasts'!W$97</f>
        <v>0</v>
      </c>
      <c r="X114" s="10">
        <f>'BS Forecasts'!X$97</f>
        <v>0</v>
      </c>
      <c r="Y114" s="10">
        <f>'BS Forecasts'!Y$97</f>
        <v>0</v>
      </c>
      <c r="Z114" s="327"/>
      <c r="AA114" s="10">
        <f>'BS Forecasts'!AA$97</f>
        <v>0</v>
      </c>
      <c r="AB114" s="10">
        <f>'BS Forecasts'!AB$97</f>
        <v>0</v>
      </c>
      <c r="AC114" s="10">
        <f>'BS Forecasts'!AC$97</f>
        <v>0</v>
      </c>
      <c r="AD114" s="10">
        <f>'BS Forecasts'!AD$97</f>
        <v>0</v>
      </c>
      <c r="AE114" s="10">
        <f>'BS Forecasts'!AE$97</f>
        <v>0</v>
      </c>
      <c r="AF114" s="10">
        <f>'BS Forecasts'!AF$97</f>
        <v>0</v>
      </c>
      <c r="AG114" s="10">
        <f>'BS Forecasts'!AG$97</f>
        <v>0</v>
      </c>
      <c r="AH114" s="10">
        <f>'BS Forecasts'!AH$97</f>
        <v>0</v>
      </c>
      <c r="AI114" s="10">
        <f>'BS Forecasts'!AI$97</f>
        <v>0</v>
      </c>
      <c r="AJ114" s="10">
        <f>'BS Forecasts'!AJ$97</f>
        <v>0</v>
      </c>
      <c r="AK114" s="10">
        <f>'BS Forecasts'!AK$97</f>
        <v>0</v>
      </c>
      <c r="AL114" s="10">
        <f>'BS Forecasts'!AL$97</f>
        <v>0</v>
      </c>
      <c r="AM114" s="10">
        <f>'BS Forecasts'!AM$97</f>
        <v>0</v>
      </c>
      <c r="AN114" s="10">
        <f>'BS Forecasts'!AN$97</f>
        <v>0</v>
      </c>
      <c r="AO114" s="10">
        <f>'BS Forecasts'!AO$97</f>
        <v>0</v>
      </c>
      <c r="AP114" s="10">
        <f>'BS Forecasts'!AP$97</f>
        <v>0</v>
      </c>
      <c r="AQ114" s="10">
        <f>'BS Forecasts'!AQ$97</f>
        <v>0</v>
      </c>
      <c r="AR114" s="10">
        <f>'BS Forecasts'!AR$97</f>
        <v>0</v>
      </c>
      <c r="AS114" s="10">
        <f>'BS Forecasts'!AS$97</f>
        <v>0</v>
      </c>
      <c r="AT114" s="10">
        <f>'BS Forecasts'!AT$97</f>
        <v>0</v>
      </c>
      <c r="AU114" s="10">
        <f>'BS Forecasts'!AU$97</f>
        <v>0</v>
      </c>
      <c r="AV114" s="10">
        <f>'BS Forecasts'!AV$97</f>
        <v>0</v>
      </c>
      <c r="AW114" s="10">
        <f>'BS Forecasts'!AW$97</f>
        <v>0</v>
      </c>
      <c r="AX114" s="10">
        <f>'BS Forecasts'!AX$97</f>
        <v>0</v>
      </c>
      <c r="AY114" s="10">
        <f>'BS Forecasts'!AY$97</f>
        <v>0</v>
      </c>
      <c r="AZ114" s="10">
        <f>'BS Forecasts'!AZ$97</f>
        <v>0</v>
      </c>
      <c r="BA114" s="10">
        <f>'BS Forecasts'!BA$97</f>
        <v>0</v>
      </c>
      <c r="BB114" s="10">
        <f>'BS Forecasts'!BB$97</f>
        <v>0</v>
      </c>
      <c r="BC114" s="10">
        <f>'BS Forecasts'!BC$97</f>
        <v>0</v>
      </c>
      <c r="BD114" s="10">
        <f>'BS Forecasts'!BD$97</f>
        <v>0</v>
      </c>
      <c r="BE114" s="10">
        <f>'BS Forecasts'!BE$97</f>
        <v>0</v>
      </c>
      <c r="BF114" s="10">
        <f>'BS Forecasts'!BF$97</f>
        <v>0</v>
      </c>
      <c r="BG114" s="10">
        <f>'BS Forecasts'!BG$97</f>
        <v>0</v>
      </c>
      <c r="BH114" s="10">
        <f>'BS Forecasts'!BH$97</f>
        <v>0</v>
      </c>
      <c r="BI114" s="10">
        <f>'BS Forecasts'!BI$97</f>
        <v>0</v>
      </c>
      <c r="BJ114" s="10">
        <f>'BS Forecasts'!BJ$97</f>
        <v>0</v>
      </c>
      <c r="BK114" s="327"/>
      <c r="BL114" s="10">
        <f>'BS Forecasts'!BL$97</f>
        <v>0</v>
      </c>
      <c r="BM114" s="10">
        <f>'BS Forecasts'!BM$97</f>
        <v>0</v>
      </c>
      <c r="BN114" s="10">
        <f>'BS Forecasts'!BN$97</f>
        <v>0</v>
      </c>
      <c r="BO114" s="10">
        <f>'BS Forecasts'!BO$97</f>
        <v>0</v>
      </c>
      <c r="BP114" s="10">
        <f>'BS Forecasts'!BP$97</f>
        <v>0</v>
      </c>
      <c r="BQ114" s="10">
        <f>'BS Forecasts'!BQ$97</f>
        <v>0</v>
      </c>
      <c r="BR114" s="10">
        <f>'BS Forecasts'!BR$97</f>
        <v>0</v>
      </c>
      <c r="BS114" s="10">
        <f>'BS Forecasts'!BS$97</f>
        <v>0</v>
      </c>
      <c r="BT114" s="10">
        <f>'BS Forecasts'!BT$97</f>
        <v>0</v>
      </c>
      <c r="BU114" s="10">
        <f>'BS Forecasts'!BU$97</f>
        <v>0</v>
      </c>
      <c r="BV114" s="10">
        <f>'BS Forecasts'!BV$97</f>
        <v>0</v>
      </c>
      <c r="BW114" s="10">
        <f>'BS Forecasts'!BW$97</f>
        <v>0</v>
      </c>
      <c r="BY114" s="42"/>
      <c r="CC114" s="126">
        <f t="shared" si="75"/>
        <v>0</v>
      </c>
      <c r="CD114" s="126">
        <f t="shared" si="76"/>
        <v>0</v>
      </c>
      <c r="CE114" s="126">
        <f t="shared" si="111"/>
        <v>0</v>
      </c>
      <c r="CF114" s="42"/>
      <c r="CG114" s="352">
        <f t="shared" si="112"/>
        <v>0</v>
      </c>
      <c r="CH114" s="352">
        <f t="shared" si="112"/>
        <v>0</v>
      </c>
      <c r="CI114" s="352">
        <f t="shared" si="112"/>
        <v>0</v>
      </c>
      <c r="CJ114" s="352">
        <f t="shared" si="113"/>
        <v>0</v>
      </c>
      <c r="CK114" s="352">
        <f t="shared" si="113"/>
        <v>0</v>
      </c>
      <c r="CL114" s="352">
        <f t="shared" si="113"/>
        <v>0</v>
      </c>
      <c r="CM114" s="352">
        <f t="shared" si="114"/>
        <v>0</v>
      </c>
      <c r="EX114" s="13" t="str">
        <f t="shared" ref="EX114:EX119" ca="1" si="115">IF($C114="","",CONCATENATE(D$113," ",$D114))</f>
        <v>Creditors: amounts falling due after one year Exceptional Financial Support (EFS) / Restructuring Fund (RF) Loans</v>
      </c>
    </row>
    <row r="115" spans="1:154" x14ac:dyDescent="0.25">
      <c r="A115" s="362" cm="1">
        <f t="array" aca="1" ref="A115" ca="1">HYPERLINK(CONCATENATE("#",CELL("address",IF(SUM($BY115:$CF115)=0,A115,INDEX($BY115:$CF115,MATCH(1,$BY115:$CF115,0))))),SUM($BY115:$CF115))</f>
        <v>0</v>
      </c>
      <c r="C115" s="343" t="str">
        <f>'BS Forecasts'!C$103</f>
        <v>B-6b-CB</v>
      </c>
      <c r="D115" s="560" t="str" cm="1">
        <f t="array" aca="1" ref="D115" ca="1">HYPERLINK(CONCATENATE("#",CELL("address",'BS Forecasts'!$D$103)),'BS Forecasts'!$D$99)</f>
        <v>Commercial Loans</v>
      </c>
      <c r="J115" s="335"/>
      <c r="Q115" s="335"/>
      <c r="R115" s="335"/>
      <c r="S115" s="280"/>
      <c r="T115" s="335"/>
      <c r="U115" s="335"/>
      <c r="V115" s="10">
        <f>'BS Forecasts'!V$103</f>
        <v>2703</v>
      </c>
      <c r="W115" s="10">
        <f ca="1">'BS Forecasts'!W$103</f>
        <v>2417</v>
      </c>
      <c r="X115" s="10">
        <f ca="1">'BS Forecasts'!X$103</f>
        <v>2133</v>
      </c>
      <c r="Y115" s="10">
        <f>'BS Forecasts'!Y$103</f>
        <v>2133</v>
      </c>
      <c r="Z115" s="280"/>
      <c r="AA115" s="10">
        <f ca="1">'BS Forecasts'!AA$103</f>
        <v>2657</v>
      </c>
      <c r="AB115" s="10">
        <f ca="1">'BS Forecasts'!AB$103</f>
        <v>2644</v>
      </c>
      <c r="AC115" s="10">
        <f ca="1">'BS Forecasts'!AC$103</f>
        <v>2631</v>
      </c>
      <c r="AD115" s="10">
        <f ca="1">'BS Forecasts'!AD$103</f>
        <v>2586</v>
      </c>
      <c r="AE115" s="10">
        <f ca="1">'BS Forecasts'!AE$103</f>
        <v>2572</v>
      </c>
      <c r="AF115" s="10">
        <f ca="1">'BS Forecasts'!AF$103</f>
        <v>2559</v>
      </c>
      <c r="AG115" s="10">
        <f ca="1">'BS Forecasts'!AG$103</f>
        <v>2514</v>
      </c>
      <c r="AH115" s="10">
        <f ca="1">'BS Forecasts'!AH$103</f>
        <v>2501</v>
      </c>
      <c r="AI115" s="10">
        <f ca="1">'BS Forecasts'!AI$103</f>
        <v>2488</v>
      </c>
      <c r="AJ115" s="10">
        <f ca="1">'BS Forecasts'!AJ$103</f>
        <v>2443</v>
      </c>
      <c r="AK115" s="10">
        <f ca="1">'BS Forecasts'!AK$103</f>
        <v>2430</v>
      </c>
      <c r="AL115" s="10">
        <f ca="1">'BS Forecasts'!AL$103</f>
        <v>2417</v>
      </c>
      <c r="AM115" s="10">
        <f ca="1">'BS Forecasts'!AM$103</f>
        <v>2373</v>
      </c>
      <c r="AN115" s="10">
        <f ca="1">'BS Forecasts'!AN$103</f>
        <v>2360</v>
      </c>
      <c r="AO115" s="10">
        <f ca="1">'BS Forecasts'!AO$103</f>
        <v>2347</v>
      </c>
      <c r="AP115" s="10">
        <f ca="1">'BS Forecasts'!AP$103</f>
        <v>2302</v>
      </c>
      <c r="AQ115" s="10">
        <f ca="1">'BS Forecasts'!AQ$103</f>
        <v>2288</v>
      </c>
      <c r="AR115" s="10">
        <f ca="1">'BS Forecasts'!AR$103</f>
        <v>2275</v>
      </c>
      <c r="AS115" s="10">
        <f ca="1">'BS Forecasts'!AS$103</f>
        <v>2230</v>
      </c>
      <c r="AT115" s="10">
        <f ca="1">'BS Forecasts'!AT$103</f>
        <v>2217</v>
      </c>
      <c r="AU115" s="10">
        <f ca="1">'BS Forecasts'!AU$103</f>
        <v>2204</v>
      </c>
      <c r="AV115" s="10">
        <f ca="1">'BS Forecasts'!AV$103</f>
        <v>2159</v>
      </c>
      <c r="AW115" s="10">
        <f ca="1">'BS Forecasts'!AW$103</f>
        <v>2146</v>
      </c>
      <c r="AX115" s="10">
        <f ca="1">'BS Forecasts'!AX$103</f>
        <v>2133</v>
      </c>
      <c r="AY115" s="10">
        <f>'BS Forecasts'!AY$103</f>
        <v>2373</v>
      </c>
      <c r="AZ115" s="10">
        <f>'BS Forecasts'!AZ$103</f>
        <v>2360</v>
      </c>
      <c r="BA115" s="10">
        <f>'BS Forecasts'!BA$103</f>
        <v>2347</v>
      </c>
      <c r="BB115" s="10">
        <f>'BS Forecasts'!BB$103</f>
        <v>2302</v>
      </c>
      <c r="BC115" s="10">
        <f>'BS Forecasts'!BC$103</f>
        <v>2288</v>
      </c>
      <c r="BD115" s="10">
        <f>'BS Forecasts'!BD$103</f>
        <v>2275</v>
      </c>
      <c r="BE115" s="10">
        <f>'BS Forecasts'!BE$103</f>
        <v>2230</v>
      </c>
      <c r="BF115" s="10">
        <f>'BS Forecasts'!BF$103</f>
        <v>2217</v>
      </c>
      <c r="BG115" s="10">
        <f>'BS Forecasts'!BG$103</f>
        <v>2204</v>
      </c>
      <c r="BH115" s="10">
        <f>'BS Forecasts'!BH$103</f>
        <v>2159</v>
      </c>
      <c r="BI115" s="10">
        <f>'BS Forecasts'!BI$103</f>
        <v>2146</v>
      </c>
      <c r="BJ115" s="10">
        <f>'BS Forecasts'!BJ$103</f>
        <v>2133</v>
      </c>
      <c r="BK115" s="327"/>
      <c r="BL115" s="10">
        <f>'BS Forecasts'!BL$103</f>
        <v>2703</v>
      </c>
      <c r="BM115" s="10">
        <f ca="1">'BS Forecasts'!BM$103</f>
        <v>2417</v>
      </c>
      <c r="BN115" s="10">
        <f ca="1">'BS Forecasts'!BN$103</f>
        <v>2133</v>
      </c>
      <c r="BO115" s="10">
        <f>'BS Forecasts'!BO$103</f>
        <v>2133</v>
      </c>
      <c r="BP115" s="10">
        <f>'BS Forecasts'!BP$103</f>
        <v>2133</v>
      </c>
      <c r="BQ115" s="10">
        <f>'BS Forecasts'!BQ$103</f>
        <v>2133</v>
      </c>
      <c r="BR115" s="10">
        <f>'BS Forecasts'!BR$103</f>
        <v>2133</v>
      </c>
      <c r="BS115" s="10">
        <f>'BS Forecasts'!BS$103</f>
        <v>2133</v>
      </c>
      <c r="BT115" s="10">
        <f>'BS Forecasts'!BT$103</f>
        <v>2133</v>
      </c>
      <c r="BU115" s="10">
        <f>'BS Forecasts'!BU$103</f>
        <v>2133</v>
      </c>
      <c r="BV115" s="10">
        <f>'BS Forecasts'!BV$103</f>
        <v>2133</v>
      </c>
      <c r="BW115" s="10">
        <f>'BS Forecasts'!BW$103</f>
        <v>2133</v>
      </c>
      <c r="BY115" s="42"/>
      <c r="CC115" s="126">
        <f t="shared" ca="1" si="75"/>
        <v>0</v>
      </c>
      <c r="CD115" s="126">
        <f t="shared" ca="1" si="76"/>
        <v>0</v>
      </c>
      <c r="CE115" s="126">
        <f t="shared" si="111"/>
        <v>0</v>
      </c>
      <c r="CF115" s="42"/>
      <c r="CG115" s="352">
        <f t="shared" ca="1" si="112"/>
        <v>0</v>
      </c>
      <c r="CH115" s="352">
        <f t="shared" ca="1" si="112"/>
        <v>0</v>
      </c>
      <c r="CI115" s="352">
        <f t="shared" si="112"/>
        <v>0</v>
      </c>
      <c r="CJ115" s="352">
        <f t="shared" ca="1" si="113"/>
        <v>0</v>
      </c>
      <c r="CK115" s="352">
        <f t="shared" ca="1" si="113"/>
        <v>0</v>
      </c>
      <c r="CL115" s="352">
        <f t="shared" si="113"/>
        <v>0</v>
      </c>
      <c r="CM115" s="352">
        <f t="shared" si="114"/>
        <v>0</v>
      </c>
      <c r="EX115" s="13" t="str">
        <f t="shared" ca="1" si="115"/>
        <v>Creditors: amounts falling due after one year Commercial Loans</v>
      </c>
    </row>
    <row r="116" spans="1:154" x14ac:dyDescent="0.25">
      <c r="A116" s="362" cm="1">
        <f t="array" aca="1" ref="A116" ca="1">HYPERLINK(CONCATENATE("#",CELL("address",IF(SUM($BY116:$CF116)=0,A116,INDEX($BY116:$CF116,MATCH(1,$BY116:$CF116,0))))),SUM($BY116:$CF116))</f>
        <v>0</v>
      </c>
      <c r="C116" s="343" t="str">
        <f>'BS Forecasts'!C$114</f>
        <v>B-6c-CB</v>
      </c>
      <c r="D116" s="560" t="str" cm="1">
        <f t="array" aca="1" ref="D116" ca="1">HYPERLINK(CONCATENATE("#",CELL("address",'BS Forecasts'!$D$114)),'BS Forecasts'!$D$105)</f>
        <v>Finance Lease Obligations</v>
      </c>
      <c r="J116" s="335"/>
      <c r="Q116" s="335"/>
      <c r="R116" s="335"/>
      <c r="S116" s="280"/>
      <c r="T116" s="335"/>
      <c r="U116" s="335"/>
      <c r="V116" s="10">
        <f>'BS Forecasts'!V$114</f>
        <v>393</v>
      </c>
      <c r="W116" s="10">
        <f>'BS Forecasts'!W$114</f>
        <v>256</v>
      </c>
      <c r="X116" s="10">
        <f>'BS Forecasts'!X$114</f>
        <v>122</v>
      </c>
      <c r="Y116" s="10">
        <f>'BS Forecasts'!Y$114</f>
        <v>0</v>
      </c>
      <c r="Z116" s="280"/>
      <c r="AA116" s="10">
        <f>'BS Forecasts'!AA$114</f>
        <v>512</v>
      </c>
      <c r="AB116" s="10">
        <f>'BS Forecasts'!AB$114</f>
        <v>500</v>
      </c>
      <c r="AC116" s="10">
        <f>'BS Forecasts'!AC$114</f>
        <v>489</v>
      </c>
      <c r="AD116" s="10">
        <f>'BS Forecasts'!AD$114</f>
        <v>478</v>
      </c>
      <c r="AE116" s="10">
        <f>'BS Forecasts'!AE$114</f>
        <v>467</v>
      </c>
      <c r="AF116" s="10">
        <f>'BS Forecasts'!AF$114</f>
        <v>456</v>
      </c>
      <c r="AG116" s="10">
        <f>'BS Forecasts'!AG$114</f>
        <v>445</v>
      </c>
      <c r="AH116" s="10">
        <f>'BS Forecasts'!AH$114</f>
        <v>434</v>
      </c>
      <c r="AI116" s="10">
        <f>'BS Forecasts'!AI$114</f>
        <v>423</v>
      </c>
      <c r="AJ116" s="10">
        <f>'BS Forecasts'!AJ$114</f>
        <v>412</v>
      </c>
      <c r="AK116" s="10">
        <f>'BS Forecasts'!AK$114</f>
        <v>401</v>
      </c>
      <c r="AL116" s="10">
        <f>'BS Forecasts'!AL$114</f>
        <v>256</v>
      </c>
      <c r="AM116" s="10">
        <f>'BS Forecasts'!AM$114</f>
        <v>378</v>
      </c>
      <c r="AN116" s="10">
        <f>'BS Forecasts'!AN$114</f>
        <v>366</v>
      </c>
      <c r="AO116" s="10">
        <f>'BS Forecasts'!AO$114</f>
        <v>355</v>
      </c>
      <c r="AP116" s="10">
        <f>'BS Forecasts'!AP$114</f>
        <v>344</v>
      </c>
      <c r="AQ116" s="10">
        <f>'BS Forecasts'!AQ$114</f>
        <v>333</v>
      </c>
      <c r="AR116" s="10">
        <f>'BS Forecasts'!AR$114</f>
        <v>322</v>
      </c>
      <c r="AS116" s="10">
        <f>'BS Forecasts'!AS$114</f>
        <v>311</v>
      </c>
      <c r="AT116" s="10">
        <f>'BS Forecasts'!AT$114</f>
        <v>300</v>
      </c>
      <c r="AU116" s="10">
        <f>'BS Forecasts'!AU$114</f>
        <v>289</v>
      </c>
      <c r="AV116" s="10">
        <f>'BS Forecasts'!AV$114</f>
        <v>278</v>
      </c>
      <c r="AW116" s="10">
        <f>'BS Forecasts'!AW$114</f>
        <v>267</v>
      </c>
      <c r="AX116" s="10">
        <f>'BS Forecasts'!AX$114</f>
        <v>122</v>
      </c>
      <c r="AY116" s="10">
        <f>'BS Forecasts'!AY$114</f>
        <v>244</v>
      </c>
      <c r="AZ116" s="10">
        <f>'BS Forecasts'!AZ$114</f>
        <v>232</v>
      </c>
      <c r="BA116" s="10">
        <f>'BS Forecasts'!BA$114</f>
        <v>221</v>
      </c>
      <c r="BB116" s="10">
        <f>'BS Forecasts'!BB$114</f>
        <v>210</v>
      </c>
      <c r="BC116" s="10">
        <f>'BS Forecasts'!BC$114</f>
        <v>199</v>
      </c>
      <c r="BD116" s="10">
        <f>'BS Forecasts'!BD$114</f>
        <v>188</v>
      </c>
      <c r="BE116" s="10">
        <f>'BS Forecasts'!BE$114</f>
        <v>177</v>
      </c>
      <c r="BF116" s="10">
        <f>'BS Forecasts'!BF$114</f>
        <v>166</v>
      </c>
      <c r="BG116" s="10">
        <f>'BS Forecasts'!BG$114</f>
        <v>155</v>
      </c>
      <c r="BH116" s="10">
        <f>'BS Forecasts'!BH$114</f>
        <v>144</v>
      </c>
      <c r="BI116" s="10">
        <f>'BS Forecasts'!BI$114</f>
        <v>133</v>
      </c>
      <c r="BJ116" s="10">
        <f>'BS Forecasts'!BJ$114</f>
        <v>0</v>
      </c>
      <c r="BK116" s="280"/>
      <c r="BL116" s="10">
        <f>'BS Forecasts'!BL$114</f>
        <v>393</v>
      </c>
      <c r="BM116" s="10">
        <f>'BS Forecasts'!BM$114</f>
        <v>256</v>
      </c>
      <c r="BN116" s="10">
        <f>'BS Forecasts'!BN$114</f>
        <v>122</v>
      </c>
      <c r="BO116" s="10">
        <f>'BS Forecasts'!BO$114</f>
        <v>0</v>
      </c>
      <c r="BP116" s="10">
        <f>'BS Forecasts'!BP$114</f>
        <v>122</v>
      </c>
      <c r="BQ116" s="10">
        <f>'BS Forecasts'!BQ$114</f>
        <v>122</v>
      </c>
      <c r="BR116" s="10">
        <f>'BS Forecasts'!BR$114</f>
        <v>122</v>
      </c>
      <c r="BS116" s="10">
        <f>'BS Forecasts'!BS$114</f>
        <v>122</v>
      </c>
      <c r="BT116" s="10">
        <f>'BS Forecasts'!BT$114</f>
        <v>122</v>
      </c>
      <c r="BU116" s="10">
        <f>'BS Forecasts'!BU$114</f>
        <v>122</v>
      </c>
      <c r="BV116" s="10">
        <f>'BS Forecasts'!BV$114</f>
        <v>122</v>
      </c>
      <c r="BW116" s="10">
        <f>'BS Forecasts'!BW$114</f>
        <v>122</v>
      </c>
      <c r="BY116" s="42"/>
      <c r="CC116" s="126">
        <f t="shared" si="75"/>
        <v>0</v>
      </c>
      <c r="CD116" s="126">
        <f t="shared" si="76"/>
        <v>0</v>
      </c>
      <c r="CE116" s="126">
        <f t="shared" si="111"/>
        <v>0</v>
      </c>
      <c r="CF116" s="42"/>
      <c r="CG116" s="352">
        <f t="shared" si="112"/>
        <v>0</v>
      </c>
      <c r="CH116" s="352">
        <f t="shared" si="112"/>
        <v>0</v>
      </c>
      <c r="CI116" s="352">
        <f t="shared" si="112"/>
        <v>0</v>
      </c>
      <c r="CJ116" s="352">
        <f t="shared" si="113"/>
        <v>0</v>
      </c>
      <c r="CK116" s="352">
        <f t="shared" si="113"/>
        <v>0</v>
      </c>
      <c r="CL116" s="352">
        <f t="shared" si="113"/>
        <v>0</v>
      </c>
      <c r="CM116" s="352">
        <f t="shared" si="114"/>
        <v>0</v>
      </c>
      <c r="EX116" s="13" t="str">
        <f t="shared" ca="1" si="115"/>
        <v>Creditors: amounts falling due after one year Finance Lease Obligations</v>
      </c>
    </row>
    <row r="117" spans="1:154" s="335" customFormat="1" x14ac:dyDescent="0.25">
      <c r="A117" s="362" cm="1">
        <f t="array" aca="1" ref="A117" ca="1">HYPERLINK(CONCATENATE("#",CELL("address",IF(SUM($BY117:$CF117)=0,A117,INDEX($BY117:$CF117,MATCH(1,$BY117:$CF117,0))))),SUM($BY117:$CF117))</f>
        <v>0</v>
      </c>
      <c r="B117" s="93"/>
      <c r="C117" s="343" t="str">
        <f>'BS Forecasts'!C$120</f>
        <v>B-6d-CB</v>
      </c>
      <c r="D117" s="560" t="str" cm="1">
        <f t="array" aca="1" ref="D117" ca="1">HYPERLINK(CONCATENATE("#",CELL("address",'BS Forecasts'!$D$120)),'BS Forecasts'!$D$116)</f>
        <v>Interest Payable</v>
      </c>
      <c r="E117" s="1"/>
      <c r="V117" s="10">
        <f>'BS Forecasts'!V$120</f>
        <v>0</v>
      </c>
      <c r="W117" s="10">
        <f ca="1">'BS Forecasts'!W$120</f>
        <v>0</v>
      </c>
      <c r="X117" s="10">
        <f ca="1">'BS Forecasts'!X$120</f>
        <v>0</v>
      </c>
      <c r="Y117" s="10">
        <f ca="1">'BS Forecasts'!Y$120</f>
        <v>0</v>
      </c>
      <c r="AA117" s="10">
        <f ca="1">'BS Forecasts'!AA$120</f>
        <v>0</v>
      </c>
      <c r="AB117" s="10">
        <f ca="1">'BS Forecasts'!AB$120</f>
        <v>0</v>
      </c>
      <c r="AC117" s="10">
        <f ca="1">'BS Forecasts'!AC$120</f>
        <v>0</v>
      </c>
      <c r="AD117" s="10">
        <f ca="1">'BS Forecasts'!AD$120</f>
        <v>0</v>
      </c>
      <c r="AE117" s="10">
        <f ca="1">'BS Forecasts'!AE$120</f>
        <v>0</v>
      </c>
      <c r="AF117" s="10">
        <f ca="1">'BS Forecasts'!AF$120</f>
        <v>0</v>
      </c>
      <c r="AG117" s="10">
        <f ca="1">'BS Forecasts'!AG$120</f>
        <v>0</v>
      </c>
      <c r="AH117" s="10">
        <f ca="1">'BS Forecasts'!AH$120</f>
        <v>0</v>
      </c>
      <c r="AI117" s="10">
        <f ca="1">'BS Forecasts'!AI$120</f>
        <v>0</v>
      </c>
      <c r="AJ117" s="10">
        <f ca="1">'BS Forecasts'!AJ$120</f>
        <v>0</v>
      </c>
      <c r="AK117" s="10">
        <f ca="1">'BS Forecasts'!AK$120</f>
        <v>0</v>
      </c>
      <c r="AL117" s="10">
        <f ca="1">'BS Forecasts'!AL$120</f>
        <v>0</v>
      </c>
      <c r="AM117" s="10">
        <f ca="1">'BS Forecasts'!AM$120</f>
        <v>0</v>
      </c>
      <c r="AN117" s="10">
        <f ca="1">'BS Forecasts'!AN$120</f>
        <v>0</v>
      </c>
      <c r="AO117" s="10">
        <f ca="1">'BS Forecasts'!AO$120</f>
        <v>0</v>
      </c>
      <c r="AP117" s="10">
        <f ca="1">'BS Forecasts'!AP$120</f>
        <v>0</v>
      </c>
      <c r="AQ117" s="10">
        <f ca="1">'BS Forecasts'!AQ$120</f>
        <v>0</v>
      </c>
      <c r="AR117" s="10">
        <f ca="1">'BS Forecasts'!AR$120</f>
        <v>0</v>
      </c>
      <c r="AS117" s="10">
        <f ca="1">'BS Forecasts'!AS$120</f>
        <v>0</v>
      </c>
      <c r="AT117" s="10">
        <f ca="1">'BS Forecasts'!AT$120</f>
        <v>0</v>
      </c>
      <c r="AU117" s="10">
        <f ca="1">'BS Forecasts'!AU$120</f>
        <v>0</v>
      </c>
      <c r="AV117" s="10">
        <f ca="1">'BS Forecasts'!AV$120</f>
        <v>0</v>
      </c>
      <c r="AW117" s="10">
        <f ca="1">'BS Forecasts'!AW$120</f>
        <v>0</v>
      </c>
      <c r="AX117" s="10">
        <f ca="1">'BS Forecasts'!AX$120</f>
        <v>0</v>
      </c>
      <c r="AY117" s="10">
        <f ca="1">'BS Forecasts'!AY$120</f>
        <v>0</v>
      </c>
      <c r="AZ117" s="10">
        <f ca="1">'BS Forecasts'!AZ$120</f>
        <v>0</v>
      </c>
      <c r="BA117" s="10">
        <f ca="1">'BS Forecasts'!BA$120</f>
        <v>0</v>
      </c>
      <c r="BB117" s="10">
        <f ca="1">'BS Forecasts'!BB$120</f>
        <v>0</v>
      </c>
      <c r="BC117" s="10">
        <f ca="1">'BS Forecasts'!BC$120</f>
        <v>0</v>
      </c>
      <c r="BD117" s="10">
        <f ca="1">'BS Forecasts'!BD$120</f>
        <v>0</v>
      </c>
      <c r="BE117" s="10">
        <f ca="1">'BS Forecasts'!BE$120</f>
        <v>0</v>
      </c>
      <c r="BF117" s="10">
        <f ca="1">'BS Forecasts'!BF$120</f>
        <v>0</v>
      </c>
      <c r="BG117" s="10">
        <f ca="1">'BS Forecasts'!BG$120</f>
        <v>0</v>
      </c>
      <c r="BH117" s="10">
        <f ca="1">'BS Forecasts'!BH$120</f>
        <v>0</v>
      </c>
      <c r="BI117" s="10">
        <f ca="1">'BS Forecasts'!BI$120</f>
        <v>0</v>
      </c>
      <c r="BJ117" s="10">
        <f ca="1">'BS Forecasts'!BJ$120</f>
        <v>0</v>
      </c>
      <c r="BL117" s="10">
        <f>'BS Forecasts'!BL$120</f>
        <v>0</v>
      </c>
      <c r="BM117" s="10">
        <f ca="1">'BS Forecasts'!BM$120</f>
        <v>0</v>
      </c>
      <c r="BN117" s="10">
        <f ca="1">'BS Forecasts'!BN$120</f>
        <v>0</v>
      </c>
      <c r="BO117" s="10">
        <f ca="1">'BS Forecasts'!BO$120</f>
        <v>0</v>
      </c>
      <c r="BP117" s="10">
        <f>'BS Forecasts'!BP$120</f>
        <v>-2.2999999999999998</v>
      </c>
      <c r="BQ117" s="10">
        <f>'BS Forecasts'!BQ$120</f>
        <v>-2.2999999999999998</v>
      </c>
      <c r="BR117" s="10">
        <f>'BS Forecasts'!BR$120</f>
        <v>-2.2999999999999998</v>
      </c>
      <c r="BS117" s="10">
        <f>'BS Forecasts'!BS$120</f>
        <v>-2.2999999999999998</v>
      </c>
      <c r="BT117" s="10">
        <f>'BS Forecasts'!BT$120</f>
        <v>-2.2999999999999998</v>
      </c>
      <c r="BU117" s="10">
        <f>'BS Forecasts'!BU$120</f>
        <v>-2.2999999999999998</v>
      </c>
      <c r="BV117" s="10">
        <f>'BS Forecasts'!BV$120</f>
        <v>-2.2999999999999998</v>
      </c>
      <c r="BW117" s="10">
        <f>'BS Forecasts'!BW$120</f>
        <v>-2.2999999999999998</v>
      </c>
      <c r="BY117" s="42"/>
      <c r="CC117" s="126">
        <f t="shared" ca="1" si="75"/>
        <v>0</v>
      </c>
      <c r="CD117" s="126">
        <f t="shared" ca="1" si="76"/>
        <v>0</v>
      </c>
      <c r="CE117" s="126">
        <f t="shared" si="111"/>
        <v>0</v>
      </c>
      <c r="CF117" s="42"/>
      <c r="CG117" s="352">
        <f t="shared" ca="1" si="112"/>
        <v>0</v>
      </c>
      <c r="CH117" s="352">
        <f t="shared" ca="1" si="112"/>
        <v>0</v>
      </c>
      <c r="CI117" s="352">
        <f t="shared" ca="1" si="112"/>
        <v>0</v>
      </c>
      <c r="CJ117" s="352">
        <f t="shared" ca="1" si="113"/>
        <v>0</v>
      </c>
      <c r="CK117" s="352">
        <f t="shared" ca="1" si="113"/>
        <v>0</v>
      </c>
      <c r="CL117" s="352">
        <f t="shared" ca="1" si="113"/>
        <v>0</v>
      </c>
      <c r="CM117" s="352">
        <f t="shared" si="114"/>
        <v>0</v>
      </c>
      <c r="EX117" s="13" t="str">
        <f t="shared" ca="1" si="115"/>
        <v>Creditors: amounts falling due after one year Interest Payable</v>
      </c>
    </row>
    <row r="118" spans="1:154" x14ac:dyDescent="0.25">
      <c r="A118" s="362" cm="1">
        <f t="array" aca="1" ref="A118" ca="1">HYPERLINK(CONCATENATE("#",CELL("address",IF(SUM($BY118:$CF118)=0,A118,INDEX($BY118:$CF118,MATCH(1,$BY118:$CF118,0))))),SUM($BY118:$CF118))</f>
        <v>0</v>
      </c>
      <c r="C118" s="343" t="str">
        <f>'BS Forecasts'!C$139</f>
        <v>B-6e-CB</v>
      </c>
      <c r="D118" s="560" t="str" cm="1">
        <f t="array" aca="1" ref="D118" ca="1">HYPERLINK(CONCATENATE("#",CELL("address",'BS Forecasts'!$D$139)),'BS Forecasts'!$D$122)</f>
        <v>Capital Grant Liability</v>
      </c>
      <c r="J118" s="335"/>
      <c r="Q118" s="335"/>
      <c r="R118" s="335"/>
      <c r="S118" s="280"/>
      <c r="T118" s="335"/>
      <c r="U118" s="335"/>
      <c r="V118" s="10">
        <f>'BS Forecasts'!V$139</f>
        <v>9537</v>
      </c>
      <c r="W118" s="10">
        <f>'BS Forecasts'!W$139</f>
        <v>11396</v>
      </c>
      <c r="X118" s="10">
        <f>'BS Forecasts'!X$139</f>
        <v>13745</v>
      </c>
      <c r="Y118" s="10">
        <f>'BS Forecasts'!Y$139</f>
        <v>14782</v>
      </c>
      <c r="Z118" s="280"/>
      <c r="AA118" s="10">
        <f>'BS Forecasts'!AA$139</f>
        <v>9894</v>
      </c>
      <c r="AB118" s="10">
        <f>'BS Forecasts'!AB$139</f>
        <v>10926</v>
      </c>
      <c r="AC118" s="10">
        <f>'BS Forecasts'!AC$139</f>
        <v>11457</v>
      </c>
      <c r="AD118" s="10">
        <f>'BS Forecasts'!AD$139</f>
        <v>11423</v>
      </c>
      <c r="AE118" s="10">
        <f>'BS Forecasts'!AE$139</f>
        <v>11737</v>
      </c>
      <c r="AF118" s="10">
        <f>'BS Forecasts'!AF$139</f>
        <v>11699</v>
      </c>
      <c r="AG118" s="10">
        <f>'BS Forecasts'!AG$139</f>
        <v>11666</v>
      </c>
      <c r="AH118" s="10">
        <f>'BS Forecasts'!AH$139</f>
        <v>11982</v>
      </c>
      <c r="AI118" s="10">
        <f>'BS Forecasts'!AI$139</f>
        <v>11941</v>
      </c>
      <c r="AJ118" s="10">
        <f>'BS Forecasts'!AJ$139</f>
        <v>11947</v>
      </c>
      <c r="AK118" s="10">
        <f>'BS Forecasts'!AK$139</f>
        <v>11906</v>
      </c>
      <c r="AL118" s="10">
        <f>'BS Forecasts'!AL$139</f>
        <v>11396</v>
      </c>
      <c r="AM118" s="10">
        <f>'BS Forecasts'!AM$139</f>
        <v>11829</v>
      </c>
      <c r="AN118" s="10">
        <f>'BS Forecasts'!AN$139</f>
        <v>11789</v>
      </c>
      <c r="AO118" s="10">
        <f>'BS Forecasts'!AO$139</f>
        <v>11749</v>
      </c>
      <c r="AP118" s="10">
        <f>'BS Forecasts'!AP$139</f>
        <v>11708</v>
      </c>
      <c r="AQ118" s="10">
        <f>'BS Forecasts'!AQ$139</f>
        <v>11667</v>
      </c>
      <c r="AR118" s="10">
        <f>'BS Forecasts'!AR$139</f>
        <v>11626</v>
      </c>
      <c r="AS118" s="10">
        <f>'BS Forecasts'!AS$139</f>
        <v>11584</v>
      </c>
      <c r="AT118" s="10">
        <f>'BS Forecasts'!AT$139</f>
        <v>11538</v>
      </c>
      <c r="AU118" s="10">
        <f>'BS Forecasts'!AU$139</f>
        <v>11492</v>
      </c>
      <c r="AV118" s="10">
        <f>'BS Forecasts'!AV$139</f>
        <v>11446</v>
      </c>
      <c r="AW118" s="10">
        <f>'BS Forecasts'!AW$139</f>
        <v>11399</v>
      </c>
      <c r="AX118" s="10">
        <f>'BS Forecasts'!AX$139</f>
        <v>13745</v>
      </c>
      <c r="AY118" s="10">
        <f>'BS Forecasts'!AY$139</f>
        <v>14250</v>
      </c>
      <c r="AZ118" s="10">
        <f>'BS Forecasts'!AZ$139</f>
        <v>14205</v>
      </c>
      <c r="BA118" s="10">
        <f>'BS Forecasts'!BA$139</f>
        <v>14159</v>
      </c>
      <c r="BB118" s="10">
        <f>'BS Forecasts'!BB$139</f>
        <v>14113</v>
      </c>
      <c r="BC118" s="10">
        <f>'BS Forecasts'!BC$139</f>
        <v>14067</v>
      </c>
      <c r="BD118" s="10">
        <f>'BS Forecasts'!BD$139</f>
        <v>14020</v>
      </c>
      <c r="BE118" s="10">
        <f>'BS Forecasts'!BE$139</f>
        <v>13973</v>
      </c>
      <c r="BF118" s="10">
        <f>'BS Forecasts'!BF$139</f>
        <v>13923</v>
      </c>
      <c r="BG118" s="10">
        <f>'BS Forecasts'!BG$139</f>
        <v>13873</v>
      </c>
      <c r="BH118" s="10">
        <f>'BS Forecasts'!BH$139</f>
        <v>13823</v>
      </c>
      <c r="BI118" s="10">
        <f>'BS Forecasts'!BI$139</f>
        <v>13773</v>
      </c>
      <c r="BJ118" s="10">
        <f>'BS Forecasts'!BJ$139</f>
        <v>14782</v>
      </c>
      <c r="BK118" s="280"/>
      <c r="BL118" s="10">
        <f>'BS Forecasts'!BL$139</f>
        <v>9537</v>
      </c>
      <c r="BM118" s="10">
        <f>'BS Forecasts'!BM$139</f>
        <v>11396</v>
      </c>
      <c r="BN118" s="10">
        <f>'BS Forecasts'!BN$139</f>
        <v>13745</v>
      </c>
      <c r="BO118" s="10">
        <f>'BS Forecasts'!BO$139</f>
        <v>14782</v>
      </c>
      <c r="BP118" s="10">
        <f>'BS Forecasts'!BP$139</f>
        <v>15353</v>
      </c>
      <c r="BQ118" s="10">
        <f>'BS Forecasts'!BQ$139</f>
        <v>15353</v>
      </c>
      <c r="BR118" s="10">
        <f>'BS Forecasts'!BR$139</f>
        <v>15353</v>
      </c>
      <c r="BS118" s="10">
        <f>'BS Forecasts'!BS$139</f>
        <v>15353</v>
      </c>
      <c r="BT118" s="10">
        <f>'BS Forecasts'!BT$139</f>
        <v>15353</v>
      </c>
      <c r="BU118" s="10">
        <f>'BS Forecasts'!BU$139</f>
        <v>15353</v>
      </c>
      <c r="BV118" s="10">
        <f>'BS Forecasts'!BV$139</f>
        <v>15353</v>
      </c>
      <c r="BW118" s="10">
        <f>'BS Forecasts'!BW$139</f>
        <v>15353</v>
      </c>
      <c r="BY118" s="42"/>
      <c r="CC118" s="126">
        <f t="shared" si="75"/>
        <v>0</v>
      </c>
      <c r="CD118" s="126">
        <f t="shared" si="76"/>
        <v>0</v>
      </c>
      <c r="CE118" s="126">
        <f t="shared" si="111"/>
        <v>0</v>
      </c>
      <c r="CF118" s="42"/>
      <c r="CG118" s="352">
        <f t="shared" si="112"/>
        <v>0</v>
      </c>
      <c r="CH118" s="352">
        <f t="shared" si="112"/>
        <v>0</v>
      </c>
      <c r="CI118" s="352">
        <f t="shared" si="112"/>
        <v>0</v>
      </c>
      <c r="CJ118" s="352">
        <f t="shared" si="113"/>
        <v>0</v>
      </c>
      <c r="CK118" s="352">
        <f t="shared" si="113"/>
        <v>0</v>
      </c>
      <c r="CL118" s="352">
        <f t="shared" si="113"/>
        <v>0</v>
      </c>
      <c r="CM118" s="352">
        <f t="shared" si="114"/>
        <v>0</v>
      </c>
      <c r="EX118" s="13" t="str">
        <f t="shared" ca="1" si="115"/>
        <v>Creditors: amounts falling due after one year Capital Grant Liability</v>
      </c>
    </row>
    <row r="119" spans="1:154" x14ac:dyDescent="0.25">
      <c r="A119" s="362" cm="1">
        <f t="array" aca="1" ref="A119" ca="1">HYPERLINK(CONCATENATE("#",CELL("address",IF(SUM($BY119:$CF119)=0,A119,INDEX($BY119:$CF119,MATCH(1,$BY119:$CF119,0))))),SUM($BY119:$CF119))</f>
        <v>0</v>
      </c>
      <c r="C119" s="343" t="str">
        <f>'BS Forecasts'!C$151</f>
        <v>B-6f-CB</v>
      </c>
      <c r="D119" s="560" t="str" cm="1">
        <f t="array" aca="1" ref="D119" ca="1">HYPERLINK(CONCATENATE("#",CELL("address",'BS Forecasts'!$D$151)),'BS Forecasts'!$D$147)</f>
        <v>Other Liabilities</v>
      </c>
      <c r="J119" s="335"/>
      <c r="Q119" s="335"/>
      <c r="R119" s="335"/>
      <c r="S119" s="280"/>
      <c r="T119" s="335"/>
      <c r="U119" s="335"/>
      <c r="V119" s="10">
        <f>'BS Forecasts'!V$151</f>
        <v>38</v>
      </c>
      <c r="W119" s="10">
        <f>'BS Forecasts'!W$151</f>
        <v>38</v>
      </c>
      <c r="X119" s="10">
        <f>'BS Forecasts'!X$151</f>
        <v>38</v>
      </c>
      <c r="Y119" s="10">
        <f>'BS Forecasts'!Y$151</f>
        <v>38</v>
      </c>
      <c r="Z119" s="280"/>
      <c r="AA119" s="10">
        <f>'BS Forecasts'!AA$151</f>
        <v>38</v>
      </c>
      <c r="AB119" s="10">
        <f>'BS Forecasts'!AB$151</f>
        <v>38</v>
      </c>
      <c r="AC119" s="10">
        <f>'BS Forecasts'!AC$151</f>
        <v>38</v>
      </c>
      <c r="AD119" s="10">
        <f>'BS Forecasts'!AD$151</f>
        <v>38</v>
      </c>
      <c r="AE119" s="10">
        <f>'BS Forecasts'!AE$151</f>
        <v>38</v>
      </c>
      <c r="AF119" s="10">
        <f>'BS Forecasts'!AF$151</f>
        <v>38</v>
      </c>
      <c r="AG119" s="10">
        <f>'BS Forecasts'!AG$151</f>
        <v>38</v>
      </c>
      <c r="AH119" s="10">
        <f>'BS Forecasts'!AH$151</f>
        <v>38</v>
      </c>
      <c r="AI119" s="10">
        <f>'BS Forecasts'!AI$151</f>
        <v>38</v>
      </c>
      <c r="AJ119" s="10">
        <f>'BS Forecasts'!AJ$151</f>
        <v>38</v>
      </c>
      <c r="AK119" s="10">
        <f>'BS Forecasts'!AK$151</f>
        <v>38</v>
      </c>
      <c r="AL119" s="10">
        <f>'BS Forecasts'!AL$151</f>
        <v>38</v>
      </c>
      <c r="AM119" s="10">
        <f>'BS Forecasts'!AM$151</f>
        <v>38</v>
      </c>
      <c r="AN119" s="10">
        <f>'BS Forecasts'!AN$151</f>
        <v>38</v>
      </c>
      <c r="AO119" s="10">
        <f>'BS Forecasts'!AO$151</f>
        <v>38</v>
      </c>
      <c r="AP119" s="10">
        <f>'BS Forecasts'!AP$151</f>
        <v>38</v>
      </c>
      <c r="AQ119" s="10">
        <f>'BS Forecasts'!AQ$151</f>
        <v>38</v>
      </c>
      <c r="AR119" s="10">
        <f>'BS Forecasts'!AR$151</f>
        <v>38</v>
      </c>
      <c r="AS119" s="10">
        <f>'BS Forecasts'!AS$151</f>
        <v>38</v>
      </c>
      <c r="AT119" s="10">
        <f>'BS Forecasts'!AT$151</f>
        <v>38</v>
      </c>
      <c r="AU119" s="10">
        <f>'BS Forecasts'!AU$151</f>
        <v>38</v>
      </c>
      <c r="AV119" s="10">
        <f>'BS Forecasts'!AV$151</f>
        <v>38</v>
      </c>
      <c r="AW119" s="10">
        <f>'BS Forecasts'!AW$151</f>
        <v>38</v>
      </c>
      <c r="AX119" s="10">
        <f>'BS Forecasts'!AX$151</f>
        <v>38</v>
      </c>
      <c r="AY119" s="10">
        <f>'BS Forecasts'!AY$151</f>
        <v>38</v>
      </c>
      <c r="AZ119" s="10">
        <f>'BS Forecasts'!AZ$151</f>
        <v>38</v>
      </c>
      <c r="BA119" s="10">
        <f>'BS Forecasts'!BA$151</f>
        <v>38</v>
      </c>
      <c r="BB119" s="10">
        <f>'BS Forecasts'!BB$151</f>
        <v>38</v>
      </c>
      <c r="BC119" s="10">
        <f>'BS Forecasts'!BC$151</f>
        <v>38</v>
      </c>
      <c r="BD119" s="10">
        <f>'BS Forecasts'!BD$151</f>
        <v>38</v>
      </c>
      <c r="BE119" s="10">
        <f>'BS Forecasts'!BE$151</f>
        <v>38</v>
      </c>
      <c r="BF119" s="10">
        <f>'BS Forecasts'!BF$151</f>
        <v>38</v>
      </c>
      <c r="BG119" s="10">
        <f>'BS Forecasts'!BG$151</f>
        <v>38</v>
      </c>
      <c r="BH119" s="10">
        <f>'BS Forecasts'!BH$151</f>
        <v>38</v>
      </c>
      <c r="BI119" s="10">
        <f>'BS Forecasts'!BI$151</f>
        <v>38</v>
      </c>
      <c r="BJ119" s="10">
        <f>'BS Forecasts'!BJ$151</f>
        <v>38</v>
      </c>
      <c r="BK119" s="280"/>
      <c r="BL119" s="10">
        <f>'BS Forecasts'!BL$151</f>
        <v>38</v>
      </c>
      <c r="BM119" s="10">
        <f>'BS Forecasts'!BM$151</f>
        <v>38</v>
      </c>
      <c r="BN119" s="10">
        <f>'BS Forecasts'!BN$151</f>
        <v>38</v>
      </c>
      <c r="BO119" s="10">
        <f>'BS Forecasts'!BO$151</f>
        <v>38</v>
      </c>
      <c r="BP119" s="10">
        <f>'BS Forecasts'!BP$151</f>
        <v>0</v>
      </c>
      <c r="BQ119" s="10">
        <f>'BS Forecasts'!BQ$151</f>
        <v>0</v>
      </c>
      <c r="BR119" s="10">
        <f>'BS Forecasts'!BR$151</f>
        <v>0</v>
      </c>
      <c r="BS119" s="10">
        <f>'BS Forecasts'!BS$151</f>
        <v>0</v>
      </c>
      <c r="BT119" s="10">
        <f>'BS Forecasts'!BT$151</f>
        <v>0</v>
      </c>
      <c r="BU119" s="10">
        <f>'BS Forecasts'!BU$151</f>
        <v>0</v>
      </c>
      <c r="BV119" s="10">
        <f>'BS Forecasts'!BV$151</f>
        <v>0</v>
      </c>
      <c r="BW119" s="10">
        <f>'BS Forecasts'!BW$151</f>
        <v>0</v>
      </c>
      <c r="BY119" s="42"/>
      <c r="CC119" s="126">
        <f t="shared" si="75"/>
        <v>0</v>
      </c>
      <c r="CD119" s="126">
        <f t="shared" si="76"/>
        <v>0</v>
      </c>
      <c r="CE119" s="126">
        <f t="shared" si="111"/>
        <v>0</v>
      </c>
      <c r="CF119" s="42"/>
      <c r="CG119" s="352">
        <f t="shared" si="112"/>
        <v>0</v>
      </c>
      <c r="CH119" s="352">
        <f t="shared" si="112"/>
        <v>0</v>
      </c>
      <c r="CI119" s="352">
        <f t="shared" si="112"/>
        <v>0</v>
      </c>
      <c r="CJ119" s="352">
        <f t="shared" si="113"/>
        <v>0</v>
      </c>
      <c r="CK119" s="352">
        <f t="shared" si="113"/>
        <v>0</v>
      </c>
      <c r="CL119" s="352">
        <f t="shared" si="113"/>
        <v>0</v>
      </c>
      <c r="CM119" s="352">
        <f t="shared" si="114"/>
        <v>0</v>
      </c>
      <c r="EX119" s="13" t="str">
        <f t="shared" ca="1" si="115"/>
        <v>Creditors: amounts falling due after one year Other Liabilities</v>
      </c>
    </row>
    <row r="120" spans="1:154" x14ac:dyDescent="0.25">
      <c r="A120" s="362" cm="1">
        <f t="array" aca="1" ref="A120" ca="1">HYPERLINK(CONCATENATE("#",CELL("address",IF(SUM($BY120:$CF120)=0,A120,INDEX($BY120:$CF120,MATCH(1,$BY120:$CF120,0))))),SUM($BY120:$CF120))</f>
        <v>0</v>
      </c>
      <c r="C120" s="343" t="s">
        <v>1465</v>
      </c>
      <c r="D120" s="554" t="s">
        <v>293</v>
      </c>
      <c r="J120" s="335"/>
      <c r="Q120" s="335"/>
      <c r="R120" s="335"/>
      <c r="S120" s="335"/>
      <c r="T120" s="335"/>
      <c r="U120" s="335"/>
      <c r="V120" s="13">
        <f>SUM(V114:V119)*V$9</f>
        <v>0</v>
      </c>
      <c r="W120" s="13">
        <f ca="1">SUM(W114:W119)*W$9</f>
        <v>14107</v>
      </c>
      <c r="X120" s="13">
        <f ca="1">SUM(X114:X119)*X$9</f>
        <v>16038</v>
      </c>
      <c r="Y120" s="13">
        <f ca="1">SUM(Y114:Y119)*Y$9</f>
        <v>16953</v>
      </c>
      <c r="Z120" s="335"/>
      <c r="AA120" s="13">
        <f t="shared" ref="AA120:BJ120" ca="1" si="116">SUM(AA114:AA119)*AA$9</f>
        <v>13101</v>
      </c>
      <c r="AB120" s="13">
        <f t="shared" ca="1" si="116"/>
        <v>14108</v>
      </c>
      <c r="AC120" s="13">
        <f t="shared" ca="1" si="116"/>
        <v>14615</v>
      </c>
      <c r="AD120" s="13">
        <f t="shared" ca="1" si="116"/>
        <v>14525</v>
      </c>
      <c r="AE120" s="13">
        <f t="shared" ca="1" si="116"/>
        <v>14814</v>
      </c>
      <c r="AF120" s="13">
        <f t="shared" ca="1" si="116"/>
        <v>14752</v>
      </c>
      <c r="AG120" s="13">
        <f t="shared" ca="1" si="116"/>
        <v>14663</v>
      </c>
      <c r="AH120" s="13">
        <f t="shared" ca="1" si="116"/>
        <v>14955</v>
      </c>
      <c r="AI120" s="13">
        <f t="shared" ca="1" si="116"/>
        <v>14890</v>
      </c>
      <c r="AJ120" s="13">
        <f t="shared" ca="1" si="116"/>
        <v>14840</v>
      </c>
      <c r="AK120" s="13">
        <f t="shared" ca="1" si="116"/>
        <v>14775</v>
      </c>
      <c r="AL120" s="13">
        <f t="shared" ca="1" si="116"/>
        <v>14107</v>
      </c>
      <c r="AM120" s="13">
        <f t="shared" ca="1" si="116"/>
        <v>14618</v>
      </c>
      <c r="AN120" s="13">
        <f t="shared" ca="1" si="116"/>
        <v>14553</v>
      </c>
      <c r="AO120" s="13">
        <f t="shared" ca="1" si="116"/>
        <v>14489</v>
      </c>
      <c r="AP120" s="13">
        <f t="shared" ca="1" si="116"/>
        <v>14392</v>
      </c>
      <c r="AQ120" s="13">
        <f t="shared" ca="1" si="116"/>
        <v>14326</v>
      </c>
      <c r="AR120" s="13">
        <f t="shared" ca="1" si="116"/>
        <v>14261</v>
      </c>
      <c r="AS120" s="13">
        <f t="shared" ca="1" si="116"/>
        <v>14163</v>
      </c>
      <c r="AT120" s="13">
        <f t="shared" ca="1" si="116"/>
        <v>14093</v>
      </c>
      <c r="AU120" s="13">
        <f t="shared" ca="1" si="116"/>
        <v>14023</v>
      </c>
      <c r="AV120" s="13">
        <f t="shared" ca="1" si="116"/>
        <v>13921</v>
      </c>
      <c r="AW120" s="13">
        <f t="shared" ca="1" si="116"/>
        <v>13850</v>
      </c>
      <c r="AX120" s="13">
        <f t="shared" ca="1" si="116"/>
        <v>16038</v>
      </c>
      <c r="AY120" s="13">
        <f t="shared" ca="1" si="116"/>
        <v>16905</v>
      </c>
      <c r="AZ120" s="13">
        <f t="shared" ca="1" si="116"/>
        <v>16835</v>
      </c>
      <c r="BA120" s="13">
        <f t="shared" ca="1" si="116"/>
        <v>16765</v>
      </c>
      <c r="BB120" s="13">
        <f t="shared" ca="1" si="116"/>
        <v>16663</v>
      </c>
      <c r="BC120" s="13">
        <f t="shared" ca="1" si="116"/>
        <v>16592</v>
      </c>
      <c r="BD120" s="13">
        <f t="shared" ca="1" si="116"/>
        <v>16521</v>
      </c>
      <c r="BE120" s="13">
        <f t="shared" ca="1" si="116"/>
        <v>16418</v>
      </c>
      <c r="BF120" s="13">
        <f t="shared" ca="1" si="116"/>
        <v>16344</v>
      </c>
      <c r="BG120" s="13">
        <f t="shared" ca="1" si="116"/>
        <v>16270</v>
      </c>
      <c r="BH120" s="13">
        <f t="shared" ca="1" si="116"/>
        <v>16164</v>
      </c>
      <c r="BI120" s="13">
        <f t="shared" ca="1" si="116"/>
        <v>16090</v>
      </c>
      <c r="BJ120" s="13">
        <f t="shared" ca="1" si="116"/>
        <v>16953</v>
      </c>
      <c r="BK120" s="335"/>
      <c r="BL120" s="13">
        <f t="shared" ref="BL120:BW120" si="117">SUM(BL114:BL119)*BL$9</f>
        <v>0</v>
      </c>
      <c r="BM120" s="13">
        <f t="shared" ca="1" si="117"/>
        <v>14107</v>
      </c>
      <c r="BN120" s="13">
        <f t="shared" ca="1" si="117"/>
        <v>16038</v>
      </c>
      <c r="BO120" s="13">
        <f t="shared" ca="1" si="117"/>
        <v>16953</v>
      </c>
      <c r="BP120" s="13">
        <f t="shared" si="117"/>
        <v>0</v>
      </c>
      <c r="BQ120" s="13">
        <f t="shared" si="117"/>
        <v>0</v>
      </c>
      <c r="BR120" s="13">
        <f t="shared" si="117"/>
        <v>0</v>
      </c>
      <c r="BS120" s="13">
        <f t="shared" si="117"/>
        <v>0</v>
      </c>
      <c r="BT120" s="13">
        <f t="shared" si="117"/>
        <v>0</v>
      </c>
      <c r="BU120" s="13">
        <f t="shared" si="117"/>
        <v>0</v>
      </c>
      <c r="BV120" s="13">
        <f t="shared" si="117"/>
        <v>0</v>
      </c>
      <c r="BW120" s="13">
        <f t="shared" si="117"/>
        <v>0</v>
      </c>
      <c r="BY120" s="42"/>
      <c r="CC120" s="126">
        <f t="shared" ca="1" si="75"/>
        <v>0</v>
      </c>
      <c r="CD120" s="126">
        <f t="shared" ca="1" si="76"/>
        <v>0</v>
      </c>
      <c r="CE120" s="126">
        <f t="shared" si="111"/>
        <v>0</v>
      </c>
      <c r="CF120" s="42"/>
      <c r="CG120" s="352">
        <f t="shared" ca="1" si="112"/>
        <v>0</v>
      </c>
      <c r="CH120" s="352">
        <f t="shared" ca="1" si="112"/>
        <v>0</v>
      </c>
      <c r="CI120" s="352">
        <f t="shared" ca="1" si="112"/>
        <v>0</v>
      </c>
      <c r="CJ120" s="352">
        <f t="shared" ca="1" si="113"/>
        <v>0</v>
      </c>
      <c r="CK120" s="352">
        <f t="shared" ca="1" si="113"/>
        <v>0</v>
      </c>
      <c r="CL120" s="352">
        <f t="shared" ca="1" si="113"/>
        <v>0</v>
      </c>
      <c r="CM120" s="352">
        <f t="shared" si="114"/>
        <v>0</v>
      </c>
      <c r="EX120" s="10" t="str">
        <f t="shared" si="84"/>
        <v>Total Creditors: amounts falling due after one year</v>
      </c>
    </row>
    <row r="121" spans="1:154" s="335" customFormat="1" ht="8.1" customHeight="1" x14ac:dyDescent="0.25">
      <c r="A121" s="157"/>
      <c r="B121" s="187"/>
      <c r="C121" s="343"/>
      <c r="D121" s="556"/>
      <c r="E121" s="157"/>
      <c r="F121" s="157"/>
      <c r="G121" s="157"/>
      <c r="J121" s="157"/>
      <c r="K121" s="157"/>
      <c r="L121" s="157"/>
      <c r="M121" s="157"/>
      <c r="N121" s="157"/>
      <c r="O121" s="157"/>
      <c r="P121" s="157"/>
      <c r="S121" s="157"/>
      <c r="V121" s="157"/>
      <c r="W121" s="157"/>
      <c r="X121" s="157"/>
      <c r="Y121" s="157"/>
      <c r="Z121" s="157"/>
      <c r="AA121" s="157"/>
      <c r="AB121" s="157"/>
      <c r="AC121" s="157"/>
      <c r="AD121" s="157"/>
      <c r="AE121" s="157"/>
      <c r="AF121" s="157"/>
      <c r="AG121" s="157"/>
      <c r="AH121" s="157"/>
      <c r="AI121" s="157"/>
      <c r="AJ121" s="157"/>
      <c r="AK121" s="157"/>
      <c r="AL121" s="157"/>
      <c r="AM121" s="157"/>
      <c r="AN121" s="157"/>
      <c r="AO121" s="157"/>
      <c r="AP121" s="157"/>
      <c r="AQ121" s="157"/>
      <c r="AR121" s="157"/>
      <c r="AS121" s="157"/>
      <c r="AT121" s="157"/>
      <c r="AU121" s="157"/>
      <c r="AV121" s="157"/>
      <c r="AW121" s="157"/>
      <c r="AX121" s="157"/>
      <c r="AY121" s="157"/>
      <c r="AZ121" s="157"/>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42"/>
      <c r="CC121" s="162"/>
      <c r="CD121" s="162"/>
      <c r="CE121" s="162"/>
      <c r="CF121" s="42"/>
      <c r="EX121" s="10" t="str">
        <f t="shared" si="84"/>
        <v/>
      </c>
    </row>
    <row r="122" spans="1:154" x14ac:dyDescent="0.25">
      <c r="A122" s="362" cm="1">
        <f t="array" aca="1" ref="A122" ca="1">HYPERLINK(CONCATENATE("#",CELL("address",IF(SUM($BY122:$CF122)=0,A122,INDEX($BY122:$CF122,MATCH(1,$BY122:$CF122,0))))),SUM($BY122:$CF122))</f>
        <v>0</v>
      </c>
      <c r="B122" s="5"/>
      <c r="C122" s="343"/>
      <c r="D122" s="563" t="s">
        <v>294</v>
      </c>
      <c r="J122" s="335"/>
      <c r="Q122" s="335"/>
      <c r="R122" s="335"/>
      <c r="T122" s="335"/>
      <c r="U122" s="335"/>
      <c r="BY122" s="42"/>
      <c r="CC122" s="126">
        <f t="shared" si="75"/>
        <v>0</v>
      </c>
      <c r="CD122" s="126">
        <f t="shared" si="76"/>
        <v>0</v>
      </c>
      <c r="CE122" s="126">
        <f t="shared" ref="CE122:CE127" si="118">IF(CM122=0, 0, 1)</f>
        <v>0</v>
      </c>
      <c r="CF122" s="42"/>
      <c r="CG122" s="352">
        <f t="shared" ref="CG122:CI127" si="119">ROUND(W122-INDEX($AA122:$BJ122, MATCH(W$5, $AA$5:$BJ$5,0)), rounding)</f>
        <v>0</v>
      </c>
      <c r="CH122" s="352">
        <f t="shared" si="119"/>
        <v>0</v>
      </c>
      <c r="CI122" s="352">
        <f t="shared" si="119"/>
        <v>0</v>
      </c>
      <c r="CJ122" s="352">
        <f t="shared" ref="CJ122:CL127" si="120">ROUND(W122-BM122, rounding)</f>
        <v>0</v>
      </c>
      <c r="CK122" s="352">
        <f t="shared" si="120"/>
        <v>0</v>
      </c>
      <c r="CL122" s="352">
        <f t="shared" si="120"/>
        <v>0</v>
      </c>
      <c r="CM122" s="352">
        <f t="shared" ref="CM122:CM127" si="121">ROUND(V122-BL122, rounding)</f>
        <v>0</v>
      </c>
      <c r="EX122" s="10" t="str">
        <f t="shared" si="84"/>
        <v/>
      </c>
    </row>
    <row r="123" spans="1:154" x14ac:dyDescent="0.25">
      <c r="A123" s="362" cm="1">
        <f t="array" aca="1" ref="A123" ca="1">HYPERLINK(CONCATENATE("#",CELL("address",IF(SUM($BY123:$CF123)=0,A123,INDEX($BY123:$CF123,MATCH(1,$BY123:$CF123,0))))),SUM($BY123:$CF123))</f>
        <v>0</v>
      </c>
      <c r="C123" s="343" t="str">
        <f>'BS Forecasts'!C$192</f>
        <v>B-7a-CB</v>
      </c>
      <c r="D123" s="560" t="str" cm="1">
        <f t="array" aca="1" ref="D123" ca="1">HYPERLINK(CONCATENATE("#",CELL("address",'BS Forecasts'!$D$192)),'BS Forecasts'!$D$180)</f>
        <v>Local Government Pension Scheme Provision</v>
      </c>
      <c r="J123" s="335"/>
      <c r="Q123" s="335"/>
      <c r="R123" s="335"/>
      <c r="S123" s="280"/>
      <c r="T123" s="335"/>
      <c r="U123" s="335"/>
      <c r="V123" s="10">
        <f>'BS Forecasts'!V$192</f>
        <v>20870</v>
      </c>
      <c r="W123" s="10">
        <f>'BS Forecasts'!W$192</f>
        <v>20870</v>
      </c>
      <c r="X123" s="10">
        <f>'BS Forecasts'!X$192</f>
        <v>20870</v>
      </c>
      <c r="Y123" s="10">
        <f>'BS Forecasts'!Y$192</f>
        <v>20870</v>
      </c>
      <c r="Z123" s="280"/>
      <c r="AA123" s="10">
        <f>'BS Forecasts'!AA$192</f>
        <v>20870</v>
      </c>
      <c r="AB123" s="10">
        <f>'BS Forecasts'!AB$192</f>
        <v>20870</v>
      </c>
      <c r="AC123" s="10">
        <f>'BS Forecasts'!AC$192</f>
        <v>20870</v>
      </c>
      <c r="AD123" s="10">
        <f>'BS Forecasts'!AD$192</f>
        <v>20870</v>
      </c>
      <c r="AE123" s="10">
        <f>'BS Forecasts'!AE$192</f>
        <v>20870</v>
      </c>
      <c r="AF123" s="10">
        <f>'BS Forecasts'!AF$192</f>
        <v>20870</v>
      </c>
      <c r="AG123" s="10">
        <f>'BS Forecasts'!AG$192</f>
        <v>20870</v>
      </c>
      <c r="AH123" s="10">
        <f>'BS Forecasts'!AH$192</f>
        <v>20870</v>
      </c>
      <c r="AI123" s="10">
        <f>'BS Forecasts'!AI$192</f>
        <v>20870</v>
      </c>
      <c r="AJ123" s="10">
        <f>'BS Forecasts'!AJ$192</f>
        <v>20870</v>
      </c>
      <c r="AK123" s="10">
        <f>'BS Forecasts'!AK$192</f>
        <v>20870</v>
      </c>
      <c r="AL123" s="10">
        <f>'BS Forecasts'!AL$192</f>
        <v>20870</v>
      </c>
      <c r="AM123" s="10">
        <f>'BS Forecasts'!AM$192</f>
        <v>20870</v>
      </c>
      <c r="AN123" s="10">
        <f>'BS Forecasts'!AN$192</f>
        <v>20870</v>
      </c>
      <c r="AO123" s="10">
        <f>'BS Forecasts'!AO$192</f>
        <v>20870</v>
      </c>
      <c r="AP123" s="10">
        <f>'BS Forecasts'!AP$192</f>
        <v>20870</v>
      </c>
      <c r="AQ123" s="10">
        <f>'BS Forecasts'!AQ$192</f>
        <v>20870</v>
      </c>
      <c r="AR123" s="10">
        <f>'BS Forecasts'!AR$192</f>
        <v>20870</v>
      </c>
      <c r="AS123" s="10">
        <f>'BS Forecasts'!AS$192</f>
        <v>20870</v>
      </c>
      <c r="AT123" s="10">
        <f>'BS Forecasts'!AT$192</f>
        <v>20870</v>
      </c>
      <c r="AU123" s="10">
        <f>'BS Forecasts'!AU$192</f>
        <v>20870</v>
      </c>
      <c r="AV123" s="10">
        <f>'BS Forecasts'!AV$192</f>
        <v>20870</v>
      </c>
      <c r="AW123" s="10">
        <f>'BS Forecasts'!AW$192</f>
        <v>20870</v>
      </c>
      <c r="AX123" s="10">
        <f>'BS Forecasts'!AX$192</f>
        <v>20870</v>
      </c>
      <c r="AY123" s="10">
        <f>'BS Forecasts'!AY$192</f>
        <v>20870</v>
      </c>
      <c r="AZ123" s="10">
        <f>'BS Forecasts'!AZ$192</f>
        <v>20870</v>
      </c>
      <c r="BA123" s="10">
        <f>'BS Forecasts'!BA$192</f>
        <v>20870</v>
      </c>
      <c r="BB123" s="10">
        <f>'BS Forecasts'!BB$192</f>
        <v>20870</v>
      </c>
      <c r="BC123" s="10">
        <f>'BS Forecasts'!BC$192</f>
        <v>20870</v>
      </c>
      <c r="BD123" s="10">
        <f>'BS Forecasts'!BD$192</f>
        <v>20870</v>
      </c>
      <c r="BE123" s="10">
        <f>'BS Forecasts'!BE$192</f>
        <v>20870</v>
      </c>
      <c r="BF123" s="10">
        <f>'BS Forecasts'!BF$192</f>
        <v>20870</v>
      </c>
      <c r="BG123" s="10">
        <f>'BS Forecasts'!BG$192</f>
        <v>20870</v>
      </c>
      <c r="BH123" s="10">
        <f>'BS Forecasts'!BH$192</f>
        <v>20870</v>
      </c>
      <c r="BI123" s="10">
        <f>'BS Forecasts'!BI$192</f>
        <v>20870</v>
      </c>
      <c r="BJ123" s="10">
        <f>'BS Forecasts'!BJ$192</f>
        <v>20870</v>
      </c>
      <c r="BK123" s="280"/>
      <c r="BL123" s="10">
        <f>'BS Forecasts'!BL$192</f>
        <v>20870</v>
      </c>
      <c r="BM123" s="10">
        <f>'BS Forecasts'!BM$192</f>
        <v>20870</v>
      </c>
      <c r="BN123" s="10">
        <f>'BS Forecasts'!BN$192</f>
        <v>20870</v>
      </c>
      <c r="BO123" s="10">
        <f>'BS Forecasts'!BO$192</f>
        <v>20870</v>
      </c>
      <c r="BP123" s="10">
        <f>'BS Forecasts'!BP$192</f>
        <v>20870</v>
      </c>
      <c r="BQ123" s="10">
        <f>'BS Forecasts'!BQ$192</f>
        <v>20870</v>
      </c>
      <c r="BR123" s="10">
        <f>'BS Forecasts'!BR$192</f>
        <v>20870</v>
      </c>
      <c r="BS123" s="10">
        <f>'BS Forecasts'!BS$192</f>
        <v>20870</v>
      </c>
      <c r="BT123" s="10">
        <f>'BS Forecasts'!BT$192</f>
        <v>20870</v>
      </c>
      <c r="BU123" s="10">
        <f>'BS Forecasts'!BU$192</f>
        <v>20870</v>
      </c>
      <c r="BV123" s="10">
        <f>'BS Forecasts'!BV$192</f>
        <v>20870</v>
      </c>
      <c r="BW123" s="10">
        <f>'BS Forecasts'!BW$192</f>
        <v>20870</v>
      </c>
      <c r="BY123" s="42"/>
      <c r="CC123" s="126">
        <f t="shared" si="75"/>
        <v>0</v>
      </c>
      <c r="CD123" s="126">
        <f t="shared" si="76"/>
        <v>0</v>
      </c>
      <c r="CE123" s="126">
        <f t="shared" si="118"/>
        <v>0</v>
      </c>
      <c r="CF123" s="42"/>
      <c r="CG123" s="352">
        <f t="shared" si="119"/>
        <v>0</v>
      </c>
      <c r="CH123" s="352">
        <f t="shared" si="119"/>
        <v>0</v>
      </c>
      <c r="CI123" s="352">
        <f t="shared" si="119"/>
        <v>0</v>
      </c>
      <c r="CJ123" s="352">
        <f t="shared" si="120"/>
        <v>0</v>
      </c>
      <c r="CK123" s="352">
        <f t="shared" si="120"/>
        <v>0</v>
      </c>
      <c r="CL123" s="352">
        <f t="shared" si="120"/>
        <v>0</v>
      </c>
      <c r="CM123" s="352">
        <f t="shared" si="121"/>
        <v>0</v>
      </c>
      <c r="EX123" s="10" t="str">
        <f t="shared" ca="1" si="84"/>
        <v>Local Government Pension Scheme Provision</v>
      </c>
    </row>
    <row r="124" spans="1:154" x14ac:dyDescent="0.25">
      <c r="A124" s="362" cm="1">
        <f t="array" aca="1" ref="A124" ca="1">HYPERLINK(CONCATENATE("#",CELL("address",IF(SUM($BY124:$CF124)=0,A124,INDEX($BY124:$CF124,MATCH(1,$BY124:$CF124,0))))),SUM($BY124:$CF124))</f>
        <v>0</v>
      </c>
      <c r="C124" s="343" t="str">
        <f>'BS Forecasts'!C$201</f>
        <v>B-7b-CB</v>
      </c>
      <c r="D124" s="560" t="str" cm="1">
        <f t="array" aca="1" ref="D124" ca="1">HYPERLINK(CONCATENATE("#",CELL("address",'BS Forecasts'!$D$201)),'BS Forecasts'!$D$194)</f>
        <v>Enhanced Pension Provision</v>
      </c>
      <c r="J124" s="335"/>
      <c r="Q124" s="335"/>
      <c r="R124" s="335"/>
      <c r="S124" s="280"/>
      <c r="T124" s="335"/>
      <c r="U124" s="335"/>
      <c r="V124" s="10">
        <f>'BS Forecasts'!V$201</f>
        <v>148</v>
      </c>
      <c r="W124" s="10">
        <f>'BS Forecasts'!W$201</f>
        <v>154</v>
      </c>
      <c r="X124" s="10">
        <f>'BS Forecasts'!X$201</f>
        <v>160</v>
      </c>
      <c r="Y124" s="10">
        <f>'BS Forecasts'!Y$201</f>
        <v>166</v>
      </c>
      <c r="Z124" s="280"/>
      <c r="AA124" s="10">
        <f>'BS Forecasts'!AA$201</f>
        <v>148</v>
      </c>
      <c r="AB124" s="10">
        <f>'BS Forecasts'!AB$201</f>
        <v>148</v>
      </c>
      <c r="AC124" s="10">
        <f>'BS Forecasts'!AC$201</f>
        <v>148</v>
      </c>
      <c r="AD124" s="10">
        <f>'BS Forecasts'!AD$201</f>
        <v>148</v>
      </c>
      <c r="AE124" s="10">
        <f>'BS Forecasts'!AE$201</f>
        <v>148</v>
      </c>
      <c r="AF124" s="10">
        <f>'BS Forecasts'!AF$201</f>
        <v>148</v>
      </c>
      <c r="AG124" s="10">
        <f>'BS Forecasts'!AG$201</f>
        <v>148</v>
      </c>
      <c r="AH124" s="10">
        <f>'BS Forecasts'!AH$201</f>
        <v>148</v>
      </c>
      <c r="AI124" s="10">
        <f>'BS Forecasts'!AI$201</f>
        <v>148</v>
      </c>
      <c r="AJ124" s="10">
        <f>'BS Forecasts'!AJ$201</f>
        <v>148</v>
      </c>
      <c r="AK124" s="10">
        <f>'BS Forecasts'!AK$201</f>
        <v>148</v>
      </c>
      <c r="AL124" s="10">
        <f>'BS Forecasts'!AL$201</f>
        <v>154</v>
      </c>
      <c r="AM124" s="10">
        <f>'BS Forecasts'!AM$201</f>
        <v>154</v>
      </c>
      <c r="AN124" s="10">
        <f>'BS Forecasts'!AN$201</f>
        <v>154</v>
      </c>
      <c r="AO124" s="10">
        <f>'BS Forecasts'!AO$201</f>
        <v>154</v>
      </c>
      <c r="AP124" s="10">
        <f>'BS Forecasts'!AP$201</f>
        <v>154</v>
      </c>
      <c r="AQ124" s="10">
        <f>'BS Forecasts'!AQ$201</f>
        <v>154</v>
      </c>
      <c r="AR124" s="10">
        <f>'BS Forecasts'!AR$201</f>
        <v>154</v>
      </c>
      <c r="AS124" s="10">
        <f>'BS Forecasts'!AS$201</f>
        <v>154</v>
      </c>
      <c r="AT124" s="10">
        <f>'BS Forecasts'!AT$201</f>
        <v>154</v>
      </c>
      <c r="AU124" s="10">
        <f>'BS Forecasts'!AU$201</f>
        <v>154</v>
      </c>
      <c r="AV124" s="10">
        <f>'BS Forecasts'!AV$201</f>
        <v>154</v>
      </c>
      <c r="AW124" s="10">
        <f>'BS Forecasts'!AW$201</f>
        <v>154</v>
      </c>
      <c r="AX124" s="10">
        <f>'BS Forecasts'!AX$201</f>
        <v>160</v>
      </c>
      <c r="AY124" s="10">
        <f>'BS Forecasts'!AY$201</f>
        <v>160</v>
      </c>
      <c r="AZ124" s="10">
        <f>'BS Forecasts'!AZ$201</f>
        <v>160</v>
      </c>
      <c r="BA124" s="10">
        <f>'BS Forecasts'!BA$201</f>
        <v>160</v>
      </c>
      <c r="BB124" s="10">
        <f>'BS Forecasts'!BB$201</f>
        <v>160</v>
      </c>
      <c r="BC124" s="10">
        <f>'BS Forecasts'!BC$201</f>
        <v>160</v>
      </c>
      <c r="BD124" s="10">
        <f>'BS Forecasts'!BD$201</f>
        <v>160</v>
      </c>
      <c r="BE124" s="10">
        <f>'BS Forecasts'!BE$201</f>
        <v>160</v>
      </c>
      <c r="BF124" s="10">
        <f>'BS Forecasts'!BF$201</f>
        <v>160</v>
      </c>
      <c r="BG124" s="10">
        <f>'BS Forecasts'!BG$201</f>
        <v>160</v>
      </c>
      <c r="BH124" s="10">
        <f>'BS Forecasts'!BH$201</f>
        <v>160</v>
      </c>
      <c r="BI124" s="10">
        <f>'BS Forecasts'!BI$201</f>
        <v>160</v>
      </c>
      <c r="BJ124" s="10">
        <f>'BS Forecasts'!BJ$201</f>
        <v>166</v>
      </c>
      <c r="BK124" s="280"/>
      <c r="BL124" s="10">
        <f>'BS Forecasts'!BL$201</f>
        <v>148</v>
      </c>
      <c r="BM124" s="10">
        <f>'BS Forecasts'!BM$201</f>
        <v>154</v>
      </c>
      <c r="BN124" s="10">
        <f>'BS Forecasts'!BN$201</f>
        <v>160</v>
      </c>
      <c r="BO124" s="10">
        <f>'BS Forecasts'!BO$201</f>
        <v>166</v>
      </c>
      <c r="BP124" s="10">
        <f>'BS Forecasts'!BP$201</f>
        <v>166</v>
      </c>
      <c r="BQ124" s="10">
        <f>'BS Forecasts'!BQ$201</f>
        <v>166</v>
      </c>
      <c r="BR124" s="10">
        <f>'BS Forecasts'!BR$201</f>
        <v>166</v>
      </c>
      <c r="BS124" s="10">
        <f>'BS Forecasts'!BS$201</f>
        <v>166</v>
      </c>
      <c r="BT124" s="10">
        <f>'BS Forecasts'!BT$201</f>
        <v>166</v>
      </c>
      <c r="BU124" s="10">
        <f>'BS Forecasts'!BU$201</f>
        <v>166</v>
      </c>
      <c r="BV124" s="10">
        <f>'BS Forecasts'!BV$201</f>
        <v>166</v>
      </c>
      <c r="BW124" s="10">
        <f>'BS Forecasts'!BW$201</f>
        <v>166</v>
      </c>
      <c r="BY124" s="42"/>
      <c r="CC124" s="126">
        <f t="shared" si="75"/>
        <v>0</v>
      </c>
      <c r="CD124" s="126">
        <f t="shared" si="76"/>
        <v>0</v>
      </c>
      <c r="CE124" s="126">
        <f t="shared" si="118"/>
        <v>0</v>
      </c>
      <c r="CF124" s="42"/>
      <c r="CG124" s="352">
        <f t="shared" si="119"/>
        <v>0</v>
      </c>
      <c r="CH124" s="352">
        <f t="shared" si="119"/>
        <v>0</v>
      </c>
      <c r="CI124" s="352">
        <f t="shared" si="119"/>
        <v>0</v>
      </c>
      <c r="CJ124" s="352">
        <f t="shared" si="120"/>
        <v>0</v>
      </c>
      <c r="CK124" s="352">
        <f t="shared" si="120"/>
        <v>0</v>
      </c>
      <c r="CL124" s="352">
        <f t="shared" si="120"/>
        <v>0</v>
      </c>
      <c r="CM124" s="352">
        <f t="shared" si="121"/>
        <v>0</v>
      </c>
      <c r="EX124" s="10" t="str">
        <f t="shared" ca="1" si="84"/>
        <v>Enhanced Pension Provision</v>
      </c>
    </row>
    <row r="125" spans="1:154" x14ac:dyDescent="0.25">
      <c r="A125" s="362" cm="1">
        <f t="array" aca="1" ref="A125" ca="1">HYPERLINK(CONCATENATE("#",CELL("address",IF(SUM($BY125:$CF125)=0,A125,INDEX($BY125:$CF125,MATCH(1,$BY125:$CF125,0))))),SUM($BY125:$CF125))</f>
        <v>0</v>
      </c>
      <c r="C125" s="343" t="str">
        <f>'BS Forecasts'!C$211</f>
        <v>B-7c-CB</v>
      </c>
      <c r="D125" s="560" t="str" cm="1">
        <f t="array" aca="1" ref="D125" ca="1">HYPERLINK(CONCATENATE("#",CELL("address",'BS Forecasts'!$D$211)),'BS Forecasts'!$D$203)</f>
        <v>Other Pension Provisions</v>
      </c>
      <c r="J125" s="335"/>
      <c r="Q125" s="335"/>
      <c r="R125" s="335"/>
      <c r="S125" s="280"/>
      <c r="T125" s="335"/>
      <c r="U125" s="335"/>
      <c r="V125" s="10">
        <f>'BS Forecasts'!V$211</f>
        <v>0</v>
      </c>
      <c r="W125" s="10">
        <f>'BS Forecasts'!W$211</f>
        <v>0</v>
      </c>
      <c r="X125" s="10">
        <f>'BS Forecasts'!X$211</f>
        <v>0</v>
      </c>
      <c r="Y125" s="10">
        <f>'BS Forecasts'!Y$211</f>
        <v>0</v>
      </c>
      <c r="Z125" s="280"/>
      <c r="AA125" s="10">
        <f>'BS Forecasts'!AA$211</f>
        <v>0</v>
      </c>
      <c r="AB125" s="10">
        <f>'BS Forecasts'!AB$211</f>
        <v>0</v>
      </c>
      <c r="AC125" s="10">
        <f>'BS Forecasts'!AC$211</f>
        <v>0</v>
      </c>
      <c r="AD125" s="10">
        <f>'BS Forecasts'!AD$211</f>
        <v>0</v>
      </c>
      <c r="AE125" s="10">
        <f>'BS Forecasts'!AE$211</f>
        <v>0</v>
      </c>
      <c r="AF125" s="10">
        <f>'BS Forecasts'!AF$211</f>
        <v>0</v>
      </c>
      <c r="AG125" s="10">
        <f>'BS Forecasts'!AG$211</f>
        <v>0</v>
      </c>
      <c r="AH125" s="10">
        <f>'BS Forecasts'!AH$211</f>
        <v>0</v>
      </c>
      <c r="AI125" s="10">
        <f>'BS Forecasts'!AI$211</f>
        <v>0</v>
      </c>
      <c r="AJ125" s="10">
        <f>'BS Forecasts'!AJ$211</f>
        <v>0</v>
      </c>
      <c r="AK125" s="10">
        <f>'BS Forecasts'!AK$211</f>
        <v>0</v>
      </c>
      <c r="AL125" s="10">
        <f>'BS Forecasts'!AL$211</f>
        <v>0</v>
      </c>
      <c r="AM125" s="10">
        <f>'BS Forecasts'!AM$211</f>
        <v>0</v>
      </c>
      <c r="AN125" s="10">
        <f>'BS Forecasts'!AN$211</f>
        <v>0</v>
      </c>
      <c r="AO125" s="10">
        <f>'BS Forecasts'!AO$211</f>
        <v>0</v>
      </c>
      <c r="AP125" s="10">
        <f>'BS Forecasts'!AP$211</f>
        <v>0</v>
      </c>
      <c r="AQ125" s="10">
        <f>'BS Forecasts'!AQ$211</f>
        <v>0</v>
      </c>
      <c r="AR125" s="10">
        <f>'BS Forecasts'!AR$211</f>
        <v>0</v>
      </c>
      <c r="AS125" s="10">
        <f>'BS Forecasts'!AS$211</f>
        <v>0</v>
      </c>
      <c r="AT125" s="10">
        <f>'BS Forecasts'!AT$211</f>
        <v>0</v>
      </c>
      <c r="AU125" s="10">
        <f>'BS Forecasts'!AU$211</f>
        <v>0</v>
      </c>
      <c r="AV125" s="10">
        <f>'BS Forecasts'!AV$211</f>
        <v>0</v>
      </c>
      <c r="AW125" s="10">
        <f>'BS Forecasts'!AW$211</f>
        <v>0</v>
      </c>
      <c r="AX125" s="10">
        <f>'BS Forecasts'!AX$211</f>
        <v>0</v>
      </c>
      <c r="AY125" s="10">
        <f>'BS Forecasts'!AY$211</f>
        <v>0</v>
      </c>
      <c r="AZ125" s="10">
        <f>'BS Forecasts'!AZ$211</f>
        <v>0</v>
      </c>
      <c r="BA125" s="10">
        <f>'BS Forecasts'!BA$211</f>
        <v>0</v>
      </c>
      <c r="BB125" s="10">
        <f>'BS Forecasts'!BB$211</f>
        <v>0</v>
      </c>
      <c r="BC125" s="10">
        <f>'BS Forecasts'!BC$211</f>
        <v>0</v>
      </c>
      <c r="BD125" s="10">
        <f>'BS Forecasts'!BD$211</f>
        <v>0</v>
      </c>
      <c r="BE125" s="10">
        <f>'BS Forecasts'!BE$211</f>
        <v>0</v>
      </c>
      <c r="BF125" s="10">
        <f>'BS Forecasts'!BF$211</f>
        <v>0</v>
      </c>
      <c r="BG125" s="10">
        <f>'BS Forecasts'!BG$211</f>
        <v>0</v>
      </c>
      <c r="BH125" s="10">
        <f>'BS Forecasts'!BH$211</f>
        <v>0</v>
      </c>
      <c r="BI125" s="10">
        <f>'BS Forecasts'!BI$211</f>
        <v>0</v>
      </c>
      <c r="BJ125" s="10">
        <f>'BS Forecasts'!BJ$211</f>
        <v>0</v>
      </c>
      <c r="BK125" s="280"/>
      <c r="BL125" s="10">
        <f>'BS Forecasts'!BL$211</f>
        <v>0</v>
      </c>
      <c r="BM125" s="10">
        <f>'BS Forecasts'!BM$211</f>
        <v>0</v>
      </c>
      <c r="BN125" s="10">
        <f>'BS Forecasts'!BN$211</f>
        <v>0</v>
      </c>
      <c r="BO125" s="10">
        <f>'BS Forecasts'!BO$211</f>
        <v>0</v>
      </c>
      <c r="BP125" s="10">
        <f>'BS Forecasts'!BP$211</f>
        <v>0</v>
      </c>
      <c r="BQ125" s="10">
        <f>'BS Forecasts'!BQ$211</f>
        <v>0</v>
      </c>
      <c r="BR125" s="10">
        <f>'BS Forecasts'!BR$211</f>
        <v>0</v>
      </c>
      <c r="BS125" s="10">
        <f>'BS Forecasts'!BS$211</f>
        <v>0</v>
      </c>
      <c r="BT125" s="10">
        <f>'BS Forecasts'!BT$211</f>
        <v>0</v>
      </c>
      <c r="BU125" s="10">
        <f>'BS Forecasts'!BU$211</f>
        <v>0</v>
      </c>
      <c r="BV125" s="10">
        <f>'BS Forecasts'!BV$211</f>
        <v>0</v>
      </c>
      <c r="BW125" s="10">
        <f>'BS Forecasts'!BW$211</f>
        <v>0</v>
      </c>
      <c r="BY125" s="42"/>
      <c r="CC125" s="126">
        <f t="shared" si="75"/>
        <v>0</v>
      </c>
      <c r="CD125" s="126">
        <f t="shared" si="76"/>
        <v>0</v>
      </c>
      <c r="CE125" s="126">
        <f t="shared" si="118"/>
        <v>0</v>
      </c>
      <c r="CF125" s="42"/>
      <c r="CG125" s="352">
        <f t="shared" si="119"/>
        <v>0</v>
      </c>
      <c r="CH125" s="352">
        <f t="shared" si="119"/>
        <v>0</v>
      </c>
      <c r="CI125" s="352">
        <f t="shared" si="119"/>
        <v>0</v>
      </c>
      <c r="CJ125" s="352">
        <f t="shared" si="120"/>
        <v>0</v>
      </c>
      <c r="CK125" s="352">
        <f t="shared" si="120"/>
        <v>0</v>
      </c>
      <c r="CL125" s="352">
        <f t="shared" si="120"/>
        <v>0</v>
      </c>
      <c r="CM125" s="352">
        <f t="shared" si="121"/>
        <v>0</v>
      </c>
      <c r="EX125" s="10" t="str">
        <f t="shared" ca="1" si="84"/>
        <v>Other Pension Provisions</v>
      </c>
    </row>
    <row r="126" spans="1:154" x14ac:dyDescent="0.25">
      <c r="A126" s="362" cm="1">
        <f t="array" aca="1" ref="A126" ca="1">HYPERLINK(CONCATENATE("#",CELL("address",IF(SUM($BY126:$CF126)=0,A126,INDEX($BY126:$CF126,MATCH(1,$BY126:$CF126,0))))),SUM($BY126:$CF126))</f>
        <v>0</v>
      </c>
      <c r="C126" s="343" t="str">
        <f>'BS Forecasts'!C$217</f>
        <v>B-7d-CB</v>
      </c>
      <c r="D126" s="560" t="str" cm="1">
        <f t="array" aca="1" ref="D126" ca="1">HYPERLINK(CONCATENATE("#",CELL("address",'BS Forecasts'!$D$217)),'BS Forecasts'!$D$213)</f>
        <v>Other Provisions</v>
      </c>
      <c r="J126" s="335"/>
      <c r="Q126" s="335"/>
      <c r="R126" s="335"/>
      <c r="S126" s="280"/>
      <c r="T126" s="335"/>
      <c r="U126" s="335"/>
      <c r="V126" s="10">
        <f>'BS Forecasts'!V$217</f>
        <v>0</v>
      </c>
      <c r="W126" s="10">
        <f>'BS Forecasts'!W$217</f>
        <v>0</v>
      </c>
      <c r="X126" s="10">
        <f>'BS Forecasts'!X$217</f>
        <v>0</v>
      </c>
      <c r="Y126" s="10">
        <f>'BS Forecasts'!Y$217</f>
        <v>0</v>
      </c>
      <c r="Z126" s="280"/>
      <c r="AA126" s="10">
        <f>'BS Forecasts'!AA$217</f>
        <v>0</v>
      </c>
      <c r="AB126" s="10">
        <f>'BS Forecasts'!AB$217</f>
        <v>0</v>
      </c>
      <c r="AC126" s="10">
        <f>'BS Forecasts'!AC$217</f>
        <v>0</v>
      </c>
      <c r="AD126" s="10">
        <f>'BS Forecasts'!AD$217</f>
        <v>0</v>
      </c>
      <c r="AE126" s="10">
        <f>'BS Forecasts'!AE$217</f>
        <v>0</v>
      </c>
      <c r="AF126" s="10">
        <f>'BS Forecasts'!AF$217</f>
        <v>0</v>
      </c>
      <c r="AG126" s="10">
        <f>'BS Forecasts'!AG$217</f>
        <v>0</v>
      </c>
      <c r="AH126" s="10">
        <f>'BS Forecasts'!AH$217</f>
        <v>0</v>
      </c>
      <c r="AI126" s="10">
        <f>'BS Forecasts'!AI$217</f>
        <v>0</v>
      </c>
      <c r="AJ126" s="10">
        <f>'BS Forecasts'!AJ$217</f>
        <v>0</v>
      </c>
      <c r="AK126" s="10">
        <f>'BS Forecasts'!AK$217</f>
        <v>0</v>
      </c>
      <c r="AL126" s="10">
        <f>'BS Forecasts'!AL$217</f>
        <v>0</v>
      </c>
      <c r="AM126" s="10">
        <f>'BS Forecasts'!AM$217</f>
        <v>0</v>
      </c>
      <c r="AN126" s="10">
        <f>'BS Forecasts'!AN$217</f>
        <v>0</v>
      </c>
      <c r="AO126" s="10">
        <f>'BS Forecasts'!AO$217</f>
        <v>0</v>
      </c>
      <c r="AP126" s="10">
        <f>'BS Forecasts'!AP$217</f>
        <v>0</v>
      </c>
      <c r="AQ126" s="10">
        <f>'BS Forecasts'!AQ$217</f>
        <v>0</v>
      </c>
      <c r="AR126" s="10">
        <f>'BS Forecasts'!AR$217</f>
        <v>0</v>
      </c>
      <c r="AS126" s="10">
        <f>'BS Forecasts'!AS$217</f>
        <v>0</v>
      </c>
      <c r="AT126" s="10">
        <f>'BS Forecasts'!AT$217</f>
        <v>0</v>
      </c>
      <c r="AU126" s="10">
        <f>'BS Forecasts'!AU$217</f>
        <v>0</v>
      </c>
      <c r="AV126" s="10">
        <f>'BS Forecasts'!AV$217</f>
        <v>0</v>
      </c>
      <c r="AW126" s="10">
        <f>'BS Forecasts'!AW$217</f>
        <v>0</v>
      </c>
      <c r="AX126" s="10">
        <f>'BS Forecasts'!AX$217</f>
        <v>0</v>
      </c>
      <c r="AY126" s="10">
        <f>'BS Forecasts'!AY$217</f>
        <v>0</v>
      </c>
      <c r="AZ126" s="10">
        <f>'BS Forecasts'!AZ$217</f>
        <v>0</v>
      </c>
      <c r="BA126" s="10">
        <f>'BS Forecasts'!BA$217</f>
        <v>0</v>
      </c>
      <c r="BB126" s="10">
        <f>'BS Forecasts'!BB$217</f>
        <v>0</v>
      </c>
      <c r="BC126" s="10">
        <f>'BS Forecasts'!BC$217</f>
        <v>0</v>
      </c>
      <c r="BD126" s="10">
        <f>'BS Forecasts'!BD$217</f>
        <v>0</v>
      </c>
      <c r="BE126" s="10">
        <f>'BS Forecasts'!BE$217</f>
        <v>0</v>
      </c>
      <c r="BF126" s="10">
        <f>'BS Forecasts'!BF$217</f>
        <v>0</v>
      </c>
      <c r="BG126" s="10">
        <f>'BS Forecasts'!BG$217</f>
        <v>0</v>
      </c>
      <c r="BH126" s="10">
        <f>'BS Forecasts'!BH$217</f>
        <v>0</v>
      </c>
      <c r="BI126" s="10">
        <f>'BS Forecasts'!BI$217</f>
        <v>0</v>
      </c>
      <c r="BJ126" s="10">
        <f>'BS Forecasts'!BJ$217</f>
        <v>0</v>
      </c>
      <c r="BK126" s="280"/>
      <c r="BL126" s="10">
        <f>'BS Forecasts'!BL$217</f>
        <v>0</v>
      </c>
      <c r="BM126" s="10">
        <f>'BS Forecasts'!BM$217</f>
        <v>0</v>
      </c>
      <c r="BN126" s="10">
        <f>'BS Forecasts'!BN$217</f>
        <v>0</v>
      </c>
      <c r="BO126" s="10">
        <f>'BS Forecasts'!BO$217</f>
        <v>0</v>
      </c>
      <c r="BP126" s="10">
        <f>'BS Forecasts'!BP$217</f>
        <v>0</v>
      </c>
      <c r="BQ126" s="10">
        <f>'BS Forecasts'!BQ$217</f>
        <v>0</v>
      </c>
      <c r="BR126" s="10">
        <f>'BS Forecasts'!BR$217</f>
        <v>0</v>
      </c>
      <c r="BS126" s="10">
        <f>'BS Forecasts'!BS$217</f>
        <v>0</v>
      </c>
      <c r="BT126" s="10">
        <f>'BS Forecasts'!BT$217</f>
        <v>0</v>
      </c>
      <c r="BU126" s="10">
        <f>'BS Forecasts'!BU$217</f>
        <v>0</v>
      </c>
      <c r="BV126" s="10">
        <f>'BS Forecasts'!BV$217</f>
        <v>0</v>
      </c>
      <c r="BW126" s="10">
        <f>'BS Forecasts'!BW$217</f>
        <v>0</v>
      </c>
      <c r="BY126" s="42"/>
      <c r="CC126" s="126">
        <f t="shared" si="75"/>
        <v>0</v>
      </c>
      <c r="CD126" s="126">
        <f t="shared" si="76"/>
        <v>0</v>
      </c>
      <c r="CE126" s="126">
        <f t="shared" si="118"/>
        <v>0</v>
      </c>
      <c r="CF126" s="42"/>
      <c r="CG126" s="352">
        <f t="shared" si="119"/>
        <v>0</v>
      </c>
      <c r="CH126" s="352">
        <f t="shared" si="119"/>
        <v>0</v>
      </c>
      <c r="CI126" s="352">
        <f t="shared" si="119"/>
        <v>0</v>
      </c>
      <c r="CJ126" s="352">
        <f t="shared" si="120"/>
        <v>0</v>
      </c>
      <c r="CK126" s="352">
        <f t="shared" si="120"/>
        <v>0</v>
      </c>
      <c r="CL126" s="352">
        <f t="shared" si="120"/>
        <v>0</v>
      </c>
      <c r="CM126" s="352">
        <f t="shared" si="121"/>
        <v>0</v>
      </c>
      <c r="EX126" s="10" t="str">
        <f t="shared" ca="1" si="84"/>
        <v>Other Provisions</v>
      </c>
    </row>
    <row r="127" spans="1:154" x14ac:dyDescent="0.25">
      <c r="A127" s="362" cm="1">
        <f t="array" aca="1" ref="A127" ca="1">HYPERLINK(CONCATENATE("#",CELL("address",IF(SUM($BY127:$CF127)=0,A127,INDEX($BY127:$CF127,MATCH(1,$BY127:$CF127,0))))),SUM($BY127:$CF127))</f>
        <v>0</v>
      </c>
      <c r="C127" s="343" t="s">
        <v>1466</v>
      </c>
      <c r="D127" s="563" t="s">
        <v>295</v>
      </c>
      <c r="J127" s="335"/>
      <c r="Q127" s="335"/>
      <c r="R127" s="335"/>
      <c r="S127" s="335"/>
      <c r="T127" s="335"/>
      <c r="U127" s="335"/>
      <c r="V127" s="13">
        <f>SUM(V123:V126)*V$9</f>
        <v>0</v>
      </c>
      <c r="W127" s="13">
        <f>SUM(W123:W126)*W$9</f>
        <v>21024</v>
      </c>
      <c r="X127" s="13">
        <f>SUM(X123:X126)*X$9</f>
        <v>21030</v>
      </c>
      <c r="Y127" s="13">
        <f>SUM(Y123:Y126)*Y$9</f>
        <v>21036</v>
      </c>
      <c r="Z127" s="335"/>
      <c r="AA127" s="13">
        <f t="shared" ref="AA127:BJ127" si="122">SUM(AA123:AA126)*AA$9</f>
        <v>21018</v>
      </c>
      <c r="AB127" s="13">
        <f t="shared" si="122"/>
        <v>21018</v>
      </c>
      <c r="AC127" s="13">
        <f t="shared" si="122"/>
        <v>21018</v>
      </c>
      <c r="AD127" s="13">
        <f t="shared" si="122"/>
        <v>21018</v>
      </c>
      <c r="AE127" s="13">
        <f t="shared" si="122"/>
        <v>21018</v>
      </c>
      <c r="AF127" s="13">
        <f t="shared" si="122"/>
        <v>21018</v>
      </c>
      <c r="AG127" s="13">
        <f t="shared" si="122"/>
        <v>21018</v>
      </c>
      <c r="AH127" s="13">
        <f t="shared" si="122"/>
        <v>21018</v>
      </c>
      <c r="AI127" s="13">
        <f t="shared" si="122"/>
        <v>21018</v>
      </c>
      <c r="AJ127" s="13">
        <f t="shared" si="122"/>
        <v>21018</v>
      </c>
      <c r="AK127" s="13">
        <f t="shared" si="122"/>
        <v>21018</v>
      </c>
      <c r="AL127" s="13">
        <f t="shared" si="122"/>
        <v>21024</v>
      </c>
      <c r="AM127" s="13">
        <f t="shared" si="122"/>
        <v>21024</v>
      </c>
      <c r="AN127" s="13">
        <f t="shared" si="122"/>
        <v>21024</v>
      </c>
      <c r="AO127" s="13">
        <f t="shared" si="122"/>
        <v>21024</v>
      </c>
      <c r="AP127" s="13">
        <f t="shared" si="122"/>
        <v>21024</v>
      </c>
      <c r="AQ127" s="13">
        <f t="shared" si="122"/>
        <v>21024</v>
      </c>
      <c r="AR127" s="13">
        <f t="shared" si="122"/>
        <v>21024</v>
      </c>
      <c r="AS127" s="13">
        <f t="shared" si="122"/>
        <v>21024</v>
      </c>
      <c r="AT127" s="13">
        <f t="shared" si="122"/>
        <v>21024</v>
      </c>
      <c r="AU127" s="13">
        <f t="shared" si="122"/>
        <v>21024</v>
      </c>
      <c r="AV127" s="13">
        <f t="shared" si="122"/>
        <v>21024</v>
      </c>
      <c r="AW127" s="13">
        <f t="shared" si="122"/>
        <v>21024</v>
      </c>
      <c r="AX127" s="13">
        <f t="shared" si="122"/>
        <v>21030</v>
      </c>
      <c r="AY127" s="13">
        <f t="shared" si="122"/>
        <v>21030</v>
      </c>
      <c r="AZ127" s="13">
        <f t="shared" si="122"/>
        <v>21030</v>
      </c>
      <c r="BA127" s="13">
        <f t="shared" si="122"/>
        <v>21030</v>
      </c>
      <c r="BB127" s="13">
        <f t="shared" si="122"/>
        <v>21030</v>
      </c>
      <c r="BC127" s="13">
        <f t="shared" si="122"/>
        <v>21030</v>
      </c>
      <c r="BD127" s="13">
        <f t="shared" si="122"/>
        <v>21030</v>
      </c>
      <c r="BE127" s="13">
        <f t="shared" si="122"/>
        <v>21030</v>
      </c>
      <c r="BF127" s="13">
        <f t="shared" si="122"/>
        <v>21030</v>
      </c>
      <c r="BG127" s="13">
        <f t="shared" si="122"/>
        <v>21030</v>
      </c>
      <c r="BH127" s="13">
        <f t="shared" si="122"/>
        <v>21030</v>
      </c>
      <c r="BI127" s="13">
        <f t="shared" si="122"/>
        <v>21030</v>
      </c>
      <c r="BJ127" s="13">
        <f t="shared" si="122"/>
        <v>21036</v>
      </c>
      <c r="BK127" s="335"/>
      <c r="BL127" s="13">
        <f t="shared" ref="BL127:BW127" si="123">SUM(BL123:BL126)*BL$9</f>
        <v>0</v>
      </c>
      <c r="BM127" s="13">
        <f t="shared" si="123"/>
        <v>21024</v>
      </c>
      <c r="BN127" s="13">
        <f t="shared" si="123"/>
        <v>21030</v>
      </c>
      <c r="BO127" s="13">
        <f t="shared" si="123"/>
        <v>21036</v>
      </c>
      <c r="BP127" s="13">
        <f t="shared" si="123"/>
        <v>0</v>
      </c>
      <c r="BQ127" s="13">
        <f t="shared" si="123"/>
        <v>0</v>
      </c>
      <c r="BR127" s="13">
        <f t="shared" si="123"/>
        <v>0</v>
      </c>
      <c r="BS127" s="13">
        <f t="shared" si="123"/>
        <v>0</v>
      </c>
      <c r="BT127" s="13">
        <f t="shared" si="123"/>
        <v>0</v>
      </c>
      <c r="BU127" s="13">
        <f t="shared" si="123"/>
        <v>0</v>
      </c>
      <c r="BV127" s="13">
        <f t="shared" si="123"/>
        <v>0</v>
      </c>
      <c r="BW127" s="13">
        <f t="shared" si="123"/>
        <v>0</v>
      </c>
      <c r="BY127" s="42"/>
      <c r="CC127" s="126">
        <f t="shared" si="75"/>
        <v>0</v>
      </c>
      <c r="CD127" s="126">
        <f t="shared" si="76"/>
        <v>0</v>
      </c>
      <c r="CE127" s="126">
        <f t="shared" si="118"/>
        <v>0</v>
      </c>
      <c r="CF127" s="42"/>
      <c r="CG127" s="352">
        <f t="shared" si="119"/>
        <v>0</v>
      </c>
      <c r="CH127" s="352">
        <f t="shared" si="119"/>
        <v>0</v>
      </c>
      <c r="CI127" s="352">
        <f t="shared" si="119"/>
        <v>0</v>
      </c>
      <c r="CJ127" s="352">
        <f t="shared" si="120"/>
        <v>0</v>
      </c>
      <c r="CK127" s="352">
        <f t="shared" si="120"/>
        <v>0</v>
      </c>
      <c r="CL127" s="352">
        <f t="shared" si="120"/>
        <v>0</v>
      </c>
      <c r="CM127" s="352">
        <f t="shared" si="121"/>
        <v>0</v>
      </c>
      <c r="EX127" s="10" t="str">
        <f t="shared" si="84"/>
        <v>Total Provisions</v>
      </c>
    </row>
    <row r="128" spans="1:154" s="335" customFormat="1" ht="11.45" customHeight="1" x14ac:dyDescent="0.25">
      <c r="A128" s="157"/>
      <c r="B128" s="187"/>
      <c r="C128" s="343"/>
      <c r="D128" s="564"/>
      <c r="E128" s="157"/>
      <c r="F128" s="157"/>
      <c r="G128" s="157"/>
      <c r="J128" s="157"/>
      <c r="K128" s="157"/>
      <c r="L128" s="157"/>
      <c r="M128" s="157"/>
      <c r="N128" s="157"/>
      <c r="O128" s="157"/>
      <c r="P128" s="157"/>
      <c r="S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7"/>
      <c r="AS128" s="157"/>
      <c r="AT128" s="157"/>
      <c r="AU128" s="157"/>
      <c r="AV128" s="157"/>
      <c r="AW128" s="157"/>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42"/>
      <c r="CC128" s="162"/>
      <c r="CD128" s="162"/>
      <c r="CE128" s="162"/>
      <c r="CF128" s="42"/>
      <c r="EX128" s="10" t="str">
        <f t="shared" si="84"/>
        <v/>
      </c>
    </row>
    <row r="129" spans="1:154" x14ac:dyDescent="0.25">
      <c r="A129" s="362" cm="1">
        <f t="array" aca="1" ref="A129" ca="1">HYPERLINK(CONCATENATE("#",CELL("address",IF(SUM($BY129:$CF129)=0,A129,INDEX($BY129:$CF129,MATCH(1,$BY129:$CF129,0))))),SUM($BY129:$CF129))</f>
        <v>0</v>
      </c>
      <c r="B129" s="5"/>
      <c r="C129" s="343"/>
      <c r="D129" s="563" t="s">
        <v>418</v>
      </c>
      <c r="J129" s="335"/>
      <c r="Q129" s="335"/>
      <c r="R129" s="335"/>
      <c r="T129" s="335"/>
      <c r="U129" s="335"/>
      <c r="BY129" s="42"/>
      <c r="CC129" s="126">
        <f t="shared" si="75"/>
        <v>0</v>
      </c>
      <c r="CD129" s="126">
        <f t="shared" si="76"/>
        <v>0</v>
      </c>
      <c r="CE129" s="126">
        <f t="shared" ref="CE129:CE133" si="124">IF(CM129=0, 0, 1)</f>
        <v>0</v>
      </c>
      <c r="CF129" s="42"/>
      <c r="CG129" s="352">
        <f t="shared" ref="CG129:CI133" si="125">ROUND(W129-INDEX($AA129:$BJ129, MATCH(W$5, $AA$5:$BJ$5,0)), rounding)</f>
        <v>0</v>
      </c>
      <c r="CH129" s="352">
        <f t="shared" si="125"/>
        <v>0</v>
      </c>
      <c r="CI129" s="352">
        <f t="shared" si="125"/>
        <v>0</v>
      </c>
      <c r="CJ129" s="352">
        <f t="shared" ref="CJ129:CL133" si="126">ROUND(W129-BM129, rounding)</f>
        <v>0</v>
      </c>
      <c r="CK129" s="352">
        <f t="shared" si="126"/>
        <v>0</v>
      </c>
      <c r="CL129" s="352">
        <f t="shared" si="126"/>
        <v>0</v>
      </c>
      <c r="CM129" s="352">
        <f>ROUND(V129-BL129, rounding)</f>
        <v>0</v>
      </c>
      <c r="EX129" s="10" t="str">
        <f t="shared" si="84"/>
        <v/>
      </c>
    </row>
    <row r="130" spans="1:154" x14ac:dyDescent="0.25">
      <c r="A130" s="362" cm="1">
        <f t="array" aca="1" ref="A130" ca="1">HYPERLINK(CONCATENATE("#",CELL("address",IF(SUM($BY130:$CF130)=0,A130,INDEX($BY130:$CF130,MATCH(1,$BY130:$CF130,0))))),SUM($BY130:$CF130))</f>
        <v>0</v>
      </c>
      <c r="C130" s="343" t="str">
        <f>'BS Forecasts'!C$223</f>
        <v>B-9a-CB</v>
      </c>
      <c r="D130" s="560" t="str" cm="1">
        <f t="array" aca="1" ref="D130" ca="1">HYPERLINK(CONCATENATE("#",CELL("address",'BS Forecasts'!$D$223)),'BS Forecasts'!$D$219)</f>
        <v>Revaluation Reserve</v>
      </c>
      <c r="J130" s="335"/>
      <c r="Q130" s="335"/>
      <c r="R130" s="335"/>
      <c r="T130" s="335"/>
      <c r="U130" s="335"/>
      <c r="V130" s="10">
        <f>'BS Forecasts'!V$223</f>
        <v>1653</v>
      </c>
      <c r="W130" s="121">
        <f>'BS Forecasts'!W$223</f>
        <v>1602</v>
      </c>
      <c r="X130" s="121">
        <f>'BS Forecasts'!X$223</f>
        <v>1551</v>
      </c>
      <c r="Y130" s="121">
        <f>'BS Forecasts'!Y$223</f>
        <v>1500</v>
      </c>
      <c r="AA130" s="121">
        <f>'BS Forecasts'!AA$223</f>
        <v>1648</v>
      </c>
      <c r="AB130" s="121">
        <f>'BS Forecasts'!AB$223</f>
        <v>1643</v>
      </c>
      <c r="AC130" s="121">
        <f>'BS Forecasts'!AC$223</f>
        <v>1638</v>
      </c>
      <c r="AD130" s="121">
        <f>'BS Forecasts'!AD$223</f>
        <v>1634</v>
      </c>
      <c r="AE130" s="121">
        <f>'BS Forecasts'!AE$223</f>
        <v>1630</v>
      </c>
      <c r="AF130" s="121">
        <f>'BS Forecasts'!AF$223</f>
        <v>1626</v>
      </c>
      <c r="AG130" s="121">
        <f>'BS Forecasts'!AG$223</f>
        <v>1622</v>
      </c>
      <c r="AH130" s="121">
        <f>'BS Forecasts'!AH$223</f>
        <v>1618</v>
      </c>
      <c r="AI130" s="121">
        <f>'BS Forecasts'!AI$223</f>
        <v>1614</v>
      </c>
      <c r="AJ130" s="121">
        <f>'BS Forecasts'!AJ$223</f>
        <v>1610</v>
      </c>
      <c r="AK130" s="121">
        <f>'BS Forecasts'!AK$223</f>
        <v>1606</v>
      </c>
      <c r="AL130" s="121">
        <f>'BS Forecasts'!AL$223</f>
        <v>1602</v>
      </c>
      <c r="AM130" s="121">
        <f>'BS Forecasts'!AM$223</f>
        <v>1597</v>
      </c>
      <c r="AN130" s="121">
        <f>'BS Forecasts'!AN$223</f>
        <v>1592</v>
      </c>
      <c r="AO130" s="121">
        <f>'BS Forecasts'!AO$223</f>
        <v>1587</v>
      </c>
      <c r="AP130" s="121">
        <f>'BS Forecasts'!AP$223</f>
        <v>1583</v>
      </c>
      <c r="AQ130" s="121">
        <f>'BS Forecasts'!AQ$223</f>
        <v>1579</v>
      </c>
      <c r="AR130" s="121">
        <f>'BS Forecasts'!AR$223</f>
        <v>1575</v>
      </c>
      <c r="AS130" s="121">
        <f>'BS Forecasts'!AS$223</f>
        <v>1571</v>
      </c>
      <c r="AT130" s="121">
        <f>'BS Forecasts'!AT$223</f>
        <v>1567</v>
      </c>
      <c r="AU130" s="121">
        <f>'BS Forecasts'!AU$223</f>
        <v>1563</v>
      </c>
      <c r="AV130" s="121">
        <f>'BS Forecasts'!AV$223</f>
        <v>1559</v>
      </c>
      <c r="AW130" s="121">
        <f>'BS Forecasts'!AW$223</f>
        <v>1555</v>
      </c>
      <c r="AX130" s="121">
        <f>'BS Forecasts'!AX$223</f>
        <v>1551</v>
      </c>
      <c r="AY130" s="121">
        <f>'BS Forecasts'!AY$223</f>
        <v>1546</v>
      </c>
      <c r="AZ130" s="121">
        <f>'BS Forecasts'!AZ$223</f>
        <v>1541</v>
      </c>
      <c r="BA130" s="121">
        <f>'BS Forecasts'!BA$223</f>
        <v>1536</v>
      </c>
      <c r="BB130" s="121">
        <f>'BS Forecasts'!BB$223</f>
        <v>1532</v>
      </c>
      <c r="BC130" s="121">
        <f>'BS Forecasts'!BC$223</f>
        <v>1528</v>
      </c>
      <c r="BD130" s="121">
        <f>'BS Forecasts'!BD$223</f>
        <v>1524</v>
      </c>
      <c r="BE130" s="121">
        <f>'BS Forecasts'!BE$223</f>
        <v>1520</v>
      </c>
      <c r="BF130" s="121">
        <f>'BS Forecasts'!BF$223</f>
        <v>1516</v>
      </c>
      <c r="BG130" s="121">
        <f>'BS Forecasts'!BG$223</f>
        <v>1512</v>
      </c>
      <c r="BH130" s="121">
        <f>'BS Forecasts'!BH$223</f>
        <v>1508</v>
      </c>
      <c r="BI130" s="121">
        <f>'BS Forecasts'!BI$223</f>
        <v>1504</v>
      </c>
      <c r="BJ130" s="121">
        <f>'BS Forecasts'!BJ$223</f>
        <v>1500</v>
      </c>
      <c r="BL130" s="121">
        <f>'BS Forecasts'!BL$223</f>
        <v>1653</v>
      </c>
      <c r="BM130" s="121">
        <f>'BS Forecasts'!BM$223</f>
        <v>1602</v>
      </c>
      <c r="BN130" s="121">
        <f>'BS Forecasts'!BN$223</f>
        <v>1551</v>
      </c>
      <c r="BO130" s="121">
        <f>'BS Forecasts'!BO$223</f>
        <v>1500</v>
      </c>
      <c r="BP130" s="121">
        <f>'BS Forecasts'!BP$223</f>
        <v>1500</v>
      </c>
      <c r="BQ130" s="121">
        <f>'BS Forecasts'!BQ$223</f>
        <v>1500</v>
      </c>
      <c r="BR130" s="121">
        <f>'BS Forecasts'!BR$223</f>
        <v>1500</v>
      </c>
      <c r="BS130" s="121">
        <f>'BS Forecasts'!BS$223</f>
        <v>1500</v>
      </c>
      <c r="BT130" s="121">
        <f>'BS Forecasts'!BT$223</f>
        <v>1500</v>
      </c>
      <c r="BU130" s="121">
        <f>'BS Forecasts'!BU$223</f>
        <v>1500</v>
      </c>
      <c r="BV130" s="121">
        <f>'BS Forecasts'!BV$223</f>
        <v>1500</v>
      </c>
      <c r="BW130" s="121">
        <f>'BS Forecasts'!BW$223</f>
        <v>1500</v>
      </c>
      <c r="BY130" s="42"/>
      <c r="CC130" s="126">
        <f t="shared" ref="CC130:CC133" si="127">IF(SUM($CG130:$CI130)=0, 0, 1)</f>
        <v>0</v>
      </c>
      <c r="CD130" s="126">
        <f t="shared" ref="CD130:CD133" si="128">IF(SUM($CJ130:$CL130)=0, 0, 1)</f>
        <v>0</v>
      </c>
      <c r="CE130" s="126">
        <f t="shared" si="124"/>
        <v>0</v>
      </c>
      <c r="CF130" s="42"/>
      <c r="CG130" s="352">
        <f t="shared" si="125"/>
        <v>0</v>
      </c>
      <c r="CH130" s="352">
        <f t="shared" si="125"/>
        <v>0</v>
      </c>
      <c r="CI130" s="352">
        <f t="shared" si="125"/>
        <v>0</v>
      </c>
      <c r="CJ130" s="352">
        <f t="shared" si="126"/>
        <v>0</v>
      </c>
      <c r="CK130" s="352">
        <f t="shared" si="126"/>
        <v>0</v>
      </c>
      <c r="CL130" s="352">
        <f t="shared" si="126"/>
        <v>0</v>
      </c>
      <c r="CM130" s="352">
        <f>ROUND(V130-BL130, rounding)</f>
        <v>0</v>
      </c>
      <c r="EX130" s="10" t="str">
        <f t="shared" ca="1" si="84"/>
        <v>Revaluation Reserve</v>
      </c>
    </row>
    <row r="131" spans="1:154" x14ac:dyDescent="0.25">
      <c r="A131" s="362" cm="1">
        <f t="array" aca="1" ref="A131" ca="1">HYPERLINK(CONCATENATE("#",CELL("address",IF(SUM($BY131:$CF131)=0,A131,INDEX($BY131:$CF131,MATCH(1,$BY131:$CF131,0))))),SUM($BY131:$CF131))</f>
        <v>0</v>
      </c>
      <c r="C131" s="343" t="str">
        <f>'BS Forecasts'!C$228</f>
        <v>B-9b-CB</v>
      </c>
      <c r="D131" s="560" t="str" cm="1">
        <f t="array" aca="1" ref="D131" ca="1">HYPERLINK(CONCATENATE("#",CELL("address",'BS Forecasts'!$D$228)),'BS Forecasts'!$D$225)</f>
        <v>Restricted Reserve</v>
      </c>
      <c r="J131" s="335"/>
      <c r="Q131" s="335"/>
      <c r="R131" s="335"/>
      <c r="T131" s="335"/>
      <c r="U131" s="335"/>
      <c r="V131" s="10">
        <f>'BS Forecasts'!V$228</f>
        <v>0</v>
      </c>
      <c r="W131" s="121">
        <f>'BS Forecasts'!W$228</f>
        <v>0</v>
      </c>
      <c r="X131" s="121">
        <f>'BS Forecasts'!X$228</f>
        <v>0</v>
      </c>
      <c r="Y131" s="121">
        <f>'BS Forecasts'!Y$228</f>
        <v>0</v>
      </c>
      <c r="AA131" s="121">
        <f>'BS Forecasts'!AA$228</f>
        <v>0</v>
      </c>
      <c r="AB131" s="121">
        <f>'BS Forecasts'!AB$228</f>
        <v>0</v>
      </c>
      <c r="AC131" s="121">
        <f>'BS Forecasts'!AC$228</f>
        <v>0</v>
      </c>
      <c r="AD131" s="121">
        <f>'BS Forecasts'!AD$228</f>
        <v>0</v>
      </c>
      <c r="AE131" s="121">
        <f>'BS Forecasts'!AE$228</f>
        <v>0</v>
      </c>
      <c r="AF131" s="121">
        <f>'BS Forecasts'!AF$228</f>
        <v>0</v>
      </c>
      <c r="AG131" s="121">
        <f>'BS Forecasts'!AG$228</f>
        <v>0</v>
      </c>
      <c r="AH131" s="121">
        <f>'BS Forecasts'!AH$228</f>
        <v>0</v>
      </c>
      <c r="AI131" s="121">
        <f>'BS Forecasts'!AI$228</f>
        <v>0</v>
      </c>
      <c r="AJ131" s="121">
        <f>'BS Forecasts'!AJ$228</f>
        <v>0</v>
      </c>
      <c r="AK131" s="121">
        <f>'BS Forecasts'!AK$228</f>
        <v>0</v>
      </c>
      <c r="AL131" s="121">
        <f>'BS Forecasts'!AL$228</f>
        <v>0</v>
      </c>
      <c r="AM131" s="121">
        <f>'BS Forecasts'!AM$228</f>
        <v>0</v>
      </c>
      <c r="AN131" s="121">
        <f>'BS Forecasts'!AN$228</f>
        <v>0</v>
      </c>
      <c r="AO131" s="121">
        <f>'BS Forecasts'!AO$228</f>
        <v>0</v>
      </c>
      <c r="AP131" s="121">
        <f>'BS Forecasts'!AP$228</f>
        <v>0</v>
      </c>
      <c r="AQ131" s="121">
        <f>'BS Forecasts'!AQ$228</f>
        <v>0</v>
      </c>
      <c r="AR131" s="121">
        <f>'BS Forecasts'!AR$228</f>
        <v>0</v>
      </c>
      <c r="AS131" s="121">
        <f>'BS Forecasts'!AS$228</f>
        <v>0</v>
      </c>
      <c r="AT131" s="121">
        <f>'BS Forecasts'!AT$228</f>
        <v>0</v>
      </c>
      <c r="AU131" s="121">
        <f>'BS Forecasts'!AU$228</f>
        <v>0</v>
      </c>
      <c r="AV131" s="121">
        <f>'BS Forecasts'!AV$228</f>
        <v>0</v>
      </c>
      <c r="AW131" s="121">
        <f>'BS Forecasts'!AW$228</f>
        <v>0</v>
      </c>
      <c r="AX131" s="121">
        <f>'BS Forecasts'!AX$228</f>
        <v>0</v>
      </c>
      <c r="AY131" s="121">
        <f>'BS Forecasts'!AY$228</f>
        <v>0</v>
      </c>
      <c r="AZ131" s="121">
        <f>'BS Forecasts'!AZ$228</f>
        <v>0</v>
      </c>
      <c r="BA131" s="121">
        <f>'BS Forecasts'!BA$228</f>
        <v>0</v>
      </c>
      <c r="BB131" s="121">
        <f>'BS Forecasts'!BB$228</f>
        <v>0</v>
      </c>
      <c r="BC131" s="121">
        <f>'BS Forecasts'!BC$228</f>
        <v>0</v>
      </c>
      <c r="BD131" s="121">
        <f>'BS Forecasts'!BD$228</f>
        <v>0</v>
      </c>
      <c r="BE131" s="121">
        <f>'BS Forecasts'!BE$228</f>
        <v>0</v>
      </c>
      <c r="BF131" s="121">
        <f>'BS Forecasts'!BF$228</f>
        <v>0</v>
      </c>
      <c r="BG131" s="121">
        <f>'BS Forecasts'!BG$228</f>
        <v>0</v>
      </c>
      <c r="BH131" s="121">
        <f>'BS Forecasts'!BH$228</f>
        <v>0</v>
      </c>
      <c r="BI131" s="121">
        <f>'BS Forecasts'!BI$228</f>
        <v>0</v>
      </c>
      <c r="BJ131" s="121">
        <f>'BS Forecasts'!BJ$228</f>
        <v>0</v>
      </c>
      <c r="BL131" s="121">
        <f>'BS Forecasts'!BL$228</f>
        <v>0</v>
      </c>
      <c r="BM131" s="121">
        <f>'BS Forecasts'!BM$228</f>
        <v>0</v>
      </c>
      <c r="BN131" s="121">
        <f>'BS Forecasts'!BN$228</f>
        <v>0</v>
      </c>
      <c r="BO131" s="121">
        <f>'BS Forecasts'!BO$228</f>
        <v>0</v>
      </c>
      <c r="BP131" s="121">
        <f>'BS Forecasts'!BP$228</f>
        <v>0</v>
      </c>
      <c r="BQ131" s="121">
        <f>'BS Forecasts'!BQ$228</f>
        <v>0</v>
      </c>
      <c r="BR131" s="121">
        <f>'BS Forecasts'!BR$228</f>
        <v>0</v>
      </c>
      <c r="BS131" s="121">
        <f>'BS Forecasts'!BS$228</f>
        <v>0</v>
      </c>
      <c r="BT131" s="121">
        <f>'BS Forecasts'!BT$228</f>
        <v>0</v>
      </c>
      <c r="BU131" s="121">
        <f>'BS Forecasts'!BU$228</f>
        <v>0</v>
      </c>
      <c r="BV131" s="121">
        <f>'BS Forecasts'!BV$228</f>
        <v>0</v>
      </c>
      <c r="BW131" s="121">
        <f>'BS Forecasts'!BW$228</f>
        <v>0</v>
      </c>
      <c r="BY131" s="42"/>
      <c r="CC131" s="126">
        <f t="shared" si="127"/>
        <v>0</v>
      </c>
      <c r="CD131" s="126">
        <f t="shared" si="128"/>
        <v>0</v>
      </c>
      <c r="CE131" s="126">
        <f t="shared" si="124"/>
        <v>0</v>
      </c>
      <c r="CF131" s="42"/>
      <c r="CG131" s="352">
        <f t="shared" si="125"/>
        <v>0</v>
      </c>
      <c r="CH131" s="352">
        <f t="shared" si="125"/>
        <v>0</v>
      </c>
      <c r="CI131" s="352">
        <f t="shared" si="125"/>
        <v>0</v>
      </c>
      <c r="CJ131" s="352">
        <f t="shared" si="126"/>
        <v>0</v>
      </c>
      <c r="CK131" s="352">
        <f t="shared" si="126"/>
        <v>0</v>
      </c>
      <c r="CL131" s="352">
        <f t="shared" si="126"/>
        <v>0</v>
      </c>
      <c r="CM131" s="352">
        <f>ROUND(V131-BL131, rounding)</f>
        <v>0</v>
      </c>
      <c r="EX131" s="10" t="str">
        <f t="shared" ca="1" si="84"/>
        <v>Restricted Reserve</v>
      </c>
    </row>
    <row r="132" spans="1:154" x14ac:dyDescent="0.25">
      <c r="A132" s="362" cm="1">
        <f t="array" aca="1" ref="A132" ca="1">HYPERLINK(CONCATENATE("#",CELL("address",IF(SUM($BY132:$CF132)=0,A132,INDEX($BY132:$CF132,MATCH(1,$BY132:$CF132,0))))),SUM($BY132:$CF132))</f>
        <v>0</v>
      </c>
      <c r="C132" s="343" t="str">
        <f>'BS Forecasts'!C$234</f>
        <v>B-9c-CB</v>
      </c>
      <c r="D132" s="560" t="str" cm="1">
        <f t="array" aca="1" ref="D132" ca="1">HYPERLINK(CONCATENATE("#",CELL("address",'BS Forecasts'!$D$234)),'BS Forecasts'!$D$230)</f>
        <v>I&amp;E Reserve</v>
      </c>
      <c r="J132" s="335"/>
      <c r="Q132" s="335"/>
      <c r="R132" s="335"/>
      <c r="T132" s="335"/>
      <c r="U132" s="335"/>
      <c r="V132" s="10">
        <f>'BS Forecasts'!V$234</f>
        <v>8741</v>
      </c>
      <c r="W132" s="10">
        <f>'BS Forecasts'!W$234</f>
        <v>9226</v>
      </c>
      <c r="X132" s="121">
        <f>'BS Forecasts'!X$234</f>
        <v>9707</v>
      </c>
      <c r="Y132" s="121">
        <f>'BS Forecasts'!Y$234</f>
        <v>10293.810000000001</v>
      </c>
      <c r="AA132" s="121">
        <f>'BS Forecasts'!AA$234</f>
        <v>10466</v>
      </c>
      <c r="AB132" s="121">
        <f>'BS Forecasts'!AB$234</f>
        <v>11619</v>
      </c>
      <c r="AC132" s="121">
        <f>'BS Forecasts'!AC$234</f>
        <v>11754</v>
      </c>
      <c r="AD132" s="121">
        <f>'BS Forecasts'!AD$234</f>
        <v>11548</v>
      </c>
      <c r="AE132" s="121">
        <f>'BS Forecasts'!AE$234</f>
        <v>10665</v>
      </c>
      <c r="AF132" s="121">
        <f>'BS Forecasts'!AF$234</f>
        <v>9994</v>
      </c>
      <c r="AG132" s="121">
        <f>'BS Forecasts'!AG$234</f>
        <v>9277</v>
      </c>
      <c r="AH132" s="121">
        <f>'BS Forecasts'!AH$234</f>
        <v>8381</v>
      </c>
      <c r="AI132" s="121">
        <f>'BS Forecasts'!AI$234</f>
        <v>9635</v>
      </c>
      <c r="AJ132" s="121">
        <f>'BS Forecasts'!AJ$234</f>
        <v>9903</v>
      </c>
      <c r="AK132" s="121">
        <f>'BS Forecasts'!AK$234</f>
        <v>10165</v>
      </c>
      <c r="AL132" s="121">
        <f>'BS Forecasts'!AL$234</f>
        <v>9226</v>
      </c>
      <c r="AM132" s="121">
        <f>'BS Forecasts'!AM$234</f>
        <v>11209</v>
      </c>
      <c r="AN132" s="121">
        <f>'BS Forecasts'!AN$234</f>
        <v>12344</v>
      </c>
      <c r="AO132" s="121">
        <f>'BS Forecasts'!AO$234</f>
        <v>12474</v>
      </c>
      <c r="AP132" s="121">
        <f>'BS Forecasts'!AP$234</f>
        <v>12036</v>
      </c>
      <c r="AQ132" s="121">
        <f>'BS Forecasts'!AQ$234</f>
        <v>11149</v>
      </c>
      <c r="AR132" s="121">
        <f>'BS Forecasts'!AR$234</f>
        <v>10577</v>
      </c>
      <c r="AS132" s="121">
        <f>'BS Forecasts'!AS$234</f>
        <v>9610</v>
      </c>
      <c r="AT132" s="121">
        <f>'BS Forecasts'!AT$234</f>
        <v>8701</v>
      </c>
      <c r="AU132" s="121">
        <f>'BS Forecasts'!AU$234</f>
        <v>10192</v>
      </c>
      <c r="AV132" s="121">
        <f>'BS Forecasts'!AV$234</f>
        <v>10564</v>
      </c>
      <c r="AW132" s="121">
        <f>'BS Forecasts'!AW$234</f>
        <v>10514</v>
      </c>
      <c r="AX132" s="121">
        <f>'BS Forecasts'!AX$234</f>
        <v>9707</v>
      </c>
      <c r="AY132" s="121">
        <f>'BS Forecasts'!AY$234</f>
        <v>11735.748333333333</v>
      </c>
      <c r="AZ132" s="121">
        <f>'BS Forecasts'!AZ$234</f>
        <v>12887.105</v>
      </c>
      <c r="BA132" s="121">
        <f>'BS Forecasts'!BA$234</f>
        <v>13024.593333333332</v>
      </c>
      <c r="BB132" s="121">
        <f>'BS Forecasts'!BB$234</f>
        <v>12578.98</v>
      </c>
      <c r="BC132" s="121">
        <f>'BS Forecasts'!BC$234</f>
        <v>11672.449999999999</v>
      </c>
      <c r="BD132" s="121">
        <f>'BS Forecasts'!BD$234</f>
        <v>11093.22</v>
      </c>
      <c r="BE132" s="121">
        <f>'BS Forecasts'!BE$234</f>
        <v>10106.478333333333</v>
      </c>
      <c r="BF132" s="121">
        <f>'BS Forecasts'!BF$234</f>
        <v>9182.9599999999991</v>
      </c>
      <c r="BG132" s="121">
        <f>'BS Forecasts'!BG$234</f>
        <v>10727.338333333333</v>
      </c>
      <c r="BH132" s="121">
        <f>'BS Forecasts'!BH$234</f>
        <v>11148.406666666666</v>
      </c>
      <c r="BI132" s="121">
        <f>'BS Forecasts'!BI$234</f>
        <v>11108.599999999999</v>
      </c>
      <c r="BJ132" s="121">
        <f>'BS Forecasts'!BJ$234</f>
        <v>10293.809999999998</v>
      </c>
      <c r="BL132" s="121">
        <f>'BS Forecasts'!BL$234</f>
        <v>8741</v>
      </c>
      <c r="BM132" s="121">
        <f>'BS Forecasts'!BM$234</f>
        <v>9226</v>
      </c>
      <c r="BN132" s="121">
        <f>'BS Forecasts'!BN$234</f>
        <v>9707</v>
      </c>
      <c r="BO132" s="121">
        <f>'BS Forecasts'!BO$234</f>
        <v>10293.810000000001</v>
      </c>
      <c r="BP132" s="121">
        <f>'BS Forecasts'!BP$234</f>
        <v>10293.810000000001</v>
      </c>
      <c r="BQ132" s="121">
        <f>'BS Forecasts'!BQ$234</f>
        <v>10293.810000000001</v>
      </c>
      <c r="BR132" s="121">
        <f>'BS Forecasts'!BR$234</f>
        <v>10293.810000000001</v>
      </c>
      <c r="BS132" s="121">
        <f>'BS Forecasts'!BS$234</f>
        <v>10293.810000000001</v>
      </c>
      <c r="BT132" s="121">
        <f>'BS Forecasts'!BT$234</f>
        <v>10293.810000000001</v>
      </c>
      <c r="BU132" s="121">
        <f>'BS Forecasts'!BU$234</f>
        <v>10293.810000000001</v>
      </c>
      <c r="BV132" s="121">
        <f>'BS Forecasts'!BV$234</f>
        <v>10293.810000000001</v>
      </c>
      <c r="BW132" s="121">
        <f>'BS Forecasts'!BW$234</f>
        <v>10293.810000000001</v>
      </c>
      <c r="BY132" s="42"/>
      <c r="CC132" s="126">
        <f t="shared" si="127"/>
        <v>0</v>
      </c>
      <c r="CD132" s="126">
        <f t="shared" si="128"/>
        <v>0</v>
      </c>
      <c r="CE132" s="126">
        <f t="shared" si="124"/>
        <v>0</v>
      </c>
      <c r="CF132" s="42"/>
      <c r="CG132" s="352">
        <f t="shared" si="125"/>
        <v>0</v>
      </c>
      <c r="CH132" s="352">
        <f t="shared" si="125"/>
        <v>0</v>
      </c>
      <c r="CI132" s="352">
        <f t="shared" si="125"/>
        <v>0</v>
      </c>
      <c r="CJ132" s="352">
        <f t="shared" si="126"/>
        <v>0</v>
      </c>
      <c r="CK132" s="352">
        <f t="shared" si="126"/>
        <v>0</v>
      </c>
      <c r="CL132" s="352">
        <f t="shared" si="126"/>
        <v>0</v>
      </c>
      <c r="CM132" s="352">
        <f>ROUND(V132-BL132, rounding)</f>
        <v>0</v>
      </c>
      <c r="EX132" s="10" t="str">
        <f t="shared" ca="1" si="84"/>
        <v>I&amp;E Reserve</v>
      </c>
    </row>
    <row r="133" spans="1:154" x14ac:dyDescent="0.25">
      <c r="A133" s="362" cm="1">
        <f t="array" aca="1" ref="A133" ca="1">HYPERLINK(CONCATENATE("#",CELL("address",IF(SUM($BY133:$CF133)=0,A133,INDEX($BY133:$CF133,MATCH(1,$BY133:$CF133,0))))),SUM($BY133:$CF133))</f>
        <v>0</v>
      </c>
      <c r="C133" s="343" t="s">
        <v>1467</v>
      </c>
      <c r="D133" s="554" t="s">
        <v>296</v>
      </c>
      <c r="J133" s="335"/>
      <c r="Q133" s="335"/>
      <c r="R133" s="335"/>
      <c r="S133" s="335"/>
      <c r="T133" s="335"/>
      <c r="U133" s="335"/>
      <c r="V133" s="13">
        <f>SUM(V130:V132)*V$9</f>
        <v>0</v>
      </c>
      <c r="W133" s="13">
        <f t="shared" ref="W133:BW133" si="129">SUM(W130:W132)*W$9</f>
        <v>10828</v>
      </c>
      <c r="X133" s="13">
        <f t="shared" si="129"/>
        <v>11258</v>
      </c>
      <c r="Y133" s="13">
        <f t="shared" si="129"/>
        <v>11793.810000000001</v>
      </c>
      <c r="Z133" s="335"/>
      <c r="AA133" s="13">
        <f t="shared" si="129"/>
        <v>12114</v>
      </c>
      <c r="AB133" s="13">
        <f t="shared" si="129"/>
        <v>13262</v>
      </c>
      <c r="AC133" s="13">
        <f t="shared" si="129"/>
        <v>13392</v>
      </c>
      <c r="AD133" s="13">
        <f t="shared" si="129"/>
        <v>13182</v>
      </c>
      <c r="AE133" s="13">
        <f t="shared" si="129"/>
        <v>12295</v>
      </c>
      <c r="AF133" s="13">
        <f t="shared" si="129"/>
        <v>11620</v>
      </c>
      <c r="AG133" s="13">
        <f t="shared" si="129"/>
        <v>10899</v>
      </c>
      <c r="AH133" s="13">
        <f t="shared" si="129"/>
        <v>9999</v>
      </c>
      <c r="AI133" s="13">
        <f t="shared" si="129"/>
        <v>11249</v>
      </c>
      <c r="AJ133" s="13">
        <f t="shared" si="129"/>
        <v>11513</v>
      </c>
      <c r="AK133" s="13">
        <f t="shared" si="129"/>
        <v>11771</v>
      </c>
      <c r="AL133" s="13">
        <f t="shared" si="129"/>
        <v>10828</v>
      </c>
      <c r="AM133" s="13">
        <f t="shared" si="129"/>
        <v>12806</v>
      </c>
      <c r="AN133" s="13">
        <f t="shared" si="129"/>
        <v>13936</v>
      </c>
      <c r="AO133" s="13">
        <f t="shared" si="129"/>
        <v>14061</v>
      </c>
      <c r="AP133" s="13">
        <f t="shared" si="129"/>
        <v>13619</v>
      </c>
      <c r="AQ133" s="13">
        <f t="shared" si="129"/>
        <v>12728</v>
      </c>
      <c r="AR133" s="13">
        <f t="shared" si="129"/>
        <v>12152</v>
      </c>
      <c r="AS133" s="13">
        <f t="shared" si="129"/>
        <v>11181</v>
      </c>
      <c r="AT133" s="13">
        <f t="shared" si="129"/>
        <v>10268</v>
      </c>
      <c r="AU133" s="13">
        <f t="shared" si="129"/>
        <v>11755</v>
      </c>
      <c r="AV133" s="13">
        <f t="shared" si="129"/>
        <v>12123</v>
      </c>
      <c r="AW133" s="13">
        <f t="shared" si="129"/>
        <v>12069</v>
      </c>
      <c r="AX133" s="13">
        <f t="shared" si="129"/>
        <v>11258</v>
      </c>
      <c r="AY133" s="13">
        <f t="shared" si="129"/>
        <v>13281.748333333333</v>
      </c>
      <c r="AZ133" s="13">
        <f t="shared" si="129"/>
        <v>14428.105</v>
      </c>
      <c r="BA133" s="13">
        <f t="shared" si="129"/>
        <v>14560.593333333332</v>
      </c>
      <c r="BB133" s="13">
        <f t="shared" si="129"/>
        <v>14110.98</v>
      </c>
      <c r="BC133" s="13">
        <f t="shared" si="129"/>
        <v>13200.449999999999</v>
      </c>
      <c r="BD133" s="13">
        <f t="shared" si="129"/>
        <v>12617.22</v>
      </c>
      <c r="BE133" s="13">
        <f t="shared" si="129"/>
        <v>11626.478333333333</v>
      </c>
      <c r="BF133" s="13">
        <f t="shared" si="129"/>
        <v>10698.96</v>
      </c>
      <c r="BG133" s="13">
        <f t="shared" si="129"/>
        <v>12239.338333333333</v>
      </c>
      <c r="BH133" s="13">
        <f t="shared" si="129"/>
        <v>12656.406666666666</v>
      </c>
      <c r="BI133" s="13">
        <f t="shared" si="129"/>
        <v>12612.599999999999</v>
      </c>
      <c r="BJ133" s="13">
        <f t="shared" si="129"/>
        <v>11793.809999999998</v>
      </c>
      <c r="BK133" s="335"/>
      <c r="BL133" s="13">
        <f t="shared" si="129"/>
        <v>0</v>
      </c>
      <c r="BM133" s="13">
        <f t="shared" si="129"/>
        <v>10828</v>
      </c>
      <c r="BN133" s="13">
        <f t="shared" si="129"/>
        <v>11258</v>
      </c>
      <c r="BO133" s="13">
        <f t="shared" si="129"/>
        <v>11793.810000000001</v>
      </c>
      <c r="BP133" s="13">
        <f t="shared" si="129"/>
        <v>0</v>
      </c>
      <c r="BQ133" s="13">
        <f t="shared" si="129"/>
        <v>0</v>
      </c>
      <c r="BR133" s="13">
        <f t="shared" si="129"/>
        <v>0</v>
      </c>
      <c r="BS133" s="13">
        <f t="shared" si="129"/>
        <v>0</v>
      </c>
      <c r="BT133" s="13">
        <f t="shared" si="129"/>
        <v>0</v>
      </c>
      <c r="BU133" s="13">
        <f t="shared" si="129"/>
        <v>0</v>
      </c>
      <c r="BV133" s="13">
        <f t="shared" si="129"/>
        <v>0</v>
      </c>
      <c r="BW133" s="13">
        <f t="shared" si="129"/>
        <v>0</v>
      </c>
      <c r="BY133" s="42"/>
      <c r="CC133" s="126">
        <f t="shared" si="127"/>
        <v>0</v>
      </c>
      <c r="CD133" s="126">
        <f t="shared" si="128"/>
        <v>0</v>
      </c>
      <c r="CE133" s="126">
        <f t="shared" si="124"/>
        <v>0</v>
      </c>
      <c r="CF133" s="42"/>
      <c r="CG133" s="352">
        <f t="shared" si="125"/>
        <v>0</v>
      </c>
      <c r="CH133" s="352">
        <f t="shared" si="125"/>
        <v>0</v>
      </c>
      <c r="CI133" s="352">
        <f t="shared" si="125"/>
        <v>0</v>
      </c>
      <c r="CJ133" s="352">
        <f t="shared" si="126"/>
        <v>0</v>
      </c>
      <c r="CK133" s="352">
        <f t="shared" si="126"/>
        <v>0</v>
      </c>
      <c r="CL133" s="352">
        <f t="shared" si="126"/>
        <v>0</v>
      </c>
      <c r="CM133" s="352">
        <f>ROUND(V133-BL133, rounding)</f>
        <v>0</v>
      </c>
      <c r="EX133" s="10" t="str">
        <f t="shared" si="84"/>
        <v>Total Reserves</v>
      </c>
    </row>
    <row r="134" spans="1:154" s="335" customFormat="1" ht="11.45" customHeight="1" x14ac:dyDescent="0.25">
      <c r="A134" s="157"/>
      <c r="B134" s="187"/>
      <c r="C134" s="343"/>
      <c r="D134" s="556"/>
      <c r="E134" s="157"/>
      <c r="F134" s="157"/>
      <c r="G134" s="157"/>
      <c r="J134" s="157"/>
      <c r="K134" s="157"/>
      <c r="L134" s="157"/>
      <c r="M134" s="157"/>
      <c r="N134" s="157"/>
      <c r="O134" s="157"/>
      <c r="P134" s="157"/>
      <c r="S134" s="157"/>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42"/>
      <c r="CC134" s="162"/>
      <c r="CD134" s="162"/>
      <c r="CE134" s="162"/>
      <c r="CF134" s="42"/>
      <c r="EX134" s="10" t="str">
        <f t="shared" si="84"/>
        <v/>
      </c>
    </row>
    <row r="135" spans="1:154" x14ac:dyDescent="0.25">
      <c r="A135" s="362" cm="1">
        <f t="array" aca="1" ref="A135" ca="1">HYPERLINK(CONCATENATE("#",CELL("address",IF(SUM($BY135:$CF135)=0,A135,INDEX($BY135:$CF135,MATCH(1,$BY135:$CF135,0))))),SUM($BY135:$CF135))</f>
        <v>0</v>
      </c>
      <c r="C135" s="343"/>
      <c r="D135" s="554" t="s">
        <v>601</v>
      </c>
      <c r="J135" s="335"/>
      <c r="Q135" s="335"/>
      <c r="R135" s="335"/>
      <c r="S135" s="328"/>
      <c r="T135" s="335"/>
      <c r="U135" s="335"/>
      <c r="V135" s="352">
        <f>ROUND(V111-V120-V127-V133, rounding)*V9</f>
        <v>0</v>
      </c>
      <c r="W135" s="352">
        <f ca="1">ROUND(W111-W120-W127-W133, rounding)*W9</f>
        <v>0</v>
      </c>
      <c r="X135" s="352">
        <f ca="1">ROUND(X111-X120-X127-X133, rounding)*X9</f>
        <v>0</v>
      </c>
      <c r="Y135" s="352">
        <f ca="1">ROUND(Y111-Y120-Y127-Y133, rounding)*Y9</f>
        <v>0</v>
      </c>
      <c r="Z135" s="157"/>
      <c r="AA135" s="352">
        <f t="shared" ref="AA135:BJ135" ca="1" si="130">ROUND(AA111-AA120-AA127-AA133, rounding)*AA9</f>
        <v>0</v>
      </c>
      <c r="AB135" s="352">
        <f t="shared" ca="1" si="130"/>
        <v>0</v>
      </c>
      <c r="AC135" s="352">
        <f t="shared" ca="1" si="130"/>
        <v>0</v>
      </c>
      <c r="AD135" s="352">
        <f t="shared" ca="1" si="130"/>
        <v>0</v>
      </c>
      <c r="AE135" s="352">
        <f t="shared" ca="1" si="130"/>
        <v>0</v>
      </c>
      <c r="AF135" s="352">
        <f t="shared" ca="1" si="130"/>
        <v>0</v>
      </c>
      <c r="AG135" s="352">
        <f t="shared" ca="1" si="130"/>
        <v>0</v>
      </c>
      <c r="AH135" s="352">
        <f t="shared" ca="1" si="130"/>
        <v>0</v>
      </c>
      <c r="AI135" s="352">
        <f t="shared" ca="1" si="130"/>
        <v>0</v>
      </c>
      <c r="AJ135" s="352">
        <f t="shared" ca="1" si="130"/>
        <v>0</v>
      </c>
      <c r="AK135" s="352">
        <f t="shared" ca="1" si="130"/>
        <v>0</v>
      </c>
      <c r="AL135" s="352">
        <f t="shared" ca="1" si="130"/>
        <v>0</v>
      </c>
      <c r="AM135" s="352">
        <f t="shared" ca="1" si="130"/>
        <v>0</v>
      </c>
      <c r="AN135" s="352">
        <f t="shared" ca="1" si="130"/>
        <v>0</v>
      </c>
      <c r="AO135" s="352">
        <f t="shared" ca="1" si="130"/>
        <v>0</v>
      </c>
      <c r="AP135" s="352">
        <f t="shared" ca="1" si="130"/>
        <v>0</v>
      </c>
      <c r="AQ135" s="352">
        <f t="shared" ca="1" si="130"/>
        <v>0</v>
      </c>
      <c r="AR135" s="352">
        <f t="shared" ca="1" si="130"/>
        <v>0</v>
      </c>
      <c r="AS135" s="352">
        <f t="shared" ca="1" si="130"/>
        <v>0</v>
      </c>
      <c r="AT135" s="352">
        <f t="shared" ca="1" si="130"/>
        <v>0</v>
      </c>
      <c r="AU135" s="352">
        <f t="shared" ca="1" si="130"/>
        <v>0</v>
      </c>
      <c r="AV135" s="352">
        <f t="shared" ca="1" si="130"/>
        <v>0</v>
      </c>
      <c r="AW135" s="352">
        <f t="shared" ca="1" si="130"/>
        <v>0</v>
      </c>
      <c r="AX135" s="352">
        <f t="shared" ca="1" si="130"/>
        <v>0</v>
      </c>
      <c r="AY135" s="352">
        <f t="shared" ca="1" si="130"/>
        <v>0</v>
      </c>
      <c r="AZ135" s="352">
        <f t="shared" ca="1" si="130"/>
        <v>0</v>
      </c>
      <c r="BA135" s="352">
        <f t="shared" ca="1" si="130"/>
        <v>0</v>
      </c>
      <c r="BB135" s="352">
        <f t="shared" ca="1" si="130"/>
        <v>0</v>
      </c>
      <c r="BC135" s="352">
        <f t="shared" ca="1" si="130"/>
        <v>0</v>
      </c>
      <c r="BD135" s="352">
        <f t="shared" ca="1" si="130"/>
        <v>0</v>
      </c>
      <c r="BE135" s="352">
        <f t="shared" ca="1" si="130"/>
        <v>0</v>
      </c>
      <c r="BF135" s="352">
        <f t="shared" ca="1" si="130"/>
        <v>0</v>
      </c>
      <c r="BG135" s="352">
        <f t="shared" ca="1" si="130"/>
        <v>0</v>
      </c>
      <c r="BH135" s="352">
        <f t="shared" ca="1" si="130"/>
        <v>0</v>
      </c>
      <c r="BI135" s="352">
        <f t="shared" ca="1" si="130"/>
        <v>0</v>
      </c>
      <c r="BJ135" s="352">
        <f t="shared" ca="1" si="130"/>
        <v>0</v>
      </c>
      <c r="BK135" s="157"/>
      <c r="BL135" s="352">
        <f t="shared" ref="BL135:BW135" si="131">ROUND(BL111-BL120-BL127-BL133, rounding)*BL9</f>
        <v>0</v>
      </c>
      <c r="BM135" s="352">
        <f t="shared" ca="1" si="131"/>
        <v>0</v>
      </c>
      <c r="BN135" s="352">
        <f t="shared" ca="1" si="131"/>
        <v>0</v>
      </c>
      <c r="BO135" s="352">
        <f t="shared" ca="1" si="131"/>
        <v>0</v>
      </c>
      <c r="BP135" s="352">
        <f t="shared" si="131"/>
        <v>0</v>
      </c>
      <c r="BQ135" s="352">
        <f t="shared" si="131"/>
        <v>0</v>
      </c>
      <c r="BR135" s="352">
        <f t="shared" si="131"/>
        <v>0</v>
      </c>
      <c r="BS135" s="352">
        <f t="shared" si="131"/>
        <v>0</v>
      </c>
      <c r="BT135" s="352">
        <f t="shared" si="131"/>
        <v>0</v>
      </c>
      <c r="BU135" s="352">
        <f t="shared" si="131"/>
        <v>0</v>
      </c>
      <c r="BV135" s="352">
        <f t="shared" si="131"/>
        <v>0</v>
      </c>
      <c r="BW135" s="352">
        <f t="shared" si="131"/>
        <v>0</v>
      </c>
      <c r="BY135" s="42"/>
      <c r="CC135" s="126">
        <f t="shared" ref="CC135" ca="1" si="132">IF(SUM($CG135:$CI135)=0, 0, 1)</f>
        <v>0</v>
      </c>
      <c r="CD135" s="126">
        <f t="shared" ref="CD135" ca="1" si="133">IF(SUM($CJ135:$CL135)=0, 0, 1)</f>
        <v>0</v>
      </c>
      <c r="CE135" s="126">
        <f t="shared" ref="CE135" si="134">IF(CM135=0, 0, 1)</f>
        <v>0</v>
      </c>
      <c r="CF135" s="42"/>
      <c r="CG135" s="352">
        <f ca="1">ROUND(W135-INDEX($AA135:$BJ135, MATCH(W$5, $AA$5:$BJ$5,0)), rounding)</f>
        <v>0</v>
      </c>
      <c r="CH135" s="352">
        <f ca="1">ROUND(X135-INDEX($AA135:$BJ135, MATCH(X$5, $AA$5:$BJ$5,0)), rounding)</f>
        <v>0</v>
      </c>
      <c r="CI135" s="352">
        <f ca="1">ROUND(Y135-INDEX($AA135:$BJ135, MATCH(Y$5, $AA$5:$BJ$5,0)), rounding)</f>
        <v>0</v>
      </c>
      <c r="CJ135" s="352">
        <f ca="1">ROUND(W135-BM135, rounding)</f>
        <v>0</v>
      </c>
      <c r="CK135" s="352">
        <f ca="1">ROUND(X135-BN135, rounding)</f>
        <v>0</v>
      </c>
      <c r="CL135" s="352">
        <f ca="1">ROUND(Y135-BO135, rounding)</f>
        <v>0</v>
      </c>
      <c r="CM135" s="352">
        <f>ROUND(V135-BL135, rounding)</f>
        <v>0</v>
      </c>
      <c r="EX135" s="10" t="str">
        <f t="shared" si="84"/>
        <v/>
      </c>
    </row>
    <row r="136" spans="1:154" s="335" customFormat="1" ht="8.1" customHeight="1" x14ac:dyDescent="0.25">
      <c r="C136" s="343"/>
      <c r="D136" s="529"/>
      <c r="BY136" s="12"/>
      <c r="CC136" s="162"/>
      <c r="CD136" s="162"/>
      <c r="CE136" s="162"/>
      <c r="CF136" s="42"/>
      <c r="EX136" s="10" t="str">
        <f t="shared" ref="EX136:EX203" si="135">IF($C136="","",$D136)</f>
        <v/>
      </c>
    </row>
    <row r="137" spans="1:154" x14ac:dyDescent="0.25">
      <c r="A137" s="362" cm="1">
        <f t="array" aca="1" ref="A137" ca="1">HYPERLINK(CONCATENATE("#",CELL("address",IF(SUM($BY137:$CF137)=0,A137,INDEX($BY137:$CF137,MATCH(1,$BY137:$CF137,0))))),SUM($BY137:$CF137))</f>
        <v>0</v>
      </c>
      <c r="C137" s="343"/>
      <c r="D137" s="556" t="s">
        <v>169</v>
      </c>
      <c r="G137" s="157"/>
      <c r="Q137" s="335"/>
      <c r="R137" s="335"/>
      <c r="T137" s="335"/>
      <c r="U137" s="335"/>
      <c r="V137" s="7">
        <f>IF(ABS(V135)&gt;Parameters!$D$33, 1, 0)</f>
        <v>0</v>
      </c>
      <c r="W137" s="7">
        <f ca="1">IF(ABS(W135)&gt;Parameters!$D$33, 1, 0)</f>
        <v>0</v>
      </c>
      <c r="X137" s="7">
        <f ca="1">IF(ABS(X135)&gt;Parameters!$D$33, 1, 0)</f>
        <v>0</v>
      </c>
      <c r="Y137" s="7">
        <f ca="1">IF(ABS(Y135)&gt;Parameters!$D$33, 1, 0)</f>
        <v>0</v>
      </c>
      <c r="AA137" s="7">
        <f ca="1">IF(ABS(AA135)&gt;Parameters!$D$33, 1, 0)</f>
        <v>0</v>
      </c>
      <c r="AB137" s="7">
        <f ca="1">IF(ABS(AB135)&gt;Parameters!$D$33, 1, 0)</f>
        <v>0</v>
      </c>
      <c r="AC137" s="7">
        <f ca="1">IF(ABS(AC135)&gt;Parameters!$D$33, 1, 0)</f>
        <v>0</v>
      </c>
      <c r="AD137" s="7">
        <f ca="1">IF(ABS(AD135)&gt;Parameters!$D$33, 1, 0)</f>
        <v>0</v>
      </c>
      <c r="AE137" s="7">
        <f ca="1">IF(ABS(AE135)&gt;Parameters!$D$33, 1, 0)</f>
        <v>0</v>
      </c>
      <c r="AF137" s="7">
        <f ca="1">IF(ABS(AF135)&gt;Parameters!$D$33, 1, 0)</f>
        <v>0</v>
      </c>
      <c r="AG137" s="7">
        <f ca="1">IF(ABS(AG135)&gt;Parameters!$D$33, 1, 0)</f>
        <v>0</v>
      </c>
      <c r="AH137" s="7">
        <f ca="1">IF(ABS(AH135)&gt;Parameters!$D$33, 1, 0)</f>
        <v>0</v>
      </c>
      <c r="AI137" s="7">
        <f ca="1">IF(ABS(AI135)&gt;Parameters!$D$33, 1, 0)</f>
        <v>0</v>
      </c>
      <c r="AJ137" s="7">
        <f ca="1">IF(ABS(AJ135)&gt;Parameters!$D$33, 1, 0)</f>
        <v>0</v>
      </c>
      <c r="AK137" s="7">
        <f ca="1">IF(ABS(AK135)&gt;Parameters!$D$33, 1, 0)</f>
        <v>0</v>
      </c>
      <c r="AL137" s="7">
        <f ca="1">IF(ABS(AL135)&gt;Parameters!$D$33, 1, 0)</f>
        <v>0</v>
      </c>
      <c r="AM137" s="7">
        <f ca="1">IF(ABS(AM135)&gt;Parameters!$D$33, 1, 0)</f>
        <v>0</v>
      </c>
      <c r="AN137" s="7">
        <f ca="1">IF(ABS(AN135)&gt;Parameters!$D$33, 1, 0)</f>
        <v>0</v>
      </c>
      <c r="AO137" s="7">
        <f ca="1">IF(ABS(AO135)&gt;Parameters!$D$33, 1, 0)</f>
        <v>0</v>
      </c>
      <c r="AP137" s="7">
        <f ca="1">IF(ABS(AP135)&gt;Parameters!$D$33, 1, 0)</f>
        <v>0</v>
      </c>
      <c r="AQ137" s="7">
        <f ca="1">IF(ABS(AQ135)&gt;Parameters!$D$33, 1, 0)</f>
        <v>0</v>
      </c>
      <c r="AR137" s="7">
        <f ca="1">IF(ABS(AR135)&gt;Parameters!$D$33, 1, 0)</f>
        <v>0</v>
      </c>
      <c r="AS137" s="7">
        <f ca="1">IF(ABS(AS135)&gt;Parameters!$D$33, 1, 0)</f>
        <v>0</v>
      </c>
      <c r="AT137" s="7">
        <f ca="1">IF(ABS(AT135)&gt;Parameters!$D$33, 1, 0)</f>
        <v>0</v>
      </c>
      <c r="AU137" s="7">
        <f ca="1">IF(ABS(AU135)&gt;Parameters!$D$33, 1, 0)</f>
        <v>0</v>
      </c>
      <c r="AV137" s="7">
        <f ca="1">IF(ABS(AV135)&gt;Parameters!$D$33, 1, 0)</f>
        <v>0</v>
      </c>
      <c r="AW137" s="7">
        <f ca="1">IF(ABS(AW135)&gt;Parameters!$D$33, 1, 0)</f>
        <v>0</v>
      </c>
      <c r="AX137" s="7">
        <f ca="1">IF(ABS(AX135)&gt;Parameters!$D$33, 1, 0)</f>
        <v>0</v>
      </c>
      <c r="AY137" s="7">
        <f ca="1">IF(ABS(AY135)&gt;Parameters!$D$33, 1, 0)</f>
        <v>0</v>
      </c>
      <c r="AZ137" s="7">
        <f ca="1">IF(ABS(AZ135)&gt;Parameters!$D$33, 1, 0)</f>
        <v>0</v>
      </c>
      <c r="BA137" s="7">
        <f ca="1">IF(ABS(BA135)&gt;Parameters!$D$33, 1, 0)</f>
        <v>0</v>
      </c>
      <c r="BB137" s="7">
        <f ca="1">IF(ABS(BB135)&gt;Parameters!$D$33, 1, 0)</f>
        <v>0</v>
      </c>
      <c r="BC137" s="7">
        <f ca="1">IF(ABS(BC135)&gt;Parameters!$D$33, 1, 0)</f>
        <v>0</v>
      </c>
      <c r="BD137" s="7">
        <f ca="1">IF(ABS(BD135)&gt;Parameters!$D$33, 1, 0)</f>
        <v>0</v>
      </c>
      <c r="BE137" s="7">
        <f ca="1">IF(ABS(BE135)&gt;Parameters!$D$33, 1, 0)</f>
        <v>0</v>
      </c>
      <c r="BF137" s="7">
        <f ca="1">IF(ABS(BF135)&gt;Parameters!$D$33, 1, 0)</f>
        <v>0</v>
      </c>
      <c r="BG137" s="7">
        <f ca="1">IF(ABS(BG135)&gt;Parameters!$D$33, 1, 0)</f>
        <v>0</v>
      </c>
      <c r="BH137" s="7">
        <f ca="1">IF(ABS(BH135)&gt;Parameters!$D$33, 1, 0)</f>
        <v>0</v>
      </c>
      <c r="BI137" s="7">
        <f ca="1">IF(ABS(BI135)&gt;Parameters!$D$33, 1, 0)</f>
        <v>0</v>
      </c>
      <c r="BJ137" s="7">
        <f ca="1">IF(ABS(BJ135)&gt;Parameters!$D$33, 1, 0)</f>
        <v>0</v>
      </c>
      <c r="BL137" s="7">
        <f>IF(ABS(BL135)&gt;Parameters!$D$33, 1, 0)</f>
        <v>0</v>
      </c>
      <c r="BM137" s="7">
        <f ca="1">IF(ABS(BM135)&gt;Parameters!$D$33, 1, 0)</f>
        <v>0</v>
      </c>
      <c r="BN137" s="7">
        <f ca="1">IF(ABS(BN135)&gt;Parameters!$D$33, 1, 0)</f>
        <v>0</v>
      </c>
      <c r="BO137" s="7">
        <f ca="1">IF(ABS(BO135)&gt;Parameters!$D$33, 1, 0)</f>
        <v>0</v>
      </c>
      <c r="BP137" s="7">
        <f>IF(ABS(BP135)&gt;Parameters!$D$33, 1, 0)</f>
        <v>0</v>
      </c>
      <c r="BQ137" s="7">
        <f>IF(ABS(BQ135)&gt;Parameters!$D$33, 1, 0)</f>
        <v>0</v>
      </c>
      <c r="BR137" s="7">
        <f>IF(ABS(BR135)&gt;Parameters!$D$33, 1, 0)</f>
        <v>0</v>
      </c>
      <c r="BS137" s="7">
        <f>IF(ABS(BS135)&gt;Parameters!$D$33, 1, 0)</f>
        <v>0</v>
      </c>
      <c r="BT137" s="7">
        <f>IF(ABS(BT135)&gt;Parameters!$D$33, 1, 0)</f>
        <v>0</v>
      </c>
      <c r="BU137" s="7">
        <f>IF(ABS(BU135)&gt;Parameters!$D$33, 1, 0)</f>
        <v>0</v>
      </c>
      <c r="BV137" s="7">
        <f>IF(ABS(BV135)&gt;Parameters!$D$33, 1, 0)</f>
        <v>0</v>
      </c>
      <c r="BW137" s="7">
        <f>IF(ABS(BW135)&gt;Parameters!$D$33, 1, 0)</f>
        <v>0</v>
      </c>
      <c r="BY137" s="42"/>
      <c r="CA137" s="7">
        <f ca="1">IF(SUM($V137:$BW137)=0, 0, 1)</f>
        <v>0</v>
      </c>
      <c r="CB137" s="7"/>
      <c r="CC137" s="162"/>
      <c r="CD137" s="162"/>
      <c r="CE137" s="162"/>
      <c r="CF137" s="42"/>
      <c r="CI137" s="332"/>
      <c r="EX137" s="10" t="str">
        <f t="shared" si="84"/>
        <v/>
      </c>
    </row>
    <row r="138" spans="1:154" s="328" customFormat="1" ht="8.1" customHeight="1" x14ac:dyDescent="0.25">
      <c r="C138" s="343"/>
      <c r="D138" s="529"/>
      <c r="T138" s="335"/>
      <c r="U138" s="335"/>
      <c r="BY138" s="12"/>
      <c r="CB138" s="335"/>
      <c r="CC138" s="162"/>
      <c r="CD138" s="162"/>
      <c r="CE138" s="162"/>
      <c r="CF138" s="42"/>
      <c r="CI138" s="332"/>
      <c r="EX138" s="10" t="str">
        <f t="shared" si="135"/>
        <v/>
      </c>
    </row>
    <row r="139" spans="1:154" x14ac:dyDescent="0.25">
      <c r="A139" s="362" cm="1">
        <f t="array" aca="1" ref="A139" ca="1">HYPERLINK(CONCATENATE("#",CELL("address",IF(SUM($BY139:$CF139)=0,A139,INDEX($BY139:$CF139,MATCH(1,$BY139:$CF139,0))))),SUM($BY139:$CF139))</f>
        <v>0</v>
      </c>
      <c r="C139" s="343"/>
      <c r="D139" s="556" t="s">
        <v>602</v>
      </c>
      <c r="S139" s="335"/>
      <c r="T139" s="335"/>
      <c r="U139" s="335"/>
      <c r="V139" s="169">
        <f>IF(ABS(V135-SUM('BS Forecasts'!V12,'BS Forecasts'!V14,0-'BS Forecasts'!V16))&gt;rounding,1,0)*V$9</f>
        <v>0</v>
      </c>
      <c r="W139" s="169">
        <f ca="1">IF(ABS(W135-SUM('BS Forecasts'!W12,'BS Forecasts'!W14,0-'BS Forecasts'!W16))&gt;rounding,1,0)*W$9</f>
        <v>0</v>
      </c>
      <c r="X139" s="169">
        <f ca="1">IF(ABS(X135-SUM('BS Forecasts'!X12,'BS Forecasts'!X14,0-'BS Forecasts'!X16))&gt;rounding,1,0)*X$9</f>
        <v>0</v>
      </c>
      <c r="Y139" s="169">
        <f ca="1">IF(ABS(Y135-SUM('BS Forecasts'!Y12,'BS Forecasts'!Y14,0-'BS Forecasts'!Y16))&gt;rounding,1,0)*Y$9</f>
        <v>0</v>
      </c>
      <c r="Z139" s="335"/>
      <c r="AA139" s="169">
        <f ca="1">IF(ABS(AA135-SUM('BS Forecasts'!AA12,'BS Forecasts'!AA14,0-'BS Forecasts'!AA16))&gt;rounding,1,0)*AA$9</f>
        <v>0</v>
      </c>
      <c r="AB139" s="169">
        <f ca="1">IF(ABS(AB135-SUM('BS Forecasts'!AB12,'BS Forecasts'!AB14,0-'BS Forecasts'!AB16))&gt;rounding,1,0)*AB$9</f>
        <v>0</v>
      </c>
      <c r="AC139" s="169">
        <f ca="1">IF(ABS(AC135-SUM('BS Forecasts'!AC12,'BS Forecasts'!AC14,0-'BS Forecasts'!AC16))&gt;rounding,1,0)*AC$9</f>
        <v>0</v>
      </c>
      <c r="AD139" s="169">
        <f ca="1">IF(ABS(AD135-SUM('BS Forecasts'!AD12,'BS Forecasts'!AD14,0-'BS Forecasts'!AD16))&gt;rounding,1,0)*AD$9</f>
        <v>0</v>
      </c>
      <c r="AE139" s="169">
        <f ca="1">IF(ABS(AE135-SUM('BS Forecasts'!AE12,'BS Forecasts'!AE14,0-'BS Forecasts'!AE16))&gt;rounding,1,0)*AE$9</f>
        <v>0</v>
      </c>
      <c r="AF139" s="169">
        <f ca="1">IF(ABS(AF135-SUM('BS Forecasts'!AF12,'BS Forecasts'!AF14,0-'BS Forecasts'!AF16))&gt;rounding,1,0)*AF$9</f>
        <v>0</v>
      </c>
      <c r="AG139" s="169">
        <f ca="1">IF(ABS(AG135-SUM('BS Forecasts'!AG12,'BS Forecasts'!AG14,0-'BS Forecasts'!AG16))&gt;rounding,1,0)*AG$9</f>
        <v>0</v>
      </c>
      <c r="AH139" s="169">
        <f ca="1">IF(ABS(AH135-SUM('BS Forecasts'!AH12,'BS Forecasts'!AH14,0-'BS Forecasts'!AH16))&gt;rounding,1,0)*AH$9</f>
        <v>0</v>
      </c>
      <c r="AI139" s="169">
        <f ca="1">IF(ABS(AI135-SUM('BS Forecasts'!AI12,'BS Forecasts'!AI14,0-'BS Forecasts'!AI16))&gt;rounding,1,0)*AI$9</f>
        <v>0</v>
      </c>
      <c r="AJ139" s="169">
        <f ca="1">IF(ABS(AJ135-SUM('BS Forecasts'!AJ12,'BS Forecasts'!AJ14,0-'BS Forecasts'!AJ16))&gt;rounding,1,0)*AJ$9</f>
        <v>0</v>
      </c>
      <c r="AK139" s="169">
        <f ca="1">IF(ABS(AK135-SUM('BS Forecasts'!AK12,'BS Forecasts'!AK14,0-'BS Forecasts'!AK16))&gt;rounding,1,0)*AK$9</f>
        <v>0</v>
      </c>
      <c r="AL139" s="169">
        <f ca="1">IF(ABS(AL135-SUM('BS Forecasts'!AL12,'BS Forecasts'!AL14,0-'BS Forecasts'!AL16))&gt;rounding,1,0)*AL$9</f>
        <v>0</v>
      </c>
      <c r="AM139" s="169">
        <f ca="1">IF(ABS(AM135-SUM('BS Forecasts'!AM12,'BS Forecasts'!AM14,0-'BS Forecasts'!AM16))&gt;rounding,1,0)*AM$9</f>
        <v>0</v>
      </c>
      <c r="AN139" s="169">
        <f ca="1">IF(ABS(AN135-SUM('BS Forecasts'!AN12,'BS Forecasts'!AN14,0-'BS Forecasts'!AN16))&gt;rounding,1,0)*AN$9</f>
        <v>0</v>
      </c>
      <c r="AO139" s="169">
        <f ca="1">IF(ABS(AO135-SUM('BS Forecasts'!AO12,'BS Forecasts'!AO14,0-'BS Forecasts'!AO16))&gt;rounding,1,0)*AO$9</f>
        <v>0</v>
      </c>
      <c r="AP139" s="169">
        <f ca="1">IF(ABS(AP135-SUM('BS Forecasts'!AP12,'BS Forecasts'!AP14,0-'BS Forecasts'!AP16))&gt;rounding,1,0)*AP$9</f>
        <v>0</v>
      </c>
      <c r="AQ139" s="169">
        <f ca="1">IF(ABS(AQ135-SUM('BS Forecasts'!AQ12,'BS Forecasts'!AQ14,0-'BS Forecasts'!AQ16))&gt;rounding,1,0)*AQ$9</f>
        <v>0</v>
      </c>
      <c r="AR139" s="169">
        <f ca="1">IF(ABS(AR135-SUM('BS Forecasts'!AR12,'BS Forecasts'!AR14,0-'BS Forecasts'!AR16))&gt;rounding,1,0)*AR$9</f>
        <v>0</v>
      </c>
      <c r="AS139" s="169">
        <f ca="1">IF(ABS(AS135-SUM('BS Forecasts'!AS12,'BS Forecasts'!AS14,0-'BS Forecasts'!AS16))&gt;rounding,1,0)*AS$9</f>
        <v>0</v>
      </c>
      <c r="AT139" s="169">
        <f ca="1">IF(ABS(AT135-SUM('BS Forecasts'!AT12,'BS Forecasts'!AT14,0-'BS Forecasts'!AT16))&gt;rounding,1,0)*AT$9</f>
        <v>0</v>
      </c>
      <c r="AU139" s="169">
        <f ca="1">IF(ABS(AU135-SUM('BS Forecasts'!AU12,'BS Forecasts'!AU14,0-'BS Forecasts'!AU16))&gt;rounding,1,0)*AU$9</f>
        <v>0</v>
      </c>
      <c r="AV139" s="169">
        <f ca="1">IF(ABS(AV135-SUM('BS Forecasts'!AV12,'BS Forecasts'!AV14,0-'BS Forecasts'!AV16))&gt;rounding,1,0)*AV$9</f>
        <v>0</v>
      </c>
      <c r="AW139" s="169">
        <f ca="1">IF(ABS(AW135-SUM('BS Forecasts'!AW12,'BS Forecasts'!AW14,0-'BS Forecasts'!AW16))&gt;rounding,1,0)*AW$9</f>
        <v>0</v>
      </c>
      <c r="AX139" s="169">
        <f ca="1">IF(ABS(AX135-SUM('BS Forecasts'!AX12,'BS Forecasts'!AX14,0-'BS Forecasts'!AX16))&gt;rounding,1,0)*AX$9</f>
        <v>0</v>
      </c>
      <c r="AY139" s="169">
        <f ca="1">IF(ABS(AY135-SUM('BS Forecasts'!AY12,'BS Forecasts'!AY14,0-'BS Forecasts'!AY16))&gt;rounding,1,0)*AY$9</f>
        <v>0</v>
      </c>
      <c r="AZ139" s="169">
        <f ca="1">IF(ABS(AZ135-SUM('BS Forecasts'!AZ12,'BS Forecasts'!AZ14,0-'BS Forecasts'!AZ16))&gt;rounding,1,0)*AZ$9</f>
        <v>0</v>
      </c>
      <c r="BA139" s="169">
        <f ca="1">IF(ABS(BA135-SUM('BS Forecasts'!BA12,'BS Forecasts'!BA14,0-'BS Forecasts'!BA16))&gt;rounding,1,0)*BA$9</f>
        <v>0</v>
      </c>
      <c r="BB139" s="169">
        <f ca="1">IF(ABS(BB135-SUM('BS Forecasts'!BB12,'BS Forecasts'!BB14,0-'BS Forecasts'!BB16))&gt;rounding,1,0)*BB$9</f>
        <v>0</v>
      </c>
      <c r="BC139" s="169">
        <f ca="1">IF(ABS(BC135-SUM('BS Forecasts'!BC12,'BS Forecasts'!BC14,0-'BS Forecasts'!BC16))&gt;rounding,1,0)*BC$9</f>
        <v>0</v>
      </c>
      <c r="BD139" s="169">
        <f ca="1">IF(ABS(BD135-SUM('BS Forecasts'!BD12,'BS Forecasts'!BD14,0-'BS Forecasts'!BD16))&gt;rounding,1,0)*BD$9</f>
        <v>0</v>
      </c>
      <c r="BE139" s="169">
        <f ca="1">IF(ABS(BE135-SUM('BS Forecasts'!BE12,'BS Forecasts'!BE14,0-'BS Forecasts'!BE16))&gt;rounding,1,0)*BE$9</f>
        <v>0</v>
      </c>
      <c r="BF139" s="169">
        <f ca="1">IF(ABS(BF135-SUM('BS Forecasts'!BF12,'BS Forecasts'!BF14,0-'BS Forecasts'!BF16))&gt;rounding,1,0)*BF$9</f>
        <v>0</v>
      </c>
      <c r="BG139" s="169">
        <f ca="1">IF(ABS(BG135-SUM('BS Forecasts'!BG12,'BS Forecasts'!BG14,0-'BS Forecasts'!BG16))&gt;rounding,1,0)*BG$9</f>
        <v>0</v>
      </c>
      <c r="BH139" s="169">
        <f ca="1">IF(ABS(BH135-SUM('BS Forecasts'!BH12,'BS Forecasts'!BH14,0-'BS Forecasts'!BH16))&gt;rounding,1,0)*BH$9</f>
        <v>0</v>
      </c>
      <c r="BI139" s="169">
        <f ca="1">IF(ABS(BI135-SUM('BS Forecasts'!BI12,'BS Forecasts'!BI14,0-'BS Forecasts'!BI16))&gt;rounding,1,0)*BI$9</f>
        <v>0</v>
      </c>
      <c r="BJ139" s="169">
        <f ca="1">IF(ABS(BJ135-SUM('BS Forecasts'!BJ12,'BS Forecasts'!BJ14,0-'BS Forecasts'!BJ16))&gt;rounding,1,0)*BJ$9</f>
        <v>0</v>
      </c>
      <c r="BK139" s="335"/>
      <c r="BL139" s="169">
        <f>IF(ABS(BL135-SUM('BS Forecasts'!BL12,'BS Forecasts'!BL14,0-'BS Forecasts'!BL16))&gt;rounding,1,0)*BL$9</f>
        <v>0</v>
      </c>
      <c r="BM139" s="169">
        <f ca="1">IF(ABS(BM135-SUM('BS Forecasts'!BM12,'BS Forecasts'!BM14,0-'BS Forecasts'!BM16))&gt;rounding,1,0)*BM$9</f>
        <v>0</v>
      </c>
      <c r="BN139" s="169">
        <f ca="1">IF(ABS(BN135-SUM('BS Forecasts'!BN12,'BS Forecasts'!BN14,0-'BS Forecasts'!BN16))&gt;rounding,1,0)*BN$9</f>
        <v>0</v>
      </c>
      <c r="BO139" s="169">
        <f ca="1">IF(ABS(BO135-SUM('BS Forecasts'!BO12,'BS Forecasts'!BO14,0-'BS Forecasts'!BO16))&gt;rounding,1,0)*BO$9</f>
        <v>0</v>
      </c>
      <c r="BP139" s="169">
        <f>IF(ABS(BP135-SUM('BS Forecasts'!BP12,'BS Forecasts'!BP14,0-'BS Forecasts'!BP16))&gt;rounding,1,0)*BP$9</f>
        <v>0</v>
      </c>
      <c r="BQ139" s="169">
        <f>IF(ABS(BQ135-SUM('BS Forecasts'!BQ12,'BS Forecasts'!BQ14,0-'BS Forecasts'!BQ16))&gt;rounding,1,0)*BQ$9</f>
        <v>0</v>
      </c>
      <c r="BR139" s="169">
        <f>IF(ABS(BR135-SUM('BS Forecasts'!BR12,'BS Forecasts'!BR14,0-'BS Forecasts'!BR16))&gt;rounding,1,0)*BR$9</f>
        <v>0</v>
      </c>
      <c r="BS139" s="169">
        <f>IF(ABS(BS135-SUM('BS Forecasts'!BS12,'BS Forecasts'!BS14,0-'BS Forecasts'!BS16))&gt;rounding,1,0)*BS$9</f>
        <v>0</v>
      </c>
      <c r="BT139" s="169">
        <f>IF(ABS(BT135-SUM('BS Forecasts'!BT12,'BS Forecasts'!BT14,0-'BS Forecasts'!BT16))&gt;rounding,1,0)*BT$9</f>
        <v>0</v>
      </c>
      <c r="BU139" s="169">
        <f>IF(ABS(BU135-SUM('BS Forecasts'!BU12,'BS Forecasts'!BU14,0-'BS Forecasts'!BU16))&gt;rounding,1,0)*BU$9</f>
        <v>0</v>
      </c>
      <c r="BV139" s="169">
        <f>IF(ABS(BV135-SUM('BS Forecasts'!BV12,'BS Forecasts'!BV14,0-'BS Forecasts'!BV16))&gt;rounding,1,0)*BV$9</f>
        <v>0</v>
      </c>
      <c r="BW139" s="169">
        <f>IF(ABS(BW135-SUM('BS Forecasts'!BW12,'BS Forecasts'!BW14,0-'BS Forecasts'!BW16))&gt;rounding,1,0)*BW$9</f>
        <v>0</v>
      </c>
      <c r="BY139" s="42"/>
      <c r="BZ139" s="7">
        <f ca="1">IF(SUM($V139:$BW139)=0, 0, 1)</f>
        <v>0</v>
      </c>
      <c r="CA139" s="335"/>
      <c r="CC139" s="162"/>
      <c r="CD139" s="162"/>
      <c r="CE139" s="162"/>
      <c r="CF139" s="42"/>
      <c r="CI139" s="332"/>
      <c r="EX139" s="10" t="str">
        <f t="shared" si="135"/>
        <v/>
      </c>
    </row>
    <row r="140" spans="1:154" s="335" customFormat="1" ht="8.1" customHeight="1" x14ac:dyDescent="0.25">
      <c r="C140" s="340"/>
      <c r="D140" s="529"/>
      <c r="BY140" s="12"/>
      <c r="CC140" s="162"/>
      <c r="CD140" s="162"/>
      <c r="CE140" s="162"/>
      <c r="CF140" s="42"/>
      <c r="EX140" s="10" t="str">
        <f t="shared" si="135"/>
        <v/>
      </c>
    </row>
    <row r="141" spans="1:154" ht="15" customHeight="1" x14ac:dyDescent="0.25">
      <c r="A141" s="40"/>
      <c r="B141" s="40"/>
      <c r="C141" s="390"/>
      <c r="D141" s="559" t="s">
        <v>592</v>
      </c>
      <c r="E141" s="40"/>
      <c r="F141" s="40"/>
      <c r="G141" s="40"/>
      <c r="H141" s="40"/>
      <c r="I141" s="40"/>
      <c r="J141" s="40"/>
      <c r="K141" s="40"/>
      <c r="L141" s="40"/>
      <c r="M141" s="40"/>
      <c r="N141" s="40"/>
      <c r="O141" s="40"/>
      <c r="P141" s="40"/>
      <c r="Q141" s="40"/>
      <c r="R141" s="40"/>
      <c r="S141" s="40"/>
      <c r="T141" s="40"/>
      <c r="U141" s="40"/>
      <c r="V141" s="186" t="str" cm="1">
        <f t="array" aca="1" ref="V141" ca="1">HYPERLINK(CONCATENATE("#",CELL("address",$BW141)),"Link to 12 Year Annual Timeline")</f>
        <v>Link to 12 Year Annual Timeline</v>
      </c>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186" t="str" cm="1">
        <f t="array" aca="1" ref="BL141" ca="1">HYPERLINK(CONCATENATE("#",CELL("address",$V141)),"Link to 4 Year Annual Timeline")</f>
        <v>Link to 4 Year Annual Timeline</v>
      </c>
      <c r="BM141" s="40"/>
      <c r="BN141" s="40"/>
      <c r="BO141" s="40"/>
      <c r="BP141" s="40"/>
      <c r="BQ141" s="40"/>
      <c r="BR141" s="40"/>
      <c r="BS141" s="40"/>
      <c r="BT141" s="40"/>
      <c r="BU141" s="40"/>
      <c r="BV141" s="40"/>
      <c r="BW141" s="40"/>
      <c r="BX141" s="40"/>
      <c r="BY141" s="42"/>
      <c r="CC141" s="162"/>
      <c r="CD141" s="162"/>
      <c r="CE141" s="162"/>
      <c r="CF141" s="42"/>
      <c r="CG141" s="335"/>
      <c r="CH141" s="335"/>
      <c r="CI141" s="335"/>
      <c r="EX141" s="10" t="str">
        <f t="shared" si="135"/>
        <v/>
      </c>
    </row>
    <row r="142" spans="1:154" ht="8.1" customHeight="1" x14ac:dyDescent="0.25">
      <c r="A142" s="157"/>
      <c r="B142" s="157"/>
      <c r="C142" s="340"/>
      <c r="D142" s="556"/>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42"/>
      <c r="CC142" s="162"/>
      <c r="CD142" s="162"/>
      <c r="CE142" s="162"/>
      <c r="CF142" s="42"/>
      <c r="CI142" s="332"/>
      <c r="EX142" s="10" t="str">
        <f t="shared" si="135"/>
        <v/>
      </c>
    </row>
    <row r="143" spans="1:154" ht="15" customHeight="1" x14ac:dyDescent="0.25">
      <c r="A143" s="157"/>
      <c r="B143" s="175"/>
      <c r="C143" s="340"/>
      <c r="D143" s="554" t="s">
        <v>590</v>
      </c>
      <c r="E143" s="158"/>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42"/>
      <c r="CC143" s="162"/>
      <c r="CD143" s="162"/>
      <c r="CE143" s="162"/>
      <c r="CF143" s="42"/>
      <c r="CI143" s="332"/>
      <c r="EX143" s="10" t="str">
        <f t="shared" si="135"/>
        <v/>
      </c>
    </row>
    <row r="144" spans="1:154" x14ac:dyDescent="0.25">
      <c r="A144" s="362" cm="1">
        <f t="array" aca="1" ref="A144" ca="1">HYPERLINK(CONCATENATE("#",CELL("address",IF(SUM($BY144:$CF144)=0,A144,INDEX($BY144:$CF144,MATCH(1,$BY144:$CF144,0))))),SUM($BY144:$CF144))</f>
        <v>0</v>
      </c>
      <c r="B144" s="187"/>
      <c r="C144" s="520" t="str">
        <f>C$46</f>
        <v>FS-IE-5</v>
      </c>
      <c r="D144" s="555" t="s">
        <v>80</v>
      </c>
      <c r="E144" s="157"/>
      <c r="F144" s="157"/>
      <c r="G144" s="157"/>
      <c r="H144" s="157"/>
      <c r="I144" s="157"/>
      <c r="J144" s="157"/>
      <c r="K144" s="157"/>
      <c r="L144" s="157"/>
      <c r="M144" s="157"/>
      <c r="N144" s="157"/>
      <c r="O144" s="157"/>
      <c r="P144" s="157"/>
      <c r="Q144" s="157"/>
      <c r="R144" s="157"/>
      <c r="S144" s="157"/>
      <c r="T144" s="157"/>
      <c r="U144" s="157"/>
      <c r="V144" s="121">
        <f>V$46</f>
        <v>0</v>
      </c>
      <c r="W144" s="121">
        <f>W$46</f>
        <v>440</v>
      </c>
      <c r="X144" s="121">
        <f>X$46</f>
        <v>436</v>
      </c>
      <c r="Y144" s="121">
        <f>Y$46</f>
        <v>541.81000000000131</v>
      </c>
      <c r="Z144" s="157"/>
      <c r="AA144" s="121">
        <f>AA$46</f>
        <v>1720</v>
      </c>
      <c r="AB144" s="121">
        <f t="shared" ref="AB144:BJ144" si="136">AB$46</f>
        <v>1148</v>
      </c>
      <c r="AC144" s="121">
        <f t="shared" si="136"/>
        <v>130</v>
      </c>
      <c r="AD144" s="121">
        <f t="shared" si="136"/>
        <v>-210</v>
      </c>
      <c r="AE144" s="121">
        <f t="shared" si="136"/>
        <v>-887</v>
      </c>
      <c r="AF144" s="121">
        <f t="shared" si="136"/>
        <v>-675</v>
      </c>
      <c r="AG144" s="121">
        <f t="shared" si="136"/>
        <v>-721</v>
      </c>
      <c r="AH144" s="121">
        <f t="shared" si="136"/>
        <v>-900</v>
      </c>
      <c r="AI144" s="121">
        <f t="shared" si="136"/>
        <v>1250</v>
      </c>
      <c r="AJ144" s="121">
        <f t="shared" si="136"/>
        <v>264</v>
      </c>
      <c r="AK144" s="121">
        <f t="shared" si="136"/>
        <v>258</v>
      </c>
      <c r="AL144" s="121">
        <f t="shared" si="136"/>
        <v>-937</v>
      </c>
      <c r="AM144" s="121">
        <f t="shared" si="136"/>
        <v>1978</v>
      </c>
      <c r="AN144" s="121">
        <f t="shared" si="136"/>
        <v>1130</v>
      </c>
      <c r="AO144" s="121">
        <f t="shared" si="136"/>
        <v>125</v>
      </c>
      <c r="AP144" s="121">
        <f t="shared" si="136"/>
        <v>-442</v>
      </c>
      <c r="AQ144" s="121">
        <f t="shared" si="136"/>
        <v>-891</v>
      </c>
      <c r="AR144" s="121">
        <f t="shared" si="136"/>
        <v>-576</v>
      </c>
      <c r="AS144" s="121">
        <f t="shared" si="136"/>
        <v>-971</v>
      </c>
      <c r="AT144" s="121">
        <f t="shared" si="136"/>
        <v>-913</v>
      </c>
      <c r="AU144" s="121">
        <f t="shared" si="136"/>
        <v>1487</v>
      </c>
      <c r="AV144" s="121">
        <f t="shared" si="136"/>
        <v>368</v>
      </c>
      <c r="AW144" s="121">
        <f t="shared" si="136"/>
        <v>-54</v>
      </c>
      <c r="AX144" s="121">
        <f t="shared" si="136"/>
        <v>-805</v>
      </c>
      <c r="AY144" s="121">
        <f t="shared" si="136"/>
        <v>2023.7483333333334</v>
      </c>
      <c r="AZ144" s="121">
        <f t="shared" si="136"/>
        <v>1146.3566666666661</v>
      </c>
      <c r="BA144" s="121">
        <f t="shared" si="136"/>
        <v>132.48833333333278</v>
      </c>
      <c r="BB144" s="121">
        <f>BB$46</f>
        <v>-449.61333333333323</v>
      </c>
      <c r="BC144" s="121">
        <f t="shared" si="136"/>
        <v>-910.53</v>
      </c>
      <c r="BD144" s="121">
        <f t="shared" si="136"/>
        <v>-583.22999999999979</v>
      </c>
      <c r="BE144" s="121">
        <f t="shared" si="136"/>
        <v>-990.74166666666702</v>
      </c>
      <c r="BF144" s="121">
        <f t="shared" si="136"/>
        <v>-927.5183333333332</v>
      </c>
      <c r="BG144" s="121">
        <f t="shared" si="136"/>
        <v>1540.378333333334</v>
      </c>
      <c r="BH144" s="121">
        <f t="shared" si="136"/>
        <v>417.06833333333361</v>
      </c>
      <c r="BI144" s="121">
        <f t="shared" si="136"/>
        <v>-43.806666666666388</v>
      </c>
      <c r="BJ144" s="121">
        <f t="shared" si="136"/>
        <v>-812.79000000000042</v>
      </c>
      <c r="BK144" s="157"/>
      <c r="BL144" s="10">
        <f>BL$46</f>
        <v>0</v>
      </c>
      <c r="BM144" s="10">
        <f t="shared" ref="BM144:BW144" si="137">BM$46</f>
        <v>440</v>
      </c>
      <c r="BN144" s="10">
        <f t="shared" si="137"/>
        <v>436</v>
      </c>
      <c r="BO144" s="10">
        <f t="shared" si="137"/>
        <v>541.81000000000131</v>
      </c>
      <c r="BP144" s="10">
        <f t="shared" si="137"/>
        <v>0</v>
      </c>
      <c r="BQ144" s="10">
        <f t="shared" si="137"/>
        <v>0</v>
      </c>
      <c r="BR144" s="10">
        <f t="shared" si="137"/>
        <v>0</v>
      </c>
      <c r="BS144" s="10">
        <f t="shared" si="137"/>
        <v>0</v>
      </c>
      <c r="BT144" s="10">
        <f t="shared" si="137"/>
        <v>0</v>
      </c>
      <c r="BU144" s="10">
        <f t="shared" si="137"/>
        <v>0</v>
      </c>
      <c r="BV144" s="10">
        <f t="shared" si="137"/>
        <v>0</v>
      </c>
      <c r="BW144" s="10">
        <f t="shared" si="137"/>
        <v>0</v>
      </c>
      <c r="BX144" s="157"/>
      <c r="BY144" s="12"/>
      <c r="CC144" s="126">
        <f>IF(SUM($CG144:$CI144)=0, 0, 1)</f>
        <v>0</v>
      </c>
      <c r="CD144" s="126">
        <f>IF(SUM($CJ144:$CL144)=0, 0, 1)</f>
        <v>0</v>
      </c>
      <c r="CE144" s="126">
        <f>IF(CM144=0, 0, 1)</f>
        <v>0</v>
      </c>
      <c r="CF144" s="42"/>
      <c r="CG144" s="352">
        <f>ROUND(W144-SUMIFS($AA144:$BJ144, $AA$3:$BJ$3, W$3), rounding)</f>
        <v>0</v>
      </c>
      <c r="CH144" s="352">
        <f>ROUND($X144-SUMIFS($AA144:$BJ144, $AA$3:$BJ$3, X$3), rounding)</f>
        <v>0</v>
      </c>
      <c r="CI144" s="352">
        <f>ROUND($Y144-SUMIFS($AA144:$BJ144, $AA$3:$BJ$3, Y$3), rounding)</f>
        <v>0</v>
      </c>
      <c r="CJ144" s="352">
        <f>ROUND(W144-BM144, rounding)</f>
        <v>0</v>
      </c>
      <c r="CK144" s="352">
        <f>ROUND(X144-BN144, rounding)</f>
        <v>0</v>
      </c>
      <c r="CL144" s="352">
        <f>ROUND(Y144-BO144, rounding)</f>
        <v>0</v>
      </c>
      <c r="CM144" s="352">
        <f>ROUND(V144-BL144, rounding)</f>
        <v>0</v>
      </c>
      <c r="EX144" s="13" t="str">
        <f>IF($C144="","",CONCATENATE(D$143," ",$D144))</f>
        <v>Cash Flow from Operating Activities Surplus/(deficit) after interest, tax, depreciation and amortisation costs</v>
      </c>
    </row>
    <row r="145" spans="1:154" ht="8.1" customHeight="1" x14ac:dyDescent="0.25">
      <c r="A145" s="157"/>
      <c r="B145" s="187"/>
      <c r="C145" s="343"/>
      <c r="D145" s="556"/>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42"/>
      <c r="CC145" s="162"/>
      <c r="CD145" s="162"/>
      <c r="CE145" s="162"/>
      <c r="CF145" s="42"/>
      <c r="CI145" s="332"/>
      <c r="EX145" s="10" t="str">
        <f t="shared" si="135"/>
        <v/>
      </c>
    </row>
    <row r="146" spans="1:154" x14ac:dyDescent="0.25">
      <c r="A146" s="157"/>
      <c r="B146" s="228"/>
      <c r="C146" s="343"/>
      <c r="D146" s="554" t="s">
        <v>565</v>
      </c>
      <c r="E146" s="158"/>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2"/>
      <c r="CC146" s="162"/>
      <c r="CD146" s="162"/>
      <c r="CE146" s="162"/>
      <c r="CF146" s="42"/>
      <c r="CI146" s="332"/>
      <c r="EX146" s="10" t="str">
        <f t="shared" si="135"/>
        <v/>
      </c>
    </row>
    <row r="147" spans="1:154" x14ac:dyDescent="0.25">
      <c r="A147" s="362" cm="1">
        <f t="array" aca="1" ref="A147" ca="1">HYPERLINK(CONCATENATE("#",CELL("address",IF(SUM($BY147:$CF147)=0,A147,INDEX($BY147:$CF147,MATCH(1,$BY147:$CF147,0))))),SUM($BY147:$CF147))</f>
        <v>0</v>
      </c>
      <c r="B147" s="187"/>
      <c r="C147" s="343" t="s">
        <v>1468</v>
      </c>
      <c r="D147" s="556" t="s">
        <v>75</v>
      </c>
      <c r="E147" s="182"/>
      <c r="F147" s="180"/>
      <c r="G147" s="180"/>
      <c r="H147" s="180"/>
      <c r="I147" s="157"/>
      <c r="J147" s="157"/>
      <c r="K147" s="157"/>
      <c r="L147" s="157"/>
      <c r="M147" s="157"/>
      <c r="N147" s="157"/>
      <c r="O147" s="157"/>
      <c r="P147" s="157"/>
      <c r="Q147" s="157"/>
      <c r="R147" s="157"/>
      <c r="S147" s="157"/>
      <c r="T147" s="157"/>
      <c r="U147" s="157"/>
      <c r="V147" s="10">
        <f>V$39</f>
        <v>0</v>
      </c>
      <c r="W147" s="10">
        <f>W$39</f>
        <v>1916</v>
      </c>
      <c r="X147" s="10">
        <f>X$39</f>
        <v>1993</v>
      </c>
      <c r="Y147" s="10">
        <f>Y$39</f>
        <v>2070</v>
      </c>
      <c r="Z147" s="157"/>
      <c r="AA147" s="10">
        <f t="shared" ref="AA147:BJ147" si="138">AA$39</f>
        <v>156</v>
      </c>
      <c r="AB147" s="10">
        <f t="shared" si="138"/>
        <v>151</v>
      </c>
      <c r="AC147" s="10">
        <f t="shared" si="138"/>
        <v>152</v>
      </c>
      <c r="AD147" s="10">
        <f t="shared" si="138"/>
        <v>154</v>
      </c>
      <c r="AE147" s="10">
        <f t="shared" si="138"/>
        <v>155</v>
      </c>
      <c r="AF147" s="10">
        <f t="shared" si="138"/>
        <v>154</v>
      </c>
      <c r="AG147" s="10">
        <f t="shared" si="138"/>
        <v>155</v>
      </c>
      <c r="AH147" s="10">
        <f t="shared" si="138"/>
        <v>151</v>
      </c>
      <c r="AI147" s="10">
        <f t="shared" si="138"/>
        <v>153</v>
      </c>
      <c r="AJ147" s="10">
        <f t="shared" si="138"/>
        <v>151</v>
      </c>
      <c r="AK147" s="10">
        <f t="shared" si="138"/>
        <v>192</v>
      </c>
      <c r="AL147" s="10">
        <f t="shared" si="138"/>
        <v>192</v>
      </c>
      <c r="AM147" s="10">
        <f t="shared" si="138"/>
        <v>156</v>
      </c>
      <c r="AN147" s="10">
        <f t="shared" si="138"/>
        <v>155</v>
      </c>
      <c r="AO147" s="10">
        <f t="shared" si="138"/>
        <v>156</v>
      </c>
      <c r="AP147" s="10">
        <f t="shared" si="138"/>
        <v>159</v>
      </c>
      <c r="AQ147" s="10">
        <f t="shared" si="138"/>
        <v>160</v>
      </c>
      <c r="AR147" s="10">
        <f t="shared" si="138"/>
        <v>160</v>
      </c>
      <c r="AS147" s="10">
        <f t="shared" si="138"/>
        <v>162</v>
      </c>
      <c r="AT147" s="10">
        <f t="shared" si="138"/>
        <v>159</v>
      </c>
      <c r="AU147" s="10">
        <f t="shared" si="138"/>
        <v>161</v>
      </c>
      <c r="AV147" s="10">
        <f t="shared" si="138"/>
        <v>160</v>
      </c>
      <c r="AW147" s="10">
        <f t="shared" si="138"/>
        <v>202</v>
      </c>
      <c r="AX147" s="10">
        <f t="shared" si="138"/>
        <v>203</v>
      </c>
      <c r="AY147" s="10">
        <f t="shared" si="138"/>
        <v>167</v>
      </c>
      <c r="AZ147" s="10">
        <f t="shared" si="138"/>
        <v>162</v>
      </c>
      <c r="BA147" s="10">
        <f t="shared" si="138"/>
        <v>164</v>
      </c>
      <c r="BB147" s="10">
        <f t="shared" si="138"/>
        <v>166</v>
      </c>
      <c r="BC147" s="10">
        <f t="shared" si="138"/>
        <v>167</v>
      </c>
      <c r="BD147" s="10">
        <f t="shared" si="138"/>
        <v>167</v>
      </c>
      <c r="BE147" s="10">
        <f t="shared" si="138"/>
        <v>168</v>
      </c>
      <c r="BF147" s="10">
        <f t="shared" si="138"/>
        <v>164</v>
      </c>
      <c r="BG147" s="10">
        <f t="shared" si="138"/>
        <v>167</v>
      </c>
      <c r="BH147" s="10">
        <f t="shared" si="138"/>
        <v>165</v>
      </c>
      <c r="BI147" s="10">
        <f t="shared" si="138"/>
        <v>206</v>
      </c>
      <c r="BJ147" s="10">
        <f t="shared" si="138"/>
        <v>207</v>
      </c>
      <c r="BK147" s="157"/>
      <c r="BL147" s="10">
        <f>BL$39</f>
        <v>0</v>
      </c>
      <c r="BM147" s="10">
        <f t="shared" ref="BM147:BW147" si="139">BM$39</f>
        <v>1916</v>
      </c>
      <c r="BN147" s="10">
        <f t="shared" si="139"/>
        <v>1993</v>
      </c>
      <c r="BO147" s="10">
        <f t="shared" si="139"/>
        <v>2070</v>
      </c>
      <c r="BP147" s="10">
        <f t="shared" si="139"/>
        <v>0</v>
      </c>
      <c r="BQ147" s="10">
        <f t="shared" si="139"/>
        <v>0</v>
      </c>
      <c r="BR147" s="10">
        <f t="shared" si="139"/>
        <v>0</v>
      </c>
      <c r="BS147" s="10">
        <f t="shared" si="139"/>
        <v>0</v>
      </c>
      <c r="BT147" s="10">
        <f t="shared" si="139"/>
        <v>0</v>
      </c>
      <c r="BU147" s="10">
        <f t="shared" si="139"/>
        <v>0</v>
      </c>
      <c r="BV147" s="10">
        <f t="shared" si="139"/>
        <v>0</v>
      </c>
      <c r="BW147" s="10">
        <f t="shared" si="139"/>
        <v>0</v>
      </c>
      <c r="BX147" s="157"/>
      <c r="BY147" s="12"/>
      <c r="CC147" s="126">
        <f t="shared" ref="CC147:CC153" si="140">IF(SUM($CG147:$CI147)=0, 0, 1)</f>
        <v>0</v>
      </c>
      <c r="CD147" s="126">
        <f t="shared" ref="CD147:CD153" si="141">IF(SUM($CJ147:$CL147)=0, 0, 1)</f>
        <v>0</v>
      </c>
      <c r="CE147" s="126">
        <f t="shared" ref="CE147:CE153" si="142">IF(CM147=0, 0, 1)</f>
        <v>0</v>
      </c>
      <c r="CF147" s="42"/>
      <c r="CG147" s="352">
        <f t="shared" ref="CG147:CG153" si="143">ROUND(W147-SUMIFS($AA147:$BJ147, $AA$3:$BJ$3, W$3), rounding)</f>
        <v>0</v>
      </c>
      <c r="CH147" s="352">
        <f t="shared" ref="CH147:CH153" si="144">ROUND($X147-SUMIFS($AA147:$BJ147, $AA$3:$BJ$3, X$3), rounding)</f>
        <v>0</v>
      </c>
      <c r="CI147" s="352">
        <f t="shared" ref="CI147:CI153" si="145">ROUND($Y147-SUMIFS($AA147:$BJ147, $AA$3:$BJ$3, Y$3), rounding)</f>
        <v>0</v>
      </c>
      <c r="CJ147" s="352">
        <f t="shared" ref="CJ147:CL153" si="146">ROUND(W147-BM147, rounding)</f>
        <v>0</v>
      </c>
      <c r="CK147" s="352">
        <f t="shared" si="146"/>
        <v>0</v>
      </c>
      <c r="CL147" s="352">
        <f t="shared" si="146"/>
        <v>0</v>
      </c>
      <c r="CM147" s="352">
        <f t="shared" ref="CM147:CM153" si="147">ROUND(V147-BL147, rounding)</f>
        <v>0</v>
      </c>
      <c r="EX147" s="13" t="str">
        <f>IF($C147="","",CONCATENATE(D$143," ",$D147))</f>
        <v>Cash Flow from Operating Activities Depreciation and amortisation</v>
      </c>
    </row>
    <row r="148" spans="1:154" ht="42.6" customHeight="1" x14ac:dyDescent="0.25">
      <c r="A148" s="362" cm="1">
        <f t="array" aca="1" ref="A148" ca="1">HYPERLINK(CONCATENATE("#",CELL("address",IF(SUM($BY148:$CF148)=0,A148,INDEX($BY148:$CF148,MATCH(1,$BY148:$CF148,0))))),SUM($BY148:$CF148))</f>
        <v>0</v>
      </c>
      <c r="B148" s="237"/>
      <c r="C148" s="343" t="s">
        <v>1722</v>
      </c>
      <c r="D148" s="556" t="s">
        <v>566</v>
      </c>
      <c r="E148" s="480" t="str" cm="1">
        <f t="array" aca="1" ref="E148" ca="1">HYPERLINK(CONCATENATE("#",CELL("address",'BS Forecasts'!$D$180:$D$182)),LEFT('BS Forecasts'!$D$180, 50))</f>
        <v>Local Government Pension Scheme Provision</v>
      </c>
      <c r="F148" s="480" t="str" cm="1">
        <f t="array" aca="1" ref="F148" ca="1">HYPERLINK(CONCATENATE("#",CELL("address",'BS Forecasts'!$D$194)),LEFT('BS Forecasts'!$D$194, 50))</f>
        <v>Enhanced Pension Provision</v>
      </c>
      <c r="G148" s="480" t="str" cm="1">
        <f t="array" aca="1" ref="G148" ca="1">HYPERLINK(CONCATENATE("#",CELL("address",'BS Forecasts'!$D$203)),LEFT('BS Forecasts'!$D$203, 50))</f>
        <v>Other Pension Provisions</v>
      </c>
      <c r="H148" s="162"/>
      <c r="I148" s="157"/>
      <c r="J148" s="157"/>
      <c r="K148" s="157"/>
      <c r="L148" s="157"/>
      <c r="M148" s="157"/>
      <c r="N148" s="157"/>
      <c r="O148" s="157"/>
      <c r="P148" s="157"/>
      <c r="Q148" s="157"/>
      <c r="R148" s="157"/>
      <c r="S148" s="157"/>
      <c r="T148" s="157"/>
      <c r="U148" s="157"/>
      <c r="V148" s="10">
        <f>SUM('BS Forecasts'!V182:V183)+SUM('BS Forecasts'!V185:V186)+('BS Forecasts'!V196+'BS Forecasts'!V198)+('BS Forecasts'!V205+'BS Forecasts'!V207)</f>
        <v>0</v>
      </c>
      <c r="W148" s="10">
        <f>SUM('BS Forecasts'!W182:W183)+SUM('BS Forecasts'!W185:W186)+('BS Forecasts'!W196+'BS Forecasts'!W198)+('BS Forecasts'!W205+'BS Forecasts'!W207)</f>
        <v>0</v>
      </c>
      <c r="X148" s="10">
        <f>SUM('BS Forecasts'!X182:X183)+SUM('BS Forecasts'!X185:X186)+('BS Forecasts'!X196+'BS Forecasts'!X198)+('BS Forecasts'!X205+'BS Forecasts'!X207)</f>
        <v>0</v>
      </c>
      <c r="Y148" s="10">
        <f>SUM('BS Forecasts'!Y182:Y183)+SUM('BS Forecasts'!Y185:Y186)+('BS Forecasts'!Y196+'BS Forecasts'!Y198)+('BS Forecasts'!Y205+'BS Forecasts'!Y207)</f>
        <v>0</v>
      </c>
      <c r="Z148" s="157"/>
      <c r="AA148" s="10">
        <f>SUM('BS Forecasts'!AA182:AA183)+SUM('BS Forecasts'!AA185:AA186)+('BS Forecasts'!AA196+'BS Forecasts'!AA198)+('BS Forecasts'!AA205+'BS Forecasts'!AA207)</f>
        <v>0</v>
      </c>
      <c r="AB148" s="10">
        <f>SUM('BS Forecasts'!AB182:AB183)+SUM('BS Forecasts'!AB185:AB186)+('BS Forecasts'!AB196+'BS Forecasts'!AB198)+('BS Forecasts'!AB205+'BS Forecasts'!AB207)</f>
        <v>0</v>
      </c>
      <c r="AC148" s="10">
        <f>SUM('BS Forecasts'!AC182:AC183)+SUM('BS Forecasts'!AC185:AC186)+('BS Forecasts'!AC196+'BS Forecasts'!AC198)+('BS Forecasts'!AC205+'BS Forecasts'!AC207)</f>
        <v>0</v>
      </c>
      <c r="AD148" s="10">
        <f>SUM('BS Forecasts'!AD182:AD183)+SUM('BS Forecasts'!AD185:AD186)+('BS Forecasts'!AD196+'BS Forecasts'!AD198)+('BS Forecasts'!AD205+'BS Forecasts'!AD207)</f>
        <v>0</v>
      </c>
      <c r="AE148" s="10">
        <f>SUM('BS Forecasts'!AE182:AE183)+SUM('BS Forecasts'!AE185:AE186)+('BS Forecasts'!AE196+'BS Forecasts'!AE198)+('BS Forecasts'!AE205+'BS Forecasts'!AE207)</f>
        <v>0</v>
      </c>
      <c r="AF148" s="10">
        <f>SUM('BS Forecasts'!AF182:AF183)+SUM('BS Forecasts'!AF185:AF186)+('BS Forecasts'!AF196+'BS Forecasts'!AF198)+('BS Forecasts'!AF205+'BS Forecasts'!AF207)</f>
        <v>0</v>
      </c>
      <c r="AG148" s="10">
        <f>SUM('BS Forecasts'!AG182:AG183)+SUM('BS Forecasts'!AG185:AG186)+('BS Forecasts'!AG196+'BS Forecasts'!AG198)+('BS Forecasts'!AG205+'BS Forecasts'!AG207)</f>
        <v>0</v>
      </c>
      <c r="AH148" s="10">
        <f>SUM('BS Forecasts'!AH182:AH183)+SUM('BS Forecasts'!AH185:AH186)+('BS Forecasts'!AH196+'BS Forecasts'!AH198)+('BS Forecasts'!AH205+'BS Forecasts'!AH207)</f>
        <v>0</v>
      </c>
      <c r="AI148" s="10">
        <f>SUM('BS Forecasts'!AI182:AI183)+SUM('BS Forecasts'!AI185:AI186)+('BS Forecasts'!AI196+'BS Forecasts'!AI198)+('BS Forecasts'!AI205+'BS Forecasts'!AI207)</f>
        <v>0</v>
      </c>
      <c r="AJ148" s="10">
        <f>SUM('BS Forecasts'!AJ182:AJ183)+SUM('BS Forecasts'!AJ185:AJ186)+('BS Forecasts'!AJ196+'BS Forecasts'!AJ198)+('BS Forecasts'!AJ205+'BS Forecasts'!AJ207)</f>
        <v>0</v>
      </c>
      <c r="AK148" s="10">
        <f>SUM('BS Forecasts'!AK182:AK183)+SUM('BS Forecasts'!AK185:AK186)+('BS Forecasts'!AK196+'BS Forecasts'!AK198)+('BS Forecasts'!AK205+'BS Forecasts'!AK207)</f>
        <v>0</v>
      </c>
      <c r="AL148" s="10">
        <f>SUM('BS Forecasts'!AL182:AL183)+SUM('BS Forecasts'!AL185:AL186)+('BS Forecasts'!AL196+'BS Forecasts'!AL198)+('BS Forecasts'!AL205+'BS Forecasts'!AL207)</f>
        <v>0</v>
      </c>
      <c r="AM148" s="10">
        <f>SUM('BS Forecasts'!AM182:AM183)+SUM('BS Forecasts'!AM185:AM186)+('BS Forecasts'!AM196+'BS Forecasts'!AM198)+('BS Forecasts'!AM205+'BS Forecasts'!AM207)</f>
        <v>0</v>
      </c>
      <c r="AN148" s="10">
        <f>SUM('BS Forecasts'!AN182:AN183)+SUM('BS Forecasts'!AN185:AN186)+('BS Forecasts'!AN196+'BS Forecasts'!AN198)+('BS Forecasts'!AN205+'BS Forecasts'!AN207)</f>
        <v>0</v>
      </c>
      <c r="AO148" s="10">
        <f>SUM('BS Forecasts'!AO182:AO183)+SUM('BS Forecasts'!AO185:AO186)+('BS Forecasts'!AO196+'BS Forecasts'!AO198)+('BS Forecasts'!AO205+'BS Forecasts'!AO207)</f>
        <v>0</v>
      </c>
      <c r="AP148" s="10">
        <f>SUM('BS Forecasts'!AP182:AP183)+SUM('BS Forecasts'!AP185:AP186)+('BS Forecasts'!AP196+'BS Forecasts'!AP198)+('BS Forecasts'!AP205+'BS Forecasts'!AP207)</f>
        <v>0</v>
      </c>
      <c r="AQ148" s="10">
        <f>SUM('BS Forecasts'!AQ182:AQ183)+SUM('BS Forecasts'!AQ185:AQ186)+('BS Forecasts'!AQ196+'BS Forecasts'!AQ198)+('BS Forecasts'!AQ205+'BS Forecasts'!AQ207)</f>
        <v>0</v>
      </c>
      <c r="AR148" s="10">
        <f>SUM('BS Forecasts'!AR182:AR183)+SUM('BS Forecasts'!AR185:AR186)+('BS Forecasts'!AR196+'BS Forecasts'!AR198)+('BS Forecasts'!AR205+'BS Forecasts'!AR207)</f>
        <v>0</v>
      </c>
      <c r="AS148" s="10">
        <f>SUM('BS Forecasts'!AS182:AS183)+SUM('BS Forecasts'!AS185:AS186)+('BS Forecasts'!AS196+'BS Forecasts'!AS198)+('BS Forecasts'!AS205+'BS Forecasts'!AS207)</f>
        <v>0</v>
      </c>
      <c r="AT148" s="10">
        <f>SUM('BS Forecasts'!AT182:AT183)+SUM('BS Forecasts'!AT185:AT186)+('BS Forecasts'!AT196+'BS Forecasts'!AT198)+('BS Forecasts'!AT205+'BS Forecasts'!AT207)</f>
        <v>0</v>
      </c>
      <c r="AU148" s="10">
        <f>SUM('BS Forecasts'!AU182:AU183)+SUM('BS Forecasts'!AU185:AU186)+('BS Forecasts'!AU196+'BS Forecasts'!AU198)+('BS Forecasts'!AU205+'BS Forecasts'!AU207)</f>
        <v>0</v>
      </c>
      <c r="AV148" s="10">
        <f>SUM('BS Forecasts'!AV182:AV183)+SUM('BS Forecasts'!AV185:AV186)+('BS Forecasts'!AV196+'BS Forecasts'!AV198)+('BS Forecasts'!AV205+'BS Forecasts'!AV207)</f>
        <v>0</v>
      </c>
      <c r="AW148" s="10">
        <f>SUM('BS Forecasts'!AW182:AW183)+SUM('BS Forecasts'!AW185:AW186)+('BS Forecasts'!AW196+'BS Forecasts'!AW198)+('BS Forecasts'!AW205+'BS Forecasts'!AW207)</f>
        <v>0</v>
      </c>
      <c r="AX148" s="10">
        <f>SUM('BS Forecasts'!AX182:AX183)+SUM('BS Forecasts'!AX185:AX186)+('BS Forecasts'!AX196+'BS Forecasts'!AX198)+('BS Forecasts'!AX205+'BS Forecasts'!AX207)</f>
        <v>0</v>
      </c>
      <c r="AY148" s="10">
        <f>SUM('BS Forecasts'!AY182:AY183)+SUM('BS Forecasts'!AY185:AY186)+('BS Forecasts'!AY196+'BS Forecasts'!AY198)+('BS Forecasts'!AY205+'BS Forecasts'!AY207)</f>
        <v>0</v>
      </c>
      <c r="AZ148" s="10">
        <f>SUM('BS Forecasts'!AZ182:AZ183)+SUM('BS Forecasts'!AZ185:AZ186)+('BS Forecasts'!AZ196+'BS Forecasts'!AZ198)+('BS Forecasts'!AZ205+'BS Forecasts'!AZ207)</f>
        <v>0</v>
      </c>
      <c r="BA148" s="10">
        <f>SUM('BS Forecasts'!BA182:BA183)+SUM('BS Forecasts'!BA185:BA186)+('BS Forecasts'!BA196+'BS Forecasts'!BA198)+('BS Forecasts'!BA205+'BS Forecasts'!BA207)</f>
        <v>0</v>
      </c>
      <c r="BB148" s="10">
        <f>SUM('BS Forecasts'!BB182:BB183)+SUM('BS Forecasts'!BB185:BB186)+('BS Forecasts'!BB196+'BS Forecasts'!BB198)+('BS Forecasts'!BB205+'BS Forecasts'!BB207)</f>
        <v>0</v>
      </c>
      <c r="BC148" s="10">
        <f>SUM('BS Forecasts'!BC182:BC183)+SUM('BS Forecasts'!BC185:BC186)+('BS Forecasts'!BC196+'BS Forecasts'!BC198)+('BS Forecasts'!BC205+'BS Forecasts'!BC207)</f>
        <v>0</v>
      </c>
      <c r="BD148" s="10">
        <f>SUM('BS Forecasts'!BD182:BD183)+SUM('BS Forecasts'!BD185:BD186)+('BS Forecasts'!BD196+'BS Forecasts'!BD198)+('BS Forecasts'!BD205+'BS Forecasts'!BD207)</f>
        <v>0</v>
      </c>
      <c r="BE148" s="10">
        <f>SUM('BS Forecasts'!BE182:BE183)+SUM('BS Forecasts'!BE185:BE186)+('BS Forecasts'!BE196+'BS Forecasts'!BE198)+('BS Forecasts'!BE205+'BS Forecasts'!BE207)</f>
        <v>0</v>
      </c>
      <c r="BF148" s="10">
        <f>SUM('BS Forecasts'!BF182:BF183)+SUM('BS Forecasts'!BF185:BF186)+('BS Forecasts'!BF196+'BS Forecasts'!BF198)+('BS Forecasts'!BF205+'BS Forecasts'!BF207)</f>
        <v>0</v>
      </c>
      <c r="BG148" s="10">
        <f>SUM('BS Forecasts'!BG182:BG183)+SUM('BS Forecasts'!BG185:BG186)+('BS Forecasts'!BG196+'BS Forecasts'!BG198)+('BS Forecasts'!BG205+'BS Forecasts'!BG207)</f>
        <v>0</v>
      </c>
      <c r="BH148" s="10">
        <f>SUM('BS Forecasts'!BH182:BH183)+SUM('BS Forecasts'!BH185:BH186)+('BS Forecasts'!BH196+'BS Forecasts'!BH198)+('BS Forecasts'!BH205+'BS Forecasts'!BH207)</f>
        <v>0</v>
      </c>
      <c r="BI148" s="10">
        <f>SUM('BS Forecasts'!BI182:BI183)+SUM('BS Forecasts'!BI185:BI186)+('BS Forecasts'!BI196+'BS Forecasts'!BI198)+('BS Forecasts'!BI205+'BS Forecasts'!BI207)</f>
        <v>0</v>
      </c>
      <c r="BJ148" s="10">
        <f>SUM('BS Forecasts'!BJ182:BJ183)+SUM('BS Forecasts'!BJ185:BJ186)+('BS Forecasts'!BJ196+'BS Forecasts'!BJ198)+('BS Forecasts'!BJ205+'BS Forecasts'!BJ207)</f>
        <v>0</v>
      </c>
      <c r="BK148" s="157"/>
      <c r="BL148" s="10">
        <f>SUM('BS Forecasts'!BL182:BL183)+SUM('BS Forecasts'!BL185:BL186)+('BS Forecasts'!BL196+'BS Forecasts'!BL198)+('BS Forecasts'!BL205+'BS Forecasts'!BL207)</f>
        <v>0</v>
      </c>
      <c r="BM148" s="10">
        <f>SUM('BS Forecasts'!BM182:BM183)+SUM('BS Forecasts'!BM185:BM186)+('BS Forecasts'!BM196+'BS Forecasts'!BM198)+('BS Forecasts'!BM205+'BS Forecasts'!BM207)</f>
        <v>0</v>
      </c>
      <c r="BN148" s="10">
        <f>SUM('BS Forecasts'!BN182:BN183)+SUM('BS Forecasts'!BN185:BN186)+('BS Forecasts'!BN196+'BS Forecasts'!BN198)+('BS Forecasts'!BN205+'BS Forecasts'!BN207)</f>
        <v>0</v>
      </c>
      <c r="BO148" s="10">
        <f>SUM('BS Forecasts'!BO182:BO183)+SUM('BS Forecasts'!BO185:BO186)+('BS Forecasts'!BO196+'BS Forecasts'!BO198)+('BS Forecasts'!BO205+'BS Forecasts'!BO207)</f>
        <v>0</v>
      </c>
      <c r="BP148" s="10">
        <f>SUM('BS Forecasts'!BP182:BP183)+SUM('BS Forecasts'!BP185:BP186)+('BS Forecasts'!BP196+'BS Forecasts'!BP198)+('BS Forecasts'!BP205+'BS Forecasts'!BP207)</f>
        <v>0</v>
      </c>
      <c r="BQ148" s="10">
        <f>SUM('BS Forecasts'!BQ182:BQ183)+SUM('BS Forecasts'!BQ185:BQ186)+('BS Forecasts'!BQ196+'BS Forecasts'!BQ198)+('BS Forecasts'!BQ205+'BS Forecasts'!BQ207)</f>
        <v>0</v>
      </c>
      <c r="BR148" s="10">
        <f>SUM('BS Forecasts'!BR182:BR183)+SUM('BS Forecasts'!BR185:BR186)+('BS Forecasts'!BR196+'BS Forecasts'!BR198)+('BS Forecasts'!BR205+'BS Forecasts'!BR207)</f>
        <v>0</v>
      </c>
      <c r="BS148" s="10">
        <f>SUM('BS Forecasts'!BS182:BS183)+SUM('BS Forecasts'!BS185:BS186)+('BS Forecasts'!BS196+'BS Forecasts'!BS198)+('BS Forecasts'!BS205+'BS Forecasts'!BS207)</f>
        <v>0</v>
      </c>
      <c r="BT148" s="10">
        <f>SUM('BS Forecasts'!BT182:BT183)+SUM('BS Forecasts'!BT185:BT186)+('BS Forecasts'!BT196+'BS Forecasts'!BT198)+('BS Forecasts'!BT205+'BS Forecasts'!BT207)</f>
        <v>0</v>
      </c>
      <c r="BU148" s="10">
        <f>SUM('BS Forecasts'!BU182:BU183)+SUM('BS Forecasts'!BU185:BU186)+('BS Forecasts'!BU196+'BS Forecasts'!BU198)+('BS Forecasts'!BU205+'BS Forecasts'!BU207)</f>
        <v>0</v>
      </c>
      <c r="BV148" s="10">
        <f>SUM('BS Forecasts'!BV182:BV183)+SUM('BS Forecasts'!BV185:BV186)+('BS Forecasts'!BV196+'BS Forecasts'!BV198)+('BS Forecasts'!BV205+'BS Forecasts'!BV207)</f>
        <v>0</v>
      </c>
      <c r="BW148" s="10">
        <f>SUM('BS Forecasts'!BW182:BW183)+SUM('BS Forecasts'!BW185:BW186)+('BS Forecasts'!BW196+'BS Forecasts'!BW198)+('BS Forecasts'!BW205+'BS Forecasts'!BW207)</f>
        <v>0</v>
      </c>
      <c r="BX148" s="157"/>
      <c r="BY148" s="12"/>
      <c r="CC148" s="126">
        <f t="shared" si="140"/>
        <v>0</v>
      </c>
      <c r="CD148" s="126">
        <f t="shared" si="141"/>
        <v>0</v>
      </c>
      <c r="CE148" s="126">
        <f t="shared" si="142"/>
        <v>0</v>
      </c>
      <c r="CF148" s="42"/>
      <c r="CG148" s="352">
        <f t="shared" si="143"/>
        <v>0</v>
      </c>
      <c r="CH148" s="352">
        <f t="shared" si="144"/>
        <v>0</v>
      </c>
      <c r="CI148" s="352">
        <f t="shared" si="145"/>
        <v>0</v>
      </c>
      <c r="CJ148" s="352">
        <f t="shared" si="146"/>
        <v>0</v>
      </c>
      <c r="CK148" s="352">
        <f t="shared" si="146"/>
        <v>0</v>
      </c>
      <c r="CL148" s="352">
        <f t="shared" si="146"/>
        <v>0</v>
      </c>
      <c r="CM148" s="352">
        <f t="shared" si="147"/>
        <v>0</v>
      </c>
      <c r="EX148" s="10" t="str">
        <f t="shared" si="135"/>
        <v>Pension contributions costs less contributions paid</v>
      </c>
    </row>
    <row r="149" spans="1:154" s="280" customFormat="1" ht="56.25" x14ac:dyDescent="0.25">
      <c r="A149" s="362" cm="1">
        <f t="array" aca="1" ref="A149" ca="1">HYPERLINK(CONCATENATE("#",CELL("address",IF(SUM($BY149:$CF149)=0,A149,INDEX($BY149:$CF149,MATCH(1,$BY149:$CF149,0))))),SUM($BY149:$CF149))</f>
        <v>0</v>
      </c>
      <c r="B149" s="157"/>
      <c r="C149" s="343" t="s">
        <v>1723</v>
      </c>
      <c r="D149" s="555" t="s">
        <v>298</v>
      </c>
      <c r="E149" s="480" t="str" cm="1">
        <f t="array" aca="1" ref="E149" ca="1">HYPERLINK(CONCATENATE("#",CELL("address",'BS Forecasts'!$D$182:$D$184)),LEFT('BS Forecasts'!$D$184, 50))</f>
        <v xml:space="preserve">Past Service Deficit Employer Contributions </v>
      </c>
      <c r="F149" s="180"/>
      <c r="G149" s="162"/>
      <c r="H149" s="180"/>
      <c r="I149" s="157"/>
      <c r="J149" s="157"/>
      <c r="K149" s="157"/>
      <c r="L149" s="157"/>
      <c r="M149" s="157"/>
      <c r="N149" s="157"/>
      <c r="O149" s="157"/>
      <c r="P149" s="157"/>
      <c r="Q149" s="157"/>
      <c r="R149" s="157"/>
      <c r="S149" s="157"/>
      <c r="T149" s="157"/>
      <c r="U149" s="157"/>
      <c r="V149" s="10">
        <f>'BS Forecasts'!V184</f>
        <v>0</v>
      </c>
      <c r="W149" s="10">
        <f>'BS Forecasts'!W184</f>
        <v>0</v>
      </c>
      <c r="X149" s="10">
        <f>'BS Forecasts'!X184</f>
        <v>0</v>
      </c>
      <c r="Y149" s="10">
        <f>'BS Forecasts'!Y184</f>
        <v>0</v>
      </c>
      <c r="Z149" s="157"/>
      <c r="AA149" s="10">
        <f>'BS Forecasts'!AA184</f>
        <v>0</v>
      </c>
      <c r="AB149" s="10">
        <f>'BS Forecasts'!AB184</f>
        <v>0</v>
      </c>
      <c r="AC149" s="10">
        <f>'BS Forecasts'!AC184</f>
        <v>0</v>
      </c>
      <c r="AD149" s="10">
        <f>'BS Forecasts'!AD184</f>
        <v>0</v>
      </c>
      <c r="AE149" s="10">
        <f>'BS Forecasts'!AE184</f>
        <v>0</v>
      </c>
      <c r="AF149" s="10">
        <f>'BS Forecasts'!AF184</f>
        <v>0</v>
      </c>
      <c r="AG149" s="10">
        <f>'BS Forecasts'!AG184</f>
        <v>0</v>
      </c>
      <c r="AH149" s="10">
        <f>'BS Forecasts'!AH184</f>
        <v>0</v>
      </c>
      <c r="AI149" s="10">
        <f>'BS Forecasts'!AI184</f>
        <v>0</v>
      </c>
      <c r="AJ149" s="10">
        <f>'BS Forecasts'!AJ184</f>
        <v>0</v>
      </c>
      <c r="AK149" s="10">
        <f>'BS Forecasts'!AK184</f>
        <v>0</v>
      </c>
      <c r="AL149" s="10">
        <f>'BS Forecasts'!AL184</f>
        <v>0</v>
      </c>
      <c r="AM149" s="10">
        <f>'BS Forecasts'!AM184</f>
        <v>0</v>
      </c>
      <c r="AN149" s="10">
        <f>'BS Forecasts'!AN184</f>
        <v>0</v>
      </c>
      <c r="AO149" s="10">
        <f>'BS Forecasts'!AO184</f>
        <v>0</v>
      </c>
      <c r="AP149" s="10">
        <f>'BS Forecasts'!AP184</f>
        <v>0</v>
      </c>
      <c r="AQ149" s="10">
        <f>'BS Forecasts'!AQ184</f>
        <v>0</v>
      </c>
      <c r="AR149" s="10">
        <f>'BS Forecasts'!AR184</f>
        <v>0</v>
      </c>
      <c r="AS149" s="10">
        <f>'BS Forecasts'!AS184</f>
        <v>0</v>
      </c>
      <c r="AT149" s="10">
        <f>'BS Forecasts'!AT184</f>
        <v>0</v>
      </c>
      <c r="AU149" s="10">
        <f>'BS Forecasts'!AU184</f>
        <v>0</v>
      </c>
      <c r="AV149" s="10">
        <f>'BS Forecasts'!AV184</f>
        <v>0</v>
      </c>
      <c r="AW149" s="10">
        <f>'BS Forecasts'!AW184</f>
        <v>0</v>
      </c>
      <c r="AX149" s="10">
        <f>'BS Forecasts'!AX184</f>
        <v>0</v>
      </c>
      <c r="AY149" s="10">
        <f>'BS Forecasts'!AY184</f>
        <v>0</v>
      </c>
      <c r="AZ149" s="10">
        <f>'BS Forecasts'!AZ184</f>
        <v>0</v>
      </c>
      <c r="BA149" s="10">
        <f>'BS Forecasts'!BA184</f>
        <v>0</v>
      </c>
      <c r="BB149" s="10">
        <f>'BS Forecasts'!BB184</f>
        <v>0</v>
      </c>
      <c r="BC149" s="10">
        <f>'BS Forecasts'!BC184</f>
        <v>0</v>
      </c>
      <c r="BD149" s="10">
        <f>'BS Forecasts'!BD184</f>
        <v>0</v>
      </c>
      <c r="BE149" s="10">
        <f>'BS Forecasts'!BE184</f>
        <v>0</v>
      </c>
      <c r="BF149" s="10">
        <f>'BS Forecasts'!BF184</f>
        <v>0</v>
      </c>
      <c r="BG149" s="10">
        <f>'BS Forecasts'!BG184</f>
        <v>0</v>
      </c>
      <c r="BH149" s="10">
        <f>'BS Forecasts'!BH184</f>
        <v>0</v>
      </c>
      <c r="BI149" s="10">
        <f>'BS Forecasts'!BI184</f>
        <v>0</v>
      </c>
      <c r="BJ149" s="10">
        <f>'BS Forecasts'!BJ184</f>
        <v>0</v>
      </c>
      <c r="BK149" s="157"/>
      <c r="BL149" s="10">
        <f>'BS Forecasts'!BL184</f>
        <v>0</v>
      </c>
      <c r="BM149" s="10">
        <f>'BS Forecasts'!BM184</f>
        <v>0</v>
      </c>
      <c r="BN149" s="10">
        <f>'BS Forecasts'!BN184</f>
        <v>0</v>
      </c>
      <c r="BO149" s="10">
        <f>'BS Forecasts'!BO184</f>
        <v>0</v>
      </c>
      <c r="BP149" s="10">
        <f>'BS Forecasts'!BP184</f>
        <v>0</v>
      </c>
      <c r="BQ149" s="10">
        <f>'BS Forecasts'!BQ184</f>
        <v>0</v>
      </c>
      <c r="BR149" s="10">
        <f>'BS Forecasts'!BR184</f>
        <v>0</v>
      </c>
      <c r="BS149" s="10">
        <f>'BS Forecasts'!BS184</f>
        <v>0</v>
      </c>
      <c r="BT149" s="10">
        <f>'BS Forecasts'!BT184</f>
        <v>0</v>
      </c>
      <c r="BU149" s="10">
        <f>'BS Forecasts'!BU184</f>
        <v>0</v>
      </c>
      <c r="BV149" s="10">
        <f>'BS Forecasts'!BV184</f>
        <v>0</v>
      </c>
      <c r="BW149" s="10">
        <f>'BS Forecasts'!BW184</f>
        <v>0</v>
      </c>
      <c r="BX149" s="157"/>
      <c r="BY149" s="12"/>
      <c r="CB149" s="335"/>
      <c r="CC149" s="126">
        <f t="shared" si="140"/>
        <v>0</v>
      </c>
      <c r="CD149" s="126">
        <f t="shared" si="141"/>
        <v>0</v>
      </c>
      <c r="CE149" s="126">
        <f t="shared" si="142"/>
        <v>0</v>
      </c>
      <c r="CF149" s="42"/>
      <c r="CG149" s="352">
        <f t="shared" si="143"/>
        <v>0</v>
      </c>
      <c r="CH149" s="352">
        <f t="shared" si="144"/>
        <v>0</v>
      </c>
      <c r="CI149" s="352">
        <f t="shared" si="145"/>
        <v>0</v>
      </c>
      <c r="CJ149" s="352">
        <f t="shared" si="146"/>
        <v>0</v>
      </c>
      <c r="CK149" s="352">
        <f t="shared" si="146"/>
        <v>0</v>
      </c>
      <c r="CL149" s="352">
        <f t="shared" si="146"/>
        <v>0</v>
      </c>
      <c r="CM149" s="352">
        <f t="shared" si="147"/>
        <v>0</v>
      </c>
      <c r="EX149" s="10" t="str">
        <f t="shared" si="135"/>
        <v xml:space="preserve">Past Service Deficit Employer Contributions </v>
      </c>
    </row>
    <row r="150" spans="1:154" s="335" customFormat="1" ht="33.75" x14ac:dyDescent="0.25">
      <c r="A150" s="362" cm="1">
        <f t="array" aca="1" ref="A150" ca="1">HYPERLINK(CONCATENATE("#",CELL("address",IF(SUM($BY150:$CF150)=0,A150,INDEX($BY150:$CF150,MATCH(1,$BY150:$CF150,0))))),SUM($BY150:$CF150))</f>
        <v>0</v>
      </c>
      <c r="B150" s="157"/>
      <c r="C150" s="343" t="s">
        <v>1724</v>
      </c>
      <c r="D150" s="555" t="s">
        <v>2408</v>
      </c>
      <c r="E150" s="480" t="str" cm="1">
        <f t="array" aca="1" ref="E150" ca="1">HYPERLINK(CONCATENATE("#",CELL("address",'BS Forecasts'!$D$190)),"LGPS")</f>
        <v>LGPS</v>
      </c>
      <c r="F150" s="480" t="str" cm="1">
        <f t="array" aca="1" ref="F150" ca="1">HYPERLINK(CONCATENATE("#",CELL("address",'BS Forecasts'!$D$209)),LEFT('BS Forecasts'!$D$203, 50))</f>
        <v>Other Pension Provisions</v>
      </c>
      <c r="G150" s="162"/>
      <c r="H150" s="180"/>
      <c r="I150" s="157"/>
      <c r="J150" s="157"/>
      <c r="K150" s="157"/>
      <c r="L150" s="157"/>
      <c r="M150" s="157"/>
      <c r="N150" s="157"/>
      <c r="O150" s="157"/>
      <c r="P150" s="157"/>
      <c r="Q150" s="157"/>
      <c r="R150" s="157"/>
      <c r="S150" s="157"/>
      <c r="T150" s="157"/>
      <c r="U150" s="157"/>
      <c r="V150" s="10">
        <f>'BS Forecasts'!V190+'BS Forecasts'!V209</f>
        <v>0</v>
      </c>
      <c r="W150" s="10">
        <f>'BS Forecasts'!W190+'BS Forecasts'!W209</f>
        <v>0</v>
      </c>
      <c r="X150" s="10">
        <f>'BS Forecasts'!X190+'BS Forecasts'!X209</f>
        <v>0</v>
      </c>
      <c r="Y150" s="10">
        <f>'BS Forecasts'!Y190+'BS Forecasts'!Y209</f>
        <v>0</v>
      </c>
      <c r="Z150" s="157"/>
      <c r="AA150" s="10">
        <f>'BS Forecasts'!AA190+'BS Forecasts'!AA209</f>
        <v>0</v>
      </c>
      <c r="AB150" s="10">
        <f>'BS Forecasts'!AB190+'BS Forecasts'!AB209</f>
        <v>0</v>
      </c>
      <c r="AC150" s="10">
        <f>'BS Forecasts'!AC190+'BS Forecasts'!AC209</f>
        <v>0</v>
      </c>
      <c r="AD150" s="10">
        <f>'BS Forecasts'!AD190+'BS Forecasts'!AD209</f>
        <v>0</v>
      </c>
      <c r="AE150" s="10">
        <f>'BS Forecasts'!AE190+'BS Forecasts'!AE209</f>
        <v>0</v>
      </c>
      <c r="AF150" s="10">
        <f>'BS Forecasts'!AF190+'BS Forecasts'!AF209</f>
        <v>0</v>
      </c>
      <c r="AG150" s="10">
        <f>'BS Forecasts'!AG190+'BS Forecasts'!AG209</f>
        <v>0</v>
      </c>
      <c r="AH150" s="10">
        <f>'BS Forecasts'!AH190+'BS Forecasts'!AH209</f>
        <v>0</v>
      </c>
      <c r="AI150" s="10">
        <f>'BS Forecasts'!AI190+'BS Forecasts'!AI209</f>
        <v>0</v>
      </c>
      <c r="AJ150" s="10">
        <f>'BS Forecasts'!AJ190+'BS Forecasts'!AJ209</f>
        <v>0</v>
      </c>
      <c r="AK150" s="10">
        <f>'BS Forecasts'!AK190+'BS Forecasts'!AK209</f>
        <v>0</v>
      </c>
      <c r="AL150" s="10">
        <f>'BS Forecasts'!AL190+'BS Forecasts'!AL209</f>
        <v>0</v>
      </c>
      <c r="AM150" s="10">
        <f>'BS Forecasts'!AM190+'BS Forecasts'!AM209</f>
        <v>0</v>
      </c>
      <c r="AN150" s="10">
        <f>'BS Forecasts'!AN190+'BS Forecasts'!AN209</f>
        <v>0</v>
      </c>
      <c r="AO150" s="10">
        <f>'BS Forecasts'!AO190+'BS Forecasts'!AO209</f>
        <v>0</v>
      </c>
      <c r="AP150" s="10">
        <f>'BS Forecasts'!AP190+'BS Forecasts'!AP209</f>
        <v>0</v>
      </c>
      <c r="AQ150" s="10">
        <f>'BS Forecasts'!AQ190+'BS Forecasts'!AQ209</f>
        <v>0</v>
      </c>
      <c r="AR150" s="10">
        <f>'BS Forecasts'!AR190+'BS Forecasts'!AR209</f>
        <v>0</v>
      </c>
      <c r="AS150" s="10">
        <f>'BS Forecasts'!AS190+'BS Forecasts'!AS209</f>
        <v>0</v>
      </c>
      <c r="AT150" s="10">
        <f>'BS Forecasts'!AT190+'BS Forecasts'!AT209</f>
        <v>0</v>
      </c>
      <c r="AU150" s="10">
        <f>'BS Forecasts'!AU190+'BS Forecasts'!AU209</f>
        <v>0</v>
      </c>
      <c r="AV150" s="10">
        <f>'BS Forecasts'!AV190+'BS Forecasts'!AV209</f>
        <v>0</v>
      </c>
      <c r="AW150" s="10">
        <f>'BS Forecasts'!AW190+'BS Forecasts'!AW209</f>
        <v>0</v>
      </c>
      <c r="AX150" s="10">
        <f>'BS Forecasts'!AX190+'BS Forecasts'!AX209</f>
        <v>0</v>
      </c>
      <c r="AY150" s="10">
        <f>'BS Forecasts'!AY190+'BS Forecasts'!AY209</f>
        <v>0</v>
      </c>
      <c r="AZ150" s="10">
        <f>'BS Forecasts'!AZ190+'BS Forecasts'!AZ209</f>
        <v>0</v>
      </c>
      <c r="BA150" s="10">
        <f>'BS Forecasts'!BA190+'BS Forecasts'!BA209</f>
        <v>0</v>
      </c>
      <c r="BB150" s="10">
        <f>'BS Forecasts'!BB190+'BS Forecasts'!BB209</f>
        <v>0</v>
      </c>
      <c r="BC150" s="10">
        <f>'BS Forecasts'!BC190+'BS Forecasts'!BC209</f>
        <v>0</v>
      </c>
      <c r="BD150" s="10">
        <f>'BS Forecasts'!BD190+'BS Forecasts'!BD209</f>
        <v>0</v>
      </c>
      <c r="BE150" s="10">
        <f>'BS Forecasts'!BE190+'BS Forecasts'!BE209</f>
        <v>0</v>
      </c>
      <c r="BF150" s="10">
        <f>'BS Forecasts'!BF190+'BS Forecasts'!BF209</f>
        <v>0</v>
      </c>
      <c r="BG150" s="10">
        <f>'BS Forecasts'!BG190+'BS Forecasts'!BG209</f>
        <v>0</v>
      </c>
      <c r="BH150" s="10">
        <f>'BS Forecasts'!BH190+'BS Forecasts'!BH209</f>
        <v>0</v>
      </c>
      <c r="BI150" s="10">
        <f>'BS Forecasts'!BI190+'BS Forecasts'!BI209</f>
        <v>0</v>
      </c>
      <c r="BJ150" s="10">
        <f>'BS Forecasts'!BJ190+'BS Forecasts'!BJ209</f>
        <v>0</v>
      </c>
      <c r="BK150" s="157"/>
      <c r="BL150" s="10">
        <f>'BS Forecasts'!BL190+'BS Forecasts'!BL209</f>
        <v>0</v>
      </c>
      <c r="BM150" s="10">
        <f>'BS Forecasts'!BM190+'BS Forecasts'!BM209</f>
        <v>0</v>
      </c>
      <c r="BN150" s="10">
        <f>'BS Forecasts'!BN190+'BS Forecasts'!BN209</f>
        <v>0</v>
      </c>
      <c r="BO150" s="10">
        <f>'BS Forecasts'!BO190+'BS Forecasts'!BO209</f>
        <v>0</v>
      </c>
      <c r="BP150" s="10">
        <f>'BS Forecasts'!BP190+'BS Forecasts'!BP209</f>
        <v>0</v>
      </c>
      <c r="BQ150" s="10">
        <f>'BS Forecasts'!BQ190+'BS Forecasts'!BQ209</f>
        <v>0</v>
      </c>
      <c r="BR150" s="10">
        <f>'BS Forecasts'!BR190+'BS Forecasts'!BR209</f>
        <v>0</v>
      </c>
      <c r="BS150" s="10">
        <f>'BS Forecasts'!BS190+'BS Forecasts'!BS209</f>
        <v>0</v>
      </c>
      <c r="BT150" s="10">
        <f>'BS Forecasts'!BT190+'BS Forecasts'!BT209</f>
        <v>0</v>
      </c>
      <c r="BU150" s="10">
        <f>'BS Forecasts'!BU190+'BS Forecasts'!BU209</f>
        <v>0</v>
      </c>
      <c r="BV150" s="10">
        <f>'BS Forecasts'!BV190+'BS Forecasts'!BV209</f>
        <v>0</v>
      </c>
      <c r="BW150" s="10">
        <f>'BS Forecasts'!BW190+'BS Forecasts'!BW209</f>
        <v>0</v>
      </c>
      <c r="BX150" s="157"/>
      <c r="BY150" s="12"/>
      <c r="CC150" s="126">
        <f t="shared" si="140"/>
        <v>0</v>
      </c>
      <c r="CD150" s="126">
        <f t="shared" si="141"/>
        <v>0</v>
      </c>
      <c r="CE150" s="126">
        <f t="shared" si="142"/>
        <v>0</v>
      </c>
      <c r="CF150" s="42"/>
      <c r="CG150" s="352">
        <f t="shared" si="143"/>
        <v>0</v>
      </c>
      <c r="CH150" s="352">
        <f t="shared" si="144"/>
        <v>0</v>
      </c>
      <c r="CI150" s="352">
        <f t="shared" si="145"/>
        <v>0</v>
      </c>
      <c r="CJ150" s="352">
        <f t="shared" si="146"/>
        <v>0</v>
      </c>
      <c r="CK150" s="352">
        <f t="shared" si="146"/>
        <v>0</v>
      </c>
      <c r="CL150" s="352">
        <f t="shared" si="146"/>
        <v>0</v>
      </c>
      <c r="CM150" s="352">
        <f t="shared" si="147"/>
        <v>0</v>
      </c>
      <c r="EX150" s="10" t="str">
        <f t="shared" si="135"/>
        <v>Pension Lumpsum Settlement Payment</v>
      </c>
    </row>
    <row r="151" spans="1:154" ht="30" customHeight="1" x14ac:dyDescent="0.25">
      <c r="A151" s="362" cm="1">
        <f t="array" aca="1" ref="A151" ca="1">HYPERLINK(CONCATENATE("#",CELL("address",IF(SUM($BY151:$CF151)=0,A151,INDEX($BY151:$CF151,MATCH(1,$BY151:$CF151,0))))),SUM($BY151:$CF151))</f>
        <v>0</v>
      </c>
      <c r="B151" s="157"/>
      <c r="C151" s="343" t="s">
        <v>1470</v>
      </c>
      <c r="D151" s="556" t="s">
        <v>567</v>
      </c>
      <c r="E151" s="181" t="str" cm="1">
        <f t="array" aca="1" ref="E151" ca="1">HYPERLINK(CONCATENATE("#",CELL("address",'BS Forecasts'!$D$132)),LEFT('BS Forecasts'!$D$132, 30))</f>
        <v>Amortisation through I&amp;E: ESFA</v>
      </c>
      <c r="F151" s="181" t="str" cm="1">
        <f t="array" aca="1" ref="F151" ca="1">HYPERLINK(CONCATENATE("#",CELL("address",'BS Forecasts'!$D$133)),LEFT('BS Forecasts'!$D$133, 30))</f>
        <v>Amortisation through I&amp;E: OfS</v>
      </c>
      <c r="G151" s="181" t="str" cm="1">
        <f t="array" aca="1" ref="G151" ca="1">HYPERLINK(CONCATENATE("#",CELL("address",'BS Forecasts'!$D$134)),LEFT('BS Forecasts'!$D$134, 30))</f>
        <v>Amortisation through I&amp;E: LEP</v>
      </c>
      <c r="H151" s="181" t="str" cm="1">
        <f t="array" aca="1" ref="H151" ca="1">HYPERLINK(CONCATENATE("#",CELL("address",'BS Forecasts'!$D$135)),LEFT('BS Forecasts'!$D$135, 30))</f>
        <v>Amortisation through I&amp;E: Othe</v>
      </c>
      <c r="I151" s="157"/>
      <c r="J151" s="157"/>
      <c r="K151" s="157"/>
      <c r="L151" s="157"/>
      <c r="M151" s="157"/>
      <c r="N151" s="157"/>
      <c r="O151" s="157"/>
      <c r="P151" s="157"/>
      <c r="Q151" s="157"/>
      <c r="R151" s="157"/>
      <c r="S151" s="157"/>
      <c r="T151" s="157"/>
      <c r="U151" s="157"/>
      <c r="V151" s="10">
        <f>0-V$33</f>
        <v>0</v>
      </c>
      <c r="W151" s="10">
        <f>0-W$33</f>
        <v>-469</v>
      </c>
      <c r="X151" s="10">
        <f>0-X$33</f>
        <v>-514</v>
      </c>
      <c r="Y151" s="10">
        <f>0-Y$33</f>
        <v>-571</v>
      </c>
      <c r="Z151" s="157"/>
      <c r="AA151" s="10">
        <f t="shared" ref="AA151:BW151" si="148">0-AA$33</f>
        <v>-36</v>
      </c>
      <c r="AB151" s="10">
        <f t="shared" si="148"/>
        <v>-38</v>
      </c>
      <c r="AC151" s="10">
        <f t="shared" si="148"/>
        <v>-38</v>
      </c>
      <c r="AD151" s="10">
        <f t="shared" si="148"/>
        <v>-38</v>
      </c>
      <c r="AE151" s="10">
        <f t="shared" si="148"/>
        <v>-38</v>
      </c>
      <c r="AF151" s="10">
        <f t="shared" si="148"/>
        <v>-38</v>
      </c>
      <c r="AG151" s="10">
        <f t="shared" si="148"/>
        <v>-38</v>
      </c>
      <c r="AH151" s="10">
        <f t="shared" si="148"/>
        <v>-41</v>
      </c>
      <c r="AI151" s="10">
        <f t="shared" si="148"/>
        <v>-41</v>
      </c>
      <c r="AJ151" s="10">
        <f t="shared" si="148"/>
        <v>-41</v>
      </c>
      <c r="AK151" s="10">
        <f t="shared" si="148"/>
        <v>-41</v>
      </c>
      <c r="AL151" s="10">
        <f t="shared" si="148"/>
        <v>-41</v>
      </c>
      <c r="AM151" s="10">
        <f t="shared" si="148"/>
        <v>-36</v>
      </c>
      <c r="AN151" s="10">
        <f t="shared" si="148"/>
        <v>-40</v>
      </c>
      <c r="AO151" s="10">
        <f t="shared" si="148"/>
        <v>-40</v>
      </c>
      <c r="AP151" s="10">
        <f t="shared" si="148"/>
        <v>-41</v>
      </c>
      <c r="AQ151" s="10">
        <f t="shared" si="148"/>
        <v>-41</v>
      </c>
      <c r="AR151" s="10">
        <f t="shared" si="148"/>
        <v>-41</v>
      </c>
      <c r="AS151" s="10">
        <f t="shared" si="148"/>
        <v>-42</v>
      </c>
      <c r="AT151" s="10">
        <f t="shared" si="148"/>
        <v>-46</v>
      </c>
      <c r="AU151" s="10">
        <f t="shared" si="148"/>
        <v>-46</v>
      </c>
      <c r="AV151" s="10">
        <f t="shared" si="148"/>
        <v>-46</v>
      </c>
      <c r="AW151" s="10">
        <f t="shared" si="148"/>
        <v>-47</v>
      </c>
      <c r="AX151" s="10">
        <f t="shared" si="148"/>
        <v>-48</v>
      </c>
      <c r="AY151" s="10">
        <f t="shared" si="148"/>
        <v>-43</v>
      </c>
      <c r="AZ151" s="10">
        <f t="shared" si="148"/>
        <v>-45</v>
      </c>
      <c r="BA151" s="10">
        <f t="shared" si="148"/>
        <v>-46</v>
      </c>
      <c r="BB151" s="10">
        <f t="shared" si="148"/>
        <v>-46</v>
      </c>
      <c r="BC151" s="10">
        <f t="shared" si="148"/>
        <v>-46</v>
      </c>
      <c r="BD151" s="10">
        <f t="shared" si="148"/>
        <v>-47</v>
      </c>
      <c r="BE151" s="10">
        <f t="shared" si="148"/>
        <v>-47</v>
      </c>
      <c r="BF151" s="10">
        <f t="shared" si="148"/>
        <v>-50</v>
      </c>
      <c r="BG151" s="10">
        <f t="shared" si="148"/>
        <v>-50</v>
      </c>
      <c r="BH151" s="10">
        <f t="shared" si="148"/>
        <v>-50</v>
      </c>
      <c r="BI151" s="10">
        <f t="shared" si="148"/>
        <v>-50</v>
      </c>
      <c r="BJ151" s="10">
        <f t="shared" si="148"/>
        <v>-51</v>
      </c>
      <c r="BK151" s="157"/>
      <c r="BL151" s="10">
        <f t="shared" si="148"/>
        <v>0</v>
      </c>
      <c r="BM151" s="10">
        <f t="shared" si="148"/>
        <v>-469</v>
      </c>
      <c r="BN151" s="10">
        <f t="shared" si="148"/>
        <v>-514</v>
      </c>
      <c r="BO151" s="10">
        <f t="shared" si="148"/>
        <v>-571</v>
      </c>
      <c r="BP151" s="10">
        <f t="shared" si="148"/>
        <v>0</v>
      </c>
      <c r="BQ151" s="10">
        <f t="shared" si="148"/>
        <v>0</v>
      </c>
      <c r="BR151" s="10">
        <f t="shared" si="148"/>
        <v>0</v>
      </c>
      <c r="BS151" s="10">
        <f t="shared" si="148"/>
        <v>0</v>
      </c>
      <c r="BT151" s="10">
        <f t="shared" si="148"/>
        <v>0</v>
      </c>
      <c r="BU151" s="10">
        <f t="shared" si="148"/>
        <v>0</v>
      </c>
      <c r="BV151" s="10">
        <f t="shared" si="148"/>
        <v>0</v>
      </c>
      <c r="BW151" s="10">
        <f t="shared" si="148"/>
        <v>0</v>
      </c>
      <c r="BX151" s="157"/>
      <c r="BY151" s="12"/>
      <c r="CC151" s="126">
        <f t="shared" si="140"/>
        <v>0</v>
      </c>
      <c r="CD151" s="126">
        <f t="shared" si="141"/>
        <v>0</v>
      </c>
      <c r="CE151" s="126">
        <f t="shared" si="142"/>
        <v>0</v>
      </c>
      <c r="CF151" s="42"/>
      <c r="CG151" s="352">
        <f t="shared" si="143"/>
        <v>0</v>
      </c>
      <c r="CH151" s="352">
        <f t="shared" si="144"/>
        <v>0</v>
      </c>
      <c r="CI151" s="352">
        <f t="shared" si="145"/>
        <v>0</v>
      </c>
      <c r="CJ151" s="352">
        <f t="shared" si="146"/>
        <v>0</v>
      </c>
      <c r="CK151" s="352">
        <f t="shared" si="146"/>
        <v>0</v>
      </c>
      <c r="CL151" s="352">
        <f t="shared" si="146"/>
        <v>0</v>
      </c>
      <c r="CM151" s="352">
        <f t="shared" si="147"/>
        <v>0</v>
      </c>
      <c r="EX151" s="10" t="str">
        <f t="shared" si="135"/>
        <v>Release of deferred capital grants</v>
      </c>
    </row>
    <row r="152" spans="1:154" s="335" customFormat="1" ht="30" customHeight="1" x14ac:dyDescent="0.25">
      <c r="A152" s="362" cm="1">
        <f t="array" aca="1" ref="A152" ca="1">HYPERLINK(CONCATENATE("#",CELL("address",IF(SUM($BY152:$CF152)=0,A152,INDEX($BY152:$CF152,MATCH(1,$BY152:$CF152,0))))),SUM($BY152:$CF152))</f>
        <v>0</v>
      </c>
      <c r="B152" s="157"/>
      <c r="C152" s="343" t="s">
        <v>1471</v>
      </c>
      <c r="D152" s="555" t="s">
        <v>916</v>
      </c>
      <c r="E152" s="181" t="str" cm="1">
        <f t="array" aca="1" ref="E152" ca="1">HYPERLINK(CONCATENATE("#",CELL("address",'Investing Inputs'!$D$39)),'Investing Inputs'!$D$39)</f>
        <v>Total Capital Expenditure Donations</v>
      </c>
      <c r="F152" s="180"/>
      <c r="G152" s="180"/>
      <c r="H152" s="180"/>
      <c r="I152" s="157"/>
      <c r="J152" s="157"/>
      <c r="K152" s="157"/>
      <c r="L152" s="157"/>
      <c r="M152" s="157"/>
      <c r="N152" s="157"/>
      <c r="O152" s="157"/>
      <c r="P152" s="157"/>
      <c r="Q152" s="157"/>
      <c r="R152" s="157"/>
      <c r="S152" s="157"/>
      <c r="T152" s="157"/>
      <c r="U152" s="157"/>
      <c r="V152" s="10">
        <f>0-'I&amp;E Annual'!V$116</f>
        <v>0</v>
      </c>
      <c r="W152" s="10">
        <f>0-'I&amp;E Annual'!W$116</f>
        <v>0</v>
      </c>
      <c r="X152" s="10">
        <f>0-'I&amp;E Annual'!X$116</f>
        <v>0</v>
      </c>
      <c r="Y152" s="10">
        <f>0-'I&amp;E Annual'!Y$116</f>
        <v>0</v>
      </c>
      <c r="Z152" s="157"/>
      <c r="AA152" s="10">
        <f>0-'I&amp;E Annual'!AA$116</f>
        <v>0</v>
      </c>
      <c r="AB152" s="10">
        <f>0-'I&amp;E Annual'!AB$116</f>
        <v>0</v>
      </c>
      <c r="AC152" s="10">
        <f>0-'I&amp;E Annual'!AC$116</f>
        <v>0</v>
      </c>
      <c r="AD152" s="10">
        <f>0-'I&amp;E Annual'!AD$116</f>
        <v>0</v>
      </c>
      <c r="AE152" s="10">
        <f>0-'I&amp;E Annual'!AE$116</f>
        <v>0</v>
      </c>
      <c r="AF152" s="10">
        <f>0-'I&amp;E Annual'!AF$116</f>
        <v>0</v>
      </c>
      <c r="AG152" s="10">
        <f>0-'I&amp;E Annual'!AG$116</f>
        <v>0</v>
      </c>
      <c r="AH152" s="10">
        <f>0-'I&amp;E Annual'!AH$116</f>
        <v>0</v>
      </c>
      <c r="AI152" s="10">
        <f>0-'I&amp;E Annual'!AI$116</f>
        <v>0</v>
      </c>
      <c r="AJ152" s="10">
        <f>0-'I&amp;E Annual'!AJ$116</f>
        <v>0</v>
      </c>
      <c r="AK152" s="10">
        <f>0-'I&amp;E Annual'!AK$116</f>
        <v>0</v>
      </c>
      <c r="AL152" s="10">
        <f>0-'I&amp;E Annual'!AL$116</f>
        <v>0</v>
      </c>
      <c r="AM152" s="10">
        <f>0-'I&amp;E Annual'!AM$116</f>
        <v>0</v>
      </c>
      <c r="AN152" s="10">
        <f>0-'I&amp;E Annual'!AN$116</f>
        <v>0</v>
      </c>
      <c r="AO152" s="10">
        <f>0-'I&amp;E Annual'!AO$116</f>
        <v>0</v>
      </c>
      <c r="AP152" s="10">
        <f>0-'I&amp;E Annual'!AP$116</f>
        <v>0</v>
      </c>
      <c r="AQ152" s="10">
        <f>0-'I&amp;E Annual'!AQ$116</f>
        <v>0</v>
      </c>
      <c r="AR152" s="10">
        <f>0-'I&amp;E Annual'!AR$116</f>
        <v>0</v>
      </c>
      <c r="AS152" s="10">
        <f>0-'I&amp;E Annual'!AS$116</f>
        <v>0</v>
      </c>
      <c r="AT152" s="10">
        <f>0-'I&amp;E Annual'!AT$116</f>
        <v>0</v>
      </c>
      <c r="AU152" s="10">
        <f>0-'I&amp;E Annual'!AU$116</f>
        <v>0</v>
      </c>
      <c r="AV152" s="10">
        <f>0-'I&amp;E Annual'!AV$116</f>
        <v>0</v>
      </c>
      <c r="AW152" s="10">
        <f>0-'I&amp;E Annual'!AW$116</f>
        <v>0</v>
      </c>
      <c r="AX152" s="10">
        <f>0-'I&amp;E Annual'!AX$116</f>
        <v>0</v>
      </c>
      <c r="AY152" s="10">
        <f>0-'I&amp;E Annual'!AY$116</f>
        <v>0</v>
      </c>
      <c r="AZ152" s="10">
        <f>0-'I&amp;E Annual'!AZ$116</f>
        <v>0</v>
      </c>
      <c r="BA152" s="10">
        <f>0-'I&amp;E Annual'!BA$116</f>
        <v>0</v>
      </c>
      <c r="BB152" s="10">
        <f>0-'I&amp;E Annual'!BB$116</f>
        <v>0</v>
      </c>
      <c r="BC152" s="10">
        <f>0-'I&amp;E Annual'!BC$116</f>
        <v>0</v>
      </c>
      <c r="BD152" s="10">
        <f>0-'I&amp;E Annual'!BD$116</f>
        <v>0</v>
      </c>
      <c r="BE152" s="10">
        <f>0-'I&amp;E Annual'!BE$116</f>
        <v>0</v>
      </c>
      <c r="BF152" s="10">
        <f>0-'I&amp;E Annual'!BF$116</f>
        <v>0</v>
      </c>
      <c r="BG152" s="10">
        <f>0-'I&amp;E Annual'!BG$116</f>
        <v>0</v>
      </c>
      <c r="BH152" s="10">
        <f>0-'I&amp;E Annual'!BH$116</f>
        <v>0</v>
      </c>
      <c r="BI152" s="10">
        <f>0-'I&amp;E Annual'!BI$116</f>
        <v>0</v>
      </c>
      <c r="BJ152" s="10">
        <f>0-'I&amp;E Annual'!BJ$116</f>
        <v>0</v>
      </c>
      <c r="BK152" s="157"/>
      <c r="BL152" s="10">
        <f>0-'I&amp;E Annual'!BL$116</f>
        <v>0</v>
      </c>
      <c r="BM152" s="10">
        <f>0-'I&amp;E Annual'!BM$116</f>
        <v>0</v>
      </c>
      <c r="BN152" s="10">
        <f>0-'I&amp;E Annual'!BN$116</f>
        <v>0</v>
      </c>
      <c r="BO152" s="10">
        <f>0-'I&amp;E Annual'!BO$116</f>
        <v>0</v>
      </c>
      <c r="BP152" s="10">
        <f>0-'I&amp;E Annual'!BP$116</f>
        <v>0</v>
      </c>
      <c r="BQ152" s="10">
        <f>0-'I&amp;E Annual'!BQ$116</f>
        <v>0</v>
      </c>
      <c r="BR152" s="10">
        <f>0-'I&amp;E Annual'!BR$116</f>
        <v>0</v>
      </c>
      <c r="BS152" s="10">
        <f>0-'I&amp;E Annual'!BS$116</f>
        <v>0</v>
      </c>
      <c r="BT152" s="10">
        <f>0-'I&amp;E Annual'!BT$116</f>
        <v>0</v>
      </c>
      <c r="BU152" s="10">
        <f>0-'I&amp;E Annual'!BU$116</f>
        <v>0</v>
      </c>
      <c r="BV152" s="10">
        <f>0-'I&amp;E Annual'!BV$116</f>
        <v>0</v>
      </c>
      <c r="BW152" s="10">
        <f>0-'I&amp;E Annual'!BW$116</f>
        <v>0</v>
      </c>
      <c r="BX152" s="157"/>
      <c r="BY152" s="12"/>
      <c r="CC152" s="126">
        <f t="shared" si="140"/>
        <v>0</v>
      </c>
      <c r="CD152" s="126">
        <f t="shared" si="141"/>
        <v>0</v>
      </c>
      <c r="CE152" s="126">
        <f t="shared" si="142"/>
        <v>0</v>
      </c>
      <c r="CF152" s="42"/>
      <c r="CG152" s="352">
        <f t="shared" si="143"/>
        <v>0</v>
      </c>
      <c r="CH152" s="352">
        <f t="shared" si="144"/>
        <v>0</v>
      </c>
      <c r="CI152" s="352">
        <f t="shared" si="145"/>
        <v>0</v>
      </c>
      <c r="CJ152" s="352">
        <f t="shared" si="146"/>
        <v>0</v>
      </c>
      <c r="CK152" s="352">
        <f t="shared" si="146"/>
        <v>0</v>
      </c>
      <c r="CL152" s="352">
        <f t="shared" si="146"/>
        <v>0</v>
      </c>
      <c r="CM152" s="352">
        <f t="shared" si="147"/>
        <v>0</v>
      </c>
      <c r="EX152" s="10" t="str">
        <f t="shared" si="135"/>
        <v>Donated Assets adjustment</v>
      </c>
    </row>
    <row r="153" spans="1:154" s="335" customFormat="1" ht="30" customHeight="1" x14ac:dyDescent="0.25">
      <c r="A153" s="362" cm="1">
        <f t="array" aca="1" ref="A153" ca="1">HYPERLINK(CONCATENATE("#",CELL("address",IF(SUM($BY153:$CF153)=0,A153,INDEX($BY153:$CF153,MATCH(1,$BY153:$CF153,0))))),SUM($BY153:$CF153))</f>
        <v>0</v>
      </c>
      <c r="B153" s="157"/>
      <c r="C153" s="343" t="s">
        <v>1472</v>
      </c>
      <c r="D153" s="555" t="s">
        <v>963</v>
      </c>
      <c r="E153" s="181" t="str" cm="1">
        <f t="array" aca="1" ref="E153" ca="1">HYPERLINK(CONCATENATE("#",CELL("address",'BS Forecasts'!$D$215)),'BS Forecasts'!$D$213)</f>
        <v>Other Provisions</v>
      </c>
      <c r="F153" s="180"/>
      <c r="G153" s="180"/>
      <c r="H153" s="180"/>
      <c r="I153" s="157"/>
      <c r="J153" s="157"/>
      <c r="K153" s="157"/>
      <c r="L153" s="157"/>
      <c r="M153" s="157"/>
      <c r="N153" s="157"/>
      <c r="O153" s="157"/>
      <c r="P153" s="157"/>
      <c r="Q153" s="157"/>
      <c r="R153" s="157"/>
      <c r="S153" s="157"/>
      <c r="T153" s="157"/>
      <c r="U153" s="157"/>
      <c r="V153" s="10">
        <f>'I&amp;E Annual'!V$147</f>
        <v>0</v>
      </c>
      <c r="W153" s="10">
        <f>'I&amp;E Annual'!W$147</f>
        <v>0</v>
      </c>
      <c r="X153" s="10">
        <f>'I&amp;E Annual'!X$147</f>
        <v>0</v>
      </c>
      <c r="Y153" s="10">
        <f>'I&amp;E Annual'!Y$147</f>
        <v>0</v>
      </c>
      <c r="Z153" s="157"/>
      <c r="AA153" s="10">
        <f>'I&amp;E Annual'!AA$147</f>
        <v>0</v>
      </c>
      <c r="AB153" s="10">
        <f>'I&amp;E Annual'!AB$147</f>
        <v>0</v>
      </c>
      <c r="AC153" s="10">
        <f>'I&amp;E Annual'!AC$147</f>
        <v>0</v>
      </c>
      <c r="AD153" s="10">
        <f>'I&amp;E Annual'!AD$147</f>
        <v>0</v>
      </c>
      <c r="AE153" s="10">
        <f>'I&amp;E Annual'!AE$147</f>
        <v>0</v>
      </c>
      <c r="AF153" s="10">
        <f>'I&amp;E Annual'!AF$147</f>
        <v>0</v>
      </c>
      <c r="AG153" s="10">
        <f>'I&amp;E Annual'!AG$147</f>
        <v>0</v>
      </c>
      <c r="AH153" s="10">
        <f>'I&amp;E Annual'!AH$147</f>
        <v>0</v>
      </c>
      <c r="AI153" s="10">
        <f>'I&amp;E Annual'!AI$147</f>
        <v>0</v>
      </c>
      <c r="AJ153" s="10">
        <f>'I&amp;E Annual'!AJ$147</f>
        <v>0</v>
      </c>
      <c r="AK153" s="10">
        <f>'I&amp;E Annual'!AK$147</f>
        <v>0</v>
      </c>
      <c r="AL153" s="10">
        <f>'I&amp;E Annual'!AL$147</f>
        <v>0</v>
      </c>
      <c r="AM153" s="10">
        <f>'I&amp;E Annual'!AM$147</f>
        <v>0</v>
      </c>
      <c r="AN153" s="10">
        <f>'I&amp;E Annual'!AN$147</f>
        <v>0</v>
      </c>
      <c r="AO153" s="10">
        <f>'I&amp;E Annual'!AO$147</f>
        <v>0</v>
      </c>
      <c r="AP153" s="10">
        <f>'I&amp;E Annual'!AP$147</f>
        <v>0</v>
      </c>
      <c r="AQ153" s="10">
        <f>'I&amp;E Annual'!AQ$147</f>
        <v>0</v>
      </c>
      <c r="AR153" s="10">
        <f>'I&amp;E Annual'!AR$147</f>
        <v>0</v>
      </c>
      <c r="AS153" s="10">
        <f>'I&amp;E Annual'!AS$147</f>
        <v>0</v>
      </c>
      <c r="AT153" s="10">
        <f>'I&amp;E Annual'!AT$147</f>
        <v>0</v>
      </c>
      <c r="AU153" s="10">
        <f>'I&amp;E Annual'!AU$147</f>
        <v>0</v>
      </c>
      <c r="AV153" s="10">
        <f>'I&amp;E Annual'!AV$147</f>
        <v>0</v>
      </c>
      <c r="AW153" s="10">
        <f>'I&amp;E Annual'!AW$147</f>
        <v>0</v>
      </c>
      <c r="AX153" s="10">
        <f>'I&amp;E Annual'!AX$147</f>
        <v>0</v>
      </c>
      <c r="AY153" s="10">
        <f>'I&amp;E Annual'!AY$147</f>
        <v>0</v>
      </c>
      <c r="AZ153" s="10">
        <f>'I&amp;E Annual'!AZ$147</f>
        <v>0</v>
      </c>
      <c r="BA153" s="10">
        <f>'I&amp;E Annual'!BA$147</f>
        <v>0</v>
      </c>
      <c r="BB153" s="10">
        <f>'I&amp;E Annual'!BB$147</f>
        <v>0</v>
      </c>
      <c r="BC153" s="10">
        <f>'I&amp;E Annual'!BC$147</f>
        <v>0</v>
      </c>
      <c r="BD153" s="10">
        <f>'I&amp;E Annual'!BD$147</f>
        <v>0</v>
      </c>
      <c r="BE153" s="10">
        <f>'I&amp;E Annual'!BE$147</f>
        <v>0</v>
      </c>
      <c r="BF153" s="10">
        <f>'I&amp;E Annual'!BF$147</f>
        <v>0</v>
      </c>
      <c r="BG153" s="10">
        <f>'I&amp;E Annual'!BG$147</f>
        <v>0</v>
      </c>
      <c r="BH153" s="10">
        <f>'I&amp;E Annual'!BH$147</f>
        <v>0</v>
      </c>
      <c r="BI153" s="10">
        <f>'I&amp;E Annual'!BI$147</f>
        <v>0</v>
      </c>
      <c r="BJ153" s="10">
        <f>'I&amp;E Annual'!BJ$147</f>
        <v>0</v>
      </c>
      <c r="BK153" s="157"/>
      <c r="BL153" s="10">
        <f>'I&amp;E Annual'!BL$147</f>
        <v>0</v>
      </c>
      <c r="BM153" s="10">
        <f>'I&amp;E Annual'!BM$147</f>
        <v>0</v>
      </c>
      <c r="BN153" s="10">
        <f>'I&amp;E Annual'!BN$147</f>
        <v>0</v>
      </c>
      <c r="BO153" s="10">
        <f>'I&amp;E Annual'!BO$147</f>
        <v>0</v>
      </c>
      <c r="BP153" s="10">
        <f>'I&amp;E Annual'!BP$147</f>
        <v>0</v>
      </c>
      <c r="BQ153" s="10">
        <f>'I&amp;E Annual'!BQ$147</f>
        <v>0</v>
      </c>
      <c r="BR153" s="10">
        <f>'I&amp;E Annual'!BR$147</f>
        <v>0</v>
      </c>
      <c r="BS153" s="10">
        <f>'I&amp;E Annual'!BS$147</f>
        <v>0</v>
      </c>
      <c r="BT153" s="10">
        <f>'I&amp;E Annual'!BT$147</f>
        <v>0</v>
      </c>
      <c r="BU153" s="10">
        <f>'I&amp;E Annual'!BU$147</f>
        <v>0</v>
      </c>
      <c r="BV153" s="10">
        <f>'I&amp;E Annual'!BV$147</f>
        <v>0</v>
      </c>
      <c r="BW153" s="10">
        <f>'I&amp;E Annual'!BW$147</f>
        <v>0</v>
      </c>
      <c r="BX153" s="157"/>
      <c r="BY153" s="12"/>
      <c r="CC153" s="126">
        <f t="shared" si="140"/>
        <v>0</v>
      </c>
      <c r="CD153" s="126">
        <f t="shared" si="141"/>
        <v>0</v>
      </c>
      <c r="CE153" s="126">
        <f t="shared" si="142"/>
        <v>0</v>
      </c>
      <c r="CF153" s="42"/>
      <c r="CG153" s="352">
        <f t="shared" si="143"/>
        <v>0</v>
      </c>
      <c r="CH153" s="352">
        <f t="shared" si="144"/>
        <v>0</v>
      </c>
      <c r="CI153" s="352">
        <f t="shared" si="145"/>
        <v>0</v>
      </c>
      <c r="CJ153" s="352">
        <f t="shared" si="146"/>
        <v>0</v>
      </c>
      <c r="CK153" s="352">
        <f t="shared" si="146"/>
        <v>0</v>
      </c>
      <c r="CL153" s="352">
        <f t="shared" si="146"/>
        <v>0</v>
      </c>
      <c r="CM153" s="352">
        <f t="shared" si="147"/>
        <v>0</v>
      </c>
      <c r="EX153" s="10" t="str">
        <f t="shared" si="135"/>
        <v>Other Provisions adjustment</v>
      </c>
    </row>
    <row r="154" spans="1:154" x14ac:dyDescent="0.25">
      <c r="A154" s="157"/>
      <c r="B154" s="157"/>
      <c r="C154" s="343" t="s">
        <v>1473</v>
      </c>
      <c r="D154" s="554" t="s">
        <v>568</v>
      </c>
      <c r="E154" s="182"/>
      <c r="F154" s="180"/>
      <c r="G154" s="180"/>
      <c r="H154" s="180"/>
      <c r="I154" s="157"/>
      <c r="J154" s="157"/>
      <c r="K154" s="157"/>
      <c r="L154" s="157"/>
      <c r="M154" s="157"/>
      <c r="N154" s="157"/>
      <c r="O154" s="157"/>
      <c r="P154" s="157"/>
      <c r="Q154" s="157"/>
      <c r="R154" s="157"/>
      <c r="S154" s="157"/>
      <c r="T154" s="157"/>
      <c r="U154" s="157"/>
      <c r="V154" s="13">
        <f>SUM(V147:V153)*V$9</f>
        <v>0</v>
      </c>
      <c r="W154" s="13">
        <f t="shared" ref="W154:BW154" si="149">SUM(W147:W153)*W$9</f>
        <v>1447</v>
      </c>
      <c r="X154" s="13">
        <f t="shared" si="149"/>
        <v>1479</v>
      </c>
      <c r="Y154" s="13">
        <f t="shared" si="149"/>
        <v>1499</v>
      </c>
      <c r="Z154" s="157"/>
      <c r="AA154" s="13">
        <f t="shared" si="149"/>
        <v>120</v>
      </c>
      <c r="AB154" s="13">
        <f t="shared" si="149"/>
        <v>113</v>
      </c>
      <c r="AC154" s="13">
        <f t="shared" si="149"/>
        <v>114</v>
      </c>
      <c r="AD154" s="13">
        <f t="shared" si="149"/>
        <v>116</v>
      </c>
      <c r="AE154" s="13">
        <f t="shared" si="149"/>
        <v>117</v>
      </c>
      <c r="AF154" s="13">
        <f t="shared" si="149"/>
        <v>116</v>
      </c>
      <c r="AG154" s="13">
        <f t="shared" si="149"/>
        <v>117</v>
      </c>
      <c r="AH154" s="13">
        <f t="shared" si="149"/>
        <v>110</v>
      </c>
      <c r="AI154" s="13">
        <f t="shared" si="149"/>
        <v>112</v>
      </c>
      <c r="AJ154" s="13">
        <f t="shared" si="149"/>
        <v>110</v>
      </c>
      <c r="AK154" s="13">
        <f t="shared" si="149"/>
        <v>151</v>
      </c>
      <c r="AL154" s="13">
        <f t="shared" si="149"/>
        <v>151</v>
      </c>
      <c r="AM154" s="13">
        <f t="shared" si="149"/>
        <v>120</v>
      </c>
      <c r="AN154" s="13">
        <f t="shared" si="149"/>
        <v>115</v>
      </c>
      <c r="AO154" s="13">
        <f t="shared" si="149"/>
        <v>116</v>
      </c>
      <c r="AP154" s="13">
        <f t="shared" si="149"/>
        <v>118</v>
      </c>
      <c r="AQ154" s="13">
        <f t="shared" si="149"/>
        <v>119</v>
      </c>
      <c r="AR154" s="13">
        <f t="shared" si="149"/>
        <v>119</v>
      </c>
      <c r="AS154" s="13">
        <f t="shared" si="149"/>
        <v>120</v>
      </c>
      <c r="AT154" s="13">
        <f t="shared" si="149"/>
        <v>113</v>
      </c>
      <c r="AU154" s="13">
        <f t="shared" si="149"/>
        <v>115</v>
      </c>
      <c r="AV154" s="13">
        <f t="shared" si="149"/>
        <v>114</v>
      </c>
      <c r="AW154" s="13">
        <f t="shared" si="149"/>
        <v>155</v>
      </c>
      <c r="AX154" s="13">
        <f t="shared" si="149"/>
        <v>155</v>
      </c>
      <c r="AY154" s="13">
        <f t="shared" si="149"/>
        <v>124</v>
      </c>
      <c r="AZ154" s="13">
        <f t="shared" si="149"/>
        <v>117</v>
      </c>
      <c r="BA154" s="13">
        <f t="shared" si="149"/>
        <v>118</v>
      </c>
      <c r="BB154" s="13">
        <f t="shared" si="149"/>
        <v>120</v>
      </c>
      <c r="BC154" s="13">
        <f t="shared" si="149"/>
        <v>121</v>
      </c>
      <c r="BD154" s="13">
        <f t="shared" si="149"/>
        <v>120</v>
      </c>
      <c r="BE154" s="13">
        <f t="shared" si="149"/>
        <v>121</v>
      </c>
      <c r="BF154" s="13">
        <f t="shared" si="149"/>
        <v>114</v>
      </c>
      <c r="BG154" s="13">
        <f t="shared" si="149"/>
        <v>117</v>
      </c>
      <c r="BH154" s="13">
        <f t="shared" si="149"/>
        <v>115</v>
      </c>
      <c r="BI154" s="13">
        <f t="shared" si="149"/>
        <v>156</v>
      </c>
      <c r="BJ154" s="13">
        <f t="shared" si="149"/>
        <v>156</v>
      </c>
      <c r="BK154" s="157"/>
      <c r="BL154" s="13">
        <f t="shared" si="149"/>
        <v>0</v>
      </c>
      <c r="BM154" s="13">
        <f t="shared" si="149"/>
        <v>1447</v>
      </c>
      <c r="BN154" s="13">
        <f t="shared" si="149"/>
        <v>1479</v>
      </c>
      <c r="BO154" s="13">
        <f t="shared" si="149"/>
        <v>1499</v>
      </c>
      <c r="BP154" s="13">
        <f t="shared" si="149"/>
        <v>0</v>
      </c>
      <c r="BQ154" s="13">
        <f t="shared" si="149"/>
        <v>0</v>
      </c>
      <c r="BR154" s="13">
        <f t="shared" si="149"/>
        <v>0</v>
      </c>
      <c r="BS154" s="13">
        <f t="shared" si="149"/>
        <v>0</v>
      </c>
      <c r="BT154" s="13">
        <f t="shared" si="149"/>
        <v>0</v>
      </c>
      <c r="BU154" s="13">
        <f t="shared" si="149"/>
        <v>0</v>
      </c>
      <c r="BV154" s="13">
        <f t="shared" si="149"/>
        <v>0</v>
      </c>
      <c r="BW154" s="13">
        <f t="shared" si="149"/>
        <v>0</v>
      </c>
      <c r="BX154" s="157"/>
      <c r="BY154" s="12"/>
      <c r="CC154" s="162"/>
      <c r="CD154" s="162"/>
      <c r="CE154" s="162"/>
      <c r="CF154" s="42"/>
      <c r="CI154" s="332"/>
      <c r="EX154" s="10" t="str">
        <f t="shared" si="135"/>
        <v>Total non-cash adjustments</v>
      </c>
    </row>
    <row r="155" spans="1:154" ht="8.1" customHeight="1" x14ac:dyDescent="0.25">
      <c r="A155" s="157"/>
      <c r="B155" s="157"/>
      <c r="C155" s="343"/>
      <c r="D155" s="556"/>
      <c r="E155" s="180"/>
      <c r="F155" s="180"/>
      <c r="G155" s="180"/>
      <c r="H155" s="180"/>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42"/>
      <c r="CC155" s="162"/>
      <c r="CD155" s="162"/>
      <c r="CE155" s="162"/>
      <c r="CF155" s="42"/>
      <c r="CI155" s="332"/>
      <c r="EX155" s="10" t="str">
        <f t="shared" si="135"/>
        <v/>
      </c>
    </row>
    <row r="156" spans="1:154" ht="22.5" x14ac:dyDescent="0.25">
      <c r="A156" s="157"/>
      <c r="B156" s="175"/>
      <c r="C156" s="343"/>
      <c r="D156" s="554" t="s">
        <v>569</v>
      </c>
      <c r="E156" s="481" t="s">
        <v>606</v>
      </c>
      <c r="F156" s="180"/>
      <c r="G156" s="162"/>
      <c r="H156" s="162"/>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2"/>
      <c r="CC156" s="162"/>
      <c r="CD156" s="162"/>
      <c r="CE156" s="162"/>
      <c r="CF156" s="42"/>
      <c r="CI156" s="332"/>
      <c r="EX156" s="10" t="str">
        <f t="shared" si="135"/>
        <v/>
      </c>
    </row>
    <row r="157" spans="1:154" x14ac:dyDescent="0.25">
      <c r="A157" s="362" cm="1">
        <f t="array" aca="1" ref="A157" ca="1">HYPERLINK(CONCATENATE("#",CELL("address",IF(SUM($BY157:$CF157)=0,A157,INDEX($BY157:$CF157,MATCH(1,$BY157:$CF157,0))))),SUM($BY157:$CF157))</f>
        <v>0</v>
      </c>
      <c r="B157" s="157"/>
      <c r="C157" s="343" t="s">
        <v>1725</v>
      </c>
      <c r="D157" s="556" t="s">
        <v>570</v>
      </c>
      <c r="E157" s="181" t="str" cm="1">
        <f t="array" aca="1" ref="E157" ca="1">HYPERLINK(CONCATENATE("#",CELL("address",'BS Forecasts'!$D$56)),'BS Forecasts'!$D$54)</f>
        <v>Stock</v>
      </c>
      <c r="F157" s="180"/>
      <c r="G157" s="162"/>
      <c r="H157" s="162"/>
      <c r="I157" s="157"/>
      <c r="J157" s="157"/>
      <c r="K157" s="157"/>
      <c r="L157" s="157"/>
      <c r="M157" s="157"/>
      <c r="N157" s="157"/>
      <c r="O157" s="157"/>
      <c r="P157" s="157"/>
      <c r="Q157" s="157"/>
      <c r="R157" s="157"/>
      <c r="S157" s="157"/>
      <c r="T157" s="157"/>
      <c r="U157" s="157"/>
      <c r="V157" s="13">
        <f>0-('Opening Balances'!W22-'Opening Balances'!V22)*'Opening Balances'!$V$81</f>
        <v>0</v>
      </c>
      <c r="W157" s="121">
        <f>0-(W$77-V$77)</f>
        <v>8</v>
      </c>
      <c r="X157" s="121">
        <f>0-(X$77-W$77)</f>
        <v>-4</v>
      </c>
      <c r="Y157" s="121">
        <f>0-(Y$77-X$77)</f>
        <v>0</v>
      </c>
      <c r="Z157" s="157"/>
      <c r="AA157" s="13">
        <f>0-(AA$77-V$77)</f>
        <v>8</v>
      </c>
      <c r="AB157" s="121">
        <f>0-(AB$77-AA$77)</f>
        <v>0</v>
      </c>
      <c r="AC157" s="121">
        <f>0-(AC$77-AB$77)</f>
        <v>0</v>
      </c>
      <c r="AD157" s="121">
        <f t="shared" ref="AD157:BJ157" si="150">0-(AD$77-AC$77)</f>
        <v>0</v>
      </c>
      <c r="AE157" s="121">
        <f>0-(AE$77-AD$77)</f>
        <v>0</v>
      </c>
      <c r="AF157" s="121">
        <f t="shared" si="150"/>
        <v>0</v>
      </c>
      <c r="AG157" s="121">
        <f t="shared" si="150"/>
        <v>0</v>
      </c>
      <c r="AH157" s="121">
        <f t="shared" si="150"/>
        <v>0</v>
      </c>
      <c r="AI157" s="121">
        <f t="shared" si="150"/>
        <v>0</v>
      </c>
      <c r="AJ157" s="121">
        <f t="shared" si="150"/>
        <v>0</v>
      </c>
      <c r="AK157" s="121">
        <f t="shared" si="150"/>
        <v>0</v>
      </c>
      <c r="AL157" s="121">
        <f t="shared" si="150"/>
        <v>0</v>
      </c>
      <c r="AM157" s="121">
        <f t="shared" si="150"/>
        <v>0</v>
      </c>
      <c r="AN157" s="121">
        <f t="shared" si="150"/>
        <v>-4</v>
      </c>
      <c r="AO157" s="121">
        <f t="shared" si="150"/>
        <v>0</v>
      </c>
      <c r="AP157" s="121">
        <f t="shared" si="150"/>
        <v>0</v>
      </c>
      <c r="AQ157" s="121">
        <f t="shared" si="150"/>
        <v>0</v>
      </c>
      <c r="AR157" s="121">
        <f t="shared" si="150"/>
        <v>0</v>
      </c>
      <c r="AS157" s="121">
        <f t="shared" si="150"/>
        <v>0</v>
      </c>
      <c r="AT157" s="121">
        <f t="shared" si="150"/>
        <v>0</v>
      </c>
      <c r="AU157" s="121">
        <f t="shared" si="150"/>
        <v>0</v>
      </c>
      <c r="AV157" s="121">
        <f t="shared" si="150"/>
        <v>0</v>
      </c>
      <c r="AW157" s="121">
        <f t="shared" si="150"/>
        <v>0</v>
      </c>
      <c r="AX157" s="121">
        <f t="shared" si="150"/>
        <v>0</v>
      </c>
      <c r="AY157" s="121">
        <f t="shared" si="150"/>
        <v>0</v>
      </c>
      <c r="AZ157" s="121">
        <f t="shared" si="150"/>
        <v>0</v>
      </c>
      <c r="BA157" s="121">
        <f t="shared" si="150"/>
        <v>0</v>
      </c>
      <c r="BB157" s="121">
        <f t="shared" si="150"/>
        <v>0</v>
      </c>
      <c r="BC157" s="121">
        <f t="shared" si="150"/>
        <v>0</v>
      </c>
      <c r="BD157" s="121">
        <f t="shared" si="150"/>
        <v>0</v>
      </c>
      <c r="BE157" s="121">
        <f t="shared" si="150"/>
        <v>0</v>
      </c>
      <c r="BF157" s="121">
        <f t="shared" si="150"/>
        <v>0</v>
      </c>
      <c r="BG157" s="121">
        <f t="shared" si="150"/>
        <v>0</v>
      </c>
      <c r="BH157" s="121">
        <f t="shared" si="150"/>
        <v>0</v>
      </c>
      <c r="BI157" s="121">
        <f t="shared" si="150"/>
        <v>0</v>
      </c>
      <c r="BJ157" s="121">
        <f t="shared" si="150"/>
        <v>0</v>
      </c>
      <c r="BK157" s="157"/>
      <c r="BL157" s="13">
        <f t="shared" ref="BL157:BL170" si="151">V157</f>
        <v>0</v>
      </c>
      <c r="BM157" s="121">
        <f>0-(BM$77-BL$77)</f>
        <v>8</v>
      </c>
      <c r="BN157" s="121">
        <f t="shared" ref="BN157:BW157" si="152">0-(BN$77-BM$77)</f>
        <v>-4</v>
      </c>
      <c r="BO157" s="121">
        <f t="shared" si="152"/>
        <v>0</v>
      </c>
      <c r="BP157" s="121">
        <f t="shared" si="152"/>
        <v>30</v>
      </c>
      <c r="BQ157" s="121">
        <f t="shared" si="152"/>
        <v>0</v>
      </c>
      <c r="BR157" s="121">
        <f t="shared" si="152"/>
        <v>0</v>
      </c>
      <c r="BS157" s="121">
        <f t="shared" si="152"/>
        <v>0</v>
      </c>
      <c r="BT157" s="121">
        <f t="shared" si="152"/>
        <v>0</v>
      </c>
      <c r="BU157" s="121">
        <f t="shared" si="152"/>
        <v>0</v>
      </c>
      <c r="BV157" s="121">
        <f t="shared" si="152"/>
        <v>0</v>
      </c>
      <c r="BW157" s="121">
        <f t="shared" si="152"/>
        <v>0</v>
      </c>
      <c r="BX157" s="157"/>
      <c r="BY157" s="12"/>
      <c r="CC157" s="126">
        <f t="shared" ref="CC157:CC172" si="153">IF(SUM($CG157:$CI157)=0, 0, 1)</f>
        <v>0</v>
      </c>
      <c r="CD157" s="126">
        <f t="shared" ref="CD157:CD172" si="154">IF(SUM($CJ157:$CL157)=0, 0, 1)</f>
        <v>0</v>
      </c>
      <c r="CE157" s="126">
        <f t="shared" ref="CE157:CE172" si="155">IF(CM157=0, 0, 1)</f>
        <v>0</v>
      </c>
      <c r="CF157" s="42"/>
      <c r="CG157" s="352">
        <f t="shared" ref="CG157:CG172" si="156">ROUND(W157-SUMIFS($AA157:$BJ157, $AA$3:$BJ$3, W$3), rounding)</f>
        <v>0</v>
      </c>
      <c r="CH157" s="352">
        <f t="shared" ref="CH157:CH172" si="157">ROUND($X157-SUMIFS($AA157:$BJ157, $AA$3:$BJ$3, X$3), rounding)</f>
        <v>0</v>
      </c>
      <c r="CI157" s="352">
        <f t="shared" ref="CI157:CI172" si="158">ROUND($Y157-SUMIFS($AA157:$BJ157, $AA$3:$BJ$3, Y$3), rounding)</f>
        <v>0</v>
      </c>
      <c r="CJ157" s="352">
        <f t="shared" ref="CJ157:CJ172" si="159">ROUND(W157-BM157, rounding)</f>
        <v>0</v>
      </c>
      <c r="CK157" s="352">
        <f t="shared" ref="CK157:CK172" si="160">ROUND(X157-BN157, rounding)</f>
        <v>0</v>
      </c>
      <c r="CL157" s="352">
        <f t="shared" ref="CL157:CL172" si="161">ROUND(Y157-BO157, rounding)</f>
        <v>0</v>
      </c>
      <c r="CM157" s="352">
        <f t="shared" ref="CM157:CM172" si="162">ROUND(V157-BL157, rounding)</f>
        <v>0</v>
      </c>
      <c r="EX157" s="10" t="str">
        <f t="shared" si="135"/>
        <v>(Increase)/decrease in stocks</v>
      </c>
    </row>
    <row r="158" spans="1:154" ht="22.5" x14ac:dyDescent="0.25">
      <c r="A158" s="362" cm="1">
        <f t="array" aca="1" ref="A158" ca="1">HYPERLINK(CONCATENATE("#",CELL("address",IF(SUM($BY158:$CF158)=0,A158,INDEX($BY158:$CF158,MATCH(1,$BY158:$CF158,0))))),SUM($BY158:$CF158))</f>
        <v>0</v>
      </c>
      <c r="B158" s="157"/>
      <c r="C158" s="343" t="s">
        <v>1728</v>
      </c>
      <c r="D158" s="556" t="s">
        <v>571</v>
      </c>
      <c r="E158" s="181" t="str" cm="1">
        <f t="array" aca="1" ref="E158" ca="1">HYPERLINK(CONCATENATE("#",CELL("address",'BS Forecasts'!$D$60)),'BS Forecasts'!$D$58)</f>
        <v>Trade Receivables</v>
      </c>
      <c r="F158" s="181" t="str" cm="1">
        <f t="array" aca="1" ref="F158" ca="1">HYPERLINK(CONCATENATE("#",CELL("address",'BS Forecasts'!$D$64)),'BS Forecasts'!$D$62)</f>
        <v>Other Receivables</v>
      </c>
      <c r="G158" s="181" t="str" cm="1">
        <f t="array" aca="1" ref="G158" ca="1">HYPERLINK(CONCATENATE("#",CELL("address",'BS Forecasts'!$D$70)),'BS Forecasts'!$D$66)</f>
        <v>Bad Debt Provision</v>
      </c>
      <c r="H158" s="162"/>
      <c r="I158" s="157"/>
      <c r="J158" s="157"/>
      <c r="K158" s="157"/>
      <c r="L158" s="157"/>
      <c r="M158" s="157"/>
      <c r="N158" s="157"/>
      <c r="O158" s="157"/>
      <c r="P158" s="157"/>
      <c r="Q158" s="157"/>
      <c r="R158" s="157"/>
      <c r="S158" s="157"/>
      <c r="T158" s="157"/>
      <c r="U158" s="157"/>
      <c r="V158" s="13">
        <f>(0 - ('Opening Balances'!W23-'Opening Balances'!V23) - ('Opening Balances'!W24-'Opening Balances'!V24))*'Opening Balances'!$V$81</f>
        <v>0</v>
      </c>
      <c r="W158" s="121">
        <f>0 - (SUM(W$78:W$80)-SUM(V$78:V$80))</f>
        <v>-811</v>
      </c>
      <c r="X158" s="121">
        <f t="shared" ref="X158:BJ158" si="163">0 - (SUM(X$78:X$80)-SUM(W$78:W$80))</f>
        <v>-25</v>
      </c>
      <c r="Y158" s="121">
        <f t="shared" si="163"/>
        <v>50</v>
      </c>
      <c r="Z158" s="157"/>
      <c r="AA158" s="13">
        <f>0 - (SUM(AA$78:AA$80)-SUM(V$78:V$80))</f>
        <v>-686</v>
      </c>
      <c r="AB158" s="121">
        <f t="shared" si="163"/>
        <v>-300</v>
      </c>
      <c r="AC158" s="121">
        <f t="shared" si="163"/>
        <v>0</v>
      </c>
      <c r="AD158" s="121">
        <f t="shared" si="163"/>
        <v>0</v>
      </c>
      <c r="AE158" s="121">
        <f t="shared" si="163"/>
        <v>100</v>
      </c>
      <c r="AF158" s="121">
        <f t="shared" si="163"/>
        <v>0</v>
      </c>
      <c r="AG158" s="121">
        <f t="shared" si="163"/>
        <v>0</v>
      </c>
      <c r="AH158" s="121">
        <f t="shared" si="163"/>
        <v>0</v>
      </c>
      <c r="AI158" s="121">
        <f t="shared" si="163"/>
        <v>0</v>
      </c>
      <c r="AJ158" s="121">
        <f t="shared" si="163"/>
        <v>0</v>
      </c>
      <c r="AK158" s="121">
        <f t="shared" si="163"/>
        <v>50</v>
      </c>
      <c r="AL158" s="121">
        <f t="shared" si="163"/>
        <v>25</v>
      </c>
      <c r="AM158" s="121">
        <f t="shared" si="163"/>
        <v>0</v>
      </c>
      <c r="AN158" s="121">
        <f t="shared" si="163"/>
        <v>-125</v>
      </c>
      <c r="AO158" s="121">
        <f t="shared" si="163"/>
        <v>0</v>
      </c>
      <c r="AP158" s="121">
        <f t="shared" si="163"/>
        <v>0</v>
      </c>
      <c r="AQ158" s="121">
        <f t="shared" si="163"/>
        <v>0</v>
      </c>
      <c r="AR158" s="121">
        <f t="shared" si="163"/>
        <v>0</v>
      </c>
      <c r="AS158" s="121">
        <f t="shared" si="163"/>
        <v>100</v>
      </c>
      <c r="AT158" s="121">
        <f t="shared" si="163"/>
        <v>0</v>
      </c>
      <c r="AU158" s="121">
        <f t="shared" si="163"/>
        <v>0</v>
      </c>
      <c r="AV158" s="121">
        <f t="shared" si="163"/>
        <v>0</v>
      </c>
      <c r="AW158" s="121">
        <f t="shared" si="163"/>
        <v>0</v>
      </c>
      <c r="AX158" s="121">
        <f t="shared" si="163"/>
        <v>0</v>
      </c>
      <c r="AY158" s="121">
        <f t="shared" si="163"/>
        <v>0</v>
      </c>
      <c r="AZ158" s="121">
        <f t="shared" si="163"/>
        <v>-100</v>
      </c>
      <c r="BA158" s="121">
        <f t="shared" si="163"/>
        <v>0</v>
      </c>
      <c r="BB158" s="121">
        <f t="shared" si="163"/>
        <v>0</v>
      </c>
      <c r="BC158" s="121">
        <f t="shared" si="163"/>
        <v>0</v>
      </c>
      <c r="BD158" s="121">
        <f t="shared" si="163"/>
        <v>50</v>
      </c>
      <c r="BE158" s="121">
        <f t="shared" si="163"/>
        <v>0</v>
      </c>
      <c r="BF158" s="121">
        <f t="shared" si="163"/>
        <v>0</v>
      </c>
      <c r="BG158" s="121">
        <f t="shared" si="163"/>
        <v>100</v>
      </c>
      <c r="BH158" s="121">
        <f t="shared" si="163"/>
        <v>0</v>
      </c>
      <c r="BI158" s="121">
        <f t="shared" si="163"/>
        <v>0</v>
      </c>
      <c r="BJ158" s="121">
        <f t="shared" si="163"/>
        <v>0</v>
      </c>
      <c r="BK158" s="157"/>
      <c r="BL158" s="13">
        <f t="shared" si="151"/>
        <v>0</v>
      </c>
      <c r="BM158" s="121">
        <f>0 - (SUM(BM$78:BM$80)-SUM(BL$78:BL$80))</f>
        <v>-811</v>
      </c>
      <c r="BN158" s="121">
        <f t="shared" ref="BN158:BW158" si="164">0 - (SUM(BN$78:BN$80)-SUM(BM$78:BM$80))</f>
        <v>-25</v>
      </c>
      <c r="BO158" s="121">
        <f t="shared" si="164"/>
        <v>50</v>
      </c>
      <c r="BP158" s="121">
        <f t="shared" si="164"/>
        <v>1100</v>
      </c>
      <c r="BQ158" s="121">
        <f t="shared" si="164"/>
        <v>0</v>
      </c>
      <c r="BR158" s="121">
        <f t="shared" si="164"/>
        <v>0</v>
      </c>
      <c r="BS158" s="121">
        <f t="shared" si="164"/>
        <v>0</v>
      </c>
      <c r="BT158" s="121">
        <f t="shared" si="164"/>
        <v>0</v>
      </c>
      <c r="BU158" s="121">
        <f t="shared" si="164"/>
        <v>0</v>
      </c>
      <c r="BV158" s="121">
        <f t="shared" si="164"/>
        <v>0</v>
      </c>
      <c r="BW158" s="121">
        <f t="shared" si="164"/>
        <v>0</v>
      </c>
      <c r="BX158" s="157"/>
      <c r="BY158" s="12"/>
      <c r="CC158" s="126">
        <f t="shared" si="153"/>
        <v>0</v>
      </c>
      <c r="CD158" s="126">
        <f t="shared" si="154"/>
        <v>0</v>
      </c>
      <c r="CE158" s="126">
        <f t="shared" si="155"/>
        <v>0</v>
      </c>
      <c r="CF158" s="42"/>
      <c r="CG158" s="352">
        <f t="shared" si="156"/>
        <v>0</v>
      </c>
      <c r="CH158" s="352">
        <f t="shared" si="157"/>
        <v>0</v>
      </c>
      <c r="CI158" s="352">
        <f t="shared" si="158"/>
        <v>0</v>
      </c>
      <c r="CJ158" s="352">
        <f t="shared" si="159"/>
        <v>0</v>
      </c>
      <c r="CK158" s="352">
        <f t="shared" si="160"/>
        <v>0</v>
      </c>
      <c r="CL158" s="352">
        <f t="shared" si="161"/>
        <v>0</v>
      </c>
      <c r="CM158" s="352">
        <f t="shared" si="162"/>
        <v>0</v>
      </c>
      <c r="EX158" s="10" t="str">
        <f t="shared" si="135"/>
        <v>(Increase)/decrease in debtors</v>
      </c>
    </row>
    <row r="159" spans="1:154" ht="33.75" x14ac:dyDescent="0.25">
      <c r="A159" s="362" cm="1">
        <f t="array" aca="1" ref="A159" ca="1">HYPERLINK(CONCATENATE("#",CELL("address",IF(SUM($BY159:$CF159)=0,A159,INDEX($BY159:$CF159,MATCH(1,$BY159:$CF159,0))))),SUM($BY159:$CF159))</f>
        <v>0</v>
      </c>
      <c r="B159" s="157"/>
      <c r="C159" s="343" t="s">
        <v>1729</v>
      </c>
      <c r="D159" s="556" t="s">
        <v>572</v>
      </c>
      <c r="E159" s="181" t="str" cm="1">
        <f t="array" aca="1" ref="E159" ca="1">HYPERLINK(CONCATENATE("#",CELL("address",'BS Forecasts'!$D$142)),'BS Forecasts'!$D$141)</f>
        <v>Trade Payables</v>
      </c>
      <c r="F159" s="181" t="str" cm="1">
        <f t="array" aca="1" ref="F159" ca="1">HYPERLINK(CONCATENATE("#",CELL("address",'BS Forecasts'!$D$145)),'BS Forecasts'!$D$144)</f>
        <v>Other Payments on Account</v>
      </c>
      <c r="G159" s="181" t="str" cm="1">
        <f t="array" aca="1" ref="G159" ca="1">HYPERLINK(CONCATENATE("#",CELL("address",'BS Forecasts'!$D$150)),'BS Forecasts'!$D$147)</f>
        <v>Other Liabilities</v>
      </c>
      <c r="H159" s="181" t="str" cm="1">
        <f t="array" aca="1" ref="H159" ca="1">HYPERLINK(CONCATENATE("#",CELL("address",'BS Forecasts'!$D$163)),'BS Forecasts'!$D$162)</f>
        <v>Deferred Income</v>
      </c>
      <c r="I159" s="157"/>
      <c r="J159" s="157"/>
      <c r="K159" s="157"/>
      <c r="L159" s="157"/>
      <c r="M159" s="157"/>
      <c r="N159" s="157"/>
      <c r="O159" s="157"/>
      <c r="P159" s="157"/>
      <c r="Q159" s="157"/>
      <c r="R159" s="157"/>
      <c r="S159" s="157"/>
      <c r="T159" s="157"/>
      <c r="U159" s="157"/>
      <c r="V159" s="13">
        <f>(('Opening Balances'!W42-'Opening Balances'!V42)+('Opening Balances'!W43-'Opening Balances'!V43)+('Opening Balances'!W44-'Opening Balances'!V44)+('Opening Balances'!W48-'Opening Balances'!V48))*'Opening Balances'!$V$81</f>
        <v>0</v>
      </c>
      <c r="W159" s="121">
        <f>(W$95-V$95)+(W$96-V$96)+(W$97-V$97)+(W$101-V$101)</f>
        <v>-191</v>
      </c>
      <c r="X159" s="121">
        <f>(X$95-W$95)+(X$96-W$96)+(X$97-W$97)+(X$101-W$101)</f>
        <v>100</v>
      </c>
      <c r="Y159" s="121">
        <f>(Y$95-X$95)+(Y$96-X$96)+(Y$97-X$97)+(Y$101-X$101)</f>
        <v>-50</v>
      </c>
      <c r="Z159" s="157"/>
      <c r="AA159" s="13">
        <f>(AA$95-V$95)+(AA$96-V$96)+(AA$97-V$97)+(AA$101-V$101)</f>
        <v>-191</v>
      </c>
      <c r="AB159" s="121">
        <f t="shared" ref="AB159:BJ159" si="165">(AB$95-AA$95)+(AB$96-AA$96)+(AB$97-AA$97)+(AB$101-AA$101)</f>
        <v>0</v>
      </c>
      <c r="AC159" s="121">
        <f t="shared" si="165"/>
        <v>0</v>
      </c>
      <c r="AD159" s="121">
        <f t="shared" si="165"/>
        <v>0</v>
      </c>
      <c r="AE159" s="121">
        <f t="shared" si="165"/>
        <v>0</v>
      </c>
      <c r="AF159" s="121">
        <f t="shared" si="165"/>
        <v>0</v>
      </c>
      <c r="AG159" s="121">
        <f t="shared" si="165"/>
        <v>0</v>
      </c>
      <c r="AH159" s="121">
        <f t="shared" si="165"/>
        <v>0</v>
      </c>
      <c r="AI159" s="121">
        <f t="shared" si="165"/>
        <v>0</v>
      </c>
      <c r="AJ159" s="121">
        <f t="shared" si="165"/>
        <v>0</v>
      </c>
      <c r="AK159" s="121">
        <f t="shared" si="165"/>
        <v>0</v>
      </c>
      <c r="AL159" s="121">
        <f t="shared" si="165"/>
        <v>0</v>
      </c>
      <c r="AM159" s="121">
        <f t="shared" si="165"/>
        <v>100</v>
      </c>
      <c r="AN159" s="121">
        <f t="shared" si="165"/>
        <v>0</v>
      </c>
      <c r="AO159" s="121">
        <f t="shared" si="165"/>
        <v>0</v>
      </c>
      <c r="AP159" s="121">
        <f t="shared" si="165"/>
        <v>0</v>
      </c>
      <c r="AQ159" s="121">
        <f t="shared" si="165"/>
        <v>0</v>
      </c>
      <c r="AR159" s="121">
        <f t="shared" si="165"/>
        <v>0</v>
      </c>
      <c r="AS159" s="121">
        <f t="shared" si="165"/>
        <v>0</v>
      </c>
      <c r="AT159" s="121">
        <f t="shared" si="165"/>
        <v>0</v>
      </c>
      <c r="AU159" s="121">
        <f t="shared" si="165"/>
        <v>0</v>
      </c>
      <c r="AV159" s="121">
        <f t="shared" si="165"/>
        <v>0</v>
      </c>
      <c r="AW159" s="121">
        <f t="shared" si="165"/>
        <v>0</v>
      </c>
      <c r="AX159" s="121">
        <f t="shared" si="165"/>
        <v>0</v>
      </c>
      <c r="AY159" s="121">
        <f t="shared" si="165"/>
        <v>-50</v>
      </c>
      <c r="AZ159" s="121">
        <f t="shared" si="165"/>
        <v>0</v>
      </c>
      <c r="BA159" s="121">
        <f t="shared" si="165"/>
        <v>0</v>
      </c>
      <c r="BB159" s="121">
        <f t="shared" si="165"/>
        <v>0</v>
      </c>
      <c r="BC159" s="121">
        <f t="shared" si="165"/>
        <v>0</v>
      </c>
      <c r="BD159" s="121">
        <f t="shared" si="165"/>
        <v>0</v>
      </c>
      <c r="BE159" s="121">
        <f t="shared" si="165"/>
        <v>0</v>
      </c>
      <c r="BF159" s="121">
        <f t="shared" si="165"/>
        <v>0</v>
      </c>
      <c r="BG159" s="121">
        <f t="shared" si="165"/>
        <v>0</v>
      </c>
      <c r="BH159" s="121">
        <f t="shared" si="165"/>
        <v>0</v>
      </c>
      <c r="BI159" s="121">
        <f t="shared" si="165"/>
        <v>0</v>
      </c>
      <c r="BJ159" s="121">
        <f t="shared" si="165"/>
        <v>0</v>
      </c>
      <c r="BK159" s="157"/>
      <c r="BL159" s="13">
        <f>V159</f>
        <v>0</v>
      </c>
      <c r="BM159" s="121">
        <f t="shared" ref="BM159:BW159" si="166">(BM$95-BL$95)+(BM$96-BL$96)+(BM$97-BL$97)+(BM$101-BL$101)</f>
        <v>-191</v>
      </c>
      <c r="BN159" s="121">
        <f t="shared" si="166"/>
        <v>100</v>
      </c>
      <c r="BO159" s="121">
        <f t="shared" si="166"/>
        <v>-50</v>
      </c>
      <c r="BP159" s="121">
        <f t="shared" si="166"/>
        <v>-850</v>
      </c>
      <c r="BQ159" s="121">
        <f t="shared" si="166"/>
        <v>0</v>
      </c>
      <c r="BR159" s="121">
        <f t="shared" si="166"/>
        <v>0</v>
      </c>
      <c r="BS159" s="121">
        <f t="shared" si="166"/>
        <v>0</v>
      </c>
      <c r="BT159" s="121">
        <f t="shared" si="166"/>
        <v>0</v>
      </c>
      <c r="BU159" s="121">
        <f t="shared" si="166"/>
        <v>0</v>
      </c>
      <c r="BV159" s="121">
        <f t="shared" si="166"/>
        <v>0</v>
      </c>
      <c r="BW159" s="121">
        <f t="shared" si="166"/>
        <v>0</v>
      </c>
      <c r="BX159" s="157"/>
      <c r="BY159" s="12"/>
      <c r="CC159" s="126">
        <f t="shared" si="153"/>
        <v>0</v>
      </c>
      <c r="CD159" s="126">
        <f t="shared" si="154"/>
        <v>0</v>
      </c>
      <c r="CE159" s="126">
        <f t="shared" si="155"/>
        <v>0</v>
      </c>
      <c r="CF159" s="42"/>
      <c r="CG159" s="352">
        <f t="shared" si="156"/>
        <v>0</v>
      </c>
      <c r="CH159" s="352">
        <f t="shared" si="157"/>
        <v>0</v>
      </c>
      <c r="CI159" s="352">
        <f t="shared" si="158"/>
        <v>0</v>
      </c>
      <c r="CJ159" s="352">
        <f t="shared" si="159"/>
        <v>0</v>
      </c>
      <c r="CK159" s="352">
        <f t="shared" si="160"/>
        <v>0</v>
      </c>
      <c r="CL159" s="352">
        <f t="shared" si="161"/>
        <v>0</v>
      </c>
      <c r="CM159" s="352">
        <f t="shared" si="162"/>
        <v>0</v>
      </c>
      <c r="EX159" s="10" t="str">
        <f>IF($C159="","",$D159)</f>
        <v>Increase/(decrease) in creditors due within one year</v>
      </c>
    </row>
    <row r="160" spans="1:154" s="335" customFormat="1" ht="45" x14ac:dyDescent="0.25">
      <c r="A160" s="362" cm="1">
        <f t="array" aca="1" ref="A160" ca="1">HYPERLINK(CONCATENATE("#",CELL("address",IF(SUM($BY160:$CF160)=0,A160,INDEX($BY160:$CF160,MATCH(1,$BY160:$CF160,0))))),SUM($BY160:$CF160))</f>
        <v>0</v>
      </c>
      <c r="B160" s="157"/>
      <c r="C160" s="343" t="s">
        <v>1726</v>
      </c>
      <c r="D160" s="556" t="s">
        <v>942</v>
      </c>
      <c r="E160" s="181" t="str" cm="1">
        <f t="array" aca="1" ref="E160" ca="1">HYPERLINK(CONCATENATE("#",CELL("address",'BS Forecasts'!$D$47)),'BS Forecasts'!$D$46)</f>
        <v>Debtors falling due after one year</v>
      </c>
      <c r="F160" s="162"/>
      <c r="G160" s="162"/>
      <c r="H160" s="162"/>
      <c r="I160" s="157"/>
      <c r="J160" s="157"/>
      <c r="K160" s="157"/>
      <c r="L160" s="157"/>
      <c r="M160" s="157"/>
      <c r="N160" s="157"/>
      <c r="O160" s="157"/>
      <c r="P160" s="157"/>
      <c r="Q160" s="157"/>
      <c r="R160" s="157"/>
      <c r="S160" s="157"/>
      <c r="T160" s="157"/>
      <c r="U160" s="157"/>
      <c r="V160" s="13">
        <f>(0 - ('Opening Balances'!W16-'Opening Balances'!V16))*'Opening Balances'!$V$81</f>
        <v>0</v>
      </c>
      <c r="W160" s="121">
        <f>0 - (W$72-V$72)</f>
        <v>0</v>
      </c>
      <c r="X160" s="121">
        <f t="shared" ref="X160:BJ160" si="167">0 - (X$72-W$72)</f>
        <v>0</v>
      </c>
      <c r="Y160" s="121">
        <f t="shared" si="167"/>
        <v>0</v>
      </c>
      <c r="Z160" s="157"/>
      <c r="AA160" s="13">
        <f>0 - (AA$72-V$72)</f>
        <v>0</v>
      </c>
      <c r="AB160" s="121">
        <f t="shared" si="167"/>
        <v>0</v>
      </c>
      <c r="AC160" s="121">
        <f t="shared" si="167"/>
        <v>0</v>
      </c>
      <c r="AD160" s="121">
        <f t="shared" si="167"/>
        <v>0</v>
      </c>
      <c r="AE160" s="121">
        <f t="shared" si="167"/>
        <v>0</v>
      </c>
      <c r="AF160" s="121">
        <f t="shared" si="167"/>
        <v>0</v>
      </c>
      <c r="AG160" s="121">
        <f t="shared" si="167"/>
        <v>0</v>
      </c>
      <c r="AH160" s="121">
        <f t="shared" si="167"/>
        <v>0</v>
      </c>
      <c r="AI160" s="121">
        <f t="shared" si="167"/>
        <v>0</v>
      </c>
      <c r="AJ160" s="121">
        <f t="shared" si="167"/>
        <v>0</v>
      </c>
      <c r="AK160" s="121">
        <f t="shared" si="167"/>
        <v>0</v>
      </c>
      <c r="AL160" s="121">
        <f t="shared" si="167"/>
        <v>0</v>
      </c>
      <c r="AM160" s="121">
        <f t="shared" si="167"/>
        <v>0</v>
      </c>
      <c r="AN160" s="121">
        <f t="shared" si="167"/>
        <v>0</v>
      </c>
      <c r="AO160" s="121">
        <f t="shared" si="167"/>
        <v>0</v>
      </c>
      <c r="AP160" s="121">
        <f t="shared" si="167"/>
        <v>0</v>
      </c>
      <c r="AQ160" s="121">
        <f t="shared" si="167"/>
        <v>0</v>
      </c>
      <c r="AR160" s="121">
        <f t="shared" si="167"/>
        <v>0</v>
      </c>
      <c r="AS160" s="121">
        <f t="shared" si="167"/>
        <v>0</v>
      </c>
      <c r="AT160" s="121">
        <f t="shared" si="167"/>
        <v>0</v>
      </c>
      <c r="AU160" s="121">
        <f t="shared" si="167"/>
        <v>0</v>
      </c>
      <c r="AV160" s="121">
        <f t="shared" si="167"/>
        <v>0</v>
      </c>
      <c r="AW160" s="121">
        <f t="shared" si="167"/>
        <v>0</v>
      </c>
      <c r="AX160" s="121">
        <f t="shared" si="167"/>
        <v>0</v>
      </c>
      <c r="AY160" s="121">
        <f t="shared" si="167"/>
        <v>0</v>
      </c>
      <c r="AZ160" s="121">
        <f t="shared" si="167"/>
        <v>0</v>
      </c>
      <c r="BA160" s="121">
        <f t="shared" si="167"/>
        <v>0</v>
      </c>
      <c r="BB160" s="121">
        <f t="shared" si="167"/>
        <v>0</v>
      </c>
      <c r="BC160" s="121">
        <f t="shared" si="167"/>
        <v>0</v>
      </c>
      <c r="BD160" s="121">
        <f t="shared" si="167"/>
        <v>0</v>
      </c>
      <c r="BE160" s="121">
        <f t="shared" si="167"/>
        <v>0</v>
      </c>
      <c r="BF160" s="121">
        <f t="shared" si="167"/>
        <v>0</v>
      </c>
      <c r="BG160" s="121">
        <f t="shared" si="167"/>
        <v>0</v>
      </c>
      <c r="BH160" s="121">
        <f t="shared" si="167"/>
        <v>0</v>
      </c>
      <c r="BI160" s="121">
        <f t="shared" si="167"/>
        <v>0</v>
      </c>
      <c r="BJ160" s="121">
        <f t="shared" si="167"/>
        <v>0</v>
      </c>
      <c r="BK160" s="157"/>
      <c r="BL160" s="13">
        <f t="shared" si="151"/>
        <v>0</v>
      </c>
      <c r="BM160" s="121">
        <f t="shared" ref="BM160:BW160" si="168">0 - (BM$72-BL$72)</f>
        <v>0</v>
      </c>
      <c r="BN160" s="121">
        <f t="shared" si="168"/>
        <v>0</v>
      </c>
      <c r="BO160" s="121">
        <f t="shared" si="168"/>
        <v>0</v>
      </c>
      <c r="BP160" s="121">
        <f t="shared" si="168"/>
        <v>0</v>
      </c>
      <c r="BQ160" s="121">
        <f t="shared" si="168"/>
        <v>0</v>
      </c>
      <c r="BR160" s="121">
        <f t="shared" si="168"/>
        <v>0</v>
      </c>
      <c r="BS160" s="121">
        <f t="shared" si="168"/>
        <v>0</v>
      </c>
      <c r="BT160" s="121">
        <f t="shared" si="168"/>
        <v>0</v>
      </c>
      <c r="BU160" s="121">
        <f t="shared" si="168"/>
        <v>0</v>
      </c>
      <c r="BV160" s="121">
        <f t="shared" si="168"/>
        <v>0</v>
      </c>
      <c r="BW160" s="121">
        <f t="shared" si="168"/>
        <v>0</v>
      </c>
      <c r="BX160" s="157"/>
      <c r="BY160" s="12"/>
      <c r="CC160" s="126">
        <f t="shared" si="153"/>
        <v>0</v>
      </c>
      <c r="CD160" s="126">
        <f t="shared" si="154"/>
        <v>0</v>
      </c>
      <c r="CE160" s="126">
        <f t="shared" si="155"/>
        <v>0</v>
      </c>
      <c r="CF160" s="42"/>
      <c r="CG160" s="352">
        <f t="shared" si="156"/>
        <v>0</v>
      </c>
      <c r="CH160" s="352">
        <f t="shared" si="157"/>
        <v>0</v>
      </c>
      <c r="CI160" s="352">
        <f t="shared" si="158"/>
        <v>0</v>
      </c>
      <c r="CJ160" s="352">
        <f t="shared" si="159"/>
        <v>0</v>
      </c>
      <c r="CK160" s="352">
        <f t="shared" si="160"/>
        <v>0</v>
      </c>
      <c r="CL160" s="352">
        <f t="shared" si="161"/>
        <v>0</v>
      </c>
      <c r="CM160" s="352">
        <f t="shared" si="162"/>
        <v>0</v>
      </c>
      <c r="EX160" s="10" t="str">
        <f t="shared" si="135"/>
        <v>(Increase)/decrease in debtors due after one year</v>
      </c>
    </row>
    <row r="161" spans="1:154" s="335" customFormat="1" ht="22.5" x14ac:dyDescent="0.25">
      <c r="A161" s="362" cm="1">
        <f t="array" aca="1" ref="A161" ca="1">HYPERLINK(CONCATENATE("#",CELL("address",IF(SUM($BY161:$CF161)=0,A161,INDEX($BY161:$CF161,MATCH(1,$BY161:$CF161,0))))),SUM($BY161:$CF161))</f>
        <v>0</v>
      </c>
      <c r="B161" s="157"/>
      <c r="C161" s="343" t="s">
        <v>1727</v>
      </c>
      <c r="D161" s="556" t="s">
        <v>931</v>
      </c>
      <c r="E161" s="181" t="str" cm="1">
        <f t="array" aca="1" ref="E161" ca="1">HYPERLINK(CONCATENATE("#",CELL("address",'BS Forecasts'!$D$151)),'BS Forecasts'!$D$147)</f>
        <v>Other Liabilities</v>
      </c>
      <c r="F161" s="180"/>
      <c r="G161" s="180"/>
      <c r="H161" s="180"/>
      <c r="I161" s="157"/>
      <c r="J161" s="157"/>
      <c r="K161" s="157"/>
      <c r="L161" s="157"/>
      <c r="M161" s="157"/>
      <c r="N161" s="157"/>
      <c r="O161" s="157"/>
      <c r="P161" s="157"/>
      <c r="Q161" s="157"/>
      <c r="R161" s="157"/>
      <c r="S161" s="157"/>
      <c r="T161" s="157"/>
      <c r="U161" s="157"/>
      <c r="V161" s="13">
        <f>('Opening Balances'!W62-'Opening Balances'!V62)*'Opening Balances'!$V$81</f>
        <v>0</v>
      </c>
      <c r="W161" s="121">
        <f>W$119-V$119</f>
        <v>0</v>
      </c>
      <c r="X161" s="121">
        <f t="shared" ref="X161:Y161" si="169">X$119-W$119</f>
        <v>0</v>
      </c>
      <c r="Y161" s="121">
        <f t="shared" si="169"/>
        <v>0</v>
      </c>
      <c r="Z161" s="157"/>
      <c r="AA161" s="13">
        <f>AA$119-V$119</f>
        <v>0</v>
      </c>
      <c r="AB161" s="121">
        <f t="shared" ref="AB161:BJ161" si="170">AB$119-AA$119</f>
        <v>0</v>
      </c>
      <c r="AC161" s="121">
        <f t="shared" si="170"/>
        <v>0</v>
      </c>
      <c r="AD161" s="121">
        <f t="shared" si="170"/>
        <v>0</v>
      </c>
      <c r="AE161" s="121">
        <f t="shared" si="170"/>
        <v>0</v>
      </c>
      <c r="AF161" s="121">
        <f t="shared" si="170"/>
        <v>0</v>
      </c>
      <c r="AG161" s="121">
        <f t="shared" si="170"/>
        <v>0</v>
      </c>
      <c r="AH161" s="121">
        <f t="shared" si="170"/>
        <v>0</v>
      </c>
      <c r="AI161" s="121">
        <f t="shared" si="170"/>
        <v>0</v>
      </c>
      <c r="AJ161" s="121">
        <f t="shared" si="170"/>
        <v>0</v>
      </c>
      <c r="AK161" s="121">
        <f t="shared" si="170"/>
        <v>0</v>
      </c>
      <c r="AL161" s="121">
        <f t="shared" si="170"/>
        <v>0</v>
      </c>
      <c r="AM161" s="121">
        <f t="shared" si="170"/>
        <v>0</v>
      </c>
      <c r="AN161" s="121">
        <f t="shared" si="170"/>
        <v>0</v>
      </c>
      <c r="AO161" s="121">
        <f t="shared" si="170"/>
        <v>0</v>
      </c>
      <c r="AP161" s="121">
        <f t="shared" si="170"/>
        <v>0</v>
      </c>
      <c r="AQ161" s="121">
        <f t="shared" si="170"/>
        <v>0</v>
      </c>
      <c r="AR161" s="121">
        <f t="shared" si="170"/>
        <v>0</v>
      </c>
      <c r="AS161" s="121">
        <f t="shared" si="170"/>
        <v>0</v>
      </c>
      <c r="AT161" s="121">
        <f t="shared" si="170"/>
        <v>0</v>
      </c>
      <c r="AU161" s="121">
        <f t="shared" si="170"/>
        <v>0</v>
      </c>
      <c r="AV161" s="121">
        <f t="shared" si="170"/>
        <v>0</v>
      </c>
      <c r="AW161" s="121">
        <f t="shared" si="170"/>
        <v>0</v>
      </c>
      <c r="AX161" s="121">
        <f t="shared" si="170"/>
        <v>0</v>
      </c>
      <c r="AY161" s="121">
        <f t="shared" si="170"/>
        <v>0</v>
      </c>
      <c r="AZ161" s="121">
        <f t="shared" si="170"/>
        <v>0</v>
      </c>
      <c r="BA161" s="121">
        <f t="shared" si="170"/>
        <v>0</v>
      </c>
      <c r="BB161" s="121">
        <f t="shared" si="170"/>
        <v>0</v>
      </c>
      <c r="BC161" s="121">
        <f t="shared" si="170"/>
        <v>0</v>
      </c>
      <c r="BD161" s="121">
        <f t="shared" si="170"/>
        <v>0</v>
      </c>
      <c r="BE161" s="121">
        <f t="shared" si="170"/>
        <v>0</v>
      </c>
      <c r="BF161" s="121">
        <f t="shared" si="170"/>
        <v>0</v>
      </c>
      <c r="BG161" s="121">
        <f t="shared" si="170"/>
        <v>0</v>
      </c>
      <c r="BH161" s="121">
        <f t="shared" si="170"/>
        <v>0</v>
      </c>
      <c r="BI161" s="121">
        <f t="shared" si="170"/>
        <v>0</v>
      </c>
      <c r="BJ161" s="121">
        <f t="shared" si="170"/>
        <v>0</v>
      </c>
      <c r="BK161" s="157"/>
      <c r="BL161" s="13">
        <f>V161</f>
        <v>0</v>
      </c>
      <c r="BM161" s="121">
        <f t="shared" ref="BM161:BW161" si="171">BM$119-BL$119</f>
        <v>0</v>
      </c>
      <c r="BN161" s="121">
        <f t="shared" si="171"/>
        <v>0</v>
      </c>
      <c r="BO161" s="121">
        <f t="shared" si="171"/>
        <v>0</v>
      </c>
      <c r="BP161" s="121">
        <f t="shared" si="171"/>
        <v>-38</v>
      </c>
      <c r="BQ161" s="121">
        <f t="shared" si="171"/>
        <v>0</v>
      </c>
      <c r="BR161" s="121">
        <f t="shared" si="171"/>
        <v>0</v>
      </c>
      <c r="BS161" s="121">
        <f t="shared" si="171"/>
        <v>0</v>
      </c>
      <c r="BT161" s="121">
        <f t="shared" si="171"/>
        <v>0</v>
      </c>
      <c r="BU161" s="121">
        <f t="shared" si="171"/>
        <v>0</v>
      </c>
      <c r="BV161" s="121">
        <f t="shared" si="171"/>
        <v>0</v>
      </c>
      <c r="BW161" s="121">
        <f t="shared" si="171"/>
        <v>0</v>
      </c>
      <c r="BX161" s="157"/>
      <c r="BY161" s="12"/>
      <c r="CC161" s="126">
        <f t="shared" si="153"/>
        <v>0</v>
      </c>
      <c r="CD161" s="126">
        <f t="shared" si="154"/>
        <v>0</v>
      </c>
      <c r="CE161" s="126">
        <f t="shared" si="155"/>
        <v>0</v>
      </c>
      <c r="CF161" s="42"/>
      <c r="CG161" s="352">
        <f t="shared" si="156"/>
        <v>0</v>
      </c>
      <c r="CH161" s="352">
        <f t="shared" si="157"/>
        <v>0</v>
      </c>
      <c r="CI161" s="352">
        <f t="shared" si="158"/>
        <v>0</v>
      </c>
      <c r="CJ161" s="352">
        <f t="shared" si="159"/>
        <v>0</v>
      </c>
      <c r="CK161" s="352">
        <f t="shared" si="160"/>
        <v>0</v>
      </c>
      <c r="CL161" s="352">
        <f t="shared" si="161"/>
        <v>0</v>
      </c>
      <c r="CM161" s="352">
        <f t="shared" si="162"/>
        <v>0</v>
      </c>
      <c r="EX161" s="10" t="str">
        <f>IF($C161="","",$D161)</f>
        <v>Increase/(decrease) in creditors due after one year</v>
      </c>
    </row>
    <row r="162" spans="1:154" ht="22.5" x14ac:dyDescent="0.25">
      <c r="A162" s="362" cm="1">
        <f t="array" aca="1" ref="A162" ca="1">HYPERLINK(CONCATENATE("#",CELL("address",IF(SUM($BY162:$CF162)=0,A162,INDEX($BY162:$CF162,MATCH(1,$BY162:$CF162,0))))),SUM($BY162:$CF162))</f>
        <v>0</v>
      </c>
      <c r="B162" s="157"/>
      <c r="C162" s="343" t="s">
        <v>1730</v>
      </c>
      <c r="D162" s="557" t="s">
        <v>612</v>
      </c>
      <c r="E162" s="181" t="str" cm="1">
        <f t="array" aca="1" ref="E162" ca="1">HYPERLINK(CONCATENATE("#",CELL("address",'BS Forecasts'!$D$175)),'BS Forecasts'!$D$174)</f>
        <v>Corporation Tax</v>
      </c>
      <c r="F162" s="180"/>
      <c r="G162" s="162"/>
      <c r="H162" s="180"/>
      <c r="I162" s="157"/>
      <c r="J162" s="157"/>
      <c r="K162" s="157"/>
      <c r="L162" s="157"/>
      <c r="M162" s="157"/>
      <c r="N162" s="157"/>
      <c r="O162" s="157"/>
      <c r="P162" s="157"/>
      <c r="Q162" s="157"/>
      <c r="R162" s="157"/>
      <c r="S162" s="157"/>
      <c r="T162" s="157"/>
      <c r="U162" s="157"/>
      <c r="V162" s="13">
        <f>('Opening Balances'!W52-'Opening Balances'!V52)*'Opening Balances'!$V$81</f>
        <v>0</v>
      </c>
      <c r="W162" s="121">
        <f>(W$105-V$105)</f>
        <v>0</v>
      </c>
      <c r="X162" s="121">
        <f>(X$105-W$105)</f>
        <v>0</v>
      </c>
      <c r="Y162" s="121">
        <f>(Y$105-X$105)</f>
        <v>0</v>
      </c>
      <c r="Z162" s="157"/>
      <c r="AA162" s="13">
        <f>(AA$105-V$105)</f>
        <v>0</v>
      </c>
      <c r="AB162" s="121">
        <f t="shared" ref="AB162:BJ162" si="172">(AB$105-AA$105)</f>
        <v>0</v>
      </c>
      <c r="AC162" s="121">
        <f t="shared" si="172"/>
        <v>0</v>
      </c>
      <c r="AD162" s="121">
        <f t="shared" si="172"/>
        <v>0</v>
      </c>
      <c r="AE162" s="121">
        <f t="shared" si="172"/>
        <v>0</v>
      </c>
      <c r="AF162" s="121">
        <f t="shared" si="172"/>
        <v>0</v>
      </c>
      <c r="AG162" s="121">
        <f t="shared" si="172"/>
        <v>0</v>
      </c>
      <c r="AH162" s="121">
        <f t="shared" si="172"/>
        <v>0</v>
      </c>
      <c r="AI162" s="121">
        <f t="shared" si="172"/>
        <v>0</v>
      </c>
      <c r="AJ162" s="121">
        <f t="shared" si="172"/>
        <v>0</v>
      </c>
      <c r="AK162" s="121">
        <f t="shared" si="172"/>
        <v>0</v>
      </c>
      <c r="AL162" s="121">
        <f t="shared" si="172"/>
        <v>0</v>
      </c>
      <c r="AM162" s="121">
        <f t="shared" si="172"/>
        <v>0</v>
      </c>
      <c r="AN162" s="121">
        <f t="shared" si="172"/>
        <v>0</v>
      </c>
      <c r="AO162" s="121">
        <f t="shared" si="172"/>
        <v>0</v>
      </c>
      <c r="AP162" s="121">
        <f t="shared" si="172"/>
        <v>0</v>
      </c>
      <c r="AQ162" s="121">
        <f t="shared" si="172"/>
        <v>0</v>
      </c>
      <c r="AR162" s="121">
        <f t="shared" si="172"/>
        <v>0</v>
      </c>
      <c r="AS162" s="121">
        <f t="shared" si="172"/>
        <v>0</v>
      </c>
      <c r="AT162" s="121">
        <f t="shared" si="172"/>
        <v>0</v>
      </c>
      <c r="AU162" s="121">
        <f t="shared" si="172"/>
        <v>0</v>
      </c>
      <c r="AV162" s="121">
        <f t="shared" si="172"/>
        <v>0</v>
      </c>
      <c r="AW162" s="121">
        <f t="shared" si="172"/>
        <v>0</v>
      </c>
      <c r="AX162" s="121">
        <f t="shared" si="172"/>
        <v>0</v>
      </c>
      <c r="AY162" s="121">
        <f t="shared" si="172"/>
        <v>0</v>
      </c>
      <c r="AZ162" s="121">
        <f t="shared" si="172"/>
        <v>0</v>
      </c>
      <c r="BA162" s="121">
        <f t="shared" si="172"/>
        <v>0</v>
      </c>
      <c r="BB162" s="121">
        <f t="shared" si="172"/>
        <v>0</v>
      </c>
      <c r="BC162" s="121">
        <f t="shared" si="172"/>
        <v>0</v>
      </c>
      <c r="BD162" s="121">
        <f t="shared" si="172"/>
        <v>0</v>
      </c>
      <c r="BE162" s="121">
        <f t="shared" si="172"/>
        <v>0</v>
      </c>
      <c r="BF162" s="121">
        <f t="shared" si="172"/>
        <v>0</v>
      </c>
      <c r="BG162" s="121">
        <f t="shared" si="172"/>
        <v>0</v>
      </c>
      <c r="BH162" s="121">
        <f t="shared" si="172"/>
        <v>0</v>
      </c>
      <c r="BI162" s="121">
        <f t="shared" si="172"/>
        <v>0</v>
      </c>
      <c r="BJ162" s="121">
        <f t="shared" si="172"/>
        <v>0</v>
      </c>
      <c r="BK162" s="157"/>
      <c r="BL162" s="13">
        <f>V162</f>
        <v>0</v>
      </c>
      <c r="BM162" s="121">
        <f t="shared" ref="BM162:BW162" si="173">(BM$105-BL$105)</f>
        <v>0</v>
      </c>
      <c r="BN162" s="121">
        <f t="shared" si="173"/>
        <v>0</v>
      </c>
      <c r="BO162" s="121">
        <f t="shared" si="173"/>
        <v>0</v>
      </c>
      <c r="BP162" s="121">
        <f t="shared" si="173"/>
        <v>0</v>
      </c>
      <c r="BQ162" s="121">
        <f t="shared" si="173"/>
        <v>0</v>
      </c>
      <c r="BR162" s="121">
        <f t="shared" si="173"/>
        <v>0</v>
      </c>
      <c r="BS162" s="121">
        <f t="shared" si="173"/>
        <v>0</v>
      </c>
      <c r="BT162" s="121">
        <f t="shared" si="173"/>
        <v>0</v>
      </c>
      <c r="BU162" s="121">
        <f t="shared" si="173"/>
        <v>0</v>
      </c>
      <c r="BV162" s="121">
        <f t="shared" si="173"/>
        <v>0</v>
      </c>
      <c r="BW162" s="121">
        <f t="shared" si="173"/>
        <v>0</v>
      </c>
      <c r="BX162" s="157"/>
      <c r="BY162" s="12"/>
      <c r="CC162" s="126">
        <f t="shared" si="153"/>
        <v>0</v>
      </c>
      <c r="CD162" s="126">
        <f t="shared" si="154"/>
        <v>0</v>
      </c>
      <c r="CE162" s="126">
        <f t="shared" si="155"/>
        <v>0</v>
      </c>
      <c r="CF162" s="42"/>
      <c r="CG162" s="352">
        <f t="shared" si="156"/>
        <v>0</v>
      </c>
      <c r="CH162" s="352">
        <f t="shared" si="157"/>
        <v>0</v>
      </c>
      <c r="CI162" s="352">
        <f t="shared" si="158"/>
        <v>0</v>
      </c>
      <c r="CJ162" s="352">
        <f t="shared" si="159"/>
        <v>0</v>
      </c>
      <c r="CK162" s="352">
        <f t="shared" si="160"/>
        <v>0</v>
      </c>
      <c r="CL162" s="352">
        <f t="shared" si="161"/>
        <v>0</v>
      </c>
      <c r="CM162" s="352">
        <f t="shared" si="162"/>
        <v>0</v>
      </c>
      <c r="EX162" s="10" t="str">
        <f>IF($C162="","",$D162)</f>
        <v xml:space="preserve">Increase/(decrease) in corporation tax </v>
      </c>
    </row>
    <row r="163" spans="1:154" s="335" customFormat="1" ht="33.75" x14ac:dyDescent="0.25">
      <c r="A163" s="362" cm="1">
        <f t="array" aca="1" ref="A163" ca="1">HYPERLINK(CONCATENATE("#",CELL("address",IF(SUM($BY163:$CF163)=0,A163,INDEX($BY163:$CF163,MATCH(1,$BY163:$CF163,0))))),SUM($BY163:$CF163))</f>
        <v>0</v>
      </c>
      <c r="B163" s="157"/>
      <c r="C163" s="343" t="s">
        <v>1731</v>
      </c>
      <c r="D163" s="529" t="s">
        <v>958</v>
      </c>
      <c r="E163" s="181" t="str" cm="1">
        <f t="array" aca="1" ref="E163" ca="1">HYPERLINK(CONCATENATE("#",CELL("address",'BS Forecasts'!$D$178)),LEFT('BS Forecasts'!$D$177,23))</f>
        <v>Other Taxation and Soci</v>
      </c>
      <c r="F163" s="180"/>
      <c r="G163" s="162"/>
      <c r="H163" s="180"/>
      <c r="I163" s="157"/>
      <c r="J163" s="157"/>
      <c r="K163" s="157"/>
      <c r="L163" s="157"/>
      <c r="M163" s="157"/>
      <c r="N163" s="157"/>
      <c r="O163" s="157"/>
      <c r="P163" s="157"/>
      <c r="Q163" s="157"/>
      <c r="R163" s="157"/>
      <c r="S163" s="157"/>
      <c r="T163" s="157"/>
      <c r="U163" s="157"/>
      <c r="V163" s="13">
        <f>('Opening Balances'!W$53-'Opening Balances'!V$53)*'Opening Balances'!$V$81</f>
        <v>0</v>
      </c>
      <c r="W163" s="121">
        <f>(W$106-V$106)</f>
        <v>29</v>
      </c>
      <c r="X163" s="121">
        <f t="shared" ref="X163:BJ163" si="174">(X$106-W$106)</f>
        <v>10</v>
      </c>
      <c r="Y163" s="121">
        <f t="shared" si="174"/>
        <v>10</v>
      </c>
      <c r="Z163" s="157"/>
      <c r="AA163" s="13">
        <f>(AA$106-V$106)</f>
        <v>29</v>
      </c>
      <c r="AB163" s="121">
        <f t="shared" si="174"/>
        <v>0</v>
      </c>
      <c r="AC163" s="121">
        <f>(AC$106-AB$106)</f>
        <v>0</v>
      </c>
      <c r="AD163" s="121">
        <f t="shared" si="174"/>
        <v>0</v>
      </c>
      <c r="AE163" s="121">
        <f t="shared" si="174"/>
        <v>0</v>
      </c>
      <c r="AF163" s="121">
        <f t="shared" si="174"/>
        <v>0</v>
      </c>
      <c r="AG163" s="121">
        <f t="shared" si="174"/>
        <v>0</v>
      </c>
      <c r="AH163" s="121">
        <f t="shared" si="174"/>
        <v>0</v>
      </c>
      <c r="AI163" s="121">
        <f t="shared" si="174"/>
        <v>0</v>
      </c>
      <c r="AJ163" s="121">
        <f t="shared" si="174"/>
        <v>0</v>
      </c>
      <c r="AK163" s="121">
        <f t="shared" si="174"/>
        <v>0</v>
      </c>
      <c r="AL163" s="121">
        <f t="shared" si="174"/>
        <v>0</v>
      </c>
      <c r="AM163" s="121">
        <f t="shared" si="174"/>
        <v>10</v>
      </c>
      <c r="AN163" s="121">
        <f t="shared" si="174"/>
        <v>0</v>
      </c>
      <c r="AO163" s="121">
        <f t="shared" si="174"/>
        <v>0</v>
      </c>
      <c r="AP163" s="121">
        <f t="shared" si="174"/>
        <v>0</v>
      </c>
      <c r="AQ163" s="121">
        <f t="shared" si="174"/>
        <v>0</v>
      </c>
      <c r="AR163" s="121">
        <f t="shared" si="174"/>
        <v>0</v>
      </c>
      <c r="AS163" s="121">
        <f t="shared" si="174"/>
        <v>0</v>
      </c>
      <c r="AT163" s="121">
        <f t="shared" si="174"/>
        <v>0</v>
      </c>
      <c r="AU163" s="121">
        <f t="shared" si="174"/>
        <v>0</v>
      </c>
      <c r="AV163" s="121">
        <f t="shared" si="174"/>
        <v>0</v>
      </c>
      <c r="AW163" s="121">
        <f t="shared" si="174"/>
        <v>0</v>
      </c>
      <c r="AX163" s="121">
        <f t="shared" si="174"/>
        <v>0</v>
      </c>
      <c r="AY163" s="121">
        <f t="shared" si="174"/>
        <v>10</v>
      </c>
      <c r="AZ163" s="121">
        <f t="shared" si="174"/>
        <v>0</v>
      </c>
      <c r="BA163" s="121">
        <f t="shared" si="174"/>
        <v>0</v>
      </c>
      <c r="BB163" s="121">
        <f t="shared" si="174"/>
        <v>0</v>
      </c>
      <c r="BC163" s="121">
        <f t="shared" si="174"/>
        <v>0</v>
      </c>
      <c r="BD163" s="121">
        <f t="shared" si="174"/>
        <v>0</v>
      </c>
      <c r="BE163" s="121">
        <f t="shared" si="174"/>
        <v>0</v>
      </c>
      <c r="BF163" s="121">
        <f t="shared" si="174"/>
        <v>0</v>
      </c>
      <c r="BG163" s="121">
        <f t="shared" si="174"/>
        <v>0</v>
      </c>
      <c r="BH163" s="121">
        <f t="shared" si="174"/>
        <v>0</v>
      </c>
      <c r="BI163" s="121">
        <f t="shared" si="174"/>
        <v>0</v>
      </c>
      <c r="BJ163" s="121">
        <f t="shared" si="174"/>
        <v>0</v>
      </c>
      <c r="BK163" s="157"/>
      <c r="BL163" s="13">
        <f>V163</f>
        <v>0</v>
      </c>
      <c r="BM163" s="121">
        <f t="shared" ref="BM163:BW163" si="175">(BM$106-BL$106)</f>
        <v>29</v>
      </c>
      <c r="BN163" s="121">
        <f t="shared" si="175"/>
        <v>10</v>
      </c>
      <c r="BO163" s="121">
        <f t="shared" si="175"/>
        <v>10</v>
      </c>
      <c r="BP163" s="121">
        <f t="shared" si="175"/>
        <v>-620</v>
      </c>
      <c r="BQ163" s="121">
        <f t="shared" si="175"/>
        <v>0</v>
      </c>
      <c r="BR163" s="121">
        <f t="shared" si="175"/>
        <v>0</v>
      </c>
      <c r="BS163" s="121">
        <f t="shared" si="175"/>
        <v>0</v>
      </c>
      <c r="BT163" s="121">
        <f t="shared" si="175"/>
        <v>0</v>
      </c>
      <c r="BU163" s="121">
        <f t="shared" si="175"/>
        <v>0</v>
      </c>
      <c r="BV163" s="121">
        <f t="shared" si="175"/>
        <v>0</v>
      </c>
      <c r="BW163" s="121">
        <f t="shared" si="175"/>
        <v>0</v>
      </c>
      <c r="BX163" s="157"/>
      <c r="BY163" s="12"/>
      <c r="CC163" s="126">
        <f t="shared" si="153"/>
        <v>0</v>
      </c>
      <c r="CD163" s="126">
        <f t="shared" si="154"/>
        <v>0</v>
      </c>
      <c r="CE163" s="126">
        <f t="shared" si="155"/>
        <v>0</v>
      </c>
      <c r="CF163" s="42"/>
      <c r="CG163" s="352">
        <f t="shared" si="156"/>
        <v>0</v>
      </c>
      <c r="CH163" s="352">
        <f t="shared" si="157"/>
        <v>0</v>
      </c>
      <c r="CI163" s="352">
        <f t="shared" si="158"/>
        <v>0</v>
      </c>
      <c r="CJ163" s="352">
        <f t="shared" si="159"/>
        <v>0</v>
      </c>
      <c r="CK163" s="352">
        <f t="shared" si="160"/>
        <v>0</v>
      </c>
      <c r="CL163" s="352">
        <f t="shared" si="161"/>
        <v>0</v>
      </c>
      <c r="CM163" s="352">
        <f t="shared" si="162"/>
        <v>0</v>
      </c>
      <c r="EX163" s="10" t="str">
        <f>IF($C163="","",$D163)</f>
        <v>Movement in Other Taxation and Social Security</v>
      </c>
    </row>
    <row r="164" spans="1:154" ht="29.45" customHeight="1" x14ac:dyDescent="0.25">
      <c r="A164" s="362" cm="1">
        <f t="array" aca="1" ref="A164" ca="1">HYPERLINK(CONCATENATE("#",CELL("address",IF(SUM($BY164:$CF164)=0,A164,INDEX($BY164:$CF164,MATCH(1,$BY164:$CF164,0))))),SUM($BY164:$CF164))</f>
        <v>0</v>
      </c>
      <c r="B164" s="157"/>
      <c r="C164" s="343" t="s">
        <v>1477</v>
      </c>
      <c r="D164" s="555" t="s">
        <v>611</v>
      </c>
      <c r="E164" s="181" t="str" cm="1">
        <f t="array" aca="1" ref="E164" ca="1">HYPERLINK(CONCATENATE("#",CELL("address",'BS Forecasts'!$D$73)),'BS Forecasts'!$D$72)</f>
        <v>Prepayments</v>
      </c>
      <c r="F164" s="162"/>
      <c r="G164" s="162"/>
      <c r="H164" s="162"/>
      <c r="I164" s="157"/>
      <c r="J164" s="157"/>
      <c r="K164" s="157"/>
      <c r="L164" s="157"/>
      <c r="M164" s="157"/>
      <c r="N164" s="157"/>
      <c r="O164" s="157"/>
      <c r="P164" s="157"/>
      <c r="Q164" s="157"/>
      <c r="R164" s="157"/>
      <c r="S164" s="157"/>
      <c r="T164" s="157"/>
      <c r="U164" s="157"/>
      <c r="V164" s="13">
        <f>0-('Opening Balances'!W26-'Opening Balances'!V26)*'Opening Balances'!$V$81</f>
        <v>0</v>
      </c>
      <c r="W164" s="121">
        <f t="shared" ref="W164:Y165" si="176">0-(W81-V81)</f>
        <v>0</v>
      </c>
      <c r="X164" s="121">
        <f t="shared" si="176"/>
        <v>0</v>
      </c>
      <c r="Y164" s="121">
        <f t="shared" si="176"/>
        <v>0</v>
      </c>
      <c r="Z164" s="157"/>
      <c r="AA164" s="13">
        <f>0-(AA81-V81)</f>
        <v>0</v>
      </c>
      <c r="AB164" s="121">
        <f t="shared" ref="AB164:BJ164" si="177">0-(AB81-AA81)</f>
        <v>0</v>
      </c>
      <c r="AC164" s="121">
        <f t="shared" si="177"/>
        <v>0</v>
      </c>
      <c r="AD164" s="121">
        <f t="shared" si="177"/>
        <v>0</v>
      </c>
      <c r="AE164" s="121">
        <f t="shared" si="177"/>
        <v>0</v>
      </c>
      <c r="AF164" s="121">
        <f t="shared" si="177"/>
        <v>0</v>
      </c>
      <c r="AG164" s="121">
        <f t="shared" si="177"/>
        <v>0</v>
      </c>
      <c r="AH164" s="121">
        <f t="shared" si="177"/>
        <v>0</v>
      </c>
      <c r="AI164" s="121">
        <f t="shared" si="177"/>
        <v>0</v>
      </c>
      <c r="AJ164" s="121">
        <f t="shared" si="177"/>
        <v>0</v>
      </c>
      <c r="AK164" s="121">
        <f t="shared" si="177"/>
        <v>0</v>
      </c>
      <c r="AL164" s="121">
        <f t="shared" si="177"/>
        <v>0</v>
      </c>
      <c r="AM164" s="121">
        <f t="shared" si="177"/>
        <v>0</v>
      </c>
      <c r="AN164" s="121">
        <f t="shared" si="177"/>
        <v>0</v>
      </c>
      <c r="AO164" s="121">
        <f t="shared" si="177"/>
        <v>0</v>
      </c>
      <c r="AP164" s="121">
        <f t="shared" si="177"/>
        <v>0</v>
      </c>
      <c r="AQ164" s="121">
        <f t="shared" si="177"/>
        <v>0</v>
      </c>
      <c r="AR164" s="121">
        <f t="shared" si="177"/>
        <v>0</v>
      </c>
      <c r="AS164" s="121">
        <f t="shared" si="177"/>
        <v>0</v>
      </c>
      <c r="AT164" s="121">
        <f t="shared" si="177"/>
        <v>0</v>
      </c>
      <c r="AU164" s="121">
        <f t="shared" si="177"/>
        <v>0</v>
      </c>
      <c r="AV164" s="121">
        <f t="shared" si="177"/>
        <v>0</v>
      </c>
      <c r="AW164" s="121">
        <f t="shared" si="177"/>
        <v>0</v>
      </c>
      <c r="AX164" s="121">
        <f t="shared" si="177"/>
        <v>0</v>
      </c>
      <c r="AY164" s="121">
        <f t="shared" si="177"/>
        <v>0</v>
      </c>
      <c r="AZ164" s="121">
        <f t="shared" si="177"/>
        <v>0</v>
      </c>
      <c r="BA164" s="121">
        <f t="shared" si="177"/>
        <v>0</v>
      </c>
      <c r="BB164" s="121">
        <f t="shared" si="177"/>
        <v>0</v>
      </c>
      <c r="BC164" s="121">
        <f t="shared" si="177"/>
        <v>0</v>
      </c>
      <c r="BD164" s="121">
        <f t="shared" si="177"/>
        <v>0</v>
      </c>
      <c r="BE164" s="121">
        <f t="shared" si="177"/>
        <v>0</v>
      </c>
      <c r="BF164" s="121">
        <f t="shared" si="177"/>
        <v>0</v>
      </c>
      <c r="BG164" s="121">
        <f t="shared" si="177"/>
        <v>0</v>
      </c>
      <c r="BH164" s="121">
        <f t="shared" si="177"/>
        <v>0</v>
      </c>
      <c r="BI164" s="121">
        <f t="shared" si="177"/>
        <v>0</v>
      </c>
      <c r="BJ164" s="121">
        <f t="shared" si="177"/>
        <v>0</v>
      </c>
      <c r="BK164" s="157"/>
      <c r="BL164" s="13">
        <f t="shared" si="151"/>
        <v>0</v>
      </c>
      <c r="BM164" s="121">
        <f t="shared" ref="BM164:BW164" si="178">0-(BM81-BL81)</f>
        <v>0</v>
      </c>
      <c r="BN164" s="121">
        <f t="shared" si="178"/>
        <v>0</v>
      </c>
      <c r="BO164" s="121">
        <f t="shared" si="178"/>
        <v>0</v>
      </c>
      <c r="BP164" s="121">
        <f t="shared" si="178"/>
        <v>0</v>
      </c>
      <c r="BQ164" s="121">
        <f t="shared" si="178"/>
        <v>0</v>
      </c>
      <c r="BR164" s="121">
        <f t="shared" si="178"/>
        <v>0</v>
      </c>
      <c r="BS164" s="121">
        <f t="shared" si="178"/>
        <v>0</v>
      </c>
      <c r="BT164" s="121">
        <f t="shared" si="178"/>
        <v>0</v>
      </c>
      <c r="BU164" s="121">
        <f t="shared" si="178"/>
        <v>0</v>
      </c>
      <c r="BV164" s="121">
        <f t="shared" si="178"/>
        <v>0</v>
      </c>
      <c r="BW164" s="121">
        <f t="shared" si="178"/>
        <v>0</v>
      </c>
      <c r="BX164" s="157"/>
      <c r="BY164" s="12"/>
      <c r="CC164" s="126">
        <f t="shared" si="153"/>
        <v>0</v>
      </c>
      <c r="CD164" s="126">
        <f t="shared" si="154"/>
        <v>0</v>
      </c>
      <c r="CE164" s="126">
        <f t="shared" si="155"/>
        <v>0</v>
      </c>
      <c r="CF164" s="42"/>
      <c r="CG164" s="352">
        <f t="shared" si="156"/>
        <v>0</v>
      </c>
      <c r="CH164" s="352">
        <f t="shared" si="157"/>
        <v>0</v>
      </c>
      <c r="CI164" s="352">
        <f t="shared" si="158"/>
        <v>0</v>
      </c>
      <c r="CJ164" s="352">
        <f t="shared" si="159"/>
        <v>0</v>
      </c>
      <c r="CK164" s="352">
        <f t="shared" si="160"/>
        <v>0</v>
      </c>
      <c r="CL164" s="352">
        <f t="shared" si="161"/>
        <v>0</v>
      </c>
      <c r="CM164" s="352">
        <f t="shared" si="162"/>
        <v>0</v>
      </c>
      <c r="EX164" s="10" t="str">
        <f t="shared" si="135"/>
        <v>(Increase)/decrease in prepayments</v>
      </c>
    </row>
    <row r="165" spans="1:154" ht="22.5" x14ac:dyDescent="0.25">
      <c r="A165" s="362" cm="1">
        <f t="array" aca="1" ref="A165" ca="1">HYPERLINK(CONCATENATE("#",CELL("address",IF(SUM($BY165:$CF165)=0,A165,INDEX($BY165:$CF165,MATCH(1,$BY165:$CF165,0))))),SUM($BY165:$CF165))</f>
        <v>0</v>
      </c>
      <c r="B165" s="157"/>
      <c r="C165" s="343" t="s">
        <v>1478</v>
      </c>
      <c r="D165" s="556" t="s">
        <v>605</v>
      </c>
      <c r="E165" s="181" t="str" cm="1">
        <f t="array" aca="1" ref="E165" ca="1">HYPERLINK(CONCATENATE("#",CELL("address",'BS Forecasts'!$D$76)),'BS Forecasts'!$D$75)</f>
        <v>Accrued Income</v>
      </c>
      <c r="F165" s="162"/>
      <c r="G165" s="162"/>
      <c r="H165" s="162"/>
      <c r="I165" s="157"/>
      <c r="J165" s="157"/>
      <c r="K165" s="157"/>
      <c r="L165" s="157"/>
      <c r="M165" s="157"/>
      <c r="N165" s="157"/>
      <c r="O165" s="157"/>
      <c r="P165" s="157"/>
      <c r="Q165" s="157"/>
      <c r="R165" s="157"/>
      <c r="S165" s="157"/>
      <c r="T165" s="157"/>
      <c r="U165" s="157"/>
      <c r="V165" s="13">
        <f>0-('Opening Balances'!W27-'Opening Balances'!V27)*'Opening Balances'!$V$81</f>
        <v>0</v>
      </c>
      <c r="W165" s="121">
        <f t="shared" si="176"/>
        <v>741</v>
      </c>
      <c r="X165" s="121">
        <f t="shared" si="176"/>
        <v>-25</v>
      </c>
      <c r="Y165" s="121">
        <f t="shared" si="176"/>
        <v>-9</v>
      </c>
      <c r="Z165" s="157"/>
      <c r="AA165" s="13">
        <f>0-(AA82-V82)</f>
        <v>716</v>
      </c>
      <c r="AB165" s="121">
        <f t="shared" ref="AB165:BJ165" si="179">0-(AB82-AA82)</f>
        <v>100</v>
      </c>
      <c r="AC165" s="121">
        <f t="shared" si="179"/>
        <v>100</v>
      </c>
      <c r="AD165" s="121">
        <f t="shared" si="179"/>
        <v>200</v>
      </c>
      <c r="AE165" s="121">
        <f t="shared" si="179"/>
        <v>-100</v>
      </c>
      <c r="AF165" s="121">
        <f t="shared" si="179"/>
        <v>0</v>
      </c>
      <c r="AG165" s="121">
        <f t="shared" si="179"/>
        <v>0</v>
      </c>
      <c r="AH165" s="121">
        <f t="shared" si="179"/>
        <v>0</v>
      </c>
      <c r="AI165" s="121">
        <f t="shared" si="179"/>
        <v>100</v>
      </c>
      <c r="AJ165" s="121">
        <f t="shared" si="179"/>
        <v>0</v>
      </c>
      <c r="AK165" s="121">
        <f t="shared" si="179"/>
        <v>0</v>
      </c>
      <c r="AL165" s="121">
        <f t="shared" si="179"/>
        <v>-375</v>
      </c>
      <c r="AM165" s="121">
        <f t="shared" si="179"/>
        <v>375</v>
      </c>
      <c r="AN165" s="121">
        <f t="shared" si="179"/>
        <v>0</v>
      </c>
      <c r="AO165" s="121">
        <f t="shared" si="179"/>
        <v>0</v>
      </c>
      <c r="AP165" s="121">
        <f t="shared" si="179"/>
        <v>0</v>
      </c>
      <c r="AQ165" s="121">
        <f t="shared" si="179"/>
        <v>0</v>
      </c>
      <c r="AR165" s="121">
        <f t="shared" si="179"/>
        <v>-300</v>
      </c>
      <c r="AS165" s="121">
        <f t="shared" si="179"/>
        <v>0</v>
      </c>
      <c r="AT165" s="121">
        <f t="shared" si="179"/>
        <v>0</v>
      </c>
      <c r="AU165" s="121">
        <f t="shared" si="179"/>
        <v>0</v>
      </c>
      <c r="AV165" s="121">
        <f t="shared" si="179"/>
        <v>0</v>
      </c>
      <c r="AW165" s="121">
        <f t="shared" si="179"/>
        <v>0</v>
      </c>
      <c r="AX165" s="121">
        <f t="shared" si="179"/>
        <v>-100</v>
      </c>
      <c r="AY165" s="121">
        <f t="shared" si="179"/>
        <v>300</v>
      </c>
      <c r="AZ165" s="121">
        <f t="shared" si="179"/>
        <v>0</v>
      </c>
      <c r="BA165" s="121">
        <f t="shared" si="179"/>
        <v>0</v>
      </c>
      <c r="BB165" s="121">
        <f t="shared" si="179"/>
        <v>0</v>
      </c>
      <c r="BC165" s="121">
        <f t="shared" si="179"/>
        <v>0</v>
      </c>
      <c r="BD165" s="121">
        <f t="shared" si="179"/>
        <v>-200</v>
      </c>
      <c r="BE165" s="121">
        <f t="shared" si="179"/>
        <v>0</v>
      </c>
      <c r="BF165" s="121">
        <f t="shared" si="179"/>
        <v>0</v>
      </c>
      <c r="BG165" s="121">
        <f t="shared" si="179"/>
        <v>0</v>
      </c>
      <c r="BH165" s="121">
        <f t="shared" si="179"/>
        <v>0</v>
      </c>
      <c r="BI165" s="121">
        <f t="shared" si="179"/>
        <v>0</v>
      </c>
      <c r="BJ165" s="121">
        <f t="shared" si="179"/>
        <v>-109</v>
      </c>
      <c r="BK165" s="157"/>
      <c r="BL165" s="13">
        <f t="shared" si="151"/>
        <v>0</v>
      </c>
      <c r="BM165" s="121">
        <f t="shared" ref="BM165:BW165" si="180">0-(BM82-BL82)</f>
        <v>741</v>
      </c>
      <c r="BN165" s="121">
        <f t="shared" si="180"/>
        <v>-25</v>
      </c>
      <c r="BO165" s="121">
        <f t="shared" si="180"/>
        <v>-9</v>
      </c>
      <c r="BP165" s="121">
        <f t="shared" si="180"/>
        <v>509</v>
      </c>
      <c r="BQ165" s="121">
        <f t="shared" si="180"/>
        <v>0</v>
      </c>
      <c r="BR165" s="121">
        <f t="shared" si="180"/>
        <v>0</v>
      </c>
      <c r="BS165" s="121">
        <f t="shared" si="180"/>
        <v>0</v>
      </c>
      <c r="BT165" s="121">
        <f t="shared" si="180"/>
        <v>0</v>
      </c>
      <c r="BU165" s="121">
        <f t="shared" si="180"/>
        <v>0</v>
      </c>
      <c r="BV165" s="121">
        <f t="shared" si="180"/>
        <v>0</v>
      </c>
      <c r="BW165" s="121">
        <f t="shared" si="180"/>
        <v>0</v>
      </c>
      <c r="BX165" s="157"/>
      <c r="BY165" s="12"/>
      <c r="CC165" s="126">
        <f t="shared" si="153"/>
        <v>0</v>
      </c>
      <c r="CD165" s="126">
        <f t="shared" si="154"/>
        <v>0</v>
      </c>
      <c r="CE165" s="126">
        <f t="shared" si="155"/>
        <v>0</v>
      </c>
      <c r="CF165" s="42"/>
      <c r="CG165" s="352">
        <f t="shared" si="156"/>
        <v>0</v>
      </c>
      <c r="CH165" s="352">
        <f t="shared" si="157"/>
        <v>0</v>
      </c>
      <c r="CI165" s="352">
        <f t="shared" si="158"/>
        <v>0</v>
      </c>
      <c r="CJ165" s="352">
        <f t="shared" si="159"/>
        <v>0</v>
      </c>
      <c r="CK165" s="352">
        <f t="shared" si="160"/>
        <v>0</v>
      </c>
      <c r="CL165" s="352">
        <f t="shared" si="161"/>
        <v>0</v>
      </c>
      <c r="CM165" s="352">
        <f t="shared" si="162"/>
        <v>0</v>
      </c>
      <c r="EX165" s="10" t="str">
        <f t="shared" si="135"/>
        <v>(Increase)/decrease in accrued income</v>
      </c>
    </row>
    <row r="166" spans="1:154" ht="33.75" x14ac:dyDescent="0.25">
      <c r="A166" s="362" cm="1">
        <f t="array" aca="1" ref="A166" ca="1">HYPERLINK(CONCATENATE("#",CELL("address",IF(SUM($BY166:$CF166)=0,A166,INDEX($BY166:$CF166,MATCH(1,$BY166:$CF166,0))))),SUM($BY166:$CF166))</f>
        <v>0</v>
      </c>
      <c r="B166" s="157"/>
      <c r="C166" s="343" t="s">
        <v>1479</v>
      </c>
      <c r="D166" s="556" t="s">
        <v>643</v>
      </c>
      <c r="E166" s="181" t="str" cm="1">
        <f t="array" aca="1" ref="E166" ca="1">HYPERLINK(CONCATENATE("#",CELL("address",'BS Forecasts'!$D$169)),'BS Forecasts'!$D$168)</f>
        <v>Holiday and Sabbatical Pay Accrual</v>
      </c>
      <c r="F166" s="180"/>
      <c r="G166" s="162"/>
      <c r="H166" s="162"/>
      <c r="I166" s="157"/>
      <c r="J166" s="157"/>
      <c r="K166" s="157"/>
      <c r="L166" s="157"/>
      <c r="M166" s="157"/>
      <c r="N166" s="157"/>
      <c r="O166" s="157"/>
      <c r="P166" s="157"/>
      <c r="Q166" s="157"/>
      <c r="R166" s="157"/>
      <c r="S166" s="157"/>
      <c r="T166" s="157"/>
      <c r="U166" s="157"/>
      <c r="V166" s="13">
        <f>('Opening Balances'!W50-'Opening Balances'!V50)*'Opening Balances'!$V$81</f>
        <v>0</v>
      </c>
      <c r="W166" s="121">
        <f>(W$103-V$103)</f>
        <v>0</v>
      </c>
      <c r="X166" s="121">
        <f t="shared" ref="X166:BJ166" si="181">(X$103-W$103)</f>
        <v>0</v>
      </c>
      <c r="Y166" s="121">
        <f t="shared" si="181"/>
        <v>0</v>
      </c>
      <c r="Z166" s="157"/>
      <c r="AA166" s="13">
        <f>(AA$103-V$103)</f>
        <v>0</v>
      </c>
      <c r="AB166" s="121">
        <f t="shared" si="181"/>
        <v>0</v>
      </c>
      <c r="AC166" s="121">
        <f t="shared" si="181"/>
        <v>0</v>
      </c>
      <c r="AD166" s="121">
        <f t="shared" si="181"/>
        <v>0</v>
      </c>
      <c r="AE166" s="121">
        <f t="shared" si="181"/>
        <v>0</v>
      </c>
      <c r="AF166" s="121">
        <f t="shared" si="181"/>
        <v>0</v>
      </c>
      <c r="AG166" s="121">
        <f t="shared" si="181"/>
        <v>0</v>
      </c>
      <c r="AH166" s="121">
        <f t="shared" si="181"/>
        <v>0</v>
      </c>
      <c r="AI166" s="121">
        <f t="shared" si="181"/>
        <v>0</v>
      </c>
      <c r="AJ166" s="121">
        <f t="shared" si="181"/>
        <v>0</v>
      </c>
      <c r="AK166" s="121">
        <f t="shared" si="181"/>
        <v>0</v>
      </c>
      <c r="AL166" s="121">
        <f t="shared" si="181"/>
        <v>0</v>
      </c>
      <c r="AM166" s="121">
        <f t="shared" si="181"/>
        <v>0</v>
      </c>
      <c r="AN166" s="121">
        <f t="shared" si="181"/>
        <v>0</v>
      </c>
      <c r="AO166" s="121">
        <f t="shared" si="181"/>
        <v>0</v>
      </c>
      <c r="AP166" s="121">
        <f t="shared" si="181"/>
        <v>0</v>
      </c>
      <c r="AQ166" s="121">
        <f t="shared" si="181"/>
        <v>0</v>
      </c>
      <c r="AR166" s="121">
        <f t="shared" si="181"/>
        <v>0</v>
      </c>
      <c r="AS166" s="121">
        <f t="shared" si="181"/>
        <v>0</v>
      </c>
      <c r="AT166" s="121">
        <f t="shared" si="181"/>
        <v>0</v>
      </c>
      <c r="AU166" s="121">
        <f t="shared" si="181"/>
        <v>0</v>
      </c>
      <c r="AV166" s="121">
        <f t="shared" si="181"/>
        <v>0</v>
      </c>
      <c r="AW166" s="121">
        <f t="shared" si="181"/>
        <v>0</v>
      </c>
      <c r="AX166" s="121">
        <f t="shared" si="181"/>
        <v>0</v>
      </c>
      <c r="AY166" s="121">
        <f t="shared" si="181"/>
        <v>0</v>
      </c>
      <c r="AZ166" s="121">
        <f t="shared" si="181"/>
        <v>0</v>
      </c>
      <c r="BA166" s="121">
        <f t="shared" si="181"/>
        <v>0</v>
      </c>
      <c r="BB166" s="121">
        <f t="shared" si="181"/>
        <v>0</v>
      </c>
      <c r="BC166" s="121">
        <f t="shared" si="181"/>
        <v>0</v>
      </c>
      <c r="BD166" s="121">
        <f t="shared" si="181"/>
        <v>0</v>
      </c>
      <c r="BE166" s="121">
        <f t="shared" si="181"/>
        <v>0</v>
      </c>
      <c r="BF166" s="121">
        <f t="shared" si="181"/>
        <v>0</v>
      </c>
      <c r="BG166" s="121">
        <f t="shared" si="181"/>
        <v>0</v>
      </c>
      <c r="BH166" s="121">
        <f t="shared" si="181"/>
        <v>0</v>
      </c>
      <c r="BI166" s="121">
        <f t="shared" si="181"/>
        <v>0</v>
      </c>
      <c r="BJ166" s="121">
        <f t="shared" si="181"/>
        <v>0</v>
      </c>
      <c r="BK166" s="157"/>
      <c r="BL166" s="13">
        <f t="shared" si="151"/>
        <v>0</v>
      </c>
      <c r="BM166" s="121">
        <f t="shared" ref="BM166:BW166" si="182">(BM$103-BL$103)</f>
        <v>0</v>
      </c>
      <c r="BN166" s="121">
        <f t="shared" si="182"/>
        <v>0</v>
      </c>
      <c r="BO166" s="121">
        <f t="shared" si="182"/>
        <v>0</v>
      </c>
      <c r="BP166" s="121">
        <f t="shared" si="182"/>
        <v>0</v>
      </c>
      <c r="BQ166" s="121">
        <f t="shared" si="182"/>
        <v>0</v>
      </c>
      <c r="BR166" s="121">
        <f t="shared" si="182"/>
        <v>0</v>
      </c>
      <c r="BS166" s="121">
        <f t="shared" si="182"/>
        <v>0</v>
      </c>
      <c r="BT166" s="121">
        <f t="shared" si="182"/>
        <v>0</v>
      </c>
      <c r="BU166" s="121">
        <f t="shared" si="182"/>
        <v>0</v>
      </c>
      <c r="BV166" s="121">
        <f t="shared" si="182"/>
        <v>0</v>
      </c>
      <c r="BW166" s="121">
        <f t="shared" si="182"/>
        <v>0</v>
      </c>
      <c r="BX166" s="157"/>
      <c r="BY166" s="12"/>
      <c r="CC166" s="126">
        <f t="shared" si="153"/>
        <v>0</v>
      </c>
      <c r="CD166" s="126">
        <f t="shared" si="154"/>
        <v>0</v>
      </c>
      <c r="CE166" s="126">
        <f t="shared" si="155"/>
        <v>0</v>
      </c>
      <c r="CF166" s="42"/>
      <c r="CG166" s="352">
        <f t="shared" si="156"/>
        <v>0</v>
      </c>
      <c r="CH166" s="352">
        <f t="shared" si="157"/>
        <v>0</v>
      </c>
      <c r="CI166" s="352">
        <f t="shared" si="158"/>
        <v>0</v>
      </c>
      <c r="CJ166" s="352">
        <f t="shared" si="159"/>
        <v>0</v>
      </c>
      <c r="CK166" s="352">
        <f t="shared" si="160"/>
        <v>0</v>
      </c>
      <c r="CL166" s="352">
        <f t="shared" si="161"/>
        <v>0</v>
      </c>
      <c r="CM166" s="352">
        <f t="shared" si="162"/>
        <v>0</v>
      </c>
      <c r="EX166" s="10" t="str">
        <f t="shared" si="135"/>
        <v>Increase/(decrease) in holiday and sabbatical pay accrual</v>
      </c>
    </row>
    <row r="167" spans="1:154" x14ac:dyDescent="0.25">
      <c r="A167" s="362" cm="1">
        <f t="array" aca="1" ref="A167" ca="1">HYPERLINK(CONCATENATE("#",CELL("address",IF(SUM($BY167:$CF167)=0,A167,INDEX($BY167:$CF167,MATCH(1,$BY167:$CF167,0))))),SUM($BY167:$CF167))</f>
        <v>0</v>
      </c>
      <c r="B167" s="157"/>
      <c r="C167" s="343" t="s">
        <v>1480</v>
      </c>
      <c r="D167" s="529" t="s">
        <v>607</v>
      </c>
      <c r="E167" s="181" t="str" cm="1">
        <f t="array" aca="1" ref="E167" ca="1">HYPERLINK(CONCATENATE("#",CELL("address",'BS Forecasts'!$D$166)),'BS Forecasts'!$D$165)</f>
        <v>Accruals</v>
      </c>
      <c r="F167" s="162"/>
      <c r="G167" s="162"/>
      <c r="H167" s="180"/>
      <c r="I167" s="157"/>
      <c r="J167" s="157"/>
      <c r="K167" s="157"/>
      <c r="L167" s="157"/>
      <c r="M167" s="157"/>
      <c r="N167" s="157"/>
      <c r="O167" s="157"/>
      <c r="P167" s="157"/>
      <c r="Q167" s="157"/>
      <c r="R167" s="157"/>
      <c r="S167" s="157"/>
      <c r="T167" s="157"/>
      <c r="U167" s="157"/>
      <c r="V167" s="13">
        <f>('Opening Balances'!W49-'Opening Balances'!V49)*'Opening Balances'!$V$81</f>
        <v>0</v>
      </c>
      <c r="W167" s="121">
        <f>(W$102-V$102)</f>
        <v>-26</v>
      </c>
      <c r="X167" s="121">
        <f>(X$102-W$102)</f>
        <v>11</v>
      </c>
      <c r="Y167" s="121">
        <f>(Y$102-X$102)</f>
        <v>-61</v>
      </c>
      <c r="Z167" s="157"/>
      <c r="AA167" s="13">
        <f>(AA$102-V$102)</f>
        <v>-26</v>
      </c>
      <c r="AB167" s="121">
        <f t="shared" ref="AB167:BJ167" si="183">(AB$102-AA$102)</f>
        <v>0</v>
      </c>
      <c r="AC167" s="121">
        <f>(AC$102-AB$102)</f>
        <v>0</v>
      </c>
      <c r="AD167" s="121">
        <f t="shared" si="183"/>
        <v>0</v>
      </c>
      <c r="AE167" s="121">
        <f t="shared" si="183"/>
        <v>0</v>
      </c>
      <c r="AF167" s="121">
        <f t="shared" si="183"/>
        <v>0</v>
      </c>
      <c r="AG167" s="121">
        <f t="shared" si="183"/>
        <v>0</v>
      </c>
      <c r="AH167" s="121">
        <f t="shared" si="183"/>
        <v>0</v>
      </c>
      <c r="AI167" s="121">
        <f t="shared" si="183"/>
        <v>0</v>
      </c>
      <c r="AJ167" s="121">
        <f t="shared" si="183"/>
        <v>0</v>
      </c>
      <c r="AK167" s="121">
        <f t="shared" si="183"/>
        <v>0</v>
      </c>
      <c r="AL167" s="121">
        <f t="shared" si="183"/>
        <v>0</v>
      </c>
      <c r="AM167" s="121">
        <f t="shared" si="183"/>
        <v>0</v>
      </c>
      <c r="AN167" s="121">
        <f t="shared" si="183"/>
        <v>0</v>
      </c>
      <c r="AO167" s="121">
        <f t="shared" si="183"/>
        <v>0</v>
      </c>
      <c r="AP167" s="121">
        <f t="shared" si="183"/>
        <v>0</v>
      </c>
      <c r="AQ167" s="121">
        <f t="shared" si="183"/>
        <v>0</v>
      </c>
      <c r="AR167" s="121">
        <f t="shared" si="183"/>
        <v>0</v>
      </c>
      <c r="AS167" s="121">
        <f t="shared" si="183"/>
        <v>0</v>
      </c>
      <c r="AT167" s="121">
        <f t="shared" si="183"/>
        <v>0</v>
      </c>
      <c r="AU167" s="121">
        <f t="shared" si="183"/>
        <v>0</v>
      </c>
      <c r="AV167" s="121">
        <f t="shared" si="183"/>
        <v>0</v>
      </c>
      <c r="AW167" s="121">
        <f t="shared" si="183"/>
        <v>0</v>
      </c>
      <c r="AX167" s="121">
        <f t="shared" si="183"/>
        <v>11</v>
      </c>
      <c r="AY167" s="121">
        <f t="shared" si="183"/>
        <v>-61</v>
      </c>
      <c r="AZ167" s="121">
        <f t="shared" si="183"/>
        <v>0</v>
      </c>
      <c r="BA167" s="121">
        <f t="shared" si="183"/>
        <v>0</v>
      </c>
      <c r="BB167" s="121">
        <f t="shared" si="183"/>
        <v>0</v>
      </c>
      <c r="BC167" s="121">
        <f t="shared" si="183"/>
        <v>0</v>
      </c>
      <c r="BD167" s="121">
        <f t="shared" si="183"/>
        <v>0</v>
      </c>
      <c r="BE167" s="121">
        <f t="shared" si="183"/>
        <v>0</v>
      </c>
      <c r="BF167" s="121">
        <f t="shared" si="183"/>
        <v>0</v>
      </c>
      <c r="BG167" s="121">
        <f t="shared" si="183"/>
        <v>0</v>
      </c>
      <c r="BH167" s="121">
        <f t="shared" si="183"/>
        <v>0</v>
      </c>
      <c r="BI167" s="121">
        <f t="shared" si="183"/>
        <v>0</v>
      </c>
      <c r="BJ167" s="121">
        <f t="shared" si="183"/>
        <v>0</v>
      </c>
      <c r="BK167" s="157"/>
      <c r="BL167" s="13">
        <f t="shared" si="151"/>
        <v>0</v>
      </c>
      <c r="BM167" s="121">
        <f>(BM$102-BL$102)</f>
        <v>-26</v>
      </c>
      <c r="BN167" s="121">
        <f t="shared" ref="BN167:BW167" si="184">(BN$102-BM$102)</f>
        <v>11</v>
      </c>
      <c r="BO167" s="121">
        <f t="shared" si="184"/>
        <v>-61</v>
      </c>
      <c r="BP167" s="121">
        <f t="shared" si="184"/>
        <v>-450</v>
      </c>
      <c r="BQ167" s="121">
        <f t="shared" si="184"/>
        <v>0</v>
      </c>
      <c r="BR167" s="121">
        <f t="shared" si="184"/>
        <v>0</v>
      </c>
      <c r="BS167" s="121">
        <f t="shared" si="184"/>
        <v>0</v>
      </c>
      <c r="BT167" s="121">
        <f t="shared" si="184"/>
        <v>0</v>
      </c>
      <c r="BU167" s="121">
        <f t="shared" si="184"/>
        <v>0</v>
      </c>
      <c r="BV167" s="121">
        <f t="shared" si="184"/>
        <v>0</v>
      </c>
      <c r="BW167" s="121">
        <f t="shared" si="184"/>
        <v>0</v>
      </c>
      <c r="BX167" s="157"/>
      <c r="BY167" s="12"/>
      <c r="CC167" s="126">
        <f t="shared" si="153"/>
        <v>0</v>
      </c>
      <c r="CD167" s="126">
        <f t="shared" si="154"/>
        <v>0</v>
      </c>
      <c r="CE167" s="126">
        <f t="shared" si="155"/>
        <v>0</v>
      </c>
      <c r="CF167" s="42"/>
      <c r="CG167" s="352">
        <f t="shared" si="156"/>
        <v>0</v>
      </c>
      <c r="CH167" s="352">
        <f t="shared" si="157"/>
        <v>0</v>
      </c>
      <c r="CI167" s="352">
        <f t="shared" si="158"/>
        <v>0</v>
      </c>
      <c r="CJ167" s="352">
        <f t="shared" si="159"/>
        <v>0</v>
      </c>
      <c r="CK167" s="352">
        <f t="shared" si="160"/>
        <v>0</v>
      </c>
      <c r="CL167" s="352">
        <f t="shared" si="161"/>
        <v>0</v>
      </c>
      <c r="CM167" s="352">
        <f t="shared" si="162"/>
        <v>0</v>
      </c>
      <c r="EX167" s="10" t="str">
        <f t="shared" si="135"/>
        <v>Increase/(decrease) in Accruals</v>
      </c>
    </row>
    <row r="168" spans="1:154" ht="33.75" x14ac:dyDescent="0.25">
      <c r="A168" s="362" cm="1">
        <f t="array" aca="1" ref="A168" ca="1">HYPERLINK(CONCATENATE("#",CELL("address",IF(SUM($BY168:$CF168)=0,A168,INDEX($BY168:$CF168,MATCH(1,$BY168:$CF168,0))))),SUM($BY168:$CF168))</f>
        <v>0</v>
      </c>
      <c r="B168" s="157"/>
      <c r="C168" s="343" t="s">
        <v>1481</v>
      </c>
      <c r="D168" s="529" t="s">
        <v>573</v>
      </c>
      <c r="E168" s="181" t="str" cm="1">
        <f t="array" aca="1" ref="E168" ca="1">HYPERLINK(CONCATENATE("#",CELL("address",'BS Forecasts'!$D$172)),LEFT('BS Forecasts'!$D$171,23))</f>
        <v>Bursary Deferred Income</v>
      </c>
      <c r="F168" s="180"/>
      <c r="G168" s="162"/>
      <c r="H168" s="180"/>
      <c r="I168" s="157"/>
      <c r="J168" s="157"/>
      <c r="K168" s="157"/>
      <c r="L168" s="157"/>
      <c r="M168" s="157"/>
      <c r="N168" s="157"/>
      <c r="O168" s="157"/>
      <c r="P168" s="157"/>
      <c r="Q168" s="157"/>
      <c r="R168" s="157"/>
      <c r="S168" s="157"/>
      <c r="T168" s="157"/>
      <c r="U168" s="157"/>
      <c r="V168" s="13">
        <f>('Opening Balances'!W51-'Opening Balances'!V51)*'Opening Balances'!$V$81</f>
        <v>0</v>
      </c>
      <c r="W168" s="121">
        <f>(W$104-V$104)</f>
        <v>0</v>
      </c>
      <c r="X168" s="121">
        <f>(X$104-W$104)</f>
        <v>0</v>
      </c>
      <c r="Y168" s="121">
        <f>(Y$104-X$104)</f>
        <v>0</v>
      </c>
      <c r="Z168" s="157"/>
      <c r="AA168" s="13">
        <f>(AA$104-V$104)</f>
        <v>0</v>
      </c>
      <c r="AB168" s="121">
        <f t="shared" ref="AB168:BJ168" si="185">(AB$104-AA$104)</f>
        <v>0</v>
      </c>
      <c r="AC168" s="121">
        <f>(AC$104-AB$104)</f>
        <v>0</v>
      </c>
      <c r="AD168" s="121">
        <f t="shared" si="185"/>
        <v>0</v>
      </c>
      <c r="AE168" s="121">
        <f t="shared" si="185"/>
        <v>0</v>
      </c>
      <c r="AF168" s="121">
        <f t="shared" si="185"/>
        <v>0</v>
      </c>
      <c r="AG168" s="121">
        <f t="shared" si="185"/>
        <v>0</v>
      </c>
      <c r="AH168" s="121">
        <f t="shared" si="185"/>
        <v>0</v>
      </c>
      <c r="AI168" s="121">
        <f t="shared" si="185"/>
        <v>0</v>
      </c>
      <c r="AJ168" s="121">
        <f t="shared" si="185"/>
        <v>0</v>
      </c>
      <c r="AK168" s="121">
        <f t="shared" si="185"/>
        <v>0</v>
      </c>
      <c r="AL168" s="121">
        <f t="shared" si="185"/>
        <v>0</v>
      </c>
      <c r="AM168" s="121">
        <f t="shared" si="185"/>
        <v>0</v>
      </c>
      <c r="AN168" s="121">
        <f t="shared" si="185"/>
        <v>0</v>
      </c>
      <c r="AO168" s="121">
        <f t="shared" si="185"/>
        <v>0</v>
      </c>
      <c r="AP168" s="121">
        <f t="shared" si="185"/>
        <v>0</v>
      </c>
      <c r="AQ168" s="121">
        <f t="shared" si="185"/>
        <v>0</v>
      </c>
      <c r="AR168" s="121">
        <f t="shared" si="185"/>
        <v>0</v>
      </c>
      <c r="AS168" s="121">
        <f t="shared" si="185"/>
        <v>0</v>
      </c>
      <c r="AT168" s="121">
        <f t="shared" si="185"/>
        <v>0</v>
      </c>
      <c r="AU168" s="121">
        <f t="shared" si="185"/>
        <v>0</v>
      </c>
      <c r="AV168" s="121">
        <f t="shared" si="185"/>
        <v>0</v>
      </c>
      <c r="AW168" s="121">
        <f t="shared" si="185"/>
        <v>0</v>
      </c>
      <c r="AX168" s="121">
        <f t="shared" si="185"/>
        <v>0</v>
      </c>
      <c r="AY168" s="121">
        <f t="shared" si="185"/>
        <v>0</v>
      </c>
      <c r="AZ168" s="121">
        <f t="shared" si="185"/>
        <v>0</v>
      </c>
      <c r="BA168" s="121">
        <f t="shared" si="185"/>
        <v>0</v>
      </c>
      <c r="BB168" s="121">
        <f t="shared" si="185"/>
        <v>0</v>
      </c>
      <c r="BC168" s="121">
        <f t="shared" si="185"/>
        <v>0</v>
      </c>
      <c r="BD168" s="121">
        <f t="shared" si="185"/>
        <v>0</v>
      </c>
      <c r="BE168" s="121">
        <f t="shared" si="185"/>
        <v>0</v>
      </c>
      <c r="BF168" s="121">
        <f t="shared" si="185"/>
        <v>0</v>
      </c>
      <c r="BG168" s="121">
        <f t="shared" si="185"/>
        <v>0</v>
      </c>
      <c r="BH168" s="121">
        <f t="shared" si="185"/>
        <v>0</v>
      </c>
      <c r="BI168" s="121">
        <f t="shared" si="185"/>
        <v>0</v>
      </c>
      <c r="BJ168" s="121">
        <f t="shared" si="185"/>
        <v>0</v>
      </c>
      <c r="BK168" s="157"/>
      <c r="BL168" s="13">
        <f t="shared" si="151"/>
        <v>0</v>
      </c>
      <c r="BM168" s="121">
        <f>(BM$104-BL$104)</f>
        <v>0</v>
      </c>
      <c r="BN168" s="121">
        <f t="shared" ref="BN168:BW168" si="186">(BN$104-BM$104)</f>
        <v>0</v>
      </c>
      <c r="BO168" s="121">
        <f t="shared" si="186"/>
        <v>0</v>
      </c>
      <c r="BP168" s="121">
        <f t="shared" si="186"/>
        <v>0</v>
      </c>
      <c r="BQ168" s="121">
        <f t="shared" si="186"/>
        <v>0</v>
      </c>
      <c r="BR168" s="121">
        <f t="shared" si="186"/>
        <v>0</v>
      </c>
      <c r="BS168" s="121">
        <f t="shared" si="186"/>
        <v>0</v>
      </c>
      <c r="BT168" s="121">
        <f t="shared" si="186"/>
        <v>0</v>
      </c>
      <c r="BU168" s="121">
        <f t="shared" si="186"/>
        <v>0</v>
      </c>
      <c r="BV168" s="121">
        <f t="shared" si="186"/>
        <v>0</v>
      </c>
      <c r="BW168" s="121">
        <f t="shared" si="186"/>
        <v>0</v>
      </c>
      <c r="BX168" s="157"/>
      <c r="BY168" s="12"/>
      <c r="CC168" s="126">
        <f t="shared" si="153"/>
        <v>0</v>
      </c>
      <c r="CD168" s="126">
        <f t="shared" si="154"/>
        <v>0</v>
      </c>
      <c r="CE168" s="126">
        <f t="shared" si="155"/>
        <v>0</v>
      </c>
      <c r="CF168" s="42"/>
      <c r="CG168" s="352">
        <f t="shared" si="156"/>
        <v>0</v>
      </c>
      <c r="CH168" s="352">
        <f t="shared" si="157"/>
        <v>0</v>
      </c>
      <c r="CI168" s="352">
        <f t="shared" si="158"/>
        <v>0</v>
      </c>
      <c r="CJ168" s="352">
        <f t="shared" si="159"/>
        <v>0</v>
      </c>
      <c r="CK168" s="352">
        <f t="shared" si="160"/>
        <v>0</v>
      </c>
      <c r="CL168" s="352">
        <f t="shared" si="161"/>
        <v>0</v>
      </c>
      <c r="CM168" s="352">
        <f t="shared" si="162"/>
        <v>0</v>
      </c>
      <c r="EX168" s="10" t="str">
        <f t="shared" si="135"/>
        <v>Movement in bursary deferred income account</v>
      </c>
    </row>
    <row r="169" spans="1:154" s="335" customFormat="1" ht="22.5" x14ac:dyDescent="0.25">
      <c r="A169" s="362" cm="1">
        <f t="array" aca="1" ref="A169" ca="1">HYPERLINK(CONCATENATE("#",CELL("address",IF(SUM($BY169:$CF169)=0,A169,INDEX($BY169:$CF169,MATCH(1,$BY169:$CF169,0))))),SUM($BY169:$CF169))</f>
        <v>0</v>
      </c>
      <c r="B169" s="157"/>
      <c r="C169" s="343" t="s">
        <v>1482</v>
      </c>
      <c r="D169" s="558" t="s">
        <v>914</v>
      </c>
      <c r="E169" s="181" t="str" cm="1">
        <f t="array" aca="1" ref="E169" ca="1">HYPERLINK(CONCATENATE("#",CELL("address",'BS Forecasts'!$D$157)),LEFT('BS Forecasts'!$D$156,23))</f>
        <v>Recovery of ESFA/DA Fun</v>
      </c>
      <c r="F169" s="180"/>
      <c r="G169" s="162"/>
      <c r="H169" s="180"/>
      <c r="I169" s="157"/>
      <c r="J169" s="157"/>
      <c r="K169" s="157"/>
      <c r="L169" s="157"/>
      <c r="M169" s="157"/>
      <c r="N169" s="157"/>
      <c r="O169" s="157"/>
      <c r="P169" s="157"/>
      <c r="Q169" s="157"/>
      <c r="R169" s="157"/>
      <c r="S169" s="157"/>
      <c r="T169" s="157"/>
      <c r="U169" s="157"/>
      <c r="V169" s="13">
        <f>('Opening Balances'!W46-'Opening Balances'!V46)*'Opening Balances'!$V$81</f>
        <v>0</v>
      </c>
      <c r="W169" s="121">
        <f>(W$99-V$99)</f>
        <v>-257</v>
      </c>
      <c r="X169" s="121">
        <f>(X$99-W$99)</f>
        <v>0</v>
      </c>
      <c r="Y169" s="121">
        <f>(Y$99-X$99)</f>
        <v>0</v>
      </c>
      <c r="Z169" s="157"/>
      <c r="AA169" s="13">
        <f>(AA$99-V$99)</f>
        <v>-257</v>
      </c>
      <c r="AB169" s="121">
        <f t="shared" ref="AB169:BJ169" si="187">(AB$99-AA$99)</f>
        <v>0</v>
      </c>
      <c r="AC169" s="121">
        <f t="shared" si="187"/>
        <v>0</v>
      </c>
      <c r="AD169" s="121">
        <f t="shared" si="187"/>
        <v>0</v>
      </c>
      <c r="AE169" s="121">
        <f>(AE$99-AD$99)</f>
        <v>0</v>
      </c>
      <c r="AF169" s="121">
        <f t="shared" si="187"/>
        <v>0</v>
      </c>
      <c r="AG169" s="121">
        <f t="shared" si="187"/>
        <v>0</v>
      </c>
      <c r="AH169" s="121">
        <f t="shared" si="187"/>
        <v>0</v>
      </c>
      <c r="AI169" s="121">
        <f t="shared" si="187"/>
        <v>0</v>
      </c>
      <c r="AJ169" s="121">
        <f t="shared" si="187"/>
        <v>0</v>
      </c>
      <c r="AK169" s="121">
        <f t="shared" si="187"/>
        <v>0</v>
      </c>
      <c r="AL169" s="121">
        <f t="shared" si="187"/>
        <v>0</v>
      </c>
      <c r="AM169" s="121">
        <f t="shared" si="187"/>
        <v>0</v>
      </c>
      <c r="AN169" s="121">
        <f t="shared" si="187"/>
        <v>0</v>
      </c>
      <c r="AO169" s="121">
        <f t="shared" si="187"/>
        <v>0</v>
      </c>
      <c r="AP169" s="121">
        <f t="shared" si="187"/>
        <v>0</v>
      </c>
      <c r="AQ169" s="121">
        <f t="shared" si="187"/>
        <v>0</v>
      </c>
      <c r="AR169" s="121">
        <f t="shared" si="187"/>
        <v>0</v>
      </c>
      <c r="AS169" s="121">
        <f t="shared" si="187"/>
        <v>0</v>
      </c>
      <c r="AT169" s="121">
        <f t="shared" si="187"/>
        <v>0</v>
      </c>
      <c r="AU169" s="121">
        <f t="shared" si="187"/>
        <v>0</v>
      </c>
      <c r="AV169" s="121">
        <f t="shared" si="187"/>
        <v>0</v>
      </c>
      <c r="AW169" s="121">
        <f t="shared" si="187"/>
        <v>0</v>
      </c>
      <c r="AX169" s="121">
        <f t="shared" si="187"/>
        <v>0</v>
      </c>
      <c r="AY169" s="121">
        <f t="shared" si="187"/>
        <v>0</v>
      </c>
      <c r="AZ169" s="121">
        <f t="shared" si="187"/>
        <v>0</v>
      </c>
      <c r="BA169" s="121">
        <f t="shared" si="187"/>
        <v>0</v>
      </c>
      <c r="BB169" s="121">
        <f t="shared" si="187"/>
        <v>0</v>
      </c>
      <c r="BC169" s="121">
        <f t="shared" si="187"/>
        <v>0</v>
      </c>
      <c r="BD169" s="121">
        <f t="shared" si="187"/>
        <v>0</v>
      </c>
      <c r="BE169" s="121">
        <f t="shared" si="187"/>
        <v>0</v>
      </c>
      <c r="BF169" s="121">
        <f t="shared" si="187"/>
        <v>0</v>
      </c>
      <c r="BG169" s="121">
        <f t="shared" si="187"/>
        <v>0</v>
      </c>
      <c r="BH169" s="121">
        <f t="shared" si="187"/>
        <v>0</v>
      </c>
      <c r="BI169" s="121">
        <f t="shared" si="187"/>
        <v>0</v>
      </c>
      <c r="BJ169" s="121">
        <f t="shared" si="187"/>
        <v>0</v>
      </c>
      <c r="BK169" s="157"/>
      <c r="BL169" s="13">
        <f t="shared" si="151"/>
        <v>0</v>
      </c>
      <c r="BM169" s="121">
        <f>(BM$99-BL$99)</f>
        <v>-257</v>
      </c>
      <c r="BN169" s="121">
        <f t="shared" ref="BN169:BW169" si="188">(BN$99-BM$99)</f>
        <v>0</v>
      </c>
      <c r="BO169" s="121">
        <f t="shared" si="188"/>
        <v>0</v>
      </c>
      <c r="BP169" s="121">
        <f t="shared" si="188"/>
        <v>0</v>
      </c>
      <c r="BQ169" s="121">
        <f t="shared" si="188"/>
        <v>0</v>
      </c>
      <c r="BR169" s="121">
        <f t="shared" si="188"/>
        <v>0</v>
      </c>
      <c r="BS169" s="121">
        <f t="shared" si="188"/>
        <v>0</v>
      </c>
      <c r="BT169" s="121">
        <f t="shared" si="188"/>
        <v>0</v>
      </c>
      <c r="BU169" s="121">
        <f t="shared" si="188"/>
        <v>0</v>
      </c>
      <c r="BV169" s="121">
        <f t="shared" si="188"/>
        <v>0</v>
      </c>
      <c r="BW169" s="121">
        <f t="shared" si="188"/>
        <v>0</v>
      </c>
      <c r="BX169" s="157"/>
      <c r="BY169" s="12"/>
      <c r="CC169" s="126">
        <f t="shared" si="153"/>
        <v>0</v>
      </c>
      <c r="CD169" s="126">
        <f t="shared" si="154"/>
        <v>0</v>
      </c>
      <c r="CE169" s="126">
        <f t="shared" si="155"/>
        <v>0</v>
      </c>
      <c r="CF169" s="42"/>
      <c r="CG169" s="352">
        <f t="shared" si="156"/>
        <v>0</v>
      </c>
      <c r="CH169" s="352">
        <f t="shared" si="157"/>
        <v>0</v>
      </c>
      <c r="CI169" s="352">
        <f t="shared" si="158"/>
        <v>0</v>
      </c>
      <c r="CJ169" s="352">
        <f t="shared" si="159"/>
        <v>0</v>
      </c>
      <c r="CK169" s="352">
        <f t="shared" si="160"/>
        <v>0</v>
      </c>
      <c r="CL169" s="352">
        <f t="shared" si="161"/>
        <v>0</v>
      </c>
      <c r="CM169" s="352">
        <f t="shared" si="162"/>
        <v>0</v>
      </c>
      <c r="EX169" s="10" t="str">
        <f t="shared" si="135"/>
        <v>Movement in Recovery of ESFA/DA Funding</v>
      </c>
    </row>
    <row r="170" spans="1:154" s="325" customFormat="1" ht="21.6" customHeight="1" x14ac:dyDescent="0.25">
      <c r="A170" s="362" cm="1">
        <f t="array" aca="1" ref="A170" ca="1">HYPERLINK(CONCATENATE("#",CELL("address",IF(SUM($BY170:$CF170)=0,A170,INDEX($BY170:$CF170,MATCH(1,$BY170:$CF170,0))))),SUM($BY170:$CF170))</f>
        <v>0</v>
      </c>
      <c r="B170" s="157"/>
      <c r="C170" s="343" t="s">
        <v>1483</v>
      </c>
      <c r="D170" s="529" t="s">
        <v>862</v>
      </c>
      <c r="E170" s="181" t="str" cm="1">
        <f t="array" aca="1" ref="E170" ca="1">HYPERLINK(CONCATENATE("#",CELL("address",'BS Forecasts'!$D$160)),LEFT('BS Forecasts'!$D$159,23))</f>
        <v>AEB Clawback</v>
      </c>
      <c r="F170" s="180"/>
      <c r="G170" s="162"/>
      <c r="H170" s="180"/>
      <c r="I170" s="157"/>
      <c r="J170" s="157"/>
      <c r="K170" s="157"/>
      <c r="L170" s="157"/>
      <c r="M170" s="157"/>
      <c r="N170" s="157"/>
      <c r="O170" s="157"/>
      <c r="P170" s="157"/>
      <c r="Q170" s="157"/>
      <c r="R170" s="157"/>
      <c r="S170" s="157"/>
      <c r="T170" s="157"/>
      <c r="U170" s="157"/>
      <c r="V170" s="13">
        <f>('Opening Balances'!W47-'Opening Balances'!V47)*'Opening Balances'!$V$81</f>
        <v>0</v>
      </c>
      <c r="W170" s="121">
        <f>(W$100-V$100)</f>
        <v>0</v>
      </c>
      <c r="X170" s="121">
        <f>(X$100-W$100)</f>
        <v>0</v>
      </c>
      <c r="Y170" s="121">
        <f>(Y$100-X$100)</f>
        <v>0</v>
      </c>
      <c r="Z170" s="157"/>
      <c r="AA170" s="13">
        <f>(AA$100-V$100)</f>
        <v>0</v>
      </c>
      <c r="AB170" s="121">
        <f t="shared" ref="AB170:BJ170" si="189">(AB$100-AA$100)</f>
        <v>0</v>
      </c>
      <c r="AC170" s="121">
        <f t="shared" si="189"/>
        <v>0</v>
      </c>
      <c r="AD170" s="121">
        <f t="shared" si="189"/>
        <v>0</v>
      </c>
      <c r="AE170" s="121">
        <f t="shared" si="189"/>
        <v>0</v>
      </c>
      <c r="AF170" s="121">
        <f t="shared" si="189"/>
        <v>0</v>
      </c>
      <c r="AG170" s="121">
        <f t="shared" si="189"/>
        <v>0</v>
      </c>
      <c r="AH170" s="121">
        <f t="shared" si="189"/>
        <v>0</v>
      </c>
      <c r="AI170" s="121">
        <f t="shared" si="189"/>
        <v>0</v>
      </c>
      <c r="AJ170" s="121">
        <f t="shared" si="189"/>
        <v>0</v>
      </c>
      <c r="AK170" s="121">
        <f t="shared" si="189"/>
        <v>0</v>
      </c>
      <c r="AL170" s="121">
        <f t="shared" si="189"/>
        <v>0</v>
      </c>
      <c r="AM170" s="121">
        <f t="shared" si="189"/>
        <v>0</v>
      </c>
      <c r="AN170" s="121">
        <f t="shared" si="189"/>
        <v>0</v>
      </c>
      <c r="AO170" s="121">
        <f t="shared" si="189"/>
        <v>0</v>
      </c>
      <c r="AP170" s="121">
        <f t="shared" si="189"/>
        <v>0</v>
      </c>
      <c r="AQ170" s="121">
        <f t="shared" si="189"/>
        <v>0</v>
      </c>
      <c r="AR170" s="121">
        <f t="shared" si="189"/>
        <v>0</v>
      </c>
      <c r="AS170" s="121">
        <f t="shared" si="189"/>
        <v>0</v>
      </c>
      <c r="AT170" s="121">
        <f t="shared" si="189"/>
        <v>0</v>
      </c>
      <c r="AU170" s="121">
        <f t="shared" si="189"/>
        <v>0</v>
      </c>
      <c r="AV170" s="121">
        <f t="shared" si="189"/>
        <v>0</v>
      </c>
      <c r="AW170" s="121">
        <f t="shared" si="189"/>
        <v>0</v>
      </c>
      <c r="AX170" s="121">
        <f t="shared" si="189"/>
        <v>0</v>
      </c>
      <c r="AY170" s="121">
        <f t="shared" si="189"/>
        <v>0</v>
      </c>
      <c r="AZ170" s="121">
        <f t="shared" si="189"/>
        <v>0</v>
      </c>
      <c r="BA170" s="121">
        <f t="shared" si="189"/>
        <v>0</v>
      </c>
      <c r="BB170" s="121">
        <f t="shared" si="189"/>
        <v>0</v>
      </c>
      <c r="BC170" s="121">
        <f t="shared" si="189"/>
        <v>0</v>
      </c>
      <c r="BD170" s="121">
        <f t="shared" si="189"/>
        <v>0</v>
      </c>
      <c r="BE170" s="121">
        <f t="shared" si="189"/>
        <v>0</v>
      </c>
      <c r="BF170" s="121">
        <f t="shared" si="189"/>
        <v>0</v>
      </c>
      <c r="BG170" s="121">
        <f t="shared" si="189"/>
        <v>0</v>
      </c>
      <c r="BH170" s="121">
        <f t="shared" si="189"/>
        <v>0</v>
      </c>
      <c r="BI170" s="121">
        <f t="shared" si="189"/>
        <v>0</v>
      </c>
      <c r="BJ170" s="121">
        <f t="shared" si="189"/>
        <v>0</v>
      </c>
      <c r="BK170" s="157"/>
      <c r="BL170" s="13">
        <f t="shared" si="151"/>
        <v>0</v>
      </c>
      <c r="BM170" s="121">
        <f>(BM$100-BL$100)</f>
        <v>0</v>
      </c>
      <c r="BN170" s="121">
        <f t="shared" ref="BN170:BW170" si="190">(BN$100-BM$100)</f>
        <v>0</v>
      </c>
      <c r="BO170" s="121">
        <f t="shared" si="190"/>
        <v>0</v>
      </c>
      <c r="BP170" s="121">
        <f t="shared" si="190"/>
        <v>0</v>
      </c>
      <c r="BQ170" s="121">
        <f t="shared" si="190"/>
        <v>0</v>
      </c>
      <c r="BR170" s="121">
        <f t="shared" si="190"/>
        <v>0</v>
      </c>
      <c r="BS170" s="121">
        <f t="shared" si="190"/>
        <v>0</v>
      </c>
      <c r="BT170" s="121">
        <f t="shared" si="190"/>
        <v>0</v>
      </c>
      <c r="BU170" s="121">
        <f t="shared" si="190"/>
        <v>0</v>
      </c>
      <c r="BV170" s="121">
        <f t="shared" si="190"/>
        <v>0</v>
      </c>
      <c r="BW170" s="121">
        <f t="shared" si="190"/>
        <v>0</v>
      </c>
      <c r="BX170" s="157"/>
      <c r="BY170" s="12"/>
      <c r="CB170" s="335"/>
      <c r="CC170" s="126">
        <f t="shared" si="153"/>
        <v>0</v>
      </c>
      <c r="CD170" s="126">
        <f t="shared" si="154"/>
        <v>0</v>
      </c>
      <c r="CE170" s="126">
        <f t="shared" si="155"/>
        <v>0</v>
      </c>
      <c r="CF170" s="42"/>
      <c r="CG170" s="352">
        <f t="shared" si="156"/>
        <v>0</v>
      </c>
      <c r="CH170" s="352">
        <f t="shared" si="157"/>
        <v>0</v>
      </c>
      <c r="CI170" s="352">
        <f t="shared" si="158"/>
        <v>0</v>
      </c>
      <c r="CJ170" s="352">
        <f t="shared" si="159"/>
        <v>0</v>
      </c>
      <c r="CK170" s="352">
        <f t="shared" si="160"/>
        <v>0</v>
      </c>
      <c r="CL170" s="352">
        <f t="shared" si="161"/>
        <v>0</v>
      </c>
      <c r="CM170" s="352">
        <f t="shared" si="162"/>
        <v>0</v>
      </c>
      <c r="EX170" s="10" t="str">
        <f t="shared" si="135"/>
        <v>Movement in AEB Clawback</v>
      </c>
    </row>
    <row r="171" spans="1:154" s="335" customFormat="1" ht="22.5" x14ac:dyDescent="0.25">
      <c r="A171" s="362" cm="1">
        <f t="array" aca="1" ref="A171" ca="1">HYPERLINK(CONCATENATE("#",CELL("address",IF(SUM($BY171:$CF171)=0,A171,INDEX($BY171:$CF171,MATCH(1,$BY171:$CF171,0))))),SUM($BY171:$CF171))</f>
        <v>0</v>
      </c>
      <c r="B171" s="157"/>
      <c r="C171" s="343" t="s">
        <v>1484</v>
      </c>
      <c r="D171" s="529" t="s">
        <v>961</v>
      </c>
      <c r="E171" s="181" t="str" cm="1">
        <f t="array" aca="1" ref="E171" ca="1">HYPERLINK(CONCATENATE("#",CELL("address",'BS Forecasts'!$D$216)),LEFT('BS Forecasts'!$D$213,23))</f>
        <v>Other Provisions</v>
      </c>
      <c r="F171" s="180"/>
      <c r="G171" s="162"/>
      <c r="H171" s="180"/>
      <c r="I171" s="157"/>
      <c r="J171" s="157"/>
      <c r="K171" s="157"/>
      <c r="L171" s="157"/>
      <c r="M171" s="157"/>
      <c r="N171" s="157"/>
      <c r="O171" s="157"/>
      <c r="P171" s="157"/>
      <c r="Q171" s="157"/>
      <c r="R171" s="157"/>
      <c r="S171" s="157"/>
      <c r="T171" s="157"/>
      <c r="U171" s="157"/>
      <c r="V171" s="121">
        <f>'BS Forecasts'!V$216</f>
        <v>0</v>
      </c>
      <c r="W171" s="121">
        <f>'BS Forecasts'!W$216</f>
        <v>0</v>
      </c>
      <c r="X171" s="121">
        <f>'BS Forecasts'!X$216</f>
        <v>0</v>
      </c>
      <c r="Y171" s="121">
        <f>'BS Forecasts'!Y$216</f>
        <v>0</v>
      </c>
      <c r="Z171" s="157"/>
      <c r="AA171" s="121">
        <f>'BS Forecasts'!AA$216</f>
        <v>0</v>
      </c>
      <c r="AB171" s="121">
        <f>'BS Forecasts'!AB$216</f>
        <v>0</v>
      </c>
      <c r="AC171" s="121">
        <f>'BS Forecasts'!AC$216</f>
        <v>0</v>
      </c>
      <c r="AD171" s="121">
        <f>'BS Forecasts'!AD$216</f>
        <v>0</v>
      </c>
      <c r="AE171" s="121">
        <f>'BS Forecasts'!AE$216</f>
        <v>0</v>
      </c>
      <c r="AF171" s="121">
        <f>'BS Forecasts'!AF$216</f>
        <v>0</v>
      </c>
      <c r="AG171" s="121">
        <f>'BS Forecasts'!AG$216</f>
        <v>0</v>
      </c>
      <c r="AH171" s="121">
        <f>'BS Forecasts'!AH$216</f>
        <v>0</v>
      </c>
      <c r="AI171" s="121">
        <f>'BS Forecasts'!AI$216</f>
        <v>0</v>
      </c>
      <c r="AJ171" s="121">
        <f>'BS Forecasts'!AJ$216</f>
        <v>0</v>
      </c>
      <c r="AK171" s="121">
        <f>'BS Forecasts'!AK$216</f>
        <v>0</v>
      </c>
      <c r="AL171" s="121">
        <f>'BS Forecasts'!AL$216</f>
        <v>0</v>
      </c>
      <c r="AM171" s="121">
        <f>'BS Forecasts'!AM$216</f>
        <v>0</v>
      </c>
      <c r="AN171" s="121">
        <f>'BS Forecasts'!AN$216</f>
        <v>0</v>
      </c>
      <c r="AO171" s="121">
        <f>'BS Forecasts'!AO$216</f>
        <v>0</v>
      </c>
      <c r="AP171" s="121">
        <f>'BS Forecasts'!AP$216</f>
        <v>0</v>
      </c>
      <c r="AQ171" s="121">
        <f>'BS Forecasts'!AQ$216</f>
        <v>0</v>
      </c>
      <c r="AR171" s="121">
        <f>'BS Forecasts'!AR$216</f>
        <v>0</v>
      </c>
      <c r="AS171" s="121">
        <f>'BS Forecasts'!AS$216</f>
        <v>0</v>
      </c>
      <c r="AT171" s="121">
        <f>'BS Forecasts'!AT$216</f>
        <v>0</v>
      </c>
      <c r="AU171" s="121">
        <f>'BS Forecasts'!AU$216</f>
        <v>0</v>
      </c>
      <c r="AV171" s="121">
        <f>'BS Forecasts'!AV$216</f>
        <v>0</v>
      </c>
      <c r="AW171" s="121">
        <f>'BS Forecasts'!AW$216</f>
        <v>0</v>
      </c>
      <c r="AX171" s="121">
        <f>'BS Forecasts'!AX$216</f>
        <v>0</v>
      </c>
      <c r="AY171" s="121">
        <f>'BS Forecasts'!AY$216</f>
        <v>0</v>
      </c>
      <c r="AZ171" s="121">
        <f>'BS Forecasts'!AZ$216</f>
        <v>0</v>
      </c>
      <c r="BA171" s="121">
        <f>'BS Forecasts'!BA$216</f>
        <v>0</v>
      </c>
      <c r="BB171" s="121">
        <f>'BS Forecasts'!BB$216</f>
        <v>0</v>
      </c>
      <c r="BC171" s="121">
        <f>'BS Forecasts'!BC$216</f>
        <v>0</v>
      </c>
      <c r="BD171" s="121">
        <f>'BS Forecasts'!BD$216</f>
        <v>0</v>
      </c>
      <c r="BE171" s="121">
        <f>'BS Forecasts'!BE$216</f>
        <v>0</v>
      </c>
      <c r="BF171" s="121">
        <f>'BS Forecasts'!BF$216</f>
        <v>0</v>
      </c>
      <c r="BG171" s="121">
        <f>'BS Forecasts'!BG$216</f>
        <v>0</v>
      </c>
      <c r="BH171" s="121">
        <f>'BS Forecasts'!BH$216</f>
        <v>0</v>
      </c>
      <c r="BI171" s="121">
        <f>'BS Forecasts'!BI$216</f>
        <v>0</v>
      </c>
      <c r="BJ171" s="121">
        <f>'BS Forecasts'!BJ$216</f>
        <v>0</v>
      </c>
      <c r="BK171" s="157"/>
      <c r="BL171" s="121">
        <f>'BS Forecasts'!BL$216</f>
        <v>0</v>
      </c>
      <c r="BM171" s="121">
        <f>'BS Forecasts'!BM$216</f>
        <v>0</v>
      </c>
      <c r="BN171" s="121">
        <f>'BS Forecasts'!BN$216</f>
        <v>0</v>
      </c>
      <c r="BO171" s="121">
        <f>'BS Forecasts'!BO$216</f>
        <v>0</v>
      </c>
      <c r="BP171" s="121">
        <f>'BS Forecasts'!BP$216</f>
        <v>0</v>
      </c>
      <c r="BQ171" s="121">
        <f>'BS Forecasts'!BQ$216</f>
        <v>0</v>
      </c>
      <c r="BR171" s="121">
        <f>'BS Forecasts'!BR$216</f>
        <v>0</v>
      </c>
      <c r="BS171" s="121">
        <f>'BS Forecasts'!BS$216</f>
        <v>0</v>
      </c>
      <c r="BT171" s="121">
        <f>'BS Forecasts'!BT$216</f>
        <v>0</v>
      </c>
      <c r="BU171" s="121">
        <f>'BS Forecasts'!BU$216</f>
        <v>0</v>
      </c>
      <c r="BV171" s="121">
        <f>'BS Forecasts'!BV$216</f>
        <v>0</v>
      </c>
      <c r="BW171" s="121">
        <f>'BS Forecasts'!BW$216</f>
        <v>0</v>
      </c>
      <c r="BX171" s="157"/>
      <c r="BY171" s="12"/>
      <c r="CC171" s="126">
        <f t="shared" si="153"/>
        <v>0</v>
      </c>
      <c r="CD171" s="126">
        <f t="shared" si="154"/>
        <v>0</v>
      </c>
      <c r="CE171" s="126">
        <f t="shared" si="155"/>
        <v>0</v>
      </c>
      <c r="CF171" s="42"/>
      <c r="CG171" s="352">
        <f t="shared" si="156"/>
        <v>0</v>
      </c>
      <c r="CH171" s="352">
        <f t="shared" si="157"/>
        <v>0</v>
      </c>
      <c r="CI171" s="352">
        <f t="shared" si="158"/>
        <v>0</v>
      </c>
      <c r="CJ171" s="352">
        <f t="shared" si="159"/>
        <v>0</v>
      </c>
      <c r="CK171" s="352">
        <f t="shared" si="160"/>
        <v>0</v>
      </c>
      <c r="CL171" s="352">
        <f t="shared" si="161"/>
        <v>0</v>
      </c>
      <c r="CM171" s="352">
        <f t="shared" si="162"/>
        <v>0</v>
      </c>
      <c r="EX171" s="10" t="str">
        <f t="shared" si="135"/>
        <v>Other provisions cash payment</v>
      </c>
    </row>
    <row r="172" spans="1:154" s="335" customFormat="1" ht="22.5" x14ac:dyDescent="0.25">
      <c r="A172" s="362" cm="1">
        <f t="array" aca="1" ref="A172" ca="1">HYPERLINK(CONCATENATE("#",CELL("address",IF(SUM($BY172:$CF172)=0,A172,INDEX($BY172:$CF172,MATCH(1,$BY172:$CF172,0))))),SUM($BY172:$CF172))</f>
        <v>0</v>
      </c>
      <c r="B172" s="157"/>
      <c r="C172" s="343" t="s">
        <v>1485</v>
      </c>
      <c r="D172" s="529" t="s">
        <v>955</v>
      </c>
      <c r="E172" s="181" t="str" cm="1">
        <f t="array" aca="1" ref="E172" ca="1">HYPERLINK(CONCATENATE("#",CELL("address",'BS Forecasts'!$D$79)),LEFT('BS Forecasts'!$D$78,23))</f>
        <v>Short-term Investments</v>
      </c>
      <c r="F172" s="180"/>
      <c r="G172" s="162"/>
      <c r="H172" s="180"/>
      <c r="I172" s="157"/>
      <c r="J172" s="157"/>
      <c r="K172" s="157"/>
      <c r="L172" s="157"/>
      <c r="M172" s="157"/>
      <c r="N172" s="157"/>
      <c r="O172" s="157"/>
      <c r="P172" s="157"/>
      <c r="Q172" s="157"/>
      <c r="R172" s="157"/>
      <c r="S172" s="157"/>
      <c r="T172" s="157"/>
      <c r="U172" s="157"/>
      <c r="V172" s="13">
        <f>0-('Opening Balances'!W28-'Opening Balances'!V28)*'Opening Balances'!$V$81</f>
        <v>0</v>
      </c>
      <c r="W172" s="121">
        <f>0-(W$83-V$83)</f>
        <v>3911</v>
      </c>
      <c r="X172" s="121">
        <f t="shared" ref="X172:BJ172" si="191">0-(X$83-W$83)</f>
        <v>312</v>
      </c>
      <c r="Y172" s="121">
        <f t="shared" si="191"/>
        <v>0</v>
      </c>
      <c r="Z172" s="157"/>
      <c r="AA172" s="13">
        <f>0-(AA$83-V$83)</f>
        <v>3911</v>
      </c>
      <c r="AB172" s="121">
        <f t="shared" si="191"/>
        <v>0</v>
      </c>
      <c r="AC172" s="121">
        <f t="shared" si="191"/>
        <v>0</v>
      </c>
      <c r="AD172" s="121">
        <f t="shared" si="191"/>
        <v>0</v>
      </c>
      <c r="AE172" s="121">
        <f t="shared" si="191"/>
        <v>0</v>
      </c>
      <c r="AF172" s="121">
        <f t="shared" si="191"/>
        <v>0</v>
      </c>
      <c r="AG172" s="121">
        <f t="shared" si="191"/>
        <v>0</v>
      </c>
      <c r="AH172" s="121">
        <f t="shared" si="191"/>
        <v>0</v>
      </c>
      <c r="AI172" s="121">
        <f t="shared" si="191"/>
        <v>0</v>
      </c>
      <c r="AJ172" s="121">
        <f t="shared" si="191"/>
        <v>0</v>
      </c>
      <c r="AK172" s="121">
        <f t="shared" si="191"/>
        <v>0</v>
      </c>
      <c r="AL172" s="121">
        <f t="shared" si="191"/>
        <v>0</v>
      </c>
      <c r="AM172" s="121">
        <f t="shared" si="191"/>
        <v>312</v>
      </c>
      <c r="AN172" s="121">
        <f t="shared" si="191"/>
        <v>0</v>
      </c>
      <c r="AO172" s="121">
        <f t="shared" si="191"/>
        <v>0</v>
      </c>
      <c r="AP172" s="121">
        <f t="shared" si="191"/>
        <v>0</v>
      </c>
      <c r="AQ172" s="121">
        <f t="shared" si="191"/>
        <v>0</v>
      </c>
      <c r="AR172" s="121">
        <f t="shared" si="191"/>
        <v>0</v>
      </c>
      <c r="AS172" s="121">
        <f t="shared" si="191"/>
        <v>0</v>
      </c>
      <c r="AT172" s="121">
        <f t="shared" si="191"/>
        <v>0</v>
      </c>
      <c r="AU172" s="121">
        <f t="shared" si="191"/>
        <v>0</v>
      </c>
      <c r="AV172" s="121">
        <f t="shared" si="191"/>
        <v>0</v>
      </c>
      <c r="AW172" s="121">
        <f t="shared" si="191"/>
        <v>0</v>
      </c>
      <c r="AX172" s="121">
        <f t="shared" si="191"/>
        <v>0</v>
      </c>
      <c r="AY172" s="121">
        <f t="shared" si="191"/>
        <v>0</v>
      </c>
      <c r="AZ172" s="121">
        <f t="shared" si="191"/>
        <v>0</v>
      </c>
      <c r="BA172" s="121">
        <f t="shared" si="191"/>
        <v>0</v>
      </c>
      <c r="BB172" s="121">
        <f t="shared" si="191"/>
        <v>0</v>
      </c>
      <c r="BC172" s="121">
        <f t="shared" si="191"/>
        <v>0</v>
      </c>
      <c r="BD172" s="121">
        <f t="shared" si="191"/>
        <v>0</v>
      </c>
      <c r="BE172" s="121">
        <f t="shared" si="191"/>
        <v>0</v>
      </c>
      <c r="BF172" s="121">
        <f t="shared" si="191"/>
        <v>0</v>
      </c>
      <c r="BG172" s="121">
        <f t="shared" si="191"/>
        <v>0</v>
      </c>
      <c r="BH172" s="121">
        <f t="shared" si="191"/>
        <v>0</v>
      </c>
      <c r="BI172" s="121">
        <f t="shared" si="191"/>
        <v>0</v>
      </c>
      <c r="BJ172" s="121">
        <f t="shared" si="191"/>
        <v>0</v>
      </c>
      <c r="BK172" s="157"/>
      <c r="BL172" s="13">
        <f>V172</f>
        <v>0</v>
      </c>
      <c r="BM172" s="121">
        <f t="shared" ref="BM172:BW172" si="192">0-(BM$83-BL$83)</f>
        <v>3911</v>
      </c>
      <c r="BN172" s="121">
        <f>0-(BN$83-BM$83)</f>
        <v>312</v>
      </c>
      <c r="BO172" s="121">
        <f t="shared" si="192"/>
        <v>0</v>
      </c>
      <c r="BP172" s="121">
        <f t="shared" si="192"/>
        <v>3688</v>
      </c>
      <c r="BQ172" s="121">
        <f t="shared" si="192"/>
        <v>0</v>
      </c>
      <c r="BR172" s="121">
        <f t="shared" si="192"/>
        <v>0</v>
      </c>
      <c r="BS172" s="121">
        <f t="shared" si="192"/>
        <v>0</v>
      </c>
      <c r="BT172" s="121">
        <f t="shared" si="192"/>
        <v>0</v>
      </c>
      <c r="BU172" s="121">
        <f t="shared" si="192"/>
        <v>0</v>
      </c>
      <c r="BV172" s="121">
        <f t="shared" si="192"/>
        <v>0</v>
      </c>
      <c r="BW172" s="121">
        <f t="shared" si="192"/>
        <v>0</v>
      </c>
      <c r="BX172" s="157"/>
      <c r="BY172" s="12"/>
      <c r="CC172" s="126">
        <f t="shared" si="153"/>
        <v>0</v>
      </c>
      <c r="CD172" s="126">
        <f t="shared" si="154"/>
        <v>0</v>
      </c>
      <c r="CE172" s="126">
        <f t="shared" si="155"/>
        <v>0</v>
      </c>
      <c r="CF172" s="42"/>
      <c r="CG172" s="352">
        <f t="shared" si="156"/>
        <v>0</v>
      </c>
      <c r="CH172" s="352">
        <f t="shared" si="157"/>
        <v>0</v>
      </c>
      <c r="CI172" s="352">
        <f t="shared" si="158"/>
        <v>0</v>
      </c>
      <c r="CJ172" s="352">
        <f t="shared" si="159"/>
        <v>0</v>
      </c>
      <c r="CK172" s="352">
        <f t="shared" si="160"/>
        <v>0</v>
      </c>
      <c r="CL172" s="352">
        <f t="shared" si="161"/>
        <v>0</v>
      </c>
      <c r="CM172" s="352">
        <f t="shared" si="162"/>
        <v>0</v>
      </c>
      <c r="EX172" s="10" t="str">
        <f t="shared" si="135"/>
        <v>Movement in short term investments</v>
      </c>
    </row>
    <row r="173" spans="1:154" x14ac:dyDescent="0.25">
      <c r="A173" s="157"/>
      <c r="B173" s="157"/>
      <c r="C173" s="343" t="s">
        <v>1486</v>
      </c>
      <c r="D173" s="554" t="s">
        <v>574</v>
      </c>
      <c r="E173" s="182"/>
      <c r="F173" s="180"/>
      <c r="G173" s="180"/>
      <c r="H173" s="180"/>
      <c r="I173" s="157"/>
      <c r="J173" s="157"/>
      <c r="K173" s="157"/>
      <c r="L173" s="157"/>
      <c r="M173" s="157"/>
      <c r="N173" s="157"/>
      <c r="O173" s="157"/>
      <c r="P173" s="157"/>
      <c r="Q173" s="157"/>
      <c r="R173" s="157"/>
      <c r="S173" s="157"/>
      <c r="T173" s="157"/>
      <c r="U173" s="157"/>
      <c r="V173" s="13">
        <f>SUM(V157:V172)*V$9</f>
        <v>0</v>
      </c>
      <c r="W173" s="13">
        <f>SUM(W157:W172)*W$9</f>
        <v>3404</v>
      </c>
      <c r="X173" s="13">
        <f>SUM(X157:X172)*X$9</f>
        <v>379</v>
      </c>
      <c r="Y173" s="13">
        <f>SUM(Y157:Y172)*Y$9</f>
        <v>-60</v>
      </c>
      <c r="Z173" s="157"/>
      <c r="AA173" s="13">
        <f t="shared" ref="AA173:BJ173" si="193">SUM(AA157:AA172)*AA$9</f>
        <v>3504</v>
      </c>
      <c r="AB173" s="13">
        <f t="shared" si="193"/>
        <v>-200</v>
      </c>
      <c r="AC173" s="13">
        <f t="shared" si="193"/>
        <v>100</v>
      </c>
      <c r="AD173" s="13">
        <f t="shared" si="193"/>
        <v>200</v>
      </c>
      <c r="AE173" s="13">
        <f t="shared" si="193"/>
        <v>0</v>
      </c>
      <c r="AF173" s="13">
        <f t="shared" si="193"/>
        <v>0</v>
      </c>
      <c r="AG173" s="13">
        <f t="shared" si="193"/>
        <v>0</v>
      </c>
      <c r="AH173" s="13">
        <f t="shared" si="193"/>
        <v>0</v>
      </c>
      <c r="AI173" s="13">
        <f t="shared" si="193"/>
        <v>100</v>
      </c>
      <c r="AJ173" s="13">
        <f t="shared" si="193"/>
        <v>0</v>
      </c>
      <c r="AK173" s="13">
        <f t="shared" si="193"/>
        <v>50</v>
      </c>
      <c r="AL173" s="13">
        <f t="shared" si="193"/>
        <v>-350</v>
      </c>
      <c r="AM173" s="13">
        <f t="shared" si="193"/>
        <v>797</v>
      </c>
      <c r="AN173" s="13">
        <f t="shared" si="193"/>
        <v>-129</v>
      </c>
      <c r="AO173" s="13">
        <f t="shared" si="193"/>
        <v>0</v>
      </c>
      <c r="AP173" s="13">
        <f t="shared" si="193"/>
        <v>0</v>
      </c>
      <c r="AQ173" s="13">
        <f t="shared" si="193"/>
        <v>0</v>
      </c>
      <c r="AR173" s="13">
        <f t="shared" si="193"/>
        <v>-300</v>
      </c>
      <c r="AS173" s="13">
        <f t="shared" si="193"/>
        <v>100</v>
      </c>
      <c r="AT173" s="13">
        <f t="shared" si="193"/>
        <v>0</v>
      </c>
      <c r="AU173" s="13">
        <f t="shared" si="193"/>
        <v>0</v>
      </c>
      <c r="AV173" s="13">
        <f t="shared" si="193"/>
        <v>0</v>
      </c>
      <c r="AW173" s="13">
        <f t="shared" si="193"/>
        <v>0</v>
      </c>
      <c r="AX173" s="13">
        <f t="shared" si="193"/>
        <v>-89</v>
      </c>
      <c r="AY173" s="13">
        <f t="shared" si="193"/>
        <v>199</v>
      </c>
      <c r="AZ173" s="13">
        <f t="shared" si="193"/>
        <v>-100</v>
      </c>
      <c r="BA173" s="13">
        <f t="shared" si="193"/>
        <v>0</v>
      </c>
      <c r="BB173" s="13">
        <f t="shared" si="193"/>
        <v>0</v>
      </c>
      <c r="BC173" s="13">
        <f t="shared" si="193"/>
        <v>0</v>
      </c>
      <c r="BD173" s="13">
        <f t="shared" si="193"/>
        <v>-150</v>
      </c>
      <c r="BE173" s="13">
        <f t="shared" si="193"/>
        <v>0</v>
      </c>
      <c r="BF173" s="13">
        <f t="shared" si="193"/>
        <v>0</v>
      </c>
      <c r="BG173" s="13">
        <f t="shared" si="193"/>
        <v>100</v>
      </c>
      <c r="BH173" s="13">
        <f t="shared" si="193"/>
        <v>0</v>
      </c>
      <c r="BI173" s="13">
        <f t="shared" si="193"/>
        <v>0</v>
      </c>
      <c r="BJ173" s="13">
        <f t="shared" si="193"/>
        <v>-109</v>
      </c>
      <c r="BK173" s="157"/>
      <c r="BL173" s="13">
        <f t="shared" ref="BL173:BW173" si="194">SUM(BL157:BL172)*BL$9</f>
        <v>0</v>
      </c>
      <c r="BM173" s="13">
        <f t="shared" si="194"/>
        <v>3404</v>
      </c>
      <c r="BN173" s="13">
        <f t="shared" si="194"/>
        <v>379</v>
      </c>
      <c r="BO173" s="13">
        <f t="shared" si="194"/>
        <v>-60</v>
      </c>
      <c r="BP173" s="13">
        <f t="shared" si="194"/>
        <v>0</v>
      </c>
      <c r="BQ173" s="13">
        <f t="shared" si="194"/>
        <v>0</v>
      </c>
      <c r="BR173" s="13">
        <f t="shared" si="194"/>
        <v>0</v>
      </c>
      <c r="BS173" s="13">
        <f t="shared" si="194"/>
        <v>0</v>
      </c>
      <c r="BT173" s="13">
        <f t="shared" si="194"/>
        <v>0</v>
      </c>
      <c r="BU173" s="13">
        <f t="shared" si="194"/>
        <v>0</v>
      </c>
      <c r="BV173" s="13">
        <f t="shared" si="194"/>
        <v>0</v>
      </c>
      <c r="BW173" s="13">
        <f t="shared" si="194"/>
        <v>0</v>
      </c>
      <c r="BX173" s="157"/>
      <c r="BY173" s="12"/>
      <c r="CC173" s="162"/>
      <c r="CD173" s="162"/>
      <c r="CE173" s="162"/>
      <c r="CF173" s="42"/>
      <c r="EX173" s="10" t="str">
        <f t="shared" si="135"/>
        <v>Total working capital movements</v>
      </c>
    </row>
    <row r="174" spans="1:154" ht="8.1" customHeight="1" x14ac:dyDescent="0.25">
      <c r="A174" s="157"/>
      <c r="B174" s="157"/>
      <c r="C174" s="343"/>
      <c r="D174" s="556"/>
      <c r="E174" s="180"/>
      <c r="F174" s="180"/>
      <c r="G174" s="180"/>
      <c r="H174" s="180"/>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c r="AT174" s="157"/>
      <c r="AU174" s="157"/>
      <c r="AV174" s="157"/>
      <c r="AW174" s="157"/>
      <c r="AX174" s="157"/>
      <c r="AY174" s="157"/>
      <c r="AZ174" s="157"/>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42"/>
      <c r="CC174" s="162"/>
      <c r="CD174" s="162"/>
      <c r="CE174" s="162"/>
      <c r="CF174" s="42"/>
      <c r="EX174" s="10" t="str">
        <f t="shared" si="135"/>
        <v/>
      </c>
    </row>
    <row r="175" spans="1:154" x14ac:dyDescent="0.25">
      <c r="A175" s="157"/>
      <c r="B175" s="175"/>
      <c r="C175" s="343"/>
      <c r="D175" s="554" t="s">
        <v>575</v>
      </c>
      <c r="E175" s="182"/>
      <c r="F175" s="180"/>
      <c r="G175" s="180"/>
      <c r="H175" s="180"/>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2"/>
      <c r="CC175" s="162"/>
      <c r="CD175" s="162"/>
      <c r="CE175" s="162"/>
      <c r="CF175" s="42"/>
      <c r="EX175" s="10" t="str">
        <f t="shared" si="135"/>
        <v/>
      </c>
    </row>
    <row r="176" spans="1:154" ht="45" x14ac:dyDescent="0.25">
      <c r="A176" s="362" cm="1">
        <f t="array" aca="1" ref="A176" ca="1">HYPERLINK(CONCATENATE("#",CELL("address",IF(SUM($BY176:$CF176)=0,A176,INDEX($BY176:$CF176,MATCH(1,$BY176:$CF176,0))))),SUM($BY176:$CF176))</f>
        <v>0</v>
      </c>
      <c r="B176" s="157"/>
      <c r="C176" s="343" t="s">
        <v>1487</v>
      </c>
      <c r="D176" s="556" t="s">
        <v>576</v>
      </c>
      <c r="E176" s="181" t="str" cm="1">
        <f t="array" aca="1" ref="E176" ca="1">HYPERLINK(CONCATENATE("#",CELL("address",'I&amp;E Monthly'!$D$169)),'I&amp;E Monthly'!$D$169)</f>
        <v>Interest and investment income</v>
      </c>
      <c r="F176" s="181" t="str" cm="1">
        <f t="array" aca="1" ref="F176" ca="1">HYPERLINK(CONCATENATE("#",CELL("address",'I&amp;E Monthly'!$D$170)),'I&amp;E Monthly'!$D$170)</f>
        <v>Interest and other finance costs</v>
      </c>
      <c r="G176" s="181" t="str" cm="1">
        <f t="array" aca="1" ref="G176" ca="1">HYPERLINK(CONCATENATE("#",CELL("address",'I&amp;E Monthly'!$D$171)),LEFT('I&amp;E Monthly'!$D$171, 34))</f>
        <v>FRS102 adj. - LGPS and EPP net int</v>
      </c>
      <c r="H176" s="180"/>
      <c r="I176" s="157"/>
      <c r="J176" s="157"/>
      <c r="K176" s="157"/>
      <c r="L176" s="157"/>
      <c r="M176" s="157"/>
      <c r="N176" s="157"/>
      <c r="O176" s="157"/>
      <c r="P176" s="157"/>
      <c r="Q176" s="157"/>
      <c r="R176" s="157"/>
      <c r="S176" s="157"/>
      <c r="T176" s="157"/>
      <c r="U176" s="157"/>
      <c r="V176" s="121">
        <f>SUM(V41:V42)-V40</f>
        <v>0</v>
      </c>
      <c r="W176" s="121">
        <f>SUM(W41:W42)-W40</f>
        <v>145</v>
      </c>
      <c r="X176" s="121">
        <f>SUM(X41:X42)-X40</f>
        <v>135</v>
      </c>
      <c r="Y176" s="121">
        <f>SUM(Y41:Y42)-Y40</f>
        <v>133</v>
      </c>
      <c r="Z176" s="157"/>
      <c r="AA176" s="121">
        <f t="shared" ref="AA176:BJ176" si="195">SUM(AA41:AA42)-AA40</f>
        <v>25</v>
      </c>
      <c r="AB176" s="121">
        <f t="shared" si="195"/>
        <v>6</v>
      </c>
      <c r="AC176" s="121">
        <f t="shared" si="195"/>
        <v>6</v>
      </c>
      <c r="AD176" s="121">
        <f t="shared" si="195"/>
        <v>24</v>
      </c>
      <c r="AE176" s="121">
        <f t="shared" si="195"/>
        <v>6</v>
      </c>
      <c r="AF176" s="121">
        <f t="shared" si="195"/>
        <v>6</v>
      </c>
      <c r="AG176" s="121">
        <f t="shared" si="195"/>
        <v>24</v>
      </c>
      <c r="AH176" s="121">
        <f t="shared" si="195"/>
        <v>6</v>
      </c>
      <c r="AI176" s="121">
        <f t="shared" si="195"/>
        <v>6</v>
      </c>
      <c r="AJ176" s="121">
        <f t="shared" si="195"/>
        <v>24</v>
      </c>
      <c r="AK176" s="121">
        <f t="shared" si="195"/>
        <v>6</v>
      </c>
      <c r="AL176" s="121">
        <f t="shared" si="195"/>
        <v>6</v>
      </c>
      <c r="AM176" s="121">
        <f t="shared" si="195"/>
        <v>25</v>
      </c>
      <c r="AN176" s="121">
        <f t="shared" si="195"/>
        <v>6</v>
      </c>
      <c r="AO176" s="121">
        <f t="shared" si="195"/>
        <v>5</v>
      </c>
      <c r="AP176" s="121">
        <f t="shared" si="195"/>
        <v>23</v>
      </c>
      <c r="AQ176" s="121">
        <f t="shared" si="195"/>
        <v>5</v>
      </c>
      <c r="AR176" s="121">
        <f t="shared" si="195"/>
        <v>5</v>
      </c>
      <c r="AS176" s="121">
        <f t="shared" si="195"/>
        <v>23</v>
      </c>
      <c r="AT176" s="121">
        <f t="shared" si="195"/>
        <v>5</v>
      </c>
      <c r="AU176" s="121">
        <f t="shared" si="195"/>
        <v>5</v>
      </c>
      <c r="AV176" s="121">
        <f t="shared" si="195"/>
        <v>23</v>
      </c>
      <c r="AW176" s="121">
        <f t="shared" si="195"/>
        <v>5</v>
      </c>
      <c r="AX176" s="121">
        <f t="shared" si="195"/>
        <v>5</v>
      </c>
      <c r="AY176" s="121">
        <f t="shared" si="195"/>
        <v>24</v>
      </c>
      <c r="AZ176" s="121">
        <f t="shared" si="195"/>
        <v>5</v>
      </c>
      <c r="BA176" s="121">
        <f t="shared" si="195"/>
        <v>5</v>
      </c>
      <c r="BB176" s="121">
        <f t="shared" si="195"/>
        <v>23</v>
      </c>
      <c r="BC176" s="121">
        <f t="shared" si="195"/>
        <v>5</v>
      </c>
      <c r="BD176" s="121">
        <f t="shared" si="195"/>
        <v>5</v>
      </c>
      <c r="BE176" s="121">
        <f t="shared" si="195"/>
        <v>23</v>
      </c>
      <c r="BF176" s="121">
        <f t="shared" si="195"/>
        <v>5</v>
      </c>
      <c r="BG176" s="121">
        <f t="shared" si="195"/>
        <v>5</v>
      </c>
      <c r="BH176" s="121">
        <f t="shared" si="195"/>
        <v>23</v>
      </c>
      <c r="BI176" s="121">
        <f t="shared" si="195"/>
        <v>5</v>
      </c>
      <c r="BJ176" s="121">
        <f t="shared" si="195"/>
        <v>5</v>
      </c>
      <c r="BK176" s="157"/>
      <c r="BL176" s="121">
        <f t="shared" ref="BL176:BW176" si="196">SUM(BL41:BL42)-BL40</f>
        <v>0</v>
      </c>
      <c r="BM176" s="121">
        <f t="shared" si="196"/>
        <v>145</v>
      </c>
      <c r="BN176" s="121">
        <f t="shared" si="196"/>
        <v>135</v>
      </c>
      <c r="BO176" s="121">
        <f t="shared" si="196"/>
        <v>133</v>
      </c>
      <c r="BP176" s="121">
        <f t="shared" si="196"/>
        <v>0</v>
      </c>
      <c r="BQ176" s="121">
        <f t="shared" si="196"/>
        <v>0</v>
      </c>
      <c r="BR176" s="121">
        <f t="shared" si="196"/>
        <v>0</v>
      </c>
      <c r="BS176" s="121">
        <f t="shared" si="196"/>
        <v>0</v>
      </c>
      <c r="BT176" s="121">
        <f t="shared" si="196"/>
        <v>0</v>
      </c>
      <c r="BU176" s="121">
        <f t="shared" si="196"/>
        <v>0</v>
      </c>
      <c r="BV176" s="121">
        <f t="shared" si="196"/>
        <v>0</v>
      </c>
      <c r="BW176" s="121">
        <f t="shared" si="196"/>
        <v>0</v>
      </c>
      <c r="BX176" s="157"/>
      <c r="BY176" s="12"/>
      <c r="CC176" s="126">
        <f>IF(SUM($CG176:$CI176)=0, 0, 1)</f>
        <v>0</v>
      </c>
      <c r="CD176" s="126">
        <f>IF(SUM($CJ176:$CL176)=0, 0, 1)</f>
        <v>0</v>
      </c>
      <c r="CE176" s="126">
        <f>IF(CM176=0, 0, 1)</f>
        <v>0</v>
      </c>
      <c r="CF176" s="42"/>
      <c r="CG176" s="352">
        <f>ROUND(W176-SUMIFS($AA176:$BJ176, $AA$3:$BJ$3, W$3), rounding)</f>
        <v>0</v>
      </c>
      <c r="CH176" s="352">
        <f>ROUND($X176-SUMIFS($AA176:$BJ176, $AA$3:$BJ$3, X$3), rounding)</f>
        <v>0</v>
      </c>
      <c r="CI176" s="352">
        <f>ROUND($Y176-SUMIFS($AA176:$BJ176, $AA$3:$BJ$3, Y$3), rounding)</f>
        <v>0</v>
      </c>
      <c r="CJ176" s="352">
        <f>ROUND(W176-BM176, rounding)</f>
        <v>0</v>
      </c>
      <c r="CK176" s="352">
        <f>ROUND(X176-BN176, rounding)</f>
        <v>0</v>
      </c>
      <c r="CL176" s="352">
        <f>ROUND(Y176-BO176, rounding)</f>
        <v>0</v>
      </c>
      <c r="CM176" s="352">
        <f>ROUND(V176-BL176, rounding)</f>
        <v>0</v>
      </c>
      <c r="EX176" s="10" t="str">
        <f t="shared" si="135"/>
        <v>Net interest and finance costs payable/receivable</v>
      </c>
    </row>
    <row r="177" spans="1:154" x14ac:dyDescent="0.25">
      <c r="A177" s="157"/>
      <c r="B177" s="157"/>
      <c r="C177" s="343" t="s">
        <v>1488</v>
      </c>
      <c r="D177" s="554" t="s">
        <v>577</v>
      </c>
      <c r="E177" s="182"/>
      <c r="F177" s="180"/>
      <c r="G177" s="180"/>
      <c r="H177" s="180"/>
      <c r="I177" s="157"/>
      <c r="J177" s="157"/>
      <c r="K177" s="157"/>
      <c r="L177" s="157"/>
      <c r="M177" s="157"/>
      <c r="N177" s="157"/>
      <c r="O177" s="157"/>
      <c r="P177" s="157"/>
      <c r="Q177" s="157"/>
      <c r="R177" s="157"/>
      <c r="S177" s="157"/>
      <c r="T177" s="157"/>
      <c r="U177" s="157"/>
      <c r="V177" s="13">
        <f>SUM(V144, V154, V173,V176)*V$9</f>
        <v>0</v>
      </c>
      <c r="W177" s="13">
        <f>SUM(W144, W154, W173,W176)*W$9</f>
        <v>5436</v>
      </c>
      <c r="X177" s="13">
        <f>SUM(X144, X154, X173,X176)*X$9</f>
        <v>2429</v>
      </c>
      <c r="Y177" s="13">
        <f>SUM(Y144, Y154, Y173,Y176)*Y$9</f>
        <v>2113.8100000000013</v>
      </c>
      <c r="Z177" s="157"/>
      <c r="AA177" s="13">
        <f t="shared" ref="AA177:BJ177" si="197">SUM(AA144, AA154, AA173,AA176)*AA$9</f>
        <v>5369</v>
      </c>
      <c r="AB177" s="13">
        <f t="shared" si="197"/>
        <v>1067</v>
      </c>
      <c r="AC177" s="13">
        <f t="shared" si="197"/>
        <v>350</v>
      </c>
      <c r="AD177" s="13">
        <f t="shared" si="197"/>
        <v>130</v>
      </c>
      <c r="AE177" s="13">
        <f t="shared" si="197"/>
        <v>-764</v>
      </c>
      <c r="AF177" s="13">
        <f t="shared" si="197"/>
        <v>-553</v>
      </c>
      <c r="AG177" s="13">
        <f t="shared" si="197"/>
        <v>-580</v>
      </c>
      <c r="AH177" s="13">
        <f t="shared" si="197"/>
        <v>-784</v>
      </c>
      <c r="AI177" s="13">
        <f t="shared" si="197"/>
        <v>1468</v>
      </c>
      <c r="AJ177" s="13">
        <f t="shared" si="197"/>
        <v>398</v>
      </c>
      <c r="AK177" s="13">
        <f t="shared" si="197"/>
        <v>465</v>
      </c>
      <c r="AL177" s="13">
        <f t="shared" si="197"/>
        <v>-1130</v>
      </c>
      <c r="AM177" s="13">
        <f t="shared" si="197"/>
        <v>2920</v>
      </c>
      <c r="AN177" s="13">
        <f t="shared" si="197"/>
        <v>1122</v>
      </c>
      <c r="AO177" s="13">
        <f t="shared" si="197"/>
        <v>246</v>
      </c>
      <c r="AP177" s="13">
        <f t="shared" si="197"/>
        <v>-301</v>
      </c>
      <c r="AQ177" s="13">
        <f t="shared" si="197"/>
        <v>-767</v>
      </c>
      <c r="AR177" s="13">
        <f t="shared" si="197"/>
        <v>-752</v>
      </c>
      <c r="AS177" s="13">
        <f t="shared" si="197"/>
        <v>-728</v>
      </c>
      <c r="AT177" s="13">
        <f t="shared" si="197"/>
        <v>-795</v>
      </c>
      <c r="AU177" s="13">
        <f t="shared" si="197"/>
        <v>1607</v>
      </c>
      <c r="AV177" s="13">
        <f t="shared" si="197"/>
        <v>505</v>
      </c>
      <c r="AW177" s="13">
        <f t="shared" si="197"/>
        <v>106</v>
      </c>
      <c r="AX177" s="13">
        <f t="shared" si="197"/>
        <v>-734</v>
      </c>
      <c r="AY177" s="13">
        <f t="shared" si="197"/>
        <v>2370.7483333333334</v>
      </c>
      <c r="AZ177" s="13">
        <f t="shared" si="197"/>
        <v>1168.3566666666661</v>
      </c>
      <c r="BA177" s="13">
        <f t="shared" si="197"/>
        <v>255.48833333333278</v>
      </c>
      <c r="BB177" s="13">
        <f t="shared" si="197"/>
        <v>-306.61333333333323</v>
      </c>
      <c r="BC177" s="13">
        <f t="shared" si="197"/>
        <v>-784.53</v>
      </c>
      <c r="BD177" s="13">
        <f t="shared" si="197"/>
        <v>-608.22999999999979</v>
      </c>
      <c r="BE177" s="13">
        <f t="shared" si="197"/>
        <v>-846.74166666666702</v>
      </c>
      <c r="BF177" s="13">
        <f t="shared" si="197"/>
        <v>-808.5183333333332</v>
      </c>
      <c r="BG177" s="13">
        <f t="shared" si="197"/>
        <v>1762.378333333334</v>
      </c>
      <c r="BH177" s="13">
        <f t="shared" si="197"/>
        <v>555.06833333333361</v>
      </c>
      <c r="BI177" s="13">
        <f t="shared" si="197"/>
        <v>117.19333333333361</v>
      </c>
      <c r="BJ177" s="13">
        <f t="shared" si="197"/>
        <v>-760.79000000000042</v>
      </c>
      <c r="BK177" s="157"/>
      <c r="BL177" s="13">
        <f t="shared" ref="BL177:BW177" si="198">SUM(BL144, BL154, BL173,BL176)*BL$9</f>
        <v>0</v>
      </c>
      <c r="BM177" s="13">
        <f t="shared" si="198"/>
        <v>5436</v>
      </c>
      <c r="BN177" s="13">
        <f t="shared" si="198"/>
        <v>2429</v>
      </c>
      <c r="BO177" s="13">
        <f t="shared" si="198"/>
        <v>2113.8100000000013</v>
      </c>
      <c r="BP177" s="13">
        <f t="shared" si="198"/>
        <v>0</v>
      </c>
      <c r="BQ177" s="13">
        <f t="shared" si="198"/>
        <v>0</v>
      </c>
      <c r="BR177" s="13">
        <f t="shared" si="198"/>
        <v>0</v>
      </c>
      <c r="BS177" s="13">
        <f t="shared" si="198"/>
        <v>0</v>
      </c>
      <c r="BT177" s="13">
        <f t="shared" si="198"/>
        <v>0</v>
      </c>
      <c r="BU177" s="13">
        <f t="shared" si="198"/>
        <v>0</v>
      </c>
      <c r="BV177" s="13">
        <f t="shared" si="198"/>
        <v>0</v>
      </c>
      <c r="BW177" s="13">
        <f t="shared" si="198"/>
        <v>0</v>
      </c>
      <c r="BX177" s="157"/>
      <c r="BY177" s="12"/>
      <c r="CC177" s="162"/>
      <c r="CD177" s="162"/>
      <c r="CE177" s="162"/>
      <c r="CF177" s="42"/>
      <c r="EX177" s="10" t="str">
        <f t="shared" si="135"/>
        <v>Net cash flow from operating activities</v>
      </c>
    </row>
    <row r="178" spans="1:154" s="335" customFormat="1" ht="11.45" customHeight="1" x14ac:dyDescent="0.25">
      <c r="A178" s="157"/>
      <c r="B178" s="187"/>
      <c r="C178" s="343"/>
      <c r="D178" s="556"/>
      <c r="E178" s="180"/>
      <c r="F178" s="180"/>
      <c r="G178" s="180"/>
      <c r="H178" s="162"/>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7"/>
      <c r="AT178" s="157"/>
      <c r="AU178" s="157"/>
      <c r="AV178" s="157"/>
      <c r="AW178" s="157"/>
      <c r="AX178" s="157"/>
      <c r="AY178" s="157"/>
      <c r="AZ178" s="157"/>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42"/>
      <c r="CC178" s="162"/>
      <c r="CD178" s="162"/>
      <c r="CE178" s="162"/>
      <c r="CF178" s="42"/>
      <c r="EX178" s="10" t="str">
        <f t="shared" si="135"/>
        <v/>
      </c>
    </row>
    <row r="179" spans="1:154" x14ac:dyDescent="0.25">
      <c r="A179" s="157"/>
      <c r="B179" s="175"/>
      <c r="C179" s="343"/>
      <c r="D179" s="554" t="s">
        <v>589</v>
      </c>
      <c r="E179" s="182"/>
      <c r="F179" s="180"/>
      <c r="G179" s="180"/>
      <c r="H179" s="180"/>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2"/>
      <c r="CC179" s="162"/>
      <c r="CD179" s="162"/>
      <c r="CE179" s="162"/>
      <c r="CF179" s="42"/>
      <c r="EX179" s="10" t="str">
        <f t="shared" si="135"/>
        <v/>
      </c>
    </row>
    <row r="180" spans="1:154" x14ac:dyDescent="0.25">
      <c r="A180" s="362" cm="1">
        <f t="array" aca="1" ref="A180" ca="1">HYPERLINK(CONCATENATE("#",CELL("address",IF(SUM($BY180:$CF180)=0,A180,INDEX($BY180:$CF180,MATCH(1,$BY180:$CF180,0))))),SUM($BY180:$CF180))</f>
        <v>0</v>
      </c>
      <c r="B180" s="157"/>
      <c r="C180" s="343" t="s">
        <v>1489</v>
      </c>
      <c r="D180" s="555" t="s">
        <v>2550</v>
      </c>
      <c r="E180" s="181" t="str" cm="1">
        <f t="array" aca="1" ref="E180" ca="1">HYPERLINK(CONCATENATE("#",CELL("address",'Investing Inputs'!$D$150)),'Investing Inputs'!$D$125)</f>
        <v>Disposals</v>
      </c>
      <c r="F180" s="180"/>
      <c r="G180" s="180"/>
      <c r="H180" s="180"/>
      <c r="I180" s="157"/>
      <c r="J180" s="157"/>
      <c r="K180" s="157"/>
      <c r="L180" s="157"/>
      <c r="M180" s="157"/>
      <c r="N180" s="157"/>
      <c r="O180" s="157"/>
      <c r="P180" s="157"/>
      <c r="Q180" s="157"/>
      <c r="R180" s="157"/>
      <c r="S180" s="157"/>
      <c r="T180" s="157"/>
      <c r="U180" s="157"/>
      <c r="V180" s="121">
        <f>0-'Investing Inputs'!V$150</f>
        <v>0</v>
      </c>
      <c r="W180" s="121">
        <f>0-'Investing Inputs'!W$150</f>
        <v>0</v>
      </c>
      <c r="X180" s="121">
        <f>0-'Investing Inputs'!X$150</f>
        <v>0</v>
      </c>
      <c r="Y180" s="121">
        <f>0-'Investing Inputs'!Y$150</f>
        <v>0</v>
      </c>
      <c r="Z180" s="157"/>
      <c r="AA180" s="121">
        <f>0-'Investing Inputs'!AA$150</f>
        <v>0</v>
      </c>
      <c r="AB180" s="121">
        <f>0-'Investing Inputs'!AB$150</f>
        <v>0</v>
      </c>
      <c r="AC180" s="121">
        <f>0-'Investing Inputs'!AC$150</f>
        <v>0</v>
      </c>
      <c r="AD180" s="121">
        <f>0-'Investing Inputs'!AD$150</f>
        <v>0</v>
      </c>
      <c r="AE180" s="121">
        <f>0-'Investing Inputs'!AE$150</f>
        <v>0</v>
      </c>
      <c r="AF180" s="121">
        <f>0-'Investing Inputs'!AF$150</f>
        <v>0</v>
      </c>
      <c r="AG180" s="121">
        <f>0-'Investing Inputs'!AG$150</f>
        <v>0</v>
      </c>
      <c r="AH180" s="121">
        <f>0-'Investing Inputs'!AH$150</f>
        <v>0</v>
      </c>
      <c r="AI180" s="121">
        <f>0-'Investing Inputs'!AI$150</f>
        <v>0</v>
      </c>
      <c r="AJ180" s="121">
        <f>0-'Investing Inputs'!AJ$150</f>
        <v>0</v>
      </c>
      <c r="AK180" s="121">
        <f>0-'Investing Inputs'!AK$150</f>
        <v>0</v>
      </c>
      <c r="AL180" s="121">
        <f>0-'Investing Inputs'!AL$150</f>
        <v>0</v>
      </c>
      <c r="AM180" s="121">
        <f>0-'Investing Inputs'!AM$150</f>
        <v>0</v>
      </c>
      <c r="AN180" s="121">
        <f>0-'Investing Inputs'!AN$150</f>
        <v>0</v>
      </c>
      <c r="AO180" s="121">
        <f>0-'Investing Inputs'!AO$150</f>
        <v>0</v>
      </c>
      <c r="AP180" s="121">
        <f>0-'Investing Inputs'!AP$150</f>
        <v>0</v>
      </c>
      <c r="AQ180" s="121">
        <f>0-'Investing Inputs'!AQ$150</f>
        <v>0</v>
      </c>
      <c r="AR180" s="121">
        <f>0-'Investing Inputs'!AR$150</f>
        <v>0</v>
      </c>
      <c r="AS180" s="121">
        <f>0-'Investing Inputs'!AS$150</f>
        <v>0</v>
      </c>
      <c r="AT180" s="121">
        <f>0-'Investing Inputs'!AT$150</f>
        <v>0</v>
      </c>
      <c r="AU180" s="121">
        <f>0-'Investing Inputs'!AU$150</f>
        <v>0</v>
      </c>
      <c r="AV180" s="121">
        <f>0-'Investing Inputs'!AV$150</f>
        <v>0</v>
      </c>
      <c r="AW180" s="121">
        <f>0-'Investing Inputs'!AW$150</f>
        <v>0</v>
      </c>
      <c r="AX180" s="121">
        <f>0-'Investing Inputs'!AX$150</f>
        <v>0</v>
      </c>
      <c r="AY180" s="121">
        <f>0-'Investing Inputs'!AY$150</f>
        <v>0</v>
      </c>
      <c r="AZ180" s="121">
        <f>0-'Investing Inputs'!AZ$150</f>
        <v>0</v>
      </c>
      <c r="BA180" s="121">
        <f>0-'Investing Inputs'!BA$150</f>
        <v>0</v>
      </c>
      <c r="BB180" s="121">
        <f>0-'Investing Inputs'!BB$150</f>
        <v>0</v>
      </c>
      <c r="BC180" s="121">
        <f>0-'Investing Inputs'!BC$150</f>
        <v>0</v>
      </c>
      <c r="BD180" s="121">
        <f>0-'Investing Inputs'!BD$150</f>
        <v>0</v>
      </c>
      <c r="BE180" s="121">
        <f>0-'Investing Inputs'!BE$150</f>
        <v>0</v>
      </c>
      <c r="BF180" s="121">
        <f>0-'Investing Inputs'!BF$150</f>
        <v>0</v>
      </c>
      <c r="BG180" s="121">
        <f>0-'Investing Inputs'!BG$150</f>
        <v>0</v>
      </c>
      <c r="BH180" s="121">
        <f>0-'Investing Inputs'!BH$150</f>
        <v>0</v>
      </c>
      <c r="BI180" s="121">
        <f>0-'Investing Inputs'!BI$150</f>
        <v>0</v>
      </c>
      <c r="BJ180" s="121">
        <f>0-'Investing Inputs'!BJ$150</f>
        <v>0</v>
      </c>
      <c r="BK180" s="157"/>
      <c r="BL180" s="121">
        <f>0-'Investing Inputs'!BL$150</f>
        <v>0</v>
      </c>
      <c r="BM180" s="121">
        <f>0-'Investing Inputs'!BM$150</f>
        <v>0</v>
      </c>
      <c r="BN180" s="121">
        <f>0-'Investing Inputs'!BN$150</f>
        <v>0</v>
      </c>
      <c r="BO180" s="121">
        <f>0-'Investing Inputs'!BO$150</f>
        <v>0</v>
      </c>
      <c r="BP180" s="121">
        <f>0-'Investing Inputs'!BP$150</f>
        <v>0</v>
      </c>
      <c r="BQ180" s="121">
        <f>0-'Investing Inputs'!BQ$150</f>
        <v>0</v>
      </c>
      <c r="BR180" s="121">
        <f>0-'Investing Inputs'!BR$150</f>
        <v>0</v>
      </c>
      <c r="BS180" s="121">
        <f>0-'Investing Inputs'!BS$150</f>
        <v>0</v>
      </c>
      <c r="BT180" s="121">
        <f>0-'Investing Inputs'!BT$150</f>
        <v>0</v>
      </c>
      <c r="BU180" s="121">
        <f>0-'Investing Inputs'!BU$150</f>
        <v>0</v>
      </c>
      <c r="BV180" s="121">
        <f>0-'Investing Inputs'!BV$150</f>
        <v>0</v>
      </c>
      <c r="BW180" s="121">
        <f>0-'Investing Inputs'!BW$150</f>
        <v>0</v>
      </c>
      <c r="BX180" s="157"/>
      <c r="BY180" s="12"/>
      <c r="CC180" s="126">
        <f t="shared" ref="CC180:CC191" si="199">IF(SUM($CG180:$CI180)=0, 0, 1)</f>
        <v>0</v>
      </c>
      <c r="CD180" s="126">
        <f t="shared" ref="CD180:CD191" si="200">IF(SUM($CJ180:$CL180)=0, 0, 1)</f>
        <v>0</v>
      </c>
      <c r="CE180" s="126">
        <f t="shared" ref="CE180:CE191" si="201">IF(CM180=0, 0, 1)</f>
        <v>0</v>
      </c>
      <c r="CF180" s="42"/>
      <c r="CG180" s="352">
        <f t="shared" ref="CG180:CG191" si="202">ROUND(W180-SUMIFS($AA180:$BJ180, $AA$3:$BJ$3, W$3), rounding)</f>
        <v>0</v>
      </c>
      <c r="CH180" s="352">
        <f t="shared" ref="CH180:CH191" si="203">ROUND($X180-SUMIFS($AA180:$BJ180, $AA$3:$BJ$3, X$3), rounding)</f>
        <v>0</v>
      </c>
      <c r="CI180" s="352">
        <f t="shared" ref="CI180:CI191" si="204">ROUND($Y180-SUMIFS($AA180:$BJ180, $AA$3:$BJ$3, Y$3), rounding)</f>
        <v>0</v>
      </c>
      <c r="CJ180" s="352">
        <f t="shared" ref="CJ180:CJ191" si="205">ROUND(W180-BM180, rounding)</f>
        <v>0</v>
      </c>
      <c r="CK180" s="352">
        <f t="shared" ref="CK180:CK191" si="206">ROUND(X180-BN180, rounding)</f>
        <v>0</v>
      </c>
      <c r="CL180" s="352">
        <f t="shared" ref="CL180:CL191" si="207">ROUND(Y180-BO180, rounding)</f>
        <v>0</v>
      </c>
      <c r="CM180" s="352">
        <f t="shared" ref="CM180:CM191" si="208">ROUND(V180-BL180, rounding)</f>
        <v>0</v>
      </c>
      <c r="EX180" s="10" t="str">
        <f t="shared" si="135"/>
        <v>Receipts from sale of Non-Current Assets</v>
      </c>
    </row>
    <row r="181" spans="1:154" ht="33.75" x14ac:dyDescent="0.25">
      <c r="A181" s="362" cm="1">
        <f t="array" aca="1" ref="A181" ca="1">HYPERLINK(CONCATENATE("#",CELL("address",IF(SUM($BY181:$CF181)=0,A181,INDEX($BY181:$CF181,MATCH(1,$BY181:$CF181,0))))),SUM($BY181:$CF181))</f>
        <v>0</v>
      </c>
      <c r="B181" s="157"/>
      <c r="C181" s="343" t="s">
        <v>1490</v>
      </c>
      <c r="D181" s="555" t="s">
        <v>2551</v>
      </c>
      <c r="E181" s="181" t="str" cm="1">
        <f t="array" aca="1" ref="E181" ca="1">HYPERLINK(CONCATENATE("#",CELL("address",'BS Forecasts'!$D$128:$D$131)),'BS Forecasts'!$D$122)</f>
        <v>Capital Grant Liability</v>
      </c>
      <c r="F181" s="180"/>
      <c r="G181" s="180"/>
      <c r="H181" s="180"/>
      <c r="I181" s="157"/>
      <c r="J181" s="157"/>
      <c r="K181" s="157"/>
      <c r="L181" s="157"/>
      <c r="M181" s="157"/>
      <c r="N181" s="157"/>
      <c r="O181" s="157"/>
      <c r="P181" s="157"/>
      <c r="Q181" s="157"/>
      <c r="R181" s="157"/>
      <c r="S181" s="157"/>
      <c r="T181" s="157"/>
      <c r="U181" s="157"/>
      <c r="V181" s="121">
        <f>SUM('BS Forecasts'!V$128:V$131)</f>
        <v>0</v>
      </c>
      <c r="W181" s="121">
        <f>SUM('BS Forecasts'!W$128:W$131)</f>
        <v>0</v>
      </c>
      <c r="X181" s="121">
        <f>SUM('BS Forecasts'!X$128:X$131)</f>
        <v>0</v>
      </c>
      <c r="Y181" s="121">
        <f>SUM('BS Forecasts'!Y$128:Y$131)</f>
        <v>0</v>
      </c>
      <c r="Z181" s="157"/>
      <c r="AA181" s="121">
        <f>SUM('BS Forecasts'!AA$128:AA$131)</f>
        <v>0</v>
      </c>
      <c r="AB181" s="121">
        <f>SUM('BS Forecasts'!AB$128:AB$131)</f>
        <v>0</v>
      </c>
      <c r="AC181" s="121">
        <f>SUM('BS Forecasts'!AC$128:AC$131)</f>
        <v>0</v>
      </c>
      <c r="AD181" s="121">
        <f>SUM('BS Forecasts'!AD$128:AD$131)</f>
        <v>0</v>
      </c>
      <c r="AE181" s="121">
        <f>SUM('BS Forecasts'!AE$128:AE$131)</f>
        <v>0</v>
      </c>
      <c r="AF181" s="121">
        <f>SUM('BS Forecasts'!AF$128:AF$131)</f>
        <v>0</v>
      </c>
      <c r="AG181" s="121">
        <f>SUM('BS Forecasts'!AG$128:AG$131)</f>
        <v>0</v>
      </c>
      <c r="AH181" s="121">
        <f>SUM('BS Forecasts'!AH$128:AH$131)</f>
        <v>0</v>
      </c>
      <c r="AI181" s="121">
        <f>SUM('BS Forecasts'!AI$128:AI$131)</f>
        <v>0</v>
      </c>
      <c r="AJ181" s="121">
        <f>SUM('BS Forecasts'!AJ$128:AJ$131)</f>
        <v>0</v>
      </c>
      <c r="AK181" s="121">
        <f>SUM('BS Forecasts'!AK$128:AK$131)</f>
        <v>0</v>
      </c>
      <c r="AL181" s="121">
        <f>SUM('BS Forecasts'!AL$128:AL$131)</f>
        <v>0</v>
      </c>
      <c r="AM181" s="121">
        <f>SUM('BS Forecasts'!AM$128:AM$131)</f>
        <v>0</v>
      </c>
      <c r="AN181" s="121">
        <f>SUM('BS Forecasts'!AN$128:AN$131)</f>
        <v>0</v>
      </c>
      <c r="AO181" s="121">
        <f>SUM('BS Forecasts'!AO$128:AO$131)</f>
        <v>0</v>
      </c>
      <c r="AP181" s="121">
        <f>SUM('BS Forecasts'!AP$128:AP$131)</f>
        <v>0</v>
      </c>
      <c r="AQ181" s="121">
        <f>SUM('BS Forecasts'!AQ$128:AQ$131)</f>
        <v>0</v>
      </c>
      <c r="AR181" s="121">
        <f>SUM('BS Forecasts'!AR$128:AR$131)</f>
        <v>0</v>
      </c>
      <c r="AS181" s="121">
        <f>SUM('BS Forecasts'!AS$128:AS$131)</f>
        <v>0</v>
      </c>
      <c r="AT181" s="121">
        <f>SUM('BS Forecasts'!AT$128:AT$131)</f>
        <v>0</v>
      </c>
      <c r="AU181" s="121">
        <f>SUM('BS Forecasts'!AU$128:AU$131)</f>
        <v>0</v>
      </c>
      <c r="AV181" s="121">
        <f>SUM('BS Forecasts'!AV$128:AV$131)</f>
        <v>0</v>
      </c>
      <c r="AW181" s="121">
        <f>SUM('BS Forecasts'!AW$128:AW$131)</f>
        <v>0</v>
      </c>
      <c r="AX181" s="121">
        <f>SUM('BS Forecasts'!AX$128:AX$131)</f>
        <v>0</v>
      </c>
      <c r="AY181" s="121">
        <f>SUM('BS Forecasts'!AY$128:AY$131)</f>
        <v>0</v>
      </c>
      <c r="AZ181" s="121">
        <f>SUM('BS Forecasts'!AZ$128:AZ$131)</f>
        <v>0</v>
      </c>
      <c r="BA181" s="121">
        <f>SUM('BS Forecasts'!BA$128:BA$131)</f>
        <v>0</v>
      </c>
      <c r="BB181" s="121">
        <f>SUM('BS Forecasts'!BB$128:BB$131)</f>
        <v>0</v>
      </c>
      <c r="BC181" s="121">
        <f>SUM('BS Forecasts'!BC$128:BC$131)</f>
        <v>0</v>
      </c>
      <c r="BD181" s="121">
        <f>SUM('BS Forecasts'!BD$128:BD$131)</f>
        <v>0</v>
      </c>
      <c r="BE181" s="121">
        <f>SUM('BS Forecasts'!BE$128:BE$131)</f>
        <v>0</v>
      </c>
      <c r="BF181" s="121">
        <f>SUM('BS Forecasts'!BF$128:BF$131)</f>
        <v>0</v>
      </c>
      <c r="BG181" s="121">
        <f>SUM('BS Forecasts'!BG$128:BG$131)</f>
        <v>0</v>
      </c>
      <c r="BH181" s="121">
        <f>SUM('BS Forecasts'!BH$128:BH$131)</f>
        <v>0</v>
      </c>
      <c r="BI181" s="121">
        <f>SUM('BS Forecasts'!BI$128:BI$131)</f>
        <v>0</v>
      </c>
      <c r="BJ181" s="121">
        <f>SUM('BS Forecasts'!BJ$128:BJ$131)</f>
        <v>0</v>
      </c>
      <c r="BK181" s="157"/>
      <c r="BL181" s="121">
        <f>SUM('BS Forecasts'!BL$128:BL$131)</f>
        <v>0</v>
      </c>
      <c r="BM181" s="121">
        <f>SUM('BS Forecasts'!BM$128:BM$131)</f>
        <v>0</v>
      </c>
      <c r="BN181" s="121">
        <f>SUM('BS Forecasts'!BN$128:BN$131)</f>
        <v>0</v>
      </c>
      <c r="BO181" s="121">
        <f>SUM('BS Forecasts'!BO$128:BO$131)</f>
        <v>0</v>
      </c>
      <c r="BP181" s="121">
        <f>SUM('BS Forecasts'!BP$128:BP$131)</f>
        <v>0</v>
      </c>
      <c r="BQ181" s="121">
        <f>SUM('BS Forecasts'!BQ$128:BQ$131)</f>
        <v>0</v>
      </c>
      <c r="BR181" s="121">
        <f>SUM('BS Forecasts'!BR$128:BR$131)</f>
        <v>0</v>
      </c>
      <c r="BS181" s="121">
        <f>SUM('BS Forecasts'!BS$128:BS$131)</f>
        <v>0</v>
      </c>
      <c r="BT181" s="121">
        <f>SUM('BS Forecasts'!BT$128:BT$131)</f>
        <v>0</v>
      </c>
      <c r="BU181" s="121">
        <f>SUM('BS Forecasts'!BU$128:BU$131)</f>
        <v>0</v>
      </c>
      <c r="BV181" s="121">
        <f>SUM('BS Forecasts'!BV$128:BV$131)</f>
        <v>0</v>
      </c>
      <c r="BW181" s="121">
        <f>SUM('BS Forecasts'!BW$128:BW$131)</f>
        <v>0</v>
      </c>
      <c r="BX181" s="157"/>
      <c r="BY181" s="12"/>
      <c r="CC181" s="126">
        <f t="shared" si="199"/>
        <v>0</v>
      </c>
      <c r="CD181" s="126">
        <f t="shared" si="200"/>
        <v>0</v>
      </c>
      <c r="CE181" s="126">
        <f t="shared" si="201"/>
        <v>0</v>
      </c>
      <c r="CF181" s="42"/>
      <c r="CG181" s="352">
        <f t="shared" si="202"/>
        <v>0</v>
      </c>
      <c r="CH181" s="352">
        <f t="shared" si="203"/>
        <v>0</v>
      </c>
      <c r="CI181" s="352">
        <f t="shared" si="204"/>
        <v>0</v>
      </c>
      <c r="CJ181" s="352">
        <f t="shared" si="205"/>
        <v>0</v>
      </c>
      <c r="CK181" s="352">
        <f t="shared" si="206"/>
        <v>0</v>
      </c>
      <c r="CL181" s="352">
        <f t="shared" si="207"/>
        <v>0</v>
      </c>
      <c r="CM181" s="352">
        <f t="shared" si="208"/>
        <v>0</v>
      </c>
      <c r="EX181" s="10" t="str">
        <f t="shared" si="135"/>
        <v>Repayment of Capital Grants</v>
      </c>
    </row>
    <row r="182" spans="1:154" ht="56.25" x14ac:dyDescent="0.25">
      <c r="A182" s="362" cm="1">
        <f t="array" aca="1" ref="A182" ca="1">HYPERLINK(CONCATENATE("#",CELL("address",IF(SUM($BY182:$CF182)=0,A182,INDEX($BY182:$CF182,MATCH(1,$BY182:$CF182,0))))),SUM($BY182:$CF182))</f>
        <v>0</v>
      </c>
      <c r="B182" s="157"/>
      <c r="C182" s="343" t="s">
        <v>1715</v>
      </c>
      <c r="D182" s="555" t="s">
        <v>2552</v>
      </c>
      <c r="E182" s="181" t="str" cm="1">
        <f t="array" aca="1" ref="E182" ca="1">HYPERLINK(CONCATENATE("#",CELL("address",'Investing Inputs'!$D$28)),'Investing Inputs'!$D$28)</f>
        <v>Land &amp; Buildings Sub-Total</v>
      </c>
      <c r="F182" s="181" t="str" cm="1">
        <f t="array" aca="1" ref="F182" ca="1">HYPERLINK(CONCATENATE("#",CELL("address",'Investing Inputs'!$D$35)),'Investing Inputs'!$D$35)</f>
        <v>Land &amp; Buildings Donations Sub-Total</v>
      </c>
      <c r="G182" s="181" t="str" cm="1">
        <f t="array" aca="1" ref="G182" ca="1">HYPERLINK(CONCATENATE("#",CELL("address",'Investing Inputs'!$D$42)),'Investing Inputs'!$D$42)</f>
        <v>Land &amp; Buildings Finance Leases Sub-Total</v>
      </c>
      <c r="H182" s="180"/>
      <c r="I182" s="157"/>
      <c r="J182" s="157"/>
      <c r="K182" s="157"/>
      <c r="L182" s="157"/>
      <c r="M182" s="157"/>
      <c r="N182" s="157"/>
      <c r="O182" s="157"/>
      <c r="P182" s="157"/>
      <c r="Q182" s="157"/>
      <c r="R182" s="157"/>
      <c r="S182" s="157"/>
      <c r="T182" s="157"/>
      <c r="U182" s="157"/>
      <c r="V182" s="121">
        <f>0-('Investing Inputs'!V$28-'Investing Inputs'!V$35-'Investing Inputs'!V$42)</f>
        <v>0</v>
      </c>
      <c r="W182" s="121">
        <f>0-('Investing Inputs'!W$28-'Investing Inputs'!W$35-'Investing Inputs'!W$42)</f>
        <v>-4318</v>
      </c>
      <c r="X182" s="121">
        <f>0-('Investing Inputs'!X$28-'Investing Inputs'!X$35-'Investing Inputs'!X$42)</f>
        <v>-4936</v>
      </c>
      <c r="Y182" s="121">
        <f>0-('Investing Inputs'!Y$28-'Investing Inputs'!Y$35-'Investing Inputs'!Y$42)</f>
        <v>-2378</v>
      </c>
      <c r="Z182" s="157"/>
      <c r="AA182" s="121">
        <f>0-('Investing Inputs'!AA$28-'Investing Inputs'!AA$35-'Investing Inputs'!AA$42)</f>
        <v>-10</v>
      </c>
      <c r="AB182" s="121">
        <f>0-('Investing Inputs'!AB$28-'Investing Inputs'!AB$35-'Investing Inputs'!AB$42)</f>
        <v>0</v>
      </c>
      <c r="AC182" s="121">
        <f>0-('Investing Inputs'!AC$28-'Investing Inputs'!AC$35-'Investing Inputs'!AC$42)</f>
        <v>-2809</v>
      </c>
      <c r="AD182" s="121">
        <f>0-('Investing Inputs'!AD$28-'Investing Inputs'!AD$35-'Investing Inputs'!AD$42)</f>
        <v>0</v>
      </c>
      <c r="AE182" s="121">
        <f>0-('Investing Inputs'!AE$28-'Investing Inputs'!AE$35-'Investing Inputs'!AE$42)</f>
        <v>0</v>
      </c>
      <c r="AF182" s="121">
        <f>0-('Investing Inputs'!AF$28-'Investing Inputs'!AF$35-'Investing Inputs'!AF$42)</f>
        <v>0</v>
      </c>
      <c r="AG182" s="121">
        <f>0-('Investing Inputs'!AG$28-'Investing Inputs'!AG$35-'Investing Inputs'!AG$42)</f>
        <v>0</v>
      </c>
      <c r="AH182" s="121">
        <f>0-('Investing Inputs'!AH$28-'Investing Inputs'!AH$35-'Investing Inputs'!AH$42)</f>
        <v>-1426</v>
      </c>
      <c r="AI182" s="121">
        <f>0-('Investing Inputs'!AI$28-'Investing Inputs'!AI$35-'Investing Inputs'!AI$42)</f>
        <v>0</v>
      </c>
      <c r="AJ182" s="121">
        <f>0-('Investing Inputs'!AJ$28-'Investing Inputs'!AJ$35-'Investing Inputs'!AJ$42)</f>
        <v>0</v>
      </c>
      <c r="AK182" s="121">
        <f>0-('Investing Inputs'!AK$28-'Investing Inputs'!AK$35-'Investing Inputs'!AK$42)</f>
        <v>0</v>
      </c>
      <c r="AL182" s="121">
        <f>0-('Investing Inputs'!AL$28-'Investing Inputs'!AL$35-'Investing Inputs'!AL$42)</f>
        <v>-73</v>
      </c>
      <c r="AM182" s="121">
        <f>0-('Investing Inputs'!AM$28-'Investing Inputs'!AM$35-'Investing Inputs'!AM$42)</f>
        <v>-283</v>
      </c>
      <c r="AN182" s="121">
        <f>0-('Investing Inputs'!AN$28-'Investing Inputs'!AN$35-'Investing Inputs'!AN$42)</f>
        <v>-790</v>
      </c>
      <c r="AO182" s="121">
        <f>0-('Investing Inputs'!AO$28-'Investing Inputs'!AO$35-'Investing Inputs'!AO$42)</f>
        <v>-363</v>
      </c>
      <c r="AP182" s="121">
        <f>0-('Investing Inputs'!AP$28-'Investing Inputs'!AP$35-'Investing Inputs'!AP$42)</f>
        <v>-194</v>
      </c>
      <c r="AQ182" s="121">
        <f>0-('Investing Inputs'!AQ$28-'Investing Inputs'!AQ$35-'Investing Inputs'!AQ$42)</f>
        <v>-438</v>
      </c>
      <c r="AR182" s="121">
        <f>0-('Investing Inputs'!AR$28-'Investing Inputs'!AR$35-'Investing Inputs'!AR$42)</f>
        <v>-445</v>
      </c>
      <c r="AS182" s="121">
        <f>0-('Investing Inputs'!AS$28-'Investing Inputs'!AS$35-'Investing Inputs'!AS$42)</f>
        <v>-446</v>
      </c>
      <c r="AT182" s="121">
        <f>0-('Investing Inputs'!AT$28-'Investing Inputs'!AT$35-'Investing Inputs'!AT$42)</f>
        <v>-541</v>
      </c>
      <c r="AU182" s="121">
        <f>0-('Investing Inputs'!AU$28-'Investing Inputs'!AU$35-'Investing Inputs'!AU$42)</f>
        <v>-499</v>
      </c>
      <c r="AV182" s="121">
        <f>0-('Investing Inputs'!AV$28-'Investing Inputs'!AV$35-'Investing Inputs'!AV$42)</f>
        <v>-322</v>
      </c>
      <c r="AW182" s="121">
        <f>0-('Investing Inputs'!AW$28-'Investing Inputs'!AW$35-'Investing Inputs'!AW$42)</f>
        <v>-318</v>
      </c>
      <c r="AX182" s="121">
        <f>0-('Investing Inputs'!AX$28-'Investing Inputs'!AX$35-'Investing Inputs'!AX$42)</f>
        <v>-297</v>
      </c>
      <c r="AY182" s="121">
        <f>0-('Investing Inputs'!AY$28-'Investing Inputs'!AY$35-'Investing Inputs'!AY$42)</f>
        <v>-242</v>
      </c>
      <c r="AZ182" s="121">
        <f>0-('Investing Inputs'!AZ$28-'Investing Inputs'!AZ$35-'Investing Inputs'!AZ$42)</f>
        <v>-195</v>
      </c>
      <c r="BA182" s="121">
        <f>0-('Investing Inputs'!BA$28-'Investing Inputs'!BA$35-'Investing Inputs'!BA$42)</f>
        <v>-204</v>
      </c>
      <c r="BB182" s="121">
        <f>0-('Investing Inputs'!BB$28-'Investing Inputs'!BB$35-'Investing Inputs'!BB$42)</f>
        <v>-210</v>
      </c>
      <c r="BC182" s="121">
        <f>0-('Investing Inputs'!BC$28-'Investing Inputs'!BC$35-'Investing Inputs'!BC$42)</f>
        <v>-210</v>
      </c>
      <c r="BD182" s="121">
        <f>0-('Investing Inputs'!BD$28-'Investing Inputs'!BD$35-'Investing Inputs'!BD$42)</f>
        <v>-205</v>
      </c>
      <c r="BE182" s="121">
        <f>0-('Investing Inputs'!BE$28-'Investing Inputs'!BE$35-'Investing Inputs'!BE$42)</f>
        <v>-265</v>
      </c>
      <c r="BF182" s="121">
        <f>0-('Investing Inputs'!BF$28-'Investing Inputs'!BF$35-'Investing Inputs'!BF$42)</f>
        <v>-155</v>
      </c>
      <c r="BG182" s="121">
        <f>0-('Investing Inputs'!BG$28-'Investing Inputs'!BG$35-'Investing Inputs'!BG$42)</f>
        <v>-156</v>
      </c>
      <c r="BH182" s="121">
        <f>0-('Investing Inputs'!BH$28-'Investing Inputs'!BH$35-'Investing Inputs'!BH$42)</f>
        <v>-175</v>
      </c>
      <c r="BI182" s="121">
        <f>0-('Investing Inputs'!BI$28-'Investing Inputs'!BI$35-'Investing Inputs'!BI$42)</f>
        <v>-180</v>
      </c>
      <c r="BJ182" s="121">
        <f>0-('Investing Inputs'!BJ$28-'Investing Inputs'!BJ$35-'Investing Inputs'!BJ$42)</f>
        <v>-181</v>
      </c>
      <c r="BK182" s="157"/>
      <c r="BL182" s="121">
        <f>0-('Investing Inputs'!BL$28-'Investing Inputs'!BL$35-'Investing Inputs'!BL$42)</f>
        <v>0</v>
      </c>
      <c r="BM182" s="121">
        <f>0-('Investing Inputs'!BM$28-'Investing Inputs'!BM$35-'Investing Inputs'!BM$42)</f>
        <v>-4318</v>
      </c>
      <c r="BN182" s="121">
        <f>0-('Investing Inputs'!BN$28-'Investing Inputs'!BN$35-'Investing Inputs'!BN$42)</f>
        <v>-4936</v>
      </c>
      <c r="BO182" s="121">
        <f>0-('Investing Inputs'!BO$28-'Investing Inputs'!BO$35-'Investing Inputs'!BO$42)</f>
        <v>-2378</v>
      </c>
      <c r="BP182" s="121">
        <f>0-('Investing Inputs'!BP$28-'Investing Inputs'!BP$35-'Investing Inputs'!BP$42)</f>
        <v>0</v>
      </c>
      <c r="BQ182" s="121">
        <f>0-('Investing Inputs'!BQ$28-'Investing Inputs'!BQ$35-'Investing Inputs'!BQ$42)</f>
        <v>0</v>
      </c>
      <c r="BR182" s="121">
        <f>0-('Investing Inputs'!BR$28-'Investing Inputs'!BR$35-'Investing Inputs'!BR$42)</f>
        <v>0</v>
      </c>
      <c r="BS182" s="121">
        <f>0-('Investing Inputs'!BS$28-'Investing Inputs'!BS$35-'Investing Inputs'!BS$42)</f>
        <v>0</v>
      </c>
      <c r="BT182" s="121">
        <f>0-('Investing Inputs'!BT$28-'Investing Inputs'!BT$35-'Investing Inputs'!BT$42)</f>
        <v>0</v>
      </c>
      <c r="BU182" s="121">
        <f>0-('Investing Inputs'!BU$28-'Investing Inputs'!BU$35-'Investing Inputs'!BU$42)</f>
        <v>0</v>
      </c>
      <c r="BV182" s="121">
        <f>0-('Investing Inputs'!BV$28-'Investing Inputs'!BV$35-'Investing Inputs'!BV$42)</f>
        <v>0</v>
      </c>
      <c r="BW182" s="121">
        <f>0-('Investing Inputs'!BW$28-'Investing Inputs'!BW$35-'Investing Inputs'!BW$42)</f>
        <v>0</v>
      </c>
      <c r="BX182" s="157"/>
      <c r="BY182" s="12"/>
      <c r="CC182" s="126">
        <f t="shared" si="199"/>
        <v>0</v>
      </c>
      <c r="CD182" s="126">
        <f t="shared" si="200"/>
        <v>0</v>
      </c>
      <c r="CE182" s="126">
        <f t="shared" si="201"/>
        <v>0</v>
      </c>
      <c r="CF182" s="42"/>
      <c r="CG182" s="352">
        <f t="shared" si="202"/>
        <v>0</v>
      </c>
      <c r="CH182" s="352">
        <f t="shared" si="203"/>
        <v>0</v>
      </c>
      <c r="CI182" s="352">
        <f t="shared" si="204"/>
        <v>0</v>
      </c>
      <c r="CJ182" s="352">
        <f t="shared" si="205"/>
        <v>0</v>
      </c>
      <c r="CK182" s="352">
        <f t="shared" si="206"/>
        <v>0</v>
      </c>
      <c r="CL182" s="352">
        <f t="shared" si="207"/>
        <v>0</v>
      </c>
      <c r="CM182" s="352">
        <f t="shared" si="208"/>
        <v>0</v>
      </c>
      <c r="EX182" s="10" t="str">
        <f t="shared" si="135"/>
        <v>Payments made to acquire Land &amp; Buildings</v>
      </c>
    </row>
    <row r="183" spans="1:154" ht="45" x14ac:dyDescent="0.25">
      <c r="A183" s="362" cm="1">
        <f t="array" aca="1" ref="A183" ca="1">HYPERLINK(CONCATENATE("#",CELL("address",IF(SUM($BY183:$CF183)=0,A183,INDEX($BY183:$CF183,MATCH(1,$BY183:$CF183,0))))),SUM($BY183:$CF183))</f>
        <v>0</v>
      </c>
      <c r="B183" s="157"/>
      <c r="C183" s="343" t="s">
        <v>1716</v>
      </c>
      <c r="D183" s="555" t="s">
        <v>2553</v>
      </c>
      <c r="E183" s="181" t="str" cm="1">
        <f t="array" aca="1" ref="E183" ca="1">HYPERLINK(CONCATENATE("#",CELL("address",'Investing Inputs'!$D$29)),'Investing Inputs'!$D$29)</f>
        <v>Equipment Sub-Total</v>
      </c>
      <c r="F183" s="181" t="str" cm="1">
        <f t="array" aca="1" ref="F183" ca="1">HYPERLINK(CONCATENATE("#",CELL("address",'Investing Inputs'!$D$36)),'Investing Inputs'!$D$36)</f>
        <v>Equipment Donations Sub-Total</v>
      </c>
      <c r="G183" s="181" t="str" cm="1">
        <f t="array" aca="1" ref="G183" ca="1">HYPERLINK(CONCATENATE("#",CELL("address",'Investing Inputs'!$D$43)),'Investing Inputs'!$D$43)</f>
        <v>Equipment Finance Leases Sub-Total</v>
      </c>
      <c r="H183" s="180"/>
      <c r="I183" s="157"/>
      <c r="J183" s="157"/>
      <c r="K183" s="157"/>
      <c r="L183" s="157"/>
      <c r="M183" s="157"/>
      <c r="N183" s="157"/>
      <c r="O183" s="157"/>
      <c r="P183" s="157"/>
      <c r="Q183" s="157"/>
      <c r="R183" s="157"/>
      <c r="S183" s="157"/>
      <c r="T183" s="157"/>
      <c r="U183" s="157"/>
      <c r="V183" s="121">
        <f>0-('Investing Inputs'!V$29-'Investing Inputs'!V$36-'Investing Inputs'!V$43)</f>
        <v>0</v>
      </c>
      <c r="W183" s="121">
        <f>0-('Investing Inputs'!W$29-'Investing Inputs'!W$36-'Investing Inputs'!W$43)</f>
        <v>-112</v>
      </c>
      <c r="X183" s="121">
        <f>0-('Investing Inputs'!X$29-'Investing Inputs'!X$36-'Investing Inputs'!X$43)</f>
        <v>-798</v>
      </c>
      <c r="Y183" s="121">
        <f>0-('Investing Inputs'!Y$29-'Investing Inputs'!Y$36-'Investing Inputs'!Y$43)</f>
        <v>0</v>
      </c>
      <c r="Z183" s="157"/>
      <c r="AA183" s="121">
        <f>0-('Investing Inputs'!AA$29-'Investing Inputs'!AA$36-'Investing Inputs'!AA$43)</f>
        <v>-100</v>
      </c>
      <c r="AB183" s="121">
        <f>0-('Investing Inputs'!AB$29-'Investing Inputs'!AB$36-'Investing Inputs'!AB$43)</f>
        <v>0</v>
      </c>
      <c r="AC183" s="121">
        <f>0-('Investing Inputs'!AC$29-'Investing Inputs'!AC$36-'Investing Inputs'!AC$43)</f>
        <v>0</v>
      </c>
      <c r="AD183" s="121">
        <f>0-('Investing Inputs'!AD$29-'Investing Inputs'!AD$36-'Investing Inputs'!AD$43)</f>
        <v>0</v>
      </c>
      <c r="AE183" s="121">
        <f>0-('Investing Inputs'!AE$29-'Investing Inputs'!AE$36-'Investing Inputs'!AE$43)</f>
        <v>0</v>
      </c>
      <c r="AF183" s="121">
        <f>0-('Investing Inputs'!AF$29-'Investing Inputs'!AF$36-'Investing Inputs'!AF$43)</f>
        <v>0</v>
      </c>
      <c r="AG183" s="121">
        <f>0-('Investing Inputs'!AG$29-'Investing Inputs'!AG$36-'Investing Inputs'!AG$43)</f>
        <v>0</v>
      </c>
      <c r="AH183" s="121">
        <f>0-('Investing Inputs'!AH$29-'Investing Inputs'!AH$36-'Investing Inputs'!AH$43)</f>
        <v>0</v>
      </c>
      <c r="AI183" s="121">
        <f>0-('Investing Inputs'!AI$29-'Investing Inputs'!AI$36-'Investing Inputs'!AI$43)</f>
        <v>0</v>
      </c>
      <c r="AJ183" s="121">
        <f>0-('Investing Inputs'!AJ$29-'Investing Inputs'!AJ$36-'Investing Inputs'!AJ$43)</f>
        <v>0</v>
      </c>
      <c r="AK183" s="121">
        <f>0-('Investing Inputs'!AK$29-'Investing Inputs'!AK$36-'Investing Inputs'!AK$43)</f>
        <v>-12</v>
      </c>
      <c r="AL183" s="121">
        <f>0-('Investing Inputs'!AL$29-'Investing Inputs'!AL$36-'Investing Inputs'!AL$43)</f>
        <v>0</v>
      </c>
      <c r="AM183" s="121">
        <f>0-('Investing Inputs'!AM$29-'Investing Inputs'!AM$36-'Investing Inputs'!AM$43)</f>
        <v>-798</v>
      </c>
      <c r="AN183" s="121">
        <f>0-('Investing Inputs'!AN$29-'Investing Inputs'!AN$36-'Investing Inputs'!AN$43)</f>
        <v>0</v>
      </c>
      <c r="AO183" s="121">
        <f>0-('Investing Inputs'!AO$29-'Investing Inputs'!AO$36-'Investing Inputs'!AO$43)</f>
        <v>0</v>
      </c>
      <c r="AP183" s="121">
        <f>0-('Investing Inputs'!AP$29-'Investing Inputs'!AP$36-'Investing Inputs'!AP$43)</f>
        <v>0</v>
      </c>
      <c r="AQ183" s="121">
        <f>0-('Investing Inputs'!AQ$29-'Investing Inputs'!AQ$36-'Investing Inputs'!AQ$43)</f>
        <v>0</v>
      </c>
      <c r="AR183" s="121">
        <f>0-('Investing Inputs'!AR$29-'Investing Inputs'!AR$36-'Investing Inputs'!AR$43)</f>
        <v>0</v>
      </c>
      <c r="AS183" s="121">
        <f>0-('Investing Inputs'!AS$29-'Investing Inputs'!AS$36-'Investing Inputs'!AS$43)</f>
        <v>0</v>
      </c>
      <c r="AT183" s="121">
        <f>0-('Investing Inputs'!AT$29-'Investing Inputs'!AT$36-'Investing Inputs'!AT$43)</f>
        <v>0</v>
      </c>
      <c r="AU183" s="121">
        <f>0-('Investing Inputs'!AU$29-'Investing Inputs'!AU$36-'Investing Inputs'!AU$43)</f>
        <v>0</v>
      </c>
      <c r="AV183" s="121">
        <f>0-('Investing Inputs'!AV$29-'Investing Inputs'!AV$36-'Investing Inputs'!AV$43)</f>
        <v>0</v>
      </c>
      <c r="AW183" s="121">
        <f>0-('Investing Inputs'!AW$29-'Investing Inputs'!AW$36-'Investing Inputs'!AW$43)</f>
        <v>0</v>
      </c>
      <c r="AX183" s="121">
        <f>0-('Investing Inputs'!AX$29-'Investing Inputs'!AX$36-'Investing Inputs'!AX$43)</f>
        <v>0</v>
      </c>
      <c r="AY183" s="121">
        <f>0-('Investing Inputs'!AY$29-'Investing Inputs'!AY$36-'Investing Inputs'!AY$43)</f>
        <v>0</v>
      </c>
      <c r="AZ183" s="121">
        <f>0-('Investing Inputs'!AZ$29-'Investing Inputs'!AZ$36-'Investing Inputs'!AZ$43)</f>
        <v>0</v>
      </c>
      <c r="BA183" s="121">
        <f>0-('Investing Inputs'!BA$29-'Investing Inputs'!BA$36-'Investing Inputs'!BA$43)</f>
        <v>0</v>
      </c>
      <c r="BB183" s="121">
        <f>0-('Investing Inputs'!BB$29-'Investing Inputs'!BB$36-'Investing Inputs'!BB$43)</f>
        <v>0</v>
      </c>
      <c r="BC183" s="121">
        <f>0-('Investing Inputs'!BC$29-'Investing Inputs'!BC$36-'Investing Inputs'!BC$43)</f>
        <v>0</v>
      </c>
      <c r="BD183" s="121">
        <f>0-('Investing Inputs'!BD$29-'Investing Inputs'!BD$36-'Investing Inputs'!BD$43)</f>
        <v>0</v>
      </c>
      <c r="BE183" s="121">
        <f>0-('Investing Inputs'!BE$29-'Investing Inputs'!BE$36-'Investing Inputs'!BE$43)</f>
        <v>0</v>
      </c>
      <c r="BF183" s="121">
        <f>0-('Investing Inputs'!BF$29-'Investing Inputs'!BF$36-'Investing Inputs'!BF$43)</f>
        <v>0</v>
      </c>
      <c r="BG183" s="121">
        <f>0-('Investing Inputs'!BG$29-'Investing Inputs'!BG$36-'Investing Inputs'!BG$43)</f>
        <v>0</v>
      </c>
      <c r="BH183" s="121">
        <f>0-('Investing Inputs'!BH$29-'Investing Inputs'!BH$36-'Investing Inputs'!BH$43)</f>
        <v>0</v>
      </c>
      <c r="BI183" s="121">
        <f>0-('Investing Inputs'!BI$29-'Investing Inputs'!BI$36-'Investing Inputs'!BI$43)</f>
        <v>0</v>
      </c>
      <c r="BJ183" s="121">
        <f>0-('Investing Inputs'!BJ$29-'Investing Inputs'!BJ$36-'Investing Inputs'!BJ$43)</f>
        <v>0</v>
      </c>
      <c r="BK183" s="157"/>
      <c r="BL183" s="121">
        <f>0-('Investing Inputs'!BL$29-'Investing Inputs'!BL$36-'Investing Inputs'!BL$43)</f>
        <v>0</v>
      </c>
      <c r="BM183" s="121">
        <f>0-('Investing Inputs'!BM$29-'Investing Inputs'!BM$36-'Investing Inputs'!BM$43)</f>
        <v>-112</v>
      </c>
      <c r="BN183" s="121">
        <f>0-('Investing Inputs'!BN$29-'Investing Inputs'!BN$36-'Investing Inputs'!BN$43)</f>
        <v>-798</v>
      </c>
      <c r="BO183" s="121">
        <f>0-('Investing Inputs'!BO$29-'Investing Inputs'!BO$36-'Investing Inputs'!BO$43)</f>
        <v>0</v>
      </c>
      <c r="BP183" s="121">
        <f>0-('Investing Inputs'!BP$29-'Investing Inputs'!BP$36-'Investing Inputs'!BP$43)</f>
        <v>0</v>
      </c>
      <c r="BQ183" s="121">
        <f>0-('Investing Inputs'!BQ$29-'Investing Inputs'!BQ$36-'Investing Inputs'!BQ$43)</f>
        <v>0</v>
      </c>
      <c r="BR183" s="121">
        <f>0-('Investing Inputs'!BR$29-'Investing Inputs'!BR$36-'Investing Inputs'!BR$43)</f>
        <v>0</v>
      </c>
      <c r="BS183" s="121">
        <f>0-('Investing Inputs'!BS$29-'Investing Inputs'!BS$36-'Investing Inputs'!BS$43)</f>
        <v>0</v>
      </c>
      <c r="BT183" s="121">
        <f>0-('Investing Inputs'!BT$29-'Investing Inputs'!BT$36-'Investing Inputs'!BT$43)</f>
        <v>0</v>
      </c>
      <c r="BU183" s="121">
        <f>0-('Investing Inputs'!BU$29-'Investing Inputs'!BU$36-'Investing Inputs'!BU$43)</f>
        <v>0</v>
      </c>
      <c r="BV183" s="121">
        <f>0-('Investing Inputs'!BV$29-'Investing Inputs'!BV$36-'Investing Inputs'!BV$43)</f>
        <v>0</v>
      </c>
      <c r="BW183" s="121">
        <f>0-('Investing Inputs'!BW$29-'Investing Inputs'!BW$36-'Investing Inputs'!BW$43)</f>
        <v>0</v>
      </c>
      <c r="BX183" s="157"/>
      <c r="BY183" s="12"/>
      <c r="CC183" s="126">
        <f t="shared" si="199"/>
        <v>0</v>
      </c>
      <c r="CD183" s="126">
        <f t="shared" si="200"/>
        <v>0</v>
      </c>
      <c r="CE183" s="126">
        <f t="shared" si="201"/>
        <v>0</v>
      </c>
      <c r="CF183" s="42"/>
      <c r="CG183" s="352">
        <f t="shared" si="202"/>
        <v>0</v>
      </c>
      <c r="CH183" s="352">
        <f t="shared" si="203"/>
        <v>0</v>
      </c>
      <c r="CI183" s="352">
        <f t="shared" si="204"/>
        <v>0</v>
      </c>
      <c r="CJ183" s="352">
        <f t="shared" si="205"/>
        <v>0</v>
      </c>
      <c r="CK183" s="352">
        <f t="shared" si="206"/>
        <v>0</v>
      </c>
      <c r="CL183" s="352">
        <f t="shared" si="207"/>
        <v>0</v>
      </c>
      <c r="CM183" s="352">
        <f t="shared" si="208"/>
        <v>0</v>
      </c>
      <c r="EX183" s="10" t="str">
        <f t="shared" si="135"/>
        <v>Payments made to acquire Equipment</v>
      </c>
    </row>
    <row r="184" spans="1:154" s="335" customFormat="1" ht="45" x14ac:dyDescent="0.25">
      <c r="A184" s="362" cm="1">
        <f t="array" aca="1" ref="A184" ca="1">HYPERLINK(CONCATENATE("#",CELL("address",IF(SUM($BY184:$CF184)=0,A184,INDEX($BY184:$CF184,MATCH(1,$BY184:$CF184,0))))),SUM($BY184:$CF184))</f>
        <v>0</v>
      </c>
      <c r="B184" s="157"/>
      <c r="C184" s="343" t="s">
        <v>1717</v>
      </c>
      <c r="D184" s="555" t="s">
        <v>979</v>
      </c>
      <c r="E184" s="181" t="str" cm="1">
        <f t="array" aca="1" ref="E184" ca="1">HYPERLINK(CONCATENATE("#",CELL("address",'Investing Inputs'!$D$30)),'Investing Inputs'!$D$30)</f>
        <v>Other Sub-Total</v>
      </c>
      <c r="F184" s="181" t="str" cm="1">
        <f t="array" aca="1" ref="F184" ca="1">HYPERLINK(CONCATENATE("#",CELL("address",'Investing Inputs'!$D$37)),'Investing Inputs'!$D$37)</f>
        <v>Other Donations Sub-Total</v>
      </c>
      <c r="G184" s="181" t="str" cm="1">
        <f t="array" aca="1" ref="G184" ca="1">HYPERLINK(CONCATENATE("#",CELL("address",'Investing Inputs'!$D$44)),'Investing Inputs'!$D$44)</f>
        <v>Other - Finance Leases Sub-Total</v>
      </c>
      <c r="H184" s="180"/>
      <c r="I184" s="157"/>
      <c r="J184" s="157"/>
      <c r="K184" s="157"/>
      <c r="L184" s="157"/>
      <c r="M184" s="157"/>
      <c r="N184" s="157"/>
      <c r="O184" s="157"/>
      <c r="P184" s="157"/>
      <c r="Q184" s="157"/>
      <c r="R184" s="157"/>
      <c r="S184" s="157"/>
      <c r="T184" s="157"/>
      <c r="U184" s="157"/>
      <c r="V184" s="121">
        <f>0-('Investing Inputs'!V$30-'Investing Inputs'!V$37-'Investing Inputs'!V$44)</f>
        <v>0</v>
      </c>
      <c r="W184" s="121">
        <f>0-('Investing Inputs'!W$30-'Investing Inputs'!W$37-'Investing Inputs'!W$44)</f>
        <v>0</v>
      </c>
      <c r="X184" s="121">
        <f>0-('Investing Inputs'!X$30-'Investing Inputs'!X$37-'Investing Inputs'!X$44)</f>
        <v>0</v>
      </c>
      <c r="Y184" s="121">
        <f>0-('Investing Inputs'!Y$30-'Investing Inputs'!Y$37-'Investing Inputs'!Y$44)</f>
        <v>0</v>
      </c>
      <c r="Z184" s="157"/>
      <c r="AA184" s="121">
        <f>0-('Investing Inputs'!AA$30-'Investing Inputs'!AA$37-'Investing Inputs'!AA$44)</f>
        <v>0</v>
      </c>
      <c r="AB184" s="121">
        <f>0-('Investing Inputs'!AB$30-'Investing Inputs'!AB$37-'Investing Inputs'!AB$44)</f>
        <v>0</v>
      </c>
      <c r="AC184" s="121">
        <f>0-('Investing Inputs'!AC$30-'Investing Inputs'!AC$37-'Investing Inputs'!AC$44)</f>
        <v>0</v>
      </c>
      <c r="AD184" s="121">
        <f>0-('Investing Inputs'!AD$30-'Investing Inputs'!AD$37-'Investing Inputs'!AD$44)</f>
        <v>0</v>
      </c>
      <c r="AE184" s="121">
        <f>0-('Investing Inputs'!AE$30-'Investing Inputs'!AE$37-'Investing Inputs'!AE$44)</f>
        <v>0</v>
      </c>
      <c r="AF184" s="121">
        <f>0-('Investing Inputs'!AF$30-'Investing Inputs'!AF$37-'Investing Inputs'!AF$44)</f>
        <v>0</v>
      </c>
      <c r="AG184" s="121">
        <f>0-('Investing Inputs'!AG$30-'Investing Inputs'!AG$37-'Investing Inputs'!AG$44)</f>
        <v>0</v>
      </c>
      <c r="AH184" s="121">
        <f>0-('Investing Inputs'!AH$30-'Investing Inputs'!AH$37-'Investing Inputs'!AH$44)</f>
        <v>0</v>
      </c>
      <c r="AI184" s="121">
        <f>0-('Investing Inputs'!AI$30-'Investing Inputs'!AI$37-'Investing Inputs'!AI$44)</f>
        <v>0</v>
      </c>
      <c r="AJ184" s="121">
        <f>0-('Investing Inputs'!AJ$30-'Investing Inputs'!AJ$37-'Investing Inputs'!AJ$44)</f>
        <v>0</v>
      </c>
      <c r="AK184" s="121">
        <f>0-('Investing Inputs'!AK$30-'Investing Inputs'!AK$37-'Investing Inputs'!AK$44)</f>
        <v>0</v>
      </c>
      <c r="AL184" s="121">
        <f>0-('Investing Inputs'!AL$30-'Investing Inputs'!AL$37-'Investing Inputs'!AL$44)</f>
        <v>0</v>
      </c>
      <c r="AM184" s="121">
        <f>0-('Investing Inputs'!AM$30-'Investing Inputs'!AM$37-'Investing Inputs'!AM$44)</f>
        <v>0</v>
      </c>
      <c r="AN184" s="121">
        <f>0-('Investing Inputs'!AN$30-'Investing Inputs'!AN$37-'Investing Inputs'!AN$44)</f>
        <v>0</v>
      </c>
      <c r="AO184" s="121">
        <f>0-('Investing Inputs'!AO$30-'Investing Inputs'!AO$37-'Investing Inputs'!AO$44)</f>
        <v>0</v>
      </c>
      <c r="AP184" s="121">
        <f>0-('Investing Inputs'!AP$30-'Investing Inputs'!AP$37-'Investing Inputs'!AP$44)</f>
        <v>0</v>
      </c>
      <c r="AQ184" s="121">
        <f>0-('Investing Inputs'!AQ$30-'Investing Inputs'!AQ$37-'Investing Inputs'!AQ$44)</f>
        <v>0</v>
      </c>
      <c r="AR184" s="121">
        <f>0-('Investing Inputs'!AR$30-'Investing Inputs'!AR$37-'Investing Inputs'!AR$44)</f>
        <v>0</v>
      </c>
      <c r="AS184" s="121">
        <f>0-('Investing Inputs'!AS$30-'Investing Inputs'!AS$37-'Investing Inputs'!AS$44)</f>
        <v>0</v>
      </c>
      <c r="AT184" s="121">
        <f>0-('Investing Inputs'!AT$30-'Investing Inputs'!AT$37-'Investing Inputs'!AT$44)</f>
        <v>0</v>
      </c>
      <c r="AU184" s="121">
        <f>0-('Investing Inputs'!AU$30-'Investing Inputs'!AU$37-'Investing Inputs'!AU$44)</f>
        <v>0</v>
      </c>
      <c r="AV184" s="121">
        <f>0-('Investing Inputs'!AV$30-'Investing Inputs'!AV$37-'Investing Inputs'!AV$44)</f>
        <v>0</v>
      </c>
      <c r="AW184" s="121">
        <f>0-('Investing Inputs'!AW$30-'Investing Inputs'!AW$37-'Investing Inputs'!AW$44)</f>
        <v>0</v>
      </c>
      <c r="AX184" s="121">
        <f>0-('Investing Inputs'!AX$30-'Investing Inputs'!AX$37-'Investing Inputs'!AX$44)</f>
        <v>0</v>
      </c>
      <c r="AY184" s="121">
        <f>0-('Investing Inputs'!AY$30-'Investing Inputs'!AY$37-'Investing Inputs'!AY$44)</f>
        <v>0</v>
      </c>
      <c r="AZ184" s="121">
        <f>0-('Investing Inputs'!AZ$30-'Investing Inputs'!AZ$37-'Investing Inputs'!AZ$44)</f>
        <v>0</v>
      </c>
      <c r="BA184" s="121">
        <f>0-('Investing Inputs'!BA$30-'Investing Inputs'!BA$37-'Investing Inputs'!BA$44)</f>
        <v>0</v>
      </c>
      <c r="BB184" s="121">
        <f>0-('Investing Inputs'!BB$30-'Investing Inputs'!BB$37-'Investing Inputs'!BB$44)</f>
        <v>0</v>
      </c>
      <c r="BC184" s="121">
        <f>0-('Investing Inputs'!BC$30-'Investing Inputs'!BC$37-'Investing Inputs'!BC$44)</f>
        <v>0</v>
      </c>
      <c r="BD184" s="121">
        <f>0-('Investing Inputs'!BD$30-'Investing Inputs'!BD$37-'Investing Inputs'!BD$44)</f>
        <v>0</v>
      </c>
      <c r="BE184" s="121">
        <f>0-('Investing Inputs'!BE$30-'Investing Inputs'!BE$37-'Investing Inputs'!BE$44)</f>
        <v>0</v>
      </c>
      <c r="BF184" s="121">
        <f>0-('Investing Inputs'!BF$30-'Investing Inputs'!BF$37-'Investing Inputs'!BF$44)</f>
        <v>0</v>
      </c>
      <c r="BG184" s="121">
        <f>0-('Investing Inputs'!BG$30-'Investing Inputs'!BG$37-'Investing Inputs'!BG$44)</f>
        <v>0</v>
      </c>
      <c r="BH184" s="121">
        <f>0-('Investing Inputs'!BH$30-'Investing Inputs'!BH$37-'Investing Inputs'!BH$44)</f>
        <v>0</v>
      </c>
      <c r="BI184" s="121">
        <f>0-('Investing Inputs'!BI$30-'Investing Inputs'!BI$37-'Investing Inputs'!BI$44)</f>
        <v>0</v>
      </c>
      <c r="BJ184" s="121">
        <f>0-('Investing Inputs'!BJ$30-'Investing Inputs'!BJ$37-'Investing Inputs'!BJ$44)</f>
        <v>0</v>
      </c>
      <c r="BK184" s="157"/>
      <c r="BL184" s="121">
        <f>0-('Investing Inputs'!BL$30-'Investing Inputs'!BL$37-'Investing Inputs'!BL$44)</f>
        <v>0</v>
      </c>
      <c r="BM184" s="121">
        <f>0-('Investing Inputs'!BM$30-'Investing Inputs'!BM$37-'Investing Inputs'!BM$44)</f>
        <v>0</v>
      </c>
      <c r="BN184" s="121">
        <f>0-('Investing Inputs'!BN$30-'Investing Inputs'!BN$37-'Investing Inputs'!BN$44)</f>
        <v>0</v>
      </c>
      <c r="BO184" s="121">
        <f>0-('Investing Inputs'!BO$30-'Investing Inputs'!BO$37-'Investing Inputs'!BO$44)</f>
        <v>0</v>
      </c>
      <c r="BP184" s="121">
        <f>0-('Investing Inputs'!BP$30-'Investing Inputs'!BP$37-'Investing Inputs'!BP$44)</f>
        <v>0</v>
      </c>
      <c r="BQ184" s="121">
        <f>0-('Investing Inputs'!BQ$30-'Investing Inputs'!BQ$37-'Investing Inputs'!BQ$44)</f>
        <v>0</v>
      </c>
      <c r="BR184" s="121">
        <f>0-('Investing Inputs'!BR$30-'Investing Inputs'!BR$37-'Investing Inputs'!BR$44)</f>
        <v>0</v>
      </c>
      <c r="BS184" s="121">
        <f>0-('Investing Inputs'!BS$30-'Investing Inputs'!BS$37-'Investing Inputs'!BS$44)</f>
        <v>0</v>
      </c>
      <c r="BT184" s="121">
        <f>0-('Investing Inputs'!BT$30-'Investing Inputs'!BT$37-'Investing Inputs'!BT$44)</f>
        <v>0</v>
      </c>
      <c r="BU184" s="121">
        <f>0-('Investing Inputs'!BU$30-'Investing Inputs'!BU$37-'Investing Inputs'!BU$44)</f>
        <v>0</v>
      </c>
      <c r="BV184" s="121">
        <f>0-('Investing Inputs'!BV$30-'Investing Inputs'!BV$37-'Investing Inputs'!BV$44)</f>
        <v>0</v>
      </c>
      <c r="BW184" s="121">
        <f>0-('Investing Inputs'!BW$30-'Investing Inputs'!BW$37-'Investing Inputs'!BW$44)</f>
        <v>0</v>
      </c>
      <c r="BX184" s="157"/>
      <c r="BY184" s="42"/>
      <c r="CC184" s="126">
        <f t="shared" si="199"/>
        <v>0</v>
      </c>
      <c r="CD184" s="126">
        <f t="shared" si="200"/>
        <v>0</v>
      </c>
      <c r="CE184" s="126">
        <f t="shared" si="201"/>
        <v>0</v>
      </c>
      <c r="CF184" s="42"/>
      <c r="CG184" s="352">
        <f t="shared" si="202"/>
        <v>0</v>
      </c>
      <c r="CH184" s="352">
        <f t="shared" si="203"/>
        <v>0</v>
      </c>
      <c r="CI184" s="352">
        <f t="shared" si="204"/>
        <v>0</v>
      </c>
      <c r="CJ184" s="352">
        <f t="shared" si="205"/>
        <v>0</v>
      </c>
      <c r="CK184" s="352">
        <f t="shared" si="206"/>
        <v>0</v>
      </c>
      <c r="CL184" s="352">
        <f t="shared" si="207"/>
        <v>0</v>
      </c>
      <c r="CM184" s="352">
        <f t="shared" si="208"/>
        <v>0</v>
      </c>
      <c r="EX184" s="10" t="str">
        <f t="shared" si="135"/>
        <v>Payments made towards Other Non-Current Assets</v>
      </c>
    </row>
    <row r="185" spans="1:154" ht="67.5" x14ac:dyDescent="0.25">
      <c r="A185" s="362" cm="1">
        <f t="array" aca="1" ref="A185" ca="1">HYPERLINK(CONCATENATE("#",CELL("address",IF(SUM($BY185:$CF185)=0,A185,INDEX($BY185:$CF185,MATCH(1,$BY185:$CF185,0))))),SUM($BY185:$CF185))</f>
        <v>0</v>
      </c>
      <c r="B185" s="157"/>
      <c r="C185" s="343" t="s">
        <v>1718</v>
      </c>
      <c r="D185" s="555" t="s">
        <v>608</v>
      </c>
      <c r="E185" s="181" t="str" cm="1">
        <f t="array" aca="1" ref="E185" ca="1">HYPERLINK(CONCATENATE("#",CELL("address",'Investing Inputs'!$D$31)),'Investing Inputs'!$D$31)</f>
        <v>Assets under Construction</v>
      </c>
      <c r="F185" s="181" t="str" cm="1">
        <f t="array" aca="1" ref="F185" ca="1">HYPERLINK(CONCATENATE("#",CELL("address",'Investing Inputs'!$D$38)),'Investing Inputs'!$D$38)</f>
        <v>Assets Under Construction Donations Sub-Total</v>
      </c>
      <c r="G185" s="181" t="str" cm="1">
        <f t="array" aca="1" ref="G185" ca="1">HYPERLINK(CONCATENATE("#",CELL("address",'Investing Inputs'!$D$45)),'Investing Inputs'!$D$45)</f>
        <v>Assets Under Construction Finance Leases Sub-Total</v>
      </c>
      <c r="H185" s="180"/>
      <c r="I185" s="157"/>
      <c r="J185" s="157"/>
      <c r="K185" s="157"/>
      <c r="L185" s="157"/>
      <c r="M185" s="157"/>
      <c r="N185" s="157"/>
      <c r="O185" s="157"/>
      <c r="P185" s="157"/>
      <c r="Q185" s="157"/>
      <c r="R185" s="157"/>
      <c r="S185" s="157"/>
      <c r="T185" s="157"/>
      <c r="U185" s="157"/>
      <c r="V185" s="121">
        <f>0-('Investing Inputs'!V$31-'Investing Inputs'!V$38-'Investing Inputs'!V$45)</f>
        <v>0</v>
      </c>
      <c r="W185" s="121">
        <f>0-('Investing Inputs'!W$31-'Investing Inputs'!W$38-'Investing Inputs'!W$45)</f>
        <v>0</v>
      </c>
      <c r="X185" s="121">
        <f>0-('Investing Inputs'!X$31-'Investing Inputs'!X$38-'Investing Inputs'!X$45)</f>
        <v>0</v>
      </c>
      <c r="Y185" s="121">
        <f>0-('Investing Inputs'!Y$31-'Investing Inputs'!Y$38-'Investing Inputs'!Y$45)</f>
        <v>0</v>
      </c>
      <c r="Z185" s="157"/>
      <c r="AA185" s="121">
        <f>0-('Investing Inputs'!AA$31-'Investing Inputs'!AA$38-'Investing Inputs'!AA$45)</f>
        <v>0</v>
      </c>
      <c r="AB185" s="121">
        <f>0-('Investing Inputs'!AB$31-'Investing Inputs'!AB$38-'Investing Inputs'!AB$45)</f>
        <v>0</v>
      </c>
      <c r="AC185" s="121">
        <f>0-('Investing Inputs'!AC$31-'Investing Inputs'!AC$38-'Investing Inputs'!AC$45)</f>
        <v>0</v>
      </c>
      <c r="AD185" s="121">
        <f>0-('Investing Inputs'!AD$31-'Investing Inputs'!AD$38-'Investing Inputs'!AD$45)</f>
        <v>0</v>
      </c>
      <c r="AE185" s="121">
        <f>0-('Investing Inputs'!AE$31-'Investing Inputs'!AE$38-'Investing Inputs'!AE$45)</f>
        <v>0</v>
      </c>
      <c r="AF185" s="121">
        <f>0-('Investing Inputs'!AF$31-'Investing Inputs'!AF$38-'Investing Inputs'!AF$45)</f>
        <v>0</v>
      </c>
      <c r="AG185" s="121">
        <f>0-('Investing Inputs'!AG$31-'Investing Inputs'!AG$38-'Investing Inputs'!AG$45)</f>
        <v>0</v>
      </c>
      <c r="AH185" s="121">
        <f>0-('Investing Inputs'!AH$31-'Investing Inputs'!AH$38-'Investing Inputs'!AH$45)</f>
        <v>0</v>
      </c>
      <c r="AI185" s="121">
        <f>0-('Investing Inputs'!AI$31-'Investing Inputs'!AI$38-'Investing Inputs'!AI$45)</f>
        <v>0</v>
      </c>
      <c r="AJ185" s="121">
        <f>0-('Investing Inputs'!AJ$31-'Investing Inputs'!AJ$38-'Investing Inputs'!AJ$45)</f>
        <v>0</v>
      </c>
      <c r="AK185" s="121">
        <f>0-('Investing Inputs'!AK$31-'Investing Inputs'!AK$38-'Investing Inputs'!AK$45)</f>
        <v>0</v>
      </c>
      <c r="AL185" s="121">
        <f>0-('Investing Inputs'!AL$31-'Investing Inputs'!AL$38-'Investing Inputs'!AL$45)</f>
        <v>0</v>
      </c>
      <c r="AM185" s="121">
        <f>0-('Investing Inputs'!AM$31-'Investing Inputs'!AM$38-'Investing Inputs'!AM$45)</f>
        <v>0</v>
      </c>
      <c r="AN185" s="121">
        <f>0-('Investing Inputs'!AN$31-'Investing Inputs'!AN$38-'Investing Inputs'!AN$45)</f>
        <v>0</v>
      </c>
      <c r="AO185" s="121">
        <f>0-('Investing Inputs'!AO$31-'Investing Inputs'!AO$38-'Investing Inputs'!AO$45)</f>
        <v>0</v>
      </c>
      <c r="AP185" s="121">
        <f>0-('Investing Inputs'!AP$31-'Investing Inputs'!AP$38-'Investing Inputs'!AP$45)</f>
        <v>0</v>
      </c>
      <c r="AQ185" s="121">
        <f>0-('Investing Inputs'!AQ$31-'Investing Inputs'!AQ$38-'Investing Inputs'!AQ$45)</f>
        <v>0</v>
      </c>
      <c r="AR185" s="121">
        <f>0-('Investing Inputs'!AR$31-'Investing Inputs'!AR$38-'Investing Inputs'!AR$45)</f>
        <v>0</v>
      </c>
      <c r="AS185" s="121">
        <f>0-('Investing Inputs'!AS$31-'Investing Inputs'!AS$38-'Investing Inputs'!AS$45)</f>
        <v>0</v>
      </c>
      <c r="AT185" s="121">
        <f>0-('Investing Inputs'!AT$31-'Investing Inputs'!AT$38-'Investing Inputs'!AT$45)</f>
        <v>0</v>
      </c>
      <c r="AU185" s="121">
        <f>0-('Investing Inputs'!AU$31-'Investing Inputs'!AU$38-'Investing Inputs'!AU$45)</f>
        <v>0</v>
      </c>
      <c r="AV185" s="121">
        <f>0-('Investing Inputs'!AV$31-'Investing Inputs'!AV$38-'Investing Inputs'!AV$45)</f>
        <v>0</v>
      </c>
      <c r="AW185" s="121">
        <f>0-('Investing Inputs'!AW$31-'Investing Inputs'!AW$38-'Investing Inputs'!AW$45)</f>
        <v>0</v>
      </c>
      <c r="AX185" s="121">
        <f>0-('Investing Inputs'!AX$31-'Investing Inputs'!AX$38-'Investing Inputs'!AX$45)</f>
        <v>0</v>
      </c>
      <c r="AY185" s="121">
        <f>0-('Investing Inputs'!AY$31-'Investing Inputs'!AY$38-'Investing Inputs'!AY$45)</f>
        <v>0</v>
      </c>
      <c r="AZ185" s="121">
        <f>0-('Investing Inputs'!AZ$31-'Investing Inputs'!AZ$38-'Investing Inputs'!AZ$45)</f>
        <v>0</v>
      </c>
      <c r="BA185" s="121">
        <f>0-('Investing Inputs'!BA$31-'Investing Inputs'!BA$38-'Investing Inputs'!BA$45)</f>
        <v>0</v>
      </c>
      <c r="BB185" s="121">
        <f>0-('Investing Inputs'!BB$31-'Investing Inputs'!BB$38-'Investing Inputs'!BB$45)</f>
        <v>0</v>
      </c>
      <c r="BC185" s="121">
        <f>0-('Investing Inputs'!BC$31-'Investing Inputs'!BC$38-'Investing Inputs'!BC$45)</f>
        <v>0</v>
      </c>
      <c r="BD185" s="121">
        <f>0-('Investing Inputs'!BD$31-'Investing Inputs'!BD$38-'Investing Inputs'!BD$45)</f>
        <v>0</v>
      </c>
      <c r="BE185" s="121">
        <f>0-('Investing Inputs'!BE$31-'Investing Inputs'!BE$38-'Investing Inputs'!BE$45)</f>
        <v>0</v>
      </c>
      <c r="BF185" s="121">
        <f>0-('Investing Inputs'!BF$31-'Investing Inputs'!BF$38-'Investing Inputs'!BF$45)</f>
        <v>0</v>
      </c>
      <c r="BG185" s="121">
        <f>0-('Investing Inputs'!BG$31-'Investing Inputs'!BG$38-'Investing Inputs'!BG$45)</f>
        <v>0</v>
      </c>
      <c r="BH185" s="121">
        <f>0-('Investing Inputs'!BH$31-'Investing Inputs'!BH$38-'Investing Inputs'!BH$45)</f>
        <v>0</v>
      </c>
      <c r="BI185" s="121">
        <f>0-('Investing Inputs'!BI$31-'Investing Inputs'!BI$38-'Investing Inputs'!BI$45)</f>
        <v>0</v>
      </c>
      <c r="BJ185" s="121">
        <f>0-('Investing Inputs'!BJ$31-'Investing Inputs'!BJ$38-'Investing Inputs'!BJ$45)</f>
        <v>0</v>
      </c>
      <c r="BK185" s="157"/>
      <c r="BL185" s="121">
        <f>0-('Investing Inputs'!BL$31-'Investing Inputs'!BL$38-'Investing Inputs'!BL$45)</f>
        <v>0</v>
      </c>
      <c r="BM185" s="121">
        <f>0-('Investing Inputs'!BM$31-'Investing Inputs'!BM$38-'Investing Inputs'!BM$45)</f>
        <v>0</v>
      </c>
      <c r="BN185" s="121">
        <f>0-('Investing Inputs'!BN$31-'Investing Inputs'!BN$38-'Investing Inputs'!BN$45)</f>
        <v>0</v>
      </c>
      <c r="BO185" s="121">
        <f>0-('Investing Inputs'!BO$31-'Investing Inputs'!BO$38-'Investing Inputs'!BO$45)</f>
        <v>0</v>
      </c>
      <c r="BP185" s="121">
        <f>0-('Investing Inputs'!BP$31-'Investing Inputs'!BP$38-'Investing Inputs'!BP$45)</f>
        <v>0</v>
      </c>
      <c r="BQ185" s="121">
        <f>0-('Investing Inputs'!BQ$31-'Investing Inputs'!BQ$38-'Investing Inputs'!BQ$45)</f>
        <v>0</v>
      </c>
      <c r="BR185" s="121">
        <f>0-('Investing Inputs'!BR$31-'Investing Inputs'!BR$38-'Investing Inputs'!BR$45)</f>
        <v>0</v>
      </c>
      <c r="BS185" s="121">
        <f>0-('Investing Inputs'!BS$31-'Investing Inputs'!BS$38-'Investing Inputs'!BS$45)</f>
        <v>0</v>
      </c>
      <c r="BT185" s="121">
        <f>0-('Investing Inputs'!BT$31-'Investing Inputs'!BT$38-'Investing Inputs'!BT$45)</f>
        <v>0</v>
      </c>
      <c r="BU185" s="121">
        <f>0-('Investing Inputs'!BU$31-'Investing Inputs'!BU$38-'Investing Inputs'!BU$45)</f>
        <v>0</v>
      </c>
      <c r="BV185" s="121">
        <f>0-('Investing Inputs'!BV$31-'Investing Inputs'!BV$38-'Investing Inputs'!BV$45)</f>
        <v>0</v>
      </c>
      <c r="BW185" s="121">
        <f>0-('Investing Inputs'!BW$31-'Investing Inputs'!BW$38-'Investing Inputs'!BW$45)</f>
        <v>0</v>
      </c>
      <c r="BX185" s="157"/>
      <c r="BY185" s="42"/>
      <c r="CC185" s="126">
        <f t="shared" si="199"/>
        <v>0</v>
      </c>
      <c r="CD185" s="126">
        <f t="shared" si="200"/>
        <v>0</v>
      </c>
      <c r="CE185" s="126">
        <f t="shared" si="201"/>
        <v>0</v>
      </c>
      <c r="CF185" s="42"/>
      <c r="CG185" s="352">
        <f t="shared" si="202"/>
        <v>0</v>
      </c>
      <c r="CH185" s="352">
        <f t="shared" si="203"/>
        <v>0</v>
      </c>
      <c r="CI185" s="352">
        <f t="shared" si="204"/>
        <v>0</v>
      </c>
      <c r="CJ185" s="352">
        <f t="shared" si="205"/>
        <v>0</v>
      </c>
      <c r="CK185" s="352">
        <f t="shared" si="206"/>
        <v>0</v>
      </c>
      <c r="CL185" s="352">
        <f t="shared" si="207"/>
        <v>0</v>
      </c>
      <c r="CM185" s="352">
        <f t="shared" si="208"/>
        <v>0</v>
      </c>
      <c r="EX185" s="10" t="str">
        <f t="shared" si="135"/>
        <v>Payments made towards Assets under Construction</v>
      </c>
    </row>
    <row r="186" spans="1:154" ht="22.5" x14ac:dyDescent="0.25">
      <c r="A186" s="362" cm="1">
        <f t="array" aca="1" ref="A186" ca="1">HYPERLINK(CONCATENATE("#",CELL("address",IF(SUM($BY186:$CF186)=0,A186,INDEX($BY186:$CF186,MATCH(1,$BY186:$CF186,0))))),SUM($BY186:$CF186))</f>
        <v>0</v>
      </c>
      <c r="B186" s="157"/>
      <c r="C186" s="343" t="s">
        <v>1719</v>
      </c>
      <c r="D186" s="555" t="s">
        <v>2554</v>
      </c>
      <c r="E186" s="181" t="str" cm="1">
        <f t="array" aca="1" ref="E186" ca="1">HYPERLINK(CONCATENATE("#",CELL("address",'Investing Inputs'!$D$246)),'Investing Inputs'!$D$244)</f>
        <v>Investments</v>
      </c>
      <c r="F186" s="180"/>
      <c r="G186" s="180"/>
      <c r="H186" s="180"/>
      <c r="I186" s="157"/>
      <c r="J186" s="157"/>
      <c r="K186" s="157"/>
      <c r="L186" s="157"/>
      <c r="M186" s="157"/>
      <c r="N186" s="157"/>
      <c r="O186" s="157"/>
      <c r="P186" s="157"/>
      <c r="Q186" s="157"/>
      <c r="R186" s="157"/>
      <c r="S186" s="157"/>
      <c r="T186" s="157"/>
      <c r="U186" s="157"/>
      <c r="V186" s="121">
        <f>0-'Investing Inputs'!V246</f>
        <v>0</v>
      </c>
      <c r="W186" s="121">
        <f>0-'Investing Inputs'!W246</f>
        <v>0</v>
      </c>
      <c r="X186" s="121">
        <f>0-'Investing Inputs'!X246</f>
        <v>0</v>
      </c>
      <c r="Y186" s="121">
        <f>0-'Investing Inputs'!Y246</f>
        <v>0</v>
      </c>
      <c r="Z186" s="157"/>
      <c r="AA186" s="121">
        <f>0-'Investing Inputs'!AA246</f>
        <v>0</v>
      </c>
      <c r="AB186" s="121">
        <f>0-'Investing Inputs'!AB246</f>
        <v>0</v>
      </c>
      <c r="AC186" s="121">
        <f>0-'Investing Inputs'!AC246</f>
        <v>0</v>
      </c>
      <c r="AD186" s="121">
        <f>0-'Investing Inputs'!AD246</f>
        <v>0</v>
      </c>
      <c r="AE186" s="121">
        <f>0-'Investing Inputs'!AE246</f>
        <v>0</v>
      </c>
      <c r="AF186" s="121">
        <f>0-'Investing Inputs'!AF246</f>
        <v>0</v>
      </c>
      <c r="AG186" s="121">
        <f>0-'Investing Inputs'!AG246</f>
        <v>0</v>
      </c>
      <c r="AH186" s="121">
        <f>0-'Investing Inputs'!AH246</f>
        <v>0</v>
      </c>
      <c r="AI186" s="121">
        <f>0-'Investing Inputs'!AI246</f>
        <v>0</v>
      </c>
      <c r="AJ186" s="121">
        <f>0-'Investing Inputs'!AJ246</f>
        <v>0</v>
      </c>
      <c r="AK186" s="121">
        <f>0-'Investing Inputs'!AK246</f>
        <v>0</v>
      </c>
      <c r="AL186" s="121">
        <f>0-'Investing Inputs'!AL246</f>
        <v>0</v>
      </c>
      <c r="AM186" s="121">
        <f>0-'Investing Inputs'!AM246</f>
        <v>0</v>
      </c>
      <c r="AN186" s="121">
        <f>0-'Investing Inputs'!AN246</f>
        <v>0</v>
      </c>
      <c r="AO186" s="121">
        <f>0-'Investing Inputs'!AO246</f>
        <v>0</v>
      </c>
      <c r="AP186" s="121">
        <f>0-'Investing Inputs'!AP246</f>
        <v>0</v>
      </c>
      <c r="AQ186" s="121">
        <f>0-'Investing Inputs'!AQ246</f>
        <v>0</v>
      </c>
      <c r="AR186" s="121">
        <f>0-'Investing Inputs'!AR246</f>
        <v>0</v>
      </c>
      <c r="AS186" s="121">
        <f>0-'Investing Inputs'!AS246</f>
        <v>0</v>
      </c>
      <c r="AT186" s="121">
        <f>0-'Investing Inputs'!AT246</f>
        <v>0</v>
      </c>
      <c r="AU186" s="121">
        <f>0-'Investing Inputs'!AU246</f>
        <v>0</v>
      </c>
      <c r="AV186" s="121">
        <f>0-'Investing Inputs'!AV246</f>
        <v>0</v>
      </c>
      <c r="AW186" s="121">
        <f>0-'Investing Inputs'!AW246</f>
        <v>0</v>
      </c>
      <c r="AX186" s="121">
        <f>0-'Investing Inputs'!AX246</f>
        <v>0</v>
      </c>
      <c r="AY186" s="121">
        <f>0-'Investing Inputs'!AY246</f>
        <v>0</v>
      </c>
      <c r="AZ186" s="121">
        <f>0-'Investing Inputs'!AZ246</f>
        <v>0</v>
      </c>
      <c r="BA186" s="121">
        <f>0-'Investing Inputs'!BA246</f>
        <v>0</v>
      </c>
      <c r="BB186" s="121">
        <f>0-'Investing Inputs'!BB246</f>
        <v>0</v>
      </c>
      <c r="BC186" s="121">
        <f>0-'Investing Inputs'!BC246</f>
        <v>0</v>
      </c>
      <c r="BD186" s="121">
        <f>0-'Investing Inputs'!BD246</f>
        <v>0</v>
      </c>
      <c r="BE186" s="121">
        <f>0-'Investing Inputs'!BE246</f>
        <v>0</v>
      </c>
      <c r="BF186" s="121">
        <f>0-'Investing Inputs'!BF246</f>
        <v>0</v>
      </c>
      <c r="BG186" s="121">
        <f>0-'Investing Inputs'!BG246</f>
        <v>0</v>
      </c>
      <c r="BH186" s="121">
        <f>0-'Investing Inputs'!BH246</f>
        <v>0</v>
      </c>
      <c r="BI186" s="121">
        <f>0-'Investing Inputs'!BI246</f>
        <v>0</v>
      </c>
      <c r="BJ186" s="121">
        <f>0-'Investing Inputs'!BJ246</f>
        <v>0</v>
      </c>
      <c r="BK186" s="157"/>
      <c r="BL186" s="121">
        <f>0-'Investing Inputs'!BL246</f>
        <v>0</v>
      </c>
      <c r="BM186" s="121">
        <f>0-'Investing Inputs'!BM246</f>
        <v>0</v>
      </c>
      <c r="BN186" s="121">
        <f>0-'Investing Inputs'!BN246</f>
        <v>0</v>
      </c>
      <c r="BO186" s="121">
        <f>0-'Investing Inputs'!BO246</f>
        <v>0</v>
      </c>
      <c r="BP186" s="121">
        <f>0-'Investing Inputs'!BP246</f>
        <v>0</v>
      </c>
      <c r="BQ186" s="121">
        <f>0-'Investing Inputs'!BQ246</f>
        <v>0</v>
      </c>
      <c r="BR186" s="121">
        <f>0-'Investing Inputs'!BR246</f>
        <v>0</v>
      </c>
      <c r="BS186" s="121">
        <f>0-'Investing Inputs'!BS246</f>
        <v>0</v>
      </c>
      <c r="BT186" s="121">
        <f>0-'Investing Inputs'!BT246</f>
        <v>0</v>
      </c>
      <c r="BU186" s="121">
        <f>0-'Investing Inputs'!BU246</f>
        <v>0</v>
      </c>
      <c r="BV186" s="121">
        <f>0-'Investing Inputs'!BV246</f>
        <v>0</v>
      </c>
      <c r="BW186" s="121">
        <f>0-'Investing Inputs'!BW246</f>
        <v>0</v>
      </c>
      <c r="BX186" s="157"/>
      <c r="BY186" s="12"/>
      <c r="CC186" s="126">
        <f t="shared" si="199"/>
        <v>0</v>
      </c>
      <c r="CD186" s="126">
        <f t="shared" si="200"/>
        <v>0</v>
      </c>
      <c r="CE186" s="126">
        <f t="shared" si="201"/>
        <v>0</v>
      </c>
      <c r="CF186" s="42"/>
      <c r="CG186" s="352">
        <f t="shared" si="202"/>
        <v>0</v>
      </c>
      <c r="CH186" s="352">
        <f t="shared" si="203"/>
        <v>0</v>
      </c>
      <c r="CI186" s="352">
        <f t="shared" si="204"/>
        <v>0</v>
      </c>
      <c r="CJ186" s="352">
        <f t="shared" si="205"/>
        <v>0</v>
      </c>
      <c r="CK186" s="352">
        <f t="shared" si="206"/>
        <v>0</v>
      </c>
      <c r="CL186" s="352">
        <f t="shared" si="207"/>
        <v>0</v>
      </c>
      <c r="CM186" s="352">
        <f t="shared" si="208"/>
        <v>0</v>
      </c>
      <c r="EX186" s="10" t="str">
        <f t="shared" si="135"/>
        <v>Payments made to acquire Investments</v>
      </c>
    </row>
    <row r="187" spans="1:154" s="323" customFormat="1" ht="22.5" x14ac:dyDescent="0.25">
      <c r="A187" s="362" cm="1">
        <f t="array" aca="1" ref="A187" ca="1">HYPERLINK(CONCATENATE("#",CELL("address",IF(SUM($BY187:$CF187)=0,A187,INDEX($BY187:$CF187,MATCH(1,$BY187:$CF187,0))))),SUM($BY187:$CF187))</f>
        <v>0</v>
      </c>
      <c r="B187" s="157"/>
      <c r="C187" s="343" t="s">
        <v>2534</v>
      </c>
      <c r="D187" s="529" t="s">
        <v>847</v>
      </c>
      <c r="E187" s="181" t="str" cm="1">
        <f t="array" aca="1" ref="E187" ca="1">HYPERLINK(CONCATENATE("#",CELL("address",'BS Forecasts'!$D$154)),LEFT('BS Forecasts'!$D$153,23))</f>
        <v>Fixed Assets Retentions</v>
      </c>
      <c r="F187" s="180"/>
      <c r="G187" s="162"/>
      <c r="H187" s="180"/>
      <c r="I187" s="157"/>
      <c r="J187" s="157"/>
      <c r="K187" s="157"/>
      <c r="L187" s="157"/>
      <c r="M187" s="157"/>
      <c r="N187" s="157"/>
      <c r="O187" s="157"/>
      <c r="P187" s="157"/>
      <c r="Q187" s="157"/>
      <c r="R187" s="157"/>
      <c r="S187" s="157"/>
      <c r="T187" s="157"/>
      <c r="U187" s="157"/>
      <c r="V187" s="13">
        <f>('Opening Balances'!W45-'Opening Balances'!V45)*'Opening Balances'!$V$81</f>
        <v>0</v>
      </c>
      <c r="W187" s="121">
        <f>(W$98-V$98)</f>
        <v>0</v>
      </c>
      <c r="X187" s="121">
        <f>(X$98-W$98)</f>
        <v>0</v>
      </c>
      <c r="Y187" s="121">
        <f>(Y$98-X$98)</f>
        <v>0</v>
      </c>
      <c r="Z187" s="157"/>
      <c r="AA187" s="13">
        <f>(AA$98-V$98)</f>
        <v>0</v>
      </c>
      <c r="AB187" s="121">
        <f t="shared" ref="AB187:BJ187" si="209">(AB$98-AA$98)</f>
        <v>0</v>
      </c>
      <c r="AC187" s="121">
        <f t="shared" si="209"/>
        <v>0</v>
      </c>
      <c r="AD187" s="121">
        <f t="shared" si="209"/>
        <v>0</v>
      </c>
      <c r="AE187" s="121">
        <f t="shared" si="209"/>
        <v>0</v>
      </c>
      <c r="AF187" s="121">
        <f t="shared" si="209"/>
        <v>0</v>
      </c>
      <c r="AG187" s="121">
        <f t="shared" si="209"/>
        <v>0</v>
      </c>
      <c r="AH187" s="121">
        <f t="shared" si="209"/>
        <v>0</v>
      </c>
      <c r="AI187" s="121">
        <f t="shared" si="209"/>
        <v>0</v>
      </c>
      <c r="AJ187" s="121">
        <f t="shared" si="209"/>
        <v>0</v>
      </c>
      <c r="AK187" s="121">
        <f t="shared" si="209"/>
        <v>0</v>
      </c>
      <c r="AL187" s="121">
        <f t="shared" si="209"/>
        <v>0</v>
      </c>
      <c r="AM187" s="121">
        <f t="shared" si="209"/>
        <v>0</v>
      </c>
      <c r="AN187" s="121">
        <f t="shared" si="209"/>
        <v>0</v>
      </c>
      <c r="AO187" s="121">
        <f t="shared" si="209"/>
        <v>0</v>
      </c>
      <c r="AP187" s="121">
        <f t="shared" si="209"/>
        <v>0</v>
      </c>
      <c r="AQ187" s="121">
        <f t="shared" si="209"/>
        <v>0</v>
      </c>
      <c r="AR187" s="121">
        <f t="shared" si="209"/>
        <v>0</v>
      </c>
      <c r="AS187" s="121">
        <f t="shared" si="209"/>
        <v>0</v>
      </c>
      <c r="AT187" s="121">
        <f t="shared" si="209"/>
        <v>0</v>
      </c>
      <c r="AU187" s="121">
        <f t="shared" si="209"/>
        <v>0</v>
      </c>
      <c r="AV187" s="121">
        <f t="shared" si="209"/>
        <v>0</v>
      </c>
      <c r="AW187" s="121">
        <f t="shared" si="209"/>
        <v>0</v>
      </c>
      <c r="AX187" s="121">
        <f t="shared" si="209"/>
        <v>0</v>
      </c>
      <c r="AY187" s="121">
        <f t="shared" si="209"/>
        <v>0</v>
      </c>
      <c r="AZ187" s="121">
        <f t="shared" si="209"/>
        <v>0</v>
      </c>
      <c r="BA187" s="121">
        <f t="shared" si="209"/>
        <v>0</v>
      </c>
      <c r="BB187" s="121">
        <f t="shared" si="209"/>
        <v>0</v>
      </c>
      <c r="BC187" s="121">
        <f t="shared" si="209"/>
        <v>0</v>
      </c>
      <c r="BD187" s="121">
        <f t="shared" si="209"/>
        <v>0</v>
      </c>
      <c r="BE187" s="121">
        <f t="shared" si="209"/>
        <v>0</v>
      </c>
      <c r="BF187" s="121">
        <f t="shared" si="209"/>
        <v>0</v>
      </c>
      <c r="BG187" s="121">
        <f t="shared" si="209"/>
        <v>0</v>
      </c>
      <c r="BH187" s="121">
        <f t="shared" si="209"/>
        <v>0</v>
      </c>
      <c r="BI187" s="121">
        <f t="shared" si="209"/>
        <v>0</v>
      </c>
      <c r="BJ187" s="121">
        <f t="shared" si="209"/>
        <v>0</v>
      </c>
      <c r="BK187" s="157"/>
      <c r="BL187" s="13">
        <f>V187</f>
        <v>0</v>
      </c>
      <c r="BM187" s="121">
        <f t="shared" ref="BM187:BW187" si="210">(BM$98-BL$98)</f>
        <v>0</v>
      </c>
      <c r="BN187" s="121">
        <f t="shared" si="210"/>
        <v>0</v>
      </c>
      <c r="BO187" s="121">
        <f t="shared" si="210"/>
        <v>0</v>
      </c>
      <c r="BP187" s="121">
        <f t="shared" si="210"/>
        <v>0</v>
      </c>
      <c r="BQ187" s="121">
        <f t="shared" si="210"/>
        <v>0</v>
      </c>
      <c r="BR187" s="121">
        <f t="shared" si="210"/>
        <v>0</v>
      </c>
      <c r="BS187" s="121">
        <f t="shared" si="210"/>
        <v>0</v>
      </c>
      <c r="BT187" s="121">
        <f t="shared" si="210"/>
        <v>0</v>
      </c>
      <c r="BU187" s="121">
        <f t="shared" si="210"/>
        <v>0</v>
      </c>
      <c r="BV187" s="121">
        <f t="shared" si="210"/>
        <v>0</v>
      </c>
      <c r="BW187" s="121">
        <f t="shared" si="210"/>
        <v>0</v>
      </c>
      <c r="BX187" s="157"/>
      <c r="BY187" s="12"/>
      <c r="CB187" s="335"/>
      <c r="CC187" s="126">
        <f>IF(SUM($CG187:$CI187)=0, 0, 1)</f>
        <v>0</v>
      </c>
      <c r="CD187" s="126">
        <f>IF(SUM($CJ187:$CL187)=0, 0, 1)</f>
        <v>0</v>
      </c>
      <c r="CE187" s="126">
        <f>IF(CM187=0, 0, 1)</f>
        <v>0</v>
      </c>
      <c r="CF187" s="42"/>
      <c r="CG187" s="352">
        <f>ROUND(W187-SUMIFS($AA187:$BJ187, $AA$3:$BJ$3, W$3), rounding)</f>
        <v>0</v>
      </c>
      <c r="CH187" s="352">
        <f>ROUND($X187-SUMIFS($AA187:$BJ187, $AA$3:$BJ$3, X$3), rounding)</f>
        <v>0</v>
      </c>
      <c r="CI187" s="352">
        <f>ROUND($Y187-SUMIFS($AA187:$BJ187, $AA$3:$BJ$3, Y$3), rounding)</f>
        <v>0</v>
      </c>
      <c r="CJ187" s="352">
        <f>ROUND(W187-BM187, rounding)</f>
        <v>0</v>
      </c>
      <c r="CK187" s="352">
        <f>ROUND(X187-BN187, rounding)</f>
        <v>0</v>
      </c>
      <c r="CL187" s="352">
        <f>ROUND(Y187-BO187, rounding)</f>
        <v>0</v>
      </c>
      <c r="CM187" s="352">
        <f>ROUND(V187-BL187, rounding)</f>
        <v>0</v>
      </c>
      <c r="EX187" s="10" t="str">
        <f>IF($C187="","",$D187)</f>
        <v>Movement in Fixed Assets Retentions</v>
      </c>
    </row>
    <row r="188" spans="1:154" ht="22.5" x14ac:dyDescent="0.25">
      <c r="A188" s="362" cm="1">
        <f t="array" aca="1" ref="A188" ca="1">HYPERLINK(CONCATENATE("#",CELL("address",IF(SUM($BY188:$CF188)=0,A188,INDEX($BY188:$CF188,MATCH(1,$BY188:$CF188,0))))),SUM($BY188:$CF188))</f>
        <v>0</v>
      </c>
      <c r="B188" s="157"/>
      <c r="C188" s="343" t="s">
        <v>1492</v>
      </c>
      <c r="D188" s="556" t="s">
        <v>580</v>
      </c>
      <c r="E188" s="181" t="str" cm="1">
        <f t="array" aca="1" ref="E188" ca="1">HYPERLINK(CONCATENATE("#",CELL("address",'BS Forecasts'!D$86)),'BS Forecasts'!D$85)</f>
        <v xml:space="preserve">Restricted Cash </v>
      </c>
      <c r="F188" s="180"/>
      <c r="G188" s="180"/>
      <c r="H188" s="180"/>
      <c r="I188" s="157"/>
      <c r="J188" s="157"/>
      <c r="K188" s="157"/>
      <c r="L188" s="157"/>
      <c r="M188" s="157"/>
      <c r="N188" s="157"/>
      <c r="O188" s="157"/>
      <c r="P188" s="157"/>
      <c r="Q188" s="157"/>
      <c r="R188" s="157"/>
      <c r="S188" s="157"/>
      <c r="T188" s="157"/>
      <c r="U188" s="157"/>
      <c r="V188" s="13">
        <f>0-('Opening Balances'!W30-'Opening Balances'!V30)*'Opening Balances'!$V$81</f>
        <v>0</v>
      </c>
      <c r="W188" s="121">
        <f>0-('BS Forecasts'!W$86-'BS Forecasts'!V$86)</f>
        <v>0</v>
      </c>
      <c r="X188" s="121">
        <f>0-('BS Forecasts'!X$86-'BS Forecasts'!W$86)</f>
        <v>0</v>
      </c>
      <c r="Y188" s="121">
        <f>0-('BS Forecasts'!Y$86-'BS Forecasts'!X$86)</f>
        <v>0</v>
      </c>
      <c r="Z188" s="157"/>
      <c r="AA188" s="13">
        <f>0-('BS Forecasts'!AA$86-'BS Forecasts'!V$86)</f>
        <v>0</v>
      </c>
      <c r="AB188" s="121">
        <f>0-('BS Forecasts'!AB$86-'BS Forecasts'!AA$86)</f>
        <v>0</v>
      </c>
      <c r="AC188" s="121">
        <f>0-('BS Forecasts'!AC$86-'BS Forecasts'!AB$86)</f>
        <v>0</v>
      </c>
      <c r="AD188" s="121">
        <f>0-('BS Forecasts'!AD$86-'BS Forecasts'!AC$86)</f>
        <v>0</v>
      </c>
      <c r="AE188" s="121">
        <f>0-('BS Forecasts'!AE$86-'BS Forecasts'!AD$86)</f>
        <v>0</v>
      </c>
      <c r="AF188" s="121">
        <f>0-('BS Forecasts'!AF$86-'BS Forecasts'!AE$86)</f>
        <v>0</v>
      </c>
      <c r="AG188" s="121">
        <f>0-('BS Forecasts'!AG$86-'BS Forecasts'!AF$86)</f>
        <v>0</v>
      </c>
      <c r="AH188" s="121">
        <f>0-('BS Forecasts'!AH$86-'BS Forecasts'!AG$86)</f>
        <v>0</v>
      </c>
      <c r="AI188" s="121">
        <f>0-('BS Forecasts'!AI$86-'BS Forecasts'!AH$86)</f>
        <v>0</v>
      </c>
      <c r="AJ188" s="121">
        <f>0-('BS Forecasts'!AJ$86-'BS Forecasts'!AI$86)</f>
        <v>0</v>
      </c>
      <c r="AK188" s="121">
        <f>0-('BS Forecasts'!AK$86-'BS Forecasts'!AJ$86)</f>
        <v>0</v>
      </c>
      <c r="AL188" s="121">
        <f>0-('BS Forecasts'!AL$86-'BS Forecasts'!AK$86)</f>
        <v>0</v>
      </c>
      <c r="AM188" s="121">
        <f>0-('BS Forecasts'!AM$86-'BS Forecasts'!AL$86)</f>
        <v>0</v>
      </c>
      <c r="AN188" s="121">
        <f>0-('BS Forecasts'!AN$86-'BS Forecasts'!AM$86)</f>
        <v>0</v>
      </c>
      <c r="AO188" s="121">
        <f>0-('BS Forecasts'!AO$86-'BS Forecasts'!AN$86)</f>
        <v>0</v>
      </c>
      <c r="AP188" s="121">
        <f>0-('BS Forecasts'!AP$86-'BS Forecasts'!AO$86)</f>
        <v>0</v>
      </c>
      <c r="AQ188" s="121">
        <f>0-('BS Forecasts'!AQ$86-'BS Forecasts'!AP$86)</f>
        <v>0</v>
      </c>
      <c r="AR188" s="121">
        <f>0-('BS Forecasts'!AR$86-'BS Forecasts'!AQ$86)</f>
        <v>0</v>
      </c>
      <c r="AS188" s="121">
        <f>0-('BS Forecasts'!AS$86-'BS Forecasts'!AR$86)</f>
        <v>0</v>
      </c>
      <c r="AT188" s="121">
        <f>0-('BS Forecasts'!AT$86-'BS Forecasts'!AS$86)</f>
        <v>0</v>
      </c>
      <c r="AU188" s="121">
        <f>0-('BS Forecasts'!AU$86-'BS Forecasts'!AT$86)</f>
        <v>0</v>
      </c>
      <c r="AV188" s="121">
        <f>0-('BS Forecasts'!AV$86-'BS Forecasts'!AU$86)</f>
        <v>0</v>
      </c>
      <c r="AW188" s="121">
        <f>0-('BS Forecasts'!AW$86-'BS Forecasts'!AV$86)</f>
        <v>0</v>
      </c>
      <c r="AX188" s="121">
        <f>0-('BS Forecasts'!AX$86-'BS Forecasts'!AW$86)</f>
        <v>0</v>
      </c>
      <c r="AY188" s="121">
        <f>0-('BS Forecasts'!AY$86-'BS Forecasts'!AX$86)</f>
        <v>0</v>
      </c>
      <c r="AZ188" s="121">
        <f>0-('BS Forecasts'!AZ$86-'BS Forecasts'!AY$86)</f>
        <v>0</v>
      </c>
      <c r="BA188" s="121">
        <f>0-('BS Forecasts'!BA$86-'BS Forecasts'!AZ$86)</f>
        <v>0</v>
      </c>
      <c r="BB188" s="121">
        <f>0-('BS Forecasts'!BB$86-'BS Forecasts'!BA$86)</f>
        <v>0</v>
      </c>
      <c r="BC188" s="121">
        <f>0-('BS Forecasts'!BC$86-'BS Forecasts'!BB$86)</f>
        <v>0</v>
      </c>
      <c r="BD188" s="121">
        <f>0-('BS Forecasts'!BD$86-'BS Forecasts'!BC$86)</f>
        <v>0</v>
      </c>
      <c r="BE188" s="121">
        <f>0-('BS Forecasts'!BE$86-'BS Forecasts'!BD$86)</f>
        <v>0</v>
      </c>
      <c r="BF188" s="121">
        <f>0-('BS Forecasts'!BF$86-'BS Forecasts'!BE$86)</f>
        <v>0</v>
      </c>
      <c r="BG188" s="121">
        <f>0-('BS Forecasts'!BG$86-'BS Forecasts'!BF$86)</f>
        <v>0</v>
      </c>
      <c r="BH188" s="121">
        <f>0-('BS Forecasts'!BH$86-'BS Forecasts'!BG$86)</f>
        <v>0</v>
      </c>
      <c r="BI188" s="121">
        <f>0-('BS Forecasts'!BI$86-'BS Forecasts'!BH$86)</f>
        <v>0</v>
      </c>
      <c r="BJ188" s="121">
        <f>0-('BS Forecasts'!BJ$86-'BS Forecasts'!BI$86)</f>
        <v>0</v>
      </c>
      <c r="BK188" s="157"/>
      <c r="BL188" s="13">
        <f>V188</f>
        <v>0</v>
      </c>
      <c r="BM188" s="121">
        <f>0-('BS Forecasts'!BM$86-'BS Forecasts'!BL$86)</f>
        <v>0</v>
      </c>
      <c r="BN188" s="121">
        <f>0-('BS Forecasts'!BN$86-'BS Forecasts'!BM$86)</f>
        <v>0</v>
      </c>
      <c r="BO188" s="121">
        <f>0-('BS Forecasts'!BO$86-'BS Forecasts'!BN$86)</f>
        <v>0</v>
      </c>
      <c r="BP188" s="121">
        <f>0-('BS Forecasts'!BP$86-'BS Forecasts'!BO$86)</f>
        <v>0</v>
      </c>
      <c r="BQ188" s="121">
        <f>0-('BS Forecasts'!BQ$86-'BS Forecasts'!BP$86)</f>
        <v>0</v>
      </c>
      <c r="BR188" s="121">
        <f>0-('BS Forecasts'!BR$86-'BS Forecasts'!BQ$86)</f>
        <v>0</v>
      </c>
      <c r="BS188" s="121">
        <f>0-('BS Forecasts'!BS$86-'BS Forecasts'!BR$86)</f>
        <v>0</v>
      </c>
      <c r="BT188" s="121">
        <f>0-('BS Forecasts'!BT$86-'BS Forecasts'!BS$86)</f>
        <v>0</v>
      </c>
      <c r="BU188" s="121">
        <f>0-('BS Forecasts'!BU$86-'BS Forecasts'!BT$86)</f>
        <v>0</v>
      </c>
      <c r="BV188" s="121">
        <f>0-('BS Forecasts'!BV$86-'BS Forecasts'!BU$86)</f>
        <v>0</v>
      </c>
      <c r="BW188" s="121">
        <f>0-('BS Forecasts'!BW$86-'BS Forecasts'!BV$86)</f>
        <v>0</v>
      </c>
      <c r="BX188" s="157"/>
      <c r="BY188" s="12"/>
      <c r="CC188" s="126">
        <f t="shared" si="199"/>
        <v>0</v>
      </c>
      <c r="CD188" s="126">
        <f t="shared" si="200"/>
        <v>0</v>
      </c>
      <c r="CE188" s="126">
        <f t="shared" si="201"/>
        <v>0</v>
      </c>
      <c r="CF188" s="42"/>
      <c r="CG188" s="352">
        <f t="shared" si="202"/>
        <v>0</v>
      </c>
      <c r="CH188" s="352">
        <f t="shared" si="203"/>
        <v>0</v>
      </c>
      <c r="CI188" s="352">
        <f t="shared" si="204"/>
        <v>0</v>
      </c>
      <c r="CJ188" s="352">
        <f t="shared" si="205"/>
        <v>0</v>
      </c>
      <c r="CK188" s="352">
        <f t="shared" si="206"/>
        <v>0</v>
      </c>
      <c r="CL188" s="352">
        <f t="shared" si="207"/>
        <v>0</v>
      </c>
      <c r="CM188" s="352">
        <f t="shared" si="208"/>
        <v>0</v>
      </c>
      <c r="EX188" s="10" t="str">
        <f t="shared" si="135"/>
        <v>Release of restricted cash</v>
      </c>
    </row>
    <row r="189" spans="1:154" ht="56.25" x14ac:dyDescent="0.25">
      <c r="A189" s="362" cm="1">
        <f t="array" aca="1" ref="A189" ca="1">HYPERLINK(CONCATENATE("#",CELL("address",IF(SUM($BY189:$CF189)=0,A189,INDEX($BY189:$CF189,MATCH(1,$BY189:$CF189,0))))),SUM($BY189:$CF189))</f>
        <v>0</v>
      </c>
      <c r="B189" s="157"/>
      <c r="C189" s="343" t="s">
        <v>1493</v>
      </c>
      <c r="D189" s="556" t="s">
        <v>2555</v>
      </c>
      <c r="E189" s="181" t="str" cm="1">
        <f t="array" aca="1" ref="E189" ca="1">HYPERLINK(CONCATENATE("#",CELL("address",'BS Forecasts'!D$124)),'BS Forecasts'!D$124)</f>
        <v>Capital Grant received in cash: ESFA</v>
      </c>
      <c r="F189" s="181" t="str" cm="1">
        <f t="array" aca="1" ref="F189" ca="1">HYPERLINK(CONCATENATE("#",CELL("address",'BS Forecasts'!D$125)),'BS Forecasts'!D$125)</f>
        <v>Capital Grant received in cash: OfS</v>
      </c>
      <c r="G189" s="181" t="str" cm="1">
        <f t="array" aca="1" ref="G189" ca="1">HYPERLINK(CONCATENATE("#",CELL("address",'BS Forecasts'!D$126)),'BS Forecasts'!D$126)</f>
        <v>Capital Grant received in cash: LEP</v>
      </c>
      <c r="H189" s="181" t="str" cm="1">
        <f t="array" aca="1" ref="H189" ca="1">HYPERLINK(CONCATENATE("#",CELL("address",'BS Forecasts'!D$127)),'BS Forecasts'!D$127)</f>
        <v>Capital Grant received in cash: Other Grants</v>
      </c>
      <c r="I189" s="157"/>
      <c r="J189" s="157"/>
      <c r="K189" s="157"/>
      <c r="L189" s="157"/>
      <c r="M189" s="157"/>
      <c r="N189" s="157"/>
      <c r="O189" s="157"/>
      <c r="P189" s="157"/>
      <c r="Q189" s="157"/>
      <c r="R189" s="157"/>
      <c r="S189" s="157"/>
      <c r="T189" s="157"/>
      <c r="U189" s="157"/>
      <c r="V189" s="121">
        <f>SUM('BS Forecasts'!V124:V127)</f>
        <v>0</v>
      </c>
      <c r="W189" s="121">
        <f>SUM('BS Forecasts'!W124:W127)</f>
        <v>2408</v>
      </c>
      <c r="X189" s="121">
        <f>SUM('BS Forecasts'!X124:X127)</f>
        <v>2908</v>
      </c>
      <c r="Y189" s="121">
        <f>SUM('BS Forecasts'!Y124:Y127)</f>
        <v>1665</v>
      </c>
      <c r="Z189" s="157"/>
      <c r="AA189" s="121">
        <f>SUM('BS Forecasts'!AA124:AA127)</f>
        <v>4</v>
      </c>
      <c r="AB189" s="121">
        <f>SUM('BS Forecasts'!AB124:AB127)</f>
        <v>1070</v>
      </c>
      <c r="AC189" s="121">
        <f>SUM('BS Forecasts'!AC124:AC127)</f>
        <v>569</v>
      </c>
      <c r="AD189" s="121">
        <f>SUM('BS Forecasts'!AD124:AD127)</f>
        <v>4</v>
      </c>
      <c r="AE189" s="121">
        <f>SUM('BS Forecasts'!AE124:AE127)</f>
        <v>352</v>
      </c>
      <c r="AF189" s="121">
        <f>SUM('BS Forecasts'!AF124:AF127)</f>
        <v>0</v>
      </c>
      <c r="AG189" s="121">
        <f>SUM('BS Forecasts'!AG124:AG127)</f>
        <v>5</v>
      </c>
      <c r="AH189" s="121">
        <f>SUM('BS Forecasts'!AH124:AH127)</f>
        <v>357</v>
      </c>
      <c r="AI189" s="121">
        <f>SUM('BS Forecasts'!AI124:AI127)</f>
        <v>0</v>
      </c>
      <c r="AJ189" s="121">
        <f>SUM('BS Forecasts'!AJ124:AJ127)</f>
        <v>47</v>
      </c>
      <c r="AK189" s="121">
        <f>SUM('BS Forecasts'!AK124:AK127)</f>
        <v>0</v>
      </c>
      <c r="AL189" s="121">
        <f>SUM('BS Forecasts'!AL124:AL127)</f>
        <v>0</v>
      </c>
      <c r="AM189" s="121">
        <f>SUM('BS Forecasts'!AM124:AM127)</f>
        <v>0</v>
      </c>
      <c r="AN189" s="121">
        <f>SUM('BS Forecasts'!AN124:AN127)</f>
        <v>0</v>
      </c>
      <c r="AO189" s="121">
        <f>SUM('BS Forecasts'!AO124:AO127)</f>
        <v>0</v>
      </c>
      <c r="AP189" s="121">
        <f>SUM('BS Forecasts'!AP124:AP127)</f>
        <v>0</v>
      </c>
      <c r="AQ189" s="121">
        <f>SUM('BS Forecasts'!AQ124:AQ127)</f>
        <v>0</v>
      </c>
      <c r="AR189" s="121">
        <f>SUM('BS Forecasts'!AR124:AR127)</f>
        <v>0</v>
      </c>
      <c r="AS189" s="121">
        <f>SUM('BS Forecasts'!AS124:AS127)</f>
        <v>0</v>
      </c>
      <c r="AT189" s="121">
        <f>SUM('BS Forecasts'!AT124:AT127)</f>
        <v>0</v>
      </c>
      <c r="AU189" s="121">
        <f>SUM('BS Forecasts'!AU124:AU127)</f>
        <v>0</v>
      </c>
      <c r="AV189" s="121">
        <f>SUM('BS Forecasts'!AV124:AV127)</f>
        <v>0</v>
      </c>
      <c r="AW189" s="121">
        <f>SUM('BS Forecasts'!AW124:AW127)</f>
        <v>0</v>
      </c>
      <c r="AX189" s="121">
        <f>SUM('BS Forecasts'!AX124:AX127)</f>
        <v>2908</v>
      </c>
      <c r="AY189" s="121">
        <f>SUM('BS Forecasts'!AY124:AY127)</f>
        <v>34</v>
      </c>
      <c r="AZ189" s="121">
        <f>SUM('BS Forecasts'!AZ124:AZ127)</f>
        <v>0</v>
      </c>
      <c r="BA189" s="121">
        <f>SUM('BS Forecasts'!BA124:BA127)</f>
        <v>0</v>
      </c>
      <c r="BB189" s="121">
        <f>SUM('BS Forecasts'!BB124:BB127)</f>
        <v>0</v>
      </c>
      <c r="BC189" s="121">
        <f>SUM('BS Forecasts'!BC124:BC127)</f>
        <v>0</v>
      </c>
      <c r="BD189" s="121">
        <f>SUM('BS Forecasts'!BD124:BD127)</f>
        <v>0</v>
      </c>
      <c r="BE189" s="121">
        <f>SUM('BS Forecasts'!BE124:BE127)</f>
        <v>0</v>
      </c>
      <c r="BF189" s="121">
        <f>SUM('BS Forecasts'!BF124:BF127)</f>
        <v>0</v>
      </c>
      <c r="BG189" s="121">
        <f>SUM('BS Forecasts'!BG124:BG127)</f>
        <v>0</v>
      </c>
      <c r="BH189" s="121">
        <f>SUM('BS Forecasts'!BH124:BH127)</f>
        <v>0</v>
      </c>
      <c r="BI189" s="121">
        <f>SUM('BS Forecasts'!BI124:BI127)</f>
        <v>0</v>
      </c>
      <c r="BJ189" s="121">
        <f>SUM('BS Forecasts'!BJ124:BJ127)</f>
        <v>1631</v>
      </c>
      <c r="BK189" s="157"/>
      <c r="BL189" s="121">
        <f>SUM('BS Forecasts'!BL124:BL127)</f>
        <v>0</v>
      </c>
      <c r="BM189" s="121">
        <f>SUM('BS Forecasts'!BM124:BM127)</f>
        <v>2408</v>
      </c>
      <c r="BN189" s="121">
        <f>SUM('BS Forecasts'!BN124:BN127)</f>
        <v>2908</v>
      </c>
      <c r="BO189" s="121">
        <f>SUM('BS Forecasts'!BO124:BO127)</f>
        <v>1665</v>
      </c>
      <c r="BP189" s="121">
        <f>SUM('BS Forecasts'!BP124:BP127)</f>
        <v>0</v>
      </c>
      <c r="BQ189" s="121">
        <f>SUM('BS Forecasts'!BQ124:BQ127)</f>
        <v>0</v>
      </c>
      <c r="BR189" s="121">
        <f>SUM('BS Forecasts'!BR124:BR127)</f>
        <v>0</v>
      </c>
      <c r="BS189" s="121">
        <f>SUM('BS Forecasts'!BS124:BS127)</f>
        <v>0</v>
      </c>
      <c r="BT189" s="121">
        <f>SUM('BS Forecasts'!BT124:BT127)</f>
        <v>0</v>
      </c>
      <c r="BU189" s="121">
        <f>SUM('BS Forecasts'!BU124:BU127)</f>
        <v>0</v>
      </c>
      <c r="BV189" s="121">
        <f>SUM('BS Forecasts'!BV124:BV127)</f>
        <v>0</v>
      </c>
      <c r="BW189" s="121">
        <f>SUM('BS Forecasts'!BW124:BW127)</f>
        <v>0</v>
      </c>
      <c r="BX189" s="157"/>
      <c r="BY189" s="12"/>
      <c r="CC189" s="126">
        <f t="shared" si="199"/>
        <v>0</v>
      </c>
      <c r="CD189" s="126">
        <f t="shared" si="200"/>
        <v>0</v>
      </c>
      <c r="CE189" s="126">
        <f t="shared" si="201"/>
        <v>0</v>
      </c>
      <c r="CF189" s="42"/>
      <c r="CG189" s="352">
        <f t="shared" si="202"/>
        <v>0</v>
      </c>
      <c r="CH189" s="352">
        <f t="shared" si="203"/>
        <v>0</v>
      </c>
      <c r="CI189" s="352">
        <f t="shared" si="204"/>
        <v>0</v>
      </c>
      <c r="CJ189" s="352">
        <f t="shared" si="205"/>
        <v>0</v>
      </c>
      <c r="CK189" s="352">
        <f t="shared" si="206"/>
        <v>0</v>
      </c>
      <c r="CL189" s="352">
        <f t="shared" si="207"/>
        <v>0</v>
      </c>
      <c r="CM189" s="352">
        <f t="shared" si="208"/>
        <v>0</v>
      </c>
      <c r="EX189" s="10" t="str">
        <f t="shared" si="135"/>
        <v>Receipt of Deferred Capital Grants</v>
      </c>
    </row>
    <row r="190" spans="1:154" s="335" customFormat="1" ht="22.5" x14ac:dyDescent="0.25">
      <c r="A190" s="362" cm="1">
        <f t="array" aca="1" ref="A190" ca="1">HYPERLINK(CONCATENATE("#",CELL("address",IF(SUM($BY190:$CF190)=0,A190,INDEX($BY190:$CF190,MATCH(1,$BY190:$CF190,0))))),SUM($BY190:$CF190))</f>
        <v>0</v>
      </c>
      <c r="B190" s="157"/>
      <c r="C190" s="343" t="s">
        <v>1494</v>
      </c>
      <c r="D190" s="556" t="s">
        <v>2556</v>
      </c>
      <c r="E190" s="181" t="str" cm="1">
        <f t="array" aca="1" ref="E190" ca="1">HYPERLINK(CONCATENATE("#",CELL("address",'BS Forecasts'!$D$42)),'BS Forecasts'!$D$42)</f>
        <v>Dividends received</v>
      </c>
      <c r="F190" s="180"/>
      <c r="G190" s="180"/>
      <c r="H190" s="180"/>
      <c r="I190" s="157"/>
      <c r="J190" s="157"/>
      <c r="K190" s="157"/>
      <c r="L190" s="157"/>
      <c r="M190" s="157"/>
      <c r="N190" s="157"/>
      <c r="O190" s="157"/>
      <c r="P190" s="157"/>
      <c r="Q190" s="157"/>
      <c r="R190" s="157"/>
      <c r="S190" s="157"/>
      <c r="T190" s="157"/>
      <c r="U190" s="157"/>
      <c r="V190" s="121">
        <f>0-'BS Forecasts'!V42</f>
        <v>0</v>
      </c>
      <c r="W190" s="121">
        <f>0-'BS Forecasts'!W42</f>
        <v>0</v>
      </c>
      <c r="X190" s="121">
        <f>0-'BS Forecasts'!X42</f>
        <v>0</v>
      </c>
      <c r="Y190" s="121">
        <f>0-'BS Forecasts'!Y42</f>
        <v>0</v>
      </c>
      <c r="Z190" s="157"/>
      <c r="AA190" s="121">
        <f>0-'BS Forecasts'!AA42</f>
        <v>0</v>
      </c>
      <c r="AB190" s="121">
        <f>0-'BS Forecasts'!AB42</f>
        <v>0</v>
      </c>
      <c r="AC190" s="121">
        <f>0-'BS Forecasts'!AC42</f>
        <v>0</v>
      </c>
      <c r="AD190" s="121">
        <f>0-'BS Forecasts'!AD42</f>
        <v>0</v>
      </c>
      <c r="AE190" s="121">
        <f>0-'BS Forecasts'!AE42</f>
        <v>0</v>
      </c>
      <c r="AF190" s="121">
        <f>0-'BS Forecasts'!AF42</f>
        <v>0</v>
      </c>
      <c r="AG190" s="121">
        <f>0-'BS Forecasts'!AG42</f>
        <v>0</v>
      </c>
      <c r="AH190" s="121">
        <f>0-'BS Forecasts'!AH42</f>
        <v>0</v>
      </c>
      <c r="AI190" s="121">
        <f>0-'BS Forecasts'!AI42</f>
        <v>0</v>
      </c>
      <c r="AJ190" s="121">
        <f>0-'BS Forecasts'!AJ42</f>
        <v>0</v>
      </c>
      <c r="AK190" s="121">
        <f>0-'BS Forecasts'!AK42</f>
        <v>0</v>
      </c>
      <c r="AL190" s="121">
        <f>0-'BS Forecasts'!AL42</f>
        <v>0</v>
      </c>
      <c r="AM190" s="121">
        <f>0-'BS Forecasts'!AM42</f>
        <v>0</v>
      </c>
      <c r="AN190" s="121">
        <f>0-'BS Forecasts'!AN42</f>
        <v>0</v>
      </c>
      <c r="AO190" s="121">
        <f>0-'BS Forecasts'!AO42</f>
        <v>0</v>
      </c>
      <c r="AP190" s="121">
        <f>0-'BS Forecasts'!AP42</f>
        <v>0</v>
      </c>
      <c r="AQ190" s="121">
        <f>0-'BS Forecasts'!AQ42</f>
        <v>0</v>
      </c>
      <c r="AR190" s="121">
        <f>0-'BS Forecasts'!AR42</f>
        <v>0</v>
      </c>
      <c r="AS190" s="121">
        <f>0-'BS Forecasts'!AS42</f>
        <v>0</v>
      </c>
      <c r="AT190" s="121">
        <f>0-'BS Forecasts'!AT42</f>
        <v>0</v>
      </c>
      <c r="AU190" s="121">
        <f>0-'BS Forecasts'!AU42</f>
        <v>0</v>
      </c>
      <c r="AV190" s="121">
        <f>0-'BS Forecasts'!AV42</f>
        <v>0</v>
      </c>
      <c r="AW190" s="121">
        <f>0-'BS Forecasts'!AW42</f>
        <v>0</v>
      </c>
      <c r="AX190" s="121">
        <f>0-'BS Forecasts'!AX42</f>
        <v>0</v>
      </c>
      <c r="AY190" s="121">
        <f>0-'BS Forecasts'!AY42</f>
        <v>0</v>
      </c>
      <c r="AZ190" s="121">
        <f>0-'BS Forecasts'!AZ42</f>
        <v>0</v>
      </c>
      <c r="BA190" s="121">
        <f>0-'BS Forecasts'!BA42</f>
        <v>0</v>
      </c>
      <c r="BB190" s="121">
        <f>0-'BS Forecasts'!BB42</f>
        <v>0</v>
      </c>
      <c r="BC190" s="121">
        <f>0-'BS Forecasts'!BC42</f>
        <v>0</v>
      </c>
      <c r="BD190" s="121">
        <f>0-'BS Forecasts'!BD42</f>
        <v>0</v>
      </c>
      <c r="BE190" s="121">
        <f>0-'BS Forecasts'!BE42</f>
        <v>0</v>
      </c>
      <c r="BF190" s="121">
        <f>0-'BS Forecasts'!BF42</f>
        <v>0</v>
      </c>
      <c r="BG190" s="121">
        <f>0-'BS Forecasts'!BG42</f>
        <v>0</v>
      </c>
      <c r="BH190" s="121">
        <f>0-'BS Forecasts'!BH42</f>
        <v>0</v>
      </c>
      <c r="BI190" s="121">
        <f>0-'BS Forecasts'!BI42</f>
        <v>0</v>
      </c>
      <c r="BJ190" s="121">
        <f>0-'BS Forecasts'!BJ42</f>
        <v>0</v>
      </c>
      <c r="BK190" s="157"/>
      <c r="BL190" s="121">
        <f>0-'BS Forecasts'!BL42</f>
        <v>0</v>
      </c>
      <c r="BM190" s="121">
        <f>0-'BS Forecasts'!BM42</f>
        <v>0</v>
      </c>
      <c r="BN190" s="121">
        <f>0-'BS Forecasts'!BN42</f>
        <v>0</v>
      </c>
      <c r="BO190" s="121">
        <f>0-'BS Forecasts'!BO42</f>
        <v>0</v>
      </c>
      <c r="BP190" s="121">
        <f>0-'BS Forecasts'!BP42</f>
        <v>0</v>
      </c>
      <c r="BQ190" s="121">
        <f>0-'BS Forecasts'!BQ42</f>
        <v>0</v>
      </c>
      <c r="BR190" s="121">
        <f>0-'BS Forecasts'!BR42</f>
        <v>0</v>
      </c>
      <c r="BS190" s="121">
        <f>0-'BS Forecasts'!BS42</f>
        <v>0</v>
      </c>
      <c r="BT190" s="121">
        <f>0-'BS Forecasts'!BT42</f>
        <v>0</v>
      </c>
      <c r="BU190" s="121">
        <f>0-'BS Forecasts'!BU42</f>
        <v>0</v>
      </c>
      <c r="BV190" s="121">
        <f>0-'BS Forecasts'!BV42</f>
        <v>0</v>
      </c>
      <c r="BW190" s="121">
        <f>0-'BS Forecasts'!BW42</f>
        <v>0</v>
      </c>
      <c r="BX190" s="157"/>
      <c r="BY190" s="12"/>
      <c r="CC190" s="126">
        <f t="shared" si="199"/>
        <v>0</v>
      </c>
      <c r="CD190" s="126">
        <f t="shared" si="200"/>
        <v>0</v>
      </c>
      <c r="CE190" s="126">
        <f t="shared" si="201"/>
        <v>0</v>
      </c>
      <c r="CF190" s="42"/>
      <c r="CG190" s="352">
        <f t="shared" si="202"/>
        <v>0</v>
      </c>
      <c r="CH190" s="352">
        <f t="shared" si="203"/>
        <v>0</v>
      </c>
      <c r="CI190" s="352">
        <f t="shared" si="204"/>
        <v>0</v>
      </c>
      <c r="CJ190" s="352">
        <f t="shared" si="205"/>
        <v>0</v>
      </c>
      <c r="CK190" s="352">
        <f t="shared" si="206"/>
        <v>0</v>
      </c>
      <c r="CL190" s="352">
        <f t="shared" si="207"/>
        <v>0</v>
      </c>
      <c r="CM190" s="352">
        <f t="shared" si="208"/>
        <v>0</v>
      </c>
      <c r="EX190" s="10" t="str">
        <f t="shared" si="135"/>
        <v>Dividends received from Investment in JVs</v>
      </c>
    </row>
    <row r="191" spans="1:154" ht="33.75" x14ac:dyDescent="0.25">
      <c r="A191" s="362" cm="1">
        <f t="array" aca="1" ref="A191" ca="1">HYPERLINK(CONCATENATE("#",CELL("address",IF(SUM($BY191:$CF191)=0,A191,INDEX($BY191:$CF191,MATCH(1,$BY191:$CF191,0))))),SUM($BY191:$CF191))</f>
        <v>0</v>
      </c>
      <c r="B191" s="157"/>
      <c r="C191" s="343" t="s">
        <v>1495</v>
      </c>
      <c r="D191" s="556" t="s">
        <v>2558</v>
      </c>
      <c r="E191" s="181" t="str" cm="1">
        <f t="array" aca="1" ref="E191" ca="1">HYPERLINK(CONCATENATE("#",CELL("address",'I&amp;E Annual'!$D$169)),'I&amp;E Annual'!$D$169)</f>
        <v>Interest and investment income</v>
      </c>
      <c r="F191" s="180"/>
      <c r="G191" s="180"/>
      <c r="H191" s="180"/>
      <c r="I191" s="157"/>
      <c r="J191" s="157"/>
      <c r="K191" s="157"/>
      <c r="L191" s="157"/>
      <c r="M191" s="157"/>
      <c r="N191" s="157"/>
      <c r="O191" s="157"/>
      <c r="P191" s="157"/>
      <c r="Q191" s="157"/>
      <c r="R191" s="157"/>
      <c r="S191" s="157"/>
      <c r="T191" s="157"/>
      <c r="U191" s="157"/>
      <c r="V191" s="121">
        <f>V40</f>
        <v>0</v>
      </c>
      <c r="W191" s="121">
        <f>W40</f>
        <v>0</v>
      </c>
      <c r="X191" s="121">
        <f>X40</f>
        <v>10</v>
      </c>
      <c r="Y191" s="121">
        <f>Y40</f>
        <v>12</v>
      </c>
      <c r="Z191" s="157"/>
      <c r="AA191" s="121">
        <f t="shared" ref="AA191:BJ191" si="211">AA40</f>
        <v>0</v>
      </c>
      <c r="AB191" s="121">
        <f t="shared" si="211"/>
        <v>0</v>
      </c>
      <c r="AC191" s="121">
        <f t="shared" si="211"/>
        <v>0</v>
      </c>
      <c r="AD191" s="121">
        <f t="shared" si="211"/>
        <v>0</v>
      </c>
      <c r="AE191" s="121">
        <f t="shared" si="211"/>
        <v>0</v>
      </c>
      <c r="AF191" s="121">
        <f t="shared" si="211"/>
        <v>0</v>
      </c>
      <c r="AG191" s="121">
        <f t="shared" si="211"/>
        <v>0</v>
      </c>
      <c r="AH191" s="121">
        <f t="shared" si="211"/>
        <v>0</v>
      </c>
      <c r="AI191" s="121">
        <f t="shared" si="211"/>
        <v>0</v>
      </c>
      <c r="AJ191" s="121">
        <f t="shared" si="211"/>
        <v>0</v>
      </c>
      <c r="AK191" s="121">
        <f t="shared" si="211"/>
        <v>0</v>
      </c>
      <c r="AL191" s="121">
        <f t="shared" si="211"/>
        <v>0</v>
      </c>
      <c r="AM191" s="121">
        <f t="shared" si="211"/>
        <v>0</v>
      </c>
      <c r="AN191" s="121">
        <f t="shared" si="211"/>
        <v>0</v>
      </c>
      <c r="AO191" s="121">
        <f t="shared" si="211"/>
        <v>1</v>
      </c>
      <c r="AP191" s="121">
        <f t="shared" si="211"/>
        <v>1</v>
      </c>
      <c r="AQ191" s="121">
        <f t="shared" si="211"/>
        <v>1</v>
      </c>
      <c r="AR191" s="121">
        <f t="shared" si="211"/>
        <v>1</v>
      </c>
      <c r="AS191" s="121">
        <f t="shared" si="211"/>
        <v>1</v>
      </c>
      <c r="AT191" s="121">
        <f t="shared" si="211"/>
        <v>1</v>
      </c>
      <c r="AU191" s="121">
        <f t="shared" si="211"/>
        <v>1</v>
      </c>
      <c r="AV191" s="121">
        <f t="shared" si="211"/>
        <v>1</v>
      </c>
      <c r="AW191" s="121">
        <f t="shared" si="211"/>
        <v>1</v>
      </c>
      <c r="AX191" s="121">
        <f t="shared" si="211"/>
        <v>1</v>
      </c>
      <c r="AY191" s="121">
        <f t="shared" si="211"/>
        <v>1</v>
      </c>
      <c r="AZ191" s="121">
        <f t="shared" si="211"/>
        <v>1</v>
      </c>
      <c r="BA191" s="121">
        <f t="shared" si="211"/>
        <v>1</v>
      </c>
      <c r="BB191" s="121">
        <f t="shared" si="211"/>
        <v>1</v>
      </c>
      <c r="BC191" s="121">
        <f t="shared" si="211"/>
        <v>1</v>
      </c>
      <c r="BD191" s="121">
        <f t="shared" si="211"/>
        <v>1</v>
      </c>
      <c r="BE191" s="121">
        <f t="shared" si="211"/>
        <v>1</v>
      </c>
      <c r="BF191" s="121">
        <f t="shared" si="211"/>
        <v>1</v>
      </c>
      <c r="BG191" s="121">
        <f t="shared" si="211"/>
        <v>1</v>
      </c>
      <c r="BH191" s="121">
        <f t="shared" si="211"/>
        <v>1</v>
      </c>
      <c r="BI191" s="121">
        <f t="shared" si="211"/>
        <v>1</v>
      </c>
      <c r="BJ191" s="121">
        <f t="shared" si="211"/>
        <v>1</v>
      </c>
      <c r="BK191" s="157"/>
      <c r="BL191" s="121">
        <f t="shared" ref="BL191:BW191" si="212">BL40</f>
        <v>0</v>
      </c>
      <c r="BM191" s="121">
        <f t="shared" si="212"/>
        <v>0</v>
      </c>
      <c r="BN191" s="121">
        <f t="shared" si="212"/>
        <v>10</v>
      </c>
      <c r="BO191" s="121">
        <f t="shared" si="212"/>
        <v>12</v>
      </c>
      <c r="BP191" s="121">
        <f t="shared" si="212"/>
        <v>0</v>
      </c>
      <c r="BQ191" s="121">
        <f t="shared" si="212"/>
        <v>0</v>
      </c>
      <c r="BR191" s="121">
        <f t="shared" si="212"/>
        <v>0</v>
      </c>
      <c r="BS191" s="121">
        <f t="shared" si="212"/>
        <v>0</v>
      </c>
      <c r="BT191" s="121">
        <f t="shared" si="212"/>
        <v>0</v>
      </c>
      <c r="BU191" s="121">
        <f t="shared" si="212"/>
        <v>0</v>
      </c>
      <c r="BV191" s="121">
        <f t="shared" si="212"/>
        <v>0</v>
      </c>
      <c r="BW191" s="121">
        <f t="shared" si="212"/>
        <v>0</v>
      </c>
      <c r="BX191" s="157"/>
      <c r="BY191" s="12"/>
      <c r="CC191" s="126">
        <f t="shared" si="199"/>
        <v>0</v>
      </c>
      <c r="CD191" s="126">
        <f t="shared" si="200"/>
        <v>0</v>
      </c>
      <c r="CE191" s="126">
        <f t="shared" si="201"/>
        <v>0</v>
      </c>
      <c r="CF191" s="42"/>
      <c r="CG191" s="352">
        <f t="shared" si="202"/>
        <v>0</v>
      </c>
      <c r="CH191" s="352">
        <f t="shared" si="203"/>
        <v>0</v>
      </c>
      <c r="CI191" s="352">
        <f t="shared" si="204"/>
        <v>0</v>
      </c>
      <c r="CJ191" s="352">
        <f t="shared" si="205"/>
        <v>0</v>
      </c>
      <c r="CK191" s="352">
        <f t="shared" si="206"/>
        <v>0</v>
      </c>
      <c r="CL191" s="352">
        <f t="shared" si="207"/>
        <v>0</v>
      </c>
      <c r="CM191" s="352">
        <f t="shared" si="208"/>
        <v>0</v>
      </c>
      <c r="EX191" s="10" t="str">
        <f t="shared" si="135"/>
        <v>Interest and Investment Income</v>
      </c>
    </row>
    <row r="192" spans="1:154" x14ac:dyDescent="0.25">
      <c r="A192" s="157"/>
      <c r="B192" s="157"/>
      <c r="C192" s="343" t="s">
        <v>1496</v>
      </c>
      <c r="D192" s="554" t="s">
        <v>2557</v>
      </c>
      <c r="E192" s="182"/>
      <c r="F192" s="180"/>
      <c r="G192" s="180"/>
      <c r="H192" s="180"/>
      <c r="I192" s="157"/>
      <c r="J192" s="157"/>
      <c r="K192" s="157"/>
      <c r="L192" s="157"/>
      <c r="M192" s="157"/>
      <c r="N192" s="157"/>
      <c r="O192" s="157"/>
      <c r="P192" s="157"/>
      <c r="Q192" s="157"/>
      <c r="R192" s="157"/>
      <c r="S192" s="157"/>
      <c r="T192" s="157"/>
      <c r="U192" s="157"/>
      <c r="V192" s="13">
        <f>SUM(V180:V191)*V$9</f>
        <v>0</v>
      </c>
      <c r="W192" s="13">
        <f>SUM(W180:W191)*W$9</f>
        <v>-2022</v>
      </c>
      <c r="X192" s="13">
        <f>SUM(X180:X191)*X$9</f>
        <v>-2816</v>
      </c>
      <c r="Y192" s="13">
        <f>SUM(Y180:Y191)*Y$9</f>
        <v>-701</v>
      </c>
      <c r="Z192" s="157"/>
      <c r="AA192" s="13">
        <f t="shared" ref="AA192:BJ192" si="213">SUM(AA180:AA191)*AA$9</f>
        <v>-106</v>
      </c>
      <c r="AB192" s="13">
        <f>SUM(AB180:AB191)*AB$9</f>
        <v>1070</v>
      </c>
      <c r="AC192" s="13">
        <f t="shared" si="213"/>
        <v>-2240</v>
      </c>
      <c r="AD192" s="13">
        <f t="shared" si="213"/>
        <v>4</v>
      </c>
      <c r="AE192" s="13">
        <f t="shared" si="213"/>
        <v>352</v>
      </c>
      <c r="AF192" s="13">
        <f t="shared" si="213"/>
        <v>0</v>
      </c>
      <c r="AG192" s="13">
        <f t="shared" si="213"/>
        <v>5</v>
      </c>
      <c r="AH192" s="13">
        <f t="shared" si="213"/>
        <v>-1069</v>
      </c>
      <c r="AI192" s="13">
        <f t="shared" si="213"/>
        <v>0</v>
      </c>
      <c r="AJ192" s="13">
        <f t="shared" si="213"/>
        <v>47</v>
      </c>
      <c r="AK192" s="13">
        <f t="shared" si="213"/>
        <v>-12</v>
      </c>
      <c r="AL192" s="13">
        <f t="shared" si="213"/>
        <v>-73</v>
      </c>
      <c r="AM192" s="13">
        <f t="shared" si="213"/>
        <v>-1081</v>
      </c>
      <c r="AN192" s="13">
        <f t="shared" si="213"/>
        <v>-790</v>
      </c>
      <c r="AO192" s="13">
        <f t="shared" si="213"/>
        <v>-362</v>
      </c>
      <c r="AP192" s="13">
        <f t="shared" si="213"/>
        <v>-193</v>
      </c>
      <c r="AQ192" s="13">
        <f t="shared" si="213"/>
        <v>-437</v>
      </c>
      <c r="AR192" s="13">
        <f t="shared" si="213"/>
        <v>-444</v>
      </c>
      <c r="AS192" s="13">
        <f t="shared" si="213"/>
        <v>-445</v>
      </c>
      <c r="AT192" s="13">
        <f t="shared" si="213"/>
        <v>-540</v>
      </c>
      <c r="AU192" s="13">
        <f t="shared" si="213"/>
        <v>-498</v>
      </c>
      <c r="AV192" s="13">
        <f t="shared" si="213"/>
        <v>-321</v>
      </c>
      <c r="AW192" s="13">
        <f t="shared" si="213"/>
        <v>-317</v>
      </c>
      <c r="AX192" s="13">
        <f t="shared" si="213"/>
        <v>2612</v>
      </c>
      <c r="AY192" s="13">
        <f t="shared" si="213"/>
        <v>-207</v>
      </c>
      <c r="AZ192" s="13">
        <f t="shared" si="213"/>
        <v>-194</v>
      </c>
      <c r="BA192" s="13">
        <f t="shared" si="213"/>
        <v>-203</v>
      </c>
      <c r="BB192" s="13">
        <f t="shared" si="213"/>
        <v>-209</v>
      </c>
      <c r="BC192" s="13">
        <f t="shared" si="213"/>
        <v>-209</v>
      </c>
      <c r="BD192" s="13">
        <f t="shared" si="213"/>
        <v>-204</v>
      </c>
      <c r="BE192" s="13">
        <f t="shared" si="213"/>
        <v>-264</v>
      </c>
      <c r="BF192" s="13">
        <f t="shared" si="213"/>
        <v>-154</v>
      </c>
      <c r="BG192" s="13">
        <f t="shared" si="213"/>
        <v>-155</v>
      </c>
      <c r="BH192" s="13">
        <f t="shared" si="213"/>
        <v>-174</v>
      </c>
      <c r="BI192" s="13">
        <f t="shared" si="213"/>
        <v>-179</v>
      </c>
      <c r="BJ192" s="13">
        <f t="shared" si="213"/>
        <v>1451</v>
      </c>
      <c r="BK192" s="157"/>
      <c r="BL192" s="13">
        <f t="shared" ref="BL192:BW192" si="214">SUM(BL180:BL191)*BL$9</f>
        <v>0</v>
      </c>
      <c r="BM192" s="13">
        <f t="shared" si="214"/>
        <v>-2022</v>
      </c>
      <c r="BN192" s="13">
        <f t="shared" si="214"/>
        <v>-2816</v>
      </c>
      <c r="BO192" s="13">
        <f t="shared" si="214"/>
        <v>-701</v>
      </c>
      <c r="BP192" s="13">
        <f t="shared" si="214"/>
        <v>0</v>
      </c>
      <c r="BQ192" s="13">
        <f t="shared" si="214"/>
        <v>0</v>
      </c>
      <c r="BR192" s="13">
        <f t="shared" si="214"/>
        <v>0</v>
      </c>
      <c r="BS192" s="13">
        <f t="shared" si="214"/>
        <v>0</v>
      </c>
      <c r="BT192" s="13">
        <f t="shared" si="214"/>
        <v>0</v>
      </c>
      <c r="BU192" s="13">
        <f t="shared" si="214"/>
        <v>0</v>
      </c>
      <c r="BV192" s="13">
        <f t="shared" si="214"/>
        <v>0</v>
      </c>
      <c r="BW192" s="13">
        <f t="shared" si="214"/>
        <v>0</v>
      </c>
      <c r="BX192" s="157"/>
      <c r="BY192" s="12"/>
      <c r="CC192" s="162"/>
      <c r="CD192" s="162"/>
      <c r="CE192" s="162"/>
      <c r="CF192" s="42"/>
      <c r="EX192" s="10" t="str">
        <f t="shared" si="135"/>
        <v>Net cash flow from Investing Activities</v>
      </c>
    </row>
    <row r="193" spans="1:154" s="335" customFormat="1" ht="11.45" customHeight="1" x14ac:dyDescent="0.25">
      <c r="A193" s="157"/>
      <c r="B193" s="187"/>
      <c r="C193" s="343"/>
      <c r="D193" s="556"/>
      <c r="E193" s="180"/>
      <c r="F193" s="180"/>
      <c r="G193" s="180"/>
      <c r="H193" s="162"/>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7"/>
      <c r="AS193" s="157"/>
      <c r="AT193" s="157"/>
      <c r="AU193" s="157"/>
      <c r="AV193" s="157"/>
      <c r="AW193" s="157"/>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42"/>
      <c r="CC193" s="162"/>
      <c r="CD193" s="162"/>
      <c r="CE193" s="162"/>
      <c r="CF193" s="42"/>
      <c r="EX193" s="10" t="str">
        <f t="shared" si="135"/>
        <v/>
      </c>
    </row>
    <row r="194" spans="1:154" x14ac:dyDescent="0.25">
      <c r="A194" s="157"/>
      <c r="B194" s="175"/>
      <c r="C194" s="343"/>
      <c r="D194" s="554" t="s">
        <v>591</v>
      </c>
      <c r="E194" s="182"/>
      <c r="F194" s="180"/>
      <c r="G194" s="180"/>
      <c r="H194" s="180"/>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c r="AE194" s="157"/>
      <c r="AF194" s="157"/>
      <c r="AG194" s="157"/>
      <c r="AH194" s="157"/>
      <c r="AI194" s="157"/>
      <c r="AJ194" s="157"/>
      <c r="AK194" s="157"/>
      <c r="AL194" s="157"/>
      <c r="AM194" s="157"/>
      <c r="AN194" s="157"/>
      <c r="AO194" s="157"/>
      <c r="AP194" s="157"/>
      <c r="AQ194" s="157"/>
      <c r="AR194" s="157"/>
      <c r="AS194" s="157"/>
      <c r="AT194" s="157"/>
      <c r="AU194" s="157"/>
      <c r="AV194" s="157"/>
      <c r="AW194" s="157"/>
      <c r="AX194" s="157"/>
      <c r="AY194" s="157"/>
      <c r="AZ194" s="157"/>
      <c r="BA194" s="157"/>
      <c r="BB194" s="157"/>
      <c r="BC194" s="157"/>
      <c r="BD194" s="157"/>
      <c r="BE194" s="157"/>
      <c r="BF194" s="157"/>
      <c r="BG194" s="157"/>
      <c r="BH194" s="157"/>
      <c r="BI194" s="157"/>
      <c r="BJ194" s="157"/>
      <c r="BK194" s="157"/>
      <c r="BL194" s="157"/>
      <c r="BM194" s="157"/>
      <c r="BN194" s="157"/>
      <c r="BO194" s="157"/>
      <c r="BP194" s="157"/>
      <c r="BQ194" s="157"/>
      <c r="BR194" s="157"/>
      <c r="BS194" s="157"/>
      <c r="BT194" s="157"/>
      <c r="BU194" s="157"/>
      <c r="BV194" s="157"/>
      <c r="BW194" s="157"/>
      <c r="BX194" s="157"/>
      <c r="BY194" s="12"/>
      <c r="CC194" s="162"/>
      <c r="CD194" s="162"/>
      <c r="CE194" s="162"/>
      <c r="CF194" s="42"/>
      <c r="EX194" s="10" t="str">
        <f t="shared" si="135"/>
        <v/>
      </c>
    </row>
    <row r="195" spans="1:154" ht="22.5" x14ac:dyDescent="0.25">
      <c r="A195" s="362" cm="1">
        <f t="array" aca="1" ref="A195" ca="1">HYPERLINK(CONCATENATE("#",CELL("address",IF(SUM($BY195:$CF195)=0,A195,INDEX($BY195:$CF195,MATCH(1,$BY195:$CF195,0))))),SUM($BY195:$CF195))</f>
        <v>0</v>
      </c>
      <c r="B195" s="175"/>
      <c r="C195" s="343" t="s">
        <v>1699</v>
      </c>
      <c r="D195" s="555" t="s">
        <v>1697</v>
      </c>
      <c r="E195" s="181" t="str" cm="1">
        <f t="array" aca="1" ref="E195" ca="1">HYPERLINK(CONCATENATE("#",CELL("address",Loans!$D$1117)),Loans!$D$1113)</f>
        <v xml:space="preserve">Interest Payment </v>
      </c>
      <c r="F195" s="180"/>
      <c r="G195" s="180"/>
      <c r="H195" s="180"/>
      <c r="I195" s="157"/>
      <c r="J195" s="157"/>
      <c r="K195" s="157"/>
      <c r="L195" s="157"/>
      <c r="M195" s="157"/>
      <c r="N195" s="157"/>
      <c r="O195" s="157"/>
      <c r="P195" s="157"/>
      <c r="Q195" s="157"/>
      <c r="R195" s="157"/>
      <c r="S195" s="157"/>
      <c r="T195" s="157"/>
      <c r="U195" s="157"/>
      <c r="V195" s="121">
        <f>Loans!V1117</f>
        <v>0</v>
      </c>
      <c r="W195" s="121">
        <f>Loans!W1117</f>
        <v>-145</v>
      </c>
      <c r="X195" s="121">
        <f>Loans!X1117</f>
        <v>-145</v>
      </c>
      <c r="Y195" s="121">
        <f>Loans!Y1117</f>
        <v>-145</v>
      </c>
      <c r="Z195" s="157"/>
      <c r="AA195" s="121">
        <f>Loans!AA1117</f>
        <v>-25</v>
      </c>
      <c r="AB195" s="121">
        <f>Loans!AB1117</f>
        <v>-6</v>
      </c>
      <c r="AC195" s="121">
        <f>Loans!AC1117</f>
        <v>-6</v>
      </c>
      <c r="AD195" s="121">
        <f>Loans!AD1117</f>
        <v>-24</v>
      </c>
      <c r="AE195" s="121">
        <f>Loans!AE1117</f>
        <v>-6</v>
      </c>
      <c r="AF195" s="121">
        <f>Loans!AF1117</f>
        <v>-6</v>
      </c>
      <c r="AG195" s="121">
        <f>Loans!AG1117</f>
        <v>-24</v>
      </c>
      <c r="AH195" s="121">
        <f>Loans!AH1117</f>
        <v>-6</v>
      </c>
      <c r="AI195" s="121">
        <f>Loans!AI1117</f>
        <v>-6</v>
      </c>
      <c r="AJ195" s="121">
        <f>Loans!AJ1117</f>
        <v>-24</v>
      </c>
      <c r="AK195" s="121">
        <f>Loans!AK1117</f>
        <v>-6</v>
      </c>
      <c r="AL195" s="121">
        <f>Loans!AL1117</f>
        <v>-6</v>
      </c>
      <c r="AM195" s="121">
        <f>Loans!AM1117</f>
        <v>-25</v>
      </c>
      <c r="AN195" s="121">
        <f>Loans!AN1117</f>
        <v>-6</v>
      </c>
      <c r="AO195" s="121">
        <f>Loans!AO1117</f>
        <v>-6</v>
      </c>
      <c r="AP195" s="121">
        <f>Loans!AP1117</f>
        <v>-24</v>
      </c>
      <c r="AQ195" s="121">
        <f>Loans!AQ1117</f>
        <v>-6</v>
      </c>
      <c r="AR195" s="121">
        <f>Loans!AR1117</f>
        <v>-6</v>
      </c>
      <c r="AS195" s="121">
        <f>Loans!AS1117</f>
        <v>-24</v>
      </c>
      <c r="AT195" s="121">
        <f>Loans!AT1117</f>
        <v>-6</v>
      </c>
      <c r="AU195" s="121">
        <f>Loans!AU1117</f>
        <v>-6</v>
      </c>
      <c r="AV195" s="121">
        <f>Loans!AV1117</f>
        <v>-24</v>
      </c>
      <c r="AW195" s="121">
        <f>Loans!AW1117</f>
        <v>-6</v>
      </c>
      <c r="AX195" s="121">
        <f>Loans!AX1117</f>
        <v>-6</v>
      </c>
      <c r="AY195" s="121">
        <f>Loans!AY1117</f>
        <v>-25</v>
      </c>
      <c r="AZ195" s="121">
        <f>Loans!AZ1117</f>
        <v>-6</v>
      </c>
      <c r="BA195" s="121">
        <f>Loans!BA1117</f>
        <v>-6</v>
      </c>
      <c r="BB195" s="121">
        <f>Loans!BB1117</f>
        <v>-24</v>
      </c>
      <c r="BC195" s="121">
        <f>Loans!BC1117</f>
        <v>-6</v>
      </c>
      <c r="BD195" s="121">
        <f>Loans!BD1117</f>
        <v>-6</v>
      </c>
      <c r="BE195" s="121">
        <f>Loans!BE1117</f>
        <v>-24</v>
      </c>
      <c r="BF195" s="121">
        <f>Loans!BF1117</f>
        <v>-6</v>
      </c>
      <c r="BG195" s="121">
        <f>Loans!BG1117</f>
        <v>-6</v>
      </c>
      <c r="BH195" s="121">
        <f>Loans!BH1117</f>
        <v>-24</v>
      </c>
      <c r="BI195" s="121">
        <f>Loans!BI1117</f>
        <v>-6</v>
      </c>
      <c r="BJ195" s="121">
        <f>Loans!BJ1117</f>
        <v>-6</v>
      </c>
      <c r="BK195" s="157"/>
      <c r="BL195" s="121">
        <f>Loans!BL1117</f>
        <v>0</v>
      </c>
      <c r="BM195" s="121">
        <f>Loans!BM1117</f>
        <v>-145</v>
      </c>
      <c r="BN195" s="121">
        <f>Loans!BN1117</f>
        <v>-145</v>
      </c>
      <c r="BO195" s="121">
        <f>Loans!BO1117</f>
        <v>-145</v>
      </c>
      <c r="BP195" s="121">
        <f>Loans!BP1117</f>
        <v>0</v>
      </c>
      <c r="BQ195" s="121">
        <f>Loans!BQ1117</f>
        <v>0</v>
      </c>
      <c r="BR195" s="121">
        <f>Loans!BR1117</f>
        <v>0</v>
      </c>
      <c r="BS195" s="121">
        <f>Loans!BS1117</f>
        <v>0</v>
      </c>
      <c r="BT195" s="121">
        <f>Loans!BT1117</f>
        <v>0</v>
      </c>
      <c r="BU195" s="121">
        <f>Loans!BU1117</f>
        <v>0</v>
      </c>
      <c r="BV195" s="121">
        <f>Loans!BV1117</f>
        <v>0</v>
      </c>
      <c r="BW195" s="121">
        <f>Loans!BW1117</f>
        <v>0</v>
      </c>
      <c r="BX195" s="157"/>
      <c r="BY195" s="12"/>
      <c r="CC195" s="126">
        <f t="shared" ref="CC195:CC202" si="215">IF(SUM($CG195:$CI195)=0, 0, 1)</f>
        <v>0</v>
      </c>
      <c r="CD195" s="126">
        <f t="shared" ref="CD195:CD202" si="216">IF(SUM($CJ195:$CL195)=0, 0, 1)</f>
        <v>0</v>
      </c>
      <c r="CE195" s="126">
        <f t="shared" ref="CE195:CE202" si="217">IF(CM195=0, 0, 1)</f>
        <v>0</v>
      </c>
      <c r="CF195" s="42"/>
      <c r="CG195" s="352">
        <f t="shared" ref="CG195:CG202" si="218">ROUND(W195-SUMIFS($AA195:$BJ195, $AA$3:$BJ$3, W$3), rounding)</f>
        <v>0</v>
      </c>
      <c r="CH195" s="352">
        <f t="shared" ref="CH195:CH202" si="219">ROUND($X195-SUMIFS($AA195:$BJ195, $AA$3:$BJ$3, X$3), rounding)</f>
        <v>0</v>
      </c>
      <c r="CI195" s="352">
        <f t="shared" ref="CI195:CI202" si="220">ROUND($Y195-SUMIFS($AA195:$BJ195, $AA$3:$BJ$3, Y$3), rounding)</f>
        <v>0</v>
      </c>
      <c r="CJ195" s="352">
        <f t="shared" ref="CJ195:CL202" si="221">ROUND(W195-BM195, rounding)</f>
        <v>0</v>
      </c>
      <c r="CK195" s="352">
        <f t="shared" si="221"/>
        <v>0</v>
      </c>
      <c r="CL195" s="352">
        <f t="shared" si="221"/>
        <v>0</v>
      </c>
      <c r="CM195" s="352">
        <f t="shared" ref="CM195:CM202" si="222">ROUND(V195-BL195, rounding)</f>
        <v>0</v>
      </c>
      <c r="EX195" s="10" t="str">
        <f t="shared" si="135"/>
        <v xml:space="preserve">Interest paid </v>
      </c>
    </row>
    <row r="196" spans="1:154" s="335" customFormat="1" ht="33.75" x14ac:dyDescent="0.25">
      <c r="A196" s="362" cm="1">
        <f t="array" aca="1" ref="A196" ca="1">HYPERLINK(CONCATENATE("#",CELL("address",IF(SUM($BY196:$CF196)=0,A196,INDEX($BY196:$CF196,MATCH(1,$BY196:$CF196,0))))),SUM($BY196:$CF196))</f>
        <v>0</v>
      </c>
      <c r="B196" s="175"/>
      <c r="C196" s="343" t="s">
        <v>1700</v>
      </c>
      <c r="D196" s="555" t="s">
        <v>1698</v>
      </c>
      <c r="E196" s="181" t="str" cm="1">
        <f t="array" aca="1" ref="E196" ca="1">HYPERLINK(CONCATENATE("#",CELL("address",Loans!$D$1141)),Loans!$D$1137)</f>
        <v>Early Repayment Fee</v>
      </c>
      <c r="F196" s="180"/>
      <c r="G196" s="180"/>
      <c r="H196" s="180"/>
      <c r="I196" s="157"/>
      <c r="J196" s="157"/>
      <c r="K196" s="157"/>
      <c r="L196" s="157"/>
      <c r="M196" s="157"/>
      <c r="N196" s="157"/>
      <c r="O196" s="157"/>
      <c r="P196" s="157"/>
      <c r="Q196" s="157"/>
      <c r="R196" s="157"/>
      <c r="S196" s="157"/>
      <c r="T196" s="157"/>
      <c r="U196" s="157"/>
      <c r="V196" s="121">
        <f>0-Loans!V1141</f>
        <v>0</v>
      </c>
      <c r="W196" s="121">
        <f>0-Loans!W1141</f>
        <v>0</v>
      </c>
      <c r="X196" s="121">
        <f>0-Loans!X1141</f>
        <v>0</v>
      </c>
      <c r="Y196" s="121">
        <f>0-Loans!Y1141</f>
        <v>0</v>
      </c>
      <c r="Z196" s="157"/>
      <c r="AA196" s="121">
        <f>0-Loans!AA1141</f>
        <v>0</v>
      </c>
      <c r="AB196" s="121">
        <f>0-Loans!AB1141</f>
        <v>0</v>
      </c>
      <c r="AC196" s="121">
        <f>0-Loans!AC1141</f>
        <v>0</v>
      </c>
      <c r="AD196" s="121">
        <f>0-Loans!AD1141</f>
        <v>0</v>
      </c>
      <c r="AE196" s="121">
        <f>0-Loans!AE1141</f>
        <v>0</v>
      </c>
      <c r="AF196" s="121">
        <f>0-Loans!AF1141</f>
        <v>0</v>
      </c>
      <c r="AG196" s="121">
        <f>0-Loans!AG1141</f>
        <v>0</v>
      </c>
      <c r="AH196" s="121">
        <f>0-Loans!AH1141</f>
        <v>0</v>
      </c>
      <c r="AI196" s="121">
        <f>0-Loans!AI1141</f>
        <v>0</v>
      </c>
      <c r="AJ196" s="121">
        <f>0-Loans!AJ1141</f>
        <v>0</v>
      </c>
      <c r="AK196" s="121">
        <f>0-Loans!AK1141</f>
        <v>0</v>
      </c>
      <c r="AL196" s="121">
        <f>0-Loans!AL1141</f>
        <v>0</v>
      </c>
      <c r="AM196" s="121">
        <f>0-Loans!AM1141</f>
        <v>0</v>
      </c>
      <c r="AN196" s="121">
        <f>0-Loans!AN1141</f>
        <v>0</v>
      </c>
      <c r="AO196" s="121">
        <f>0-Loans!AO1141</f>
        <v>0</v>
      </c>
      <c r="AP196" s="121">
        <f>0-Loans!AP1141</f>
        <v>0</v>
      </c>
      <c r="AQ196" s="121">
        <f>0-Loans!AQ1141</f>
        <v>0</v>
      </c>
      <c r="AR196" s="121">
        <f>0-Loans!AR1141</f>
        <v>0</v>
      </c>
      <c r="AS196" s="121">
        <f>0-Loans!AS1141</f>
        <v>0</v>
      </c>
      <c r="AT196" s="121">
        <f>0-Loans!AT1141</f>
        <v>0</v>
      </c>
      <c r="AU196" s="121">
        <f>0-Loans!AU1141</f>
        <v>0</v>
      </c>
      <c r="AV196" s="121">
        <f>0-Loans!AV1141</f>
        <v>0</v>
      </c>
      <c r="AW196" s="121">
        <f>0-Loans!AW1141</f>
        <v>0</v>
      </c>
      <c r="AX196" s="121">
        <f>0-Loans!AX1141</f>
        <v>0</v>
      </c>
      <c r="AY196" s="121">
        <f>0-Loans!AY1141</f>
        <v>0</v>
      </c>
      <c r="AZ196" s="121">
        <f>0-Loans!AZ1141</f>
        <v>0</v>
      </c>
      <c r="BA196" s="121">
        <f>0-Loans!BA1141</f>
        <v>0</v>
      </c>
      <c r="BB196" s="121">
        <f>0-Loans!BB1141</f>
        <v>0</v>
      </c>
      <c r="BC196" s="121">
        <f>0-Loans!BC1141</f>
        <v>0</v>
      </c>
      <c r="BD196" s="121">
        <f>0-Loans!BD1141</f>
        <v>0</v>
      </c>
      <c r="BE196" s="121">
        <f>0-Loans!BE1141</f>
        <v>0</v>
      </c>
      <c r="BF196" s="121">
        <f>0-Loans!BF1141</f>
        <v>0</v>
      </c>
      <c r="BG196" s="121">
        <f>0-Loans!BG1141</f>
        <v>0</v>
      </c>
      <c r="BH196" s="121">
        <f>0-Loans!BH1141</f>
        <v>0</v>
      </c>
      <c r="BI196" s="121">
        <f>0-Loans!BI1141</f>
        <v>0</v>
      </c>
      <c r="BJ196" s="121">
        <f>0-Loans!BJ1141</f>
        <v>0</v>
      </c>
      <c r="BK196" s="157"/>
      <c r="BL196" s="121">
        <f>0-Loans!BL1141</f>
        <v>0</v>
      </c>
      <c r="BM196" s="121">
        <f>0-Loans!BM1141</f>
        <v>0</v>
      </c>
      <c r="BN196" s="121">
        <f>0-Loans!BN1141</f>
        <v>0</v>
      </c>
      <c r="BO196" s="121">
        <f>0-Loans!BO1141</f>
        <v>0</v>
      </c>
      <c r="BP196" s="121">
        <f>0-Loans!BP1141</f>
        <v>0</v>
      </c>
      <c r="BQ196" s="121">
        <f>0-Loans!BQ1141</f>
        <v>0</v>
      </c>
      <c r="BR196" s="121">
        <f>0-Loans!BR1141</f>
        <v>0</v>
      </c>
      <c r="BS196" s="121">
        <f>0-Loans!BS1141</f>
        <v>0</v>
      </c>
      <c r="BT196" s="121">
        <f>0-Loans!BT1141</f>
        <v>0</v>
      </c>
      <c r="BU196" s="121">
        <f>0-Loans!BU1141</f>
        <v>0</v>
      </c>
      <c r="BV196" s="121">
        <f>0-Loans!BV1141</f>
        <v>0</v>
      </c>
      <c r="BW196" s="121">
        <f>0-Loans!BW1141</f>
        <v>0</v>
      </c>
      <c r="BX196" s="157"/>
      <c r="BY196" s="12"/>
      <c r="CC196" s="126">
        <f t="shared" si="215"/>
        <v>0</v>
      </c>
      <c r="CD196" s="126">
        <f t="shared" si="216"/>
        <v>0</v>
      </c>
      <c r="CE196" s="126">
        <f t="shared" si="217"/>
        <v>0</v>
      </c>
      <c r="CF196" s="42"/>
      <c r="CG196" s="352">
        <f t="shared" si="218"/>
        <v>0</v>
      </c>
      <c r="CH196" s="352">
        <f t="shared" si="219"/>
        <v>0</v>
      </c>
      <c r="CI196" s="352">
        <f t="shared" si="220"/>
        <v>0</v>
      </c>
      <c r="CJ196" s="352">
        <f t="shared" si="221"/>
        <v>0</v>
      </c>
      <c r="CK196" s="352">
        <f t="shared" si="221"/>
        <v>0</v>
      </c>
      <c r="CL196" s="352">
        <f t="shared" si="221"/>
        <v>0</v>
      </c>
      <c r="CM196" s="352">
        <f t="shared" si="222"/>
        <v>0</v>
      </c>
      <c r="EX196" s="10" t="str">
        <f t="shared" si="135"/>
        <v>Early Loan Capital Repayment Fees</v>
      </c>
    </row>
    <row r="197" spans="1:154" ht="33.75" x14ac:dyDescent="0.25">
      <c r="A197" s="362" cm="1">
        <f t="array" aca="1" ref="A197" ca="1">HYPERLINK(CONCATENATE("#",CELL("address",IF(SUM($BY197:$CF197)=0,A197,INDEX($BY197:$CF197,MATCH(1,$BY197:$CF197,0))))),SUM($BY197:$CF197))</f>
        <v>0</v>
      </c>
      <c r="C197" s="343" t="s">
        <v>1498</v>
      </c>
      <c r="D197" s="556" t="s">
        <v>583</v>
      </c>
      <c r="E197" s="181" t="str" cm="1">
        <f t="array" aca="1" ref="E197" ca="1">HYPERLINK(CONCATENATE("#",CELL("address",'BS Forecasts'!$D$108)),'BS Forecasts'!$D$105)</f>
        <v>Finance Lease Obligations</v>
      </c>
      <c r="F197" s="162"/>
      <c r="G197" s="162"/>
      <c r="H197" s="162"/>
      <c r="I197" s="157"/>
      <c r="O197" s="157"/>
      <c r="P197" s="157"/>
      <c r="Q197" s="157"/>
      <c r="R197" s="157"/>
      <c r="S197" s="157"/>
      <c r="T197" s="157"/>
      <c r="U197" s="157"/>
      <c r="V197" s="121">
        <f>'BS Forecasts'!V$110</f>
        <v>0</v>
      </c>
      <c r="W197" s="121">
        <f>'BS Forecasts'!W$110</f>
        <v>0</v>
      </c>
      <c r="X197" s="121">
        <f>'BS Forecasts'!X$110</f>
        <v>0</v>
      </c>
      <c r="Y197" s="121">
        <f>'BS Forecasts'!Y$110</f>
        <v>0</v>
      </c>
      <c r="Z197" s="157"/>
      <c r="AA197" s="121">
        <f>'BS Forecasts'!AA$110</f>
        <v>0</v>
      </c>
      <c r="AB197" s="121">
        <f>'BS Forecasts'!AB$110</f>
        <v>0</v>
      </c>
      <c r="AC197" s="121">
        <f>'BS Forecasts'!AC$110</f>
        <v>0</v>
      </c>
      <c r="AD197" s="121">
        <f>'BS Forecasts'!AD$110</f>
        <v>0</v>
      </c>
      <c r="AE197" s="121">
        <f>'BS Forecasts'!AE$110</f>
        <v>0</v>
      </c>
      <c r="AF197" s="121">
        <f>'BS Forecasts'!AF$110</f>
        <v>0</v>
      </c>
      <c r="AG197" s="121">
        <f>'BS Forecasts'!AG$110</f>
        <v>0</v>
      </c>
      <c r="AH197" s="121">
        <f>'BS Forecasts'!AH$110</f>
        <v>0</v>
      </c>
      <c r="AI197" s="121">
        <f>'BS Forecasts'!AI$110</f>
        <v>0</v>
      </c>
      <c r="AJ197" s="121">
        <f>'BS Forecasts'!AJ$110</f>
        <v>0</v>
      </c>
      <c r="AK197" s="121">
        <f>'BS Forecasts'!AK$110</f>
        <v>0</v>
      </c>
      <c r="AL197" s="121">
        <f>'BS Forecasts'!AL$110</f>
        <v>0</v>
      </c>
      <c r="AM197" s="121">
        <f>'BS Forecasts'!AM$110</f>
        <v>0</v>
      </c>
      <c r="AN197" s="121">
        <f>'BS Forecasts'!AN$110</f>
        <v>0</v>
      </c>
      <c r="AO197" s="121">
        <f>'BS Forecasts'!AO$110</f>
        <v>0</v>
      </c>
      <c r="AP197" s="121">
        <f>'BS Forecasts'!AP$110</f>
        <v>0</v>
      </c>
      <c r="AQ197" s="121">
        <f>'BS Forecasts'!AQ$110</f>
        <v>0</v>
      </c>
      <c r="AR197" s="121">
        <f>'BS Forecasts'!AR$110</f>
        <v>0</v>
      </c>
      <c r="AS197" s="121">
        <f>'BS Forecasts'!AS$110</f>
        <v>0</v>
      </c>
      <c r="AT197" s="121">
        <f>'BS Forecasts'!AT$110</f>
        <v>0</v>
      </c>
      <c r="AU197" s="121">
        <f>'BS Forecasts'!AU$110</f>
        <v>0</v>
      </c>
      <c r="AV197" s="121">
        <f>'BS Forecasts'!AV$110</f>
        <v>0</v>
      </c>
      <c r="AW197" s="121">
        <f>'BS Forecasts'!AW$110</f>
        <v>0</v>
      </c>
      <c r="AX197" s="121">
        <f>'BS Forecasts'!AX$110</f>
        <v>0</v>
      </c>
      <c r="AY197" s="121">
        <f>'BS Forecasts'!AY$110</f>
        <v>0</v>
      </c>
      <c r="AZ197" s="121">
        <f>'BS Forecasts'!AZ$110</f>
        <v>0</v>
      </c>
      <c r="BA197" s="121">
        <f>'BS Forecasts'!BA$110</f>
        <v>0</v>
      </c>
      <c r="BB197" s="121">
        <f>'BS Forecasts'!BB$110</f>
        <v>0</v>
      </c>
      <c r="BC197" s="121">
        <f>'BS Forecasts'!BC$110</f>
        <v>0</v>
      </c>
      <c r="BD197" s="121">
        <f>'BS Forecasts'!BD$110</f>
        <v>0</v>
      </c>
      <c r="BE197" s="121">
        <f>'BS Forecasts'!BE$110</f>
        <v>0</v>
      </c>
      <c r="BF197" s="121">
        <f>'BS Forecasts'!BF$110</f>
        <v>0</v>
      </c>
      <c r="BG197" s="121">
        <f>'BS Forecasts'!BG$110</f>
        <v>0</v>
      </c>
      <c r="BH197" s="121">
        <f>'BS Forecasts'!BH$110</f>
        <v>0</v>
      </c>
      <c r="BI197" s="121">
        <f>'BS Forecasts'!BI$110</f>
        <v>0</v>
      </c>
      <c r="BJ197" s="121">
        <f>'BS Forecasts'!BJ$110</f>
        <v>0</v>
      </c>
      <c r="BK197" s="157"/>
      <c r="BL197" s="121">
        <f>'BS Forecasts'!BL$110</f>
        <v>0</v>
      </c>
      <c r="BM197" s="121">
        <f>'BS Forecasts'!BM$110</f>
        <v>0</v>
      </c>
      <c r="BN197" s="121">
        <f>'BS Forecasts'!BN$110</f>
        <v>0</v>
      </c>
      <c r="BO197" s="121">
        <f>'BS Forecasts'!BO$110</f>
        <v>0</v>
      </c>
      <c r="BP197" s="121">
        <f>'BS Forecasts'!BP$110</f>
        <v>0</v>
      </c>
      <c r="BQ197" s="121">
        <f>'BS Forecasts'!BQ$110</f>
        <v>0</v>
      </c>
      <c r="BR197" s="121">
        <f>'BS Forecasts'!BR$110</f>
        <v>0</v>
      </c>
      <c r="BS197" s="121">
        <f>'BS Forecasts'!BS$110</f>
        <v>0</v>
      </c>
      <c r="BT197" s="121">
        <f>'BS Forecasts'!BT$110</f>
        <v>0</v>
      </c>
      <c r="BU197" s="121">
        <f>'BS Forecasts'!BU$110</f>
        <v>0</v>
      </c>
      <c r="BV197" s="121">
        <f>'BS Forecasts'!BV$110</f>
        <v>0</v>
      </c>
      <c r="BW197" s="121">
        <f>'BS Forecasts'!BW$110</f>
        <v>0</v>
      </c>
      <c r="BY197" s="42"/>
      <c r="CC197" s="126">
        <f t="shared" si="215"/>
        <v>0</v>
      </c>
      <c r="CD197" s="126">
        <f t="shared" si="216"/>
        <v>0</v>
      </c>
      <c r="CE197" s="126">
        <f t="shared" si="217"/>
        <v>0</v>
      </c>
      <c r="CF197" s="42"/>
      <c r="CG197" s="352">
        <f t="shared" si="218"/>
        <v>0</v>
      </c>
      <c r="CH197" s="352">
        <f t="shared" si="219"/>
        <v>0</v>
      </c>
      <c r="CI197" s="352">
        <f t="shared" si="220"/>
        <v>0</v>
      </c>
      <c r="CJ197" s="352">
        <f t="shared" si="221"/>
        <v>0</v>
      </c>
      <c r="CK197" s="352">
        <f t="shared" si="221"/>
        <v>0</v>
      </c>
      <c r="CL197" s="352">
        <f t="shared" si="221"/>
        <v>0</v>
      </c>
      <c r="CM197" s="352">
        <f t="shared" si="222"/>
        <v>0</v>
      </c>
      <c r="EX197" s="10" t="str">
        <f t="shared" si="135"/>
        <v>Interest element of finance lease rental payments</v>
      </c>
    </row>
    <row r="198" spans="1:154" x14ac:dyDescent="0.25">
      <c r="A198" s="362" cm="1">
        <f t="array" aca="1" ref="A198" ca="1">HYPERLINK(CONCATENATE("#",CELL("address",IF(SUM($BY198:$CF198)=0,A198,INDEX($BY198:$CF198,MATCH(1,$BY198:$CF198,0))))),SUM($BY198:$CF198))</f>
        <v>0</v>
      </c>
      <c r="C198" s="343" t="s">
        <v>1499</v>
      </c>
      <c r="D198" s="555" t="s">
        <v>917</v>
      </c>
      <c r="E198" s="181" t="str" cm="1">
        <f t="array" aca="1" ref="E198" ca="1">HYPERLINK(CONCATENATE("#",CELL("address",Loans!$D$1099)),Loans!$D$1095)</f>
        <v>Drawdown</v>
      </c>
      <c r="F198" s="162"/>
      <c r="G198" s="162"/>
      <c r="H198" s="162"/>
      <c r="I198" s="157"/>
      <c r="O198" s="157"/>
      <c r="P198" s="157"/>
      <c r="Q198" s="157"/>
      <c r="R198" s="157"/>
      <c r="S198" s="157"/>
      <c r="T198" s="157"/>
      <c r="U198" s="157"/>
      <c r="V198" s="121">
        <f>Loans!V$1099</f>
        <v>0</v>
      </c>
      <c r="W198" s="121">
        <f>Loans!W$1099</f>
        <v>0</v>
      </c>
      <c r="X198" s="121">
        <f>Loans!X$1099</f>
        <v>0</v>
      </c>
      <c r="Y198" s="121">
        <f>Loans!Y$1099</f>
        <v>0</v>
      </c>
      <c r="Z198" s="157"/>
      <c r="AA198" s="121">
        <f>Loans!AA$1099</f>
        <v>0</v>
      </c>
      <c r="AB198" s="121">
        <f>Loans!AB$1099</f>
        <v>0</v>
      </c>
      <c r="AC198" s="121">
        <f>Loans!AC$1099</f>
        <v>0</v>
      </c>
      <c r="AD198" s="121">
        <f>Loans!AD$1099</f>
        <v>0</v>
      </c>
      <c r="AE198" s="121">
        <f>Loans!AE$1099</f>
        <v>0</v>
      </c>
      <c r="AF198" s="121">
        <f>Loans!AF$1099</f>
        <v>0</v>
      </c>
      <c r="AG198" s="121">
        <f>Loans!AG$1099</f>
        <v>0</v>
      </c>
      <c r="AH198" s="121">
        <f>Loans!AH$1099</f>
        <v>0</v>
      </c>
      <c r="AI198" s="121">
        <f>Loans!AI$1099</f>
        <v>0</v>
      </c>
      <c r="AJ198" s="121">
        <f>Loans!AJ$1099</f>
        <v>0</v>
      </c>
      <c r="AK198" s="121">
        <f>Loans!AK$1099</f>
        <v>0</v>
      </c>
      <c r="AL198" s="121">
        <f>Loans!AL$1099</f>
        <v>0</v>
      </c>
      <c r="AM198" s="121">
        <f>Loans!AM$1099</f>
        <v>0</v>
      </c>
      <c r="AN198" s="121">
        <f>Loans!AN$1099</f>
        <v>0</v>
      </c>
      <c r="AO198" s="121">
        <f>Loans!AO$1099</f>
        <v>0</v>
      </c>
      <c r="AP198" s="121">
        <f>Loans!AP$1099</f>
        <v>0</v>
      </c>
      <c r="AQ198" s="121">
        <f>Loans!AQ$1099</f>
        <v>0</v>
      </c>
      <c r="AR198" s="121">
        <f>Loans!AR$1099</f>
        <v>0</v>
      </c>
      <c r="AS198" s="121">
        <f>Loans!AS$1099</f>
        <v>0</v>
      </c>
      <c r="AT198" s="121">
        <f>Loans!AT$1099</f>
        <v>0</v>
      </c>
      <c r="AU198" s="121">
        <f>Loans!AU$1099</f>
        <v>0</v>
      </c>
      <c r="AV198" s="121">
        <f>Loans!AV$1099</f>
        <v>0</v>
      </c>
      <c r="AW198" s="121">
        <f>Loans!AW$1099</f>
        <v>0</v>
      </c>
      <c r="AX198" s="121">
        <f>Loans!AX$1099</f>
        <v>0</v>
      </c>
      <c r="AY198" s="121">
        <f>Loans!AY$1099</f>
        <v>0</v>
      </c>
      <c r="AZ198" s="121">
        <f>Loans!AZ$1099</f>
        <v>0</v>
      </c>
      <c r="BA198" s="121">
        <f>Loans!BA$1099</f>
        <v>0</v>
      </c>
      <c r="BB198" s="121">
        <f>Loans!BB$1099</f>
        <v>0</v>
      </c>
      <c r="BC198" s="121">
        <f>Loans!BC$1099</f>
        <v>0</v>
      </c>
      <c r="BD198" s="121">
        <f>Loans!BD$1099</f>
        <v>0</v>
      </c>
      <c r="BE198" s="121">
        <f>Loans!BE$1099</f>
        <v>0</v>
      </c>
      <c r="BF198" s="121">
        <f>Loans!BF$1099</f>
        <v>0</v>
      </c>
      <c r="BG198" s="121">
        <f>Loans!BG$1099</f>
        <v>0</v>
      </c>
      <c r="BH198" s="121">
        <f>Loans!BH$1099</f>
        <v>0</v>
      </c>
      <c r="BI198" s="121">
        <f>Loans!BI$1099</f>
        <v>0</v>
      </c>
      <c r="BJ198" s="121">
        <f>Loans!BJ$1099</f>
        <v>0</v>
      </c>
      <c r="BK198" s="157"/>
      <c r="BL198" s="121">
        <f>Loans!BL$1099</f>
        <v>0</v>
      </c>
      <c r="BM198" s="121">
        <f>Loans!BM$1099</f>
        <v>0</v>
      </c>
      <c r="BN198" s="121">
        <f>Loans!BN$1099</f>
        <v>0</v>
      </c>
      <c r="BO198" s="121">
        <f>Loans!BO$1099</f>
        <v>0</v>
      </c>
      <c r="BP198" s="121">
        <f>Loans!BP$1099</f>
        <v>0</v>
      </c>
      <c r="BQ198" s="121">
        <f>Loans!BQ$1099</f>
        <v>0</v>
      </c>
      <c r="BR198" s="121">
        <f>Loans!BR$1099</f>
        <v>0</v>
      </c>
      <c r="BS198" s="121">
        <f>Loans!BS$1099</f>
        <v>0</v>
      </c>
      <c r="BT198" s="121">
        <f>Loans!BT$1099</f>
        <v>0</v>
      </c>
      <c r="BU198" s="121">
        <f>Loans!BU$1099</f>
        <v>0</v>
      </c>
      <c r="BV198" s="121">
        <f>Loans!BV$1099</f>
        <v>0</v>
      </c>
      <c r="BW198" s="121">
        <f>Loans!BW$1099</f>
        <v>0</v>
      </c>
      <c r="BY198" s="42"/>
      <c r="CC198" s="126">
        <f t="shared" si="215"/>
        <v>0</v>
      </c>
      <c r="CD198" s="126">
        <f t="shared" si="216"/>
        <v>0</v>
      </c>
      <c r="CE198" s="126">
        <f t="shared" si="217"/>
        <v>0</v>
      </c>
      <c r="CF198" s="42"/>
      <c r="CG198" s="352">
        <f t="shared" si="218"/>
        <v>0</v>
      </c>
      <c r="CH198" s="352">
        <f t="shared" si="219"/>
        <v>0</v>
      </c>
      <c r="CI198" s="352">
        <f t="shared" si="220"/>
        <v>0</v>
      </c>
      <c r="CJ198" s="352">
        <f t="shared" si="221"/>
        <v>0</v>
      </c>
      <c r="CK198" s="352">
        <f t="shared" si="221"/>
        <v>0</v>
      </c>
      <c r="CL198" s="352">
        <f t="shared" si="221"/>
        <v>0</v>
      </c>
      <c r="CM198" s="352">
        <f t="shared" si="222"/>
        <v>0</v>
      </c>
      <c r="EX198" s="10" t="str">
        <f t="shared" si="135"/>
        <v>New long term loans</v>
      </c>
    </row>
    <row r="199" spans="1:154" ht="56.25" x14ac:dyDescent="0.25">
      <c r="A199" s="362" cm="1">
        <f t="array" aca="1" ref="A199" ca="1">HYPERLINK(CONCATENATE("#",CELL("address",IF(SUM($BY199:$CF199)=0,A199,INDEX($BY199:$CF199,MATCH(1,$BY199:$CF199,0))))),SUM($BY199:$CF199))</f>
        <v>0</v>
      </c>
      <c r="B199" s="335"/>
      <c r="C199" s="343" t="s">
        <v>1701</v>
      </c>
      <c r="D199" s="556" t="str">
        <f>Loans!D1101</f>
        <v>Loan Capital Repayment (as per loan agreement)</v>
      </c>
      <c r="E199" s="181" t="str" cm="1">
        <f t="array" aca="1" ref="E199" ca="1">HYPERLINK(CONCATENATE("#",CELL("address",Loans!$D$1105)),Loans!$D$1101)</f>
        <v>Loan Capital Repayment (as per loan agreement)</v>
      </c>
      <c r="F199" s="162"/>
      <c r="G199" s="162"/>
      <c r="H199" s="162"/>
      <c r="I199" s="157"/>
      <c r="O199" s="157"/>
      <c r="P199" s="157"/>
      <c r="Q199" s="157"/>
      <c r="R199" s="157"/>
      <c r="S199" s="157"/>
      <c r="T199" s="157"/>
      <c r="U199" s="157"/>
      <c r="V199" s="121">
        <f>Loans!V$1105</f>
        <v>0</v>
      </c>
      <c r="W199" s="121">
        <f>Loans!W$1105</f>
        <v>-341</v>
      </c>
      <c r="X199" s="121">
        <f>Loans!X$1105</f>
        <v>-284</v>
      </c>
      <c r="Y199" s="121">
        <f>Loans!Y$1105</f>
        <v>-284</v>
      </c>
      <c r="Z199" s="157"/>
      <c r="AA199" s="121">
        <f>Loans!AA$1105</f>
        <v>-55</v>
      </c>
      <c r="AB199" s="121">
        <f>Loans!AB$1105</f>
        <v>-24</v>
      </c>
      <c r="AC199" s="121">
        <f>Loans!AC$1105</f>
        <v>-24</v>
      </c>
      <c r="AD199" s="121">
        <f>Loans!AD$1105</f>
        <v>-56</v>
      </c>
      <c r="AE199" s="121">
        <f>Loans!AE$1105</f>
        <v>-25</v>
      </c>
      <c r="AF199" s="121">
        <f>Loans!AF$1105</f>
        <v>-15</v>
      </c>
      <c r="AG199" s="121">
        <f>Loans!AG$1105</f>
        <v>-45</v>
      </c>
      <c r="AH199" s="121">
        <f>Loans!AH$1105</f>
        <v>-13</v>
      </c>
      <c r="AI199" s="121">
        <f>Loans!AI$1105</f>
        <v>-13</v>
      </c>
      <c r="AJ199" s="121">
        <f>Loans!AJ$1105</f>
        <v>-45</v>
      </c>
      <c r="AK199" s="121">
        <f>Loans!AK$1105</f>
        <v>-13</v>
      </c>
      <c r="AL199" s="121">
        <f>Loans!AL$1105</f>
        <v>-13</v>
      </c>
      <c r="AM199" s="121">
        <f>Loans!AM$1105</f>
        <v>-44</v>
      </c>
      <c r="AN199" s="121">
        <f>Loans!AN$1105</f>
        <v>-13</v>
      </c>
      <c r="AO199" s="121">
        <f>Loans!AO$1105</f>
        <v>-13</v>
      </c>
      <c r="AP199" s="121">
        <f>Loans!AP$1105</f>
        <v>-45</v>
      </c>
      <c r="AQ199" s="121">
        <f>Loans!AQ$1105</f>
        <v>-14</v>
      </c>
      <c r="AR199" s="121">
        <f>Loans!AR$1105</f>
        <v>-13</v>
      </c>
      <c r="AS199" s="121">
        <f>Loans!AS$1105</f>
        <v>-45</v>
      </c>
      <c r="AT199" s="121">
        <f>Loans!AT$1105</f>
        <v>-13</v>
      </c>
      <c r="AU199" s="121">
        <f>Loans!AU$1105</f>
        <v>-13</v>
      </c>
      <c r="AV199" s="121">
        <f>Loans!AV$1105</f>
        <v>-45</v>
      </c>
      <c r="AW199" s="121">
        <f>Loans!AW$1105</f>
        <v>-13</v>
      </c>
      <c r="AX199" s="121">
        <f>Loans!AX$1105</f>
        <v>-13</v>
      </c>
      <c r="AY199" s="121">
        <f>Loans!AY$1105</f>
        <v>-44</v>
      </c>
      <c r="AZ199" s="121">
        <f>Loans!AZ$1105</f>
        <v>-13</v>
      </c>
      <c r="BA199" s="121">
        <f>Loans!BA$1105</f>
        <v>-13</v>
      </c>
      <c r="BB199" s="121">
        <f>Loans!BB$1105</f>
        <v>-45</v>
      </c>
      <c r="BC199" s="121">
        <f>Loans!BC$1105</f>
        <v>-14</v>
      </c>
      <c r="BD199" s="121">
        <f>Loans!BD$1105</f>
        <v>-13</v>
      </c>
      <c r="BE199" s="121">
        <f>Loans!BE$1105</f>
        <v>-45</v>
      </c>
      <c r="BF199" s="121">
        <f>Loans!BF$1105</f>
        <v>-13</v>
      </c>
      <c r="BG199" s="121">
        <f>Loans!BG$1105</f>
        <v>-13</v>
      </c>
      <c r="BH199" s="121">
        <f>Loans!BH$1105</f>
        <v>-45</v>
      </c>
      <c r="BI199" s="121">
        <f>Loans!BI$1105</f>
        <v>-13</v>
      </c>
      <c r="BJ199" s="121">
        <f>Loans!BJ$1105</f>
        <v>-13</v>
      </c>
      <c r="BK199" s="157"/>
      <c r="BL199" s="121">
        <f>Loans!BL$1105</f>
        <v>0</v>
      </c>
      <c r="BM199" s="121">
        <f>Loans!BM$1105</f>
        <v>-341</v>
      </c>
      <c r="BN199" s="121">
        <f>Loans!BN$1105</f>
        <v>-284</v>
      </c>
      <c r="BO199" s="121">
        <f>Loans!BO$1105</f>
        <v>-284</v>
      </c>
      <c r="BP199" s="121">
        <f>Loans!BP$1105</f>
        <v>0</v>
      </c>
      <c r="BQ199" s="121">
        <f>Loans!BQ$1105</f>
        <v>0</v>
      </c>
      <c r="BR199" s="121">
        <f>Loans!BR$1105</f>
        <v>0</v>
      </c>
      <c r="BS199" s="121">
        <f>Loans!BS$1105</f>
        <v>0</v>
      </c>
      <c r="BT199" s="121">
        <f>Loans!BT$1105</f>
        <v>0</v>
      </c>
      <c r="BU199" s="121">
        <f>Loans!BU$1105</f>
        <v>0</v>
      </c>
      <c r="BV199" s="121">
        <f>Loans!BV$1105</f>
        <v>0</v>
      </c>
      <c r="BW199" s="121">
        <f>Loans!BW$1105</f>
        <v>0</v>
      </c>
      <c r="BY199" s="42"/>
      <c r="CC199" s="126">
        <f t="shared" si="215"/>
        <v>0</v>
      </c>
      <c r="CD199" s="126">
        <f t="shared" si="216"/>
        <v>0</v>
      </c>
      <c r="CE199" s="126">
        <f t="shared" si="217"/>
        <v>0</v>
      </c>
      <c r="CF199" s="42"/>
      <c r="CG199" s="352">
        <f t="shared" si="218"/>
        <v>0</v>
      </c>
      <c r="CH199" s="352">
        <f t="shared" si="219"/>
        <v>0</v>
      </c>
      <c r="CI199" s="352">
        <f t="shared" si="220"/>
        <v>0</v>
      </c>
      <c r="CJ199" s="352">
        <f t="shared" si="221"/>
        <v>0</v>
      </c>
      <c r="CK199" s="352">
        <f t="shared" si="221"/>
        <v>0</v>
      </c>
      <c r="CL199" s="352">
        <f t="shared" si="221"/>
        <v>0</v>
      </c>
      <c r="CM199" s="352">
        <f t="shared" si="222"/>
        <v>0</v>
      </c>
      <c r="EX199" s="10" t="str">
        <f t="shared" si="135"/>
        <v>Loan Capital Repayment (as per loan agreement)</v>
      </c>
    </row>
    <row r="200" spans="1:154" s="335" customFormat="1" ht="33.75" x14ac:dyDescent="0.25">
      <c r="A200" s="362" cm="1">
        <f t="array" aca="1" ref="A200" ca="1">HYPERLINK(CONCATENATE("#",CELL("address",IF(SUM($BY200:$CF200)=0,A200,INDEX($BY200:$CF200,MATCH(1,$BY200:$CF200,0))))),SUM($BY200:$CF200))</f>
        <v>0</v>
      </c>
      <c r="C200" s="343" t="s">
        <v>1702</v>
      </c>
      <c r="D200" s="556" t="str">
        <f>Loans!D1107</f>
        <v>Early Loan Capital Repayment</v>
      </c>
      <c r="E200" s="181" t="str" cm="1">
        <f t="array" aca="1" ref="E200" ca="1">HYPERLINK(CONCATENATE("#",CELL("address",Loans!$D$1111)),Loans!$D$1107)</f>
        <v>Early Loan Capital Repayment</v>
      </c>
      <c r="F200" s="162"/>
      <c r="G200" s="162"/>
      <c r="H200" s="162"/>
      <c r="I200" s="157"/>
      <c r="O200" s="157"/>
      <c r="P200" s="157"/>
      <c r="Q200" s="157"/>
      <c r="R200" s="157"/>
      <c r="S200" s="157"/>
      <c r="T200" s="157"/>
      <c r="U200" s="157"/>
      <c r="V200" s="121">
        <f>Loans!V$1111</f>
        <v>0</v>
      </c>
      <c r="W200" s="121">
        <f>Loans!W$1111</f>
        <v>0</v>
      </c>
      <c r="X200" s="121">
        <f>Loans!X$1111</f>
        <v>0</v>
      </c>
      <c r="Y200" s="121">
        <f>Loans!Y$1111</f>
        <v>0</v>
      </c>
      <c r="Z200" s="157"/>
      <c r="AA200" s="121">
        <f>Loans!AA$1111</f>
        <v>0</v>
      </c>
      <c r="AB200" s="121">
        <f>Loans!AB$1111</f>
        <v>0</v>
      </c>
      <c r="AC200" s="121">
        <f>Loans!AC$1111</f>
        <v>0</v>
      </c>
      <c r="AD200" s="121">
        <f>Loans!AD$1111</f>
        <v>0</v>
      </c>
      <c r="AE200" s="121">
        <f>Loans!AE$1111</f>
        <v>0</v>
      </c>
      <c r="AF200" s="121">
        <f>Loans!AF$1111</f>
        <v>0</v>
      </c>
      <c r="AG200" s="121">
        <f>Loans!AG$1111</f>
        <v>0</v>
      </c>
      <c r="AH200" s="121">
        <f>Loans!AH$1111</f>
        <v>0</v>
      </c>
      <c r="AI200" s="121">
        <f>Loans!AI$1111</f>
        <v>0</v>
      </c>
      <c r="AJ200" s="121">
        <f>Loans!AJ$1111</f>
        <v>0</v>
      </c>
      <c r="AK200" s="121">
        <f>Loans!AK$1111</f>
        <v>0</v>
      </c>
      <c r="AL200" s="121">
        <f>Loans!AL$1111</f>
        <v>0</v>
      </c>
      <c r="AM200" s="121">
        <f>Loans!AM$1111</f>
        <v>0</v>
      </c>
      <c r="AN200" s="121">
        <f>Loans!AN$1111</f>
        <v>0</v>
      </c>
      <c r="AO200" s="121">
        <f>Loans!AO$1111</f>
        <v>0</v>
      </c>
      <c r="AP200" s="121">
        <f>Loans!AP$1111</f>
        <v>0</v>
      </c>
      <c r="AQ200" s="121">
        <f>Loans!AQ$1111</f>
        <v>0</v>
      </c>
      <c r="AR200" s="121">
        <f>Loans!AR$1111</f>
        <v>0</v>
      </c>
      <c r="AS200" s="121">
        <f>Loans!AS$1111</f>
        <v>0</v>
      </c>
      <c r="AT200" s="121">
        <f>Loans!AT$1111</f>
        <v>0</v>
      </c>
      <c r="AU200" s="121">
        <f>Loans!AU$1111</f>
        <v>0</v>
      </c>
      <c r="AV200" s="121">
        <f>Loans!AV$1111</f>
        <v>0</v>
      </c>
      <c r="AW200" s="121">
        <f>Loans!AW$1111</f>
        <v>0</v>
      </c>
      <c r="AX200" s="121">
        <f>Loans!AX$1111</f>
        <v>0</v>
      </c>
      <c r="AY200" s="121">
        <f>Loans!AY$1111</f>
        <v>0</v>
      </c>
      <c r="AZ200" s="121">
        <f>Loans!AZ$1111</f>
        <v>0</v>
      </c>
      <c r="BA200" s="121">
        <f>Loans!BA$1111</f>
        <v>0</v>
      </c>
      <c r="BB200" s="121">
        <f>Loans!BB$1111</f>
        <v>0</v>
      </c>
      <c r="BC200" s="121">
        <f>Loans!BC$1111</f>
        <v>0</v>
      </c>
      <c r="BD200" s="121">
        <f>Loans!BD$1111</f>
        <v>0</v>
      </c>
      <c r="BE200" s="121">
        <f>Loans!BE$1111</f>
        <v>0</v>
      </c>
      <c r="BF200" s="121">
        <f>Loans!BF$1111</f>
        <v>0</v>
      </c>
      <c r="BG200" s="121">
        <f>Loans!BG$1111</f>
        <v>0</v>
      </c>
      <c r="BH200" s="121">
        <f>Loans!BH$1111</f>
        <v>0</v>
      </c>
      <c r="BI200" s="121">
        <f>Loans!BI$1111</f>
        <v>0</v>
      </c>
      <c r="BJ200" s="121">
        <f>Loans!BJ$1111</f>
        <v>0</v>
      </c>
      <c r="BK200" s="157"/>
      <c r="BL200" s="121">
        <f>Loans!BL$1111</f>
        <v>0</v>
      </c>
      <c r="BM200" s="121">
        <f>Loans!BM$1111</f>
        <v>0</v>
      </c>
      <c r="BN200" s="121">
        <f>Loans!BN$1111</f>
        <v>0</v>
      </c>
      <c r="BO200" s="121">
        <f>Loans!BO$1111</f>
        <v>0</v>
      </c>
      <c r="BP200" s="121">
        <f>Loans!BP$1111</f>
        <v>0</v>
      </c>
      <c r="BQ200" s="121">
        <f>Loans!BQ$1111</f>
        <v>0</v>
      </c>
      <c r="BR200" s="121">
        <f>Loans!BR$1111</f>
        <v>0</v>
      </c>
      <c r="BS200" s="121">
        <f>Loans!BS$1111</f>
        <v>0</v>
      </c>
      <c r="BT200" s="121">
        <f>Loans!BT$1111</f>
        <v>0</v>
      </c>
      <c r="BU200" s="121">
        <f>Loans!BU$1111</f>
        <v>0</v>
      </c>
      <c r="BV200" s="121">
        <f>Loans!BV$1111</f>
        <v>0</v>
      </c>
      <c r="BW200" s="121">
        <f>Loans!BW$1111</f>
        <v>0</v>
      </c>
      <c r="BY200" s="42"/>
      <c r="CC200" s="126">
        <f t="shared" si="215"/>
        <v>0</v>
      </c>
      <c r="CD200" s="126">
        <f t="shared" si="216"/>
        <v>0</v>
      </c>
      <c r="CE200" s="126">
        <f t="shared" si="217"/>
        <v>0</v>
      </c>
      <c r="CF200" s="42"/>
      <c r="CG200" s="352">
        <f t="shared" si="218"/>
        <v>0</v>
      </c>
      <c r="CH200" s="352">
        <f t="shared" si="219"/>
        <v>0</v>
      </c>
      <c r="CI200" s="352">
        <f t="shared" si="220"/>
        <v>0</v>
      </c>
      <c r="CJ200" s="352">
        <f t="shared" si="221"/>
        <v>0</v>
      </c>
      <c r="CK200" s="352">
        <f t="shared" si="221"/>
        <v>0</v>
      </c>
      <c r="CL200" s="352">
        <f t="shared" si="221"/>
        <v>0</v>
      </c>
      <c r="CM200" s="352">
        <f t="shared" si="222"/>
        <v>0</v>
      </c>
      <c r="EX200" s="10" t="str">
        <f t="shared" si="135"/>
        <v>Early Loan Capital Repayment</v>
      </c>
    </row>
    <row r="201" spans="1:154" ht="33.75" x14ac:dyDescent="0.25">
      <c r="A201" s="362" cm="1">
        <f t="array" aca="1" ref="A201" ca="1">HYPERLINK(CONCATENATE("#",CELL("address",IF(SUM($BY201:$CF201)=0,A201,INDEX($BY201:$CF201,MATCH(1,$BY201:$CF201,0))))),SUM($BY201:$CF201))</f>
        <v>0</v>
      </c>
      <c r="C201" s="343" t="s">
        <v>1501</v>
      </c>
      <c r="D201" s="556" t="s">
        <v>585</v>
      </c>
      <c r="E201" s="181" t="str" cm="1">
        <f t="array" aca="1" ref="E201" ca="1">HYPERLINK(CONCATENATE("#",CELL("address",'BS Forecasts'!$D$109)),'BS Forecasts'!$D$105)</f>
        <v>Finance Lease Obligations</v>
      </c>
      <c r="F201" s="162"/>
      <c r="G201" s="162"/>
      <c r="H201" s="162"/>
      <c r="I201" s="157"/>
      <c r="O201" s="157"/>
      <c r="P201" s="157"/>
      <c r="Q201" s="157"/>
      <c r="R201" s="157"/>
      <c r="S201" s="157"/>
      <c r="T201" s="157"/>
      <c r="U201" s="157"/>
      <c r="V201" s="121">
        <f>'BS Forecasts'!V$109</f>
        <v>0</v>
      </c>
      <c r="W201" s="121">
        <f>'BS Forecasts'!W$109</f>
        <v>-134</v>
      </c>
      <c r="X201" s="121">
        <f>'BS Forecasts'!X$109</f>
        <v>-134</v>
      </c>
      <c r="Y201" s="121">
        <f>'BS Forecasts'!Y$109</f>
        <v>-134</v>
      </c>
      <c r="Z201" s="157"/>
      <c r="AA201" s="121">
        <f>'BS Forecasts'!AA$109</f>
        <v>-12</v>
      </c>
      <c r="AB201" s="121">
        <f>'BS Forecasts'!AB$109</f>
        <v>-12</v>
      </c>
      <c r="AC201" s="121">
        <f>'BS Forecasts'!AC$109</f>
        <v>-11</v>
      </c>
      <c r="AD201" s="121">
        <f>'BS Forecasts'!AD$109</f>
        <v>-11</v>
      </c>
      <c r="AE201" s="121">
        <f>'BS Forecasts'!AE$109</f>
        <v>-11</v>
      </c>
      <c r="AF201" s="121">
        <f>'BS Forecasts'!AF$109</f>
        <v>-11</v>
      </c>
      <c r="AG201" s="121">
        <f>'BS Forecasts'!AG$109</f>
        <v>-11</v>
      </c>
      <c r="AH201" s="121">
        <f>'BS Forecasts'!AH$109</f>
        <v>-11</v>
      </c>
      <c r="AI201" s="121">
        <f>'BS Forecasts'!AI$109</f>
        <v>-11</v>
      </c>
      <c r="AJ201" s="121">
        <f>'BS Forecasts'!AJ$109</f>
        <v>-11</v>
      </c>
      <c r="AK201" s="121">
        <f>'BS Forecasts'!AK$109</f>
        <v>-11</v>
      </c>
      <c r="AL201" s="121">
        <f>'BS Forecasts'!AL$109</f>
        <v>-11</v>
      </c>
      <c r="AM201" s="121">
        <f>'BS Forecasts'!AM$109</f>
        <v>-12</v>
      </c>
      <c r="AN201" s="121">
        <f>'BS Forecasts'!AN$109</f>
        <v>-12</v>
      </c>
      <c r="AO201" s="121">
        <f>'BS Forecasts'!AO$109</f>
        <v>-11</v>
      </c>
      <c r="AP201" s="121">
        <f>'BS Forecasts'!AP$109</f>
        <v>-11</v>
      </c>
      <c r="AQ201" s="121">
        <f>'BS Forecasts'!AQ$109</f>
        <v>-11</v>
      </c>
      <c r="AR201" s="121">
        <f>'BS Forecasts'!AR$109</f>
        <v>-11</v>
      </c>
      <c r="AS201" s="121">
        <f>'BS Forecasts'!AS$109</f>
        <v>-11</v>
      </c>
      <c r="AT201" s="121">
        <f>'BS Forecasts'!AT$109</f>
        <v>-11</v>
      </c>
      <c r="AU201" s="121">
        <f>'BS Forecasts'!AU$109</f>
        <v>-11</v>
      </c>
      <c r="AV201" s="121">
        <f>'BS Forecasts'!AV$109</f>
        <v>-11</v>
      </c>
      <c r="AW201" s="121">
        <f>'BS Forecasts'!AW$109</f>
        <v>-11</v>
      </c>
      <c r="AX201" s="121">
        <f>'BS Forecasts'!AX$109</f>
        <v>-11</v>
      </c>
      <c r="AY201" s="121">
        <f>'BS Forecasts'!AY$109</f>
        <v>-12</v>
      </c>
      <c r="AZ201" s="121">
        <f>'BS Forecasts'!AZ$109</f>
        <v>-12</v>
      </c>
      <c r="BA201" s="121">
        <f>'BS Forecasts'!BA$109</f>
        <v>-11</v>
      </c>
      <c r="BB201" s="121">
        <f>'BS Forecasts'!BB$109</f>
        <v>-11</v>
      </c>
      <c r="BC201" s="121">
        <f>'BS Forecasts'!BC$109</f>
        <v>-11</v>
      </c>
      <c r="BD201" s="121">
        <f>'BS Forecasts'!BD$109</f>
        <v>-11</v>
      </c>
      <c r="BE201" s="121">
        <f>'BS Forecasts'!BE$109</f>
        <v>-11</v>
      </c>
      <c r="BF201" s="121">
        <f>'BS Forecasts'!BF$109</f>
        <v>-11</v>
      </c>
      <c r="BG201" s="121">
        <f>'BS Forecasts'!BG$109</f>
        <v>-11</v>
      </c>
      <c r="BH201" s="121">
        <f>'BS Forecasts'!BH$109</f>
        <v>-11</v>
      </c>
      <c r="BI201" s="121">
        <f>'BS Forecasts'!BI$109</f>
        <v>-11</v>
      </c>
      <c r="BJ201" s="121">
        <f>'BS Forecasts'!BJ$109</f>
        <v>-11</v>
      </c>
      <c r="BK201" s="157"/>
      <c r="BL201" s="121">
        <f>'BS Forecasts'!BL$109</f>
        <v>0</v>
      </c>
      <c r="BM201" s="121">
        <f>'BS Forecasts'!BM$109</f>
        <v>-134</v>
      </c>
      <c r="BN201" s="121">
        <f>'BS Forecasts'!BN$109</f>
        <v>-134</v>
      </c>
      <c r="BO201" s="121">
        <f>'BS Forecasts'!BO$109</f>
        <v>-134</v>
      </c>
      <c r="BP201" s="121">
        <f>'BS Forecasts'!BP$109</f>
        <v>0</v>
      </c>
      <c r="BQ201" s="121">
        <f>'BS Forecasts'!BQ$109</f>
        <v>0</v>
      </c>
      <c r="BR201" s="121">
        <f>'BS Forecasts'!BR$109</f>
        <v>0</v>
      </c>
      <c r="BS201" s="121">
        <f>'BS Forecasts'!BS$109</f>
        <v>0</v>
      </c>
      <c r="BT201" s="121">
        <f>'BS Forecasts'!BT$109</f>
        <v>0</v>
      </c>
      <c r="BU201" s="121">
        <f>'BS Forecasts'!BU$109</f>
        <v>0</v>
      </c>
      <c r="BV201" s="121">
        <f>'BS Forecasts'!BV$109</f>
        <v>0</v>
      </c>
      <c r="BW201" s="121">
        <f>'BS Forecasts'!BW$109</f>
        <v>0</v>
      </c>
      <c r="BY201" s="42"/>
      <c r="CC201" s="126">
        <f>IF(SUM($CG201:$CI201)=0, 0, 1)</f>
        <v>0</v>
      </c>
      <c r="CD201" s="126">
        <f t="shared" si="216"/>
        <v>0</v>
      </c>
      <c r="CE201" s="126">
        <f t="shared" si="217"/>
        <v>0</v>
      </c>
      <c r="CF201" s="42"/>
      <c r="CG201" s="352">
        <f t="shared" si="218"/>
        <v>0</v>
      </c>
      <c r="CH201" s="352">
        <f t="shared" si="219"/>
        <v>0</v>
      </c>
      <c r="CI201" s="352">
        <f t="shared" si="220"/>
        <v>0</v>
      </c>
      <c r="CJ201" s="352">
        <f t="shared" si="221"/>
        <v>0</v>
      </c>
      <c r="CK201" s="352">
        <f t="shared" si="221"/>
        <v>0</v>
      </c>
      <c r="CL201" s="352">
        <f t="shared" si="221"/>
        <v>0</v>
      </c>
      <c r="CM201" s="352">
        <f t="shared" si="222"/>
        <v>0</v>
      </c>
      <c r="EX201" s="10" t="str">
        <f t="shared" si="135"/>
        <v>Capital element of finance lease rental payments</v>
      </c>
    </row>
    <row r="202" spans="1:154" s="335" customFormat="1" ht="37.35" customHeight="1" x14ac:dyDescent="0.25">
      <c r="A202" s="362" cm="1">
        <f t="array" aca="1" ref="A202" ca="1">HYPERLINK(CONCATENATE("#",CELL("address",IF(SUM($BY202:$CF202)=0,A202,INDEX($BY202:$CF202,MATCH(1,$BY202:$CF202,0))))),SUM($BY202:$CF202))</f>
        <v>0</v>
      </c>
      <c r="B202" s="157"/>
      <c r="C202" s="343" t="s">
        <v>1736</v>
      </c>
      <c r="D202" s="556" t="s">
        <v>1735</v>
      </c>
      <c r="E202" s="181" t="str" cm="1">
        <f t="array" aca="1" ref="E202" ca="1">HYPERLINK(CONCATENATE("#",CELL("address",'BS Forecasts'!$D$82)),LEFT('BS Forecasts'!$D$81,23))</f>
        <v>Cash and Cash Equivalen</v>
      </c>
      <c r="F202" s="162"/>
      <c r="G202" s="162"/>
      <c r="H202" s="180"/>
      <c r="I202" s="157"/>
      <c r="J202" s="157"/>
      <c r="K202" s="157"/>
      <c r="L202" s="157"/>
      <c r="M202" s="157"/>
      <c r="N202" s="157"/>
      <c r="O202" s="157"/>
      <c r="P202" s="157"/>
      <c r="Q202" s="157"/>
      <c r="R202" s="157"/>
      <c r="S202" s="157"/>
      <c r="T202" s="157"/>
      <c r="U202" s="157"/>
      <c r="V202" s="121">
        <f>'BS Forecasts'!V$82</f>
        <v>0</v>
      </c>
      <c r="W202" s="121">
        <f>'BS Forecasts'!W$82</f>
        <v>0</v>
      </c>
      <c r="X202" s="121">
        <f>'BS Forecasts'!X$82</f>
        <v>0</v>
      </c>
      <c r="Y202" s="121">
        <f>'BS Forecasts'!Y$82</f>
        <v>0</v>
      </c>
      <c r="Z202" s="157"/>
      <c r="AA202" s="121">
        <f>'BS Forecasts'!AA$82</f>
        <v>0</v>
      </c>
      <c r="AB202" s="121">
        <f>'BS Forecasts'!AB$82</f>
        <v>0</v>
      </c>
      <c r="AC202" s="121">
        <f>'BS Forecasts'!AC$82</f>
        <v>0</v>
      </c>
      <c r="AD202" s="121">
        <f>'BS Forecasts'!AD$82</f>
        <v>0</v>
      </c>
      <c r="AE202" s="121">
        <f>'BS Forecasts'!AE$82</f>
        <v>0</v>
      </c>
      <c r="AF202" s="121">
        <f>'BS Forecasts'!AF$82</f>
        <v>0</v>
      </c>
      <c r="AG202" s="121">
        <f>'BS Forecasts'!AG$82</f>
        <v>0</v>
      </c>
      <c r="AH202" s="121">
        <f>'BS Forecasts'!AH$82</f>
        <v>0</v>
      </c>
      <c r="AI202" s="121">
        <f>'BS Forecasts'!AI$82</f>
        <v>0</v>
      </c>
      <c r="AJ202" s="121">
        <f>'BS Forecasts'!AJ$82</f>
        <v>0</v>
      </c>
      <c r="AK202" s="121">
        <f>'BS Forecasts'!AK$82</f>
        <v>0</v>
      </c>
      <c r="AL202" s="121">
        <f>'BS Forecasts'!AL$82</f>
        <v>0</v>
      </c>
      <c r="AM202" s="121">
        <f>'BS Forecasts'!AM$82</f>
        <v>0</v>
      </c>
      <c r="AN202" s="121">
        <f>'BS Forecasts'!AN$82</f>
        <v>0</v>
      </c>
      <c r="AO202" s="121">
        <f>'BS Forecasts'!AO$82</f>
        <v>0</v>
      </c>
      <c r="AP202" s="121">
        <f>'BS Forecasts'!AP$82</f>
        <v>0</v>
      </c>
      <c r="AQ202" s="121">
        <f>'BS Forecasts'!AQ$82</f>
        <v>0</v>
      </c>
      <c r="AR202" s="121">
        <f>'BS Forecasts'!AR$82</f>
        <v>0</v>
      </c>
      <c r="AS202" s="121">
        <f>'BS Forecasts'!AS$82</f>
        <v>0</v>
      </c>
      <c r="AT202" s="121">
        <f>'BS Forecasts'!AT$82</f>
        <v>0</v>
      </c>
      <c r="AU202" s="121">
        <f>'BS Forecasts'!AU$82</f>
        <v>0</v>
      </c>
      <c r="AV202" s="121">
        <f>'BS Forecasts'!AV$82</f>
        <v>0</v>
      </c>
      <c r="AW202" s="121">
        <f>'BS Forecasts'!AW$82</f>
        <v>0</v>
      </c>
      <c r="AX202" s="121">
        <f>'BS Forecasts'!AX$82</f>
        <v>0</v>
      </c>
      <c r="AY202" s="121">
        <f>'BS Forecasts'!AY$82</f>
        <v>0</v>
      </c>
      <c r="AZ202" s="121">
        <f>'BS Forecasts'!AZ$82</f>
        <v>0</v>
      </c>
      <c r="BA202" s="121">
        <f>'BS Forecasts'!BA$82</f>
        <v>0</v>
      </c>
      <c r="BB202" s="121">
        <f>'BS Forecasts'!BB$82</f>
        <v>0</v>
      </c>
      <c r="BC202" s="121">
        <f>'BS Forecasts'!BC$82</f>
        <v>0</v>
      </c>
      <c r="BD202" s="121">
        <f>'BS Forecasts'!BD$82</f>
        <v>0</v>
      </c>
      <c r="BE202" s="121">
        <f>'BS Forecasts'!BE$82</f>
        <v>0</v>
      </c>
      <c r="BF202" s="121">
        <f>'BS Forecasts'!BF$82</f>
        <v>0</v>
      </c>
      <c r="BG202" s="121">
        <f>'BS Forecasts'!BG$82</f>
        <v>0</v>
      </c>
      <c r="BH202" s="121">
        <f>'BS Forecasts'!BH$82</f>
        <v>0</v>
      </c>
      <c r="BI202" s="121">
        <f>'BS Forecasts'!BI$82</f>
        <v>0</v>
      </c>
      <c r="BJ202" s="121">
        <f>'BS Forecasts'!BJ$82</f>
        <v>0</v>
      </c>
      <c r="BK202" s="157"/>
      <c r="BL202" s="121">
        <f>'BS Forecasts'!BL$82</f>
        <v>0</v>
      </c>
      <c r="BM202" s="121">
        <f>'BS Forecasts'!BM$82</f>
        <v>0</v>
      </c>
      <c r="BN202" s="121">
        <f>'BS Forecasts'!BN$82</f>
        <v>0</v>
      </c>
      <c r="BO202" s="121">
        <f>'BS Forecasts'!BO$82</f>
        <v>0</v>
      </c>
      <c r="BP202" s="121">
        <f>'BS Forecasts'!BP$82</f>
        <v>0</v>
      </c>
      <c r="BQ202" s="121">
        <f>'BS Forecasts'!BQ$82</f>
        <v>0</v>
      </c>
      <c r="BR202" s="121">
        <f>'BS Forecasts'!BR$82</f>
        <v>0</v>
      </c>
      <c r="BS202" s="121">
        <f>'BS Forecasts'!BS$82</f>
        <v>0</v>
      </c>
      <c r="BT202" s="121">
        <f>'BS Forecasts'!BT$82</f>
        <v>0</v>
      </c>
      <c r="BU202" s="121">
        <f>'BS Forecasts'!BU$82</f>
        <v>0</v>
      </c>
      <c r="BV202" s="121">
        <f>'BS Forecasts'!BV$82</f>
        <v>0</v>
      </c>
      <c r="BW202" s="121">
        <f>'BS Forecasts'!BW$82</f>
        <v>0</v>
      </c>
      <c r="BX202" s="157"/>
      <c r="BY202" s="12"/>
      <c r="CC202" s="126">
        <f t="shared" si="215"/>
        <v>0</v>
      </c>
      <c r="CD202" s="126">
        <f t="shared" si="216"/>
        <v>0</v>
      </c>
      <c r="CE202" s="126">
        <f t="shared" si="217"/>
        <v>0</v>
      </c>
      <c r="CF202" s="42"/>
      <c r="CG202" s="352">
        <f t="shared" si="218"/>
        <v>0</v>
      </c>
      <c r="CH202" s="352">
        <f t="shared" si="219"/>
        <v>0</v>
      </c>
      <c r="CI202" s="352">
        <f t="shared" si="220"/>
        <v>0</v>
      </c>
      <c r="CJ202" s="352">
        <f t="shared" si="221"/>
        <v>0</v>
      </c>
      <c r="CK202" s="352">
        <f t="shared" si="221"/>
        <v>0</v>
      </c>
      <c r="CL202" s="352">
        <f t="shared" si="221"/>
        <v>0</v>
      </c>
      <c r="CM202" s="352">
        <f t="shared" si="222"/>
        <v>0</v>
      </c>
      <c r="EX202" s="10" t="str">
        <f>IF($C202="","",$D202)</f>
        <v>Cash movement due to merger / de-merger</v>
      </c>
    </row>
    <row r="203" spans="1:154" x14ac:dyDescent="0.25">
      <c r="C203" s="343" t="s">
        <v>1502</v>
      </c>
      <c r="D203" s="554" t="s">
        <v>586</v>
      </c>
      <c r="O203" s="157"/>
      <c r="P203" s="157"/>
      <c r="Q203" s="157"/>
      <c r="R203" s="157"/>
      <c r="S203" s="157"/>
      <c r="T203" s="157"/>
      <c r="U203" s="157"/>
      <c r="V203" s="13">
        <f>SUM(V195:V202)*V$9</f>
        <v>0</v>
      </c>
      <c r="W203" s="13">
        <f t="shared" ref="W203:BW203" si="223">SUM(W195:W202)*W$9</f>
        <v>-620</v>
      </c>
      <c r="X203" s="13">
        <f t="shared" si="223"/>
        <v>-563</v>
      </c>
      <c r="Y203" s="13">
        <f t="shared" si="223"/>
        <v>-563</v>
      </c>
      <c r="Z203" s="157"/>
      <c r="AA203" s="13">
        <f t="shared" si="223"/>
        <v>-92</v>
      </c>
      <c r="AB203" s="13">
        <f t="shared" si="223"/>
        <v>-42</v>
      </c>
      <c r="AC203" s="13">
        <f t="shared" si="223"/>
        <v>-41</v>
      </c>
      <c r="AD203" s="13">
        <f t="shared" si="223"/>
        <v>-91</v>
      </c>
      <c r="AE203" s="13">
        <f t="shared" si="223"/>
        <v>-42</v>
      </c>
      <c r="AF203" s="13">
        <f t="shared" si="223"/>
        <v>-32</v>
      </c>
      <c r="AG203" s="13">
        <f t="shared" si="223"/>
        <v>-80</v>
      </c>
      <c r="AH203" s="13">
        <f t="shared" si="223"/>
        <v>-30</v>
      </c>
      <c r="AI203" s="13">
        <f t="shared" si="223"/>
        <v>-30</v>
      </c>
      <c r="AJ203" s="13">
        <f t="shared" si="223"/>
        <v>-80</v>
      </c>
      <c r="AK203" s="13">
        <f t="shared" si="223"/>
        <v>-30</v>
      </c>
      <c r="AL203" s="13">
        <f t="shared" si="223"/>
        <v>-30</v>
      </c>
      <c r="AM203" s="13">
        <f t="shared" si="223"/>
        <v>-81</v>
      </c>
      <c r="AN203" s="13">
        <f t="shared" si="223"/>
        <v>-31</v>
      </c>
      <c r="AO203" s="13">
        <f t="shared" si="223"/>
        <v>-30</v>
      </c>
      <c r="AP203" s="13">
        <f t="shared" si="223"/>
        <v>-80</v>
      </c>
      <c r="AQ203" s="13">
        <f t="shared" si="223"/>
        <v>-31</v>
      </c>
      <c r="AR203" s="13">
        <f t="shared" si="223"/>
        <v>-30</v>
      </c>
      <c r="AS203" s="13">
        <f t="shared" si="223"/>
        <v>-80</v>
      </c>
      <c r="AT203" s="13">
        <f t="shared" si="223"/>
        <v>-30</v>
      </c>
      <c r="AU203" s="13">
        <f t="shared" si="223"/>
        <v>-30</v>
      </c>
      <c r="AV203" s="13">
        <f t="shared" si="223"/>
        <v>-80</v>
      </c>
      <c r="AW203" s="13">
        <f t="shared" si="223"/>
        <v>-30</v>
      </c>
      <c r="AX203" s="13">
        <f t="shared" si="223"/>
        <v>-30</v>
      </c>
      <c r="AY203" s="13">
        <f t="shared" si="223"/>
        <v>-81</v>
      </c>
      <c r="AZ203" s="13">
        <f t="shared" si="223"/>
        <v>-31</v>
      </c>
      <c r="BA203" s="13">
        <f t="shared" si="223"/>
        <v>-30</v>
      </c>
      <c r="BB203" s="13">
        <f t="shared" si="223"/>
        <v>-80</v>
      </c>
      <c r="BC203" s="13">
        <f t="shared" si="223"/>
        <v>-31</v>
      </c>
      <c r="BD203" s="13">
        <f t="shared" si="223"/>
        <v>-30</v>
      </c>
      <c r="BE203" s="13">
        <f t="shared" si="223"/>
        <v>-80</v>
      </c>
      <c r="BF203" s="13">
        <f t="shared" si="223"/>
        <v>-30</v>
      </c>
      <c r="BG203" s="13">
        <f t="shared" si="223"/>
        <v>-30</v>
      </c>
      <c r="BH203" s="13">
        <f t="shared" si="223"/>
        <v>-80</v>
      </c>
      <c r="BI203" s="13">
        <f t="shared" si="223"/>
        <v>-30</v>
      </c>
      <c r="BJ203" s="13">
        <f t="shared" si="223"/>
        <v>-30</v>
      </c>
      <c r="BK203" s="157"/>
      <c r="BL203" s="13">
        <f t="shared" si="223"/>
        <v>0</v>
      </c>
      <c r="BM203" s="13">
        <f t="shared" si="223"/>
        <v>-620</v>
      </c>
      <c r="BN203" s="13">
        <f t="shared" si="223"/>
        <v>-563</v>
      </c>
      <c r="BO203" s="13">
        <f t="shared" si="223"/>
        <v>-563</v>
      </c>
      <c r="BP203" s="13">
        <f t="shared" si="223"/>
        <v>0</v>
      </c>
      <c r="BQ203" s="13">
        <f t="shared" si="223"/>
        <v>0</v>
      </c>
      <c r="BR203" s="13">
        <f t="shared" si="223"/>
        <v>0</v>
      </c>
      <c r="BS203" s="13">
        <f t="shared" si="223"/>
        <v>0</v>
      </c>
      <c r="BT203" s="13">
        <f t="shared" si="223"/>
        <v>0</v>
      </c>
      <c r="BU203" s="13">
        <f t="shared" si="223"/>
        <v>0</v>
      </c>
      <c r="BV203" s="13">
        <f t="shared" si="223"/>
        <v>0</v>
      </c>
      <c r="BW203" s="13">
        <f t="shared" si="223"/>
        <v>0</v>
      </c>
      <c r="BY203" s="42"/>
      <c r="CF203" s="42"/>
      <c r="EX203" s="10" t="str">
        <f t="shared" si="135"/>
        <v>Net cash flow from financing activities</v>
      </c>
    </row>
    <row r="204" spans="1:154" s="335" customFormat="1" ht="11.45" customHeight="1" x14ac:dyDescent="0.25">
      <c r="A204" s="157"/>
      <c r="B204" s="187"/>
      <c r="C204" s="343"/>
      <c r="D204" s="556"/>
      <c r="E204" s="157"/>
      <c r="F204" s="157"/>
      <c r="G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57"/>
      <c r="AN204" s="157"/>
      <c r="AO204" s="157"/>
      <c r="AP204" s="157"/>
      <c r="AQ204" s="157"/>
      <c r="AR204" s="157"/>
      <c r="AS204" s="157"/>
      <c r="AT204" s="157"/>
      <c r="AU204" s="157"/>
      <c r="AV204" s="157"/>
      <c r="AW204" s="157"/>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42"/>
      <c r="CF204" s="42"/>
      <c r="EX204" s="10" t="str">
        <f t="shared" ref="EX204:EX211" si="224">IF($C204="","",$D204)</f>
        <v/>
      </c>
    </row>
    <row r="205" spans="1:154" x14ac:dyDescent="0.25">
      <c r="C205" s="343" t="s">
        <v>1503</v>
      </c>
      <c r="D205" s="554" t="s">
        <v>587</v>
      </c>
      <c r="E205" s="157"/>
      <c r="O205" s="157"/>
      <c r="P205" s="157"/>
      <c r="Q205" s="157"/>
      <c r="R205" s="157"/>
      <c r="S205" s="157"/>
      <c r="T205" s="157"/>
      <c r="U205" s="157"/>
      <c r="V205" s="13">
        <f>V177+V192+V203</f>
        <v>0</v>
      </c>
      <c r="W205" s="13">
        <f>W177+W192+W203</f>
        <v>2794</v>
      </c>
      <c r="X205" s="13">
        <f>X177+X192+X203</f>
        <v>-950</v>
      </c>
      <c r="Y205" s="13">
        <f>Y177+Y192+Y203</f>
        <v>849.81000000000131</v>
      </c>
      <c r="Z205" s="157"/>
      <c r="AA205" s="13">
        <f t="shared" ref="AA205:BJ205" si="225">AA177+AA192+AA203</f>
        <v>5171</v>
      </c>
      <c r="AB205" s="13">
        <f t="shared" si="225"/>
        <v>2095</v>
      </c>
      <c r="AC205" s="13">
        <f t="shared" si="225"/>
        <v>-1931</v>
      </c>
      <c r="AD205" s="13">
        <f t="shared" si="225"/>
        <v>43</v>
      </c>
      <c r="AE205" s="13">
        <f t="shared" si="225"/>
        <v>-454</v>
      </c>
      <c r="AF205" s="13">
        <f t="shared" si="225"/>
        <v>-585</v>
      </c>
      <c r="AG205" s="13">
        <f t="shared" si="225"/>
        <v>-655</v>
      </c>
      <c r="AH205" s="13">
        <f t="shared" si="225"/>
        <v>-1883</v>
      </c>
      <c r="AI205" s="13">
        <f t="shared" si="225"/>
        <v>1438</v>
      </c>
      <c r="AJ205" s="13">
        <f t="shared" si="225"/>
        <v>365</v>
      </c>
      <c r="AK205" s="13">
        <f t="shared" si="225"/>
        <v>423</v>
      </c>
      <c r="AL205" s="13">
        <f t="shared" si="225"/>
        <v>-1233</v>
      </c>
      <c r="AM205" s="13">
        <f t="shared" si="225"/>
        <v>1758</v>
      </c>
      <c r="AN205" s="13">
        <f t="shared" si="225"/>
        <v>301</v>
      </c>
      <c r="AO205" s="13">
        <f t="shared" si="225"/>
        <v>-146</v>
      </c>
      <c r="AP205" s="13">
        <f t="shared" si="225"/>
        <v>-574</v>
      </c>
      <c r="AQ205" s="13">
        <f t="shared" si="225"/>
        <v>-1235</v>
      </c>
      <c r="AR205" s="13">
        <f t="shared" si="225"/>
        <v>-1226</v>
      </c>
      <c r="AS205" s="13">
        <f t="shared" si="225"/>
        <v>-1253</v>
      </c>
      <c r="AT205" s="13">
        <f t="shared" si="225"/>
        <v>-1365</v>
      </c>
      <c r="AU205" s="13">
        <f t="shared" si="225"/>
        <v>1079</v>
      </c>
      <c r="AV205" s="13">
        <f t="shared" si="225"/>
        <v>104</v>
      </c>
      <c r="AW205" s="13">
        <f t="shared" si="225"/>
        <v>-241</v>
      </c>
      <c r="AX205" s="13">
        <f t="shared" si="225"/>
        <v>1848</v>
      </c>
      <c r="AY205" s="13">
        <f t="shared" si="225"/>
        <v>2082.7483333333334</v>
      </c>
      <c r="AZ205" s="13">
        <f t="shared" si="225"/>
        <v>943.35666666666611</v>
      </c>
      <c r="BA205" s="13">
        <f t="shared" si="225"/>
        <v>22.488333333332776</v>
      </c>
      <c r="BB205" s="13">
        <f t="shared" si="225"/>
        <v>-595.61333333333323</v>
      </c>
      <c r="BC205" s="13">
        <f t="shared" si="225"/>
        <v>-1024.53</v>
      </c>
      <c r="BD205" s="13">
        <f t="shared" si="225"/>
        <v>-842.22999999999979</v>
      </c>
      <c r="BE205" s="13">
        <f t="shared" si="225"/>
        <v>-1190.741666666667</v>
      </c>
      <c r="BF205" s="13">
        <f t="shared" si="225"/>
        <v>-992.5183333333332</v>
      </c>
      <c r="BG205" s="13">
        <f t="shared" si="225"/>
        <v>1577.378333333334</v>
      </c>
      <c r="BH205" s="13">
        <f t="shared" si="225"/>
        <v>301.06833333333361</v>
      </c>
      <c r="BI205" s="13">
        <f t="shared" si="225"/>
        <v>-91.806666666666388</v>
      </c>
      <c r="BJ205" s="13">
        <f t="shared" si="225"/>
        <v>660.20999999999958</v>
      </c>
      <c r="BK205" s="157"/>
      <c r="BL205" s="13">
        <f t="shared" ref="BL205:BW205" si="226">BL177+BL192+BL203</f>
        <v>0</v>
      </c>
      <c r="BM205" s="13">
        <f t="shared" si="226"/>
        <v>2794</v>
      </c>
      <c r="BN205" s="13">
        <f t="shared" si="226"/>
        <v>-950</v>
      </c>
      <c r="BO205" s="13">
        <f t="shared" si="226"/>
        <v>849.81000000000131</v>
      </c>
      <c r="BP205" s="13">
        <f t="shared" si="226"/>
        <v>0</v>
      </c>
      <c r="BQ205" s="13">
        <f t="shared" si="226"/>
        <v>0</v>
      </c>
      <c r="BR205" s="13">
        <f t="shared" si="226"/>
        <v>0</v>
      </c>
      <c r="BS205" s="13">
        <f t="shared" si="226"/>
        <v>0</v>
      </c>
      <c r="BT205" s="13">
        <f t="shared" si="226"/>
        <v>0</v>
      </c>
      <c r="BU205" s="13">
        <f t="shared" si="226"/>
        <v>0</v>
      </c>
      <c r="BV205" s="13">
        <f t="shared" si="226"/>
        <v>0</v>
      </c>
      <c r="BW205" s="13">
        <f t="shared" si="226"/>
        <v>0</v>
      </c>
      <c r="BY205" s="42"/>
      <c r="CF205" s="42"/>
      <c r="EX205" s="10" t="str">
        <f t="shared" si="224"/>
        <v>Increase/(decrease) in cash and cash equivalents</v>
      </c>
    </row>
    <row r="206" spans="1:154" ht="8.1" customHeight="1" x14ac:dyDescent="0.25">
      <c r="A206" s="157"/>
      <c r="B206" s="157"/>
      <c r="C206" s="343"/>
      <c r="D206" s="556"/>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157"/>
      <c r="AL206" s="157"/>
      <c r="AM206" s="157"/>
      <c r="AN206" s="157"/>
      <c r="AO206" s="157"/>
      <c r="AP206" s="157"/>
      <c r="AQ206" s="157"/>
      <c r="AR206" s="157"/>
      <c r="AS206" s="157"/>
      <c r="AT206" s="157"/>
      <c r="AU206" s="157"/>
      <c r="AV206" s="157"/>
      <c r="AW206" s="157"/>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42"/>
      <c r="CF206" s="42"/>
      <c r="EX206" s="10" t="str">
        <f t="shared" si="224"/>
        <v/>
      </c>
    </row>
    <row r="207" spans="1:154" x14ac:dyDescent="0.25">
      <c r="A207" s="157"/>
      <c r="B207" s="175"/>
      <c r="C207" s="343"/>
      <c r="D207" s="554" t="s">
        <v>588</v>
      </c>
      <c r="E207" s="157"/>
      <c r="F207" s="157"/>
      <c r="G207" s="157"/>
      <c r="H207" s="157"/>
      <c r="I207" s="157"/>
      <c r="J207" s="157"/>
      <c r="K207" s="157"/>
      <c r="L207" s="157"/>
      <c r="M207" s="157"/>
      <c r="N207" s="157"/>
      <c r="O207" s="157"/>
      <c r="P207" s="157"/>
      <c r="Q207" s="157"/>
      <c r="R207" s="157"/>
      <c r="S207" s="157"/>
      <c r="T207" s="157"/>
      <c r="U207" s="157"/>
      <c r="V207" s="482"/>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42"/>
      <c r="CF207" s="42"/>
      <c r="EX207" s="10" t="str">
        <f t="shared" si="224"/>
        <v/>
      </c>
    </row>
    <row r="208" spans="1:154" x14ac:dyDescent="0.25">
      <c r="C208" s="343" t="s">
        <v>1504</v>
      </c>
      <c r="D208" s="556" t="s">
        <v>840</v>
      </c>
      <c r="E208" s="335" t="s">
        <v>2356</v>
      </c>
      <c r="O208" s="157"/>
      <c r="P208" s="157"/>
      <c r="Q208" s="157"/>
      <c r="R208" s="157"/>
      <c r="S208" s="157"/>
      <c r="T208" s="157"/>
      <c r="U208" s="157"/>
      <c r="V208" s="13">
        <f>'Opening Balances'!V29*'Opening Balances'!$V$81</f>
        <v>0</v>
      </c>
      <c r="W208" s="121">
        <f>V209</f>
        <v>3647</v>
      </c>
      <c r="X208" s="121">
        <f>W209</f>
        <v>6441</v>
      </c>
      <c r="Y208" s="121">
        <f>X209</f>
        <v>5491</v>
      </c>
      <c r="Z208" s="157"/>
      <c r="AA208" s="13">
        <f>W208</f>
        <v>3647</v>
      </c>
      <c r="AB208" s="121">
        <f>AA209</f>
        <v>8818</v>
      </c>
      <c r="AC208" s="121">
        <f>AB209</f>
        <v>10913</v>
      </c>
      <c r="AD208" s="121">
        <f>AC209</f>
        <v>8982</v>
      </c>
      <c r="AE208" s="121">
        <f t="shared" ref="AE208:BW208" si="227">AD209</f>
        <v>9025</v>
      </c>
      <c r="AF208" s="121">
        <f t="shared" si="227"/>
        <v>8571</v>
      </c>
      <c r="AG208" s="121">
        <f t="shared" si="227"/>
        <v>7986</v>
      </c>
      <c r="AH208" s="121">
        <f>AG209</f>
        <v>7331</v>
      </c>
      <c r="AI208" s="121">
        <f t="shared" si="227"/>
        <v>5448</v>
      </c>
      <c r="AJ208" s="121">
        <f t="shared" si="227"/>
        <v>6886</v>
      </c>
      <c r="AK208" s="121">
        <f t="shared" si="227"/>
        <v>7251</v>
      </c>
      <c r="AL208" s="121">
        <f t="shared" si="227"/>
        <v>7674</v>
      </c>
      <c r="AM208" s="121">
        <f t="shared" si="227"/>
        <v>6441</v>
      </c>
      <c r="AN208" s="121">
        <f t="shared" si="227"/>
        <v>8199</v>
      </c>
      <c r="AO208" s="121">
        <f t="shared" si="227"/>
        <v>8500</v>
      </c>
      <c r="AP208" s="121">
        <f t="shared" si="227"/>
        <v>8354</v>
      </c>
      <c r="AQ208" s="121">
        <f t="shared" si="227"/>
        <v>7780</v>
      </c>
      <c r="AR208" s="121">
        <f t="shared" si="227"/>
        <v>6545</v>
      </c>
      <c r="AS208" s="121">
        <f t="shared" si="227"/>
        <v>5319</v>
      </c>
      <c r="AT208" s="121">
        <f t="shared" si="227"/>
        <v>4066</v>
      </c>
      <c r="AU208" s="121">
        <f t="shared" si="227"/>
        <v>2701</v>
      </c>
      <c r="AV208" s="121">
        <f t="shared" si="227"/>
        <v>3780</v>
      </c>
      <c r="AW208" s="121">
        <f t="shared" si="227"/>
        <v>3884</v>
      </c>
      <c r="AX208" s="121">
        <f t="shared" si="227"/>
        <v>3643</v>
      </c>
      <c r="AY208" s="121">
        <f t="shared" si="227"/>
        <v>5491</v>
      </c>
      <c r="AZ208" s="121">
        <f t="shared" si="227"/>
        <v>7573.748333333333</v>
      </c>
      <c r="BA208" s="121">
        <f t="shared" si="227"/>
        <v>8517.1049999999996</v>
      </c>
      <c r="BB208" s="121">
        <f t="shared" si="227"/>
        <v>8539.5933333333323</v>
      </c>
      <c r="BC208" s="121">
        <f t="shared" si="227"/>
        <v>7943.98</v>
      </c>
      <c r="BD208" s="121">
        <f t="shared" si="227"/>
        <v>6919.45</v>
      </c>
      <c r="BE208" s="121">
        <f t="shared" si="227"/>
        <v>6077.22</v>
      </c>
      <c r="BF208" s="121">
        <f t="shared" si="227"/>
        <v>4886.4783333333335</v>
      </c>
      <c r="BG208" s="121">
        <f t="shared" si="227"/>
        <v>3893.96</v>
      </c>
      <c r="BH208" s="121">
        <f t="shared" si="227"/>
        <v>5471.338333333334</v>
      </c>
      <c r="BI208" s="121">
        <f t="shared" si="227"/>
        <v>5772.4066666666677</v>
      </c>
      <c r="BJ208" s="121">
        <f t="shared" si="227"/>
        <v>5680.6000000000013</v>
      </c>
      <c r="BK208" s="157"/>
      <c r="BL208" s="13">
        <f>V208</f>
        <v>0</v>
      </c>
      <c r="BM208" s="121">
        <f>BL209</f>
        <v>3647</v>
      </c>
      <c r="BN208" s="121">
        <f t="shared" si="227"/>
        <v>6441</v>
      </c>
      <c r="BO208" s="121">
        <f t="shared" si="227"/>
        <v>5491</v>
      </c>
      <c r="BP208" s="121">
        <f t="shared" si="227"/>
        <v>6340.8100000000013</v>
      </c>
      <c r="BQ208" s="121">
        <f t="shared" si="227"/>
        <v>6340.8100000000013</v>
      </c>
      <c r="BR208" s="121">
        <f t="shared" si="227"/>
        <v>6340.8100000000013</v>
      </c>
      <c r="BS208" s="121">
        <f t="shared" si="227"/>
        <v>6340.8100000000013</v>
      </c>
      <c r="BT208" s="121">
        <f t="shared" si="227"/>
        <v>6340.8100000000013</v>
      </c>
      <c r="BU208" s="121">
        <f t="shared" si="227"/>
        <v>6340.8100000000013</v>
      </c>
      <c r="BV208" s="121">
        <f t="shared" si="227"/>
        <v>6340.8100000000013</v>
      </c>
      <c r="BW208" s="121">
        <f t="shared" si="227"/>
        <v>6340.8100000000013</v>
      </c>
      <c r="BY208" s="42"/>
      <c r="CF208" s="42"/>
      <c r="EX208" s="10" t="str">
        <f t="shared" si="224"/>
        <v>Cash and cash equivalents at beginning of the period</v>
      </c>
    </row>
    <row r="209" spans="1:154" x14ac:dyDescent="0.25">
      <c r="A209" s="362" cm="1">
        <f t="array" aca="1" ref="A209" ca="1">HYPERLINK(CONCATENATE("#",CELL("address",IF(SUM($BY209:$CF209)=0,A209,INDEX($BY209:$CF209,MATCH(1,$BY209:$CF209,0))))),SUM($BY209:$CF209))</f>
        <v>0</v>
      </c>
      <c r="C209" s="520" t="s">
        <v>1505</v>
      </c>
      <c r="D209" s="556" t="s">
        <v>841</v>
      </c>
      <c r="E209" s="352">
        <f>ROUND(SUM(V205:V208)-V209, rounding)*$V$9</f>
        <v>0</v>
      </c>
      <c r="O209" s="157"/>
      <c r="P209" s="157"/>
      <c r="Q209" s="157"/>
      <c r="R209" s="157"/>
      <c r="S209" s="157"/>
      <c r="T209" s="157"/>
      <c r="U209" s="157"/>
      <c r="V209" s="13">
        <f>'Opening Balances'!$W$29</f>
        <v>3647</v>
      </c>
      <c r="W209" s="121">
        <f>W208+W205</f>
        <v>6441</v>
      </c>
      <c r="X209" s="121">
        <f t="shared" ref="X209:Y209" si="228">X208+X205</f>
        <v>5491</v>
      </c>
      <c r="Y209" s="121">
        <f t="shared" si="228"/>
        <v>6340.8100000000013</v>
      </c>
      <c r="Z209" s="157"/>
      <c r="AA209" s="121">
        <f>AA208+AA205</f>
        <v>8818</v>
      </c>
      <c r="AB209" s="121">
        <f t="shared" ref="AB209" si="229">AB208+AB205</f>
        <v>10913</v>
      </c>
      <c r="AC209" s="121">
        <f>AC208+AC205</f>
        <v>8982</v>
      </c>
      <c r="AD209" s="121">
        <f t="shared" ref="AD209" si="230">AD208+AD205</f>
        <v>9025</v>
      </c>
      <c r="AE209" s="121">
        <f t="shared" ref="AE209" si="231">AE208+AE205</f>
        <v>8571</v>
      </c>
      <c r="AF209" s="121">
        <f t="shared" ref="AF209" si="232">AF208+AF205</f>
        <v>7986</v>
      </c>
      <c r="AG209" s="121">
        <f>AG208+AG205</f>
        <v>7331</v>
      </c>
      <c r="AH209" s="121">
        <f t="shared" ref="AH209" si="233">AH208+AH205</f>
        <v>5448</v>
      </c>
      <c r="AI209" s="121">
        <f t="shared" ref="AI209" si="234">AI208+AI205</f>
        <v>6886</v>
      </c>
      <c r="AJ209" s="121">
        <f t="shared" ref="AJ209" si="235">AJ208+AJ205</f>
        <v>7251</v>
      </c>
      <c r="AK209" s="121">
        <f t="shared" ref="AK209" si="236">AK208+AK205</f>
        <v>7674</v>
      </c>
      <c r="AL209" s="121">
        <f t="shared" ref="AL209" si="237">AL208+AL205</f>
        <v>6441</v>
      </c>
      <c r="AM209" s="121">
        <f t="shared" ref="AM209" si="238">AM208+AM205</f>
        <v>8199</v>
      </c>
      <c r="AN209" s="121">
        <f t="shared" ref="AN209" si="239">AN208+AN205</f>
        <v>8500</v>
      </c>
      <c r="AO209" s="121">
        <f t="shared" ref="AO209" si="240">AO208+AO205</f>
        <v>8354</v>
      </c>
      <c r="AP209" s="121">
        <f t="shared" ref="AP209" si="241">AP208+AP205</f>
        <v>7780</v>
      </c>
      <c r="AQ209" s="121">
        <f t="shared" ref="AQ209" si="242">AQ208+AQ205</f>
        <v>6545</v>
      </c>
      <c r="AR209" s="121">
        <f t="shared" ref="AR209" si="243">AR208+AR205</f>
        <v>5319</v>
      </c>
      <c r="AS209" s="121">
        <f t="shared" ref="AS209" si="244">AS208+AS205</f>
        <v>4066</v>
      </c>
      <c r="AT209" s="121">
        <f t="shared" ref="AT209" si="245">AT208+AT205</f>
        <v>2701</v>
      </c>
      <c r="AU209" s="121">
        <f t="shared" ref="AU209" si="246">AU208+AU205</f>
        <v>3780</v>
      </c>
      <c r="AV209" s="121">
        <f t="shared" ref="AV209" si="247">AV208+AV205</f>
        <v>3884</v>
      </c>
      <c r="AW209" s="121">
        <f t="shared" ref="AW209" si="248">AW208+AW205</f>
        <v>3643</v>
      </c>
      <c r="AX209" s="121">
        <f t="shared" ref="AX209" si="249">AX208+AX205</f>
        <v>5491</v>
      </c>
      <c r="AY209" s="121">
        <f t="shared" ref="AY209" si="250">AY208+AY205</f>
        <v>7573.748333333333</v>
      </c>
      <c r="AZ209" s="121">
        <f t="shared" ref="AZ209" si="251">AZ208+AZ205</f>
        <v>8517.1049999999996</v>
      </c>
      <c r="BA209" s="121">
        <f t="shared" ref="BA209" si="252">BA208+BA205</f>
        <v>8539.5933333333323</v>
      </c>
      <c r="BB209" s="121">
        <f t="shared" ref="BB209" si="253">BB208+BB205</f>
        <v>7943.98</v>
      </c>
      <c r="BC209" s="121">
        <f t="shared" ref="BC209" si="254">BC208+BC205</f>
        <v>6919.45</v>
      </c>
      <c r="BD209" s="121">
        <f t="shared" ref="BD209" si="255">BD208+BD205</f>
        <v>6077.22</v>
      </c>
      <c r="BE209" s="121">
        <f t="shared" ref="BE209" si="256">BE208+BE205</f>
        <v>4886.4783333333335</v>
      </c>
      <c r="BF209" s="121">
        <f t="shared" ref="BF209" si="257">BF208+BF205</f>
        <v>3893.96</v>
      </c>
      <c r="BG209" s="121">
        <f t="shared" ref="BG209" si="258">BG208+BG205</f>
        <v>5471.338333333334</v>
      </c>
      <c r="BH209" s="121">
        <f t="shared" ref="BH209" si="259">BH208+BH205</f>
        <v>5772.4066666666677</v>
      </c>
      <c r="BI209" s="121">
        <f t="shared" ref="BI209" si="260">BI208+BI205</f>
        <v>5680.6000000000013</v>
      </c>
      <c r="BJ209" s="121">
        <f t="shared" ref="BJ209" si="261">BJ208+BJ205</f>
        <v>6340.8100000000013</v>
      </c>
      <c r="BK209" s="157"/>
      <c r="BL209" s="13">
        <f>V209</f>
        <v>3647</v>
      </c>
      <c r="BM209" s="121">
        <f t="shared" ref="BM209" si="262">BM208+BM205</f>
        <v>6441</v>
      </c>
      <c r="BN209" s="121">
        <f t="shared" ref="BN209" si="263">BN208+BN205</f>
        <v>5491</v>
      </c>
      <c r="BO209" s="121">
        <f t="shared" ref="BO209" si="264">BO208+BO205</f>
        <v>6340.8100000000013</v>
      </c>
      <c r="BP209" s="121">
        <f>BP208+BP205</f>
        <v>6340.8100000000013</v>
      </c>
      <c r="BQ209" s="121">
        <f>BQ208+BQ205</f>
        <v>6340.8100000000013</v>
      </c>
      <c r="BR209" s="121">
        <f t="shared" ref="BR209" si="265">BR208+BR205</f>
        <v>6340.8100000000013</v>
      </c>
      <c r="BS209" s="121">
        <f t="shared" ref="BS209" si="266">BS208+BS205</f>
        <v>6340.8100000000013</v>
      </c>
      <c r="BT209" s="121">
        <f t="shared" ref="BT209" si="267">BT208+BT205</f>
        <v>6340.8100000000013</v>
      </c>
      <c r="BU209" s="121">
        <f t="shared" ref="BU209" si="268">BU208+BU205</f>
        <v>6340.8100000000013</v>
      </c>
      <c r="BV209" s="121">
        <f t="shared" ref="BV209" si="269">BV208+BV205</f>
        <v>6340.8100000000013</v>
      </c>
      <c r="BW209" s="121">
        <f t="shared" ref="BW209" si="270">BW208+BW205</f>
        <v>6340.8100000000013</v>
      </c>
      <c r="BY209" s="42"/>
      <c r="CB209" s="126">
        <f>IF(ABS(E209)&gt;Parameters!$D$33, 1, 0)</f>
        <v>0</v>
      </c>
      <c r="CF209" s="42"/>
      <c r="EX209" s="10" t="str">
        <f t="shared" si="224"/>
        <v>Cash and cash equivalents at end of the period</v>
      </c>
    </row>
    <row r="210" spans="1:154" s="335" customFormat="1" ht="8.1" customHeight="1" x14ac:dyDescent="0.25">
      <c r="C210" s="415"/>
      <c r="D210" s="69"/>
      <c r="BY210" s="12"/>
      <c r="CF210" s="42"/>
      <c r="EX210" s="10" t="str">
        <f t="shared" si="224"/>
        <v/>
      </c>
    </row>
    <row r="211" spans="1:154" x14ac:dyDescent="0.25">
      <c r="A211" s="12" t="s">
        <v>88</v>
      </c>
      <c r="B211" s="12" t="s">
        <v>88</v>
      </c>
      <c r="C211" s="164" t="s">
        <v>88</v>
      </c>
      <c r="D211" s="164" t="s">
        <v>88</v>
      </c>
      <c r="E211" s="28" t="s">
        <v>88</v>
      </c>
      <c r="F211" s="12" t="s">
        <v>88</v>
      </c>
      <c r="G211" s="12" t="s">
        <v>88</v>
      </c>
      <c r="H211" s="12" t="s">
        <v>88</v>
      </c>
      <c r="I211" s="12" t="s">
        <v>88</v>
      </c>
      <c r="J211" s="12" t="s">
        <v>88</v>
      </c>
      <c r="K211" s="12" t="s">
        <v>88</v>
      </c>
      <c r="L211" s="12" t="s">
        <v>88</v>
      </c>
      <c r="M211" s="12" t="s">
        <v>88</v>
      </c>
      <c r="N211" s="12" t="s">
        <v>88</v>
      </c>
      <c r="O211" s="12" t="s">
        <v>88</v>
      </c>
      <c r="P211" s="12" t="s">
        <v>88</v>
      </c>
      <c r="Q211" s="12" t="s">
        <v>88</v>
      </c>
      <c r="R211" s="12" t="s">
        <v>88</v>
      </c>
      <c r="S211" s="12"/>
      <c r="T211" s="12" t="s">
        <v>88</v>
      </c>
      <c r="U211" s="12" t="s">
        <v>88</v>
      </c>
      <c r="V211" s="12" t="s">
        <v>88</v>
      </c>
      <c r="W211" s="12" t="s">
        <v>88</v>
      </c>
      <c r="X211" s="12"/>
      <c r="Y211" s="12"/>
      <c r="Z211" s="12" t="s">
        <v>88</v>
      </c>
      <c r="AA211" s="12" t="s">
        <v>88</v>
      </c>
      <c r="AB211" s="12" t="s">
        <v>88</v>
      </c>
      <c r="AC211" s="12" t="s">
        <v>88</v>
      </c>
      <c r="AD211" s="12" t="s">
        <v>88</v>
      </c>
      <c r="AE211" s="12" t="s">
        <v>88</v>
      </c>
      <c r="AF211" s="12" t="s">
        <v>88</v>
      </c>
      <c r="AG211" s="12" t="s">
        <v>88</v>
      </c>
      <c r="AH211" s="12" t="s">
        <v>88</v>
      </c>
      <c r="AI211" s="12" t="s">
        <v>88</v>
      </c>
      <c r="AJ211" s="12" t="s">
        <v>88</v>
      </c>
      <c r="AK211" s="12" t="s">
        <v>88</v>
      </c>
      <c r="AL211" s="12" t="s">
        <v>88</v>
      </c>
      <c r="AM211" s="12" t="s">
        <v>88</v>
      </c>
      <c r="AN211" s="12" t="s">
        <v>88</v>
      </c>
      <c r="AO211" s="12" t="s">
        <v>88</v>
      </c>
      <c r="AP211" s="12" t="s">
        <v>88</v>
      </c>
      <c r="AQ211" s="12" t="s">
        <v>88</v>
      </c>
      <c r="AR211" s="12" t="s">
        <v>88</v>
      </c>
      <c r="AS211" s="12" t="s">
        <v>88</v>
      </c>
      <c r="AT211" s="12" t="s">
        <v>88</v>
      </c>
      <c r="AU211" s="12" t="s">
        <v>88</v>
      </c>
      <c r="AV211" s="12" t="s">
        <v>88</v>
      </c>
      <c r="AW211" s="12" t="s">
        <v>88</v>
      </c>
      <c r="AX211" s="12" t="s">
        <v>88</v>
      </c>
      <c r="AY211" s="12" t="s">
        <v>88</v>
      </c>
      <c r="AZ211" s="12" t="s">
        <v>88</v>
      </c>
      <c r="BA211" s="12" t="s">
        <v>88</v>
      </c>
      <c r="BB211" s="12" t="s">
        <v>88</v>
      </c>
      <c r="BC211" s="12" t="s">
        <v>88</v>
      </c>
      <c r="BD211" s="12" t="s">
        <v>88</v>
      </c>
      <c r="BE211" s="12" t="s">
        <v>88</v>
      </c>
      <c r="BF211" s="12" t="s">
        <v>88</v>
      </c>
      <c r="BG211" s="12" t="s">
        <v>88</v>
      </c>
      <c r="BH211" s="12" t="s">
        <v>88</v>
      </c>
      <c r="BI211" s="12" t="s">
        <v>88</v>
      </c>
      <c r="BJ211" s="12" t="s">
        <v>88</v>
      </c>
      <c r="BK211" s="12" t="s">
        <v>88</v>
      </c>
      <c r="BL211" s="12" t="s">
        <v>88</v>
      </c>
      <c r="BM211" s="12" t="s">
        <v>88</v>
      </c>
      <c r="BN211" s="12" t="s">
        <v>88</v>
      </c>
      <c r="BO211" s="12" t="s">
        <v>88</v>
      </c>
      <c r="BP211" s="12" t="s">
        <v>88</v>
      </c>
      <c r="BQ211" s="12" t="s">
        <v>88</v>
      </c>
      <c r="BR211" s="12" t="s">
        <v>88</v>
      </c>
      <c r="BS211" s="12" t="s">
        <v>88</v>
      </c>
      <c r="BT211" s="12" t="s">
        <v>88</v>
      </c>
      <c r="BU211" s="12" t="s">
        <v>88</v>
      </c>
      <c r="BV211" s="12" t="s">
        <v>88</v>
      </c>
      <c r="BW211" s="12" t="s">
        <v>88</v>
      </c>
      <c r="BX211" s="12" t="s">
        <v>88</v>
      </c>
      <c r="BY211" s="12" t="s">
        <v>88</v>
      </c>
      <c r="BZ211" s="12" t="s">
        <v>88</v>
      </c>
      <c r="CA211" s="42" t="s">
        <v>88</v>
      </c>
      <c r="CB211" s="42"/>
      <c r="CC211" s="12"/>
      <c r="CD211" s="12"/>
      <c r="CE211" s="12"/>
      <c r="CF211" s="12" t="s">
        <v>88</v>
      </c>
      <c r="EX211" s="10" t="str">
        <f t="shared" si="224"/>
        <v>*</v>
      </c>
    </row>
    <row r="212" spans="1:154" x14ac:dyDescent="0.25">
      <c r="EX212" s="335"/>
    </row>
    <row r="213" spans="1:154" x14ac:dyDescent="0.25">
      <c r="V213" s="335"/>
      <c r="EX213" s="335"/>
    </row>
  </sheetData>
  <sheetProtection algorithmName="SHA-512" hashValue="uVa2nLOId3Cn6m/Cdw3G6GmbuG0cm1ZljQBngxy5DKW02tDJf/0apYpXR2kNA0oevM2JjdsWE8ubGFA+Oz9ByA==" saltValue="NBBBARUgLDaJNhZUb5fhNg==" spinCount="100000" sheet="1" objects="1" scenarios="1"/>
  <mergeCells count="15">
    <mergeCell ref="CM2:CM6"/>
    <mergeCell ref="CJ2:CJ6"/>
    <mergeCell ref="BY1:BY6"/>
    <mergeCell ref="CF1:CF6"/>
    <mergeCell ref="BZ3:BZ6"/>
    <mergeCell ref="CA3:CA6"/>
    <mergeCell ref="CB3:CB6"/>
    <mergeCell ref="CK2:CK6"/>
    <mergeCell ref="CL2:CL6"/>
    <mergeCell ref="CC2:CC6"/>
    <mergeCell ref="CD2:CD6"/>
    <mergeCell ref="CE2:CE6"/>
    <mergeCell ref="CG2:CG6"/>
    <mergeCell ref="CH2:CH6"/>
    <mergeCell ref="CI2:CI6"/>
  </mergeCells>
  <phoneticPr fontId="9" type="noConversion"/>
  <conditionalFormatting sqref="BZ37 BZ57 BZ139 CC144:CE144 CC157:CE172 CC180:CE191 A157:A172 A187">
    <cfRule type="cellIs" dxfId="306" priority="256" operator="equal">
      <formula>0</formula>
    </cfRule>
    <cfRule type="cellIs" dxfId="305" priority="257" operator="greaterThan">
      <formula>0</formula>
    </cfRule>
  </conditionalFormatting>
  <conditionalFormatting sqref="V37:Y37 AA37:BJ37 BL37:BW37">
    <cfRule type="cellIs" dxfId="304" priority="254" operator="equal">
      <formula>0</formula>
    </cfRule>
    <cfRule type="cellIs" dxfId="303" priority="255" operator="greaterThan">
      <formula>0</formula>
    </cfRule>
  </conditionalFormatting>
  <conditionalFormatting sqref="V57:Y57">
    <cfRule type="cellIs" dxfId="302" priority="248" operator="equal">
      <formula>0</formula>
    </cfRule>
    <cfRule type="cellIs" dxfId="301" priority="249" operator="greaterThan">
      <formula>0</formula>
    </cfRule>
  </conditionalFormatting>
  <conditionalFormatting sqref="BL137:BW137 AA137:BJ137 W137:Y137">
    <cfRule type="cellIs" dxfId="300" priority="240" operator="equal">
      <formula>0</formula>
    </cfRule>
    <cfRule type="cellIs" dxfId="299" priority="241" operator="greaterThan">
      <formula>0</formula>
    </cfRule>
  </conditionalFormatting>
  <conditionalFormatting sqref="BL139:BW139 AA139:BJ139 V139:Y139">
    <cfRule type="cellIs" dxfId="298" priority="234" operator="equal">
      <formula>0</formula>
    </cfRule>
    <cfRule type="cellIs" dxfId="297" priority="235" operator="greaterThan">
      <formula>0</formula>
    </cfRule>
  </conditionalFormatting>
  <conditionalFormatting sqref="CA137:CB137">
    <cfRule type="cellIs" dxfId="296" priority="224" operator="equal">
      <formula>0</formula>
    </cfRule>
    <cfRule type="cellIs" dxfId="295" priority="225" operator="greaterThan">
      <formula>0</formula>
    </cfRule>
  </conditionalFormatting>
  <conditionalFormatting sqref="A1">
    <cfRule type="cellIs" dxfId="294" priority="222" operator="equal">
      <formula>0</formula>
    </cfRule>
    <cfRule type="cellIs" dxfId="293" priority="223" operator="greaterThan">
      <formula>0</formula>
    </cfRule>
  </conditionalFormatting>
  <conditionalFormatting sqref="AA57:BJ57 BL57:BW57">
    <cfRule type="cellIs" dxfId="292" priority="220" operator="equal">
      <formula>0</formula>
    </cfRule>
    <cfRule type="cellIs" dxfId="291" priority="221" operator="greaterThan">
      <formula>0</formula>
    </cfRule>
  </conditionalFormatting>
  <conditionalFormatting sqref="CC161:CE163">
    <cfRule type="cellIs" dxfId="290" priority="148" operator="equal">
      <formula>0</formula>
    </cfRule>
    <cfRule type="cellIs" dxfId="289" priority="149" operator="greaterThan">
      <formula>0</formula>
    </cfRule>
  </conditionalFormatting>
  <conditionalFormatting sqref="CC184:CE184">
    <cfRule type="cellIs" dxfId="288" priority="130" operator="equal">
      <formula>0</formula>
    </cfRule>
    <cfRule type="cellIs" dxfId="287" priority="131" operator="greaterThan">
      <formula>0</formula>
    </cfRule>
  </conditionalFormatting>
  <conditionalFormatting sqref="CG144:CM144 CJ195:CM202 CJ180:CM191 CJ176:CM176 CJ147:CM153 CG157:CM172 CG187:CM187">
    <cfRule type="cellIs" dxfId="286" priority="110" operator="lessThan">
      <formula>0</formula>
    </cfRule>
    <cfRule type="cellIs" dxfId="285" priority="111" operator="greaterThan">
      <formula>0</formula>
    </cfRule>
    <cfRule type="cellIs" dxfId="284" priority="112" operator="equal">
      <formula>0</formula>
    </cfRule>
  </conditionalFormatting>
  <conditionalFormatting sqref="CM144">
    <cfRule type="cellIs" dxfId="283" priority="107" operator="lessThan">
      <formula>0</formula>
    </cfRule>
    <cfRule type="cellIs" dxfId="282" priority="108" operator="greaterThan">
      <formula>0</formula>
    </cfRule>
    <cfRule type="cellIs" dxfId="281" priority="109" operator="equal">
      <formula>0</formula>
    </cfRule>
  </conditionalFormatting>
  <conditionalFormatting sqref="CG195:CI202 CG180:CI191 CG176:CI176 CG147:CI153">
    <cfRule type="cellIs" dxfId="280" priority="83" operator="lessThan">
      <formula>0</formula>
    </cfRule>
    <cfRule type="cellIs" dxfId="279" priority="84" operator="greaterThan">
      <formula>0</formula>
    </cfRule>
    <cfRule type="cellIs" dxfId="278" priority="85" operator="equal">
      <formula>0</formula>
    </cfRule>
  </conditionalFormatting>
  <conditionalFormatting sqref="CM195:CM202 CM180:CM191 CM176 CM147:CM153">
    <cfRule type="cellIs" dxfId="277" priority="80" operator="lessThan">
      <formula>0</formula>
    </cfRule>
    <cfRule type="cellIs" dxfId="276" priority="81" operator="greaterThan">
      <formula>0</formula>
    </cfRule>
    <cfRule type="cellIs" dxfId="275" priority="82" operator="equal">
      <formula>0</formula>
    </cfRule>
  </conditionalFormatting>
  <conditionalFormatting sqref="CC13:CE24">
    <cfRule type="cellIs" dxfId="274" priority="73" operator="equal">
      <formula>0</formula>
    </cfRule>
    <cfRule type="cellIs" dxfId="273" priority="74" operator="greaterThan">
      <formula>0</formula>
    </cfRule>
  </conditionalFormatting>
  <conditionalFormatting sqref="CG13:CM24">
    <cfRule type="cellIs" dxfId="272" priority="70" operator="lessThan">
      <formula>0</formula>
    </cfRule>
    <cfRule type="cellIs" dxfId="271" priority="71" operator="greaterThan">
      <formula>0</formula>
    </cfRule>
    <cfRule type="cellIs" dxfId="270" priority="72" operator="equal">
      <formula>0</formula>
    </cfRule>
  </conditionalFormatting>
  <conditionalFormatting sqref="CM13:CM24">
    <cfRule type="cellIs" dxfId="269" priority="67" operator="lessThan">
      <formula>0</formula>
    </cfRule>
    <cfRule type="cellIs" dxfId="268" priority="68" operator="greaterThan">
      <formula>0</formula>
    </cfRule>
    <cfRule type="cellIs" dxfId="267" priority="69" operator="equal">
      <formula>0</formula>
    </cfRule>
  </conditionalFormatting>
  <conditionalFormatting sqref="CC61:CE61 CC59:CE59 CC57:CE57 CC55:CE55 CC48:CE53 CC46:CE46 CC39:CE44 CC37:CE37 CC33:CE35 CC31:CE31 CC26:CE29">
    <cfRule type="cellIs" dxfId="266" priority="65" operator="equal">
      <formula>0</formula>
    </cfRule>
    <cfRule type="cellIs" dxfId="265" priority="66" operator="greaterThan">
      <formula>0</formula>
    </cfRule>
  </conditionalFormatting>
  <conditionalFormatting sqref="CG61:CM61 CG59:CM59 CG57:CM57 CG55:CM55 CG48:CM53 CG46:CM46 CG39:CM44 CG37:CM37 CG33:CM35 CG31:CM31 CG26:CM29">
    <cfRule type="cellIs" dxfId="264" priority="62" operator="lessThan">
      <formula>0</formula>
    </cfRule>
    <cfRule type="cellIs" dxfId="263" priority="63" operator="greaterThan">
      <formula>0</formula>
    </cfRule>
    <cfRule type="cellIs" dxfId="262" priority="64" operator="equal">
      <formula>0</formula>
    </cfRule>
  </conditionalFormatting>
  <conditionalFormatting sqref="CM61 CM59 CM57 CM55 CM48:CM53 CM46 CM39:CM44 CM37 CM33:CM35 CM31 CM26:CM29">
    <cfRule type="cellIs" dxfId="261" priority="59" operator="lessThan">
      <formula>0</formula>
    </cfRule>
    <cfRule type="cellIs" dxfId="260" priority="60" operator="greaterThan">
      <formula>0</formula>
    </cfRule>
    <cfRule type="cellIs" dxfId="259" priority="61" operator="equal">
      <formula>0</formula>
    </cfRule>
  </conditionalFormatting>
  <conditionalFormatting sqref="CC66:CE66">
    <cfRule type="cellIs" dxfId="258" priority="57" operator="equal">
      <formula>0</formula>
    </cfRule>
    <cfRule type="cellIs" dxfId="257" priority="58" operator="greaterThan">
      <formula>0</formula>
    </cfRule>
  </conditionalFormatting>
  <conditionalFormatting sqref="CG66:CM66">
    <cfRule type="cellIs" dxfId="256" priority="54" operator="lessThan">
      <formula>0</formula>
    </cfRule>
    <cfRule type="cellIs" dxfId="255" priority="55" operator="greaterThan">
      <formula>0</formula>
    </cfRule>
    <cfRule type="cellIs" dxfId="254" priority="56" operator="equal">
      <formula>0</formula>
    </cfRule>
  </conditionalFormatting>
  <conditionalFormatting sqref="CM66">
    <cfRule type="cellIs" dxfId="253" priority="51" operator="lessThan">
      <formula>0</formula>
    </cfRule>
    <cfRule type="cellIs" dxfId="252" priority="52" operator="greaterThan">
      <formula>0</formula>
    </cfRule>
    <cfRule type="cellIs" dxfId="251" priority="53" operator="equal">
      <formula>0</formula>
    </cfRule>
  </conditionalFormatting>
  <conditionalFormatting sqref="CC135:CE135 CC129:CE133 CC122:CE127 CC113:CE120 CC111:CE111 CC109:CE109 CC88:CE107 CC75:CE86 CC67:CE73">
    <cfRule type="cellIs" dxfId="250" priority="49" operator="equal">
      <formula>0</formula>
    </cfRule>
    <cfRule type="cellIs" dxfId="249" priority="50" operator="greaterThan">
      <formula>0</formula>
    </cfRule>
  </conditionalFormatting>
  <conditionalFormatting sqref="CG135:CM135 CG129:CM133 CG122:CM127 CG113:CM120 CG111:CM111 CG109:CM109 CG88:CM107 CG75:CM86 CG67:CM73">
    <cfRule type="cellIs" dxfId="248" priority="46" operator="lessThan">
      <formula>0</formula>
    </cfRule>
    <cfRule type="cellIs" dxfId="247" priority="47" operator="greaterThan">
      <formula>0</formula>
    </cfRule>
    <cfRule type="cellIs" dxfId="246" priority="48" operator="equal">
      <formula>0</formula>
    </cfRule>
  </conditionalFormatting>
  <conditionalFormatting sqref="CM135 CM129:CM133 CM122:CM127 CM113:CM120 CM111 CM109 CM88:CM107 CM75:CM86 CM67:CM73">
    <cfRule type="cellIs" dxfId="245" priority="43" operator="lessThan">
      <formula>0</formula>
    </cfRule>
    <cfRule type="cellIs" dxfId="244" priority="44" operator="greaterThan">
      <formula>0</formula>
    </cfRule>
    <cfRule type="cellIs" dxfId="243" priority="45" operator="equal">
      <formula>0</formula>
    </cfRule>
  </conditionalFormatting>
  <conditionalFormatting sqref="A13">
    <cfRule type="cellIs" dxfId="242" priority="41" operator="equal">
      <formula>0</formula>
    </cfRule>
    <cfRule type="cellIs" dxfId="241" priority="42" operator="greaterThan">
      <formula>0</formula>
    </cfRule>
  </conditionalFormatting>
  <conditionalFormatting sqref="A195:A202 A180:A191 A176 A147:A153 A144 A135 A129:A133 A122:A127 A113:A120 A111 A109 A88:A107 A75:A86 A66:A73 A61 A59 A57 A55 A48:A53 A46 A39:A44 A37 A33:A35 A31 A26:A29 A14:A24">
    <cfRule type="cellIs" dxfId="240" priority="39" operator="equal">
      <formula>0</formula>
    </cfRule>
    <cfRule type="cellIs" dxfId="239" priority="40" operator="greaterThan">
      <formula>0</formula>
    </cfRule>
  </conditionalFormatting>
  <conditionalFormatting sqref="A139">
    <cfRule type="cellIs" dxfId="238" priority="35" operator="equal">
      <formula>0</formula>
    </cfRule>
    <cfRule type="cellIs" dxfId="237" priority="36" operator="greaterThan">
      <formula>0</formula>
    </cfRule>
  </conditionalFormatting>
  <conditionalFormatting sqref="V135:Y135 AA135:BJ135 BL135:BW135">
    <cfRule type="cellIs" dxfId="236" priority="26" operator="lessThan">
      <formula>0</formula>
    </cfRule>
    <cfRule type="cellIs" dxfId="235" priority="27" operator="greaterThan">
      <formula>0</formula>
    </cfRule>
    <cfRule type="cellIs" dxfId="234" priority="28" operator="equal">
      <formula>0</formula>
    </cfRule>
  </conditionalFormatting>
  <conditionalFormatting sqref="V137">
    <cfRule type="cellIs" dxfId="233" priority="24" operator="equal">
      <formula>0</formula>
    </cfRule>
    <cfRule type="cellIs" dxfId="232" priority="25" operator="greaterThan">
      <formula>0</formula>
    </cfRule>
  </conditionalFormatting>
  <conditionalFormatting sqref="A137">
    <cfRule type="cellIs" dxfId="231" priority="22" operator="equal">
      <formula>0</formula>
    </cfRule>
    <cfRule type="cellIs" dxfId="230" priority="23" operator="greaterThan">
      <formula>0</formula>
    </cfRule>
  </conditionalFormatting>
  <conditionalFormatting sqref="A2">
    <cfRule type="cellIs" dxfId="229" priority="20" operator="equal">
      <formula>0</formula>
    </cfRule>
    <cfRule type="cellIs" dxfId="228" priority="21" operator="greaterThan">
      <formula>0</formula>
    </cfRule>
  </conditionalFormatting>
  <conditionalFormatting sqref="CC195:CE202 CC176:CE176 CC147:CE153">
    <cfRule type="cellIs" dxfId="227" priority="13" operator="equal">
      <formula>0</formula>
    </cfRule>
    <cfRule type="cellIs" dxfId="226" priority="14" operator="greaterThan">
      <formula>0</formula>
    </cfRule>
  </conditionalFormatting>
  <conditionalFormatting sqref="E209">
    <cfRule type="cellIs" dxfId="225" priority="8" operator="lessThan">
      <formula>0</formula>
    </cfRule>
    <cfRule type="cellIs" dxfId="224" priority="9" operator="greaterThan">
      <formula>0</formula>
    </cfRule>
    <cfRule type="cellIs" dxfId="223" priority="10" operator="equal">
      <formula>0</formula>
    </cfRule>
  </conditionalFormatting>
  <conditionalFormatting sqref="CB209">
    <cfRule type="cellIs" dxfId="222" priority="6" operator="equal">
      <formula>0</formula>
    </cfRule>
    <cfRule type="cellIs" dxfId="221" priority="7" operator="greaterThan">
      <formula>0</formula>
    </cfRule>
  </conditionalFormatting>
  <conditionalFormatting sqref="A209">
    <cfRule type="cellIs" dxfId="220" priority="4" operator="equal">
      <formula>0</formula>
    </cfRule>
    <cfRule type="cellIs" dxfId="219" priority="5" operator="greaterThan">
      <formula>0</formula>
    </cfRule>
  </conditionalFormatting>
  <dataValidations xWindow="1089" yWindow="406" count="7">
    <dataValidation allowBlank="1" showInputMessage="1" promptTitle="Periods in Use Flag" prompt="This checks if optional periods are in use. Outputs are calculated for optional periods only if the optional inputs are filled in across all applicable sheets:_x000a_&gt;I&amp;E Monthly_x000a_&gt;Opening Balances_x000a_&gt;Investing Inputs_x000a_&gt;Loans (if applicable)_x000a_&gt;BS Forecasts_x000a_" sqref="B9" xr:uid="{B9F80F70-2FC0-4E72-983C-9CFBFF16571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E7" xr:uid="{D63500C2-FAD4-43EC-8D8D-8F5BD8DD2C6E}"/>
    <dataValidation allowBlank="1" showInputMessage="1" promptTitle="Reconciliation to 12 year values" prompt="Checks if the monthly amounts = annual amounts on the 12 Year timeline for all 3 years._x000a__x000a_Refer to Differences section (columns CJ - CL) in case of flags." sqref="CD7" xr:uid="{68D49F60-D27D-4816-838C-59B65279C65B}"/>
    <dataValidation allowBlank="1" showInputMessage="1" promptTitle="Reconciliation to 4 year values" prompt="Checks if the monthly amounts = annual amounts on the 4 Year timeline._x000a__x000a_Refer to Differences section (columns CG - CI) in case of flags." sqref="CC7" xr:uid="{321DD4FD-E35C-4AC3-BC42-B328B27BEC03}"/>
    <dataValidation allowBlank="1" showInputMessage="1" promptTitle="Balance Sheet check" prompt="Checks that the balance sheet balances:_x000a_Assets = Liabilities + Reserves" sqref="CA7" xr:uid="{57C6356D-EC15-4F0F-9CB6-B90341A03713}"/>
    <dataValidation allowBlank="1" showInputMessage="1" promptTitle="Reconciliation Checks" prompt="Checks if the I&amp;E on the Fins Stat sheet reconciles to the I&amp;E on the &quot;I&amp;E Annual&quot; sheet." sqref="BZ7" xr:uid="{56024381-BA02-439A-A376-F53357B2DC69}"/>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B7" xr:uid="{2C0B91A7-2431-43C8-8658-29B5326E5028}"/>
  </dataValidations>
  <pageMargins left="0.70866141732283472" right="0.70866141732283472" top="0.74803149606299213" bottom="0.74803149606299213" header="0.31496062992125984" footer="0.31496062992125984"/>
  <pageSetup paperSize="8" scale="59" fitToWidth="0" fitToHeight="0" orientation="portrait" r:id="rId1"/>
  <rowBreaks count="2" manualBreakCount="2">
    <brk id="62" max="25" man="1"/>
    <brk id="140" max="25" man="1"/>
  </rowBreaks>
  <extLst>
    <ext xmlns:x14="http://schemas.microsoft.com/office/spreadsheetml/2009/9/main" uri="{78C0D931-6437-407d-A8EE-F0AAD7539E65}">
      <x14:conditionalFormattings>
        <x14:conditionalFormatting xmlns:xm="http://schemas.microsoft.com/office/excel/2006/main">
          <x14:cfRule type="expression" priority="1" id="{EF3C41FF-C6C6-4E78-86A2-74E4998E136E}">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xWindow="1089" yWindow="406" count="1">
        <x14:dataValidation type="list" allowBlank="1" showInputMessage="1" showErrorMessage="1" xr:uid="{F7060860-D598-4F12-ACE7-E38859954703}">
          <x14:formula1>
            <xm:f>'Dash Data'!$D$93:$D$100</xm:f>
          </x14:formula1>
          <xm:sqref>D2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488D-6A48-4761-B0C6-89EC4778FD05}">
  <sheetPr codeName="Sheet21">
    <tabColor rgb="FF00B0F0"/>
    <outlinePr summaryBelow="0" summaryRight="0"/>
    <pageSetUpPr autoPageBreaks="0"/>
  </sheetPr>
  <dimension ref="A1:EX68"/>
  <sheetViews>
    <sheetView showGridLines="0" zoomScaleNormal="100" workbookViewId="0">
      <pane xSplit="8" ySplit="7" topLeftCell="I20" activePane="bottomRight" state="frozen"/>
      <selection pane="topRight"/>
      <selection pane="bottomLeft"/>
      <selection pane="bottomRight" activeCell="AC76" sqref="AC76"/>
    </sheetView>
  </sheetViews>
  <sheetFormatPr defaultColWidth="8.5703125" defaultRowHeight="15" outlineLevelCol="1" x14ac:dyDescent="0.25"/>
  <cols>
    <col min="1" max="1" width="6.5703125" style="67" bestFit="1" customWidth="1" collapsed="1"/>
    <col min="2" max="3" width="9.42578125" style="67" bestFit="1" customWidth="1"/>
    <col min="4" max="4" width="53.5703125" style="1" customWidth="1"/>
    <col min="5" max="5" width="9.5703125" style="1" customWidth="1"/>
    <col min="6" max="6" width="1.42578125" style="67" customWidth="1"/>
    <col min="7" max="7" width="7.42578125" style="67" customWidth="1"/>
    <col min="8" max="8" width="2.5703125" style="67" customWidth="1"/>
    <col min="9" max="9" width="2" style="67" bestFit="1" customWidth="1" collapsed="1"/>
    <col min="10" max="10" width="2" style="67" hidden="1" customWidth="1" outlineLevel="1"/>
    <col min="11" max="12" width="3.42578125" style="67" hidden="1" customWidth="1" outlineLevel="1"/>
    <col min="13" max="16" width="8.5703125" style="67" hidden="1" customWidth="1" outlineLevel="1"/>
    <col min="17" max="18" width="12.140625" style="67" hidden="1" customWidth="1" outlineLevel="1"/>
    <col min="19" max="19" width="1.42578125" style="67" hidden="1" customWidth="1" outlineLevel="1"/>
    <col min="20" max="21" width="11.140625" style="67" hidden="1" customWidth="1" outlineLevel="1"/>
    <col min="22" max="25" width="9.42578125" style="67" bestFit="1" customWidth="1"/>
    <col min="26" max="26" width="1.42578125" style="67" customWidth="1"/>
    <col min="27" max="62" width="9.5703125" style="67" bestFit="1" customWidth="1"/>
    <col min="63" max="63" width="1.42578125" style="67" customWidth="1"/>
    <col min="64" max="75" width="9.42578125" style="67" bestFit="1" customWidth="1"/>
    <col min="76" max="76" width="2.42578125" style="67" customWidth="1"/>
    <col min="77" max="77" width="3.42578125" style="335" customWidth="1"/>
    <col min="78" max="78" width="13.42578125" style="335" customWidth="1"/>
    <col min="79" max="79" width="3.42578125" style="67" customWidth="1"/>
    <col min="80" max="80" width="13.42578125" style="67" customWidth="1"/>
    <col min="81" max="81" width="13.42578125" style="335" customWidth="1"/>
    <col min="82" max="82" width="2.5703125" style="67" customWidth="1"/>
    <col min="83" max="86" width="8.5703125" style="67"/>
    <col min="87" max="87" width="11.42578125" style="67" bestFit="1" customWidth="1"/>
    <col min="88" max="152" width="8.5703125" style="67"/>
    <col min="153" max="153" width="8.5703125" style="67" collapsed="1"/>
    <col min="154" max="154" width="97.42578125" style="67" hidden="1" customWidth="1" outlineLevel="1"/>
    <col min="155" max="16384" width="8.5703125" style="67"/>
  </cols>
  <sheetData>
    <row r="1" spans="1:154" x14ac:dyDescent="0.25">
      <c r="A1" s="7">
        <f ca="1">ToC!A1</f>
        <v>0</v>
      </c>
      <c r="B1" s="14" t="s">
        <v>281</v>
      </c>
      <c r="C1" s="14"/>
      <c r="D1" s="191"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5" t="s">
        <v>1561</v>
      </c>
      <c r="CA1" s="575"/>
      <c r="CB1" s="5" t="s">
        <v>1742</v>
      </c>
      <c r="CD1" s="575"/>
      <c r="CE1" s="5" t="s">
        <v>932</v>
      </c>
      <c r="EX1" s="5" t="s">
        <v>1563</v>
      </c>
    </row>
    <row r="2" spans="1:154" ht="14.45" customHeight="1" x14ac:dyDescent="0.25">
      <c r="A2" s="362" cm="1">
        <f t="array" aca="1" ref="A2" ca="1">HYPERLINK(CONCATENATE("#",CELL("address",IF(SUM(A$7:A$68)=0,$A$2,INDEX(A$7:A$68,MATCH(1,A$7:A$68,0))))),SUM(A$7:A$68))</f>
        <v>0</v>
      </c>
      <c r="B2" s="92" t="str" cm="1">
        <f t="array" aca="1" ref="B2" ca="1">HYPERLINK(CONCATENATE("#",CELL("address",Guide!$C$120)),Guide!$B$1)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BZ2" s="465" cm="1">
        <f t="array" aca="1" ref="BZ2" ca="1">HYPERLINK(CONCATENATE("#",CELL("address",IF(SUM(BZ$7:BZ$68)=0,$BZ$2,INDEX(BZ$7:BZ$68,MATCH(1,BZ$7:BZ$68,0))))),SUM(BZ$7:BZ$68))</f>
        <v>0</v>
      </c>
      <c r="CA2" s="575"/>
      <c r="CB2" s="595" t="s">
        <v>2340</v>
      </c>
      <c r="CC2" s="595" t="s">
        <v>1739</v>
      </c>
      <c r="CD2" s="575"/>
      <c r="CE2" s="580" t="s">
        <v>1558</v>
      </c>
      <c r="CF2" s="583" t="s">
        <v>1559</v>
      </c>
      <c r="CG2" s="583" t="s">
        <v>1560</v>
      </c>
      <c r="CH2" s="586" t="s">
        <v>1557</v>
      </c>
      <c r="CI2" s="580" t="s">
        <v>1559</v>
      </c>
      <c r="CJ2" s="583" t="s">
        <v>1560</v>
      </c>
      <c r="CK2" s="586" t="s">
        <v>1557</v>
      </c>
      <c r="EX2" s="335"/>
    </row>
    <row r="3" spans="1:154" x14ac:dyDescent="0.25">
      <c r="A3" s="92" t="str" cm="1">
        <f t="array" aca="1" ref="A3" ca="1">HYPERLINK(CONCATENATE("#",CELL("address",ToC!$A$1)),ToC!$C$1)</f>
        <v>ToC</v>
      </c>
      <c r="B3" s="14"/>
      <c r="C3" s="14"/>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576" t="s">
        <v>2264</v>
      </c>
      <c r="CA3" s="575"/>
      <c r="CB3" s="595"/>
      <c r="CC3" s="595"/>
      <c r="CD3" s="575"/>
      <c r="CE3" s="581"/>
      <c r="CF3" s="584"/>
      <c r="CG3" s="584"/>
      <c r="CH3" s="587"/>
      <c r="CI3" s="581"/>
      <c r="CJ3" s="584"/>
      <c r="CK3" s="587"/>
      <c r="EX3" s="335"/>
    </row>
    <row r="4" spans="1:154" x14ac:dyDescent="0.25">
      <c r="A4" s="14"/>
      <c r="B4" s="14"/>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6"/>
      <c r="CA4" s="575"/>
      <c r="CB4" s="595"/>
      <c r="CC4" s="595"/>
      <c r="CD4" s="575"/>
      <c r="CE4" s="581"/>
      <c r="CF4" s="584"/>
      <c r="CG4" s="584"/>
      <c r="CH4" s="587"/>
      <c r="CI4" s="581"/>
      <c r="CJ4" s="584"/>
      <c r="CK4" s="587"/>
      <c r="EX4" s="335"/>
    </row>
    <row r="5" spans="1:154" x14ac:dyDescent="0.25">
      <c r="A5" s="14"/>
      <c r="B5" s="14"/>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6"/>
      <c r="CA5" s="575"/>
      <c r="CB5" s="595"/>
      <c r="CC5" s="595"/>
      <c r="CD5" s="575"/>
      <c r="CE5" s="581"/>
      <c r="CF5" s="584"/>
      <c r="CG5" s="584"/>
      <c r="CH5" s="587"/>
      <c r="CI5" s="581"/>
      <c r="CJ5" s="584"/>
      <c r="CK5" s="587"/>
      <c r="EX5" s="335"/>
    </row>
    <row r="6" spans="1:154" x14ac:dyDescent="0.25">
      <c r="A6" s="80" t="str" cm="1">
        <f t="array" aca="1" ref="A6" ca="1">HYPERLINK(CONCATENATE("#",CELL("address",CA7)),"Check")</f>
        <v>Check</v>
      </c>
      <c r="B6" s="14"/>
      <c r="C6" s="14" t="str">
        <f>Template!$C$6</f>
        <v>Ref. No.</v>
      </c>
      <c r="D6" s="26" t="s">
        <v>5</v>
      </c>
      <c r="E6" s="14"/>
      <c r="F6" s="14"/>
      <c r="G6" s="14" t="s">
        <v>6</v>
      </c>
      <c r="H6" s="14"/>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576"/>
      <c r="CA6" s="575"/>
      <c r="CB6" s="595"/>
      <c r="CC6" s="595"/>
      <c r="CD6" s="575"/>
      <c r="CE6" s="426" t="s">
        <v>1740</v>
      </c>
      <c r="CF6" s="427"/>
      <c r="CG6" s="427"/>
      <c r="CH6" s="428"/>
      <c r="CI6" s="426" t="s">
        <v>1741</v>
      </c>
      <c r="CJ6" s="427"/>
      <c r="CK6" s="428"/>
      <c r="EX6" s="335"/>
    </row>
    <row r="7" spans="1:154" ht="15.75" x14ac:dyDescent="0.3">
      <c r="B7" s="139"/>
      <c r="E7" s="67"/>
      <c r="BM7" s="6"/>
      <c r="BY7" s="42"/>
      <c r="BZ7" s="105" t="s">
        <v>335</v>
      </c>
      <c r="CA7" s="42"/>
      <c r="CB7" s="105" t="s">
        <v>335</v>
      </c>
      <c r="CC7" s="105" t="s">
        <v>335</v>
      </c>
      <c r="CD7" s="487"/>
      <c r="CE7" s="423"/>
      <c r="CF7" s="424"/>
      <c r="CG7" s="424"/>
      <c r="CH7" s="425"/>
      <c r="CI7" s="423"/>
      <c r="CJ7" s="424"/>
      <c r="CK7" s="425"/>
      <c r="EX7" s="335"/>
    </row>
    <row r="8" spans="1:154" s="335" customFormat="1" ht="8.1" customHeight="1" x14ac:dyDescent="0.25">
      <c r="C8" s="356"/>
      <c r="D8" s="69"/>
      <c r="BY8" s="12"/>
      <c r="CA8" s="12"/>
      <c r="CD8" s="487"/>
      <c r="EX8" s="10" t="str">
        <f t="shared" ref="EX8:EX68" si="0">IF($C8="","",$D8)</f>
        <v/>
      </c>
    </row>
    <row r="9" spans="1:154" s="335" customFormat="1" ht="15.75" x14ac:dyDescent="0.3">
      <c r="B9" s="479" t="s">
        <v>335</v>
      </c>
      <c r="C9" s="356"/>
      <c r="D9" s="69" t="s">
        <v>2495</v>
      </c>
      <c r="V9" s="45">
        <f>'BS Forecasts'!V$10</f>
        <v>0</v>
      </c>
      <c r="W9" s="45">
        <f>'BS Forecasts'!W$10</f>
        <v>1</v>
      </c>
      <c r="X9" s="45">
        <f>'BS Forecasts'!X$10</f>
        <v>1</v>
      </c>
      <c r="Y9" s="45">
        <f>'BS Forecasts'!Y$10</f>
        <v>1</v>
      </c>
      <c r="AA9" s="45">
        <f>'BS Forecasts'!AA$10</f>
        <v>1</v>
      </c>
      <c r="AB9" s="45">
        <f>'BS Forecasts'!AB$10</f>
        <v>1</v>
      </c>
      <c r="AC9" s="45">
        <f>'BS Forecasts'!AC$10</f>
        <v>1</v>
      </c>
      <c r="AD9" s="45">
        <f>'BS Forecasts'!AD$10</f>
        <v>1</v>
      </c>
      <c r="AE9" s="45">
        <f>'BS Forecasts'!AE$10</f>
        <v>1</v>
      </c>
      <c r="AF9" s="45">
        <f>'BS Forecasts'!AF$10</f>
        <v>1</v>
      </c>
      <c r="AG9" s="45">
        <f>'BS Forecasts'!AG$10</f>
        <v>1</v>
      </c>
      <c r="AH9" s="45">
        <f>'BS Forecasts'!AH$10</f>
        <v>1</v>
      </c>
      <c r="AI9" s="45">
        <f>'BS Forecasts'!AI$10</f>
        <v>1</v>
      </c>
      <c r="AJ9" s="45">
        <f>'BS Forecasts'!AJ$10</f>
        <v>1</v>
      </c>
      <c r="AK9" s="45">
        <f>'BS Forecasts'!AK$10</f>
        <v>1</v>
      </c>
      <c r="AL9" s="45">
        <f>'BS Forecasts'!AL$10</f>
        <v>1</v>
      </c>
      <c r="AM9" s="45">
        <f>'BS Forecasts'!AM$10</f>
        <v>1</v>
      </c>
      <c r="AN9" s="45">
        <f>'BS Forecasts'!AN$10</f>
        <v>1</v>
      </c>
      <c r="AO9" s="45">
        <f>'BS Forecasts'!AO$10</f>
        <v>1</v>
      </c>
      <c r="AP9" s="45">
        <f>'BS Forecasts'!AP$10</f>
        <v>1</v>
      </c>
      <c r="AQ9" s="45">
        <f>'BS Forecasts'!AQ$10</f>
        <v>1</v>
      </c>
      <c r="AR9" s="45">
        <f>'BS Forecasts'!AR$10</f>
        <v>1</v>
      </c>
      <c r="AS9" s="45">
        <f>'BS Forecasts'!AS$10</f>
        <v>1</v>
      </c>
      <c r="AT9" s="45">
        <f>'BS Forecasts'!AT$10</f>
        <v>1</v>
      </c>
      <c r="AU9" s="45">
        <f>'BS Forecasts'!AU$10</f>
        <v>1</v>
      </c>
      <c r="AV9" s="45">
        <f>'BS Forecasts'!AV$10</f>
        <v>1</v>
      </c>
      <c r="AW9" s="45">
        <f>'BS Forecasts'!AW$10</f>
        <v>1</v>
      </c>
      <c r="AX9" s="45">
        <f>'BS Forecasts'!AX$10</f>
        <v>1</v>
      </c>
      <c r="AY9" s="45">
        <f>'BS Forecasts'!AY$10</f>
        <v>1</v>
      </c>
      <c r="AZ9" s="45">
        <f>'BS Forecasts'!AZ$10</f>
        <v>1</v>
      </c>
      <c r="BA9" s="45">
        <f>'BS Forecasts'!BA$10</f>
        <v>1</v>
      </c>
      <c r="BB9" s="45">
        <f>'BS Forecasts'!BB$10</f>
        <v>1</v>
      </c>
      <c r="BC9" s="45">
        <f>'BS Forecasts'!BC$10</f>
        <v>1</v>
      </c>
      <c r="BD9" s="45">
        <f>'BS Forecasts'!BD$10</f>
        <v>1</v>
      </c>
      <c r="BE9" s="45">
        <f>'BS Forecasts'!BE$10</f>
        <v>1</v>
      </c>
      <c r="BF9" s="45">
        <f>'BS Forecasts'!BF$10</f>
        <v>1</v>
      </c>
      <c r="BG9" s="45">
        <f>'BS Forecasts'!BG$10</f>
        <v>1</v>
      </c>
      <c r="BH9" s="45">
        <f>'BS Forecasts'!BH$10</f>
        <v>1</v>
      </c>
      <c r="BI9" s="45">
        <f>'BS Forecasts'!BI$10</f>
        <v>1</v>
      </c>
      <c r="BJ9" s="45">
        <f>'BS Forecasts'!BJ$10</f>
        <v>1</v>
      </c>
      <c r="BL9" s="45">
        <f>'BS Forecasts'!BL$10</f>
        <v>0</v>
      </c>
      <c r="BM9" s="45">
        <f>'BS Forecasts'!BM$10</f>
        <v>1</v>
      </c>
      <c r="BN9" s="45">
        <f>'BS Forecasts'!BN$10</f>
        <v>1</v>
      </c>
      <c r="BO9" s="45">
        <f>'BS Forecasts'!BO$10</f>
        <v>1</v>
      </c>
      <c r="BP9" s="45">
        <f>'BS Forecasts'!BP$10</f>
        <v>0</v>
      </c>
      <c r="BQ9" s="45">
        <f>'BS Forecasts'!BQ$10</f>
        <v>0</v>
      </c>
      <c r="BR9" s="45">
        <f>'BS Forecasts'!BR$10</f>
        <v>0</v>
      </c>
      <c r="BS9" s="45">
        <f>'BS Forecasts'!BS$10</f>
        <v>0</v>
      </c>
      <c r="BT9" s="45">
        <f>'BS Forecasts'!BT$10</f>
        <v>0</v>
      </c>
      <c r="BU9" s="45">
        <f>'BS Forecasts'!BU$10</f>
        <v>0</v>
      </c>
      <c r="BV9" s="45">
        <f>'BS Forecasts'!BV$10</f>
        <v>0</v>
      </c>
      <c r="BW9" s="45">
        <f>'BS Forecasts'!BW$10</f>
        <v>0</v>
      </c>
      <c r="BY9" s="12"/>
      <c r="CA9" s="12"/>
      <c r="CD9" s="487"/>
      <c r="EX9" s="10" t="str">
        <f t="shared" si="0"/>
        <v/>
      </c>
    </row>
    <row r="10" spans="1:154" ht="8.1" customHeight="1" x14ac:dyDescent="0.25">
      <c r="A10" s="157"/>
      <c r="B10" s="157"/>
      <c r="C10" s="157"/>
      <c r="D10" s="158"/>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42"/>
      <c r="CA10" s="42"/>
      <c r="CD10" s="487"/>
      <c r="EX10" s="10" t="str">
        <f t="shared" si="0"/>
        <v/>
      </c>
    </row>
    <row r="11" spans="1:154" x14ac:dyDescent="0.25">
      <c r="A11" s="40"/>
      <c r="B11" s="40"/>
      <c r="C11" s="341"/>
      <c r="D11" s="193"/>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12"/>
      <c r="CA11" s="12"/>
      <c r="CD11" s="487"/>
      <c r="EX11" s="10" t="str">
        <f t="shared" si="0"/>
        <v/>
      </c>
    </row>
    <row r="12" spans="1:154" ht="8.1" customHeight="1" x14ac:dyDescent="0.25">
      <c r="A12" s="157"/>
      <c r="B12" s="157"/>
      <c r="C12" s="339"/>
      <c r="D12" s="158"/>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42"/>
      <c r="CA12" s="42"/>
      <c r="CD12" s="487"/>
      <c r="EX12" s="10" t="str">
        <f t="shared" si="0"/>
        <v/>
      </c>
    </row>
    <row r="13" spans="1:154" x14ac:dyDescent="0.25">
      <c r="A13" s="157"/>
      <c r="B13" s="175"/>
      <c r="C13" s="339"/>
      <c r="D13" s="192" t="s">
        <v>613</v>
      </c>
      <c r="E13" s="158"/>
      <c r="F13" s="157"/>
      <c r="G13" s="157"/>
      <c r="H13" s="157"/>
      <c r="I13" s="157"/>
      <c r="J13" s="157"/>
      <c r="K13" s="157"/>
      <c r="L13" s="157"/>
      <c r="M13" s="157"/>
      <c r="N13" s="157"/>
      <c r="O13" s="157"/>
      <c r="P13" s="157"/>
      <c r="Q13" s="157"/>
      <c r="R13" s="157"/>
      <c r="S13" s="157"/>
      <c r="T13" s="157"/>
      <c r="U13" s="157"/>
      <c r="V13" s="157"/>
      <c r="W13" s="157"/>
      <c r="X13" s="157"/>
      <c r="Y13" s="320"/>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2"/>
      <c r="CA13" s="12"/>
      <c r="CD13" s="42"/>
      <c r="EX13" s="10" t="str">
        <f t="shared" si="0"/>
        <v/>
      </c>
    </row>
    <row r="14" spans="1:154" ht="15.75" x14ac:dyDescent="0.3">
      <c r="A14" s="362" cm="1">
        <f t="array" aca="1" ref="A14" ca="1">HYPERLINK(CONCATENATE("#",CELL("address",IF(SUM($CA14:$CD14)=0,A14,INDEX($CA14:$CD14,MATCH(1,$CA14:$CD14,0))))),SUM($CA14:$CD14))</f>
        <v>0</v>
      </c>
      <c r="B14" s="105" t="s">
        <v>335</v>
      </c>
      <c r="C14" s="343" t="s">
        <v>1506</v>
      </c>
      <c r="D14" s="158" t="s">
        <v>614</v>
      </c>
      <c r="E14" s="158"/>
      <c r="F14" s="157"/>
      <c r="G14" s="157" t="s">
        <v>2512</v>
      </c>
      <c r="H14" s="157"/>
      <c r="I14" s="157"/>
      <c r="J14" s="157"/>
      <c r="K14" s="157"/>
      <c r="L14" s="157"/>
      <c r="M14" s="157"/>
      <c r="N14" s="157"/>
      <c r="O14" s="157"/>
      <c r="P14" s="157"/>
      <c r="Q14" s="157"/>
      <c r="R14" s="157"/>
      <c r="S14" s="157"/>
      <c r="T14" s="157"/>
      <c r="U14" s="157"/>
      <c r="V14" s="10">
        <f>('Fin Stat'!V23- 'Fin Stat'!V22-'Fin Stat'!V21+'Fin Stat'!V40)*V$9</f>
        <v>0</v>
      </c>
      <c r="W14" s="10">
        <f>('Fin Stat'!W23- 'Fin Stat'!W22-'Fin Stat'!W21+'Fin Stat'!W40)*W$9</f>
        <v>27973</v>
      </c>
      <c r="X14" s="10">
        <f>('Fin Stat'!X23- 'Fin Stat'!X22-'Fin Stat'!X21+'Fin Stat'!X40)*X$9</f>
        <v>29143</v>
      </c>
      <c r="Y14" s="10">
        <f>('Fin Stat'!Y23- 'Fin Stat'!Y22-'Fin Stat'!Y21+'Fin Stat'!Y40)*Y$9</f>
        <v>30083.37</v>
      </c>
      <c r="Z14" s="157"/>
      <c r="AA14" s="10">
        <f>('Fin Stat'!AA23- 'Fin Stat'!AA22-'Fin Stat'!AA21+'Fin Stat'!AA40)*AA$9</f>
        <v>3502</v>
      </c>
      <c r="AB14" s="10">
        <f>('Fin Stat'!AB23- 'Fin Stat'!AB22-'Fin Stat'!AB21+'Fin Stat'!AB40)*AB$9</f>
        <v>3218</v>
      </c>
      <c r="AC14" s="10">
        <f>('Fin Stat'!AC23- 'Fin Stat'!AC22-'Fin Stat'!AC21+'Fin Stat'!AC40)*AC$9</f>
        <v>2442</v>
      </c>
      <c r="AD14" s="10">
        <f>('Fin Stat'!AD23- 'Fin Stat'!AD22-'Fin Stat'!AD21+'Fin Stat'!AD40)*AD$9</f>
        <v>2215</v>
      </c>
      <c r="AE14" s="10">
        <f>('Fin Stat'!AE23- 'Fin Stat'!AE22-'Fin Stat'!AE21+'Fin Stat'!AE40)*AE$9</f>
        <v>1415</v>
      </c>
      <c r="AF14" s="10">
        <f>('Fin Stat'!AF23- 'Fin Stat'!AF22-'Fin Stat'!AF21+'Fin Stat'!AF40)*AF$9</f>
        <v>1562</v>
      </c>
      <c r="AG14" s="10">
        <f>('Fin Stat'!AG23- 'Fin Stat'!AG22-'Fin Stat'!AG21+'Fin Stat'!AG40)*AG$9</f>
        <v>1382</v>
      </c>
      <c r="AH14" s="10">
        <f>('Fin Stat'!AH23- 'Fin Stat'!AH22-'Fin Stat'!AH21+'Fin Stat'!AH40)*AH$9</f>
        <v>1452</v>
      </c>
      <c r="AI14" s="10">
        <f>('Fin Stat'!AI23- 'Fin Stat'!AI22-'Fin Stat'!AI21+'Fin Stat'!AI40)*AI$9</f>
        <v>3552</v>
      </c>
      <c r="AJ14" s="10">
        <f>('Fin Stat'!AJ23- 'Fin Stat'!AJ22-'Fin Stat'!AJ21+'Fin Stat'!AJ40)*AJ$9</f>
        <v>2890</v>
      </c>
      <c r="AK14" s="10">
        <f>('Fin Stat'!AK23- 'Fin Stat'!AK22-'Fin Stat'!AK21+'Fin Stat'!AK40)*AK$9</f>
        <v>2871</v>
      </c>
      <c r="AL14" s="10">
        <f>('Fin Stat'!AL23- 'Fin Stat'!AL22-'Fin Stat'!AL21+'Fin Stat'!AL40)*AL$9</f>
        <v>1472</v>
      </c>
      <c r="AM14" s="10">
        <f>('Fin Stat'!AM23- 'Fin Stat'!AM22-'Fin Stat'!AM21+'Fin Stat'!AM40)*AM$9</f>
        <v>3908</v>
      </c>
      <c r="AN14" s="10">
        <f>('Fin Stat'!AN23- 'Fin Stat'!AN22-'Fin Stat'!AN21+'Fin Stat'!AN40)*AN$9</f>
        <v>3275</v>
      </c>
      <c r="AO14" s="10">
        <f>('Fin Stat'!AO23- 'Fin Stat'!AO22-'Fin Stat'!AO21+'Fin Stat'!AO40)*AO$9</f>
        <v>2512</v>
      </c>
      <c r="AP14" s="10">
        <f>('Fin Stat'!AP23- 'Fin Stat'!AP22-'Fin Stat'!AP21+'Fin Stat'!AP40)*AP$9</f>
        <v>2058</v>
      </c>
      <c r="AQ14" s="10">
        <f>('Fin Stat'!AQ23- 'Fin Stat'!AQ22-'Fin Stat'!AQ21+'Fin Stat'!AQ40)*AQ$9</f>
        <v>1536</v>
      </c>
      <c r="AR14" s="10">
        <f>('Fin Stat'!AR23- 'Fin Stat'!AR22-'Fin Stat'!AR21+'Fin Stat'!AR40)*AR$9</f>
        <v>1787</v>
      </c>
      <c r="AS14" s="10">
        <f>('Fin Stat'!AS23- 'Fin Stat'!AS22-'Fin Stat'!AS21+'Fin Stat'!AS40)*AS$9</f>
        <v>1443</v>
      </c>
      <c r="AT14" s="10">
        <f>('Fin Stat'!AT23- 'Fin Stat'!AT22-'Fin Stat'!AT21+'Fin Stat'!AT40)*AT$9</f>
        <v>1577</v>
      </c>
      <c r="AU14" s="10">
        <f>('Fin Stat'!AU23- 'Fin Stat'!AU22-'Fin Stat'!AU21+'Fin Stat'!AU40)*AU$9</f>
        <v>3986</v>
      </c>
      <c r="AV14" s="10">
        <f>('Fin Stat'!AV23- 'Fin Stat'!AV22-'Fin Stat'!AV21+'Fin Stat'!AV40)*AV$9</f>
        <v>2963</v>
      </c>
      <c r="AW14" s="10">
        <f>('Fin Stat'!AW23- 'Fin Stat'!AW22-'Fin Stat'!AW21+'Fin Stat'!AW40)*AW$9</f>
        <v>2501</v>
      </c>
      <c r="AX14" s="10">
        <f>('Fin Stat'!AX23- 'Fin Stat'!AX22-'Fin Stat'!AX21+'Fin Stat'!AX40)*AX$9</f>
        <v>1597</v>
      </c>
      <c r="AY14" s="10">
        <f>('Fin Stat'!AY23- 'Fin Stat'!AY22-'Fin Stat'!AY21+'Fin Stat'!AY40)*AY$9</f>
        <v>4013.1133333333337</v>
      </c>
      <c r="AZ14" s="10">
        <f>('Fin Stat'!AZ23- 'Fin Stat'!AZ22-'Fin Stat'!AZ21+'Fin Stat'!AZ40)*AZ$9</f>
        <v>3355.1616666666664</v>
      </c>
      <c r="BA14" s="10">
        <f>('Fin Stat'!BA23- 'Fin Stat'!BA22-'Fin Stat'!BA21+'Fin Stat'!BA40)*BA$9</f>
        <v>2590.2233333333329</v>
      </c>
      <c r="BB14" s="10">
        <f>('Fin Stat'!BB23- 'Fin Stat'!BB22-'Fin Stat'!BB21+'Fin Stat'!BB40)*BB$9</f>
        <v>2121.9016666666666</v>
      </c>
      <c r="BC14" s="10">
        <f>('Fin Stat'!BC23- 'Fin Stat'!BC22-'Fin Stat'!BC21+'Fin Stat'!BC40)*BC$9</f>
        <v>1586.4750000000001</v>
      </c>
      <c r="BD14" s="10">
        <f>('Fin Stat'!BD23- 'Fin Stat'!BD22-'Fin Stat'!BD21+'Fin Stat'!BD40)*BD$9</f>
        <v>1849.2300000000002</v>
      </c>
      <c r="BE14" s="10">
        <f>('Fin Stat'!BE23- 'Fin Stat'!BE22-'Fin Stat'!BE21+'Fin Stat'!BE40)*BE$9</f>
        <v>1491.5483333333334</v>
      </c>
      <c r="BF14" s="10">
        <f>('Fin Stat'!BF23- 'Fin Stat'!BF22-'Fin Stat'!BF21+'Fin Stat'!BF40)*BF$9</f>
        <v>1633.2066666666667</v>
      </c>
      <c r="BG14" s="10">
        <f>('Fin Stat'!BG23- 'Fin Stat'!BG22-'Fin Stat'!BG21+'Fin Stat'!BG40)*BG$9</f>
        <v>4112.9283333333342</v>
      </c>
      <c r="BH14" s="10">
        <f>('Fin Stat'!BH23- 'Fin Stat'!BH22-'Fin Stat'!BH21+'Fin Stat'!BH40)*BH$9</f>
        <v>3086.8633333333337</v>
      </c>
      <c r="BI14" s="10">
        <f>('Fin Stat'!BI23- 'Fin Stat'!BI22-'Fin Stat'!BI21+'Fin Stat'!BI40)*BI$9</f>
        <v>2584.3133333333335</v>
      </c>
      <c r="BJ14" s="10">
        <f>('Fin Stat'!BJ23- 'Fin Stat'!BJ22-'Fin Stat'!BJ21+'Fin Stat'!BJ40)*BJ$9</f>
        <v>1658.4049999999997</v>
      </c>
      <c r="BK14" s="157"/>
      <c r="BL14" s="10">
        <f>('Fin Stat'!BL23- 'Fin Stat'!BL22-'Fin Stat'!BL21+'Fin Stat'!BL40)*BL$9</f>
        <v>0</v>
      </c>
      <c r="BM14" s="10">
        <f>('Fin Stat'!BM23- 'Fin Stat'!BM22-'Fin Stat'!BM21+'Fin Stat'!BM40)*BM$9</f>
        <v>27973</v>
      </c>
      <c r="BN14" s="10">
        <f>('Fin Stat'!BN23- 'Fin Stat'!BN22-'Fin Stat'!BN21+'Fin Stat'!BN40)*BN$9</f>
        <v>29143</v>
      </c>
      <c r="BO14" s="10">
        <f>('Fin Stat'!BO23- 'Fin Stat'!BO22-'Fin Stat'!BO21+'Fin Stat'!BO40)*BO$9</f>
        <v>30083.37</v>
      </c>
      <c r="BP14" s="10">
        <f>('Fin Stat'!BP23- 'Fin Stat'!BP22-'Fin Stat'!BP21+'Fin Stat'!BP40)*BP$9</f>
        <v>0</v>
      </c>
      <c r="BQ14" s="10">
        <f>('Fin Stat'!BQ23- 'Fin Stat'!BQ22-'Fin Stat'!BQ21+'Fin Stat'!BQ40)*BQ$9</f>
        <v>0</v>
      </c>
      <c r="BR14" s="10">
        <f>('Fin Stat'!BR23- 'Fin Stat'!BR22-'Fin Stat'!BR21+'Fin Stat'!BR40)*BR$9</f>
        <v>0</v>
      </c>
      <c r="BS14" s="10">
        <f>('Fin Stat'!BS23- 'Fin Stat'!BS22-'Fin Stat'!BS21+'Fin Stat'!BS40)*BS$9</f>
        <v>0</v>
      </c>
      <c r="BT14" s="10">
        <f>('Fin Stat'!BT23- 'Fin Stat'!BT22-'Fin Stat'!BT21+'Fin Stat'!BT40)*BT$9</f>
        <v>0</v>
      </c>
      <c r="BU14" s="10">
        <f>('Fin Stat'!BU23- 'Fin Stat'!BU22-'Fin Stat'!BU21+'Fin Stat'!BU40)*BU$9</f>
        <v>0</v>
      </c>
      <c r="BV14" s="10">
        <f>('Fin Stat'!BV23- 'Fin Stat'!BV22-'Fin Stat'!BV21+'Fin Stat'!BV40)*BV$9</f>
        <v>0</v>
      </c>
      <c r="BW14" s="10">
        <f>('Fin Stat'!BW23- 'Fin Stat'!BW22-'Fin Stat'!BW21+'Fin Stat'!BW40)*BW$9</f>
        <v>0</v>
      </c>
      <c r="BX14" s="157"/>
      <c r="BY14" s="12"/>
      <c r="CA14" s="12"/>
      <c r="CB14" s="7">
        <f>IF(SUM($CE14:$CH14)=0, 0, 1)</f>
        <v>0</v>
      </c>
      <c r="CD14" s="42"/>
      <c r="CE14" s="352">
        <f>ROUND(BL14-V14, rounding)</f>
        <v>0</v>
      </c>
      <c r="CF14" s="352">
        <f t="shared" ref="CE14:CH15" si="1">ROUND(BM14-W14, rounding)</f>
        <v>0</v>
      </c>
      <c r="CG14" s="352">
        <f t="shared" si="1"/>
        <v>0</v>
      </c>
      <c r="CH14" s="352">
        <f t="shared" si="1"/>
        <v>0</v>
      </c>
      <c r="EX14" s="10" t="str">
        <f t="shared" si="0"/>
        <v>Adjusted Income</v>
      </c>
    </row>
    <row r="15" spans="1:154" ht="15.75" x14ac:dyDescent="0.3">
      <c r="A15" s="362" cm="1">
        <f t="array" aca="1" ref="A15" ca="1">HYPERLINK(CONCATENATE("#",CELL("address",IF(SUM($CA15:$CD15)=0,A15,INDEX($CA15:$CD15,MATCH(1,$CA15:$CD15,0))))),SUM($CA15:$CD15))</f>
        <v>0</v>
      </c>
      <c r="B15" s="105" t="s">
        <v>335</v>
      </c>
      <c r="C15" s="343" t="s">
        <v>1507</v>
      </c>
      <c r="D15" s="237" t="s">
        <v>886</v>
      </c>
      <c r="E15" s="157"/>
      <c r="F15" s="157"/>
      <c r="G15" s="157" t="s">
        <v>2512</v>
      </c>
      <c r="H15" s="157"/>
      <c r="I15" s="157"/>
      <c r="J15" s="157"/>
      <c r="K15" s="157"/>
      <c r="L15" s="157"/>
      <c r="M15" s="157"/>
      <c r="N15" s="157"/>
      <c r="O15" s="157"/>
      <c r="P15" s="157"/>
      <c r="Q15" s="157"/>
      <c r="R15" s="157"/>
      <c r="S15" s="157"/>
      <c r="T15" s="157"/>
      <c r="U15" s="157"/>
      <c r="V15" s="10">
        <f>SUM('Fin Stat'!V26:V27)*V$9</f>
        <v>0</v>
      </c>
      <c r="W15" s="10">
        <f>SUM('Fin Stat'!W26:W27)*W$9</f>
        <v>25861</v>
      </c>
      <c r="X15" s="10">
        <f>SUM('Fin Stat'!X26:X27)*X$9</f>
        <v>27083</v>
      </c>
      <c r="Y15" s="10">
        <f>SUM('Fin Stat'!Y26:Y27)*Y$9</f>
        <v>27897.559999999998</v>
      </c>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0">
        <f>SUM('Fin Stat'!BL26:BL27)*BL$9</f>
        <v>0</v>
      </c>
      <c r="BM15" s="10">
        <f>SUM('Fin Stat'!BM26:BM27)*BM$9</f>
        <v>25861</v>
      </c>
      <c r="BN15" s="10">
        <f>SUM('Fin Stat'!BN26:BN27)*BN$9</f>
        <v>27083</v>
      </c>
      <c r="BO15" s="10">
        <f>SUM('Fin Stat'!BO26:BO27)*BO$9</f>
        <v>27897.559999999998</v>
      </c>
      <c r="BP15" s="10">
        <f>SUM('Fin Stat'!BP26:BP27)*BP$9</f>
        <v>0</v>
      </c>
      <c r="BQ15" s="10">
        <f>SUM('Fin Stat'!BQ26:BQ27)*BQ$9</f>
        <v>0</v>
      </c>
      <c r="BR15" s="10">
        <f>SUM('Fin Stat'!BR26:BR27)*BR$9</f>
        <v>0</v>
      </c>
      <c r="BS15" s="10">
        <f>SUM('Fin Stat'!BS26:BS27)*BS$9</f>
        <v>0</v>
      </c>
      <c r="BT15" s="10">
        <f>SUM('Fin Stat'!BT26:BT27)*BT$9</f>
        <v>0</v>
      </c>
      <c r="BU15" s="10">
        <f>SUM('Fin Stat'!BU26:BU27)*BU$9</f>
        <v>0</v>
      </c>
      <c r="BV15" s="10">
        <f>SUM('Fin Stat'!BV26:BV27)*BV$9</f>
        <v>0</v>
      </c>
      <c r="BW15" s="10">
        <f>SUM('Fin Stat'!BW26:BW27)*BW$9</f>
        <v>0</v>
      </c>
      <c r="BX15" s="157"/>
      <c r="BY15" s="12"/>
      <c r="CA15" s="12"/>
      <c r="CB15" s="7">
        <f>IF(SUM($CE15:$CH15)=0, 0, 1)</f>
        <v>0</v>
      </c>
      <c r="CD15" s="42"/>
      <c r="CE15" s="352">
        <f t="shared" si="1"/>
        <v>0</v>
      </c>
      <c r="CF15" s="352">
        <f t="shared" si="1"/>
        <v>0</v>
      </c>
      <c r="CG15" s="352">
        <f t="shared" si="1"/>
        <v>0</v>
      </c>
      <c r="CH15" s="352">
        <f t="shared" si="1"/>
        <v>0</v>
      </c>
      <c r="EX15" s="10" t="str">
        <f t="shared" si="0"/>
        <v>Operating Expenditure excl. staff Restructuring Costs</v>
      </c>
    </row>
    <row r="16" spans="1:154" s="335" customFormat="1" ht="8.1" customHeight="1" x14ac:dyDescent="0.25">
      <c r="A16" s="157"/>
      <c r="B16" s="157"/>
      <c r="C16" s="340"/>
      <c r="D16" s="158"/>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42"/>
      <c r="CA16" s="42"/>
      <c r="CD16" s="42"/>
      <c r="EX16" s="10" t="str">
        <f t="shared" si="0"/>
        <v/>
      </c>
    </row>
    <row r="17" spans="1:154" x14ac:dyDescent="0.25">
      <c r="A17" s="157"/>
      <c r="B17" s="228"/>
      <c r="C17" s="343"/>
      <c r="D17" s="192" t="s">
        <v>617</v>
      </c>
      <c r="E17" s="158"/>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2"/>
      <c r="CA17" s="12"/>
      <c r="CD17" s="42"/>
      <c r="EX17" s="10" t="str">
        <f t="shared" si="0"/>
        <v/>
      </c>
    </row>
    <row r="18" spans="1:154" s="335" customFormat="1" ht="15.75" x14ac:dyDescent="0.25">
      <c r="A18" s="362" cm="1">
        <f t="array" aca="1" ref="A18" ca="1">HYPERLINK(CONCATENATE("#",CELL("address",IF(SUM($CA18:$CD18)=0,A18,INDEX($CA18:$CD18,MATCH(1,$CA18:$CD18,0))))),SUM($CA18:$CD18))</f>
        <v>0</v>
      </c>
      <c r="B18" s="170" t="s">
        <v>335</v>
      </c>
      <c r="C18" s="343" t="s">
        <v>1508</v>
      </c>
      <c r="D18" s="158" t="s">
        <v>1737</v>
      </c>
      <c r="E18" s="158"/>
      <c r="F18" s="157"/>
      <c r="G18" s="157" t="s">
        <v>2512</v>
      </c>
      <c r="H18" s="157"/>
      <c r="I18" s="157"/>
      <c r="J18" s="157"/>
      <c r="K18" s="157"/>
      <c r="L18" s="157"/>
      <c r="M18" s="157"/>
      <c r="N18" s="157"/>
      <c r="O18" s="157"/>
      <c r="P18" s="157"/>
      <c r="Q18" s="157"/>
      <c r="R18" s="157"/>
      <c r="S18" s="157"/>
      <c r="T18" s="157"/>
      <c r="U18" s="157"/>
      <c r="V18" s="13">
        <f>(('Fin Stat'!V26-'I&amp;E Annual'!BL130)+('Fin Stat'!V27-'I&amp;E Annual'!BL145)+'Fin Stat'!V41)*V$9</f>
        <v>0</v>
      </c>
      <c r="W18" s="13">
        <f>(('Fin Stat'!W26-'I&amp;E Annual'!BM130)+('Fin Stat'!W27-'I&amp;E Annual'!BM145)+'Fin Stat'!W41)*W$9</f>
        <v>26006</v>
      </c>
      <c r="X18" s="13">
        <f>(('Fin Stat'!X26-'I&amp;E Annual'!BN130)+('Fin Stat'!X27-'I&amp;E Annual'!BN145)+'Fin Stat'!X41)*X$9</f>
        <v>27228</v>
      </c>
      <c r="Y18" s="13">
        <f>(('Fin Stat'!Y26-'I&amp;E Annual'!BO130)+('Fin Stat'!Y27-'I&amp;E Annual'!BO145)+'Fin Stat'!Y41)*Y$9</f>
        <v>28042.559999999998</v>
      </c>
      <c r="Z18" s="157"/>
      <c r="AA18" s="10">
        <f>SUMIFS($V$18:$Y$18, $V$3:$Y$3, AA$3)</f>
        <v>26006</v>
      </c>
      <c r="AB18" s="10">
        <f t="shared" ref="AB18:BJ18" si="2">SUMIFS($V$18:$Y$18, $V$3:$Y$3, AB$3)</f>
        <v>26006</v>
      </c>
      <c r="AC18" s="10">
        <f t="shared" si="2"/>
        <v>26006</v>
      </c>
      <c r="AD18" s="10">
        <f t="shared" si="2"/>
        <v>26006</v>
      </c>
      <c r="AE18" s="10">
        <f t="shared" si="2"/>
        <v>26006</v>
      </c>
      <c r="AF18" s="10">
        <f t="shared" si="2"/>
        <v>26006</v>
      </c>
      <c r="AG18" s="10">
        <f t="shared" si="2"/>
        <v>26006</v>
      </c>
      <c r="AH18" s="10">
        <f t="shared" si="2"/>
        <v>26006</v>
      </c>
      <c r="AI18" s="10">
        <f t="shared" si="2"/>
        <v>26006</v>
      </c>
      <c r="AJ18" s="10">
        <f t="shared" si="2"/>
        <v>26006</v>
      </c>
      <c r="AK18" s="10">
        <f t="shared" si="2"/>
        <v>26006</v>
      </c>
      <c r="AL18" s="10">
        <f t="shared" si="2"/>
        <v>26006</v>
      </c>
      <c r="AM18" s="10">
        <f t="shared" si="2"/>
        <v>27228</v>
      </c>
      <c r="AN18" s="10">
        <f t="shared" si="2"/>
        <v>27228</v>
      </c>
      <c r="AO18" s="10">
        <f t="shared" si="2"/>
        <v>27228</v>
      </c>
      <c r="AP18" s="10">
        <f t="shared" si="2"/>
        <v>27228</v>
      </c>
      <c r="AQ18" s="10">
        <f t="shared" si="2"/>
        <v>27228</v>
      </c>
      <c r="AR18" s="10">
        <f t="shared" si="2"/>
        <v>27228</v>
      </c>
      <c r="AS18" s="10">
        <f t="shared" si="2"/>
        <v>27228</v>
      </c>
      <c r="AT18" s="10">
        <f t="shared" si="2"/>
        <v>27228</v>
      </c>
      <c r="AU18" s="10">
        <f t="shared" si="2"/>
        <v>27228</v>
      </c>
      <c r="AV18" s="10">
        <f t="shared" si="2"/>
        <v>27228</v>
      </c>
      <c r="AW18" s="10">
        <f t="shared" si="2"/>
        <v>27228</v>
      </c>
      <c r="AX18" s="10">
        <f t="shared" si="2"/>
        <v>27228</v>
      </c>
      <c r="AY18" s="10">
        <f t="shared" si="2"/>
        <v>28042.559999999998</v>
      </c>
      <c r="AZ18" s="10">
        <f t="shared" si="2"/>
        <v>28042.559999999998</v>
      </c>
      <c r="BA18" s="10">
        <f t="shared" si="2"/>
        <v>28042.559999999998</v>
      </c>
      <c r="BB18" s="10">
        <f t="shared" si="2"/>
        <v>28042.559999999998</v>
      </c>
      <c r="BC18" s="10">
        <f t="shared" si="2"/>
        <v>28042.559999999998</v>
      </c>
      <c r="BD18" s="10">
        <f t="shared" si="2"/>
        <v>28042.559999999998</v>
      </c>
      <c r="BE18" s="10">
        <f t="shared" si="2"/>
        <v>28042.559999999998</v>
      </c>
      <c r="BF18" s="10">
        <f t="shared" si="2"/>
        <v>28042.559999999998</v>
      </c>
      <c r="BG18" s="10">
        <f t="shared" si="2"/>
        <v>28042.559999999998</v>
      </c>
      <c r="BH18" s="10">
        <f t="shared" si="2"/>
        <v>28042.559999999998</v>
      </c>
      <c r="BI18" s="10">
        <f t="shared" si="2"/>
        <v>28042.559999999998</v>
      </c>
      <c r="BJ18" s="10">
        <f t="shared" si="2"/>
        <v>28042.559999999998</v>
      </c>
      <c r="BK18" s="157"/>
      <c r="BL18" s="13">
        <f>(('Fin Stat'!BL26-'I&amp;E Annual'!BL130)+('Fin Stat'!BL27-'I&amp;E Annual'!BL145)+'Fin Stat'!BL41)*BL$9</f>
        <v>0</v>
      </c>
      <c r="BM18" s="13">
        <f>(('Fin Stat'!BM26-'I&amp;E Annual'!BM130)+('Fin Stat'!BM27-'I&amp;E Annual'!BM145)+'Fin Stat'!BM41)*BM$9</f>
        <v>26006</v>
      </c>
      <c r="BN18" s="13">
        <f>(('Fin Stat'!BN26-'I&amp;E Annual'!BN130)+('Fin Stat'!BN27-'I&amp;E Annual'!BN145)+'Fin Stat'!BN41)*BN$9</f>
        <v>27228</v>
      </c>
      <c r="BO18" s="13">
        <f>(('Fin Stat'!BO26-'I&amp;E Annual'!BO130)+('Fin Stat'!BO27-'I&amp;E Annual'!BO145)+'Fin Stat'!BO41)*BO$9</f>
        <v>28042.559999999998</v>
      </c>
      <c r="BP18" s="13">
        <f>(('Fin Stat'!BP26-'I&amp;E Annual'!BP130)+('Fin Stat'!BP27-'I&amp;E Annual'!BP145)+'Fin Stat'!BP41)*BP$9</f>
        <v>0</v>
      </c>
      <c r="BQ18" s="13">
        <f>(('Fin Stat'!BQ26-'I&amp;E Annual'!BQ130)+('Fin Stat'!BQ27-'I&amp;E Annual'!BQ145)+'Fin Stat'!BQ41)*BQ$9</f>
        <v>0</v>
      </c>
      <c r="BR18" s="13">
        <f>(('Fin Stat'!BR26-'I&amp;E Annual'!BR130)+('Fin Stat'!BR27-'I&amp;E Annual'!BR145)+'Fin Stat'!BR41)*BR$9</f>
        <v>0</v>
      </c>
      <c r="BS18" s="13">
        <f>(('Fin Stat'!BS26-'I&amp;E Annual'!BS130)+('Fin Stat'!BS27-'I&amp;E Annual'!BS145)+'Fin Stat'!BS41)*BS$9</f>
        <v>0</v>
      </c>
      <c r="BT18" s="13">
        <f>(('Fin Stat'!BT26-'I&amp;E Annual'!BT130)+('Fin Stat'!BT27-'I&amp;E Annual'!BT145)+'Fin Stat'!BT41)*BT$9</f>
        <v>0</v>
      </c>
      <c r="BU18" s="13">
        <f>(('Fin Stat'!BU26-'I&amp;E Annual'!BU130)+('Fin Stat'!BU27-'I&amp;E Annual'!BU145)+'Fin Stat'!BU41)*BU$9</f>
        <v>0</v>
      </c>
      <c r="BV18" s="13">
        <f>(('Fin Stat'!BV26-'I&amp;E Annual'!BV130)+('Fin Stat'!BV27-'I&amp;E Annual'!BV145)+'Fin Stat'!BV41)*BV$9</f>
        <v>0</v>
      </c>
      <c r="BW18" s="13">
        <f>(('Fin Stat'!BW26-'I&amp;E Annual'!BW130)+('Fin Stat'!BW27-'I&amp;E Annual'!BW145)+'Fin Stat'!BW41)*BW$9</f>
        <v>0</v>
      </c>
      <c r="BX18" s="157"/>
      <c r="BY18" s="12"/>
      <c r="CA18" s="12"/>
      <c r="CB18" s="7">
        <f>IF(SUM($CE18:$CH18)=0, 0, 1)</f>
        <v>0</v>
      </c>
      <c r="CD18" s="42"/>
      <c r="CE18" s="352">
        <f t="shared" ref="CE18:CH19" si="3">ROUND(BL18-V18, rounding)</f>
        <v>0</v>
      </c>
      <c r="CF18" s="352">
        <f t="shared" si="3"/>
        <v>0</v>
      </c>
      <c r="CG18" s="352">
        <f t="shared" si="3"/>
        <v>0</v>
      </c>
      <c r="CH18" s="352">
        <f t="shared" si="3"/>
        <v>0</v>
      </c>
      <c r="EX18" s="10" t="str">
        <f t="shared" si="0"/>
        <v>Expenditure for Adjusted Cash Days</v>
      </c>
    </row>
    <row r="19" spans="1:154" s="335" customFormat="1" x14ac:dyDescent="0.25">
      <c r="A19" s="362" cm="1">
        <f t="array" aca="1" ref="A19" ca="1">HYPERLINK(CONCATENATE("#",CELL("address",IF(SUM($CA19:$CD19)=0,A19,INDEX($CA19:$CD19,MATCH(1,$CA19:$CD19,0))))),SUM($CA19:$CD19))</f>
        <v>0</v>
      </c>
      <c r="B19" s="228"/>
      <c r="C19" s="343" t="s">
        <v>1509</v>
      </c>
      <c r="D19" s="237" t="s">
        <v>1689</v>
      </c>
      <c r="E19" s="158"/>
      <c r="F19" s="157"/>
      <c r="G19" s="157" t="s">
        <v>2512</v>
      </c>
      <c r="H19" s="157"/>
      <c r="I19" s="157"/>
      <c r="J19" s="157"/>
      <c r="K19" s="157"/>
      <c r="L19" s="157"/>
      <c r="M19" s="157"/>
      <c r="N19" s="157"/>
      <c r="O19" s="157"/>
      <c r="P19" s="157"/>
      <c r="Q19" s="157"/>
      <c r="R19" s="157"/>
      <c r="S19" s="157"/>
      <c r="T19" s="157"/>
      <c r="U19" s="157"/>
      <c r="V19" s="10">
        <f>'BS Forecasts'!V83+'BS Forecasts'!V79</f>
        <v>11558</v>
      </c>
      <c r="W19" s="10">
        <f>'BS Forecasts'!W83+'BS Forecasts'!W79</f>
        <v>10441</v>
      </c>
      <c r="X19" s="10">
        <f>'BS Forecasts'!X83+'BS Forecasts'!X79</f>
        <v>9179</v>
      </c>
      <c r="Y19" s="10">
        <f>'BS Forecasts'!Y83+'BS Forecasts'!Y79</f>
        <v>10028.810000000001</v>
      </c>
      <c r="Z19" s="157"/>
      <c r="AA19" s="10">
        <f>'BS Forecasts'!AA83+'BS Forecasts'!AA79</f>
        <v>12818</v>
      </c>
      <c r="AB19" s="10">
        <f>'BS Forecasts'!AB83+'BS Forecasts'!AB79</f>
        <v>14913</v>
      </c>
      <c r="AC19" s="10">
        <f>'BS Forecasts'!AC83+'BS Forecasts'!AC79</f>
        <v>12982</v>
      </c>
      <c r="AD19" s="10">
        <f>'BS Forecasts'!AD83+'BS Forecasts'!AD79</f>
        <v>13025</v>
      </c>
      <c r="AE19" s="10">
        <f>'BS Forecasts'!AE83+'BS Forecasts'!AE79</f>
        <v>12571</v>
      </c>
      <c r="AF19" s="10">
        <f>'BS Forecasts'!AF83+'BS Forecasts'!AF79</f>
        <v>11986</v>
      </c>
      <c r="AG19" s="10">
        <f>'BS Forecasts'!AG83+'BS Forecasts'!AG79</f>
        <v>11331</v>
      </c>
      <c r="AH19" s="10">
        <f>'BS Forecasts'!AH83+'BS Forecasts'!AH79</f>
        <v>9448</v>
      </c>
      <c r="AI19" s="10">
        <f>'BS Forecasts'!AI83+'BS Forecasts'!AI79</f>
        <v>10886</v>
      </c>
      <c r="AJ19" s="10">
        <f>'BS Forecasts'!AJ83+'BS Forecasts'!AJ79</f>
        <v>11251</v>
      </c>
      <c r="AK19" s="10">
        <f>'BS Forecasts'!AK83+'BS Forecasts'!AK79</f>
        <v>11674</v>
      </c>
      <c r="AL19" s="10">
        <f>'BS Forecasts'!AL83+'BS Forecasts'!AL79</f>
        <v>10441</v>
      </c>
      <c r="AM19" s="10">
        <f>'BS Forecasts'!AM83+'BS Forecasts'!AM79</f>
        <v>11887</v>
      </c>
      <c r="AN19" s="10">
        <f>'BS Forecasts'!AN83+'BS Forecasts'!AN79</f>
        <v>12188</v>
      </c>
      <c r="AO19" s="10">
        <f>'BS Forecasts'!AO83+'BS Forecasts'!AO79</f>
        <v>12042</v>
      </c>
      <c r="AP19" s="10">
        <f>'BS Forecasts'!AP83+'BS Forecasts'!AP79</f>
        <v>11468</v>
      </c>
      <c r="AQ19" s="10">
        <f>'BS Forecasts'!AQ83+'BS Forecasts'!AQ79</f>
        <v>10233</v>
      </c>
      <c r="AR19" s="10">
        <f>'BS Forecasts'!AR83+'BS Forecasts'!AR79</f>
        <v>9007</v>
      </c>
      <c r="AS19" s="10">
        <f>'BS Forecasts'!AS83+'BS Forecasts'!AS79</f>
        <v>7754</v>
      </c>
      <c r="AT19" s="10">
        <f>'BS Forecasts'!AT83+'BS Forecasts'!AT79</f>
        <v>6389</v>
      </c>
      <c r="AU19" s="10">
        <f>'BS Forecasts'!AU83+'BS Forecasts'!AU79</f>
        <v>7468</v>
      </c>
      <c r="AV19" s="10">
        <f>'BS Forecasts'!AV83+'BS Forecasts'!AV79</f>
        <v>7572</v>
      </c>
      <c r="AW19" s="10">
        <f>'BS Forecasts'!AW83+'BS Forecasts'!AW79</f>
        <v>7331</v>
      </c>
      <c r="AX19" s="10">
        <f>'BS Forecasts'!AX83+'BS Forecasts'!AX79</f>
        <v>9179</v>
      </c>
      <c r="AY19" s="10">
        <f>'BS Forecasts'!AY83+'BS Forecasts'!AY79</f>
        <v>11261.748333333333</v>
      </c>
      <c r="AZ19" s="10">
        <f>'BS Forecasts'!AZ83+'BS Forecasts'!AZ79</f>
        <v>12205.105</v>
      </c>
      <c r="BA19" s="10">
        <f>'BS Forecasts'!BA83+'BS Forecasts'!BA79</f>
        <v>12227.593333333332</v>
      </c>
      <c r="BB19" s="10">
        <f>'BS Forecasts'!BB83+'BS Forecasts'!BB79</f>
        <v>11631.98</v>
      </c>
      <c r="BC19" s="10">
        <f>'BS Forecasts'!BC83+'BS Forecasts'!BC79</f>
        <v>10607.45</v>
      </c>
      <c r="BD19" s="10">
        <f>'BS Forecasts'!BD83+'BS Forecasts'!BD79</f>
        <v>9765.2200000000012</v>
      </c>
      <c r="BE19" s="10">
        <f>'BS Forecasts'!BE83+'BS Forecasts'!BE79</f>
        <v>8574.4783333333326</v>
      </c>
      <c r="BF19" s="10">
        <f>'BS Forecasts'!BF83+'BS Forecasts'!BF79</f>
        <v>7581.96</v>
      </c>
      <c r="BG19" s="10">
        <f>'BS Forecasts'!BG83+'BS Forecasts'!BG79</f>
        <v>9159.3383333333331</v>
      </c>
      <c r="BH19" s="10">
        <f>'BS Forecasts'!BH83+'BS Forecasts'!BH79</f>
        <v>9460.4066666666677</v>
      </c>
      <c r="BI19" s="10">
        <f>'BS Forecasts'!BI83+'BS Forecasts'!BI79</f>
        <v>9368.6000000000022</v>
      </c>
      <c r="BJ19" s="10">
        <f>'BS Forecasts'!BJ83+'BS Forecasts'!BJ79</f>
        <v>10028.810000000001</v>
      </c>
      <c r="BK19" s="157"/>
      <c r="BL19" s="10">
        <f>'BS Forecasts'!BL83+'BS Forecasts'!BL79</f>
        <v>11558</v>
      </c>
      <c r="BM19" s="10">
        <f>'BS Forecasts'!BM83+'BS Forecasts'!BM79</f>
        <v>10441</v>
      </c>
      <c r="BN19" s="10">
        <f>'BS Forecasts'!BN83+'BS Forecasts'!BN79</f>
        <v>9179</v>
      </c>
      <c r="BO19" s="10">
        <f>'BS Forecasts'!BO83+'BS Forecasts'!BO79</f>
        <v>10028.810000000001</v>
      </c>
      <c r="BP19" s="10">
        <f>'BS Forecasts'!BP83+'BS Forecasts'!BP79</f>
        <v>6340.8100000000013</v>
      </c>
      <c r="BQ19" s="10">
        <f>'BS Forecasts'!BQ83+'BS Forecasts'!BQ79</f>
        <v>6340.8100000000013</v>
      </c>
      <c r="BR19" s="10">
        <f>'BS Forecasts'!BR83+'BS Forecasts'!BR79</f>
        <v>6340.8100000000013</v>
      </c>
      <c r="BS19" s="10">
        <f>'BS Forecasts'!BS83+'BS Forecasts'!BS79</f>
        <v>6340.8100000000013</v>
      </c>
      <c r="BT19" s="10">
        <f>'BS Forecasts'!BT83+'BS Forecasts'!BT79</f>
        <v>6340.8100000000013</v>
      </c>
      <c r="BU19" s="10">
        <f>'BS Forecasts'!BU83+'BS Forecasts'!BU79</f>
        <v>6340.8100000000013</v>
      </c>
      <c r="BV19" s="10">
        <f>'BS Forecasts'!BV83+'BS Forecasts'!BV79</f>
        <v>6340.8100000000013</v>
      </c>
      <c r="BW19" s="10">
        <f>'BS Forecasts'!BW83+'BS Forecasts'!BW79</f>
        <v>6340.8100000000013</v>
      </c>
      <c r="BX19" s="157"/>
      <c r="BY19" s="12"/>
      <c r="CA19" s="12"/>
      <c r="CB19" s="7">
        <f>IF(SUM($CE19:$CH19)=0, 0, 1)</f>
        <v>0</v>
      </c>
      <c r="CC19" s="7">
        <f>IF(SUM($CI19:$CK19)=0, 0, 1)</f>
        <v>0</v>
      </c>
      <c r="CD19" s="42"/>
      <c r="CE19" s="352">
        <f t="shared" si="3"/>
        <v>0</v>
      </c>
      <c r="CF19" s="352">
        <f t="shared" si="3"/>
        <v>0</v>
      </c>
      <c r="CG19" s="352">
        <f t="shared" si="3"/>
        <v>0</v>
      </c>
      <c r="CH19" s="352">
        <f t="shared" si="3"/>
        <v>0</v>
      </c>
      <c r="CI19" s="352">
        <f t="shared" ref="CI19:CK20" si="4">ROUND(INDEX($AA19:$BJ19, MATCH(W$5,$AA$5:$BJ$5,0))-W19, rounding)</f>
        <v>0</v>
      </c>
      <c r="CJ19" s="352">
        <f t="shared" si="4"/>
        <v>0</v>
      </c>
      <c r="CK19" s="352">
        <f t="shared" si="4"/>
        <v>0</v>
      </c>
      <c r="EX19" s="10" t="str">
        <f t="shared" si="0"/>
        <v>Cash and cash equivalents and short-term investments</v>
      </c>
    </row>
    <row r="20" spans="1:154" ht="15.75" x14ac:dyDescent="0.25">
      <c r="A20" s="362" cm="1">
        <f t="array" aca="1" ref="A20" ca="1">HYPERLINK(CONCATENATE("#",CELL("address",IF(SUM($CA20:$CD20)=0,A20,INDEX($CA20:$CD20,MATCH(1,$CA20:$CD20,0))))),SUM($CA20:$CD20))</f>
        <v>0</v>
      </c>
      <c r="B20" s="170" t="s">
        <v>335</v>
      </c>
      <c r="C20" s="343" t="s">
        <v>1510</v>
      </c>
      <c r="D20" s="158" t="s">
        <v>875</v>
      </c>
      <c r="E20" s="158"/>
      <c r="F20" s="157"/>
      <c r="G20" s="157" t="s">
        <v>635</v>
      </c>
      <c r="H20" s="157"/>
      <c r="I20" s="157"/>
      <c r="J20" s="180"/>
      <c r="K20" s="157"/>
      <c r="L20" s="157"/>
      <c r="M20" s="157"/>
      <c r="N20" s="157"/>
      <c r="O20" s="157"/>
      <c r="P20" s="157"/>
      <c r="Q20" s="157"/>
      <c r="R20" s="157"/>
      <c r="S20" s="180"/>
      <c r="T20" s="157"/>
      <c r="U20" s="157"/>
      <c r="V20" s="10">
        <f>IF(OR(V19&lt;0, V18=0), 0, V19/V18 )*Parameters!$E$29</f>
        <v>0</v>
      </c>
      <c r="W20" s="10">
        <f>IF(OR(W19&lt;0, W18=0), 0, W19/W18 )*Parameters!$E$29</f>
        <v>146.54175959393984</v>
      </c>
      <c r="X20" s="10">
        <f>IF(OR(X19&lt;0, X18=0), 0, X19/X18 )*Parameters!$E$29</f>
        <v>123.04741442632584</v>
      </c>
      <c r="Y20" s="10">
        <f>IF(OR(Y19&lt;0, Y18=0), 0, Y19/Y18 )*Parameters!$E$29</f>
        <v>130.53428966542288</v>
      </c>
      <c r="Z20" s="157"/>
      <c r="AA20" s="10">
        <f>IF(OR(AA19&lt;0, AA18=0), 0, AA19/AA18 )*Parameters!$E$29</f>
        <v>179.90348381142812</v>
      </c>
      <c r="AB20" s="10">
        <f>IF(OR(AB19&lt;0, AB18=0), 0, AB19/AB18 )*Parameters!$E$29</f>
        <v>209.30727524417443</v>
      </c>
      <c r="AC20" s="10">
        <f>IF(OR(AC19&lt;0, AC18=0), 0, AC19/AC18 )*Parameters!$E$29</f>
        <v>182.20526032454049</v>
      </c>
      <c r="AD20" s="10">
        <f>IF(OR(AD19&lt;0, AD18=0), 0, AD19/AD18 )*Parameters!$E$29</f>
        <v>182.80877489810047</v>
      </c>
      <c r="AE20" s="10">
        <f>IF(OR(AE19&lt;0, AE18=0), 0, AE19/AE18 )*Parameters!$E$29</f>
        <v>176.43678381911866</v>
      </c>
      <c r="AF20" s="10">
        <f>IF(OR(AF19&lt;0, AF18=0), 0, AF19/AF18 )*Parameters!$E$29</f>
        <v>168.22617857417518</v>
      </c>
      <c r="AG20" s="10">
        <f>IF(OR(AG19&lt;0, AG18=0), 0, AG19/AG18 )*Parameters!$E$29</f>
        <v>159.0331077443667</v>
      </c>
      <c r="AH20" s="10">
        <f>IF(OR(AH19&lt;0, AH18=0), 0, AH19/AH18 )*Parameters!$E$29</f>
        <v>132.60478351149735</v>
      </c>
      <c r="AI20" s="10">
        <f>IF(OR(AI19&lt;0, AI18=0), 0, AI19/AI18 )*Parameters!$E$29</f>
        <v>152.78743366915327</v>
      </c>
      <c r="AJ20" s="10">
        <f>IF(OR(AJ19&lt;0, AJ18=0), 0, AJ19/AJ18 )*Parameters!$E$29</f>
        <v>157.91028993309237</v>
      </c>
      <c r="AK20" s="10">
        <f>IF(OR(AK19&lt;0, AK18=0), 0, AK19/AK18 )*Parameters!$E$29</f>
        <v>163.84718911020533</v>
      </c>
      <c r="AL20" s="10">
        <f>IF(OR(AL19&lt;0, AL18=0), 0, AL19/AL18 )*Parameters!$E$29</f>
        <v>146.54175959393984</v>
      </c>
      <c r="AM20" s="10">
        <f>IF(OR(AM19&lt;0, AM18=0), 0, AM19/AM18 )*Parameters!$E$29</f>
        <v>159.34901571911266</v>
      </c>
      <c r="AN20" s="10">
        <f>IF(OR(AN19&lt;0, AN18=0), 0, AN19/AN18 )*Parameters!$E$29</f>
        <v>163.38401645365064</v>
      </c>
      <c r="AO20" s="10">
        <f>IF(OR(AO19&lt;0, AO18=0), 0, AO19/AO18 )*Parameters!$E$29</f>
        <v>161.4268400176289</v>
      </c>
      <c r="AP20" s="10">
        <f>IF(OR(AP19&lt;0, AP18=0), 0, AP19/AP18 )*Parameters!$E$29</f>
        <v>153.73218745409139</v>
      </c>
      <c r="AQ20" s="10">
        <f>IF(OR(AQ19&lt;0, AQ18=0), 0, AQ19/AQ18 )*Parameters!$E$29</f>
        <v>137.17661965623623</v>
      </c>
      <c r="AR20" s="10">
        <f>IF(OR(AR19&lt;0, AR18=0), 0, AR19/AR18 )*Parameters!$E$29</f>
        <v>120.74169972087557</v>
      </c>
      <c r="AS20" s="10">
        <f>IF(OR(AS19&lt;0, AS18=0), 0, AS19/AS18 )*Parameters!$E$29</f>
        <v>103.94483619803142</v>
      </c>
      <c r="AT20" s="10">
        <f>IF(OR(AT19&lt;0, AT18=0), 0, AT19/AT18 )*Parameters!$E$29</f>
        <v>85.646577053033653</v>
      </c>
      <c r="AU20" s="10">
        <f>IF(OR(AU19&lt;0, AU18=0), 0, AU19/AU18 )*Parameters!$E$29</f>
        <v>100.1109152343176</v>
      </c>
      <c r="AV20" s="10">
        <f>IF(OR(AV19&lt;0, AV18=0), 0, AV19/AV18 )*Parameters!$E$29</f>
        <v>101.50506831203172</v>
      </c>
      <c r="AW20" s="10">
        <f>IF(OR(AW19&lt;0, AW18=0), 0, AW19/AW18 )*Parameters!$E$29</f>
        <v>98.27438666079037</v>
      </c>
      <c r="AX20" s="10">
        <f>IF(OR(AX19&lt;0, AX18=0), 0, AX19/AX18 )*Parameters!$E$29</f>
        <v>123.04741442632584</v>
      </c>
      <c r="AY20" s="10">
        <f>IF(OR(AY19&lt;0, AY18=0), 0, AY19/AY18 )*Parameters!$E$29</f>
        <v>146.58212879518371</v>
      </c>
      <c r="AZ20" s="10">
        <f>IF(OR(AZ19&lt;0, AZ18=0), 0, AZ19/AZ18 )*Parameters!$E$29</f>
        <v>158.86079320147661</v>
      </c>
      <c r="BA20" s="10">
        <f>IF(OR(BA19&lt;0, BA18=0), 0, BA19/BA18 )*Parameters!$E$29</f>
        <v>159.15349977557921</v>
      </c>
      <c r="BB20" s="10">
        <f>IF(OR(BB19&lt;0, BB18=0), 0, BB19/BB18 )*Parameters!$E$29</f>
        <v>151.40103827895885</v>
      </c>
      <c r="BC20" s="10">
        <f>IF(OR(BC19&lt;0, BC18=0), 0, BC19/BC18 )*Parameters!$E$29</f>
        <v>138.06582744228774</v>
      </c>
      <c r="BD20" s="10">
        <f>IF(OR(BD19&lt;0, BD18=0), 0, BD19/BD18 )*Parameters!$E$29</f>
        <v>127.10342065774313</v>
      </c>
      <c r="BE20" s="10">
        <f>IF(OR(BE19&lt;0, BE18=0), 0, BE19/BE18 )*Parameters!$E$29</f>
        <v>111.60481039058726</v>
      </c>
      <c r="BF20" s="10">
        <f>IF(OR(BF19&lt;0, BF18=0), 0, BF19/BF18 )*Parameters!$E$29</f>
        <v>98.686261168737801</v>
      </c>
      <c r="BG20" s="10">
        <f>IF(OR(BG19&lt;0, BG18=0), 0, BG19/BG18 )*Parameters!$E$29</f>
        <v>119.21730725250001</v>
      </c>
      <c r="BH20" s="10">
        <f>IF(OR(BH19&lt;0, BH18=0), 0, BH19/BH18 )*Parameters!$E$29</f>
        <v>123.13599162606175</v>
      </c>
      <c r="BI20" s="10">
        <f>IF(OR(BI19&lt;0, BI18=0), 0, BI19/BI18 )*Parameters!$E$29</f>
        <v>121.94104247258456</v>
      </c>
      <c r="BJ20" s="10">
        <f>IF(OR(BJ19&lt;0, BJ18=0), 0, BJ19/BJ18 )*Parameters!$E$29</f>
        <v>130.53428966542288</v>
      </c>
      <c r="BK20" s="180"/>
      <c r="BL20" s="10">
        <f>IF(OR(BL19&lt;0, BL18=0), 0, BL19/BL18 )*Parameters!$E$29</f>
        <v>0</v>
      </c>
      <c r="BM20" s="10">
        <f>IF(OR(BM19&lt;0, BM18=0), 0, BM19/BM18 )*Parameters!$E$29</f>
        <v>146.54175959393984</v>
      </c>
      <c r="BN20" s="10">
        <f>IF(OR(BN19&lt;0, BN18=0), 0, BN19/BN18 )*Parameters!$E$29</f>
        <v>123.04741442632584</v>
      </c>
      <c r="BO20" s="10">
        <f>IF(OR(BO19&lt;0, BO18=0), 0, BO19/BO18 )*Parameters!$E$29</f>
        <v>130.53428966542288</v>
      </c>
      <c r="BP20" s="10">
        <f>IF(OR(BP19&lt;0, BP18=0), 0, BP19/BP18 )*Parameters!$E$29</f>
        <v>0</v>
      </c>
      <c r="BQ20" s="10">
        <f>IF(OR(BQ19&lt;0, BQ18=0), 0, BQ19/BQ18 )*Parameters!$E$29</f>
        <v>0</v>
      </c>
      <c r="BR20" s="10">
        <f>IF(OR(BR19&lt;0, BR18=0), 0, BR19/BR18 )*Parameters!$E$29</f>
        <v>0</v>
      </c>
      <c r="BS20" s="10">
        <f>IF(OR(BS19&lt;0, BS18=0), 0, BS19/BS18 )*Parameters!$E$29</f>
        <v>0</v>
      </c>
      <c r="BT20" s="10">
        <f>IF(OR(BT19&lt;0, BT18=0), 0, BT19/BT18 )*Parameters!$E$29</f>
        <v>0</v>
      </c>
      <c r="BU20" s="10">
        <f>IF(OR(BU19&lt;0, BU18=0), 0, BU19/BU18 )*Parameters!$E$29</f>
        <v>0</v>
      </c>
      <c r="BV20" s="10">
        <f>IF(OR(BV19&lt;0, BV18=0), 0, BV19/BV18 )*Parameters!$E$29</f>
        <v>0</v>
      </c>
      <c r="BW20" s="10">
        <f>IF(OR(BW19&lt;0, BW18=0), 0, BW19/BW18 )*Parameters!$E$29</f>
        <v>0</v>
      </c>
      <c r="BX20" s="157"/>
      <c r="BY20" s="12"/>
      <c r="BZ20" s="395">
        <f>IF(MIN($V20:$BW20)&lt;0, 1, 0)</f>
        <v>0</v>
      </c>
      <c r="CA20" s="12"/>
      <c r="CB20" s="7">
        <f t="shared" ref="CB20:CB28" si="5">IF(SUM($CE20:$CH20)=0, 0, 1)</f>
        <v>0</v>
      </c>
      <c r="CC20" s="7">
        <f>IF(SUM($CI20:$CK20)=0, 0, 1)</f>
        <v>0</v>
      </c>
      <c r="CD20" s="42"/>
      <c r="CE20" s="352">
        <f t="shared" ref="CE20:CH28" si="6">ROUND(BL20-V20, rounding)</f>
        <v>0</v>
      </c>
      <c r="CF20" s="352">
        <f t="shared" si="6"/>
        <v>0</v>
      </c>
      <c r="CG20" s="352">
        <f t="shared" si="6"/>
        <v>0</v>
      </c>
      <c r="CH20" s="352">
        <f t="shared" si="6"/>
        <v>0</v>
      </c>
      <c r="CI20" s="352">
        <f t="shared" si="4"/>
        <v>0</v>
      </c>
      <c r="CJ20" s="352">
        <f t="shared" si="4"/>
        <v>0</v>
      </c>
      <c r="CK20" s="352">
        <f t="shared" si="4"/>
        <v>0</v>
      </c>
      <c r="EX20" s="10" t="str">
        <f t="shared" si="0"/>
        <v>Adjusted cash days in hand</v>
      </c>
    </row>
    <row r="21" spans="1:154" s="335" customFormat="1" ht="8.1" customHeight="1" x14ac:dyDescent="0.25">
      <c r="A21" s="157"/>
      <c r="B21" s="157"/>
      <c r="C21" s="340"/>
      <c r="D21" s="158"/>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42"/>
      <c r="CA21" s="42"/>
      <c r="CD21" s="42"/>
      <c r="EX21" s="10" t="str">
        <f>IF($C21="","",$D21)</f>
        <v/>
      </c>
    </row>
    <row r="22" spans="1:154" ht="15.75" x14ac:dyDescent="0.3">
      <c r="A22" s="362" cm="1">
        <f t="array" aca="1" ref="A22" ca="1">HYPERLINK(CONCATENATE("#",CELL("address",IF(SUM($CA22:$CD22)=0,A22,INDEX($CA22:$CD22,MATCH(1,$CA22:$CD22,0))))),SUM($CA22:$CD22))</f>
        <v>0</v>
      </c>
      <c r="B22" s="105" t="s">
        <v>335</v>
      </c>
      <c r="C22" s="343" t="s">
        <v>1511</v>
      </c>
      <c r="D22" s="158" t="s">
        <v>618</v>
      </c>
      <c r="E22" s="158"/>
      <c r="F22" s="157"/>
      <c r="G22" s="157" t="s">
        <v>276</v>
      </c>
      <c r="H22" s="157"/>
      <c r="I22" s="157"/>
      <c r="J22" s="180"/>
      <c r="K22" s="157"/>
      <c r="L22" s="157"/>
      <c r="M22" s="157"/>
      <c r="N22" s="157"/>
      <c r="O22" s="157"/>
      <c r="P22" s="157"/>
      <c r="Q22" s="157"/>
      <c r="R22" s="157"/>
      <c r="S22" s="157"/>
      <c r="T22" s="157"/>
      <c r="U22" s="157"/>
      <c r="V22" s="393">
        <f>IF('Fin Stat'!V107=0, 0, 'Fin Stat'!V86/'Fin Stat'!V107)</f>
        <v>0</v>
      </c>
      <c r="W22" s="393">
        <f ca="1">IF('Fin Stat'!W107=0, 0, 'Fin Stat'!W86/'Fin Stat'!W107)</f>
        <v>4.3297452457839976</v>
      </c>
      <c r="X22" s="393">
        <f ca="1">IF('Fin Stat'!X107=0, 0, 'Fin Stat'!X86/'Fin Stat'!X107)</f>
        <v>3.6772773450728073</v>
      </c>
      <c r="Y22" s="393">
        <f ca="1">IF('Fin Stat'!Y107=0, 0, 'Fin Stat'!Y86/'Fin Stat'!Y107)</f>
        <v>4.4652927669345583</v>
      </c>
      <c r="Z22" s="157"/>
      <c r="AA22" s="393">
        <f ca="1">IF('Fin Stat'!AA107=0, 0, 'Fin Stat'!AA86/'Fin Stat'!AA107)</f>
        <v>6.4322869955156952</v>
      </c>
      <c r="AB22" s="393">
        <f ca="1">IF('Fin Stat'!AB107=0, 0, 'Fin Stat'!AB86/'Fin Stat'!AB107)</f>
        <v>7.4984227129337535</v>
      </c>
      <c r="AC22" s="393">
        <f ca="1">IF('Fin Stat'!AC107=0, 0, 'Fin Stat'!AC86/'Fin Stat'!AC107)</f>
        <v>6.6159420289855069</v>
      </c>
      <c r="AD22" s="393">
        <f ca="1">IF('Fin Stat'!AD107=0, 0, 'Fin Stat'!AD86/'Fin Stat'!AD107)</f>
        <v>6.5776058261265362</v>
      </c>
      <c r="AE22" s="393">
        <f ca="1">IF('Fin Stat'!AE107=0, 0, 'Fin Stat'!AE86/'Fin Stat'!AE107)</f>
        <v>6.4030192131747485</v>
      </c>
      <c r="AF22" s="393">
        <f ca="1">IF('Fin Stat'!AF107=0, 0, 'Fin Stat'!AF86/'Fin Stat'!AF107)</f>
        <v>6.1410256410256414</v>
      </c>
      <c r="AG22" s="393">
        <f ca="1">IF('Fin Stat'!AG107=0, 0, 'Fin Stat'!AG86/'Fin Stat'!AG107)</f>
        <v>5.8411172161172162</v>
      </c>
      <c r="AH22" s="393">
        <f ca="1">IF('Fin Stat'!AH107=0, 0, 'Fin Stat'!AH86/'Fin Stat'!AH107)</f>
        <v>4.978937728937729</v>
      </c>
      <c r="AI22" s="393">
        <f ca="1">IF('Fin Stat'!AI107=0, 0, 'Fin Stat'!AI86/'Fin Stat'!AI107)</f>
        <v>5.5915750915750912</v>
      </c>
      <c r="AJ22" s="393">
        <f ca="1">IF('Fin Stat'!AJ107=0, 0, 'Fin Stat'!AJ86/'Fin Stat'!AJ107)</f>
        <v>5.7586996336996341</v>
      </c>
      <c r="AK22" s="393">
        <f ca="1">IF('Fin Stat'!AK107=0, 0, 'Fin Stat'!AK86/'Fin Stat'!AK107)</f>
        <v>5.9294871794871797</v>
      </c>
      <c r="AL22" s="393">
        <f ca="1">IF('Fin Stat'!AL107=0, 0, 'Fin Stat'!AL86/'Fin Stat'!AL107)</f>
        <v>4.3297452457839976</v>
      </c>
      <c r="AM22" s="393">
        <f ca="1">IF('Fin Stat'!AM107=0, 0, 'Fin Stat'!AM86/'Fin Stat'!AM107)</f>
        <v>5.7271142109851789</v>
      </c>
      <c r="AN22" s="393">
        <f ca="1">IF('Fin Stat'!AN107=0, 0, 'Fin Stat'!AN86/'Fin Stat'!AN107)</f>
        <v>5.9145597210113339</v>
      </c>
      <c r="AO22" s="393">
        <f ca="1">IF('Fin Stat'!AO107=0, 0, 'Fin Stat'!AO86/'Fin Stat'!AO107)</f>
        <v>5.8509154315605931</v>
      </c>
      <c r="AP22" s="393">
        <f ca="1">IF('Fin Stat'!AP107=0, 0, 'Fin Stat'!AP86/'Fin Stat'!AP107)</f>
        <v>5.6006974716652138</v>
      </c>
      <c r="AQ22" s="393">
        <f ca="1">IF('Fin Stat'!AQ107=0, 0, 'Fin Stat'!AQ86/'Fin Stat'!AQ107)</f>
        <v>5.0623365300784657</v>
      </c>
      <c r="AR22" s="393">
        <f ca="1">IF('Fin Stat'!AR107=0, 0, 'Fin Stat'!AR86/'Fin Stat'!AR107)</f>
        <v>4.6586748038360941</v>
      </c>
      <c r="AS22" s="393">
        <f ca="1">IF('Fin Stat'!AS107=0, 0, 'Fin Stat'!AS86/'Fin Stat'!AS107)</f>
        <v>4.0688753269398434</v>
      </c>
      <c r="AT22" s="393">
        <f ca="1">IF('Fin Stat'!AT107=0, 0, 'Fin Stat'!AT86/'Fin Stat'!AT107)</f>
        <v>3.4738448125544901</v>
      </c>
      <c r="AU22" s="393">
        <f ca="1">IF('Fin Stat'!AU107=0, 0, 'Fin Stat'!AU86/'Fin Stat'!AU107)</f>
        <v>3.944202266782912</v>
      </c>
      <c r="AV22" s="393">
        <f ca="1">IF('Fin Stat'!AV107=0, 0, 'Fin Stat'!AV86/'Fin Stat'!AV107)</f>
        <v>3.9895379250217959</v>
      </c>
      <c r="AW22" s="393">
        <f ca="1">IF('Fin Stat'!AW107=0, 0, 'Fin Stat'!AW86/'Fin Stat'!AW107)</f>
        <v>3.8844812554489976</v>
      </c>
      <c r="AX22" s="393">
        <f ca="1">IF('Fin Stat'!AX107=0, 0, 'Fin Stat'!AX86/'Fin Stat'!AX107)</f>
        <v>3.6772773450728073</v>
      </c>
      <c r="AY22" s="393">
        <f ca="1">IF('Fin Stat'!AY107=0, 0, 'Fin Stat'!AY86/'Fin Stat'!AY107)</f>
        <v>6.584243923611111</v>
      </c>
      <c r="AZ22" s="393">
        <f ca="1">IF('Fin Stat'!AZ107=0, 0, 'Fin Stat'!AZ86/'Fin Stat'!AZ107)</f>
        <v>7.1276588541666666</v>
      </c>
      <c r="BA22" s="393">
        <f ca="1">IF('Fin Stat'!BA107=0, 0, 'Fin Stat'!BA86/'Fin Stat'!BA107)</f>
        <v>7.1393715277777776</v>
      </c>
      <c r="BB22" s="393">
        <f ca="1">IF('Fin Stat'!BB107=0, 0, 'Fin Stat'!BB86/'Fin Stat'!BB107)</f>
        <v>6.8291562499999996</v>
      </c>
      <c r="BC22" s="393">
        <f ca="1">IF('Fin Stat'!BC107=0, 0, 'Fin Stat'!BC86/'Fin Stat'!BC107)</f>
        <v>6.2955468750000003</v>
      </c>
      <c r="BD22" s="393">
        <f ca="1">IF('Fin Stat'!BD107=0, 0, 'Fin Stat'!BD86/'Fin Stat'!BD107)</f>
        <v>5.9350104166666675</v>
      </c>
      <c r="BE22" s="393">
        <f ca="1">IF('Fin Stat'!BE107=0, 0, 'Fin Stat'!BE86/'Fin Stat'!BE107)</f>
        <v>5.3148324652777772</v>
      </c>
      <c r="BF22" s="393">
        <f ca="1">IF('Fin Stat'!BF107=0, 0, 'Fin Stat'!BF86/'Fin Stat'!BF107)</f>
        <v>4.7978958333333326</v>
      </c>
      <c r="BG22" s="393">
        <f ca="1">IF('Fin Stat'!BG107=0, 0, 'Fin Stat'!BG86/'Fin Stat'!BG107)</f>
        <v>5.5673637152777777</v>
      </c>
      <c r="BH22" s="393">
        <f ca="1">IF('Fin Stat'!BH107=0, 0, 'Fin Stat'!BH86/'Fin Stat'!BH107)</f>
        <v>5.7241701388888897</v>
      </c>
      <c r="BI22" s="393">
        <f ca="1">IF('Fin Stat'!BI107=0, 0, 'Fin Stat'!BI86/'Fin Stat'!BI107)</f>
        <v>5.6763541666666679</v>
      </c>
      <c r="BJ22" s="393">
        <f ca="1">IF('Fin Stat'!BJ107=0, 0, 'Fin Stat'!BJ86/'Fin Stat'!BJ107)</f>
        <v>4.4652927669345583</v>
      </c>
      <c r="BK22" s="180"/>
      <c r="BL22" s="393">
        <f>IF('Fin Stat'!BL107=0, 0, 'Fin Stat'!BL86/'Fin Stat'!BL107)</f>
        <v>0</v>
      </c>
      <c r="BM22" s="393">
        <f ca="1">IF('Fin Stat'!BM107=0, 0, 'Fin Stat'!BM86/'Fin Stat'!BM107)</f>
        <v>4.3297452457839976</v>
      </c>
      <c r="BN22" s="393">
        <f ca="1">IF('Fin Stat'!BN107=0, 0, 'Fin Stat'!BN86/'Fin Stat'!BN107)</f>
        <v>3.6772773450728073</v>
      </c>
      <c r="BO22" s="393">
        <f ca="1">IF('Fin Stat'!BO107=0, 0, 'Fin Stat'!BO86/'Fin Stat'!BO107)</f>
        <v>4.4652927669345583</v>
      </c>
      <c r="BP22" s="393">
        <f>IF('Fin Stat'!BP107=0, 0, 'Fin Stat'!BP86/'Fin Stat'!BP107)</f>
        <v>0</v>
      </c>
      <c r="BQ22" s="393">
        <f>IF('Fin Stat'!BQ107=0, 0, 'Fin Stat'!BQ86/'Fin Stat'!BQ107)</f>
        <v>0</v>
      </c>
      <c r="BR22" s="393">
        <f>IF('Fin Stat'!BR107=0, 0, 'Fin Stat'!BR86/'Fin Stat'!BR107)</f>
        <v>0</v>
      </c>
      <c r="BS22" s="393">
        <f>IF('Fin Stat'!BS107=0, 0, 'Fin Stat'!BS86/'Fin Stat'!BS107)</f>
        <v>0</v>
      </c>
      <c r="BT22" s="393">
        <f>IF('Fin Stat'!BT107=0, 0, 'Fin Stat'!BT86/'Fin Stat'!BT107)</f>
        <v>0</v>
      </c>
      <c r="BU22" s="393">
        <f>IF('Fin Stat'!BU107=0, 0, 'Fin Stat'!BU86/'Fin Stat'!BU107)</f>
        <v>0</v>
      </c>
      <c r="BV22" s="393">
        <f>IF('Fin Stat'!BV107=0, 0, 'Fin Stat'!BV86/'Fin Stat'!BV107)</f>
        <v>0</v>
      </c>
      <c r="BW22" s="393">
        <f>IF('Fin Stat'!BW107=0, 0, 'Fin Stat'!BW86/'Fin Stat'!BW107)</f>
        <v>0</v>
      </c>
      <c r="BX22" s="157"/>
      <c r="BY22" s="12"/>
      <c r="CA22" s="12"/>
      <c r="CB22" s="7">
        <f t="shared" ca="1" si="5"/>
        <v>0</v>
      </c>
      <c r="CD22" s="42"/>
      <c r="CE22" s="352">
        <f t="shared" si="6"/>
        <v>0</v>
      </c>
      <c r="CF22" s="352">
        <f t="shared" ca="1" si="6"/>
        <v>0</v>
      </c>
      <c r="CG22" s="352">
        <f t="shared" ca="1" si="6"/>
        <v>0</v>
      </c>
      <c r="CH22" s="352">
        <f t="shared" ca="1" si="6"/>
        <v>0</v>
      </c>
      <c r="EX22" s="10" t="str">
        <f t="shared" si="0"/>
        <v>Current ratio</v>
      </c>
    </row>
    <row r="23" spans="1:154" ht="15.75" x14ac:dyDescent="0.3">
      <c r="A23" s="362" cm="1">
        <f t="array" aca="1" ref="A23" ca="1">HYPERLINK(CONCATENATE("#",CELL("address",IF(SUM($CA23:$CD23)=0,A23,INDEX($CA23:$CD23,MATCH(1,$CA23:$CD23,0))))),SUM($CA23:$CD23))</f>
        <v>0</v>
      </c>
      <c r="B23" s="105" t="s">
        <v>335</v>
      </c>
      <c r="C23" s="343" t="s">
        <v>1512</v>
      </c>
      <c r="D23" s="238" t="s">
        <v>238</v>
      </c>
      <c r="E23" s="158"/>
      <c r="F23" s="157"/>
      <c r="G23" s="157" t="s">
        <v>276</v>
      </c>
      <c r="H23" s="157"/>
      <c r="I23" s="157"/>
      <c r="J23" s="180"/>
      <c r="K23" s="157"/>
      <c r="L23" s="157"/>
      <c r="M23" s="157"/>
      <c r="N23" s="157"/>
      <c r="O23" s="157"/>
      <c r="P23" s="157"/>
      <c r="Q23" s="157"/>
      <c r="R23" s="157"/>
      <c r="S23" s="157"/>
      <c r="T23" s="157"/>
      <c r="U23" s="157"/>
      <c r="V23" s="393">
        <f>IFERROR(('Fin Stat'!V86-'Fin Stat'!V85-'Fin Stat'!V76)/('Fin Stat'!V107- 'Fin Stat'!V103-'Fin Stat'!V94 ), 0)*V$9</f>
        <v>0</v>
      </c>
      <c r="W23" s="393">
        <f ca="1">IFERROR(('Fin Stat'!W86-'Fin Stat'!W85-'Fin Stat'!W76)/('Fin Stat'!W107- 'Fin Stat'!W103-'Fin Stat'!W94 ), 0)*W$9</f>
        <v>5.2057808455565144</v>
      </c>
      <c r="X23" s="393">
        <f ca="1">IFERROR(('Fin Stat'!X86-'Fin Stat'!X85-'Fin Stat'!X76)/('Fin Stat'!X107- 'Fin Stat'!X103-'Fin Stat'!X94 ), 0)*X$9</f>
        <v>4.4522345223452238</v>
      </c>
      <c r="Y23" s="393">
        <f ca="1">IFERROR(('Fin Stat'!Y86-'Fin Stat'!Y85-'Fin Stat'!Y76)/('Fin Stat'!Y107- 'Fin Stat'!Y103-'Fin Stat'!Y94 ), 0)*Y$9</f>
        <v>5.7139128305582769</v>
      </c>
      <c r="Z23" s="157"/>
      <c r="AA23" s="393">
        <f ca="1">IFERROR(('Fin Stat'!AA86-'Fin Stat'!AA85-'Fin Stat'!AA76)/('Fin Stat'!AA107- 'Fin Stat'!AA103-'Fin Stat'!AA94 ), 0)*AA$9</f>
        <v>6.4322869955156952</v>
      </c>
      <c r="AB23" s="393">
        <f ca="1">IFERROR(('Fin Stat'!AB86-'Fin Stat'!AB85-'Fin Stat'!AB76)/('Fin Stat'!AB107- 'Fin Stat'!AB103-'Fin Stat'!AB94 ), 0)*AB$9</f>
        <v>7.4984227129337535</v>
      </c>
      <c r="AC23" s="393">
        <f ca="1">IFERROR(('Fin Stat'!AC86-'Fin Stat'!AC85-'Fin Stat'!AC76)/('Fin Stat'!AC107- 'Fin Stat'!AC103-'Fin Stat'!AC94 ), 0)*AC$9</f>
        <v>6.6159420289855069</v>
      </c>
      <c r="AD23" s="393">
        <f ca="1">IFERROR(('Fin Stat'!AD86-'Fin Stat'!AD85-'Fin Stat'!AD76)/('Fin Stat'!AD107- 'Fin Stat'!AD103-'Fin Stat'!AD94 ), 0)*AD$9</f>
        <v>6.5776058261265362</v>
      </c>
      <c r="AE23" s="393">
        <f ca="1">IFERROR(('Fin Stat'!AE86-'Fin Stat'!AE85-'Fin Stat'!AE76)/('Fin Stat'!AE107- 'Fin Stat'!AE103-'Fin Stat'!AE94 ), 0)*AE$9</f>
        <v>6.4030192131747485</v>
      </c>
      <c r="AF23" s="393">
        <f ca="1">IFERROR(('Fin Stat'!AF86-'Fin Stat'!AF85-'Fin Stat'!AF76)/('Fin Stat'!AF107- 'Fin Stat'!AF103-'Fin Stat'!AF94 ), 0)*AF$9</f>
        <v>6.1410256410256414</v>
      </c>
      <c r="AG23" s="393">
        <f ca="1">IFERROR(('Fin Stat'!AG86-'Fin Stat'!AG85-'Fin Stat'!AG76)/('Fin Stat'!AG107- 'Fin Stat'!AG103-'Fin Stat'!AG94 ), 0)*AG$9</f>
        <v>5.8411172161172162</v>
      </c>
      <c r="AH23" s="393">
        <f ca="1">IFERROR(('Fin Stat'!AH86-'Fin Stat'!AH85-'Fin Stat'!AH76)/('Fin Stat'!AH107- 'Fin Stat'!AH103-'Fin Stat'!AH94 ), 0)*AH$9</f>
        <v>4.978937728937729</v>
      </c>
      <c r="AI23" s="393">
        <f ca="1">IFERROR(('Fin Stat'!AI86-'Fin Stat'!AI85-'Fin Stat'!AI76)/('Fin Stat'!AI107- 'Fin Stat'!AI103-'Fin Stat'!AI94 ), 0)*AI$9</f>
        <v>5.5915750915750912</v>
      </c>
      <c r="AJ23" s="393">
        <f ca="1">IFERROR(('Fin Stat'!AJ86-'Fin Stat'!AJ85-'Fin Stat'!AJ76)/('Fin Stat'!AJ107- 'Fin Stat'!AJ103-'Fin Stat'!AJ94 ), 0)*AJ$9</f>
        <v>5.7586996336996341</v>
      </c>
      <c r="AK23" s="393">
        <f ca="1">IFERROR(('Fin Stat'!AK86-'Fin Stat'!AK85-'Fin Stat'!AK76)/('Fin Stat'!AK107- 'Fin Stat'!AK103-'Fin Stat'!AK94 ), 0)*AK$9</f>
        <v>5.9294871794871797</v>
      </c>
      <c r="AL23" s="393">
        <f ca="1">IFERROR(('Fin Stat'!AL86-'Fin Stat'!AL85-'Fin Stat'!AL76)/('Fin Stat'!AL107- 'Fin Stat'!AL103-'Fin Stat'!AL94 ), 0)*AL$9</f>
        <v>5.2057808455565144</v>
      </c>
      <c r="AM23" s="393">
        <f ca="1">IFERROR(('Fin Stat'!AM86-'Fin Stat'!AM85-'Fin Stat'!AM76)/('Fin Stat'!AM107- 'Fin Stat'!AM103-'Fin Stat'!AM94 ), 0)*AM$9</f>
        <v>5.7271142109851789</v>
      </c>
      <c r="AN23" s="393">
        <f ca="1">IFERROR(('Fin Stat'!AN86-'Fin Stat'!AN85-'Fin Stat'!AN76)/('Fin Stat'!AN107- 'Fin Stat'!AN103-'Fin Stat'!AN94 ), 0)*AN$9</f>
        <v>5.9145597210113339</v>
      </c>
      <c r="AO23" s="393">
        <f ca="1">IFERROR(('Fin Stat'!AO86-'Fin Stat'!AO85-'Fin Stat'!AO76)/('Fin Stat'!AO107- 'Fin Stat'!AO103-'Fin Stat'!AO94 ), 0)*AO$9</f>
        <v>5.8509154315605931</v>
      </c>
      <c r="AP23" s="393">
        <f ca="1">IFERROR(('Fin Stat'!AP86-'Fin Stat'!AP85-'Fin Stat'!AP76)/('Fin Stat'!AP107- 'Fin Stat'!AP103-'Fin Stat'!AP94 ), 0)*AP$9</f>
        <v>5.6006974716652138</v>
      </c>
      <c r="AQ23" s="393">
        <f ca="1">IFERROR(('Fin Stat'!AQ86-'Fin Stat'!AQ85-'Fin Stat'!AQ76)/('Fin Stat'!AQ107- 'Fin Stat'!AQ103-'Fin Stat'!AQ94 ), 0)*AQ$9</f>
        <v>5.0623365300784657</v>
      </c>
      <c r="AR23" s="393">
        <f ca="1">IFERROR(('Fin Stat'!AR86-'Fin Stat'!AR85-'Fin Stat'!AR76)/('Fin Stat'!AR107- 'Fin Stat'!AR103-'Fin Stat'!AR94 ), 0)*AR$9</f>
        <v>4.6586748038360941</v>
      </c>
      <c r="AS23" s="393">
        <f ca="1">IFERROR(('Fin Stat'!AS86-'Fin Stat'!AS85-'Fin Stat'!AS76)/('Fin Stat'!AS107- 'Fin Stat'!AS103-'Fin Stat'!AS94 ), 0)*AS$9</f>
        <v>4.0688753269398434</v>
      </c>
      <c r="AT23" s="393">
        <f ca="1">IFERROR(('Fin Stat'!AT86-'Fin Stat'!AT85-'Fin Stat'!AT76)/('Fin Stat'!AT107- 'Fin Stat'!AT103-'Fin Stat'!AT94 ), 0)*AT$9</f>
        <v>3.4738448125544901</v>
      </c>
      <c r="AU23" s="393">
        <f ca="1">IFERROR(('Fin Stat'!AU86-'Fin Stat'!AU85-'Fin Stat'!AU76)/('Fin Stat'!AU107- 'Fin Stat'!AU103-'Fin Stat'!AU94 ), 0)*AU$9</f>
        <v>3.944202266782912</v>
      </c>
      <c r="AV23" s="393">
        <f ca="1">IFERROR(('Fin Stat'!AV86-'Fin Stat'!AV85-'Fin Stat'!AV76)/('Fin Stat'!AV107- 'Fin Stat'!AV103-'Fin Stat'!AV94 ), 0)*AV$9</f>
        <v>3.9895379250217959</v>
      </c>
      <c r="AW23" s="393">
        <f ca="1">IFERROR(('Fin Stat'!AW86-'Fin Stat'!AW85-'Fin Stat'!AW76)/('Fin Stat'!AW107- 'Fin Stat'!AW103-'Fin Stat'!AW94 ), 0)*AW$9</f>
        <v>3.8844812554489976</v>
      </c>
      <c r="AX23" s="393">
        <f ca="1">IFERROR(('Fin Stat'!AX86-'Fin Stat'!AX85-'Fin Stat'!AX76)/('Fin Stat'!AX107- 'Fin Stat'!AX103-'Fin Stat'!AX94 ), 0)*AX$9</f>
        <v>4.4522345223452238</v>
      </c>
      <c r="AY23" s="393">
        <f ca="1">IFERROR(('Fin Stat'!AY86-'Fin Stat'!AY85-'Fin Stat'!AY76)/('Fin Stat'!AY107- 'Fin Stat'!AY103-'Fin Stat'!AY94 ), 0)*AY$9</f>
        <v>6.584243923611111</v>
      </c>
      <c r="AZ23" s="393">
        <f ca="1">IFERROR(('Fin Stat'!AZ86-'Fin Stat'!AZ85-'Fin Stat'!AZ76)/('Fin Stat'!AZ107- 'Fin Stat'!AZ103-'Fin Stat'!AZ94 ), 0)*AZ$9</f>
        <v>7.1276588541666666</v>
      </c>
      <c r="BA23" s="393">
        <f ca="1">IFERROR(('Fin Stat'!BA86-'Fin Stat'!BA85-'Fin Stat'!BA76)/('Fin Stat'!BA107- 'Fin Stat'!BA103-'Fin Stat'!BA94 ), 0)*BA$9</f>
        <v>7.1393715277777776</v>
      </c>
      <c r="BB23" s="393">
        <f ca="1">IFERROR(('Fin Stat'!BB86-'Fin Stat'!BB85-'Fin Stat'!BB76)/('Fin Stat'!BB107- 'Fin Stat'!BB103-'Fin Stat'!BB94 ), 0)*BB$9</f>
        <v>6.8291562499999996</v>
      </c>
      <c r="BC23" s="393">
        <f ca="1">IFERROR(('Fin Stat'!BC86-'Fin Stat'!BC85-'Fin Stat'!BC76)/('Fin Stat'!BC107- 'Fin Stat'!BC103-'Fin Stat'!BC94 ), 0)*BC$9</f>
        <v>6.2955468750000003</v>
      </c>
      <c r="BD23" s="393">
        <f ca="1">IFERROR(('Fin Stat'!BD86-'Fin Stat'!BD85-'Fin Stat'!BD76)/('Fin Stat'!BD107- 'Fin Stat'!BD103-'Fin Stat'!BD94 ), 0)*BD$9</f>
        <v>5.9350104166666675</v>
      </c>
      <c r="BE23" s="393">
        <f ca="1">IFERROR(('Fin Stat'!BE86-'Fin Stat'!BE85-'Fin Stat'!BE76)/('Fin Stat'!BE107- 'Fin Stat'!BE103-'Fin Stat'!BE94 ), 0)*BE$9</f>
        <v>5.3148324652777772</v>
      </c>
      <c r="BF23" s="393">
        <f ca="1">IFERROR(('Fin Stat'!BF86-'Fin Stat'!BF85-'Fin Stat'!BF76)/('Fin Stat'!BF107- 'Fin Stat'!BF103-'Fin Stat'!BF94 ), 0)*BF$9</f>
        <v>4.7978958333333326</v>
      </c>
      <c r="BG23" s="393">
        <f ca="1">IFERROR(('Fin Stat'!BG86-'Fin Stat'!BG85-'Fin Stat'!BG76)/('Fin Stat'!BG107- 'Fin Stat'!BG103-'Fin Stat'!BG94 ), 0)*BG$9</f>
        <v>5.5673637152777777</v>
      </c>
      <c r="BH23" s="393">
        <f ca="1">IFERROR(('Fin Stat'!BH86-'Fin Stat'!BH85-'Fin Stat'!BH76)/('Fin Stat'!BH107- 'Fin Stat'!BH103-'Fin Stat'!BH94 ), 0)*BH$9</f>
        <v>5.7241701388888897</v>
      </c>
      <c r="BI23" s="393">
        <f ca="1">IFERROR(('Fin Stat'!BI86-'Fin Stat'!BI85-'Fin Stat'!BI76)/('Fin Stat'!BI107- 'Fin Stat'!BI103-'Fin Stat'!BI94 ), 0)*BI$9</f>
        <v>5.6763541666666679</v>
      </c>
      <c r="BJ23" s="393">
        <f ca="1">IFERROR(('Fin Stat'!BJ86-'Fin Stat'!BJ85-'Fin Stat'!BJ76)/('Fin Stat'!BJ107- 'Fin Stat'!BJ103-'Fin Stat'!BJ94 ), 0)*BJ$9</f>
        <v>5.7139128305582769</v>
      </c>
      <c r="BK23" s="157"/>
      <c r="BL23" s="393">
        <f>IFERROR(('Fin Stat'!BL86-'Fin Stat'!BL85-'Fin Stat'!BL76)/('Fin Stat'!BL107- 'Fin Stat'!BL103-'Fin Stat'!BL94 ), 0)*BL$9</f>
        <v>0</v>
      </c>
      <c r="BM23" s="393">
        <f ca="1">IFERROR(('Fin Stat'!BM86-'Fin Stat'!BM85-'Fin Stat'!BM76)/('Fin Stat'!BM107- 'Fin Stat'!BM103-'Fin Stat'!BM94 ), 0)*BM$9</f>
        <v>5.2057808455565144</v>
      </c>
      <c r="BN23" s="393">
        <f ca="1">IFERROR(('Fin Stat'!BN86-'Fin Stat'!BN85-'Fin Stat'!BN76)/('Fin Stat'!BN107- 'Fin Stat'!BN103-'Fin Stat'!BN94 ), 0)*BN$9</f>
        <v>4.4522345223452238</v>
      </c>
      <c r="BO23" s="393">
        <f ca="1">IFERROR(('Fin Stat'!BO86-'Fin Stat'!BO85-'Fin Stat'!BO76)/('Fin Stat'!BO107- 'Fin Stat'!BO103-'Fin Stat'!BO94 ), 0)*BO$9</f>
        <v>5.7139128305582769</v>
      </c>
      <c r="BP23" s="393">
        <f>IFERROR(('Fin Stat'!BP86-'Fin Stat'!BP85-'Fin Stat'!BP76)/('Fin Stat'!BP107- 'Fin Stat'!BP103-'Fin Stat'!BP94 ), 0)*BP$9</f>
        <v>0</v>
      </c>
      <c r="BQ23" s="393">
        <f>IFERROR(('Fin Stat'!BQ86-'Fin Stat'!BQ85-'Fin Stat'!BQ76)/('Fin Stat'!BQ107- 'Fin Stat'!BQ103-'Fin Stat'!BQ94 ), 0)*BQ$9</f>
        <v>0</v>
      </c>
      <c r="BR23" s="393">
        <f>IFERROR(('Fin Stat'!BR86-'Fin Stat'!BR85-'Fin Stat'!BR76)/('Fin Stat'!BR107- 'Fin Stat'!BR103-'Fin Stat'!BR94 ), 0)*BR$9</f>
        <v>0</v>
      </c>
      <c r="BS23" s="393">
        <f>IFERROR(('Fin Stat'!BS86-'Fin Stat'!BS85-'Fin Stat'!BS76)/('Fin Stat'!BS107- 'Fin Stat'!BS103-'Fin Stat'!BS94 ), 0)*BS$9</f>
        <v>0</v>
      </c>
      <c r="BT23" s="393">
        <f>IFERROR(('Fin Stat'!BT86-'Fin Stat'!BT85-'Fin Stat'!BT76)/('Fin Stat'!BT107- 'Fin Stat'!BT103-'Fin Stat'!BT94 ), 0)*BT$9</f>
        <v>0</v>
      </c>
      <c r="BU23" s="393">
        <f>IFERROR(('Fin Stat'!BU86-'Fin Stat'!BU85-'Fin Stat'!BU76)/('Fin Stat'!BU107- 'Fin Stat'!BU103-'Fin Stat'!BU94 ), 0)*BU$9</f>
        <v>0</v>
      </c>
      <c r="BV23" s="393">
        <f>IFERROR(('Fin Stat'!BV86-'Fin Stat'!BV85-'Fin Stat'!BV76)/('Fin Stat'!BV107- 'Fin Stat'!BV103-'Fin Stat'!BV94 ), 0)*BV$9</f>
        <v>0</v>
      </c>
      <c r="BW23" s="393">
        <f>IFERROR(('Fin Stat'!BW86-'Fin Stat'!BW85-'Fin Stat'!BW76)/('Fin Stat'!BW107- 'Fin Stat'!BW103-'Fin Stat'!BW94 ), 0)*BW$9</f>
        <v>0</v>
      </c>
      <c r="BX23" s="157"/>
      <c r="BY23" s="12"/>
      <c r="CA23" s="12"/>
      <c r="CB23" s="7">
        <f ca="1">IF(SUM($CE23:$CH23)=0, 0, 1)</f>
        <v>0</v>
      </c>
      <c r="CD23" s="42"/>
      <c r="CE23" s="352">
        <f t="shared" si="6"/>
        <v>0</v>
      </c>
      <c r="CF23" s="352">
        <f t="shared" ca="1" si="6"/>
        <v>0</v>
      </c>
      <c r="CG23" s="352">
        <f t="shared" ca="1" si="6"/>
        <v>0</v>
      </c>
      <c r="CH23" s="352">
        <f t="shared" ca="1" si="6"/>
        <v>0</v>
      </c>
      <c r="EX23" s="10" t="str">
        <f t="shared" si="0"/>
        <v>Adjusted current ratio</v>
      </c>
    </row>
    <row r="24" spans="1:154" s="335" customFormat="1" ht="15.75" x14ac:dyDescent="0.3">
      <c r="A24" s="362" cm="1">
        <f t="array" aca="1" ref="A24" ca="1">HYPERLINK(CONCATENATE("#",CELL("address",IF(SUM($CA24:$CD24)=0,A24,INDEX($CA24:$CD24,MATCH(1,$CA24:$CD24,0))))),SUM($CA24:$CD24))</f>
        <v>0</v>
      </c>
      <c r="B24" s="105" t="s">
        <v>335</v>
      </c>
      <c r="C24" s="343" t="s">
        <v>2319</v>
      </c>
      <c r="D24" s="238" t="s">
        <v>2318</v>
      </c>
      <c r="E24" s="158"/>
      <c r="F24" s="157"/>
      <c r="G24" s="157" t="s">
        <v>2512</v>
      </c>
      <c r="H24" s="157"/>
      <c r="I24" s="157"/>
      <c r="J24" s="180"/>
      <c r="K24" s="157"/>
      <c r="L24" s="157"/>
      <c r="M24" s="157"/>
      <c r="N24" s="157"/>
      <c r="O24" s="157"/>
      <c r="P24" s="157"/>
      <c r="Q24" s="157"/>
      <c r="R24" s="157"/>
      <c r="S24" s="157"/>
      <c r="T24" s="157"/>
      <c r="U24" s="157"/>
      <c r="V24" s="13">
        <f>BL24</f>
        <v>0</v>
      </c>
      <c r="W24" s="13">
        <f t="shared" ref="W24:Y24" si="7">BM24</f>
        <v>3704</v>
      </c>
      <c r="X24" s="13">
        <f t="shared" si="7"/>
        <v>3460</v>
      </c>
      <c r="Y24" s="13">
        <f t="shared" si="7"/>
        <v>3510.23</v>
      </c>
      <c r="Z24" s="157"/>
      <c r="AA24" s="10">
        <f>SUM('I&amp;E Annual'!AA$44, 'I&amp;E Annual'!AA$53, 'I&amp;E Annual'!AA$59, 'I&amp;E Annual'!AA$65, 'I&amp;E Annual'!AA$71:AA$76, 'I&amp;E Annual'!AA$78:AA$80, 'I&amp;E Annual'!AA$87:AA$94, 'I&amp;E Annual'!AA$101, 'I&amp;E Annual'!AA$103, 'I&amp;E Annual'!AA$117)</f>
        <v>109</v>
      </c>
      <c r="AB24" s="10">
        <f>SUM('I&amp;E Annual'!AB$44, 'I&amp;E Annual'!AB$53, 'I&amp;E Annual'!AB$59, 'I&amp;E Annual'!AB$65, 'I&amp;E Annual'!AB$71:AB$76, 'I&amp;E Annual'!AB$78:AB$80, 'I&amp;E Annual'!AB$87:AB$94, 'I&amp;E Annual'!AB$101, 'I&amp;E Annual'!AB$103, 'I&amp;E Annual'!AB$117)</f>
        <v>1094</v>
      </c>
      <c r="AC24" s="10">
        <f>SUM('I&amp;E Annual'!AC$44, 'I&amp;E Annual'!AC$53, 'I&amp;E Annual'!AC$59, 'I&amp;E Annual'!AC$65, 'I&amp;E Annual'!AC$71:AC$76, 'I&amp;E Annual'!AC$78:AC$80, 'I&amp;E Annual'!AC$87:AC$94, 'I&amp;E Annual'!AC$101, 'I&amp;E Annual'!AC$103, 'I&amp;E Annual'!AC$117)</f>
        <v>224</v>
      </c>
      <c r="AD24" s="10">
        <f>SUM('I&amp;E Annual'!AD$44, 'I&amp;E Annual'!AD$53, 'I&amp;E Annual'!AD$59, 'I&amp;E Annual'!AD$65, 'I&amp;E Annual'!AD$71:AD$76, 'I&amp;E Annual'!AD$78:AD$80, 'I&amp;E Annual'!AD$87:AD$94, 'I&amp;E Annual'!AD$101, 'I&amp;E Annual'!AD$103, 'I&amp;E Annual'!AD$117)</f>
        <v>339</v>
      </c>
      <c r="AE24" s="10">
        <f>SUM('I&amp;E Annual'!AE$44, 'I&amp;E Annual'!AE$53, 'I&amp;E Annual'!AE$59, 'I&amp;E Annual'!AE$65, 'I&amp;E Annual'!AE$71:AE$76, 'I&amp;E Annual'!AE$78:AE$80, 'I&amp;E Annual'!AE$87:AE$94, 'I&amp;E Annual'!AE$101, 'I&amp;E Annual'!AE$103, 'I&amp;E Annual'!AE$117)</f>
        <v>72</v>
      </c>
      <c r="AF24" s="10">
        <f>SUM('I&amp;E Annual'!AF$44, 'I&amp;E Annual'!AF$53, 'I&amp;E Annual'!AF$59, 'I&amp;E Annual'!AF$65, 'I&amp;E Annual'!AF$71:AF$76, 'I&amp;E Annual'!AF$78:AF$80, 'I&amp;E Annual'!AF$87:AF$94, 'I&amp;E Annual'!AF$101, 'I&amp;E Annual'!AF$103, 'I&amp;E Annual'!AF$117)</f>
        <v>214</v>
      </c>
      <c r="AG24" s="10">
        <f>SUM('I&amp;E Annual'!AG$44, 'I&amp;E Annual'!AG$53, 'I&amp;E Annual'!AG$59, 'I&amp;E Annual'!AG$65, 'I&amp;E Annual'!AG$71:AG$76, 'I&amp;E Annual'!AG$78:AG$80, 'I&amp;E Annual'!AG$87:AG$94, 'I&amp;E Annual'!AG$101, 'I&amp;E Annual'!AG$103, 'I&amp;E Annual'!AG$117)</f>
        <v>116</v>
      </c>
      <c r="AH24" s="10">
        <f>SUM('I&amp;E Annual'!AH$44, 'I&amp;E Annual'!AH$53, 'I&amp;E Annual'!AH$59, 'I&amp;E Annual'!AH$65, 'I&amp;E Annual'!AH$71:AH$76, 'I&amp;E Annual'!AH$78:AH$80, 'I&amp;E Annual'!AH$87:AH$94, 'I&amp;E Annual'!AH$101, 'I&amp;E Annual'!AH$103, 'I&amp;E Annual'!AH$117)</f>
        <v>184</v>
      </c>
      <c r="AI24" s="10">
        <f>SUM('I&amp;E Annual'!AI$44, 'I&amp;E Annual'!AI$53, 'I&amp;E Annual'!AI$59, 'I&amp;E Annual'!AI$65, 'I&amp;E Annual'!AI$71:AI$76, 'I&amp;E Annual'!AI$78:AI$80, 'I&amp;E Annual'!AI$87:AI$94, 'I&amp;E Annual'!AI$101, 'I&amp;E Annual'!AI$103, 'I&amp;E Annual'!AI$117)</f>
        <v>356</v>
      </c>
      <c r="AJ24" s="10">
        <f>SUM('I&amp;E Annual'!AJ$44, 'I&amp;E Annual'!AJ$53, 'I&amp;E Annual'!AJ$59, 'I&amp;E Annual'!AJ$65, 'I&amp;E Annual'!AJ$71:AJ$76, 'I&amp;E Annual'!AJ$78:AJ$80, 'I&amp;E Annual'!AJ$87:AJ$94, 'I&amp;E Annual'!AJ$101, 'I&amp;E Annual'!AJ$103, 'I&amp;E Annual'!AJ$117)</f>
        <v>182</v>
      </c>
      <c r="AK24" s="10">
        <f>SUM('I&amp;E Annual'!AK$44, 'I&amp;E Annual'!AK$53, 'I&amp;E Annual'!AK$59, 'I&amp;E Annual'!AK$65, 'I&amp;E Annual'!AK$71:AK$76, 'I&amp;E Annual'!AK$78:AK$80, 'I&amp;E Annual'!AK$87:AK$94, 'I&amp;E Annual'!AK$101, 'I&amp;E Annual'!AK$103, 'I&amp;E Annual'!AK$117)</f>
        <v>669</v>
      </c>
      <c r="AL24" s="10">
        <f>SUM('I&amp;E Annual'!AL$44, 'I&amp;E Annual'!AL$53, 'I&amp;E Annual'!AL$59, 'I&amp;E Annual'!AL$65, 'I&amp;E Annual'!AL$71:AL$76, 'I&amp;E Annual'!AL$78:AL$80, 'I&amp;E Annual'!AL$87:AL$94, 'I&amp;E Annual'!AL$101, 'I&amp;E Annual'!AL$103, 'I&amp;E Annual'!AL$117)</f>
        <v>145</v>
      </c>
      <c r="AM24" s="10">
        <f>SUM('I&amp;E Annual'!AM$44, 'I&amp;E Annual'!AM$53, 'I&amp;E Annual'!AM$59, 'I&amp;E Annual'!AM$65, 'I&amp;E Annual'!AM$71:AM$76, 'I&amp;E Annual'!AM$78:AM$80, 'I&amp;E Annual'!AM$87:AM$94, 'I&amp;E Annual'!AM$101, 'I&amp;E Annual'!AM$103, 'I&amp;E Annual'!AM$117)</f>
        <v>148</v>
      </c>
      <c r="AN24" s="10">
        <f>SUM('I&amp;E Annual'!AN$44, 'I&amp;E Annual'!AN$53, 'I&amp;E Annual'!AN$59, 'I&amp;E Annual'!AN$65, 'I&amp;E Annual'!AN$71:AN$76, 'I&amp;E Annual'!AN$78:AN$80, 'I&amp;E Annual'!AN$87:AN$94, 'I&amp;E Annual'!AN$101, 'I&amp;E Annual'!AN$103, 'I&amp;E Annual'!AN$117)</f>
        <v>991</v>
      </c>
      <c r="AO24" s="10">
        <f>SUM('I&amp;E Annual'!AO$44, 'I&amp;E Annual'!AO$53, 'I&amp;E Annual'!AO$59, 'I&amp;E Annual'!AO$65, 'I&amp;E Annual'!AO$71:AO$76, 'I&amp;E Annual'!AO$78:AO$80, 'I&amp;E Annual'!AO$87:AO$94, 'I&amp;E Annual'!AO$101, 'I&amp;E Annual'!AO$103, 'I&amp;E Annual'!AO$117)</f>
        <v>219</v>
      </c>
      <c r="AP24" s="10">
        <f>SUM('I&amp;E Annual'!AP$44, 'I&amp;E Annual'!AP$53, 'I&amp;E Annual'!AP$59, 'I&amp;E Annual'!AP$65, 'I&amp;E Annual'!AP$71:AP$76, 'I&amp;E Annual'!AP$78:AP$80, 'I&amp;E Annual'!AP$87:AP$94, 'I&amp;E Annual'!AP$101, 'I&amp;E Annual'!AP$103, 'I&amp;E Annual'!AP$117)</f>
        <v>240</v>
      </c>
      <c r="AQ24" s="10">
        <f>SUM('I&amp;E Annual'!AQ$44, 'I&amp;E Annual'!AQ$53, 'I&amp;E Annual'!AQ$59, 'I&amp;E Annual'!AQ$65, 'I&amp;E Annual'!AQ$71:AQ$76, 'I&amp;E Annual'!AQ$78:AQ$80, 'I&amp;E Annual'!AQ$87:AQ$94, 'I&amp;E Annual'!AQ$101, 'I&amp;E Annual'!AQ$103, 'I&amp;E Annual'!AQ$117)</f>
        <v>131</v>
      </c>
      <c r="AR24" s="10">
        <f>SUM('I&amp;E Annual'!AR$44, 'I&amp;E Annual'!AR$53, 'I&amp;E Annual'!AR$59, 'I&amp;E Annual'!AR$65, 'I&amp;E Annual'!AR$71:AR$76, 'I&amp;E Annual'!AR$78:AR$80, 'I&amp;E Annual'!AR$87:AR$94, 'I&amp;E Annual'!AR$101, 'I&amp;E Annual'!AR$103, 'I&amp;E Annual'!AR$117)</f>
        <v>363</v>
      </c>
      <c r="AS24" s="10">
        <f>SUM('I&amp;E Annual'!AS$44, 'I&amp;E Annual'!AS$53, 'I&amp;E Annual'!AS$59, 'I&amp;E Annual'!AS$65, 'I&amp;E Annual'!AS$71:AS$76, 'I&amp;E Annual'!AS$78:AS$80, 'I&amp;E Annual'!AS$87:AS$94, 'I&amp;E Annual'!AS$101, 'I&amp;E Annual'!AS$103, 'I&amp;E Annual'!AS$117)</f>
        <v>142</v>
      </c>
      <c r="AT24" s="10">
        <f>SUM('I&amp;E Annual'!AT$44, 'I&amp;E Annual'!AT$53, 'I&amp;E Annual'!AT$59, 'I&amp;E Annual'!AT$65, 'I&amp;E Annual'!AT$71:AT$76, 'I&amp;E Annual'!AT$78:AT$80, 'I&amp;E Annual'!AT$87:AT$94, 'I&amp;E Annual'!AT$101, 'I&amp;E Annual'!AT$103, 'I&amp;E Annual'!AT$117)</f>
        <v>166</v>
      </c>
      <c r="AU24" s="10">
        <f>SUM('I&amp;E Annual'!AU$44, 'I&amp;E Annual'!AU$53, 'I&amp;E Annual'!AU$59, 'I&amp;E Annual'!AU$65, 'I&amp;E Annual'!AU$71:AU$76, 'I&amp;E Annual'!AU$78:AU$80, 'I&amp;E Annual'!AU$87:AU$94, 'I&amp;E Annual'!AU$101, 'I&amp;E Annual'!AU$103, 'I&amp;E Annual'!AU$117)</f>
        <v>563</v>
      </c>
      <c r="AV24" s="10">
        <f>SUM('I&amp;E Annual'!AV$44, 'I&amp;E Annual'!AV$53, 'I&amp;E Annual'!AV$59, 'I&amp;E Annual'!AV$65, 'I&amp;E Annual'!AV$71:AV$76, 'I&amp;E Annual'!AV$78:AV$80, 'I&amp;E Annual'!AV$87:AV$94, 'I&amp;E Annual'!AV$101, 'I&amp;E Annual'!AV$103, 'I&amp;E Annual'!AV$117)</f>
        <v>162</v>
      </c>
      <c r="AW24" s="10">
        <f>SUM('I&amp;E Annual'!AW$44, 'I&amp;E Annual'!AW$53, 'I&amp;E Annual'!AW$59, 'I&amp;E Annual'!AW$65, 'I&amp;E Annual'!AW$71:AW$76, 'I&amp;E Annual'!AW$78:AW$80, 'I&amp;E Annual'!AW$87:AW$94, 'I&amp;E Annual'!AW$101, 'I&amp;E Annual'!AW$103, 'I&amp;E Annual'!AW$117)</f>
        <v>162</v>
      </c>
      <c r="AX24" s="10">
        <f>SUM('I&amp;E Annual'!AX$44, 'I&amp;E Annual'!AX$53, 'I&amp;E Annual'!AX$59, 'I&amp;E Annual'!AX$65, 'I&amp;E Annual'!AX$71:AX$76, 'I&amp;E Annual'!AX$78:AX$80, 'I&amp;E Annual'!AX$87:AX$94, 'I&amp;E Annual'!AX$101, 'I&amp;E Annual'!AX$103, 'I&amp;E Annual'!AX$117)</f>
        <v>173</v>
      </c>
      <c r="AY24" s="10">
        <f>SUM('I&amp;E Annual'!AY$44, 'I&amp;E Annual'!AY$53, 'I&amp;E Annual'!AY$59, 'I&amp;E Annual'!AY$65, 'I&amp;E Annual'!AY$71:AY$76, 'I&amp;E Annual'!AY$78:AY$80, 'I&amp;E Annual'!AY$87:AY$94, 'I&amp;E Annual'!AY$101, 'I&amp;E Annual'!AY$103, 'I&amp;E Annual'!AY$117)</f>
        <v>149.12</v>
      </c>
      <c r="AZ24" s="10">
        <f>SUM('I&amp;E Annual'!AZ$44, 'I&amp;E Annual'!AZ$53, 'I&amp;E Annual'!AZ$59, 'I&amp;E Annual'!AZ$65, 'I&amp;E Annual'!AZ$71:AZ$76, 'I&amp;E Annual'!AZ$78:AZ$80, 'I&amp;E Annual'!AZ$87:AZ$94, 'I&amp;E Annual'!AZ$101, 'I&amp;E Annual'!AZ$103, 'I&amp;E Annual'!AZ$117)</f>
        <v>992.8649999999999</v>
      </c>
      <c r="BA24" s="10">
        <f>SUM('I&amp;E Annual'!BA$44, 'I&amp;E Annual'!BA$53, 'I&amp;E Annual'!BA$59, 'I&amp;E Annual'!BA$65, 'I&amp;E Annual'!BA$71:BA$76, 'I&amp;E Annual'!BA$78:BA$80, 'I&amp;E Annual'!BA$87:BA$94, 'I&amp;E Annual'!BA$101, 'I&amp;E Annual'!BA$103, 'I&amp;E Annual'!BA$117)</f>
        <v>220.98999999999998</v>
      </c>
      <c r="BB24" s="10">
        <f>SUM('I&amp;E Annual'!BB$44, 'I&amp;E Annual'!BB$53, 'I&amp;E Annual'!BB$59, 'I&amp;E Annual'!BB$65, 'I&amp;E Annual'!BB$71:BB$76, 'I&amp;E Annual'!BB$78:BB$80, 'I&amp;E Annual'!BB$87:BB$94, 'I&amp;E Annual'!BB$101, 'I&amp;E Annual'!BB$103, 'I&amp;E Annual'!BB$117)</f>
        <v>242.23500000000001</v>
      </c>
      <c r="BC24" s="10">
        <f>SUM('I&amp;E Annual'!BC$44, 'I&amp;E Annual'!BC$53, 'I&amp;E Annual'!BC$59, 'I&amp;E Annual'!BC$65, 'I&amp;E Annual'!BC$71:BC$76, 'I&amp;E Annual'!BC$78:BC$80, 'I&amp;E Annual'!BC$87:BC$94, 'I&amp;E Annual'!BC$101, 'I&amp;E Annual'!BC$103, 'I&amp;E Annual'!BC$117)</f>
        <v>133.61500000000001</v>
      </c>
      <c r="BD24" s="10">
        <f>SUM('I&amp;E Annual'!BD$44, 'I&amp;E Annual'!BD$53, 'I&amp;E Annual'!BD$59, 'I&amp;E Annual'!BD$65, 'I&amp;E Annual'!BD$71:BD$76, 'I&amp;E Annual'!BD$78:BD$80, 'I&amp;E Annual'!BD$87:BD$94, 'I&amp;E Annual'!BD$101, 'I&amp;E Annual'!BD$103, 'I&amp;E Annual'!BD$117)</f>
        <v>375.21999999999997</v>
      </c>
      <c r="BE24" s="10">
        <f>SUM('I&amp;E Annual'!BE$44, 'I&amp;E Annual'!BE$53, 'I&amp;E Annual'!BE$59, 'I&amp;E Annual'!BE$65, 'I&amp;E Annual'!BE$71:BE$76, 'I&amp;E Annual'!BE$78:BE$80, 'I&amp;E Annual'!BE$87:BE$94, 'I&amp;E Annual'!BE$101, 'I&amp;E Annual'!BE$103, 'I&amp;E Annual'!BE$117)</f>
        <v>144.38999999999999</v>
      </c>
      <c r="BF24" s="10">
        <f>SUM('I&amp;E Annual'!BF$44, 'I&amp;E Annual'!BF$53, 'I&amp;E Annual'!BF$59, 'I&amp;E Annual'!BF$65, 'I&amp;E Annual'!BF$71:BF$76, 'I&amp;E Annual'!BF$78:BF$80, 'I&amp;E Annual'!BF$87:BF$94, 'I&amp;E Annual'!BF$101, 'I&amp;E Annual'!BF$103, 'I&amp;E Annual'!BF$117)</f>
        <v>168.45499999999998</v>
      </c>
      <c r="BG24" s="10">
        <f>SUM('I&amp;E Annual'!BG$44, 'I&amp;E Annual'!BG$53, 'I&amp;E Annual'!BG$59, 'I&amp;E Annual'!BG$65, 'I&amp;E Annual'!BG$71:BG$76, 'I&amp;E Annual'!BG$78:BG$80, 'I&amp;E Annual'!BG$87:BG$94, 'I&amp;E Annual'!BG$101, 'I&amp;E Annual'!BG$103, 'I&amp;E Annual'!BG$117)</f>
        <v>570.32500000000005</v>
      </c>
      <c r="BH24" s="10">
        <f>SUM('I&amp;E Annual'!BH$44, 'I&amp;E Annual'!BH$53, 'I&amp;E Annual'!BH$59, 'I&amp;E Annual'!BH$65, 'I&amp;E Annual'!BH$71:BH$76, 'I&amp;E Annual'!BH$78:BH$80, 'I&amp;E Annual'!BH$87:BH$94, 'I&amp;E Annual'!BH$101, 'I&amp;E Annual'!BH$103, 'I&amp;E Annual'!BH$117)</f>
        <v>164.51</v>
      </c>
      <c r="BI24" s="10">
        <f>SUM('I&amp;E Annual'!BI$44, 'I&amp;E Annual'!BI$53, 'I&amp;E Annual'!BI$59, 'I&amp;E Annual'!BI$65, 'I&amp;E Annual'!BI$71:BI$76, 'I&amp;E Annual'!BI$78:BI$80, 'I&amp;E Annual'!BI$87:BI$94, 'I&amp;E Annual'!BI$101, 'I&amp;E Annual'!BI$103, 'I&amp;E Annual'!BI$117)</f>
        <v>164.16499999999999</v>
      </c>
      <c r="BJ24" s="10">
        <f>SUM('I&amp;E Annual'!BJ$44, 'I&amp;E Annual'!BJ$53, 'I&amp;E Annual'!BJ$59, 'I&amp;E Annual'!BJ$65, 'I&amp;E Annual'!BJ$71:BJ$76, 'I&amp;E Annual'!BJ$78:BJ$80, 'I&amp;E Annual'!BJ$87:BJ$94, 'I&amp;E Annual'!BJ$101, 'I&amp;E Annual'!BJ$103, 'I&amp;E Annual'!BJ$117)</f>
        <v>184.34</v>
      </c>
      <c r="BK24" s="157"/>
      <c r="BL24" s="10">
        <f>SUM('I&amp;E Annual'!BL$44, 'I&amp;E Annual'!BL$53, 'I&amp;E Annual'!BL$59, 'I&amp;E Annual'!BL$65, 'I&amp;E Annual'!BL$71:BL$76, 'I&amp;E Annual'!BL$78:BL$80, 'I&amp;E Annual'!BL$87:BL$94, 'I&amp;E Annual'!BL$101, 'I&amp;E Annual'!BL$103, 'I&amp;E Annual'!BL$117)</f>
        <v>0</v>
      </c>
      <c r="BM24" s="10">
        <f>SUM('I&amp;E Annual'!BM$44, 'I&amp;E Annual'!BM$53, 'I&amp;E Annual'!BM$59, 'I&amp;E Annual'!BM$65, 'I&amp;E Annual'!BM$71:BM$76, 'I&amp;E Annual'!BM$78:BM$80, 'I&amp;E Annual'!BM$87:BM$94, 'I&amp;E Annual'!BM$101, 'I&amp;E Annual'!BM$103, 'I&amp;E Annual'!BM$117)</f>
        <v>3704</v>
      </c>
      <c r="BN24" s="10">
        <f>SUM('I&amp;E Annual'!BN$44, 'I&amp;E Annual'!BN$53, 'I&amp;E Annual'!BN$59, 'I&amp;E Annual'!BN$65, 'I&amp;E Annual'!BN$71:BN$76, 'I&amp;E Annual'!BN$78:BN$80, 'I&amp;E Annual'!BN$87:BN$94, 'I&amp;E Annual'!BN$101, 'I&amp;E Annual'!BN$103, 'I&amp;E Annual'!BN$117)</f>
        <v>3460</v>
      </c>
      <c r="BO24" s="10">
        <f>SUM('I&amp;E Annual'!BO$44, 'I&amp;E Annual'!BO$53, 'I&amp;E Annual'!BO$59, 'I&amp;E Annual'!BO$65, 'I&amp;E Annual'!BO$71:BO$76, 'I&amp;E Annual'!BO$78:BO$80, 'I&amp;E Annual'!BO$87:BO$94, 'I&amp;E Annual'!BO$101, 'I&amp;E Annual'!BO$103, 'I&amp;E Annual'!BO$117)</f>
        <v>3510.23</v>
      </c>
      <c r="BP24" s="10">
        <f>SUM('I&amp;E Annual'!BP$44, 'I&amp;E Annual'!BP$53, 'I&amp;E Annual'!BP$59, 'I&amp;E Annual'!BP$65, 'I&amp;E Annual'!BP$71:BP$76, 'I&amp;E Annual'!BP$78:BP$80, 'I&amp;E Annual'!BP$87:BP$94, 'I&amp;E Annual'!BP$101, 'I&amp;E Annual'!BP$103, 'I&amp;E Annual'!BP$117)</f>
        <v>0</v>
      </c>
      <c r="BQ24" s="10">
        <f>SUM('I&amp;E Annual'!BQ$44, 'I&amp;E Annual'!BQ$53, 'I&amp;E Annual'!BQ$59, 'I&amp;E Annual'!BQ$65, 'I&amp;E Annual'!BQ$71:BQ$76, 'I&amp;E Annual'!BQ$78:BQ$80, 'I&amp;E Annual'!BQ$87:BQ$94, 'I&amp;E Annual'!BQ$101, 'I&amp;E Annual'!BQ$103, 'I&amp;E Annual'!BQ$117)</f>
        <v>0</v>
      </c>
      <c r="BR24" s="10">
        <f>SUM('I&amp;E Annual'!BR$44, 'I&amp;E Annual'!BR$53, 'I&amp;E Annual'!BR$59, 'I&amp;E Annual'!BR$65, 'I&amp;E Annual'!BR$71:BR$76, 'I&amp;E Annual'!BR$78:BR$80, 'I&amp;E Annual'!BR$87:BR$94, 'I&amp;E Annual'!BR$101, 'I&amp;E Annual'!BR$103, 'I&amp;E Annual'!BR$117)</f>
        <v>0</v>
      </c>
      <c r="BS24" s="10">
        <f>SUM('I&amp;E Annual'!BS$44, 'I&amp;E Annual'!BS$53, 'I&amp;E Annual'!BS$59, 'I&amp;E Annual'!BS$65, 'I&amp;E Annual'!BS$71:BS$76, 'I&amp;E Annual'!BS$78:BS$80, 'I&amp;E Annual'!BS$87:BS$94, 'I&amp;E Annual'!BS$101, 'I&amp;E Annual'!BS$103, 'I&amp;E Annual'!BS$117)</f>
        <v>0</v>
      </c>
      <c r="BT24" s="10">
        <f>SUM('I&amp;E Annual'!BT$44, 'I&amp;E Annual'!BT$53, 'I&amp;E Annual'!BT$59, 'I&amp;E Annual'!BT$65, 'I&amp;E Annual'!BT$71:BT$76, 'I&amp;E Annual'!BT$78:BT$80, 'I&amp;E Annual'!BT$87:BT$94, 'I&amp;E Annual'!BT$101, 'I&amp;E Annual'!BT$103, 'I&amp;E Annual'!BT$117)</f>
        <v>0</v>
      </c>
      <c r="BU24" s="10">
        <f>SUM('I&amp;E Annual'!BU$44, 'I&amp;E Annual'!BU$53, 'I&amp;E Annual'!BU$59, 'I&amp;E Annual'!BU$65, 'I&amp;E Annual'!BU$71:BU$76, 'I&amp;E Annual'!BU$78:BU$80, 'I&amp;E Annual'!BU$87:BU$94, 'I&amp;E Annual'!BU$101, 'I&amp;E Annual'!BU$103, 'I&amp;E Annual'!BU$117)</f>
        <v>0</v>
      </c>
      <c r="BV24" s="10">
        <f>SUM('I&amp;E Annual'!BV$44, 'I&amp;E Annual'!BV$53, 'I&amp;E Annual'!BV$59, 'I&amp;E Annual'!BV$65, 'I&amp;E Annual'!BV$71:BV$76, 'I&amp;E Annual'!BV$78:BV$80, 'I&amp;E Annual'!BV$87:BV$94, 'I&amp;E Annual'!BV$101, 'I&amp;E Annual'!BV$103, 'I&amp;E Annual'!BV$117)</f>
        <v>0</v>
      </c>
      <c r="BW24" s="10">
        <f>SUM('I&amp;E Annual'!BW$44, 'I&amp;E Annual'!BW$53, 'I&amp;E Annual'!BW$59, 'I&amp;E Annual'!BW$65, 'I&amp;E Annual'!BW$71:BW$76, 'I&amp;E Annual'!BW$78:BW$80, 'I&amp;E Annual'!BW$87:BW$94, 'I&amp;E Annual'!BW$101, 'I&amp;E Annual'!BW$103, 'I&amp;E Annual'!BW$117)</f>
        <v>0</v>
      </c>
      <c r="BX24" s="157"/>
      <c r="BY24" s="12"/>
      <c r="CA24" s="12"/>
      <c r="CB24" s="7">
        <f>IF(SUM($CE24:$CH24)=0, 0, 1)</f>
        <v>0</v>
      </c>
      <c r="CD24" s="42"/>
      <c r="CE24" s="352">
        <f t="shared" ref="CE24" si="8">ROUND(BL24-V24, rounding)</f>
        <v>0</v>
      </c>
      <c r="CF24" s="352">
        <f t="shared" ref="CF24" si="9">ROUND(BM24-W24, rounding)</f>
        <v>0</v>
      </c>
      <c r="CG24" s="352">
        <f t="shared" ref="CG24" si="10">ROUND(BN24-X24, rounding)</f>
        <v>0</v>
      </c>
      <c r="CH24" s="352">
        <f>ROUND(BO24-Y24, rounding)</f>
        <v>0</v>
      </c>
      <c r="EX24" s="10"/>
    </row>
    <row r="25" spans="1:154" ht="15.75" x14ac:dyDescent="0.3">
      <c r="A25" s="362" cm="1">
        <f t="array" aca="1" ref="A25" ca="1">HYPERLINK(CONCATENATE("#",CELL("address",IF(SUM($CA25:$CD25)=0,A25,INDEX($CA25:$CD25,MATCH(1,$CA25:$CD25,0))))),SUM($CA25:$CD25))</f>
        <v>0</v>
      </c>
      <c r="B25" s="105" t="s">
        <v>335</v>
      </c>
      <c r="C25" s="343" t="s">
        <v>1513</v>
      </c>
      <c r="D25" s="158" t="s">
        <v>887</v>
      </c>
      <c r="E25" s="158"/>
      <c r="F25" s="157"/>
      <c r="G25" s="157" t="s">
        <v>635</v>
      </c>
      <c r="H25" s="157"/>
      <c r="I25" s="157"/>
      <c r="J25" s="157"/>
      <c r="K25" s="157"/>
      <c r="L25" s="157"/>
      <c r="M25" s="157"/>
      <c r="N25" s="157"/>
      <c r="O25" s="157"/>
      <c r="P25" s="157"/>
      <c r="Q25" s="157"/>
      <c r="R25" s="157"/>
      <c r="S25" s="157"/>
      <c r="T25" s="157"/>
      <c r="U25" s="157"/>
      <c r="V25" s="393">
        <f>IF(V24=0, 0, 'Fin Stat'!V78/V24)*Parameters!$E$29*V$9</f>
        <v>0</v>
      </c>
      <c r="W25" s="393">
        <f>IF(W24=0, 0, 'Fin Stat'!W78/W24)*Parameters!$E$29*W$9</f>
        <v>110.85988120950324</v>
      </c>
      <c r="X25" s="393">
        <f>IF(X24=0, 0, 'Fin Stat'!X78/X24)*Parameters!$E$29*X$9</f>
        <v>121.3150289017341</v>
      </c>
      <c r="Y25" s="393">
        <f>IF(Y24=0, 0, 'Fin Stat'!Y78/Y24)*Parameters!$E$29*Y$9</f>
        <v>114.37996940371428</v>
      </c>
      <c r="Z25" s="157"/>
      <c r="AA25" s="393">
        <f>IF(AA24=0, 0, 'Fin Stat'!AA78/AA24)*Parameters!$E$30*AA$9</f>
        <v>275.22935779816515</v>
      </c>
      <c r="AB25" s="393">
        <f>IF(AB24=0, 0, 'Fin Stat'!AB78/AB24)*Parameters!$E$30*AB$9</f>
        <v>35.648994515539307</v>
      </c>
      <c r="AC25" s="393">
        <f>IF(AC24=0, 0, 'Fin Stat'!AC78/AC24)*Parameters!$E$30*AC$9</f>
        <v>174.10714285714286</v>
      </c>
      <c r="AD25" s="393">
        <f>IF(AD24=0, 0, 'Fin Stat'!AD78/AD24)*Parameters!$E$30*AD$9</f>
        <v>115.04424778761062</v>
      </c>
      <c r="AE25" s="393">
        <f>IF(AE24=0, 0, 'Fin Stat'!AE78/AE24)*Parameters!$E$30*AE$9</f>
        <v>500.00000000000006</v>
      </c>
      <c r="AF25" s="393">
        <f>IF(AF24=0, 0, 'Fin Stat'!AF78/AF24)*Parameters!$E$30*AF$9</f>
        <v>168.22429906542055</v>
      </c>
      <c r="AG25" s="393">
        <f>IF(AG24=0, 0, 'Fin Stat'!AG78/AG24)*Parameters!$E$30*AG$9</f>
        <v>310.34482758620692</v>
      </c>
      <c r="AH25" s="393">
        <f>IF(AH24=0, 0, 'Fin Stat'!AH78/AH24)*Parameters!$E$30*AH$9</f>
        <v>195.65217391304347</v>
      </c>
      <c r="AI25" s="393">
        <f>IF(AI24=0, 0, 'Fin Stat'!AI78/AI24)*Parameters!$E$30*AI$9</f>
        <v>101.12359550561797</v>
      </c>
      <c r="AJ25" s="393">
        <f>IF(AJ24=0, 0, 'Fin Stat'!AJ78/AJ24)*Parameters!$E$30*AJ$9</f>
        <v>197.80219780219778</v>
      </c>
      <c r="AK25" s="393">
        <f>IF(AK24=0, 0, 'Fin Stat'!AK78/AK24)*Parameters!$E$30*AK$9</f>
        <v>51.569506726457398</v>
      </c>
      <c r="AL25" s="393">
        <f>IF(AL24=0, 0, 'Fin Stat'!AL78/AL24)*Parameters!$E$30*AL$9</f>
        <v>232.75862068965517</v>
      </c>
      <c r="AM25" s="393">
        <f>IF(AM24=0, 0, 'Fin Stat'!AM78/AM24)*Parameters!$E$30*AM$9</f>
        <v>228.04054054054055</v>
      </c>
      <c r="AN25" s="393">
        <f>IF(AN24=0, 0, 'Fin Stat'!AN78/AN24)*Parameters!$E$30*AN$9</f>
        <v>37.840565085771942</v>
      </c>
      <c r="AO25" s="393">
        <f>IF(AO24=0, 0, 'Fin Stat'!AO78/AO24)*Parameters!$E$30*AO$9</f>
        <v>171.23287671232876</v>
      </c>
      <c r="AP25" s="393">
        <f>IF(AP24=0, 0, 'Fin Stat'!AP78/AP24)*Parameters!$E$30*AP$9</f>
        <v>156.25</v>
      </c>
      <c r="AQ25" s="393">
        <f>IF(AQ24=0, 0, 'Fin Stat'!AQ78/AQ24)*Parameters!$E$30*AQ$9</f>
        <v>286.25954198473283</v>
      </c>
      <c r="AR25" s="393">
        <f>IF(AR24=0, 0, 'Fin Stat'!AR78/AR24)*Parameters!$E$30*AR$9</f>
        <v>103.30578512396694</v>
      </c>
      <c r="AS25" s="393">
        <f>IF(AS24=0, 0, 'Fin Stat'!AS78/AS24)*Parameters!$E$30*AS$9</f>
        <v>242.95774647887322</v>
      </c>
      <c r="AT25" s="393">
        <f>IF(AT24=0, 0, 'Fin Stat'!AT78/AT24)*Parameters!$E$30*AT$9</f>
        <v>207.83132530120483</v>
      </c>
      <c r="AU25" s="393">
        <f>IF(AU24=0, 0, 'Fin Stat'!AU78/AU24)*Parameters!$E$30*AU$9</f>
        <v>61.278863232682063</v>
      </c>
      <c r="AV25" s="393">
        <f>IF(AV24=0, 0, 'Fin Stat'!AV78/AV24)*Parameters!$E$30*AV$9</f>
        <v>212.96296296296299</v>
      </c>
      <c r="AW25" s="393">
        <f>IF(AW24=0, 0, 'Fin Stat'!AW78/AW24)*Parameters!$E$30*AW$9</f>
        <v>212.96296296296299</v>
      </c>
      <c r="AX25" s="393">
        <f>IF(AX24=0, 0, 'Fin Stat'!AX78/AX24)*Parameters!$E$30*AX$9</f>
        <v>199.42196531791907</v>
      </c>
      <c r="AY25" s="393">
        <f>IF(AY24=0, 0, 'Fin Stat'!AY78/AY24)*Parameters!$E$30*AY$9</f>
        <v>231.35729613733906</v>
      </c>
      <c r="AZ25" s="393">
        <f>IF(AZ24=0, 0, 'Fin Stat'!AZ78/AZ24)*Parameters!$E$30*AZ$9</f>
        <v>37.769485277454642</v>
      </c>
      <c r="BA25" s="393">
        <f>IF(BA24=0, 0, 'Fin Stat'!BA78/BA24)*Parameters!$E$30*BA$9</f>
        <v>169.6909362414589</v>
      </c>
      <c r="BB25" s="393">
        <f>IF(BB24=0, 0, 'Fin Stat'!BB78/BB24)*Parameters!$E$30*BB$9</f>
        <v>154.80834726608458</v>
      </c>
      <c r="BC25" s="393">
        <f>IF(BC24=0, 0, 'Fin Stat'!BC78/BC24)*Parameters!$E$30*BC$9</f>
        <v>280.65711185121427</v>
      </c>
      <c r="BD25" s="393">
        <f>IF(BD24=0, 0, 'Fin Stat'!BD78/BD24)*Parameters!$E$30*BD$9</f>
        <v>95.943713021693952</v>
      </c>
      <c r="BE25" s="393">
        <f>IF(BE24=0, 0, 'Fin Stat'!BE78/BE24)*Parameters!$E$30*BE$9</f>
        <v>249.32474548098901</v>
      </c>
      <c r="BF25" s="393">
        <f>IF(BF24=0, 0, 'Fin Stat'!BF78/BF24)*Parameters!$E$30*BF$9</f>
        <v>213.70692469799059</v>
      </c>
      <c r="BG25" s="393">
        <f>IF(BG24=0, 0, 'Fin Stat'!BG78/BG24)*Parameters!$E$30*BG$9</f>
        <v>57.861745495989126</v>
      </c>
      <c r="BH25" s="393">
        <f>IF(BH24=0, 0, 'Fin Stat'!BH78/BH24)*Parameters!$E$30*BH$9</f>
        <v>200.59570846757035</v>
      </c>
      <c r="BI25" s="393">
        <f>IF(BI24=0, 0, 'Fin Stat'!BI78/BI24)*Parameters!$E$30*BI$9</f>
        <v>201.01726921085495</v>
      </c>
      <c r="BJ25" s="393">
        <f>IF(BJ24=0, 0, 'Fin Stat'!BJ78/BJ24)*Parameters!$E$30*BJ$9</f>
        <v>179.01703374199849</v>
      </c>
      <c r="BK25" s="157"/>
      <c r="BL25" s="393">
        <f>IF(BL24=0, 0, 'Fin Stat'!BL78/BL24)*Parameters!$E$29*BL$9</f>
        <v>0</v>
      </c>
      <c r="BM25" s="393">
        <f>IF(BM24=0, 0, 'Fin Stat'!BM78/BM24)*Parameters!$E$29*BM$9</f>
        <v>110.85988120950324</v>
      </c>
      <c r="BN25" s="393">
        <f>IF(BN24=0, 0, 'Fin Stat'!BN78/BN24)*Parameters!$E$29*BN$9</f>
        <v>121.3150289017341</v>
      </c>
      <c r="BO25" s="393">
        <f>IF(BO24=0, 0, 'Fin Stat'!BO78/BO24)*Parameters!$E$29*BO$9</f>
        <v>114.37996940371428</v>
      </c>
      <c r="BP25" s="393">
        <f>IF(BP24=0, 0, 'Fin Stat'!BP78/BP24)*Parameters!$E$29*BP$9</f>
        <v>0</v>
      </c>
      <c r="BQ25" s="393">
        <f>IF(BQ24=0, 0, 'Fin Stat'!BQ78/BQ24)*Parameters!$E$29*BQ$9</f>
        <v>0</v>
      </c>
      <c r="BR25" s="393">
        <f>IF(BR24=0, 0, 'Fin Stat'!BR78/BR24)*Parameters!$E$29*BR$9</f>
        <v>0</v>
      </c>
      <c r="BS25" s="393">
        <f>IF(BS24=0, 0, 'Fin Stat'!BS78/BS24)*Parameters!$E$29*BS$9</f>
        <v>0</v>
      </c>
      <c r="BT25" s="393">
        <f>IF(BT24=0, 0, 'Fin Stat'!BT78/BT24)*Parameters!$E$29*BT$9</f>
        <v>0</v>
      </c>
      <c r="BU25" s="393">
        <f>IF(BU24=0, 0, 'Fin Stat'!BU78/BU24)*Parameters!$E$29*BU$9</f>
        <v>0</v>
      </c>
      <c r="BV25" s="393">
        <f>IF(BV24=0, 0, 'Fin Stat'!BV78/BV24)*Parameters!$E$29*BV$9</f>
        <v>0</v>
      </c>
      <c r="BW25" s="393">
        <f>IF(BW24=0, 0, 'Fin Stat'!BW78/BW24)*Parameters!$E$29*BW$9</f>
        <v>0</v>
      </c>
      <c r="BX25" s="157"/>
      <c r="BY25" s="12"/>
      <c r="BZ25" s="395">
        <f>IF(MIN($V25:$BW25)&lt;0, 1, 0)</f>
        <v>0</v>
      </c>
      <c r="CA25" s="12"/>
      <c r="CB25" s="7">
        <f t="shared" si="5"/>
        <v>0</v>
      </c>
      <c r="CD25" s="42"/>
      <c r="CE25" s="352">
        <f t="shared" si="6"/>
        <v>0</v>
      </c>
      <c r="CF25" s="352">
        <f t="shared" si="6"/>
        <v>0</v>
      </c>
      <c r="CG25" s="352">
        <f t="shared" si="6"/>
        <v>0</v>
      </c>
      <c r="CH25" s="352">
        <f t="shared" si="6"/>
        <v>0</v>
      </c>
      <c r="EX25" s="10" t="str">
        <f t="shared" si="0"/>
        <v>Trade debtor days -excluding funding body grants</v>
      </c>
    </row>
    <row r="26" spans="1:154" ht="15.75" x14ac:dyDescent="0.3">
      <c r="A26" s="362" cm="1">
        <f t="array" aca="1" ref="A26" ca="1">HYPERLINK(CONCATENATE("#",CELL("address",IF(SUM($CA26:$CD26)=0,A26,INDEX($CA26:$CD26,MATCH(1,$CA26:$CD26,0))))),SUM($CA26:$CD26))</f>
        <v>0</v>
      </c>
      <c r="B26" s="105" t="s">
        <v>335</v>
      </c>
      <c r="C26" s="343" t="s">
        <v>1514</v>
      </c>
      <c r="D26" s="158" t="s">
        <v>884</v>
      </c>
      <c r="E26" s="158"/>
      <c r="F26" s="157"/>
      <c r="G26" s="157" t="s">
        <v>635</v>
      </c>
      <c r="H26" s="157"/>
      <c r="I26" s="157"/>
      <c r="J26" s="157"/>
      <c r="K26" s="157"/>
      <c r="L26" s="157"/>
      <c r="M26" s="157"/>
      <c r="N26" s="157"/>
      <c r="O26" s="157"/>
      <c r="P26" s="157"/>
      <c r="Q26" s="157"/>
      <c r="R26" s="157"/>
      <c r="S26" s="157"/>
      <c r="T26" s="157"/>
      <c r="U26" s="157"/>
      <c r="V26" s="393">
        <f>Parameters!$E$29*IF('Fin Stat'!V27=0, 0, 'Fin Stat'!V95/'Fin Stat'!V27)*V$9</f>
        <v>0</v>
      </c>
      <c r="W26" s="393">
        <f>Parameters!$E$29*IF('Fin Stat'!W27=0, 0, 'Fin Stat'!W95/'Fin Stat'!W27)*W$9</f>
        <v>34.140067812463464</v>
      </c>
      <c r="X26" s="393">
        <f>Parameters!$E$29*IF('Fin Stat'!X27=0, 0, 'Fin Stat'!X95/'Fin Stat'!X27)*X$9</f>
        <v>36.410995344712923</v>
      </c>
      <c r="Y26" s="393">
        <f>Parameters!$E$29*IF('Fin Stat'!Y27=0, 0, 'Fin Stat'!Y95/'Fin Stat'!Y27)*Y$9</f>
        <v>33.532365893503801</v>
      </c>
      <c r="Z26" s="157"/>
      <c r="AA26" s="393">
        <f>Parameters!$E$30*IF('Fin Stat'!AA27=0, 0, 'Fin Stat'!AA95/'Fin Stat'!AA27)*AA$9</f>
        <v>77.41935483870968</v>
      </c>
      <c r="AB26" s="393">
        <f>Parameters!$E$30*IF('Fin Stat'!AB27=0, 0, 'Fin Stat'!AB95/'Fin Stat'!AB27)*AB$9</f>
        <v>40.336134453781519</v>
      </c>
      <c r="AC26" s="393">
        <f>Parameters!$E$30*IF('Fin Stat'!AC27=0, 0, 'Fin Stat'!AC95/'Fin Stat'!AC27)*AC$9</f>
        <v>32.87671232876712</v>
      </c>
      <c r="AD26" s="393">
        <f>Parameters!$E$30*IF('Fin Stat'!AD27=0, 0, 'Fin Stat'!AD95/'Fin Stat'!AD27)*AD$9</f>
        <v>28.846153846153847</v>
      </c>
      <c r="AE26" s="393">
        <f>Parameters!$E$30*IF('Fin Stat'!AE27=0, 0, 'Fin Stat'!AE95/'Fin Stat'!AE27)*AE$9</f>
        <v>34.433285509325678</v>
      </c>
      <c r="AF26" s="393">
        <f>Parameters!$E$30*IF('Fin Stat'!AF27=0, 0, 'Fin Stat'!AF95/'Fin Stat'!AF27)*AF$9</f>
        <v>36.144578313253014</v>
      </c>
      <c r="AG26" s="393">
        <f>Parameters!$E$30*IF('Fin Stat'!AG27=0, 0, 'Fin Stat'!AG95/'Fin Stat'!AG27)*AG$9</f>
        <v>46.332046332046332</v>
      </c>
      <c r="AH26" s="393">
        <f>Parameters!$E$30*IF('Fin Stat'!AH27=0, 0, 'Fin Stat'!AH95/'Fin Stat'!AH27)*AH$9</f>
        <v>30.495552731893266</v>
      </c>
      <c r="AI26" s="393">
        <f>Parameters!$E$30*IF('Fin Stat'!AI27=0, 0, 'Fin Stat'!AI95/'Fin Stat'!AI27)*AI$9</f>
        <v>37.795275590551178</v>
      </c>
      <c r="AJ26" s="393">
        <f>Parameters!$E$30*IF('Fin Stat'!AJ27=0, 0, 'Fin Stat'!AJ95/'Fin Stat'!AJ27)*AJ$9</f>
        <v>23.483365949119374</v>
      </c>
      <c r="AK26" s="393">
        <f>Parameters!$E$30*IF('Fin Stat'!AK27=0, 0, 'Fin Stat'!AK95/'Fin Stat'!AK27)*AK$9</f>
        <v>25</v>
      </c>
      <c r="AL26" s="393">
        <f>Parameters!$E$30*IF('Fin Stat'!AL27=0, 0, 'Fin Stat'!AL95/'Fin Stat'!AL27)*AL$9</f>
        <v>29.887920298879202</v>
      </c>
      <c r="AM26" s="393">
        <f>Parameters!$E$30*IF('Fin Stat'!AM27=0, 0, 'Fin Stat'!AM95/'Fin Stat'!AM27)*AM$9</f>
        <v>68.354430379746844</v>
      </c>
      <c r="AN26" s="393">
        <f>Parameters!$E$30*IF('Fin Stat'!AN27=0, 0, 'Fin Stat'!AN95/'Fin Stat'!AN27)*AN$9</f>
        <v>44.628099173553714</v>
      </c>
      <c r="AO26" s="393">
        <f>Parameters!$E$30*IF('Fin Stat'!AO27=0, 0, 'Fin Stat'!AO95/'Fin Stat'!AO27)*AO$9</f>
        <v>36.486486486486484</v>
      </c>
      <c r="AP26" s="393">
        <f>Parameters!$E$30*IF('Fin Stat'!AP27=0, 0, 'Fin Stat'!AP95/'Fin Stat'!AP27)*AP$9</f>
        <v>32.066508313539195</v>
      </c>
      <c r="AQ26" s="393">
        <f>Parameters!$E$30*IF('Fin Stat'!AQ27=0, 0, 'Fin Stat'!AQ95/'Fin Stat'!AQ27)*AQ$9</f>
        <v>35.667107001321007</v>
      </c>
      <c r="AR26" s="393">
        <f>Parameters!$E$30*IF('Fin Stat'!AR27=0, 0, 'Fin Stat'!AR95/'Fin Stat'!AR27)*AR$9</f>
        <v>37.709497206703915</v>
      </c>
      <c r="AS26" s="393">
        <f>Parameters!$E$30*IF('Fin Stat'!AS27=0, 0, 'Fin Stat'!AS95/'Fin Stat'!AS27)*AS$9</f>
        <v>34.090909090909093</v>
      </c>
      <c r="AT26" s="393">
        <f>Parameters!$E$30*IF('Fin Stat'!AT27=0, 0, 'Fin Stat'!AT95/'Fin Stat'!AT27)*AT$9</f>
        <v>31.358885017421606</v>
      </c>
      <c r="AU26" s="393">
        <f>Parameters!$E$30*IF('Fin Stat'!AU27=0, 0, 'Fin Stat'!AU95/'Fin Stat'!AU27)*AU$9</f>
        <v>33.877038895859471</v>
      </c>
      <c r="AV26" s="393">
        <f>Parameters!$E$30*IF('Fin Stat'!AV27=0, 0, 'Fin Stat'!AV95/'Fin Stat'!AV27)*AV$9</f>
        <v>28.815368196371399</v>
      </c>
      <c r="AW26" s="393">
        <f>Parameters!$E$30*IF('Fin Stat'!AW27=0, 0, 'Fin Stat'!AW95/'Fin Stat'!AW27)*AW$9</f>
        <v>31.69014084507042</v>
      </c>
      <c r="AX26" s="393">
        <f>Parameters!$E$30*IF('Fin Stat'!AX27=0, 0, 'Fin Stat'!AX95/'Fin Stat'!AX27)*AX$9</f>
        <v>37.087912087912088</v>
      </c>
      <c r="AY26" s="393">
        <f>Parameters!$E$30*IF('Fin Stat'!AY27=0, 0, 'Fin Stat'!AY95/'Fin Stat'!AY27)*AY$9</f>
        <v>62.857424571090512</v>
      </c>
      <c r="AZ26" s="393">
        <f>Parameters!$E$30*IF('Fin Stat'!AZ27=0, 0, 'Fin Stat'!AZ95/'Fin Stat'!AZ27)*AZ$9</f>
        <v>41.063463179761342</v>
      </c>
      <c r="BA26" s="393">
        <f>Parameters!$E$30*IF('Fin Stat'!BA27=0, 0, 'Fin Stat'!BA95/'Fin Stat'!BA27)*BA$9</f>
        <v>33.582458104237318</v>
      </c>
      <c r="BB26" s="393">
        <f>Parameters!$E$30*IF('Fin Stat'!BB27=0, 0, 'Fin Stat'!BB95/'Fin Stat'!BB27)*BB$9</f>
        <v>29.564360453320194</v>
      </c>
      <c r="BC26" s="393">
        <f>Parameters!$E$30*IF('Fin Stat'!BC27=0, 0, 'Fin Stat'!BC95/'Fin Stat'!BC27)*BC$9</f>
        <v>32.903225806451609</v>
      </c>
      <c r="BD26" s="393">
        <f>Parameters!$E$30*IF('Fin Stat'!BD27=0, 0, 'Fin Stat'!BD95/'Fin Stat'!BD27)*BD$9</f>
        <v>34.683731969559929</v>
      </c>
      <c r="BE26" s="393">
        <f>Parameters!$E$30*IF('Fin Stat'!BE27=0, 0, 'Fin Stat'!BE95/'Fin Stat'!BE27)*BE$9</f>
        <v>31.419805566850258</v>
      </c>
      <c r="BF26" s="393">
        <f>Parameters!$E$30*IF('Fin Stat'!BF27=0, 0, 'Fin Stat'!BF95/'Fin Stat'!BF27)*BF$9</f>
        <v>28.913859376594516</v>
      </c>
      <c r="BG26" s="393">
        <f>Parameters!$E$30*IF('Fin Stat'!BG27=0, 0, 'Fin Stat'!BG95/'Fin Stat'!BG27)*BG$9</f>
        <v>31.202393407117818</v>
      </c>
      <c r="BH26" s="393">
        <f>Parameters!$E$30*IF('Fin Stat'!BH27=0, 0, 'Fin Stat'!BH95/'Fin Stat'!BH27)*BH$9</f>
        <v>26.519405965306376</v>
      </c>
      <c r="BI26" s="393">
        <f>Parameters!$E$30*IF('Fin Stat'!BI27=0, 0, 'Fin Stat'!BI95/'Fin Stat'!BI27)*BI$9</f>
        <v>29.173697909218316</v>
      </c>
      <c r="BJ26" s="393">
        <f>Parameters!$E$30*IF('Fin Stat'!BJ27=0, 0, 'Fin Stat'!BJ95/'Fin Stat'!BJ27)*BJ$9</f>
        <v>34.131063283006739</v>
      </c>
      <c r="BK26" s="157"/>
      <c r="BL26" s="393">
        <f>Parameters!$E$29*IF('Fin Stat'!BL27=0, 0, 'Fin Stat'!BL95/'Fin Stat'!BL27)*BL$9</f>
        <v>0</v>
      </c>
      <c r="BM26" s="393">
        <f>Parameters!$E$29*IF('Fin Stat'!BM27=0, 0, 'Fin Stat'!BM95/'Fin Stat'!BM27)*BM$9</f>
        <v>34.140067812463464</v>
      </c>
      <c r="BN26" s="393">
        <f>Parameters!$E$29*IF('Fin Stat'!BN27=0, 0, 'Fin Stat'!BN95/'Fin Stat'!BN27)*BN$9</f>
        <v>36.410995344712923</v>
      </c>
      <c r="BO26" s="393">
        <f>Parameters!$E$29*IF('Fin Stat'!BO27=0, 0, 'Fin Stat'!BO95/'Fin Stat'!BO27)*BO$9</f>
        <v>33.532365893503801</v>
      </c>
      <c r="BP26" s="393">
        <f>Parameters!$E$29*IF('Fin Stat'!BP27=0, 0, 'Fin Stat'!BP95/'Fin Stat'!BP27)*BP$9</f>
        <v>0</v>
      </c>
      <c r="BQ26" s="393">
        <f>Parameters!$E$29*IF('Fin Stat'!BQ27=0, 0, 'Fin Stat'!BQ95/'Fin Stat'!BQ27)*BQ$9</f>
        <v>0</v>
      </c>
      <c r="BR26" s="393">
        <f>Parameters!$E$29*IF('Fin Stat'!BR27=0, 0, 'Fin Stat'!BR95/'Fin Stat'!BR27)*BR$9</f>
        <v>0</v>
      </c>
      <c r="BS26" s="393">
        <f>Parameters!$E$29*IF('Fin Stat'!BS27=0, 0, 'Fin Stat'!BS95/'Fin Stat'!BS27)*BS$9</f>
        <v>0</v>
      </c>
      <c r="BT26" s="393">
        <f>Parameters!$E$29*IF('Fin Stat'!BT27=0, 0, 'Fin Stat'!BT95/'Fin Stat'!BT27)*BT$9</f>
        <v>0</v>
      </c>
      <c r="BU26" s="393">
        <f>Parameters!$E$29*IF('Fin Stat'!BU27=0, 0, 'Fin Stat'!BU95/'Fin Stat'!BU27)*BU$9</f>
        <v>0</v>
      </c>
      <c r="BV26" s="393">
        <f>Parameters!$E$29*IF('Fin Stat'!BV27=0, 0, 'Fin Stat'!BV95/'Fin Stat'!BV27)*BV$9</f>
        <v>0</v>
      </c>
      <c r="BW26" s="393">
        <f>Parameters!$E$29*IF('Fin Stat'!BW27=0, 0, 'Fin Stat'!BW95/'Fin Stat'!BW27)*BW$9</f>
        <v>0</v>
      </c>
      <c r="BX26" s="157"/>
      <c r="BY26" s="12"/>
      <c r="BZ26" s="395">
        <f>IF(MIN($V26:$BW26)&lt;0, 1, 0)</f>
        <v>0</v>
      </c>
      <c r="CA26" s="12"/>
      <c r="CB26" s="7">
        <f t="shared" si="5"/>
        <v>0</v>
      </c>
      <c r="CD26" s="42"/>
      <c r="CE26" s="352">
        <f t="shared" si="6"/>
        <v>0</v>
      </c>
      <c r="CF26" s="352">
        <f t="shared" si="6"/>
        <v>0</v>
      </c>
      <c r="CG26" s="352">
        <f t="shared" si="6"/>
        <v>0</v>
      </c>
      <c r="CH26" s="352">
        <f t="shared" si="6"/>
        <v>0</v>
      </c>
      <c r="EX26" s="10" t="str">
        <f t="shared" si="0"/>
        <v>Trade creditors days - non-pay expenditure</v>
      </c>
    </row>
    <row r="27" spans="1:154" s="335" customFormat="1" ht="15.75" x14ac:dyDescent="0.3">
      <c r="A27" s="362" cm="1">
        <f t="array" aca="1" ref="A27" ca="1">HYPERLINK(CONCATENATE("#",CELL("address",IF(SUM($CA27:$CD27)=0,A27,INDEX($CA27:$CD27,MATCH(1,$CA27:$CD27,0))))),SUM($CA27:$CD27))</f>
        <v>0</v>
      </c>
      <c r="B27" s="105"/>
      <c r="C27" s="343" t="str">
        <f>'Fin Stat'!C$177</f>
        <v>IC-1</v>
      </c>
      <c r="D27" s="342" t="s">
        <v>577</v>
      </c>
      <c r="E27" s="158"/>
      <c r="F27" s="157"/>
      <c r="G27" s="157" t="s">
        <v>2512</v>
      </c>
      <c r="H27" s="157"/>
      <c r="I27" s="157"/>
      <c r="J27" s="157"/>
      <c r="K27" s="157"/>
      <c r="L27" s="157"/>
      <c r="M27" s="157"/>
      <c r="N27" s="157"/>
      <c r="O27" s="157"/>
      <c r="P27" s="157"/>
      <c r="Q27" s="157"/>
      <c r="R27" s="157"/>
      <c r="S27" s="157"/>
      <c r="T27" s="157"/>
      <c r="U27" s="157"/>
      <c r="V27" s="10">
        <f>'Fin Stat'!V$177</f>
        <v>0</v>
      </c>
      <c r="W27" s="10">
        <f>'Fin Stat'!W$177</f>
        <v>5436</v>
      </c>
      <c r="X27" s="10">
        <f>'Fin Stat'!X$177</f>
        <v>2429</v>
      </c>
      <c r="Y27" s="10">
        <f>'Fin Stat'!Y$177</f>
        <v>2113.8100000000013</v>
      </c>
      <c r="Z27" s="157"/>
      <c r="AA27" s="10">
        <f>'Fin Stat'!AA$177</f>
        <v>5369</v>
      </c>
      <c r="AB27" s="10">
        <f>'Fin Stat'!AB$177</f>
        <v>1067</v>
      </c>
      <c r="AC27" s="10">
        <f>'Fin Stat'!AC$177</f>
        <v>350</v>
      </c>
      <c r="AD27" s="10">
        <f>'Fin Stat'!AD$177</f>
        <v>130</v>
      </c>
      <c r="AE27" s="10">
        <f>'Fin Stat'!AE$177</f>
        <v>-764</v>
      </c>
      <c r="AF27" s="10">
        <f>'Fin Stat'!AF$177</f>
        <v>-553</v>
      </c>
      <c r="AG27" s="10">
        <f>'Fin Stat'!AG$177</f>
        <v>-580</v>
      </c>
      <c r="AH27" s="10">
        <f>'Fin Stat'!AH$177</f>
        <v>-784</v>
      </c>
      <c r="AI27" s="10">
        <f>'Fin Stat'!AI$177</f>
        <v>1468</v>
      </c>
      <c r="AJ27" s="10">
        <f>'Fin Stat'!AJ$177</f>
        <v>398</v>
      </c>
      <c r="AK27" s="10">
        <f>'Fin Stat'!AK$177</f>
        <v>465</v>
      </c>
      <c r="AL27" s="10">
        <f>'Fin Stat'!AL$177</f>
        <v>-1130</v>
      </c>
      <c r="AM27" s="10">
        <f>'Fin Stat'!AM$177</f>
        <v>2920</v>
      </c>
      <c r="AN27" s="10">
        <f>'Fin Stat'!AN$177</f>
        <v>1122</v>
      </c>
      <c r="AO27" s="10">
        <f>'Fin Stat'!AO$177</f>
        <v>246</v>
      </c>
      <c r="AP27" s="10">
        <f>'Fin Stat'!AP$177</f>
        <v>-301</v>
      </c>
      <c r="AQ27" s="10">
        <f>'Fin Stat'!AQ$177</f>
        <v>-767</v>
      </c>
      <c r="AR27" s="10">
        <f>'Fin Stat'!AR$177</f>
        <v>-752</v>
      </c>
      <c r="AS27" s="10">
        <f>'Fin Stat'!AS$177</f>
        <v>-728</v>
      </c>
      <c r="AT27" s="10">
        <f>'Fin Stat'!AT$177</f>
        <v>-795</v>
      </c>
      <c r="AU27" s="10">
        <f>'Fin Stat'!AU$177</f>
        <v>1607</v>
      </c>
      <c r="AV27" s="10">
        <f>'Fin Stat'!AV$177</f>
        <v>505</v>
      </c>
      <c r="AW27" s="10">
        <f>'Fin Stat'!AW$177</f>
        <v>106</v>
      </c>
      <c r="AX27" s="10">
        <f>'Fin Stat'!AX$177</f>
        <v>-734</v>
      </c>
      <c r="AY27" s="10">
        <f>'Fin Stat'!AY$177</f>
        <v>2370.7483333333334</v>
      </c>
      <c r="AZ27" s="10">
        <f>'Fin Stat'!AZ$177</f>
        <v>1168.3566666666661</v>
      </c>
      <c r="BA27" s="10">
        <f>'Fin Stat'!BA$177</f>
        <v>255.48833333333278</v>
      </c>
      <c r="BB27" s="10">
        <f>'Fin Stat'!BB$177</f>
        <v>-306.61333333333323</v>
      </c>
      <c r="BC27" s="10">
        <f>'Fin Stat'!BC$177</f>
        <v>-784.53</v>
      </c>
      <c r="BD27" s="10">
        <f>'Fin Stat'!BD$177</f>
        <v>-608.22999999999979</v>
      </c>
      <c r="BE27" s="10">
        <f>'Fin Stat'!BE$177</f>
        <v>-846.74166666666702</v>
      </c>
      <c r="BF27" s="10">
        <f>'Fin Stat'!BF$177</f>
        <v>-808.5183333333332</v>
      </c>
      <c r="BG27" s="10">
        <f>'Fin Stat'!BG$177</f>
        <v>1762.378333333334</v>
      </c>
      <c r="BH27" s="10">
        <f>'Fin Stat'!BH$177</f>
        <v>555.06833333333361</v>
      </c>
      <c r="BI27" s="10">
        <f>'Fin Stat'!BI$177</f>
        <v>117.19333333333361</v>
      </c>
      <c r="BJ27" s="10">
        <f>'Fin Stat'!BJ$177</f>
        <v>-760.79000000000042</v>
      </c>
      <c r="BK27" s="157"/>
      <c r="BL27" s="10">
        <f>'Fin Stat'!BL$177</f>
        <v>0</v>
      </c>
      <c r="BM27" s="10">
        <f>'Fin Stat'!BM$177</f>
        <v>5436</v>
      </c>
      <c r="BN27" s="10">
        <f>'Fin Stat'!BN$177</f>
        <v>2429</v>
      </c>
      <c r="BO27" s="10">
        <f>'Fin Stat'!BO$177</f>
        <v>2113.8100000000013</v>
      </c>
      <c r="BP27" s="10">
        <f>'Fin Stat'!BP$177</f>
        <v>0</v>
      </c>
      <c r="BQ27" s="10">
        <f>'Fin Stat'!BQ$177</f>
        <v>0</v>
      </c>
      <c r="BR27" s="10">
        <f>'Fin Stat'!BR$177</f>
        <v>0</v>
      </c>
      <c r="BS27" s="10">
        <f>'Fin Stat'!BS$177</f>
        <v>0</v>
      </c>
      <c r="BT27" s="10">
        <f>'Fin Stat'!BT$177</f>
        <v>0</v>
      </c>
      <c r="BU27" s="10">
        <f>'Fin Stat'!BU$177</f>
        <v>0</v>
      </c>
      <c r="BV27" s="10">
        <f>'Fin Stat'!BV$177</f>
        <v>0</v>
      </c>
      <c r="BW27" s="10">
        <f>'Fin Stat'!BW$177</f>
        <v>0</v>
      </c>
      <c r="BX27" s="157"/>
      <c r="BY27" s="12"/>
      <c r="CA27" s="12"/>
      <c r="CB27" s="7">
        <f t="shared" si="5"/>
        <v>0</v>
      </c>
      <c r="CD27" s="42"/>
      <c r="CE27" s="352">
        <f t="shared" si="6"/>
        <v>0</v>
      </c>
      <c r="CF27" s="352">
        <f t="shared" si="6"/>
        <v>0</v>
      </c>
      <c r="CG27" s="352">
        <f t="shared" si="6"/>
        <v>0</v>
      </c>
      <c r="CH27" s="352">
        <f t="shared" si="6"/>
        <v>0</v>
      </c>
      <c r="EX27" s="10" t="str">
        <f t="shared" si="0"/>
        <v>Net cash flow from operating activities</v>
      </c>
    </row>
    <row r="28" spans="1:154" s="335" customFormat="1" ht="30.75" x14ac:dyDescent="0.3">
      <c r="A28" s="362" cm="1">
        <f t="array" aca="1" ref="A28" ca="1">HYPERLINK(CONCATENATE("#",CELL("address",IF(SUM($CA28:$CD28)=0,A28,INDEX($CA28:$CD28,MATCH(1,$CA28:$CD28,0))))),SUM($CA28:$CD28))</f>
        <v>0</v>
      </c>
      <c r="B28" s="105"/>
      <c r="C28" s="343" t="s">
        <v>1538</v>
      </c>
      <c r="D28" s="158" t="s">
        <v>1690</v>
      </c>
      <c r="E28" s="158"/>
      <c r="F28" s="157"/>
      <c r="G28" s="157" t="s">
        <v>187</v>
      </c>
      <c r="H28" s="157"/>
      <c r="I28" s="157"/>
      <c r="J28" s="157"/>
      <c r="K28" s="157"/>
      <c r="L28" s="157"/>
      <c r="M28" s="157"/>
      <c r="N28" s="157"/>
      <c r="O28" s="157"/>
      <c r="P28" s="157"/>
      <c r="Q28" s="157"/>
      <c r="R28" s="157"/>
      <c r="S28" s="157"/>
      <c r="T28" s="157"/>
      <c r="U28" s="157"/>
      <c r="V28" s="66">
        <f>IF(V$14=0, 0, V27/V$14)</f>
        <v>0</v>
      </c>
      <c r="W28" s="66">
        <f t="shared" ref="W28:BW28" si="11">IF(W$14=0, 0, W27/W$14)</f>
        <v>0.19433024702391591</v>
      </c>
      <c r="X28" s="66">
        <f t="shared" si="11"/>
        <v>8.3347630648869367E-2</v>
      </c>
      <c r="Y28" s="66">
        <f t="shared" si="11"/>
        <v>7.0265066712938126E-2</v>
      </c>
      <c r="Z28" s="157"/>
      <c r="AA28" s="66">
        <f t="shared" si="11"/>
        <v>1.5331239291833239</v>
      </c>
      <c r="AB28" s="66">
        <f t="shared" si="11"/>
        <v>0.33157240522063391</v>
      </c>
      <c r="AC28" s="66">
        <f t="shared" si="11"/>
        <v>0.14332514332514332</v>
      </c>
      <c r="AD28" s="66">
        <f t="shared" si="11"/>
        <v>5.8690744920993229E-2</v>
      </c>
      <c r="AE28" s="66">
        <f t="shared" si="11"/>
        <v>-0.53992932862190812</v>
      </c>
      <c r="AF28" s="66">
        <f t="shared" si="11"/>
        <v>-0.35403329065300898</v>
      </c>
      <c r="AG28" s="66">
        <f t="shared" si="11"/>
        <v>-0.41968162083936322</v>
      </c>
      <c r="AH28" s="66">
        <f t="shared" si="11"/>
        <v>-0.53994490358126723</v>
      </c>
      <c r="AI28" s="66">
        <f t="shared" si="11"/>
        <v>0.41328828828828829</v>
      </c>
      <c r="AJ28" s="66">
        <f t="shared" si="11"/>
        <v>0.13771626297577855</v>
      </c>
      <c r="AK28" s="66">
        <f t="shared" si="11"/>
        <v>0.16196447230929989</v>
      </c>
      <c r="AL28" s="66">
        <f t="shared" si="11"/>
        <v>-0.76766304347826086</v>
      </c>
      <c r="AM28" s="66">
        <f t="shared" si="11"/>
        <v>0.74718526100307059</v>
      </c>
      <c r="AN28" s="66">
        <f t="shared" si="11"/>
        <v>0.34259541984732822</v>
      </c>
      <c r="AO28" s="66">
        <f t="shared" si="11"/>
        <v>9.792993630573249E-2</v>
      </c>
      <c r="AP28" s="66">
        <f t="shared" si="11"/>
        <v>-0.14625850340136054</v>
      </c>
      <c r="AQ28" s="66">
        <f t="shared" si="11"/>
        <v>-0.49934895833333331</v>
      </c>
      <c r="AR28" s="66">
        <f t="shared" si="11"/>
        <v>-0.42081701175153891</v>
      </c>
      <c r="AS28" s="66">
        <f t="shared" si="11"/>
        <v>-0.50450450450450446</v>
      </c>
      <c r="AT28" s="66">
        <f t="shared" si="11"/>
        <v>-0.50412175015852889</v>
      </c>
      <c r="AU28" s="66">
        <f t="shared" si="11"/>
        <v>0.40316106372303062</v>
      </c>
      <c r="AV28" s="66">
        <f t="shared" si="11"/>
        <v>0.17043536955788052</v>
      </c>
      <c r="AW28" s="66">
        <f t="shared" si="11"/>
        <v>4.2383046781287487E-2</v>
      </c>
      <c r="AX28" s="66">
        <f t="shared" si="11"/>
        <v>-0.4596117720726362</v>
      </c>
      <c r="AY28" s="66">
        <f t="shared" si="11"/>
        <v>0.59075040658374955</v>
      </c>
      <c r="AZ28" s="66">
        <f t="shared" si="11"/>
        <v>0.34822663786196079</v>
      </c>
      <c r="BA28" s="66">
        <f t="shared" si="11"/>
        <v>9.8635638883133425E-2</v>
      </c>
      <c r="BB28" s="66">
        <f t="shared" si="11"/>
        <v>-0.14449931311614342</v>
      </c>
      <c r="BC28" s="66">
        <f t="shared" si="11"/>
        <v>-0.49451141682030914</v>
      </c>
      <c r="BD28" s="66">
        <f t="shared" si="11"/>
        <v>-0.32890987059478793</v>
      </c>
      <c r="BE28" s="66">
        <f t="shared" si="11"/>
        <v>-0.56769307956273651</v>
      </c>
      <c r="BF28" s="66">
        <f t="shared" si="11"/>
        <v>-0.4950496160926765</v>
      </c>
      <c r="BG28" s="66">
        <f t="shared" si="11"/>
        <v>0.42849721427190773</v>
      </c>
      <c r="BH28" s="66">
        <f t="shared" si="11"/>
        <v>0.17981629680182371</v>
      </c>
      <c r="BI28" s="66">
        <f t="shared" si="11"/>
        <v>4.5347958322907285E-2</v>
      </c>
      <c r="BJ28" s="66">
        <f t="shared" si="11"/>
        <v>-0.45874801390492703</v>
      </c>
      <c r="BK28" s="157"/>
      <c r="BL28" s="66">
        <f t="shared" si="11"/>
        <v>0</v>
      </c>
      <c r="BM28" s="66">
        <f t="shared" si="11"/>
        <v>0.19433024702391591</v>
      </c>
      <c r="BN28" s="66">
        <f t="shared" si="11"/>
        <v>8.3347630648869367E-2</v>
      </c>
      <c r="BO28" s="66">
        <f t="shared" si="11"/>
        <v>7.0265066712938126E-2</v>
      </c>
      <c r="BP28" s="66">
        <f t="shared" si="11"/>
        <v>0</v>
      </c>
      <c r="BQ28" s="66">
        <f t="shared" si="11"/>
        <v>0</v>
      </c>
      <c r="BR28" s="66">
        <f t="shared" si="11"/>
        <v>0</v>
      </c>
      <c r="BS28" s="66">
        <f t="shared" si="11"/>
        <v>0</v>
      </c>
      <c r="BT28" s="66">
        <f t="shared" si="11"/>
        <v>0</v>
      </c>
      <c r="BU28" s="66">
        <f t="shared" si="11"/>
        <v>0</v>
      </c>
      <c r="BV28" s="66">
        <f t="shared" si="11"/>
        <v>0</v>
      </c>
      <c r="BW28" s="66">
        <f t="shared" si="11"/>
        <v>0</v>
      </c>
      <c r="BX28" s="157"/>
      <c r="BY28" s="12"/>
      <c r="CA28" s="12"/>
      <c r="CB28" s="7">
        <f t="shared" si="5"/>
        <v>0</v>
      </c>
      <c r="CD28" s="42"/>
      <c r="CE28" s="352">
        <f t="shared" si="6"/>
        <v>0</v>
      </c>
      <c r="CF28" s="352">
        <f t="shared" si="6"/>
        <v>0</v>
      </c>
      <c r="CG28" s="352">
        <f t="shared" si="6"/>
        <v>0</v>
      </c>
      <c r="CH28" s="352">
        <f t="shared" si="6"/>
        <v>0</v>
      </c>
      <c r="EX28" s="13" t="str">
        <f>'Financial Health'!EX40</f>
        <v>Financial Health Grading - Proposed System Cash generation from operations (as a % of income)</v>
      </c>
    </row>
    <row r="29" spans="1:154" ht="8.1" customHeight="1" x14ac:dyDescent="0.25">
      <c r="A29" s="157"/>
      <c r="B29" s="187"/>
      <c r="C29" s="343"/>
      <c r="D29" s="158"/>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42"/>
      <c r="CA29" s="42"/>
      <c r="CD29" s="42"/>
      <c r="EX29" s="10" t="str">
        <f t="shared" si="0"/>
        <v/>
      </c>
    </row>
    <row r="30" spans="1:154" x14ac:dyDescent="0.25">
      <c r="A30" s="157"/>
      <c r="B30" s="228"/>
      <c r="C30" s="343"/>
      <c r="D30" s="192" t="s">
        <v>619</v>
      </c>
      <c r="E30" s="158"/>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2"/>
      <c r="CA30" s="12"/>
      <c r="CD30" s="42"/>
      <c r="EX30" s="10" t="str">
        <f t="shared" si="0"/>
        <v/>
      </c>
    </row>
    <row r="31" spans="1:154" ht="15.75" x14ac:dyDescent="0.3">
      <c r="A31" s="362" cm="1">
        <f t="array" aca="1" ref="A31" ca="1">HYPERLINK(CONCATENATE("#",CELL("address",IF(SUM($CA31:$CD31)=0,A31,INDEX($CA31:$CD31,MATCH(1,$CA31:$CD31,0))))),SUM($CA31:$CD31))</f>
        <v>0</v>
      </c>
      <c r="B31" s="105" t="s">
        <v>335</v>
      </c>
      <c r="C31" s="343" t="s">
        <v>1515</v>
      </c>
      <c r="D31" s="237" t="s">
        <v>620</v>
      </c>
      <c r="E31" s="158"/>
      <c r="F31" s="157"/>
      <c r="G31" s="157" t="s">
        <v>276</v>
      </c>
      <c r="H31" s="157"/>
      <c r="I31" s="157"/>
      <c r="J31" s="157"/>
      <c r="K31" s="157"/>
      <c r="L31" s="157"/>
      <c r="M31" s="157"/>
      <c r="N31" s="157"/>
      <c r="O31" s="157"/>
      <c r="P31" s="157"/>
      <c r="Q31" s="157"/>
      <c r="R31" s="157"/>
      <c r="S31" s="157"/>
      <c r="T31" s="157"/>
      <c r="U31" s="157"/>
      <c r="V31" s="393">
        <f>MAX(IFERROR('Fin Stat'!V177/-('Fin Stat'!V$195+'Fin Stat'!V$197+'Fin Stat'!V$199+'Fin Stat'!V$201), 0), 0)*V$9</f>
        <v>0</v>
      </c>
      <c r="W31" s="393">
        <f>MAX(IFERROR('Fin Stat'!W177/-('Fin Stat'!W$195+'Fin Stat'!W$197+'Fin Stat'!W$199+'Fin Stat'!W$201), 0), 0)*W$9</f>
        <v>8.7677419354838708</v>
      </c>
      <c r="X31" s="393">
        <f>MAX(IFERROR('Fin Stat'!X177/-('Fin Stat'!X$195+'Fin Stat'!X$197+'Fin Stat'!X$199+'Fin Stat'!X$201), 0), 0)*X$9</f>
        <v>4.3143872113676736</v>
      </c>
      <c r="Y31" s="393">
        <f>MAX(IFERROR('Fin Stat'!Y177/-('Fin Stat'!Y$195+'Fin Stat'!Y$197+'Fin Stat'!Y$199+'Fin Stat'!Y$201), 0), 0)*Y$9</f>
        <v>3.7545470692717609</v>
      </c>
      <c r="Z31" s="157"/>
      <c r="AA31" s="393">
        <f>MAX(IFERROR('Fin Stat'!AA177/-('Fin Stat'!AA$195+'Fin Stat'!AA$197+'Fin Stat'!AA$199+'Fin Stat'!AA$201), 0), 0)*AA$9</f>
        <v>58.358695652173914</v>
      </c>
      <c r="AB31" s="393">
        <f>MAX(IFERROR('Fin Stat'!AB177/-('Fin Stat'!AB$195+'Fin Stat'!AB$197+'Fin Stat'!AB$199+'Fin Stat'!AB$201), 0), 0)*AB$9</f>
        <v>25.404761904761905</v>
      </c>
      <c r="AC31" s="393">
        <f>MAX(IFERROR('Fin Stat'!AC177/-('Fin Stat'!AC$195+'Fin Stat'!AC$197+'Fin Stat'!AC$199+'Fin Stat'!AC$201), 0), 0)*AC$9</f>
        <v>8.536585365853659</v>
      </c>
      <c r="AD31" s="393">
        <f>MAX(IFERROR('Fin Stat'!AD177/-('Fin Stat'!AD$195+'Fin Stat'!AD$197+'Fin Stat'!AD$199+'Fin Stat'!AD$201), 0), 0)*AD$9</f>
        <v>1.4285714285714286</v>
      </c>
      <c r="AE31" s="393">
        <f>MAX(IFERROR('Fin Stat'!AE177/-('Fin Stat'!AE$195+'Fin Stat'!AE$197+'Fin Stat'!AE$199+'Fin Stat'!AE$201), 0), 0)*AE$9</f>
        <v>0</v>
      </c>
      <c r="AF31" s="393">
        <f>MAX(IFERROR('Fin Stat'!AF177/-('Fin Stat'!AF$195+'Fin Stat'!AF$197+'Fin Stat'!AF$199+'Fin Stat'!AF$201), 0), 0)*AF$9</f>
        <v>0</v>
      </c>
      <c r="AG31" s="393">
        <f>MAX(IFERROR('Fin Stat'!AG177/-('Fin Stat'!AG$195+'Fin Stat'!AG$197+'Fin Stat'!AG$199+'Fin Stat'!AG$201), 0), 0)*AG$9</f>
        <v>0</v>
      </c>
      <c r="AH31" s="393">
        <f>MAX(IFERROR('Fin Stat'!AH177/-('Fin Stat'!AH$195+'Fin Stat'!AH$197+'Fin Stat'!AH$199+'Fin Stat'!AH$201), 0), 0)*AH$9</f>
        <v>0</v>
      </c>
      <c r="AI31" s="393">
        <f>MAX(IFERROR('Fin Stat'!AI177/-('Fin Stat'!AI$195+'Fin Stat'!AI$197+'Fin Stat'!AI$199+'Fin Stat'!AI$201), 0), 0)*AI$9</f>
        <v>48.93333333333333</v>
      </c>
      <c r="AJ31" s="393">
        <f>MAX(IFERROR('Fin Stat'!AJ177/-('Fin Stat'!AJ$195+'Fin Stat'!AJ$197+'Fin Stat'!AJ$199+'Fin Stat'!AJ$201), 0), 0)*AJ$9</f>
        <v>4.9749999999999996</v>
      </c>
      <c r="AK31" s="393">
        <f>MAX(IFERROR('Fin Stat'!AK177/-('Fin Stat'!AK$195+'Fin Stat'!AK$197+'Fin Stat'!AK$199+'Fin Stat'!AK$201), 0), 0)*AK$9</f>
        <v>15.5</v>
      </c>
      <c r="AL31" s="393">
        <f>MAX(IFERROR('Fin Stat'!AL177/-('Fin Stat'!AL$195+'Fin Stat'!AL$197+'Fin Stat'!AL$199+'Fin Stat'!AL$201), 0), 0)*AL$9</f>
        <v>0</v>
      </c>
      <c r="AM31" s="393">
        <f>MAX(IFERROR('Fin Stat'!AM177/-('Fin Stat'!AM$195+'Fin Stat'!AM$197+'Fin Stat'!AM$199+'Fin Stat'!AM$201), 0), 0)*AM$9</f>
        <v>36.049382716049379</v>
      </c>
      <c r="AN31" s="393">
        <f>MAX(IFERROR('Fin Stat'!AN177/-('Fin Stat'!AN$195+'Fin Stat'!AN$197+'Fin Stat'!AN$199+'Fin Stat'!AN$201), 0), 0)*AN$9</f>
        <v>36.193548387096776</v>
      </c>
      <c r="AO31" s="393">
        <f>MAX(IFERROR('Fin Stat'!AO177/-('Fin Stat'!AO$195+'Fin Stat'!AO$197+'Fin Stat'!AO$199+'Fin Stat'!AO$201), 0), 0)*AO$9</f>
        <v>8.1999999999999993</v>
      </c>
      <c r="AP31" s="393">
        <f>MAX(IFERROR('Fin Stat'!AP177/-('Fin Stat'!AP$195+'Fin Stat'!AP$197+'Fin Stat'!AP$199+'Fin Stat'!AP$201), 0), 0)*AP$9</f>
        <v>0</v>
      </c>
      <c r="AQ31" s="393">
        <f>MAX(IFERROR('Fin Stat'!AQ177/-('Fin Stat'!AQ$195+'Fin Stat'!AQ$197+'Fin Stat'!AQ$199+'Fin Stat'!AQ$201), 0), 0)*AQ$9</f>
        <v>0</v>
      </c>
      <c r="AR31" s="393">
        <f>MAX(IFERROR('Fin Stat'!AR177/-('Fin Stat'!AR$195+'Fin Stat'!AR$197+'Fin Stat'!AR$199+'Fin Stat'!AR$201), 0), 0)*AR$9</f>
        <v>0</v>
      </c>
      <c r="AS31" s="393">
        <f>MAX(IFERROR('Fin Stat'!AS177/-('Fin Stat'!AS$195+'Fin Stat'!AS$197+'Fin Stat'!AS$199+'Fin Stat'!AS$201), 0), 0)*AS$9</f>
        <v>0</v>
      </c>
      <c r="AT31" s="393">
        <f>MAX(IFERROR('Fin Stat'!AT177/-('Fin Stat'!AT$195+'Fin Stat'!AT$197+'Fin Stat'!AT$199+'Fin Stat'!AT$201), 0), 0)*AT$9</f>
        <v>0</v>
      </c>
      <c r="AU31" s="393">
        <f>MAX(IFERROR('Fin Stat'!AU177/-('Fin Stat'!AU$195+'Fin Stat'!AU$197+'Fin Stat'!AU$199+'Fin Stat'!AU$201), 0), 0)*AU$9</f>
        <v>53.56666666666667</v>
      </c>
      <c r="AV31" s="393">
        <f>MAX(IFERROR('Fin Stat'!AV177/-('Fin Stat'!AV$195+'Fin Stat'!AV$197+'Fin Stat'!AV$199+'Fin Stat'!AV$201), 0), 0)*AV$9</f>
        <v>6.3125</v>
      </c>
      <c r="AW31" s="393">
        <f>MAX(IFERROR('Fin Stat'!AW177/-('Fin Stat'!AW$195+'Fin Stat'!AW$197+'Fin Stat'!AW$199+'Fin Stat'!AW$201), 0), 0)*AW$9</f>
        <v>3.5333333333333332</v>
      </c>
      <c r="AX31" s="393">
        <f>MAX(IFERROR('Fin Stat'!AX177/-('Fin Stat'!AX$195+'Fin Stat'!AX$197+'Fin Stat'!AX$199+'Fin Stat'!AX$201), 0), 0)*AX$9</f>
        <v>0</v>
      </c>
      <c r="AY31" s="393">
        <f>MAX(IFERROR('Fin Stat'!AY177/-('Fin Stat'!AY$195+'Fin Stat'!AY$197+'Fin Stat'!AY$199+'Fin Stat'!AY$201), 0), 0)*AY$9</f>
        <v>29.268497942386833</v>
      </c>
      <c r="AZ31" s="393">
        <f>MAX(IFERROR('Fin Stat'!AZ177/-('Fin Stat'!AZ$195+'Fin Stat'!AZ$197+'Fin Stat'!AZ$199+'Fin Stat'!AZ$201), 0), 0)*AZ$9</f>
        <v>37.68892473118278</v>
      </c>
      <c r="BA31" s="393">
        <f>MAX(IFERROR('Fin Stat'!BA177/-('Fin Stat'!BA$195+'Fin Stat'!BA$197+'Fin Stat'!BA$199+'Fin Stat'!BA$201), 0), 0)*BA$9</f>
        <v>8.5162777777777592</v>
      </c>
      <c r="BB31" s="393">
        <f>MAX(IFERROR('Fin Stat'!BB177/-('Fin Stat'!BB$195+'Fin Stat'!BB$197+'Fin Stat'!BB$199+'Fin Stat'!BB$201), 0), 0)*BB$9</f>
        <v>0</v>
      </c>
      <c r="BC31" s="393">
        <f>MAX(IFERROR('Fin Stat'!BC177/-('Fin Stat'!BC$195+'Fin Stat'!BC$197+'Fin Stat'!BC$199+'Fin Stat'!BC$201), 0), 0)*BC$9</f>
        <v>0</v>
      </c>
      <c r="BD31" s="393">
        <f>MAX(IFERROR('Fin Stat'!BD177/-('Fin Stat'!BD$195+'Fin Stat'!BD$197+'Fin Stat'!BD$199+'Fin Stat'!BD$201), 0), 0)*BD$9</f>
        <v>0</v>
      </c>
      <c r="BE31" s="393">
        <f>MAX(IFERROR('Fin Stat'!BE177/-('Fin Stat'!BE$195+'Fin Stat'!BE$197+'Fin Stat'!BE$199+'Fin Stat'!BE$201), 0), 0)*BE$9</f>
        <v>0</v>
      </c>
      <c r="BF31" s="393">
        <f>MAX(IFERROR('Fin Stat'!BF177/-('Fin Stat'!BF$195+'Fin Stat'!BF$197+'Fin Stat'!BF$199+'Fin Stat'!BF$201), 0), 0)*BF$9</f>
        <v>0</v>
      </c>
      <c r="BG31" s="393">
        <f>MAX(IFERROR('Fin Stat'!BG177/-('Fin Stat'!BG$195+'Fin Stat'!BG$197+'Fin Stat'!BG$199+'Fin Stat'!BG$201), 0), 0)*BG$9</f>
        <v>58.745944444444469</v>
      </c>
      <c r="BH31" s="393">
        <f>MAX(IFERROR('Fin Stat'!BH177/-('Fin Stat'!BH$195+'Fin Stat'!BH$197+'Fin Stat'!BH$199+'Fin Stat'!BH$201), 0), 0)*BH$9</f>
        <v>6.9383541666666702</v>
      </c>
      <c r="BI31" s="393">
        <f>MAX(IFERROR('Fin Stat'!BI177/-('Fin Stat'!BI$195+'Fin Stat'!BI$197+'Fin Stat'!BI$199+'Fin Stat'!BI$201), 0), 0)*BI$9</f>
        <v>3.9064444444444537</v>
      </c>
      <c r="BJ31" s="393">
        <f>MAX(IFERROR('Fin Stat'!BJ177/-('Fin Stat'!BJ$195+'Fin Stat'!BJ$197+'Fin Stat'!BJ$199+'Fin Stat'!BJ$201), 0), 0)*BJ$9</f>
        <v>0</v>
      </c>
      <c r="BK31" s="157"/>
      <c r="BL31" s="393">
        <f>MAX(IFERROR('Fin Stat'!BL177/-('Fin Stat'!BL$195+'Fin Stat'!BL$197+'Fin Stat'!BL$199+'Fin Stat'!BL$201), 0), 0)*BL$9</f>
        <v>0</v>
      </c>
      <c r="BM31" s="393">
        <f>MAX(IFERROR('Fin Stat'!BM177/-('Fin Stat'!BM$195+'Fin Stat'!BM$197+'Fin Stat'!BM$199+'Fin Stat'!BM$201), 0), 0)*BM$9</f>
        <v>8.7677419354838708</v>
      </c>
      <c r="BN31" s="393">
        <f>MAX(IFERROR('Fin Stat'!BN177/-('Fin Stat'!BN$195+'Fin Stat'!BN$197+'Fin Stat'!BN$199+'Fin Stat'!BN$201), 0), 0)*BN$9</f>
        <v>4.3143872113676736</v>
      </c>
      <c r="BO31" s="393">
        <f>MAX(IFERROR('Fin Stat'!BO177/-('Fin Stat'!BO$195+'Fin Stat'!BO$197+'Fin Stat'!BO$199+'Fin Stat'!BO$201), 0), 0)*BO$9</f>
        <v>3.7545470692717609</v>
      </c>
      <c r="BP31" s="393">
        <f>MAX(IFERROR('Fin Stat'!BP177/-('Fin Stat'!BP$195+'Fin Stat'!BP$197+'Fin Stat'!BP$199+'Fin Stat'!BP$201), 0), 0)*BP$9</f>
        <v>0</v>
      </c>
      <c r="BQ31" s="393">
        <f>MAX(IFERROR('Fin Stat'!BQ177/-('Fin Stat'!BQ$195+'Fin Stat'!BQ$197+'Fin Stat'!BQ$199+'Fin Stat'!BQ$201), 0), 0)*BQ$9</f>
        <v>0</v>
      </c>
      <c r="BR31" s="393">
        <f>MAX(IFERROR('Fin Stat'!BR177/-('Fin Stat'!BR$195+'Fin Stat'!BR$197+'Fin Stat'!BR$199+'Fin Stat'!BR$201), 0), 0)*BR$9</f>
        <v>0</v>
      </c>
      <c r="BS31" s="393">
        <f>MAX(IFERROR('Fin Stat'!BS177/-('Fin Stat'!BS$195+'Fin Stat'!BS$197+'Fin Stat'!BS$199+'Fin Stat'!BS$201), 0), 0)*BS$9</f>
        <v>0</v>
      </c>
      <c r="BT31" s="393">
        <f>MAX(IFERROR('Fin Stat'!BT177/-('Fin Stat'!BT$195+'Fin Stat'!BT$197+'Fin Stat'!BT$199+'Fin Stat'!BT$201), 0), 0)*BT$9</f>
        <v>0</v>
      </c>
      <c r="BU31" s="393">
        <f>MAX(IFERROR('Fin Stat'!BU177/-('Fin Stat'!BU$195+'Fin Stat'!BU$197+'Fin Stat'!BU$199+'Fin Stat'!BU$201), 0), 0)*BU$9</f>
        <v>0</v>
      </c>
      <c r="BV31" s="393">
        <f>MAX(IFERROR('Fin Stat'!BV177/-('Fin Stat'!BV$195+'Fin Stat'!BV$197+'Fin Stat'!BV$199+'Fin Stat'!BV$201), 0), 0)*BV$9</f>
        <v>0</v>
      </c>
      <c r="BW31" s="393">
        <f>MAX(IFERROR('Fin Stat'!BW177/-('Fin Stat'!BW$195+'Fin Stat'!BW$197+'Fin Stat'!BW$199+'Fin Stat'!BW$201), 0), 0)*BW$9</f>
        <v>0</v>
      </c>
      <c r="BX31" s="157"/>
      <c r="BY31" s="12"/>
      <c r="BZ31" s="395">
        <f>IF(MIN($V31:$BW31)&lt;0, 1, 0)</f>
        <v>0</v>
      </c>
      <c r="CA31" s="12"/>
      <c r="CB31" s="7">
        <f t="shared" ref="CB31:CB34" si="12">IF(SUM($CE31:$CH31)=0, 0, 1)</f>
        <v>0</v>
      </c>
      <c r="CD31" s="42"/>
      <c r="CE31" s="352">
        <f t="shared" ref="CE31:CH33" si="13">ROUND(BL31-V31, rounding)</f>
        <v>0</v>
      </c>
      <c r="CF31" s="352">
        <f t="shared" si="13"/>
        <v>0</v>
      </c>
      <c r="CG31" s="352">
        <f t="shared" si="13"/>
        <v>0</v>
      </c>
      <c r="CH31" s="352">
        <f t="shared" si="13"/>
        <v>0</v>
      </c>
      <c r="EX31" s="13" t="str">
        <f>'Financial Health'!EX39</f>
        <v>Financial Health Grading - Proposed System Debt Service Cover (debt and finance lease repayments/interest costs as a % of operating cash flow)</v>
      </c>
    </row>
    <row r="32" spans="1:154" ht="15.75" x14ac:dyDescent="0.3">
      <c r="A32" s="362" cm="1">
        <f t="array" aca="1" ref="A32" ca="1">HYPERLINK(CONCATENATE("#",CELL("address",IF(SUM($CA32:$CD32)=0,A32,INDEX($CA32:$CD32,MATCH(1,$CA32:$CD32,0))))),SUM($CA32:$CD32))</f>
        <v>0</v>
      </c>
      <c r="B32" s="105" t="s">
        <v>335</v>
      </c>
      <c r="C32" s="343" t="s">
        <v>1516</v>
      </c>
      <c r="D32" s="158" t="s">
        <v>621</v>
      </c>
      <c r="E32" s="158"/>
      <c r="F32" s="157"/>
      <c r="G32" s="157" t="s">
        <v>2512</v>
      </c>
      <c r="H32" s="157"/>
      <c r="I32" s="157"/>
      <c r="J32" s="157"/>
      <c r="K32" s="157"/>
      <c r="L32" s="157"/>
      <c r="M32" s="157"/>
      <c r="N32" s="157"/>
      <c r="O32" s="157"/>
      <c r="P32" s="157"/>
      <c r="Q32" s="157"/>
      <c r="R32" s="157"/>
      <c r="S32" s="157"/>
      <c r="T32" s="157"/>
      <c r="U32" s="157"/>
      <c r="V32" s="10">
        <f>(SUM('Fin Stat'!V89:V92)+'Fin Stat'!V93+SUM('Fin Stat'!V114:V116)+'Fin Stat'!V117)*V$9</f>
        <v>0</v>
      </c>
      <c r="W32" s="10">
        <f ca="1">(SUM('Fin Stat'!W89:W92)+'Fin Stat'!W93+SUM('Fin Stat'!W114:W116)+'Fin Stat'!W117)*W$9</f>
        <v>3091</v>
      </c>
      <c r="X32" s="10">
        <f ca="1">(SUM('Fin Stat'!X89:X92)+'Fin Stat'!X93+SUM('Fin Stat'!X114:X116)+'Fin Stat'!X117)*X$9</f>
        <v>2673</v>
      </c>
      <c r="Y32" s="10">
        <f ca="1">(SUM('Fin Stat'!Y89:Y92)+'Fin Stat'!Y93+SUM('Fin Stat'!Y114:Y116)+'Fin Stat'!Y117)*Y$9</f>
        <v>2255</v>
      </c>
      <c r="Z32" s="157"/>
      <c r="AA32" s="10">
        <f ca="1">(SUM('Fin Stat'!AA89:AA92)+'Fin Stat'!AA93+SUM('Fin Stat'!AA114:AA116)+'Fin Stat'!AA117)*AA$9</f>
        <v>3499</v>
      </c>
      <c r="AB32" s="10">
        <f ca="1">(SUM('Fin Stat'!AB89:AB92)+'Fin Stat'!AB93+SUM('Fin Stat'!AB114:AB116)+'Fin Stat'!AB117)*AB$9</f>
        <v>3463</v>
      </c>
      <c r="AC32" s="10">
        <f ca="1">(SUM('Fin Stat'!AC89:AC92)+'Fin Stat'!AC93+SUM('Fin Stat'!AC114:AC116)+'Fin Stat'!AC117)*AC$9</f>
        <v>3428</v>
      </c>
      <c r="AD32" s="10">
        <f ca="1">(SUM('Fin Stat'!AD89:AD92)+'Fin Stat'!AD93+SUM('Fin Stat'!AD114:AD116)+'Fin Stat'!AD117)*AD$9</f>
        <v>3361</v>
      </c>
      <c r="AE32" s="10">
        <f ca="1">(SUM('Fin Stat'!AE89:AE92)+'Fin Stat'!AE93+SUM('Fin Stat'!AE114:AE116)+'Fin Stat'!AE117)*AE$9</f>
        <v>3325</v>
      </c>
      <c r="AF32" s="10">
        <f ca="1">(SUM('Fin Stat'!AF89:AF92)+'Fin Stat'!AF93+SUM('Fin Stat'!AF114:AF116)+'Fin Stat'!AF117)*AF$9</f>
        <v>3299</v>
      </c>
      <c r="AG32" s="10">
        <f ca="1">(SUM('Fin Stat'!AG89:AG92)+'Fin Stat'!AG93+SUM('Fin Stat'!AG114:AG116)+'Fin Stat'!AG117)*AG$9</f>
        <v>3243</v>
      </c>
      <c r="AH32" s="10">
        <f ca="1">(SUM('Fin Stat'!AH89:AH92)+'Fin Stat'!AH93+SUM('Fin Stat'!AH114:AH116)+'Fin Stat'!AH117)*AH$9</f>
        <v>3219</v>
      </c>
      <c r="AI32" s="10">
        <f ca="1">(SUM('Fin Stat'!AI89:AI92)+'Fin Stat'!AI93+SUM('Fin Stat'!AI114:AI116)+'Fin Stat'!AI117)*AI$9</f>
        <v>3195</v>
      </c>
      <c r="AJ32" s="10">
        <f ca="1">(SUM('Fin Stat'!AJ89:AJ92)+'Fin Stat'!AJ93+SUM('Fin Stat'!AJ114:AJ116)+'Fin Stat'!AJ117)*AJ$9</f>
        <v>3139</v>
      </c>
      <c r="AK32" s="10">
        <f ca="1">(SUM('Fin Stat'!AK89:AK92)+'Fin Stat'!AK93+SUM('Fin Stat'!AK114:AK116)+'Fin Stat'!AK117)*AK$9</f>
        <v>3115</v>
      </c>
      <c r="AL32" s="10">
        <f ca="1">(SUM('Fin Stat'!AL89:AL92)+'Fin Stat'!AL93+SUM('Fin Stat'!AL114:AL116)+'Fin Stat'!AL117)*AL$9</f>
        <v>3091</v>
      </c>
      <c r="AM32" s="10">
        <f ca="1">(SUM('Fin Stat'!AM89:AM92)+'Fin Stat'!AM93+SUM('Fin Stat'!AM114:AM116)+'Fin Stat'!AM117)*AM$9</f>
        <v>3035</v>
      </c>
      <c r="AN32" s="10">
        <f ca="1">(SUM('Fin Stat'!AN89:AN92)+'Fin Stat'!AN93+SUM('Fin Stat'!AN114:AN116)+'Fin Stat'!AN117)*AN$9</f>
        <v>3010</v>
      </c>
      <c r="AO32" s="10">
        <f ca="1">(SUM('Fin Stat'!AO89:AO92)+'Fin Stat'!AO93+SUM('Fin Stat'!AO114:AO116)+'Fin Stat'!AO117)*AO$9</f>
        <v>2986</v>
      </c>
      <c r="AP32" s="10">
        <f ca="1">(SUM('Fin Stat'!AP89:AP92)+'Fin Stat'!AP93+SUM('Fin Stat'!AP114:AP116)+'Fin Stat'!AP117)*AP$9</f>
        <v>2930</v>
      </c>
      <c r="AQ32" s="10">
        <f ca="1">(SUM('Fin Stat'!AQ89:AQ92)+'Fin Stat'!AQ93+SUM('Fin Stat'!AQ114:AQ116)+'Fin Stat'!AQ117)*AQ$9</f>
        <v>2905</v>
      </c>
      <c r="AR32" s="10">
        <f ca="1">(SUM('Fin Stat'!AR89:AR92)+'Fin Stat'!AR93+SUM('Fin Stat'!AR114:AR116)+'Fin Stat'!AR117)*AR$9</f>
        <v>2881</v>
      </c>
      <c r="AS32" s="10">
        <f ca="1">(SUM('Fin Stat'!AS89:AS92)+'Fin Stat'!AS93+SUM('Fin Stat'!AS114:AS116)+'Fin Stat'!AS117)*AS$9</f>
        <v>2825</v>
      </c>
      <c r="AT32" s="10">
        <f ca="1">(SUM('Fin Stat'!AT89:AT92)+'Fin Stat'!AT93+SUM('Fin Stat'!AT114:AT116)+'Fin Stat'!AT117)*AT$9</f>
        <v>2801</v>
      </c>
      <c r="AU32" s="10">
        <f ca="1">(SUM('Fin Stat'!AU89:AU92)+'Fin Stat'!AU93+SUM('Fin Stat'!AU114:AU116)+'Fin Stat'!AU117)*AU$9</f>
        <v>2777</v>
      </c>
      <c r="AV32" s="10">
        <f ca="1">(SUM('Fin Stat'!AV89:AV92)+'Fin Stat'!AV93+SUM('Fin Stat'!AV114:AV116)+'Fin Stat'!AV117)*AV$9</f>
        <v>2721</v>
      </c>
      <c r="AW32" s="10">
        <f ca="1">(SUM('Fin Stat'!AW89:AW92)+'Fin Stat'!AW93+SUM('Fin Stat'!AW114:AW116)+'Fin Stat'!AW117)*AW$9</f>
        <v>2697</v>
      </c>
      <c r="AX32" s="10">
        <f ca="1">(SUM('Fin Stat'!AX89:AX92)+'Fin Stat'!AX93+SUM('Fin Stat'!AX114:AX116)+'Fin Stat'!AX117)*AX$9</f>
        <v>2673</v>
      </c>
      <c r="AY32" s="10">
        <f ca="1">(SUM('Fin Stat'!AY89:AY92)+'Fin Stat'!AY93+SUM('Fin Stat'!AY114:AY116)+'Fin Stat'!AY117)*AY$9</f>
        <v>2617</v>
      </c>
      <c r="AZ32" s="10">
        <f ca="1">(SUM('Fin Stat'!AZ89:AZ92)+'Fin Stat'!AZ93+SUM('Fin Stat'!AZ114:AZ116)+'Fin Stat'!AZ117)*AZ$9</f>
        <v>2592</v>
      </c>
      <c r="BA32" s="10">
        <f ca="1">(SUM('Fin Stat'!BA89:BA92)+'Fin Stat'!BA93+SUM('Fin Stat'!BA114:BA116)+'Fin Stat'!BA117)*BA$9</f>
        <v>2568</v>
      </c>
      <c r="BB32" s="10">
        <f ca="1">(SUM('Fin Stat'!BB89:BB92)+'Fin Stat'!BB93+SUM('Fin Stat'!BB114:BB116)+'Fin Stat'!BB117)*BB$9</f>
        <v>2512</v>
      </c>
      <c r="BC32" s="10">
        <f ca="1">(SUM('Fin Stat'!BC89:BC92)+'Fin Stat'!BC93+SUM('Fin Stat'!BC114:BC116)+'Fin Stat'!BC117)*BC$9</f>
        <v>2487</v>
      </c>
      <c r="BD32" s="10">
        <f ca="1">(SUM('Fin Stat'!BD89:BD92)+'Fin Stat'!BD93+SUM('Fin Stat'!BD114:BD116)+'Fin Stat'!BD117)*BD$9</f>
        <v>2463</v>
      </c>
      <c r="BE32" s="10">
        <f ca="1">(SUM('Fin Stat'!BE89:BE92)+'Fin Stat'!BE93+SUM('Fin Stat'!BE114:BE116)+'Fin Stat'!BE117)*BE$9</f>
        <v>2407</v>
      </c>
      <c r="BF32" s="10">
        <f ca="1">(SUM('Fin Stat'!BF89:BF92)+'Fin Stat'!BF93+SUM('Fin Stat'!BF114:BF116)+'Fin Stat'!BF117)*BF$9</f>
        <v>2383</v>
      </c>
      <c r="BG32" s="10">
        <f ca="1">(SUM('Fin Stat'!BG89:BG92)+'Fin Stat'!BG93+SUM('Fin Stat'!BG114:BG116)+'Fin Stat'!BG117)*BG$9</f>
        <v>2359</v>
      </c>
      <c r="BH32" s="10">
        <f ca="1">(SUM('Fin Stat'!BH89:BH92)+'Fin Stat'!BH93+SUM('Fin Stat'!BH114:BH116)+'Fin Stat'!BH117)*BH$9</f>
        <v>2303</v>
      </c>
      <c r="BI32" s="10">
        <f ca="1">(SUM('Fin Stat'!BI89:BI92)+'Fin Stat'!BI93+SUM('Fin Stat'!BI114:BI116)+'Fin Stat'!BI117)*BI$9</f>
        <v>2279</v>
      </c>
      <c r="BJ32" s="10">
        <f ca="1">(SUM('Fin Stat'!BJ89:BJ92)+'Fin Stat'!BJ93+SUM('Fin Stat'!BJ114:BJ116)+'Fin Stat'!BJ117)*BJ$9</f>
        <v>2255</v>
      </c>
      <c r="BK32" s="157"/>
      <c r="BL32" s="10">
        <f>(SUM('Fin Stat'!BL89:BL92)+'Fin Stat'!BL93+SUM('Fin Stat'!BL114:BL116)+'Fin Stat'!BL117)*BL$9</f>
        <v>0</v>
      </c>
      <c r="BM32" s="10">
        <f ca="1">(SUM('Fin Stat'!BM89:BM92)+'Fin Stat'!BM93+SUM('Fin Stat'!BM114:BM116)+'Fin Stat'!BM117)*BM$9</f>
        <v>3091</v>
      </c>
      <c r="BN32" s="10">
        <f ca="1">(SUM('Fin Stat'!BN89:BN92)+'Fin Stat'!BN93+SUM('Fin Stat'!BN114:BN116)+'Fin Stat'!BN117)*BN$9</f>
        <v>2673</v>
      </c>
      <c r="BO32" s="10">
        <f ca="1">(SUM('Fin Stat'!BO89:BO92)+'Fin Stat'!BO93+SUM('Fin Stat'!BO114:BO116)+'Fin Stat'!BO117)*BO$9</f>
        <v>2255</v>
      </c>
      <c r="BP32" s="10">
        <f>(SUM('Fin Stat'!BP89:BP92)+'Fin Stat'!BP93+SUM('Fin Stat'!BP114:BP116)+'Fin Stat'!BP117)*BP$9</f>
        <v>0</v>
      </c>
      <c r="BQ32" s="10">
        <f>(SUM('Fin Stat'!BQ89:BQ92)+'Fin Stat'!BQ93+SUM('Fin Stat'!BQ114:BQ116)+'Fin Stat'!BQ117)*BQ$9</f>
        <v>0</v>
      </c>
      <c r="BR32" s="10">
        <f>(SUM('Fin Stat'!BR89:BR92)+'Fin Stat'!BR93+SUM('Fin Stat'!BR114:BR116)+'Fin Stat'!BR117)*BR$9</f>
        <v>0</v>
      </c>
      <c r="BS32" s="10">
        <f>(SUM('Fin Stat'!BS89:BS92)+'Fin Stat'!BS93+SUM('Fin Stat'!BS114:BS116)+'Fin Stat'!BS117)*BS$9</f>
        <v>0</v>
      </c>
      <c r="BT32" s="10">
        <f>(SUM('Fin Stat'!BT89:BT92)+'Fin Stat'!BT93+SUM('Fin Stat'!BT114:BT116)+'Fin Stat'!BT117)*BT$9</f>
        <v>0</v>
      </c>
      <c r="BU32" s="10">
        <f>(SUM('Fin Stat'!BU89:BU92)+'Fin Stat'!BU93+SUM('Fin Stat'!BU114:BU116)+'Fin Stat'!BU117)*BU$9</f>
        <v>0</v>
      </c>
      <c r="BV32" s="10">
        <f>(SUM('Fin Stat'!BV89:BV92)+'Fin Stat'!BV93+SUM('Fin Stat'!BV114:BV116)+'Fin Stat'!BV117)*BV$9</f>
        <v>0</v>
      </c>
      <c r="BW32" s="10">
        <f>(SUM('Fin Stat'!BW89:BW92)+'Fin Stat'!BW93+SUM('Fin Stat'!BW114:BW116)+'Fin Stat'!BW117)*BW$9</f>
        <v>0</v>
      </c>
      <c r="BX32" s="157"/>
      <c r="BY32" s="12"/>
      <c r="CA32" s="12"/>
      <c r="CB32" s="7">
        <f t="shared" ca="1" si="12"/>
        <v>0</v>
      </c>
      <c r="CD32" s="42"/>
      <c r="CE32" s="352">
        <f t="shared" si="13"/>
        <v>0</v>
      </c>
      <c r="CF32" s="352">
        <f t="shared" ca="1" si="13"/>
        <v>0</v>
      </c>
      <c r="CG32" s="352">
        <f t="shared" ca="1" si="13"/>
        <v>0</v>
      </c>
      <c r="CH32" s="352">
        <f t="shared" ca="1" si="13"/>
        <v>0</v>
      </c>
      <c r="EX32" s="10" t="str">
        <f t="shared" si="0"/>
        <v>Borrowing</v>
      </c>
    </row>
    <row r="33" spans="1:154" x14ac:dyDescent="0.25">
      <c r="A33" s="362" cm="1">
        <f t="array" aca="1" ref="A33" ca="1">HYPERLINK(CONCATENATE("#",CELL("address",IF(SUM($CA33:$CD33)=0,A33,INDEX($CA33:$CD33,MATCH(1,$CA33:$CD33,0))))),SUM($CA33:$CD33))</f>
        <v>0</v>
      </c>
      <c r="B33" s="187"/>
      <c r="C33" s="343" t="s">
        <v>1517</v>
      </c>
      <c r="D33" s="158" t="s">
        <v>239</v>
      </c>
      <c r="E33" s="158"/>
      <c r="F33" s="157"/>
      <c r="G33" s="157" t="s">
        <v>187</v>
      </c>
      <c r="H33" s="157"/>
      <c r="I33" s="157"/>
      <c r="J33" s="157"/>
      <c r="K33" s="157"/>
      <c r="L33" s="157"/>
      <c r="M33" s="157"/>
      <c r="N33" s="157"/>
      <c r="O33" s="157"/>
      <c r="P33" s="157"/>
      <c r="Q33" s="157"/>
      <c r="R33" s="157"/>
      <c r="S33" s="157"/>
      <c r="T33" s="157"/>
      <c r="U33" s="157"/>
      <c r="V33" s="66">
        <f>IF(V14=0, 0, V32/V14)</f>
        <v>0</v>
      </c>
      <c r="W33" s="66">
        <f ca="1">IF(W14=0, 0, W32/W14)</f>
        <v>0.11049941014549744</v>
      </c>
      <c r="X33" s="66">
        <f ca="1">IF(X14=0, 0, X32/X14)</f>
        <v>9.1720138626771433E-2</v>
      </c>
      <c r="Y33" s="66">
        <f ca="1">IF(Y14=0, 0, Y32/Y14)</f>
        <v>7.4958357391475758E-2</v>
      </c>
      <c r="Z33" s="157"/>
      <c r="AA33" s="66">
        <f t="shared" ref="AA33:BJ33" ca="1" si="14">IF(AA14=0, 0, AA32/AA14)</f>
        <v>0.99914334665905202</v>
      </c>
      <c r="AB33" s="66">
        <f t="shared" ca="1" si="14"/>
        <v>1.0761342448725917</v>
      </c>
      <c r="AC33" s="66">
        <f t="shared" ca="1" si="14"/>
        <v>1.4037674037674037</v>
      </c>
      <c r="AD33" s="66">
        <f t="shared" ca="1" si="14"/>
        <v>1.5173814898419864</v>
      </c>
      <c r="AE33" s="66">
        <f t="shared" ca="1" si="14"/>
        <v>2.3498233215547701</v>
      </c>
      <c r="AF33" s="66">
        <f t="shared" ca="1" si="14"/>
        <v>2.1120358514724713</v>
      </c>
      <c r="AG33" s="66">
        <f t="shared" ca="1" si="14"/>
        <v>2.3465991316931984</v>
      </c>
      <c r="AH33" s="66">
        <f t="shared" ca="1" si="14"/>
        <v>2.2169421487603307</v>
      </c>
      <c r="AI33" s="66">
        <f t="shared" ca="1" si="14"/>
        <v>0.8994932432432432</v>
      </c>
      <c r="AJ33" s="66">
        <f t="shared" ca="1" si="14"/>
        <v>1.0861591695501731</v>
      </c>
      <c r="AK33" s="66">
        <f t="shared" ca="1" si="14"/>
        <v>1.0849878091257401</v>
      </c>
      <c r="AL33" s="66">
        <f t="shared" ca="1" si="14"/>
        <v>2.0998641304347827</v>
      </c>
      <c r="AM33" s="66">
        <f t="shared" ca="1" si="14"/>
        <v>0.77661207778915042</v>
      </c>
      <c r="AN33" s="66">
        <f t="shared" ca="1" si="14"/>
        <v>0.91908396946564885</v>
      </c>
      <c r="AO33" s="66">
        <f t="shared" ca="1" si="14"/>
        <v>1.1886942675159236</v>
      </c>
      <c r="AP33" s="66">
        <f t="shared" ca="1" si="14"/>
        <v>1.4237123420796891</v>
      </c>
      <c r="AQ33" s="66">
        <f t="shared" ca="1" si="14"/>
        <v>1.8912760416666667</v>
      </c>
      <c r="AR33" s="66">
        <f t="shared" ca="1" si="14"/>
        <v>1.6121992165640739</v>
      </c>
      <c r="AS33" s="66">
        <f t="shared" ca="1" si="14"/>
        <v>1.9577269577269578</v>
      </c>
      <c r="AT33" s="66">
        <f t="shared" ca="1" si="14"/>
        <v>1.7761572606214331</v>
      </c>
      <c r="AU33" s="66">
        <f t="shared" ca="1" si="14"/>
        <v>0.69668840943301558</v>
      </c>
      <c r="AV33" s="66">
        <f t="shared" ca="1" si="14"/>
        <v>0.91832602092473847</v>
      </c>
      <c r="AW33" s="66">
        <f t="shared" ca="1" si="14"/>
        <v>1.0783686525389844</v>
      </c>
      <c r="AX33" s="66">
        <f t="shared" ca="1" si="14"/>
        <v>1.6737633061991233</v>
      </c>
      <c r="AY33" s="66">
        <f t="shared" ca="1" si="14"/>
        <v>0.65211215897216956</v>
      </c>
      <c r="AZ33" s="66">
        <f t="shared" ca="1" si="14"/>
        <v>0.7725410151622103</v>
      </c>
      <c r="BA33" s="66">
        <f t="shared" ca="1" si="14"/>
        <v>0.99142030223906064</v>
      </c>
      <c r="BB33" s="66">
        <f t="shared" ca="1" si="14"/>
        <v>1.1838437376535671</v>
      </c>
      <c r="BC33" s="66">
        <f t="shared" ca="1" si="14"/>
        <v>1.5676263414172928</v>
      </c>
      <c r="BD33" s="66">
        <f t="shared" ca="1" si="14"/>
        <v>1.3319057121072011</v>
      </c>
      <c r="BE33" s="66">
        <f t="shared" ca="1" si="14"/>
        <v>1.6137593038106932</v>
      </c>
      <c r="BF33" s="66">
        <f t="shared" ca="1" si="14"/>
        <v>1.4590927459680547</v>
      </c>
      <c r="BG33" s="66">
        <f t="shared" ca="1" si="14"/>
        <v>0.57355728299018083</v>
      </c>
      <c r="BH33" s="66">
        <f t="shared" ca="1" si="14"/>
        <v>0.74606477557045492</v>
      </c>
      <c r="BI33" s="66">
        <f t="shared" ca="1" si="14"/>
        <v>0.88185901090425045</v>
      </c>
      <c r="BJ33" s="66">
        <f t="shared" ca="1" si="14"/>
        <v>1.3597402323316683</v>
      </c>
      <c r="BK33" s="157"/>
      <c r="BL33" s="66">
        <f t="shared" ref="BL33:BW33" si="15">IF(BL14=0, 0, BL32/BL14)</f>
        <v>0</v>
      </c>
      <c r="BM33" s="66">
        <f t="shared" ca="1" si="15"/>
        <v>0.11049941014549744</v>
      </c>
      <c r="BN33" s="66">
        <f t="shared" ca="1" si="15"/>
        <v>9.1720138626771433E-2</v>
      </c>
      <c r="BO33" s="66">
        <f t="shared" ca="1" si="15"/>
        <v>7.4958357391475758E-2</v>
      </c>
      <c r="BP33" s="66">
        <f t="shared" si="15"/>
        <v>0</v>
      </c>
      <c r="BQ33" s="66">
        <f t="shared" si="15"/>
        <v>0</v>
      </c>
      <c r="BR33" s="66">
        <f t="shared" si="15"/>
        <v>0</v>
      </c>
      <c r="BS33" s="66">
        <f t="shared" si="15"/>
        <v>0</v>
      </c>
      <c r="BT33" s="66">
        <f t="shared" si="15"/>
        <v>0</v>
      </c>
      <c r="BU33" s="66">
        <f t="shared" si="15"/>
        <v>0</v>
      </c>
      <c r="BV33" s="66">
        <f t="shared" si="15"/>
        <v>0</v>
      </c>
      <c r="BW33" s="66">
        <f t="shared" si="15"/>
        <v>0</v>
      </c>
      <c r="BX33" s="157"/>
      <c r="BY33" s="12"/>
      <c r="CA33" s="12"/>
      <c r="CB33" s="7">
        <f t="shared" ca="1" si="12"/>
        <v>0</v>
      </c>
      <c r="CD33" s="42"/>
      <c r="CE33" s="352">
        <f t="shared" si="13"/>
        <v>0</v>
      </c>
      <c r="CF33" s="352">
        <f t="shared" ca="1" si="13"/>
        <v>0</v>
      </c>
      <c r="CG33" s="352">
        <f t="shared" ca="1" si="13"/>
        <v>0</v>
      </c>
      <c r="CH33" s="352">
        <f t="shared" ca="1" si="13"/>
        <v>0</v>
      </c>
      <c r="EX33" s="13" t="str">
        <f>'Financial Health'!$EX$16</f>
        <v>Financial Health Grading - Existing System Borrowing as a % of adjusted income</v>
      </c>
    </row>
    <row r="34" spans="1:154" x14ac:dyDescent="0.25">
      <c r="A34" s="362" cm="1">
        <f t="array" aca="1" ref="A34" ca="1">HYPERLINK(CONCATENATE("#",CELL("address",IF(SUM($CA34:$CD34)=0,A34,INDEX($CA34:$CD34,MATCH(1,$CA34:$CD34,0))))),SUM($CA34:$CD34))</f>
        <v>0</v>
      </c>
      <c r="B34" s="187"/>
      <c r="C34" s="343" t="s">
        <v>1518</v>
      </c>
      <c r="D34" s="237" t="s">
        <v>1691</v>
      </c>
      <c r="E34" s="158"/>
      <c r="F34" s="157"/>
      <c r="G34" s="157" t="s">
        <v>187</v>
      </c>
      <c r="H34" s="157"/>
      <c r="I34" s="157"/>
      <c r="J34" s="157"/>
      <c r="K34" s="157"/>
      <c r="L34" s="157"/>
      <c r="M34" s="157"/>
      <c r="N34" s="157"/>
      <c r="O34" s="157"/>
      <c r="P34" s="157"/>
      <c r="Q34" s="157"/>
      <c r="R34" s="157"/>
      <c r="S34" s="157"/>
      <c r="T34" s="157"/>
      <c r="U34" s="157"/>
      <c r="V34" s="66">
        <f>IF(V14=0, 0, -('Fin Stat'!V195+'Fin Stat'!V197)/V14)*V$9</f>
        <v>0</v>
      </c>
      <c r="W34" s="66">
        <f>IF(W14=0, 0, -('Fin Stat'!W195+'Fin Stat'!W197)/W14)*W$9</f>
        <v>5.1835698709469845E-3</v>
      </c>
      <c r="X34" s="66">
        <f>IF(X14=0, 0, -('Fin Stat'!X195+'Fin Stat'!X197)/X14)*X$9</f>
        <v>4.9754658065401637E-3</v>
      </c>
      <c r="Y34" s="66">
        <f>IF(Y14=0, 0, -('Fin Stat'!Y195+'Fin Stat'!Y197)/Y14)*Y$9</f>
        <v>4.8199387236203921E-3</v>
      </c>
      <c r="Z34" s="187"/>
      <c r="AA34" s="187"/>
      <c r="AB34" s="422"/>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66">
        <f>IF(BL14=0, 0, -('Fin Stat'!BL195+'Fin Stat'!BL197)/BL14)*BL$9</f>
        <v>0</v>
      </c>
      <c r="BM34" s="66">
        <f>IF(BM14=0, 0, -('Fin Stat'!BM195+'Fin Stat'!BM197)/BM14)*BM$9</f>
        <v>5.1835698709469845E-3</v>
      </c>
      <c r="BN34" s="66">
        <f>IF(BN14=0, 0, -('Fin Stat'!BN195+'Fin Stat'!BN197)/BN14)*BN$9</f>
        <v>4.9754658065401637E-3</v>
      </c>
      <c r="BO34" s="66">
        <f>IF(BO14=0, 0, -('Fin Stat'!BO195+'Fin Stat'!BO197)/BO14)*BO$9</f>
        <v>4.8199387236203921E-3</v>
      </c>
      <c r="BP34" s="66">
        <f>IF(BP14=0, 0, -('Fin Stat'!BP195+'Fin Stat'!BP197)/BP14)*BP$9</f>
        <v>0</v>
      </c>
      <c r="BQ34" s="66">
        <f>IF(BQ14=0, 0, -('Fin Stat'!BQ195+'Fin Stat'!BQ197)/BQ14)*BQ$9</f>
        <v>0</v>
      </c>
      <c r="BR34" s="66">
        <f>IF(BR14=0, 0, -('Fin Stat'!BR195+'Fin Stat'!BR197)/BR14)*BR$9</f>
        <v>0</v>
      </c>
      <c r="BS34" s="66">
        <f>IF(BS14=0, 0, -('Fin Stat'!BS195+'Fin Stat'!BS197)/BS14)*BS$9</f>
        <v>0</v>
      </c>
      <c r="BT34" s="66">
        <f>IF(BT14=0, 0, -('Fin Stat'!BT195+'Fin Stat'!BT197)/BT14)*BT$9</f>
        <v>0</v>
      </c>
      <c r="BU34" s="66">
        <f>IF(BU14=0, 0, -('Fin Stat'!BU195+'Fin Stat'!BU197)/BU14)*BU$9</f>
        <v>0</v>
      </c>
      <c r="BV34" s="66">
        <f>IF(BV14=0, 0, -('Fin Stat'!BV195+'Fin Stat'!BV197)/BV14)*BV$9</f>
        <v>0</v>
      </c>
      <c r="BW34" s="66">
        <f>IF(BW14=0, 0, -('Fin Stat'!BW195+'Fin Stat'!BW197)/BW14)*BW$9</f>
        <v>0</v>
      </c>
      <c r="BX34" s="157"/>
      <c r="BY34" s="12"/>
      <c r="CA34" s="12"/>
      <c r="CB34" s="7">
        <f t="shared" si="12"/>
        <v>0</v>
      </c>
      <c r="CD34" s="42"/>
      <c r="CE34" s="352">
        <f t="shared" ref="CE34" si="16">ROUND(BL34-V34, rounding)</f>
        <v>0</v>
      </c>
      <c r="CF34" s="352">
        <f t="shared" ref="CF34" si="17">ROUND(BM34-W34, rounding)</f>
        <v>0</v>
      </c>
      <c r="CG34" s="352">
        <f t="shared" ref="CG34" si="18">ROUND(BN34-X34, rounding)</f>
        <v>0</v>
      </c>
      <c r="CH34" s="352">
        <f t="shared" ref="CH34" si="19">ROUND(BO34-Y34, rounding)</f>
        <v>0</v>
      </c>
      <c r="EX34" s="10" t="str">
        <f>IF($C34="","",$D34)</f>
        <v>Interest as a % of adjusted income</v>
      </c>
    </row>
    <row r="35" spans="1:154" ht="8.1" customHeight="1" x14ac:dyDescent="0.25">
      <c r="A35" s="157"/>
      <c r="B35" s="187"/>
      <c r="C35" s="343"/>
      <c r="D35" s="158"/>
      <c r="E35" s="157"/>
      <c r="F35" s="157"/>
      <c r="G35" s="157"/>
      <c r="H35" s="157"/>
      <c r="I35" s="157"/>
      <c r="J35" s="157"/>
      <c r="K35" s="157"/>
      <c r="L35" s="157"/>
      <c r="M35" s="157"/>
      <c r="N35" s="157"/>
      <c r="O35" s="157"/>
      <c r="P35" s="157"/>
      <c r="Q35" s="157"/>
      <c r="R35" s="157"/>
      <c r="S35" s="157"/>
      <c r="T35" s="157"/>
      <c r="U35" s="157"/>
      <c r="V35" s="157"/>
      <c r="W35" s="157"/>
      <c r="X35" s="157"/>
      <c r="Y35" s="15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57"/>
      <c r="BY35" s="42"/>
      <c r="CA35" s="42"/>
      <c r="CB35" s="335"/>
      <c r="CD35" s="42"/>
      <c r="CE35" s="335"/>
      <c r="CF35" s="335"/>
      <c r="CG35" s="335"/>
      <c r="CH35" s="335"/>
      <c r="EX35" s="10" t="str">
        <f t="shared" si="0"/>
        <v/>
      </c>
    </row>
    <row r="36" spans="1:154" x14ac:dyDescent="0.25">
      <c r="A36" s="157"/>
      <c r="B36" s="228"/>
      <c r="C36" s="343"/>
      <c r="D36" s="192" t="s">
        <v>622</v>
      </c>
      <c r="E36" s="158"/>
      <c r="F36" s="157"/>
      <c r="G36" s="157"/>
      <c r="H36" s="157"/>
      <c r="I36" s="157"/>
      <c r="J36" s="157"/>
      <c r="K36" s="157"/>
      <c r="L36" s="157"/>
      <c r="M36" s="157"/>
      <c r="N36" s="157"/>
      <c r="O36" s="157"/>
      <c r="P36" s="157"/>
      <c r="Q36" s="157"/>
      <c r="R36" s="157"/>
      <c r="S36" s="157"/>
      <c r="T36" s="157"/>
      <c r="U36" s="157"/>
      <c r="V36" s="157"/>
      <c r="W36" s="157"/>
      <c r="X36" s="157"/>
      <c r="Y36" s="15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57"/>
      <c r="BY36" s="12"/>
      <c r="CA36" s="12"/>
      <c r="CB36" s="335"/>
      <c r="CD36" s="42"/>
      <c r="CE36" s="335"/>
      <c r="CF36" s="335"/>
      <c r="CG36" s="335"/>
      <c r="CH36" s="335"/>
      <c r="EX36" s="10" t="str">
        <f t="shared" si="0"/>
        <v/>
      </c>
    </row>
    <row r="37" spans="1:154" x14ac:dyDescent="0.25">
      <c r="A37" s="362" cm="1">
        <f t="array" aca="1" ref="A37" ca="1">HYPERLINK(CONCATENATE("#",CELL("address",IF(SUM($CA37:$CD37)=0,A37,INDEX($CA37:$CD37,MATCH(1,$CA37:$CD37,0))))),SUM($CA37:$CD37))</f>
        <v>0</v>
      </c>
      <c r="B37" s="187"/>
      <c r="C37" s="343" t="str">
        <f>'Fin Stat'!C55</f>
        <v>FS-IE-6</v>
      </c>
      <c r="D37" s="158" t="s">
        <v>84</v>
      </c>
      <c r="E37" s="158"/>
      <c r="F37" s="157"/>
      <c r="G37" s="157" t="s">
        <v>2512</v>
      </c>
      <c r="H37" s="157"/>
      <c r="I37" s="157"/>
      <c r="J37" s="157"/>
      <c r="K37" s="157"/>
      <c r="L37" s="157"/>
      <c r="M37" s="157"/>
      <c r="N37" s="157"/>
      <c r="O37" s="157"/>
      <c r="P37" s="157"/>
      <c r="Q37" s="157"/>
      <c r="R37" s="157"/>
      <c r="S37" s="157"/>
      <c r="T37" s="157"/>
      <c r="U37" s="157"/>
      <c r="V37" s="10">
        <f>'Fin Stat'!V55</f>
        <v>0</v>
      </c>
      <c r="W37" s="10">
        <f>'Fin Stat'!W55</f>
        <v>440</v>
      </c>
      <c r="X37" s="10">
        <f>'Fin Stat'!X55</f>
        <v>436</v>
      </c>
      <c r="Y37" s="10">
        <f>'Fin Stat'!Y55</f>
        <v>541.81000000000131</v>
      </c>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0">
        <f>'Fin Stat'!BL55</f>
        <v>0</v>
      </c>
      <c r="BM37" s="10">
        <f>'Fin Stat'!BM55</f>
        <v>440</v>
      </c>
      <c r="BN37" s="10">
        <f>'Fin Stat'!BN55</f>
        <v>436</v>
      </c>
      <c r="BO37" s="10">
        <f>'Fin Stat'!BO55</f>
        <v>541.81000000000131</v>
      </c>
      <c r="BP37" s="10">
        <f>'Fin Stat'!BP55</f>
        <v>0</v>
      </c>
      <c r="BQ37" s="10">
        <f>'Fin Stat'!BQ55</f>
        <v>0</v>
      </c>
      <c r="BR37" s="10">
        <f>'Fin Stat'!BR55</f>
        <v>0</v>
      </c>
      <c r="BS37" s="10">
        <f>'Fin Stat'!BS55</f>
        <v>0</v>
      </c>
      <c r="BT37" s="10">
        <f>'Fin Stat'!BT55</f>
        <v>0</v>
      </c>
      <c r="BU37" s="10">
        <f>'Fin Stat'!BU55</f>
        <v>0</v>
      </c>
      <c r="BV37" s="10">
        <f>'Fin Stat'!BV55</f>
        <v>0</v>
      </c>
      <c r="BW37" s="10">
        <f>'Fin Stat'!BW55</f>
        <v>0</v>
      </c>
      <c r="BX37" s="157"/>
      <c r="BY37" s="12"/>
      <c r="CA37" s="12"/>
      <c r="CB37" s="7">
        <f t="shared" ref="CB37:CB46" si="20">IF(SUM($CE37:$CH37)=0, 0, 1)</f>
        <v>0</v>
      </c>
      <c r="CD37" s="42"/>
      <c r="CE37" s="352">
        <f t="shared" ref="CE37:CE46" si="21">ROUND(BL37-V37, rounding)</f>
        <v>0</v>
      </c>
      <c r="CF37" s="352">
        <f t="shared" ref="CF37:CF46" si="22">ROUND(BM37-W37, rounding)</f>
        <v>0</v>
      </c>
      <c r="CG37" s="352">
        <f t="shared" ref="CG37:CG46" si="23">ROUND(BN37-X37, rounding)</f>
        <v>0</v>
      </c>
      <c r="CH37" s="352">
        <f t="shared" ref="CH37:CH46" si="24">ROUND(BO37-Y37, rounding)</f>
        <v>0</v>
      </c>
      <c r="EX37" s="10" t="str">
        <f>IF($C37="","",$D37)</f>
        <v>Total surplus/(deficit) for the year</v>
      </c>
    </row>
    <row r="38" spans="1:154" x14ac:dyDescent="0.25">
      <c r="A38" s="362" cm="1">
        <f t="array" aca="1" ref="A38" ca="1">HYPERLINK(CONCATENATE("#",CELL("address",IF(SUM($CA38:$CD38)=0,A38,INDEX($CA38:$CD38,MATCH(1,$CA38:$CD38,0))))),SUM($CA38:$CD38))</f>
        <v>0</v>
      </c>
      <c r="B38" s="187"/>
      <c r="C38" s="343" t="s">
        <v>1537</v>
      </c>
      <c r="D38" s="158" t="s">
        <v>639</v>
      </c>
      <c r="E38" s="158"/>
      <c r="F38" s="157"/>
      <c r="G38" s="157" t="s">
        <v>187</v>
      </c>
      <c r="H38" s="157"/>
      <c r="I38" s="157"/>
      <c r="J38" s="157"/>
      <c r="K38" s="157"/>
      <c r="L38" s="157"/>
      <c r="M38" s="157"/>
      <c r="N38" s="157"/>
      <c r="O38" s="157"/>
      <c r="P38" s="157"/>
      <c r="Q38" s="157"/>
      <c r="R38" s="157"/>
      <c r="S38" s="157"/>
      <c r="T38" s="157"/>
      <c r="U38" s="157"/>
      <c r="V38" s="66">
        <f>IF(V$14=0, 0, V37/V$14)</f>
        <v>0</v>
      </c>
      <c r="W38" s="66">
        <f t="shared" ref="W38:Y38" si="25">IF(W$14=0, 0, W37/W$14)</f>
        <v>1.5729453401494297E-2</v>
      </c>
      <c r="X38" s="66">
        <f>IF(X$14=0, 0, X37/X$14)</f>
        <v>1.4960710976906976E-2</v>
      </c>
      <c r="Y38" s="66">
        <f t="shared" si="25"/>
        <v>1.8010282757550147E-2</v>
      </c>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c r="BF38" s="187"/>
      <c r="BG38" s="187"/>
      <c r="BH38" s="187"/>
      <c r="BI38" s="187"/>
      <c r="BJ38" s="187"/>
      <c r="BK38" s="187"/>
      <c r="BL38" s="66">
        <f>IF(BL$14=0, 0, BL37/BL$14)</f>
        <v>0</v>
      </c>
      <c r="BM38" s="66">
        <f t="shared" ref="BM38:BO38" si="26">IF(BM$14=0, 0, BM37/BM$14)</f>
        <v>1.5729453401494297E-2</v>
      </c>
      <c r="BN38" s="66">
        <f t="shared" si="26"/>
        <v>1.4960710976906976E-2</v>
      </c>
      <c r="BO38" s="66">
        <f t="shared" si="26"/>
        <v>1.8010282757550147E-2</v>
      </c>
      <c r="BP38" s="66">
        <f>IF(BP$14=0, 0, BP37/BP$14)</f>
        <v>0</v>
      </c>
      <c r="BQ38" s="66">
        <f t="shared" ref="BQ38:BW38" si="27">IF(BQ$14=0, 0, BQ37/BQ$14)</f>
        <v>0</v>
      </c>
      <c r="BR38" s="66">
        <f t="shared" si="27"/>
        <v>0</v>
      </c>
      <c r="BS38" s="66">
        <f t="shared" si="27"/>
        <v>0</v>
      </c>
      <c r="BT38" s="66">
        <f t="shared" si="27"/>
        <v>0</v>
      </c>
      <c r="BU38" s="66">
        <f t="shared" si="27"/>
        <v>0</v>
      </c>
      <c r="BV38" s="66">
        <f t="shared" si="27"/>
        <v>0</v>
      </c>
      <c r="BW38" s="66">
        <f t="shared" si="27"/>
        <v>0</v>
      </c>
      <c r="BX38" s="157"/>
      <c r="BY38" s="12"/>
      <c r="CA38" s="12"/>
      <c r="CB38" s="7">
        <f t="shared" si="20"/>
        <v>0</v>
      </c>
      <c r="CD38" s="42"/>
      <c r="CE38" s="352">
        <f t="shared" si="21"/>
        <v>0</v>
      </c>
      <c r="CF38" s="352">
        <f t="shared" si="22"/>
        <v>0</v>
      </c>
      <c r="CG38" s="352">
        <f t="shared" si="23"/>
        <v>0</v>
      </c>
      <c r="CH38" s="352">
        <f t="shared" si="24"/>
        <v>0</v>
      </c>
      <c r="EX38" s="10" t="str">
        <f t="shared" si="0"/>
        <v>Total surplus/(deficit) as a % of adjusted income</v>
      </c>
    </row>
    <row r="39" spans="1:154" ht="15.75" x14ac:dyDescent="0.3">
      <c r="A39" s="362" cm="1">
        <f t="array" aca="1" ref="A39" ca="1">HYPERLINK(CONCATENATE("#",CELL("address",IF(SUM($CA39:$CD39)=0,A39,INDEX($CA39:$CD39,MATCH(1,$CA39:$CD39,0))))),SUM($CA39:$CD39))</f>
        <v>0</v>
      </c>
      <c r="B39" s="105" t="s">
        <v>335</v>
      </c>
      <c r="C39" s="343" t="s">
        <v>1519</v>
      </c>
      <c r="D39" s="1" t="s">
        <v>1692</v>
      </c>
      <c r="E39" s="158"/>
      <c r="F39" s="157"/>
      <c r="G39" s="157" t="s">
        <v>187</v>
      </c>
      <c r="H39" s="157"/>
      <c r="I39" s="157"/>
      <c r="J39" s="157"/>
      <c r="K39" s="157"/>
      <c r="L39" s="157"/>
      <c r="M39" s="157"/>
      <c r="N39" s="157"/>
      <c r="O39" s="157"/>
      <c r="P39" s="157"/>
      <c r="Q39" s="157"/>
      <c r="R39" s="157"/>
      <c r="S39" s="157"/>
      <c r="T39" s="157"/>
      <c r="U39" s="157"/>
      <c r="V39" s="464">
        <f>IFERROR('Fin Stat'!BL$59/V14,0)</f>
        <v>0</v>
      </c>
      <c r="W39" s="464">
        <f>IFERROR('Fin Stat'!BM$59/W14,0)</f>
        <v>1.7338147499374398E-2</v>
      </c>
      <c r="X39" s="464">
        <f>IFERROR('Fin Stat'!BN$59/X14,0)</f>
        <v>1.6504821054798752E-2</v>
      </c>
      <c r="Y39" s="464">
        <f>IFERROR('Fin Stat'!BO$59/Y14,0)</f>
        <v>1.9506125809708199E-2</v>
      </c>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c r="BJ39" s="187"/>
      <c r="BK39" s="187"/>
      <c r="BL39" s="66">
        <f>IFERROR('Fin Stat'!BL$59/BL14,0)</f>
        <v>0</v>
      </c>
      <c r="BM39" s="66">
        <f>IFERROR('Fin Stat'!BM$59/BM14,0)</f>
        <v>1.7338147499374398E-2</v>
      </c>
      <c r="BN39" s="66">
        <f>IFERROR('Fin Stat'!BN$59/BN14,0)</f>
        <v>1.6504821054798752E-2</v>
      </c>
      <c r="BO39" s="66">
        <f>IFERROR('Fin Stat'!BO$59/BO14,0)</f>
        <v>1.9506125809708199E-2</v>
      </c>
      <c r="BP39" s="66">
        <f>IFERROR('Fin Stat'!BP$59/BP14,0)</f>
        <v>0</v>
      </c>
      <c r="BQ39" s="66">
        <f>IFERROR('Fin Stat'!BQ$59/BQ14,0)</f>
        <v>0</v>
      </c>
      <c r="BR39" s="66">
        <f>IFERROR('Fin Stat'!BR$59/BR14,0)</f>
        <v>0</v>
      </c>
      <c r="BS39" s="66">
        <f>IFERROR('Fin Stat'!BS$59/BS14,0)</f>
        <v>0</v>
      </c>
      <c r="BT39" s="66">
        <f>IFERROR('Fin Stat'!BT$59/BT14,0)</f>
        <v>0</v>
      </c>
      <c r="BU39" s="66">
        <f>IFERROR('Fin Stat'!BU$59/BU14,0)</f>
        <v>0</v>
      </c>
      <c r="BV39" s="66">
        <f>IFERROR('Fin Stat'!BV$59/BV14,0)</f>
        <v>0</v>
      </c>
      <c r="BW39" s="66">
        <f>IFERROR('Fin Stat'!BW$59/BW14,0)</f>
        <v>0</v>
      </c>
      <c r="BX39" s="157"/>
      <c r="BY39" s="12"/>
      <c r="CA39" s="12"/>
      <c r="CB39" s="7">
        <f t="shared" si="20"/>
        <v>0</v>
      </c>
      <c r="CD39" s="42"/>
      <c r="CE39" s="352">
        <f t="shared" si="21"/>
        <v>0</v>
      </c>
      <c r="CF39" s="352">
        <f t="shared" si="22"/>
        <v>0</v>
      </c>
      <c r="CG39" s="352">
        <f t="shared" si="23"/>
        <v>0</v>
      </c>
      <c r="CH39" s="352">
        <f t="shared" si="24"/>
        <v>0</v>
      </c>
      <c r="EX39" s="10" t="str">
        <f t="shared" si="0"/>
        <v>Total comprehensive income as a % of adjusted income</v>
      </c>
    </row>
    <row r="40" spans="1:154" ht="15.75" x14ac:dyDescent="0.3">
      <c r="A40" s="362" cm="1">
        <f t="array" aca="1" ref="A40" ca="1">HYPERLINK(CONCATENATE("#",CELL("address",IF(SUM($CA40:$CD40)=0,A40,INDEX($CA40:$CD40,MATCH(1,$CA40:$CD40,0))))),SUM($CA40:$CD40))</f>
        <v>0</v>
      </c>
      <c r="B40" s="105" t="s">
        <v>335</v>
      </c>
      <c r="C40" s="343" t="s">
        <v>1520</v>
      </c>
      <c r="D40" s="158" t="s">
        <v>1693</v>
      </c>
      <c r="E40" s="158"/>
      <c r="F40" s="157"/>
      <c r="G40" s="157" t="s">
        <v>187</v>
      </c>
      <c r="H40" s="157"/>
      <c r="I40" s="157"/>
      <c r="J40" s="157"/>
      <c r="K40" s="157"/>
      <c r="L40" s="157"/>
      <c r="M40" s="157"/>
      <c r="N40" s="157"/>
      <c r="O40" s="157"/>
      <c r="P40" s="157"/>
      <c r="Q40" s="157"/>
      <c r="R40" s="157"/>
      <c r="S40" s="157"/>
      <c r="T40" s="157"/>
      <c r="U40" s="157"/>
      <c r="V40" s="66">
        <f>IF(V14=0, 0, ('Fin Stat'!V132+'BS Forecasts'!V192+'BS Forecasts'!V201+'BS Forecasts'!V211)/V14)*V$9</f>
        <v>0</v>
      </c>
      <c r="W40" s="66">
        <f>IF(W14=0, 0, ('Fin Stat'!W132+'BS Forecasts'!W192+'BS Forecasts'!W201+'BS Forecasts'!W211)/W14)*W$9</f>
        <v>1.081399921352733</v>
      </c>
      <c r="X40" s="66">
        <f>IF(X14=0, 0, ('Fin Stat'!X132+'BS Forecasts'!X192+'BS Forecasts'!X201+'BS Forecasts'!X211)/X14)*X$9</f>
        <v>1.0546958103146553</v>
      </c>
      <c r="Y40" s="66">
        <f>IF(Y14=0, 0, ('Fin Stat'!Y132+'BS Forecasts'!Y192+'BS Forecasts'!Y201+'BS Forecasts'!Y211)/Y14)*Y$9</f>
        <v>1.0414328580873753</v>
      </c>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c r="BK40" s="187"/>
      <c r="BL40" s="66">
        <f>IF(BL14=0, 0, ('Fin Stat'!BL132+'BS Forecasts'!BL192+'BS Forecasts'!BL201+'BS Forecasts'!BL211)/BL14)*BL$9</f>
        <v>0</v>
      </c>
      <c r="BM40" s="66">
        <f>IF(BM14=0, 0, ('Fin Stat'!BM132+'BS Forecasts'!BM192+'BS Forecasts'!BM201+'BS Forecasts'!BM211)/BM14)*BM$9</f>
        <v>1.081399921352733</v>
      </c>
      <c r="BN40" s="66">
        <f>IF(BN14=0, 0, ('Fin Stat'!BN132+'BS Forecasts'!BN192+'BS Forecasts'!BN201+'BS Forecasts'!BN211)/BN14)*BN$9</f>
        <v>1.0546958103146553</v>
      </c>
      <c r="BO40" s="66">
        <f>IF(BO14=0, 0, ('Fin Stat'!BO132+'BS Forecasts'!BO192+'BS Forecasts'!BO201+'BS Forecasts'!BO211)/BO14)*BO$9</f>
        <v>1.0414328580873753</v>
      </c>
      <c r="BP40" s="66">
        <f>IF(BP14=0, 0, ('Fin Stat'!BP132+'BS Forecasts'!BP192+'BS Forecasts'!BP201+'BS Forecasts'!BP211)/BP14)*BP$9</f>
        <v>0</v>
      </c>
      <c r="BQ40" s="66">
        <f>IF(BQ14=0, 0, ('Fin Stat'!BQ132+'BS Forecasts'!BQ192+'BS Forecasts'!BQ201+'BS Forecasts'!BQ211)/BQ14)*BQ$9</f>
        <v>0</v>
      </c>
      <c r="BR40" s="66">
        <f>IF(BR14=0, 0, ('Fin Stat'!BR132+'BS Forecasts'!BR192+'BS Forecasts'!BR201+'BS Forecasts'!BR211)/BR14)*BR$9</f>
        <v>0</v>
      </c>
      <c r="BS40" s="66">
        <f>IF(BS14=0, 0, ('Fin Stat'!BS132+'BS Forecasts'!BS192+'BS Forecasts'!BS201+'BS Forecasts'!BS211)/BS14)*BS$9</f>
        <v>0</v>
      </c>
      <c r="BT40" s="66">
        <f>IF(BT14=0, 0, ('Fin Stat'!BT132+'BS Forecasts'!BT192+'BS Forecasts'!BT201+'BS Forecasts'!BT211)/BT14)*BT$9</f>
        <v>0</v>
      </c>
      <c r="BU40" s="66">
        <f>IF(BU14=0, 0, ('Fin Stat'!BU132+'BS Forecasts'!BU192+'BS Forecasts'!BU201+'BS Forecasts'!BU211)/BU14)*BU$9</f>
        <v>0</v>
      </c>
      <c r="BV40" s="66">
        <f>IF(BV14=0, 0, ('Fin Stat'!BV132+'BS Forecasts'!BV192+'BS Forecasts'!BV201+'BS Forecasts'!BV211)/BV14)*BV$9</f>
        <v>0</v>
      </c>
      <c r="BW40" s="66">
        <f>IF(BW14=0, 0, ('Fin Stat'!BW132+'BS Forecasts'!BW192+'BS Forecasts'!BW201+'BS Forecasts'!BW211)/BW14)*BW$9</f>
        <v>0</v>
      </c>
      <c r="BX40" s="157"/>
      <c r="BY40" s="12"/>
      <c r="CA40" s="12"/>
      <c r="CB40" s="7">
        <f t="shared" si="20"/>
        <v>0</v>
      </c>
      <c r="CD40" s="42"/>
      <c r="CE40" s="352">
        <f t="shared" si="21"/>
        <v>0</v>
      </c>
      <c r="CF40" s="352">
        <f t="shared" si="22"/>
        <v>0</v>
      </c>
      <c r="CG40" s="352">
        <f t="shared" si="23"/>
        <v>0</v>
      </c>
      <c r="CH40" s="352">
        <f t="shared" si="24"/>
        <v>0</v>
      </c>
      <c r="EX40" s="10" t="str">
        <f t="shared" si="0"/>
        <v>Available reserves as a % of adjusted income</v>
      </c>
    </row>
    <row r="41" spans="1:154" ht="15.75" x14ac:dyDescent="0.3">
      <c r="A41" s="362" cm="1">
        <f t="array" aca="1" ref="A41" ca="1">HYPERLINK(CONCATENATE("#",CELL("address",IF(SUM($CA41:$CD41)=0,A41,INDEX($CA41:$CD41,MATCH(1,$CA41:$CD41,0))))),SUM($CA41:$CD41))</f>
        <v>0</v>
      </c>
      <c r="B41" s="105" t="s">
        <v>335</v>
      </c>
      <c r="C41" s="343" t="s">
        <v>1521</v>
      </c>
      <c r="D41" s="237" t="s">
        <v>623</v>
      </c>
      <c r="E41" s="158"/>
      <c r="F41" s="157"/>
      <c r="G41" s="157" t="s">
        <v>2512</v>
      </c>
      <c r="H41" s="157"/>
      <c r="I41" s="157"/>
      <c r="J41" s="157"/>
      <c r="K41" s="157"/>
      <c r="L41" s="157"/>
      <c r="M41" s="157"/>
      <c r="N41" s="157"/>
      <c r="O41" s="157"/>
      <c r="P41" s="157"/>
      <c r="Q41" s="157"/>
      <c r="R41" s="157"/>
      <c r="S41" s="157"/>
      <c r="T41" s="157"/>
      <c r="U41" s="157"/>
      <c r="V41" s="13">
        <f>('Fin Stat'!V46-'Fin Stat'!V21+'Fin Stat'!V42+'Fin Stat'!V43+'I&amp;E Annual'!BL130+'I&amp;E Annual'!BL198)*V$9</f>
        <v>0</v>
      </c>
      <c r="W41" s="13">
        <f>('Fin Stat'!W46-'Fin Stat'!W21+'Fin Stat'!W42+'Fin Stat'!W43+'I&amp;E Annual'!BM130+'I&amp;E Annual'!BM198)*W$9</f>
        <v>440</v>
      </c>
      <c r="X41" s="13">
        <f>('Fin Stat'!X46-'Fin Stat'!X21+'Fin Stat'!X42+'Fin Stat'!X43+'I&amp;E Annual'!BN130+'I&amp;E Annual'!BN198)*X$9</f>
        <v>436</v>
      </c>
      <c r="Y41" s="13">
        <f>('Fin Stat'!Y46-'Fin Stat'!Y21+'Fin Stat'!Y42+'Fin Stat'!Y43+'I&amp;E Annual'!BO130+'I&amp;E Annual'!BO198)*Y$9</f>
        <v>541.81000000000131</v>
      </c>
      <c r="Z41" s="187"/>
      <c r="AA41" s="187"/>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c r="BF41" s="187"/>
      <c r="BG41" s="187"/>
      <c r="BH41" s="187"/>
      <c r="BI41" s="187"/>
      <c r="BJ41" s="187"/>
      <c r="BK41" s="187"/>
      <c r="BL41" s="10">
        <f>('Fin Stat'!BL46-'Fin Stat'!BL21+'Fin Stat'!BL42+'Fin Stat'!BL43+'I&amp;E Annual'!BL130+'I&amp;E Annual'!BL198)*BL$9</f>
        <v>0</v>
      </c>
      <c r="BM41" s="10">
        <f>('Fin Stat'!BM46-'Fin Stat'!BM21+'Fin Stat'!BM42+'Fin Stat'!BM43+'I&amp;E Annual'!BM130+'I&amp;E Annual'!BM198)*BM$9</f>
        <v>440</v>
      </c>
      <c r="BN41" s="10">
        <f>('Fin Stat'!BN46-'Fin Stat'!BN21+'Fin Stat'!BN42+'Fin Stat'!BN43+'I&amp;E Annual'!BN130+'I&amp;E Annual'!BN198)*BN$9</f>
        <v>436</v>
      </c>
      <c r="BO41" s="10">
        <f>('Fin Stat'!BO46-'Fin Stat'!BO21+'Fin Stat'!BO42+'Fin Stat'!BO43+'I&amp;E Annual'!BO130+'I&amp;E Annual'!BO198)*BO$9</f>
        <v>541.81000000000131</v>
      </c>
      <c r="BP41" s="10">
        <f>('Fin Stat'!BP46-'Fin Stat'!BP21+'Fin Stat'!BP42+'Fin Stat'!BP43+'I&amp;E Annual'!BP130+'I&amp;E Annual'!BP198)*BP$9</f>
        <v>0</v>
      </c>
      <c r="BQ41" s="10">
        <f>('Fin Stat'!BQ46-'Fin Stat'!BQ21+'Fin Stat'!BQ42+'Fin Stat'!BQ43+'I&amp;E Annual'!BQ130+'I&amp;E Annual'!BQ198)*BQ$9</f>
        <v>0</v>
      </c>
      <c r="BR41" s="10">
        <f>('Fin Stat'!BR46-'Fin Stat'!BR21+'Fin Stat'!BR42+'Fin Stat'!BR43+'I&amp;E Annual'!BR130+'I&amp;E Annual'!BR198)*BR$9</f>
        <v>0</v>
      </c>
      <c r="BS41" s="10">
        <f>('Fin Stat'!BS46-'Fin Stat'!BS21+'Fin Stat'!BS42+'Fin Stat'!BS43+'I&amp;E Annual'!BS130+'I&amp;E Annual'!BS198)*BS$9</f>
        <v>0</v>
      </c>
      <c r="BT41" s="10">
        <f>('Fin Stat'!BT46-'Fin Stat'!BT21+'Fin Stat'!BT42+'Fin Stat'!BT43+'I&amp;E Annual'!BT130+'I&amp;E Annual'!BT198)*BT$9</f>
        <v>0</v>
      </c>
      <c r="BU41" s="10">
        <f>('Fin Stat'!BU46-'Fin Stat'!BU21+'Fin Stat'!BU42+'Fin Stat'!BU43+'I&amp;E Annual'!BU130+'I&amp;E Annual'!BU198)*BU$9</f>
        <v>0</v>
      </c>
      <c r="BV41" s="10">
        <f>('Fin Stat'!BV46-'Fin Stat'!BV21+'Fin Stat'!BV42+'Fin Stat'!BV43+'I&amp;E Annual'!BV130+'I&amp;E Annual'!BV198)*BV$9</f>
        <v>0</v>
      </c>
      <c r="BW41" s="10">
        <f>('Fin Stat'!BW46-'Fin Stat'!BW21+'Fin Stat'!BW42+'Fin Stat'!BW43+'I&amp;E Annual'!BW130+'I&amp;E Annual'!BW198)*BW$9</f>
        <v>0</v>
      </c>
      <c r="BX41" s="157"/>
      <c r="BY41" s="12"/>
      <c r="CA41" s="12"/>
      <c r="CB41" s="7">
        <f t="shared" si="20"/>
        <v>0</v>
      </c>
      <c r="CD41" s="42"/>
      <c r="CE41" s="352">
        <f t="shared" si="21"/>
        <v>0</v>
      </c>
      <c r="CF41" s="352">
        <f t="shared" si="22"/>
        <v>0</v>
      </c>
      <c r="CG41" s="352">
        <f t="shared" si="23"/>
        <v>0</v>
      </c>
      <c r="CH41" s="352">
        <f t="shared" si="24"/>
        <v>0</v>
      </c>
      <c r="EX41" s="10" t="str">
        <f>IF($C41="","",$D41)</f>
        <v>Adjusted Operating Surplus (Deficit)</v>
      </c>
    </row>
    <row r="42" spans="1:154" x14ac:dyDescent="0.25">
      <c r="A42" s="362" cm="1">
        <f t="array" aca="1" ref="A42" ca="1">HYPERLINK(CONCATENATE("#",CELL("address",IF(SUM($CA42:$CD42)=0,A42,INDEX($CA42:$CD42,MATCH(1,$CA42:$CD42,0))))),SUM($CA42:$CD42))</f>
        <v>0</v>
      </c>
      <c r="B42" s="187"/>
      <c r="C42" s="343" t="s">
        <v>1522</v>
      </c>
      <c r="D42" s="158" t="s">
        <v>624</v>
      </c>
      <c r="E42" s="158"/>
      <c r="F42" s="157"/>
      <c r="G42" s="157" t="s">
        <v>187</v>
      </c>
      <c r="H42" s="157"/>
      <c r="I42" s="157"/>
      <c r="J42" s="157"/>
      <c r="K42" s="157"/>
      <c r="L42" s="157"/>
      <c r="M42" s="157"/>
      <c r="N42" s="157"/>
      <c r="O42" s="157"/>
      <c r="P42" s="157"/>
      <c r="Q42" s="157"/>
      <c r="R42" s="157"/>
      <c r="S42" s="157"/>
      <c r="T42" s="157"/>
      <c r="U42" s="157"/>
      <c r="V42" s="66">
        <f>IF(V$14=0, 0, V41/V$14)</f>
        <v>0</v>
      </c>
      <c r="W42" s="66">
        <f>IF(W$14=0, 0, W41/W$14)</f>
        <v>1.5729453401494297E-2</v>
      </c>
      <c r="X42" s="66">
        <f t="shared" ref="X42:Y42" si="28">IF(X$14=0, 0, X41/X$14)</f>
        <v>1.4960710976906976E-2</v>
      </c>
      <c r="Y42" s="66">
        <f t="shared" si="28"/>
        <v>1.8010282757550147E-2</v>
      </c>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c r="BJ42" s="187"/>
      <c r="BK42" s="187"/>
      <c r="BL42" s="66">
        <f>IF(BL$14=0, 0, BL41/BL$14)</f>
        <v>0</v>
      </c>
      <c r="BM42" s="66">
        <f t="shared" ref="BM42:BO42" si="29">IF(BM$14=0, 0, BM41/BM$14)</f>
        <v>1.5729453401494297E-2</v>
      </c>
      <c r="BN42" s="66">
        <f t="shared" si="29"/>
        <v>1.4960710976906976E-2</v>
      </c>
      <c r="BO42" s="66">
        <f t="shared" si="29"/>
        <v>1.8010282757550147E-2</v>
      </c>
      <c r="BP42" s="66">
        <f>IF(BP$14=0, 0, BP41/BP$14)</f>
        <v>0</v>
      </c>
      <c r="BQ42" s="66">
        <f t="shared" ref="BQ42:BW42" si="30">IF(BQ$14=0, 0, BQ41/BQ$14)</f>
        <v>0</v>
      </c>
      <c r="BR42" s="66">
        <f t="shared" si="30"/>
        <v>0</v>
      </c>
      <c r="BS42" s="66">
        <f t="shared" si="30"/>
        <v>0</v>
      </c>
      <c r="BT42" s="66">
        <f t="shared" si="30"/>
        <v>0</v>
      </c>
      <c r="BU42" s="66">
        <f t="shared" si="30"/>
        <v>0</v>
      </c>
      <c r="BV42" s="66">
        <f t="shared" si="30"/>
        <v>0</v>
      </c>
      <c r="BW42" s="66">
        <f t="shared" si="30"/>
        <v>0</v>
      </c>
      <c r="BX42" s="157"/>
      <c r="BY42" s="12"/>
      <c r="CA42" s="12"/>
      <c r="CB42" s="7">
        <f t="shared" si="20"/>
        <v>0</v>
      </c>
      <c r="CD42" s="42"/>
      <c r="CE42" s="352">
        <f t="shared" si="21"/>
        <v>0</v>
      </c>
      <c r="CF42" s="352">
        <f t="shared" si="22"/>
        <v>0</v>
      </c>
      <c r="CG42" s="352">
        <f t="shared" si="23"/>
        <v>0</v>
      </c>
      <c r="CH42" s="352">
        <f t="shared" si="24"/>
        <v>0</v>
      </c>
      <c r="EX42" s="10" t="str">
        <f t="shared" si="0"/>
        <v>Adjusted Operating Ratio</v>
      </c>
    </row>
    <row r="43" spans="1:154" x14ac:dyDescent="0.25">
      <c r="A43" s="362" cm="1">
        <f t="array" aca="1" ref="A43" ca="1">HYPERLINK(CONCATENATE("#",CELL("address",IF(SUM($CA43:$CD43)=0,A43,INDEX($CA43:$CD43,MATCH(1,$CA43:$CD43,0))))),SUM($CA43:$CD43))</f>
        <v>0</v>
      </c>
      <c r="B43" s="187"/>
      <c r="C43" s="343" t="str">
        <f>'Fin Stat'!C35</f>
        <v>FS-IE-4</v>
      </c>
      <c r="D43" s="158" t="s">
        <v>625</v>
      </c>
      <c r="E43" s="158"/>
      <c r="F43" s="157"/>
      <c r="G43" s="157" t="s">
        <v>2512</v>
      </c>
      <c r="H43" s="157"/>
      <c r="I43" s="157"/>
      <c r="J43" s="157"/>
      <c r="K43" s="157"/>
      <c r="L43" s="157"/>
      <c r="M43" s="157"/>
      <c r="N43" s="157"/>
      <c r="O43" s="157"/>
      <c r="P43" s="157"/>
      <c r="Q43" s="157"/>
      <c r="R43" s="157"/>
      <c r="S43" s="157"/>
      <c r="T43" s="157"/>
      <c r="U43" s="157"/>
      <c r="V43" s="10">
        <f>'Fin Stat'!V35</f>
        <v>0</v>
      </c>
      <c r="W43" s="10">
        <f>'Fin Stat'!W35</f>
        <v>2501</v>
      </c>
      <c r="X43" s="10">
        <f>'Fin Stat'!X35</f>
        <v>2564</v>
      </c>
      <c r="Y43" s="10">
        <f>'Fin Stat'!Y35</f>
        <v>2744.8100000000013</v>
      </c>
      <c r="Z43" s="187"/>
      <c r="AA43" s="187"/>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0">
        <f>'Fin Stat'!BL35</f>
        <v>0</v>
      </c>
      <c r="BM43" s="10">
        <f>'Fin Stat'!BM35</f>
        <v>2501</v>
      </c>
      <c r="BN43" s="10">
        <f>'Fin Stat'!BN35</f>
        <v>2564</v>
      </c>
      <c r="BO43" s="10">
        <f>'Fin Stat'!BO35</f>
        <v>2744.8100000000013</v>
      </c>
      <c r="BP43" s="10">
        <f>'Fin Stat'!BP35</f>
        <v>0</v>
      </c>
      <c r="BQ43" s="10">
        <f>'Fin Stat'!BQ35</f>
        <v>0</v>
      </c>
      <c r="BR43" s="10">
        <f>'Fin Stat'!BR35</f>
        <v>0</v>
      </c>
      <c r="BS43" s="10">
        <f>'Fin Stat'!BS35</f>
        <v>0</v>
      </c>
      <c r="BT43" s="10">
        <f>'Fin Stat'!BT35</f>
        <v>0</v>
      </c>
      <c r="BU43" s="10">
        <f>'Fin Stat'!BU35</f>
        <v>0</v>
      </c>
      <c r="BV43" s="10">
        <f>'Fin Stat'!BV35</f>
        <v>0</v>
      </c>
      <c r="BW43" s="10">
        <f>'Fin Stat'!BW35</f>
        <v>0</v>
      </c>
      <c r="BX43" s="157"/>
      <c r="BY43" s="12"/>
      <c r="CA43" s="12"/>
      <c r="CB43" s="7">
        <f t="shared" si="20"/>
        <v>0</v>
      </c>
      <c r="CD43" s="42"/>
      <c r="CE43" s="352">
        <f t="shared" si="21"/>
        <v>0</v>
      </c>
      <c r="CF43" s="352">
        <f t="shared" si="22"/>
        <v>0</v>
      </c>
      <c r="CG43" s="352">
        <f t="shared" si="23"/>
        <v>0</v>
      </c>
      <c r="CH43" s="352">
        <f t="shared" si="24"/>
        <v>0</v>
      </c>
      <c r="EX43" s="10" t="str">
        <f t="shared" si="0"/>
        <v xml:space="preserve">EBITDA - standard </v>
      </c>
    </row>
    <row r="44" spans="1:154" x14ac:dyDescent="0.25">
      <c r="A44" s="362" cm="1">
        <f t="array" aca="1" ref="A44" ca="1">HYPERLINK(CONCATENATE("#",CELL("address",IF(SUM($CA44:$CD44)=0,A44,INDEX($CA44:$CD44,MATCH(1,$CA44:$CD44,0))))),SUM($CA44:$CD44))</f>
        <v>0</v>
      </c>
      <c r="B44" s="187"/>
      <c r="C44" s="343" t="s">
        <v>1523</v>
      </c>
      <c r="D44" s="158" t="s">
        <v>1694</v>
      </c>
      <c r="E44" s="158"/>
      <c r="F44" s="157"/>
      <c r="G44" s="157" t="s">
        <v>187</v>
      </c>
      <c r="H44" s="157"/>
      <c r="I44" s="157"/>
      <c r="J44" s="157"/>
      <c r="K44" s="157"/>
      <c r="L44" s="157"/>
      <c r="M44" s="157"/>
      <c r="N44" s="157"/>
      <c r="O44" s="157"/>
      <c r="P44" s="157"/>
      <c r="Q44" s="157"/>
      <c r="R44" s="157"/>
      <c r="S44" s="157"/>
      <c r="T44" s="157"/>
      <c r="U44" s="157"/>
      <c r="V44" s="66">
        <f>IF(V$14=0, 0, V43/V$14)</f>
        <v>0</v>
      </c>
      <c r="W44" s="66">
        <f>IF(W$14=0, 0, W43/W$14)</f>
        <v>8.9407643084402813E-2</v>
      </c>
      <c r="X44" s="66">
        <f t="shared" ref="X44:Y44" si="31">IF(X$14=0, 0, X43/X$14)</f>
        <v>8.79799608825447E-2</v>
      </c>
      <c r="Y44" s="66">
        <f t="shared" si="31"/>
        <v>9.1240110399865487E-2</v>
      </c>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66">
        <f>IF(BL$14=0, 0, BL43/BL$14)</f>
        <v>0</v>
      </c>
      <c r="BM44" s="66">
        <f t="shared" ref="BM44:BO44" si="32">IF(BM$14=0, 0, BM43/BM$14)</f>
        <v>8.9407643084402813E-2</v>
      </c>
      <c r="BN44" s="66">
        <f t="shared" si="32"/>
        <v>8.79799608825447E-2</v>
      </c>
      <c r="BO44" s="66">
        <f t="shared" si="32"/>
        <v>9.1240110399865487E-2</v>
      </c>
      <c r="BP44" s="66">
        <f>IF(BP$14=0, 0, BP43/BP$14)</f>
        <v>0</v>
      </c>
      <c r="BQ44" s="66">
        <f t="shared" ref="BQ44:BW44" si="33">IF(BQ$14=0, 0, BQ43/BQ$14)</f>
        <v>0</v>
      </c>
      <c r="BR44" s="66">
        <f t="shared" si="33"/>
        <v>0</v>
      </c>
      <c r="BS44" s="66">
        <f t="shared" si="33"/>
        <v>0</v>
      </c>
      <c r="BT44" s="66">
        <f t="shared" si="33"/>
        <v>0</v>
      </c>
      <c r="BU44" s="66">
        <f t="shared" si="33"/>
        <v>0</v>
      </c>
      <c r="BV44" s="66">
        <f t="shared" si="33"/>
        <v>0</v>
      </c>
      <c r="BW44" s="66">
        <f t="shared" si="33"/>
        <v>0</v>
      </c>
      <c r="BX44" s="157"/>
      <c r="BY44" s="12"/>
      <c r="CA44" s="12"/>
      <c r="CB44" s="7">
        <f t="shared" si="20"/>
        <v>0</v>
      </c>
      <c r="CD44" s="42"/>
      <c r="CE44" s="352">
        <f t="shared" si="21"/>
        <v>0</v>
      </c>
      <c r="CF44" s="352">
        <f t="shared" si="22"/>
        <v>0</v>
      </c>
      <c r="CG44" s="352">
        <f t="shared" si="23"/>
        <v>0</v>
      </c>
      <c r="CH44" s="352">
        <f t="shared" si="24"/>
        <v>0</v>
      </c>
      <c r="EX44" s="10" t="str">
        <f t="shared" si="0"/>
        <v>EBITDA as a % of adjusted income - standard</v>
      </c>
    </row>
    <row r="45" spans="1:154" x14ac:dyDescent="0.25">
      <c r="A45" s="362" cm="1">
        <f t="array" aca="1" ref="A45" ca="1">HYPERLINK(CONCATENATE("#",CELL("address",IF(SUM($CA45:$CD45)=0,A45,INDEX($CA45:$CD45,MATCH(1,$CA45:$CD45,0))))),SUM($CA45:$CD45))</f>
        <v>0</v>
      </c>
      <c r="B45" s="187"/>
      <c r="C45" s="343" t="str">
        <f>'Fin Stat'!C61</f>
        <v>FS-IE-8</v>
      </c>
      <c r="D45" s="158" t="s">
        <v>626</v>
      </c>
      <c r="E45" s="158"/>
      <c r="F45" s="157"/>
      <c r="G45" s="157" t="s">
        <v>2512</v>
      </c>
      <c r="H45" s="157"/>
      <c r="I45" s="157"/>
      <c r="J45" s="157"/>
      <c r="K45" s="157"/>
      <c r="L45" s="157"/>
      <c r="M45" s="157"/>
      <c r="N45" s="157"/>
      <c r="O45" s="157"/>
      <c r="P45" s="157"/>
      <c r="Q45" s="157"/>
      <c r="R45" s="157"/>
      <c r="S45" s="157"/>
      <c r="T45" s="157"/>
      <c r="U45" s="157"/>
      <c r="V45" s="10">
        <f>'Fin Stat'!V61</f>
        <v>0</v>
      </c>
      <c r="W45" s="10">
        <f>'Fin Stat'!W61</f>
        <v>2032</v>
      </c>
      <c r="X45" s="10">
        <f>'Fin Stat'!X61</f>
        <v>2050</v>
      </c>
      <c r="Y45" s="10">
        <f>'Fin Stat'!Y61</f>
        <v>2173.8100000000013</v>
      </c>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0">
        <f>'Fin Stat'!BL61</f>
        <v>0</v>
      </c>
      <c r="BM45" s="10">
        <f>'Fin Stat'!BM61</f>
        <v>2032</v>
      </c>
      <c r="BN45" s="10">
        <f>'Fin Stat'!BN61</f>
        <v>2050</v>
      </c>
      <c r="BO45" s="10">
        <f>'Fin Stat'!BO61</f>
        <v>2173.8100000000013</v>
      </c>
      <c r="BP45" s="10">
        <f>'Fin Stat'!BP61</f>
        <v>0</v>
      </c>
      <c r="BQ45" s="10">
        <f>'Fin Stat'!BQ61</f>
        <v>0</v>
      </c>
      <c r="BR45" s="10">
        <f>'Fin Stat'!BR61</f>
        <v>0</v>
      </c>
      <c r="BS45" s="10">
        <f>'Fin Stat'!BS61</f>
        <v>0</v>
      </c>
      <c r="BT45" s="10">
        <f>'Fin Stat'!BT61</f>
        <v>0</v>
      </c>
      <c r="BU45" s="10">
        <f>'Fin Stat'!BU61</f>
        <v>0</v>
      </c>
      <c r="BV45" s="10">
        <f>'Fin Stat'!BV61</f>
        <v>0</v>
      </c>
      <c r="BW45" s="10">
        <f>'Fin Stat'!BW61</f>
        <v>0</v>
      </c>
      <c r="BX45" s="157"/>
      <c r="BY45" s="12"/>
      <c r="CA45" s="12"/>
      <c r="CB45" s="7">
        <f t="shared" si="20"/>
        <v>0</v>
      </c>
      <c r="CD45" s="42"/>
      <c r="CE45" s="352">
        <f t="shared" si="21"/>
        <v>0</v>
      </c>
      <c r="CF45" s="352">
        <f t="shared" si="22"/>
        <v>0</v>
      </c>
      <c r="CG45" s="352">
        <f t="shared" si="23"/>
        <v>0</v>
      </c>
      <c r="CH45" s="352">
        <f t="shared" si="24"/>
        <v>0</v>
      </c>
      <c r="EX45" s="10" t="str">
        <f t="shared" si="0"/>
        <v xml:space="preserve">EBITDA - education specific </v>
      </c>
    </row>
    <row r="46" spans="1:154" x14ac:dyDescent="0.25">
      <c r="A46" s="362" cm="1">
        <f t="array" aca="1" ref="A46" ca="1">HYPERLINK(CONCATENATE("#",CELL("address",IF(SUM($CA46:$CD46)=0,A46,INDEX($CA46:$CD46,MATCH(1,$CA46:$CD46,0))))),SUM($CA46:$CD46))</f>
        <v>0</v>
      </c>
      <c r="B46" s="187"/>
      <c r="C46" s="343" t="s">
        <v>1535</v>
      </c>
      <c r="D46" s="158" t="s">
        <v>1695</v>
      </c>
      <c r="E46" s="158"/>
      <c r="F46" s="157"/>
      <c r="G46" s="157" t="s">
        <v>187</v>
      </c>
      <c r="H46" s="157"/>
      <c r="I46" s="157"/>
      <c r="J46" s="157"/>
      <c r="K46" s="157"/>
      <c r="L46" s="157"/>
      <c r="M46" s="157"/>
      <c r="N46" s="157"/>
      <c r="O46" s="157"/>
      <c r="P46" s="157"/>
      <c r="Q46" s="157"/>
      <c r="R46" s="157"/>
      <c r="S46" s="157"/>
      <c r="T46" s="157"/>
      <c r="U46" s="157"/>
      <c r="V46" s="66">
        <f>IF(V$14=0, 0, V45/V$14)</f>
        <v>0</v>
      </c>
      <c r="W46" s="66">
        <f>IF(W$14=0, 0, W45/W$14)</f>
        <v>7.2641475708719122E-2</v>
      </c>
      <c r="X46" s="66">
        <f t="shared" ref="X46:Y46" si="34">IF(X$14=0, 0, X45/X$14)</f>
        <v>7.0342792437291968E-2</v>
      </c>
      <c r="Y46" s="66">
        <f t="shared" si="34"/>
        <v>7.2259524115815529E-2</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66">
        <f>IF(BL$14=0, 0, BL45/BL$14)</f>
        <v>0</v>
      </c>
      <c r="BM46" s="66">
        <f t="shared" ref="BM46:BO46" si="35">IF(BM$14=0, 0, BM45/BM$14)</f>
        <v>7.2641475708719122E-2</v>
      </c>
      <c r="BN46" s="66">
        <f t="shared" si="35"/>
        <v>7.0342792437291968E-2</v>
      </c>
      <c r="BO46" s="66">
        <f t="shared" si="35"/>
        <v>7.2259524115815529E-2</v>
      </c>
      <c r="BP46" s="66">
        <f>IF(BP$14=0, 0, BP45/BP$14)</f>
        <v>0</v>
      </c>
      <c r="BQ46" s="66">
        <f t="shared" ref="BQ46:BW46" si="36">IF(BQ$14=0, 0, BQ45/BQ$14)</f>
        <v>0</v>
      </c>
      <c r="BR46" s="66">
        <f t="shared" si="36"/>
        <v>0</v>
      </c>
      <c r="BS46" s="66">
        <f t="shared" si="36"/>
        <v>0</v>
      </c>
      <c r="BT46" s="66">
        <f t="shared" si="36"/>
        <v>0</v>
      </c>
      <c r="BU46" s="66">
        <f t="shared" si="36"/>
        <v>0</v>
      </c>
      <c r="BV46" s="66">
        <f t="shared" si="36"/>
        <v>0</v>
      </c>
      <c r="BW46" s="66">
        <f t="shared" si="36"/>
        <v>0</v>
      </c>
      <c r="BX46" s="157"/>
      <c r="BY46" s="12"/>
      <c r="CA46" s="12"/>
      <c r="CB46" s="7">
        <f t="shared" si="20"/>
        <v>0</v>
      </c>
      <c r="CD46" s="42"/>
      <c r="CE46" s="352">
        <f t="shared" si="21"/>
        <v>0</v>
      </c>
      <c r="CF46" s="352">
        <f t="shared" si="22"/>
        <v>0</v>
      </c>
      <c r="CG46" s="352">
        <f t="shared" si="23"/>
        <v>0</v>
      </c>
      <c r="CH46" s="352">
        <f t="shared" si="24"/>
        <v>0</v>
      </c>
      <c r="EX46" s="10" t="str">
        <f t="shared" si="0"/>
        <v>EBITDA as a % of adjusted income - education specific</v>
      </c>
    </row>
    <row r="47" spans="1:154" ht="8.1" customHeight="1" x14ac:dyDescent="0.25">
      <c r="A47" s="157"/>
      <c r="B47" s="187"/>
      <c r="C47" s="343"/>
      <c r="D47" s="158"/>
      <c r="E47" s="157"/>
      <c r="F47" s="157"/>
      <c r="G47" s="157"/>
      <c r="H47" s="157"/>
      <c r="I47" s="157"/>
      <c r="J47" s="157"/>
      <c r="K47" s="157"/>
      <c r="L47" s="157"/>
      <c r="M47" s="157"/>
      <c r="N47" s="157"/>
      <c r="O47" s="157"/>
      <c r="P47" s="157"/>
      <c r="Q47" s="157"/>
      <c r="R47" s="157"/>
      <c r="S47" s="157"/>
      <c r="T47" s="157"/>
      <c r="U47" s="157"/>
      <c r="V47" s="157"/>
      <c r="W47" s="157"/>
      <c r="X47" s="157"/>
      <c r="Y47" s="15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57"/>
      <c r="BM47" s="157"/>
      <c r="BN47" s="157"/>
      <c r="BO47" s="157"/>
      <c r="BP47" s="157"/>
      <c r="BQ47" s="157"/>
      <c r="BR47" s="157"/>
      <c r="BS47" s="157"/>
      <c r="BT47" s="157"/>
      <c r="BU47" s="157"/>
      <c r="BV47" s="157"/>
      <c r="BW47" s="157"/>
      <c r="BX47" s="157"/>
      <c r="BY47" s="42"/>
      <c r="CA47" s="42"/>
      <c r="CB47" s="335"/>
      <c r="CD47" s="42"/>
      <c r="CE47" s="335"/>
      <c r="CF47" s="335"/>
      <c r="CG47" s="335"/>
      <c r="CH47" s="335"/>
      <c r="EX47" s="10" t="str">
        <f t="shared" si="0"/>
        <v/>
      </c>
    </row>
    <row r="48" spans="1:154" x14ac:dyDescent="0.25">
      <c r="A48" s="157"/>
      <c r="B48" s="228"/>
      <c r="C48" s="343"/>
      <c r="D48" s="192" t="s">
        <v>627</v>
      </c>
      <c r="E48" s="158"/>
      <c r="F48" s="157"/>
      <c r="H48" s="157"/>
      <c r="I48" s="157"/>
      <c r="J48" s="157"/>
      <c r="K48" s="157"/>
      <c r="L48" s="157"/>
      <c r="M48" s="157"/>
      <c r="N48" s="157"/>
      <c r="O48" s="157"/>
      <c r="P48" s="157"/>
      <c r="Q48" s="157"/>
      <c r="R48" s="157"/>
      <c r="S48" s="157"/>
      <c r="T48" s="157"/>
      <c r="U48" s="157"/>
      <c r="V48" s="157"/>
      <c r="W48" s="157"/>
      <c r="X48" s="157"/>
      <c r="Y48" s="15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57"/>
      <c r="BM48" s="157"/>
      <c r="BN48" s="157"/>
      <c r="BO48" s="157"/>
      <c r="BP48" s="157"/>
      <c r="BQ48" s="157"/>
      <c r="BR48" s="157"/>
      <c r="BS48" s="157"/>
      <c r="BT48" s="157"/>
      <c r="BU48" s="157"/>
      <c r="BV48" s="157"/>
      <c r="BW48" s="157"/>
      <c r="BX48" s="157"/>
      <c r="BY48" s="12"/>
      <c r="CA48" s="12"/>
      <c r="CB48" s="335"/>
      <c r="CD48" s="42"/>
      <c r="CE48" s="335"/>
      <c r="CF48" s="335"/>
      <c r="CG48" s="335"/>
      <c r="CH48" s="335"/>
      <c r="EX48" s="10" t="str">
        <f t="shared" si="0"/>
        <v/>
      </c>
    </row>
    <row r="49" spans="1:154" x14ac:dyDescent="0.25">
      <c r="A49" s="362" cm="1">
        <f t="array" aca="1" ref="A49" ca="1">HYPERLINK(CONCATENATE("#",CELL("address",IF(SUM($CA49:$CD49)=0,A49,INDEX($CA49:$CD49,MATCH(1,$CA49:$CD49,0))))),SUM($CA49:$CD49))</f>
        <v>0</v>
      </c>
      <c r="B49" s="187"/>
      <c r="C49" s="343" t="s">
        <v>1524</v>
      </c>
      <c r="D49" s="158" t="s">
        <v>628</v>
      </c>
      <c r="E49" s="158"/>
      <c r="F49" s="157"/>
      <c r="G49" s="157" t="s">
        <v>187</v>
      </c>
      <c r="H49" s="157"/>
      <c r="I49" s="157"/>
      <c r="J49" s="157"/>
      <c r="K49" s="157"/>
      <c r="L49" s="157"/>
      <c r="M49" s="157"/>
      <c r="N49" s="157"/>
      <c r="O49" s="157"/>
      <c r="P49" s="157"/>
      <c r="Q49" s="157"/>
      <c r="R49" s="157"/>
      <c r="S49" s="157"/>
      <c r="T49" s="157"/>
      <c r="U49" s="157"/>
      <c r="V49" s="136"/>
      <c r="W49" s="66">
        <f>IF(OR(V$9=0, W$9=0), 0, IF(V14=0, 0, (W14-V14)/V14))</f>
        <v>0</v>
      </c>
      <c r="X49" s="66">
        <f>IF(OR(W$9=0, X$9=0), "", IF(W14=0, 0, (X14-W14)/W14))</f>
        <v>4.1826046544882568E-2</v>
      </c>
      <c r="Y49" s="66">
        <f>IF(OR(X$9=0, Y$9=0), "", IF(X14=0, 0, (Y14-X14)/X14))</f>
        <v>3.226743986549082E-2</v>
      </c>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36"/>
      <c r="BM49" s="464">
        <f t="shared" ref="BM49" si="37">W49</f>
        <v>0</v>
      </c>
      <c r="BN49" s="464">
        <f t="shared" ref="BN49" si="38">X49</f>
        <v>4.1826046544882568E-2</v>
      </c>
      <c r="BO49" s="464">
        <f t="shared" ref="BO49" si="39">Y49</f>
        <v>3.226743986549082E-2</v>
      </c>
      <c r="BP49" s="66" t="str">
        <f t="shared" ref="BP49:BW49" si="40">IF(OR(BO$9=0, BP$9=0), "", IF(BO14=0, 0, (BP14-BO14)/BO14))</f>
        <v/>
      </c>
      <c r="BQ49" s="66" t="str">
        <f t="shared" si="40"/>
        <v/>
      </c>
      <c r="BR49" s="66" t="str">
        <f t="shared" si="40"/>
        <v/>
      </c>
      <c r="BS49" s="66" t="str">
        <f t="shared" si="40"/>
        <v/>
      </c>
      <c r="BT49" s="66" t="str">
        <f t="shared" si="40"/>
        <v/>
      </c>
      <c r="BU49" s="66" t="str">
        <f t="shared" si="40"/>
        <v/>
      </c>
      <c r="BV49" s="66" t="str">
        <f t="shared" si="40"/>
        <v/>
      </c>
      <c r="BW49" s="66" t="str">
        <f t="shared" si="40"/>
        <v/>
      </c>
      <c r="BX49" s="157"/>
      <c r="BY49" s="12"/>
      <c r="CA49" s="12"/>
      <c r="CB49" s="7">
        <f t="shared" ref="CB49:CB58" si="41">IF(SUM($CE49:$CH49)=0, 0, 1)</f>
        <v>0</v>
      </c>
      <c r="CD49" s="42"/>
      <c r="CE49" s="352">
        <f t="shared" ref="CE49" si="42">ROUND(BL49-V49, rounding)</f>
        <v>0</v>
      </c>
      <c r="CF49" s="352">
        <f>ROUND(BM49-W49, rounding)</f>
        <v>0</v>
      </c>
      <c r="CG49" s="352">
        <f t="shared" ref="CG49" si="43">ROUND(BN49-X49, rounding)</f>
        <v>0</v>
      </c>
      <c r="CH49" s="352">
        <f t="shared" ref="CH49" si="44">ROUND(BO49-Y49, rounding)</f>
        <v>0</v>
      </c>
      <c r="CK49" s="335"/>
      <c r="EX49" s="10" t="str">
        <f t="shared" si="0"/>
        <v>Year on year (month on month) increase - income</v>
      </c>
    </row>
    <row r="50" spans="1:154" x14ac:dyDescent="0.25">
      <c r="A50" s="362" cm="1">
        <f t="array" aca="1" ref="A50" ca="1">HYPERLINK(CONCATENATE("#",CELL("address",IF(SUM($CA50:$CD50)=0,A50,INDEX($CA50:$CD50,MATCH(1,$CA50:$CD50,0))))),SUM($CA50:$CD50))</f>
        <v>0</v>
      </c>
      <c r="B50" s="187"/>
      <c r="C50" s="343" t="s">
        <v>1525</v>
      </c>
      <c r="D50" s="158" t="s">
        <v>2336</v>
      </c>
      <c r="E50" s="158"/>
      <c r="F50" s="157"/>
      <c r="G50" s="157" t="s">
        <v>187</v>
      </c>
      <c r="H50" s="157"/>
      <c r="I50" s="157"/>
      <c r="J50" s="157"/>
      <c r="K50" s="157"/>
      <c r="L50" s="157"/>
      <c r="M50" s="157"/>
      <c r="N50" s="157"/>
      <c r="O50" s="157"/>
      <c r="P50" s="157"/>
      <c r="Q50" s="157"/>
      <c r="R50" s="157"/>
      <c r="S50" s="157"/>
      <c r="T50" s="157"/>
      <c r="U50" s="157"/>
      <c r="V50" s="464">
        <f>BL50</f>
        <v>0</v>
      </c>
      <c r="W50" s="464">
        <f t="shared" ref="W50:Y50" si="45">BM50</f>
        <v>0</v>
      </c>
      <c r="X50" s="464">
        <f t="shared" si="45"/>
        <v>0</v>
      </c>
      <c r="Y50" s="464">
        <f t="shared" si="45"/>
        <v>0</v>
      </c>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66">
        <f>IF(BL$14=0, 0, 'I&amp;E Annual'!BL$15/BL$14)*BL$9</f>
        <v>0</v>
      </c>
      <c r="BM50" s="66">
        <f>IF(BM$14=0, 0, 'I&amp;E Annual'!BM$15/BM$14)*BM$9</f>
        <v>0</v>
      </c>
      <c r="BN50" s="66">
        <f>IF(BN$14=0, 0, 'I&amp;E Annual'!BN$15/BN$14)*BN$9</f>
        <v>0</v>
      </c>
      <c r="BO50" s="66">
        <f>IF(BO$14=0, 0, 'I&amp;E Annual'!BO$15/BO$14)*BO$9</f>
        <v>0</v>
      </c>
      <c r="BP50" s="66">
        <f>IF(BP$14=0, 0, 'I&amp;E Annual'!BP$15/BP$14)*BP$9</f>
        <v>0</v>
      </c>
      <c r="BQ50" s="66">
        <f>IF(BQ$14=0, 0, 'I&amp;E Annual'!BQ$15/BQ$14)*BQ$9</f>
        <v>0</v>
      </c>
      <c r="BR50" s="66">
        <f>IF(BR$14=0, 0, 'I&amp;E Annual'!BR$15/BR$14)*BR$9</f>
        <v>0</v>
      </c>
      <c r="BS50" s="66">
        <f>IF(BS$14=0, 0, 'I&amp;E Annual'!BS$15/BS$14)*BS$9</f>
        <v>0</v>
      </c>
      <c r="BT50" s="66">
        <f>IF(BT$14=0, 0, 'I&amp;E Annual'!BT$15/BT$14)*BT$9</f>
        <v>0</v>
      </c>
      <c r="BU50" s="66">
        <f>IF(BU$14=0, 0, 'I&amp;E Annual'!BU$15/BU$14)*BU$9</f>
        <v>0</v>
      </c>
      <c r="BV50" s="66">
        <f>IF(BV$14=0, 0, 'I&amp;E Annual'!BV$15/BV$14)*BV$9</f>
        <v>0</v>
      </c>
      <c r="BW50" s="66">
        <f>IF(BW$14=0, 0, 'I&amp;E Annual'!BW$15/BW$14)*BW$9</f>
        <v>0</v>
      </c>
      <c r="BX50" s="157"/>
      <c r="BY50" s="12"/>
      <c r="CA50" s="12"/>
      <c r="CB50" s="7">
        <f t="shared" si="41"/>
        <v>0</v>
      </c>
      <c r="CD50" s="42"/>
      <c r="CE50" s="352">
        <f t="shared" ref="CE50:CE56" si="46">ROUND(BL50-V50, rounding)</f>
        <v>0</v>
      </c>
      <c r="CF50" s="352">
        <f t="shared" ref="CF50:CF56" si="47">ROUND(BM50-W50, rounding)</f>
        <v>0</v>
      </c>
      <c r="CG50" s="352">
        <f t="shared" ref="CG50:CG56" si="48">ROUND(BN50-X50, rounding)</f>
        <v>0</v>
      </c>
      <c r="CH50" s="352">
        <f t="shared" ref="CH50:CH56" si="49">ROUND(BO50-Y50, rounding)</f>
        <v>0</v>
      </c>
      <c r="EX50" s="10" t="str">
        <f t="shared" si="0"/>
        <v>Dependency on 14-16 income</v>
      </c>
    </row>
    <row r="51" spans="1:154" s="335" customFormat="1" x14ac:dyDescent="0.25">
      <c r="A51" s="362" cm="1">
        <f t="array" aca="1" ref="A51" ca="1">HYPERLINK(CONCATENATE("#",CELL("address",IF(SUM($CA51:$CD51)=0,A51,INDEX($CA51:$CD51,MATCH(1,$CA51:$CD51,0))))),SUM($CA51:$CD51))</f>
        <v>0</v>
      </c>
      <c r="B51" s="187"/>
      <c r="C51" s="343" t="s">
        <v>1526</v>
      </c>
      <c r="D51" s="158" t="s">
        <v>640</v>
      </c>
      <c r="E51" s="158"/>
      <c r="F51" s="157"/>
      <c r="G51" s="157" t="s">
        <v>187</v>
      </c>
      <c r="H51" s="157"/>
      <c r="I51" s="157"/>
      <c r="J51" s="157"/>
      <c r="K51" s="157"/>
      <c r="L51" s="157"/>
      <c r="M51" s="157"/>
      <c r="N51" s="157"/>
      <c r="O51" s="157"/>
      <c r="P51" s="157"/>
      <c r="Q51" s="157"/>
      <c r="R51" s="157"/>
      <c r="S51" s="157"/>
      <c r="T51" s="157"/>
      <c r="U51" s="157"/>
      <c r="V51" s="464">
        <f t="shared" ref="V51:V56" si="50">BL51</f>
        <v>0</v>
      </c>
      <c r="W51" s="464">
        <f t="shared" ref="W51:W56" si="51">BM51</f>
        <v>0.76037607693132658</v>
      </c>
      <c r="X51" s="464">
        <f t="shared" ref="X51:X56" si="52">BN51</f>
        <v>0.76762859005593109</v>
      </c>
      <c r="Y51" s="464">
        <f t="shared" ref="Y51:Y56" si="53">BO51</f>
        <v>0.76935695701645124</v>
      </c>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66">
        <f>IF(BL$14=0, 0, 'I&amp;E Annual'!BL$28/BL$14)*BL$9</f>
        <v>0</v>
      </c>
      <c r="BM51" s="66">
        <f>IF(BM$14=0, 0, 'I&amp;E Annual'!BM$28/BM$14)*BM$9</f>
        <v>0.76037607693132658</v>
      </c>
      <c r="BN51" s="66">
        <f>IF(BN$14=0, 0, 'I&amp;E Annual'!BN$28/BN$14)*BN$9</f>
        <v>0.76762859005593109</v>
      </c>
      <c r="BO51" s="66">
        <f>IF(BO$14=0, 0, 'I&amp;E Annual'!BO$28/BO$14)*BO$9</f>
        <v>0.76935695701645124</v>
      </c>
      <c r="BP51" s="66">
        <f>IF(BP$14=0, 0, 'I&amp;E Annual'!BP$28/BP$14)*BP$9</f>
        <v>0</v>
      </c>
      <c r="BQ51" s="66">
        <f>IF(BQ$14=0, 0, 'I&amp;E Annual'!BQ$28/BQ$14)*BQ$9</f>
        <v>0</v>
      </c>
      <c r="BR51" s="66">
        <f>IF(BR$14=0, 0, 'I&amp;E Annual'!BR$28/BR$14)*BR$9</f>
        <v>0</v>
      </c>
      <c r="BS51" s="66">
        <f>IF(BS$14=0, 0, 'I&amp;E Annual'!BS$28/BS$14)*BS$9</f>
        <v>0</v>
      </c>
      <c r="BT51" s="66">
        <f>IF(BT$14=0, 0, 'I&amp;E Annual'!BT$28/BT$14)*BT$9</f>
        <v>0</v>
      </c>
      <c r="BU51" s="66">
        <f>IF(BU$14=0, 0, 'I&amp;E Annual'!BU$28/BU$14)*BU$9</f>
        <v>0</v>
      </c>
      <c r="BV51" s="66">
        <f>IF(BV$14=0, 0, 'I&amp;E Annual'!BV$28/BV$14)*BV$9</f>
        <v>0</v>
      </c>
      <c r="BW51" s="66">
        <f>IF(BW$14=0, 0, 'I&amp;E Annual'!BW$28/BW$14)*BW$9</f>
        <v>0</v>
      </c>
      <c r="BX51" s="157"/>
      <c r="BY51" s="12"/>
      <c r="CA51" s="12"/>
      <c r="CB51" s="7">
        <f t="shared" si="41"/>
        <v>0</v>
      </c>
      <c r="CD51" s="42"/>
      <c r="CE51" s="352">
        <f t="shared" ref="CE51" si="54">ROUND(BL51-V51, rounding)</f>
        <v>0</v>
      </c>
      <c r="CF51" s="352">
        <f t="shared" ref="CF51" si="55">ROUND(BM51-W51, rounding)</f>
        <v>0</v>
      </c>
      <c r="CG51" s="352">
        <f t="shared" ref="CG51" si="56">ROUND(BN51-X51, rounding)</f>
        <v>0</v>
      </c>
      <c r="CH51" s="352">
        <f t="shared" ref="CH51" si="57">ROUND(BO51-Y51, rounding)</f>
        <v>0</v>
      </c>
      <c r="EX51" s="10" t="str">
        <f t="shared" si="0"/>
        <v>Dependency on 14-19 income</v>
      </c>
    </row>
    <row r="52" spans="1:154" x14ac:dyDescent="0.25">
      <c r="A52" s="362" cm="1">
        <f t="array" aca="1" ref="A52" ca="1">HYPERLINK(CONCATENATE("#",CELL("address",IF(SUM($CA52:$CD52)=0,A52,INDEX($CA52:$CD52,MATCH(1,$CA52:$CD52,0))))),SUM($CA52:$CD52))</f>
        <v>0</v>
      </c>
      <c r="B52" s="187"/>
      <c r="C52" s="343" t="s">
        <v>1536</v>
      </c>
      <c r="D52" s="190" t="s">
        <v>2337</v>
      </c>
      <c r="E52" s="158"/>
      <c r="F52" s="157"/>
      <c r="G52" s="157" t="s">
        <v>187</v>
      </c>
      <c r="H52" s="157"/>
      <c r="I52" s="157"/>
      <c r="J52" s="157"/>
      <c r="K52" s="157"/>
      <c r="L52" s="157"/>
      <c r="M52" s="157"/>
      <c r="N52" s="157"/>
      <c r="O52" s="157"/>
      <c r="P52" s="157"/>
      <c r="Q52" s="157"/>
      <c r="R52" s="157"/>
      <c r="S52" s="157"/>
      <c r="T52" s="157"/>
      <c r="U52" s="157"/>
      <c r="V52" s="464">
        <f t="shared" si="50"/>
        <v>0</v>
      </c>
      <c r="W52" s="464">
        <f t="shared" si="51"/>
        <v>1.8196117684910449E-2</v>
      </c>
      <c r="X52" s="464">
        <f t="shared" si="52"/>
        <v>2.1102837731187592E-2</v>
      </c>
      <c r="Y52" s="464">
        <f t="shared" si="53"/>
        <v>2.1237314835405741E-2</v>
      </c>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66">
        <f>IF(BL$14=0, 0, 'I&amp;E Annual'!BL$37/BL$14)*BL$9</f>
        <v>0</v>
      </c>
      <c r="BM52" s="66">
        <f>IF(BM$14=0, 0, 'I&amp;E Annual'!BM$37/BM$14)*BM$9</f>
        <v>1.8196117684910449E-2</v>
      </c>
      <c r="BN52" s="66">
        <f>IF(BN$14=0, 0, 'I&amp;E Annual'!BN$37/BN$14)*BN$9</f>
        <v>2.1102837731187592E-2</v>
      </c>
      <c r="BO52" s="66">
        <f>IF(BO$14=0, 0, 'I&amp;E Annual'!BO$37/BO$14)*BO$9</f>
        <v>2.1237314835405741E-2</v>
      </c>
      <c r="BP52" s="66">
        <f>IF(BP$14=0, 0, 'I&amp;E Annual'!BP$37/BP$14)*BP$9</f>
        <v>0</v>
      </c>
      <c r="BQ52" s="66">
        <f>IF(BQ$14=0, 0, 'I&amp;E Annual'!BQ$37/BQ$14)*BQ$9</f>
        <v>0</v>
      </c>
      <c r="BR52" s="66">
        <f>IF(BR$14=0, 0, 'I&amp;E Annual'!BR$37/BR$14)*BR$9</f>
        <v>0</v>
      </c>
      <c r="BS52" s="66">
        <f>IF(BS$14=0, 0, 'I&amp;E Annual'!BS$37/BS$14)*BS$9</f>
        <v>0</v>
      </c>
      <c r="BT52" s="66">
        <f>IF(BT$14=0, 0, 'I&amp;E Annual'!BT$37/BT$14)*BT$9</f>
        <v>0</v>
      </c>
      <c r="BU52" s="66">
        <f>IF(BU$14=0, 0, 'I&amp;E Annual'!BU$37/BU$14)*BU$9</f>
        <v>0</v>
      </c>
      <c r="BV52" s="66">
        <f>IF(BV$14=0, 0, 'I&amp;E Annual'!BV$37/BV$14)*BV$9</f>
        <v>0</v>
      </c>
      <c r="BW52" s="66">
        <f>IF(BW$14=0, 0, 'I&amp;E Annual'!BW$37/BW$14)*BW$9</f>
        <v>0</v>
      </c>
      <c r="BX52" s="157"/>
      <c r="BY52" s="12"/>
      <c r="CA52" s="12"/>
      <c r="CB52" s="7">
        <f t="shared" si="41"/>
        <v>0</v>
      </c>
      <c r="CD52" s="42"/>
      <c r="CE52" s="352">
        <f t="shared" si="46"/>
        <v>0</v>
      </c>
      <c r="CF52" s="352">
        <f t="shared" si="47"/>
        <v>0</v>
      </c>
      <c r="CG52" s="352">
        <f t="shared" si="48"/>
        <v>0</v>
      </c>
      <c r="CH52" s="352">
        <f t="shared" si="49"/>
        <v>0</v>
      </c>
      <c r="EX52" s="10" t="str">
        <f>IF($C52="","",$D52)</f>
        <v>Dependency on  Apprenticeship income</v>
      </c>
    </row>
    <row r="53" spans="1:154" s="335" customFormat="1" x14ac:dyDescent="0.25">
      <c r="A53" s="362" cm="1">
        <f t="array" aca="1" ref="A53" ca="1">HYPERLINK(CONCATENATE("#",CELL("address",IF(SUM($CA53:$CD53)=0,A53,INDEX($CA53:$CD53,MATCH(1,$CA53:$CD53,0))))),SUM($CA53:$CD53))</f>
        <v>0</v>
      </c>
      <c r="B53" s="187"/>
      <c r="C53" s="343" t="s">
        <v>1527</v>
      </c>
      <c r="D53" s="190" t="s">
        <v>2338</v>
      </c>
      <c r="E53" s="158"/>
      <c r="F53" s="157"/>
      <c r="G53" s="157" t="s">
        <v>187</v>
      </c>
      <c r="H53" s="157"/>
      <c r="I53" s="157"/>
      <c r="J53" s="157"/>
      <c r="K53" s="157"/>
      <c r="L53" s="157"/>
      <c r="M53" s="157"/>
      <c r="N53" s="157"/>
      <c r="O53" s="157"/>
      <c r="P53" s="157"/>
      <c r="Q53" s="157"/>
      <c r="R53" s="157"/>
      <c r="S53" s="157"/>
      <c r="T53" s="157"/>
      <c r="U53" s="157"/>
      <c r="V53" s="464">
        <f t="shared" si="50"/>
        <v>0</v>
      </c>
      <c r="W53" s="464">
        <f t="shared" si="51"/>
        <v>5.2228935044507201E-2</v>
      </c>
      <c r="X53" s="464">
        <f t="shared" si="52"/>
        <v>5.1367395257866384E-2</v>
      </c>
      <c r="Y53" s="464">
        <f t="shared" si="53"/>
        <v>5.2101875554500701E-2</v>
      </c>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66">
        <f>IF(BL$14=0, 0, 'I&amp;E Annual'!BL$49/BL$14)*BL$9</f>
        <v>0</v>
      </c>
      <c r="BM53" s="66">
        <f>IF(BM$14=0, 0, 'I&amp;E Annual'!BM$49/BM$14)*BM$9</f>
        <v>5.2228935044507201E-2</v>
      </c>
      <c r="BN53" s="66">
        <f>IF(BN$14=0, 0, 'I&amp;E Annual'!BN$49/BN$14)*BN$9</f>
        <v>5.1367395257866384E-2</v>
      </c>
      <c r="BO53" s="66">
        <f>IF(BO$14=0, 0, 'I&amp;E Annual'!BO$49/BO$14)*BO$9</f>
        <v>5.2101875554500701E-2</v>
      </c>
      <c r="BP53" s="66">
        <f>IF(BP$14=0, 0, 'I&amp;E Annual'!BP$49/BP$14)*BP$9</f>
        <v>0</v>
      </c>
      <c r="BQ53" s="66">
        <f>IF(BQ$14=0, 0, 'I&amp;E Annual'!BQ$49/BQ$14)*BQ$9</f>
        <v>0</v>
      </c>
      <c r="BR53" s="66">
        <f>IF(BR$14=0, 0, 'I&amp;E Annual'!BR$49/BR$14)*BR$9</f>
        <v>0</v>
      </c>
      <c r="BS53" s="66">
        <f>IF(BS$14=0, 0, 'I&amp;E Annual'!BS$49/BS$14)*BS$9</f>
        <v>0</v>
      </c>
      <c r="BT53" s="66">
        <f>IF(BT$14=0, 0, 'I&amp;E Annual'!BT$49/BT$14)*BT$9</f>
        <v>0</v>
      </c>
      <c r="BU53" s="66">
        <f>IF(BU$14=0, 0, 'I&amp;E Annual'!BU$49/BU$14)*BU$9</f>
        <v>0</v>
      </c>
      <c r="BV53" s="66">
        <f>IF(BV$14=0, 0, 'I&amp;E Annual'!BV$49/BV$14)*BV$9</f>
        <v>0</v>
      </c>
      <c r="BW53" s="66">
        <f>IF(BW$14=0, 0, 'I&amp;E Annual'!BW$49/BW$14)*BW$9</f>
        <v>0</v>
      </c>
      <c r="BX53" s="157"/>
      <c r="BY53" s="12"/>
      <c r="CA53" s="12"/>
      <c r="CB53" s="7">
        <f t="shared" si="41"/>
        <v>0</v>
      </c>
      <c r="CD53" s="42"/>
      <c r="CE53" s="352">
        <f t="shared" ref="CE53" si="58">ROUND(BL53-V53, rounding)</f>
        <v>0</v>
      </c>
      <c r="CF53" s="352">
        <f t="shared" ref="CF53" si="59">ROUND(BM53-W53, rounding)</f>
        <v>0</v>
      </c>
      <c r="CG53" s="352">
        <f t="shared" ref="CG53" si="60">ROUND(BN53-X53, rounding)</f>
        <v>0</v>
      </c>
      <c r="CH53" s="352">
        <f t="shared" ref="CH53" si="61">ROUND(BO53-Y53, rounding)</f>
        <v>0</v>
      </c>
      <c r="EX53" s="10" t="str">
        <f>IF($C53="","",$D53)</f>
        <v>Dependency on AEB income</v>
      </c>
    </row>
    <row r="54" spans="1:154" x14ac:dyDescent="0.25">
      <c r="A54" s="362" cm="1">
        <f t="array" aca="1" ref="A54" ca="1">HYPERLINK(CONCATENATE("#",CELL("address",IF(SUM($CA54:$CD54)=0,A54,INDEX($CA54:$CD54,MATCH(1,$CA54:$CD54,0))))),SUM($CA54:$CD54))</f>
        <v>0</v>
      </c>
      <c r="B54" s="187"/>
      <c r="C54" s="343" t="s">
        <v>1528</v>
      </c>
      <c r="D54" s="158" t="s">
        <v>2339</v>
      </c>
      <c r="E54" s="158"/>
      <c r="F54" s="157"/>
      <c r="G54" s="157" t="s">
        <v>187</v>
      </c>
      <c r="H54" s="157"/>
      <c r="I54" s="157"/>
      <c r="J54" s="157"/>
      <c r="K54" s="157"/>
      <c r="L54" s="157"/>
      <c r="M54" s="157"/>
      <c r="N54" s="157"/>
      <c r="O54" s="157"/>
      <c r="P54" s="157"/>
      <c r="Q54" s="157"/>
      <c r="R54" s="157"/>
      <c r="S54" s="157"/>
      <c r="T54" s="157"/>
      <c r="U54" s="157"/>
      <c r="V54" s="464">
        <f t="shared" si="50"/>
        <v>0</v>
      </c>
      <c r="W54" s="464">
        <f t="shared" si="51"/>
        <v>2.6847317055732314E-2</v>
      </c>
      <c r="X54" s="464">
        <f t="shared" si="52"/>
        <v>2.5735167964862918E-2</v>
      </c>
      <c r="Y54" s="464">
        <f t="shared" si="53"/>
        <v>2.6426560588125599E-2</v>
      </c>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66">
        <f>IF(BL$14=0, 0, 'I&amp;E Annual'!BL$60/BL$14)*BL$9</f>
        <v>0</v>
      </c>
      <c r="BM54" s="66">
        <f>IF(BM$14=0, 0, 'I&amp;E Annual'!BM$60/BM$14)*BM$9</f>
        <v>2.6847317055732314E-2</v>
      </c>
      <c r="BN54" s="66">
        <f>IF(BN$14=0, 0, 'I&amp;E Annual'!BN$60/BN$14)*BN$9</f>
        <v>2.5735167964862918E-2</v>
      </c>
      <c r="BO54" s="66">
        <f>IF(BO$14=0, 0, 'I&amp;E Annual'!BO$60/BO$14)*BO$9</f>
        <v>2.6426560588125599E-2</v>
      </c>
      <c r="BP54" s="66">
        <f>IF(BP$14=0, 0, 'I&amp;E Annual'!BP$60/BP$14)*BP$9</f>
        <v>0</v>
      </c>
      <c r="BQ54" s="66">
        <f>IF(BQ$14=0, 0, 'I&amp;E Annual'!BQ$60/BQ$14)*BQ$9</f>
        <v>0</v>
      </c>
      <c r="BR54" s="66">
        <f>IF(BR$14=0, 0, 'I&amp;E Annual'!BR$60/BR$14)*BR$9</f>
        <v>0</v>
      </c>
      <c r="BS54" s="66">
        <f>IF(BS$14=0, 0, 'I&amp;E Annual'!BS$60/BS$14)*BS$9</f>
        <v>0</v>
      </c>
      <c r="BT54" s="66">
        <f>IF(BT$14=0, 0, 'I&amp;E Annual'!BT$60/BT$14)*BT$9</f>
        <v>0</v>
      </c>
      <c r="BU54" s="66">
        <f>IF(BU$14=0, 0, 'I&amp;E Annual'!BU$60/BU$14)*BU$9</f>
        <v>0</v>
      </c>
      <c r="BV54" s="66">
        <f>IF(BV$14=0, 0, 'I&amp;E Annual'!BV$60/BV$14)*BV$9</f>
        <v>0</v>
      </c>
      <c r="BW54" s="66">
        <f>IF(BW$14=0, 0, 'I&amp;E Annual'!BW$60/BW$14)*BW$9</f>
        <v>0</v>
      </c>
      <c r="BX54" s="157"/>
      <c r="BY54" s="12"/>
      <c r="CA54" s="12"/>
      <c r="CB54" s="7">
        <f>IF(SUM($CE54:$CH54)=0, 0, 1)</f>
        <v>0</v>
      </c>
      <c r="CD54" s="42"/>
      <c r="CE54" s="352">
        <f>ROUND(BL54-V54, rounding)</f>
        <v>0</v>
      </c>
      <c r="CF54" s="352">
        <f>ROUND(BM54-W54, rounding)</f>
        <v>0</v>
      </c>
      <c r="CG54" s="352">
        <f>ROUND(BN54-X54, rounding)</f>
        <v>0</v>
      </c>
      <c r="CH54" s="352">
        <f>ROUND(BO54-Y54, rounding)</f>
        <v>0</v>
      </c>
      <c r="EX54" s="10" t="str">
        <f>IF($C54="","",$D54)</f>
        <v>Dependency on HE income</v>
      </c>
    </row>
    <row r="55" spans="1:154" s="333" customFormat="1" x14ac:dyDescent="0.25">
      <c r="A55" s="362" cm="1">
        <f t="array" aca="1" ref="A55" ca="1">HYPERLINK(CONCATENATE("#",CELL("address",IF(SUM($CA55:$CD55)=0,A55,INDEX($CA55:$CD55,MATCH(1,$CA55:$CD55,0))))),SUM($CA55:$CD55))</f>
        <v>0</v>
      </c>
      <c r="B55" s="187"/>
      <c r="C55" s="343" t="s">
        <v>2489</v>
      </c>
      <c r="D55" s="190" t="s">
        <v>885</v>
      </c>
      <c r="E55" s="158"/>
      <c r="F55" s="157"/>
      <c r="G55" s="157" t="s">
        <v>187</v>
      </c>
      <c r="H55" s="157"/>
      <c r="I55" s="157"/>
      <c r="J55" s="157"/>
      <c r="K55" s="157"/>
      <c r="L55" s="157"/>
      <c r="M55" s="157"/>
      <c r="N55" s="157"/>
      <c r="O55" s="157"/>
      <c r="P55" s="157"/>
      <c r="Q55" s="157"/>
      <c r="R55" s="157"/>
      <c r="S55" s="157"/>
      <c r="T55" s="157"/>
      <c r="U55" s="157"/>
      <c r="V55" s="464">
        <f t="shared" si="50"/>
        <v>0</v>
      </c>
      <c r="W55" s="464">
        <f t="shared" si="51"/>
        <v>2.8599006184535085E-4</v>
      </c>
      <c r="X55" s="464">
        <f t="shared" si="52"/>
        <v>0</v>
      </c>
      <c r="Y55" s="464">
        <f t="shared" si="53"/>
        <v>0</v>
      </c>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66">
        <f>IF(BL$14=0, 0, 'I&amp;E Annual'!BL$67/BL$14)*BL$9</f>
        <v>0</v>
      </c>
      <c r="BM55" s="66">
        <f>IF(BM$14=0, 0, 'I&amp;E Annual'!BM$67/BM$14)*BM$9</f>
        <v>2.8599006184535085E-4</v>
      </c>
      <c r="BN55" s="66">
        <f>IF(BN$14=0, 0, 'I&amp;E Annual'!BN$67/BN$14)*BN$9</f>
        <v>0</v>
      </c>
      <c r="BO55" s="66">
        <f>IF(BO$14=0, 0, 'I&amp;E Annual'!BO$67/BO$14)*BO$9</f>
        <v>0</v>
      </c>
      <c r="BP55" s="66">
        <f>IF(BP$14=0, 0, 'I&amp;E Annual'!BP$67/BP$14)*BP$9</f>
        <v>0</v>
      </c>
      <c r="BQ55" s="66">
        <f>IF(BQ$14=0, 0, 'I&amp;E Annual'!BQ$67/BQ$14)*BQ$9</f>
        <v>0</v>
      </c>
      <c r="BR55" s="66">
        <f>IF(BR$14=0, 0, 'I&amp;E Annual'!BR$67/BR$14)*BR$9</f>
        <v>0</v>
      </c>
      <c r="BS55" s="66">
        <f>IF(BS$14=0, 0, 'I&amp;E Annual'!BS$67/BS$14)*BS$9</f>
        <v>0</v>
      </c>
      <c r="BT55" s="66">
        <f>IF(BT$14=0, 0, 'I&amp;E Annual'!BT$67/BT$14)*BT$9</f>
        <v>0</v>
      </c>
      <c r="BU55" s="66">
        <f>IF(BU$14=0, 0, 'I&amp;E Annual'!BU$67/BU$14)*BU$9</f>
        <v>0</v>
      </c>
      <c r="BV55" s="66">
        <f>IF(BV$14=0, 0, 'I&amp;E Annual'!BV$67/BV$14)*BV$9</f>
        <v>0</v>
      </c>
      <c r="BW55" s="66">
        <f>IF(BW$14=0, 0, 'I&amp;E Annual'!BW$67/BW$14)*BW$9</f>
        <v>0</v>
      </c>
      <c r="BX55" s="157"/>
      <c r="BY55" s="12"/>
      <c r="BZ55" s="335"/>
      <c r="CA55" s="12"/>
      <c r="CB55" s="7">
        <f t="shared" si="41"/>
        <v>0</v>
      </c>
      <c r="CC55" s="335"/>
      <c r="CD55" s="42"/>
      <c r="CE55" s="352">
        <f t="shared" si="46"/>
        <v>0</v>
      </c>
      <c r="CF55" s="352">
        <f t="shared" si="47"/>
        <v>0</v>
      </c>
      <c r="CG55" s="352">
        <f t="shared" si="48"/>
        <v>0</v>
      </c>
      <c r="CH55" s="352">
        <f t="shared" si="49"/>
        <v>0</v>
      </c>
      <c r="EX55" s="10" t="str">
        <f t="shared" si="0"/>
        <v>Dependency on European Income</v>
      </c>
    </row>
    <row r="56" spans="1:154" ht="15.75" x14ac:dyDescent="0.3">
      <c r="A56" s="362" cm="1">
        <f t="array" aca="1" ref="A56" ca="1">HYPERLINK(CONCATENATE("#",CELL("address",IF(SUM($CA56:$CD56)=0,A56,INDEX($CA56:$CD56,MATCH(1,$CA56:$CD56,0))))),SUM($CA56:$CD56))</f>
        <v>0</v>
      </c>
      <c r="B56" s="105" t="s">
        <v>335</v>
      </c>
      <c r="C56" s="343" t="s">
        <v>2490</v>
      </c>
      <c r="D56" s="158" t="s">
        <v>629</v>
      </c>
      <c r="E56" s="158"/>
      <c r="F56" s="157"/>
      <c r="G56" s="157" t="s">
        <v>187</v>
      </c>
      <c r="H56" s="157"/>
      <c r="I56" s="157"/>
      <c r="J56" s="157"/>
      <c r="K56" s="157"/>
      <c r="L56" s="157"/>
      <c r="M56" s="157"/>
      <c r="N56" s="157"/>
      <c r="O56" s="157"/>
      <c r="P56" s="157"/>
      <c r="Q56" s="157"/>
      <c r="R56" s="157"/>
      <c r="S56" s="157"/>
      <c r="T56" s="157"/>
      <c r="U56" s="157"/>
      <c r="V56" s="464">
        <f t="shared" si="50"/>
        <v>0</v>
      </c>
      <c r="W56" s="464">
        <f t="shared" si="51"/>
        <v>0.14206556322167804</v>
      </c>
      <c r="X56" s="464">
        <f t="shared" si="52"/>
        <v>0.13382287341728716</v>
      </c>
      <c r="Y56" s="464">
        <f t="shared" si="53"/>
        <v>0.13047840052494117</v>
      </c>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66">
        <f>IF(BL$14=0, 0, SUM('I&amp;E Annual'!BL$84, 'I&amp;E Annual'!BL$98, 'I&amp;E Annual'!BL$107)/BL$14)*BL$9</f>
        <v>0</v>
      </c>
      <c r="BM56" s="66">
        <f>IF(BM$14=0, 0, SUM('I&amp;E Annual'!BM$84, 'I&amp;E Annual'!BM$98, 'I&amp;E Annual'!BM$107)/BM$14)*BM$9</f>
        <v>0.14206556322167804</v>
      </c>
      <c r="BN56" s="66">
        <f>IF(BN$14=0, 0, SUM('I&amp;E Annual'!BN$84, 'I&amp;E Annual'!BN$98, 'I&amp;E Annual'!BN$107)/BN$14)*BN$9</f>
        <v>0.13382287341728716</v>
      </c>
      <c r="BO56" s="66">
        <f>IF(BO$14=0, 0, SUM('I&amp;E Annual'!BO$84, 'I&amp;E Annual'!BO$98, 'I&amp;E Annual'!BO$107)/BO$14)*BO$9</f>
        <v>0.13047840052494117</v>
      </c>
      <c r="BP56" s="66">
        <f>IF(BP$14=0, 0, SUM('I&amp;E Annual'!BP$84, 'I&amp;E Annual'!BP$98, 'I&amp;E Annual'!BP$107)/BP$14)*BP$9</f>
        <v>0</v>
      </c>
      <c r="BQ56" s="66">
        <f>IF(BQ$14=0, 0, SUM('I&amp;E Annual'!BQ$84, 'I&amp;E Annual'!BQ$98, 'I&amp;E Annual'!BQ$107)/BQ$14)*BQ$9</f>
        <v>0</v>
      </c>
      <c r="BR56" s="66">
        <f>IF(BR$14=0, 0, SUM('I&amp;E Annual'!BR$84, 'I&amp;E Annual'!BR$98, 'I&amp;E Annual'!BR$107)/BR$14)*BR$9</f>
        <v>0</v>
      </c>
      <c r="BS56" s="66">
        <f>IF(BS$14=0, 0, SUM('I&amp;E Annual'!BS$84, 'I&amp;E Annual'!BS$98, 'I&amp;E Annual'!BS$107)/BS$14)*BS$9</f>
        <v>0</v>
      </c>
      <c r="BT56" s="66">
        <f>IF(BT$14=0, 0, SUM('I&amp;E Annual'!BT$84, 'I&amp;E Annual'!BT$98, 'I&amp;E Annual'!BT$107)/BT$14)*BT$9</f>
        <v>0</v>
      </c>
      <c r="BU56" s="66">
        <f>IF(BU$14=0, 0, SUM('I&amp;E Annual'!BU$84, 'I&amp;E Annual'!BU$98, 'I&amp;E Annual'!BU$107)/BU$14)*BU$9</f>
        <v>0</v>
      </c>
      <c r="BV56" s="66">
        <f>IF(BV$14=0, 0, SUM('I&amp;E Annual'!BV$84, 'I&amp;E Annual'!BV$98, 'I&amp;E Annual'!BV$107)/BV$14)*BV$9</f>
        <v>0</v>
      </c>
      <c r="BW56" s="66">
        <f>IF(BW$14=0, 0, SUM('I&amp;E Annual'!BW$84, 'I&amp;E Annual'!BW$98, 'I&amp;E Annual'!BW$107)/BW$14)*BW$9</f>
        <v>0</v>
      </c>
      <c r="BX56" s="157"/>
      <c r="BY56" s="12"/>
      <c r="CA56" s="12"/>
      <c r="CB56" s="7">
        <f t="shared" si="41"/>
        <v>0</v>
      </c>
      <c r="CD56" s="42"/>
      <c r="CE56" s="352">
        <f t="shared" si="46"/>
        <v>0</v>
      </c>
      <c r="CF56" s="352">
        <f t="shared" si="47"/>
        <v>0</v>
      </c>
      <c r="CG56" s="352">
        <f t="shared" si="48"/>
        <v>0</v>
      </c>
      <c r="CH56" s="352">
        <f t="shared" si="49"/>
        <v>0</v>
      </c>
      <c r="EX56" s="10" t="str">
        <f>IF($C56="","",$D56)</f>
        <v>Dependency on all other income</v>
      </c>
    </row>
    <row r="57" spans="1:154" ht="8.1" customHeight="1" x14ac:dyDescent="0.25">
      <c r="A57" s="157"/>
      <c r="B57" s="187"/>
      <c r="C57" s="343"/>
      <c r="D57" s="158"/>
      <c r="E57" s="157"/>
      <c r="F57" s="157"/>
      <c r="G57" s="157"/>
      <c r="H57" s="157"/>
      <c r="I57" s="157"/>
      <c r="J57" s="157"/>
      <c r="K57" s="157"/>
      <c r="L57" s="157"/>
      <c r="M57" s="157"/>
      <c r="N57" s="157"/>
      <c r="O57" s="157"/>
      <c r="P57" s="157"/>
      <c r="Q57" s="157"/>
      <c r="R57" s="157"/>
      <c r="S57" s="157"/>
      <c r="T57" s="157"/>
      <c r="U57" s="157"/>
      <c r="V57" s="157"/>
      <c r="W57" s="157"/>
      <c r="X57" s="157"/>
      <c r="Y57" s="15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57"/>
      <c r="BM57" s="157"/>
      <c r="BN57" s="157"/>
      <c r="BO57" s="157"/>
      <c r="BP57" s="157"/>
      <c r="BQ57" s="157"/>
      <c r="BR57" s="157"/>
      <c r="BS57" s="157"/>
      <c r="BT57" s="157"/>
      <c r="BU57" s="157"/>
      <c r="BV57" s="157"/>
      <c r="BW57" s="157"/>
      <c r="BX57" s="157"/>
      <c r="BY57" s="42"/>
      <c r="CA57" s="42"/>
      <c r="CB57" s="335"/>
      <c r="CD57" s="42"/>
      <c r="CE57" s="335"/>
      <c r="CF57" s="335"/>
      <c r="CG57" s="335"/>
      <c r="CH57" s="335"/>
      <c r="EX57" s="10" t="str">
        <f t="shared" si="0"/>
        <v/>
      </c>
    </row>
    <row r="58" spans="1:154" x14ac:dyDescent="0.25">
      <c r="A58" s="362" cm="1">
        <f t="array" aca="1" ref="A58" ca="1">HYPERLINK(CONCATENATE("#",CELL("address",IF(SUM($CA58:$CD58)=0,A58,INDEX($CA58:$CD58,MATCH(1,$CA58:$CD58,0))))),SUM($CA58:$CD58))</f>
        <v>0</v>
      </c>
      <c r="B58" s="228"/>
      <c r="C58" s="343"/>
      <c r="D58" s="192" t="s">
        <v>630</v>
      </c>
      <c r="E58" s="158"/>
      <c r="F58" s="157"/>
      <c r="G58" s="157"/>
      <c r="H58" s="157"/>
      <c r="I58" s="157"/>
      <c r="J58" s="157"/>
      <c r="K58" s="157"/>
      <c r="L58" s="157"/>
      <c r="M58" s="157"/>
      <c r="N58" s="157"/>
      <c r="O58" s="157"/>
      <c r="P58" s="157"/>
      <c r="Q58" s="157"/>
      <c r="R58" s="157"/>
      <c r="S58" s="157"/>
      <c r="T58" s="157"/>
      <c r="U58" s="157"/>
      <c r="V58" s="157"/>
      <c r="W58" s="157"/>
      <c r="X58" s="157"/>
      <c r="Y58" s="15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57"/>
      <c r="BM58" s="157"/>
      <c r="BN58" s="157"/>
      <c r="BO58" s="157"/>
      <c r="BP58" s="157"/>
      <c r="BQ58" s="157"/>
      <c r="BR58" s="157"/>
      <c r="BS58" s="157"/>
      <c r="BT58" s="157"/>
      <c r="BU58" s="157"/>
      <c r="BV58" s="157"/>
      <c r="BW58" s="157"/>
      <c r="BX58" s="157"/>
      <c r="BY58" s="12"/>
      <c r="CA58" s="12"/>
      <c r="CB58" s="7">
        <f t="shared" si="41"/>
        <v>0</v>
      </c>
      <c r="CD58" s="42"/>
      <c r="CE58" s="352">
        <f t="shared" ref="CE58" si="62">ROUND(BL58-V58, rounding)</f>
        <v>0</v>
      </c>
      <c r="CF58" s="352">
        <f t="shared" ref="CF58" si="63">ROUND(BM58-W58, rounding)</f>
        <v>0</v>
      </c>
      <c r="CG58" s="352">
        <f t="shared" ref="CG58" si="64">ROUND(BN58-X58, rounding)</f>
        <v>0</v>
      </c>
      <c r="CH58" s="352">
        <f t="shared" ref="CH58" si="65">ROUND(BO58-Y58, rounding)</f>
        <v>0</v>
      </c>
      <c r="EX58" s="10" t="str">
        <f t="shared" si="0"/>
        <v/>
      </c>
    </row>
    <row r="59" spans="1:154" ht="15.75" x14ac:dyDescent="0.3">
      <c r="A59" s="157"/>
      <c r="B59" s="105" t="s">
        <v>335</v>
      </c>
      <c r="C59" s="343" t="s">
        <v>1529</v>
      </c>
      <c r="D59" s="158" t="s">
        <v>631</v>
      </c>
      <c r="E59" s="158"/>
      <c r="F59" s="157"/>
      <c r="G59" s="157" t="s">
        <v>187</v>
      </c>
      <c r="H59" s="157"/>
      <c r="I59" s="157"/>
      <c r="J59" s="157"/>
      <c r="K59" s="157"/>
      <c r="L59" s="157"/>
      <c r="M59" s="157"/>
      <c r="N59" s="157"/>
      <c r="O59" s="157"/>
      <c r="P59" s="157"/>
      <c r="Q59" s="157"/>
      <c r="R59" s="157"/>
      <c r="S59" s="157"/>
      <c r="T59" s="157"/>
      <c r="U59" s="157"/>
      <c r="V59" s="66">
        <f>IF(V$14=0, 0, SUM('Fin Stat'!V19:V20)/V$14)*V$9</f>
        <v>0</v>
      </c>
      <c r="W59" s="66">
        <f>IF(W$14=0, 0, SUM('Fin Stat'!W19:W20)/W$14)*W$9</f>
        <v>3.8358417045007684E-2</v>
      </c>
      <c r="X59" s="66">
        <f>IF(X$14=0, 0, SUM('Fin Stat'!X19:X20)/X$14)*X$9</f>
        <v>4.2891946608104865E-2</v>
      </c>
      <c r="Y59" s="66">
        <f>IF(Y$14=0, 0, SUM('Fin Stat'!Y19:Y20)/Y$14)*Y$9</f>
        <v>4.2389865231189185E-2</v>
      </c>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66">
        <f>IF(BL$14=0, 0, SUM('Fin Stat'!BL19:BL20)/BL$14)*BL$9</f>
        <v>0</v>
      </c>
      <c r="BM59" s="66">
        <f>IF(BM$14=0, 0, SUM('Fin Stat'!BM19:BM20)/BM$14)*BM$9</f>
        <v>3.8358417045007684E-2</v>
      </c>
      <c r="BN59" s="66">
        <f>IF(BN$14=0, 0, SUM('Fin Stat'!BN19:BN20)/BN$14)*BN$9</f>
        <v>4.2891946608104865E-2</v>
      </c>
      <c r="BO59" s="66">
        <f>IF(BO$14=0, 0, SUM('Fin Stat'!BO19:BO20)/BO$14)*BO$9</f>
        <v>4.2389865231189185E-2</v>
      </c>
      <c r="BP59" s="66">
        <f>IF(BP$14=0, 0, SUM('Fin Stat'!BP19:BP20)/BP$14)*BP$9</f>
        <v>0</v>
      </c>
      <c r="BQ59" s="66">
        <f>IF(BQ$14=0, 0, SUM('Fin Stat'!BQ19:BQ20)/BQ$14)*BQ$9</f>
        <v>0</v>
      </c>
      <c r="BR59" s="66">
        <f>IF(BR$14=0, 0, SUM('Fin Stat'!BR19:BR20)/BR$14)*BR$9</f>
        <v>0</v>
      </c>
      <c r="BS59" s="66">
        <f>IF(BS$14=0, 0, SUM('Fin Stat'!BS19:BS20)/BS$14)*BS$9</f>
        <v>0</v>
      </c>
      <c r="BT59" s="66">
        <f>IF(BT$14=0, 0, SUM('Fin Stat'!BT19:BT20)/BT$14)*BT$9</f>
        <v>0</v>
      </c>
      <c r="BU59" s="66">
        <f>IF(BU$14=0, 0, SUM('Fin Stat'!BU19:BU20)/BU$14)*BU$9</f>
        <v>0</v>
      </c>
      <c r="BV59" s="66">
        <f>IF(BV$14=0, 0, SUM('Fin Stat'!BV19:BV20)/BV$14)*BV$9</f>
        <v>0</v>
      </c>
      <c r="BW59" s="66">
        <f>IF(BW$14=0, 0, SUM('Fin Stat'!BW19:BW20)/BW$14)*BW$9</f>
        <v>0</v>
      </c>
      <c r="BX59" s="157"/>
      <c r="BY59" s="12"/>
      <c r="CA59" s="12"/>
      <c r="CB59" s="335"/>
      <c r="CD59" s="42"/>
      <c r="CE59" s="335"/>
      <c r="CF59" s="335"/>
      <c r="CG59" s="335"/>
      <c r="CH59" s="335"/>
      <c r="EX59" s="10" t="str">
        <f t="shared" si="0"/>
        <v xml:space="preserve">Contribution from other income generating activities </v>
      </c>
    </row>
    <row r="60" spans="1:154" ht="8.1" customHeight="1" x14ac:dyDescent="0.25">
      <c r="A60" s="157"/>
      <c r="B60" s="157"/>
      <c r="C60" s="343"/>
      <c r="D60" s="158"/>
      <c r="E60" s="157"/>
      <c r="F60" s="157"/>
      <c r="G60" s="157"/>
      <c r="H60" s="157"/>
      <c r="I60" s="157"/>
      <c r="J60" s="157"/>
      <c r="K60" s="157"/>
      <c r="L60" s="157"/>
      <c r="M60" s="157"/>
      <c r="N60" s="157"/>
      <c r="O60" s="157"/>
      <c r="P60" s="157"/>
      <c r="Q60" s="157"/>
      <c r="R60" s="157"/>
      <c r="S60" s="157"/>
      <c r="T60" s="157"/>
      <c r="U60" s="157"/>
      <c r="V60" s="157"/>
      <c r="W60" s="157"/>
      <c r="X60" s="157"/>
      <c r="Y60" s="15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57"/>
      <c r="BM60" s="157"/>
      <c r="BN60" s="157"/>
      <c r="BO60" s="157"/>
      <c r="BP60" s="157"/>
      <c r="BQ60" s="157"/>
      <c r="BR60" s="157"/>
      <c r="BS60" s="157"/>
      <c r="BT60" s="157"/>
      <c r="BU60" s="157"/>
      <c r="BV60" s="157"/>
      <c r="BW60" s="157"/>
      <c r="BX60" s="157"/>
      <c r="BY60" s="42"/>
      <c r="CA60" s="42"/>
      <c r="CB60" s="335"/>
      <c r="CD60" s="42"/>
      <c r="CE60" s="335"/>
      <c r="CF60" s="335"/>
      <c r="CG60" s="335"/>
      <c r="CH60" s="335"/>
      <c r="EX60" s="10" t="str">
        <f t="shared" si="0"/>
        <v/>
      </c>
    </row>
    <row r="61" spans="1:154" x14ac:dyDescent="0.25">
      <c r="A61" s="157"/>
      <c r="B61" s="175"/>
      <c r="C61" s="343"/>
      <c r="D61" s="192" t="s">
        <v>632</v>
      </c>
      <c r="E61" s="158"/>
      <c r="F61" s="157"/>
      <c r="G61" s="157" t="s">
        <v>187</v>
      </c>
      <c r="H61" s="157"/>
      <c r="I61" s="157"/>
      <c r="J61" s="157"/>
      <c r="K61" s="157"/>
      <c r="L61" s="157"/>
      <c r="M61" s="157"/>
      <c r="N61" s="157"/>
      <c r="O61" s="157"/>
      <c r="P61" s="157"/>
      <c r="Q61" s="157"/>
      <c r="R61" s="157"/>
      <c r="S61" s="157"/>
      <c r="T61" s="157"/>
      <c r="U61" s="157"/>
      <c r="V61" s="157"/>
      <c r="W61" s="157"/>
      <c r="X61" s="157"/>
      <c r="Y61" s="157"/>
      <c r="Z61" s="187"/>
      <c r="AA61" s="187"/>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57"/>
      <c r="BM61" s="157"/>
      <c r="BN61" s="157"/>
      <c r="BO61" s="157"/>
      <c r="BP61" s="157"/>
      <c r="BQ61" s="157"/>
      <c r="BR61" s="157"/>
      <c r="BS61" s="157"/>
      <c r="BT61" s="157"/>
      <c r="BU61" s="157"/>
      <c r="BV61" s="157"/>
      <c r="BW61" s="157"/>
      <c r="BX61" s="157"/>
      <c r="BY61" s="12"/>
      <c r="CA61" s="12"/>
      <c r="CB61" s="335"/>
      <c r="CD61" s="42"/>
      <c r="CE61" s="335"/>
      <c r="CF61" s="335"/>
      <c r="CG61" s="335"/>
      <c r="CH61" s="335"/>
      <c r="EX61" s="10" t="str">
        <f t="shared" si="0"/>
        <v/>
      </c>
    </row>
    <row r="62" spans="1:154" ht="30" x14ac:dyDescent="0.25">
      <c r="A62" s="362" cm="1">
        <f t="array" aca="1" ref="A62" ca="1">HYPERLINK(CONCATENATE("#",CELL("address",IF(SUM($CA62:$CD62)=0,A62,INDEX($CA62:$CD62,MATCH(1,$CA62:$CD62,0))))),SUM($CA62:$CD62))</f>
        <v>0</v>
      </c>
      <c r="B62" s="157"/>
      <c r="C62" s="343" t="s">
        <v>1530</v>
      </c>
      <c r="D62" s="237" t="s">
        <v>633</v>
      </c>
      <c r="E62" s="158"/>
      <c r="F62" s="157"/>
      <c r="G62" s="157" t="s">
        <v>187</v>
      </c>
      <c r="H62" s="157"/>
      <c r="I62" s="157"/>
      <c r="J62" s="157"/>
      <c r="K62" s="157"/>
      <c r="L62" s="157"/>
      <c r="M62" s="157"/>
      <c r="N62" s="157"/>
      <c r="O62" s="157"/>
      <c r="P62" s="157"/>
      <c r="Q62" s="157"/>
      <c r="R62" s="157"/>
      <c r="S62" s="157"/>
      <c r="T62" s="157"/>
      <c r="U62" s="157"/>
      <c r="V62" s="464">
        <f>IF(V$15=0, 0, ('I&amp;E Annual'!BL125+'I&amp;E Annual'!BL139)/V$15)*V$9</f>
        <v>0</v>
      </c>
      <c r="W62" s="464">
        <f>IF(W$15=0, 0, ('I&amp;E Annual'!BM125+'I&amp;E Annual'!BM139)/W$15)*W$9</f>
        <v>0.16785893816944433</v>
      </c>
      <c r="X62" s="464">
        <f>IF(X$15=0, 0, ('I&amp;E Annual'!BN125+'I&amp;E Annual'!BN139)/X$15)*X$9</f>
        <v>0.16312816157737325</v>
      </c>
      <c r="Y62" s="464">
        <f>IF(Y$15=0, 0, ('I&amp;E Annual'!BO125+'I&amp;E Annual'!BO139)/Y$15)*Y$9</f>
        <v>0.16153240641833913</v>
      </c>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66">
        <f>IF(BL$15=0, 0, ('I&amp;E Annual'!BL125+'I&amp;E Annual'!BL139)/BL$15)*BL$9</f>
        <v>0</v>
      </c>
      <c r="BM62" s="66">
        <f>IF(BM$15=0, 0, ('I&amp;E Annual'!BM125+'I&amp;E Annual'!BM139)/BM$15)*BM$9</f>
        <v>0.16785893816944433</v>
      </c>
      <c r="BN62" s="66">
        <f>IF(BN$15=0, 0, ('I&amp;E Annual'!BN125+'I&amp;E Annual'!BN139)/BN$15)*BN$9</f>
        <v>0.16312816157737325</v>
      </c>
      <c r="BO62" s="66">
        <f>IF(BO$15=0, 0, ('I&amp;E Annual'!BO125+'I&amp;E Annual'!BO139)/BO$15)*BO$9</f>
        <v>0.16153240641833913</v>
      </c>
      <c r="BP62" s="66">
        <f>IF(BP$15=0, 0, ('I&amp;E Annual'!BP125+'I&amp;E Annual'!BP139)/BP$15)*BP$9</f>
        <v>0</v>
      </c>
      <c r="BQ62" s="66">
        <f>IF(BQ$15=0, 0, ('I&amp;E Annual'!BQ125+'I&amp;E Annual'!BQ139)/BQ$15)*BQ$9</f>
        <v>0</v>
      </c>
      <c r="BR62" s="66">
        <f>IF(BR$15=0, 0, ('I&amp;E Annual'!BR125+'I&amp;E Annual'!BR139)/BR$15)*BR$9</f>
        <v>0</v>
      </c>
      <c r="BS62" s="66">
        <f>IF(BS$15=0, 0, ('I&amp;E Annual'!BS125+'I&amp;E Annual'!BS139)/BS$15)*BS$9</f>
        <v>0</v>
      </c>
      <c r="BT62" s="66">
        <f>IF(BT$15=0, 0, ('I&amp;E Annual'!BT125+'I&amp;E Annual'!BT139)/BT$15)*BT$9</f>
        <v>0</v>
      </c>
      <c r="BU62" s="66">
        <f>IF(BU$15=0, 0, ('I&amp;E Annual'!BU125+'I&amp;E Annual'!BU139)/BU$15)*BU$9</f>
        <v>0</v>
      </c>
      <c r="BV62" s="66">
        <f>IF(BV$15=0, 0, ('I&amp;E Annual'!BV125+'I&amp;E Annual'!BV139)/BV$15)*BV$9</f>
        <v>0</v>
      </c>
      <c r="BW62" s="66">
        <f>IF(BW$15=0, 0, ('I&amp;E Annual'!BW125+'I&amp;E Annual'!BW139)/BW$15)*BW$9</f>
        <v>0</v>
      </c>
      <c r="BX62" s="157"/>
      <c r="BY62" s="12"/>
      <c r="CA62" s="12"/>
      <c r="CB62" s="7">
        <f t="shared" ref="CB62" si="66">IF(SUM($CE62:$CH62)=0, 0, 1)</f>
        <v>0</v>
      </c>
      <c r="CD62" s="42"/>
      <c r="CE62" s="352">
        <f t="shared" ref="CE62" si="67">ROUND(BL62-V62, rounding)</f>
        <v>0</v>
      </c>
      <c r="CF62" s="352">
        <f t="shared" ref="CF62" si="68">ROUND(BM62-W62, rounding)</f>
        <v>0</v>
      </c>
      <c r="CG62" s="352">
        <f t="shared" ref="CG62" si="69">ROUND(BN62-X62, rounding)</f>
        <v>0</v>
      </c>
      <c r="CH62" s="352">
        <f t="shared" ref="CH62" si="70">ROUND(BO62-Y62, rounding)</f>
        <v>0</v>
      </c>
      <c r="EX62" s="10" t="str">
        <f t="shared" si="0"/>
        <v>Administration costs as a % of total expenditure 
(before depreciation, interest and tax costs)</v>
      </c>
    </row>
    <row r="63" spans="1:154" ht="8.1" customHeight="1" x14ac:dyDescent="0.25">
      <c r="A63" s="157"/>
      <c r="B63" s="157"/>
      <c r="C63" s="343"/>
      <c r="D63" s="237"/>
      <c r="E63" s="157"/>
      <c r="F63" s="157"/>
      <c r="G63" s="157"/>
      <c r="H63" s="157"/>
      <c r="I63" s="157"/>
      <c r="J63" s="157"/>
      <c r="K63" s="157"/>
      <c r="L63" s="157"/>
      <c r="M63" s="157"/>
      <c r="N63" s="157"/>
      <c r="O63" s="157"/>
      <c r="P63" s="157"/>
      <c r="Q63" s="157"/>
      <c r="R63" s="157"/>
      <c r="S63" s="157"/>
      <c r="T63" s="157"/>
      <c r="U63" s="157"/>
      <c r="V63" s="157"/>
      <c r="W63" s="157"/>
      <c r="X63" s="157"/>
      <c r="Y63" s="15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57"/>
      <c r="BM63" s="157"/>
      <c r="BN63" s="157"/>
      <c r="BO63" s="157"/>
      <c r="BP63" s="157"/>
      <c r="BQ63" s="157"/>
      <c r="BR63" s="157"/>
      <c r="BS63" s="157"/>
      <c r="BT63" s="157"/>
      <c r="BU63" s="157"/>
      <c r="BV63" s="157"/>
      <c r="BW63" s="157"/>
      <c r="BX63" s="157"/>
      <c r="BY63" s="42"/>
      <c r="CA63" s="42"/>
      <c r="CB63" s="335"/>
      <c r="CD63" s="42"/>
      <c r="CE63" s="335"/>
      <c r="CF63" s="335"/>
      <c r="CG63" s="335"/>
      <c r="CH63" s="335"/>
      <c r="EX63" s="10" t="str">
        <f t="shared" si="0"/>
        <v/>
      </c>
    </row>
    <row r="64" spans="1:154" x14ac:dyDescent="0.25">
      <c r="A64" s="157"/>
      <c r="B64" s="175"/>
      <c r="C64" s="343"/>
      <c r="D64" s="239" t="s">
        <v>634</v>
      </c>
      <c r="E64" s="158"/>
      <c r="F64" s="157"/>
      <c r="G64" s="157" t="s">
        <v>187</v>
      </c>
      <c r="H64" s="157"/>
      <c r="I64" s="157"/>
      <c r="J64" s="157"/>
      <c r="K64" s="157"/>
      <c r="L64" s="157"/>
      <c r="M64" s="157"/>
      <c r="N64" s="157"/>
      <c r="O64" s="157"/>
      <c r="P64" s="157"/>
      <c r="Q64" s="157"/>
      <c r="R64" s="157"/>
      <c r="S64" s="157"/>
      <c r="T64" s="157"/>
      <c r="U64" s="157"/>
      <c r="V64" s="157"/>
      <c r="W64" s="157"/>
      <c r="X64" s="157"/>
      <c r="Y64" s="15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57"/>
      <c r="BM64" s="157"/>
      <c r="BN64" s="157"/>
      <c r="BO64" s="157"/>
      <c r="BP64" s="157"/>
      <c r="BQ64" s="157"/>
      <c r="BR64" s="157"/>
      <c r="BS64" s="157"/>
      <c r="BT64" s="157"/>
      <c r="BU64" s="157"/>
      <c r="BV64" s="157"/>
      <c r="BW64" s="157"/>
      <c r="BX64" s="157"/>
      <c r="BY64" s="12"/>
      <c r="CA64" s="12"/>
      <c r="CB64" s="335"/>
      <c r="CD64" s="42"/>
      <c r="CE64" s="335"/>
      <c r="CF64" s="335"/>
      <c r="CG64" s="335"/>
      <c r="CH64" s="335"/>
      <c r="EX64" s="10" t="str">
        <f t="shared" si="0"/>
        <v/>
      </c>
    </row>
    <row r="65" spans="1:154" ht="45" x14ac:dyDescent="0.25">
      <c r="A65" s="362" cm="1">
        <f t="array" aca="1" ref="A65" ca="1">HYPERLINK(CONCATENATE("#",CELL("address",IF(SUM($CA65:$CD65)=0,A65,INDEX($CA65:$CD65,MATCH(1,$CA65:$CD65,0))))),SUM($CA65:$CD65))</f>
        <v>0</v>
      </c>
      <c r="B65" s="187"/>
      <c r="C65" s="343" t="s">
        <v>1531</v>
      </c>
      <c r="D65" s="237" t="s">
        <v>1696</v>
      </c>
      <c r="E65" s="158"/>
      <c r="F65" s="157"/>
      <c r="G65" s="157" t="s">
        <v>187</v>
      </c>
      <c r="H65" s="157"/>
      <c r="I65" s="157"/>
      <c r="J65" s="157"/>
      <c r="K65" s="157"/>
      <c r="L65" s="157"/>
      <c r="M65" s="157"/>
      <c r="N65" s="157"/>
      <c r="O65" s="157"/>
      <c r="P65" s="157"/>
      <c r="Q65" s="157"/>
      <c r="R65" s="157"/>
      <c r="S65" s="157"/>
      <c r="T65" s="157"/>
      <c r="U65" s="157"/>
      <c r="V65" s="66">
        <f>IFERROR('Fin Stat'!V$26/V$14, 0)*V$9</f>
        <v>0</v>
      </c>
      <c r="W65" s="66">
        <f>IFERROR('Fin Stat'!W$26/W$14, 0)*W$9</f>
        <v>0.61873949880241663</v>
      </c>
      <c r="X65" s="66">
        <f>IFERROR('Fin Stat'!X$26/X$14, 0)*X$9</f>
        <v>0.61973715815118557</v>
      </c>
      <c r="Y65" s="66">
        <f>IFERROR('Fin Stat'!Y$26/Y$14, 0)*Y$9</f>
        <v>0.61978777643595107</v>
      </c>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66">
        <f>IFERROR('Fin Stat'!BL$26/BL$14, 0)*BL$9</f>
        <v>0</v>
      </c>
      <c r="BM65" s="66">
        <f>IFERROR('Fin Stat'!BM$26/BM$14, 0)*BM$9</f>
        <v>0.61873949880241663</v>
      </c>
      <c r="BN65" s="66">
        <f>IFERROR('Fin Stat'!BN$26/BN$14, 0)*BN$9</f>
        <v>0.61973715815118557</v>
      </c>
      <c r="BO65" s="66">
        <f>IFERROR('Fin Stat'!BO$26/BO$14, 0)*BO$9</f>
        <v>0.61978777643595107</v>
      </c>
      <c r="BP65" s="66">
        <f>IFERROR('Fin Stat'!BP$26/BP$14, 0)*BP$9</f>
        <v>0</v>
      </c>
      <c r="BQ65" s="66">
        <f>IFERROR('Fin Stat'!BQ$26/BQ$14, 0)*BQ$9</f>
        <v>0</v>
      </c>
      <c r="BR65" s="66">
        <f>IFERROR('Fin Stat'!BR$26/BR$14, 0)*BR$9</f>
        <v>0</v>
      </c>
      <c r="BS65" s="66">
        <f>IFERROR('Fin Stat'!BS$26/BS$14, 0)*BS$9</f>
        <v>0</v>
      </c>
      <c r="BT65" s="66">
        <f>IFERROR('Fin Stat'!BT$26/BT$14, 0)*BT$9</f>
        <v>0</v>
      </c>
      <c r="BU65" s="66">
        <f>IFERROR('Fin Stat'!BU$26/BU$14, 0)*BU$9</f>
        <v>0</v>
      </c>
      <c r="BV65" s="66">
        <f>IFERROR('Fin Stat'!BV$26/BV$14, 0)*BV$9</f>
        <v>0</v>
      </c>
      <c r="BW65" s="66">
        <f>IFERROR('Fin Stat'!BW$26/BW$14, 0)*BW$9</f>
        <v>0</v>
      </c>
      <c r="BX65" s="157"/>
      <c r="BY65" s="12"/>
      <c r="CA65" s="12"/>
      <c r="CB65" s="7">
        <f t="shared" ref="CB65:CB66" si="71">IF(SUM($CE65:$CH65)=0, 0, 1)</f>
        <v>0</v>
      </c>
      <c r="CD65" s="42"/>
      <c r="CE65" s="352">
        <f>ROUND(BL65-V65, rounding)</f>
        <v>0</v>
      </c>
      <c r="CF65" s="352">
        <f t="shared" ref="CF65:CF66" si="72">ROUND(BM65-W65, rounding)</f>
        <v>0</v>
      </c>
      <c r="CG65" s="352">
        <f t="shared" ref="CG65:CG66" si="73">ROUND(BN65-X65, rounding)</f>
        <v>0</v>
      </c>
      <c r="CH65" s="352">
        <f t="shared" ref="CH65:CH66" si="74">ROUND(BO65-Y65, rounding)</f>
        <v>0</v>
      </c>
      <c r="EX65" s="10" t="str">
        <f t="shared" si="0"/>
        <v>Staff costs (incl. contract tuition services/excl. restructuring) as % of adjusted income (excl. income subcontracted out)</v>
      </c>
    </row>
    <row r="66" spans="1:154" ht="15.75" x14ac:dyDescent="0.3">
      <c r="A66" s="362" cm="1">
        <f t="array" aca="1" ref="A66" ca="1">HYPERLINK(CONCATENATE("#",CELL("address",IF(SUM($CA66:$CD66)=0,A66,INDEX($CA66:$CD66,MATCH(1,$CA66:$CD66,0))))),SUM($CA66:$CD66))</f>
        <v>0</v>
      </c>
      <c r="B66" s="105" t="s">
        <v>335</v>
      </c>
      <c r="C66" s="343" t="s">
        <v>1532</v>
      </c>
      <c r="D66" s="237" t="s">
        <v>678</v>
      </c>
      <c r="E66" s="158"/>
      <c r="F66" s="157"/>
      <c r="G66" s="157" t="s">
        <v>187</v>
      </c>
      <c r="H66" s="157"/>
      <c r="I66" s="157"/>
      <c r="J66" s="157"/>
      <c r="K66" s="157"/>
      <c r="L66" s="157"/>
      <c r="M66" s="157"/>
      <c r="N66" s="157"/>
      <c r="O66" s="157"/>
      <c r="P66" s="157"/>
      <c r="Q66" s="157"/>
      <c r="R66" s="157"/>
      <c r="S66" s="157"/>
      <c r="T66" s="157"/>
      <c r="U66" s="157"/>
      <c r="V66" s="464">
        <f>IF(V$14-'Fin Stat'!V$24=0, 0, ('Fin Stat'!V$26-'I&amp;E Annual'!BL130)/(V$14-'Fin Stat'!V$24))*V$9</f>
        <v>0</v>
      </c>
      <c r="W66" s="464">
        <f>IF(W$14-'Fin Stat'!W$24=0, 0, ('Fin Stat'!W$26-'I&amp;E Annual'!BM130)/(W$14-'Fin Stat'!W$24))*W$9</f>
        <v>0.61873949880241663</v>
      </c>
      <c r="X66" s="464">
        <f>IF(X$14-'Fin Stat'!X$24=0, 0, ('Fin Stat'!X$26-'I&amp;E Annual'!BN130)/(X$14-'Fin Stat'!X$24))*X$9</f>
        <v>0.61973715815118557</v>
      </c>
      <c r="Y66" s="464">
        <f>IF(Y$14-'Fin Stat'!Y$24=0, 0, ('Fin Stat'!Y$26-'I&amp;E Annual'!BO130)/(Y$14-'Fin Stat'!Y$24))*Y$9</f>
        <v>0.61978777643595107</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66">
        <f>IF(BL$14-'Fin Stat'!BL$24=0, 0, ('Fin Stat'!BL$26-'I&amp;E Annual'!BL130)/(BL$14-'Fin Stat'!BL$24))*BL$9</f>
        <v>0</v>
      </c>
      <c r="BM66" s="66">
        <f>IF(BM$14-'Fin Stat'!BM$24=0, 0, ('Fin Stat'!BM$26-'I&amp;E Annual'!BM130)/(BM$14-'Fin Stat'!BM$24))*BM$9</f>
        <v>0.61873949880241663</v>
      </c>
      <c r="BN66" s="66">
        <f>IF(BN$14-'Fin Stat'!BN$24=0, 0, ('Fin Stat'!BN$26-'I&amp;E Annual'!BN130)/(BN$14-'Fin Stat'!BN$24))*BN$9</f>
        <v>0.61973715815118557</v>
      </c>
      <c r="BO66" s="66">
        <f>IF(BO$14-'Fin Stat'!BO$24=0, 0, ('Fin Stat'!BO$26-'I&amp;E Annual'!BO130)/(BO$14-'Fin Stat'!BO$24))*BO$9</f>
        <v>0.61978777643595107</v>
      </c>
      <c r="BP66" s="66">
        <f>IF(BP$14-'Fin Stat'!BP$24=0, 0, ('Fin Stat'!BP$26-'I&amp;E Annual'!BP130)/(BP$14-'Fin Stat'!BP$24))*BP$9</f>
        <v>0</v>
      </c>
      <c r="BQ66" s="66">
        <f>IF(BQ$14-'Fin Stat'!BQ$24=0, 0, ('Fin Stat'!BQ$26-'I&amp;E Annual'!BQ130)/(BQ$14-'Fin Stat'!BQ$24))*BQ$9</f>
        <v>0</v>
      </c>
      <c r="BR66" s="66">
        <f>IF(BR$14-'Fin Stat'!BR$24=0, 0, ('Fin Stat'!BR$26-'I&amp;E Annual'!BR130)/(BR$14-'Fin Stat'!BR$24))*BR$9</f>
        <v>0</v>
      </c>
      <c r="BS66" s="66">
        <f>IF(BS$14-'Fin Stat'!BS$24=0, 0, ('Fin Stat'!BS$26-'I&amp;E Annual'!BS130)/(BS$14-'Fin Stat'!BS$24))*BS$9</f>
        <v>0</v>
      </c>
      <c r="BT66" s="66">
        <f>IF(BT$14-'Fin Stat'!BT$24=0, 0, ('Fin Stat'!BT$26-'I&amp;E Annual'!BT130)/(BT$14-'Fin Stat'!BT$24))*BT$9</f>
        <v>0</v>
      </c>
      <c r="BU66" s="66">
        <f>IF(BU$14-'Fin Stat'!BU$24=0, 0, ('Fin Stat'!BU$26-'I&amp;E Annual'!BU130)/(BU$14-'Fin Stat'!BU$24))*BU$9</f>
        <v>0</v>
      </c>
      <c r="BV66" s="66">
        <f>IF(BV$14-'Fin Stat'!BV$24=0, 0, ('Fin Stat'!BV$26-'I&amp;E Annual'!BV130)/(BV$14-'Fin Stat'!BV$24))*BV$9</f>
        <v>0</v>
      </c>
      <c r="BW66" s="66">
        <f>IF(BW$14-'Fin Stat'!BW$24=0, 0, ('Fin Stat'!BW$26-'I&amp;E Annual'!BW130)/(BW$14-'Fin Stat'!BW$24))*BW$9</f>
        <v>0</v>
      </c>
      <c r="BX66" s="157"/>
      <c r="BY66" s="12"/>
      <c r="CA66" s="12"/>
      <c r="CB66" s="7">
        <f t="shared" si="71"/>
        <v>0</v>
      </c>
      <c r="CD66" s="42"/>
      <c r="CE66" s="352">
        <f t="shared" ref="CE66" si="75">ROUND(BL66-V66, rounding)</f>
        <v>0</v>
      </c>
      <c r="CF66" s="352">
        <f t="shared" si="72"/>
        <v>0</v>
      </c>
      <c r="CG66" s="352">
        <f t="shared" si="73"/>
        <v>0</v>
      </c>
      <c r="CH66" s="352">
        <f t="shared" si="74"/>
        <v>0</v>
      </c>
      <c r="EX66" s="10" t="str">
        <f t="shared" si="0"/>
        <v>Total Staff costs as % of Adjusted Income</v>
      </c>
    </row>
    <row r="67" spans="1:154" ht="8.1" customHeight="1" x14ac:dyDescent="0.25">
      <c r="A67" s="157"/>
      <c r="B67" s="157"/>
      <c r="C67" s="157"/>
      <c r="D67" s="158"/>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42"/>
      <c r="CA67" s="42"/>
      <c r="CD67" s="42"/>
      <c r="EX67" s="10" t="str">
        <f t="shared" si="0"/>
        <v/>
      </c>
    </row>
    <row r="68" spans="1:154" x14ac:dyDescent="0.25">
      <c r="A68" s="12" t="s">
        <v>88</v>
      </c>
      <c r="B68" s="12" t="s">
        <v>88</v>
      </c>
      <c r="C68" s="12" t="s">
        <v>88</v>
      </c>
      <c r="D68" s="12" t="s">
        <v>88</v>
      </c>
      <c r="E68" s="12" t="s">
        <v>88</v>
      </c>
      <c r="F68" s="12" t="s">
        <v>88</v>
      </c>
      <c r="G68" s="12" t="s">
        <v>88</v>
      </c>
      <c r="H68" s="12" t="s">
        <v>88</v>
      </c>
      <c r="I68" s="12" t="s">
        <v>88</v>
      </c>
      <c r="J68" s="12" t="s">
        <v>88</v>
      </c>
      <c r="K68" s="12" t="s">
        <v>88</v>
      </c>
      <c r="L68" s="12" t="s">
        <v>88</v>
      </c>
      <c r="M68" s="12" t="s">
        <v>88</v>
      </c>
      <c r="N68" s="12" t="s">
        <v>88</v>
      </c>
      <c r="O68" s="12" t="s">
        <v>88</v>
      </c>
      <c r="P68" s="12" t="s">
        <v>88</v>
      </c>
      <c r="Q68" s="12" t="s">
        <v>88</v>
      </c>
      <c r="R68" s="12" t="s">
        <v>88</v>
      </c>
      <c r="S68" s="12" t="s">
        <v>88</v>
      </c>
      <c r="T68" s="12" t="s">
        <v>88</v>
      </c>
      <c r="U68" s="12" t="s">
        <v>88</v>
      </c>
      <c r="V68" s="12" t="s">
        <v>88</v>
      </c>
      <c r="W68" s="12" t="s">
        <v>88</v>
      </c>
      <c r="X68" s="12" t="s">
        <v>88</v>
      </c>
      <c r="Y68" s="12" t="s">
        <v>88</v>
      </c>
      <c r="Z68" s="12" t="s">
        <v>88</v>
      </c>
      <c r="AA68" s="12" t="s">
        <v>88</v>
      </c>
      <c r="AB68" s="12" t="s">
        <v>88</v>
      </c>
      <c r="AC68" s="12" t="s">
        <v>88</v>
      </c>
      <c r="AD68" s="12" t="s">
        <v>88</v>
      </c>
      <c r="AE68" s="12" t="s">
        <v>88</v>
      </c>
      <c r="AF68" s="12" t="s">
        <v>88</v>
      </c>
      <c r="AG68" s="12" t="s">
        <v>88</v>
      </c>
      <c r="AH68" s="12" t="s">
        <v>88</v>
      </c>
      <c r="AI68" s="12" t="s">
        <v>88</v>
      </c>
      <c r="AJ68" s="12" t="s">
        <v>88</v>
      </c>
      <c r="AK68" s="12" t="s">
        <v>88</v>
      </c>
      <c r="AL68" s="12" t="s">
        <v>88</v>
      </c>
      <c r="AM68" s="12" t="s">
        <v>88</v>
      </c>
      <c r="AN68" s="12" t="s">
        <v>88</v>
      </c>
      <c r="AO68" s="12" t="s">
        <v>88</v>
      </c>
      <c r="AP68" s="12" t="s">
        <v>88</v>
      </c>
      <c r="AQ68" s="12" t="s">
        <v>88</v>
      </c>
      <c r="AR68" s="12" t="s">
        <v>88</v>
      </c>
      <c r="AS68" s="12" t="s">
        <v>88</v>
      </c>
      <c r="AT68" s="12" t="s">
        <v>88</v>
      </c>
      <c r="AU68" s="12" t="s">
        <v>88</v>
      </c>
      <c r="AV68" s="12" t="s">
        <v>88</v>
      </c>
      <c r="AW68" s="12" t="s">
        <v>88</v>
      </c>
      <c r="AX68" s="12" t="s">
        <v>88</v>
      </c>
      <c r="AY68" s="12" t="s">
        <v>88</v>
      </c>
      <c r="AZ68" s="12" t="s">
        <v>88</v>
      </c>
      <c r="BA68" s="12" t="s">
        <v>88</v>
      </c>
      <c r="BB68" s="12" t="s">
        <v>88</v>
      </c>
      <c r="BC68" s="12" t="s">
        <v>88</v>
      </c>
      <c r="BD68" s="12" t="s">
        <v>88</v>
      </c>
      <c r="BE68" s="12" t="s">
        <v>88</v>
      </c>
      <c r="BF68" s="12" t="s">
        <v>88</v>
      </c>
      <c r="BG68" s="12" t="s">
        <v>88</v>
      </c>
      <c r="BH68" s="12" t="s">
        <v>88</v>
      </c>
      <c r="BI68" s="12" t="s">
        <v>88</v>
      </c>
      <c r="BJ68" s="12" t="s">
        <v>88</v>
      </c>
      <c r="BK68" s="12" t="s">
        <v>88</v>
      </c>
      <c r="BL68" s="12" t="s">
        <v>88</v>
      </c>
      <c r="BM68" s="12" t="s">
        <v>88</v>
      </c>
      <c r="BN68" s="12" t="s">
        <v>88</v>
      </c>
      <c r="BO68" s="12" t="s">
        <v>88</v>
      </c>
      <c r="BP68" s="12" t="s">
        <v>88</v>
      </c>
      <c r="BQ68" s="12" t="s">
        <v>88</v>
      </c>
      <c r="BR68" s="12" t="s">
        <v>88</v>
      </c>
      <c r="BS68" s="12" t="s">
        <v>88</v>
      </c>
      <c r="BT68" s="12" t="s">
        <v>88</v>
      </c>
      <c r="BU68" s="12" t="s">
        <v>88</v>
      </c>
      <c r="BV68" s="12" t="s">
        <v>88</v>
      </c>
      <c r="BW68" s="12" t="s">
        <v>88</v>
      </c>
      <c r="BX68" s="12" t="s">
        <v>88</v>
      </c>
      <c r="BY68" s="12" t="s">
        <v>88</v>
      </c>
      <c r="BZ68" s="12" t="s">
        <v>88</v>
      </c>
      <c r="CA68" s="12" t="s">
        <v>88</v>
      </c>
      <c r="CB68" s="12" t="s">
        <v>88</v>
      </c>
      <c r="CC68" s="12"/>
      <c r="CD68" s="12" t="s">
        <v>88</v>
      </c>
      <c r="CE68" s="12" t="s">
        <v>88</v>
      </c>
      <c r="CF68" s="12" t="s">
        <v>88</v>
      </c>
      <c r="CG68" s="12" t="s">
        <v>88</v>
      </c>
      <c r="CH68" s="12" t="s">
        <v>88</v>
      </c>
      <c r="EX68" s="10" t="str">
        <f t="shared" si="0"/>
        <v>*</v>
      </c>
    </row>
  </sheetData>
  <sheetProtection algorithmName="SHA-512" hashValue="wzys5+fYsUeJXYVTYKv5uRlhj22cn09s3IzZQz+2KjhOmLRSrIruCr8lVDMTWO8COd3zTB60CdZD8P29UEEkqw==" saltValue="sYpjFl6QcqVlOCNlzSy0yg==" spinCount="100000" sheet="1" objects="1" scenarios="1"/>
  <mergeCells count="13">
    <mergeCell ref="CJ2:CJ5"/>
    <mergeCell ref="CK2:CK5"/>
    <mergeCell ref="CB2:CB6"/>
    <mergeCell ref="BY1:BY6"/>
    <mergeCell ref="CA1:CA6"/>
    <mergeCell ref="CD1:CD6"/>
    <mergeCell ref="CC2:CC6"/>
    <mergeCell ref="BZ3:BZ6"/>
    <mergeCell ref="CE2:CE5"/>
    <mergeCell ref="CF2:CF5"/>
    <mergeCell ref="CG2:CG5"/>
    <mergeCell ref="CH2:CH5"/>
    <mergeCell ref="CI2:CI5"/>
  </mergeCells>
  <phoneticPr fontId="9" type="noConversion"/>
  <conditionalFormatting sqref="A1 A31:A33 A54:A56">
    <cfRule type="cellIs" dxfId="217" priority="144" operator="equal">
      <formula>0</formula>
    </cfRule>
    <cfRule type="cellIs" dxfId="216" priority="145" operator="greaterThan">
      <formula>0</formula>
    </cfRule>
  </conditionalFormatting>
  <conditionalFormatting sqref="CE31:CH34 CE14:CH15 CE54:CH56">
    <cfRule type="cellIs" dxfId="215" priority="117" operator="lessThan">
      <formula>0</formula>
    </cfRule>
    <cfRule type="cellIs" dxfId="214" priority="118" operator="greaterThan">
      <formula>0</formula>
    </cfRule>
    <cfRule type="cellIs" dxfId="213" priority="119" operator="equal">
      <formula>0</formula>
    </cfRule>
  </conditionalFormatting>
  <conditionalFormatting sqref="CB31:CB34 CB14:CB15 CB54:CB56">
    <cfRule type="cellIs" dxfId="212" priority="112" operator="equal">
      <formula>0</formula>
    </cfRule>
    <cfRule type="cellIs" dxfId="211" priority="113" operator="equal">
      <formula>1</formula>
    </cfRule>
  </conditionalFormatting>
  <conditionalFormatting sqref="CB22:CB28">
    <cfRule type="cellIs" dxfId="210" priority="110" operator="equal">
      <formula>0</formula>
    </cfRule>
    <cfRule type="cellIs" dxfId="209" priority="111" operator="equal">
      <formula>1</formula>
    </cfRule>
  </conditionalFormatting>
  <conditionalFormatting sqref="A14">
    <cfRule type="cellIs" dxfId="208" priority="104" operator="equal">
      <formula>0</formula>
    </cfRule>
    <cfRule type="cellIs" dxfId="207" priority="105" operator="greaterThan">
      <formula>0</formula>
    </cfRule>
  </conditionalFormatting>
  <conditionalFormatting sqref="A22:A28">
    <cfRule type="cellIs" dxfId="206" priority="102" operator="equal">
      <formula>0</formula>
    </cfRule>
    <cfRule type="cellIs" dxfId="205" priority="103" operator="greaterThan">
      <formula>0</formula>
    </cfRule>
  </conditionalFormatting>
  <conditionalFormatting sqref="A2">
    <cfRule type="cellIs" dxfId="204" priority="100" operator="equal">
      <formula>0</formula>
    </cfRule>
    <cfRule type="cellIs" dxfId="203" priority="101" operator="greaterThan">
      <formula>0</formula>
    </cfRule>
  </conditionalFormatting>
  <conditionalFormatting sqref="CB18:CB19">
    <cfRule type="cellIs" dxfId="202" priority="95" operator="equal">
      <formula>0</formula>
    </cfRule>
    <cfRule type="cellIs" dxfId="201" priority="96" operator="equal">
      <formula>1</formula>
    </cfRule>
  </conditionalFormatting>
  <conditionalFormatting sqref="A18:A19">
    <cfRule type="cellIs" dxfId="200" priority="93" operator="equal">
      <formula>0</formula>
    </cfRule>
    <cfRule type="cellIs" dxfId="199" priority="94" operator="greaterThan">
      <formula>0</formula>
    </cfRule>
  </conditionalFormatting>
  <conditionalFormatting sqref="CB20:CC20">
    <cfRule type="cellIs" dxfId="198" priority="88" operator="equal">
      <formula>0</formula>
    </cfRule>
    <cfRule type="cellIs" dxfId="197" priority="89" operator="equal">
      <formula>1</formula>
    </cfRule>
  </conditionalFormatting>
  <conditionalFormatting sqref="CI20:CK20">
    <cfRule type="cellIs" dxfId="196" priority="85" operator="lessThan">
      <formula>0</formula>
    </cfRule>
    <cfRule type="cellIs" dxfId="195" priority="86" operator="greaterThan">
      <formula>0</formula>
    </cfRule>
    <cfRule type="cellIs" dxfId="194" priority="87" operator="equal">
      <formula>0</formula>
    </cfRule>
  </conditionalFormatting>
  <conditionalFormatting sqref="A20">
    <cfRule type="cellIs" dxfId="193" priority="83" operator="equal">
      <formula>0</formula>
    </cfRule>
    <cfRule type="cellIs" dxfId="192" priority="84" operator="greaterThan">
      <formula>0</formula>
    </cfRule>
  </conditionalFormatting>
  <conditionalFormatting sqref="CE18:CH20 CE22:CH28">
    <cfRule type="cellIs" dxfId="191" priority="69" operator="lessThan">
      <formula>0</formula>
    </cfRule>
    <cfRule type="cellIs" dxfId="190" priority="70" operator="greaterThan">
      <formula>0</formula>
    </cfRule>
    <cfRule type="cellIs" dxfId="189" priority="71" operator="equal">
      <formula>0</formula>
    </cfRule>
  </conditionalFormatting>
  <conditionalFormatting sqref="CI19:CK19">
    <cfRule type="cellIs" dxfId="188" priority="74" operator="lessThan">
      <formula>0</formula>
    </cfRule>
    <cfRule type="cellIs" dxfId="187" priority="75" operator="greaterThan">
      <formula>0</formula>
    </cfRule>
    <cfRule type="cellIs" dxfId="186" priority="76" operator="equal">
      <formula>0</formula>
    </cfRule>
  </conditionalFormatting>
  <conditionalFormatting sqref="CC19">
    <cfRule type="cellIs" dxfId="185" priority="72" operator="equal">
      <formula>0</formula>
    </cfRule>
    <cfRule type="cellIs" dxfId="184" priority="73" operator="equal">
      <formula>1</formula>
    </cfRule>
  </conditionalFormatting>
  <conditionalFormatting sqref="CE37:CH46">
    <cfRule type="cellIs" dxfId="183" priority="66" operator="lessThan">
      <formula>0</formula>
    </cfRule>
    <cfRule type="cellIs" dxfId="182" priority="67" operator="greaterThan">
      <formula>0</formula>
    </cfRule>
    <cfRule type="cellIs" dxfId="181" priority="68" operator="equal">
      <formula>0</formula>
    </cfRule>
  </conditionalFormatting>
  <conditionalFormatting sqref="CB37:CB46">
    <cfRule type="cellIs" dxfId="180" priority="64" operator="equal">
      <formula>0</formula>
    </cfRule>
    <cfRule type="cellIs" dxfId="179" priority="65" operator="equal">
      <formula>1</formula>
    </cfRule>
  </conditionalFormatting>
  <conditionalFormatting sqref="CE52:CH52 CE49:CH50">
    <cfRule type="cellIs" dxfId="178" priority="61" operator="lessThan">
      <formula>0</formula>
    </cfRule>
    <cfRule type="cellIs" dxfId="177" priority="62" operator="greaterThan">
      <formula>0</formula>
    </cfRule>
    <cfRule type="cellIs" dxfId="176" priority="63" operator="equal">
      <formula>0</formula>
    </cfRule>
  </conditionalFormatting>
  <conditionalFormatting sqref="CB49:CB50 CB52">
    <cfRule type="cellIs" dxfId="175" priority="59" operator="equal">
      <formula>0</formula>
    </cfRule>
    <cfRule type="cellIs" dxfId="174" priority="60" operator="equal">
      <formula>1</formula>
    </cfRule>
  </conditionalFormatting>
  <conditionalFormatting sqref="CE62:CH62 CE58:CH58 CE65:CH66">
    <cfRule type="cellIs" dxfId="173" priority="56" operator="lessThan">
      <formula>0</formula>
    </cfRule>
    <cfRule type="cellIs" dxfId="172" priority="57" operator="greaterThan">
      <formula>0</formula>
    </cfRule>
    <cfRule type="cellIs" dxfId="171" priority="58" operator="equal">
      <formula>0</formula>
    </cfRule>
  </conditionalFormatting>
  <conditionalFormatting sqref="CB65:CB66 CB62 CB58">
    <cfRule type="cellIs" dxfId="170" priority="54" operator="equal">
      <formula>0</formula>
    </cfRule>
    <cfRule type="cellIs" dxfId="169" priority="55" operator="equal">
      <formula>1</formula>
    </cfRule>
  </conditionalFormatting>
  <conditionalFormatting sqref="A65:A66 A62 A58 A49:A50 A37:A46 A52">
    <cfRule type="cellIs" dxfId="168" priority="52" operator="equal">
      <formula>0</formula>
    </cfRule>
    <cfRule type="cellIs" dxfId="167" priority="53" operator="greaterThan">
      <formula>0</formula>
    </cfRule>
  </conditionalFormatting>
  <conditionalFormatting sqref="A34">
    <cfRule type="cellIs" dxfId="166" priority="50" operator="equal">
      <formula>0</formula>
    </cfRule>
    <cfRule type="cellIs" dxfId="165" priority="51" operator="greaterThan">
      <formula>0</formula>
    </cfRule>
  </conditionalFormatting>
  <conditionalFormatting sqref="A15">
    <cfRule type="cellIs" dxfId="164" priority="48" operator="equal">
      <formula>0</formula>
    </cfRule>
    <cfRule type="cellIs" dxfId="163" priority="49" operator="greaterThan">
      <formula>0</formula>
    </cfRule>
  </conditionalFormatting>
  <conditionalFormatting sqref="BZ20">
    <cfRule type="cellIs" dxfId="162" priority="46" operator="greaterThan">
      <formula>0</formula>
    </cfRule>
    <cfRule type="cellIs" dxfId="161" priority="47" operator="equal">
      <formula>0</formula>
    </cfRule>
  </conditionalFormatting>
  <conditionalFormatting sqref="CE51:CH51">
    <cfRule type="cellIs" dxfId="160" priority="21" operator="lessThan">
      <formula>0</formula>
    </cfRule>
    <cfRule type="cellIs" dxfId="159" priority="22" operator="greaterThan">
      <formula>0</formula>
    </cfRule>
    <cfRule type="cellIs" dxfId="158" priority="23" operator="equal">
      <formula>0</formula>
    </cfRule>
  </conditionalFormatting>
  <conditionalFormatting sqref="CB51">
    <cfRule type="cellIs" dxfId="157" priority="19" operator="equal">
      <formula>0</formula>
    </cfRule>
    <cfRule type="cellIs" dxfId="156" priority="20" operator="equal">
      <formula>1</formula>
    </cfRule>
  </conditionalFormatting>
  <conditionalFormatting sqref="A51">
    <cfRule type="cellIs" dxfId="155" priority="17" operator="equal">
      <formula>0</formula>
    </cfRule>
    <cfRule type="cellIs" dxfId="154" priority="18" operator="greaterThan">
      <formula>0</formula>
    </cfRule>
  </conditionalFormatting>
  <conditionalFormatting sqref="CE53:CH54">
    <cfRule type="cellIs" dxfId="153" priority="14" operator="lessThan">
      <formula>0</formula>
    </cfRule>
    <cfRule type="cellIs" dxfId="152" priority="15" operator="greaterThan">
      <formula>0</formula>
    </cfRule>
    <cfRule type="cellIs" dxfId="151" priority="16" operator="equal">
      <formula>0</formula>
    </cfRule>
  </conditionalFormatting>
  <conditionalFormatting sqref="CB53:CB54">
    <cfRule type="cellIs" dxfId="150" priority="12" operator="equal">
      <formula>0</formula>
    </cfRule>
    <cfRule type="cellIs" dxfId="149" priority="13" operator="equal">
      <formula>1</formula>
    </cfRule>
  </conditionalFormatting>
  <conditionalFormatting sqref="A53:A54">
    <cfRule type="cellIs" dxfId="148" priority="10" operator="equal">
      <formula>0</formula>
    </cfRule>
    <cfRule type="cellIs" dxfId="147" priority="11" operator="greaterThan">
      <formula>0</formula>
    </cfRule>
  </conditionalFormatting>
  <conditionalFormatting sqref="BZ2">
    <cfRule type="cellIs" dxfId="146" priority="8" operator="greaterThan">
      <formula>0</formula>
    </cfRule>
    <cfRule type="cellIs" dxfId="145" priority="9" operator="equal">
      <formula>0</formula>
    </cfRule>
  </conditionalFormatting>
  <conditionalFormatting sqref="BZ31">
    <cfRule type="cellIs" dxfId="144" priority="6" operator="greaterThan">
      <formula>0</formula>
    </cfRule>
    <cfRule type="cellIs" dxfId="143" priority="7" operator="equal">
      <formula>0</formula>
    </cfRule>
  </conditionalFormatting>
  <conditionalFormatting sqref="BZ25:BZ26">
    <cfRule type="cellIs" dxfId="142" priority="4" operator="greaterThan">
      <formula>0</formula>
    </cfRule>
    <cfRule type="cellIs" dxfId="141" priority="5" operator="equal">
      <formula>0</formula>
    </cfRule>
  </conditionalFormatting>
  <dataValidations count="23">
    <dataValidation allowBlank="1" showInputMessage="1" promptTitle="Adjusted Income" prompt="Total Operating Income _x000a_less:_x000a_&gt;emergency funding _x000a_&gt;non cash receipts (gifts) &amp; donations of fixed assets_x000a_plus:_x000a_&gt; interest and investment income_x000a__x000a__x000a__x000a_" sqref="B14" xr:uid="{11A7C9E4-3448-4714-81CC-C7D4F996C401}"/>
    <dataValidation allowBlank="1" showInputMessage="1" promptTitle="Adjusted Expenditure" prompt="Total Expenditure excl. bursary costs _x000a__x000a_" sqref="B15" xr:uid="{B43EB498-68AD-46F6-959C-A0DDBA529C7A}"/>
    <dataValidation allowBlank="1" showInputMessage="1" promptTitle="Current Ratio" prompt="Calculated as:_x000a_current assets / creditors due within 1 year_x000a__x000a_" sqref="B22" xr:uid="{29B49262-DACC-48DA-88F8-332F0EA0F7BD}"/>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23" xr:uid="{EBC8F8A9-8C72-4456-B669-5EA5D3AD47F3}"/>
    <dataValidation allowBlank="1" showInputMessage="1" promptTitle="Creditor Days" prompt="Trade payables/(other operating costs) _x000a__x000a__x000a_" sqref="B27:B28" xr:uid="{201F126C-04A7-448C-A7CC-D9AF911F3073}"/>
    <dataValidation allowBlank="1" showInputMessage="1" promptTitle="Debt Service Cover Ratio (DSCR)" prompt="Calculated as:_x000a_Net operating cash flow/ (total interest paid + interest element of finance leases + repayment of amount borrowed + capital element of finance leases) _x000a__x000a_DSCR does not take into account early loan repayments and related fees._x000a__x000a_" sqref="B31" xr:uid="{601CBAF9-85AA-44EA-9B83-C275A081A1F2}"/>
    <dataValidation allowBlank="1" showInputMessage="1" promptTitle="Comprehensive Income %" prompt="Calculated as:_x000a_(Total Surplus/Deficit - transfer to/from revaluation reserve - Actuarial gain/loss ) / Adjusted income _x000a__x000a_" sqref="B39" xr:uid="{AC7D5578-58F9-47F6-99EB-948DDDC99310}"/>
    <dataValidation allowBlank="1" showInputMessage="1" promptTitle="Available Reserves %" prompt="Calculated as:_x000a_(Income &amp; Expenditure reserve + pension reserves) / Adjusted income _x000a__x000a_" sqref="B40" xr:uid="{5F833FC5-9250-4758-924D-C2BBCEF664B5}"/>
    <dataValidation allowBlank="1" showInputMessage="1" promptTitle="Dependency on other income" prompt="Calculated as:_x000a_(Other Income from education and training + Total commercial Income + Total Other Income) / Adjusted income _x000a__x000a_Does not include income from emergency funding, gifts and donations_x000a__x000a_" sqref="B56" xr:uid="{774F07BE-F3DF-462A-917F-CB0DAB4D6927}"/>
    <dataValidation allowBlank="1" showInputMessage="1" promptTitle="Dependency on other income" prompt="Calculated as:_x000a_(Commercial Income + Other Income) / Adjusted income _x000a__x000a_" sqref="B59" xr:uid="{9274B9DB-FB84-4B9A-918C-0BDB69CB4E58}"/>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41" xr:uid="{3B40DD4B-B674-438A-B838-550A6D67A4D8}"/>
    <dataValidation allowBlank="1" showInputMessage="1" promptTitle="Adjusted cash days" prompt="Cash and cash equivalents/ (Staff costs excl. restructuring excluding LGPS costs and contributions + Other operating expenditure + interest expense)_x000a__x000a_" sqref="A21 B21" xr:uid="{EE6D60B6-2783-4C81-A256-6FB233F60523}"/>
    <dataValidation allowBlank="1" showInputMessage="1" promptTitle="Staff costs as % of income" prompt="Calculated as:_x000a_(Total staff costs excl. restructuring less pension costs and contributions) / (Adjusted income - subcontracted out income)_x000a__x000a_" sqref="B66" xr:uid="{800AB828-DD91-4F34-AC5A-355EB302B31A}"/>
    <dataValidation allowBlank="1" showInputMessage="1" promptTitle="Expenditure for Adj. Cash Days" prompt="Expenditure for Adj. Cash Days includes:_x000a_&gt; Staff costs excl. restructuring less LGPS &amp; other pension costs and contributions_x000a_&gt; Other operating expenditure excl. bad debt provision costs_x000a_&gt; Interest expense on debt and finance leases_x000a__x000a_" sqref="B18" xr:uid="{F2A8EF97-AF8A-4A2B-A868-6F20B1169E3F}"/>
    <dataValidation allowBlank="1" showInputMessage="1" promptTitle="Debtor Days" prompt="Calculated as:_x000a_(Trade Receivables / non-grant operating income) * 365 days_x000a__x000a_" sqref="B25" xr:uid="{93B894E1-5931-4CD7-8C3D-41A399DB1440}"/>
    <dataValidation allowBlank="1" showInputMessage="1" promptTitle="Borrowing" prompt="Calculated as:_x000a_Loans / overdrafts and finance leases due within one year _x000a_+ loans and finance leases due after one year _x000a_+ interest payable on loans/overdrafts_x000a_ _x000a_" sqref="B32" xr:uid="{512E4437-2100-4AC1-8610-1807978064EB}"/>
    <dataValidation allowBlank="1" showInputMessage="1" promptTitle="Income for debtor days" prompt="non-grant operating income _x000a_" sqref="B24" xr:uid="{7274633E-C155-4A6B-B9E4-6C970434D249}"/>
    <dataValidation allowBlank="1" showInputMessage="1" promptTitle="Periods in Use Flag" prompt="This checks if optional periods are used. Outputs are calculated for optional periods only if the optional inputs are given across all applicable sheets:_x000a_&gt;I&amp;E Monthly_x000a_&gt;Opening Balances_x000a_&gt;Investing Inputs_x000a_&gt;Loans (if applicable)_x000a_&gt;BS Forecasts_x000a_" sqref="B9" xr:uid="{8EB3302D-19F9-4A16-8373-3B7CF5463C1E}"/>
    <dataValidation allowBlank="1" showInputMessage="1" promptTitle="Reconciliation to 12 year " prompt="This checks if the annual values on the 4 year timeline match the annual values on the 12 year timeline. _x000a__x000a_Refer to Differences section (columns CE - CH) in case of flags." sqref="CB7" xr:uid="{2DDC2B81-5941-4765-AC0A-974BB550D789}"/>
    <dataValidation allowBlank="1" showInputMessage="1" promptTitle="Reconciliation to 12 year " prompt="This checks that the value on the the 4 year timeline matches the end of year value on the monthly timeline._x000a__x000a_Refer to Differences section (columns CI - CK) in case of flags." sqref="CC7" xr:uid="{120A7412-12AC-47BE-9B73-5536D3E8D925}"/>
    <dataValidation allowBlank="1" showInputMessage="1" promptTitle="Mid Year Merger Date" prompt="This checks for unexpected signs. E.g. trade debtor and creditor days are not expected to be negative since it is not expected to have negative trade debtor/ creditor balance." sqref="BZ7" xr:uid="{67439CC9-6702-4F6F-8484-C665C8B0016D}"/>
    <dataValidation allowBlank="1" showInputMessage="1" promptTitle="Adjusted Cash Days" prompt="Calculated as:_x000a_Cash and cash equivalents / (Staff costs excl. restructuring costs and LGPS costs and contributions + other operating expenditure + interest expense)_x000a__x000a_" sqref="B20" xr:uid="{ED84210B-09C2-450E-B02E-9633E8D658CC}"/>
    <dataValidation allowBlank="1" showInputMessage="1" promptTitle="Creditor Days" prompt="Calculated as:_x000a_Trade payables / (other operating costs) _x000a__x000a_" sqref="B26" xr:uid="{6636EBE7-14D1-48EE-B5F7-0E82B5406560}"/>
  </dataValidations>
  <pageMargins left="0.70866141732283472" right="0.70866141732283472" top="0.74803149606299213" bottom="0.74803149606299213" header="0.31496062992125984" footer="0.31496062992125984"/>
  <pageSetup paperSize="8" scale="87" orientation="portrait" r:id="rId1"/>
  <ignoredErrors>
    <ignoredError sqref="V43 V45" formula="1"/>
  </ignoredErrors>
  <extLst>
    <ext xmlns:x14="http://schemas.microsoft.com/office/spreadsheetml/2009/9/main" uri="{78C0D931-6437-407d-A8EE-F0AAD7539E65}">
      <x14:conditionalFormattings>
        <x14:conditionalFormatting xmlns:xm="http://schemas.microsoft.com/office/excel/2006/main">
          <x14:cfRule type="expression" priority="1" id="{00227A81-58D1-485F-A84E-ED647176DE0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096CD2C-7F05-4B8F-8985-2B3C4B9C4472}">
          <x14:formula1>
            <xm:f>'Dash Data'!$D$93:$D$100</xm:f>
          </x14:formula1>
          <xm:sqref>D2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8F23-430E-4699-BDC5-A931305885B2}">
  <sheetPr codeName="Sheet11">
    <tabColor rgb="FF00B0F0"/>
    <outlinePr summaryBelow="0" summaryRight="0"/>
    <pageSetUpPr autoPageBreaks="0"/>
  </sheetPr>
  <dimension ref="A1:EX63"/>
  <sheetViews>
    <sheetView showGridLines="0" zoomScaleNormal="100" workbookViewId="0">
      <pane xSplit="8" ySplit="7" topLeftCell="I8" activePane="bottomRight" state="frozen"/>
      <selection pane="topRight"/>
      <selection pane="bottomLeft"/>
      <selection pane="bottomRight" activeCell="CI32" sqref="CI32"/>
    </sheetView>
  </sheetViews>
  <sheetFormatPr defaultColWidth="8.5703125" defaultRowHeight="15" outlineLevelCol="1" x14ac:dyDescent="0.25"/>
  <cols>
    <col min="1" max="1" width="6.5703125" style="11" bestFit="1" customWidth="1" collapsed="1"/>
    <col min="2" max="2" width="9.42578125" style="11" bestFit="1" customWidth="1"/>
    <col min="3" max="3" width="9.42578125" style="69" bestFit="1" customWidth="1"/>
    <col min="4" max="4" width="49.42578125" style="69" customWidth="1"/>
    <col min="5" max="5" width="2" style="1" bestFit="1" customWidth="1"/>
    <col min="6" max="6" width="1.5703125" style="11" customWidth="1"/>
    <col min="7" max="7" width="7.42578125" style="11" customWidth="1"/>
    <col min="8" max="8" width="2" style="11" bestFit="1" customWidth="1"/>
    <col min="9" max="9" width="2" style="11" bestFit="1" customWidth="1" collapsed="1"/>
    <col min="10" max="10" width="2" style="11" hidden="1" customWidth="1" outlineLevel="1"/>
    <col min="11" max="18" width="8.5703125" style="11" hidden="1" customWidth="1" outlineLevel="1"/>
    <col min="19" max="19" width="3" style="11" hidden="1" customWidth="1" outlineLevel="1"/>
    <col min="20" max="20" width="11.5703125" style="11" hidden="1" customWidth="1" outlineLevel="1"/>
    <col min="21" max="21" width="9.5703125" style="11" hidden="1" customWidth="1" outlineLevel="1"/>
    <col min="22" max="25" width="8.5703125" style="11" bestFit="1" customWidth="1"/>
    <col min="26" max="26" width="1.42578125" style="11" customWidth="1" collapsed="1"/>
    <col min="27" max="62" width="9.5703125" style="11" hidden="1" customWidth="1" outlineLevel="1"/>
    <col min="63" max="63" width="1.42578125" style="11" hidden="1" customWidth="1" outlineLevel="1"/>
    <col min="64" max="75" width="8.5703125" style="11" hidden="1" customWidth="1" outlineLevel="1"/>
    <col min="76" max="76" width="3" style="11" hidden="1" customWidth="1"/>
    <col min="77" max="77" width="2" bestFit="1" customWidth="1"/>
    <col min="82" max="82" width="9.140625" customWidth="1"/>
    <col min="83" max="83" width="9.5703125" customWidth="1"/>
    <col min="85" max="86" width="8.5703125" style="335"/>
    <col min="87" max="87" width="23.140625" style="335" customWidth="1"/>
    <col min="88" max="88" width="10.5703125" bestFit="1" customWidth="1"/>
    <col min="89" max="89" width="2" style="11" bestFit="1" customWidth="1"/>
    <col min="90" max="93" width="13.42578125" style="67" customWidth="1"/>
    <col min="94" max="94" width="13.42578125" style="11" customWidth="1"/>
    <col min="95" max="95" width="2.5703125" style="11" customWidth="1"/>
    <col min="96" max="152" width="8.5703125" style="11"/>
    <col min="153" max="153" width="8.5703125" style="11" collapsed="1"/>
    <col min="154" max="154" width="89.42578125" style="11" hidden="1" customWidth="1" outlineLevel="1"/>
    <col min="155" max="16384" width="8.5703125" style="11"/>
  </cols>
  <sheetData>
    <row r="1" spans="1:154" x14ac:dyDescent="0.25">
      <c r="A1" s="7">
        <f ca="1">ToC!A1</f>
        <v>0</v>
      </c>
      <c r="B1" s="14" t="s">
        <v>235</v>
      </c>
      <c r="C1" s="68"/>
      <c r="D1" s="73"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14"/>
      <c r="BZ1" s="14"/>
      <c r="CA1" s="14"/>
      <c r="CB1" s="14"/>
      <c r="CC1" s="14"/>
      <c r="CD1" s="14"/>
      <c r="CE1" s="14"/>
      <c r="CF1" s="14"/>
      <c r="CG1" s="14"/>
      <c r="CH1" s="14"/>
      <c r="CI1" s="14"/>
      <c r="CJ1" s="14"/>
      <c r="CK1" s="575"/>
      <c r="CL1" s="5" t="s">
        <v>1771</v>
      </c>
      <c r="CQ1" s="575"/>
      <c r="EX1" s="5" t="s">
        <v>1563</v>
      </c>
    </row>
    <row r="2" spans="1:154" ht="14.45" customHeight="1" x14ac:dyDescent="0.25">
      <c r="A2" s="362" cm="1">
        <f t="array" aca="1" ref="A2" ca="1">HYPERLINK(CONCATENATE("#",CELL("address",IF(SUM(A$7:A$62)=0,$A$2,INDEX(A$7:A$62,MATCH(1,A$7:A$62,0))))),SUM(A$7:A$62))</f>
        <v>0</v>
      </c>
      <c r="B2" s="92" t="str" cm="1">
        <f t="array" aca="1" ref="B2" ca="1">HYPERLINK(CONCATENATE("#",CELL("address",Guide!$C$121)),Guide!$B$1)</f>
        <v>Guide</v>
      </c>
      <c r="C2" s="68"/>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575"/>
      <c r="CQ2" s="575"/>
      <c r="EX2" s="335"/>
    </row>
    <row r="3" spans="1:154" ht="14.85" customHeight="1" x14ac:dyDescent="0.25">
      <c r="A3" s="92" t="str" cm="1">
        <f t="array" aca="1" ref="A3" ca="1">HYPERLINK(CONCATENATE("#",CELL("address",ToC!$A$1)),ToC!$C$1)</f>
        <v>ToC</v>
      </c>
      <c r="B3" s="14"/>
      <c r="C3" s="68"/>
      <c r="D3" s="72"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14"/>
      <c r="BZ3" s="14"/>
      <c r="CA3" s="14"/>
      <c r="CB3" s="14"/>
      <c r="CC3" s="14"/>
      <c r="CD3" s="14"/>
      <c r="CE3" s="14"/>
      <c r="CF3" s="14"/>
      <c r="CG3" s="14"/>
      <c r="CH3" s="14"/>
      <c r="CI3" s="14"/>
      <c r="CJ3" s="14"/>
      <c r="CK3" s="575"/>
      <c r="CL3" s="592" t="s">
        <v>419</v>
      </c>
      <c r="CM3" s="576" t="s">
        <v>1772</v>
      </c>
      <c r="CN3" s="576" t="s">
        <v>1773</v>
      </c>
      <c r="CO3" s="576" t="s">
        <v>1774</v>
      </c>
      <c r="CP3" s="576" t="s">
        <v>1775</v>
      </c>
      <c r="CQ3" s="575"/>
      <c r="EX3" s="335"/>
    </row>
    <row r="4" spans="1:154" x14ac:dyDescent="0.25">
      <c r="A4" s="14"/>
      <c r="B4" s="14"/>
      <c r="C4" s="68"/>
      <c r="D4" s="72"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14"/>
      <c r="BZ4" s="14"/>
      <c r="CA4" s="14"/>
      <c r="CB4" s="14"/>
      <c r="CC4" s="14"/>
      <c r="CD4" s="14"/>
      <c r="CE4" s="14"/>
      <c r="CF4" s="14"/>
      <c r="CG4" s="14"/>
      <c r="CH4" s="14"/>
      <c r="CI4" s="14"/>
      <c r="CJ4" s="14"/>
      <c r="CK4" s="575"/>
      <c r="CL4" s="592"/>
      <c r="CM4" s="576"/>
      <c r="CN4" s="576"/>
      <c r="CO4" s="576"/>
      <c r="CP4" s="576"/>
      <c r="CQ4" s="575"/>
      <c r="EX4" s="335"/>
    </row>
    <row r="5" spans="1:154" x14ac:dyDescent="0.25">
      <c r="A5" s="14"/>
      <c r="B5" s="14"/>
      <c r="C5" s="68"/>
      <c r="D5" s="72"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14"/>
      <c r="BZ5" s="14"/>
      <c r="CA5" s="14"/>
      <c r="CB5" s="14"/>
      <c r="CC5" s="14"/>
      <c r="CD5" s="14"/>
      <c r="CE5" s="14"/>
      <c r="CF5" s="14"/>
      <c r="CG5" s="14"/>
      <c r="CH5" s="14"/>
      <c r="CI5" s="14"/>
      <c r="CJ5" s="14"/>
      <c r="CK5" s="575"/>
      <c r="CL5" s="592"/>
      <c r="CM5" s="576"/>
      <c r="CN5" s="576"/>
      <c r="CO5" s="576"/>
      <c r="CP5" s="576"/>
      <c r="CQ5" s="575"/>
      <c r="EX5" s="335"/>
    </row>
    <row r="6" spans="1:154" x14ac:dyDescent="0.25">
      <c r="A6" s="80" t="str" cm="1">
        <f t="array" aca="1" ref="A6" ca="1">HYPERLINK(CONCATENATE("#",CELL("address",CK7)),"Check")</f>
        <v>Check</v>
      </c>
      <c r="B6" s="14"/>
      <c r="C6" s="14" t="str">
        <f>Template!$C$6</f>
        <v>Ref. No.</v>
      </c>
      <c r="D6" s="68" t="s">
        <v>5</v>
      </c>
      <c r="E6" s="14"/>
      <c r="F6" s="14"/>
      <c r="G6" s="14" t="s">
        <v>6</v>
      </c>
      <c r="H6" s="14"/>
      <c r="I6" s="14"/>
      <c r="J6" s="14"/>
      <c r="K6" s="14"/>
      <c r="L6" s="14"/>
      <c r="M6" s="14"/>
      <c r="N6" s="16"/>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14"/>
      <c r="BZ6" s="14" t="s">
        <v>1769</v>
      </c>
      <c r="CA6" s="14"/>
      <c r="CB6" s="14"/>
      <c r="CC6" s="14"/>
      <c r="CD6" s="14"/>
      <c r="CE6" s="14"/>
      <c r="CF6" s="14"/>
      <c r="CG6" s="14"/>
      <c r="CH6" s="14"/>
      <c r="CI6" s="14"/>
      <c r="CJ6" s="14"/>
      <c r="CK6" s="575"/>
      <c r="CL6" s="592"/>
      <c r="CM6" s="576"/>
      <c r="CN6" s="576"/>
      <c r="CO6" s="576"/>
      <c r="CP6" s="576"/>
      <c r="CQ6" s="575"/>
      <c r="EX6" s="335"/>
    </row>
    <row r="7" spans="1:154" ht="15.75" x14ac:dyDescent="0.3">
      <c r="B7" s="139" t="s">
        <v>2494</v>
      </c>
      <c r="E7" s="11"/>
      <c r="BM7" s="6"/>
      <c r="CK7" s="42"/>
      <c r="CL7" s="105" t="s">
        <v>335</v>
      </c>
      <c r="CM7" s="105" t="s">
        <v>335</v>
      </c>
      <c r="CQ7" s="42"/>
      <c r="EX7" s="335"/>
    </row>
    <row r="8" spans="1:154" s="335" customFormat="1" ht="6.6" customHeight="1" x14ac:dyDescent="0.25">
      <c r="C8" s="339"/>
      <c r="D8" s="69"/>
      <c r="BM8" s="6"/>
      <c r="CK8" s="42"/>
      <c r="CQ8" s="42"/>
      <c r="EX8" s="10" t="str">
        <f t="shared" ref="EX8:EX62" si="0">IF($C8="","",$D8)</f>
        <v/>
      </c>
    </row>
    <row r="9" spans="1:154" s="335" customFormat="1" ht="15.75" x14ac:dyDescent="0.3">
      <c r="B9" s="479" t="s">
        <v>335</v>
      </c>
      <c r="C9" s="69"/>
      <c r="D9" s="69" t="str">
        <f>'BS Forecasts'!D$10</f>
        <v>Periods in use Flag</v>
      </c>
      <c r="V9" s="45">
        <f>'BS Forecasts'!V$10</f>
        <v>0</v>
      </c>
      <c r="W9" s="45">
        <f>'BS Forecasts'!W$10</f>
        <v>1</v>
      </c>
      <c r="X9" s="45">
        <f>'BS Forecasts'!X$10</f>
        <v>1</v>
      </c>
      <c r="Y9" s="45">
        <f>'BS Forecasts'!Y$10</f>
        <v>1</v>
      </c>
      <c r="BM9" s="6"/>
      <c r="BZ9" s="5" t="s">
        <v>1770</v>
      </c>
      <c r="CK9" s="42"/>
      <c r="CQ9" s="42"/>
      <c r="EX9" s="10" t="str">
        <f t="shared" si="0"/>
        <v/>
      </c>
    </row>
    <row r="10" spans="1:154" s="335" customFormat="1" ht="6.6" customHeight="1" x14ac:dyDescent="0.25">
      <c r="C10" s="339"/>
      <c r="D10" s="69"/>
      <c r="BM10" s="6"/>
      <c r="CK10" s="42"/>
      <c r="CQ10" s="42"/>
      <c r="EX10" s="10" t="str">
        <f t="shared" si="0"/>
        <v/>
      </c>
    </row>
    <row r="11" spans="1:154" ht="14.45" customHeight="1" x14ac:dyDescent="0.25">
      <c r="A11" s="40"/>
      <c r="B11" s="40"/>
      <c r="C11" s="341"/>
      <c r="D11" s="70" t="s">
        <v>1763</v>
      </c>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Z11" s="437" t="s">
        <v>255</v>
      </c>
      <c r="CA11" s="453" t="s">
        <v>1767</v>
      </c>
      <c r="CB11" s="454"/>
      <c r="CC11" s="455"/>
      <c r="CD11" s="437" t="s">
        <v>255</v>
      </c>
      <c r="CE11" s="450" t="s">
        <v>1768</v>
      </c>
      <c r="CF11" s="451"/>
      <c r="CG11" s="451"/>
      <c r="CH11" s="452"/>
      <c r="CI11" s="437" t="s">
        <v>247</v>
      </c>
      <c r="CK11" s="12"/>
      <c r="CQ11" s="12"/>
      <c r="EX11" s="10" t="str">
        <f t="shared" si="0"/>
        <v/>
      </c>
    </row>
    <row r="12" spans="1:154" ht="56.1" customHeight="1" x14ac:dyDescent="0.25">
      <c r="C12" s="339"/>
      <c r="E12" s="11"/>
      <c r="T12" s="335"/>
      <c r="U12" s="335"/>
      <c r="BM12" s="6"/>
      <c r="BZ12" s="447"/>
      <c r="CA12" s="438" t="s">
        <v>1757</v>
      </c>
      <c r="CB12" s="438" t="s">
        <v>238</v>
      </c>
      <c r="CC12" s="438" t="s">
        <v>1758</v>
      </c>
      <c r="CD12" s="447"/>
      <c r="CE12" s="439" t="s">
        <v>1757</v>
      </c>
      <c r="CF12" s="439" t="s">
        <v>238</v>
      </c>
      <c r="CG12" s="440" t="s">
        <v>1759</v>
      </c>
      <c r="CH12" s="441" t="s">
        <v>1778</v>
      </c>
      <c r="CI12" s="447"/>
      <c r="CK12" s="42"/>
      <c r="CQ12" s="42"/>
      <c r="EX12" s="10" t="str">
        <f t="shared" si="0"/>
        <v/>
      </c>
    </row>
    <row r="13" spans="1:154" x14ac:dyDescent="0.25">
      <c r="B13" s="5"/>
      <c r="C13" s="339"/>
      <c r="D13" s="74" t="s">
        <v>237</v>
      </c>
      <c r="E13" s="11"/>
      <c r="T13" s="335"/>
      <c r="U13" s="335"/>
      <c r="BZ13" s="442">
        <v>100</v>
      </c>
      <c r="CA13" s="443" t="s">
        <v>691</v>
      </c>
      <c r="CB13" s="443" t="s">
        <v>702</v>
      </c>
      <c r="CC13" s="443">
        <v>0</v>
      </c>
      <c r="CD13" s="442">
        <v>100</v>
      </c>
      <c r="CE13" s="444" t="s">
        <v>691</v>
      </c>
      <c r="CF13" s="445" t="s">
        <v>2269</v>
      </c>
      <c r="CG13" s="446" t="s">
        <v>2541</v>
      </c>
      <c r="CH13" s="501" t="s">
        <v>696</v>
      </c>
      <c r="CI13" s="502"/>
      <c r="CK13" s="12"/>
      <c r="CQ13" s="42"/>
      <c r="EX13" s="10" t="str">
        <f t="shared" si="0"/>
        <v/>
      </c>
    </row>
    <row r="14" spans="1:154" x14ac:dyDescent="0.25">
      <c r="C14" s="343" t="str">
        <f>Ratios!C$23</f>
        <v>R-2c</v>
      </c>
      <c r="D14" s="69" t="s">
        <v>238</v>
      </c>
      <c r="E14" s="11"/>
      <c r="G14" s="11" t="s">
        <v>276</v>
      </c>
      <c r="J14" s="335"/>
      <c r="S14" s="67"/>
      <c r="T14" s="335"/>
      <c r="U14" s="335"/>
      <c r="V14" s="393">
        <f>Ratios!V$23</f>
        <v>0</v>
      </c>
      <c r="W14" s="393">
        <f ca="1">Ratios!W$23</f>
        <v>5.2057808455565144</v>
      </c>
      <c r="X14" s="393">
        <f ca="1">Ratios!X$23</f>
        <v>4.4522345223452238</v>
      </c>
      <c r="Y14" s="393">
        <f ca="1">Ratios!Y$23</f>
        <v>5.7139128305582769</v>
      </c>
      <c r="BZ14" s="442">
        <v>90</v>
      </c>
      <c r="CA14" s="443" t="s">
        <v>692</v>
      </c>
      <c r="CB14" s="443" t="s">
        <v>681</v>
      </c>
      <c r="CC14" s="443" t="s">
        <v>713</v>
      </c>
      <c r="CD14" s="442">
        <v>90</v>
      </c>
      <c r="CE14" s="444" t="s">
        <v>692</v>
      </c>
      <c r="CF14" s="445" t="s">
        <v>681</v>
      </c>
      <c r="CG14" s="446" t="s">
        <v>2540</v>
      </c>
      <c r="CH14" s="501" t="s">
        <v>2271</v>
      </c>
      <c r="CI14" s="503"/>
      <c r="CK14" s="12"/>
      <c r="CQ14" s="42"/>
      <c r="EX14" s="10" t="str">
        <f t="shared" si="0"/>
        <v>Adjusted current ratio</v>
      </c>
    </row>
    <row r="15" spans="1:154" x14ac:dyDescent="0.25">
      <c r="C15" s="343" t="str">
        <f>Ratios!C$46</f>
        <v>R-5g</v>
      </c>
      <c r="D15" s="69" t="s">
        <v>1695</v>
      </c>
      <c r="E15" s="11"/>
      <c r="G15" s="11" t="s">
        <v>187</v>
      </c>
      <c r="J15" s="335"/>
      <c r="S15" s="323"/>
      <c r="T15" s="335"/>
      <c r="U15" s="335"/>
      <c r="V15" s="66">
        <f>Ratios!V$46</f>
        <v>0</v>
      </c>
      <c r="W15" s="66">
        <f>Ratios!W$46</f>
        <v>7.2641475708719122E-2</v>
      </c>
      <c r="X15" s="66">
        <f>Ratios!X$46</f>
        <v>7.0342792437291968E-2</v>
      </c>
      <c r="Y15" s="66">
        <f>Ratios!Y$46</f>
        <v>7.2259524115815529E-2</v>
      </c>
      <c r="BZ15" s="442">
        <v>80</v>
      </c>
      <c r="CA15" s="443" t="s">
        <v>693</v>
      </c>
      <c r="CB15" s="443" t="s">
        <v>682</v>
      </c>
      <c r="CC15" s="443" t="s">
        <v>714</v>
      </c>
      <c r="CD15" s="442">
        <v>80</v>
      </c>
      <c r="CE15" s="444" t="s">
        <v>693</v>
      </c>
      <c r="CF15" s="445" t="s">
        <v>682</v>
      </c>
      <c r="CG15" s="446" t="s">
        <v>2539</v>
      </c>
      <c r="CH15" s="501" t="s">
        <v>697</v>
      </c>
      <c r="CI15" s="504"/>
      <c r="CK15" s="12"/>
      <c r="CL15" s="335"/>
      <c r="CM15" s="335"/>
      <c r="CQ15" s="42"/>
      <c r="EX15" s="10" t="str">
        <f t="shared" si="0"/>
        <v>EBITDA as a % of adjusted income - education specific</v>
      </c>
    </row>
    <row r="16" spans="1:154" ht="14.45" customHeight="1" x14ac:dyDescent="0.25">
      <c r="C16" s="343" t="str">
        <f>Ratios!C33</f>
        <v>R-4c</v>
      </c>
      <c r="D16" s="69" t="s">
        <v>239</v>
      </c>
      <c r="G16" s="11" t="s">
        <v>187</v>
      </c>
      <c r="J16" s="335"/>
      <c r="S16" s="67"/>
      <c r="T16" s="335"/>
      <c r="U16" s="335"/>
      <c r="V16" s="66">
        <f>Ratios!V33</f>
        <v>0</v>
      </c>
      <c r="W16" s="66">
        <f ca="1">Ratios!W33</f>
        <v>0.11049941014549744</v>
      </c>
      <c r="X16" s="66">
        <f ca="1">Ratios!X33</f>
        <v>9.1720138626771433E-2</v>
      </c>
      <c r="Y16" s="66">
        <f ca="1">Ratios!Y33</f>
        <v>7.4958357391475758E-2</v>
      </c>
      <c r="BZ16" s="442">
        <v>70</v>
      </c>
      <c r="CA16" s="443" t="s">
        <v>694</v>
      </c>
      <c r="CB16" s="443" t="s">
        <v>683</v>
      </c>
      <c r="CC16" s="443" t="s">
        <v>715</v>
      </c>
      <c r="CD16" s="442">
        <v>70</v>
      </c>
      <c r="CE16" s="444" t="s">
        <v>694</v>
      </c>
      <c r="CF16" s="448" t="s">
        <v>683</v>
      </c>
      <c r="CG16" s="449" t="s">
        <v>2269</v>
      </c>
      <c r="CH16" s="501" t="s">
        <v>2272</v>
      </c>
      <c r="CI16" s="503"/>
      <c r="CK16" s="12"/>
      <c r="CQ16" s="42"/>
      <c r="EX16" s="13" t="str">
        <f>IF($C16="","",CONCATENATE(D$11, " ", $D16))</f>
        <v>Financial Health Grading - Existing System Borrowing as a % of adjusted income</v>
      </c>
    </row>
    <row r="17" spans="1:154" ht="14.45" customHeight="1" x14ac:dyDescent="0.25">
      <c r="C17" s="343"/>
      <c r="E17" s="11"/>
      <c r="T17" s="335"/>
      <c r="U17" s="335"/>
      <c r="BZ17" s="442">
        <v>60</v>
      </c>
      <c r="CA17" s="443" t="s">
        <v>695</v>
      </c>
      <c r="CB17" s="443" t="s">
        <v>684</v>
      </c>
      <c r="CC17" s="443" t="s">
        <v>716</v>
      </c>
      <c r="CD17" s="442">
        <v>60</v>
      </c>
      <c r="CE17" s="444" t="s">
        <v>695</v>
      </c>
      <c r="CF17" s="445" t="s">
        <v>684</v>
      </c>
      <c r="CG17" s="446" t="s">
        <v>2538</v>
      </c>
      <c r="CH17" s="501" t="s">
        <v>698</v>
      </c>
      <c r="CI17" s="504"/>
      <c r="CK17" s="12"/>
      <c r="CQ17" s="42"/>
      <c r="EX17" s="13" t="str">
        <f t="shared" ref="EX17:EX18" si="1">IF($C17="","",CONCATENATE(D$11, " ", $D17))</f>
        <v/>
      </c>
    </row>
    <row r="18" spans="1:154" x14ac:dyDescent="0.25">
      <c r="B18" s="5"/>
      <c r="C18" s="343"/>
      <c r="D18" s="74" t="s">
        <v>240</v>
      </c>
      <c r="E18" s="11"/>
      <c r="T18" s="335"/>
      <c r="U18" s="335"/>
      <c r="BZ18" s="442">
        <v>50</v>
      </c>
      <c r="CA18" s="443" t="s">
        <v>696</v>
      </c>
      <c r="CB18" s="443" t="s">
        <v>685</v>
      </c>
      <c r="CC18" s="443" t="s">
        <v>717</v>
      </c>
      <c r="CD18" s="442">
        <v>50</v>
      </c>
      <c r="CE18" s="444" t="s">
        <v>696</v>
      </c>
      <c r="CF18" s="445" t="s">
        <v>2270</v>
      </c>
      <c r="CG18" s="446" t="s">
        <v>2537</v>
      </c>
      <c r="CH18" s="501" t="s">
        <v>2273</v>
      </c>
      <c r="CI18" s="503"/>
      <c r="CK18" s="12"/>
      <c r="CQ18" s="42"/>
      <c r="EX18" s="13" t="str">
        <f t="shared" si="1"/>
        <v/>
      </c>
    </row>
    <row r="19" spans="1:154" x14ac:dyDescent="0.25">
      <c r="A19" s="67"/>
      <c r="C19" s="343" t="s">
        <v>1539</v>
      </c>
      <c r="D19" s="69" t="s">
        <v>1749</v>
      </c>
      <c r="E19" s="11"/>
      <c r="G19" s="11" t="s">
        <v>243</v>
      </c>
      <c r="S19" s="279"/>
      <c r="T19" s="335"/>
      <c r="U19" s="335"/>
      <c r="V19" s="10">
        <f>IF(OR(V14&lt;0,SUM(V14:V16)=0),0,VLOOKUP(V14,Parameters!$C$105:$E$115,Parameters!$E104))</f>
        <v>0</v>
      </c>
      <c r="W19" s="10">
        <f ca="1">IF(OR(W14&lt;0,SUM(W14:W16)=0),0,VLOOKUP(W14,Parameters!$C$105:$E$115,Parameters!$E104))</f>
        <v>100</v>
      </c>
      <c r="X19" s="10">
        <f ca="1">IF(OR(X14&lt;0,SUM(X14:X16)=0),0,VLOOKUP(X14,Parameters!$C$105:$E$115,Parameters!$E104))</f>
        <v>100</v>
      </c>
      <c r="Y19" s="10">
        <f ca="1">IF(OR(Y14&lt;0,SUM(Y14:Y16)=0),0,VLOOKUP(Y14,Parameters!$C$105:$E$115,Parameters!$E104))</f>
        <v>100</v>
      </c>
      <c r="BZ19" s="442">
        <v>40</v>
      </c>
      <c r="CA19" s="443" t="s">
        <v>697</v>
      </c>
      <c r="CB19" s="443" t="s">
        <v>687</v>
      </c>
      <c r="CC19" s="443" t="s">
        <v>718</v>
      </c>
      <c r="CD19" s="442">
        <v>40</v>
      </c>
      <c r="CE19" s="444" t="s">
        <v>697</v>
      </c>
      <c r="CF19" s="445" t="s">
        <v>686</v>
      </c>
      <c r="CG19" s="446" t="s">
        <v>2536</v>
      </c>
      <c r="CH19" s="501" t="s">
        <v>699</v>
      </c>
      <c r="CI19" s="504"/>
      <c r="CK19" s="12"/>
      <c r="CQ19" s="42"/>
      <c r="EX19" s="13" t="str">
        <f>IF($C19="","",CONCATENATE(D$11, " ", $D19))</f>
        <v>Financial Health Grading - Existing System Adjusted current ratio points</v>
      </c>
    </row>
    <row r="20" spans="1:154" x14ac:dyDescent="0.25">
      <c r="A20" s="67"/>
      <c r="C20" s="343" t="s">
        <v>1540</v>
      </c>
      <c r="D20" s="69" t="s">
        <v>1750</v>
      </c>
      <c r="E20" s="11"/>
      <c r="G20" s="335" t="s">
        <v>243</v>
      </c>
      <c r="S20" s="333"/>
      <c r="T20" s="335"/>
      <c r="U20" s="335"/>
      <c r="V20" s="10">
        <f>IF(OR(V15&lt;0, SUM(V$14:V$16)=0), 0, VLOOKUP(V15, Parameters!$C121:$E131, Parameters!$E120))</f>
        <v>0</v>
      </c>
      <c r="W20" s="10">
        <f ca="1">IF(OR(W15&lt;0, SUM(W$14:W$16)=0), 0, VLOOKUP(W15, Parameters!$C121:$E131, Parameters!$E120))</f>
        <v>70</v>
      </c>
      <c r="X20" s="10">
        <f ca="1">IF(OR(X15&lt;0, SUM(X$14:X$16)=0), 0, VLOOKUP(X15, Parameters!$C121:$E131, Parameters!$E120))</f>
        <v>70</v>
      </c>
      <c r="Y20" s="10">
        <f ca="1">IF(OR(Y15&lt;0, SUM(Y$14:Y$16)=0), 0, VLOOKUP(Y15, Parameters!$C121:$E131, Parameters!$E120))</f>
        <v>70</v>
      </c>
      <c r="BZ20" s="442">
        <v>30</v>
      </c>
      <c r="CA20" s="443" t="s">
        <v>698</v>
      </c>
      <c r="CB20" s="443" t="s">
        <v>688</v>
      </c>
      <c r="CC20" s="443" t="s">
        <v>719</v>
      </c>
      <c r="CD20" s="442">
        <v>30</v>
      </c>
      <c r="CE20" s="444" t="s">
        <v>698</v>
      </c>
      <c r="CF20" s="445" t="s">
        <v>687</v>
      </c>
      <c r="CG20" s="446" t="s">
        <v>685</v>
      </c>
      <c r="CH20" s="501" t="s">
        <v>2274</v>
      </c>
      <c r="CI20" s="503"/>
      <c r="CK20" s="12"/>
      <c r="CQ20" s="42"/>
      <c r="EX20" s="13" t="str">
        <f t="shared" ref="EX20:EX32" si="2">IF($C20="","",CONCATENATE(D$11, " ", $D20))</f>
        <v>Financial Health Grading - Existing System EBITDA as a % of income - education specific points</v>
      </c>
    </row>
    <row r="21" spans="1:154" x14ac:dyDescent="0.25">
      <c r="A21" s="67"/>
      <c r="C21" s="343" t="s">
        <v>1541</v>
      </c>
      <c r="D21" s="69" t="s">
        <v>1751</v>
      </c>
      <c r="G21" s="335" t="s">
        <v>243</v>
      </c>
      <c r="S21" s="333"/>
      <c r="T21" s="335"/>
      <c r="U21" s="335"/>
      <c r="V21" s="10">
        <f>IF(SUM(V$14:V$16)=0, 0, VLOOKUP(V16, Parameters!$B$137:$E$148, Parameters!$E$136))</f>
        <v>0</v>
      </c>
      <c r="W21" s="10">
        <f ca="1">IF(SUM(W$14:W$16)=0, 0, VLOOKUP(W16, Parameters!$B$137:$E$148, Parameters!$E$136))</f>
        <v>80</v>
      </c>
      <c r="X21" s="10">
        <f ca="1">IF(SUM(X$14:X$16)=0, 0, VLOOKUP(X16, Parameters!$B$137:$E$148, Parameters!$E$136))</f>
        <v>90</v>
      </c>
      <c r="Y21" s="10">
        <f ca="1">IF(SUM(Y$14:Y$16)=0, 0, VLOOKUP(Y16, Parameters!$B$137:$E$148, Parameters!$E$136))</f>
        <v>90</v>
      </c>
      <c r="BZ21" s="442">
        <v>20</v>
      </c>
      <c r="CA21" s="443" t="s">
        <v>699</v>
      </c>
      <c r="CB21" s="443" t="s">
        <v>689</v>
      </c>
      <c r="CC21" s="443" t="s">
        <v>720</v>
      </c>
      <c r="CD21" s="442">
        <v>20</v>
      </c>
      <c r="CE21" s="444" t="s">
        <v>699</v>
      </c>
      <c r="CF21" s="445" t="s">
        <v>688</v>
      </c>
      <c r="CG21" s="446" t="s">
        <v>686</v>
      </c>
      <c r="CH21" s="501" t="s">
        <v>700</v>
      </c>
      <c r="CI21" s="503"/>
      <c r="CK21" s="12"/>
      <c r="CQ21" s="42"/>
      <c r="EX21" s="13" t="str">
        <f t="shared" si="2"/>
        <v>Financial Health Grading - Existing System Borrowing as a % of adjusted income points</v>
      </c>
    </row>
    <row r="22" spans="1:154" ht="14.45" customHeight="1" x14ac:dyDescent="0.25">
      <c r="A22" s="67"/>
      <c r="C22" s="343"/>
      <c r="E22" s="11"/>
      <c r="S22" s="333"/>
      <c r="T22" s="335"/>
      <c r="U22" s="335"/>
      <c r="BZ22" s="442">
        <v>10</v>
      </c>
      <c r="CA22" s="443" t="s">
        <v>700</v>
      </c>
      <c r="CB22" s="443" t="s">
        <v>1760</v>
      </c>
      <c r="CC22" s="443" t="s">
        <v>721</v>
      </c>
      <c r="CD22" s="442">
        <v>10</v>
      </c>
      <c r="CE22" s="444" t="s">
        <v>700</v>
      </c>
      <c r="CF22" s="445" t="s">
        <v>689</v>
      </c>
      <c r="CG22" s="446" t="s">
        <v>687</v>
      </c>
      <c r="CH22" s="501" t="s">
        <v>2275</v>
      </c>
      <c r="CI22" s="503"/>
      <c r="CK22" s="12"/>
      <c r="CQ22" s="42"/>
      <c r="EX22" s="13" t="str">
        <f t="shared" si="2"/>
        <v/>
      </c>
    </row>
    <row r="23" spans="1:154" x14ac:dyDescent="0.25">
      <c r="A23" s="67"/>
      <c r="B23" s="5"/>
      <c r="C23" s="343" t="s">
        <v>1550</v>
      </c>
      <c r="D23" s="74" t="s">
        <v>241</v>
      </c>
      <c r="G23" s="11" t="s">
        <v>243</v>
      </c>
      <c r="T23" s="335"/>
      <c r="U23" s="335"/>
      <c r="V23" s="10">
        <f t="shared" ref="V23" si="3">SUM(V19:V21)</f>
        <v>0</v>
      </c>
      <c r="W23" s="10">
        <f t="shared" ref="W23:Y23" ca="1" si="4">SUM(W19:W21)</f>
        <v>250</v>
      </c>
      <c r="X23" s="10">
        <f t="shared" ca="1" si="4"/>
        <v>260</v>
      </c>
      <c r="Y23" s="10">
        <f t="shared" ca="1" si="4"/>
        <v>260</v>
      </c>
      <c r="BZ23" s="442">
        <v>0</v>
      </c>
      <c r="CA23" s="443" t="s">
        <v>701</v>
      </c>
      <c r="CB23" s="443" t="s">
        <v>1761</v>
      </c>
      <c r="CC23" s="443" t="s">
        <v>1762</v>
      </c>
      <c r="CD23" s="442">
        <v>0</v>
      </c>
      <c r="CE23" s="444" t="s">
        <v>701</v>
      </c>
      <c r="CF23" s="445" t="s">
        <v>690</v>
      </c>
      <c r="CG23" s="446" t="s">
        <v>2535</v>
      </c>
      <c r="CH23" s="501" t="s">
        <v>2317</v>
      </c>
      <c r="CI23" s="504"/>
      <c r="CK23" s="12"/>
      <c r="CQ23" s="42"/>
      <c r="EX23" s="13" t="str">
        <f t="shared" si="2"/>
        <v>Financial Health Grading - Existing System Total Points</v>
      </c>
    </row>
    <row r="24" spans="1:154" s="335" customFormat="1" ht="6.6" customHeight="1" x14ac:dyDescent="0.25">
      <c r="C24" s="340"/>
      <c r="D24" s="69"/>
      <c r="BM24" s="6"/>
      <c r="CK24" s="42"/>
      <c r="CQ24" s="42"/>
      <c r="EX24" s="10" t="str">
        <f t="shared" si="0"/>
        <v/>
      </c>
    </row>
    <row r="25" spans="1:154" x14ac:dyDescent="0.25">
      <c r="B25" s="5"/>
      <c r="C25" s="343"/>
      <c r="D25" s="74" t="s">
        <v>1764</v>
      </c>
      <c r="E25" s="11"/>
      <c r="T25" s="335"/>
      <c r="U25" s="335"/>
      <c r="V25" s="335"/>
      <c r="BZ25" s="44" t="s">
        <v>247</v>
      </c>
      <c r="CA25" s="44"/>
      <c r="CB25" s="44"/>
      <c r="CC25" s="24" t="s">
        <v>236</v>
      </c>
      <c r="CF25" s="335"/>
      <c r="CI25"/>
      <c r="CK25" s="12"/>
      <c r="CQ25" s="42"/>
      <c r="EX25" s="13" t="str">
        <f t="shared" si="2"/>
        <v/>
      </c>
    </row>
    <row r="26" spans="1:154" x14ac:dyDescent="0.25">
      <c r="C26" s="343" t="s">
        <v>1542</v>
      </c>
      <c r="D26" s="69" t="s">
        <v>244</v>
      </c>
      <c r="E26" s="11"/>
      <c r="S26" s="67"/>
      <c r="T26" s="335"/>
      <c r="U26" s="335"/>
      <c r="V26" s="552">
        <f>IF('I&amp;E Annual'!BL$110&gt;0, 1, 0)*V$9</f>
        <v>0</v>
      </c>
      <c r="W26" s="552">
        <f>IF('I&amp;E Annual'!BM$110&gt;0, 1, 0)*W$9</f>
        <v>0</v>
      </c>
      <c r="X26" s="552">
        <f>IF('I&amp;E Annual'!BN$110&gt;0, 1, 0)*X$9</f>
        <v>0</v>
      </c>
      <c r="Y26" s="552">
        <f>IF('I&amp;E Annual'!BO$110&gt;0, 1, 0)*Y$9</f>
        <v>0</v>
      </c>
      <c r="BZ26" s="505" t="str">
        <f>Parameters!D88</f>
        <v>Inadequate</v>
      </c>
      <c r="CA26" s="506"/>
      <c r="CB26" s="506"/>
      <c r="CC26" s="10">
        <f>Parameters!E88</f>
        <v>110</v>
      </c>
      <c r="CI26"/>
      <c r="CK26" s="12"/>
      <c r="CQ26" s="42"/>
      <c r="EX26" s="13" t="str">
        <f t="shared" si="2"/>
        <v>Financial Health Grading - Existing System Automated Moderation - EFS or ES</v>
      </c>
    </row>
    <row r="27" spans="1:154" x14ac:dyDescent="0.25">
      <c r="C27" s="343" t="s">
        <v>1543</v>
      </c>
      <c r="D27" s="69" t="s">
        <v>254</v>
      </c>
      <c r="E27" s="11"/>
      <c r="S27" s="335"/>
      <c r="T27" s="335"/>
      <c r="U27" s="335"/>
      <c r="V27" s="553">
        <f>IF(V20=0, 1, 0)*V$9</f>
        <v>0</v>
      </c>
      <c r="W27" s="553">
        <f ca="1">IF(W20=0, 1, 0)*W$9</f>
        <v>0</v>
      </c>
      <c r="X27" s="553">
        <f t="shared" ref="X27:Y27" ca="1" si="5">IF(X20=0, 1, 0)*X$9</f>
        <v>0</v>
      </c>
      <c r="Y27" s="553">
        <f t="shared" ca="1" si="5"/>
        <v>0</v>
      </c>
      <c r="BZ27" s="507" t="str">
        <f>Parameters!D89</f>
        <v>Requires Improvement</v>
      </c>
      <c r="CA27" s="508"/>
      <c r="CB27" s="508"/>
      <c r="CC27" s="10">
        <f>Parameters!E89</f>
        <v>170</v>
      </c>
      <c r="CI27"/>
      <c r="CK27" s="12"/>
      <c r="CQ27" s="42"/>
      <c r="EX27" s="13" t="str">
        <f t="shared" si="2"/>
        <v>Financial Health Grading - Existing System Automated Moderation - EBITDA score of zero</v>
      </c>
    </row>
    <row r="28" spans="1:154" x14ac:dyDescent="0.25">
      <c r="C28" s="343" t="s">
        <v>1544</v>
      </c>
      <c r="D28" s="69" t="s">
        <v>246</v>
      </c>
      <c r="S28" s="67"/>
      <c r="T28" s="335"/>
      <c r="U28" s="335"/>
      <c r="V28" s="263" t="str">
        <f>IF(V26=1,$BZ$26,
IF(SUM(V14:V16)=0,"",
IF(V23&lt;=$CC$26,$BZ$26,
IF(V23&lt;=$CC$27,$BZ$27,
IF(MIN(V19:V21)=0,$BZ$27,
IF(V23&lt;=$CC$28,$BZ$28,$BZ$29))))))</f>
        <v/>
      </c>
      <c r="W28" s="263" t="str">
        <f t="shared" ref="W28:Y28" ca="1" si="6">IF(W26=1,$BZ$26,
IF(SUM(W14:W16)=0,"",
IF(W23&lt;=$CC$26,$BZ$26,
IF(W23&lt;=$CC$27,$BZ$27,
IF(MIN(W19:W21)=0,$BZ$27,
IF(W23&lt;=$CC$28,$BZ$28,$BZ$29))))))</f>
        <v>Outstanding</v>
      </c>
      <c r="X28" s="263" t="str">
        <f t="shared" ca="1" si="6"/>
        <v>Outstanding</v>
      </c>
      <c r="Y28" s="263" t="str">
        <f t="shared" ca="1" si="6"/>
        <v>Outstanding</v>
      </c>
      <c r="BZ28" s="509" t="str">
        <f>Parameters!D90</f>
        <v>Good</v>
      </c>
      <c r="CA28" s="510"/>
      <c r="CB28" s="510"/>
      <c r="CC28" s="10">
        <f>Parameters!E90</f>
        <v>230</v>
      </c>
      <c r="CD28" s="335"/>
      <c r="CI28"/>
      <c r="CK28" s="12"/>
      <c r="CQ28" s="42"/>
      <c r="EX28" s="13" t="str">
        <f t="shared" si="2"/>
        <v>Financial Health Grading - Existing System Financial health grade - auto grade</v>
      </c>
    </row>
    <row r="29" spans="1:154" ht="14.45" customHeight="1" x14ac:dyDescent="0.25">
      <c r="C29" s="340"/>
      <c r="E29" s="11"/>
      <c r="T29" s="335"/>
      <c r="U29" s="335"/>
      <c r="BZ29" s="511" t="str">
        <f>Parameters!D91</f>
        <v>Outstanding</v>
      </c>
      <c r="CA29" s="512"/>
      <c r="CB29" s="512"/>
      <c r="CC29" s="10">
        <f>Parameters!E91</f>
        <v>300</v>
      </c>
      <c r="CD29" s="335"/>
      <c r="CI29"/>
      <c r="CK29" s="12"/>
      <c r="CQ29" s="42"/>
      <c r="EX29" s="13" t="str">
        <f t="shared" si="2"/>
        <v/>
      </c>
    </row>
    <row r="30" spans="1:154" ht="15.75" x14ac:dyDescent="0.3">
      <c r="A30" s="362" cm="1">
        <f t="array" aca="1" ref="A30" ca="1">HYPERLINK(CONCATENATE("#",CELL("address",IF(SUM($CK30:$CQ30)=0,A30,INDEX($CK30:$CQ30,MATCH(1,$CK30:$CQ30,0))))),SUM($CK30:$CQ30))</f>
        <v>0</v>
      </c>
      <c r="B30" s="105" t="s">
        <v>335</v>
      </c>
      <c r="C30" s="343" t="s">
        <v>1551</v>
      </c>
      <c r="D30" s="74" t="s">
        <v>245</v>
      </c>
      <c r="T30" s="335"/>
      <c r="U30" s="335"/>
      <c r="V30" s="141"/>
      <c r="W30" s="372" t="s">
        <v>251</v>
      </c>
      <c r="X30" s="372" t="s">
        <v>251</v>
      </c>
      <c r="Y30" s="372" t="s">
        <v>251</v>
      </c>
      <c r="BZ30" s="335"/>
      <c r="CA30" s="335"/>
      <c r="CB30" s="335"/>
      <c r="CC30" s="335"/>
      <c r="CD30" s="335"/>
      <c r="CK30" s="12"/>
      <c r="CM30" s="7">
        <f>IF(AND(V30&lt;&gt;"",_xlfn.IFNA(MATCH(V30, Parameters!$D$88:$D$91,0),0)=0), 1,0)</f>
        <v>0</v>
      </c>
      <c r="CN30" s="7">
        <f>IF(AND(W30&lt;&gt;"",_xlfn.IFNA(MATCH(W30, Parameters!$D$88:$D$91,0),0)=0), 1,0)</f>
        <v>0</v>
      </c>
      <c r="CO30" s="7">
        <f>IF(AND(X30&lt;&gt;"",_xlfn.IFNA(MATCH(X30, Parameters!$D$88:$D$91,0),0)=0), 1,0)</f>
        <v>0</v>
      </c>
      <c r="CP30" s="7">
        <f>IF(AND(Y30&lt;&gt;"",_xlfn.IFNA(MATCH(Y30, Parameters!$D$88:$D$91,0),0)=0), 1,0)</f>
        <v>0</v>
      </c>
      <c r="CQ30" s="42"/>
      <c r="EX30" s="13" t="str">
        <f t="shared" si="2"/>
        <v>Financial Health Grading - Existing System College Self-Assessment</v>
      </c>
    </row>
    <row r="31" spans="1:154" ht="6.6" customHeight="1" x14ac:dyDescent="0.25">
      <c r="C31" s="340"/>
      <c r="E31" s="11"/>
      <c r="T31" s="335"/>
      <c r="U31" s="335"/>
      <c r="Z31" s="335"/>
      <c r="BZ31" s="335"/>
      <c r="CA31" s="335"/>
      <c r="CB31" s="335"/>
      <c r="CC31" s="335"/>
      <c r="CD31" s="335"/>
      <c r="CK31" s="12"/>
      <c r="CQ31" s="42"/>
      <c r="EX31" s="13" t="str">
        <f t="shared" si="2"/>
        <v/>
      </c>
    </row>
    <row r="32" spans="1:154" ht="89.25" customHeight="1" x14ac:dyDescent="0.25">
      <c r="A32" s="457" cm="1">
        <f t="array" aca="1" ref="A32" ca="1">HYPERLINK(CONCATENATE("#",CELL("address",IF(SUM($CK32:$CQ32)=0,A32,INDEX($CK32:$CQ32,MATCH(1,$CK32:$CQ32,0))))),SUM($CK32:$CQ32))</f>
        <v>0</v>
      </c>
      <c r="B32" s="170" t="s">
        <v>335</v>
      </c>
      <c r="C32" s="343" t="s">
        <v>1552</v>
      </c>
      <c r="D32" s="74" t="s">
        <v>277</v>
      </c>
      <c r="S32" s="335"/>
      <c r="T32" s="335"/>
      <c r="U32" s="335"/>
      <c r="V32" s="596"/>
      <c r="W32" s="596"/>
      <c r="X32" s="596"/>
      <c r="Y32" s="596"/>
      <c r="Z32" s="335"/>
      <c r="BZ32" s="335"/>
      <c r="CA32" s="335"/>
      <c r="CB32" s="335"/>
      <c r="CC32" s="335"/>
      <c r="CD32" s="335"/>
      <c r="CK32" s="12"/>
      <c r="CL32" s="126">
        <f>IF(AND(V32="",_xlfn.IFNA(MATCH(Parameters!$D$88, 'Financial Health'!V30:Y30, 0),0)&gt;0), 1, 0)</f>
        <v>0</v>
      </c>
      <c r="CQ32" s="42"/>
      <c r="EX32" s="13" t="str">
        <f t="shared" si="2"/>
        <v>Financial Health Grading - Existing System College Self-Assessment Narrative</v>
      </c>
    </row>
    <row r="33" spans="1:154" ht="6.6" customHeight="1" x14ac:dyDescent="0.25">
      <c r="C33" s="356"/>
      <c r="E33" s="11"/>
      <c r="BM33" s="6"/>
      <c r="BZ33" s="335"/>
      <c r="CA33" s="335"/>
      <c r="CB33" s="335"/>
      <c r="CC33" s="335"/>
      <c r="CD33" s="335"/>
      <c r="CK33" s="12"/>
      <c r="CQ33" s="42"/>
      <c r="EX33" s="10" t="str">
        <f t="shared" si="0"/>
        <v/>
      </c>
    </row>
    <row r="34" spans="1:154" x14ac:dyDescent="0.25">
      <c r="A34" s="40"/>
      <c r="B34" s="40"/>
      <c r="C34" s="392"/>
      <c r="D34" s="70" t="s">
        <v>1755</v>
      </c>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Z34" s="5" t="s">
        <v>2381</v>
      </c>
      <c r="CA34" s="335"/>
      <c r="CB34" s="335"/>
      <c r="CC34" s="335"/>
      <c r="CD34" s="335"/>
      <c r="CK34" s="12"/>
      <c r="CQ34" s="12"/>
      <c r="EX34" s="10" t="str">
        <f t="shared" si="0"/>
        <v/>
      </c>
    </row>
    <row r="35" spans="1:154" ht="6.6" customHeight="1" x14ac:dyDescent="0.25">
      <c r="C35" s="356"/>
      <c r="E35" s="11"/>
      <c r="BM35" s="6"/>
      <c r="CK35" s="12"/>
      <c r="CQ35" s="42"/>
      <c r="EX35" s="10" t="str">
        <f t="shared" si="0"/>
        <v/>
      </c>
    </row>
    <row r="36" spans="1:154" x14ac:dyDescent="0.25">
      <c r="B36" s="5"/>
      <c r="C36" s="356"/>
      <c r="D36" s="74" t="s">
        <v>237</v>
      </c>
      <c r="E36" s="11"/>
      <c r="CK36" s="12"/>
      <c r="CQ36" s="42"/>
      <c r="EX36" s="13" t="str">
        <f>IF($C36="","",CONCATENATE($D$34, " ", $D36))</f>
        <v/>
      </c>
    </row>
    <row r="37" spans="1:154" ht="14.1" customHeight="1" x14ac:dyDescent="0.25">
      <c r="C37" s="343" t="str">
        <f>Ratios!C$23</f>
        <v>R-2c</v>
      </c>
      <c r="D37" s="69" t="s">
        <v>238</v>
      </c>
      <c r="E37" s="11"/>
      <c r="G37" s="67" t="s">
        <v>276</v>
      </c>
      <c r="S37" s="67"/>
      <c r="T37" s="335"/>
      <c r="U37" s="335"/>
      <c r="V37" s="393">
        <f>Ratios!V$23</f>
        <v>0</v>
      </c>
      <c r="W37" s="393">
        <f ca="1">Ratios!W$23</f>
        <v>5.2057808455565144</v>
      </c>
      <c r="X37" s="393">
        <f ca="1">Ratios!X$23</f>
        <v>4.4522345223452238</v>
      </c>
      <c r="Y37" s="393">
        <f ca="1">Ratios!Y$23</f>
        <v>5.7139128305582769</v>
      </c>
      <c r="BZ37" s="598" t="s">
        <v>2516</v>
      </c>
      <c r="CA37" s="599"/>
      <c r="CB37" s="599"/>
      <c r="CC37" s="599"/>
      <c r="CD37" s="599"/>
      <c r="CE37" s="599"/>
      <c r="CF37" s="599"/>
      <c r="CG37" s="599"/>
      <c r="CH37" s="600"/>
      <c r="CK37" s="12"/>
      <c r="CQ37" s="42"/>
      <c r="EX37" s="13" t="str">
        <f t="shared" ref="EX37:EX60" si="7">IF($C37="","",CONCATENATE($D$34, " ", $D37))</f>
        <v>Financial Health Grading - Proposed System Adjusted current ratio</v>
      </c>
    </row>
    <row r="38" spans="1:154" x14ac:dyDescent="0.25">
      <c r="C38" s="343" t="str">
        <f>Ratios!C$46</f>
        <v>R-5g</v>
      </c>
      <c r="D38" s="69" t="s">
        <v>1695</v>
      </c>
      <c r="E38" s="11"/>
      <c r="G38" s="11" t="s">
        <v>187</v>
      </c>
      <c r="J38" s="335"/>
      <c r="S38" s="323"/>
      <c r="T38" s="335"/>
      <c r="U38" s="335"/>
      <c r="V38" s="66">
        <f>Ratios!V$46</f>
        <v>0</v>
      </c>
      <c r="W38" s="66">
        <f>Ratios!W$46</f>
        <v>7.2641475708719122E-2</v>
      </c>
      <c r="X38" s="66">
        <f>Ratios!X$46</f>
        <v>7.0342792437291968E-2</v>
      </c>
      <c r="Y38" s="66">
        <f>Ratios!Y$46</f>
        <v>7.2259524115815529E-2</v>
      </c>
      <c r="BZ38" s="601"/>
      <c r="CA38" s="602"/>
      <c r="CB38" s="602"/>
      <c r="CC38" s="602"/>
      <c r="CD38" s="602"/>
      <c r="CE38" s="602"/>
      <c r="CF38" s="602"/>
      <c r="CG38" s="602"/>
      <c r="CH38" s="603"/>
      <c r="CK38" s="12"/>
      <c r="CQ38" s="42"/>
      <c r="EX38" s="13" t="str">
        <f t="shared" si="7"/>
        <v>Financial Health Grading - Proposed System EBITDA as a % of adjusted income - education specific</v>
      </c>
    </row>
    <row r="39" spans="1:154" s="67" customFormat="1" ht="45" x14ac:dyDescent="0.25">
      <c r="C39" s="343" t="str">
        <f>Ratios!C31</f>
        <v>R-4a</v>
      </c>
      <c r="D39" s="69" t="s">
        <v>679</v>
      </c>
      <c r="G39" s="67" t="s">
        <v>276</v>
      </c>
      <c r="J39" s="335"/>
      <c r="T39" s="335"/>
      <c r="U39" s="335"/>
      <c r="V39" s="393">
        <f>Ratios!V31</f>
        <v>0</v>
      </c>
      <c r="W39" s="393">
        <f>Ratios!W31</f>
        <v>8.7677419354838708</v>
      </c>
      <c r="X39" s="393">
        <f>Ratios!X31</f>
        <v>4.3143872113676736</v>
      </c>
      <c r="Y39" s="393">
        <f>Ratios!Y31</f>
        <v>3.7545470692717609</v>
      </c>
      <c r="BZ39" s="601"/>
      <c r="CA39" s="602"/>
      <c r="CB39" s="602"/>
      <c r="CC39" s="602"/>
      <c r="CD39" s="602"/>
      <c r="CE39" s="602"/>
      <c r="CF39" s="602"/>
      <c r="CG39" s="602"/>
      <c r="CH39" s="603"/>
      <c r="CI39" s="335"/>
      <c r="CK39" s="12"/>
      <c r="CQ39" s="42"/>
      <c r="EX39" s="13" t="str">
        <f t="shared" si="7"/>
        <v>Financial Health Grading - Proposed System Debt Service Cover (debt and finance lease repayments/interest costs as a % of operating cash flow)</v>
      </c>
    </row>
    <row r="40" spans="1:154" x14ac:dyDescent="0.25">
      <c r="C40" s="343" t="str">
        <f>Ratios!C$28</f>
        <v>R-2g</v>
      </c>
      <c r="D40" s="69" t="s">
        <v>252</v>
      </c>
      <c r="G40" s="335" t="s">
        <v>187</v>
      </c>
      <c r="J40" s="335"/>
      <c r="S40" s="67"/>
      <c r="T40" s="335"/>
      <c r="U40" s="335"/>
      <c r="V40" s="66">
        <f>Ratios!V$28</f>
        <v>0</v>
      </c>
      <c r="W40" s="66">
        <f>Ratios!W$28</f>
        <v>0.19433024702391591</v>
      </c>
      <c r="X40" s="66">
        <f>Ratios!X$28</f>
        <v>8.3347630648869367E-2</v>
      </c>
      <c r="Y40" s="66">
        <f>Ratios!Y$28</f>
        <v>7.0265066712938126E-2</v>
      </c>
      <c r="BZ40" s="601"/>
      <c r="CA40" s="602"/>
      <c r="CB40" s="602"/>
      <c r="CC40" s="602"/>
      <c r="CD40" s="602"/>
      <c r="CE40" s="602"/>
      <c r="CF40" s="602"/>
      <c r="CG40" s="602"/>
      <c r="CH40" s="603"/>
      <c r="CK40" s="12"/>
      <c r="CQ40" s="42"/>
      <c r="EX40" s="13" t="str">
        <f t="shared" si="7"/>
        <v>Financial Health Grading - Proposed System Cash generation from operations (as a % of income)</v>
      </c>
    </row>
    <row r="41" spans="1:154" ht="6.6" customHeight="1" x14ac:dyDescent="0.25">
      <c r="C41" s="343"/>
      <c r="E41" s="11"/>
      <c r="T41" s="335"/>
      <c r="U41" s="335"/>
      <c r="BZ41" s="604"/>
      <c r="CA41" s="605"/>
      <c r="CB41" s="605"/>
      <c r="CC41" s="605"/>
      <c r="CD41" s="605"/>
      <c r="CE41" s="605"/>
      <c r="CF41" s="605"/>
      <c r="CG41" s="605"/>
      <c r="CH41" s="606"/>
      <c r="CK41" s="12"/>
      <c r="CQ41" s="42"/>
      <c r="EX41" s="13" t="str">
        <f t="shared" si="7"/>
        <v/>
      </c>
    </row>
    <row r="42" spans="1:154" x14ac:dyDescent="0.25">
      <c r="B42" s="5"/>
      <c r="C42" s="343"/>
      <c r="D42" s="74" t="s">
        <v>240</v>
      </c>
      <c r="E42" s="11"/>
      <c r="T42" s="335"/>
      <c r="U42" s="335"/>
      <c r="CK42" s="12"/>
      <c r="CQ42" s="42"/>
      <c r="EX42" s="13" t="str">
        <f t="shared" si="7"/>
        <v/>
      </c>
    </row>
    <row r="43" spans="1:154" s="67" customFormat="1" ht="6.6" customHeight="1" x14ac:dyDescent="0.25">
      <c r="C43" s="343"/>
      <c r="D43" s="69"/>
      <c r="T43" s="335"/>
      <c r="U43" s="335"/>
      <c r="W43" s="335"/>
      <c r="CG43" s="335"/>
      <c r="CH43" s="335"/>
      <c r="CI43" s="335"/>
      <c r="CK43" s="12"/>
      <c r="CQ43" s="42"/>
      <c r="EX43" s="13" t="str">
        <f>IF($C43="","",CONCATENATE($D$34, " ", $D43))</f>
        <v/>
      </c>
    </row>
    <row r="44" spans="1:154" s="67" customFormat="1" x14ac:dyDescent="0.25">
      <c r="C44" s="343"/>
      <c r="D44" s="69" t="s">
        <v>1752</v>
      </c>
      <c r="E44" s="1"/>
      <c r="G44" s="335" t="s">
        <v>243</v>
      </c>
      <c r="J44" s="335"/>
      <c r="T44" s="335"/>
      <c r="U44" s="335"/>
      <c r="V44" s="45">
        <f>IF(OR(SUM(V$37:V$40)=0, V39&lt;0), 0,
IF('Fin Stat'!V$195+'Fin Stat'!V$197+'Fin Stat'!V$199+'Fin Stat'!V$201=0, 100,
VLOOKUP(V39, Parameters!$C187:$E197, Parameters!$E186) ))</f>
        <v>0</v>
      </c>
      <c r="W44" s="45">
        <f ca="1">IF(OR(SUM(W$37:W$40)=0, W39&lt;0), 0,
IF('Fin Stat'!W$195+'Fin Stat'!W$197+'Fin Stat'!W$199+'Fin Stat'!W$201=0, 100,
VLOOKUP(W39, Parameters!$C187:$E197, Parameters!$E186) ))</f>
        <v>100</v>
      </c>
      <c r="X44" s="45">
        <f ca="1">IF(OR(SUM(X$37:X$40)=0, X39&lt;0), 0,
IF('Fin Stat'!X$195+'Fin Stat'!X$197+'Fin Stat'!X$199+'Fin Stat'!X$201=0, 100,
VLOOKUP(X39, Parameters!$C187:$E197, Parameters!$E186) ))</f>
        <v>100</v>
      </c>
      <c r="Y44" s="45">
        <f ca="1">IF(OR(SUM(Y$37:Y$40)=0, Y39&lt;0), 0,
IF('Fin Stat'!Y$195+'Fin Stat'!Y$197+'Fin Stat'!Y$199+'Fin Stat'!Y$201=0, 100,
VLOOKUP(Y39, Parameters!$C187:$E197, Parameters!$E186) ))</f>
        <v>100</v>
      </c>
      <c r="CG44" s="335"/>
      <c r="CH44" s="335"/>
      <c r="CI44" s="335"/>
      <c r="CK44" s="12"/>
      <c r="CQ44" s="42"/>
      <c r="EX44" s="13" t="str">
        <f>IF($C44="","",CONCATENATE($D$34, " ", $D44))</f>
        <v/>
      </c>
    </row>
    <row r="45" spans="1:154" s="67" customFormat="1" x14ac:dyDescent="0.25">
      <c r="C45" s="343"/>
      <c r="D45" s="334" t="s">
        <v>1753</v>
      </c>
      <c r="E45" s="1"/>
      <c r="G45" s="335" t="s">
        <v>243</v>
      </c>
      <c r="J45" s="335"/>
      <c r="T45" s="335"/>
      <c r="U45" s="335"/>
      <c r="V45" s="393">
        <f>IF(OR(SUM(V$37:V$40)=0, V40&lt;0), 0,  VLOOKUP(V40, Parameters!$C203:$E213, Parameters!$E202) )</f>
        <v>0</v>
      </c>
      <c r="W45" s="393">
        <f ca="1">IF(OR(SUM(W$37:W$40)=0, W40&lt;0), 0,  VLOOKUP(W40, Parameters!$C203:$E213, Parameters!$E202) )</f>
        <v>100</v>
      </c>
      <c r="X45" s="393">
        <f ca="1">IF(OR(SUM(X$37:X$40)=0, X40&lt;0), 0,  VLOOKUP(X40, Parameters!$C203:$E213, Parameters!$E202) )</f>
        <v>100</v>
      </c>
      <c r="Y45" s="393">
        <f ca="1">IF(OR(SUM(Y$37:Y$40)=0, Y40&lt;0), 0,  VLOOKUP(Y40, Parameters!$C203:$E213, Parameters!$E202) )</f>
        <v>100</v>
      </c>
      <c r="CG45" s="335"/>
      <c r="CH45" s="335"/>
      <c r="CI45" s="335"/>
      <c r="CK45" s="12"/>
      <c r="CQ45" s="42"/>
      <c r="EX45" s="13" t="str">
        <f>IF($C45="","",CONCATENATE($D$34, " ", $D45))</f>
        <v/>
      </c>
    </row>
    <row r="46" spans="1:154" s="335" customFormat="1" ht="6.6" customHeight="1" x14ac:dyDescent="0.25">
      <c r="C46" s="343"/>
      <c r="D46" s="69"/>
      <c r="CK46" s="12"/>
      <c r="CQ46" s="42"/>
      <c r="EX46" s="13" t="str">
        <f>IF($C46="","",CONCATENATE($D$34, " ", $D46))</f>
        <v/>
      </c>
    </row>
    <row r="47" spans="1:154" x14ac:dyDescent="0.25">
      <c r="A47" s="67"/>
      <c r="C47" s="343" t="s">
        <v>1545</v>
      </c>
      <c r="D47" s="69" t="s">
        <v>1749</v>
      </c>
      <c r="E47" s="11"/>
      <c r="G47" s="335" t="s">
        <v>243</v>
      </c>
      <c r="J47" s="335"/>
      <c r="S47" s="333"/>
      <c r="T47" s="335"/>
      <c r="U47" s="335"/>
      <c r="V47" s="10">
        <f>IF(OR(SUM(V$37:V$40)=0,V37&lt;0),0,VLOOKUP(V37,Parameters!$C155:$E165,Parameters!$E$154))</f>
        <v>0</v>
      </c>
      <c r="W47" s="10">
        <f ca="1">IF(OR(SUM(W$37:W$40)=0,W37&lt;0),0,VLOOKUP(W37,Parameters!$C155:$E165,Parameters!$E$154))</f>
        <v>100</v>
      </c>
      <c r="X47" s="10">
        <f ca="1">IF(OR(SUM(X$37:X$40)=0,X37&lt;0),0,VLOOKUP(X37,Parameters!$C155:$E165,Parameters!$E$154))</f>
        <v>100</v>
      </c>
      <c r="Y47" s="10">
        <f ca="1">IF(OR(SUM(Y$37:Y$40)=0,Y37&lt;0),0,VLOOKUP(Y37,Parameters!$C155:$E165,Parameters!$E$154))</f>
        <v>100</v>
      </c>
      <c r="CK47" s="12"/>
      <c r="CQ47" s="42"/>
      <c r="EX47" s="13" t="str">
        <f t="shared" si="7"/>
        <v>Financial Health Grading - Proposed System Adjusted current ratio points</v>
      </c>
    </row>
    <row r="48" spans="1:154" x14ac:dyDescent="0.25">
      <c r="A48" s="67"/>
      <c r="C48" s="343" t="s">
        <v>1546</v>
      </c>
      <c r="D48" s="69" t="s">
        <v>1750</v>
      </c>
      <c r="E48" s="11"/>
      <c r="G48" s="335" t="s">
        <v>243</v>
      </c>
      <c r="J48" s="335"/>
      <c r="S48" s="333"/>
      <c r="T48" s="335"/>
      <c r="U48" s="335"/>
      <c r="V48" s="10">
        <f>IF(OR(SUM(V$37:V$40)=0, V38&lt;0), 0, VLOOKUP(V38, Parameters!$C171:$E181, COUNTA(Parameters!$C170:$E170)))</f>
        <v>0</v>
      </c>
      <c r="W48" s="10">
        <f ca="1">IF(OR(SUM(W$37:W$40)=0, W38&lt;0), 0, VLOOKUP(W38, Parameters!$C171:$E181, COUNTA(Parameters!$C170:$E170)))</f>
        <v>70</v>
      </c>
      <c r="X48" s="10">
        <f ca="1">IF(OR(SUM(X$37:X$40)=0, X38&lt;0), 0, VLOOKUP(X38, Parameters!$C171:$E181, COUNTA(Parameters!$C170:$E170)))</f>
        <v>70</v>
      </c>
      <c r="Y48" s="10">
        <f ca="1">IF(OR(SUM(Y$37:Y$40)=0, Y38&lt;0), 0, VLOOKUP(Y38, Parameters!$C171:$E181, COUNTA(Parameters!$C170:$E170)))</f>
        <v>70</v>
      </c>
      <c r="CK48" s="12"/>
      <c r="CQ48" s="42"/>
      <c r="EX48" s="13" t="str">
        <f t="shared" si="7"/>
        <v>Financial Health Grading - Proposed System EBITDA as a % of income - education specific points</v>
      </c>
    </row>
    <row r="49" spans="1:154" x14ac:dyDescent="0.25">
      <c r="A49" s="67"/>
      <c r="B49" s="335"/>
      <c r="C49" s="343" t="s">
        <v>1547</v>
      </c>
      <c r="D49" s="334" t="s">
        <v>1754</v>
      </c>
      <c r="G49" s="335" t="s">
        <v>243</v>
      </c>
      <c r="J49" s="335"/>
      <c r="S49" s="333"/>
      <c r="T49" s="335"/>
      <c r="U49" s="335"/>
      <c r="V49" s="10">
        <f>MIN(V44:V45)</f>
        <v>0</v>
      </c>
      <c r="W49" s="10">
        <f ca="1">MIN(W44:W45)</f>
        <v>100</v>
      </c>
      <c r="X49" s="10">
        <f ca="1">MIN(X44:X45)</f>
        <v>100</v>
      </c>
      <c r="Y49" s="10">
        <f ca="1">MIN(Y44:Y45)</f>
        <v>100</v>
      </c>
      <c r="CK49" s="12"/>
      <c r="CQ49" s="42"/>
      <c r="EX49" s="13" t="str">
        <f t="shared" si="7"/>
        <v>Financial Health Grading - Proposed System Minimum of debt service or cash generation points</v>
      </c>
    </row>
    <row r="50" spans="1:154" ht="6.6" customHeight="1" x14ac:dyDescent="0.25">
      <c r="A50" s="67"/>
      <c r="C50" s="343"/>
      <c r="E50" s="11"/>
      <c r="J50" s="335"/>
      <c r="K50" s="335"/>
      <c r="L50" s="335"/>
      <c r="M50" s="335"/>
      <c r="N50" s="335"/>
      <c r="O50" s="335"/>
      <c r="P50" s="335"/>
      <c r="Q50" s="335"/>
      <c r="R50" s="335"/>
      <c r="T50" s="335"/>
      <c r="U50" s="335"/>
      <c r="CK50" s="42"/>
      <c r="CQ50" s="42"/>
      <c r="EX50" s="13" t="str">
        <f t="shared" si="7"/>
        <v/>
      </c>
    </row>
    <row r="51" spans="1:154" x14ac:dyDescent="0.25">
      <c r="A51" s="67"/>
      <c r="B51" s="5"/>
      <c r="C51" s="343" t="s">
        <v>1553</v>
      </c>
      <c r="D51" s="74" t="s">
        <v>241</v>
      </c>
      <c r="G51" s="11" t="s">
        <v>243</v>
      </c>
      <c r="J51" s="335"/>
      <c r="T51" s="335"/>
      <c r="U51" s="335"/>
      <c r="V51" s="10">
        <f>SUM(V47:V49)</f>
        <v>0</v>
      </c>
      <c r="W51" s="10">
        <f ca="1">SUM(W47:W49)</f>
        <v>270</v>
      </c>
      <c r="X51" s="10">
        <f ca="1">SUM(X47:X49)</f>
        <v>270</v>
      </c>
      <c r="Y51" s="10">
        <f t="shared" ref="Y51" ca="1" si="8">SUM(Y47:Y49)</f>
        <v>270</v>
      </c>
      <c r="CK51" s="12"/>
      <c r="CQ51" s="42"/>
      <c r="EX51" s="13" t="str">
        <f t="shared" si="7"/>
        <v>Financial Health Grading - Proposed System Total Points</v>
      </c>
    </row>
    <row r="52" spans="1:154" ht="6.6" customHeight="1" x14ac:dyDescent="0.25">
      <c r="A52" s="67"/>
      <c r="C52" s="343"/>
      <c r="E52" s="11"/>
      <c r="J52" s="335"/>
      <c r="K52" s="335"/>
      <c r="L52" s="335"/>
      <c r="M52" s="335"/>
      <c r="N52" s="335"/>
      <c r="O52" s="335"/>
      <c r="P52" s="335"/>
      <c r="Q52" s="335"/>
      <c r="R52" s="335"/>
      <c r="T52" s="335"/>
      <c r="U52" s="335"/>
      <c r="CK52" s="42"/>
      <c r="CQ52" s="42"/>
      <c r="EX52" s="13" t="str">
        <f t="shared" si="7"/>
        <v/>
      </c>
    </row>
    <row r="53" spans="1:154" x14ac:dyDescent="0.25">
      <c r="A53" s="67"/>
      <c r="B53" s="5"/>
      <c r="C53" s="343"/>
      <c r="D53" s="74" t="s">
        <v>1756</v>
      </c>
      <c r="E53" s="11"/>
      <c r="J53" s="335"/>
      <c r="K53" s="335"/>
      <c r="L53" s="335"/>
      <c r="M53" s="335"/>
      <c r="N53" s="335"/>
      <c r="O53" s="335"/>
      <c r="P53" s="335"/>
      <c r="Q53" s="335"/>
      <c r="R53" s="335"/>
      <c r="T53" s="335"/>
      <c r="U53" s="335"/>
      <c r="CK53" s="12"/>
      <c r="CQ53" s="42"/>
      <c r="EX53" s="13" t="str">
        <f t="shared" si="7"/>
        <v/>
      </c>
    </row>
    <row r="54" spans="1:154" x14ac:dyDescent="0.25">
      <c r="A54" s="67"/>
      <c r="C54" s="343" t="s">
        <v>1554</v>
      </c>
      <c r="D54" s="69" t="s">
        <v>253</v>
      </c>
      <c r="E54" s="11"/>
      <c r="J54" s="335"/>
      <c r="S54" s="67"/>
      <c r="T54" s="335"/>
      <c r="U54" s="335"/>
      <c r="V54" s="552">
        <f>IF('I&amp;E Annual'!BL$110&gt;0, 1, 0)*V$9</f>
        <v>0</v>
      </c>
      <c r="W54" s="552">
        <f>IF('I&amp;E Annual'!BM$110&gt;0, 1, 0)*W$9</f>
        <v>0</v>
      </c>
      <c r="X54" s="552">
        <f>IF('I&amp;E Annual'!BN$110&gt;0, 1, 0)*X$9</f>
        <v>0</v>
      </c>
      <c r="Y54" s="552">
        <f>IF('I&amp;E Annual'!BO$110&gt;0, 1, 0)*Y$9</f>
        <v>0</v>
      </c>
      <c r="CK54" s="12"/>
      <c r="CQ54" s="42"/>
      <c r="EX54" s="13" t="str">
        <f t="shared" si="7"/>
        <v>Financial Health Grading - Proposed System Automated Moderation - Emergency Funding</v>
      </c>
    </row>
    <row r="55" spans="1:154" x14ac:dyDescent="0.25">
      <c r="A55" s="67"/>
      <c r="C55" s="343" t="s">
        <v>1555</v>
      </c>
      <c r="D55" s="69" t="s">
        <v>254</v>
      </c>
      <c r="E55" s="11"/>
      <c r="J55" s="335"/>
      <c r="S55" s="335"/>
      <c r="T55" s="335"/>
      <c r="U55" s="335"/>
      <c r="V55" s="553">
        <f>IF(V48=0, 1, 0)*V$9</f>
        <v>0</v>
      </c>
      <c r="W55" s="553">
        <f t="shared" ref="W55:Y55" ca="1" si="9">IF(W48=0, 1, 0)*W$9</f>
        <v>0</v>
      </c>
      <c r="X55" s="553">
        <f t="shared" ca="1" si="9"/>
        <v>0</v>
      </c>
      <c r="Y55" s="553">
        <f t="shared" ca="1" si="9"/>
        <v>0</v>
      </c>
      <c r="CK55" s="12"/>
      <c r="CQ55" s="42"/>
      <c r="EX55" s="13" t="str">
        <f t="shared" si="7"/>
        <v>Financial Health Grading - Proposed System Automated Moderation - EBITDA score of zero</v>
      </c>
    </row>
    <row r="56" spans="1:154" x14ac:dyDescent="0.25">
      <c r="A56" s="67"/>
      <c r="C56" s="343" t="s">
        <v>1556</v>
      </c>
      <c r="D56" s="69" t="s">
        <v>246</v>
      </c>
      <c r="J56" s="335"/>
      <c r="S56" s="67"/>
      <c r="T56" s="335"/>
      <c r="U56" s="335"/>
      <c r="V56" s="263" t="str">
        <f>IF(V54=1,$BZ$26,
IF(SUM(V37:V40)=0,"",
IF(V51&lt;=$CC$26,$BZ$26,
IF(V51&lt;=$CC$27,$BZ$27,
IF(MIN(V47:V49)=0, $BZ$27,
IF(V51&lt;=$CC$28,$BZ$28,$BZ$29
))))))</f>
        <v/>
      </c>
      <c r="W56" s="263" t="str">
        <f t="shared" ref="W56:Y56" ca="1" si="10">IF(W54=1,$BZ$26,
IF(SUM(W37:W40)=0,"",
IF(W51&lt;=$CC$26,$BZ$26,
IF(W51&lt;=$CC$27,$BZ$27,
IF(MIN(W47:W49)=0, $BZ$27,
IF(W51&lt;=$CC$28,$BZ$28,$BZ$29
))))))</f>
        <v>Outstanding</v>
      </c>
      <c r="X56" s="263" t="str">
        <f t="shared" ca="1" si="10"/>
        <v>Outstanding</v>
      </c>
      <c r="Y56" s="263" t="str">
        <f t="shared" ca="1" si="10"/>
        <v>Outstanding</v>
      </c>
      <c r="CK56" s="12"/>
      <c r="CQ56" s="42"/>
      <c r="EX56" s="13" t="str">
        <f t="shared" si="7"/>
        <v>Financial Health Grading - Proposed System Financial health grade - auto grade</v>
      </c>
    </row>
    <row r="57" spans="1:154" ht="6.6" customHeight="1" x14ac:dyDescent="0.25">
      <c r="A57" s="67"/>
      <c r="C57" s="343"/>
      <c r="E57" s="11"/>
      <c r="S57" s="67"/>
      <c r="T57" s="335"/>
      <c r="U57" s="335"/>
      <c r="CK57" s="42"/>
      <c r="CQ57" s="42"/>
      <c r="EX57" s="13" t="str">
        <f t="shared" si="7"/>
        <v/>
      </c>
    </row>
    <row r="58" spans="1:154" ht="15.75" x14ac:dyDescent="0.3">
      <c r="A58" s="362" cm="1">
        <f t="array" aca="1" ref="A58" ca="1">HYPERLINK(CONCATENATE("#",CELL("address",IF(SUM($CK58:$CQ58)=0,A58,INDEX($CK58:$CQ58,MATCH(1,$CK58:$CQ58,0))))),SUM($CK58:$CQ58))</f>
        <v>0</v>
      </c>
      <c r="B58" s="105" t="s">
        <v>335</v>
      </c>
      <c r="C58" s="343" t="s">
        <v>1548</v>
      </c>
      <c r="D58" s="74" t="s">
        <v>245</v>
      </c>
      <c r="S58" s="67"/>
      <c r="T58" s="335"/>
      <c r="U58" s="335"/>
      <c r="V58" s="141"/>
      <c r="W58" s="141"/>
      <c r="X58" s="141"/>
      <c r="Y58" s="141"/>
      <c r="CK58" s="12"/>
      <c r="CM58" s="7">
        <f>IF(AND(V58&lt;&gt;"",_xlfn.IFNA(MATCH(V58, Parameters!$D$88:$D$91,0),0)=0), 1,0)</f>
        <v>0</v>
      </c>
      <c r="CN58" s="7">
        <f>IF(AND(W58&lt;&gt;"",_xlfn.IFNA(MATCH(W58, Parameters!$D$88:$D$91,0),0)=0), 1,0)</f>
        <v>0</v>
      </c>
      <c r="CO58" s="7">
        <f>IF(AND(X58&lt;&gt;"",_xlfn.IFNA(MATCH(X58, Parameters!$D$88:$D$91,0),0)=0), 1,0)</f>
        <v>0</v>
      </c>
      <c r="CP58" s="7">
        <f>IF(AND(Y58&lt;&gt;"",_xlfn.IFNA(MATCH(Y58, Parameters!$D$88:$D$91,0),0)=0), 1,0)</f>
        <v>0</v>
      </c>
      <c r="CQ58" s="42"/>
      <c r="EX58" s="13" t="str">
        <f t="shared" si="7"/>
        <v>Financial Health Grading - Proposed System College Self-Assessment</v>
      </c>
    </row>
    <row r="59" spans="1:154" ht="6.6" customHeight="1" x14ac:dyDescent="0.25">
      <c r="B59" s="335"/>
      <c r="C59" s="340"/>
      <c r="E59" s="11"/>
      <c r="T59" s="335"/>
      <c r="U59" s="335"/>
      <c r="V59" s="335"/>
      <c r="W59" s="335"/>
      <c r="X59" s="335"/>
      <c r="Y59" s="335"/>
      <c r="CK59" s="42"/>
      <c r="CQ59" s="42"/>
      <c r="EX59" s="13" t="str">
        <f t="shared" si="7"/>
        <v/>
      </c>
    </row>
    <row r="60" spans="1:154" ht="89.1" customHeight="1" x14ac:dyDescent="0.25">
      <c r="A60" s="457" cm="1">
        <f t="array" aca="1" ref="A60" ca="1">HYPERLINK(CONCATENATE("#",CELL("address",IF(SUM($CK60:$CQ60)=0,A60,INDEX($CK60:$CQ60,MATCH(1,$CK60:$CQ60,0))))),SUM($CK60:$CQ60))</f>
        <v>0</v>
      </c>
      <c r="B60" s="170" t="s">
        <v>335</v>
      </c>
      <c r="C60" s="343" t="s">
        <v>1549</v>
      </c>
      <c r="D60" s="74" t="s">
        <v>277</v>
      </c>
      <c r="S60" s="335"/>
      <c r="T60" s="335"/>
      <c r="U60" s="335"/>
      <c r="V60" s="597"/>
      <c r="W60" s="597"/>
      <c r="X60" s="597"/>
      <c r="Y60" s="597"/>
      <c r="CK60" s="12"/>
      <c r="CL60" s="126">
        <f>IF(AND(V60="",_xlfn.IFNA(MATCH(Parameters!$D$88, 'Financial Health'!V58:Y58, 0),0)&gt;0), 1, 0)</f>
        <v>0</v>
      </c>
      <c r="CQ60" s="42"/>
      <c r="EX60" s="13" t="str">
        <f t="shared" si="7"/>
        <v>Financial Health Grading - Proposed System College Self-Assessment Narrative</v>
      </c>
    </row>
    <row r="61" spans="1:154" ht="6.6" customHeight="1" x14ac:dyDescent="0.25">
      <c r="C61" s="339"/>
      <c r="E61" s="11"/>
      <c r="BM61" s="6"/>
      <c r="CK61" s="42"/>
      <c r="CQ61" s="42"/>
      <c r="EX61" s="10" t="str">
        <f t="shared" si="0"/>
        <v/>
      </c>
    </row>
    <row r="62" spans="1:154" x14ac:dyDescent="0.25">
      <c r="A62" s="12" t="s">
        <v>88</v>
      </c>
      <c r="B62" s="12" t="s">
        <v>88</v>
      </c>
      <c r="C62" s="71" t="s">
        <v>88</v>
      </c>
      <c r="D62" s="71" t="s">
        <v>88</v>
      </c>
      <c r="E62" s="28" t="s">
        <v>88</v>
      </c>
      <c r="F62" s="12" t="s">
        <v>88</v>
      </c>
      <c r="G62" s="12" t="s">
        <v>88</v>
      </c>
      <c r="H62" s="12" t="s">
        <v>88</v>
      </c>
      <c r="I62" s="12" t="s">
        <v>88</v>
      </c>
      <c r="J62" s="12" t="s">
        <v>88</v>
      </c>
      <c r="K62" s="12" t="s">
        <v>88</v>
      </c>
      <c r="L62" s="12" t="s">
        <v>88</v>
      </c>
      <c r="M62" s="12" t="s">
        <v>88</v>
      </c>
      <c r="N62" s="12" t="s">
        <v>88</v>
      </c>
      <c r="O62" s="12" t="s">
        <v>88</v>
      </c>
      <c r="P62" s="12" t="s">
        <v>88</v>
      </c>
      <c r="Q62" s="12" t="s">
        <v>88</v>
      </c>
      <c r="R62" s="12" t="s">
        <v>88</v>
      </c>
      <c r="S62" s="12"/>
      <c r="T62" s="12" t="s">
        <v>88</v>
      </c>
      <c r="U62" s="12" t="s">
        <v>88</v>
      </c>
      <c r="V62" s="12" t="s">
        <v>88</v>
      </c>
      <c r="W62" s="12" t="s">
        <v>88</v>
      </c>
      <c r="X62" s="12"/>
      <c r="Y62" s="12"/>
      <c r="Z62" s="12" t="s">
        <v>88</v>
      </c>
      <c r="AA62" s="12" t="s">
        <v>88</v>
      </c>
      <c r="AB62" s="12" t="s">
        <v>88</v>
      </c>
      <c r="AC62" s="12" t="s">
        <v>88</v>
      </c>
      <c r="AD62" s="12" t="s">
        <v>88</v>
      </c>
      <c r="AE62" s="12" t="s">
        <v>88</v>
      </c>
      <c r="AF62" s="12" t="s">
        <v>88</v>
      </c>
      <c r="AG62" s="12" t="s">
        <v>88</v>
      </c>
      <c r="AH62" s="12" t="s">
        <v>88</v>
      </c>
      <c r="AI62" s="12" t="s">
        <v>88</v>
      </c>
      <c r="AJ62" s="12" t="s">
        <v>88</v>
      </c>
      <c r="AK62" s="12" t="s">
        <v>88</v>
      </c>
      <c r="AL62" s="12" t="s">
        <v>88</v>
      </c>
      <c r="AM62" s="12" t="s">
        <v>88</v>
      </c>
      <c r="AN62" s="12" t="s">
        <v>88</v>
      </c>
      <c r="AO62" s="12" t="s">
        <v>88</v>
      </c>
      <c r="AP62" s="12" t="s">
        <v>88</v>
      </c>
      <c r="AQ62" s="12" t="s">
        <v>88</v>
      </c>
      <c r="AR62" s="12" t="s">
        <v>88</v>
      </c>
      <c r="AS62" s="12" t="s">
        <v>88</v>
      </c>
      <c r="AT62" s="12" t="s">
        <v>88</v>
      </c>
      <c r="AU62" s="12" t="s">
        <v>88</v>
      </c>
      <c r="AV62" s="12" t="s">
        <v>88</v>
      </c>
      <c r="AW62" s="12" t="s">
        <v>88</v>
      </c>
      <c r="AX62" s="12" t="s">
        <v>88</v>
      </c>
      <c r="AY62" s="12" t="s">
        <v>88</v>
      </c>
      <c r="AZ62" s="12" t="s">
        <v>88</v>
      </c>
      <c r="BA62" s="12" t="s">
        <v>88</v>
      </c>
      <c r="BB62" s="12" t="s">
        <v>88</v>
      </c>
      <c r="BC62" s="12" t="s">
        <v>88</v>
      </c>
      <c r="BD62" s="12" t="s">
        <v>88</v>
      </c>
      <c r="BE62" s="12" t="s">
        <v>88</v>
      </c>
      <c r="BF62" s="12" t="s">
        <v>88</v>
      </c>
      <c r="BG62" s="12" t="s">
        <v>88</v>
      </c>
      <c r="BH62" s="12" t="s">
        <v>88</v>
      </c>
      <c r="BI62" s="12" t="s">
        <v>88</v>
      </c>
      <c r="BJ62" s="12" t="s">
        <v>88</v>
      </c>
      <c r="BK62" s="12" t="s">
        <v>88</v>
      </c>
      <c r="BL62" s="12" t="s">
        <v>88</v>
      </c>
      <c r="BM62" s="12" t="s">
        <v>88</v>
      </c>
      <c r="BN62" s="12" t="s">
        <v>88</v>
      </c>
      <c r="BO62" s="12" t="s">
        <v>88</v>
      </c>
      <c r="BP62" s="12" t="s">
        <v>88</v>
      </c>
      <c r="BQ62" s="12" t="s">
        <v>88</v>
      </c>
      <c r="BR62" s="12" t="s">
        <v>88</v>
      </c>
      <c r="BS62" s="12" t="s">
        <v>88</v>
      </c>
      <c r="BT62" s="12" t="s">
        <v>88</v>
      </c>
      <c r="BU62" s="12" t="s">
        <v>88</v>
      </c>
      <c r="BV62" s="12" t="s">
        <v>88</v>
      </c>
      <c r="BW62" s="12" t="s">
        <v>88</v>
      </c>
      <c r="BX62" s="12" t="s">
        <v>88</v>
      </c>
      <c r="BY62" s="12" t="s">
        <v>88</v>
      </c>
      <c r="BZ62" s="12" t="s">
        <v>88</v>
      </c>
      <c r="CA62" s="12" t="s">
        <v>88</v>
      </c>
      <c r="CB62" s="12" t="s">
        <v>88</v>
      </c>
      <c r="CC62" s="12" t="s">
        <v>88</v>
      </c>
      <c r="CD62" s="12" t="s">
        <v>88</v>
      </c>
      <c r="CE62" s="12" t="s">
        <v>88</v>
      </c>
      <c r="CF62" s="12" t="s">
        <v>88</v>
      </c>
      <c r="CG62" s="12" t="s">
        <v>88</v>
      </c>
      <c r="CH62" s="12" t="s">
        <v>88</v>
      </c>
      <c r="CI62" s="12"/>
      <c r="CJ62" s="12" t="s">
        <v>88</v>
      </c>
      <c r="CK62" s="12" t="s">
        <v>88</v>
      </c>
      <c r="CL62" s="12" t="s">
        <v>88</v>
      </c>
      <c r="CM62" s="12" t="s">
        <v>88</v>
      </c>
      <c r="CN62" s="12" t="s">
        <v>88</v>
      </c>
      <c r="CO62" s="12" t="s">
        <v>88</v>
      </c>
      <c r="CP62" s="12" t="s">
        <v>88</v>
      </c>
      <c r="CQ62" s="12" t="s">
        <v>88</v>
      </c>
      <c r="EX62" s="10" t="str">
        <f t="shared" si="0"/>
        <v>*</v>
      </c>
    </row>
    <row r="63" spans="1:154" x14ac:dyDescent="0.25">
      <c r="EX63" s="335"/>
    </row>
  </sheetData>
  <sheetProtection algorithmName="SHA-512" hashValue="m5snOTW/DhwLO5K0ZfFNXU1Y6pW6Sx1RFYML6k3boN91CdkzXtdpqk2NVvR5fv/M6ZwXmZUyBGJ5Uqgxo8u0KA==" saltValue="MBuA3j5odrZKHuhS1RRz2g==" spinCount="100000" sheet="1" objects="1" scenarios="1"/>
  <mergeCells count="10">
    <mergeCell ref="V32:Y32"/>
    <mergeCell ref="V60:Y60"/>
    <mergeCell ref="CK1:CK6"/>
    <mergeCell ref="CQ1:CQ6"/>
    <mergeCell ref="CP3:CP6"/>
    <mergeCell ref="CM3:CM6"/>
    <mergeCell ref="CN3:CN6"/>
    <mergeCell ref="CO3:CO6"/>
    <mergeCell ref="CL3:CL6"/>
    <mergeCell ref="BZ37:CH41"/>
  </mergeCells>
  <phoneticPr fontId="9" type="noConversion"/>
  <conditionalFormatting sqref="V30">
    <cfRule type="cellIs" dxfId="139" priority="206" operator="equal">
      <formula>0</formula>
    </cfRule>
    <cfRule type="containsText" dxfId="138" priority="207" operator="containsText" text="Outstanding">
      <formula>NOT(ISERROR(SEARCH("Outstanding",V30)))</formula>
    </cfRule>
    <cfRule type="containsText" dxfId="137" priority="208" operator="containsText" text="Requires Improvement">
      <formula>NOT(ISERROR(SEARCH("Requires Improvement",V30)))</formula>
    </cfRule>
    <cfRule type="containsText" dxfId="136" priority="209" operator="containsText" text="Inadequate">
      <formula>NOT(ISERROR(SEARCH("Inadequate",V30)))</formula>
    </cfRule>
    <cfRule type="containsText" dxfId="135" priority="210" operator="containsText" text="Good">
      <formula>NOT(ISERROR(SEARCH("Good",V30)))</formula>
    </cfRule>
    <cfRule type="containsText" dxfId="134" priority="211" operator="containsText" text="&quot;&quot;">
      <formula>NOT(ISERROR(SEARCH("""""",V30)))</formula>
    </cfRule>
  </conditionalFormatting>
  <conditionalFormatting sqref="CM30">
    <cfRule type="cellIs" dxfId="133" priority="150" operator="equal">
      <formula>0</formula>
    </cfRule>
    <cfRule type="cellIs" dxfId="132" priority="151" operator="equal">
      <formula>1</formula>
    </cfRule>
  </conditionalFormatting>
  <conditionalFormatting sqref="CN30:CP30">
    <cfRule type="cellIs" dxfId="131" priority="158" operator="equal">
      <formula>0</formula>
    </cfRule>
    <cfRule type="cellIs" dxfId="130" priority="159" operator="equal">
      <formula>1</formula>
    </cfRule>
  </conditionalFormatting>
  <conditionalFormatting sqref="CN58:CP58">
    <cfRule type="cellIs" dxfId="129" priority="148" operator="equal">
      <formula>0</formula>
    </cfRule>
    <cfRule type="cellIs" dxfId="128" priority="149" operator="equal">
      <formula>1</formula>
    </cfRule>
  </conditionalFormatting>
  <conditionalFormatting sqref="CM58">
    <cfRule type="cellIs" dxfId="127" priority="146" operator="equal">
      <formula>0</formula>
    </cfRule>
    <cfRule type="cellIs" dxfId="126" priority="147" operator="equal">
      <formula>1</formula>
    </cfRule>
  </conditionalFormatting>
  <conditionalFormatting sqref="CL60">
    <cfRule type="cellIs" dxfId="125" priority="132" operator="equal">
      <formula>0</formula>
    </cfRule>
    <cfRule type="cellIs" dxfId="124" priority="133" operator="equal">
      <formula>1</formula>
    </cfRule>
  </conditionalFormatting>
  <conditionalFormatting sqref="A1">
    <cfRule type="cellIs" dxfId="123" priority="130" operator="equal">
      <formula>0</formula>
    </cfRule>
    <cfRule type="cellIs" dxfId="122" priority="131" operator="greaterThan">
      <formula>0</formula>
    </cfRule>
  </conditionalFormatting>
  <conditionalFormatting sqref="V28:Y28">
    <cfRule type="cellIs" dxfId="121" priority="94" operator="equal">
      <formula>0</formula>
    </cfRule>
    <cfRule type="containsText" dxfId="120" priority="95" operator="containsText" text="Outstanding">
      <formula>NOT(ISERROR(SEARCH("Outstanding",V28)))</formula>
    </cfRule>
    <cfRule type="containsText" dxfId="119" priority="96" operator="containsText" text="Requires Improvement">
      <formula>NOT(ISERROR(SEARCH("Requires Improvement",V28)))</formula>
    </cfRule>
    <cfRule type="containsText" dxfId="118" priority="97" operator="containsText" text="Inadequate">
      <formula>NOT(ISERROR(SEARCH("Inadequate",V28)))</formula>
    </cfRule>
    <cfRule type="containsText" dxfId="117" priority="98" operator="containsText" text="Good">
      <formula>NOT(ISERROR(SEARCH("Good",V28)))</formula>
    </cfRule>
    <cfRule type="containsText" dxfId="116" priority="99" operator="containsText" text="&quot;&quot;">
      <formula>NOT(ISERROR(SEARCH("""""",V28)))</formula>
    </cfRule>
  </conditionalFormatting>
  <conditionalFormatting sqref="CL32">
    <cfRule type="cellIs" dxfId="115" priority="74" operator="equal">
      <formula>0</formula>
    </cfRule>
    <cfRule type="cellIs" dxfId="114" priority="75" operator="equal">
      <formula>1</formula>
    </cfRule>
  </conditionalFormatting>
  <conditionalFormatting sqref="A30">
    <cfRule type="cellIs" dxfId="113" priority="72" operator="equal">
      <formula>0</formula>
    </cfRule>
    <cfRule type="cellIs" dxfId="112" priority="73" operator="greaterThan">
      <formula>0</formula>
    </cfRule>
  </conditionalFormatting>
  <conditionalFormatting sqref="A60 A58 A32">
    <cfRule type="cellIs" dxfId="111" priority="70" operator="equal">
      <formula>0</formula>
    </cfRule>
    <cfRule type="cellIs" dxfId="110" priority="71" operator="greaterThan">
      <formula>0</formula>
    </cfRule>
  </conditionalFormatting>
  <conditionalFormatting sqref="A2">
    <cfRule type="cellIs" dxfId="109" priority="68" operator="equal">
      <formula>0</formula>
    </cfRule>
    <cfRule type="cellIs" dxfId="108" priority="69" operator="greaterThan">
      <formula>0</formula>
    </cfRule>
  </conditionalFormatting>
  <conditionalFormatting sqref="W30:Y30">
    <cfRule type="cellIs" dxfId="107" priority="56" operator="equal">
      <formula>0</formula>
    </cfRule>
    <cfRule type="containsText" dxfId="106" priority="57" operator="containsText" text="Outstanding">
      <formula>NOT(ISERROR(SEARCH("Outstanding",W30)))</formula>
    </cfRule>
    <cfRule type="containsText" dxfId="105" priority="58" operator="containsText" text="Requires Improvement">
      <formula>NOT(ISERROR(SEARCH("Requires Improvement",W30)))</formula>
    </cfRule>
    <cfRule type="containsText" dxfId="104" priority="59" operator="containsText" text="Inadequate">
      <formula>NOT(ISERROR(SEARCH("Inadequate",W30)))</formula>
    </cfRule>
    <cfRule type="containsText" dxfId="103" priority="60" operator="containsText" text="Good">
      <formula>NOT(ISERROR(SEARCH("Good",W30)))</formula>
    </cfRule>
    <cfRule type="containsText" dxfId="102" priority="61" operator="containsText" text="&quot;&quot;">
      <formula>NOT(ISERROR(SEARCH("""""",W30)))</formula>
    </cfRule>
  </conditionalFormatting>
  <conditionalFormatting sqref="V58">
    <cfRule type="cellIs" dxfId="101" priority="50" operator="equal">
      <formula>0</formula>
    </cfRule>
    <cfRule type="containsText" dxfId="100" priority="51" operator="containsText" text="Outstanding">
      <formula>NOT(ISERROR(SEARCH("Outstanding",V58)))</formula>
    </cfRule>
    <cfRule type="containsText" dxfId="99" priority="52" operator="containsText" text="Requires Improvement">
      <formula>NOT(ISERROR(SEARCH("Requires Improvement",V58)))</formula>
    </cfRule>
    <cfRule type="containsText" dxfId="98" priority="53" operator="containsText" text="Inadequate">
      <formula>NOT(ISERROR(SEARCH("Inadequate",V58)))</formula>
    </cfRule>
    <cfRule type="containsText" dxfId="97" priority="54" operator="containsText" text="Good">
      <formula>NOT(ISERROR(SEARCH("Good",V58)))</formula>
    </cfRule>
    <cfRule type="containsText" dxfId="96" priority="55" operator="containsText" text="&quot;&quot;">
      <formula>NOT(ISERROR(SEARCH("""""",V58)))</formula>
    </cfRule>
  </conditionalFormatting>
  <conditionalFormatting sqref="V56:Y56">
    <cfRule type="cellIs" dxfId="95" priority="19" operator="equal">
      <formula>0</formula>
    </cfRule>
    <cfRule type="containsText" dxfId="94" priority="20" operator="containsText" text="Outstanding">
      <formula>NOT(ISERROR(SEARCH("Outstanding",V56)))</formula>
    </cfRule>
    <cfRule type="containsText" dxfId="93" priority="21" operator="containsText" text="Requires Improvement">
      <formula>NOT(ISERROR(SEARCH("Requires Improvement",V56)))</formula>
    </cfRule>
    <cfRule type="containsText" dxfId="92" priority="22" operator="containsText" text="Inadequate">
      <formula>NOT(ISERROR(SEARCH("Inadequate",V56)))</formula>
    </cfRule>
    <cfRule type="containsText" dxfId="91" priority="23" operator="containsText" text="Good">
      <formula>NOT(ISERROR(SEARCH("Good",V56)))</formula>
    </cfRule>
    <cfRule type="containsText" dxfId="90" priority="24" operator="containsText" text="&quot;&quot;">
      <formula>NOT(ISERROR(SEARCH("""""",V56)))</formula>
    </cfRule>
  </conditionalFormatting>
  <conditionalFormatting sqref="W58">
    <cfRule type="cellIs" dxfId="89" priority="13" operator="equal">
      <formula>0</formula>
    </cfRule>
    <cfRule type="containsText" dxfId="88" priority="14" operator="containsText" text="Outstanding">
      <formula>NOT(ISERROR(SEARCH("Outstanding",W58)))</formula>
    </cfRule>
    <cfRule type="containsText" dxfId="87" priority="15" operator="containsText" text="Requires Improvement">
      <formula>NOT(ISERROR(SEARCH("Requires Improvement",W58)))</formula>
    </cfRule>
    <cfRule type="containsText" dxfId="86" priority="16" operator="containsText" text="Inadequate">
      <formula>NOT(ISERROR(SEARCH("Inadequate",W58)))</formula>
    </cfRule>
    <cfRule type="containsText" dxfId="85" priority="17" operator="containsText" text="Good">
      <formula>NOT(ISERROR(SEARCH("Good",W58)))</formula>
    </cfRule>
    <cfRule type="containsText" dxfId="84" priority="18" operator="containsText" text="&quot;&quot;">
      <formula>NOT(ISERROR(SEARCH("""""",W58)))</formula>
    </cfRule>
  </conditionalFormatting>
  <conditionalFormatting sqref="X58">
    <cfRule type="cellIs" dxfId="83" priority="7" operator="equal">
      <formula>0</formula>
    </cfRule>
    <cfRule type="containsText" dxfId="82" priority="8" operator="containsText" text="Outstanding">
      <formula>NOT(ISERROR(SEARCH("Outstanding",X58)))</formula>
    </cfRule>
    <cfRule type="containsText" dxfId="81" priority="9" operator="containsText" text="Requires Improvement">
      <formula>NOT(ISERROR(SEARCH("Requires Improvement",X58)))</formula>
    </cfRule>
    <cfRule type="containsText" dxfId="80" priority="10" operator="containsText" text="Inadequate">
      <formula>NOT(ISERROR(SEARCH("Inadequate",X58)))</formula>
    </cfRule>
    <cfRule type="containsText" dxfId="79" priority="11" operator="containsText" text="Good">
      <formula>NOT(ISERROR(SEARCH("Good",X58)))</formula>
    </cfRule>
    <cfRule type="containsText" dxfId="78" priority="12" operator="containsText" text="&quot;&quot;">
      <formula>NOT(ISERROR(SEARCH("""""",X58)))</formula>
    </cfRule>
  </conditionalFormatting>
  <conditionalFormatting sqref="Y58">
    <cfRule type="cellIs" dxfId="77" priority="1" operator="equal">
      <formula>0</formula>
    </cfRule>
    <cfRule type="containsText" dxfId="76" priority="2" operator="containsText" text="Outstanding">
      <formula>NOT(ISERROR(SEARCH("Outstanding",Y58)))</formula>
    </cfRule>
    <cfRule type="containsText" dxfId="75" priority="3" operator="containsText" text="Requires Improvement">
      <formula>NOT(ISERROR(SEARCH("Requires Improvement",Y58)))</formula>
    </cfRule>
    <cfRule type="containsText" dxfId="74" priority="4" operator="containsText" text="Inadequate">
      <formula>NOT(ISERROR(SEARCH("Inadequate",Y58)))</formula>
    </cfRule>
    <cfRule type="containsText" dxfId="73" priority="5" operator="containsText" text="Good">
      <formula>NOT(ISERROR(SEARCH("Good",Y58)))</formula>
    </cfRule>
    <cfRule type="containsText" dxfId="72" priority="6" operator="containsText" text="&quot;&quot;">
      <formula>NOT(ISERROR(SEARCH("""""",Y58)))</formula>
    </cfRule>
  </conditionalFormatting>
  <dataValidations count="6">
    <dataValidation allowBlank="1" showInputMessage="1" promptTitle="Reconciliation to 12 year " prompt="This checks that the monthly amounts match the annual amounts on the 4 Year timeline._x000a__x000a_This check is only applied to line items set to &quot;Annual&quot; via the dropdown menu in column G. See the Differences section (columns CI - CK) if errors are flagged." sqref="CL7" xr:uid="{61AC9287-F545-4AB7-B63E-1853C38BB74C}"/>
    <dataValidation allowBlank="1" showInputMessage="1" promptTitle="Self Assessment Check prior year" prompt="This checks that the self assessment selected for the prior year is a valid input, i.e. it is &quot;Outstanding&quot;, &quot;Good&quot;, &quot;Requires Improvement&quot; or &quot;Inadequate&quot;._x000a__x000a_Self-assessment is optional and should be applied if it differs from the calculated FH grade." sqref="CM7" xr:uid="{3987FB67-8838-449F-99D0-01AE5A7E996C}"/>
    <dataValidation allowBlank="1" showInputMessage="1" promptTitle="Self Assessment Narrative" prompt="Please provide self-assessment narrative if self-assessment has been applied. _x000a__x000a_If self-assessment grades are selected but no narrative is provided to support them, the check will be triggered." sqref="B32 B60" xr:uid="{2D512CEA-8770-4F63-A31C-E8E355CDC339}"/>
    <dataValidation allowBlank="1" showInputMessage="1" promptTitle="Self Assessment " prompt="College self-assessment is optional and should be applied if it differs from the calculated &quot;Financial health grade - auto grade&quot; above." sqref="B58" xr:uid="{8E309BFE-6428-4BD1-AF5D-9D9FE5801E7A}"/>
    <dataValidation allowBlank="1" showInputMessage="1" promptTitle="Self Assessment " prompt="In certain circumstances you may propose a moderation to the college's automated financial health grade. _x000a__x000a_If so, please use the dropdown menu to select the proposed grade and provide further detail in the narrative box below." sqref="B30" xr:uid="{9051367A-7C02-46B9-B478-4DC77B892F45}"/>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261BF7A3-5CB6-4F72-8535-0C97687ECAFF}"/>
  </dataValidations>
  <pageMargins left="0.70866141732283472" right="0.70866141732283472" top="0.74803149606299213" bottom="0.74803149606299213" header="0.31496062992125984" footer="0.31496062992125984"/>
  <pageSetup paperSize="8" scale="7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1" id="{03665772-6F3F-49B4-BD4C-99DAE8F242E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E1426D0-CFD8-41AC-81B6-2AACD41441B7}">
          <x14:formula1>
            <xm:f>Parameters!$D$88:$D$91</xm:f>
          </x14:formula1>
          <xm:sqref>V30:Y30 V58:Y58</xm:sqref>
        </x14:dataValidation>
        <x14:dataValidation type="list" allowBlank="1" showInputMessage="1" showErrorMessage="1" xr:uid="{6EEA2264-F2BF-4486-9F6E-375869780FE5}">
          <x14:formula1>
            <xm:f>'Dash Data'!$D$93:$D$100</xm:f>
          </x14:formula1>
          <xm:sqref>D2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6168D-9976-4F80-A856-A2FB443D4185}">
  <sheetPr codeName="Sheet22">
    <tabColor rgb="FF00B0F0"/>
    <outlinePr summaryBelow="0" summaryRight="0"/>
    <pageSetUpPr autoPageBreaks="0"/>
  </sheetPr>
  <dimension ref="A1:EX103"/>
  <sheetViews>
    <sheetView showGridLines="0" zoomScaleNormal="100" workbookViewId="0">
      <pane xSplit="8" ySplit="7" topLeftCell="AB17" activePane="bottomRight" state="frozen"/>
      <selection pane="topRight"/>
      <selection pane="bottomLeft"/>
      <selection pane="bottomRight"/>
    </sheetView>
  </sheetViews>
  <sheetFormatPr defaultColWidth="8.5703125" defaultRowHeight="15" outlineLevelCol="1" x14ac:dyDescent="0.25"/>
  <cols>
    <col min="1" max="1" width="6.5703125" style="67" bestFit="1" customWidth="1" collapsed="1"/>
    <col min="2" max="3" width="9.42578125" style="67" bestFit="1" customWidth="1"/>
    <col min="4" max="4" width="48.42578125" style="67" customWidth="1"/>
    <col min="5" max="5" width="2" style="1" customWidth="1" outlineLevel="1"/>
    <col min="6" max="6" width="1.5703125" style="67" customWidth="1"/>
    <col min="7" max="8" width="2" style="67" bestFit="1" customWidth="1" outlineLevel="1"/>
    <col min="9" max="9" width="2" style="67" bestFit="1" customWidth="1"/>
    <col min="10" max="10" width="2" style="67" bestFit="1" customWidth="1" collapsed="1"/>
    <col min="11" max="18" width="8.5703125" style="67" hidden="1" customWidth="1" outlineLevel="1"/>
    <col min="19" max="19" width="11.42578125" style="67" hidden="1" customWidth="1" outlineLevel="1"/>
    <col min="20" max="21" width="11.140625" style="67" hidden="1" customWidth="1" outlineLevel="1"/>
    <col min="22" max="25" width="11.140625" style="67" customWidth="1"/>
    <col min="26" max="26" width="1.42578125" style="67" customWidth="1"/>
    <col min="27" max="62" width="11.140625" style="67" customWidth="1"/>
    <col min="63" max="63" width="1.42578125" style="67" customWidth="1"/>
    <col min="64" max="75" width="11.140625" style="67" customWidth="1"/>
    <col min="76" max="76" width="1.42578125" style="67" customWidth="1"/>
    <col min="77" max="77" width="3.42578125" style="335" customWidth="1"/>
    <col min="78" max="78" width="13.42578125" style="335" customWidth="1"/>
    <col min="79" max="79" width="3.42578125" style="67" customWidth="1"/>
    <col min="80" max="80" width="13.42578125" style="67" customWidth="1"/>
    <col min="81" max="81" width="2.5703125" style="67" customWidth="1"/>
    <col min="82" max="152" width="8.5703125" style="67"/>
    <col min="153" max="153" width="8.5703125" style="67" collapsed="1"/>
    <col min="154" max="154" width="46.42578125" style="67" hidden="1" customWidth="1" outlineLevel="1"/>
    <col min="155" max="16384" width="8.5703125" style="67"/>
  </cols>
  <sheetData>
    <row r="1" spans="1:154" x14ac:dyDescent="0.25">
      <c r="A1" s="7">
        <f ca="1">ToC!A1</f>
        <v>0</v>
      </c>
      <c r="B1" s="14" t="s">
        <v>725</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335" t="s">
        <v>1561</v>
      </c>
      <c r="CA1" s="575"/>
      <c r="CB1" s="67" t="s">
        <v>943</v>
      </c>
      <c r="CC1" s="575"/>
      <c r="EX1" s="5" t="s">
        <v>1563</v>
      </c>
    </row>
    <row r="2" spans="1:154" ht="14.45" customHeight="1" x14ac:dyDescent="0.25">
      <c r="A2" s="362" cm="1">
        <f t="array" aca="1" ref="A2" ca="1">HYPERLINK(CONCATENATE("#",CELL("address",IF(SUM(A$7:A$102)=0,$A$2,INDEX(A$7:A$102,MATCH(1,A$7:A$102,0))))),SUM(A$7:A$102))</f>
        <v>0</v>
      </c>
      <c r="B2" s="92" t="str" cm="1">
        <f t="array" aca="1" ref="B2" ca="1">HYPERLINK(CONCATENATE("#",CELL("address",Guide!$C$124)),Guide!$B$1)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CA2" s="575"/>
      <c r="CB2" s="595" t="s">
        <v>2300</v>
      </c>
      <c r="CC2" s="575"/>
      <c r="EX2" s="335"/>
    </row>
    <row r="3" spans="1:154" x14ac:dyDescent="0.25">
      <c r="A3" s="92" t="str" cm="1">
        <f t="array" aca="1" ref="A3" ca="1">HYPERLINK(CONCATENATE("#",CELL("address",ToC!$A$1)),ToC!$C$1)</f>
        <v>ToC</v>
      </c>
      <c r="B3" s="14"/>
      <c r="C3" s="14"/>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CA3" s="575"/>
      <c r="CB3" s="595"/>
      <c r="CC3" s="575"/>
      <c r="EX3" s="335"/>
    </row>
    <row r="4" spans="1:154" x14ac:dyDescent="0.25">
      <c r="A4" s="14"/>
      <c r="B4" s="14"/>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6"/>
      <c r="CA4" s="575"/>
      <c r="CB4" s="595"/>
      <c r="CC4" s="575"/>
      <c r="EX4" s="335"/>
    </row>
    <row r="5" spans="1:154" x14ac:dyDescent="0.25">
      <c r="A5" s="14"/>
      <c r="B5" s="14"/>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6"/>
      <c r="CA5" s="575"/>
      <c r="CB5" s="595"/>
      <c r="CC5" s="575"/>
      <c r="EX5" s="335"/>
    </row>
    <row r="6" spans="1:154" x14ac:dyDescent="0.25">
      <c r="A6" s="80" t="str" cm="1">
        <f t="array" aca="1" ref="A6" ca="1">HYPERLINK(CONCATENATE("#",CELL("address",CA7)),"Check")</f>
        <v>Check</v>
      </c>
      <c r="B6" s="14"/>
      <c r="C6" s="14" t="str">
        <f>Template!$C$6</f>
        <v>Ref. No.</v>
      </c>
      <c r="D6" s="26" t="s">
        <v>5</v>
      </c>
      <c r="E6" s="14"/>
      <c r="F6" s="14"/>
      <c r="G6" s="14"/>
      <c r="H6" s="14"/>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576"/>
      <c r="CA6" s="575"/>
      <c r="CB6" s="595"/>
      <c r="CC6" s="575"/>
      <c r="EX6" s="335"/>
    </row>
    <row r="7" spans="1:154" x14ac:dyDescent="0.25">
      <c r="B7" s="139" t="s">
        <v>2494</v>
      </c>
      <c r="D7" s="1"/>
      <c r="E7" s="67"/>
      <c r="BM7" s="6"/>
      <c r="BY7" s="42"/>
      <c r="CA7" s="42"/>
      <c r="CC7" s="42"/>
      <c r="EX7" s="335"/>
    </row>
    <row r="8" spans="1:154" s="335" customFormat="1" ht="8.1" customHeight="1" x14ac:dyDescent="0.25">
      <c r="A8" s="157"/>
      <c r="B8" s="157"/>
      <c r="C8" s="157"/>
      <c r="D8" s="158"/>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42"/>
      <c r="CA8" s="42"/>
      <c r="CC8" s="42"/>
      <c r="EX8" s="10" t="str">
        <f t="shared" ref="EX8:EX91" si="0">IF($C8="","",$D8)</f>
        <v/>
      </c>
    </row>
    <row r="9" spans="1:154" ht="14.1" customHeight="1" x14ac:dyDescent="0.25">
      <c r="A9" s="40"/>
      <c r="B9" s="40"/>
      <c r="C9" s="40"/>
      <c r="D9" s="40" t="s">
        <v>642</v>
      </c>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2"/>
      <c r="CA9" s="42"/>
      <c r="CC9" s="42"/>
      <c r="EX9" s="10" t="str">
        <f t="shared" si="0"/>
        <v/>
      </c>
    </row>
    <row r="10" spans="1:154" ht="8.1" customHeight="1" x14ac:dyDescent="0.25">
      <c r="A10" s="157"/>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42"/>
      <c r="CA10" s="42"/>
      <c r="CC10" s="42"/>
      <c r="EX10" s="10" t="str">
        <f t="shared" si="0"/>
        <v/>
      </c>
    </row>
    <row r="11" spans="1:154" ht="14.1" customHeight="1" x14ac:dyDescent="0.25">
      <c r="A11" s="157"/>
      <c r="B11" s="157"/>
      <c r="C11" s="157"/>
      <c r="D11" s="157"/>
      <c r="E11" s="158"/>
      <c r="F11" s="157"/>
      <c r="G11" s="157"/>
      <c r="H11" s="157"/>
      <c r="I11" s="157"/>
      <c r="J11" s="157"/>
      <c r="K11" s="157"/>
      <c r="L11" s="157"/>
      <c r="M11" s="157"/>
      <c r="N11" s="157"/>
      <c r="O11" s="157"/>
      <c r="P11" s="157"/>
      <c r="Q11" s="157"/>
      <c r="R11" s="157"/>
      <c r="S11" s="248"/>
      <c r="T11" s="248"/>
      <c r="U11" s="248"/>
      <c r="V11" s="248"/>
      <c r="W11" s="248"/>
      <c r="X11" s="248"/>
      <c r="Y11" s="248"/>
      <c r="Z11" s="248"/>
      <c r="AA11" s="248"/>
      <c r="AB11" s="248"/>
      <c r="AC11" s="248"/>
      <c r="AD11" s="248"/>
      <c r="AE11" s="248"/>
      <c r="AF11" s="248"/>
      <c r="AG11" s="248"/>
      <c r="AH11" s="248"/>
      <c r="AI11" s="248"/>
      <c r="AJ11" s="248"/>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42"/>
      <c r="CA11" s="42"/>
      <c r="CC11" s="42"/>
      <c r="EX11" s="10" t="str">
        <f t="shared" si="0"/>
        <v/>
      </c>
    </row>
    <row r="12" spans="1:154" ht="14.1" customHeight="1" x14ac:dyDescent="0.25">
      <c r="A12" s="157"/>
      <c r="B12" s="157"/>
      <c r="C12" s="157"/>
      <c r="D12" s="157"/>
      <c r="E12" s="158"/>
      <c r="F12" s="157"/>
      <c r="G12" s="157"/>
      <c r="H12" s="157"/>
      <c r="I12" s="157"/>
      <c r="J12" s="157"/>
      <c r="K12" s="157"/>
      <c r="L12" s="157"/>
      <c r="M12" s="157"/>
      <c r="N12" s="157"/>
      <c r="O12" s="157"/>
      <c r="P12" s="157"/>
      <c r="Q12" s="157"/>
      <c r="R12" s="157"/>
      <c r="S12" s="248"/>
      <c r="T12" s="248"/>
      <c r="U12" s="248"/>
      <c r="V12" s="248"/>
      <c r="W12" s="248"/>
      <c r="X12" s="248"/>
      <c r="Y12" s="248"/>
      <c r="Z12" s="248"/>
      <c r="AA12" s="248"/>
      <c r="AB12" s="248"/>
      <c r="AC12" s="248"/>
      <c r="AD12" s="248"/>
      <c r="AE12" s="248"/>
      <c r="AF12" s="248"/>
      <c r="AG12" s="248"/>
      <c r="AH12" s="248"/>
      <c r="AI12" s="248"/>
      <c r="AJ12" s="248"/>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42"/>
      <c r="CA12" s="42"/>
      <c r="CC12" s="42"/>
      <c r="EX12" s="10" t="str">
        <f t="shared" si="0"/>
        <v/>
      </c>
    </row>
    <row r="13" spans="1:154" ht="14.1" customHeight="1" x14ac:dyDescent="0.3">
      <c r="A13" s="157"/>
      <c r="B13" s="157"/>
      <c r="C13" s="157"/>
      <c r="D13" s="157"/>
      <c r="E13" s="158"/>
      <c r="F13" s="157"/>
      <c r="G13" s="157"/>
      <c r="H13" s="157"/>
      <c r="I13" s="157"/>
      <c r="J13" s="157"/>
      <c r="K13" s="157"/>
      <c r="L13" s="157"/>
      <c r="M13" s="157"/>
      <c r="N13" s="157"/>
      <c r="O13" s="157"/>
      <c r="P13" s="157"/>
      <c r="Q13" s="157"/>
      <c r="R13" s="157"/>
      <c r="S13" s="248"/>
      <c r="T13" s="248"/>
      <c r="U13" s="248"/>
      <c r="V13" s="248"/>
      <c r="W13" s="248"/>
      <c r="X13" s="248"/>
      <c r="Y13" s="249"/>
      <c r="Z13" s="248"/>
      <c r="AA13" s="248"/>
      <c r="AB13" s="248"/>
      <c r="AC13" s="248"/>
      <c r="AD13" s="248"/>
      <c r="AE13" s="248"/>
      <c r="AF13" s="248"/>
      <c r="AG13" s="248"/>
      <c r="AH13" s="248"/>
      <c r="AI13" s="248"/>
      <c r="AJ13" s="248"/>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42"/>
      <c r="CA13" s="42"/>
      <c r="CC13" s="42"/>
      <c r="EX13" s="10" t="str">
        <f t="shared" si="0"/>
        <v/>
      </c>
    </row>
    <row r="14" spans="1:154" ht="14.1" customHeight="1" x14ac:dyDescent="0.25">
      <c r="A14" s="157"/>
      <c r="B14" s="157"/>
      <c r="C14" s="157"/>
      <c r="D14" s="157"/>
      <c r="E14" s="158"/>
      <c r="F14" s="157"/>
      <c r="G14" s="157"/>
      <c r="H14" s="157"/>
      <c r="I14" s="157"/>
      <c r="J14" s="157"/>
      <c r="K14" s="157"/>
      <c r="L14" s="157"/>
      <c r="M14" s="157"/>
      <c r="N14" s="157"/>
      <c r="O14" s="157"/>
      <c r="P14" s="157"/>
      <c r="Q14" s="157"/>
      <c r="R14" s="157"/>
      <c r="S14" s="248"/>
      <c r="T14" s="248"/>
      <c r="U14" s="248"/>
      <c r="V14" s="248"/>
      <c r="W14" s="248"/>
      <c r="X14" s="248"/>
      <c r="Y14" s="248"/>
      <c r="Z14" s="248"/>
      <c r="AA14" s="248"/>
      <c r="AB14" s="248"/>
      <c r="AC14" s="248"/>
      <c r="AD14" s="248"/>
      <c r="AE14" s="248"/>
      <c r="AF14" s="248"/>
      <c r="AG14" s="248"/>
      <c r="AH14" s="248"/>
      <c r="AI14" s="248"/>
      <c r="AJ14" s="248"/>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42"/>
      <c r="CA14" s="42"/>
      <c r="CC14" s="42"/>
      <c r="EX14" s="10" t="str">
        <f t="shared" si="0"/>
        <v/>
      </c>
    </row>
    <row r="15" spans="1:154" ht="14.1" customHeight="1" x14ac:dyDescent="0.25">
      <c r="A15" s="157"/>
      <c r="B15" s="157"/>
      <c r="C15" s="157"/>
      <c r="D15" s="157"/>
      <c r="E15" s="158"/>
      <c r="F15" s="157"/>
      <c r="G15" s="157"/>
      <c r="H15" s="157"/>
      <c r="I15" s="157"/>
      <c r="J15" s="157"/>
      <c r="K15" s="157"/>
      <c r="L15" s="157"/>
      <c r="M15" s="157"/>
      <c r="N15" s="157"/>
      <c r="O15" s="157"/>
      <c r="P15" s="157"/>
      <c r="Q15" s="157"/>
      <c r="R15" s="157"/>
      <c r="S15" s="248"/>
      <c r="T15" s="248"/>
      <c r="U15" s="248"/>
      <c r="V15" s="248"/>
      <c r="W15" s="248"/>
      <c r="X15" s="248"/>
      <c r="Y15" s="248"/>
      <c r="Z15" s="248"/>
      <c r="AA15" s="248"/>
      <c r="AB15" s="248"/>
      <c r="AC15" s="248"/>
      <c r="AD15" s="248"/>
      <c r="AE15" s="248"/>
      <c r="AF15" s="248"/>
      <c r="AG15" s="248"/>
      <c r="AH15" s="248"/>
      <c r="AI15" s="248"/>
      <c r="AJ15" s="248"/>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42"/>
      <c r="CA15" s="42"/>
      <c r="CC15" s="42"/>
      <c r="EX15" s="10" t="str">
        <f t="shared" si="0"/>
        <v/>
      </c>
    </row>
    <row r="16" spans="1:154" ht="14.1" customHeight="1" x14ac:dyDescent="0.25">
      <c r="A16" s="157"/>
      <c r="B16" s="157"/>
      <c r="C16" s="157"/>
      <c r="D16" s="157"/>
      <c r="E16" s="158"/>
      <c r="F16" s="157"/>
      <c r="G16" s="157"/>
      <c r="H16" s="157"/>
      <c r="I16" s="157"/>
      <c r="J16" s="157"/>
      <c r="K16" s="157"/>
      <c r="L16" s="157"/>
      <c r="M16" s="157"/>
      <c r="N16" s="157"/>
      <c r="O16" s="157"/>
      <c r="P16" s="157"/>
      <c r="Q16" s="157"/>
      <c r="R16" s="157"/>
      <c r="S16" s="248"/>
      <c r="T16" s="248"/>
      <c r="U16" s="248"/>
      <c r="V16" s="248"/>
      <c r="W16" s="248"/>
      <c r="X16" s="248"/>
      <c r="Y16" s="248"/>
      <c r="Z16" s="248"/>
      <c r="AA16" s="248"/>
      <c r="AB16" s="248"/>
      <c r="AC16" s="248"/>
      <c r="AD16" s="248"/>
      <c r="AE16" s="248"/>
      <c r="AF16" s="248"/>
      <c r="AG16" s="248"/>
      <c r="AH16" s="248"/>
      <c r="AI16" s="248"/>
      <c r="AJ16" s="248"/>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42"/>
      <c r="CA16" s="42"/>
      <c r="CC16" s="42"/>
      <c r="EX16" s="10" t="str">
        <f t="shared" si="0"/>
        <v/>
      </c>
    </row>
    <row r="17" spans="1:154" ht="14.1" customHeight="1" x14ac:dyDescent="0.25">
      <c r="A17" s="157"/>
      <c r="B17" s="157"/>
      <c r="C17" s="157"/>
      <c r="D17" s="157"/>
      <c r="E17" s="158"/>
      <c r="F17" s="157"/>
      <c r="G17" s="157"/>
      <c r="H17" s="157"/>
      <c r="I17" s="157"/>
      <c r="J17" s="157"/>
      <c r="K17" s="157"/>
      <c r="L17" s="157"/>
      <c r="M17" s="157"/>
      <c r="N17" s="157"/>
      <c r="O17" s="157"/>
      <c r="P17" s="157"/>
      <c r="Q17" s="157"/>
      <c r="R17" s="157"/>
      <c r="S17" s="248"/>
      <c r="T17" s="248"/>
      <c r="U17" s="248"/>
      <c r="V17" s="248"/>
      <c r="W17" s="248"/>
      <c r="X17" s="248"/>
      <c r="Y17" s="248"/>
      <c r="Z17" s="248"/>
      <c r="AA17" s="248"/>
      <c r="AB17" s="248"/>
      <c r="AC17" s="248"/>
      <c r="AD17" s="248"/>
      <c r="AE17" s="248"/>
      <c r="AF17" s="248"/>
      <c r="AG17" s="248"/>
      <c r="AH17" s="248"/>
      <c r="AI17" s="248"/>
      <c r="AJ17" s="248"/>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42"/>
      <c r="CA17" s="42"/>
      <c r="CC17" s="42"/>
      <c r="EX17" s="10" t="str">
        <f t="shared" si="0"/>
        <v/>
      </c>
    </row>
    <row r="18" spans="1:154" ht="14.1" customHeight="1" x14ac:dyDescent="0.25">
      <c r="A18" s="157"/>
      <c r="B18" s="157"/>
      <c r="C18" s="157"/>
      <c r="D18" s="157"/>
      <c r="E18" s="158"/>
      <c r="F18" s="157"/>
      <c r="G18" s="157"/>
      <c r="H18" s="157"/>
      <c r="I18" s="157"/>
      <c r="J18" s="157"/>
      <c r="K18" s="157"/>
      <c r="L18" s="157"/>
      <c r="M18" s="157"/>
      <c r="N18" s="157"/>
      <c r="O18" s="157"/>
      <c r="P18" s="157"/>
      <c r="Q18" s="157"/>
      <c r="R18" s="157"/>
      <c r="S18" s="248"/>
      <c r="T18" s="248"/>
      <c r="U18" s="248"/>
      <c r="V18" s="248"/>
      <c r="W18" s="248"/>
      <c r="X18" s="248"/>
      <c r="Y18" s="248"/>
      <c r="Z18" s="248"/>
      <c r="AA18" s="248"/>
      <c r="AB18" s="248"/>
      <c r="AC18" s="248"/>
      <c r="AD18" s="248"/>
      <c r="AE18" s="248"/>
      <c r="AF18" s="248"/>
      <c r="AG18" s="248"/>
      <c r="AH18" s="248"/>
      <c r="AI18" s="248"/>
      <c r="AJ18" s="248"/>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42"/>
      <c r="CA18" s="42"/>
      <c r="CC18" s="42"/>
      <c r="EX18" s="10" t="str">
        <f t="shared" si="0"/>
        <v/>
      </c>
    </row>
    <row r="19" spans="1:154" ht="14.1" customHeight="1" x14ac:dyDescent="0.25">
      <c r="A19" s="157"/>
      <c r="B19" s="157"/>
      <c r="C19" s="157"/>
      <c r="D19" s="157"/>
      <c r="E19" s="158"/>
      <c r="F19" s="157"/>
      <c r="G19" s="157"/>
      <c r="H19" s="157"/>
      <c r="I19" s="157"/>
      <c r="J19" s="157"/>
      <c r="K19" s="157"/>
      <c r="L19" s="157"/>
      <c r="M19" s="157"/>
      <c r="N19" s="157"/>
      <c r="O19" s="157"/>
      <c r="P19" s="157"/>
      <c r="Q19" s="157"/>
      <c r="R19" s="157"/>
      <c r="S19" s="248"/>
      <c r="T19" s="248"/>
      <c r="U19" s="248"/>
      <c r="V19" s="248"/>
      <c r="W19" s="248"/>
      <c r="X19" s="248"/>
      <c r="Y19" s="248"/>
      <c r="Z19" s="248"/>
      <c r="AA19" s="248"/>
      <c r="AB19" s="248"/>
      <c r="AC19" s="248"/>
      <c r="AD19" s="248"/>
      <c r="AE19" s="248"/>
      <c r="AF19" s="248"/>
      <c r="AG19" s="248"/>
      <c r="AH19" s="248"/>
      <c r="AI19" s="248"/>
      <c r="AJ19" s="248"/>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42"/>
      <c r="CA19" s="42"/>
      <c r="CC19" s="42"/>
      <c r="EX19" s="10" t="str">
        <f t="shared" si="0"/>
        <v/>
      </c>
    </row>
    <row r="20" spans="1:154" ht="14.1" customHeight="1" x14ac:dyDescent="0.25">
      <c r="A20" s="157"/>
      <c r="B20" s="157"/>
      <c r="C20" s="157"/>
      <c r="D20" s="157"/>
      <c r="E20" s="158"/>
      <c r="F20" s="157"/>
      <c r="G20" s="157"/>
      <c r="H20" s="157"/>
      <c r="I20" s="157"/>
      <c r="J20" s="157"/>
      <c r="K20" s="157"/>
      <c r="L20" s="157"/>
      <c r="M20" s="157"/>
      <c r="N20" s="157"/>
      <c r="O20" s="157"/>
      <c r="P20" s="157"/>
      <c r="Q20" s="157"/>
      <c r="R20" s="157"/>
      <c r="S20" s="248"/>
      <c r="T20" s="248"/>
      <c r="U20" s="248"/>
      <c r="V20" s="248"/>
      <c r="W20" s="248"/>
      <c r="X20" s="248"/>
      <c r="Y20" s="248"/>
      <c r="Z20" s="248"/>
      <c r="AA20" s="248"/>
      <c r="AB20" s="248"/>
      <c r="AC20" s="248"/>
      <c r="AD20" s="248"/>
      <c r="AE20" s="248"/>
      <c r="AF20" s="248"/>
      <c r="AG20" s="248"/>
      <c r="AH20" s="248"/>
      <c r="AI20" s="248"/>
      <c r="AJ20" s="248"/>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42"/>
      <c r="CA20" s="42"/>
      <c r="CC20" s="42"/>
      <c r="EX20" s="10" t="str">
        <f t="shared" si="0"/>
        <v/>
      </c>
    </row>
    <row r="21" spans="1:154" ht="14.1" customHeight="1" x14ac:dyDescent="0.25">
      <c r="A21" s="157"/>
      <c r="B21" s="157"/>
      <c r="C21" s="157"/>
      <c r="D21" s="157"/>
      <c r="E21" s="158"/>
      <c r="F21" s="157"/>
      <c r="G21" s="157"/>
      <c r="H21" s="157"/>
      <c r="I21" s="157"/>
      <c r="J21" s="157"/>
      <c r="K21" s="157"/>
      <c r="L21" s="157"/>
      <c r="M21" s="157"/>
      <c r="N21" s="157"/>
      <c r="O21" s="157"/>
      <c r="P21" s="157"/>
      <c r="Q21" s="157"/>
      <c r="R21" s="157"/>
      <c r="S21" s="248"/>
      <c r="T21" s="248"/>
      <c r="U21" s="248"/>
      <c r="V21" s="248"/>
      <c r="W21" s="248"/>
      <c r="X21" s="248"/>
      <c r="Y21" s="248"/>
      <c r="Z21" s="248"/>
      <c r="AA21" s="248"/>
      <c r="AB21" s="248"/>
      <c r="AC21" s="248"/>
      <c r="AD21" s="248"/>
      <c r="AE21" s="248"/>
      <c r="AF21" s="248"/>
      <c r="AG21" s="248"/>
      <c r="AH21" s="248"/>
      <c r="AI21" s="248"/>
      <c r="AJ21" s="248"/>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42"/>
      <c r="CA21" s="42"/>
      <c r="CC21" s="42"/>
      <c r="EX21" s="10" t="str">
        <f t="shared" si="0"/>
        <v/>
      </c>
    </row>
    <row r="22" spans="1:154" ht="14.1" customHeight="1" x14ac:dyDescent="0.25">
      <c r="A22" s="157"/>
      <c r="B22" s="157"/>
      <c r="C22" s="157"/>
      <c r="D22" s="157"/>
      <c r="E22" s="158"/>
      <c r="F22" s="157"/>
      <c r="G22" s="157"/>
      <c r="H22" s="157"/>
      <c r="I22" s="157"/>
      <c r="J22" s="157"/>
      <c r="K22" s="157"/>
      <c r="L22" s="157"/>
      <c r="M22" s="157"/>
      <c r="N22" s="157"/>
      <c r="O22" s="157"/>
      <c r="P22" s="157"/>
      <c r="Q22" s="157"/>
      <c r="R22" s="157"/>
      <c r="S22" s="248"/>
      <c r="T22" s="248"/>
      <c r="U22" s="248"/>
      <c r="V22" s="248"/>
      <c r="W22" s="248"/>
      <c r="X22" s="248"/>
      <c r="Y22" s="248"/>
      <c r="Z22" s="248"/>
      <c r="AA22" s="248"/>
      <c r="AB22" s="248"/>
      <c r="AC22" s="248"/>
      <c r="AD22" s="248"/>
      <c r="AE22" s="248"/>
      <c r="AF22" s="248"/>
      <c r="AG22" s="248"/>
      <c r="AH22" s="248"/>
      <c r="AI22" s="248"/>
      <c r="AJ22" s="248"/>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42"/>
      <c r="CA22" s="42"/>
      <c r="CC22" s="42"/>
      <c r="EX22" s="10" t="str">
        <f t="shared" si="0"/>
        <v/>
      </c>
    </row>
    <row r="23" spans="1:154" ht="14.1" customHeight="1" x14ac:dyDescent="0.25">
      <c r="A23" s="157"/>
      <c r="B23" s="157"/>
      <c r="C23" s="157"/>
      <c r="D23" s="157"/>
      <c r="E23" s="158"/>
      <c r="F23" s="157"/>
      <c r="G23" s="157"/>
      <c r="H23" s="157"/>
      <c r="I23" s="157"/>
      <c r="J23" s="157"/>
      <c r="K23" s="157"/>
      <c r="L23" s="157"/>
      <c r="M23" s="157"/>
      <c r="N23" s="157"/>
      <c r="O23" s="157"/>
      <c r="P23" s="157"/>
      <c r="Q23" s="157"/>
      <c r="R23" s="157"/>
      <c r="S23" s="248"/>
      <c r="T23" s="248"/>
      <c r="U23" s="248"/>
      <c r="V23" s="248"/>
      <c r="W23" s="248"/>
      <c r="X23" s="248"/>
      <c r="Y23" s="248"/>
      <c r="Z23" s="248"/>
      <c r="AA23" s="248"/>
      <c r="AB23" s="248"/>
      <c r="AC23" s="248"/>
      <c r="AD23" s="248"/>
      <c r="AE23" s="248"/>
      <c r="AF23" s="248"/>
      <c r="AG23" s="248"/>
      <c r="AH23" s="248"/>
      <c r="AI23" s="248"/>
      <c r="AJ23" s="248"/>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42"/>
      <c r="CA23" s="42"/>
      <c r="CC23" s="42"/>
      <c r="EX23" s="10" t="str">
        <f t="shared" si="0"/>
        <v/>
      </c>
    </row>
    <row r="24" spans="1:154" ht="14.1" customHeight="1" x14ac:dyDescent="0.25">
      <c r="A24" s="157"/>
      <c r="B24" s="157"/>
      <c r="C24" s="157"/>
      <c r="D24" s="157"/>
      <c r="E24" s="158"/>
      <c r="F24" s="157"/>
      <c r="G24" s="157"/>
      <c r="H24" s="157"/>
      <c r="I24" s="157"/>
      <c r="J24" s="157"/>
      <c r="K24" s="157"/>
      <c r="L24" s="157"/>
      <c r="M24" s="157"/>
      <c r="N24" s="157"/>
      <c r="O24" s="157"/>
      <c r="P24" s="157"/>
      <c r="Q24" s="157"/>
      <c r="R24" s="157"/>
      <c r="S24" s="248"/>
      <c r="T24" s="248"/>
      <c r="U24" s="248"/>
      <c r="V24" s="248"/>
      <c r="W24" s="248"/>
      <c r="X24" s="248"/>
      <c r="Y24" s="248"/>
      <c r="Z24" s="248"/>
      <c r="AA24" s="248"/>
      <c r="AB24" s="248"/>
      <c r="AC24" s="248"/>
      <c r="AD24" s="248"/>
      <c r="AE24" s="248"/>
      <c r="AF24" s="248"/>
      <c r="AG24" s="248"/>
      <c r="AH24" s="248"/>
      <c r="AI24" s="248"/>
      <c r="AJ24" s="248"/>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42"/>
      <c r="CA24" s="42"/>
      <c r="CC24" s="42"/>
      <c r="EX24" s="10" t="str">
        <f t="shared" si="0"/>
        <v/>
      </c>
    </row>
    <row r="25" spans="1:154" ht="14.1" customHeight="1" x14ac:dyDescent="0.25">
      <c r="A25" s="157"/>
      <c r="B25" s="157"/>
      <c r="C25" s="157"/>
      <c r="D25" s="157"/>
      <c r="E25" s="158"/>
      <c r="F25" s="157"/>
      <c r="G25" s="157"/>
      <c r="H25" s="157"/>
      <c r="I25" s="157"/>
      <c r="J25" s="157"/>
      <c r="K25" s="157"/>
      <c r="L25" s="157"/>
      <c r="M25" s="157"/>
      <c r="N25" s="157"/>
      <c r="O25" s="157"/>
      <c r="P25" s="157"/>
      <c r="Q25" s="157"/>
      <c r="R25" s="157"/>
      <c r="S25" s="248"/>
      <c r="T25" s="248"/>
      <c r="U25" s="248"/>
      <c r="V25" s="248"/>
      <c r="W25" s="248"/>
      <c r="X25" s="248"/>
      <c r="Y25" s="248"/>
      <c r="Z25" s="248"/>
      <c r="AA25" s="248"/>
      <c r="AB25" s="248"/>
      <c r="AC25" s="248"/>
      <c r="AD25" s="248"/>
      <c r="AE25" s="248"/>
      <c r="AF25" s="248"/>
      <c r="AG25" s="248"/>
      <c r="AH25" s="248"/>
      <c r="AI25" s="248"/>
      <c r="AJ25" s="248"/>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42"/>
      <c r="CA25" s="42"/>
      <c r="CC25" s="42"/>
      <c r="EX25" s="10" t="str">
        <f t="shared" si="0"/>
        <v/>
      </c>
    </row>
    <row r="26" spans="1:154" ht="14.1" customHeight="1" x14ac:dyDescent="0.25">
      <c r="A26" s="157"/>
      <c r="B26" s="157"/>
      <c r="C26" s="157"/>
      <c r="D26" s="157"/>
      <c r="E26" s="158"/>
      <c r="F26" s="157"/>
      <c r="G26" s="157"/>
      <c r="H26" s="157"/>
      <c r="I26" s="157"/>
      <c r="J26" s="157"/>
      <c r="K26" s="157"/>
      <c r="L26" s="157"/>
      <c r="M26" s="157"/>
      <c r="N26" s="157"/>
      <c r="O26" s="157"/>
      <c r="P26" s="157"/>
      <c r="Q26" s="157"/>
      <c r="R26" s="157"/>
      <c r="S26" s="248"/>
      <c r="T26" s="248"/>
      <c r="U26" s="248"/>
      <c r="V26" s="248"/>
      <c r="W26" s="248"/>
      <c r="X26" s="248"/>
      <c r="Y26" s="248"/>
      <c r="Z26" s="248"/>
      <c r="AA26" s="248"/>
      <c r="AB26" s="248"/>
      <c r="AC26" s="248"/>
      <c r="AD26" s="248"/>
      <c r="AE26" s="248"/>
      <c r="AF26" s="248"/>
      <c r="AG26" s="248"/>
      <c r="AH26" s="248"/>
      <c r="AI26" s="248"/>
      <c r="AJ26" s="248"/>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42"/>
      <c r="CA26" s="42"/>
      <c r="CC26" s="42"/>
      <c r="EX26" s="10" t="str">
        <f t="shared" si="0"/>
        <v/>
      </c>
    </row>
    <row r="27" spans="1:154" ht="14.1" customHeight="1" x14ac:dyDescent="0.25">
      <c r="A27" s="157"/>
      <c r="B27" s="157"/>
      <c r="C27" s="157"/>
      <c r="D27" s="157"/>
      <c r="E27" s="158"/>
      <c r="F27" s="157"/>
      <c r="G27" s="157"/>
      <c r="H27" s="157"/>
      <c r="I27" s="157"/>
      <c r="J27" s="157"/>
      <c r="K27" s="157"/>
      <c r="L27" s="157"/>
      <c r="M27" s="157"/>
      <c r="N27" s="157"/>
      <c r="O27" s="157"/>
      <c r="P27" s="157"/>
      <c r="Q27" s="157"/>
      <c r="R27" s="157"/>
      <c r="S27" s="248"/>
      <c r="T27" s="248"/>
      <c r="U27" s="248"/>
      <c r="V27" s="248"/>
      <c r="W27" s="248"/>
      <c r="X27" s="248"/>
      <c r="Y27" s="248"/>
      <c r="Z27" s="248"/>
      <c r="AA27" s="248"/>
      <c r="AB27" s="248"/>
      <c r="AC27" s="248"/>
      <c r="AD27" s="248"/>
      <c r="AE27" s="248"/>
      <c r="AF27" s="248"/>
      <c r="AG27" s="248"/>
      <c r="AH27" s="248"/>
      <c r="AI27" s="248"/>
      <c r="AJ27" s="248"/>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42"/>
      <c r="CA27" s="42"/>
      <c r="CC27" s="42"/>
      <c r="EX27" s="10" t="str">
        <f t="shared" si="0"/>
        <v/>
      </c>
    </row>
    <row r="28" spans="1:154" ht="14.1" customHeight="1" x14ac:dyDescent="0.25">
      <c r="A28" s="157"/>
      <c r="B28" s="157"/>
      <c r="C28" s="157"/>
      <c r="D28" s="157"/>
      <c r="E28" s="158"/>
      <c r="F28" s="157"/>
      <c r="G28" s="157"/>
      <c r="H28" s="157"/>
      <c r="I28" s="157"/>
      <c r="J28" s="157"/>
      <c r="K28" s="157"/>
      <c r="L28" s="157"/>
      <c r="M28" s="157"/>
      <c r="N28" s="157"/>
      <c r="O28" s="157"/>
      <c r="P28" s="157"/>
      <c r="Q28" s="157"/>
      <c r="R28" s="157"/>
      <c r="S28" s="248"/>
      <c r="T28" s="248"/>
      <c r="U28" s="248"/>
      <c r="V28" s="248"/>
      <c r="W28" s="248"/>
      <c r="X28" s="248"/>
      <c r="Y28" s="248"/>
      <c r="Z28" s="248"/>
      <c r="AA28" s="248"/>
      <c r="AB28" s="248"/>
      <c r="AC28" s="248"/>
      <c r="AD28" s="248"/>
      <c r="AE28" s="248"/>
      <c r="AF28" s="248"/>
      <c r="AG28" s="248"/>
      <c r="AH28" s="248"/>
      <c r="AI28" s="248"/>
      <c r="AJ28" s="248"/>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42"/>
      <c r="CA28" s="42"/>
      <c r="CC28" s="42"/>
      <c r="EX28" s="10" t="str">
        <f t="shared" si="0"/>
        <v/>
      </c>
    </row>
    <row r="29" spans="1:154" ht="14.1" customHeight="1" x14ac:dyDescent="0.25">
      <c r="A29" s="157"/>
      <c r="B29" s="157"/>
      <c r="C29" s="157"/>
      <c r="D29" s="157"/>
      <c r="E29" s="158"/>
      <c r="F29" s="157"/>
      <c r="G29" s="157"/>
      <c r="H29" s="157"/>
      <c r="I29" s="157"/>
      <c r="J29" s="157"/>
      <c r="K29" s="157"/>
      <c r="L29" s="157"/>
      <c r="M29" s="157"/>
      <c r="N29" s="157"/>
      <c r="O29" s="157"/>
      <c r="P29" s="157"/>
      <c r="Q29" s="157"/>
      <c r="R29" s="157"/>
      <c r="S29" s="248"/>
      <c r="T29" s="248"/>
      <c r="U29" s="248"/>
      <c r="V29" s="248"/>
      <c r="W29" s="248"/>
      <c r="X29" s="248"/>
      <c r="Y29" s="248"/>
      <c r="Z29" s="248"/>
      <c r="AA29" s="248"/>
      <c r="AB29" s="248"/>
      <c r="AC29" s="248"/>
      <c r="AD29" s="248"/>
      <c r="AE29" s="248"/>
      <c r="AF29" s="248"/>
      <c r="AG29" s="248"/>
      <c r="AH29" s="248"/>
      <c r="AI29" s="248"/>
      <c r="AJ29" s="248"/>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42"/>
      <c r="CA29" s="42"/>
      <c r="CC29" s="42"/>
      <c r="EX29" s="10" t="str">
        <f t="shared" si="0"/>
        <v/>
      </c>
    </row>
    <row r="30" spans="1:154" ht="14.1" customHeight="1" x14ac:dyDescent="0.25">
      <c r="A30" s="157"/>
      <c r="B30" s="157"/>
      <c r="C30" s="157"/>
      <c r="D30" s="157"/>
      <c r="E30" s="158"/>
      <c r="F30" s="157"/>
      <c r="G30" s="157"/>
      <c r="H30" s="157"/>
      <c r="I30" s="157"/>
      <c r="J30" s="157"/>
      <c r="K30" s="157"/>
      <c r="L30" s="157"/>
      <c r="M30" s="157"/>
      <c r="N30" s="157"/>
      <c r="O30" s="157"/>
      <c r="P30" s="157"/>
      <c r="Q30" s="157"/>
      <c r="R30" s="157"/>
      <c r="S30" s="248"/>
      <c r="T30" s="248"/>
      <c r="U30" s="248"/>
      <c r="V30" s="248"/>
      <c r="W30" s="248"/>
      <c r="X30" s="248"/>
      <c r="Y30" s="248"/>
      <c r="Z30" s="248"/>
      <c r="AA30" s="248"/>
      <c r="AB30" s="248"/>
      <c r="AC30" s="248"/>
      <c r="AD30" s="248"/>
      <c r="AE30" s="248"/>
      <c r="AF30" s="248"/>
      <c r="AG30" s="248"/>
      <c r="AH30" s="248"/>
      <c r="AI30" s="248"/>
      <c r="AJ30" s="248"/>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42"/>
      <c r="CA30" s="42"/>
      <c r="CC30" s="42"/>
      <c r="EX30" s="10" t="str">
        <f t="shared" si="0"/>
        <v/>
      </c>
    </row>
    <row r="31" spans="1:154" ht="14.1" customHeight="1" x14ac:dyDescent="0.25">
      <c r="A31" s="157"/>
      <c r="B31" s="157"/>
      <c r="C31" s="157"/>
      <c r="D31" s="157"/>
      <c r="E31" s="158"/>
      <c r="F31" s="157"/>
      <c r="G31" s="157"/>
      <c r="H31" s="157"/>
      <c r="I31" s="157"/>
      <c r="J31" s="157"/>
      <c r="K31" s="157"/>
      <c r="L31" s="157"/>
      <c r="M31" s="157"/>
      <c r="N31" s="157"/>
      <c r="O31" s="157"/>
      <c r="P31" s="157"/>
      <c r="Q31" s="157"/>
      <c r="R31" s="157"/>
      <c r="S31" s="248"/>
      <c r="T31" s="248"/>
      <c r="U31" s="248"/>
      <c r="V31" s="248"/>
      <c r="W31" s="248"/>
      <c r="X31" s="248"/>
      <c r="Y31" s="248"/>
      <c r="Z31" s="248"/>
      <c r="AA31" s="248"/>
      <c r="AB31" s="248"/>
      <c r="AC31" s="248"/>
      <c r="AD31" s="248"/>
      <c r="AE31" s="248"/>
      <c r="AF31" s="248"/>
      <c r="AG31" s="248"/>
      <c r="AH31" s="248"/>
      <c r="AI31" s="248"/>
      <c r="AJ31" s="248"/>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42"/>
      <c r="CA31" s="42"/>
      <c r="CC31" s="42"/>
      <c r="EX31" s="10" t="str">
        <f t="shared" si="0"/>
        <v/>
      </c>
    </row>
    <row r="32" spans="1:154" ht="14.1" customHeight="1" x14ac:dyDescent="0.25">
      <c r="A32" s="157"/>
      <c r="B32" s="157"/>
      <c r="C32" s="157"/>
      <c r="D32" s="157"/>
      <c r="E32" s="158"/>
      <c r="F32" s="157"/>
      <c r="G32" s="157"/>
      <c r="H32" s="157"/>
      <c r="I32" s="157"/>
      <c r="J32" s="157"/>
      <c r="K32" s="157"/>
      <c r="L32" s="157"/>
      <c r="M32" s="157"/>
      <c r="N32" s="157"/>
      <c r="O32" s="157"/>
      <c r="P32" s="157"/>
      <c r="Q32" s="157"/>
      <c r="R32" s="157"/>
      <c r="S32" s="248"/>
      <c r="T32" s="248"/>
      <c r="U32" s="248"/>
      <c r="V32" s="248"/>
      <c r="W32" s="248"/>
      <c r="X32" s="248"/>
      <c r="Y32" s="248"/>
      <c r="Z32" s="248"/>
      <c r="AA32" s="248"/>
      <c r="AB32" s="248"/>
      <c r="AC32" s="248"/>
      <c r="AD32" s="248"/>
      <c r="AE32" s="248"/>
      <c r="AF32" s="248"/>
      <c r="AG32" s="248"/>
      <c r="AH32" s="248"/>
      <c r="AI32" s="248"/>
      <c r="AJ32" s="248"/>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42"/>
      <c r="CA32" s="42"/>
      <c r="CC32" s="42"/>
      <c r="EX32" s="10" t="str">
        <f t="shared" si="0"/>
        <v/>
      </c>
    </row>
    <row r="33" spans="1:154" ht="14.1" customHeight="1" x14ac:dyDescent="0.25">
      <c r="A33" s="157"/>
      <c r="B33" s="157"/>
      <c r="C33" s="157"/>
      <c r="D33" s="157"/>
      <c r="E33" s="158"/>
      <c r="F33" s="157"/>
      <c r="G33" s="157"/>
      <c r="H33" s="157"/>
      <c r="I33" s="157"/>
      <c r="J33" s="157"/>
      <c r="K33" s="157"/>
      <c r="L33" s="157"/>
      <c r="M33" s="157"/>
      <c r="N33" s="157"/>
      <c r="O33" s="157"/>
      <c r="P33" s="157"/>
      <c r="Q33" s="157"/>
      <c r="R33" s="157"/>
      <c r="S33" s="248"/>
      <c r="T33" s="248"/>
      <c r="U33" s="248"/>
      <c r="V33" s="248"/>
      <c r="W33" s="248"/>
      <c r="X33" s="248"/>
      <c r="Y33" s="248"/>
      <c r="Z33" s="248"/>
      <c r="AA33" s="248"/>
      <c r="AB33" s="248"/>
      <c r="AC33" s="248"/>
      <c r="AD33" s="248"/>
      <c r="AE33" s="248"/>
      <c r="AF33" s="248"/>
      <c r="AG33" s="248"/>
      <c r="AH33" s="248"/>
      <c r="AI33" s="248"/>
      <c r="AJ33" s="248"/>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42"/>
      <c r="CA33" s="42"/>
      <c r="CC33" s="42"/>
      <c r="EX33" s="10" t="str">
        <f t="shared" si="0"/>
        <v/>
      </c>
    </row>
    <row r="34" spans="1:154" ht="14.1" customHeight="1" x14ac:dyDescent="0.25">
      <c r="A34" s="157"/>
      <c r="B34" s="157"/>
      <c r="C34" s="157"/>
      <c r="D34" s="157"/>
      <c r="E34" s="158"/>
      <c r="F34" s="157"/>
      <c r="G34" s="157"/>
      <c r="H34" s="157"/>
      <c r="I34" s="157"/>
      <c r="J34" s="157"/>
      <c r="K34" s="157"/>
      <c r="L34" s="157"/>
      <c r="M34" s="157"/>
      <c r="N34" s="157"/>
      <c r="O34" s="157"/>
      <c r="P34" s="157"/>
      <c r="Q34" s="157"/>
      <c r="R34" s="157"/>
      <c r="S34" s="248"/>
      <c r="T34" s="248"/>
      <c r="U34" s="248"/>
      <c r="V34" s="248"/>
      <c r="W34" s="248"/>
      <c r="X34" s="248"/>
      <c r="Y34" s="248"/>
      <c r="Z34" s="248"/>
      <c r="AA34" s="248"/>
      <c r="AB34" s="248"/>
      <c r="AC34" s="248"/>
      <c r="AD34" s="248"/>
      <c r="AE34" s="248"/>
      <c r="AF34" s="248"/>
      <c r="AG34" s="248"/>
      <c r="AH34" s="248"/>
      <c r="AI34" s="248"/>
      <c r="AJ34" s="248"/>
      <c r="AK34" s="157"/>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42"/>
      <c r="CA34" s="42"/>
      <c r="CC34" s="42"/>
      <c r="EX34" s="10" t="str">
        <f t="shared" si="0"/>
        <v/>
      </c>
    </row>
    <row r="35" spans="1:154" ht="8.1" customHeight="1" x14ac:dyDescent="0.25">
      <c r="A35" s="157"/>
      <c r="B35" s="157"/>
      <c r="C35" s="157"/>
      <c r="D35" s="157"/>
      <c r="E35" s="157"/>
      <c r="F35" s="157"/>
      <c r="G35" s="157"/>
      <c r="H35" s="157"/>
      <c r="I35" s="157"/>
      <c r="J35" s="157"/>
      <c r="K35" s="157"/>
      <c r="L35" s="157"/>
      <c r="M35" s="157"/>
      <c r="N35" s="157"/>
      <c r="O35" s="157"/>
      <c r="P35" s="157"/>
      <c r="Q35" s="157"/>
      <c r="R35" s="157"/>
      <c r="S35" s="250"/>
      <c r="T35" s="250"/>
      <c r="U35" s="250"/>
      <c r="V35" s="250"/>
      <c r="W35" s="250"/>
      <c r="X35" s="250"/>
      <c r="Y35" s="250"/>
      <c r="Z35" s="250"/>
      <c r="AA35" s="250"/>
      <c r="AB35" s="250"/>
      <c r="AC35" s="250"/>
      <c r="AD35" s="250"/>
      <c r="AE35" s="250"/>
      <c r="AF35" s="250"/>
      <c r="AG35" s="250"/>
      <c r="AH35" s="250"/>
      <c r="AI35" s="250"/>
      <c r="AJ35" s="250"/>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42"/>
      <c r="CA35" s="42"/>
      <c r="CC35" s="42"/>
      <c r="EX35" s="10" t="str">
        <f t="shared" si="0"/>
        <v/>
      </c>
    </row>
    <row r="36" spans="1:154" ht="14.1" customHeight="1" x14ac:dyDescent="0.25">
      <c r="A36" s="157"/>
      <c r="B36" s="157"/>
      <c r="C36" s="157"/>
      <c r="D36" s="157"/>
      <c r="E36" s="158"/>
      <c r="F36" s="157"/>
      <c r="G36" s="157"/>
      <c r="H36" s="157"/>
      <c r="I36" s="157"/>
      <c r="J36" s="157"/>
      <c r="K36" s="157"/>
      <c r="L36" s="157"/>
      <c r="M36" s="157"/>
      <c r="N36" s="157"/>
      <c r="O36" s="157"/>
      <c r="P36" s="157"/>
      <c r="Q36" s="157"/>
      <c r="R36" s="157"/>
      <c r="S36" s="248"/>
      <c r="T36" s="248"/>
      <c r="U36" s="248"/>
      <c r="V36" s="248"/>
      <c r="W36" s="248"/>
      <c r="X36" s="248"/>
      <c r="Y36" s="248"/>
      <c r="Z36" s="248"/>
      <c r="AA36" s="248"/>
      <c r="AB36" s="248"/>
      <c r="AC36" s="248"/>
      <c r="AD36" s="248"/>
      <c r="AE36" s="248"/>
      <c r="AF36" s="248"/>
      <c r="AG36" s="248"/>
      <c r="AH36" s="248"/>
      <c r="AI36" s="248"/>
      <c r="AJ36" s="248"/>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42"/>
      <c r="CA36" s="42"/>
      <c r="CC36" s="42"/>
      <c r="EX36" s="10" t="str">
        <f t="shared" si="0"/>
        <v/>
      </c>
    </row>
    <row r="37" spans="1:154" ht="14.1" customHeight="1" x14ac:dyDescent="0.25">
      <c r="A37" s="157"/>
      <c r="B37" s="157"/>
      <c r="C37" s="157"/>
      <c r="D37" s="157"/>
      <c r="E37" s="158"/>
      <c r="F37" s="157"/>
      <c r="G37" s="157"/>
      <c r="H37" s="157"/>
      <c r="I37" s="157"/>
      <c r="J37" s="157"/>
      <c r="K37" s="157"/>
      <c r="L37" s="157"/>
      <c r="M37" s="157"/>
      <c r="N37" s="157"/>
      <c r="O37" s="157"/>
      <c r="P37" s="157"/>
      <c r="Q37" s="157"/>
      <c r="R37" s="157"/>
      <c r="S37" s="248"/>
      <c r="T37" s="248"/>
      <c r="U37" s="248"/>
      <c r="V37" s="248"/>
      <c r="W37" s="248"/>
      <c r="X37" s="248"/>
      <c r="Y37" s="248"/>
      <c r="Z37" s="248"/>
      <c r="AA37" s="248"/>
      <c r="AB37" s="248"/>
      <c r="AC37" s="248"/>
      <c r="AD37" s="248"/>
      <c r="AE37" s="248"/>
      <c r="AF37" s="248"/>
      <c r="AG37" s="248"/>
      <c r="AH37" s="248"/>
      <c r="AI37" s="248"/>
      <c r="AJ37" s="248"/>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42"/>
      <c r="CA37" s="42"/>
      <c r="CC37" s="42"/>
      <c r="EX37" s="10" t="str">
        <f t="shared" si="0"/>
        <v/>
      </c>
    </row>
    <row r="38" spans="1:154" ht="14.1" customHeight="1" x14ac:dyDescent="0.3">
      <c r="A38" s="157"/>
      <c r="B38" s="157"/>
      <c r="C38" s="157"/>
      <c r="D38" s="157"/>
      <c r="E38" s="158"/>
      <c r="F38" s="157"/>
      <c r="G38" s="157"/>
      <c r="H38" s="157"/>
      <c r="I38" s="157"/>
      <c r="J38" s="157"/>
      <c r="K38" s="157"/>
      <c r="L38" s="157"/>
      <c r="M38" s="157"/>
      <c r="N38" s="157"/>
      <c r="O38" s="157"/>
      <c r="P38" s="157"/>
      <c r="Q38" s="157"/>
      <c r="R38" s="157"/>
      <c r="S38" s="248"/>
      <c r="T38" s="248"/>
      <c r="U38" s="248"/>
      <c r="V38" s="248"/>
      <c r="W38" s="248"/>
      <c r="X38" s="248"/>
      <c r="Y38" s="249"/>
      <c r="Z38" s="248"/>
      <c r="AA38" s="248"/>
      <c r="AB38" s="248"/>
      <c r="AC38" s="248"/>
      <c r="AD38" s="248"/>
      <c r="AE38" s="248"/>
      <c r="AF38" s="248"/>
      <c r="AG38" s="248"/>
      <c r="AH38" s="248"/>
      <c r="AI38" s="248"/>
      <c r="AJ38" s="248"/>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42"/>
      <c r="CA38" s="42"/>
      <c r="CC38" s="42"/>
      <c r="EX38" s="10" t="str">
        <f t="shared" si="0"/>
        <v/>
      </c>
    </row>
    <row r="39" spans="1:154" ht="14.1" customHeight="1" x14ac:dyDescent="0.25">
      <c r="A39" s="157"/>
      <c r="B39" s="157"/>
      <c r="C39" s="157"/>
      <c r="D39" s="157"/>
      <c r="E39" s="158"/>
      <c r="F39" s="157"/>
      <c r="G39" s="157"/>
      <c r="H39" s="157"/>
      <c r="I39" s="157"/>
      <c r="J39" s="157"/>
      <c r="K39" s="157"/>
      <c r="L39" s="157"/>
      <c r="M39" s="157"/>
      <c r="N39" s="157"/>
      <c r="O39" s="157"/>
      <c r="P39" s="157"/>
      <c r="Q39" s="157"/>
      <c r="R39" s="157"/>
      <c r="S39" s="248"/>
      <c r="T39" s="248"/>
      <c r="U39" s="248"/>
      <c r="V39" s="248"/>
      <c r="W39" s="248"/>
      <c r="X39" s="248"/>
      <c r="Y39" s="248"/>
      <c r="Z39" s="248"/>
      <c r="AA39" s="248"/>
      <c r="AB39" s="248"/>
      <c r="AC39" s="248"/>
      <c r="AD39" s="248"/>
      <c r="AE39" s="248"/>
      <c r="AF39" s="248"/>
      <c r="AG39" s="248"/>
      <c r="AH39" s="248"/>
      <c r="AI39" s="248"/>
      <c r="AJ39" s="248"/>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42"/>
      <c r="CA39" s="42"/>
      <c r="CC39" s="42"/>
      <c r="EX39" s="10" t="str">
        <f t="shared" si="0"/>
        <v/>
      </c>
    </row>
    <row r="40" spans="1:154" ht="14.1" customHeight="1" x14ac:dyDescent="0.25">
      <c r="A40" s="157"/>
      <c r="B40" s="157"/>
      <c r="C40" s="157"/>
      <c r="D40" s="157"/>
      <c r="E40" s="158"/>
      <c r="F40" s="157"/>
      <c r="G40" s="157"/>
      <c r="H40" s="157"/>
      <c r="I40" s="157"/>
      <c r="J40" s="157"/>
      <c r="K40" s="157"/>
      <c r="L40" s="157"/>
      <c r="M40" s="157"/>
      <c r="N40" s="157"/>
      <c r="O40" s="157"/>
      <c r="P40" s="157"/>
      <c r="Q40" s="157"/>
      <c r="R40" s="157"/>
      <c r="S40" s="248"/>
      <c r="T40" s="248"/>
      <c r="U40" s="248"/>
      <c r="V40" s="248"/>
      <c r="W40" s="248"/>
      <c r="X40" s="248"/>
      <c r="Y40" s="248"/>
      <c r="Z40" s="248"/>
      <c r="AA40" s="248"/>
      <c r="AB40" s="248"/>
      <c r="AC40" s="248"/>
      <c r="AD40" s="248"/>
      <c r="AE40" s="248"/>
      <c r="AF40" s="248"/>
      <c r="AG40" s="248"/>
      <c r="AH40" s="248"/>
      <c r="AI40" s="248"/>
      <c r="AJ40" s="248"/>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42"/>
      <c r="CA40" s="42"/>
      <c r="CC40" s="42"/>
      <c r="EX40" s="10" t="str">
        <f t="shared" si="0"/>
        <v/>
      </c>
    </row>
    <row r="41" spans="1:154" ht="14.1" customHeight="1" x14ac:dyDescent="0.25">
      <c r="A41" s="157"/>
      <c r="B41" s="157"/>
      <c r="C41" s="157"/>
      <c r="D41" s="157"/>
      <c r="E41" s="158"/>
      <c r="F41" s="157"/>
      <c r="G41" s="157"/>
      <c r="H41" s="157"/>
      <c r="I41" s="157"/>
      <c r="J41" s="157"/>
      <c r="K41" s="157"/>
      <c r="L41" s="157"/>
      <c r="M41" s="157"/>
      <c r="N41" s="157"/>
      <c r="O41" s="157"/>
      <c r="P41" s="157"/>
      <c r="Q41" s="157"/>
      <c r="R41" s="157"/>
      <c r="S41" s="248"/>
      <c r="T41" s="248"/>
      <c r="U41" s="248"/>
      <c r="V41" s="248"/>
      <c r="W41" s="248"/>
      <c r="X41" s="248"/>
      <c r="Y41" s="248"/>
      <c r="Z41" s="248"/>
      <c r="AA41" s="248"/>
      <c r="AB41" s="248"/>
      <c r="AC41" s="248"/>
      <c r="AD41" s="248"/>
      <c r="AE41" s="248"/>
      <c r="AF41" s="248"/>
      <c r="AG41" s="248"/>
      <c r="AH41" s="248"/>
      <c r="AI41" s="248"/>
      <c r="AJ41" s="248"/>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42"/>
      <c r="CA41" s="42"/>
      <c r="CC41" s="42"/>
      <c r="EX41" s="10" t="str">
        <f t="shared" si="0"/>
        <v/>
      </c>
    </row>
    <row r="42" spans="1:154" ht="14.1" customHeight="1" x14ac:dyDescent="0.25">
      <c r="A42" s="157"/>
      <c r="B42" s="157"/>
      <c r="C42" s="157"/>
      <c r="D42" s="157"/>
      <c r="E42" s="158"/>
      <c r="F42" s="157"/>
      <c r="G42" s="157"/>
      <c r="H42" s="157"/>
      <c r="I42" s="157"/>
      <c r="J42" s="157"/>
      <c r="K42" s="157"/>
      <c r="L42" s="157"/>
      <c r="M42" s="157"/>
      <c r="N42" s="157"/>
      <c r="O42" s="157"/>
      <c r="P42" s="157"/>
      <c r="Q42" s="157"/>
      <c r="R42" s="157"/>
      <c r="S42" s="248"/>
      <c r="T42" s="248"/>
      <c r="U42" s="248"/>
      <c r="V42" s="248"/>
      <c r="W42" s="248"/>
      <c r="X42" s="248"/>
      <c r="Y42" s="248"/>
      <c r="Z42" s="248"/>
      <c r="AA42" s="248"/>
      <c r="AB42" s="248"/>
      <c r="AC42" s="248"/>
      <c r="AD42" s="248"/>
      <c r="AE42" s="248"/>
      <c r="AF42" s="248"/>
      <c r="AG42" s="248"/>
      <c r="AH42" s="248"/>
      <c r="AI42" s="248"/>
      <c r="AJ42" s="248"/>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42"/>
      <c r="CA42" s="42"/>
      <c r="CC42" s="42"/>
      <c r="EX42" s="10" t="str">
        <f t="shared" si="0"/>
        <v/>
      </c>
    </row>
    <row r="43" spans="1:154" ht="14.1" customHeight="1" x14ac:dyDescent="0.25">
      <c r="A43" s="157"/>
      <c r="B43" s="157"/>
      <c r="C43" s="157"/>
      <c r="D43" s="157"/>
      <c r="E43" s="158"/>
      <c r="F43" s="157"/>
      <c r="G43" s="157"/>
      <c r="H43" s="157"/>
      <c r="I43" s="157"/>
      <c r="J43" s="157"/>
      <c r="K43" s="157"/>
      <c r="L43" s="157"/>
      <c r="M43" s="157"/>
      <c r="N43" s="157"/>
      <c r="O43" s="157"/>
      <c r="P43" s="157"/>
      <c r="Q43" s="157"/>
      <c r="R43" s="157"/>
      <c r="S43" s="248"/>
      <c r="T43" s="248"/>
      <c r="U43" s="248"/>
      <c r="V43" s="248"/>
      <c r="W43" s="248"/>
      <c r="X43" s="248"/>
      <c r="Y43" s="248"/>
      <c r="Z43" s="248"/>
      <c r="AA43" s="248"/>
      <c r="AB43" s="248"/>
      <c r="AC43" s="248"/>
      <c r="AD43" s="248"/>
      <c r="AE43" s="248"/>
      <c r="AF43" s="248"/>
      <c r="AG43" s="248"/>
      <c r="AH43" s="248"/>
      <c r="AI43" s="248"/>
      <c r="AJ43" s="248"/>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42"/>
      <c r="CA43" s="42"/>
      <c r="CC43" s="42"/>
      <c r="EX43" s="10" t="str">
        <f t="shared" si="0"/>
        <v/>
      </c>
    </row>
    <row r="44" spans="1:154" ht="14.1" customHeight="1" x14ac:dyDescent="0.3">
      <c r="A44" s="157"/>
      <c r="B44" s="157"/>
      <c r="C44" s="157"/>
      <c r="D44" s="157"/>
      <c r="E44" s="158"/>
      <c r="F44" s="157"/>
      <c r="G44" s="157"/>
      <c r="H44" s="157"/>
      <c r="I44" s="157"/>
      <c r="J44" s="157"/>
      <c r="K44" s="157"/>
      <c r="L44" s="157"/>
      <c r="M44" s="157"/>
      <c r="N44" s="157"/>
      <c r="O44" s="157"/>
      <c r="P44" s="157"/>
      <c r="Q44" s="157"/>
      <c r="R44" s="157"/>
      <c r="S44" s="248"/>
      <c r="T44" s="248"/>
      <c r="U44" s="248"/>
      <c r="V44" s="248"/>
      <c r="W44" s="248"/>
      <c r="X44" s="248"/>
      <c r="Y44" s="249"/>
      <c r="Z44" s="248"/>
      <c r="AA44" s="248"/>
      <c r="AB44" s="248"/>
      <c r="AC44" s="248"/>
      <c r="AD44" s="248"/>
      <c r="AE44" s="248"/>
      <c r="AF44" s="248"/>
      <c r="AG44" s="248"/>
      <c r="AH44" s="248"/>
      <c r="AI44" s="248"/>
      <c r="AJ44" s="248"/>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42"/>
      <c r="CA44" s="42"/>
      <c r="CC44" s="42"/>
      <c r="EX44" s="10" t="str">
        <f t="shared" si="0"/>
        <v/>
      </c>
    </row>
    <row r="45" spans="1:154" ht="14.1" customHeight="1" x14ac:dyDescent="0.25">
      <c r="A45" s="157"/>
      <c r="B45" s="157"/>
      <c r="C45" s="157"/>
      <c r="D45" s="157"/>
      <c r="E45" s="158"/>
      <c r="F45" s="157"/>
      <c r="G45" s="157"/>
      <c r="H45" s="157"/>
      <c r="I45" s="157"/>
      <c r="J45" s="157"/>
      <c r="K45" s="157"/>
      <c r="L45" s="157"/>
      <c r="M45" s="157"/>
      <c r="N45" s="157"/>
      <c r="O45" s="157"/>
      <c r="P45" s="157"/>
      <c r="Q45" s="157"/>
      <c r="R45" s="157"/>
      <c r="S45" s="248"/>
      <c r="T45" s="248"/>
      <c r="U45" s="248"/>
      <c r="V45" s="248"/>
      <c r="W45" s="248"/>
      <c r="X45" s="248"/>
      <c r="Y45" s="248"/>
      <c r="Z45" s="248"/>
      <c r="AA45" s="248"/>
      <c r="AB45" s="248"/>
      <c r="AC45" s="248"/>
      <c r="AD45" s="248"/>
      <c r="AE45" s="248"/>
      <c r="AF45" s="248"/>
      <c r="AG45" s="248"/>
      <c r="AH45" s="248"/>
      <c r="AI45" s="248"/>
      <c r="AJ45" s="248"/>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42"/>
      <c r="CA45" s="42"/>
      <c r="CC45" s="42"/>
      <c r="EX45" s="10" t="str">
        <f t="shared" si="0"/>
        <v/>
      </c>
    </row>
    <row r="46" spans="1:154" ht="14.1" customHeight="1" x14ac:dyDescent="0.25">
      <c r="A46" s="157"/>
      <c r="B46" s="157"/>
      <c r="C46" s="157"/>
      <c r="D46" s="157"/>
      <c r="E46" s="158"/>
      <c r="F46" s="157"/>
      <c r="G46" s="157"/>
      <c r="H46" s="157"/>
      <c r="I46" s="157"/>
      <c r="J46" s="157"/>
      <c r="K46" s="157"/>
      <c r="L46" s="157"/>
      <c r="M46" s="157"/>
      <c r="N46" s="157"/>
      <c r="O46" s="157"/>
      <c r="P46" s="157"/>
      <c r="Q46" s="157"/>
      <c r="R46" s="157"/>
      <c r="S46" s="248"/>
      <c r="T46" s="248"/>
      <c r="U46" s="248"/>
      <c r="V46" s="248"/>
      <c r="W46" s="248"/>
      <c r="X46" s="248"/>
      <c r="Y46" s="248"/>
      <c r="Z46" s="248"/>
      <c r="AA46" s="248"/>
      <c r="AB46" s="248"/>
      <c r="AC46" s="248"/>
      <c r="AD46" s="248"/>
      <c r="AE46" s="248"/>
      <c r="AF46" s="248"/>
      <c r="AG46" s="248"/>
      <c r="AH46" s="248"/>
      <c r="AI46" s="248"/>
      <c r="AJ46" s="248"/>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42"/>
      <c r="CA46" s="42"/>
      <c r="CC46" s="42"/>
      <c r="EX46" s="10" t="str">
        <f t="shared" si="0"/>
        <v/>
      </c>
    </row>
    <row r="47" spans="1:154" ht="14.1" customHeight="1" x14ac:dyDescent="0.25">
      <c r="A47" s="157"/>
      <c r="B47" s="157"/>
      <c r="C47" s="157"/>
      <c r="D47" s="157"/>
      <c r="E47" s="158"/>
      <c r="F47" s="157"/>
      <c r="G47" s="157"/>
      <c r="H47" s="157"/>
      <c r="I47" s="157"/>
      <c r="J47" s="157"/>
      <c r="K47" s="157"/>
      <c r="L47" s="157"/>
      <c r="M47" s="157"/>
      <c r="N47" s="157"/>
      <c r="O47" s="157"/>
      <c r="P47" s="157"/>
      <c r="Q47" s="157"/>
      <c r="R47" s="157"/>
      <c r="S47" s="248"/>
      <c r="T47" s="248"/>
      <c r="U47" s="248"/>
      <c r="V47" s="248"/>
      <c r="W47" s="248"/>
      <c r="X47" s="248"/>
      <c r="Y47" s="248"/>
      <c r="Z47" s="248"/>
      <c r="AA47" s="248"/>
      <c r="AB47" s="248"/>
      <c r="AC47" s="248"/>
      <c r="AD47" s="248"/>
      <c r="AE47" s="248"/>
      <c r="AF47" s="248"/>
      <c r="AG47" s="248"/>
      <c r="AH47" s="248"/>
      <c r="AI47" s="248"/>
      <c r="AJ47" s="248"/>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42"/>
      <c r="CA47" s="42"/>
      <c r="CC47" s="42"/>
      <c r="EX47" s="10" t="str">
        <f t="shared" si="0"/>
        <v/>
      </c>
    </row>
    <row r="48" spans="1:154" ht="14.1" customHeight="1" x14ac:dyDescent="0.25">
      <c r="A48" s="157"/>
      <c r="B48" s="157"/>
      <c r="C48" s="157"/>
      <c r="D48" s="157"/>
      <c r="E48" s="158"/>
      <c r="F48" s="157"/>
      <c r="G48" s="157"/>
      <c r="H48" s="157"/>
      <c r="I48" s="157"/>
      <c r="J48" s="157"/>
      <c r="K48" s="157"/>
      <c r="L48" s="157"/>
      <c r="M48" s="157"/>
      <c r="N48" s="157"/>
      <c r="O48" s="157"/>
      <c r="P48" s="157"/>
      <c r="Q48" s="157"/>
      <c r="R48" s="157"/>
      <c r="S48" s="248"/>
      <c r="T48" s="248"/>
      <c r="U48" s="248"/>
      <c r="V48" s="248"/>
      <c r="W48" s="248"/>
      <c r="X48" s="248"/>
      <c r="Y48" s="248"/>
      <c r="Z48" s="248"/>
      <c r="AA48" s="248"/>
      <c r="AB48" s="248"/>
      <c r="AC48" s="248"/>
      <c r="AD48" s="248"/>
      <c r="AE48" s="248"/>
      <c r="AF48" s="248"/>
      <c r="AG48" s="248"/>
      <c r="AH48" s="248"/>
      <c r="AI48" s="248"/>
      <c r="AJ48" s="248"/>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42"/>
      <c r="CA48" s="42"/>
      <c r="CC48" s="42"/>
      <c r="EX48" s="10" t="str">
        <f t="shared" si="0"/>
        <v/>
      </c>
    </row>
    <row r="49" spans="1:154" ht="8.1" customHeight="1" x14ac:dyDescent="0.25">
      <c r="A49" s="157"/>
      <c r="B49" s="157"/>
      <c r="C49" s="157"/>
      <c r="D49" s="157"/>
      <c r="E49" s="157"/>
      <c r="F49" s="157"/>
      <c r="G49" s="157"/>
      <c r="H49" s="157"/>
      <c r="I49" s="157"/>
      <c r="J49" s="157"/>
      <c r="K49" s="157"/>
      <c r="L49" s="157"/>
      <c r="M49" s="157"/>
      <c r="N49" s="157"/>
      <c r="O49" s="157"/>
      <c r="P49" s="157"/>
      <c r="Q49" s="157"/>
      <c r="R49" s="157"/>
      <c r="S49" s="250"/>
      <c r="T49" s="250"/>
      <c r="U49" s="250"/>
      <c r="V49" s="250"/>
      <c r="W49" s="250"/>
      <c r="X49" s="250"/>
      <c r="Y49" s="250"/>
      <c r="Z49" s="250"/>
      <c r="AA49" s="250"/>
      <c r="AB49" s="250"/>
      <c r="AC49" s="250"/>
      <c r="AD49" s="250"/>
      <c r="AE49" s="250"/>
      <c r="AF49" s="250"/>
      <c r="AG49" s="250"/>
      <c r="AH49" s="250"/>
      <c r="AI49" s="250"/>
      <c r="AJ49" s="250"/>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42"/>
      <c r="CA49" s="42"/>
      <c r="CC49" s="42"/>
      <c r="CF49" s="335"/>
      <c r="EX49" s="10" t="str">
        <f t="shared" si="0"/>
        <v/>
      </c>
    </row>
    <row r="50" spans="1:154" x14ac:dyDescent="0.25">
      <c r="A50" s="40"/>
      <c r="B50" s="40"/>
      <c r="C50" s="40"/>
      <c r="D50" s="532" t="s">
        <v>641</v>
      </c>
      <c r="E50" s="40"/>
      <c r="F50" s="40"/>
      <c r="G50" s="40"/>
      <c r="H50" s="40"/>
      <c r="I50" s="40"/>
      <c r="J50" s="40"/>
      <c r="K50" s="40"/>
      <c r="L50" s="40"/>
      <c r="M50" s="40"/>
      <c r="N50" s="40"/>
      <c r="O50" s="40"/>
      <c r="P50" s="40"/>
      <c r="Q50" s="40"/>
      <c r="R50" s="40"/>
      <c r="S50" s="40"/>
      <c r="T50" s="40"/>
      <c r="U50" s="40"/>
      <c r="V50" s="40"/>
      <c r="W50" s="40"/>
      <c r="X50" s="40"/>
      <c r="Y50" s="40"/>
      <c r="Z50" s="40"/>
      <c r="AA50" s="40"/>
      <c r="AB50" s="40"/>
      <c r="AC50" s="421"/>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12"/>
      <c r="CA50" s="12"/>
      <c r="CC50" s="42"/>
      <c r="CF50" s="335"/>
      <c r="EX50" s="10" t="str">
        <f t="shared" si="0"/>
        <v/>
      </c>
    </row>
    <row r="51" spans="1:154" ht="8.1" customHeight="1" x14ac:dyDescent="0.25">
      <c r="A51" s="157"/>
      <c r="B51" s="157"/>
      <c r="C51" s="339"/>
      <c r="D51" s="522"/>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42"/>
      <c r="CA51" s="42"/>
      <c r="CC51" s="42"/>
      <c r="CF51" s="335"/>
      <c r="EX51" s="10" t="str">
        <f t="shared" si="0"/>
        <v/>
      </c>
    </row>
    <row r="52" spans="1:154" s="335" customFormat="1" ht="15.75" x14ac:dyDescent="0.3">
      <c r="B52" s="479" t="s">
        <v>335</v>
      </c>
      <c r="C52" s="356"/>
      <c r="D52" s="529" t="s">
        <v>2495</v>
      </c>
      <c r="V52" s="45">
        <f>'BS Forecasts'!V$10</f>
        <v>0</v>
      </c>
      <c r="W52" s="45">
        <f>'BS Forecasts'!W$10</f>
        <v>1</v>
      </c>
      <c r="X52" s="45">
        <f>'BS Forecasts'!X$10</f>
        <v>1</v>
      </c>
      <c r="Y52" s="45">
        <f>'BS Forecasts'!Y$10</f>
        <v>1</v>
      </c>
      <c r="AA52" s="45">
        <f>'BS Forecasts'!AA$10</f>
        <v>1</v>
      </c>
      <c r="AB52" s="45">
        <f>'BS Forecasts'!AB$10</f>
        <v>1</v>
      </c>
      <c r="AC52" s="45">
        <f>'BS Forecasts'!AC$10</f>
        <v>1</v>
      </c>
      <c r="AD52" s="45">
        <f>'BS Forecasts'!AD$10</f>
        <v>1</v>
      </c>
      <c r="AE52" s="45">
        <f>'BS Forecasts'!AE$10</f>
        <v>1</v>
      </c>
      <c r="AF52" s="45">
        <f>'BS Forecasts'!AF$10</f>
        <v>1</v>
      </c>
      <c r="AG52" s="45">
        <f>'BS Forecasts'!AG$10</f>
        <v>1</v>
      </c>
      <c r="AH52" s="45">
        <f>'BS Forecasts'!AH$10</f>
        <v>1</v>
      </c>
      <c r="AI52" s="45">
        <f>'BS Forecasts'!AI$10</f>
        <v>1</v>
      </c>
      <c r="AJ52" s="45">
        <f>'BS Forecasts'!AJ$10</f>
        <v>1</v>
      </c>
      <c r="AK52" s="45">
        <f>'BS Forecasts'!AK$10</f>
        <v>1</v>
      </c>
      <c r="AL52" s="45">
        <f>'BS Forecasts'!AL$10</f>
        <v>1</v>
      </c>
      <c r="AM52" s="45">
        <f>'BS Forecasts'!AM$10</f>
        <v>1</v>
      </c>
      <c r="AN52" s="45">
        <f>'BS Forecasts'!AN$10</f>
        <v>1</v>
      </c>
      <c r="AO52" s="45">
        <f>'BS Forecasts'!AO$10</f>
        <v>1</v>
      </c>
      <c r="AP52" s="45">
        <f>'BS Forecasts'!AP$10</f>
        <v>1</v>
      </c>
      <c r="AQ52" s="45">
        <f>'BS Forecasts'!AQ$10</f>
        <v>1</v>
      </c>
      <c r="AR52" s="45">
        <f>'BS Forecasts'!AR$10</f>
        <v>1</v>
      </c>
      <c r="AS52" s="45">
        <f>'BS Forecasts'!AS$10</f>
        <v>1</v>
      </c>
      <c r="AT52" s="45">
        <f>'BS Forecasts'!AT$10</f>
        <v>1</v>
      </c>
      <c r="AU52" s="45">
        <f>'BS Forecasts'!AU$10</f>
        <v>1</v>
      </c>
      <c r="AV52" s="45">
        <f>'BS Forecasts'!AV$10</f>
        <v>1</v>
      </c>
      <c r="AW52" s="45">
        <f>'BS Forecasts'!AW$10</f>
        <v>1</v>
      </c>
      <c r="AX52" s="45">
        <f>'BS Forecasts'!AX$10</f>
        <v>1</v>
      </c>
      <c r="AY52" s="45">
        <f>'BS Forecasts'!AY$10</f>
        <v>1</v>
      </c>
      <c r="AZ52" s="45">
        <f>'BS Forecasts'!AZ$10</f>
        <v>1</v>
      </c>
      <c r="BA52" s="45">
        <f>'BS Forecasts'!BA$10</f>
        <v>1</v>
      </c>
      <c r="BB52" s="45">
        <f>'BS Forecasts'!BB$10</f>
        <v>1</v>
      </c>
      <c r="BC52" s="45">
        <f>'BS Forecasts'!BC$10</f>
        <v>1</v>
      </c>
      <c r="BD52" s="45">
        <f>'BS Forecasts'!BD$10</f>
        <v>1</v>
      </c>
      <c r="BE52" s="45">
        <f>'BS Forecasts'!BE$10</f>
        <v>1</v>
      </c>
      <c r="BF52" s="45">
        <f>'BS Forecasts'!BF$10</f>
        <v>1</v>
      </c>
      <c r="BG52" s="45">
        <f>'BS Forecasts'!BG$10</f>
        <v>1</v>
      </c>
      <c r="BH52" s="45">
        <f>'BS Forecasts'!BH$10</f>
        <v>1</v>
      </c>
      <c r="BI52" s="45">
        <f>'BS Forecasts'!BI$10</f>
        <v>1</v>
      </c>
      <c r="BJ52" s="45">
        <f>'BS Forecasts'!BJ$10</f>
        <v>1</v>
      </c>
      <c r="BL52" s="45">
        <f>'BS Forecasts'!BL$10</f>
        <v>0</v>
      </c>
      <c r="BM52" s="45">
        <f>'BS Forecasts'!BM$10</f>
        <v>1</v>
      </c>
      <c r="BN52" s="45">
        <f>'BS Forecasts'!BN$10</f>
        <v>1</v>
      </c>
      <c r="BO52" s="45">
        <f>'BS Forecasts'!BO$10</f>
        <v>1</v>
      </c>
      <c r="BP52" s="45">
        <f>'BS Forecasts'!BP$10</f>
        <v>0</v>
      </c>
      <c r="BQ52" s="45">
        <f>'BS Forecasts'!BQ$10</f>
        <v>0</v>
      </c>
      <c r="BR52" s="45">
        <f>'BS Forecasts'!BR$10</f>
        <v>0</v>
      </c>
      <c r="BS52" s="45">
        <f>'BS Forecasts'!BS$10</f>
        <v>0</v>
      </c>
      <c r="BT52" s="45">
        <f>'BS Forecasts'!BT$10</f>
        <v>0</v>
      </c>
      <c r="BU52" s="45">
        <f>'BS Forecasts'!BU$10</f>
        <v>0</v>
      </c>
      <c r="BV52" s="45">
        <f>'BS Forecasts'!BV$10</f>
        <v>0</v>
      </c>
      <c r="BW52" s="45">
        <f>'BS Forecasts'!BW$10</f>
        <v>0</v>
      </c>
      <c r="BY52" s="12"/>
      <c r="CA52" s="12"/>
      <c r="CC52" s="42"/>
      <c r="EX52" s="10" t="str">
        <f t="shared" si="0"/>
        <v/>
      </c>
    </row>
    <row r="53" spans="1:154" s="335" customFormat="1" ht="8.1" customHeight="1" x14ac:dyDescent="0.25">
      <c r="A53" s="157"/>
      <c r="B53" s="157"/>
      <c r="C53" s="339"/>
      <c r="D53" s="522"/>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42"/>
      <c r="CA53" s="42"/>
      <c r="CC53" s="42"/>
      <c r="EX53" s="10"/>
    </row>
    <row r="54" spans="1:154" s="335" customFormat="1" ht="30" x14ac:dyDescent="0.25">
      <c r="C54" s="343" t="str">
        <f>'Fin Stat'!C$46</f>
        <v>FS-IE-5</v>
      </c>
      <c r="D54" s="565" t="str">
        <f>'Fin Stat'!D$46</f>
        <v>Surplus/(deficit) after interest, tax, depreciation and amortisation costs</v>
      </c>
      <c r="E54" s="356"/>
      <c r="F54" s="356"/>
      <c r="G54" s="356"/>
      <c r="H54" s="356"/>
      <c r="I54" s="356"/>
      <c r="J54" s="356"/>
      <c r="K54" s="356"/>
      <c r="L54" s="356"/>
      <c r="M54" s="356"/>
      <c r="N54" s="356"/>
      <c r="O54" s="356"/>
      <c r="P54" s="356"/>
      <c r="Q54" s="356"/>
      <c r="R54" s="356"/>
      <c r="S54" s="356"/>
      <c r="T54" s="356"/>
      <c r="U54" s="356"/>
      <c r="V54" s="10">
        <f>'Fin Stat'!V$46</f>
        <v>0</v>
      </c>
      <c r="W54" s="10">
        <f>'Fin Stat'!W$46</f>
        <v>440</v>
      </c>
      <c r="X54" s="10">
        <f>'Fin Stat'!X$46</f>
        <v>436</v>
      </c>
      <c r="Y54" s="10">
        <f>'Fin Stat'!Y$46</f>
        <v>541.81000000000131</v>
      </c>
      <c r="Z54" s="157"/>
      <c r="AA54" s="10">
        <f>'Fin Stat'!AA$46</f>
        <v>1720</v>
      </c>
      <c r="AB54" s="10">
        <f>'Fin Stat'!AB$46</f>
        <v>1148</v>
      </c>
      <c r="AC54" s="10">
        <f>'Fin Stat'!AC$46</f>
        <v>130</v>
      </c>
      <c r="AD54" s="10">
        <f>'Fin Stat'!AD$46</f>
        <v>-210</v>
      </c>
      <c r="AE54" s="10">
        <f>'Fin Stat'!AE$46</f>
        <v>-887</v>
      </c>
      <c r="AF54" s="10">
        <f>'Fin Stat'!AF$46</f>
        <v>-675</v>
      </c>
      <c r="AG54" s="10">
        <f>'Fin Stat'!AG$46</f>
        <v>-721</v>
      </c>
      <c r="AH54" s="10">
        <f>'Fin Stat'!AH$46</f>
        <v>-900</v>
      </c>
      <c r="AI54" s="10">
        <f>'Fin Stat'!AI$46</f>
        <v>1250</v>
      </c>
      <c r="AJ54" s="10">
        <f>'Fin Stat'!AJ$46</f>
        <v>264</v>
      </c>
      <c r="AK54" s="10">
        <f>'Fin Stat'!AK$46</f>
        <v>258</v>
      </c>
      <c r="AL54" s="10">
        <f>'Fin Stat'!AL$46</f>
        <v>-937</v>
      </c>
      <c r="AM54" s="10">
        <f>'Fin Stat'!AM$46</f>
        <v>1978</v>
      </c>
      <c r="AN54" s="10">
        <f>'Fin Stat'!AN$46</f>
        <v>1130</v>
      </c>
      <c r="AO54" s="10">
        <f>'Fin Stat'!AO$46</f>
        <v>125</v>
      </c>
      <c r="AP54" s="10">
        <f>'Fin Stat'!AP$46</f>
        <v>-442</v>
      </c>
      <c r="AQ54" s="10">
        <f>'Fin Stat'!AQ$46</f>
        <v>-891</v>
      </c>
      <c r="AR54" s="10">
        <f>'Fin Stat'!AR$46</f>
        <v>-576</v>
      </c>
      <c r="AS54" s="10">
        <f>'Fin Stat'!AS$46</f>
        <v>-971</v>
      </c>
      <c r="AT54" s="10">
        <f>'Fin Stat'!AT$46</f>
        <v>-913</v>
      </c>
      <c r="AU54" s="10">
        <f>'Fin Stat'!AU$46</f>
        <v>1487</v>
      </c>
      <c r="AV54" s="10">
        <f>'Fin Stat'!AV$46</f>
        <v>368</v>
      </c>
      <c r="AW54" s="10">
        <f>'Fin Stat'!AW$46</f>
        <v>-54</v>
      </c>
      <c r="AX54" s="10">
        <f>'Fin Stat'!AX$46</f>
        <v>-805</v>
      </c>
      <c r="AY54" s="10">
        <f>'Fin Stat'!AY$46</f>
        <v>2023.7483333333334</v>
      </c>
      <c r="AZ54" s="10">
        <f>'Fin Stat'!AZ$46</f>
        <v>1146.3566666666661</v>
      </c>
      <c r="BA54" s="10">
        <f>'Fin Stat'!BA$46</f>
        <v>132.48833333333278</v>
      </c>
      <c r="BB54" s="10">
        <f>'Fin Stat'!BB$46</f>
        <v>-449.61333333333323</v>
      </c>
      <c r="BC54" s="10">
        <f>'Fin Stat'!BC$46</f>
        <v>-910.53</v>
      </c>
      <c r="BD54" s="10">
        <f>'Fin Stat'!BD$46</f>
        <v>-583.22999999999979</v>
      </c>
      <c r="BE54" s="10">
        <f>'Fin Stat'!BE$46</f>
        <v>-990.74166666666702</v>
      </c>
      <c r="BF54" s="10">
        <f>'Fin Stat'!BF$46</f>
        <v>-927.5183333333332</v>
      </c>
      <c r="BG54" s="10">
        <f>'Fin Stat'!BG$46</f>
        <v>1540.378333333334</v>
      </c>
      <c r="BH54" s="10">
        <f>'Fin Stat'!BH$46</f>
        <v>417.06833333333361</v>
      </c>
      <c r="BI54" s="10">
        <f>'Fin Stat'!BI$46</f>
        <v>-43.806666666666388</v>
      </c>
      <c r="BJ54" s="10">
        <f>'Fin Stat'!BJ$46</f>
        <v>-812.79000000000042</v>
      </c>
      <c r="BK54" s="157"/>
      <c r="BL54" s="10">
        <f>'Fin Stat'!BL$46</f>
        <v>0</v>
      </c>
      <c r="BM54" s="10">
        <f>'Fin Stat'!BM$46</f>
        <v>440</v>
      </c>
      <c r="BN54" s="10">
        <f>'Fin Stat'!BN$46</f>
        <v>436</v>
      </c>
      <c r="BO54" s="10">
        <f>'Fin Stat'!BO$46</f>
        <v>541.81000000000131</v>
      </c>
      <c r="BP54" s="10">
        <f>'Fin Stat'!BP$46</f>
        <v>0</v>
      </c>
      <c r="BQ54" s="10">
        <f>'Fin Stat'!BQ$46</f>
        <v>0</v>
      </c>
      <c r="BR54" s="10">
        <f>'Fin Stat'!BR$46</f>
        <v>0</v>
      </c>
      <c r="BS54" s="10">
        <f>'Fin Stat'!BS$46</f>
        <v>0</v>
      </c>
      <c r="BT54" s="10">
        <f>'Fin Stat'!BT$46</f>
        <v>0</v>
      </c>
      <c r="BU54" s="10">
        <f>'Fin Stat'!BU$46</f>
        <v>0</v>
      </c>
      <c r="BV54" s="10">
        <f>'Fin Stat'!BV$46</f>
        <v>0</v>
      </c>
      <c r="BW54" s="10">
        <f>'Fin Stat'!BW$46</f>
        <v>0</v>
      </c>
      <c r="BY54" s="12"/>
      <c r="CA54" s="12"/>
      <c r="CC54" s="42"/>
      <c r="EX54" s="10" t="str">
        <f t="shared" si="0"/>
        <v>Surplus/(deficit) after interest, tax, depreciation and amortisation costs</v>
      </c>
    </row>
    <row r="55" spans="1:154" s="335" customFormat="1" ht="8.1" customHeight="1" x14ac:dyDescent="0.25">
      <c r="A55" s="157"/>
      <c r="B55" s="157"/>
      <c r="C55" s="343"/>
      <c r="D55" s="538"/>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42"/>
      <c r="CA55" s="42"/>
      <c r="CC55" s="42"/>
      <c r="EX55" s="10" t="str">
        <f t="shared" si="0"/>
        <v/>
      </c>
    </row>
    <row r="56" spans="1:154" s="335" customFormat="1" x14ac:dyDescent="0.25">
      <c r="C56" s="343" t="str">
        <f>'Fin Stat'!C$147</f>
        <v>IC-1a-1</v>
      </c>
      <c r="D56" s="566" t="str">
        <f>'Fin Stat'!D$147</f>
        <v>Depreciation and amortisation</v>
      </c>
      <c r="E56" s="356"/>
      <c r="F56" s="356"/>
      <c r="G56" s="356"/>
      <c r="H56" s="356"/>
      <c r="I56" s="356"/>
      <c r="J56" s="356"/>
      <c r="K56" s="356"/>
      <c r="L56" s="356"/>
      <c r="M56" s="356"/>
      <c r="N56" s="356"/>
      <c r="O56" s="356"/>
      <c r="P56" s="356"/>
      <c r="Q56" s="356"/>
      <c r="R56" s="356"/>
      <c r="S56" s="356"/>
      <c r="T56" s="356"/>
      <c r="U56" s="356"/>
      <c r="V56" s="10">
        <f>'Fin Stat'!V$147</f>
        <v>0</v>
      </c>
      <c r="W56" s="10">
        <f>'Fin Stat'!W$147</f>
        <v>1916</v>
      </c>
      <c r="X56" s="10">
        <f>'Fin Stat'!X$147</f>
        <v>1993</v>
      </c>
      <c r="Y56" s="10">
        <f>'Fin Stat'!Y$147</f>
        <v>2070</v>
      </c>
      <c r="Z56" s="157"/>
      <c r="AA56" s="10">
        <f>'Fin Stat'!AA$147</f>
        <v>156</v>
      </c>
      <c r="AB56" s="10">
        <f>'Fin Stat'!AB$147</f>
        <v>151</v>
      </c>
      <c r="AC56" s="10">
        <f>'Fin Stat'!AC$147</f>
        <v>152</v>
      </c>
      <c r="AD56" s="10">
        <f>'Fin Stat'!AD$147</f>
        <v>154</v>
      </c>
      <c r="AE56" s="10">
        <f>'Fin Stat'!AE$147</f>
        <v>155</v>
      </c>
      <c r="AF56" s="10">
        <f>'Fin Stat'!AF$147</f>
        <v>154</v>
      </c>
      <c r="AG56" s="10">
        <f>'Fin Stat'!AG$147</f>
        <v>155</v>
      </c>
      <c r="AH56" s="10">
        <f>'Fin Stat'!AH$147</f>
        <v>151</v>
      </c>
      <c r="AI56" s="10">
        <f>'Fin Stat'!AI$147</f>
        <v>153</v>
      </c>
      <c r="AJ56" s="10">
        <f>'Fin Stat'!AJ$147</f>
        <v>151</v>
      </c>
      <c r="AK56" s="10">
        <f>'Fin Stat'!AK$147</f>
        <v>192</v>
      </c>
      <c r="AL56" s="10">
        <f>'Fin Stat'!AL$147</f>
        <v>192</v>
      </c>
      <c r="AM56" s="10">
        <f>'Fin Stat'!AM$147</f>
        <v>156</v>
      </c>
      <c r="AN56" s="10">
        <f>'Fin Stat'!AN$147</f>
        <v>155</v>
      </c>
      <c r="AO56" s="10">
        <f>'Fin Stat'!AO$147</f>
        <v>156</v>
      </c>
      <c r="AP56" s="10">
        <f>'Fin Stat'!AP$147</f>
        <v>159</v>
      </c>
      <c r="AQ56" s="10">
        <f>'Fin Stat'!AQ$147</f>
        <v>160</v>
      </c>
      <c r="AR56" s="10">
        <f>'Fin Stat'!AR$147</f>
        <v>160</v>
      </c>
      <c r="AS56" s="10">
        <f>'Fin Stat'!AS$147</f>
        <v>162</v>
      </c>
      <c r="AT56" s="10">
        <f>'Fin Stat'!AT$147</f>
        <v>159</v>
      </c>
      <c r="AU56" s="10">
        <f>'Fin Stat'!AU$147</f>
        <v>161</v>
      </c>
      <c r="AV56" s="10">
        <f>'Fin Stat'!AV$147</f>
        <v>160</v>
      </c>
      <c r="AW56" s="10">
        <f>'Fin Stat'!AW$147</f>
        <v>202</v>
      </c>
      <c r="AX56" s="10">
        <f>'Fin Stat'!AX$147</f>
        <v>203</v>
      </c>
      <c r="AY56" s="10">
        <f>'Fin Stat'!AY$147</f>
        <v>167</v>
      </c>
      <c r="AZ56" s="10">
        <f>'Fin Stat'!AZ$147</f>
        <v>162</v>
      </c>
      <c r="BA56" s="10">
        <f>'Fin Stat'!BA$147</f>
        <v>164</v>
      </c>
      <c r="BB56" s="10">
        <f>'Fin Stat'!BB$147</f>
        <v>166</v>
      </c>
      <c r="BC56" s="10">
        <f>'Fin Stat'!BC$147</f>
        <v>167</v>
      </c>
      <c r="BD56" s="10">
        <f>'Fin Stat'!BD$147</f>
        <v>167</v>
      </c>
      <c r="BE56" s="10">
        <f>'Fin Stat'!BE$147</f>
        <v>168</v>
      </c>
      <c r="BF56" s="10">
        <f>'Fin Stat'!BF$147</f>
        <v>164</v>
      </c>
      <c r="BG56" s="10">
        <f>'Fin Stat'!BG$147</f>
        <v>167</v>
      </c>
      <c r="BH56" s="10">
        <f>'Fin Stat'!BH$147</f>
        <v>165</v>
      </c>
      <c r="BI56" s="10">
        <f>'Fin Stat'!BI$147</f>
        <v>206</v>
      </c>
      <c r="BJ56" s="10">
        <f>'Fin Stat'!BJ$147</f>
        <v>207</v>
      </c>
      <c r="BK56" s="157"/>
      <c r="BL56" s="10">
        <f>'Fin Stat'!BL$147</f>
        <v>0</v>
      </c>
      <c r="BM56" s="10">
        <f>'Fin Stat'!BM$147</f>
        <v>1916</v>
      </c>
      <c r="BN56" s="10">
        <f>'Fin Stat'!BN$147</f>
        <v>1993</v>
      </c>
      <c r="BO56" s="10">
        <f>'Fin Stat'!BO$147</f>
        <v>2070</v>
      </c>
      <c r="BP56" s="10">
        <f>'Fin Stat'!BP$147</f>
        <v>0</v>
      </c>
      <c r="BQ56" s="10">
        <f>'Fin Stat'!BQ$147</f>
        <v>0</v>
      </c>
      <c r="BR56" s="10">
        <f>'Fin Stat'!BR$147</f>
        <v>0</v>
      </c>
      <c r="BS56" s="10">
        <f>'Fin Stat'!BS$147</f>
        <v>0</v>
      </c>
      <c r="BT56" s="10">
        <f>'Fin Stat'!BT$147</f>
        <v>0</v>
      </c>
      <c r="BU56" s="10">
        <f>'Fin Stat'!BU$147</f>
        <v>0</v>
      </c>
      <c r="BV56" s="10">
        <f>'Fin Stat'!BV$147</f>
        <v>0</v>
      </c>
      <c r="BW56" s="10">
        <f>'Fin Stat'!BW$147</f>
        <v>0</v>
      </c>
      <c r="BY56" s="12"/>
      <c r="CA56" s="12"/>
      <c r="CC56" s="42"/>
      <c r="EX56" s="10" t="str">
        <f t="shared" si="0"/>
        <v>Depreciation and amortisation</v>
      </c>
    </row>
    <row r="57" spans="1:154" s="335" customFormat="1" x14ac:dyDescent="0.25">
      <c r="C57" s="343" t="s">
        <v>1469</v>
      </c>
      <c r="D57" s="528" t="s">
        <v>2299</v>
      </c>
      <c r="E57" s="356"/>
      <c r="F57" s="356"/>
      <c r="G57" s="356"/>
      <c r="H57" s="356"/>
      <c r="I57" s="356"/>
      <c r="J57" s="356"/>
      <c r="K57" s="356"/>
      <c r="L57" s="356"/>
      <c r="M57" s="356"/>
      <c r="N57" s="356"/>
      <c r="O57" s="356"/>
      <c r="P57" s="356"/>
      <c r="Q57" s="356"/>
      <c r="R57" s="356"/>
      <c r="S57" s="356"/>
      <c r="T57" s="356"/>
      <c r="U57" s="356"/>
      <c r="V57" s="10">
        <f>SUM('Fin Stat'!V$148:V$150)</f>
        <v>0</v>
      </c>
      <c r="W57" s="10">
        <f>SUM('Fin Stat'!W$148:W$150)</f>
        <v>0</v>
      </c>
      <c r="X57" s="10">
        <f>SUM('Fin Stat'!X$148:X$150)</f>
        <v>0</v>
      </c>
      <c r="Y57" s="10">
        <f>SUM('Fin Stat'!Y$148:Y$150)</f>
        <v>0</v>
      </c>
      <c r="Z57" s="157"/>
      <c r="AA57" s="10">
        <f>SUM('Fin Stat'!AA$148:AA$150)</f>
        <v>0</v>
      </c>
      <c r="AB57" s="10">
        <f>SUM('Fin Stat'!AB$148:AB$150)</f>
        <v>0</v>
      </c>
      <c r="AC57" s="10">
        <f>SUM('Fin Stat'!AC$148:AC$150)</f>
        <v>0</v>
      </c>
      <c r="AD57" s="10">
        <f>SUM('Fin Stat'!AD$148:AD$150)</f>
        <v>0</v>
      </c>
      <c r="AE57" s="10">
        <f>SUM('Fin Stat'!AE$148:AE$150)</f>
        <v>0</v>
      </c>
      <c r="AF57" s="10">
        <f>SUM('Fin Stat'!AF$148:AF$150)</f>
        <v>0</v>
      </c>
      <c r="AG57" s="10">
        <f>SUM('Fin Stat'!AG$148:AG$150)</f>
        <v>0</v>
      </c>
      <c r="AH57" s="10">
        <f>SUM('Fin Stat'!AH$148:AH$150)</f>
        <v>0</v>
      </c>
      <c r="AI57" s="10">
        <f>SUM('Fin Stat'!AI$148:AI$150)</f>
        <v>0</v>
      </c>
      <c r="AJ57" s="10">
        <f>SUM('Fin Stat'!AJ$148:AJ$150)</f>
        <v>0</v>
      </c>
      <c r="AK57" s="10">
        <f>SUM('Fin Stat'!AK$148:AK$150)</f>
        <v>0</v>
      </c>
      <c r="AL57" s="10">
        <f>SUM('Fin Stat'!AL$148:AL$150)</f>
        <v>0</v>
      </c>
      <c r="AM57" s="10">
        <f>SUM('Fin Stat'!AM$148:AM$150)</f>
        <v>0</v>
      </c>
      <c r="AN57" s="10">
        <f>SUM('Fin Stat'!AN$148:AN$150)</f>
        <v>0</v>
      </c>
      <c r="AO57" s="10">
        <f>SUM('Fin Stat'!AO$148:AO$150)</f>
        <v>0</v>
      </c>
      <c r="AP57" s="10">
        <f>SUM('Fin Stat'!AP$148:AP$150)</f>
        <v>0</v>
      </c>
      <c r="AQ57" s="10">
        <f>SUM('Fin Stat'!AQ$148:AQ$150)</f>
        <v>0</v>
      </c>
      <c r="AR57" s="10">
        <f>SUM('Fin Stat'!AR$148:AR$150)</f>
        <v>0</v>
      </c>
      <c r="AS57" s="10">
        <f>SUM('Fin Stat'!AS$148:AS$150)</f>
        <v>0</v>
      </c>
      <c r="AT57" s="10">
        <f>SUM('Fin Stat'!AT$148:AT$150)</f>
        <v>0</v>
      </c>
      <c r="AU57" s="10">
        <f>SUM('Fin Stat'!AU$148:AU$150)</f>
        <v>0</v>
      </c>
      <c r="AV57" s="10">
        <f>SUM('Fin Stat'!AV$148:AV$150)</f>
        <v>0</v>
      </c>
      <c r="AW57" s="10">
        <f>SUM('Fin Stat'!AW$148:AW$150)</f>
        <v>0</v>
      </c>
      <c r="AX57" s="10">
        <f>SUM('Fin Stat'!AX$148:AX$150)</f>
        <v>0</v>
      </c>
      <c r="AY57" s="10">
        <f>SUM('Fin Stat'!AY$148:AY$150)</f>
        <v>0</v>
      </c>
      <c r="AZ57" s="10">
        <f>SUM('Fin Stat'!AZ$148:AZ$150)</f>
        <v>0</v>
      </c>
      <c r="BA57" s="10">
        <f>SUM('Fin Stat'!BA$148:BA$150)</f>
        <v>0</v>
      </c>
      <c r="BB57" s="10">
        <f>SUM('Fin Stat'!BB$148:BB$150)</f>
        <v>0</v>
      </c>
      <c r="BC57" s="10">
        <f>SUM('Fin Stat'!BC$148:BC$150)</f>
        <v>0</v>
      </c>
      <c r="BD57" s="10">
        <f>SUM('Fin Stat'!BD$148:BD$150)</f>
        <v>0</v>
      </c>
      <c r="BE57" s="10">
        <f>SUM('Fin Stat'!BE$148:BE$150)</f>
        <v>0</v>
      </c>
      <c r="BF57" s="10">
        <f>SUM('Fin Stat'!BF$148:BF$150)</f>
        <v>0</v>
      </c>
      <c r="BG57" s="10">
        <f>SUM('Fin Stat'!BG$148:BG$150)</f>
        <v>0</v>
      </c>
      <c r="BH57" s="10">
        <f>SUM('Fin Stat'!BH$148:BH$150)</f>
        <v>0</v>
      </c>
      <c r="BI57" s="10">
        <f>SUM('Fin Stat'!BI$148:BI$150)</f>
        <v>0</v>
      </c>
      <c r="BJ57" s="10">
        <f>SUM('Fin Stat'!BJ$148:BJ$150)</f>
        <v>0</v>
      </c>
      <c r="BK57" s="157"/>
      <c r="BL57" s="10">
        <f>SUM('Fin Stat'!BL$148:BL$150)</f>
        <v>0</v>
      </c>
      <c r="BM57" s="10">
        <f>SUM('Fin Stat'!BM$148:BM$150)</f>
        <v>0</v>
      </c>
      <c r="BN57" s="10">
        <f>SUM('Fin Stat'!BN$148:BN$150)</f>
        <v>0</v>
      </c>
      <c r="BO57" s="10">
        <f>SUM('Fin Stat'!BO$148:BO$150)</f>
        <v>0</v>
      </c>
      <c r="BP57" s="10">
        <f>SUM('Fin Stat'!BP$148:BP$150)</f>
        <v>0</v>
      </c>
      <c r="BQ57" s="10">
        <f>SUM('Fin Stat'!BQ$148:BQ$150)</f>
        <v>0</v>
      </c>
      <c r="BR57" s="10">
        <f>SUM('Fin Stat'!BR$148:BR$150)</f>
        <v>0</v>
      </c>
      <c r="BS57" s="10">
        <f>SUM('Fin Stat'!BS$148:BS$150)</f>
        <v>0</v>
      </c>
      <c r="BT57" s="10">
        <f>SUM('Fin Stat'!BT$148:BT$150)</f>
        <v>0</v>
      </c>
      <c r="BU57" s="10">
        <f>SUM('Fin Stat'!BU$148:BU$150)</f>
        <v>0</v>
      </c>
      <c r="BV57" s="10">
        <f>SUM('Fin Stat'!BV$148:BV$150)</f>
        <v>0</v>
      </c>
      <c r="BW57" s="10">
        <f>SUM('Fin Stat'!BW$148:BW$150)</f>
        <v>0</v>
      </c>
      <c r="BY57" s="12"/>
      <c r="CA57" s="12"/>
      <c r="CC57" s="42"/>
      <c r="EX57" s="10" t="str">
        <f t="shared" si="0"/>
        <v>Pension Provisions cash adjustments</v>
      </c>
    </row>
    <row r="58" spans="1:154" s="335" customFormat="1" x14ac:dyDescent="0.25">
      <c r="C58" s="343" t="str">
        <f>'Fin Stat'!C$151</f>
        <v>IC-1a-3</v>
      </c>
      <c r="D58" s="528" t="str">
        <f>'Fin Stat'!D$151</f>
        <v>Release of deferred capital grants</v>
      </c>
      <c r="E58" s="356"/>
      <c r="F58" s="356"/>
      <c r="G58" s="356"/>
      <c r="H58" s="356"/>
      <c r="I58" s="356"/>
      <c r="J58" s="356"/>
      <c r="K58" s="356"/>
      <c r="L58" s="356"/>
      <c r="M58" s="356"/>
      <c r="N58" s="356"/>
      <c r="O58" s="356"/>
      <c r="P58" s="356"/>
      <c r="Q58" s="356"/>
      <c r="R58" s="356"/>
      <c r="S58" s="356"/>
      <c r="T58" s="356"/>
      <c r="U58" s="356"/>
      <c r="V58" s="10">
        <f>'Fin Stat'!V$151</f>
        <v>0</v>
      </c>
      <c r="W58" s="10">
        <f>'Fin Stat'!W$151</f>
        <v>-469</v>
      </c>
      <c r="X58" s="10">
        <f>'Fin Stat'!X$151</f>
        <v>-514</v>
      </c>
      <c r="Y58" s="10">
        <f>'Fin Stat'!Y$151</f>
        <v>-571</v>
      </c>
      <c r="Z58" s="157"/>
      <c r="AA58" s="10">
        <f>'Fin Stat'!AA$151</f>
        <v>-36</v>
      </c>
      <c r="AB58" s="10">
        <f>'Fin Stat'!AB$151</f>
        <v>-38</v>
      </c>
      <c r="AC58" s="10">
        <f>'Fin Stat'!AC$151</f>
        <v>-38</v>
      </c>
      <c r="AD58" s="10">
        <f>'Fin Stat'!AD$151</f>
        <v>-38</v>
      </c>
      <c r="AE58" s="10">
        <f>'Fin Stat'!AE$151</f>
        <v>-38</v>
      </c>
      <c r="AF58" s="10">
        <f>'Fin Stat'!AF$151</f>
        <v>-38</v>
      </c>
      <c r="AG58" s="10">
        <f>'Fin Stat'!AG$151</f>
        <v>-38</v>
      </c>
      <c r="AH58" s="10">
        <f>'Fin Stat'!AH$151</f>
        <v>-41</v>
      </c>
      <c r="AI58" s="10">
        <f>'Fin Stat'!AI$151</f>
        <v>-41</v>
      </c>
      <c r="AJ58" s="10">
        <f>'Fin Stat'!AJ$151</f>
        <v>-41</v>
      </c>
      <c r="AK58" s="10">
        <f>'Fin Stat'!AK$151</f>
        <v>-41</v>
      </c>
      <c r="AL58" s="10">
        <f>'Fin Stat'!AL$151</f>
        <v>-41</v>
      </c>
      <c r="AM58" s="10">
        <f>'Fin Stat'!AM$151</f>
        <v>-36</v>
      </c>
      <c r="AN58" s="10">
        <f>'Fin Stat'!AN$151</f>
        <v>-40</v>
      </c>
      <c r="AO58" s="10">
        <f>'Fin Stat'!AO$151</f>
        <v>-40</v>
      </c>
      <c r="AP58" s="10">
        <f>'Fin Stat'!AP$151</f>
        <v>-41</v>
      </c>
      <c r="AQ58" s="10">
        <f>'Fin Stat'!AQ$151</f>
        <v>-41</v>
      </c>
      <c r="AR58" s="10">
        <f>'Fin Stat'!AR$151</f>
        <v>-41</v>
      </c>
      <c r="AS58" s="10">
        <f>'Fin Stat'!AS$151</f>
        <v>-42</v>
      </c>
      <c r="AT58" s="10">
        <f>'Fin Stat'!AT$151</f>
        <v>-46</v>
      </c>
      <c r="AU58" s="10">
        <f>'Fin Stat'!AU$151</f>
        <v>-46</v>
      </c>
      <c r="AV58" s="10">
        <f>'Fin Stat'!AV$151</f>
        <v>-46</v>
      </c>
      <c r="AW58" s="10">
        <f>'Fin Stat'!AW$151</f>
        <v>-47</v>
      </c>
      <c r="AX58" s="10">
        <f>'Fin Stat'!AX$151</f>
        <v>-48</v>
      </c>
      <c r="AY58" s="10">
        <f>'Fin Stat'!AY$151</f>
        <v>-43</v>
      </c>
      <c r="AZ58" s="10">
        <f>'Fin Stat'!AZ$151</f>
        <v>-45</v>
      </c>
      <c r="BA58" s="10">
        <f>'Fin Stat'!BA$151</f>
        <v>-46</v>
      </c>
      <c r="BB58" s="10">
        <f>'Fin Stat'!BB$151</f>
        <v>-46</v>
      </c>
      <c r="BC58" s="10">
        <f>'Fin Stat'!BC$151</f>
        <v>-46</v>
      </c>
      <c r="BD58" s="10">
        <f>'Fin Stat'!BD$151</f>
        <v>-47</v>
      </c>
      <c r="BE58" s="10">
        <f>'Fin Stat'!BE$151</f>
        <v>-47</v>
      </c>
      <c r="BF58" s="10">
        <f>'Fin Stat'!BF$151</f>
        <v>-50</v>
      </c>
      <c r="BG58" s="10">
        <f>'Fin Stat'!BG$151</f>
        <v>-50</v>
      </c>
      <c r="BH58" s="10">
        <f>'Fin Stat'!BH$151</f>
        <v>-50</v>
      </c>
      <c r="BI58" s="10">
        <f>'Fin Stat'!BI$151</f>
        <v>-50</v>
      </c>
      <c r="BJ58" s="10">
        <f>'Fin Stat'!BJ$151</f>
        <v>-51</v>
      </c>
      <c r="BK58" s="157"/>
      <c r="BL58" s="10">
        <f>'Fin Stat'!BL$151</f>
        <v>0</v>
      </c>
      <c r="BM58" s="10">
        <f>'Fin Stat'!BM$151</f>
        <v>-469</v>
      </c>
      <c r="BN58" s="10">
        <f>'Fin Stat'!BN$151</f>
        <v>-514</v>
      </c>
      <c r="BO58" s="10">
        <f>'Fin Stat'!BO$151</f>
        <v>-571</v>
      </c>
      <c r="BP58" s="10">
        <f>'Fin Stat'!BP$151</f>
        <v>0</v>
      </c>
      <c r="BQ58" s="10">
        <f>'Fin Stat'!BQ$151</f>
        <v>0</v>
      </c>
      <c r="BR58" s="10">
        <f>'Fin Stat'!BR$151</f>
        <v>0</v>
      </c>
      <c r="BS58" s="10">
        <f>'Fin Stat'!BS$151</f>
        <v>0</v>
      </c>
      <c r="BT58" s="10">
        <f>'Fin Stat'!BT$151</f>
        <v>0</v>
      </c>
      <c r="BU58" s="10">
        <f>'Fin Stat'!BU$151</f>
        <v>0</v>
      </c>
      <c r="BV58" s="10">
        <f>'Fin Stat'!BV$151</f>
        <v>0</v>
      </c>
      <c r="BW58" s="10">
        <f>'Fin Stat'!BW$151</f>
        <v>0</v>
      </c>
      <c r="BY58" s="12"/>
      <c r="CA58" s="12"/>
      <c r="CC58" s="42"/>
      <c r="EX58" s="10"/>
    </row>
    <row r="59" spans="1:154" s="335" customFormat="1" x14ac:dyDescent="0.25">
      <c r="C59" s="343" t="s">
        <v>1720</v>
      </c>
      <c r="D59" s="528" t="s">
        <v>1704</v>
      </c>
      <c r="E59" s="356"/>
      <c r="F59" s="356"/>
      <c r="G59" s="356"/>
      <c r="H59" s="356"/>
      <c r="I59" s="356"/>
      <c r="J59" s="356"/>
      <c r="K59" s="356"/>
      <c r="L59" s="356"/>
      <c r="M59" s="356"/>
      <c r="N59" s="356"/>
      <c r="O59" s="356"/>
      <c r="P59" s="356"/>
      <c r="Q59" s="356"/>
      <c r="R59" s="356"/>
      <c r="S59" s="356"/>
      <c r="T59" s="356"/>
      <c r="U59" s="356"/>
      <c r="V59" s="10">
        <f>SUM('Fin Stat'!V152:V153)</f>
        <v>0</v>
      </c>
      <c r="W59" s="10">
        <f>SUM('Fin Stat'!W152:W153)</f>
        <v>0</v>
      </c>
      <c r="X59" s="10">
        <f>SUM('Fin Stat'!X152:X153)</f>
        <v>0</v>
      </c>
      <c r="Y59" s="10">
        <f>SUM('Fin Stat'!Y152:Y153)</f>
        <v>0</v>
      </c>
      <c r="Z59" s="157"/>
      <c r="AA59" s="10">
        <f>SUM('Fin Stat'!AA152:AA153)</f>
        <v>0</v>
      </c>
      <c r="AB59" s="10">
        <f>SUM('Fin Stat'!AB152:AB153)</f>
        <v>0</v>
      </c>
      <c r="AC59" s="10">
        <f>SUM('Fin Stat'!AC152:AC153)</f>
        <v>0</v>
      </c>
      <c r="AD59" s="10">
        <f>SUM('Fin Stat'!AD152:AD153)</f>
        <v>0</v>
      </c>
      <c r="AE59" s="10">
        <f>SUM('Fin Stat'!AE152:AE153)</f>
        <v>0</v>
      </c>
      <c r="AF59" s="10">
        <f>SUM('Fin Stat'!AF152:AF153)</f>
        <v>0</v>
      </c>
      <c r="AG59" s="10">
        <f>SUM('Fin Stat'!AG152:AG153)</f>
        <v>0</v>
      </c>
      <c r="AH59" s="10">
        <f>SUM('Fin Stat'!AH152:AH153)</f>
        <v>0</v>
      </c>
      <c r="AI59" s="10">
        <f>SUM('Fin Stat'!AI152:AI153)</f>
        <v>0</v>
      </c>
      <c r="AJ59" s="10">
        <f>SUM('Fin Stat'!AJ152:AJ153)</f>
        <v>0</v>
      </c>
      <c r="AK59" s="10">
        <f>SUM('Fin Stat'!AK152:AK153)</f>
        <v>0</v>
      </c>
      <c r="AL59" s="10">
        <f>SUM('Fin Stat'!AL152:AL153)</f>
        <v>0</v>
      </c>
      <c r="AM59" s="10">
        <f>SUM('Fin Stat'!AM152:AM153)</f>
        <v>0</v>
      </c>
      <c r="AN59" s="10">
        <f>SUM('Fin Stat'!AN152:AN153)</f>
        <v>0</v>
      </c>
      <c r="AO59" s="10">
        <f>SUM('Fin Stat'!AO152:AO153)</f>
        <v>0</v>
      </c>
      <c r="AP59" s="10">
        <f>SUM('Fin Stat'!AP152:AP153)</f>
        <v>0</v>
      </c>
      <c r="AQ59" s="10">
        <f>SUM('Fin Stat'!AQ152:AQ153)</f>
        <v>0</v>
      </c>
      <c r="AR59" s="10">
        <f>SUM('Fin Stat'!AR152:AR153)</f>
        <v>0</v>
      </c>
      <c r="AS59" s="10">
        <f>SUM('Fin Stat'!AS152:AS153)</f>
        <v>0</v>
      </c>
      <c r="AT59" s="10">
        <f>SUM('Fin Stat'!AT152:AT153)</f>
        <v>0</v>
      </c>
      <c r="AU59" s="10">
        <f>SUM('Fin Stat'!AU152:AU153)</f>
        <v>0</v>
      </c>
      <c r="AV59" s="10">
        <f>SUM('Fin Stat'!AV152:AV153)</f>
        <v>0</v>
      </c>
      <c r="AW59" s="10">
        <f>SUM('Fin Stat'!AW152:AW153)</f>
        <v>0</v>
      </c>
      <c r="AX59" s="10">
        <f>SUM('Fin Stat'!AX152:AX153)</f>
        <v>0</v>
      </c>
      <c r="AY59" s="10">
        <f>SUM('Fin Stat'!AY152:AY153)</f>
        <v>0</v>
      </c>
      <c r="AZ59" s="10">
        <f>SUM('Fin Stat'!AZ152:AZ153)</f>
        <v>0</v>
      </c>
      <c r="BA59" s="10">
        <f>SUM('Fin Stat'!BA152:BA153)</f>
        <v>0</v>
      </c>
      <c r="BB59" s="10">
        <f>SUM('Fin Stat'!BB152:BB153)</f>
        <v>0</v>
      </c>
      <c r="BC59" s="10">
        <f>SUM('Fin Stat'!BC152:BC153)</f>
        <v>0</v>
      </c>
      <c r="BD59" s="10">
        <f>SUM('Fin Stat'!BD152:BD153)</f>
        <v>0</v>
      </c>
      <c r="BE59" s="10">
        <f>SUM('Fin Stat'!BE152:BE153)</f>
        <v>0</v>
      </c>
      <c r="BF59" s="10">
        <f>SUM('Fin Stat'!BF152:BF153)</f>
        <v>0</v>
      </c>
      <c r="BG59" s="10">
        <f>SUM('Fin Stat'!BG152:BG153)</f>
        <v>0</v>
      </c>
      <c r="BH59" s="10">
        <f>SUM('Fin Stat'!BH152:BH153)</f>
        <v>0</v>
      </c>
      <c r="BI59" s="10">
        <f>SUM('Fin Stat'!BI152:BI153)</f>
        <v>0</v>
      </c>
      <c r="BJ59" s="10">
        <f>SUM('Fin Stat'!BJ152:BJ153)</f>
        <v>0</v>
      </c>
      <c r="BK59" s="157"/>
      <c r="BL59" s="10">
        <f>SUM('Fin Stat'!BL152:BL153)</f>
        <v>0</v>
      </c>
      <c r="BM59" s="10">
        <f>SUM('Fin Stat'!BM152:BM153)</f>
        <v>0</v>
      </c>
      <c r="BN59" s="10">
        <f>SUM('Fin Stat'!BN152:BN153)</f>
        <v>0</v>
      </c>
      <c r="BO59" s="10">
        <f>SUM('Fin Stat'!BO152:BO153)</f>
        <v>0</v>
      </c>
      <c r="BP59" s="10">
        <f>SUM('Fin Stat'!BP152:BP153)</f>
        <v>0</v>
      </c>
      <c r="BQ59" s="10">
        <f>SUM('Fin Stat'!BQ152:BQ153)</f>
        <v>0</v>
      </c>
      <c r="BR59" s="10">
        <f>SUM('Fin Stat'!BR152:BR153)</f>
        <v>0</v>
      </c>
      <c r="BS59" s="10">
        <f>SUM('Fin Stat'!BS152:BS153)</f>
        <v>0</v>
      </c>
      <c r="BT59" s="10">
        <f>SUM('Fin Stat'!BT152:BT153)</f>
        <v>0</v>
      </c>
      <c r="BU59" s="10">
        <f>SUM('Fin Stat'!BU152:BU153)</f>
        <v>0</v>
      </c>
      <c r="BV59" s="10">
        <f>SUM('Fin Stat'!BV152:BV153)</f>
        <v>0</v>
      </c>
      <c r="BW59" s="10">
        <f>SUM('Fin Stat'!BW152:BW153)</f>
        <v>0</v>
      </c>
      <c r="BY59" s="12"/>
      <c r="CA59" s="12"/>
      <c r="CC59" s="42"/>
      <c r="EX59" s="10" t="str">
        <f t="shared" si="0"/>
        <v>Other non-cash adjustments</v>
      </c>
    </row>
    <row r="60" spans="1:154" s="335" customFormat="1" ht="8.1" customHeight="1" x14ac:dyDescent="0.25">
      <c r="A60" s="157"/>
      <c r="B60" s="157"/>
      <c r="C60" s="343"/>
      <c r="D60" s="522"/>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42"/>
      <c r="CA60" s="42"/>
      <c r="CC60" s="42"/>
      <c r="EX60" s="10" t="str">
        <f t="shared" si="0"/>
        <v/>
      </c>
    </row>
    <row r="61" spans="1:154" s="335" customFormat="1" x14ac:dyDescent="0.25">
      <c r="C61" s="343" t="s">
        <v>1474</v>
      </c>
      <c r="D61" s="528" t="s">
        <v>1705</v>
      </c>
      <c r="E61" s="356"/>
      <c r="F61" s="356"/>
      <c r="G61" s="356"/>
      <c r="H61" s="356"/>
      <c r="I61" s="356"/>
      <c r="J61" s="356"/>
      <c r="K61" s="356"/>
      <c r="L61" s="356"/>
      <c r="M61" s="356"/>
      <c r="N61" s="356"/>
      <c r="O61" s="356"/>
      <c r="P61" s="356"/>
      <c r="Q61" s="356"/>
      <c r="R61" s="356"/>
      <c r="S61" s="356"/>
      <c r="T61" s="356"/>
      <c r="U61" s="356"/>
      <c r="V61" s="10">
        <f>SUM('Fin Stat'!V$157:V$159)</f>
        <v>0</v>
      </c>
      <c r="W61" s="10">
        <f>SUM('Fin Stat'!W$157:W$159)</f>
        <v>-994</v>
      </c>
      <c r="X61" s="10">
        <f>SUM('Fin Stat'!X$157:X$159)</f>
        <v>71</v>
      </c>
      <c r="Y61" s="10">
        <f>SUM('Fin Stat'!Y$157:Y$159)</f>
        <v>0</v>
      </c>
      <c r="Z61" s="157"/>
      <c r="AA61" s="10">
        <f>SUM('Fin Stat'!AA$157:AA$159)</f>
        <v>-869</v>
      </c>
      <c r="AB61" s="10">
        <f>SUM('Fin Stat'!AB$157:AB$159)</f>
        <v>-300</v>
      </c>
      <c r="AC61" s="10">
        <f>SUM('Fin Stat'!AC$157:AC$159)</f>
        <v>0</v>
      </c>
      <c r="AD61" s="10">
        <f>SUM('Fin Stat'!AD$157:AD$159)</f>
        <v>0</v>
      </c>
      <c r="AE61" s="10">
        <f>SUM('Fin Stat'!AE$157:AE$159)</f>
        <v>100</v>
      </c>
      <c r="AF61" s="10">
        <f>SUM('Fin Stat'!AF$157:AF$159)</f>
        <v>0</v>
      </c>
      <c r="AG61" s="10">
        <f>SUM('Fin Stat'!AG$157:AG$159)</f>
        <v>0</v>
      </c>
      <c r="AH61" s="10">
        <f>SUM('Fin Stat'!AH$157:AH$159)</f>
        <v>0</v>
      </c>
      <c r="AI61" s="10">
        <f>SUM('Fin Stat'!AI$157:AI$159)</f>
        <v>0</v>
      </c>
      <c r="AJ61" s="10">
        <f>SUM('Fin Stat'!AJ$157:AJ$159)</f>
        <v>0</v>
      </c>
      <c r="AK61" s="10">
        <f>SUM('Fin Stat'!AK$157:AK$159)</f>
        <v>50</v>
      </c>
      <c r="AL61" s="10">
        <f>SUM('Fin Stat'!AL$157:AL$159)</f>
        <v>25</v>
      </c>
      <c r="AM61" s="10">
        <f>SUM('Fin Stat'!AM$157:AM$159)</f>
        <v>100</v>
      </c>
      <c r="AN61" s="10">
        <f>SUM('Fin Stat'!AN$157:AN$159)</f>
        <v>-129</v>
      </c>
      <c r="AO61" s="10">
        <f>SUM('Fin Stat'!AO$157:AO$159)</f>
        <v>0</v>
      </c>
      <c r="AP61" s="10">
        <f>SUM('Fin Stat'!AP$157:AP$159)</f>
        <v>0</v>
      </c>
      <c r="AQ61" s="10">
        <f>SUM('Fin Stat'!AQ$157:AQ$159)</f>
        <v>0</v>
      </c>
      <c r="AR61" s="10">
        <f>SUM('Fin Stat'!AR$157:AR$159)</f>
        <v>0</v>
      </c>
      <c r="AS61" s="10">
        <f>SUM('Fin Stat'!AS$157:AS$159)</f>
        <v>100</v>
      </c>
      <c r="AT61" s="10">
        <f>SUM('Fin Stat'!AT$157:AT$159)</f>
        <v>0</v>
      </c>
      <c r="AU61" s="10">
        <f>SUM('Fin Stat'!AU$157:AU$159)</f>
        <v>0</v>
      </c>
      <c r="AV61" s="10">
        <f>SUM('Fin Stat'!AV$157:AV$159)</f>
        <v>0</v>
      </c>
      <c r="AW61" s="10">
        <f>SUM('Fin Stat'!AW$157:AW$159)</f>
        <v>0</v>
      </c>
      <c r="AX61" s="10">
        <f>SUM('Fin Stat'!AX$157:AX$159)</f>
        <v>0</v>
      </c>
      <c r="AY61" s="10">
        <f>SUM('Fin Stat'!AY$157:AY$159)</f>
        <v>-50</v>
      </c>
      <c r="AZ61" s="10">
        <f>SUM('Fin Stat'!AZ$157:AZ$159)</f>
        <v>-100</v>
      </c>
      <c r="BA61" s="10">
        <f>SUM('Fin Stat'!BA$157:BA$159)</f>
        <v>0</v>
      </c>
      <c r="BB61" s="10">
        <f>SUM('Fin Stat'!BB$157:BB$159)</f>
        <v>0</v>
      </c>
      <c r="BC61" s="10">
        <f>SUM('Fin Stat'!BC$157:BC$159)</f>
        <v>0</v>
      </c>
      <c r="BD61" s="10">
        <f>SUM('Fin Stat'!BD$157:BD$159)</f>
        <v>50</v>
      </c>
      <c r="BE61" s="10">
        <f>SUM('Fin Stat'!BE$157:BE$159)</f>
        <v>0</v>
      </c>
      <c r="BF61" s="10">
        <f>SUM('Fin Stat'!BF$157:BF$159)</f>
        <v>0</v>
      </c>
      <c r="BG61" s="10">
        <f>SUM('Fin Stat'!BG$157:BG$159)</f>
        <v>100</v>
      </c>
      <c r="BH61" s="10">
        <f>SUM('Fin Stat'!BH$157:BH$159)</f>
        <v>0</v>
      </c>
      <c r="BI61" s="10">
        <f>SUM('Fin Stat'!BI$157:BI$159)</f>
        <v>0</v>
      </c>
      <c r="BJ61" s="10">
        <f>SUM('Fin Stat'!BJ$157:BJ$159)</f>
        <v>0</v>
      </c>
      <c r="BK61" s="157"/>
      <c r="BL61" s="10">
        <f>SUM('Fin Stat'!BL$157:BL$159)</f>
        <v>0</v>
      </c>
      <c r="BM61" s="10">
        <f>SUM('Fin Stat'!BM$157:BM$159)</f>
        <v>-994</v>
      </c>
      <c r="BN61" s="10">
        <f>SUM('Fin Stat'!BN$157:BN$159)</f>
        <v>71</v>
      </c>
      <c r="BO61" s="10">
        <f>SUM('Fin Stat'!BO$157:BO$159)</f>
        <v>0</v>
      </c>
      <c r="BP61" s="10">
        <f>SUM('Fin Stat'!BP$157:BP$159)</f>
        <v>280</v>
      </c>
      <c r="BQ61" s="10">
        <f>SUM('Fin Stat'!BQ$157:BQ$159)</f>
        <v>0</v>
      </c>
      <c r="BR61" s="10">
        <f>SUM('Fin Stat'!BR$157:BR$159)</f>
        <v>0</v>
      </c>
      <c r="BS61" s="10">
        <f>SUM('Fin Stat'!BS$157:BS$159)</f>
        <v>0</v>
      </c>
      <c r="BT61" s="10">
        <f>SUM('Fin Stat'!BT$157:BT$159)</f>
        <v>0</v>
      </c>
      <c r="BU61" s="10">
        <f>SUM('Fin Stat'!BU$157:BU$159)</f>
        <v>0</v>
      </c>
      <c r="BV61" s="10">
        <f>SUM('Fin Stat'!BV$157:BV$159)</f>
        <v>0</v>
      </c>
      <c r="BW61" s="10">
        <f>SUM('Fin Stat'!BW$157:BW$159)</f>
        <v>0</v>
      </c>
      <c r="BY61" s="12"/>
      <c r="CA61" s="12"/>
      <c r="CC61" s="42"/>
      <c r="EX61" s="10" t="str">
        <f t="shared" si="0"/>
        <v>Movement in Working Capital</v>
      </c>
    </row>
    <row r="62" spans="1:154" s="335" customFormat="1" x14ac:dyDescent="0.25">
      <c r="C62" s="343" t="s">
        <v>1475</v>
      </c>
      <c r="D62" s="528" t="s">
        <v>1706</v>
      </c>
      <c r="E62" s="356"/>
      <c r="F62" s="356"/>
      <c r="G62" s="356"/>
      <c r="H62" s="356"/>
      <c r="I62" s="356"/>
      <c r="J62" s="356"/>
      <c r="K62" s="356"/>
      <c r="L62" s="356"/>
      <c r="M62" s="356"/>
      <c r="N62" s="356"/>
      <c r="O62" s="356"/>
      <c r="P62" s="356"/>
      <c r="Q62" s="356"/>
      <c r="R62" s="356"/>
      <c r="S62" s="356"/>
      <c r="T62" s="356"/>
      <c r="U62" s="356"/>
      <c r="V62" s="10">
        <f>SUM('Fin Stat'!V$160, 'Fin Stat'!V$161)</f>
        <v>0</v>
      </c>
      <c r="W62" s="10">
        <f>SUM('Fin Stat'!W$160, 'Fin Stat'!W$161)</f>
        <v>0</v>
      </c>
      <c r="X62" s="10">
        <f>SUM('Fin Stat'!X$160, 'Fin Stat'!X$161)</f>
        <v>0</v>
      </c>
      <c r="Y62" s="10">
        <f>SUM('Fin Stat'!Y$160, 'Fin Stat'!Y$161)</f>
        <v>0</v>
      </c>
      <c r="Z62" s="157"/>
      <c r="AA62" s="10">
        <f>SUM('Fin Stat'!AA$160, 'Fin Stat'!AA$161)</f>
        <v>0</v>
      </c>
      <c r="AB62" s="10">
        <f>SUM('Fin Stat'!AB$160, 'Fin Stat'!AB$161)</f>
        <v>0</v>
      </c>
      <c r="AC62" s="10">
        <f>SUM('Fin Stat'!AC$160, 'Fin Stat'!AC$161)</f>
        <v>0</v>
      </c>
      <c r="AD62" s="10">
        <f>SUM('Fin Stat'!AD$160, 'Fin Stat'!AD$161)</f>
        <v>0</v>
      </c>
      <c r="AE62" s="10">
        <f>SUM('Fin Stat'!AE$160, 'Fin Stat'!AE$161)</f>
        <v>0</v>
      </c>
      <c r="AF62" s="10">
        <f>SUM('Fin Stat'!AF$160, 'Fin Stat'!AF$161)</f>
        <v>0</v>
      </c>
      <c r="AG62" s="10">
        <f>SUM('Fin Stat'!AG$160, 'Fin Stat'!AG$161)</f>
        <v>0</v>
      </c>
      <c r="AH62" s="10">
        <f>SUM('Fin Stat'!AH$160, 'Fin Stat'!AH$161)</f>
        <v>0</v>
      </c>
      <c r="AI62" s="10">
        <f>SUM('Fin Stat'!AI$160, 'Fin Stat'!AI$161)</f>
        <v>0</v>
      </c>
      <c r="AJ62" s="10">
        <f>SUM('Fin Stat'!AJ$160, 'Fin Stat'!AJ$161)</f>
        <v>0</v>
      </c>
      <c r="AK62" s="10">
        <f>SUM('Fin Stat'!AK$160, 'Fin Stat'!AK$161)</f>
        <v>0</v>
      </c>
      <c r="AL62" s="10">
        <f>SUM('Fin Stat'!AL$160, 'Fin Stat'!AL$161)</f>
        <v>0</v>
      </c>
      <c r="AM62" s="10">
        <f>SUM('Fin Stat'!AM$160, 'Fin Stat'!AM$161)</f>
        <v>0</v>
      </c>
      <c r="AN62" s="10">
        <f>SUM('Fin Stat'!AN$160, 'Fin Stat'!AN$161)</f>
        <v>0</v>
      </c>
      <c r="AO62" s="10">
        <f>SUM('Fin Stat'!AO$160, 'Fin Stat'!AO$161)</f>
        <v>0</v>
      </c>
      <c r="AP62" s="10">
        <f>SUM('Fin Stat'!AP$160, 'Fin Stat'!AP$161)</f>
        <v>0</v>
      </c>
      <c r="AQ62" s="10">
        <f>SUM('Fin Stat'!AQ$160, 'Fin Stat'!AQ$161)</f>
        <v>0</v>
      </c>
      <c r="AR62" s="10">
        <f>SUM('Fin Stat'!AR$160, 'Fin Stat'!AR$161)</f>
        <v>0</v>
      </c>
      <c r="AS62" s="10">
        <f>SUM('Fin Stat'!AS$160, 'Fin Stat'!AS$161)</f>
        <v>0</v>
      </c>
      <c r="AT62" s="10">
        <f>SUM('Fin Stat'!AT$160, 'Fin Stat'!AT$161)</f>
        <v>0</v>
      </c>
      <c r="AU62" s="10">
        <f>SUM('Fin Stat'!AU$160, 'Fin Stat'!AU$161)</f>
        <v>0</v>
      </c>
      <c r="AV62" s="10">
        <f>SUM('Fin Stat'!AV$160, 'Fin Stat'!AV$161)</f>
        <v>0</v>
      </c>
      <c r="AW62" s="10">
        <f>SUM('Fin Stat'!AW$160, 'Fin Stat'!AW$161)</f>
        <v>0</v>
      </c>
      <c r="AX62" s="10">
        <f>SUM('Fin Stat'!AX$160, 'Fin Stat'!AX$161)</f>
        <v>0</v>
      </c>
      <c r="AY62" s="10">
        <f>SUM('Fin Stat'!AY$160, 'Fin Stat'!AY$161)</f>
        <v>0</v>
      </c>
      <c r="AZ62" s="10">
        <f>SUM('Fin Stat'!AZ$160, 'Fin Stat'!AZ$161)</f>
        <v>0</v>
      </c>
      <c r="BA62" s="10">
        <f>SUM('Fin Stat'!BA$160, 'Fin Stat'!BA$161)</f>
        <v>0</v>
      </c>
      <c r="BB62" s="10">
        <f>SUM('Fin Stat'!BB$160, 'Fin Stat'!BB$161)</f>
        <v>0</v>
      </c>
      <c r="BC62" s="10">
        <f>SUM('Fin Stat'!BC$160, 'Fin Stat'!BC$161)</f>
        <v>0</v>
      </c>
      <c r="BD62" s="10">
        <f>SUM('Fin Stat'!BD$160, 'Fin Stat'!BD$161)</f>
        <v>0</v>
      </c>
      <c r="BE62" s="10">
        <f>SUM('Fin Stat'!BE$160, 'Fin Stat'!BE$161)</f>
        <v>0</v>
      </c>
      <c r="BF62" s="10">
        <f>SUM('Fin Stat'!BF$160, 'Fin Stat'!BF$161)</f>
        <v>0</v>
      </c>
      <c r="BG62" s="10">
        <f>SUM('Fin Stat'!BG$160, 'Fin Stat'!BG$161)</f>
        <v>0</v>
      </c>
      <c r="BH62" s="10">
        <f>SUM('Fin Stat'!BH$160, 'Fin Stat'!BH$161)</f>
        <v>0</v>
      </c>
      <c r="BI62" s="10">
        <f>SUM('Fin Stat'!BI$160, 'Fin Stat'!BI$161)</f>
        <v>0</v>
      </c>
      <c r="BJ62" s="10">
        <f>SUM('Fin Stat'!BJ$160, 'Fin Stat'!BJ$161)</f>
        <v>0</v>
      </c>
      <c r="BK62" s="157"/>
      <c r="BL62" s="10">
        <f>SUM('Fin Stat'!BL$160, 'Fin Stat'!BL$161)</f>
        <v>0</v>
      </c>
      <c r="BM62" s="10">
        <f>SUM('Fin Stat'!BM$160, 'Fin Stat'!BM$161)</f>
        <v>0</v>
      </c>
      <c r="BN62" s="10">
        <f>SUM('Fin Stat'!BN$160, 'Fin Stat'!BN$161)</f>
        <v>0</v>
      </c>
      <c r="BO62" s="10">
        <f>SUM('Fin Stat'!BO$160, 'Fin Stat'!BO$161)</f>
        <v>0</v>
      </c>
      <c r="BP62" s="10">
        <f>SUM('Fin Stat'!BP$160, 'Fin Stat'!BP$161)</f>
        <v>-38</v>
      </c>
      <c r="BQ62" s="10">
        <f>SUM('Fin Stat'!BQ$160, 'Fin Stat'!BQ$161)</f>
        <v>0</v>
      </c>
      <c r="BR62" s="10">
        <f>SUM('Fin Stat'!BR$160, 'Fin Stat'!BR$161)</f>
        <v>0</v>
      </c>
      <c r="BS62" s="10">
        <f>SUM('Fin Stat'!BS$160, 'Fin Stat'!BS$161)</f>
        <v>0</v>
      </c>
      <c r="BT62" s="10">
        <f>SUM('Fin Stat'!BT$160, 'Fin Stat'!BT$161)</f>
        <v>0</v>
      </c>
      <c r="BU62" s="10">
        <f>SUM('Fin Stat'!BU$160, 'Fin Stat'!BU$161)</f>
        <v>0</v>
      </c>
      <c r="BV62" s="10">
        <f>SUM('Fin Stat'!BV$160, 'Fin Stat'!BV$161)</f>
        <v>0</v>
      </c>
      <c r="BW62" s="10">
        <f>SUM('Fin Stat'!BW$160, 'Fin Stat'!BW$161)</f>
        <v>0</v>
      </c>
      <c r="BY62" s="12"/>
      <c r="CA62" s="12"/>
      <c r="CC62" s="42"/>
      <c r="EX62" s="10" t="str">
        <f t="shared" si="0"/>
        <v>Movement in debtors and creditors falling due after one year</v>
      </c>
    </row>
    <row r="63" spans="1:154" s="335" customFormat="1" x14ac:dyDescent="0.25">
      <c r="C63" s="343" t="s">
        <v>1476</v>
      </c>
      <c r="D63" s="528" t="s">
        <v>1732</v>
      </c>
      <c r="E63" s="356"/>
      <c r="F63" s="356"/>
      <c r="G63" s="356"/>
      <c r="H63" s="356"/>
      <c r="I63" s="356"/>
      <c r="J63" s="356"/>
      <c r="K63" s="356"/>
      <c r="L63" s="356"/>
      <c r="M63" s="356"/>
      <c r="N63" s="356"/>
      <c r="O63" s="356"/>
      <c r="P63" s="356"/>
      <c r="Q63" s="356"/>
      <c r="R63" s="356"/>
      <c r="S63" s="356"/>
      <c r="T63" s="356"/>
      <c r="U63" s="356"/>
      <c r="V63" s="10">
        <f>SUM('Fin Stat'!V$162:V$163)</f>
        <v>0</v>
      </c>
      <c r="W63" s="10">
        <f>SUM('Fin Stat'!W$162:W$163)</f>
        <v>29</v>
      </c>
      <c r="X63" s="10">
        <f>SUM('Fin Stat'!X$162:X$163)</f>
        <v>10</v>
      </c>
      <c r="Y63" s="10">
        <f>SUM('Fin Stat'!Y$162:Y$163)</f>
        <v>10</v>
      </c>
      <c r="Z63" s="157"/>
      <c r="AA63" s="10">
        <f>SUM('Fin Stat'!AA$162:AA$163)</f>
        <v>29</v>
      </c>
      <c r="AB63" s="10">
        <f>SUM('Fin Stat'!AB$162:AB$163)</f>
        <v>0</v>
      </c>
      <c r="AC63" s="10">
        <f>SUM('Fin Stat'!AC$162:AC$163)</f>
        <v>0</v>
      </c>
      <c r="AD63" s="10">
        <f>SUM('Fin Stat'!AD$162:AD$163)</f>
        <v>0</v>
      </c>
      <c r="AE63" s="10">
        <f>SUM('Fin Stat'!AE$162:AE$163)</f>
        <v>0</v>
      </c>
      <c r="AF63" s="10">
        <f>SUM('Fin Stat'!AF$162:AF$163)</f>
        <v>0</v>
      </c>
      <c r="AG63" s="10">
        <f>SUM('Fin Stat'!AG$162:AG$163)</f>
        <v>0</v>
      </c>
      <c r="AH63" s="10">
        <f>SUM('Fin Stat'!AH$162:AH$163)</f>
        <v>0</v>
      </c>
      <c r="AI63" s="10">
        <f>SUM('Fin Stat'!AI$162:AI$163)</f>
        <v>0</v>
      </c>
      <c r="AJ63" s="10">
        <f>SUM('Fin Stat'!AJ$162:AJ$163)</f>
        <v>0</v>
      </c>
      <c r="AK63" s="10">
        <f>SUM('Fin Stat'!AK$162:AK$163)</f>
        <v>0</v>
      </c>
      <c r="AL63" s="10">
        <f>SUM('Fin Stat'!AL$162:AL$163)</f>
        <v>0</v>
      </c>
      <c r="AM63" s="10">
        <f>SUM('Fin Stat'!AM$162:AM$163)</f>
        <v>10</v>
      </c>
      <c r="AN63" s="10">
        <f>SUM('Fin Stat'!AN$162:AN$163)</f>
        <v>0</v>
      </c>
      <c r="AO63" s="10">
        <f>SUM('Fin Stat'!AO$162:AO$163)</f>
        <v>0</v>
      </c>
      <c r="AP63" s="10">
        <f>SUM('Fin Stat'!AP$162:AP$163)</f>
        <v>0</v>
      </c>
      <c r="AQ63" s="10">
        <f>SUM('Fin Stat'!AQ$162:AQ$163)</f>
        <v>0</v>
      </c>
      <c r="AR63" s="10">
        <f>SUM('Fin Stat'!AR$162:AR$163)</f>
        <v>0</v>
      </c>
      <c r="AS63" s="10">
        <f>SUM('Fin Stat'!AS$162:AS$163)</f>
        <v>0</v>
      </c>
      <c r="AT63" s="10">
        <f>SUM('Fin Stat'!AT$162:AT$163)</f>
        <v>0</v>
      </c>
      <c r="AU63" s="10">
        <f>SUM('Fin Stat'!AU$162:AU$163)</f>
        <v>0</v>
      </c>
      <c r="AV63" s="10">
        <f>SUM('Fin Stat'!AV$162:AV$163)</f>
        <v>0</v>
      </c>
      <c r="AW63" s="10">
        <f>SUM('Fin Stat'!AW$162:AW$163)</f>
        <v>0</v>
      </c>
      <c r="AX63" s="10">
        <f>SUM('Fin Stat'!AX$162:AX$163)</f>
        <v>0</v>
      </c>
      <c r="AY63" s="10">
        <f>SUM('Fin Stat'!AY$162:AY$163)</f>
        <v>10</v>
      </c>
      <c r="AZ63" s="10">
        <f>SUM('Fin Stat'!AZ$162:AZ$163)</f>
        <v>0</v>
      </c>
      <c r="BA63" s="10">
        <f>SUM('Fin Stat'!BA$162:BA$163)</f>
        <v>0</v>
      </c>
      <c r="BB63" s="10">
        <f>SUM('Fin Stat'!BB$162:BB$163)</f>
        <v>0</v>
      </c>
      <c r="BC63" s="10">
        <f>SUM('Fin Stat'!BC$162:BC$163)</f>
        <v>0</v>
      </c>
      <c r="BD63" s="10">
        <f>SUM('Fin Stat'!BD$162:BD$163)</f>
        <v>0</v>
      </c>
      <c r="BE63" s="10">
        <f>SUM('Fin Stat'!BE$162:BE$163)</f>
        <v>0</v>
      </c>
      <c r="BF63" s="10">
        <f>SUM('Fin Stat'!BF$162:BF$163)</f>
        <v>0</v>
      </c>
      <c r="BG63" s="10">
        <f>SUM('Fin Stat'!BG$162:BG$163)</f>
        <v>0</v>
      </c>
      <c r="BH63" s="10">
        <f>SUM('Fin Stat'!BH$162:BH$163)</f>
        <v>0</v>
      </c>
      <c r="BI63" s="10">
        <f>SUM('Fin Stat'!BI$162:BI$163)</f>
        <v>0</v>
      </c>
      <c r="BJ63" s="10">
        <f>SUM('Fin Stat'!BJ$162:BJ$163)</f>
        <v>0</v>
      </c>
      <c r="BK63" s="157"/>
      <c r="BL63" s="10">
        <f>SUM('Fin Stat'!BL$162:BL$163)</f>
        <v>0</v>
      </c>
      <c r="BM63" s="10">
        <f>SUM('Fin Stat'!BM$162:BM$163)</f>
        <v>29</v>
      </c>
      <c r="BN63" s="10">
        <f>SUM('Fin Stat'!BN$162:BN$163)</f>
        <v>10</v>
      </c>
      <c r="BO63" s="10">
        <f>SUM('Fin Stat'!BO$162:BO$163)</f>
        <v>10</v>
      </c>
      <c r="BP63" s="10">
        <f>SUM('Fin Stat'!BP$162:BP$163)</f>
        <v>-620</v>
      </c>
      <c r="BQ63" s="10">
        <f>SUM('Fin Stat'!BQ$162:BQ$163)</f>
        <v>0</v>
      </c>
      <c r="BR63" s="10">
        <f>SUM('Fin Stat'!BR$162:BR$163)</f>
        <v>0</v>
      </c>
      <c r="BS63" s="10">
        <f>SUM('Fin Stat'!BS$162:BS$163)</f>
        <v>0</v>
      </c>
      <c r="BT63" s="10">
        <f>SUM('Fin Stat'!BT$162:BT$163)</f>
        <v>0</v>
      </c>
      <c r="BU63" s="10">
        <f>SUM('Fin Stat'!BU$162:BU$163)</f>
        <v>0</v>
      </c>
      <c r="BV63" s="10">
        <f>SUM('Fin Stat'!BV$162:BV$163)</f>
        <v>0</v>
      </c>
      <c r="BW63" s="10">
        <f>SUM('Fin Stat'!BW$162:BW$163)</f>
        <v>0</v>
      </c>
      <c r="BY63" s="12"/>
      <c r="CA63" s="12"/>
      <c r="CC63" s="42"/>
      <c r="EX63" s="10" t="str">
        <f>IF($C63="","",$D63)</f>
        <v>Movements in taxes</v>
      </c>
    </row>
    <row r="64" spans="1:154" s="335" customFormat="1" x14ac:dyDescent="0.25">
      <c r="C64" s="343" t="s">
        <v>1721</v>
      </c>
      <c r="D64" s="528" t="s">
        <v>1707</v>
      </c>
      <c r="E64" s="356"/>
      <c r="F64" s="356"/>
      <c r="G64" s="356"/>
      <c r="H64" s="356"/>
      <c r="I64" s="356"/>
      <c r="J64" s="356"/>
      <c r="K64" s="356"/>
      <c r="L64" s="356"/>
      <c r="M64" s="356"/>
      <c r="N64" s="356"/>
      <c r="O64" s="356"/>
      <c r="P64" s="356"/>
      <c r="Q64" s="356"/>
      <c r="R64" s="356"/>
      <c r="S64" s="356"/>
      <c r="T64" s="356"/>
      <c r="U64" s="356"/>
      <c r="V64" s="10">
        <f>SUM('Fin Stat'!V$164:V$172)</f>
        <v>0</v>
      </c>
      <c r="W64" s="10">
        <f>SUM('Fin Stat'!W$164:W$172)</f>
        <v>4369</v>
      </c>
      <c r="X64" s="10">
        <f>SUM('Fin Stat'!X$164:X$172)</f>
        <v>298</v>
      </c>
      <c r="Y64" s="10">
        <f>SUM('Fin Stat'!Y$164:Y$172)</f>
        <v>-70</v>
      </c>
      <c r="Z64" s="157"/>
      <c r="AA64" s="10">
        <f>SUM('Fin Stat'!AA$164:AA$172)</f>
        <v>4344</v>
      </c>
      <c r="AB64" s="10">
        <f>SUM('Fin Stat'!AB$164:AB$172)</f>
        <v>100</v>
      </c>
      <c r="AC64" s="10">
        <f>SUM('Fin Stat'!AC$164:AC$172)</f>
        <v>100</v>
      </c>
      <c r="AD64" s="10">
        <f>SUM('Fin Stat'!AD$164:AD$172)</f>
        <v>200</v>
      </c>
      <c r="AE64" s="10">
        <f>SUM('Fin Stat'!AE$164:AE$172)</f>
        <v>-100</v>
      </c>
      <c r="AF64" s="10">
        <f>SUM('Fin Stat'!AF$164:AF$172)</f>
        <v>0</v>
      </c>
      <c r="AG64" s="10">
        <f>SUM('Fin Stat'!AG$164:AG$172)</f>
        <v>0</v>
      </c>
      <c r="AH64" s="10">
        <f>SUM('Fin Stat'!AH$164:AH$172)</f>
        <v>0</v>
      </c>
      <c r="AI64" s="10">
        <f>SUM('Fin Stat'!AI$164:AI$172)</f>
        <v>100</v>
      </c>
      <c r="AJ64" s="10">
        <f>SUM('Fin Stat'!AJ$164:AJ$172)</f>
        <v>0</v>
      </c>
      <c r="AK64" s="10">
        <f>SUM('Fin Stat'!AK$164:AK$172)</f>
        <v>0</v>
      </c>
      <c r="AL64" s="10">
        <f>SUM('Fin Stat'!AL$164:AL$172)</f>
        <v>-375</v>
      </c>
      <c r="AM64" s="10">
        <f>SUM('Fin Stat'!AM$164:AM$172)</f>
        <v>687</v>
      </c>
      <c r="AN64" s="10">
        <f>SUM('Fin Stat'!AN$164:AN$172)</f>
        <v>0</v>
      </c>
      <c r="AO64" s="10">
        <f>SUM('Fin Stat'!AO$164:AO$172)</f>
        <v>0</v>
      </c>
      <c r="AP64" s="10">
        <f>SUM('Fin Stat'!AP$164:AP$172)</f>
        <v>0</v>
      </c>
      <c r="AQ64" s="10">
        <f>SUM('Fin Stat'!AQ$164:AQ$172)</f>
        <v>0</v>
      </c>
      <c r="AR64" s="10">
        <f>SUM('Fin Stat'!AR$164:AR$172)</f>
        <v>-300</v>
      </c>
      <c r="AS64" s="10">
        <f>SUM('Fin Stat'!AS$164:AS$172)</f>
        <v>0</v>
      </c>
      <c r="AT64" s="10">
        <f>SUM('Fin Stat'!AT$164:AT$172)</f>
        <v>0</v>
      </c>
      <c r="AU64" s="10">
        <f>SUM('Fin Stat'!AU$164:AU$172)</f>
        <v>0</v>
      </c>
      <c r="AV64" s="10">
        <f>SUM('Fin Stat'!AV$164:AV$172)</f>
        <v>0</v>
      </c>
      <c r="AW64" s="10">
        <f>SUM('Fin Stat'!AW$164:AW$172)</f>
        <v>0</v>
      </c>
      <c r="AX64" s="10">
        <f>SUM('Fin Stat'!AX$164:AX$172)</f>
        <v>-89</v>
      </c>
      <c r="AY64" s="10">
        <f>SUM('Fin Stat'!AY$164:AY$172)</f>
        <v>239</v>
      </c>
      <c r="AZ64" s="10">
        <f>SUM('Fin Stat'!AZ$164:AZ$172)</f>
        <v>0</v>
      </c>
      <c r="BA64" s="10">
        <f>SUM('Fin Stat'!BA$164:BA$172)</f>
        <v>0</v>
      </c>
      <c r="BB64" s="10">
        <f>SUM('Fin Stat'!BB$164:BB$172)</f>
        <v>0</v>
      </c>
      <c r="BC64" s="10">
        <f>SUM('Fin Stat'!BC$164:BC$172)</f>
        <v>0</v>
      </c>
      <c r="BD64" s="10">
        <f>SUM('Fin Stat'!BD$164:BD$172)</f>
        <v>-200</v>
      </c>
      <c r="BE64" s="10">
        <f>SUM('Fin Stat'!BE$164:BE$172)</f>
        <v>0</v>
      </c>
      <c r="BF64" s="10">
        <f>SUM('Fin Stat'!BF$164:BF$172)</f>
        <v>0</v>
      </c>
      <c r="BG64" s="10">
        <f>SUM('Fin Stat'!BG$164:BG$172)</f>
        <v>0</v>
      </c>
      <c r="BH64" s="10">
        <f>SUM('Fin Stat'!BH$164:BH$172)</f>
        <v>0</v>
      </c>
      <c r="BI64" s="10">
        <f>SUM('Fin Stat'!BI$164:BI$172)</f>
        <v>0</v>
      </c>
      <c r="BJ64" s="10">
        <f>SUM('Fin Stat'!BJ$164:BJ$172)</f>
        <v>-109</v>
      </c>
      <c r="BK64" s="157"/>
      <c r="BL64" s="10">
        <f>SUM('Fin Stat'!BL$164:BL$172)</f>
        <v>0</v>
      </c>
      <c r="BM64" s="10">
        <f>SUM('Fin Stat'!BM$164:BM$172)</f>
        <v>4369</v>
      </c>
      <c r="BN64" s="10">
        <f>SUM('Fin Stat'!BN$164:BN$172)</f>
        <v>298</v>
      </c>
      <c r="BO64" s="10">
        <f>SUM('Fin Stat'!BO$164:BO$172)</f>
        <v>-70</v>
      </c>
      <c r="BP64" s="10">
        <f>SUM('Fin Stat'!BP$164:BP$172)</f>
        <v>3747</v>
      </c>
      <c r="BQ64" s="10">
        <f>SUM('Fin Stat'!BQ$164:BQ$172)</f>
        <v>0</v>
      </c>
      <c r="BR64" s="10">
        <f>SUM('Fin Stat'!BR$164:BR$172)</f>
        <v>0</v>
      </c>
      <c r="BS64" s="10">
        <f>SUM('Fin Stat'!BS$164:BS$172)</f>
        <v>0</v>
      </c>
      <c r="BT64" s="10">
        <f>SUM('Fin Stat'!BT$164:BT$172)</f>
        <v>0</v>
      </c>
      <c r="BU64" s="10">
        <f>SUM('Fin Stat'!BU$164:BU$172)</f>
        <v>0</v>
      </c>
      <c r="BV64" s="10">
        <f>SUM('Fin Stat'!BV$164:BV$172)</f>
        <v>0</v>
      </c>
      <c r="BW64" s="10">
        <f>SUM('Fin Stat'!BW$164:BW$172)</f>
        <v>0</v>
      </c>
      <c r="BY64" s="12"/>
      <c r="CA64" s="12"/>
      <c r="CC64" s="42"/>
      <c r="EX64" s="10" t="str">
        <f t="shared" si="0"/>
        <v>Movements in other accruals, deferrals and provisions</v>
      </c>
    </row>
    <row r="65" spans="1:154" s="335" customFormat="1" ht="8.1" customHeight="1" x14ac:dyDescent="0.25">
      <c r="A65" s="157"/>
      <c r="B65" s="157"/>
      <c r="C65" s="343"/>
      <c r="D65" s="522"/>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42"/>
      <c r="CA65" s="42"/>
      <c r="CC65" s="42"/>
      <c r="EX65" s="10" t="str">
        <f t="shared" si="0"/>
        <v/>
      </c>
    </row>
    <row r="66" spans="1:154" s="335" customFormat="1" x14ac:dyDescent="0.25">
      <c r="C66" s="343" t="str">
        <f>'Fin Stat'!C$176</f>
        <v>IC-1c</v>
      </c>
      <c r="D66" s="528" t="str">
        <f>'Fin Stat'!D$176</f>
        <v>Net interest and finance costs payable/receivable</v>
      </c>
      <c r="E66" s="356"/>
      <c r="F66" s="356"/>
      <c r="G66" s="356"/>
      <c r="H66" s="356"/>
      <c r="I66" s="356"/>
      <c r="J66" s="356"/>
      <c r="K66" s="356"/>
      <c r="L66" s="356"/>
      <c r="M66" s="356"/>
      <c r="N66" s="356"/>
      <c r="O66" s="356"/>
      <c r="P66" s="356"/>
      <c r="Q66" s="356"/>
      <c r="R66" s="356"/>
      <c r="S66" s="356"/>
      <c r="T66" s="356"/>
      <c r="U66" s="356"/>
      <c r="V66" s="10">
        <f>'Fin Stat'!V$176</f>
        <v>0</v>
      </c>
      <c r="W66" s="10">
        <f>'Fin Stat'!W$176</f>
        <v>145</v>
      </c>
      <c r="X66" s="10">
        <f>'Fin Stat'!X$176</f>
        <v>135</v>
      </c>
      <c r="Y66" s="10">
        <f>'Fin Stat'!Y$176</f>
        <v>133</v>
      </c>
      <c r="Z66" s="157"/>
      <c r="AA66" s="10">
        <f>'Fin Stat'!AA$176</f>
        <v>25</v>
      </c>
      <c r="AB66" s="10">
        <f>'Fin Stat'!AB$176</f>
        <v>6</v>
      </c>
      <c r="AC66" s="10">
        <f>'Fin Stat'!AC$176</f>
        <v>6</v>
      </c>
      <c r="AD66" s="10">
        <f>'Fin Stat'!AD$176</f>
        <v>24</v>
      </c>
      <c r="AE66" s="10">
        <f>'Fin Stat'!AE$176</f>
        <v>6</v>
      </c>
      <c r="AF66" s="10">
        <f>'Fin Stat'!AF$176</f>
        <v>6</v>
      </c>
      <c r="AG66" s="10">
        <f>'Fin Stat'!AG$176</f>
        <v>24</v>
      </c>
      <c r="AH66" s="10">
        <f>'Fin Stat'!AH$176</f>
        <v>6</v>
      </c>
      <c r="AI66" s="10">
        <f>'Fin Stat'!AI$176</f>
        <v>6</v>
      </c>
      <c r="AJ66" s="10">
        <f>'Fin Stat'!AJ$176</f>
        <v>24</v>
      </c>
      <c r="AK66" s="10">
        <f>'Fin Stat'!AK$176</f>
        <v>6</v>
      </c>
      <c r="AL66" s="10">
        <f>'Fin Stat'!AL$176</f>
        <v>6</v>
      </c>
      <c r="AM66" s="10">
        <f>'Fin Stat'!AM$176</f>
        <v>25</v>
      </c>
      <c r="AN66" s="10">
        <f>'Fin Stat'!AN$176</f>
        <v>6</v>
      </c>
      <c r="AO66" s="10">
        <f>'Fin Stat'!AO$176</f>
        <v>5</v>
      </c>
      <c r="AP66" s="10">
        <f>'Fin Stat'!AP$176</f>
        <v>23</v>
      </c>
      <c r="AQ66" s="10">
        <f>'Fin Stat'!AQ$176</f>
        <v>5</v>
      </c>
      <c r="AR66" s="10">
        <f>'Fin Stat'!AR$176</f>
        <v>5</v>
      </c>
      <c r="AS66" s="10">
        <f>'Fin Stat'!AS$176</f>
        <v>23</v>
      </c>
      <c r="AT66" s="10">
        <f>'Fin Stat'!AT$176</f>
        <v>5</v>
      </c>
      <c r="AU66" s="10">
        <f>'Fin Stat'!AU$176</f>
        <v>5</v>
      </c>
      <c r="AV66" s="10">
        <f>'Fin Stat'!AV$176</f>
        <v>23</v>
      </c>
      <c r="AW66" s="10">
        <f>'Fin Stat'!AW$176</f>
        <v>5</v>
      </c>
      <c r="AX66" s="10">
        <f>'Fin Stat'!AX$176</f>
        <v>5</v>
      </c>
      <c r="AY66" s="10">
        <f>'Fin Stat'!AY$176</f>
        <v>24</v>
      </c>
      <c r="AZ66" s="10">
        <f>'Fin Stat'!AZ$176</f>
        <v>5</v>
      </c>
      <c r="BA66" s="10">
        <f>'Fin Stat'!BA$176</f>
        <v>5</v>
      </c>
      <c r="BB66" s="10">
        <f>'Fin Stat'!BB$176</f>
        <v>23</v>
      </c>
      <c r="BC66" s="10">
        <f>'Fin Stat'!BC$176</f>
        <v>5</v>
      </c>
      <c r="BD66" s="10">
        <f>'Fin Stat'!BD$176</f>
        <v>5</v>
      </c>
      <c r="BE66" s="10">
        <f>'Fin Stat'!BE$176</f>
        <v>23</v>
      </c>
      <c r="BF66" s="10">
        <f>'Fin Stat'!BF$176</f>
        <v>5</v>
      </c>
      <c r="BG66" s="10">
        <f>'Fin Stat'!BG$176</f>
        <v>5</v>
      </c>
      <c r="BH66" s="10">
        <f>'Fin Stat'!BH$176</f>
        <v>23</v>
      </c>
      <c r="BI66" s="10">
        <f>'Fin Stat'!BI$176</f>
        <v>5</v>
      </c>
      <c r="BJ66" s="10">
        <f>'Fin Stat'!BJ$176</f>
        <v>5</v>
      </c>
      <c r="BK66" s="157"/>
      <c r="BL66" s="10">
        <f>'Fin Stat'!BL$176</f>
        <v>0</v>
      </c>
      <c r="BM66" s="10">
        <f>'Fin Stat'!BM$176</f>
        <v>145</v>
      </c>
      <c r="BN66" s="10">
        <f>'Fin Stat'!BN$176</f>
        <v>135</v>
      </c>
      <c r="BO66" s="10">
        <f>'Fin Stat'!BO$176</f>
        <v>133</v>
      </c>
      <c r="BP66" s="10">
        <f>'Fin Stat'!BP$176</f>
        <v>0</v>
      </c>
      <c r="BQ66" s="10">
        <f>'Fin Stat'!BQ$176</f>
        <v>0</v>
      </c>
      <c r="BR66" s="10">
        <f>'Fin Stat'!BR$176</f>
        <v>0</v>
      </c>
      <c r="BS66" s="10">
        <f>'Fin Stat'!BS$176</f>
        <v>0</v>
      </c>
      <c r="BT66" s="10">
        <f>'Fin Stat'!BT$176</f>
        <v>0</v>
      </c>
      <c r="BU66" s="10">
        <f>'Fin Stat'!BU$176</f>
        <v>0</v>
      </c>
      <c r="BV66" s="10">
        <f>'Fin Stat'!BV$176</f>
        <v>0</v>
      </c>
      <c r="BW66" s="10">
        <f>'Fin Stat'!BW$176</f>
        <v>0</v>
      </c>
      <c r="BY66" s="12"/>
      <c r="CA66" s="12"/>
      <c r="CC66" s="42"/>
      <c r="EX66" s="10" t="str">
        <f t="shared" si="0"/>
        <v>Net interest and finance costs payable/receivable</v>
      </c>
    </row>
    <row r="67" spans="1:154" ht="8.1" customHeight="1" x14ac:dyDescent="0.25">
      <c r="A67" s="157"/>
      <c r="B67" s="157"/>
      <c r="C67" s="343"/>
      <c r="D67" s="522"/>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42"/>
      <c r="CA67" s="42"/>
      <c r="CC67" s="42"/>
      <c r="CF67" s="335"/>
      <c r="EX67" s="10" t="str">
        <f t="shared" si="0"/>
        <v/>
      </c>
    </row>
    <row r="68" spans="1:154" x14ac:dyDescent="0.25">
      <c r="A68" s="157"/>
      <c r="B68" s="157"/>
      <c r="C68" s="343" t="str">
        <f>'Fin Stat'!C$177</f>
        <v>IC-1</v>
      </c>
      <c r="D68" s="535" t="s">
        <v>577</v>
      </c>
      <c r="E68" s="157"/>
      <c r="F68" s="157"/>
      <c r="G68" s="157"/>
      <c r="H68" s="157"/>
      <c r="I68" s="157"/>
      <c r="J68" s="157"/>
      <c r="K68" s="157"/>
      <c r="L68" s="157"/>
      <c r="M68" s="157"/>
      <c r="N68" s="157"/>
      <c r="O68" s="157"/>
      <c r="P68" s="157"/>
      <c r="Q68" s="157"/>
      <c r="R68" s="157"/>
      <c r="S68" s="157"/>
      <c r="T68" s="157"/>
      <c r="U68" s="157"/>
      <c r="V68" s="13">
        <f>'Fin Stat'!V$177</f>
        <v>0</v>
      </c>
      <c r="W68" s="13">
        <f>'Fin Stat'!W$177</f>
        <v>5436</v>
      </c>
      <c r="X68" s="13">
        <f>'Fin Stat'!X$177</f>
        <v>2429</v>
      </c>
      <c r="Y68" s="13">
        <f>'Fin Stat'!Y$177</f>
        <v>2113.8100000000013</v>
      </c>
      <c r="Z68" s="157"/>
      <c r="AA68" s="13">
        <f>'Fin Stat'!AA$177</f>
        <v>5369</v>
      </c>
      <c r="AB68" s="13">
        <f>'Fin Stat'!AB$177</f>
        <v>1067</v>
      </c>
      <c r="AC68" s="13">
        <f>'Fin Stat'!AC$177</f>
        <v>350</v>
      </c>
      <c r="AD68" s="13">
        <f>'Fin Stat'!AD$177</f>
        <v>130</v>
      </c>
      <c r="AE68" s="13">
        <f>'Fin Stat'!AE$177</f>
        <v>-764</v>
      </c>
      <c r="AF68" s="13">
        <f>'Fin Stat'!AF$177</f>
        <v>-553</v>
      </c>
      <c r="AG68" s="13">
        <f>'Fin Stat'!AG$177</f>
        <v>-580</v>
      </c>
      <c r="AH68" s="13">
        <f>'Fin Stat'!AH$177</f>
        <v>-784</v>
      </c>
      <c r="AI68" s="13">
        <f>'Fin Stat'!AI$177</f>
        <v>1468</v>
      </c>
      <c r="AJ68" s="13">
        <f>'Fin Stat'!AJ$177</f>
        <v>398</v>
      </c>
      <c r="AK68" s="13">
        <f>'Fin Stat'!AK$177</f>
        <v>465</v>
      </c>
      <c r="AL68" s="13">
        <f>'Fin Stat'!AL$177</f>
        <v>-1130</v>
      </c>
      <c r="AM68" s="13">
        <f>'Fin Stat'!AM$177</f>
        <v>2920</v>
      </c>
      <c r="AN68" s="13">
        <f>'Fin Stat'!AN$177</f>
        <v>1122</v>
      </c>
      <c r="AO68" s="13">
        <f>'Fin Stat'!AO$177</f>
        <v>246</v>
      </c>
      <c r="AP68" s="13">
        <f>'Fin Stat'!AP$177</f>
        <v>-301</v>
      </c>
      <c r="AQ68" s="13">
        <f>'Fin Stat'!AQ$177</f>
        <v>-767</v>
      </c>
      <c r="AR68" s="13">
        <f>'Fin Stat'!AR$177</f>
        <v>-752</v>
      </c>
      <c r="AS68" s="13">
        <f>'Fin Stat'!AS$177</f>
        <v>-728</v>
      </c>
      <c r="AT68" s="13">
        <f>'Fin Stat'!AT$177</f>
        <v>-795</v>
      </c>
      <c r="AU68" s="13">
        <f>'Fin Stat'!AU$177</f>
        <v>1607</v>
      </c>
      <c r="AV68" s="13">
        <f>'Fin Stat'!AV$177</f>
        <v>505</v>
      </c>
      <c r="AW68" s="13">
        <f>'Fin Stat'!AW$177</f>
        <v>106</v>
      </c>
      <c r="AX68" s="13">
        <f>'Fin Stat'!AX$177</f>
        <v>-734</v>
      </c>
      <c r="AY68" s="13">
        <f>'Fin Stat'!AY$177</f>
        <v>2370.7483333333334</v>
      </c>
      <c r="AZ68" s="13">
        <f>'Fin Stat'!AZ$177</f>
        <v>1168.3566666666661</v>
      </c>
      <c r="BA68" s="13">
        <f>'Fin Stat'!BA$177</f>
        <v>255.48833333333278</v>
      </c>
      <c r="BB68" s="13">
        <f>'Fin Stat'!BB$177</f>
        <v>-306.61333333333323</v>
      </c>
      <c r="BC68" s="13">
        <f>'Fin Stat'!BC$177</f>
        <v>-784.53</v>
      </c>
      <c r="BD68" s="13">
        <f>'Fin Stat'!BD$177</f>
        <v>-608.22999999999979</v>
      </c>
      <c r="BE68" s="13">
        <f>'Fin Stat'!BE$177</f>
        <v>-846.74166666666702</v>
      </c>
      <c r="BF68" s="13">
        <f>'Fin Stat'!BF$177</f>
        <v>-808.5183333333332</v>
      </c>
      <c r="BG68" s="13">
        <f>'Fin Stat'!BG$177</f>
        <v>1762.378333333334</v>
      </c>
      <c r="BH68" s="13">
        <f>'Fin Stat'!BH$177</f>
        <v>555.06833333333361</v>
      </c>
      <c r="BI68" s="13">
        <f>'Fin Stat'!BI$177</f>
        <v>117.19333333333361</v>
      </c>
      <c r="BJ68" s="13">
        <f>'Fin Stat'!BJ$177</f>
        <v>-760.79000000000042</v>
      </c>
      <c r="BK68" s="157"/>
      <c r="BL68" s="13">
        <f>'Fin Stat'!BL$177</f>
        <v>0</v>
      </c>
      <c r="BM68" s="13">
        <f>'Fin Stat'!BM$177</f>
        <v>5436</v>
      </c>
      <c r="BN68" s="13">
        <f>'Fin Stat'!BN$177</f>
        <v>2429</v>
      </c>
      <c r="BO68" s="13">
        <f>'Fin Stat'!BO$177</f>
        <v>2113.8100000000013</v>
      </c>
      <c r="BP68" s="13">
        <f>'Fin Stat'!BP$177</f>
        <v>0</v>
      </c>
      <c r="BQ68" s="13">
        <f>'Fin Stat'!BQ$177</f>
        <v>0</v>
      </c>
      <c r="BR68" s="13">
        <f>'Fin Stat'!BR$177</f>
        <v>0</v>
      </c>
      <c r="BS68" s="13">
        <f>'Fin Stat'!BS$177</f>
        <v>0</v>
      </c>
      <c r="BT68" s="13">
        <f>'Fin Stat'!BT$177</f>
        <v>0</v>
      </c>
      <c r="BU68" s="13">
        <f>'Fin Stat'!BU$177</f>
        <v>0</v>
      </c>
      <c r="BV68" s="13">
        <f>'Fin Stat'!BV$177</f>
        <v>0</v>
      </c>
      <c r="BW68" s="13">
        <f>'Fin Stat'!BW$177</f>
        <v>0</v>
      </c>
      <c r="BX68" s="157"/>
      <c r="BY68" s="12"/>
      <c r="CA68" s="12"/>
      <c r="CB68" s="335"/>
      <c r="CC68" s="42"/>
      <c r="CF68" s="335"/>
      <c r="EX68" s="10" t="str">
        <f t="shared" si="0"/>
        <v>Net cash flow from operating activities</v>
      </c>
    </row>
    <row r="69" spans="1:154" ht="8.1" customHeight="1" x14ac:dyDescent="0.25">
      <c r="A69" s="157"/>
      <c r="B69" s="157"/>
      <c r="C69" s="343"/>
      <c r="D69" s="522"/>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42"/>
      <c r="CA69" s="42"/>
      <c r="CC69" s="42"/>
      <c r="EX69" s="10" t="str">
        <f t="shared" si="0"/>
        <v/>
      </c>
    </row>
    <row r="70" spans="1:154" s="335" customFormat="1" x14ac:dyDescent="0.25">
      <c r="A70" s="362" cm="1">
        <f t="array" aca="1" ref="A70" ca="1">HYPERLINK(CONCATENATE("#",CELL("address",IF(SUM($CA70:$CC70)=0,A70,INDEX($CA70:$CC70,MATCH(1,$CA70:$CC70,0))))),SUM($CA70:$CC70))</f>
        <v>0</v>
      </c>
      <c r="C70" s="340"/>
      <c r="D70" s="528" t="s">
        <v>1708</v>
      </c>
      <c r="E70" s="356"/>
      <c r="F70" s="356"/>
      <c r="G70" s="356"/>
      <c r="H70" s="356"/>
      <c r="I70" s="356"/>
      <c r="J70" s="356"/>
      <c r="K70" s="356"/>
      <c r="L70" s="356"/>
      <c r="M70" s="356"/>
      <c r="N70" s="356"/>
      <c r="O70" s="356"/>
      <c r="P70" s="356"/>
      <c r="Q70" s="356"/>
      <c r="R70" s="356"/>
      <c r="S70" s="356"/>
      <c r="T70" s="356"/>
      <c r="U70" s="356"/>
      <c r="V70" s="169">
        <f>ROUND(V68-SUM(V54:V66)*V$52, rounding)</f>
        <v>0</v>
      </c>
      <c r="W70" s="169">
        <f>ROUND(W68-SUM(W54:W66)*W$52, rounding)</f>
        <v>0</v>
      </c>
      <c r="X70" s="169">
        <f>ROUND(X68-SUM(X54:X66)*X$52, rounding)</f>
        <v>0</v>
      </c>
      <c r="Y70" s="169">
        <f>ROUND(Y68-SUM(Y54:Y66)*Y$52, rounding)</f>
        <v>0</v>
      </c>
      <c r="Z70" s="157"/>
      <c r="AA70" s="169">
        <f t="shared" ref="AA70:BJ70" si="1">ROUND(AA68-SUM(AA54:AA66)*AA$52, rounding)</f>
        <v>0</v>
      </c>
      <c r="AB70" s="169">
        <f t="shared" si="1"/>
        <v>0</v>
      </c>
      <c r="AC70" s="169">
        <f t="shared" si="1"/>
        <v>0</v>
      </c>
      <c r="AD70" s="169">
        <f t="shared" si="1"/>
        <v>0</v>
      </c>
      <c r="AE70" s="169">
        <f t="shared" si="1"/>
        <v>0</v>
      </c>
      <c r="AF70" s="169">
        <f t="shared" si="1"/>
        <v>0</v>
      </c>
      <c r="AG70" s="169">
        <f t="shared" si="1"/>
        <v>0</v>
      </c>
      <c r="AH70" s="169">
        <f t="shared" si="1"/>
        <v>0</v>
      </c>
      <c r="AI70" s="169">
        <f t="shared" si="1"/>
        <v>0</v>
      </c>
      <c r="AJ70" s="169">
        <f t="shared" si="1"/>
        <v>0</v>
      </c>
      <c r="AK70" s="169">
        <f t="shared" si="1"/>
        <v>0</v>
      </c>
      <c r="AL70" s="169">
        <f t="shared" si="1"/>
        <v>0</v>
      </c>
      <c r="AM70" s="169">
        <f t="shared" si="1"/>
        <v>0</v>
      </c>
      <c r="AN70" s="169">
        <f t="shared" si="1"/>
        <v>0</v>
      </c>
      <c r="AO70" s="169">
        <f t="shared" si="1"/>
        <v>0</v>
      </c>
      <c r="AP70" s="169">
        <f t="shared" si="1"/>
        <v>0</v>
      </c>
      <c r="AQ70" s="169">
        <f t="shared" si="1"/>
        <v>0</v>
      </c>
      <c r="AR70" s="169">
        <f t="shared" si="1"/>
        <v>0</v>
      </c>
      <c r="AS70" s="169">
        <f t="shared" si="1"/>
        <v>0</v>
      </c>
      <c r="AT70" s="169">
        <f t="shared" si="1"/>
        <v>0</v>
      </c>
      <c r="AU70" s="169">
        <f t="shared" si="1"/>
        <v>0</v>
      </c>
      <c r="AV70" s="169">
        <f t="shared" si="1"/>
        <v>0</v>
      </c>
      <c r="AW70" s="169">
        <f t="shared" si="1"/>
        <v>0</v>
      </c>
      <c r="AX70" s="169">
        <f t="shared" si="1"/>
        <v>0</v>
      </c>
      <c r="AY70" s="169">
        <f t="shared" si="1"/>
        <v>0</v>
      </c>
      <c r="AZ70" s="169">
        <f t="shared" si="1"/>
        <v>0</v>
      </c>
      <c r="BA70" s="169">
        <f t="shared" si="1"/>
        <v>0</v>
      </c>
      <c r="BB70" s="169">
        <f t="shared" si="1"/>
        <v>0</v>
      </c>
      <c r="BC70" s="169">
        <f t="shared" si="1"/>
        <v>0</v>
      </c>
      <c r="BD70" s="169">
        <f t="shared" si="1"/>
        <v>0</v>
      </c>
      <c r="BE70" s="169">
        <f t="shared" si="1"/>
        <v>0</v>
      </c>
      <c r="BF70" s="169">
        <f t="shared" si="1"/>
        <v>0</v>
      </c>
      <c r="BG70" s="169">
        <f t="shared" si="1"/>
        <v>0</v>
      </c>
      <c r="BH70" s="169">
        <f t="shared" si="1"/>
        <v>0</v>
      </c>
      <c r="BI70" s="169">
        <f t="shared" si="1"/>
        <v>0</v>
      </c>
      <c r="BJ70" s="169">
        <f t="shared" si="1"/>
        <v>0</v>
      </c>
      <c r="BK70" s="157"/>
      <c r="BL70" s="169">
        <f t="shared" ref="BL70:BW70" si="2">ROUND(BL68-SUM(BL54:BL66)*BL$52, rounding)</f>
        <v>0</v>
      </c>
      <c r="BM70" s="169">
        <f t="shared" si="2"/>
        <v>0</v>
      </c>
      <c r="BN70" s="169">
        <f t="shared" si="2"/>
        <v>0</v>
      </c>
      <c r="BO70" s="169">
        <f t="shared" si="2"/>
        <v>0</v>
      </c>
      <c r="BP70" s="169">
        <f t="shared" si="2"/>
        <v>0</v>
      </c>
      <c r="BQ70" s="169">
        <f t="shared" si="2"/>
        <v>0</v>
      </c>
      <c r="BR70" s="169">
        <f t="shared" si="2"/>
        <v>0</v>
      </c>
      <c r="BS70" s="169">
        <f t="shared" si="2"/>
        <v>0</v>
      </c>
      <c r="BT70" s="169">
        <f t="shared" si="2"/>
        <v>0</v>
      </c>
      <c r="BU70" s="169">
        <f t="shared" si="2"/>
        <v>0</v>
      </c>
      <c r="BV70" s="169">
        <f t="shared" si="2"/>
        <v>0</v>
      </c>
      <c r="BW70" s="169">
        <f t="shared" si="2"/>
        <v>0</v>
      </c>
      <c r="BY70" s="12"/>
      <c r="CA70" s="12"/>
      <c r="CB70" s="7">
        <f>IF(SUM($V70:$BW70)=0, 0, 1)</f>
        <v>0</v>
      </c>
      <c r="CC70" s="42"/>
      <c r="EX70" s="10" t="str">
        <f t="shared" si="0"/>
        <v/>
      </c>
    </row>
    <row r="71" spans="1:154" s="335" customFormat="1" ht="8.1" customHeight="1" x14ac:dyDescent="0.25">
      <c r="A71" s="157"/>
      <c r="B71" s="157"/>
      <c r="C71" s="340"/>
      <c r="D71" s="522"/>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42"/>
      <c r="CA71" s="42"/>
      <c r="CC71" s="42"/>
      <c r="EX71" s="10" t="str">
        <f t="shared" si="0"/>
        <v/>
      </c>
    </row>
    <row r="72" spans="1:154" s="267" customFormat="1" x14ac:dyDescent="0.25">
      <c r="A72" s="157"/>
      <c r="B72" s="157"/>
      <c r="C72" s="343" t="str">
        <f>'Fin Stat'!C180</f>
        <v>IC-2a</v>
      </c>
      <c r="D72" s="522" t="s">
        <v>578</v>
      </c>
      <c r="E72" s="158"/>
      <c r="F72" s="157"/>
      <c r="G72" s="157"/>
      <c r="H72" s="157"/>
      <c r="I72" s="157"/>
      <c r="J72" s="157"/>
      <c r="K72" s="157"/>
      <c r="L72" s="157"/>
      <c r="M72" s="157"/>
      <c r="N72" s="157"/>
      <c r="O72" s="157"/>
      <c r="P72" s="157"/>
      <c r="Q72" s="157"/>
      <c r="R72" s="157"/>
      <c r="S72" s="157"/>
      <c r="T72" s="157"/>
      <c r="U72" s="157"/>
      <c r="V72" s="10">
        <f>'Fin Stat'!V180</f>
        <v>0</v>
      </c>
      <c r="W72" s="121">
        <f>'Fin Stat'!W180</f>
        <v>0</v>
      </c>
      <c r="X72" s="121">
        <f>'Fin Stat'!X180</f>
        <v>0</v>
      </c>
      <c r="Y72" s="121">
        <f>'Fin Stat'!Y180</f>
        <v>0</v>
      </c>
      <c r="Z72" s="157"/>
      <c r="AA72" s="121">
        <f>'Fin Stat'!AA180</f>
        <v>0</v>
      </c>
      <c r="AB72" s="121">
        <f>'Fin Stat'!AB180</f>
        <v>0</v>
      </c>
      <c r="AC72" s="121">
        <f>'Fin Stat'!AC180</f>
        <v>0</v>
      </c>
      <c r="AD72" s="121">
        <f>'Fin Stat'!AD180</f>
        <v>0</v>
      </c>
      <c r="AE72" s="121">
        <f>'Fin Stat'!AE180</f>
        <v>0</v>
      </c>
      <c r="AF72" s="121">
        <f>'Fin Stat'!AF180</f>
        <v>0</v>
      </c>
      <c r="AG72" s="121">
        <f>'Fin Stat'!AG180</f>
        <v>0</v>
      </c>
      <c r="AH72" s="121">
        <f>'Fin Stat'!AH180</f>
        <v>0</v>
      </c>
      <c r="AI72" s="121">
        <f>'Fin Stat'!AI180</f>
        <v>0</v>
      </c>
      <c r="AJ72" s="121">
        <f>'Fin Stat'!AJ180</f>
        <v>0</v>
      </c>
      <c r="AK72" s="121">
        <f>'Fin Stat'!AK180</f>
        <v>0</v>
      </c>
      <c r="AL72" s="121">
        <f>'Fin Stat'!AL180</f>
        <v>0</v>
      </c>
      <c r="AM72" s="121">
        <f>'Fin Stat'!AM180</f>
        <v>0</v>
      </c>
      <c r="AN72" s="121">
        <f>'Fin Stat'!AN180</f>
        <v>0</v>
      </c>
      <c r="AO72" s="121">
        <f>'Fin Stat'!AO180</f>
        <v>0</v>
      </c>
      <c r="AP72" s="121">
        <f>'Fin Stat'!AP180</f>
        <v>0</v>
      </c>
      <c r="AQ72" s="121">
        <f>'Fin Stat'!AQ180</f>
        <v>0</v>
      </c>
      <c r="AR72" s="121">
        <f>'Fin Stat'!AR180</f>
        <v>0</v>
      </c>
      <c r="AS72" s="121">
        <f>'Fin Stat'!AS180</f>
        <v>0</v>
      </c>
      <c r="AT72" s="121">
        <f>'Fin Stat'!AT180</f>
        <v>0</v>
      </c>
      <c r="AU72" s="121">
        <f>'Fin Stat'!AU180</f>
        <v>0</v>
      </c>
      <c r="AV72" s="121">
        <f>'Fin Stat'!AV180</f>
        <v>0</v>
      </c>
      <c r="AW72" s="121">
        <f>'Fin Stat'!AW180</f>
        <v>0</v>
      </c>
      <c r="AX72" s="121">
        <f>'Fin Stat'!AX180</f>
        <v>0</v>
      </c>
      <c r="AY72" s="121">
        <f>'Fin Stat'!AY180</f>
        <v>0</v>
      </c>
      <c r="AZ72" s="121">
        <f>'Fin Stat'!AZ180</f>
        <v>0</v>
      </c>
      <c r="BA72" s="121">
        <f>'Fin Stat'!BA180</f>
        <v>0</v>
      </c>
      <c r="BB72" s="121">
        <f>'Fin Stat'!BB180</f>
        <v>0</v>
      </c>
      <c r="BC72" s="121">
        <f>'Fin Stat'!BC180</f>
        <v>0</v>
      </c>
      <c r="BD72" s="121">
        <f>'Fin Stat'!BD180</f>
        <v>0</v>
      </c>
      <c r="BE72" s="121">
        <f>'Fin Stat'!BE180</f>
        <v>0</v>
      </c>
      <c r="BF72" s="121">
        <f>'Fin Stat'!BF180</f>
        <v>0</v>
      </c>
      <c r="BG72" s="121">
        <f>'Fin Stat'!BG180</f>
        <v>0</v>
      </c>
      <c r="BH72" s="121">
        <f>'Fin Stat'!BH180</f>
        <v>0</v>
      </c>
      <c r="BI72" s="121">
        <f>'Fin Stat'!BI180</f>
        <v>0</v>
      </c>
      <c r="BJ72" s="121">
        <f>'Fin Stat'!BJ180</f>
        <v>0</v>
      </c>
      <c r="BK72" s="157"/>
      <c r="BL72" s="121">
        <f>'Fin Stat'!BL180</f>
        <v>0</v>
      </c>
      <c r="BM72" s="121">
        <f>'Fin Stat'!BM180</f>
        <v>0</v>
      </c>
      <c r="BN72" s="121">
        <f>'Fin Stat'!BN180</f>
        <v>0</v>
      </c>
      <c r="BO72" s="121">
        <f>'Fin Stat'!BO180</f>
        <v>0</v>
      </c>
      <c r="BP72" s="121">
        <f>'Fin Stat'!BP180</f>
        <v>0</v>
      </c>
      <c r="BQ72" s="121">
        <f>'Fin Stat'!BQ180</f>
        <v>0</v>
      </c>
      <c r="BR72" s="121">
        <f>'Fin Stat'!BR180</f>
        <v>0</v>
      </c>
      <c r="BS72" s="121">
        <f>'Fin Stat'!BS180</f>
        <v>0</v>
      </c>
      <c r="BT72" s="121">
        <f>'Fin Stat'!BT180</f>
        <v>0</v>
      </c>
      <c r="BU72" s="121">
        <f>'Fin Stat'!BU180</f>
        <v>0</v>
      </c>
      <c r="BV72" s="121">
        <f>'Fin Stat'!BV180</f>
        <v>0</v>
      </c>
      <c r="BW72" s="121">
        <f>'Fin Stat'!BW180</f>
        <v>0</v>
      </c>
      <c r="BX72" s="157"/>
      <c r="BY72" s="12"/>
      <c r="BZ72" s="335"/>
      <c r="CA72" s="12"/>
      <c r="CC72" s="42"/>
      <c r="EX72" s="10" t="str">
        <f t="shared" si="0"/>
        <v>Receipts from sale of non-current assets</v>
      </c>
    </row>
    <row r="73" spans="1:154" s="267" customFormat="1" x14ac:dyDescent="0.25">
      <c r="A73" s="157"/>
      <c r="B73" s="157"/>
      <c r="C73" s="343" t="str">
        <f>'Fin Stat'!C181</f>
        <v>IC-2b</v>
      </c>
      <c r="D73" s="538" t="s">
        <v>579</v>
      </c>
      <c r="E73" s="158"/>
      <c r="F73" s="157"/>
      <c r="G73" s="157"/>
      <c r="H73" s="157"/>
      <c r="I73" s="157"/>
      <c r="J73" s="157"/>
      <c r="K73" s="157"/>
      <c r="L73" s="157"/>
      <c r="M73" s="157"/>
      <c r="N73" s="157"/>
      <c r="O73" s="157"/>
      <c r="P73" s="157"/>
      <c r="Q73" s="157"/>
      <c r="R73" s="157"/>
      <c r="S73" s="157"/>
      <c r="T73" s="157"/>
      <c r="U73" s="157"/>
      <c r="V73" s="10">
        <f>'Fin Stat'!V181</f>
        <v>0</v>
      </c>
      <c r="W73" s="121">
        <f>'Fin Stat'!W181</f>
        <v>0</v>
      </c>
      <c r="X73" s="121">
        <f>'Fin Stat'!X181</f>
        <v>0</v>
      </c>
      <c r="Y73" s="121">
        <f>'Fin Stat'!Y181</f>
        <v>0</v>
      </c>
      <c r="Z73" s="157"/>
      <c r="AA73" s="121">
        <f>'Fin Stat'!AA181</f>
        <v>0</v>
      </c>
      <c r="AB73" s="121">
        <f>'Fin Stat'!AB181</f>
        <v>0</v>
      </c>
      <c r="AC73" s="121">
        <f>'Fin Stat'!AC181</f>
        <v>0</v>
      </c>
      <c r="AD73" s="121">
        <f>'Fin Stat'!AD181</f>
        <v>0</v>
      </c>
      <c r="AE73" s="121">
        <f>'Fin Stat'!AE181</f>
        <v>0</v>
      </c>
      <c r="AF73" s="121">
        <f>'Fin Stat'!AF181</f>
        <v>0</v>
      </c>
      <c r="AG73" s="121">
        <f>'Fin Stat'!AG181</f>
        <v>0</v>
      </c>
      <c r="AH73" s="121">
        <f>'Fin Stat'!AH181</f>
        <v>0</v>
      </c>
      <c r="AI73" s="121">
        <f>'Fin Stat'!AI181</f>
        <v>0</v>
      </c>
      <c r="AJ73" s="121">
        <f>'Fin Stat'!AJ181</f>
        <v>0</v>
      </c>
      <c r="AK73" s="121">
        <f>'Fin Stat'!AK181</f>
        <v>0</v>
      </c>
      <c r="AL73" s="121">
        <f>'Fin Stat'!AL181</f>
        <v>0</v>
      </c>
      <c r="AM73" s="121">
        <f>'Fin Stat'!AM181</f>
        <v>0</v>
      </c>
      <c r="AN73" s="121">
        <f>'Fin Stat'!AN181</f>
        <v>0</v>
      </c>
      <c r="AO73" s="121">
        <f>'Fin Stat'!AO181</f>
        <v>0</v>
      </c>
      <c r="AP73" s="121">
        <f>'Fin Stat'!AP181</f>
        <v>0</v>
      </c>
      <c r="AQ73" s="121">
        <f>'Fin Stat'!AQ181</f>
        <v>0</v>
      </c>
      <c r="AR73" s="121">
        <f>'Fin Stat'!AR181</f>
        <v>0</v>
      </c>
      <c r="AS73" s="121">
        <f>'Fin Stat'!AS181</f>
        <v>0</v>
      </c>
      <c r="AT73" s="121">
        <f>'Fin Stat'!AT181</f>
        <v>0</v>
      </c>
      <c r="AU73" s="121">
        <f>'Fin Stat'!AU181</f>
        <v>0</v>
      </c>
      <c r="AV73" s="121">
        <f>'Fin Stat'!AV181</f>
        <v>0</v>
      </c>
      <c r="AW73" s="121">
        <f>'Fin Stat'!AW181</f>
        <v>0</v>
      </c>
      <c r="AX73" s="121">
        <f>'Fin Stat'!AX181</f>
        <v>0</v>
      </c>
      <c r="AY73" s="121">
        <f>'Fin Stat'!AY181</f>
        <v>0</v>
      </c>
      <c r="AZ73" s="121">
        <f>'Fin Stat'!AZ181</f>
        <v>0</v>
      </c>
      <c r="BA73" s="121">
        <f>'Fin Stat'!BA181</f>
        <v>0</v>
      </c>
      <c r="BB73" s="121">
        <f>'Fin Stat'!BB181</f>
        <v>0</v>
      </c>
      <c r="BC73" s="121">
        <f>'Fin Stat'!BC181</f>
        <v>0</v>
      </c>
      <c r="BD73" s="121">
        <f>'Fin Stat'!BD181</f>
        <v>0</v>
      </c>
      <c r="BE73" s="121">
        <f>'Fin Stat'!BE181</f>
        <v>0</v>
      </c>
      <c r="BF73" s="121">
        <f>'Fin Stat'!BF181</f>
        <v>0</v>
      </c>
      <c r="BG73" s="121">
        <f>'Fin Stat'!BG181</f>
        <v>0</v>
      </c>
      <c r="BH73" s="121">
        <f>'Fin Stat'!BH181</f>
        <v>0</v>
      </c>
      <c r="BI73" s="121">
        <f>'Fin Stat'!BI181</f>
        <v>0</v>
      </c>
      <c r="BJ73" s="121">
        <f>'Fin Stat'!BJ181</f>
        <v>0</v>
      </c>
      <c r="BK73" s="157"/>
      <c r="BL73" s="121">
        <f>'Fin Stat'!BL181</f>
        <v>0</v>
      </c>
      <c r="BM73" s="121">
        <f>'Fin Stat'!BM181</f>
        <v>0</v>
      </c>
      <c r="BN73" s="121">
        <f>'Fin Stat'!BN181</f>
        <v>0</v>
      </c>
      <c r="BO73" s="121">
        <f>'Fin Stat'!BO181</f>
        <v>0</v>
      </c>
      <c r="BP73" s="121">
        <f>'Fin Stat'!BP181</f>
        <v>0</v>
      </c>
      <c r="BQ73" s="121">
        <f>'Fin Stat'!BQ181</f>
        <v>0</v>
      </c>
      <c r="BR73" s="121">
        <f>'Fin Stat'!BR181</f>
        <v>0</v>
      </c>
      <c r="BS73" s="121">
        <f>'Fin Stat'!BS181</f>
        <v>0</v>
      </c>
      <c r="BT73" s="121">
        <f>'Fin Stat'!BT181</f>
        <v>0</v>
      </c>
      <c r="BU73" s="121">
        <f>'Fin Stat'!BU181</f>
        <v>0</v>
      </c>
      <c r="BV73" s="121">
        <f>'Fin Stat'!BV181</f>
        <v>0</v>
      </c>
      <c r="BW73" s="121">
        <f>'Fin Stat'!BW181</f>
        <v>0</v>
      </c>
      <c r="BX73" s="157"/>
      <c r="BY73" s="12"/>
      <c r="BZ73" s="335"/>
      <c r="CA73" s="12"/>
      <c r="CC73" s="42"/>
      <c r="EX73" s="10" t="str">
        <f t="shared" si="0"/>
        <v>Repayment of capital grants</v>
      </c>
    </row>
    <row r="74" spans="1:154" s="267" customFormat="1" x14ac:dyDescent="0.25">
      <c r="A74" s="157"/>
      <c r="B74" s="157"/>
      <c r="C74" s="343" t="s">
        <v>1491</v>
      </c>
      <c r="D74" s="522" t="s">
        <v>1714</v>
      </c>
      <c r="E74" s="158"/>
      <c r="F74" s="157"/>
      <c r="G74" s="157"/>
      <c r="H74" s="157"/>
      <c r="I74" s="157"/>
      <c r="J74" s="157"/>
      <c r="K74" s="157"/>
      <c r="L74" s="157"/>
      <c r="M74" s="157"/>
      <c r="N74" s="157"/>
      <c r="O74" s="157"/>
      <c r="P74" s="157"/>
      <c r="Q74" s="157"/>
      <c r="R74" s="157"/>
      <c r="S74" s="157"/>
      <c r="T74" s="157"/>
      <c r="U74" s="157"/>
      <c r="V74" s="10">
        <f>SUM('Fin Stat'!V$182:V$187)</f>
        <v>0</v>
      </c>
      <c r="W74" s="10">
        <f>SUM('Fin Stat'!W$182:W$187)</f>
        <v>-4430</v>
      </c>
      <c r="X74" s="10">
        <f>SUM('Fin Stat'!X$182:X$187)</f>
        <v>-5734</v>
      </c>
      <c r="Y74" s="10">
        <f>SUM('Fin Stat'!Y$182:Y$187)</f>
        <v>-2378</v>
      </c>
      <c r="Z74" s="157"/>
      <c r="AA74" s="10">
        <f>SUM('Fin Stat'!AA$182:AA$187)</f>
        <v>-110</v>
      </c>
      <c r="AB74" s="10">
        <f>SUM('Fin Stat'!AB$182:AB$187)</f>
        <v>0</v>
      </c>
      <c r="AC74" s="10">
        <f>SUM('Fin Stat'!AC$182:AC$187)</f>
        <v>-2809</v>
      </c>
      <c r="AD74" s="10">
        <f>SUM('Fin Stat'!AD$182:AD$187)</f>
        <v>0</v>
      </c>
      <c r="AE74" s="10">
        <f>SUM('Fin Stat'!AE$182:AE$187)</f>
        <v>0</v>
      </c>
      <c r="AF74" s="10">
        <f>SUM('Fin Stat'!AF$182:AF$187)</f>
        <v>0</v>
      </c>
      <c r="AG74" s="10">
        <f>SUM('Fin Stat'!AG$182:AG$187)</f>
        <v>0</v>
      </c>
      <c r="AH74" s="10">
        <f>SUM('Fin Stat'!AH$182:AH$187)</f>
        <v>-1426</v>
      </c>
      <c r="AI74" s="10">
        <f>SUM('Fin Stat'!AI$182:AI$187)</f>
        <v>0</v>
      </c>
      <c r="AJ74" s="10">
        <f>SUM('Fin Stat'!AJ$182:AJ$187)</f>
        <v>0</v>
      </c>
      <c r="AK74" s="10">
        <f>SUM('Fin Stat'!AK$182:AK$187)</f>
        <v>-12</v>
      </c>
      <c r="AL74" s="10">
        <f>SUM('Fin Stat'!AL$182:AL$187)</f>
        <v>-73</v>
      </c>
      <c r="AM74" s="10">
        <f>SUM('Fin Stat'!AM$182:AM$187)</f>
        <v>-1081</v>
      </c>
      <c r="AN74" s="10">
        <f>SUM('Fin Stat'!AN$182:AN$187)</f>
        <v>-790</v>
      </c>
      <c r="AO74" s="10">
        <f>SUM('Fin Stat'!AO$182:AO$187)</f>
        <v>-363</v>
      </c>
      <c r="AP74" s="10">
        <f>SUM('Fin Stat'!AP$182:AP$187)</f>
        <v>-194</v>
      </c>
      <c r="AQ74" s="10">
        <f>SUM('Fin Stat'!AQ$182:AQ$187)</f>
        <v>-438</v>
      </c>
      <c r="AR74" s="10">
        <f>SUM('Fin Stat'!AR$182:AR$187)</f>
        <v>-445</v>
      </c>
      <c r="AS74" s="10">
        <f>SUM('Fin Stat'!AS$182:AS$187)</f>
        <v>-446</v>
      </c>
      <c r="AT74" s="10">
        <f>SUM('Fin Stat'!AT$182:AT$187)</f>
        <v>-541</v>
      </c>
      <c r="AU74" s="10">
        <f>SUM('Fin Stat'!AU$182:AU$187)</f>
        <v>-499</v>
      </c>
      <c r="AV74" s="10">
        <f>SUM('Fin Stat'!AV$182:AV$187)</f>
        <v>-322</v>
      </c>
      <c r="AW74" s="10">
        <f>SUM('Fin Stat'!AW$182:AW$187)</f>
        <v>-318</v>
      </c>
      <c r="AX74" s="10">
        <f>SUM('Fin Stat'!AX$182:AX$187)</f>
        <v>-297</v>
      </c>
      <c r="AY74" s="10">
        <f>SUM('Fin Stat'!AY$182:AY$187)</f>
        <v>-242</v>
      </c>
      <c r="AZ74" s="10">
        <f>SUM('Fin Stat'!AZ$182:AZ$187)</f>
        <v>-195</v>
      </c>
      <c r="BA74" s="10">
        <f>SUM('Fin Stat'!BA$182:BA$187)</f>
        <v>-204</v>
      </c>
      <c r="BB74" s="10">
        <f>SUM('Fin Stat'!BB$182:BB$187)</f>
        <v>-210</v>
      </c>
      <c r="BC74" s="10">
        <f>SUM('Fin Stat'!BC$182:BC$187)</f>
        <v>-210</v>
      </c>
      <c r="BD74" s="10">
        <f>SUM('Fin Stat'!BD$182:BD$187)</f>
        <v>-205</v>
      </c>
      <c r="BE74" s="10">
        <f>SUM('Fin Stat'!BE$182:BE$187)</f>
        <v>-265</v>
      </c>
      <c r="BF74" s="10">
        <f>SUM('Fin Stat'!BF$182:BF$187)</f>
        <v>-155</v>
      </c>
      <c r="BG74" s="10">
        <f>SUM('Fin Stat'!BG$182:BG$187)</f>
        <v>-156</v>
      </c>
      <c r="BH74" s="10">
        <f>SUM('Fin Stat'!BH$182:BH$187)</f>
        <v>-175</v>
      </c>
      <c r="BI74" s="10">
        <f>SUM('Fin Stat'!BI$182:BI$187)</f>
        <v>-180</v>
      </c>
      <c r="BJ74" s="10">
        <f>SUM('Fin Stat'!BJ$182:BJ$187)</f>
        <v>-181</v>
      </c>
      <c r="BK74" s="157"/>
      <c r="BL74" s="10">
        <f>SUM('Fin Stat'!BL$182:BL$187)</f>
        <v>0</v>
      </c>
      <c r="BM74" s="10">
        <f>SUM('Fin Stat'!BM$182:BM$187)</f>
        <v>-4430</v>
      </c>
      <c r="BN74" s="10">
        <f>SUM('Fin Stat'!BN$182:BN$187)</f>
        <v>-5734</v>
      </c>
      <c r="BO74" s="10">
        <f>SUM('Fin Stat'!BO$182:BO$187)</f>
        <v>-2378</v>
      </c>
      <c r="BP74" s="10">
        <f>SUM('Fin Stat'!BP$182:BP$187)</f>
        <v>0</v>
      </c>
      <c r="BQ74" s="10">
        <f>SUM('Fin Stat'!BQ$182:BQ$187)</f>
        <v>0</v>
      </c>
      <c r="BR74" s="10">
        <f>SUM('Fin Stat'!BR$182:BR$187)</f>
        <v>0</v>
      </c>
      <c r="BS74" s="10">
        <f>SUM('Fin Stat'!BS$182:BS$187)</f>
        <v>0</v>
      </c>
      <c r="BT74" s="10">
        <f>SUM('Fin Stat'!BT$182:BT$187)</f>
        <v>0</v>
      </c>
      <c r="BU74" s="10">
        <f>SUM('Fin Stat'!BU$182:BU$187)</f>
        <v>0</v>
      </c>
      <c r="BV74" s="10">
        <f>SUM('Fin Stat'!BV$182:BV$187)</f>
        <v>0</v>
      </c>
      <c r="BW74" s="10">
        <f>SUM('Fin Stat'!BW$182:BW$187)</f>
        <v>0</v>
      </c>
      <c r="BX74" s="157"/>
      <c r="BY74" s="12"/>
      <c r="BZ74" s="335"/>
      <c r="CA74" s="12"/>
      <c r="CC74" s="42"/>
      <c r="EX74" s="10" t="str">
        <f t="shared" si="0"/>
        <v>Payments made to acquire non-current assets and investments</v>
      </c>
    </row>
    <row r="75" spans="1:154" s="267" customFormat="1" x14ac:dyDescent="0.25">
      <c r="A75" s="157"/>
      <c r="B75" s="157"/>
      <c r="C75" s="343" t="str">
        <f>'Fin Stat'!C188</f>
        <v>IC-2d</v>
      </c>
      <c r="D75" s="522" t="s">
        <v>580</v>
      </c>
      <c r="E75" s="158"/>
      <c r="F75" s="157"/>
      <c r="G75" s="157"/>
      <c r="H75" s="157"/>
      <c r="I75" s="157"/>
      <c r="J75" s="157"/>
      <c r="K75" s="157"/>
      <c r="L75" s="157"/>
      <c r="M75" s="157"/>
      <c r="N75" s="157"/>
      <c r="O75" s="157"/>
      <c r="P75" s="157"/>
      <c r="Q75" s="157"/>
      <c r="R75" s="157"/>
      <c r="S75" s="157"/>
      <c r="T75" s="157"/>
      <c r="U75" s="157"/>
      <c r="V75" s="10">
        <f>'Fin Stat'!V188</f>
        <v>0</v>
      </c>
      <c r="W75" s="121">
        <f>'Fin Stat'!W188</f>
        <v>0</v>
      </c>
      <c r="X75" s="121">
        <f>'Fin Stat'!X188</f>
        <v>0</v>
      </c>
      <c r="Y75" s="121">
        <f>'Fin Stat'!Y188</f>
        <v>0</v>
      </c>
      <c r="Z75" s="157"/>
      <c r="AA75" s="121">
        <f>'Fin Stat'!AA188</f>
        <v>0</v>
      </c>
      <c r="AB75" s="121">
        <f>'Fin Stat'!AB188</f>
        <v>0</v>
      </c>
      <c r="AC75" s="121">
        <f>'Fin Stat'!AC188</f>
        <v>0</v>
      </c>
      <c r="AD75" s="121">
        <f>'Fin Stat'!AD188</f>
        <v>0</v>
      </c>
      <c r="AE75" s="121">
        <f>'Fin Stat'!AE188</f>
        <v>0</v>
      </c>
      <c r="AF75" s="121">
        <f>'Fin Stat'!AF188</f>
        <v>0</v>
      </c>
      <c r="AG75" s="121">
        <f>'Fin Stat'!AG188</f>
        <v>0</v>
      </c>
      <c r="AH75" s="121">
        <f>'Fin Stat'!AH188</f>
        <v>0</v>
      </c>
      <c r="AI75" s="121">
        <f>'Fin Stat'!AI188</f>
        <v>0</v>
      </c>
      <c r="AJ75" s="121">
        <f>'Fin Stat'!AJ188</f>
        <v>0</v>
      </c>
      <c r="AK75" s="121">
        <f>'Fin Stat'!AK188</f>
        <v>0</v>
      </c>
      <c r="AL75" s="121">
        <f>'Fin Stat'!AL188</f>
        <v>0</v>
      </c>
      <c r="AM75" s="121">
        <f>'Fin Stat'!AM188</f>
        <v>0</v>
      </c>
      <c r="AN75" s="121">
        <f>'Fin Stat'!AN188</f>
        <v>0</v>
      </c>
      <c r="AO75" s="121">
        <f>'Fin Stat'!AO188</f>
        <v>0</v>
      </c>
      <c r="AP75" s="121">
        <f>'Fin Stat'!AP188</f>
        <v>0</v>
      </c>
      <c r="AQ75" s="121">
        <f>'Fin Stat'!AQ188</f>
        <v>0</v>
      </c>
      <c r="AR75" s="121">
        <f>'Fin Stat'!AR188</f>
        <v>0</v>
      </c>
      <c r="AS75" s="121">
        <f>'Fin Stat'!AS188</f>
        <v>0</v>
      </c>
      <c r="AT75" s="121">
        <f>'Fin Stat'!AT188</f>
        <v>0</v>
      </c>
      <c r="AU75" s="121">
        <f>'Fin Stat'!AU188</f>
        <v>0</v>
      </c>
      <c r="AV75" s="121">
        <f>'Fin Stat'!AV188</f>
        <v>0</v>
      </c>
      <c r="AW75" s="121">
        <f>'Fin Stat'!AW188</f>
        <v>0</v>
      </c>
      <c r="AX75" s="121">
        <f>'Fin Stat'!AX188</f>
        <v>0</v>
      </c>
      <c r="AY75" s="121">
        <f>'Fin Stat'!AY188</f>
        <v>0</v>
      </c>
      <c r="AZ75" s="121">
        <f>'Fin Stat'!AZ188</f>
        <v>0</v>
      </c>
      <c r="BA75" s="121">
        <f>'Fin Stat'!BA188</f>
        <v>0</v>
      </c>
      <c r="BB75" s="121">
        <f>'Fin Stat'!BB188</f>
        <v>0</v>
      </c>
      <c r="BC75" s="121">
        <f>'Fin Stat'!BC188</f>
        <v>0</v>
      </c>
      <c r="BD75" s="121">
        <f>'Fin Stat'!BD188</f>
        <v>0</v>
      </c>
      <c r="BE75" s="121">
        <f>'Fin Stat'!BE188</f>
        <v>0</v>
      </c>
      <c r="BF75" s="121">
        <f>'Fin Stat'!BF188</f>
        <v>0</v>
      </c>
      <c r="BG75" s="121">
        <f>'Fin Stat'!BG188</f>
        <v>0</v>
      </c>
      <c r="BH75" s="121">
        <f>'Fin Stat'!BH188</f>
        <v>0</v>
      </c>
      <c r="BI75" s="121">
        <f>'Fin Stat'!BI188</f>
        <v>0</v>
      </c>
      <c r="BJ75" s="121">
        <f>'Fin Stat'!BJ188</f>
        <v>0</v>
      </c>
      <c r="BK75" s="157"/>
      <c r="BL75" s="121">
        <f>'Fin Stat'!BL188</f>
        <v>0</v>
      </c>
      <c r="BM75" s="121">
        <f>'Fin Stat'!BM188</f>
        <v>0</v>
      </c>
      <c r="BN75" s="121">
        <f>'Fin Stat'!BN188</f>
        <v>0</v>
      </c>
      <c r="BO75" s="121">
        <f>'Fin Stat'!BO188</f>
        <v>0</v>
      </c>
      <c r="BP75" s="121">
        <f>'Fin Stat'!BP188</f>
        <v>0</v>
      </c>
      <c r="BQ75" s="121">
        <f>'Fin Stat'!BQ188</f>
        <v>0</v>
      </c>
      <c r="BR75" s="121">
        <f>'Fin Stat'!BR188</f>
        <v>0</v>
      </c>
      <c r="BS75" s="121">
        <f>'Fin Stat'!BS188</f>
        <v>0</v>
      </c>
      <c r="BT75" s="121">
        <f>'Fin Stat'!BT188</f>
        <v>0</v>
      </c>
      <c r="BU75" s="121">
        <f>'Fin Stat'!BU188</f>
        <v>0</v>
      </c>
      <c r="BV75" s="121">
        <f>'Fin Stat'!BV188</f>
        <v>0</v>
      </c>
      <c r="BW75" s="121">
        <f>'Fin Stat'!BW188</f>
        <v>0</v>
      </c>
      <c r="BX75" s="157"/>
      <c r="BY75" s="42"/>
      <c r="BZ75" s="335"/>
      <c r="CA75" s="42"/>
      <c r="CC75" s="42"/>
      <c r="EX75" s="10" t="str">
        <f t="shared" si="0"/>
        <v>Release of restricted cash</v>
      </c>
    </row>
    <row r="76" spans="1:154" s="267" customFormat="1" x14ac:dyDescent="0.25">
      <c r="A76" s="157"/>
      <c r="B76" s="157"/>
      <c r="C76" s="343" t="str">
        <f>'Fin Stat'!C189</f>
        <v>IC-2e</v>
      </c>
      <c r="D76" s="522" t="s">
        <v>581</v>
      </c>
      <c r="E76" s="158"/>
      <c r="F76" s="157"/>
      <c r="G76" s="157"/>
      <c r="H76" s="157"/>
      <c r="I76" s="157"/>
      <c r="J76" s="157"/>
      <c r="K76" s="157"/>
      <c r="L76" s="157"/>
      <c r="M76" s="157"/>
      <c r="N76" s="157"/>
      <c r="O76" s="157"/>
      <c r="P76" s="157"/>
      <c r="Q76" s="157"/>
      <c r="R76" s="157"/>
      <c r="S76" s="157"/>
      <c r="T76" s="157"/>
      <c r="U76" s="157"/>
      <c r="V76" s="10">
        <f>'Fin Stat'!V189</f>
        <v>0</v>
      </c>
      <c r="W76" s="121">
        <f>'Fin Stat'!W189</f>
        <v>2408</v>
      </c>
      <c r="X76" s="121">
        <f>'Fin Stat'!X189</f>
        <v>2908</v>
      </c>
      <c r="Y76" s="121">
        <f>'Fin Stat'!Y189</f>
        <v>1665</v>
      </c>
      <c r="Z76" s="157"/>
      <c r="AA76" s="121">
        <f>'Fin Stat'!AA189</f>
        <v>4</v>
      </c>
      <c r="AB76" s="121">
        <f>'Fin Stat'!AB189</f>
        <v>1070</v>
      </c>
      <c r="AC76" s="121">
        <f>'Fin Stat'!AC189</f>
        <v>569</v>
      </c>
      <c r="AD76" s="121">
        <f>'Fin Stat'!AD189</f>
        <v>4</v>
      </c>
      <c r="AE76" s="121">
        <f>'Fin Stat'!AE189</f>
        <v>352</v>
      </c>
      <c r="AF76" s="121">
        <f>'Fin Stat'!AF189</f>
        <v>0</v>
      </c>
      <c r="AG76" s="121">
        <f>'Fin Stat'!AG189</f>
        <v>5</v>
      </c>
      <c r="AH76" s="121">
        <f>'Fin Stat'!AH189</f>
        <v>357</v>
      </c>
      <c r="AI76" s="121">
        <f>'Fin Stat'!AI189</f>
        <v>0</v>
      </c>
      <c r="AJ76" s="121">
        <f>'Fin Stat'!AJ189</f>
        <v>47</v>
      </c>
      <c r="AK76" s="121">
        <f>'Fin Stat'!AK189</f>
        <v>0</v>
      </c>
      <c r="AL76" s="121">
        <f>'Fin Stat'!AL189</f>
        <v>0</v>
      </c>
      <c r="AM76" s="121">
        <f>'Fin Stat'!AM189</f>
        <v>0</v>
      </c>
      <c r="AN76" s="121">
        <f>'Fin Stat'!AN189</f>
        <v>0</v>
      </c>
      <c r="AO76" s="121">
        <f>'Fin Stat'!AO189</f>
        <v>0</v>
      </c>
      <c r="AP76" s="121">
        <f>'Fin Stat'!AP189</f>
        <v>0</v>
      </c>
      <c r="AQ76" s="121">
        <f>'Fin Stat'!AQ189</f>
        <v>0</v>
      </c>
      <c r="AR76" s="121">
        <f>'Fin Stat'!AR189</f>
        <v>0</v>
      </c>
      <c r="AS76" s="121">
        <f>'Fin Stat'!AS189</f>
        <v>0</v>
      </c>
      <c r="AT76" s="121">
        <f>'Fin Stat'!AT189</f>
        <v>0</v>
      </c>
      <c r="AU76" s="121">
        <f>'Fin Stat'!AU189</f>
        <v>0</v>
      </c>
      <c r="AV76" s="121">
        <f>'Fin Stat'!AV189</f>
        <v>0</v>
      </c>
      <c r="AW76" s="121">
        <f>'Fin Stat'!AW189</f>
        <v>0</v>
      </c>
      <c r="AX76" s="121">
        <f>'Fin Stat'!AX189</f>
        <v>2908</v>
      </c>
      <c r="AY76" s="121">
        <f>'Fin Stat'!AY189</f>
        <v>34</v>
      </c>
      <c r="AZ76" s="121">
        <f>'Fin Stat'!AZ189</f>
        <v>0</v>
      </c>
      <c r="BA76" s="121">
        <f>'Fin Stat'!BA189</f>
        <v>0</v>
      </c>
      <c r="BB76" s="121">
        <f>'Fin Stat'!BB189</f>
        <v>0</v>
      </c>
      <c r="BC76" s="121">
        <f>'Fin Stat'!BC189</f>
        <v>0</v>
      </c>
      <c r="BD76" s="121">
        <f>'Fin Stat'!BD189</f>
        <v>0</v>
      </c>
      <c r="BE76" s="121">
        <f>'Fin Stat'!BE189</f>
        <v>0</v>
      </c>
      <c r="BF76" s="121">
        <f>'Fin Stat'!BF189</f>
        <v>0</v>
      </c>
      <c r="BG76" s="121">
        <f>'Fin Stat'!BG189</f>
        <v>0</v>
      </c>
      <c r="BH76" s="121">
        <f>'Fin Stat'!BH189</f>
        <v>0</v>
      </c>
      <c r="BI76" s="121">
        <f>'Fin Stat'!BI189</f>
        <v>0</v>
      </c>
      <c r="BJ76" s="121">
        <f>'Fin Stat'!BJ189</f>
        <v>1631</v>
      </c>
      <c r="BK76" s="157"/>
      <c r="BL76" s="121">
        <f>'Fin Stat'!BL189</f>
        <v>0</v>
      </c>
      <c r="BM76" s="121">
        <f>'Fin Stat'!BM189</f>
        <v>2408</v>
      </c>
      <c r="BN76" s="121">
        <f>'Fin Stat'!BN189</f>
        <v>2908</v>
      </c>
      <c r="BO76" s="121">
        <f>'Fin Stat'!BO189</f>
        <v>1665</v>
      </c>
      <c r="BP76" s="121">
        <f>'Fin Stat'!BP189</f>
        <v>0</v>
      </c>
      <c r="BQ76" s="121">
        <f>'Fin Stat'!BQ189</f>
        <v>0</v>
      </c>
      <c r="BR76" s="121">
        <f>'Fin Stat'!BR189</f>
        <v>0</v>
      </c>
      <c r="BS76" s="121">
        <f>'Fin Stat'!BS189</f>
        <v>0</v>
      </c>
      <c r="BT76" s="121">
        <f>'Fin Stat'!BT189</f>
        <v>0</v>
      </c>
      <c r="BU76" s="121">
        <f>'Fin Stat'!BU189</f>
        <v>0</v>
      </c>
      <c r="BV76" s="121">
        <f>'Fin Stat'!BV189</f>
        <v>0</v>
      </c>
      <c r="BW76" s="121">
        <f>'Fin Stat'!BW189</f>
        <v>0</v>
      </c>
      <c r="BX76" s="157"/>
      <c r="BY76" s="42"/>
      <c r="BZ76" s="335"/>
      <c r="CA76" s="42"/>
      <c r="CC76" s="42"/>
      <c r="EX76" s="10" t="str">
        <f t="shared" si="0"/>
        <v>Receipt of deferred capital grants</v>
      </c>
    </row>
    <row r="77" spans="1:154" s="335" customFormat="1" x14ac:dyDescent="0.25">
      <c r="A77" s="157"/>
      <c r="B77" s="157"/>
      <c r="C77" s="343" t="str">
        <f>'Fin Stat'!C190</f>
        <v>IC-2f</v>
      </c>
      <c r="D77" s="522" t="s">
        <v>896</v>
      </c>
      <c r="E77" s="158"/>
      <c r="F77" s="157"/>
      <c r="G77" s="157"/>
      <c r="H77" s="157"/>
      <c r="I77" s="157"/>
      <c r="J77" s="157"/>
      <c r="K77" s="157"/>
      <c r="L77" s="157"/>
      <c r="M77" s="157"/>
      <c r="N77" s="157"/>
      <c r="O77" s="157"/>
      <c r="P77" s="157"/>
      <c r="Q77" s="157"/>
      <c r="R77" s="157"/>
      <c r="S77" s="157"/>
      <c r="T77" s="157"/>
      <c r="U77" s="157"/>
      <c r="V77" s="10">
        <f>'Fin Stat'!V190</f>
        <v>0</v>
      </c>
      <c r="W77" s="10">
        <f>'Fin Stat'!W190</f>
        <v>0</v>
      </c>
      <c r="X77" s="10">
        <f>'Fin Stat'!X190</f>
        <v>0</v>
      </c>
      <c r="Y77" s="10">
        <f>'Fin Stat'!Y190</f>
        <v>0</v>
      </c>
      <c r="Z77" s="157"/>
      <c r="AA77" s="10">
        <f>'Fin Stat'!AA190</f>
        <v>0</v>
      </c>
      <c r="AB77" s="10">
        <f>'Fin Stat'!AB190</f>
        <v>0</v>
      </c>
      <c r="AC77" s="10">
        <f>'Fin Stat'!AC190</f>
        <v>0</v>
      </c>
      <c r="AD77" s="10">
        <f>'Fin Stat'!AD190</f>
        <v>0</v>
      </c>
      <c r="AE77" s="10">
        <f>'Fin Stat'!AE190</f>
        <v>0</v>
      </c>
      <c r="AF77" s="10">
        <f>'Fin Stat'!AF190</f>
        <v>0</v>
      </c>
      <c r="AG77" s="10">
        <f>'Fin Stat'!AG190</f>
        <v>0</v>
      </c>
      <c r="AH77" s="10">
        <f>'Fin Stat'!AH190</f>
        <v>0</v>
      </c>
      <c r="AI77" s="10">
        <f>'Fin Stat'!AI190</f>
        <v>0</v>
      </c>
      <c r="AJ77" s="10">
        <f>'Fin Stat'!AJ190</f>
        <v>0</v>
      </c>
      <c r="AK77" s="10">
        <f>'Fin Stat'!AK190</f>
        <v>0</v>
      </c>
      <c r="AL77" s="10">
        <f>'Fin Stat'!AL190</f>
        <v>0</v>
      </c>
      <c r="AM77" s="10">
        <f>'Fin Stat'!AM190</f>
        <v>0</v>
      </c>
      <c r="AN77" s="10">
        <f>'Fin Stat'!AN190</f>
        <v>0</v>
      </c>
      <c r="AO77" s="10">
        <f>'Fin Stat'!AO190</f>
        <v>0</v>
      </c>
      <c r="AP77" s="10">
        <f>'Fin Stat'!AP190</f>
        <v>0</v>
      </c>
      <c r="AQ77" s="10">
        <f>'Fin Stat'!AQ190</f>
        <v>0</v>
      </c>
      <c r="AR77" s="10">
        <f>'Fin Stat'!AR190</f>
        <v>0</v>
      </c>
      <c r="AS77" s="10">
        <f>'Fin Stat'!AS190</f>
        <v>0</v>
      </c>
      <c r="AT77" s="10">
        <f>'Fin Stat'!AT190</f>
        <v>0</v>
      </c>
      <c r="AU77" s="10">
        <f>'Fin Stat'!AU190</f>
        <v>0</v>
      </c>
      <c r="AV77" s="10">
        <f>'Fin Stat'!AV190</f>
        <v>0</v>
      </c>
      <c r="AW77" s="10">
        <f>'Fin Stat'!AW190</f>
        <v>0</v>
      </c>
      <c r="AX77" s="10">
        <f>'Fin Stat'!AX190</f>
        <v>0</v>
      </c>
      <c r="AY77" s="10">
        <f>'Fin Stat'!AY190</f>
        <v>0</v>
      </c>
      <c r="AZ77" s="10">
        <f>'Fin Stat'!AZ190</f>
        <v>0</v>
      </c>
      <c r="BA77" s="10">
        <f>'Fin Stat'!BA190</f>
        <v>0</v>
      </c>
      <c r="BB77" s="10">
        <f>'Fin Stat'!BB190</f>
        <v>0</v>
      </c>
      <c r="BC77" s="10">
        <f>'Fin Stat'!BC190</f>
        <v>0</v>
      </c>
      <c r="BD77" s="10">
        <f>'Fin Stat'!BD190</f>
        <v>0</v>
      </c>
      <c r="BE77" s="10">
        <f>'Fin Stat'!BE190</f>
        <v>0</v>
      </c>
      <c r="BF77" s="10">
        <f>'Fin Stat'!BF190</f>
        <v>0</v>
      </c>
      <c r="BG77" s="10">
        <f>'Fin Stat'!BG190</f>
        <v>0</v>
      </c>
      <c r="BH77" s="10">
        <f>'Fin Stat'!BH190</f>
        <v>0</v>
      </c>
      <c r="BI77" s="10">
        <f>'Fin Stat'!BI190</f>
        <v>0</v>
      </c>
      <c r="BJ77" s="10">
        <f>'Fin Stat'!BJ190</f>
        <v>0</v>
      </c>
      <c r="BK77" s="157"/>
      <c r="BL77" s="10">
        <f>'Fin Stat'!BL190</f>
        <v>0</v>
      </c>
      <c r="BM77" s="10">
        <f>'Fin Stat'!BM190</f>
        <v>0</v>
      </c>
      <c r="BN77" s="10">
        <f>'Fin Stat'!BN190</f>
        <v>0</v>
      </c>
      <c r="BO77" s="10">
        <f>'Fin Stat'!BO190</f>
        <v>0</v>
      </c>
      <c r="BP77" s="10">
        <f>'Fin Stat'!BP190</f>
        <v>0</v>
      </c>
      <c r="BQ77" s="10">
        <f>'Fin Stat'!BQ190</f>
        <v>0</v>
      </c>
      <c r="BR77" s="10">
        <f>'Fin Stat'!BR190</f>
        <v>0</v>
      </c>
      <c r="BS77" s="10">
        <f>'Fin Stat'!BS190</f>
        <v>0</v>
      </c>
      <c r="BT77" s="10">
        <f>'Fin Stat'!BT190</f>
        <v>0</v>
      </c>
      <c r="BU77" s="10">
        <f>'Fin Stat'!BU190</f>
        <v>0</v>
      </c>
      <c r="BV77" s="10">
        <f>'Fin Stat'!BV190</f>
        <v>0</v>
      </c>
      <c r="BW77" s="10">
        <f>'Fin Stat'!BW190</f>
        <v>0</v>
      </c>
      <c r="BX77" s="157"/>
      <c r="BY77" s="42"/>
      <c r="CA77" s="42"/>
      <c r="CC77" s="42"/>
      <c r="EX77" s="10"/>
    </row>
    <row r="78" spans="1:154" s="280" customFormat="1" ht="14.45" customHeight="1" x14ac:dyDescent="0.25">
      <c r="A78" s="157"/>
      <c r="B78" s="157"/>
      <c r="C78" s="343" t="str">
        <f>'Fin Stat'!C191</f>
        <v>IC-2g</v>
      </c>
      <c r="D78" s="567" t="s">
        <v>76</v>
      </c>
      <c r="E78" s="158"/>
      <c r="F78" s="157"/>
      <c r="G78" s="157"/>
      <c r="H78" s="157"/>
      <c r="I78" s="157"/>
      <c r="J78" s="157"/>
      <c r="K78" s="157"/>
      <c r="L78" s="157"/>
      <c r="M78" s="157"/>
      <c r="N78" s="157"/>
      <c r="O78" s="157"/>
      <c r="P78" s="157"/>
      <c r="Q78" s="157"/>
      <c r="R78" s="157"/>
      <c r="S78" s="157"/>
      <c r="T78" s="157"/>
      <c r="U78" s="157"/>
      <c r="V78" s="10">
        <f>'Fin Stat'!V191</f>
        <v>0</v>
      </c>
      <c r="W78" s="10">
        <f>'Fin Stat'!W191</f>
        <v>0</v>
      </c>
      <c r="X78" s="10">
        <f>'Fin Stat'!X191</f>
        <v>10</v>
      </c>
      <c r="Y78" s="10">
        <f>'Fin Stat'!Y191</f>
        <v>12</v>
      </c>
      <c r="Z78" s="157"/>
      <c r="AA78" s="10">
        <f>'Fin Stat'!AA191</f>
        <v>0</v>
      </c>
      <c r="AB78" s="10">
        <f>'Fin Stat'!AB191</f>
        <v>0</v>
      </c>
      <c r="AC78" s="10">
        <f>'Fin Stat'!AC191</f>
        <v>0</v>
      </c>
      <c r="AD78" s="10">
        <f>'Fin Stat'!AD191</f>
        <v>0</v>
      </c>
      <c r="AE78" s="10">
        <f>'Fin Stat'!AE191</f>
        <v>0</v>
      </c>
      <c r="AF78" s="10">
        <f>'Fin Stat'!AF191</f>
        <v>0</v>
      </c>
      <c r="AG78" s="10">
        <f>'Fin Stat'!AG191</f>
        <v>0</v>
      </c>
      <c r="AH78" s="10">
        <f>'Fin Stat'!AH191</f>
        <v>0</v>
      </c>
      <c r="AI78" s="10">
        <f>'Fin Stat'!AI191</f>
        <v>0</v>
      </c>
      <c r="AJ78" s="10">
        <f>'Fin Stat'!AJ191</f>
        <v>0</v>
      </c>
      <c r="AK78" s="10">
        <f>'Fin Stat'!AK191</f>
        <v>0</v>
      </c>
      <c r="AL78" s="10">
        <f>'Fin Stat'!AL191</f>
        <v>0</v>
      </c>
      <c r="AM78" s="10">
        <f>'Fin Stat'!AM191</f>
        <v>0</v>
      </c>
      <c r="AN78" s="10">
        <f>'Fin Stat'!AN191</f>
        <v>0</v>
      </c>
      <c r="AO78" s="10">
        <f>'Fin Stat'!AO191</f>
        <v>1</v>
      </c>
      <c r="AP78" s="10">
        <f>'Fin Stat'!AP191</f>
        <v>1</v>
      </c>
      <c r="AQ78" s="10">
        <f>'Fin Stat'!AQ191</f>
        <v>1</v>
      </c>
      <c r="AR78" s="10">
        <f>'Fin Stat'!AR191</f>
        <v>1</v>
      </c>
      <c r="AS78" s="10">
        <f>'Fin Stat'!AS191</f>
        <v>1</v>
      </c>
      <c r="AT78" s="10">
        <f>'Fin Stat'!AT191</f>
        <v>1</v>
      </c>
      <c r="AU78" s="10">
        <f>'Fin Stat'!AU191</f>
        <v>1</v>
      </c>
      <c r="AV78" s="10">
        <f>'Fin Stat'!AV191</f>
        <v>1</v>
      </c>
      <c r="AW78" s="10">
        <f>'Fin Stat'!AW191</f>
        <v>1</v>
      </c>
      <c r="AX78" s="10">
        <f>'Fin Stat'!AX191</f>
        <v>1</v>
      </c>
      <c r="AY78" s="10">
        <f>'Fin Stat'!AY191</f>
        <v>1</v>
      </c>
      <c r="AZ78" s="10">
        <f>'Fin Stat'!AZ191</f>
        <v>1</v>
      </c>
      <c r="BA78" s="10">
        <f>'Fin Stat'!BA191</f>
        <v>1</v>
      </c>
      <c r="BB78" s="10">
        <f>'Fin Stat'!BB191</f>
        <v>1</v>
      </c>
      <c r="BC78" s="10">
        <f>'Fin Stat'!BC191</f>
        <v>1</v>
      </c>
      <c r="BD78" s="10">
        <f>'Fin Stat'!BD191</f>
        <v>1</v>
      </c>
      <c r="BE78" s="10">
        <f>'Fin Stat'!BE191</f>
        <v>1</v>
      </c>
      <c r="BF78" s="10">
        <f>'Fin Stat'!BF191</f>
        <v>1</v>
      </c>
      <c r="BG78" s="10">
        <f>'Fin Stat'!BG191</f>
        <v>1</v>
      </c>
      <c r="BH78" s="10">
        <f>'Fin Stat'!BH191</f>
        <v>1</v>
      </c>
      <c r="BI78" s="10">
        <f>'Fin Stat'!BI191</f>
        <v>1</v>
      </c>
      <c r="BJ78" s="10">
        <f>'Fin Stat'!BJ191</f>
        <v>1</v>
      </c>
      <c r="BK78" s="157"/>
      <c r="BL78" s="10">
        <f>'Fin Stat'!BL191</f>
        <v>0</v>
      </c>
      <c r="BM78" s="10">
        <f>'Fin Stat'!BM191</f>
        <v>0</v>
      </c>
      <c r="BN78" s="10">
        <f>'Fin Stat'!BN191</f>
        <v>10</v>
      </c>
      <c r="BO78" s="10">
        <f>'Fin Stat'!BO191</f>
        <v>12</v>
      </c>
      <c r="BP78" s="10">
        <f>'Fin Stat'!BP191</f>
        <v>0</v>
      </c>
      <c r="BQ78" s="10">
        <f>'Fin Stat'!BQ191</f>
        <v>0</v>
      </c>
      <c r="BR78" s="10">
        <f>'Fin Stat'!BR191</f>
        <v>0</v>
      </c>
      <c r="BS78" s="10">
        <f>'Fin Stat'!BS191</f>
        <v>0</v>
      </c>
      <c r="BT78" s="10">
        <f>'Fin Stat'!BT191</f>
        <v>0</v>
      </c>
      <c r="BU78" s="10">
        <f>'Fin Stat'!BU191</f>
        <v>0</v>
      </c>
      <c r="BV78" s="10">
        <f>'Fin Stat'!BV191</f>
        <v>0</v>
      </c>
      <c r="BW78" s="10">
        <f>'Fin Stat'!BW191</f>
        <v>0</v>
      </c>
      <c r="BX78" s="157"/>
      <c r="BY78" s="42"/>
      <c r="BZ78" s="335"/>
      <c r="CA78" s="42"/>
      <c r="CC78" s="42"/>
      <c r="EX78" s="10" t="str">
        <f t="shared" si="0"/>
        <v>Interest and investment income</v>
      </c>
    </row>
    <row r="79" spans="1:154" x14ac:dyDescent="0.25">
      <c r="A79" s="157"/>
      <c r="B79" s="157"/>
      <c r="C79" s="343" t="str">
        <f>'Fin Stat'!C$192</f>
        <v>IC-2</v>
      </c>
      <c r="D79" s="535" t="s">
        <v>582</v>
      </c>
      <c r="E79" s="158"/>
      <c r="F79" s="157"/>
      <c r="G79" s="157"/>
      <c r="H79" s="157"/>
      <c r="I79" s="157"/>
      <c r="J79" s="157"/>
      <c r="K79" s="157"/>
      <c r="L79" s="157"/>
      <c r="M79" s="157"/>
      <c r="N79" s="157"/>
      <c r="O79" s="157"/>
      <c r="P79" s="157"/>
      <c r="Q79" s="157"/>
      <c r="R79" s="157"/>
      <c r="S79" s="157"/>
      <c r="T79" s="157"/>
      <c r="U79" s="157"/>
      <c r="V79" s="13">
        <f>'Fin Stat'!V$192</f>
        <v>0</v>
      </c>
      <c r="W79" s="13">
        <f>'Fin Stat'!W$192</f>
        <v>-2022</v>
      </c>
      <c r="X79" s="13">
        <f>'Fin Stat'!X$192</f>
        <v>-2816</v>
      </c>
      <c r="Y79" s="13">
        <f>'Fin Stat'!Y$192</f>
        <v>-701</v>
      </c>
      <c r="Z79" s="157"/>
      <c r="AA79" s="13">
        <f>'Fin Stat'!AA$192</f>
        <v>-106</v>
      </c>
      <c r="AB79" s="13">
        <f>'Fin Stat'!AB$192</f>
        <v>1070</v>
      </c>
      <c r="AC79" s="13">
        <f>'Fin Stat'!AC$192</f>
        <v>-2240</v>
      </c>
      <c r="AD79" s="13">
        <f>'Fin Stat'!AD$192</f>
        <v>4</v>
      </c>
      <c r="AE79" s="13">
        <f>'Fin Stat'!AE$192</f>
        <v>352</v>
      </c>
      <c r="AF79" s="13">
        <f>'Fin Stat'!AF$192</f>
        <v>0</v>
      </c>
      <c r="AG79" s="13">
        <f>'Fin Stat'!AG$192</f>
        <v>5</v>
      </c>
      <c r="AH79" s="13">
        <f>'Fin Stat'!AH$192</f>
        <v>-1069</v>
      </c>
      <c r="AI79" s="13">
        <f>'Fin Stat'!AI$192</f>
        <v>0</v>
      </c>
      <c r="AJ79" s="13">
        <f>'Fin Stat'!AJ$192</f>
        <v>47</v>
      </c>
      <c r="AK79" s="13">
        <f>'Fin Stat'!AK$192</f>
        <v>-12</v>
      </c>
      <c r="AL79" s="13">
        <f>'Fin Stat'!AL$192</f>
        <v>-73</v>
      </c>
      <c r="AM79" s="13">
        <f>'Fin Stat'!AM$192</f>
        <v>-1081</v>
      </c>
      <c r="AN79" s="13">
        <f>'Fin Stat'!AN$192</f>
        <v>-790</v>
      </c>
      <c r="AO79" s="13">
        <f>'Fin Stat'!AO$192</f>
        <v>-362</v>
      </c>
      <c r="AP79" s="13">
        <f>'Fin Stat'!AP$192</f>
        <v>-193</v>
      </c>
      <c r="AQ79" s="13">
        <f>'Fin Stat'!AQ$192</f>
        <v>-437</v>
      </c>
      <c r="AR79" s="13">
        <f>'Fin Stat'!AR$192</f>
        <v>-444</v>
      </c>
      <c r="AS79" s="13">
        <f>'Fin Stat'!AS$192</f>
        <v>-445</v>
      </c>
      <c r="AT79" s="13">
        <f>'Fin Stat'!AT$192</f>
        <v>-540</v>
      </c>
      <c r="AU79" s="13">
        <f>'Fin Stat'!AU$192</f>
        <v>-498</v>
      </c>
      <c r="AV79" s="13">
        <f>'Fin Stat'!AV$192</f>
        <v>-321</v>
      </c>
      <c r="AW79" s="13">
        <f>'Fin Stat'!AW$192</f>
        <v>-317</v>
      </c>
      <c r="AX79" s="13">
        <f>'Fin Stat'!AX$192</f>
        <v>2612</v>
      </c>
      <c r="AY79" s="13">
        <f>'Fin Stat'!AY$192</f>
        <v>-207</v>
      </c>
      <c r="AZ79" s="13">
        <f>'Fin Stat'!AZ$192</f>
        <v>-194</v>
      </c>
      <c r="BA79" s="13">
        <f>'Fin Stat'!BA$192</f>
        <v>-203</v>
      </c>
      <c r="BB79" s="13">
        <f>'Fin Stat'!BB$192</f>
        <v>-209</v>
      </c>
      <c r="BC79" s="13">
        <f>'Fin Stat'!BC$192</f>
        <v>-209</v>
      </c>
      <c r="BD79" s="13">
        <f>'Fin Stat'!BD$192</f>
        <v>-204</v>
      </c>
      <c r="BE79" s="13">
        <f>'Fin Stat'!BE$192</f>
        <v>-264</v>
      </c>
      <c r="BF79" s="13">
        <f>'Fin Stat'!BF$192</f>
        <v>-154</v>
      </c>
      <c r="BG79" s="13">
        <f>'Fin Stat'!BG$192</f>
        <v>-155</v>
      </c>
      <c r="BH79" s="13">
        <f>'Fin Stat'!BH$192</f>
        <v>-174</v>
      </c>
      <c r="BI79" s="13">
        <f>'Fin Stat'!BI$192</f>
        <v>-179</v>
      </c>
      <c r="BJ79" s="13">
        <f>'Fin Stat'!BJ$192</f>
        <v>1451</v>
      </c>
      <c r="BK79" s="157"/>
      <c r="BL79" s="13">
        <f>'Fin Stat'!BL$192</f>
        <v>0</v>
      </c>
      <c r="BM79" s="13">
        <f>'Fin Stat'!BM$192</f>
        <v>-2022</v>
      </c>
      <c r="BN79" s="13">
        <f>'Fin Stat'!BN$192</f>
        <v>-2816</v>
      </c>
      <c r="BO79" s="13">
        <f>'Fin Stat'!BO$192</f>
        <v>-701</v>
      </c>
      <c r="BP79" s="13">
        <f>'Fin Stat'!BP$192</f>
        <v>0</v>
      </c>
      <c r="BQ79" s="13">
        <f>'Fin Stat'!BQ$192</f>
        <v>0</v>
      </c>
      <c r="BR79" s="13">
        <f>'Fin Stat'!BR$192</f>
        <v>0</v>
      </c>
      <c r="BS79" s="13">
        <f>'Fin Stat'!BS$192</f>
        <v>0</v>
      </c>
      <c r="BT79" s="13">
        <f>'Fin Stat'!BT$192</f>
        <v>0</v>
      </c>
      <c r="BU79" s="13">
        <f>'Fin Stat'!BU$192</f>
        <v>0</v>
      </c>
      <c r="BV79" s="13">
        <f>'Fin Stat'!BV$192</f>
        <v>0</v>
      </c>
      <c r="BW79" s="13">
        <f>'Fin Stat'!BW$192</f>
        <v>0</v>
      </c>
      <c r="BX79" s="157"/>
      <c r="BY79" s="12"/>
      <c r="CA79" s="12"/>
      <c r="CC79" s="42"/>
      <c r="EX79" s="10" t="str">
        <f t="shared" si="0"/>
        <v>Net cash flow from investing activities</v>
      </c>
    </row>
    <row r="80" spans="1:154" s="335" customFormat="1" ht="8.1" customHeight="1" x14ac:dyDescent="0.25">
      <c r="A80" s="157"/>
      <c r="B80" s="157"/>
      <c r="C80" s="343"/>
      <c r="D80" s="522"/>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42"/>
      <c r="CA80" s="42"/>
      <c r="CC80" s="42"/>
      <c r="EX80" s="10" t="str">
        <f t="shared" si="0"/>
        <v/>
      </c>
    </row>
    <row r="81" spans="1:154" s="335" customFormat="1" x14ac:dyDescent="0.25">
      <c r="A81" s="362" cm="1">
        <f t="array" aca="1" ref="A81" ca="1">HYPERLINK(CONCATENATE("#",CELL("address",IF(SUM($CA81:$CC81)=0,A81,INDEX($CA81:$CC81,MATCH(1,$CA81:$CC81,0))))),SUM($CA81:$CC81))</f>
        <v>0</v>
      </c>
      <c r="C81" s="343"/>
      <c r="D81" s="528" t="s">
        <v>1709</v>
      </c>
      <c r="E81" s="356"/>
      <c r="F81" s="356"/>
      <c r="G81" s="356"/>
      <c r="H81" s="356"/>
      <c r="I81" s="356"/>
      <c r="J81" s="356"/>
      <c r="K81" s="356"/>
      <c r="L81" s="356"/>
      <c r="M81" s="356"/>
      <c r="N81" s="356"/>
      <c r="O81" s="356"/>
      <c r="P81" s="356"/>
      <c r="Q81" s="356"/>
      <c r="R81" s="356"/>
      <c r="S81" s="356"/>
      <c r="T81" s="356"/>
      <c r="U81" s="356"/>
      <c r="V81" s="169">
        <f>ROUND(V79-SUM(V72:V78)*V$52, rounding)</f>
        <v>0</v>
      </c>
      <c r="W81" s="169">
        <f>ROUND(W79-SUM(W72:W78)*W$52, rounding)</f>
        <v>0</v>
      </c>
      <c r="X81" s="169">
        <f>ROUND(X79-SUM(X72:X78)*X$52, rounding)</f>
        <v>0</v>
      </c>
      <c r="Y81" s="169">
        <f>ROUND(Y79-SUM(Y72:Y78)*Y$52, rounding)</f>
        <v>0</v>
      </c>
      <c r="Z81" s="157"/>
      <c r="AA81" s="169">
        <f t="shared" ref="AA81:BJ81" si="3">ROUND(AA79-SUM(AA72:AA78)*AA$52, rounding)</f>
        <v>0</v>
      </c>
      <c r="AB81" s="169">
        <f t="shared" si="3"/>
        <v>0</v>
      </c>
      <c r="AC81" s="169">
        <f t="shared" si="3"/>
        <v>0</v>
      </c>
      <c r="AD81" s="169">
        <f t="shared" si="3"/>
        <v>0</v>
      </c>
      <c r="AE81" s="169">
        <f t="shared" si="3"/>
        <v>0</v>
      </c>
      <c r="AF81" s="169">
        <f t="shared" si="3"/>
        <v>0</v>
      </c>
      <c r="AG81" s="169">
        <f t="shared" si="3"/>
        <v>0</v>
      </c>
      <c r="AH81" s="169">
        <f t="shared" si="3"/>
        <v>0</v>
      </c>
      <c r="AI81" s="169">
        <f t="shared" si="3"/>
        <v>0</v>
      </c>
      <c r="AJ81" s="169">
        <f t="shared" si="3"/>
        <v>0</v>
      </c>
      <c r="AK81" s="169">
        <f t="shared" si="3"/>
        <v>0</v>
      </c>
      <c r="AL81" s="169">
        <f t="shared" si="3"/>
        <v>0</v>
      </c>
      <c r="AM81" s="169">
        <f t="shared" si="3"/>
        <v>0</v>
      </c>
      <c r="AN81" s="169">
        <f t="shared" si="3"/>
        <v>0</v>
      </c>
      <c r="AO81" s="169">
        <f t="shared" si="3"/>
        <v>0</v>
      </c>
      <c r="AP81" s="169">
        <f t="shared" si="3"/>
        <v>0</v>
      </c>
      <c r="AQ81" s="169">
        <f t="shared" si="3"/>
        <v>0</v>
      </c>
      <c r="AR81" s="169">
        <f t="shared" si="3"/>
        <v>0</v>
      </c>
      <c r="AS81" s="169">
        <f t="shared" si="3"/>
        <v>0</v>
      </c>
      <c r="AT81" s="169">
        <f t="shared" si="3"/>
        <v>0</v>
      </c>
      <c r="AU81" s="169">
        <f t="shared" si="3"/>
        <v>0</v>
      </c>
      <c r="AV81" s="169">
        <f t="shared" si="3"/>
        <v>0</v>
      </c>
      <c r="AW81" s="169">
        <f t="shared" si="3"/>
        <v>0</v>
      </c>
      <c r="AX81" s="169">
        <f t="shared" si="3"/>
        <v>0</v>
      </c>
      <c r="AY81" s="169">
        <f t="shared" si="3"/>
        <v>0</v>
      </c>
      <c r="AZ81" s="169">
        <f t="shared" si="3"/>
        <v>0</v>
      </c>
      <c r="BA81" s="169">
        <f t="shared" si="3"/>
        <v>0</v>
      </c>
      <c r="BB81" s="169">
        <f t="shared" si="3"/>
        <v>0</v>
      </c>
      <c r="BC81" s="169">
        <f t="shared" si="3"/>
        <v>0</v>
      </c>
      <c r="BD81" s="169">
        <f t="shared" si="3"/>
        <v>0</v>
      </c>
      <c r="BE81" s="169">
        <f t="shared" si="3"/>
        <v>0</v>
      </c>
      <c r="BF81" s="169">
        <f t="shared" si="3"/>
        <v>0</v>
      </c>
      <c r="BG81" s="169">
        <f t="shared" si="3"/>
        <v>0</v>
      </c>
      <c r="BH81" s="169">
        <f t="shared" si="3"/>
        <v>0</v>
      </c>
      <c r="BI81" s="169">
        <f t="shared" si="3"/>
        <v>0</v>
      </c>
      <c r="BJ81" s="169">
        <f t="shared" si="3"/>
        <v>0</v>
      </c>
      <c r="BK81" s="157"/>
      <c r="BL81" s="169">
        <f t="shared" ref="BL81:BW81" si="4">ROUND(BL79-SUM(BL72:BL78)*BL$52, rounding)</f>
        <v>0</v>
      </c>
      <c r="BM81" s="169">
        <f t="shared" si="4"/>
        <v>0</v>
      </c>
      <c r="BN81" s="169">
        <f t="shared" si="4"/>
        <v>0</v>
      </c>
      <c r="BO81" s="169">
        <f t="shared" si="4"/>
        <v>0</v>
      </c>
      <c r="BP81" s="169">
        <f t="shared" si="4"/>
        <v>0</v>
      </c>
      <c r="BQ81" s="169">
        <f t="shared" si="4"/>
        <v>0</v>
      </c>
      <c r="BR81" s="169">
        <f t="shared" si="4"/>
        <v>0</v>
      </c>
      <c r="BS81" s="169">
        <f t="shared" si="4"/>
        <v>0</v>
      </c>
      <c r="BT81" s="169">
        <f t="shared" si="4"/>
        <v>0</v>
      </c>
      <c r="BU81" s="169">
        <f t="shared" si="4"/>
        <v>0</v>
      </c>
      <c r="BV81" s="169">
        <f t="shared" si="4"/>
        <v>0</v>
      </c>
      <c r="BW81" s="169">
        <f t="shared" si="4"/>
        <v>0</v>
      </c>
      <c r="BY81" s="12"/>
      <c r="CA81" s="12"/>
      <c r="CB81" s="7">
        <f>IF(SUM($V81:$BW81)=0, 0, 1)</f>
        <v>0</v>
      </c>
      <c r="CC81" s="42"/>
      <c r="EX81" s="10" t="str">
        <f t="shared" si="0"/>
        <v/>
      </c>
    </row>
    <row r="82" spans="1:154" ht="8.1" customHeight="1" x14ac:dyDescent="0.25">
      <c r="A82" s="157"/>
      <c r="B82" s="157"/>
      <c r="C82" s="343"/>
      <c r="D82" s="522"/>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42"/>
      <c r="CA82" s="42"/>
      <c r="CC82" s="42"/>
      <c r="EX82" s="10" t="str">
        <f t="shared" si="0"/>
        <v/>
      </c>
    </row>
    <row r="83" spans="1:154" s="267" customFormat="1" ht="14.45" customHeight="1" x14ac:dyDescent="0.25">
      <c r="A83" s="157"/>
      <c r="B83" s="157"/>
      <c r="C83" s="343" t="s">
        <v>1497</v>
      </c>
      <c r="D83" s="568" t="s">
        <v>1711</v>
      </c>
      <c r="E83" s="158"/>
      <c r="F83" s="157"/>
      <c r="G83" s="157"/>
      <c r="H83" s="157"/>
      <c r="I83" s="157"/>
      <c r="J83" s="157"/>
      <c r="K83" s="157"/>
      <c r="L83" s="157"/>
      <c r="M83" s="157"/>
      <c r="N83" s="157"/>
      <c r="O83" s="157"/>
      <c r="P83" s="157"/>
      <c r="Q83" s="157"/>
      <c r="R83" s="157"/>
      <c r="S83" s="157"/>
      <c r="T83" s="157"/>
      <c r="U83" s="157"/>
      <c r="V83" s="10">
        <f>SUM('Fin Stat'!V$195:V$196)</f>
        <v>0</v>
      </c>
      <c r="W83" s="10">
        <f>SUM('Fin Stat'!W$195:W$196)</f>
        <v>-145</v>
      </c>
      <c r="X83" s="10">
        <f>SUM('Fin Stat'!X$195:X$196)</f>
        <v>-145</v>
      </c>
      <c r="Y83" s="10">
        <f>SUM('Fin Stat'!Y$195:Y$196)</f>
        <v>-145</v>
      </c>
      <c r="Z83" s="157"/>
      <c r="AA83" s="10">
        <f>SUM('Fin Stat'!AA$195:AA$196)</f>
        <v>-25</v>
      </c>
      <c r="AB83" s="10">
        <f>SUM('Fin Stat'!AB$195:AB$196)</f>
        <v>-6</v>
      </c>
      <c r="AC83" s="10">
        <f>SUM('Fin Stat'!AC$195:AC$196)</f>
        <v>-6</v>
      </c>
      <c r="AD83" s="10">
        <f>SUM('Fin Stat'!AD$195:AD$196)</f>
        <v>-24</v>
      </c>
      <c r="AE83" s="10">
        <f>SUM('Fin Stat'!AE$195:AE$196)</f>
        <v>-6</v>
      </c>
      <c r="AF83" s="10">
        <f>SUM('Fin Stat'!AF$195:AF$196)</f>
        <v>-6</v>
      </c>
      <c r="AG83" s="10">
        <f>SUM('Fin Stat'!AG$195:AG$196)</f>
        <v>-24</v>
      </c>
      <c r="AH83" s="10">
        <f>SUM('Fin Stat'!AH$195:AH$196)</f>
        <v>-6</v>
      </c>
      <c r="AI83" s="10">
        <f>SUM('Fin Stat'!AI$195:AI$196)</f>
        <v>-6</v>
      </c>
      <c r="AJ83" s="10">
        <f>SUM('Fin Stat'!AJ$195:AJ$196)</f>
        <v>-24</v>
      </c>
      <c r="AK83" s="10">
        <f>SUM('Fin Stat'!AK$195:AK$196)</f>
        <v>-6</v>
      </c>
      <c r="AL83" s="10">
        <f>SUM('Fin Stat'!AL$195:AL$196)</f>
        <v>-6</v>
      </c>
      <c r="AM83" s="10">
        <f>SUM('Fin Stat'!AM$195:AM$196)</f>
        <v>-25</v>
      </c>
      <c r="AN83" s="10">
        <f>SUM('Fin Stat'!AN$195:AN$196)</f>
        <v>-6</v>
      </c>
      <c r="AO83" s="10">
        <f>SUM('Fin Stat'!AO$195:AO$196)</f>
        <v>-6</v>
      </c>
      <c r="AP83" s="10">
        <f>SUM('Fin Stat'!AP$195:AP$196)</f>
        <v>-24</v>
      </c>
      <c r="AQ83" s="10">
        <f>SUM('Fin Stat'!AQ$195:AQ$196)</f>
        <v>-6</v>
      </c>
      <c r="AR83" s="10">
        <f>SUM('Fin Stat'!AR$195:AR$196)</f>
        <v>-6</v>
      </c>
      <c r="AS83" s="10">
        <f>SUM('Fin Stat'!AS$195:AS$196)</f>
        <v>-24</v>
      </c>
      <c r="AT83" s="10">
        <f>SUM('Fin Stat'!AT$195:AT$196)</f>
        <v>-6</v>
      </c>
      <c r="AU83" s="10">
        <f>SUM('Fin Stat'!AU$195:AU$196)</f>
        <v>-6</v>
      </c>
      <c r="AV83" s="10">
        <f>SUM('Fin Stat'!AV$195:AV$196)</f>
        <v>-24</v>
      </c>
      <c r="AW83" s="10">
        <f>SUM('Fin Stat'!AW$195:AW$196)</f>
        <v>-6</v>
      </c>
      <c r="AX83" s="10">
        <f>SUM('Fin Stat'!AX$195:AX$196)</f>
        <v>-6</v>
      </c>
      <c r="AY83" s="10">
        <f>SUM('Fin Stat'!AY$195:AY$196)</f>
        <v>-25</v>
      </c>
      <c r="AZ83" s="10">
        <f>SUM('Fin Stat'!AZ$195:AZ$196)</f>
        <v>-6</v>
      </c>
      <c r="BA83" s="10">
        <f>SUM('Fin Stat'!BA$195:BA$196)</f>
        <v>-6</v>
      </c>
      <c r="BB83" s="10">
        <f>SUM('Fin Stat'!BB$195:BB$196)</f>
        <v>-24</v>
      </c>
      <c r="BC83" s="10">
        <f>SUM('Fin Stat'!BC$195:BC$196)</f>
        <v>-6</v>
      </c>
      <c r="BD83" s="10">
        <f>SUM('Fin Stat'!BD$195:BD$196)</f>
        <v>-6</v>
      </c>
      <c r="BE83" s="10">
        <f>SUM('Fin Stat'!BE$195:BE$196)</f>
        <v>-24</v>
      </c>
      <c r="BF83" s="10">
        <f>SUM('Fin Stat'!BF$195:BF$196)</f>
        <v>-6</v>
      </c>
      <c r="BG83" s="10">
        <f>SUM('Fin Stat'!BG$195:BG$196)</f>
        <v>-6</v>
      </c>
      <c r="BH83" s="10">
        <f>SUM('Fin Stat'!BH$195:BH$196)</f>
        <v>-24</v>
      </c>
      <c r="BI83" s="10">
        <f>SUM('Fin Stat'!BI$195:BI$196)</f>
        <v>-6</v>
      </c>
      <c r="BJ83" s="10">
        <f>SUM('Fin Stat'!BJ$195:BJ$196)</f>
        <v>-6</v>
      </c>
      <c r="BK83" s="157"/>
      <c r="BL83" s="10">
        <f>SUM('Fin Stat'!BL$195:BL$196)</f>
        <v>0</v>
      </c>
      <c r="BM83" s="10">
        <f>SUM('Fin Stat'!BM$195:BM$196)</f>
        <v>-145</v>
      </c>
      <c r="BN83" s="10">
        <f>SUM('Fin Stat'!BN$195:BN$196)</f>
        <v>-145</v>
      </c>
      <c r="BO83" s="10">
        <f>SUM('Fin Stat'!BO$195:BO$196)</f>
        <v>-145</v>
      </c>
      <c r="BP83" s="10">
        <f>SUM('Fin Stat'!BP$195:BP$196)</f>
        <v>0</v>
      </c>
      <c r="BQ83" s="10">
        <f>SUM('Fin Stat'!BQ$195:BQ$196)</f>
        <v>0</v>
      </c>
      <c r="BR83" s="10">
        <f>SUM('Fin Stat'!BR$195:BR$196)</f>
        <v>0</v>
      </c>
      <c r="BS83" s="10">
        <f>SUM('Fin Stat'!BS$195:BS$196)</f>
        <v>0</v>
      </c>
      <c r="BT83" s="10">
        <f>SUM('Fin Stat'!BT$195:BT$196)</f>
        <v>0</v>
      </c>
      <c r="BU83" s="10">
        <f>SUM('Fin Stat'!BU$195:BU$196)</f>
        <v>0</v>
      </c>
      <c r="BV83" s="10">
        <f>SUM('Fin Stat'!BV$195:BV$196)</f>
        <v>0</v>
      </c>
      <c r="BW83" s="10">
        <f>SUM('Fin Stat'!BW$195:BW$196)</f>
        <v>0</v>
      </c>
      <c r="BX83" s="157"/>
      <c r="BY83" s="42"/>
      <c r="BZ83" s="335"/>
      <c r="CA83" s="42"/>
      <c r="CC83" s="42"/>
      <c r="EX83" s="10" t="str">
        <f t="shared" si="0"/>
        <v>Interest and finance fee payments</v>
      </c>
    </row>
    <row r="84" spans="1:154" s="267" customFormat="1" ht="14.45" customHeight="1" x14ac:dyDescent="0.25">
      <c r="A84" s="157"/>
      <c r="B84" s="157"/>
      <c r="C84" s="343" t="str">
        <f>'Fin Stat'!C197</f>
        <v>IC-3b</v>
      </c>
      <c r="D84" s="567" t="s">
        <v>583</v>
      </c>
      <c r="E84" s="158"/>
      <c r="F84" s="157"/>
      <c r="G84" s="157"/>
      <c r="H84" s="157"/>
      <c r="I84" s="157"/>
      <c r="J84" s="157"/>
      <c r="K84" s="157"/>
      <c r="L84" s="157"/>
      <c r="M84" s="157"/>
      <c r="N84" s="157"/>
      <c r="O84" s="157"/>
      <c r="P84" s="157"/>
      <c r="Q84" s="157"/>
      <c r="R84" s="157"/>
      <c r="S84" s="157"/>
      <c r="T84" s="157"/>
      <c r="U84" s="157"/>
      <c r="V84" s="10">
        <f>'Fin Stat'!V197</f>
        <v>0</v>
      </c>
      <c r="W84" s="10">
        <f>'Fin Stat'!W197</f>
        <v>0</v>
      </c>
      <c r="X84" s="10">
        <f>'Fin Stat'!X197</f>
        <v>0</v>
      </c>
      <c r="Y84" s="10">
        <f>'Fin Stat'!Y197</f>
        <v>0</v>
      </c>
      <c r="Z84" s="157"/>
      <c r="AA84" s="10">
        <f>'Fin Stat'!AA197</f>
        <v>0</v>
      </c>
      <c r="AB84" s="10">
        <f>'Fin Stat'!AB197</f>
        <v>0</v>
      </c>
      <c r="AC84" s="10">
        <f>'Fin Stat'!AC197</f>
        <v>0</v>
      </c>
      <c r="AD84" s="10">
        <f>'Fin Stat'!AD197</f>
        <v>0</v>
      </c>
      <c r="AE84" s="10">
        <f>'Fin Stat'!AE197</f>
        <v>0</v>
      </c>
      <c r="AF84" s="10">
        <f>'Fin Stat'!AF197</f>
        <v>0</v>
      </c>
      <c r="AG84" s="10">
        <f>'Fin Stat'!AG197</f>
        <v>0</v>
      </c>
      <c r="AH84" s="10">
        <f>'Fin Stat'!AH197</f>
        <v>0</v>
      </c>
      <c r="AI84" s="10">
        <f>'Fin Stat'!AI197</f>
        <v>0</v>
      </c>
      <c r="AJ84" s="10">
        <f>'Fin Stat'!AJ197</f>
        <v>0</v>
      </c>
      <c r="AK84" s="10">
        <f>'Fin Stat'!AK197</f>
        <v>0</v>
      </c>
      <c r="AL84" s="10">
        <f>'Fin Stat'!AL197</f>
        <v>0</v>
      </c>
      <c r="AM84" s="10">
        <f>'Fin Stat'!AM197</f>
        <v>0</v>
      </c>
      <c r="AN84" s="10">
        <f>'Fin Stat'!AN197</f>
        <v>0</v>
      </c>
      <c r="AO84" s="10">
        <f>'Fin Stat'!AO197</f>
        <v>0</v>
      </c>
      <c r="AP84" s="10">
        <f>'Fin Stat'!AP197</f>
        <v>0</v>
      </c>
      <c r="AQ84" s="10">
        <f>'Fin Stat'!AQ197</f>
        <v>0</v>
      </c>
      <c r="AR84" s="10">
        <f>'Fin Stat'!AR197</f>
        <v>0</v>
      </c>
      <c r="AS84" s="10">
        <f>'Fin Stat'!AS197</f>
        <v>0</v>
      </c>
      <c r="AT84" s="10">
        <f>'Fin Stat'!AT197</f>
        <v>0</v>
      </c>
      <c r="AU84" s="10">
        <f>'Fin Stat'!AU197</f>
        <v>0</v>
      </c>
      <c r="AV84" s="10">
        <f>'Fin Stat'!AV197</f>
        <v>0</v>
      </c>
      <c r="AW84" s="10">
        <f>'Fin Stat'!AW197</f>
        <v>0</v>
      </c>
      <c r="AX84" s="10">
        <f>'Fin Stat'!AX197</f>
        <v>0</v>
      </c>
      <c r="AY84" s="10">
        <f>'Fin Stat'!AY197</f>
        <v>0</v>
      </c>
      <c r="AZ84" s="10">
        <f>'Fin Stat'!AZ197</f>
        <v>0</v>
      </c>
      <c r="BA84" s="10">
        <f>'Fin Stat'!BA197</f>
        <v>0</v>
      </c>
      <c r="BB84" s="10">
        <f>'Fin Stat'!BB197</f>
        <v>0</v>
      </c>
      <c r="BC84" s="10">
        <f>'Fin Stat'!BC197</f>
        <v>0</v>
      </c>
      <c r="BD84" s="10">
        <f>'Fin Stat'!BD197</f>
        <v>0</v>
      </c>
      <c r="BE84" s="10">
        <f>'Fin Stat'!BE197</f>
        <v>0</v>
      </c>
      <c r="BF84" s="10">
        <f>'Fin Stat'!BF197</f>
        <v>0</v>
      </c>
      <c r="BG84" s="10">
        <f>'Fin Stat'!BG197</f>
        <v>0</v>
      </c>
      <c r="BH84" s="10">
        <f>'Fin Stat'!BH197</f>
        <v>0</v>
      </c>
      <c r="BI84" s="10">
        <f>'Fin Stat'!BI197</f>
        <v>0</v>
      </c>
      <c r="BJ84" s="10">
        <f>'Fin Stat'!BJ197</f>
        <v>0</v>
      </c>
      <c r="BK84" s="157"/>
      <c r="BL84" s="10">
        <f>'Fin Stat'!BL197</f>
        <v>0</v>
      </c>
      <c r="BM84" s="10">
        <f>'Fin Stat'!BM197</f>
        <v>0</v>
      </c>
      <c r="BN84" s="10">
        <f>'Fin Stat'!BN197</f>
        <v>0</v>
      </c>
      <c r="BO84" s="10">
        <f>'Fin Stat'!BO197</f>
        <v>0</v>
      </c>
      <c r="BP84" s="10">
        <f>'Fin Stat'!BP197</f>
        <v>0</v>
      </c>
      <c r="BQ84" s="10">
        <f>'Fin Stat'!BQ197</f>
        <v>0</v>
      </c>
      <c r="BR84" s="10">
        <f>'Fin Stat'!BR197</f>
        <v>0</v>
      </c>
      <c r="BS84" s="10">
        <f>'Fin Stat'!BS197</f>
        <v>0</v>
      </c>
      <c r="BT84" s="10">
        <f>'Fin Stat'!BT197</f>
        <v>0</v>
      </c>
      <c r="BU84" s="10">
        <f>'Fin Stat'!BU197</f>
        <v>0</v>
      </c>
      <c r="BV84" s="10">
        <f>'Fin Stat'!BV197</f>
        <v>0</v>
      </c>
      <c r="BW84" s="10">
        <f>'Fin Stat'!BW197</f>
        <v>0</v>
      </c>
      <c r="BX84" s="157"/>
      <c r="BY84" s="42"/>
      <c r="BZ84" s="335"/>
      <c r="CA84" s="42"/>
      <c r="CC84" s="42"/>
      <c r="EX84" s="10" t="str">
        <f t="shared" si="0"/>
        <v>Interest element of finance lease rental payments</v>
      </c>
    </row>
    <row r="85" spans="1:154" s="276" customFormat="1" ht="14.45" customHeight="1" x14ac:dyDescent="0.25">
      <c r="A85" s="157"/>
      <c r="B85" s="157"/>
      <c r="C85" s="343" t="str">
        <f>'Fin Stat'!C198</f>
        <v>IC-3c</v>
      </c>
      <c r="D85" s="567" t="s">
        <v>584</v>
      </c>
      <c r="E85" s="158"/>
      <c r="F85" s="157"/>
      <c r="G85" s="157"/>
      <c r="H85" s="157"/>
      <c r="I85" s="157"/>
      <c r="J85" s="157"/>
      <c r="K85" s="157"/>
      <c r="L85" s="157"/>
      <c r="M85" s="157"/>
      <c r="N85" s="157"/>
      <c r="O85" s="157"/>
      <c r="P85" s="157"/>
      <c r="Q85" s="157"/>
      <c r="R85" s="157"/>
      <c r="S85" s="157"/>
      <c r="T85" s="157"/>
      <c r="U85" s="157"/>
      <c r="V85" s="121">
        <f>'Fin Stat'!V198</f>
        <v>0</v>
      </c>
      <c r="W85" s="121">
        <f>'Fin Stat'!W198</f>
        <v>0</v>
      </c>
      <c r="X85" s="121">
        <f>'Fin Stat'!X198</f>
        <v>0</v>
      </c>
      <c r="Y85" s="121">
        <f>'Fin Stat'!Y198</f>
        <v>0</v>
      </c>
      <c r="Z85" s="157"/>
      <c r="AA85" s="121">
        <f>'Fin Stat'!AA198</f>
        <v>0</v>
      </c>
      <c r="AB85" s="121">
        <f>'Fin Stat'!AB198</f>
        <v>0</v>
      </c>
      <c r="AC85" s="121">
        <f>'Fin Stat'!AC198</f>
        <v>0</v>
      </c>
      <c r="AD85" s="121">
        <f>'Fin Stat'!AD198</f>
        <v>0</v>
      </c>
      <c r="AE85" s="121">
        <f>'Fin Stat'!AE198</f>
        <v>0</v>
      </c>
      <c r="AF85" s="121">
        <f>'Fin Stat'!AF198</f>
        <v>0</v>
      </c>
      <c r="AG85" s="121">
        <f>'Fin Stat'!AG198</f>
        <v>0</v>
      </c>
      <c r="AH85" s="121">
        <f>'Fin Stat'!AH198</f>
        <v>0</v>
      </c>
      <c r="AI85" s="121">
        <f>'Fin Stat'!AI198</f>
        <v>0</v>
      </c>
      <c r="AJ85" s="121">
        <f>'Fin Stat'!AJ198</f>
        <v>0</v>
      </c>
      <c r="AK85" s="121">
        <f>'Fin Stat'!AK198</f>
        <v>0</v>
      </c>
      <c r="AL85" s="121">
        <f>'Fin Stat'!AL198</f>
        <v>0</v>
      </c>
      <c r="AM85" s="121">
        <f>'Fin Stat'!AM198</f>
        <v>0</v>
      </c>
      <c r="AN85" s="121">
        <f>'Fin Stat'!AN198</f>
        <v>0</v>
      </c>
      <c r="AO85" s="121">
        <f>'Fin Stat'!AO198</f>
        <v>0</v>
      </c>
      <c r="AP85" s="121">
        <f>'Fin Stat'!AP198</f>
        <v>0</v>
      </c>
      <c r="AQ85" s="121">
        <f>'Fin Stat'!AQ198</f>
        <v>0</v>
      </c>
      <c r="AR85" s="121">
        <f>'Fin Stat'!AR198</f>
        <v>0</v>
      </c>
      <c r="AS85" s="121">
        <f>'Fin Stat'!AS198</f>
        <v>0</v>
      </c>
      <c r="AT85" s="121">
        <f>'Fin Stat'!AT198</f>
        <v>0</v>
      </c>
      <c r="AU85" s="121">
        <f>'Fin Stat'!AU198</f>
        <v>0</v>
      </c>
      <c r="AV85" s="121">
        <f>'Fin Stat'!AV198</f>
        <v>0</v>
      </c>
      <c r="AW85" s="121">
        <f>'Fin Stat'!AW198</f>
        <v>0</v>
      </c>
      <c r="AX85" s="121">
        <f>'Fin Stat'!AX198</f>
        <v>0</v>
      </c>
      <c r="AY85" s="121">
        <f>'Fin Stat'!AY198</f>
        <v>0</v>
      </c>
      <c r="AZ85" s="121">
        <f>'Fin Stat'!AZ198</f>
        <v>0</v>
      </c>
      <c r="BA85" s="121">
        <f>'Fin Stat'!BA198</f>
        <v>0</v>
      </c>
      <c r="BB85" s="121">
        <f>'Fin Stat'!BB198</f>
        <v>0</v>
      </c>
      <c r="BC85" s="121">
        <f>'Fin Stat'!BC198</f>
        <v>0</v>
      </c>
      <c r="BD85" s="121">
        <f>'Fin Stat'!BD198</f>
        <v>0</v>
      </c>
      <c r="BE85" s="121">
        <f>'Fin Stat'!BE198</f>
        <v>0</v>
      </c>
      <c r="BF85" s="121">
        <f>'Fin Stat'!BF198</f>
        <v>0</v>
      </c>
      <c r="BG85" s="121">
        <f>'Fin Stat'!BG198</f>
        <v>0</v>
      </c>
      <c r="BH85" s="121">
        <f>'Fin Stat'!BH198</f>
        <v>0</v>
      </c>
      <c r="BI85" s="121">
        <f>'Fin Stat'!BI198</f>
        <v>0</v>
      </c>
      <c r="BJ85" s="121">
        <f>'Fin Stat'!BJ198</f>
        <v>0</v>
      </c>
      <c r="BK85" s="157"/>
      <c r="BL85" s="121">
        <f>'Fin Stat'!BL198</f>
        <v>0</v>
      </c>
      <c r="BM85" s="121">
        <f>'Fin Stat'!BM198</f>
        <v>0</v>
      </c>
      <c r="BN85" s="121">
        <f>'Fin Stat'!BN198</f>
        <v>0</v>
      </c>
      <c r="BO85" s="121">
        <f>'Fin Stat'!BO198</f>
        <v>0</v>
      </c>
      <c r="BP85" s="121">
        <f>'Fin Stat'!BP198</f>
        <v>0</v>
      </c>
      <c r="BQ85" s="121">
        <f>'Fin Stat'!BQ198</f>
        <v>0</v>
      </c>
      <c r="BR85" s="121">
        <f>'Fin Stat'!BR198</f>
        <v>0</v>
      </c>
      <c r="BS85" s="121">
        <f>'Fin Stat'!BS198</f>
        <v>0</v>
      </c>
      <c r="BT85" s="121">
        <f>'Fin Stat'!BT198</f>
        <v>0</v>
      </c>
      <c r="BU85" s="121">
        <f>'Fin Stat'!BU198</f>
        <v>0</v>
      </c>
      <c r="BV85" s="121">
        <f>'Fin Stat'!BV198</f>
        <v>0</v>
      </c>
      <c r="BW85" s="121">
        <f>'Fin Stat'!BW198</f>
        <v>0</v>
      </c>
      <c r="BX85" s="157"/>
      <c r="BY85" s="42"/>
      <c r="BZ85" s="335"/>
      <c r="CA85" s="42"/>
      <c r="CC85" s="42"/>
      <c r="EX85" s="10" t="str">
        <f t="shared" si="0"/>
        <v>New long term loans/Finance leases</v>
      </c>
    </row>
    <row r="86" spans="1:154" s="276" customFormat="1" ht="14.45" customHeight="1" x14ac:dyDescent="0.25">
      <c r="A86" s="157"/>
      <c r="B86" s="157"/>
      <c r="C86" s="343" t="s">
        <v>1500</v>
      </c>
      <c r="D86" s="567" t="s">
        <v>1712</v>
      </c>
      <c r="E86" s="158"/>
      <c r="F86" s="157"/>
      <c r="G86" s="157"/>
      <c r="H86" s="157"/>
      <c r="I86" s="157"/>
      <c r="J86" s="157"/>
      <c r="K86" s="157"/>
      <c r="L86" s="157"/>
      <c r="M86" s="157"/>
      <c r="N86" s="157"/>
      <c r="O86" s="157"/>
      <c r="P86" s="157"/>
      <c r="Q86" s="157"/>
      <c r="R86" s="157"/>
      <c r="S86" s="157"/>
      <c r="T86" s="157"/>
      <c r="U86" s="157"/>
      <c r="V86" s="121">
        <f>SUM('Fin Stat'!V$199:V$200)</f>
        <v>0</v>
      </c>
      <c r="W86" s="121">
        <f>SUM('Fin Stat'!W$199:W$200)</f>
        <v>-341</v>
      </c>
      <c r="X86" s="121">
        <f>SUM('Fin Stat'!X$199:X$200)</f>
        <v>-284</v>
      </c>
      <c r="Y86" s="121">
        <f>SUM('Fin Stat'!Y$199:Y$200)</f>
        <v>-284</v>
      </c>
      <c r="Z86" s="157"/>
      <c r="AA86" s="121">
        <f>SUM('Fin Stat'!AA$199:AA$200)</f>
        <v>-55</v>
      </c>
      <c r="AB86" s="121">
        <f>SUM('Fin Stat'!AB$199:AB$200)</f>
        <v>-24</v>
      </c>
      <c r="AC86" s="121">
        <f>SUM('Fin Stat'!AC$199:AC$200)</f>
        <v>-24</v>
      </c>
      <c r="AD86" s="121">
        <f>SUM('Fin Stat'!AD$199:AD$200)</f>
        <v>-56</v>
      </c>
      <c r="AE86" s="121">
        <f>SUM('Fin Stat'!AE$199:AE$200)</f>
        <v>-25</v>
      </c>
      <c r="AF86" s="121">
        <f>SUM('Fin Stat'!AF$199:AF$200)</f>
        <v>-15</v>
      </c>
      <c r="AG86" s="121">
        <f>SUM('Fin Stat'!AG$199:AG$200)</f>
        <v>-45</v>
      </c>
      <c r="AH86" s="121">
        <f>SUM('Fin Stat'!AH$199:AH$200)</f>
        <v>-13</v>
      </c>
      <c r="AI86" s="121">
        <f>SUM('Fin Stat'!AI$199:AI$200)</f>
        <v>-13</v>
      </c>
      <c r="AJ86" s="121">
        <f>SUM('Fin Stat'!AJ$199:AJ$200)</f>
        <v>-45</v>
      </c>
      <c r="AK86" s="121">
        <f>SUM('Fin Stat'!AK$199:AK$200)</f>
        <v>-13</v>
      </c>
      <c r="AL86" s="121">
        <f>SUM('Fin Stat'!AL$199:AL$200)</f>
        <v>-13</v>
      </c>
      <c r="AM86" s="121">
        <f>SUM('Fin Stat'!AM$199:AM$200)</f>
        <v>-44</v>
      </c>
      <c r="AN86" s="121">
        <f>SUM('Fin Stat'!AN$199:AN$200)</f>
        <v>-13</v>
      </c>
      <c r="AO86" s="121">
        <f>SUM('Fin Stat'!AO$199:AO$200)</f>
        <v>-13</v>
      </c>
      <c r="AP86" s="121">
        <f>SUM('Fin Stat'!AP$199:AP$200)</f>
        <v>-45</v>
      </c>
      <c r="AQ86" s="121">
        <f>SUM('Fin Stat'!AQ$199:AQ$200)</f>
        <v>-14</v>
      </c>
      <c r="AR86" s="121">
        <f>SUM('Fin Stat'!AR$199:AR$200)</f>
        <v>-13</v>
      </c>
      <c r="AS86" s="121">
        <f>SUM('Fin Stat'!AS$199:AS$200)</f>
        <v>-45</v>
      </c>
      <c r="AT86" s="121">
        <f>SUM('Fin Stat'!AT$199:AT$200)</f>
        <v>-13</v>
      </c>
      <c r="AU86" s="121">
        <f>SUM('Fin Stat'!AU$199:AU$200)</f>
        <v>-13</v>
      </c>
      <c r="AV86" s="121">
        <f>SUM('Fin Stat'!AV$199:AV$200)</f>
        <v>-45</v>
      </c>
      <c r="AW86" s="121">
        <f>SUM('Fin Stat'!AW$199:AW$200)</f>
        <v>-13</v>
      </c>
      <c r="AX86" s="121">
        <f>SUM('Fin Stat'!AX$199:AX$200)</f>
        <v>-13</v>
      </c>
      <c r="AY86" s="121">
        <f>SUM('Fin Stat'!AY$199:AY$200)</f>
        <v>-44</v>
      </c>
      <c r="AZ86" s="121">
        <f>SUM('Fin Stat'!AZ$199:AZ$200)</f>
        <v>-13</v>
      </c>
      <c r="BA86" s="121">
        <f>SUM('Fin Stat'!BA$199:BA$200)</f>
        <v>-13</v>
      </c>
      <c r="BB86" s="121">
        <f>SUM('Fin Stat'!BB$199:BB$200)</f>
        <v>-45</v>
      </c>
      <c r="BC86" s="121">
        <f>SUM('Fin Stat'!BC$199:BC$200)</f>
        <v>-14</v>
      </c>
      <c r="BD86" s="121">
        <f>SUM('Fin Stat'!BD$199:BD$200)</f>
        <v>-13</v>
      </c>
      <c r="BE86" s="121">
        <f>SUM('Fin Stat'!BE$199:BE$200)</f>
        <v>-45</v>
      </c>
      <c r="BF86" s="121">
        <f>SUM('Fin Stat'!BF$199:BF$200)</f>
        <v>-13</v>
      </c>
      <c r="BG86" s="121">
        <f>SUM('Fin Stat'!BG$199:BG$200)</f>
        <v>-13</v>
      </c>
      <c r="BH86" s="121">
        <f>SUM('Fin Stat'!BH$199:BH$200)</f>
        <v>-45</v>
      </c>
      <c r="BI86" s="121">
        <f>SUM('Fin Stat'!BI$199:BI$200)</f>
        <v>-13</v>
      </c>
      <c r="BJ86" s="121">
        <f>SUM('Fin Stat'!BJ$199:BJ$200)</f>
        <v>-13</v>
      </c>
      <c r="BK86" s="157"/>
      <c r="BL86" s="121">
        <f>SUM('Fin Stat'!BL$199:BL$200)</f>
        <v>0</v>
      </c>
      <c r="BM86" s="121">
        <f>SUM('Fin Stat'!BM$199:BM$200)</f>
        <v>-341</v>
      </c>
      <c r="BN86" s="121">
        <f>SUM('Fin Stat'!BN$199:BN$200)</f>
        <v>-284</v>
      </c>
      <c r="BO86" s="121">
        <f>SUM('Fin Stat'!BO$199:BO$200)</f>
        <v>-284</v>
      </c>
      <c r="BP86" s="121">
        <f>SUM('Fin Stat'!BP$199:BP$200)</f>
        <v>0</v>
      </c>
      <c r="BQ86" s="121">
        <f>SUM('Fin Stat'!BQ$199:BQ$200)</f>
        <v>0</v>
      </c>
      <c r="BR86" s="121">
        <f>SUM('Fin Stat'!BR$199:BR$200)</f>
        <v>0</v>
      </c>
      <c r="BS86" s="121">
        <f>SUM('Fin Stat'!BS$199:BS$200)</f>
        <v>0</v>
      </c>
      <c r="BT86" s="121">
        <f>SUM('Fin Stat'!BT$199:BT$200)</f>
        <v>0</v>
      </c>
      <c r="BU86" s="121">
        <f>SUM('Fin Stat'!BU$199:BU$200)</f>
        <v>0</v>
      </c>
      <c r="BV86" s="121">
        <f>SUM('Fin Stat'!BV$199:BV$200)</f>
        <v>0</v>
      </c>
      <c r="BW86" s="121">
        <f>SUM('Fin Stat'!BW$199:BW$200)</f>
        <v>0</v>
      </c>
      <c r="BX86" s="157"/>
      <c r="BY86" s="42"/>
      <c r="BZ86" s="335"/>
      <c r="CA86" s="42"/>
      <c r="CC86" s="42"/>
      <c r="EX86" s="10" t="str">
        <f t="shared" si="0"/>
        <v xml:space="preserve">Loan Capital Repayment </v>
      </c>
    </row>
    <row r="87" spans="1:154" s="276" customFormat="1" ht="14.45" customHeight="1" x14ac:dyDescent="0.25">
      <c r="A87" s="157"/>
      <c r="B87" s="157"/>
      <c r="C87" s="343" t="str">
        <f>'Fin Stat'!C201</f>
        <v>IC-3e</v>
      </c>
      <c r="D87" s="567" t="s">
        <v>585</v>
      </c>
      <c r="E87" s="158"/>
      <c r="F87" s="157"/>
      <c r="G87" s="157"/>
      <c r="H87" s="157"/>
      <c r="I87" s="157"/>
      <c r="J87" s="157"/>
      <c r="K87" s="157"/>
      <c r="L87" s="157"/>
      <c r="M87" s="157"/>
      <c r="N87" s="157"/>
      <c r="O87" s="157"/>
      <c r="P87" s="157"/>
      <c r="Q87" s="157"/>
      <c r="R87" s="157"/>
      <c r="S87" s="157"/>
      <c r="T87" s="157"/>
      <c r="U87" s="157"/>
      <c r="V87" s="121">
        <f>'Fin Stat'!V201</f>
        <v>0</v>
      </c>
      <c r="W87" s="121">
        <f>'Fin Stat'!W201</f>
        <v>-134</v>
      </c>
      <c r="X87" s="121">
        <f>'Fin Stat'!X201</f>
        <v>-134</v>
      </c>
      <c r="Y87" s="121">
        <f>'Fin Stat'!Y201</f>
        <v>-134</v>
      </c>
      <c r="Z87" s="157"/>
      <c r="AA87" s="121">
        <f>'Fin Stat'!AA201</f>
        <v>-12</v>
      </c>
      <c r="AB87" s="121">
        <f>'Fin Stat'!AB201</f>
        <v>-12</v>
      </c>
      <c r="AC87" s="121">
        <f>'Fin Stat'!AC201</f>
        <v>-11</v>
      </c>
      <c r="AD87" s="121">
        <f>'Fin Stat'!AD201</f>
        <v>-11</v>
      </c>
      <c r="AE87" s="121">
        <f>'Fin Stat'!AE201</f>
        <v>-11</v>
      </c>
      <c r="AF87" s="121">
        <f>'Fin Stat'!AF201</f>
        <v>-11</v>
      </c>
      <c r="AG87" s="121">
        <f>'Fin Stat'!AG201</f>
        <v>-11</v>
      </c>
      <c r="AH87" s="121">
        <f>'Fin Stat'!AH201</f>
        <v>-11</v>
      </c>
      <c r="AI87" s="121">
        <f>'Fin Stat'!AI201</f>
        <v>-11</v>
      </c>
      <c r="AJ87" s="121">
        <f>'Fin Stat'!AJ201</f>
        <v>-11</v>
      </c>
      <c r="AK87" s="121">
        <f>'Fin Stat'!AK201</f>
        <v>-11</v>
      </c>
      <c r="AL87" s="121">
        <f>'Fin Stat'!AL201</f>
        <v>-11</v>
      </c>
      <c r="AM87" s="121">
        <f>'Fin Stat'!AM201</f>
        <v>-12</v>
      </c>
      <c r="AN87" s="121">
        <f>'Fin Stat'!AN201</f>
        <v>-12</v>
      </c>
      <c r="AO87" s="121">
        <f>'Fin Stat'!AO201</f>
        <v>-11</v>
      </c>
      <c r="AP87" s="121">
        <f>'Fin Stat'!AP201</f>
        <v>-11</v>
      </c>
      <c r="AQ87" s="121">
        <f>'Fin Stat'!AQ201</f>
        <v>-11</v>
      </c>
      <c r="AR87" s="121">
        <f>'Fin Stat'!AR201</f>
        <v>-11</v>
      </c>
      <c r="AS87" s="121">
        <f>'Fin Stat'!AS201</f>
        <v>-11</v>
      </c>
      <c r="AT87" s="121">
        <f>'Fin Stat'!AT201</f>
        <v>-11</v>
      </c>
      <c r="AU87" s="121">
        <f>'Fin Stat'!AU201</f>
        <v>-11</v>
      </c>
      <c r="AV87" s="121">
        <f>'Fin Stat'!AV201</f>
        <v>-11</v>
      </c>
      <c r="AW87" s="121">
        <f>'Fin Stat'!AW201</f>
        <v>-11</v>
      </c>
      <c r="AX87" s="121">
        <f>'Fin Stat'!AX201</f>
        <v>-11</v>
      </c>
      <c r="AY87" s="121">
        <f>'Fin Stat'!AY201</f>
        <v>-12</v>
      </c>
      <c r="AZ87" s="121">
        <f>'Fin Stat'!AZ201</f>
        <v>-12</v>
      </c>
      <c r="BA87" s="121">
        <f>'Fin Stat'!BA201</f>
        <v>-11</v>
      </c>
      <c r="BB87" s="121">
        <f>'Fin Stat'!BB201</f>
        <v>-11</v>
      </c>
      <c r="BC87" s="121">
        <f>'Fin Stat'!BC201</f>
        <v>-11</v>
      </c>
      <c r="BD87" s="121">
        <f>'Fin Stat'!BD201</f>
        <v>-11</v>
      </c>
      <c r="BE87" s="121">
        <f>'Fin Stat'!BE201</f>
        <v>-11</v>
      </c>
      <c r="BF87" s="121">
        <f>'Fin Stat'!BF201</f>
        <v>-11</v>
      </c>
      <c r="BG87" s="121">
        <f>'Fin Stat'!BG201</f>
        <v>-11</v>
      </c>
      <c r="BH87" s="121">
        <f>'Fin Stat'!BH201</f>
        <v>-11</v>
      </c>
      <c r="BI87" s="121">
        <f>'Fin Stat'!BI201</f>
        <v>-11</v>
      </c>
      <c r="BJ87" s="121">
        <f>'Fin Stat'!BJ201</f>
        <v>-11</v>
      </c>
      <c r="BK87" s="157"/>
      <c r="BL87" s="121">
        <f>'Fin Stat'!BL201</f>
        <v>0</v>
      </c>
      <c r="BM87" s="121">
        <f>'Fin Stat'!BM201</f>
        <v>-134</v>
      </c>
      <c r="BN87" s="121">
        <f>'Fin Stat'!BN201</f>
        <v>-134</v>
      </c>
      <c r="BO87" s="121">
        <f>'Fin Stat'!BO201</f>
        <v>-134</v>
      </c>
      <c r="BP87" s="121">
        <f>'Fin Stat'!BP201</f>
        <v>0</v>
      </c>
      <c r="BQ87" s="121">
        <f>'Fin Stat'!BQ201</f>
        <v>0</v>
      </c>
      <c r="BR87" s="121">
        <f>'Fin Stat'!BR201</f>
        <v>0</v>
      </c>
      <c r="BS87" s="121">
        <f>'Fin Stat'!BS201</f>
        <v>0</v>
      </c>
      <c r="BT87" s="121">
        <f>'Fin Stat'!BT201</f>
        <v>0</v>
      </c>
      <c r="BU87" s="121">
        <f>'Fin Stat'!BU201</f>
        <v>0</v>
      </c>
      <c r="BV87" s="121">
        <f>'Fin Stat'!BV201</f>
        <v>0</v>
      </c>
      <c r="BW87" s="121">
        <f>'Fin Stat'!BW201</f>
        <v>0</v>
      </c>
      <c r="BX87" s="157"/>
      <c r="BY87" s="42"/>
      <c r="BZ87" s="335"/>
      <c r="CA87" s="42"/>
      <c r="CC87" s="42"/>
      <c r="EX87" s="10" t="str">
        <f t="shared" si="0"/>
        <v>Capital element of finance lease rental payments</v>
      </c>
    </row>
    <row r="88" spans="1:154" s="335" customFormat="1" ht="14.45" customHeight="1" x14ac:dyDescent="0.25">
      <c r="A88" s="157"/>
      <c r="B88" s="157"/>
      <c r="C88" s="343" t="str">
        <f>'Fin Stat'!C202</f>
        <v>IC-3f</v>
      </c>
      <c r="D88" s="567" t="s">
        <v>1735</v>
      </c>
      <c r="E88" s="158"/>
      <c r="F88" s="157"/>
      <c r="G88" s="157"/>
      <c r="H88" s="157"/>
      <c r="I88" s="157"/>
      <c r="J88" s="157"/>
      <c r="K88" s="157"/>
      <c r="L88" s="157"/>
      <c r="M88" s="157"/>
      <c r="N88" s="157"/>
      <c r="O88" s="157"/>
      <c r="P88" s="157"/>
      <c r="Q88" s="157"/>
      <c r="R88" s="157"/>
      <c r="S88" s="157"/>
      <c r="T88" s="157"/>
      <c r="U88" s="157"/>
      <c r="V88" s="121">
        <f>'Fin Stat'!V202</f>
        <v>0</v>
      </c>
      <c r="W88" s="121">
        <f>'Fin Stat'!W202</f>
        <v>0</v>
      </c>
      <c r="X88" s="121">
        <f>'Fin Stat'!X202</f>
        <v>0</v>
      </c>
      <c r="Y88" s="121">
        <f>'Fin Stat'!Y202</f>
        <v>0</v>
      </c>
      <c r="Z88" s="157"/>
      <c r="AA88" s="121">
        <f>'Fin Stat'!AA202</f>
        <v>0</v>
      </c>
      <c r="AB88" s="121">
        <f>'Fin Stat'!AB202</f>
        <v>0</v>
      </c>
      <c r="AC88" s="121">
        <f>'Fin Stat'!AC202</f>
        <v>0</v>
      </c>
      <c r="AD88" s="121">
        <f>'Fin Stat'!AD202</f>
        <v>0</v>
      </c>
      <c r="AE88" s="121">
        <f>'Fin Stat'!AE202</f>
        <v>0</v>
      </c>
      <c r="AF88" s="121">
        <f>'Fin Stat'!AF202</f>
        <v>0</v>
      </c>
      <c r="AG88" s="121">
        <f>'Fin Stat'!AG202</f>
        <v>0</v>
      </c>
      <c r="AH88" s="121">
        <f>'Fin Stat'!AH202</f>
        <v>0</v>
      </c>
      <c r="AI88" s="121">
        <f>'Fin Stat'!AI202</f>
        <v>0</v>
      </c>
      <c r="AJ88" s="121">
        <f>'Fin Stat'!AJ202</f>
        <v>0</v>
      </c>
      <c r="AK88" s="121">
        <f>'Fin Stat'!AK202</f>
        <v>0</v>
      </c>
      <c r="AL88" s="121">
        <f>'Fin Stat'!AL202</f>
        <v>0</v>
      </c>
      <c r="AM88" s="121">
        <f>'Fin Stat'!AM202</f>
        <v>0</v>
      </c>
      <c r="AN88" s="121">
        <f>'Fin Stat'!AN202</f>
        <v>0</v>
      </c>
      <c r="AO88" s="121">
        <f>'Fin Stat'!AO202</f>
        <v>0</v>
      </c>
      <c r="AP88" s="121">
        <f>'Fin Stat'!AP202</f>
        <v>0</v>
      </c>
      <c r="AQ88" s="121">
        <f>'Fin Stat'!AQ202</f>
        <v>0</v>
      </c>
      <c r="AR88" s="121">
        <f>'Fin Stat'!AR202</f>
        <v>0</v>
      </c>
      <c r="AS88" s="121">
        <f>'Fin Stat'!AS202</f>
        <v>0</v>
      </c>
      <c r="AT88" s="121">
        <f>'Fin Stat'!AT202</f>
        <v>0</v>
      </c>
      <c r="AU88" s="121">
        <f>'Fin Stat'!AU202</f>
        <v>0</v>
      </c>
      <c r="AV88" s="121">
        <f>'Fin Stat'!AV202</f>
        <v>0</v>
      </c>
      <c r="AW88" s="121">
        <f>'Fin Stat'!AW202</f>
        <v>0</v>
      </c>
      <c r="AX88" s="121">
        <f>'Fin Stat'!AX202</f>
        <v>0</v>
      </c>
      <c r="AY88" s="121">
        <f>'Fin Stat'!AY202</f>
        <v>0</v>
      </c>
      <c r="AZ88" s="121">
        <f>'Fin Stat'!AZ202</f>
        <v>0</v>
      </c>
      <c r="BA88" s="121">
        <f>'Fin Stat'!BA202</f>
        <v>0</v>
      </c>
      <c r="BB88" s="121">
        <f>'Fin Stat'!BB202</f>
        <v>0</v>
      </c>
      <c r="BC88" s="121">
        <f>'Fin Stat'!BC202</f>
        <v>0</v>
      </c>
      <c r="BD88" s="121">
        <f>'Fin Stat'!BD202</f>
        <v>0</v>
      </c>
      <c r="BE88" s="121">
        <f>'Fin Stat'!BE202</f>
        <v>0</v>
      </c>
      <c r="BF88" s="121">
        <f>'Fin Stat'!BF202</f>
        <v>0</v>
      </c>
      <c r="BG88" s="121">
        <f>'Fin Stat'!BG202</f>
        <v>0</v>
      </c>
      <c r="BH88" s="121">
        <f>'Fin Stat'!BH202</f>
        <v>0</v>
      </c>
      <c r="BI88" s="121">
        <f>'Fin Stat'!BI202</f>
        <v>0</v>
      </c>
      <c r="BJ88" s="121">
        <f>'Fin Stat'!BJ202</f>
        <v>0</v>
      </c>
      <c r="BK88" s="157"/>
      <c r="BL88" s="121">
        <f>'Fin Stat'!BL202</f>
        <v>0</v>
      </c>
      <c r="BM88" s="121">
        <f>'Fin Stat'!BM202</f>
        <v>0</v>
      </c>
      <c r="BN88" s="121">
        <f>'Fin Stat'!BN202</f>
        <v>0</v>
      </c>
      <c r="BO88" s="121">
        <f>'Fin Stat'!BO202</f>
        <v>0</v>
      </c>
      <c r="BP88" s="121">
        <f>'Fin Stat'!BP202</f>
        <v>0</v>
      </c>
      <c r="BQ88" s="121">
        <f>'Fin Stat'!BQ202</f>
        <v>0</v>
      </c>
      <c r="BR88" s="121">
        <f>'Fin Stat'!BR202</f>
        <v>0</v>
      </c>
      <c r="BS88" s="121">
        <f>'Fin Stat'!BS202</f>
        <v>0</v>
      </c>
      <c r="BT88" s="121">
        <f>'Fin Stat'!BT202</f>
        <v>0</v>
      </c>
      <c r="BU88" s="121">
        <f>'Fin Stat'!BU202</f>
        <v>0</v>
      </c>
      <c r="BV88" s="121">
        <f>'Fin Stat'!BV202</f>
        <v>0</v>
      </c>
      <c r="BW88" s="121">
        <f>'Fin Stat'!BW202</f>
        <v>0</v>
      </c>
      <c r="BX88" s="157"/>
      <c r="BY88" s="42"/>
      <c r="CA88" s="42"/>
      <c r="CC88" s="42"/>
      <c r="EX88" s="10"/>
    </row>
    <row r="89" spans="1:154" x14ac:dyDescent="0.25">
      <c r="A89" s="157"/>
      <c r="B89" s="157"/>
      <c r="C89" s="343" t="str">
        <f>'Fin Stat'!C$203</f>
        <v>IC-3</v>
      </c>
      <c r="D89" s="535" t="s">
        <v>586</v>
      </c>
      <c r="E89" s="158"/>
      <c r="F89" s="157"/>
      <c r="G89" s="157"/>
      <c r="H89" s="157"/>
      <c r="I89" s="157"/>
      <c r="J89" s="157"/>
      <c r="K89" s="157"/>
      <c r="L89" s="157"/>
      <c r="M89" s="157"/>
      <c r="N89" s="157"/>
      <c r="O89" s="157"/>
      <c r="P89" s="157"/>
      <c r="Q89" s="157"/>
      <c r="R89" s="157"/>
      <c r="S89" s="157"/>
      <c r="T89" s="157"/>
      <c r="U89" s="157"/>
      <c r="V89" s="13">
        <f>'Fin Stat'!V$203</f>
        <v>0</v>
      </c>
      <c r="W89" s="13">
        <f>'Fin Stat'!W$203</f>
        <v>-620</v>
      </c>
      <c r="X89" s="13">
        <f>'Fin Stat'!X$203</f>
        <v>-563</v>
      </c>
      <c r="Y89" s="13">
        <f>'Fin Stat'!Y$203</f>
        <v>-563</v>
      </c>
      <c r="Z89" s="157"/>
      <c r="AA89" s="13">
        <f>'Fin Stat'!AA$203</f>
        <v>-92</v>
      </c>
      <c r="AB89" s="13">
        <f>'Fin Stat'!AB$203</f>
        <v>-42</v>
      </c>
      <c r="AC89" s="13">
        <f>'Fin Stat'!AC$203</f>
        <v>-41</v>
      </c>
      <c r="AD89" s="13">
        <f>'Fin Stat'!AD$203</f>
        <v>-91</v>
      </c>
      <c r="AE89" s="13">
        <f>'Fin Stat'!AE$203</f>
        <v>-42</v>
      </c>
      <c r="AF89" s="13">
        <f>'Fin Stat'!AF$203</f>
        <v>-32</v>
      </c>
      <c r="AG89" s="13">
        <f>'Fin Stat'!AG$203</f>
        <v>-80</v>
      </c>
      <c r="AH89" s="13">
        <f>'Fin Stat'!AH$203</f>
        <v>-30</v>
      </c>
      <c r="AI89" s="13">
        <f>'Fin Stat'!AI$203</f>
        <v>-30</v>
      </c>
      <c r="AJ89" s="13">
        <f>'Fin Stat'!AJ$203</f>
        <v>-80</v>
      </c>
      <c r="AK89" s="13">
        <f>'Fin Stat'!AK$203</f>
        <v>-30</v>
      </c>
      <c r="AL89" s="13">
        <f>'Fin Stat'!AL$203</f>
        <v>-30</v>
      </c>
      <c r="AM89" s="13">
        <f>'Fin Stat'!AM$203</f>
        <v>-81</v>
      </c>
      <c r="AN89" s="13">
        <f>'Fin Stat'!AN$203</f>
        <v>-31</v>
      </c>
      <c r="AO89" s="13">
        <f>'Fin Stat'!AO$203</f>
        <v>-30</v>
      </c>
      <c r="AP89" s="13">
        <f>'Fin Stat'!AP$203</f>
        <v>-80</v>
      </c>
      <c r="AQ89" s="13">
        <f>'Fin Stat'!AQ$203</f>
        <v>-31</v>
      </c>
      <c r="AR89" s="13">
        <f>'Fin Stat'!AR$203</f>
        <v>-30</v>
      </c>
      <c r="AS89" s="13">
        <f>'Fin Stat'!AS$203</f>
        <v>-80</v>
      </c>
      <c r="AT89" s="13">
        <f>'Fin Stat'!AT$203</f>
        <v>-30</v>
      </c>
      <c r="AU89" s="13">
        <f>'Fin Stat'!AU$203</f>
        <v>-30</v>
      </c>
      <c r="AV89" s="13">
        <f>'Fin Stat'!AV$203</f>
        <v>-80</v>
      </c>
      <c r="AW89" s="13">
        <f>'Fin Stat'!AW$203</f>
        <v>-30</v>
      </c>
      <c r="AX89" s="13">
        <f>'Fin Stat'!AX$203</f>
        <v>-30</v>
      </c>
      <c r="AY89" s="13">
        <f>'Fin Stat'!AY$203</f>
        <v>-81</v>
      </c>
      <c r="AZ89" s="13">
        <f>'Fin Stat'!AZ$203</f>
        <v>-31</v>
      </c>
      <c r="BA89" s="13">
        <f>'Fin Stat'!BA$203</f>
        <v>-30</v>
      </c>
      <c r="BB89" s="13">
        <f>'Fin Stat'!BB$203</f>
        <v>-80</v>
      </c>
      <c r="BC89" s="13">
        <f>'Fin Stat'!BC$203</f>
        <v>-31</v>
      </c>
      <c r="BD89" s="13">
        <f>'Fin Stat'!BD$203</f>
        <v>-30</v>
      </c>
      <c r="BE89" s="13">
        <f>'Fin Stat'!BE$203</f>
        <v>-80</v>
      </c>
      <c r="BF89" s="13">
        <f>'Fin Stat'!BF$203</f>
        <v>-30</v>
      </c>
      <c r="BG89" s="13">
        <f>'Fin Stat'!BG$203</f>
        <v>-30</v>
      </c>
      <c r="BH89" s="13">
        <f>'Fin Stat'!BH$203</f>
        <v>-80</v>
      </c>
      <c r="BI89" s="13">
        <f>'Fin Stat'!BI$203</f>
        <v>-30</v>
      </c>
      <c r="BJ89" s="13">
        <f>'Fin Stat'!BJ$203</f>
        <v>-30</v>
      </c>
      <c r="BK89" s="157"/>
      <c r="BL89" s="13">
        <f>'Fin Stat'!BL$203</f>
        <v>0</v>
      </c>
      <c r="BM89" s="13">
        <f>'Fin Stat'!BM$203</f>
        <v>-620</v>
      </c>
      <c r="BN89" s="13">
        <f>'Fin Stat'!BN$203</f>
        <v>-563</v>
      </c>
      <c r="BO89" s="13">
        <f>'Fin Stat'!BO$203</f>
        <v>-563</v>
      </c>
      <c r="BP89" s="13">
        <f>'Fin Stat'!BP$203</f>
        <v>0</v>
      </c>
      <c r="BQ89" s="13">
        <f>'Fin Stat'!BQ$203</f>
        <v>0</v>
      </c>
      <c r="BR89" s="13">
        <f>'Fin Stat'!BR$203</f>
        <v>0</v>
      </c>
      <c r="BS89" s="13">
        <f>'Fin Stat'!BS$203</f>
        <v>0</v>
      </c>
      <c r="BT89" s="13">
        <f>'Fin Stat'!BT$203</f>
        <v>0</v>
      </c>
      <c r="BU89" s="13">
        <f>'Fin Stat'!BU$203</f>
        <v>0</v>
      </c>
      <c r="BV89" s="13">
        <f>'Fin Stat'!BV$203</f>
        <v>0</v>
      </c>
      <c r="BW89" s="13">
        <f>'Fin Stat'!BW$203</f>
        <v>0</v>
      </c>
      <c r="BX89" s="157"/>
      <c r="BY89" s="12"/>
      <c r="CA89" s="12"/>
      <c r="CC89" s="42"/>
      <c r="EX89" s="10" t="str">
        <f t="shared" ref="EX89:EX102" si="5">IF($C89="","",$D89)</f>
        <v>Net cash flow from financing activities</v>
      </c>
    </row>
    <row r="90" spans="1:154" s="335" customFormat="1" ht="8.1" customHeight="1" x14ac:dyDescent="0.25">
      <c r="A90" s="157"/>
      <c r="B90" s="157"/>
      <c r="C90" s="343"/>
      <c r="D90" s="522"/>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42"/>
      <c r="CA90" s="42"/>
      <c r="CC90" s="42"/>
      <c r="EX90" s="10" t="str">
        <f t="shared" si="0"/>
        <v/>
      </c>
    </row>
    <row r="91" spans="1:154" s="335" customFormat="1" x14ac:dyDescent="0.25">
      <c r="A91" s="362" cm="1">
        <f t="array" aca="1" ref="A91" ca="1">HYPERLINK(CONCATENATE("#",CELL("address",IF(SUM($CA91:$CC91)=0,A91,INDEX($CA91:$CC91,MATCH(1,$CA91:$CC91,0))))),SUM($CA91:$CC91))</f>
        <v>0</v>
      </c>
      <c r="C91" s="343"/>
      <c r="D91" s="528" t="s">
        <v>1710</v>
      </c>
      <c r="E91" s="356"/>
      <c r="F91" s="356"/>
      <c r="G91" s="356"/>
      <c r="H91" s="356"/>
      <c r="I91" s="356"/>
      <c r="J91" s="356"/>
      <c r="K91" s="356"/>
      <c r="L91" s="356"/>
      <c r="M91" s="356"/>
      <c r="N91" s="356"/>
      <c r="O91" s="356"/>
      <c r="P91" s="356"/>
      <c r="Q91" s="356"/>
      <c r="R91" s="356"/>
      <c r="S91" s="356"/>
      <c r="T91" s="356"/>
      <c r="U91" s="356"/>
      <c r="V91" s="169">
        <f>ROUND(V89-SUM(V83:V88)*V$52, rounding)</f>
        <v>0</v>
      </c>
      <c r="W91" s="169">
        <f>ROUND(W89-SUM(W83:W88)*W$52, rounding)</f>
        <v>0</v>
      </c>
      <c r="X91" s="169">
        <f>ROUND(X89-SUM(X83:X88)*X$52, rounding)</f>
        <v>0</v>
      </c>
      <c r="Y91" s="169">
        <f>ROUND(Y89-SUM(Y83:Y88)*Y$52, rounding)</f>
        <v>0</v>
      </c>
      <c r="Z91" s="157"/>
      <c r="AA91" s="169">
        <f t="shared" ref="AA91:BJ91" si="6">ROUND(AA89-SUM(AA83:AA88)*AA$52, rounding)</f>
        <v>0</v>
      </c>
      <c r="AB91" s="169">
        <f t="shared" si="6"/>
        <v>0</v>
      </c>
      <c r="AC91" s="169">
        <f t="shared" si="6"/>
        <v>0</v>
      </c>
      <c r="AD91" s="169">
        <f t="shared" si="6"/>
        <v>0</v>
      </c>
      <c r="AE91" s="169">
        <f t="shared" si="6"/>
        <v>0</v>
      </c>
      <c r="AF91" s="169">
        <f t="shared" si="6"/>
        <v>0</v>
      </c>
      <c r="AG91" s="169">
        <f t="shared" si="6"/>
        <v>0</v>
      </c>
      <c r="AH91" s="169">
        <f t="shared" si="6"/>
        <v>0</v>
      </c>
      <c r="AI91" s="169">
        <f t="shared" si="6"/>
        <v>0</v>
      </c>
      <c r="AJ91" s="169">
        <f t="shared" si="6"/>
        <v>0</v>
      </c>
      <c r="AK91" s="169">
        <f t="shared" si="6"/>
        <v>0</v>
      </c>
      <c r="AL91" s="169">
        <f t="shared" si="6"/>
        <v>0</v>
      </c>
      <c r="AM91" s="169">
        <f t="shared" si="6"/>
        <v>0</v>
      </c>
      <c r="AN91" s="169">
        <f t="shared" si="6"/>
        <v>0</v>
      </c>
      <c r="AO91" s="169">
        <f t="shared" si="6"/>
        <v>0</v>
      </c>
      <c r="AP91" s="169">
        <f t="shared" si="6"/>
        <v>0</v>
      </c>
      <c r="AQ91" s="169">
        <f t="shared" si="6"/>
        <v>0</v>
      </c>
      <c r="AR91" s="169">
        <f t="shared" si="6"/>
        <v>0</v>
      </c>
      <c r="AS91" s="169">
        <f t="shared" si="6"/>
        <v>0</v>
      </c>
      <c r="AT91" s="169">
        <f t="shared" si="6"/>
        <v>0</v>
      </c>
      <c r="AU91" s="169">
        <f t="shared" si="6"/>
        <v>0</v>
      </c>
      <c r="AV91" s="169">
        <f t="shared" si="6"/>
        <v>0</v>
      </c>
      <c r="AW91" s="169">
        <f t="shared" si="6"/>
        <v>0</v>
      </c>
      <c r="AX91" s="169">
        <f t="shared" si="6"/>
        <v>0</v>
      </c>
      <c r="AY91" s="169">
        <f t="shared" si="6"/>
        <v>0</v>
      </c>
      <c r="AZ91" s="169">
        <f t="shared" si="6"/>
        <v>0</v>
      </c>
      <c r="BA91" s="169">
        <f t="shared" si="6"/>
        <v>0</v>
      </c>
      <c r="BB91" s="169">
        <f t="shared" si="6"/>
        <v>0</v>
      </c>
      <c r="BC91" s="169">
        <f t="shared" si="6"/>
        <v>0</v>
      </c>
      <c r="BD91" s="169">
        <f t="shared" si="6"/>
        <v>0</v>
      </c>
      <c r="BE91" s="169">
        <f t="shared" si="6"/>
        <v>0</v>
      </c>
      <c r="BF91" s="169">
        <f t="shared" si="6"/>
        <v>0</v>
      </c>
      <c r="BG91" s="169">
        <f t="shared" si="6"/>
        <v>0</v>
      </c>
      <c r="BH91" s="169">
        <f t="shared" si="6"/>
        <v>0</v>
      </c>
      <c r="BI91" s="169">
        <f t="shared" si="6"/>
        <v>0</v>
      </c>
      <c r="BJ91" s="169">
        <f t="shared" si="6"/>
        <v>0</v>
      </c>
      <c r="BK91" s="157"/>
      <c r="BL91" s="169">
        <f t="shared" ref="BL91:BW91" si="7">ROUND(BL89-SUM(BL83:BL88)*BL$52, rounding)</f>
        <v>0</v>
      </c>
      <c r="BM91" s="169">
        <f t="shared" si="7"/>
        <v>0</v>
      </c>
      <c r="BN91" s="169">
        <f t="shared" si="7"/>
        <v>0</v>
      </c>
      <c r="BO91" s="169">
        <f t="shared" si="7"/>
        <v>0</v>
      </c>
      <c r="BP91" s="169">
        <f t="shared" si="7"/>
        <v>0</v>
      </c>
      <c r="BQ91" s="169">
        <f t="shared" si="7"/>
        <v>0</v>
      </c>
      <c r="BR91" s="169">
        <f t="shared" si="7"/>
        <v>0</v>
      </c>
      <c r="BS91" s="169">
        <f t="shared" si="7"/>
        <v>0</v>
      </c>
      <c r="BT91" s="169">
        <f t="shared" si="7"/>
        <v>0</v>
      </c>
      <c r="BU91" s="169">
        <f t="shared" si="7"/>
        <v>0</v>
      </c>
      <c r="BV91" s="169">
        <f t="shared" si="7"/>
        <v>0</v>
      </c>
      <c r="BW91" s="169">
        <f t="shared" si="7"/>
        <v>0</v>
      </c>
      <c r="BY91" s="12"/>
      <c r="CA91" s="12"/>
      <c r="CB91" s="7">
        <f>IF(SUM($V91:$BW91)=0, 0, 1)</f>
        <v>0</v>
      </c>
      <c r="CC91" s="42"/>
      <c r="EX91" s="10" t="str">
        <f t="shared" si="0"/>
        <v/>
      </c>
    </row>
    <row r="92" spans="1:154" ht="8.1" customHeight="1" x14ac:dyDescent="0.25">
      <c r="A92" s="157"/>
      <c r="B92" s="157"/>
      <c r="C92" s="343"/>
      <c r="D92" s="522"/>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42"/>
      <c r="CA92" s="42"/>
      <c r="CC92" s="42"/>
      <c r="EX92" s="10" t="str">
        <f t="shared" si="5"/>
        <v/>
      </c>
    </row>
    <row r="93" spans="1:154" x14ac:dyDescent="0.25">
      <c r="A93" s="157"/>
      <c r="B93" s="157"/>
      <c r="C93" s="343" t="str">
        <f>'Fin Stat'!C$205</f>
        <v>IC-4</v>
      </c>
      <c r="D93" s="535" t="s">
        <v>587</v>
      </c>
      <c r="E93" s="158"/>
      <c r="F93" s="157"/>
      <c r="G93" s="157"/>
      <c r="H93" s="157"/>
      <c r="I93" s="157"/>
      <c r="J93" s="157"/>
      <c r="K93" s="157"/>
      <c r="L93" s="157"/>
      <c r="M93" s="157"/>
      <c r="N93" s="157"/>
      <c r="O93" s="157"/>
      <c r="P93" s="157"/>
      <c r="Q93" s="157"/>
      <c r="R93" s="157"/>
      <c r="S93" s="157"/>
      <c r="T93" s="157"/>
      <c r="U93" s="157"/>
      <c r="V93" s="13">
        <f>'Fin Stat'!V$205</f>
        <v>0</v>
      </c>
      <c r="W93" s="13">
        <f>'Fin Stat'!W$205</f>
        <v>2794</v>
      </c>
      <c r="X93" s="13">
        <f>'Fin Stat'!X$205</f>
        <v>-950</v>
      </c>
      <c r="Y93" s="13">
        <f>'Fin Stat'!Y$205</f>
        <v>849.81000000000131</v>
      </c>
      <c r="Z93" s="157"/>
      <c r="AA93" s="13">
        <f>'Fin Stat'!AA$205</f>
        <v>5171</v>
      </c>
      <c r="AB93" s="13">
        <f>'Fin Stat'!AB$205</f>
        <v>2095</v>
      </c>
      <c r="AC93" s="13">
        <f>'Fin Stat'!AC$205</f>
        <v>-1931</v>
      </c>
      <c r="AD93" s="13">
        <f>'Fin Stat'!AD$205</f>
        <v>43</v>
      </c>
      <c r="AE93" s="13">
        <f>'Fin Stat'!AE$205</f>
        <v>-454</v>
      </c>
      <c r="AF93" s="13">
        <f>'Fin Stat'!AF$205</f>
        <v>-585</v>
      </c>
      <c r="AG93" s="13">
        <f>'Fin Stat'!AG$205</f>
        <v>-655</v>
      </c>
      <c r="AH93" s="13">
        <f>'Fin Stat'!AH$205</f>
        <v>-1883</v>
      </c>
      <c r="AI93" s="13">
        <f>'Fin Stat'!AI$205</f>
        <v>1438</v>
      </c>
      <c r="AJ93" s="13">
        <f>'Fin Stat'!AJ$205</f>
        <v>365</v>
      </c>
      <c r="AK93" s="13">
        <f>'Fin Stat'!AK$205</f>
        <v>423</v>
      </c>
      <c r="AL93" s="13">
        <f>'Fin Stat'!AL$205</f>
        <v>-1233</v>
      </c>
      <c r="AM93" s="13">
        <f>'Fin Stat'!AM$205</f>
        <v>1758</v>
      </c>
      <c r="AN93" s="13">
        <f>'Fin Stat'!AN$205</f>
        <v>301</v>
      </c>
      <c r="AO93" s="13">
        <f>'Fin Stat'!AO$205</f>
        <v>-146</v>
      </c>
      <c r="AP93" s="13">
        <f>'Fin Stat'!AP$205</f>
        <v>-574</v>
      </c>
      <c r="AQ93" s="13">
        <f>'Fin Stat'!AQ$205</f>
        <v>-1235</v>
      </c>
      <c r="AR93" s="13">
        <f>'Fin Stat'!AR$205</f>
        <v>-1226</v>
      </c>
      <c r="AS93" s="13">
        <f>'Fin Stat'!AS$205</f>
        <v>-1253</v>
      </c>
      <c r="AT93" s="13">
        <f>'Fin Stat'!AT$205</f>
        <v>-1365</v>
      </c>
      <c r="AU93" s="13">
        <f>'Fin Stat'!AU$205</f>
        <v>1079</v>
      </c>
      <c r="AV93" s="13">
        <f>'Fin Stat'!AV$205</f>
        <v>104</v>
      </c>
      <c r="AW93" s="13">
        <f>'Fin Stat'!AW$205</f>
        <v>-241</v>
      </c>
      <c r="AX93" s="13">
        <f>'Fin Stat'!AX$205</f>
        <v>1848</v>
      </c>
      <c r="AY93" s="13">
        <f>'Fin Stat'!AY$205</f>
        <v>2082.7483333333334</v>
      </c>
      <c r="AZ93" s="13">
        <f>'Fin Stat'!AZ$205</f>
        <v>943.35666666666611</v>
      </c>
      <c r="BA93" s="13">
        <f>'Fin Stat'!BA$205</f>
        <v>22.488333333332776</v>
      </c>
      <c r="BB93" s="13">
        <f>'Fin Stat'!BB$205</f>
        <v>-595.61333333333323</v>
      </c>
      <c r="BC93" s="13">
        <f>'Fin Stat'!BC$205</f>
        <v>-1024.53</v>
      </c>
      <c r="BD93" s="13">
        <f>'Fin Stat'!BD$205</f>
        <v>-842.22999999999979</v>
      </c>
      <c r="BE93" s="13">
        <f>'Fin Stat'!BE$205</f>
        <v>-1190.741666666667</v>
      </c>
      <c r="BF93" s="13">
        <f>'Fin Stat'!BF$205</f>
        <v>-992.5183333333332</v>
      </c>
      <c r="BG93" s="13">
        <f>'Fin Stat'!BG$205</f>
        <v>1577.378333333334</v>
      </c>
      <c r="BH93" s="13">
        <f>'Fin Stat'!BH$205</f>
        <v>301.06833333333361</v>
      </c>
      <c r="BI93" s="13">
        <f>'Fin Stat'!BI$205</f>
        <v>-91.806666666666388</v>
      </c>
      <c r="BJ93" s="13">
        <f>'Fin Stat'!BJ$205</f>
        <v>660.20999999999958</v>
      </c>
      <c r="BK93" s="157"/>
      <c r="BL93" s="13">
        <f>'Fin Stat'!BL$205</f>
        <v>0</v>
      </c>
      <c r="BM93" s="13">
        <f>'Fin Stat'!BM$205</f>
        <v>2794</v>
      </c>
      <c r="BN93" s="13">
        <f>'Fin Stat'!BN$205</f>
        <v>-950</v>
      </c>
      <c r="BO93" s="13">
        <f>'Fin Stat'!BO$205</f>
        <v>849.81000000000131</v>
      </c>
      <c r="BP93" s="13">
        <f>'Fin Stat'!BP$205</f>
        <v>0</v>
      </c>
      <c r="BQ93" s="13">
        <f>'Fin Stat'!BQ$205</f>
        <v>0</v>
      </c>
      <c r="BR93" s="13">
        <f>'Fin Stat'!BR$205</f>
        <v>0</v>
      </c>
      <c r="BS93" s="13">
        <f>'Fin Stat'!BS$205</f>
        <v>0</v>
      </c>
      <c r="BT93" s="13">
        <f>'Fin Stat'!BT$205</f>
        <v>0</v>
      </c>
      <c r="BU93" s="13">
        <f>'Fin Stat'!BU$205</f>
        <v>0</v>
      </c>
      <c r="BV93" s="13">
        <f>'Fin Stat'!BV$205</f>
        <v>0</v>
      </c>
      <c r="BW93" s="13">
        <f>'Fin Stat'!BW$205</f>
        <v>0</v>
      </c>
      <c r="BX93" s="157"/>
      <c r="BY93" s="12"/>
      <c r="CA93" s="12"/>
      <c r="CC93" s="42"/>
      <c r="EX93" s="10" t="str">
        <f t="shared" si="5"/>
        <v>Increase/(decrease) in cash and cash equivalents</v>
      </c>
    </row>
    <row r="94" spans="1:154" s="335" customFormat="1" ht="8.1" customHeight="1" x14ac:dyDescent="0.25">
      <c r="A94" s="157"/>
      <c r="B94" s="157"/>
      <c r="C94" s="343"/>
      <c r="D94" s="522"/>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42"/>
      <c r="CA94" s="42"/>
      <c r="CC94" s="42"/>
      <c r="EX94" s="10" t="str">
        <f t="shared" si="5"/>
        <v/>
      </c>
    </row>
    <row r="95" spans="1:154" s="335" customFormat="1" x14ac:dyDescent="0.25">
      <c r="A95" s="362" cm="1">
        <f t="array" aca="1" ref="A95" ca="1">HYPERLINK(CONCATENATE("#",CELL("address",IF(SUM($CA95:$CC95)=0,A95,INDEX($CA95:$CC95,MATCH(1,$CA95:$CC95,0))))),SUM($CA95:$CC95))</f>
        <v>0</v>
      </c>
      <c r="C95" s="343"/>
      <c r="D95" s="528" t="s">
        <v>1713</v>
      </c>
      <c r="E95" s="356"/>
      <c r="F95" s="356"/>
      <c r="G95" s="356"/>
      <c r="H95" s="356"/>
      <c r="I95" s="356"/>
      <c r="J95" s="356"/>
      <c r="K95" s="356"/>
      <c r="L95" s="356"/>
      <c r="M95" s="356"/>
      <c r="N95" s="356"/>
      <c r="O95" s="356"/>
      <c r="P95" s="356"/>
      <c r="Q95" s="356"/>
      <c r="R95" s="356"/>
      <c r="S95" s="356"/>
      <c r="T95" s="356"/>
      <c r="U95" s="356"/>
      <c r="V95" s="169">
        <f>ROUND(V93-SUM(V89, V79, V68)*V$52, rounding)</f>
        <v>0</v>
      </c>
      <c r="W95" s="169">
        <f>ROUND(W93-SUM(W89, W79, W68)*W$52, rounding)</f>
        <v>0</v>
      </c>
      <c r="X95" s="169">
        <f>ROUND(X93-SUM(X89, X79, X68)*X$52, rounding)</f>
        <v>0</v>
      </c>
      <c r="Y95" s="169">
        <f>ROUND(Y93-SUM(Y89, Y79, Y68)*Y$52, rounding)</f>
        <v>0</v>
      </c>
      <c r="Z95" s="157"/>
      <c r="AA95" s="169">
        <f t="shared" ref="AA95:BJ95" si="8">ROUND(AA93-SUM(AA89, AA79, AA68)*AA$52, rounding)</f>
        <v>0</v>
      </c>
      <c r="AB95" s="169">
        <f t="shared" si="8"/>
        <v>0</v>
      </c>
      <c r="AC95" s="169">
        <f t="shared" si="8"/>
        <v>0</v>
      </c>
      <c r="AD95" s="169">
        <f t="shared" si="8"/>
        <v>0</v>
      </c>
      <c r="AE95" s="169">
        <f t="shared" si="8"/>
        <v>0</v>
      </c>
      <c r="AF95" s="169">
        <f t="shared" si="8"/>
        <v>0</v>
      </c>
      <c r="AG95" s="169">
        <f t="shared" si="8"/>
        <v>0</v>
      </c>
      <c r="AH95" s="169">
        <f t="shared" si="8"/>
        <v>0</v>
      </c>
      <c r="AI95" s="169">
        <f t="shared" si="8"/>
        <v>0</v>
      </c>
      <c r="AJ95" s="169">
        <f t="shared" si="8"/>
        <v>0</v>
      </c>
      <c r="AK95" s="169">
        <f t="shared" si="8"/>
        <v>0</v>
      </c>
      <c r="AL95" s="169">
        <f t="shared" si="8"/>
        <v>0</v>
      </c>
      <c r="AM95" s="169">
        <f t="shared" si="8"/>
        <v>0</v>
      </c>
      <c r="AN95" s="169">
        <f t="shared" si="8"/>
        <v>0</v>
      </c>
      <c r="AO95" s="169">
        <f t="shared" si="8"/>
        <v>0</v>
      </c>
      <c r="AP95" s="169">
        <f t="shared" si="8"/>
        <v>0</v>
      </c>
      <c r="AQ95" s="169">
        <f t="shared" si="8"/>
        <v>0</v>
      </c>
      <c r="AR95" s="169">
        <f t="shared" si="8"/>
        <v>0</v>
      </c>
      <c r="AS95" s="169">
        <f t="shared" si="8"/>
        <v>0</v>
      </c>
      <c r="AT95" s="169">
        <f t="shared" si="8"/>
        <v>0</v>
      </c>
      <c r="AU95" s="169">
        <f t="shared" si="8"/>
        <v>0</v>
      </c>
      <c r="AV95" s="169">
        <f t="shared" si="8"/>
        <v>0</v>
      </c>
      <c r="AW95" s="169">
        <f t="shared" si="8"/>
        <v>0</v>
      </c>
      <c r="AX95" s="169">
        <f t="shared" si="8"/>
        <v>0</v>
      </c>
      <c r="AY95" s="169">
        <f t="shared" si="8"/>
        <v>0</v>
      </c>
      <c r="AZ95" s="169">
        <f t="shared" si="8"/>
        <v>0</v>
      </c>
      <c r="BA95" s="169">
        <f t="shared" si="8"/>
        <v>0</v>
      </c>
      <c r="BB95" s="169">
        <f t="shared" si="8"/>
        <v>0</v>
      </c>
      <c r="BC95" s="169">
        <f t="shared" si="8"/>
        <v>0</v>
      </c>
      <c r="BD95" s="169">
        <f t="shared" si="8"/>
        <v>0</v>
      </c>
      <c r="BE95" s="169">
        <f t="shared" si="8"/>
        <v>0</v>
      </c>
      <c r="BF95" s="169">
        <f t="shared" si="8"/>
        <v>0</v>
      </c>
      <c r="BG95" s="169">
        <f t="shared" si="8"/>
        <v>0</v>
      </c>
      <c r="BH95" s="169">
        <f t="shared" si="8"/>
        <v>0</v>
      </c>
      <c r="BI95" s="169">
        <f t="shared" si="8"/>
        <v>0</v>
      </c>
      <c r="BJ95" s="169">
        <f t="shared" si="8"/>
        <v>0</v>
      </c>
      <c r="BK95" s="157"/>
      <c r="BL95" s="169">
        <f t="shared" ref="BL95:BW95" si="9">ROUND(BL93-SUM(BL89, BL79, BL68)*BL$52, rounding)</f>
        <v>0</v>
      </c>
      <c r="BM95" s="169">
        <f t="shared" si="9"/>
        <v>0</v>
      </c>
      <c r="BN95" s="169">
        <f t="shared" si="9"/>
        <v>0</v>
      </c>
      <c r="BO95" s="169">
        <f t="shared" si="9"/>
        <v>0</v>
      </c>
      <c r="BP95" s="169">
        <f t="shared" si="9"/>
        <v>0</v>
      </c>
      <c r="BQ95" s="169">
        <f t="shared" si="9"/>
        <v>0</v>
      </c>
      <c r="BR95" s="169">
        <f t="shared" si="9"/>
        <v>0</v>
      </c>
      <c r="BS95" s="169">
        <f t="shared" si="9"/>
        <v>0</v>
      </c>
      <c r="BT95" s="169">
        <f t="shared" si="9"/>
        <v>0</v>
      </c>
      <c r="BU95" s="169">
        <f t="shared" si="9"/>
        <v>0</v>
      </c>
      <c r="BV95" s="169">
        <f t="shared" si="9"/>
        <v>0</v>
      </c>
      <c r="BW95" s="169">
        <f t="shared" si="9"/>
        <v>0</v>
      </c>
      <c r="BY95" s="12"/>
      <c r="CA95" s="12"/>
      <c r="CB95" s="7">
        <f>IF(SUM($V95:$BW95)=0, 0, 1)</f>
        <v>0</v>
      </c>
      <c r="CC95" s="42"/>
      <c r="EX95" s="10" t="str">
        <f t="shared" si="5"/>
        <v/>
      </c>
    </row>
    <row r="96" spans="1:154" ht="8.1" customHeight="1" x14ac:dyDescent="0.25">
      <c r="A96" s="157"/>
      <c r="B96" s="157"/>
      <c r="C96" s="343"/>
      <c r="D96" s="522"/>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42"/>
      <c r="CA96" s="42"/>
      <c r="CC96" s="42"/>
      <c r="EX96" s="10" t="str">
        <f t="shared" si="5"/>
        <v/>
      </c>
    </row>
    <row r="97" spans="1:154" x14ac:dyDescent="0.25">
      <c r="A97" s="157"/>
      <c r="B97" s="157"/>
      <c r="C97" s="343" t="str">
        <f>'Fin Stat'!C$209</f>
        <v>IC-5</v>
      </c>
      <c r="D97" s="535" t="s">
        <v>841</v>
      </c>
      <c r="E97" s="158"/>
      <c r="F97" s="157"/>
      <c r="G97" s="157"/>
      <c r="H97" s="157"/>
      <c r="I97" s="157"/>
      <c r="J97" s="157"/>
      <c r="K97" s="157"/>
      <c r="L97" s="157"/>
      <c r="M97" s="157"/>
      <c r="N97" s="157"/>
      <c r="O97" s="157"/>
      <c r="P97" s="157"/>
      <c r="Q97" s="157"/>
      <c r="R97" s="157"/>
      <c r="S97" s="157"/>
      <c r="T97" s="157"/>
      <c r="U97" s="157"/>
      <c r="V97" s="13">
        <f>'Fin Stat'!V$209</f>
        <v>3647</v>
      </c>
      <c r="W97" s="13">
        <f>'Fin Stat'!W$209</f>
        <v>6441</v>
      </c>
      <c r="X97" s="13">
        <f>'Fin Stat'!X$209</f>
        <v>5491</v>
      </c>
      <c r="Y97" s="13">
        <f>'Fin Stat'!Y$209</f>
        <v>6340.8100000000013</v>
      </c>
      <c r="Z97" s="157"/>
      <c r="AA97" s="13">
        <f>'Fin Stat'!AA$209</f>
        <v>8818</v>
      </c>
      <c r="AB97" s="13">
        <f>'Fin Stat'!AB$209</f>
        <v>10913</v>
      </c>
      <c r="AC97" s="13">
        <f>'Fin Stat'!AC$209</f>
        <v>8982</v>
      </c>
      <c r="AD97" s="13">
        <f>'Fin Stat'!AD$209</f>
        <v>9025</v>
      </c>
      <c r="AE97" s="13">
        <f>'Fin Stat'!AE$209</f>
        <v>8571</v>
      </c>
      <c r="AF97" s="13">
        <f>'Fin Stat'!AF$209</f>
        <v>7986</v>
      </c>
      <c r="AG97" s="13">
        <f>'Fin Stat'!AG$209</f>
        <v>7331</v>
      </c>
      <c r="AH97" s="13">
        <f>'Fin Stat'!AH$209</f>
        <v>5448</v>
      </c>
      <c r="AI97" s="13">
        <f>'Fin Stat'!AI$209</f>
        <v>6886</v>
      </c>
      <c r="AJ97" s="13">
        <f>'Fin Stat'!AJ$209</f>
        <v>7251</v>
      </c>
      <c r="AK97" s="13">
        <f>'Fin Stat'!AK$209</f>
        <v>7674</v>
      </c>
      <c r="AL97" s="13">
        <f>'Fin Stat'!AL$209</f>
        <v>6441</v>
      </c>
      <c r="AM97" s="13">
        <f>'Fin Stat'!AM$209</f>
        <v>8199</v>
      </c>
      <c r="AN97" s="13">
        <f>'Fin Stat'!AN$209</f>
        <v>8500</v>
      </c>
      <c r="AO97" s="13">
        <f>'Fin Stat'!AO$209</f>
        <v>8354</v>
      </c>
      <c r="AP97" s="13">
        <f>'Fin Stat'!AP$209</f>
        <v>7780</v>
      </c>
      <c r="AQ97" s="13">
        <f>'Fin Stat'!AQ$209</f>
        <v>6545</v>
      </c>
      <c r="AR97" s="13">
        <f>'Fin Stat'!AR$209</f>
        <v>5319</v>
      </c>
      <c r="AS97" s="13">
        <f>'Fin Stat'!AS$209</f>
        <v>4066</v>
      </c>
      <c r="AT97" s="13">
        <f>'Fin Stat'!AT$209</f>
        <v>2701</v>
      </c>
      <c r="AU97" s="13">
        <f>'Fin Stat'!AU$209</f>
        <v>3780</v>
      </c>
      <c r="AV97" s="13">
        <f>'Fin Stat'!AV$209</f>
        <v>3884</v>
      </c>
      <c r="AW97" s="13">
        <f>'Fin Stat'!AW$209</f>
        <v>3643</v>
      </c>
      <c r="AX97" s="13">
        <f>'Fin Stat'!AX$209</f>
        <v>5491</v>
      </c>
      <c r="AY97" s="13">
        <f>'Fin Stat'!AY$209</f>
        <v>7573.748333333333</v>
      </c>
      <c r="AZ97" s="13">
        <f>'Fin Stat'!AZ$209</f>
        <v>8517.1049999999996</v>
      </c>
      <c r="BA97" s="13">
        <f>'Fin Stat'!BA$209</f>
        <v>8539.5933333333323</v>
      </c>
      <c r="BB97" s="13">
        <f>'Fin Stat'!BB$209</f>
        <v>7943.98</v>
      </c>
      <c r="BC97" s="13">
        <f>'Fin Stat'!BC$209</f>
        <v>6919.45</v>
      </c>
      <c r="BD97" s="13">
        <f>'Fin Stat'!BD$209</f>
        <v>6077.22</v>
      </c>
      <c r="BE97" s="13">
        <f>'Fin Stat'!BE$209</f>
        <v>4886.4783333333335</v>
      </c>
      <c r="BF97" s="13">
        <f>'Fin Stat'!BF$209</f>
        <v>3893.96</v>
      </c>
      <c r="BG97" s="13">
        <f>'Fin Stat'!BG$209</f>
        <v>5471.338333333334</v>
      </c>
      <c r="BH97" s="13">
        <f>'Fin Stat'!BH$209</f>
        <v>5772.4066666666677</v>
      </c>
      <c r="BI97" s="13">
        <f>'Fin Stat'!BI$209</f>
        <v>5680.6000000000013</v>
      </c>
      <c r="BJ97" s="13">
        <f>'Fin Stat'!BJ$209</f>
        <v>6340.8100000000013</v>
      </c>
      <c r="BK97" s="157"/>
      <c r="BL97" s="13">
        <f>'Fin Stat'!BL$209</f>
        <v>3647</v>
      </c>
      <c r="BM97" s="13">
        <f>'Fin Stat'!BM$209</f>
        <v>6441</v>
      </c>
      <c r="BN97" s="13">
        <f>'Fin Stat'!BN$209</f>
        <v>5491</v>
      </c>
      <c r="BO97" s="13">
        <f>'Fin Stat'!BO$209</f>
        <v>6340.8100000000013</v>
      </c>
      <c r="BP97" s="13">
        <f>'Fin Stat'!BP$209</f>
        <v>6340.8100000000013</v>
      </c>
      <c r="BQ97" s="13">
        <f>'Fin Stat'!BQ$209</f>
        <v>6340.8100000000013</v>
      </c>
      <c r="BR97" s="13">
        <f>'Fin Stat'!BR$209</f>
        <v>6340.8100000000013</v>
      </c>
      <c r="BS97" s="13">
        <f>'Fin Stat'!BS$209</f>
        <v>6340.8100000000013</v>
      </c>
      <c r="BT97" s="13">
        <f>'Fin Stat'!BT$209</f>
        <v>6340.8100000000013</v>
      </c>
      <c r="BU97" s="13">
        <f>'Fin Stat'!BU$209</f>
        <v>6340.8100000000013</v>
      </c>
      <c r="BV97" s="13">
        <f>'Fin Stat'!BV$209</f>
        <v>6340.8100000000013</v>
      </c>
      <c r="BW97" s="13">
        <f>'Fin Stat'!BW$209</f>
        <v>6340.8100000000013</v>
      </c>
      <c r="BX97" s="157"/>
      <c r="BY97" s="12"/>
      <c r="CA97" s="12"/>
      <c r="CC97" s="42"/>
      <c r="EX97" s="10" t="str">
        <f t="shared" si="5"/>
        <v>Cash and cash equivalents at end of the period</v>
      </c>
    </row>
    <row r="98" spans="1:154" ht="8.1" customHeight="1" x14ac:dyDescent="0.25">
      <c r="A98" s="157"/>
      <c r="B98" s="157"/>
      <c r="C98" s="343"/>
      <c r="D98" s="522"/>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42"/>
      <c r="CA98" s="42"/>
      <c r="CC98" s="42"/>
      <c r="EX98" s="10" t="str">
        <f t="shared" si="5"/>
        <v/>
      </c>
    </row>
    <row r="99" spans="1:154" x14ac:dyDescent="0.25">
      <c r="A99" s="157"/>
      <c r="B99" s="157"/>
      <c r="C99" s="343" t="str">
        <f>Ratios!C$20</f>
        <v>R-2a</v>
      </c>
      <c r="D99" s="535" t="s">
        <v>875</v>
      </c>
      <c r="E99" s="158"/>
      <c r="F99" s="157"/>
      <c r="G99" s="157"/>
      <c r="H99" s="157"/>
      <c r="I99" s="157"/>
      <c r="J99" s="157"/>
      <c r="K99" s="157"/>
      <c r="L99" s="157"/>
      <c r="M99" s="157"/>
      <c r="N99" s="157"/>
      <c r="O99" s="157"/>
      <c r="P99" s="157"/>
      <c r="Q99" s="157"/>
      <c r="R99" s="157"/>
      <c r="S99" s="157"/>
      <c r="T99" s="157"/>
      <c r="U99" s="157"/>
      <c r="V99" s="10">
        <f>Ratios!V$20</f>
        <v>0</v>
      </c>
      <c r="W99" s="10">
        <f>Ratios!W$20</f>
        <v>146.54175959393984</v>
      </c>
      <c r="X99" s="10">
        <f>Ratios!X$20</f>
        <v>123.04741442632584</v>
      </c>
      <c r="Y99" s="10">
        <f>Ratios!Y$20</f>
        <v>130.53428966542288</v>
      </c>
      <c r="Z99" s="157"/>
      <c r="AA99" s="10">
        <f>Ratios!AA$20</f>
        <v>179.90348381142812</v>
      </c>
      <c r="AB99" s="10">
        <f>Ratios!AB$20</f>
        <v>209.30727524417443</v>
      </c>
      <c r="AC99" s="10">
        <f>Ratios!AC$20</f>
        <v>182.20526032454049</v>
      </c>
      <c r="AD99" s="10">
        <f>Ratios!AD$20</f>
        <v>182.80877489810047</v>
      </c>
      <c r="AE99" s="10">
        <f>Ratios!AE$20</f>
        <v>176.43678381911866</v>
      </c>
      <c r="AF99" s="10">
        <f>Ratios!AF$20</f>
        <v>168.22617857417518</v>
      </c>
      <c r="AG99" s="10">
        <f>Ratios!AG$20</f>
        <v>159.0331077443667</v>
      </c>
      <c r="AH99" s="10">
        <f>Ratios!AH$20</f>
        <v>132.60478351149735</v>
      </c>
      <c r="AI99" s="10">
        <f>Ratios!AI$20</f>
        <v>152.78743366915327</v>
      </c>
      <c r="AJ99" s="10">
        <f>Ratios!AJ$20</f>
        <v>157.91028993309237</v>
      </c>
      <c r="AK99" s="10">
        <f>Ratios!AK$20</f>
        <v>163.84718911020533</v>
      </c>
      <c r="AL99" s="10">
        <f>Ratios!AL$20</f>
        <v>146.54175959393984</v>
      </c>
      <c r="AM99" s="10">
        <f>Ratios!AM$20</f>
        <v>159.34901571911266</v>
      </c>
      <c r="AN99" s="10">
        <f>Ratios!AN$20</f>
        <v>163.38401645365064</v>
      </c>
      <c r="AO99" s="10">
        <f>Ratios!AO$20</f>
        <v>161.4268400176289</v>
      </c>
      <c r="AP99" s="10">
        <f>Ratios!AP$20</f>
        <v>153.73218745409139</v>
      </c>
      <c r="AQ99" s="10">
        <f>Ratios!AQ$20</f>
        <v>137.17661965623623</v>
      </c>
      <c r="AR99" s="10">
        <f>Ratios!AR$20</f>
        <v>120.74169972087557</v>
      </c>
      <c r="AS99" s="10">
        <f>Ratios!AS$20</f>
        <v>103.94483619803142</v>
      </c>
      <c r="AT99" s="10">
        <f>Ratios!AT$20</f>
        <v>85.646577053033653</v>
      </c>
      <c r="AU99" s="10">
        <f>Ratios!AU$20</f>
        <v>100.1109152343176</v>
      </c>
      <c r="AV99" s="10">
        <f>Ratios!AV$20</f>
        <v>101.50506831203172</v>
      </c>
      <c r="AW99" s="10">
        <f>Ratios!AW$20</f>
        <v>98.27438666079037</v>
      </c>
      <c r="AX99" s="10">
        <f>Ratios!AX$20</f>
        <v>123.04741442632584</v>
      </c>
      <c r="AY99" s="10">
        <f>Ratios!AY$20</f>
        <v>146.58212879518371</v>
      </c>
      <c r="AZ99" s="10">
        <f>Ratios!AZ$20</f>
        <v>158.86079320147661</v>
      </c>
      <c r="BA99" s="10">
        <f>Ratios!BA$20</f>
        <v>159.15349977557921</v>
      </c>
      <c r="BB99" s="10">
        <f>Ratios!BB$20</f>
        <v>151.40103827895885</v>
      </c>
      <c r="BC99" s="10">
        <f>Ratios!BC$20</f>
        <v>138.06582744228774</v>
      </c>
      <c r="BD99" s="10">
        <f>Ratios!BD$20</f>
        <v>127.10342065774313</v>
      </c>
      <c r="BE99" s="10">
        <f>Ratios!BE$20</f>
        <v>111.60481039058726</v>
      </c>
      <c r="BF99" s="10">
        <f>Ratios!BF$20</f>
        <v>98.686261168737801</v>
      </c>
      <c r="BG99" s="10">
        <f>Ratios!BG$20</f>
        <v>119.21730725250001</v>
      </c>
      <c r="BH99" s="10">
        <f>Ratios!BH$20</f>
        <v>123.13599162606175</v>
      </c>
      <c r="BI99" s="10">
        <f>Ratios!BI$20</f>
        <v>121.94104247258456</v>
      </c>
      <c r="BJ99" s="10">
        <f>Ratios!BJ$20</f>
        <v>130.53428966542288</v>
      </c>
      <c r="BK99" s="157"/>
      <c r="BL99" s="10">
        <f>Ratios!BL$20</f>
        <v>0</v>
      </c>
      <c r="BM99" s="10">
        <f>Ratios!BM$20</f>
        <v>146.54175959393984</v>
      </c>
      <c r="BN99" s="10">
        <f>Ratios!BN$20</f>
        <v>123.04741442632584</v>
      </c>
      <c r="BO99" s="10">
        <f>Ratios!BO$20</f>
        <v>130.53428966542288</v>
      </c>
      <c r="BP99" s="10">
        <f>Ratios!BP$20</f>
        <v>0</v>
      </c>
      <c r="BQ99" s="10">
        <f>Ratios!BQ$20</f>
        <v>0</v>
      </c>
      <c r="BR99" s="10">
        <f>Ratios!BR$20</f>
        <v>0</v>
      </c>
      <c r="BS99" s="10">
        <f>Ratios!BS$20</f>
        <v>0</v>
      </c>
      <c r="BT99" s="10">
        <f>Ratios!BT$20</f>
        <v>0</v>
      </c>
      <c r="BU99" s="10">
        <f>Ratios!BU$20</f>
        <v>0</v>
      </c>
      <c r="BV99" s="10">
        <f>Ratios!BV$20</f>
        <v>0</v>
      </c>
      <c r="BW99" s="10">
        <f>Ratios!BW$20</f>
        <v>0</v>
      </c>
      <c r="BX99" s="157"/>
      <c r="BY99" s="12"/>
      <c r="CA99" s="12"/>
      <c r="CC99" s="42"/>
      <c r="EX99" s="10" t="str">
        <f t="shared" si="5"/>
        <v>Adjusted cash days in hand</v>
      </c>
    </row>
    <row r="100" spans="1:154" x14ac:dyDescent="0.25">
      <c r="A100" s="157"/>
      <c r="B100" s="157"/>
      <c r="C100" s="343" t="str">
        <f>Ratios!C$22</f>
        <v>R-2b</v>
      </c>
      <c r="D100" s="535" t="s">
        <v>618</v>
      </c>
      <c r="E100" s="158"/>
      <c r="F100" s="157"/>
      <c r="G100" s="157"/>
      <c r="H100" s="157"/>
      <c r="I100" s="157"/>
      <c r="J100" s="157"/>
      <c r="K100" s="157"/>
      <c r="L100" s="157"/>
      <c r="M100" s="157"/>
      <c r="N100" s="157"/>
      <c r="O100" s="157"/>
      <c r="P100" s="157"/>
      <c r="Q100" s="157"/>
      <c r="R100" s="157"/>
      <c r="S100" s="157"/>
      <c r="T100" s="157"/>
      <c r="U100" s="157"/>
      <c r="V100" s="10">
        <f>Ratios!V$22</f>
        <v>0</v>
      </c>
      <c r="W100" s="10">
        <f ca="1">Ratios!W$22</f>
        <v>4.3297452457839976</v>
      </c>
      <c r="X100" s="10">
        <f ca="1">Ratios!X$22</f>
        <v>3.6772773450728073</v>
      </c>
      <c r="Y100" s="10">
        <f ca="1">Ratios!Y$22</f>
        <v>4.4652927669345583</v>
      </c>
      <c r="Z100" s="157"/>
      <c r="AA100" s="10">
        <f ca="1">Ratios!AA$22</f>
        <v>6.4322869955156952</v>
      </c>
      <c r="AB100" s="10">
        <f ca="1">Ratios!AB$22</f>
        <v>7.4984227129337535</v>
      </c>
      <c r="AC100" s="10">
        <f ca="1">Ratios!AC$22</f>
        <v>6.6159420289855069</v>
      </c>
      <c r="AD100" s="10">
        <f ca="1">Ratios!AD$22</f>
        <v>6.5776058261265362</v>
      </c>
      <c r="AE100" s="10">
        <f ca="1">Ratios!AE$22</f>
        <v>6.4030192131747485</v>
      </c>
      <c r="AF100" s="10">
        <f ca="1">Ratios!AF$22</f>
        <v>6.1410256410256414</v>
      </c>
      <c r="AG100" s="10">
        <f ca="1">Ratios!AG$22</f>
        <v>5.8411172161172162</v>
      </c>
      <c r="AH100" s="10">
        <f ca="1">Ratios!AH$22</f>
        <v>4.978937728937729</v>
      </c>
      <c r="AI100" s="10">
        <f ca="1">Ratios!AI$22</f>
        <v>5.5915750915750912</v>
      </c>
      <c r="AJ100" s="10">
        <f ca="1">Ratios!AJ$22</f>
        <v>5.7586996336996341</v>
      </c>
      <c r="AK100" s="10">
        <f ca="1">Ratios!AK$22</f>
        <v>5.9294871794871797</v>
      </c>
      <c r="AL100" s="10">
        <f ca="1">Ratios!AL$22</f>
        <v>4.3297452457839976</v>
      </c>
      <c r="AM100" s="10">
        <f ca="1">Ratios!AM$22</f>
        <v>5.7271142109851789</v>
      </c>
      <c r="AN100" s="10">
        <f ca="1">Ratios!AN$22</f>
        <v>5.9145597210113339</v>
      </c>
      <c r="AO100" s="10">
        <f ca="1">Ratios!AO$22</f>
        <v>5.8509154315605931</v>
      </c>
      <c r="AP100" s="10">
        <f ca="1">Ratios!AP$22</f>
        <v>5.6006974716652138</v>
      </c>
      <c r="AQ100" s="10">
        <f ca="1">Ratios!AQ$22</f>
        <v>5.0623365300784657</v>
      </c>
      <c r="AR100" s="10">
        <f ca="1">Ratios!AR$22</f>
        <v>4.6586748038360941</v>
      </c>
      <c r="AS100" s="10">
        <f ca="1">Ratios!AS$22</f>
        <v>4.0688753269398434</v>
      </c>
      <c r="AT100" s="10">
        <f ca="1">Ratios!AT$22</f>
        <v>3.4738448125544901</v>
      </c>
      <c r="AU100" s="10">
        <f ca="1">Ratios!AU$22</f>
        <v>3.944202266782912</v>
      </c>
      <c r="AV100" s="10">
        <f ca="1">Ratios!AV$22</f>
        <v>3.9895379250217959</v>
      </c>
      <c r="AW100" s="10">
        <f ca="1">Ratios!AW$22</f>
        <v>3.8844812554489976</v>
      </c>
      <c r="AX100" s="10">
        <f ca="1">Ratios!AX$22</f>
        <v>3.6772773450728073</v>
      </c>
      <c r="AY100" s="10">
        <f ca="1">Ratios!AY$22</f>
        <v>6.584243923611111</v>
      </c>
      <c r="AZ100" s="10">
        <f ca="1">Ratios!AZ$22</f>
        <v>7.1276588541666666</v>
      </c>
      <c r="BA100" s="10">
        <f ca="1">Ratios!BA$22</f>
        <v>7.1393715277777776</v>
      </c>
      <c r="BB100" s="10">
        <f ca="1">Ratios!BB$22</f>
        <v>6.8291562499999996</v>
      </c>
      <c r="BC100" s="10">
        <f ca="1">Ratios!BC$22</f>
        <v>6.2955468750000003</v>
      </c>
      <c r="BD100" s="10">
        <f ca="1">Ratios!BD$22</f>
        <v>5.9350104166666675</v>
      </c>
      <c r="BE100" s="10">
        <f ca="1">Ratios!BE$22</f>
        <v>5.3148324652777772</v>
      </c>
      <c r="BF100" s="10">
        <f ca="1">Ratios!BF$22</f>
        <v>4.7978958333333326</v>
      </c>
      <c r="BG100" s="10">
        <f ca="1">Ratios!BG$22</f>
        <v>5.5673637152777777</v>
      </c>
      <c r="BH100" s="10">
        <f ca="1">Ratios!BH$22</f>
        <v>5.7241701388888897</v>
      </c>
      <c r="BI100" s="10">
        <f ca="1">Ratios!BI$22</f>
        <v>5.6763541666666679</v>
      </c>
      <c r="BJ100" s="10">
        <f ca="1">Ratios!BJ$22</f>
        <v>4.4652927669345583</v>
      </c>
      <c r="BK100" s="157"/>
      <c r="BL100" s="10">
        <f>Ratios!BL$22</f>
        <v>0</v>
      </c>
      <c r="BM100" s="10">
        <f ca="1">Ratios!BM$22</f>
        <v>4.3297452457839976</v>
      </c>
      <c r="BN100" s="10">
        <f ca="1">Ratios!BN$22</f>
        <v>3.6772773450728073</v>
      </c>
      <c r="BO100" s="10">
        <f ca="1">Ratios!BO$22</f>
        <v>4.4652927669345583</v>
      </c>
      <c r="BP100" s="10">
        <f>Ratios!BP$22</f>
        <v>0</v>
      </c>
      <c r="BQ100" s="10">
        <f>Ratios!BQ$22</f>
        <v>0</v>
      </c>
      <c r="BR100" s="10">
        <f>Ratios!BR$22</f>
        <v>0</v>
      </c>
      <c r="BS100" s="10">
        <f>Ratios!BS$22</f>
        <v>0</v>
      </c>
      <c r="BT100" s="10">
        <f>Ratios!BT$22</f>
        <v>0</v>
      </c>
      <c r="BU100" s="10">
        <f>Ratios!BU$22</f>
        <v>0</v>
      </c>
      <c r="BV100" s="10">
        <f>Ratios!BV$22</f>
        <v>0</v>
      </c>
      <c r="BW100" s="10">
        <f>Ratios!BW$22</f>
        <v>0</v>
      </c>
      <c r="BX100" s="157"/>
      <c r="BY100" s="12"/>
      <c r="CA100" s="12"/>
      <c r="CC100" s="42"/>
      <c r="EX100" s="10" t="str">
        <f t="shared" si="5"/>
        <v>Current ratio</v>
      </c>
    </row>
    <row r="101" spans="1:154" ht="8.1" customHeight="1" x14ac:dyDescent="0.25">
      <c r="A101" s="157"/>
      <c r="B101" s="157"/>
      <c r="C101" s="339"/>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42"/>
      <c r="CA101" s="42"/>
      <c r="CC101" s="42"/>
      <c r="EX101" s="10" t="str">
        <f t="shared" si="5"/>
        <v/>
      </c>
    </row>
    <row r="102" spans="1:154" x14ac:dyDescent="0.25">
      <c r="A102" s="12" t="s">
        <v>88</v>
      </c>
      <c r="B102" s="12" t="s">
        <v>88</v>
      </c>
      <c r="C102" s="12" t="s">
        <v>88</v>
      </c>
      <c r="D102" s="12" t="s">
        <v>88</v>
      </c>
      <c r="E102" s="28" t="s">
        <v>88</v>
      </c>
      <c r="F102" s="12" t="s">
        <v>88</v>
      </c>
      <c r="G102" s="12" t="s">
        <v>88</v>
      </c>
      <c r="H102" s="12" t="s">
        <v>88</v>
      </c>
      <c r="I102" s="12" t="s">
        <v>88</v>
      </c>
      <c r="J102" s="12" t="s">
        <v>88</v>
      </c>
      <c r="K102" s="12" t="s">
        <v>88</v>
      </c>
      <c r="L102" s="12" t="s">
        <v>88</v>
      </c>
      <c r="M102" s="12" t="s">
        <v>88</v>
      </c>
      <c r="N102" s="12" t="s">
        <v>88</v>
      </c>
      <c r="O102" s="12" t="s">
        <v>88</v>
      </c>
      <c r="P102" s="12" t="s">
        <v>88</v>
      </c>
      <c r="Q102" s="12" t="s">
        <v>88</v>
      </c>
      <c r="R102" s="12" t="s">
        <v>88</v>
      </c>
      <c r="S102" s="12"/>
      <c r="T102" s="12" t="s">
        <v>88</v>
      </c>
      <c r="U102" s="12" t="s">
        <v>88</v>
      </c>
      <c r="V102" s="12" t="s">
        <v>88</v>
      </c>
      <c r="W102" s="12" t="s">
        <v>88</v>
      </c>
      <c r="X102" s="12"/>
      <c r="Y102" s="12"/>
      <c r="Z102" s="12" t="s">
        <v>88</v>
      </c>
      <c r="AA102" s="12" t="s">
        <v>88</v>
      </c>
      <c r="AB102" s="12" t="s">
        <v>88</v>
      </c>
      <c r="AC102" s="12" t="s">
        <v>88</v>
      </c>
      <c r="AD102" s="12" t="s">
        <v>88</v>
      </c>
      <c r="AE102" s="12" t="s">
        <v>88</v>
      </c>
      <c r="AF102" s="12" t="s">
        <v>88</v>
      </c>
      <c r="AG102" s="12" t="s">
        <v>88</v>
      </c>
      <c r="AH102" s="12" t="s">
        <v>88</v>
      </c>
      <c r="AI102" s="12" t="s">
        <v>88</v>
      </c>
      <c r="AJ102" s="12" t="s">
        <v>88</v>
      </c>
      <c r="AK102" s="12" t="s">
        <v>88</v>
      </c>
      <c r="AL102" s="12" t="s">
        <v>88</v>
      </c>
      <c r="AM102" s="12" t="s">
        <v>88</v>
      </c>
      <c r="AN102" s="12" t="s">
        <v>88</v>
      </c>
      <c r="AO102" s="12" t="s">
        <v>88</v>
      </c>
      <c r="AP102" s="12" t="s">
        <v>88</v>
      </c>
      <c r="AQ102" s="12" t="s">
        <v>88</v>
      </c>
      <c r="AR102" s="12" t="s">
        <v>88</v>
      </c>
      <c r="AS102" s="12" t="s">
        <v>88</v>
      </c>
      <c r="AT102" s="12" t="s">
        <v>88</v>
      </c>
      <c r="AU102" s="12" t="s">
        <v>88</v>
      </c>
      <c r="AV102" s="12" t="s">
        <v>88</v>
      </c>
      <c r="AW102" s="12" t="s">
        <v>88</v>
      </c>
      <c r="AX102" s="12" t="s">
        <v>88</v>
      </c>
      <c r="AY102" s="12" t="s">
        <v>88</v>
      </c>
      <c r="AZ102" s="12" t="s">
        <v>88</v>
      </c>
      <c r="BA102" s="12" t="s">
        <v>88</v>
      </c>
      <c r="BB102" s="12" t="s">
        <v>88</v>
      </c>
      <c r="BC102" s="12" t="s">
        <v>88</v>
      </c>
      <c r="BD102" s="12" t="s">
        <v>88</v>
      </c>
      <c r="BE102" s="12" t="s">
        <v>88</v>
      </c>
      <c r="BF102" s="12" t="s">
        <v>88</v>
      </c>
      <c r="BG102" s="12" t="s">
        <v>88</v>
      </c>
      <c r="BH102" s="12" t="s">
        <v>88</v>
      </c>
      <c r="BI102" s="12" t="s">
        <v>88</v>
      </c>
      <c r="BJ102" s="12" t="s">
        <v>88</v>
      </c>
      <c r="BK102" s="12" t="s">
        <v>88</v>
      </c>
      <c r="BL102" s="12" t="s">
        <v>88</v>
      </c>
      <c r="BM102" s="12" t="s">
        <v>88</v>
      </c>
      <c r="BN102" s="12" t="s">
        <v>88</v>
      </c>
      <c r="BO102" s="12" t="s">
        <v>88</v>
      </c>
      <c r="BP102" s="12" t="s">
        <v>88</v>
      </c>
      <c r="BQ102" s="12" t="s">
        <v>88</v>
      </c>
      <c r="BR102" s="12" t="s">
        <v>88</v>
      </c>
      <c r="BS102" s="12" t="s">
        <v>88</v>
      </c>
      <c r="BT102" s="12" t="s">
        <v>88</v>
      </c>
      <c r="BU102" s="12" t="s">
        <v>88</v>
      </c>
      <c r="BV102" s="12" t="s">
        <v>88</v>
      </c>
      <c r="BW102" s="12" t="s">
        <v>88</v>
      </c>
      <c r="BX102" s="12" t="s">
        <v>88</v>
      </c>
      <c r="BY102" s="12" t="s">
        <v>88</v>
      </c>
      <c r="BZ102" s="12" t="s">
        <v>88</v>
      </c>
      <c r="CA102" s="12" t="s">
        <v>88</v>
      </c>
      <c r="CB102" s="12" t="s">
        <v>88</v>
      </c>
      <c r="CC102" s="12" t="s">
        <v>88</v>
      </c>
      <c r="EX102" s="10" t="str">
        <f t="shared" si="5"/>
        <v>*</v>
      </c>
    </row>
    <row r="103" spans="1:154" x14ac:dyDescent="0.25">
      <c r="D103" s="335"/>
    </row>
  </sheetData>
  <sheetProtection algorithmName="SHA-512" hashValue="Rz/ZwVu+Clj9kCyNRIEuExjAp6aS70AkCinBs+snWC6wyiCeXuurgTu7a5FuVzqiTyh8fA9Xv16aoV/a7nsT6w==" saltValue="4+TAfYrVWuyfb+EHrLI99g==" spinCount="100000" sheet="1" objects="1" scenarios="1"/>
  <mergeCells count="5">
    <mergeCell ref="CA1:CA6"/>
    <mergeCell ref="CC1:CC6"/>
    <mergeCell ref="BY1:BY6"/>
    <mergeCell ref="BZ4:BZ6"/>
    <mergeCell ref="CB2:CB6"/>
  </mergeCells>
  <phoneticPr fontId="9" type="noConversion"/>
  <conditionalFormatting sqref="A1">
    <cfRule type="cellIs" dxfId="70" priority="44" operator="equal">
      <formula>0</formula>
    </cfRule>
    <cfRule type="cellIs" dxfId="69" priority="45" operator="greaterThan">
      <formula>0</formula>
    </cfRule>
  </conditionalFormatting>
  <conditionalFormatting sqref="V70:Y70 AA70:BJ70 BL70:BW70">
    <cfRule type="cellIs" dxfId="68" priority="40" operator="equal">
      <formula>0</formula>
    </cfRule>
    <cfRule type="cellIs" dxfId="67" priority="41" operator="greaterThan">
      <formula>0</formula>
    </cfRule>
  </conditionalFormatting>
  <conditionalFormatting sqref="A70">
    <cfRule type="cellIs" dxfId="66" priority="38" operator="equal">
      <formula>0</formula>
    </cfRule>
    <cfRule type="cellIs" dxfId="65" priority="39" operator="greaterThan">
      <formula>0</formula>
    </cfRule>
  </conditionalFormatting>
  <conditionalFormatting sqref="CB70">
    <cfRule type="cellIs" dxfId="64" priority="34" operator="equal">
      <formula>0</formula>
    </cfRule>
    <cfRule type="cellIs" dxfId="63" priority="35" operator="greaterThan">
      <formula>0</formula>
    </cfRule>
  </conditionalFormatting>
  <conditionalFormatting sqref="A2">
    <cfRule type="cellIs" dxfId="62" priority="30" operator="equal">
      <formula>0</formula>
    </cfRule>
    <cfRule type="cellIs" dxfId="61" priority="31" operator="greaterThan">
      <formula>0</formula>
    </cfRule>
  </conditionalFormatting>
  <conditionalFormatting sqref="CB91">
    <cfRule type="cellIs" dxfId="60" priority="14" operator="equal">
      <formula>0</formula>
    </cfRule>
    <cfRule type="cellIs" dxfId="59" priority="15" operator="greaterThan">
      <formula>0</formula>
    </cfRule>
  </conditionalFormatting>
  <conditionalFormatting sqref="A81">
    <cfRule type="cellIs" dxfId="58" priority="26" operator="equal">
      <formula>0</formula>
    </cfRule>
    <cfRule type="cellIs" dxfId="57" priority="27" operator="greaterThan">
      <formula>0</formula>
    </cfRule>
  </conditionalFormatting>
  <conditionalFormatting sqref="CB81">
    <cfRule type="cellIs" dxfId="56" priority="24" operator="equal">
      <formula>0</formula>
    </cfRule>
    <cfRule type="cellIs" dxfId="55" priority="25" operator="greaterThan">
      <formula>0</formula>
    </cfRule>
  </conditionalFormatting>
  <conditionalFormatting sqref="V70:Y70 AA70:BJ70 BL70:BW70">
    <cfRule type="cellIs" dxfId="54" priority="21" operator="lessThan">
      <formula>0</formula>
    </cfRule>
  </conditionalFormatting>
  <conditionalFormatting sqref="V81:Y81 BL81:BW81 AA81:BJ81">
    <cfRule type="cellIs" dxfId="53" priority="19" operator="equal">
      <formula>0</formula>
    </cfRule>
    <cfRule type="cellIs" dxfId="52" priority="20" operator="greaterThan">
      <formula>0</formula>
    </cfRule>
  </conditionalFormatting>
  <conditionalFormatting sqref="V81:Y81 BL81:BW81 AA81:BJ81">
    <cfRule type="cellIs" dxfId="51" priority="18" operator="lessThan">
      <formula>0</formula>
    </cfRule>
  </conditionalFormatting>
  <conditionalFormatting sqref="A91">
    <cfRule type="cellIs" dxfId="50" priority="16" operator="equal">
      <formula>0</formula>
    </cfRule>
    <cfRule type="cellIs" dxfId="49" priority="17" operator="greaterThan">
      <formula>0</formula>
    </cfRule>
  </conditionalFormatting>
  <conditionalFormatting sqref="V91:Y91 BL91:BW91 AA91:BJ91">
    <cfRule type="cellIs" dxfId="48" priority="12" operator="equal">
      <formula>0</formula>
    </cfRule>
    <cfRule type="cellIs" dxfId="47" priority="13" operator="greaterThan">
      <formula>0</formula>
    </cfRule>
  </conditionalFormatting>
  <conditionalFormatting sqref="V91:Y91 BL91:BW91 AA91:BJ91">
    <cfRule type="cellIs" dxfId="46" priority="11" operator="lessThan">
      <formula>0</formula>
    </cfRule>
  </conditionalFormatting>
  <conditionalFormatting sqref="A95">
    <cfRule type="cellIs" dxfId="45" priority="9" operator="equal">
      <formula>0</formula>
    </cfRule>
    <cfRule type="cellIs" dxfId="44" priority="10" operator="greaterThan">
      <formula>0</formula>
    </cfRule>
  </conditionalFormatting>
  <conditionalFormatting sqref="CB95">
    <cfRule type="cellIs" dxfId="43" priority="7" operator="equal">
      <formula>0</formula>
    </cfRule>
    <cfRule type="cellIs" dxfId="42" priority="8" operator="greaterThan">
      <formula>0</formula>
    </cfRule>
  </conditionalFormatting>
  <conditionalFormatting sqref="V95:Y95 BL95:BW95 AA95:BJ95">
    <cfRule type="cellIs" dxfId="41" priority="5" operator="equal">
      <formula>0</formula>
    </cfRule>
    <cfRule type="cellIs" dxfId="40" priority="6" operator="greaterThan">
      <formula>0</formula>
    </cfRule>
  </conditionalFormatting>
  <conditionalFormatting sqref="V95:Y95 BL95:BW95 AA95:BJ95">
    <cfRule type="cellIs" dxfId="39" priority="4" operator="less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52" xr:uid="{99B412A4-FBA4-43A3-A9D4-7601E9E96DF8}"/>
  </dataValidations>
  <pageMargins left="0.70866141732283472" right="0.70866141732283472" top="0.74803149606299213" bottom="0.74803149606299213" header="0.31496062992125984" footer="0.31496062992125984"/>
  <pageSetup paperSize="8" scale="75"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0686C9E1-2FC0-4C05-A8FC-A9AF9832D497}">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5BB7BEA-1400-4ED9-9769-62E55DA38C62}">
          <x14:formula1>
            <xm:f>'Dash Data'!$D$93:$D$100</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F105D-70E3-4E7B-8526-A28B4AB28502}">
  <sheetPr codeName="Sheet23">
    <tabColor rgb="FF00B0F0"/>
    <outlinePr summaryBelow="0" summaryRight="0"/>
    <pageSetUpPr autoPageBreaks="0"/>
  </sheetPr>
  <dimension ref="A1:EX43"/>
  <sheetViews>
    <sheetView showGridLines="0" zoomScaleNormal="100" workbookViewId="0">
      <pane xSplit="8" ySplit="7" topLeftCell="I8" activePane="bottomRight" state="frozen"/>
      <selection pane="topRight"/>
      <selection pane="bottomLeft"/>
      <selection pane="bottomRight"/>
    </sheetView>
  </sheetViews>
  <sheetFormatPr defaultColWidth="8.5703125" defaultRowHeight="15" outlineLevelCol="1" x14ac:dyDescent="0.25"/>
  <cols>
    <col min="1" max="1" width="6.5703125" style="67" bestFit="1" customWidth="1" collapsed="1"/>
    <col min="2" max="3" width="9.42578125" style="67" bestFit="1" customWidth="1"/>
    <col min="4" max="4" width="37.5703125" style="67" customWidth="1"/>
    <col min="5" max="5" width="2" style="1" customWidth="1" outlineLevel="1"/>
    <col min="6" max="6" width="1.5703125" style="67" customWidth="1" collapsed="1"/>
    <col min="7" max="7" width="6.85546875" style="67" hidden="1" customWidth="1" outlineLevel="1"/>
    <col min="8" max="8" width="9" style="67" hidden="1" customWidth="1" outlineLevel="1"/>
    <col min="9" max="9" width="2" style="67" bestFit="1" customWidth="1"/>
    <col min="10" max="10" width="2" style="67" bestFit="1" customWidth="1" collapsed="1"/>
    <col min="11" max="18" width="8.5703125" style="67" hidden="1" customWidth="1" outlineLevel="1"/>
    <col min="19" max="19" width="3" style="67" hidden="1" customWidth="1" outlineLevel="1"/>
    <col min="20" max="20" width="11.5703125" style="67" hidden="1" customWidth="1" outlineLevel="1"/>
    <col min="21" max="21" width="9.5703125" style="67" hidden="1" customWidth="1" outlineLevel="1"/>
    <col min="22" max="23" width="9.5703125" style="67" bestFit="1" customWidth="1"/>
    <col min="24" max="25" width="9.5703125" style="67" customWidth="1"/>
    <col min="26" max="26" width="3" style="67" bestFit="1" customWidth="1"/>
    <col min="27" max="27" width="9.5703125" style="67" bestFit="1" customWidth="1"/>
    <col min="28" max="29" width="9.42578125" style="67" bestFit="1" customWidth="1"/>
    <col min="30" max="31" width="9.5703125" style="67" bestFit="1" customWidth="1"/>
    <col min="32" max="32" width="9.42578125" style="67" bestFit="1" customWidth="1"/>
    <col min="33" max="33" width="9.42578125" style="67" customWidth="1"/>
    <col min="34" max="34" width="9.5703125" style="67" bestFit="1" customWidth="1"/>
    <col min="35" max="35" width="9.42578125" style="67" bestFit="1" customWidth="1"/>
    <col min="36" max="36" width="10.42578125" style="67" bestFit="1" customWidth="1"/>
    <col min="37" max="37" width="9.42578125" style="67" bestFit="1" customWidth="1"/>
    <col min="38" max="38" width="8.5703125" style="67" bestFit="1" customWidth="1"/>
    <col min="39" max="39" width="9.5703125" style="67" bestFit="1" customWidth="1"/>
    <col min="40" max="41" width="9.42578125" style="67" bestFit="1" customWidth="1"/>
    <col min="42" max="43" width="9.5703125" style="67" bestFit="1" customWidth="1"/>
    <col min="44" max="45" width="9.42578125" style="67" bestFit="1" customWidth="1"/>
    <col min="46" max="46" width="9.5703125" style="67" bestFit="1" customWidth="1"/>
    <col min="47" max="47" width="9.42578125" style="67" bestFit="1" customWidth="1"/>
    <col min="48" max="48" width="10.42578125" style="67" bestFit="1" customWidth="1"/>
    <col min="49" max="49" width="9.42578125" style="67" bestFit="1" customWidth="1"/>
    <col min="50" max="50" width="8.5703125" style="67" bestFit="1" customWidth="1"/>
    <col min="51" max="51" width="9.5703125" style="67" bestFit="1" customWidth="1"/>
    <col min="52" max="53" width="9.42578125" style="67" bestFit="1" customWidth="1"/>
    <col min="54" max="55" width="9.5703125" style="67" bestFit="1" customWidth="1"/>
    <col min="56" max="57" width="9.42578125" style="67" bestFit="1" customWidth="1"/>
    <col min="58" max="58" width="9.5703125" style="67" bestFit="1" customWidth="1"/>
    <col min="59" max="59" width="9.42578125" style="67" bestFit="1" customWidth="1"/>
    <col min="60" max="60" width="10.42578125" style="67" bestFit="1" customWidth="1"/>
    <col min="61" max="61" width="9.42578125" style="67" bestFit="1" customWidth="1"/>
    <col min="62" max="62" width="8.5703125" style="67" bestFit="1" customWidth="1"/>
    <col min="63" max="63" width="3" style="67" bestFit="1" customWidth="1"/>
    <col min="64" max="64" width="9.5703125" style="67" customWidth="1"/>
    <col min="65" max="65" width="10.5703125" style="67" customWidth="1"/>
    <col min="66" max="67" width="9.5703125" style="67" customWidth="1"/>
    <col min="68" max="75" width="9.5703125" style="67" bestFit="1" customWidth="1"/>
    <col min="76" max="76" width="3" style="67" bestFit="1" customWidth="1"/>
    <col min="77" max="77" width="3.42578125" style="67" customWidth="1"/>
    <col min="78" max="78" width="13.42578125" style="67" customWidth="1"/>
    <col min="79" max="79" width="2.5703125" style="67" customWidth="1"/>
    <col min="80" max="152" width="8.5703125" style="67"/>
    <col min="153" max="153" width="8.5703125" style="67" collapsed="1"/>
    <col min="154" max="154" width="44.42578125" style="67" hidden="1" customWidth="1" outlineLevel="1"/>
    <col min="155" max="16384" width="8.5703125" style="67"/>
  </cols>
  <sheetData>
    <row r="1" spans="1:154" x14ac:dyDescent="0.25">
      <c r="A1" s="7">
        <f ca="1">ToC!A1</f>
        <v>0</v>
      </c>
      <c r="B1" s="14" t="s">
        <v>751</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575"/>
      <c r="CA1" s="575"/>
      <c r="EX1" s="5" t="s">
        <v>1563</v>
      </c>
    </row>
    <row r="2" spans="1:154" ht="14.45" customHeight="1" x14ac:dyDescent="0.25">
      <c r="A2" s="7">
        <f>SUM(A$7:A$43)</f>
        <v>0</v>
      </c>
      <c r="B2" s="92" t="str" cm="1">
        <f t="array" aca="1" ref="B2" ca="1">HYPERLINK(CONCATENATE("#",CELL("address",Guide!$C$125)),Guide!$B$1)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1"/>
      <c r="BO2" s="251"/>
      <c r="BP2" s="251"/>
      <c r="BQ2" s="251"/>
      <c r="BR2" s="251"/>
      <c r="BS2" s="251"/>
      <c r="BT2" s="251"/>
      <c r="BU2" s="251"/>
      <c r="BV2" s="251"/>
      <c r="BW2" s="251"/>
      <c r="BX2" s="251"/>
      <c r="BY2" s="575"/>
      <c r="CA2" s="575"/>
      <c r="EX2" s="335"/>
    </row>
    <row r="3" spans="1:154" x14ac:dyDescent="0.25">
      <c r="A3" s="92" t="str" cm="1">
        <f t="array" aca="1" ref="A3" ca="1">HYPERLINK(CONCATENATE("#",CELL("address",ToC!$A$1)),ToC!$C$1)</f>
        <v>ToC</v>
      </c>
      <c r="B3" s="14"/>
      <c r="C3" s="14"/>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575"/>
      <c r="CA3" s="575"/>
      <c r="EX3" s="335"/>
    </row>
    <row r="4" spans="1:154" x14ac:dyDescent="0.25">
      <c r="A4" s="14"/>
      <c r="B4" s="14"/>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575"/>
      <c r="BZ4" s="576"/>
      <c r="CA4" s="575"/>
      <c r="EX4" s="335"/>
    </row>
    <row r="5" spans="1:154" x14ac:dyDescent="0.25">
      <c r="A5" s="14"/>
      <c r="B5" s="14"/>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575"/>
      <c r="BZ5" s="576"/>
      <c r="CA5" s="575"/>
      <c r="EX5" s="335"/>
    </row>
    <row r="6" spans="1:154" x14ac:dyDescent="0.25">
      <c r="A6" s="80" t="str" cm="1">
        <f t="array" aca="1" ref="A6" ca="1">HYPERLINK(CONCATENATE("#",CELL("address",BY7)),"Check")</f>
        <v>Check</v>
      </c>
      <c r="B6" s="14"/>
      <c r="C6" s="14" t="str">
        <f>Template!$C$6</f>
        <v>Ref. No.</v>
      </c>
      <c r="D6" s="26" t="s">
        <v>5</v>
      </c>
      <c r="E6" s="14"/>
      <c r="F6" s="14"/>
      <c r="G6" s="14" t="s">
        <v>6</v>
      </c>
      <c r="H6" s="14" t="s">
        <v>117</v>
      </c>
      <c r="I6" s="14"/>
      <c r="J6" s="14"/>
      <c r="K6" s="14"/>
      <c r="L6" s="14"/>
      <c r="M6" s="14"/>
      <c r="N6" s="16"/>
      <c r="O6" s="14"/>
      <c r="P6" s="14"/>
      <c r="Q6" s="14"/>
      <c r="R6" s="14"/>
      <c r="S6" s="14"/>
      <c r="T6" s="14"/>
      <c r="U6" s="14"/>
      <c r="V6" s="80"/>
      <c r="W6" s="14"/>
      <c r="X6" s="14"/>
      <c r="Y6" s="14"/>
      <c r="Z6" s="14"/>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c r="BM6" s="251"/>
      <c r="BN6" s="251"/>
      <c r="BO6" s="251"/>
      <c r="BP6" s="251"/>
      <c r="BQ6" s="251"/>
      <c r="BR6" s="251"/>
      <c r="BS6" s="251"/>
      <c r="BT6" s="251"/>
      <c r="BU6" s="251"/>
      <c r="BV6" s="251"/>
      <c r="BW6" s="251"/>
      <c r="BX6" s="251"/>
      <c r="BY6" s="575"/>
      <c r="BZ6" s="576"/>
      <c r="CA6" s="575"/>
      <c r="EX6" s="335"/>
    </row>
    <row r="7" spans="1:154" x14ac:dyDescent="0.25">
      <c r="B7" s="139" t="s">
        <v>2494</v>
      </c>
      <c r="D7" s="1"/>
      <c r="E7" s="67"/>
      <c r="BM7" s="6"/>
      <c r="BY7" s="42"/>
      <c r="CA7" s="42"/>
      <c r="EX7" s="335"/>
    </row>
    <row r="8" spans="1:154" ht="8.1" customHeight="1" x14ac:dyDescent="0.25">
      <c r="A8" s="157"/>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42"/>
      <c r="CA8" s="42"/>
      <c r="EX8" s="10" t="str">
        <f>IF($C8="","",$D8)</f>
        <v/>
      </c>
    </row>
    <row r="9" spans="1:154" ht="15.75" x14ac:dyDescent="0.3">
      <c r="A9" s="157"/>
      <c r="B9" s="479" t="s">
        <v>335</v>
      </c>
      <c r="C9" s="339"/>
      <c r="D9" s="529" t="s">
        <v>2495</v>
      </c>
      <c r="E9" s="335"/>
      <c r="F9" s="335"/>
      <c r="G9" s="335"/>
      <c r="H9" s="335"/>
      <c r="I9" s="335"/>
      <c r="J9" s="335"/>
      <c r="K9" s="335"/>
      <c r="L9" s="335"/>
      <c r="M9" s="335"/>
      <c r="N9" s="335"/>
      <c r="O9" s="335"/>
      <c r="P9" s="335"/>
      <c r="Q9" s="335"/>
      <c r="R9" s="335"/>
      <c r="S9" s="335"/>
      <c r="T9" s="157"/>
      <c r="U9" s="157"/>
      <c r="V9" s="45">
        <f>'BS Forecasts'!V$10</f>
        <v>0</v>
      </c>
      <c r="W9" s="45">
        <f>'BS Forecasts'!W$10</f>
        <v>1</v>
      </c>
      <c r="X9" s="45">
        <f>'BS Forecasts'!X$10</f>
        <v>1</v>
      </c>
      <c r="Y9" s="45">
        <f>'BS Forecasts'!Y$10</f>
        <v>1</v>
      </c>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2"/>
      <c r="CA9" s="42"/>
      <c r="EX9" s="10" t="str">
        <f t="shared" ref="EX9:EX43" si="0">IF($C9="","",$D9)</f>
        <v/>
      </c>
    </row>
    <row r="10" spans="1:154" s="335" customFormat="1" ht="8.1" customHeight="1" x14ac:dyDescent="0.25">
      <c r="A10" s="157"/>
      <c r="B10" s="157"/>
      <c r="C10" s="157"/>
      <c r="D10" s="522"/>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42"/>
      <c r="CA10" s="42"/>
      <c r="EX10" s="10" t="str">
        <f t="shared" si="0"/>
        <v/>
      </c>
    </row>
    <row r="11" spans="1:154" x14ac:dyDescent="0.25">
      <c r="A11" s="40"/>
      <c r="B11" s="40"/>
      <c r="C11" s="40"/>
      <c r="D11" s="532" t="s">
        <v>726</v>
      </c>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12"/>
      <c r="CA11" s="42"/>
      <c r="EX11" s="10" t="str">
        <f t="shared" si="0"/>
        <v/>
      </c>
    </row>
    <row r="12" spans="1:154" ht="8.1" customHeight="1" x14ac:dyDescent="0.25">
      <c r="A12" s="157"/>
      <c r="B12" s="157"/>
      <c r="C12" s="339"/>
      <c r="D12" s="522"/>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42"/>
      <c r="CA12" s="42"/>
      <c r="EX12" s="10" t="str">
        <f t="shared" si="0"/>
        <v/>
      </c>
    </row>
    <row r="13" spans="1:154" x14ac:dyDescent="0.25">
      <c r="A13" s="157"/>
      <c r="B13" s="157"/>
      <c r="C13" s="343" t="str">
        <f>'Fin Stat'!C$77</f>
        <v>B-2b-CB</v>
      </c>
      <c r="D13" s="569" t="str">
        <f ca="1">'Fin Stat'!D$77</f>
        <v>Stock</v>
      </c>
      <c r="E13" s="157"/>
      <c r="F13" s="157"/>
      <c r="G13" s="157"/>
      <c r="H13" s="157"/>
      <c r="I13" s="157"/>
      <c r="J13" s="157"/>
      <c r="K13" s="157"/>
      <c r="L13" s="157"/>
      <c r="M13" s="157"/>
      <c r="N13" s="157"/>
      <c r="O13" s="157"/>
      <c r="P13" s="157"/>
      <c r="Q13" s="157"/>
      <c r="R13" s="157"/>
      <c r="S13" s="157"/>
      <c r="T13" s="157"/>
      <c r="U13" s="157"/>
      <c r="V13" s="10">
        <f>'Fin Stat'!V$77*V$9</f>
        <v>0</v>
      </c>
      <c r="W13" s="10">
        <f>'Fin Stat'!W$77*W$9</f>
        <v>26</v>
      </c>
      <c r="X13" s="10">
        <f>'Fin Stat'!X$77*X$9</f>
        <v>30</v>
      </c>
      <c r="Y13" s="10">
        <f>'Fin Stat'!Y$77*Y$9</f>
        <v>30</v>
      </c>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2"/>
      <c r="CA13" s="42"/>
      <c r="EX13" s="10" t="str">
        <f t="shared" ca="1" si="0"/>
        <v>Stock</v>
      </c>
    </row>
    <row r="14" spans="1:154" ht="8.1" customHeight="1" x14ac:dyDescent="0.25">
      <c r="A14" s="157"/>
      <c r="B14" s="157"/>
      <c r="C14" s="343"/>
      <c r="D14" s="524"/>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42"/>
      <c r="CA14" s="42"/>
      <c r="EX14" s="10" t="str">
        <f t="shared" si="0"/>
        <v/>
      </c>
    </row>
    <row r="15" spans="1:154" x14ac:dyDescent="0.25">
      <c r="A15" s="157"/>
      <c r="B15" s="157"/>
      <c r="C15" s="343" t="str">
        <f>'Fin Stat'!C$78</f>
        <v>B-2c-CB</v>
      </c>
      <c r="D15" s="524" t="str">
        <f ca="1">'Fin Stat'!D$78</f>
        <v>Trade Receivables</v>
      </c>
      <c r="E15" s="157"/>
      <c r="F15" s="157"/>
      <c r="G15" s="157"/>
      <c r="H15" s="157"/>
      <c r="I15" s="157"/>
      <c r="J15" s="157"/>
      <c r="K15" s="157"/>
      <c r="L15" s="157"/>
      <c r="M15" s="157"/>
      <c r="N15" s="157"/>
      <c r="O15" s="157"/>
      <c r="P15" s="157"/>
      <c r="Q15" s="157"/>
      <c r="R15" s="157"/>
      <c r="S15" s="157"/>
      <c r="T15" s="157"/>
      <c r="U15" s="157"/>
      <c r="V15" s="10">
        <f>'Fin Stat'!V$78*V$9</f>
        <v>0</v>
      </c>
      <c r="W15" s="10">
        <f>'Fin Stat'!W$78*W$9</f>
        <v>1125</v>
      </c>
      <c r="X15" s="10">
        <f>'Fin Stat'!X$78*X$9</f>
        <v>1150</v>
      </c>
      <c r="Y15" s="10">
        <f>'Fin Stat'!Y$78*Y$9</f>
        <v>1100</v>
      </c>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2"/>
      <c r="CA15" s="42"/>
      <c r="EX15" s="10" t="str">
        <f t="shared" ca="1" si="0"/>
        <v>Trade Receivables</v>
      </c>
    </row>
    <row r="16" spans="1:154" ht="8.1" customHeight="1" x14ac:dyDescent="0.25">
      <c r="A16" s="157"/>
      <c r="B16" s="157"/>
      <c r="C16" s="343"/>
      <c r="D16" s="524"/>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42"/>
      <c r="CA16" s="42"/>
      <c r="EX16" s="10" t="str">
        <f t="shared" si="0"/>
        <v/>
      </c>
    </row>
    <row r="17" spans="1:154" x14ac:dyDescent="0.25">
      <c r="A17" s="157"/>
      <c r="B17" s="157"/>
      <c r="C17" s="343" t="str">
        <f>'Fin Stat'!C$95</f>
        <v>B-3g-CB</v>
      </c>
      <c r="D17" s="524" t="str">
        <f ca="1">'Fin Stat'!D$95</f>
        <v>Trade Payables</v>
      </c>
      <c r="E17" s="157"/>
      <c r="F17" s="157"/>
      <c r="G17" s="157"/>
      <c r="H17" s="157"/>
      <c r="I17" s="157"/>
      <c r="J17" s="157"/>
      <c r="K17" s="157"/>
      <c r="L17" s="157"/>
      <c r="M17" s="157"/>
      <c r="N17" s="157"/>
      <c r="O17" s="157"/>
      <c r="P17" s="157"/>
      <c r="Q17" s="157"/>
      <c r="R17" s="157"/>
      <c r="S17" s="157"/>
      <c r="T17" s="157"/>
      <c r="U17" s="157"/>
      <c r="V17" s="10">
        <f>'Fin Stat'!V$95*V$9</f>
        <v>0</v>
      </c>
      <c r="W17" s="10">
        <f>'Fin Stat'!W$95*W$9</f>
        <v>800</v>
      </c>
      <c r="X17" s="10">
        <f>'Fin Stat'!X$95*X$9</f>
        <v>900</v>
      </c>
      <c r="Y17" s="10">
        <f>'Fin Stat'!Y$95*Y$9</f>
        <v>850</v>
      </c>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2"/>
      <c r="CA17" s="42"/>
      <c r="EX17" s="10" t="str">
        <f t="shared" ca="1" si="0"/>
        <v>Trade Payables</v>
      </c>
    </row>
    <row r="18" spans="1:154" ht="8.1" customHeight="1" x14ac:dyDescent="0.25">
      <c r="A18" s="157"/>
      <c r="B18" s="157"/>
      <c r="C18" s="343"/>
      <c r="D18" s="524"/>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42"/>
      <c r="CA18" s="42"/>
      <c r="EX18" s="10" t="str">
        <f t="shared" si="0"/>
        <v/>
      </c>
    </row>
    <row r="19" spans="1:154" x14ac:dyDescent="0.25">
      <c r="A19" s="157"/>
      <c r="B19" s="157"/>
      <c r="C19" s="340"/>
      <c r="D19" s="522"/>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2"/>
      <c r="CA19" s="42"/>
      <c r="EX19" s="10" t="str">
        <f t="shared" si="0"/>
        <v/>
      </c>
    </row>
    <row r="20" spans="1:154" x14ac:dyDescent="0.25">
      <c r="A20" s="157"/>
      <c r="B20" s="157"/>
      <c r="C20" s="340"/>
      <c r="D20" s="522"/>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2"/>
      <c r="CA20" s="42"/>
      <c r="EX20" s="10" t="str">
        <f t="shared" si="0"/>
        <v/>
      </c>
    </row>
    <row r="21" spans="1:154" s="335" customFormat="1" x14ac:dyDescent="0.25">
      <c r="A21" s="157"/>
      <c r="B21" s="157"/>
      <c r="C21" s="340"/>
      <c r="D21" s="522"/>
      <c r="E21" s="1"/>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2"/>
      <c r="CA21" s="42"/>
      <c r="EX21" s="10" t="str">
        <f t="shared" si="0"/>
        <v/>
      </c>
    </row>
    <row r="22" spans="1:154" s="335" customFormat="1" x14ac:dyDescent="0.25">
      <c r="A22" s="157"/>
      <c r="B22" s="157"/>
      <c r="C22" s="340"/>
      <c r="D22" s="522"/>
      <c r="E22" s="1"/>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2"/>
      <c r="CA22" s="42"/>
      <c r="EX22" s="10" t="str">
        <f t="shared" si="0"/>
        <v/>
      </c>
    </row>
    <row r="23" spans="1:154" x14ac:dyDescent="0.25">
      <c r="A23" s="157"/>
      <c r="B23" s="157"/>
      <c r="C23" s="343"/>
      <c r="D23" s="522"/>
      <c r="E23" s="158"/>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2"/>
      <c r="CA23" s="42"/>
      <c r="EX23" s="10" t="str">
        <f t="shared" si="0"/>
        <v/>
      </c>
    </row>
    <row r="24" spans="1:154" s="335" customFormat="1" x14ac:dyDescent="0.25">
      <c r="A24" s="157"/>
      <c r="B24" s="157"/>
      <c r="C24" s="343"/>
      <c r="D24" s="522"/>
      <c r="E24" s="158"/>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2"/>
      <c r="CA24" s="42"/>
      <c r="EX24" s="10" t="str">
        <f t="shared" si="0"/>
        <v/>
      </c>
    </row>
    <row r="25" spans="1:154" x14ac:dyDescent="0.25">
      <c r="A25" s="157"/>
      <c r="B25" s="157"/>
      <c r="C25" s="343"/>
      <c r="D25" s="522"/>
      <c r="E25" s="158"/>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2"/>
      <c r="CA25" s="42"/>
      <c r="EX25" s="10" t="str">
        <f t="shared" si="0"/>
        <v/>
      </c>
    </row>
    <row r="26" spans="1:154" s="335" customFormat="1" x14ac:dyDescent="0.25">
      <c r="A26" s="157"/>
      <c r="B26" s="157"/>
      <c r="C26" s="343"/>
      <c r="D26" s="522"/>
      <c r="E26" s="158"/>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12"/>
      <c r="CA26" s="42"/>
      <c r="EX26" s="10" t="str">
        <f t="shared" si="0"/>
        <v/>
      </c>
    </row>
    <row r="27" spans="1:154" x14ac:dyDescent="0.25">
      <c r="A27" s="157"/>
      <c r="B27" s="157"/>
      <c r="C27" s="340"/>
      <c r="D27" s="522"/>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2"/>
      <c r="CA27" s="42"/>
      <c r="EX27" s="10" t="str">
        <f t="shared" si="0"/>
        <v/>
      </c>
    </row>
    <row r="28" spans="1:154" x14ac:dyDescent="0.25">
      <c r="A28" s="157"/>
      <c r="B28" s="157"/>
      <c r="C28" s="340"/>
      <c r="D28" s="522"/>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2"/>
      <c r="CA28" s="42"/>
      <c r="EX28" s="10" t="str">
        <f t="shared" si="0"/>
        <v/>
      </c>
    </row>
    <row r="29" spans="1:154" s="335" customFormat="1" x14ac:dyDescent="0.25">
      <c r="A29" s="157"/>
      <c r="B29" s="157"/>
      <c r="C29" s="340"/>
      <c r="D29" s="522"/>
      <c r="E29" s="1"/>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2"/>
      <c r="CA29" s="42"/>
      <c r="EX29" s="10" t="str">
        <f t="shared" si="0"/>
        <v/>
      </c>
    </row>
    <row r="30" spans="1:154" x14ac:dyDescent="0.25">
      <c r="A30" s="157"/>
      <c r="B30" s="157"/>
      <c r="C30" s="340"/>
      <c r="D30" s="522"/>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2"/>
      <c r="CA30" s="42"/>
      <c r="EX30" s="10" t="str">
        <f t="shared" si="0"/>
        <v/>
      </c>
    </row>
    <row r="31" spans="1:154" x14ac:dyDescent="0.25">
      <c r="A31" s="157"/>
      <c r="B31" s="157"/>
      <c r="C31" s="340"/>
      <c r="D31" s="522"/>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2"/>
      <c r="CA31" s="42"/>
      <c r="EX31" s="10" t="str">
        <f t="shared" si="0"/>
        <v/>
      </c>
    </row>
    <row r="32" spans="1:154" x14ac:dyDescent="0.25">
      <c r="A32" s="157"/>
      <c r="B32" s="157"/>
      <c r="C32" s="343" t="str">
        <f>Ratios!C$20</f>
        <v>R-2a</v>
      </c>
      <c r="D32" s="522" t="s">
        <v>1789</v>
      </c>
      <c r="E32" s="158"/>
      <c r="F32" s="157"/>
      <c r="G32" s="157"/>
      <c r="H32" s="157"/>
      <c r="I32" s="157"/>
      <c r="J32" s="157"/>
      <c r="K32" s="157"/>
      <c r="L32" s="157"/>
      <c r="M32" s="157"/>
      <c r="N32" s="157"/>
      <c r="O32" s="157"/>
      <c r="P32" s="157"/>
      <c r="Q32" s="157"/>
      <c r="R32" s="157"/>
      <c r="S32" s="157"/>
      <c r="T32" s="157"/>
      <c r="U32" s="157"/>
      <c r="V32" s="10">
        <f>Ratios!V$20</f>
        <v>0</v>
      </c>
      <c r="W32" s="10">
        <f>Ratios!W$20</f>
        <v>146.54175959393984</v>
      </c>
      <c r="X32" s="10">
        <f>Ratios!X$20</f>
        <v>123.04741442632584</v>
      </c>
      <c r="Y32" s="10">
        <f>Ratios!Y$20</f>
        <v>130.53428966542288</v>
      </c>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2"/>
      <c r="CA32" s="42"/>
      <c r="EX32" s="10" t="str">
        <f t="shared" si="0"/>
        <v>Adjusted Cash days in hand</v>
      </c>
    </row>
    <row r="33" spans="1:154" ht="30" x14ac:dyDescent="0.25">
      <c r="A33" s="157"/>
      <c r="B33" s="157"/>
      <c r="C33" s="343" t="str">
        <f>Ratios!C$25</f>
        <v>R-2d</v>
      </c>
      <c r="D33" s="524" t="str">
        <f>Ratios!D$25</f>
        <v>Trade debtor days -excluding funding body grants</v>
      </c>
      <c r="E33" s="157"/>
      <c r="F33" s="157"/>
      <c r="G33" s="157"/>
      <c r="H33" s="157"/>
      <c r="I33" s="157"/>
      <c r="J33" s="157"/>
      <c r="K33" s="157"/>
      <c r="L33" s="157"/>
      <c r="M33" s="157"/>
      <c r="N33" s="157"/>
      <c r="O33" s="157"/>
      <c r="P33" s="157"/>
      <c r="Q33" s="157"/>
      <c r="R33" s="157"/>
      <c r="S33" s="157"/>
      <c r="T33" s="157"/>
      <c r="U33" s="157"/>
      <c r="V33" s="393">
        <f>Ratios!V$25</f>
        <v>0</v>
      </c>
      <c r="W33" s="393">
        <f>Ratios!W$25</f>
        <v>110.85988120950324</v>
      </c>
      <c r="X33" s="393">
        <f>Ratios!X$25</f>
        <v>121.3150289017341</v>
      </c>
      <c r="Y33" s="393">
        <f>Ratios!Y$25</f>
        <v>114.37996940371428</v>
      </c>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2"/>
      <c r="CA33" s="42"/>
      <c r="EX33" s="10" t="str">
        <f t="shared" si="0"/>
        <v>Trade debtor days -excluding funding body grants</v>
      </c>
    </row>
    <row r="34" spans="1:154" ht="30" x14ac:dyDescent="0.25">
      <c r="A34" s="157"/>
      <c r="B34" s="157"/>
      <c r="C34" s="343" t="str">
        <f>Ratios!C$26</f>
        <v>R-2e</v>
      </c>
      <c r="D34" s="524" t="str">
        <f>Ratios!D$26</f>
        <v>Trade creditors days - non-pay expenditure</v>
      </c>
      <c r="E34" s="157"/>
      <c r="F34" s="157"/>
      <c r="G34" s="157"/>
      <c r="H34" s="157"/>
      <c r="I34" s="157"/>
      <c r="J34" s="157"/>
      <c r="K34" s="157"/>
      <c r="L34" s="157"/>
      <c r="M34" s="157"/>
      <c r="N34" s="157"/>
      <c r="O34" s="157"/>
      <c r="P34" s="157"/>
      <c r="Q34" s="157"/>
      <c r="R34" s="157"/>
      <c r="S34" s="157"/>
      <c r="T34" s="157"/>
      <c r="U34" s="157"/>
      <c r="V34" s="393">
        <f>Ratios!V$26</f>
        <v>0</v>
      </c>
      <c r="W34" s="393">
        <f>Ratios!W$26</f>
        <v>34.140067812463464</v>
      </c>
      <c r="X34" s="393">
        <f>Ratios!X$26</f>
        <v>36.410995344712923</v>
      </c>
      <c r="Y34" s="393">
        <f>Ratios!Y$26</f>
        <v>33.532365893503801</v>
      </c>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2"/>
      <c r="CA34" s="42"/>
      <c r="EX34" s="10" t="str">
        <f t="shared" si="0"/>
        <v>Trade creditors days - non-pay expenditure</v>
      </c>
    </row>
    <row r="35" spans="1:154" x14ac:dyDescent="0.25">
      <c r="A35" s="157"/>
      <c r="B35" s="157"/>
      <c r="C35" s="339"/>
      <c r="D35" s="157"/>
      <c r="E35" s="158"/>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2"/>
      <c r="CA35" s="42"/>
      <c r="EX35" s="10" t="str">
        <f t="shared" si="0"/>
        <v/>
      </c>
    </row>
    <row r="36" spans="1:154" x14ac:dyDescent="0.25">
      <c r="A36" s="157"/>
      <c r="B36" s="157"/>
      <c r="C36" s="339"/>
      <c r="D36" s="157"/>
      <c r="E36" s="158"/>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2"/>
      <c r="CA36" s="42"/>
      <c r="EX36" s="10" t="str">
        <f t="shared" si="0"/>
        <v/>
      </c>
    </row>
    <row r="37" spans="1:154" x14ac:dyDescent="0.25">
      <c r="A37" s="157"/>
      <c r="B37" s="157"/>
      <c r="C37" s="339"/>
      <c r="D37" s="157"/>
      <c r="E37" s="158"/>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2"/>
      <c r="CA37" s="42"/>
      <c r="EX37" s="10" t="str">
        <f t="shared" si="0"/>
        <v/>
      </c>
    </row>
    <row r="38" spans="1:154" x14ac:dyDescent="0.25">
      <c r="A38" s="157"/>
      <c r="B38" s="157"/>
      <c r="C38" s="339"/>
      <c r="D38" s="157"/>
      <c r="E38" s="158"/>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2"/>
      <c r="CA38" s="42"/>
      <c r="EX38" s="10" t="str">
        <f t="shared" si="0"/>
        <v/>
      </c>
    </row>
    <row r="39" spans="1:154" x14ac:dyDescent="0.25">
      <c r="A39" s="157"/>
      <c r="B39" s="157"/>
      <c r="C39" s="339"/>
      <c r="D39" s="157"/>
      <c r="E39" s="158"/>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2"/>
      <c r="CA39" s="42"/>
      <c r="EX39" s="10" t="str">
        <f t="shared" si="0"/>
        <v/>
      </c>
    </row>
    <row r="40" spans="1:154" x14ac:dyDescent="0.25">
      <c r="A40" s="157"/>
      <c r="B40" s="157"/>
      <c r="C40" s="339"/>
      <c r="D40" s="157"/>
      <c r="E40" s="158"/>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2"/>
      <c r="CA40" s="42"/>
      <c r="EX40" s="10" t="str">
        <f t="shared" si="0"/>
        <v/>
      </c>
    </row>
    <row r="41" spans="1:154" x14ac:dyDescent="0.25">
      <c r="A41" s="157"/>
      <c r="B41" s="157"/>
      <c r="C41" s="339"/>
      <c r="D41" s="157"/>
      <c r="E41" s="158"/>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2"/>
      <c r="CA41" s="42"/>
      <c r="EX41" s="10" t="str">
        <f t="shared" si="0"/>
        <v/>
      </c>
    </row>
    <row r="42" spans="1:154" x14ac:dyDescent="0.25">
      <c r="A42" s="157"/>
      <c r="B42" s="157"/>
      <c r="C42" s="339"/>
      <c r="D42" s="157"/>
      <c r="E42" s="158"/>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2"/>
      <c r="CA42" s="42"/>
      <c r="EX42" s="10" t="str">
        <f t="shared" si="0"/>
        <v/>
      </c>
    </row>
    <row r="43" spans="1:154" x14ac:dyDescent="0.25">
      <c r="A43" s="12" t="s">
        <v>88</v>
      </c>
      <c r="B43" s="12" t="s">
        <v>88</v>
      </c>
      <c r="C43" s="12" t="s">
        <v>88</v>
      </c>
      <c r="D43" s="12" t="s">
        <v>88</v>
      </c>
      <c r="E43" s="28" t="s">
        <v>88</v>
      </c>
      <c r="F43" s="12" t="s">
        <v>88</v>
      </c>
      <c r="G43" s="12" t="s">
        <v>88</v>
      </c>
      <c r="H43" s="12" t="s">
        <v>88</v>
      </c>
      <c r="I43" s="12" t="s">
        <v>88</v>
      </c>
      <c r="J43" s="12" t="s">
        <v>88</v>
      </c>
      <c r="K43" s="12" t="s">
        <v>88</v>
      </c>
      <c r="L43" s="12" t="s">
        <v>88</v>
      </c>
      <c r="M43" s="12" t="s">
        <v>88</v>
      </c>
      <c r="N43" s="12" t="s">
        <v>88</v>
      </c>
      <c r="O43" s="12" t="s">
        <v>88</v>
      </c>
      <c r="P43" s="12" t="s">
        <v>88</v>
      </c>
      <c r="Q43" s="12" t="s">
        <v>88</v>
      </c>
      <c r="R43" s="12" t="s">
        <v>88</v>
      </c>
      <c r="S43" s="12"/>
      <c r="T43" s="12" t="s">
        <v>88</v>
      </c>
      <c r="U43" s="12" t="s">
        <v>88</v>
      </c>
      <c r="V43" s="12" t="s">
        <v>88</v>
      </c>
      <c r="W43" s="12" t="s">
        <v>88</v>
      </c>
      <c r="X43" s="12"/>
      <c r="Y43" s="12"/>
      <c r="Z43" s="12" t="s">
        <v>88</v>
      </c>
      <c r="AA43" s="12" t="s">
        <v>88</v>
      </c>
      <c r="AB43" s="12" t="s">
        <v>88</v>
      </c>
      <c r="AC43" s="12" t="s">
        <v>88</v>
      </c>
      <c r="AD43" s="12" t="s">
        <v>88</v>
      </c>
      <c r="AE43" s="12" t="s">
        <v>88</v>
      </c>
      <c r="AF43" s="12" t="s">
        <v>88</v>
      </c>
      <c r="AG43" s="12" t="s">
        <v>88</v>
      </c>
      <c r="AH43" s="12" t="s">
        <v>88</v>
      </c>
      <c r="AI43" s="12" t="s">
        <v>88</v>
      </c>
      <c r="AJ43" s="12" t="s">
        <v>88</v>
      </c>
      <c r="AK43" s="12" t="s">
        <v>88</v>
      </c>
      <c r="AL43" s="12" t="s">
        <v>88</v>
      </c>
      <c r="AM43" s="12" t="s">
        <v>88</v>
      </c>
      <c r="AN43" s="12" t="s">
        <v>88</v>
      </c>
      <c r="AO43" s="12" t="s">
        <v>88</v>
      </c>
      <c r="AP43" s="12" t="s">
        <v>88</v>
      </c>
      <c r="AQ43" s="12" t="s">
        <v>88</v>
      </c>
      <c r="AR43" s="12" t="s">
        <v>88</v>
      </c>
      <c r="AS43" s="12" t="s">
        <v>88</v>
      </c>
      <c r="AT43" s="12" t="s">
        <v>88</v>
      </c>
      <c r="AU43" s="12" t="s">
        <v>88</v>
      </c>
      <c r="AV43" s="12" t="s">
        <v>88</v>
      </c>
      <c r="AW43" s="12" t="s">
        <v>88</v>
      </c>
      <c r="AX43" s="12" t="s">
        <v>88</v>
      </c>
      <c r="AY43" s="12" t="s">
        <v>88</v>
      </c>
      <c r="AZ43" s="12" t="s">
        <v>88</v>
      </c>
      <c r="BA43" s="12" t="s">
        <v>88</v>
      </c>
      <c r="BB43" s="12" t="s">
        <v>88</v>
      </c>
      <c r="BC43" s="12" t="s">
        <v>88</v>
      </c>
      <c r="BD43" s="12" t="s">
        <v>88</v>
      </c>
      <c r="BE43" s="12" t="s">
        <v>88</v>
      </c>
      <c r="BF43" s="12" t="s">
        <v>88</v>
      </c>
      <c r="BG43" s="12" t="s">
        <v>88</v>
      </c>
      <c r="BH43" s="12" t="s">
        <v>88</v>
      </c>
      <c r="BI43" s="12" t="s">
        <v>88</v>
      </c>
      <c r="BJ43" s="12" t="s">
        <v>88</v>
      </c>
      <c r="BK43" s="12" t="s">
        <v>88</v>
      </c>
      <c r="BL43" s="12" t="s">
        <v>88</v>
      </c>
      <c r="BM43" s="12" t="s">
        <v>88</v>
      </c>
      <c r="BN43" s="12" t="s">
        <v>88</v>
      </c>
      <c r="BO43" s="12" t="s">
        <v>88</v>
      </c>
      <c r="BP43" s="12" t="s">
        <v>88</v>
      </c>
      <c r="BQ43" s="12" t="s">
        <v>88</v>
      </c>
      <c r="BR43" s="12" t="s">
        <v>88</v>
      </c>
      <c r="BS43" s="12" t="s">
        <v>88</v>
      </c>
      <c r="BT43" s="12" t="s">
        <v>88</v>
      </c>
      <c r="BU43" s="12" t="s">
        <v>88</v>
      </c>
      <c r="BV43" s="12" t="s">
        <v>88</v>
      </c>
      <c r="BW43" s="12" t="s">
        <v>88</v>
      </c>
      <c r="BX43" s="12" t="s">
        <v>88</v>
      </c>
      <c r="BY43" s="12" t="s">
        <v>88</v>
      </c>
      <c r="BZ43" s="12" t="s">
        <v>88</v>
      </c>
      <c r="CA43" s="12" t="s">
        <v>88</v>
      </c>
      <c r="EX43" s="10" t="str">
        <f t="shared" si="0"/>
        <v>*</v>
      </c>
    </row>
  </sheetData>
  <sheetProtection algorithmName="SHA-512" hashValue="ZCc3Bf9BknDlZNzZEP+iyLu2jigoXb6RStd1n6ziB43mJD2z6IwOSS2VkuVUeHo9Aw7FQD0qA+F/ZWykEESI4Q==" saltValue="wbjzO0pJH2gsS50FIR7Clg==" spinCount="100000" sheet="1" objects="1" scenarios="1"/>
  <mergeCells count="3">
    <mergeCell ref="BY1:BY6"/>
    <mergeCell ref="CA1:CA6"/>
    <mergeCell ref="BZ4:BZ6"/>
  </mergeCells>
  <conditionalFormatting sqref="A2">
    <cfRule type="cellIs" dxfId="37" priority="6" operator="equal">
      <formula>0</formula>
    </cfRule>
    <cfRule type="cellIs" dxfId="36" priority="7" operator="greaterThan">
      <formula>0</formula>
    </cfRule>
  </conditionalFormatting>
  <conditionalFormatting sqref="A1">
    <cfRule type="cellIs" dxfId="35" priority="4" operator="equal">
      <formula>0</formula>
    </cfRule>
    <cfRule type="cellIs" dxfId="34" priority="5"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F8A63A8B-FE7C-4505-B76F-2C1FD52CAFFE}"/>
  </dataValidations>
  <pageMargins left="0.70866141732283472" right="0.70866141732283472" top="0.74803149606299213" bottom="0.74803149606299213" header="0.31496062992125984" footer="0.31496062992125984"/>
  <pageSetup paperSize="8" scale="82" orientation="landscape" r:id="rId1"/>
  <ignoredErrors>
    <ignoredError sqref="D13"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7BE7489E-D0F2-4209-8A00-53D75B40A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13A111F-BB32-432A-895E-12C734D9F105}">
          <x14:formula1>
            <xm:f>'Dash Data'!$D$93:$D$100</xm:f>
          </x14:formula1>
          <xm:sqref>D2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6026-3C0F-4E21-B650-892B38E78A51}">
  <sheetPr codeName="Sheet12">
    <tabColor rgb="FF00B0F0"/>
    <outlinePr summaryBelow="0" summaryRight="0"/>
    <pageSetUpPr autoPageBreaks="0"/>
  </sheetPr>
  <dimension ref="A1:EX147"/>
  <sheetViews>
    <sheetView showGridLines="0" zoomScaleNormal="100" workbookViewId="0">
      <pane xSplit="8" ySplit="7" topLeftCell="I119" activePane="bottomRight" state="frozen"/>
      <selection pane="topRight"/>
      <selection pane="bottomLeft"/>
      <selection pane="bottomRight"/>
    </sheetView>
  </sheetViews>
  <sheetFormatPr defaultColWidth="8.5703125" defaultRowHeight="15" outlineLevelCol="1" x14ac:dyDescent="0.25"/>
  <cols>
    <col min="1" max="1" width="6.5703125" style="67" bestFit="1" customWidth="1" collapsed="1"/>
    <col min="2" max="2" width="4.140625" style="67" customWidth="1"/>
    <col min="3" max="3" width="11.42578125" style="67" customWidth="1"/>
    <col min="4" max="4" width="48.42578125" style="67" bestFit="1" customWidth="1"/>
    <col min="5" max="5" width="6.42578125" style="69" customWidth="1"/>
    <col min="6" max="6" width="6.85546875" style="162" customWidth="1" collapsed="1"/>
    <col min="7" max="8" width="2" style="67" hidden="1" customWidth="1" outlineLevel="1"/>
    <col min="9" max="9" width="1" style="67" customWidth="1" collapsed="1"/>
    <col min="10" max="10" width="2" style="67" hidden="1" customWidth="1" outlineLevel="1"/>
    <col min="11" max="18" width="8.5703125" style="67" hidden="1" customWidth="1" outlineLevel="1"/>
    <col min="19" max="21" width="3" style="67" hidden="1" customWidth="1" outlineLevel="1"/>
    <col min="22" max="25" width="12.5703125" style="67" bestFit="1" customWidth="1"/>
    <col min="26" max="26" width="3" style="67" bestFit="1" customWidth="1"/>
    <col min="27" max="30" width="12.5703125" style="67" bestFit="1" customWidth="1"/>
    <col min="31" max="31" width="9.5703125" style="67" bestFit="1" customWidth="1"/>
    <col min="32" max="32" width="9.42578125" style="67" bestFit="1" customWidth="1"/>
    <col min="33" max="33" width="9.42578125" style="67" customWidth="1"/>
    <col min="34" max="34" width="9.5703125" style="67" bestFit="1" customWidth="1"/>
    <col min="35" max="35" width="9.42578125" style="67" bestFit="1" customWidth="1"/>
    <col min="36" max="36" width="10.42578125" style="67" bestFit="1" customWidth="1"/>
    <col min="37" max="37" width="9.42578125" style="67" bestFit="1" customWidth="1"/>
    <col min="38" max="38" width="8.5703125" style="67" bestFit="1" customWidth="1"/>
    <col min="39" max="39" width="9.5703125" style="67" bestFit="1" customWidth="1"/>
    <col min="40" max="40" width="3" style="67" customWidth="1"/>
    <col min="41" max="41" width="9.42578125" style="67" bestFit="1" customWidth="1"/>
    <col min="42" max="43" width="9.5703125" style="67" bestFit="1" customWidth="1"/>
    <col min="44" max="45" width="9.42578125" style="67" bestFit="1" customWidth="1"/>
    <col min="46" max="46" width="9.5703125" style="67" bestFit="1" customWidth="1"/>
    <col min="47" max="47" width="9.42578125" style="67" bestFit="1" customWidth="1"/>
    <col min="48" max="48" width="10.42578125" style="67" bestFit="1" customWidth="1"/>
    <col min="49" max="49" width="9.42578125" style="67" bestFit="1" customWidth="1"/>
    <col min="50" max="50" width="8.5703125" style="67" bestFit="1" customWidth="1"/>
    <col min="51" max="51" width="9.5703125" style="67" hidden="1" customWidth="1"/>
    <col min="52" max="53" width="9.42578125" style="67" hidden="1" customWidth="1"/>
    <col min="54" max="55" width="9.5703125" style="67" hidden="1" customWidth="1"/>
    <col min="56" max="57" width="9.42578125" style="67" hidden="1" customWidth="1"/>
    <col min="58" max="58" width="9.5703125" style="67" hidden="1" customWidth="1"/>
    <col min="59" max="59" width="9.42578125" style="67" hidden="1" customWidth="1"/>
    <col min="60" max="60" width="10.42578125" style="67" hidden="1" customWidth="1"/>
    <col min="61" max="61" width="9.42578125" style="67" hidden="1" customWidth="1"/>
    <col min="62" max="62" width="8.5703125" style="67" hidden="1" customWidth="1"/>
    <col min="63" max="63" width="3" style="67" hidden="1" customWidth="1"/>
    <col min="64" max="64" width="9.5703125" style="67" hidden="1" customWidth="1"/>
    <col min="65" max="65" width="10.5703125" style="67" hidden="1" customWidth="1"/>
    <col min="66" max="75" width="9.5703125" style="67" hidden="1" customWidth="1"/>
    <col min="76" max="76" width="3" style="67" hidden="1" customWidth="1"/>
    <col min="77" max="77" width="3.42578125" style="67" customWidth="1"/>
    <col min="78" max="78" width="13.42578125" style="67" customWidth="1"/>
    <col min="79" max="79" width="2.5703125" style="67" customWidth="1"/>
    <col min="80" max="152" width="8.5703125" style="67"/>
    <col min="153" max="153" width="8.5703125" style="67" collapsed="1"/>
    <col min="154" max="154" width="38.42578125" style="67" hidden="1" customWidth="1" outlineLevel="1"/>
    <col min="155" max="16384" width="8.5703125" style="67"/>
  </cols>
  <sheetData>
    <row r="1" spans="1:154" x14ac:dyDescent="0.25">
      <c r="A1" s="7">
        <f ca="1">ToC!A1</f>
        <v>0</v>
      </c>
      <c r="B1" s="14" t="s">
        <v>749</v>
      </c>
      <c r="C1" s="14"/>
      <c r="D1" s="20" t="str">
        <f>CollegeNameInput</f>
        <v>HALESOWEN COLLEGE</v>
      </c>
      <c r="E1" s="101"/>
      <c r="F1" s="102"/>
      <c r="G1" s="24"/>
      <c r="H1" s="14"/>
      <c r="I1" s="14"/>
      <c r="J1" s="14"/>
      <c r="K1" s="14"/>
      <c r="L1" s="14"/>
      <c r="M1" s="14"/>
      <c r="N1" s="14"/>
      <c r="O1" s="14"/>
      <c r="P1" s="14"/>
      <c r="Q1" s="14"/>
      <c r="R1" s="14"/>
      <c r="S1" s="14"/>
      <c r="T1" s="14"/>
      <c r="U1" s="14"/>
      <c r="V1" s="14" t="str">
        <f>Timeline!V1</f>
        <v>Annual Timeline</v>
      </c>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575"/>
      <c r="CA1" s="575"/>
      <c r="EX1" s="5" t="s">
        <v>1563</v>
      </c>
    </row>
    <row r="2" spans="1:154" ht="14.45" customHeight="1" x14ac:dyDescent="0.25">
      <c r="A2" s="7">
        <f>SUM(A$7:A$147)</f>
        <v>0</v>
      </c>
      <c r="B2" s="92" t="str" cm="1">
        <f t="array" aca="1" ref="B2" ca="1">HYPERLINK(CONCATENATE("#",CELL("address",Guide!$C$126)),Guide!$B$1)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CA2" s="575"/>
      <c r="EX2" s="335"/>
    </row>
    <row r="3" spans="1:154" x14ac:dyDescent="0.25">
      <c r="A3" s="92" t="str" cm="1">
        <f t="array" aca="1" ref="A3" ca="1">HYPERLINK(CONCATENATE("#",CELL("address",ToC!$A$1)),ToC!$C$1)</f>
        <v>ToC</v>
      </c>
      <c r="B3" s="14"/>
      <c r="C3" s="14"/>
      <c r="D3" s="43" t="str">
        <f>Timeline!D3</f>
        <v>Financial Year</v>
      </c>
      <c r="E3" s="101"/>
      <c r="F3" s="101"/>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 t="shared" ref="AA3:AD5" si="0">V3</f>
        <v>FY2020</v>
      </c>
      <c r="AB3" s="18" t="str">
        <f t="shared" si="0"/>
        <v>FY2021</v>
      </c>
      <c r="AC3" s="18" t="str">
        <f t="shared" si="0"/>
        <v>FY2022</v>
      </c>
      <c r="AD3" s="19" t="str">
        <f t="shared" si="0"/>
        <v>FY2023</v>
      </c>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575"/>
      <c r="CA3" s="575"/>
      <c r="EX3" s="335"/>
    </row>
    <row r="4" spans="1:154" x14ac:dyDescent="0.25">
      <c r="A4" s="14"/>
      <c r="B4" s="14"/>
      <c r="C4" s="14"/>
      <c r="D4" s="43" t="str">
        <f>Timeline!D4</f>
        <v>Forecast vs Actual</v>
      </c>
      <c r="E4" s="101"/>
      <c r="F4" s="101"/>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 t="shared" si="0"/>
        <v>0</v>
      </c>
      <c r="AB4" s="33">
        <f t="shared" si="0"/>
        <v>-1</v>
      </c>
      <c r="AC4" s="33">
        <f t="shared" si="0"/>
        <v>1</v>
      </c>
      <c r="AD4" s="34">
        <f t="shared" si="0"/>
        <v>1</v>
      </c>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575"/>
      <c r="BZ4" s="576"/>
      <c r="CA4" s="575"/>
      <c r="EX4" s="335"/>
    </row>
    <row r="5" spans="1:154" x14ac:dyDescent="0.25">
      <c r="A5" s="14"/>
      <c r="B5" s="14"/>
      <c r="C5" s="14"/>
      <c r="D5" s="43" t="str">
        <f>Timeline!D5</f>
        <v>Period End Date</v>
      </c>
      <c r="E5" s="101"/>
      <c r="F5" s="101"/>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 t="shared" si="0"/>
        <v>44043</v>
      </c>
      <c r="AB5" s="22">
        <f t="shared" si="0"/>
        <v>44408</v>
      </c>
      <c r="AC5" s="22">
        <f t="shared" si="0"/>
        <v>44773</v>
      </c>
      <c r="AD5" s="23">
        <f t="shared" si="0"/>
        <v>45138</v>
      </c>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575"/>
      <c r="BZ5" s="576"/>
      <c r="CA5" s="575"/>
      <c r="EX5" s="335"/>
    </row>
    <row r="6" spans="1:154" x14ac:dyDescent="0.25">
      <c r="A6" s="80"/>
      <c r="B6" s="14"/>
      <c r="C6" s="14" t="str">
        <f>Template!$C$6</f>
        <v>Ref. No.</v>
      </c>
      <c r="D6" s="26"/>
      <c r="E6" s="458" t="s">
        <v>1748</v>
      </c>
      <c r="F6" s="458"/>
      <c r="G6" s="14"/>
      <c r="H6" s="14"/>
      <c r="I6" s="14"/>
      <c r="J6" s="14"/>
      <c r="K6" s="14"/>
      <c r="L6" s="14"/>
      <c r="M6" s="14"/>
      <c r="N6" s="16"/>
      <c r="O6" s="14"/>
      <c r="P6" s="14"/>
      <c r="Q6" s="14"/>
      <c r="R6" s="14"/>
      <c r="S6" s="14"/>
      <c r="T6" s="14"/>
      <c r="U6" s="14"/>
      <c r="V6" s="80"/>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575"/>
      <c r="BZ6" s="576"/>
      <c r="CA6" s="575"/>
      <c r="EX6" s="335"/>
    </row>
    <row r="7" spans="1:154" x14ac:dyDescent="0.25">
      <c r="B7" s="139" t="s">
        <v>2494</v>
      </c>
      <c r="D7" s="1"/>
      <c r="E7" s="162"/>
      <c r="BM7" s="6"/>
      <c r="BY7" s="42"/>
      <c r="CA7" s="42"/>
      <c r="EX7" s="335"/>
    </row>
    <row r="8" spans="1:154" s="335" customFormat="1" ht="4.3499999999999996" customHeight="1" x14ac:dyDescent="0.25">
      <c r="A8" s="157"/>
      <c r="B8" s="157"/>
      <c r="C8" s="157"/>
      <c r="D8" s="157"/>
      <c r="E8" s="180"/>
      <c r="F8" s="180"/>
      <c r="G8" s="157"/>
      <c r="H8" s="157"/>
      <c r="I8" s="175" t="s">
        <v>2449</v>
      </c>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42"/>
      <c r="CA8" s="42"/>
      <c r="EX8" s="10" t="str">
        <f t="shared" ref="EX8:EX18" si="1">IF($C8="","",$D8)</f>
        <v/>
      </c>
    </row>
    <row r="9" spans="1:154" s="335" customFormat="1" ht="15.75" x14ac:dyDescent="0.3">
      <c r="A9" s="157"/>
      <c r="B9" s="479" t="s">
        <v>335</v>
      </c>
      <c r="C9" s="157"/>
      <c r="D9" s="69" t="s">
        <v>2495</v>
      </c>
      <c r="E9" s="162"/>
      <c r="F9" s="162"/>
      <c r="V9" s="45">
        <f>'BS Forecasts'!V$10</f>
        <v>0</v>
      </c>
      <c r="W9" s="45">
        <f>'BS Forecasts'!W$10</f>
        <v>1</v>
      </c>
      <c r="X9" s="45">
        <f>'BS Forecasts'!X$10</f>
        <v>1</v>
      </c>
      <c r="Y9" s="45">
        <f>'BS Forecasts'!Y$10</f>
        <v>1</v>
      </c>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42"/>
      <c r="CA9" s="42"/>
      <c r="EX9" s="10" t="str">
        <f t="shared" si="1"/>
        <v/>
      </c>
    </row>
    <row r="10" spans="1:154" s="335" customFormat="1" ht="4.3499999999999996" customHeight="1" x14ac:dyDescent="0.25">
      <c r="A10" s="157"/>
      <c r="B10" s="157"/>
      <c r="C10" s="157"/>
      <c r="D10" s="157"/>
      <c r="E10" s="180"/>
      <c r="F10" s="180"/>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42"/>
      <c r="CA10" s="42"/>
      <c r="EX10" s="10" t="str">
        <f t="shared" si="1"/>
        <v/>
      </c>
    </row>
    <row r="11" spans="1:154" x14ac:dyDescent="0.25">
      <c r="A11" s="40"/>
      <c r="B11" s="40"/>
      <c r="C11" s="40"/>
      <c r="D11" s="40" t="s">
        <v>739</v>
      </c>
      <c r="E11" s="99" t="s">
        <v>1748</v>
      </c>
      <c r="F11" s="99"/>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12"/>
      <c r="CA11" s="42"/>
      <c r="EX11" s="10" t="str">
        <f t="shared" si="1"/>
        <v/>
      </c>
    </row>
    <row r="12" spans="1:154" s="335" customFormat="1" ht="4.3499999999999996" customHeight="1" x14ac:dyDescent="0.25">
      <c r="A12" s="157"/>
      <c r="B12" s="157"/>
      <c r="C12" s="157"/>
      <c r="D12" s="157"/>
      <c r="E12" s="180"/>
      <c r="F12" s="180"/>
      <c r="G12" s="157"/>
      <c r="H12" s="157"/>
      <c r="I12" s="175"/>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42"/>
      <c r="CA12" s="42"/>
      <c r="EX12" s="10" t="str">
        <f t="shared" si="1"/>
        <v/>
      </c>
    </row>
    <row r="13" spans="1:154" x14ac:dyDescent="0.25">
      <c r="B13" s="5" t="s">
        <v>747</v>
      </c>
      <c r="E13" s="162"/>
      <c r="S13"/>
      <c r="T13"/>
      <c r="U13"/>
      <c r="V13" s="5" t="s">
        <v>1767</v>
      </c>
      <c r="AA13" s="5" t="s">
        <v>1768</v>
      </c>
      <c r="AB13"/>
      <c r="AC13"/>
      <c r="AD13"/>
      <c r="AN13" s="25"/>
      <c r="AO13" s="25"/>
      <c r="AP13" s="25"/>
      <c r="AQ13" s="25"/>
      <c r="AR13" s="25"/>
      <c r="AS13" s="25"/>
      <c r="AT13" s="25"/>
      <c r="AU13" s="25"/>
      <c r="AV13" s="25"/>
      <c r="AW13" s="25"/>
      <c r="AX13" s="25"/>
      <c r="BY13" s="12"/>
      <c r="CA13" s="42"/>
      <c r="EX13" s="10" t="str">
        <f t="shared" si="1"/>
        <v/>
      </c>
    </row>
    <row r="14" spans="1:154" x14ac:dyDescent="0.25">
      <c r="B14" s="1"/>
      <c r="C14" s="340" t="str">
        <f>CONCATENATE("DB-",'Financial Health'!C$28)</f>
        <v>DB-FH-2c</v>
      </c>
      <c r="D14" s="162" t="s">
        <v>754</v>
      </c>
      <c r="E14" s="162"/>
      <c r="G14"/>
      <c r="H14"/>
      <c r="I14"/>
      <c r="J14"/>
      <c r="K14"/>
      <c r="L14"/>
      <c r="M14"/>
      <c r="N14"/>
      <c r="O14"/>
      <c r="P14"/>
      <c r="Q14"/>
      <c r="R14"/>
      <c r="S14"/>
      <c r="T14"/>
      <c r="U14"/>
      <c r="V14" s="513" t="str">
        <f>'Financial Health'!V$28</f>
        <v/>
      </c>
      <c r="W14" s="513" t="str">
        <f ca="1">'Financial Health'!W$28</f>
        <v>Outstanding</v>
      </c>
      <c r="X14" s="513" t="str">
        <f ca="1">'Financial Health'!X$28</f>
        <v>Outstanding</v>
      </c>
      <c r="Y14" s="513" t="str">
        <f ca="1">'Financial Health'!Y$28</f>
        <v>Outstanding</v>
      </c>
      <c r="AA14" s="513" t="str">
        <f>'Financial Health'!V$56</f>
        <v/>
      </c>
      <c r="AB14" s="513" t="str">
        <f ca="1">'Financial Health'!W$56</f>
        <v>Outstanding</v>
      </c>
      <c r="AC14" s="513" t="str">
        <f ca="1">'Financial Health'!X$56</f>
        <v>Outstanding</v>
      </c>
      <c r="AD14" s="513" t="str">
        <f ca="1">'Financial Health'!Y$56</f>
        <v>Outstanding</v>
      </c>
      <c r="AN14" s="25"/>
      <c r="AO14" s="25"/>
      <c r="AP14" s="25"/>
      <c r="AQ14" s="25"/>
      <c r="AR14" s="25"/>
      <c r="AS14" s="25"/>
      <c r="AT14" s="25"/>
      <c r="AU14" s="25"/>
      <c r="AV14" s="25"/>
      <c r="AW14" s="25"/>
      <c r="AX14" s="25"/>
      <c r="BY14" s="12"/>
      <c r="CA14" s="42"/>
      <c r="EX14" s="10" t="str">
        <f t="shared" si="1"/>
        <v xml:space="preserve">Financial Health Grade  </v>
      </c>
    </row>
    <row r="15" spans="1:154" x14ac:dyDescent="0.25">
      <c r="B15"/>
      <c r="C15" s="340" t="str">
        <f>CONCATENATE("DB-",'Financial Health'!C$23)</f>
        <v>DB-FH-1d</v>
      </c>
      <c r="D15" s="162" t="str">
        <f>'Financial Health'!D$23</f>
        <v>Total Points</v>
      </c>
      <c r="E15" s="162"/>
      <c r="S15"/>
      <c r="T15"/>
      <c r="U15"/>
      <c r="V15" s="121">
        <f>'Financial Health'!V$23</f>
        <v>0</v>
      </c>
      <c r="W15" s="121">
        <f ca="1">'Financial Health'!W$23</f>
        <v>250</v>
      </c>
      <c r="X15" s="121">
        <f ca="1">'Financial Health'!X$23</f>
        <v>260</v>
      </c>
      <c r="Y15" s="121">
        <f ca="1">'Financial Health'!Y$23</f>
        <v>260</v>
      </c>
      <c r="AA15" s="121">
        <f>'Financial Health'!V$51</f>
        <v>0</v>
      </c>
      <c r="AB15" s="121">
        <f ca="1">'Financial Health'!W$51</f>
        <v>270</v>
      </c>
      <c r="AC15" s="121">
        <f ca="1">'Financial Health'!X$51</f>
        <v>270</v>
      </c>
      <c r="AD15" s="121">
        <f ca="1">'Financial Health'!Y$51</f>
        <v>270</v>
      </c>
      <c r="AN15" s="25"/>
      <c r="AO15" s="25"/>
      <c r="AP15" s="25"/>
      <c r="AQ15" s="25"/>
      <c r="AR15" s="25"/>
      <c r="AS15" s="25"/>
      <c r="AT15" s="25"/>
      <c r="AU15" s="25"/>
      <c r="AV15" s="25"/>
      <c r="AW15" s="25"/>
      <c r="AX15" s="25"/>
      <c r="BY15" s="12"/>
      <c r="CA15" s="42"/>
      <c r="EX15" s="10" t="str">
        <f>IF($C15="","",$D15)</f>
        <v>Total Points</v>
      </c>
    </row>
    <row r="16" spans="1:154" s="335" customFormat="1" ht="4.3499999999999996" customHeight="1" x14ac:dyDescent="0.25">
      <c r="A16" s="157"/>
      <c r="B16" s="157"/>
      <c r="C16" s="340"/>
      <c r="D16" s="157"/>
      <c r="E16" s="180"/>
      <c r="F16" s="180"/>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42"/>
      <c r="CA16" s="42"/>
      <c r="EX16" s="10" t="str">
        <f t="shared" si="1"/>
        <v/>
      </c>
    </row>
    <row r="17" spans="1:154" ht="14.85" customHeight="1" x14ac:dyDescent="0.25">
      <c r="A17" s="157"/>
      <c r="B17" s="5" t="s">
        <v>746</v>
      </c>
      <c r="C17" s="340"/>
      <c r="D17" s="157"/>
      <c r="E17" s="180"/>
      <c r="F17" s="180"/>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42"/>
      <c r="CA17" s="42"/>
      <c r="EX17" s="10" t="str">
        <f t="shared" si="1"/>
        <v/>
      </c>
    </row>
    <row r="18" spans="1:154" x14ac:dyDescent="0.25">
      <c r="B18"/>
      <c r="C18" s="340" t="str">
        <f>CONCATENATE("DB-",Ratios!C$45)</f>
        <v>DB-FS-IE-8</v>
      </c>
      <c r="D18" s="335" t="str">
        <f>Ratios!D$45</f>
        <v xml:space="preserve">EBITDA - education specific </v>
      </c>
      <c r="E18" s="180"/>
      <c r="F18" s="138" t="s">
        <v>1777</v>
      </c>
      <c r="G18" s="335"/>
      <c r="H18" s="335"/>
      <c r="I18" s="335"/>
      <c r="J18" s="335"/>
      <c r="K18" s="335"/>
      <c r="L18" s="335"/>
      <c r="M18" s="335"/>
      <c r="N18" s="335"/>
      <c r="O18" s="335"/>
      <c r="P18" s="335"/>
      <c r="Q18" s="335"/>
      <c r="R18" s="335"/>
      <c r="S18" s="335"/>
      <c r="T18" s="335"/>
      <c r="U18" s="335"/>
      <c r="V18" s="10">
        <f>Ratios!V$45</f>
        <v>0</v>
      </c>
      <c r="W18" s="10">
        <f>Ratios!W$45</f>
        <v>2032</v>
      </c>
      <c r="X18" s="10">
        <f>Ratios!X$45</f>
        <v>2050</v>
      </c>
      <c r="Y18" s="10">
        <f>Ratios!Y$45</f>
        <v>2173.8100000000013</v>
      </c>
      <c r="AN18" s="25"/>
      <c r="AO18" s="25"/>
      <c r="AP18" s="25"/>
      <c r="AQ18" s="25"/>
      <c r="AR18" s="25"/>
      <c r="AS18" s="25"/>
      <c r="AT18" s="25"/>
      <c r="AU18" s="25"/>
      <c r="AV18" s="25"/>
      <c r="AW18" s="25"/>
      <c r="AX18" s="25"/>
      <c r="BY18" s="12"/>
      <c r="CA18" s="42"/>
      <c r="EX18" s="10" t="str">
        <f t="shared" si="1"/>
        <v xml:space="preserve">EBITDA - education specific </v>
      </c>
    </row>
    <row r="19" spans="1:154" ht="30" x14ac:dyDescent="0.25">
      <c r="B19"/>
      <c r="C19" s="340" t="str">
        <f>CONCATENATE("DB-",Ratios!C$46)</f>
        <v>DB-R-5g</v>
      </c>
      <c r="D19" s="27" t="str">
        <f>Ratios!D$46</f>
        <v>EBITDA as a % of adjusted income - education specific</v>
      </c>
      <c r="E19" s="180"/>
      <c r="F19" s="517"/>
      <c r="G19" s="335"/>
      <c r="H19" s="335"/>
      <c r="I19" s="335"/>
      <c r="J19" s="335"/>
      <c r="K19" s="335"/>
      <c r="L19" s="335"/>
      <c r="M19" s="335"/>
      <c r="N19" s="335"/>
      <c r="O19" s="335"/>
      <c r="P19" s="335"/>
      <c r="Q19" s="335"/>
      <c r="R19" s="335"/>
      <c r="S19" s="335"/>
      <c r="T19" s="335"/>
      <c r="U19" s="335"/>
      <c r="V19" s="66">
        <f>Ratios!V$46</f>
        <v>0</v>
      </c>
      <c r="W19" s="66">
        <f>Ratios!W$46</f>
        <v>7.2641475708719122E-2</v>
      </c>
      <c r="X19" s="66">
        <f>Ratios!X$46</f>
        <v>7.0342792437291968E-2</v>
      </c>
      <c r="Y19" s="66">
        <f>Ratios!Y$46</f>
        <v>7.2259524115815529E-2</v>
      </c>
      <c r="AN19" s="25"/>
      <c r="AO19" s="25"/>
      <c r="AP19" s="25"/>
      <c r="AQ19" s="25"/>
      <c r="AR19" s="25"/>
      <c r="AS19" s="25"/>
      <c r="AT19" s="25"/>
      <c r="AU19" s="25"/>
      <c r="AV19" s="25"/>
      <c r="AW19" s="25"/>
      <c r="AX19" s="25"/>
      <c r="BY19" s="12"/>
      <c r="CA19" s="42"/>
      <c r="EX19" s="10" t="str">
        <f>IF($C19="","",$D19)</f>
        <v>EBITDA as a % of adjusted income - education specific</v>
      </c>
    </row>
    <row r="20" spans="1:154" ht="58.35" customHeight="1" x14ac:dyDescent="0.25">
      <c r="B20"/>
      <c r="C20" s="340"/>
      <c r="D20" s="463" t="s">
        <v>1790</v>
      </c>
      <c r="E20" s="335"/>
      <c r="F20" s="335"/>
      <c r="G20" s="335"/>
      <c r="H20"/>
      <c r="I20"/>
      <c r="J20" s="335"/>
      <c r="K20" s="335"/>
      <c r="L20" s="335"/>
      <c r="M20" s="335"/>
      <c r="N20" s="335"/>
      <c r="O20" s="335"/>
      <c r="P20" s="335"/>
      <c r="Q20" s="335"/>
      <c r="R20" s="335"/>
      <c r="S20" s="335"/>
      <c r="T20" s="335"/>
      <c r="U20" s="335"/>
      <c r="V20" s="335"/>
      <c r="W20" s="335"/>
      <c r="X20" s="335"/>
      <c r="Y20" s="335"/>
      <c r="AN20" s="25"/>
      <c r="AO20" s="25"/>
      <c r="AP20" s="25"/>
      <c r="AQ20" s="25"/>
      <c r="AR20" s="25"/>
      <c r="AS20" s="25"/>
      <c r="AT20" s="25"/>
      <c r="AU20" s="25"/>
      <c r="AV20" s="25"/>
      <c r="AW20" s="25"/>
      <c r="AX20" s="25"/>
      <c r="BY20" s="12"/>
      <c r="CA20" s="42"/>
      <c r="EX20" s="10" t="str">
        <f t="shared" ref="EX20:EX83" si="2">IF($C20="","",$D20)</f>
        <v/>
      </c>
    </row>
    <row r="21" spans="1:154" x14ac:dyDescent="0.25">
      <c r="B21"/>
      <c r="C21" s="340"/>
      <c r="E21" s="335"/>
      <c r="F21" s="335"/>
      <c r="G21" s="335"/>
      <c r="H21"/>
      <c r="I21"/>
      <c r="J21" s="335"/>
      <c r="K21" s="335"/>
      <c r="L21" s="335"/>
      <c r="M21" s="335"/>
      <c r="N21" s="335"/>
      <c r="O21" s="335"/>
      <c r="P21" s="335"/>
      <c r="Q21" s="335"/>
      <c r="R21" s="335"/>
      <c r="S21" s="335"/>
      <c r="T21" s="335"/>
      <c r="U21" s="335"/>
      <c r="V21" s="335"/>
      <c r="W21" s="335"/>
      <c r="X21" s="335"/>
      <c r="Y21" s="335"/>
      <c r="AN21" s="25"/>
      <c r="AO21" s="25"/>
      <c r="AP21" s="25"/>
      <c r="AQ21" s="25"/>
      <c r="AR21" s="25"/>
      <c r="AS21" s="25"/>
      <c r="AT21" s="25"/>
      <c r="AU21" s="25"/>
      <c r="AV21" s="25"/>
      <c r="AW21" s="25"/>
      <c r="AX21" s="25"/>
      <c r="BY21" s="12"/>
      <c r="CA21" s="42"/>
      <c r="EX21" s="10" t="str">
        <f t="shared" si="2"/>
        <v/>
      </c>
    </row>
    <row r="22" spans="1:154" x14ac:dyDescent="0.25">
      <c r="C22" s="340"/>
      <c r="AN22" s="25"/>
      <c r="AO22" s="25"/>
      <c r="AP22" s="25"/>
      <c r="AQ22" s="25"/>
      <c r="AR22" s="25"/>
      <c r="AS22" s="25"/>
      <c r="AT22" s="25"/>
      <c r="AU22" s="25"/>
      <c r="AV22" s="25"/>
      <c r="AW22" s="25"/>
      <c r="AX22" s="25"/>
      <c r="BY22" s="12"/>
      <c r="CA22" s="42"/>
      <c r="EX22" s="10" t="str">
        <f t="shared" si="2"/>
        <v/>
      </c>
    </row>
    <row r="23" spans="1:154" x14ac:dyDescent="0.25">
      <c r="C23" s="340"/>
      <c r="AN23" s="25"/>
      <c r="AO23" s="25"/>
      <c r="AP23" s="25"/>
      <c r="AQ23" s="25"/>
      <c r="AR23" s="25"/>
      <c r="AS23" s="25"/>
      <c r="AT23" s="25"/>
      <c r="AU23" s="25"/>
      <c r="AV23" s="25"/>
      <c r="AW23" s="25"/>
      <c r="AX23" s="25"/>
      <c r="BY23" s="12"/>
      <c r="CA23" s="42"/>
      <c r="EX23" s="10" t="str">
        <f t="shared" si="2"/>
        <v/>
      </c>
    </row>
    <row r="24" spans="1:154" x14ac:dyDescent="0.25">
      <c r="C24" s="340"/>
      <c r="AN24" s="25"/>
      <c r="AO24" s="25"/>
      <c r="AP24" s="25"/>
      <c r="AQ24" s="25"/>
      <c r="AR24" s="25"/>
      <c r="AS24" s="25"/>
      <c r="AT24" s="25"/>
      <c r="AU24" s="25"/>
      <c r="AV24" s="25"/>
      <c r="AW24" s="25"/>
      <c r="AX24" s="25"/>
      <c r="BY24" s="12"/>
      <c r="CA24" s="42"/>
      <c r="EX24" s="10" t="str">
        <f t="shared" si="2"/>
        <v/>
      </c>
    </row>
    <row r="25" spans="1:154" x14ac:dyDescent="0.25">
      <c r="C25" s="340"/>
      <c r="AN25" s="25"/>
      <c r="AO25" s="25"/>
      <c r="AP25" s="25"/>
      <c r="AQ25" s="25"/>
      <c r="AR25" s="25"/>
      <c r="AS25" s="25"/>
      <c r="AT25" s="25"/>
      <c r="AU25" s="25"/>
      <c r="AV25" s="25"/>
      <c r="AW25" s="25"/>
      <c r="AX25" s="25"/>
      <c r="BY25" s="12"/>
      <c r="CA25" s="42"/>
      <c r="EX25" s="10" t="str">
        <f t="shared" si="2"/>
        <v/>
      </c>
    </row>
    <row r="26" spans="1:154" s="335" customFormat="1" x14ac:dyDescent="0.25">
      <c r="C26" s="340"/>
      <c r="AN26" s="25"/>
      <c r="AO26" s="25"/>
      <c r="AP26" s="25"/>
      <c r="AQ26" s="25"/>
      <c r="AR26" s="25"/>
      <c r="AS26" s="25"/>
      <c r="AT26" s="25"/>
      <c r="AU26" s="25"/>
      <c r="AV26" s="25"/>
      <c r="AW26" s="25"/>
      <c r="AX26" s="25"/>
      <c r="BY26" s="12"/>
      <c r="CA26" s="42"/>
      <c r="EX26" s="10" t="str">
        <f t="shared" si="2"/>
        <v/>
      </c>
    </row>
    <row r="27" spans="1:154" s="335" customFormat="1" x14ac:dyDescent="0.25">
      <c r="C27" s="340"/>
      <c r="E27" s="69"/>
      <c r="F27" s="162"/>
      <c r="AN27" s="25"/>
      <c r="AO27" s="25"/>
      <c r="AP27" s="25"/>
      <c r="AQ27" s="25"/>
      <c r="AR27" s="25"/>
      <c r="AS27" s="25"/>
      <c r="AT27" s="25"/>
      <c r="AU27" s="25"/>
      <c r="AV27" s="25"/>
      <c r="AW27" s="25"/>
      <c r="AX27" s="25"/>
      <c r="BY27" s="12"/>
      <c r="CA27" s="42"/>
      <c r="EX27" s="10" t="str">
        <f t="shared" si="2"/>
        <v/>
      </c>
    </row>
    <row r="28" spans="1:154" s="335" customFormat="1" x14ac:dyDescent="0.25">
      <c r="C28" s="340"/>
      <c r="E28" s="69"/>
      <c r="F28" s="162"/>
      <c r="AN28" s="25"/>
      <c r="AO28" s="25"/>
      <c r="AP28" s="25"/>
      <c r="AQ28" s="25"/>
      <c r="AR28" s="25"/>
      <c r="AS28" s="25"/>
      <c r="AT28" s="25"/>
      <c r="AU28" s="25"/>
      <c r="AV28" s="25"/>
      <c r="AW28" s="25"/>
      <c r="AX28" s="25"/>
      <c r="BY28" s="12"/>
      <c r="CA28" s="42"/>
      <c r="EX28" s="10" t="str">
        <f t="shared" si="2"/>
        <v/>
      </c>
    </row>
    <row r="29" spans="1:154" s="335" customFormat="1" ht="4.3499999999999996" customHeight="1" x14ac:dyDescent="0.25">
      <c r="A29" s="157"/>
      <c r="B29" s="157"/>
      <c r="C29" s="340"/>
      <c r="D29" s="157"/>
      <c r="E29" s="180"/>
      <c r="F29" s="180"/>
      <c r="G29" s="157"/>
      <c r="H29" s="157"/>
      <c r="I29" s="175"/>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42"/>
      <c r="CA29" s="42"/>
      <c r="EX29" s="10" t="str">
        <f t="shared" si="2"/>
        <v/>
      </c>
    </row>
    <row r="30" spans="1:154" s="335" customFormat="1" x14ac:dyDescent="0.25">
      <c r="C30" s="340"/>
      <c r="E30" s="138" t="s">
        <v>1776</v>
      </c>
      <c r="F30" s="138" t="s">
        <v>1777</v>
      </c>
      <c r="AN30" s="25"/>
      <c r="AO30" s="25"/>
      <c r="AP30" s="25"/>
      <c r="AQ30" s="25"/>
      <c r="AR30" s="25"/>
      <c r="AS30" s="25"/>
      <c r="AT30" s="25"/>
      <c r="AU30" s="25"/>
      <c r="AV30" s="25"/>
      <c r="AW30" s="25"/>
      <c r="AX30" s="25"/>
      <c r="BY30" s="12"/>
      <c r="CA30" s="42"/>
      <c r="EX30" s="10" t="str">
        <f t="shared" si="2"/>
        <v/>
      </c>
    </row>
    <row r="31" spans="1:154" ht="15.75" x14ac:dyDescent="0.3">
      <c r="B31" s="105" t="s">
        <v>335</v>
      </c>
      <c r="C31" s="340" t="str">
        <f>CONCATENATE("DB-",Ratios!C$41)</f>
        <v>DB-R-5d</v>
      </c>
      <c r="D31" t="str">
        <f>Ratios!D$41</f>
        <v>Adjusted Operating Surplus (Deficit)</v>
      </c>
      <c r="E31" s="456">
        <f>Parameters!$F$95</f>
        <v>0.01</v>
      </c>
      <c r="F31" s="517"/>
      <c r="G31"/>
      <c r="H31"/>
      <c r="I31"/>
      <c r="J31"/>
      <c r="K31"/>
      <c r="L31"/>
      <c r="M31"/>
      <c r="N31"/>
      <c r="O31"/>
      <c r="P31"/>
      <c r="Q31"/>
      <c r="R31"/>
      <c r="S31"/>
      <c r="T31"/>
      <c r="U31"/>
      <c r="V31" s="10">
        <f>Ratios!V$41</f>
        <v>0</v>
      </c>
      <c r="W31" s="10">
        <f>Ratios!W$41</f>
        <v>440</v>
      </c>
      <c r="X31" s="10">
        <f>Ratios!X$41</f>
        <v>436</v>
      </c>
      <c r="Y31" s="10">
        <f>Ratios!Y$41</f>
        <v>541.81000000000131</v>
      </c>
      <c r="AN31" s="25"/>
      <c r="AO31" s="25"/>
      <c r="AP31" s="25"/>
      <c r="AQ31" s="25"/>
      <c r="AR31" s="25"/>
      <c r="AS31" s="25"/>
      <c r="AT31" s="25"/>
      <c r="AU31" s="25"/>
      <c r="AV31" s="25"/>
      <c r="AW31" s="25"/>
      <c r="AX31" s="25"/>
      <c r="BY31" s="12"/>
      <c r="CA31" s="42"/>
      <c r="EX31" s="10" t="str">
        <f t="shared" si="2"/>
        <v>Adjusted Operating Surplus (Deficit)</v>
      </c>
    </row>
    <row r="32" spans="1:154" x14ac:dyDescent="0.25">
      <c r="B32"/>
      <c r="C32" s="340" t="str">
        <f>CONCATENATE("DB-",Ratios!C$42)</f>
        <v>DB-R-5e</v>
      </c>
      <c r="D32" s="189" t="s">
        <v>1791</v>
      </c>
      <c r="E32" s="162"/>
      <c r="G32"/>
      <c r="H32"/>
      <c r="I32"/>
      <c r="J32"/>
      <c r="K32"/>
      <c r="L32"/>
      <c r="M32"/>
      <c r="N32"/>
      <c r="O32"/>
      <c r="P32"/>
      <c r="Q32"/>
      <c r="R32"/>
      <c r="S32"/>
      <c r="T32"/>
      <c r="U32"/>
      <c r="V32" s="66">
        <f>Ratios!V$42</f>
        <v>0</v>
      </c>
      <c r="W32" s="66">
        <f>Ratios!W$42</f>
        <v>1.5729453401494297E-2</v>
      </c>
      <c r="X32" s="66">
        <f>Ratios!X$42</f>
        <v>1.4960710976906976E-2</v>
      </c>
      <c r="Y32" s="66">
        <f>Ratios!Y$42</f>
        <v>1.8010282757550147E-2</v>
      </c>
      <c r="AN32" s="25"/>
      <c r="AO32" s="25"/>
      <c r="AP32" s="25"/>
      <c r="AQ32" s="25"/>
      <c r="AR32" s="25"/>
      <c r="AS32" s="25"/>
      <c r="AT32" s="25"/>
      <c r="AU32" s="25"/>
      <c r="AV32" s="25"/>
      <c r="AW32" s="25"/>
      <c r="AX32" s="25"/>
      <c r="BY32" s="12"/>
      <c r="CA32" s="42"/>
      <c r="EX32" s="10" t="str">
        <f t="shared" si="2"/>
        <v>Adjusted Operating Surplus/Deficit as a % of adjusted income</v>
      </c>
    </row>
    <row r="33" spans="1:154" ht="60" x14ac:dyDescent="0.25">
      <c r="C33" s="340"/>
      <c r="D33" s="461" t="str">
        <f>Parameters!$D$95</f>
        <v>Surplus/(deficit) on continuing operations after depreciation and before exceptional items, tax, pension finance income and FRS 102 adjustments, divided by adjusted income</v>
      </c>
      <c r="E33" s="162"/>
      <c r="G33"/>
      <c r="H33"/>
      <c r="I33"/>
      <c r="J33"/>
      <c r="K33"/>
      <c r="L33"/>
      <c r="M33"/>
      <c r="N33"/>
      <c r="O33"/>
      <c r="P33"/>
      <c r="Q33"/>
      <c r="R33"/>
      <c r="S33"/>
      <c r="T33"/>
      <c r="U33"/>
      <c r="V33"/>
      <c r="W33"/>
      <c r="X33"/>
      <c r="Y33"/>
      <c r="AN33" s="25"/>
      <c r="AO33" s="25"/>
      <c r="AP33" s="25"/>
      <c r="AQ33" s="25"/>
      <c r="AR33" s="25"/>
      <c r="AS33" s="25"/>
      <c r="AT33" s="25"/>
      <c r="AU33" s="25"/>
      <c r="AV33" s="25"/>
      <c r="AW33" s="25"/>
      <c r="AX33" s="25"/>
      <c r="BY33" s="12"/>
      <c r="CA33" s="42"/>
      <c r="EX33" s="10" t="str">
        <f t="shared" si="2"/>
        <v/>
      </c>
    </row>
    <row r="34" spans="1:154" s="335" customFormat="1" x14ac:dyDescent="0.25">
      <c r="C34" s="340"/>
      <c r="D34" s="35"/>
      <c r="E34" s="162"/>
      <c r="F34" s="162"/>
      <c r="AN34" s="25"/>
      <c r="AO34" s="25"/>
      <c r="AP34" s="25"/>
      <c r="AQ34" s="25"/>
      <c r="AR34" s="25"/>
      <c r="AS34" s="25"/>
      <c r="AT34" s="25"/>
      <c r="AU34" s="25"/>
      <c r="AV34" s="25"/>
      <c r="AW34" s="25"/>
      <c r="AX34" s="25"/>
      <c r="BY34" s="12"/>
      <c r="CA34" s="42"/>
      <c r="EX34" s="10" t="str">
        <f t="shared" si="2"/>
        <v/>
      </c>
    </row>
    <row r="35" spans="1:154" s="335" customFormat="1" x14ac:dyDescent="0.25">
      <c r="C35" s="340"/>
      <c r="E35" s="162"/>
      <c r="F35" s="162"/>
      <c r="AN35" s="25"/>
      <c r="AO35" s="25"/>
      <c r="AP35" s="25"/>
      <c r="AQ35" s="25"/>
      <c r="AR35" s="25"/>
      <c r="AS35" s="25"/>
      <c r="AT35" s="25"/>
      <c r="AU35" s="25"/>
      <c r="AV35" s="25"/>
      <c r="AW35" s="25"/>
      <c r="AX35" s="25"/>
      <c r="BY35" s="12"/>
      <c r="CA35" s="42"/>
      <c r="EX35" s="10" t="str">
        <f t="shared" si="2"/>
        <v/>
      </c>
    </row>
    <row r="36" spans="1:154" s="335" customFormat="1" x14ac:dyDescent="0.25">
      <c r="C36" s="340"/>
      <c r="E36" s="162"/>
      <c r="F36" s="162"/>
      <c r="AN36" s="25"/>
      <c r="AO36" s="25"/>
      <c r="AP36" s="25"/>
      <c r="AQ36" s="25"/>
      <c r="AR36" s="25"/>
      <c r="AS36" s="25"/>
      <c r="AT36" s="25"/>
      <c r="AU36" s="25"/>
      <c r="AV36" s="25"/>
      <c r="AW36" s="25"/>
      <c r="AX36" s="25"/>
      <c r="BY36" s="12"/>
      <c r="CA36" s="42"/>
      <c r="EX36" s="10" t="str">
        <f t="shared" si="2"/>
        <v/>
      </c>
    </row>
    <row r="37" spans="1:154" s="335" customFormat="1" x14ac:dyDescent="0.25">
      <c r="C37" s="340"/>
      <c r="D37" s="35"/>
      <c r="E37" s="162"/>
      <c r="F37" s="162"/>
      <c r="AN37" s="25"/>
      <c r="AO37" s="25"/>
      <c r="AP37" s="25"/>
      <c r="AQ37" s="25"/>
      <c r="AR37" s="25"/>
      <c r="AS37" s="25"/>
      <c r="AT37" s="25"/>
      <c r="AU37" s="25"/>
      <c r="AV37" s="25"/>
      <c r="AW37" s="25"/>
      <c r="AX37" s="25"/>
      <c r="BY37" s="12"/>
      <c r="CA37" s="42"/>
      <c r="EX37" s="10" t="str">
        <f t="shared" si="2"/>
        <v/>
      </c>
    </row>
    <row r="38" spans="1:154" x14ac:dyDescent="0.25">
      <c r="B38"/>
      <c r="C38" s="340"/>
      <c r="D38"/>
      <c r="E38" s="162"/>
      <c r="G38"/>
      <c r="H38"/>
      <c r="I38"/>
      <c r="J38"/>
      <c r="K38"/>
      <c r="L38"/>
      <c r="M38"/>
      <c r="N38"/>
      <c r="O38"/>
      <c r="P38"/>
      <c r="Q38"/>
      <c r="R38"/>
      <c r="S38"/>
      <c r="T38"/>
      <c r="U38"/>
      <c r="V38"/>
      <c r="W38"/>
      <c r="X38"/>
      <c r="Y38"/>
      <c r="AN38" s="25"/>
      <c r="AO38" s="25"/>
      <c r="AP38" s="25"/>
      <c r="AQ38" s="25"/>
      <c r="AR38" s="25"/>
      <c r="AS38" s="25"/>
      <c r="AT38" s="25"/>
      <c r="AU38" s="25"/>
      <c r="AV38" s="25"/>
      <c r="AW38" s="25"/>
      <c r="AX38" s="25"/>
      <c r="BY38" s="12"/>
      <c r="CA38" s="42"/>
      <c r="EX38" s="10" t="str">
        <f t="shared" si="2"/>
        <v/>
      </c>
    </row>
    <row r="39" spans="1:154" s="335" customFormat="1" x14ac:dyDescent="0.25">
      <c r="C39" s="340"/>
      <c r="D39" s="35"/>
      <c r="E39" s="162"/>
      <c r="F39" s="162"/>
      <c r="AN39" s="25"/>
      <c r="AO39" s="25"/>
      <c r="AP39" s="25"/>
      <c r="AQ39" s="25"/>
      <c r="AR39" s="25"/>
      <c r="AS39" s="25"/>
      <c r="AT39" s="25"/>
      <c r="AU39" s="25"/>
      <c r="AV39" s="25"/>
      <c r="AW39" s="25"/>
      <c r="AX39" s="25"/>
      <c r="BY39" s="12"/>
      <c r="CA39" s="42"/>
      <c r="EX39" s="10" t="str">
        <f t="shared" si="2"/>
        <v/>
      </c>
    </row>
    <row r="40" spans="1:154" s="335" customFormat="1" x14ac:dyDescent="0.25">
      <c r="C40" s="340"/>
      <c r="E40" s="162"/>
      <c r="F40" s="162"/>
      <c r="AN40" s="25"/>
      <c r="AO40" s="25"/>
      <c r="AP40" s="25"/>
      <c r="AQ40" s="25"/>
      <c r="AR40" s="25"/>
      <c r="AS40" s="25"/>
      <c r="AT40" s="25"/>
      <c r="AU40" s="25"/>
      <c r="AV40" s="25"/>
      <c r="AW40" s="25"/>
      <c r="AX40" s="25"/>
      <c r="BY40" s="12"/>
      <c r="CA40" s="42"/>
      <c r="EX40" s="10" t="str">
        <f t="shared" si="2"/>
        <v/>
      </c>
    </row>
    <row r="41" spans="1:154" s="335" customFormat="1" x14ac:dyDescent="0.25">
      <c r="C41" s="340"/>
      <c r="E41" s="162"/>
      <c r="F41" s="162"/>
      <c r="AN41" s="25"/>
      <c r="AO41" s="25"/>
      <c r="AP41" s="25"/>
      <c r="AQ41" s="25"/>
      <c r="AR41" s="25"/>
      <c r="AS41" s="25"/>
      <c r="AT41" s="25"/>
      <c r="AU41" s="25"/>
      <c r="AV41" s="25"/>
      <c r="AW41" s="25"/>
      <c r="AX41" s="25"/>
      <c r="BY41" s="12"/>
      <c r="CA41" s="42"/>
      <c r="EX41" s="10" t="str">
        <f t="shared" si="2"/>
        <v/>
      </c>
    </row>
    <row r="42" spans="1:154" s="335" customFormat="1" x14ac:dyDescent="0.25">
      <c r="C42" s="340"/>
      <c r="D42" s="35"/>
      <c r="E42" s="162"/>
      <c r="F42" s="162"/>
      <c r="AN42" s="25"/>
      <c r="AO42" s="25"/>
      <c r="AP42" s="25"/>
      <c r="AQ42" s="25"/>
      <c r="AR42" s="25"/>
      <c r="AS42" s="25"/>
      <c r="AT42" s="25"/>
      <c r="AU42" s="25"/>
      <c r="AV42" s="25"/>
      <c r="AW42" s="25"/>
      <c r="AX42" s="25"/>
      <c r="BY42" s="12"/>
      <c r="CA42" s="42"/>
      <c r="EX42" s="10" t="str">
        <f t="shared" si="2"/>
        <v/>
      </c>
    </row>
    <row r="43" spans="1:154" s="335" customFormat="1" ht="4.3499999999999996" customHeight="1" x14ac:dyDescent="0.25">
      <c r="A43" s="157"/>
      <c r="B43" s="157"/>
      <c r="C43" s="340"/>
      <c r="D43" s="157"/>
      <c r="E43" s="180"/>
      <c r="F43" s="180"/>
      <c r="G43" s="157"/>
      <c r="H43" s="157"/>
      <c r="I43" s="175"/>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42"/>
      <c r="CA43" s="42"/>
      <c r="EX43" s="10" t="str">
        <f t="shared" si="2"/>
        <v/>
      </c>
    </row>
    <row r="44" spans="1:154" x14ac:dyDescent="0.25">
      <c r="B44" s="5" t="s">
        <v>745</v>
      </c>
      <c r="C44" s="340"/>
      <c r="D44"/>
      <c r="E44" s="138" t="s">
        <v>1776</v>
      </c>
      <c r="F44" s="138" t="s">
        <v>1777</v>
      </c>
      <c r="G44"/>
      <c r="H44"/>
      <c r="I44"/>
      <c r="J44"/>
      <c r="K44"/>
      <c r="L44"/>
      <c r="M44"/>
      <c r="N44"/>
      <c r="O44"/>
      <c r="P44"/>
      <c r="Q44"/>
      <c r="R44"/>
      <c r="S44"/>
      <c r="T44"/>
      <c r="U44"/>
      <c r="V44"/>
      <c r="W44"/>
      <c r="X44"/>
      <c r="Y44"/>
      <c r="AN44" s="25"/>
      <c r="AO44" s="25"/>
      <c r="AP44" s="25"/>
      <c r="AQ44" s="25"/>
      <c r="AR44" s="25"/>
      <c r="AS44" s="25"/>
      <c r="AT44" s="25"/>
      <c r="AU44" s="25"/>
      <c r="AV44" s="25"/>
      <c r="AW44" s="25"/>
      <c r="AX44" s="25"/>
      <c r="BY44" s="12"/>
      <c r="CA44" s="42"/>
      <c r="EX44" s="10" t="str">
        <f t="shared" si="2"/>
        <v/>
      </c>
    </row>
    <row r="45" spans="1:154" ht="15.75" x14ac:dyDescent="0.3">
      <c r="B45" s="105" t="s">
        <v>335</v>
      </c>
      <c r="C45" s="340" t="str">
        <f>CONCATENATE("DB-",Ratios!C$31)</f>
        <v>DB-R-4a</v>
      </c>
      <c r="D45" s="5" t="str">
        <f>Ratios!D$31</f>
        <v>Debt Service Cover Ratio</v>
      </c>
      <c r="E45" s="545">
        <f>Parameters!$F$96</f>
        <v>2</v>
      </c>
      <c r="F45" s="518"/>
      <c r="G45"/>
      <c r="H45"/>
      <c r="I45" s="335"/>
      <c r="J45"/>
      <c r="K45"/>
      <c r="L45"/>
      <c r="M45"/>
      <c r="N45"/>
      <c r="O45"/>
      <c r="P45"/>
      <c r="Q45"/>
      <c r="R45"/>
      <c r="S45"/>
      <c r="T45"/>
      <c r="U45"/>
      <c r="V45" s="393">
        <f>Ratios!V$31</f>
        <v>0</v>
      </c>
      <c r="W45" s="393">
        <f>Ratios!W$31</f>
        <v>8.7677419354838708</v>
      </c>
      <c r="X45" s="393">
        <f>Ratios!X$31</f>
        <v>4.3143872113676736</v>
      </c>
      <c r="Y45" s="393">
        <f>Ratios!Y$31</f>
        <v>3.7545470692717609</v>
      </c>
      <c r="AN45" s="25"/>
      <c r="AO45" s="25"/>
      <c r="AP45" s="25"/>
      <c r="AQ45" s="25"/>
      <c r="AR45" s="25"/>
      <c r="AS45" s="25"/>
      <c r="AT45" s="25"/>
      <c r="AU45" s="25"/>
      <c r="AV45" s="25"/>
      <c r="AW45" s="25"/>
      <c r="AX45" s="25"/>
      <c r="BY45" s="12"/>
      <c r="CA45" s="42"/>
      <c r="EX45" s="10" t="str">
        <f t="shared" si="2"/>
        <v>Debt Service Cover Ratio</v>
      </c>
    </row>
    <row r="46" spans="1:154" s="5" customFormat="1" ht="60" x14ac:dyDescent="0.25">
      <c r="A46" s="67"/>
      <c r="B46"/>
      <c r="C46" s="340"/>
      <c r="D46" s="461" t="str">
        <f>Parameters!$D$96</f>
        <v>Net cashflow from operating activities divided by the total of interest paid, interest element of finance leases, repayment of amount borrowed and capital element of finance leases</v>
      </c>
      <c r="Z46" s="67"/>
      <c r="AA46" s="67"/>
      <c r="AB46" s="67"/>
      <c r="AC46" s="67"/>
      <c r="AD46" s="67"/>
      <c r="AE46" s="67"/>
      <c r="AF46" s="67"/>
      <c r="AG46" s="67"/>
      <c r="AH46" s="67"/>
      <c r="AI46" s="67"/>
      <c r="AJ46" s="67"/>
      <c r="AK46" s="67"/>
      <c r="AL46" s="67"/>
      <c r="AM46" s="67"/>
      <c r="AN46" s="25"/>
      <c r="AO46" s="25"/>
      <c r="AP46" s="25"/>
      <c r="AQ46" s="25"/>
      <c r="AR46" s="25"/>
      <c r="AS46" s="25"/>
      <c r="AT46" s="25"/>
      <c r="AU46" s="25"/>
      <c r="AV46" s="25"/>
      <c r="AW46" s="25"/>
      <c r="AX46" s="25"/>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12"/>
      <c r="BZ46" s="67"/>
      <c r="CA46" s="42"/>
      <c r="EX46" s="10" t="str">
        <f t="shared" si="2"/>
        <v/>
      </c>
    </row>
    <row r="47" spans="1:154" x14ac:dyDescent="0.25">
      <c r="B47"/>
      <c r="C47" s="340"/>
      <c r="S47"/>
      <c r="T47"/>
      <c r="U47"/>
      <c r="AN47" s="25"/>
      <c r="AO47" s="25"/>
      <c r="AP47" s="25"/>
      <c r="AQ47" s="25"/>
      <c r="AR47" s="25"/>
      <c r="AS47" s="25"/>
      <c r="AT47" s="25"/>
      <c r="AU47" s="25"/>
      <c r="AV47" s="25"/>
      <c r="AW47" s="25"/>
      <c r="AX47" s="25"/>
      <c r="BY47" s="12"/>
      <c r="CA47" s="42"/>
      <c r="EX47" s="10" t="str">
        <f t="shared" si="2"/>
        <v/>
      </c>
    </row>
    <row r="48" spans="1:154" x14ac:dyDescent="0.25">
      <c r="B48"/>
      <c r="C48" s="340"/>
      <c r="D48"/>
      <c r="E48" s="162"/>
      <c r="G48"/>
      <c r="H48"/>
      <c r="I48"/>
      <c r="J48"/>
      <c r="K48"/>
      <c r="L48"/>
      <c r="M48"/>
      <c r="N48"/>
      <c r="O48"/>
      <c r="P48"/>
      <c r="Q48"/>
      <c r="R48"/>
      <c r="S48"/>
      <c r="T48"/>
      <c r="U48"/>
      <c r="V48"/>
      <c r="W48"/>
      <c r="X48"/>
      <c r="Y48"/>
      <c r="AN48" s="25"/>
      <c r="AO48" s="25"/>
      <c r="AP48" s="25"/>
      <c r="AQ48" s="25"/>
      <c r="AR48" s="25"/>
      <c r="AS48" s="25"/>
      <c r="AT48" s="25"/>
      <c r="AU48" s="25"/>
      <c r="AV48" s="25"/>
      <c r="AW48" s="25"/>
      <c r="AX48" s="25"/>
      <c r="BY48" s="12"/>
      <c r="CA48" s="42"/>
      <c r="EX48" s="10" t="str">
        <f t="shared" si="2"/>
        <v/>
      </c>
    </row>
    <row r="49" spans="2:154" x14ac:dyDescent="0.25">
      <c r="B49"/>
      <c r="C49" s="340"/>
      <c r="AN49" s="25"/>
      <c r="AO49" s="25"/>
      <c r="AP49" s="25"/>
      <c r="AQ49" s="25"/>
      <c r="AR49" s="25"/>
      <c r="AS49" s="25"/>
      <c r="AT49" s="25"/>
      <c r="AU49" s="25"/>
      <c r="AV49" s="25"/>
      <c r="AW49" s="25"/>
      <c r="AX49" s="25"/>
      <c r="BY49" s="12"/>
      <c r="CA49" s="42"/>
      <c r="EX49" s="10" t="str">
        <f t="shared" si="2"/>
        <v/>
      </c>
    </row>
    <row r="50" spans="2:154" x14ac:dyDescent="0.25">
      <c r="B50"/>
      <c r="C50" s="340"/>
      <c r="D50"/>
      <c r="E50" s="162"/>
      <c r="G50"/>
      <c r="H50"/>
      <c r="I50"/>
      <c r="J50"/>
      <c r="K50"/>
      <c r="L50"/>
      <c r="M50"/>
      <c r="N50"/>
      <c r="O50"/>
      <c r="P50"/>
      <c r="Q50"/>
      <c r="R50"/>
      <c r="S50"/>
      <c r="T50"/>
      <c r="U50"/>
      <c r="V50"/>
      <c r="W50"/>
      <c r="X50"/>
      <c r="Y50"/>
      <c r="AN50" s="25"/>
      <c r="AO50" s="25"/>
      <c r="AP50" s="25"/>
      <c r="AQ50" s="25"/>
      <c r="AR50" s="25"/>
      <c r="AS50" s="25"/>
      <c r="AT50" s="25"/>
      <c r="AU50" s="25"/>
      <c r="AV50" s="25"/>
      <c r="AW50" s="25"/>
      <c r="AX50" s="25"/>
      <c r="BY50" s="12"/>
      <c r="CA50" s="42"/>
      <c r="EX50" s="10" t="str">
        <f t="shared" si="2"/>
        <v/>
      </c>
    </row>
    <row r="51" spans="2:154" s="335" customFormat="1" x14ac:dyDescent="0.25">
      <c r="C51" s="340"/>
      <c r="E51" s="162"/>
      <c r="F51" s="162"/>
      <c r="AN51" s="25"/>
      <c r="AO51" s="25"/>
      <c r="AP51" s="25"/>
      <c r="AQ51" s="25"/>
      <c r="AR51" s="25"/>
      <c r="AS51" s="25"/>
      <c r="AT51" s="25"/>
      <c r="AU51" s="25"/>
      <c r="AV51" s="25"/>
      <c r="AW51" s="25"/>
      <c r="AX51" s="25"/>
      <c r="BY51" s="12"/>
      <c r="CA51" s="42"/>
      <c r="EX51" s="10" t="str">
        <f t="shared" si="2"/>
        <v/>
      </c>
    </row>
    <row r="52" spans="2:154" s="335" customFormat="1" x14ac:dyDescent="0.25">
      <c r="C52" s="340"/>
      <c r="E52" s="162"/>
      <c r="F52" s="162"/>
      <c r="AN52" s="25"/>
      <c r="AO52" s="25"/>
      <c r="AP52" s="25"/>
      <c r="AQ52" s="25"/>
      <c r="AR52" s="25"/>
      <c r="AS52" s="25"/>
      <c r="AT52" s="25"/>
      <c r="AU52" s="25"/>
      <c r="AV52" s="25"/>
      <c r="AW52" s="25"/>
      <c r="AX52" s="25"/>
      <c r="BY52" s="12"/>
      <c r="CA52" s="42"/>
      <c r="EX52" s="10" t="str">
        <f t="shared" si="2"/>
        <v/>
      </c>
    </row>
    <row r="53" spans="2:154" s="335" customFormat="1" x14ac:dyDescent="0.25">
      <c r="C53" s="340"/>
      <c r="E53" s="162"/>
      <c r="F53" s="162"/>
      <c r="AN53" s="25"/>
      <c r="AO53" s="25"/>
      <c r="AP53" s="25"/>
      <c r="AQ53" s="25"/>
      <c r="AR53" s="25"/>
      <c r="AS53" s="25"/>
      <c r="AT53" s="25"/>
      <c r="AU53" s="25"/>
      <c r="AV53" s="25"/>
      <c r="AW53" s="25"/>
      <c r="AX53" s="25"/>
      <c r="BY53" s="12"/>
      <c r="CA53" s="42"/>
      <c r="EX53" s="10" t="str">
        <f t="shared" si="2"/>
        <v/>
      </c>
    </row>
    <row r="54" spans="2:154" s="335" customFormat="1" x14ac:dyDescent="0.25">
      <c r="C54" s="340"/>
      <c r="E54" s="162"/>
      <c r="F54" s="162"/>
      <c r="AN54" s="25"/>
      <c r="AO54" s="25"/>
      <c r="AP54" s="25"/>
      <c r="AQ54" s="25"/>
      <c r="AR54" s="25"/>
      <c r="AS54" s="25"/>
      <c r="AT54" s="25"/>
      <c r="AU54" s="25"/>
      <c r="AV54" s="25"/>
      <c r="AW54" s="25"/>
      <c r="AX54" s="25"/>
      <c r="BY54" s="12"/>
      <c r="CA54" s="42"/>
      <c r="EX54" s="10" t="str">
        <f t="shared" si="2"/>
        <v/>
      </c>
    </row>
    <row r="55" spans="2:154" s="335" customFormat="1" x14ac:dyDescent="0.25">
      <c r="C55" s="340"/>
      <c r="E55" s="162"/>
      <c r="F55" s="162"/>
      <c r="AN55" s="25"/>
      <c r="AO55" s="25"/>
      <c r="AP55" s="25"/>
      <c r="AQ55" s="25"/>
      <c r="AR55" s="25"/>
      <c r="AS55" s="25"/>
      <c r="AT55" s="25"/>
      <c r="AU55" s="25"/>
      <c r="AV55" s="25"/>
      <c r="AW55" s="25"/>
      <c r="AX55" s="25"/>
      <c r="BY55" s="12"/>
      <c r="CA55" s="42"/>
      <c r="EX55" s="10" t="str">
        <f t="shared" si="2"/>
        <v/>
      </c>
    </row>
    <row r="56" spans="2:154" x14ac:dyDescent="0.25">
      <c r="B56"/>
      <c r="C56" s="340"/>
      <c r="F56" s="466" t="s">
        <v>1777</v>
      </c>
      <c r="AN56" s="25"/>
      <c r="AO56" s="25"/>
      <c r="AP56" s="25"/>
      <c r="AQ56" s="25"/>
      <c r="AR56" s="25"/>
      <c r="AS56" s="25"/>
      <c r="AT56" s="25"/>
      <c r="AU56" s="25"/>
      <c r="AV56" s="25"/>
      <c r="AW56" s="25"/>
      <c r="AX56" s="25"/>
      <c r="BY56" s="12"/>
      <c r="CA56" s="42"/>
      <c r="EX56" s="10" t="str">
        <f t="shared" si="2"/>
        <v/>
      </c>
    </row>
    <row r="57" spans="2:154" ht="15.75" x14ac:dyDescent="0.3">
      <c r="B57" s="105" t="s">
        <v>335</v>
      </c>
      <c r="C57" s="340" t="str">
        <f>CONCATENATE("DB-",Ratios!C$33)</f>
        <v>DB-R-4c</v>
      </c>
      <c r="D57" s="5" t="str">
        <f>Ratios!D$33</f>
        <v>Borrowing as a % of adjusted income</v>
      </c>
      <c r="E57" s="162"/>
      <c r="F57" s="517"/>
      <c r="G57"/>
      <c r="H57"/>
      <c r="I57"/>
      <c r="J57"/>
      <c r="K57"/>
      <c r="L57"/>
      <c r="M57"/>
      <c r="N57"/>
      <c r="O57"/>
      <c r="P57"/>
      <c r="Q57"/>
      <c r="R57"/>
      <c r="S57"/>
      <c r="T57"/>
      <c r="U57"/>
      <c r="V57" s="66">
        <f>Ratios!V$33</f>
        <v>0</v>
      </c>
      <c r="W57" s="66">
        <f ca="1">Ratios!W$33</f>
        <v>0.11049941014549744</v>
      </c>
      <c r="X57" s="66">
        <f ca="1">Ratios!X$33</f>
        <v>9.1720138626771433E-2</v>
      </c>
      <c r="Y57" s="66">
        <f ca="1">Ratios!Y$33</f>
        <v>7.4958357391475758E-2</v>
      </c>
      <c r="AN57" s="25"/>
      <c r="AO57" s="25"/>
      <c r="AP57" s="25"/>
      <c r="AQ57" s="25"/>
      <c r="AR57" s="25"/>
      <c r="AS57" s="25"/>
      <c r="AT57" s="25"/>
      <c r="AU57" s="25"/>
      <c r="AV57" s="25"/>
      <c r="AW57" s="25"/>
      <c r="AX57" s="25"/>
      <c r="BY57" s="12"/>
      <c r="CA57" s="42"/>
      <c r="EX57" s="10" t="str">
        <f t="shared" si="2"/>
        <v>Borrowing as a % of adjusted income</v>
      </c>
    </row>
    <row r="58" spans="2:154" ht="57.6" customHeight="1" x14ac:dyDescent="0.25">
      <c r="B58"/>
      <c r="C58" s="340"/>
      <c r="D58" s="463" t="s">
        <v>1792</v>
      </c>
      <c r="E58" s="162"/>
      <c r="G58"/>
      <c r="H58"/>
      <c r="I58"/>
      <c r="J58"/>
      <c r="K58"/>
      <c r="L58"/>
      <c r="M58"/>
      <c r="N58"/>
      <c r="O58"/>
      <c r="P58"/>
      <c r="Q58"/>
      <c r="R58"/>
      <c r="S58"/>
      <c r="T58"/>
      <c r="U58"/>
      <c r="V58"/>
      <c r="W58"/>
      <c r="X58"/>
      <c r="Y58"/>
      <c r="AN58" s="25"/>
      <c r="AO58" s="25"/>
      <c r="AP58" s="25"/>
      <c r="AQ58" s="25"/>
      <c r="AR58" s="25"/>
      <c r="AS58" s="25"/>
      <c r="AT58" s="25"/>
      <c r="AU58" s="25"/>
      <c r="AV58" s="25"/>
      <c r="AW58" s="25"/>
      <c r="AX58" s="25"/>
      <c r="BY58" s="12"/>
      <c r="CA58" s="42"/>
      <c r="EX58" s="10" t="str">
        <f t="shared" si="2"/>
        <v/>
      </c>
    </row>
    <row r="59" spans="2:154" x14ac:dyDescent="0.25">
      <c r="B59"/>
      <c r="C59" s="340"/>
      <c r="D59"/>
      <c r="E59" s="162"/>
      <c r="G59"/>
      <c r="H59"/>
      <c r="I59"/>
      <c r="J59"/>
      <c r="K59"/>
      <c r="L59"/>
      <c r="M59"/>
      <c r="N59"/>
      <c r="O59"/>
      <c r="P59"/>
      <c r="Q59"/>
      <c r="R59"/>
      <c r="S59"/>
      <c r="T59"/>
      <c r="U59"/>
      <c r="V59"/>
      <c r="W59"/>
      <c r="X59"/>
      <c r="Y59"/>
      <c r="AN59" s="25"/>
      <c r="AO59" s="25"/>
      <c r="AP59" s="25"/>
      <c r="AQ59" s="25"/>
      <c r="AR59" s="25"/>
      <c r="AS59" s="25"/>
      <c r="AT59" s="25"/>
      <c r="AU59" s="25"/>
      <c r="AV59" s="25"/>
      <c r="AW59" s="25"/>
      <c r="AX59" s="25"/>
      <c r="BY59" s="12"/>
      <c r="CA59" s="42"/>
      <c r="EX59" s="10" t="str">
        <f t="shared" si="2"/>
        <v/>
      </c>
    </row>
    <row r="60" spans="2:154" s="335" customFormat="1" x14ac:dyDescent="0.25">
      <c r="C60" s="340"/>
      <c r="E60" s="162"/>
      <c r="F60" s="162"/>
      <c r="AN60" s="25"/>
      <c r="AO60" s="25"/>
      <c r="AP60" s="25"/>
      <c r="AQ60" s="25"/>
      <c r="AR60" s="25"/>
      <c r="AS60" s="25"/>
      <c r="AT60" s="25"/>
      <c r="AU60" s="25"/>
      <c r="AV60" s="25"/>
      <c r="AW60" s="25"/>
      <c r="AX60" s="25"/>
      <c r="BY60" s="12"/>
      <c r="CA60" s="42"/>
      <c r="EX60" s="10" t="str">
        <f t="shared" si="2"/>
        <v/>
      </c>
    </row>
    <row r="61" spans="2:154" x14ac:dyDescent="0.25">
      <c r="B61"/>
      <c r="C61" s="340"/>
      <c r="D61"/>
      <c r="E61" s="162"/>
      <c r="G61"/>
      <c r="H61"/>
      <c r="I61"/>
      <c r="J61"/>
      <c r="K61"/>
      <c r="L61"/>
      <c r="M61"/>
      <c r="N61"/>
      <c r="O61"/>
      <c r="P61"/>
      <c r="Q61"/>
      <c r="R61"/>
      <c r="S61"/>
      <c r="T61"/>
      <c r="U61"/>
      <c r="V61"/>
      <c r="W61"/>
      <c r="X61"/>
      <c r="Y61"/>
      <c r="AN61" s="25"/>
      <c r="AO61" s="25"/>
      <c r="AP61" s="25"/>
      <c r="AQ61" s="25"/>
      <c r="AR61" s="25"/>
      <c r="AS61" s="25"/>
      <c r="AT61" s="25"/>
      <c r="AU61" s="25"/>
      <c r="AV61" s="25"/>
      <c r="AW61" s="25"/>
      <c r="AX61" s="25"/>
      <c r="BY61" s="12"/>
      <c r="CA61" s="42"/>
      <c r="EX61" s="10" t="str">
        <f t="shared" si="2"/>
        <v/>
      </c>
    </row>
    <row r="62" spans="2:154" x14ac:dyDescent="0.25">
      <c r="B62"/>
      <c r="C62" s="340"/>
      <c r="D62"/>
      <c r="E62" s="162"/>
      <c r="G62"/>
      <c r="H62"/>
      <c r="I62"/>
      <c r="J62"/>
      <c r="K62"/>
      <c r="L62"/>
      <c r="M62"/>
      <c r="N62"/>
      <c r="O62"/>
      <c r="P62"/>
      <c r="Q62"/>
      <c r="R62"/>
      <c r="S62"/>
      <c r="T62"/>
      <c r="U62"/>
      <c r="V62"/>
      <c r="W62"/>
      <c r="X62"/>
      <c r="Y62"/>
      <c r="AN62" s="25"/>
      <c r="AO62" s="25"/>
      <c r="AP62" s="25"/>
      <c r="AQ62" s="25"/>
      <c r="AR62" s="25"/>
      <c r="AS62" s="25"/>
      <c r="AT62" s="25"/>
      <c r="AU62" s="25"/>
      <c r="AV62" s="25"/>
      <c r="AW62" s="25"/>
      <c r="AX62" s="25"/>
      <c r="BY62" s="12"/>
      <c r="CA62" s="42"/>
      <c r="EX62" s="10" t="str">
        <f t="shared" si="2"/>
        <v/>
      </c>
    </row>
    <row r="63" spans="2:154" x14ac:dyDescent="0.25">
      <c r="B63"/>
      <c r="C63" s="340"/>
      <c r="D63"/>
      <c r="E63" s="162"/>
      <c r="G63"/>
      <c r="H63"/>
      <c r="I63"/>
      <c r="J63"/>
      <c r="K63"/>
      <c r="L63"/>
      <c r="M63"/>
      <c r="N63"/>
      <c r="O63"/>
      <c r="P63"/>
      <c r="Q63"/>
      <c r="R63"/>
      <c r="S63"/>
      <c r="T63"/>
      <c r="U63"/>
      <c r="V63"/>
      <c r="W63"/>
      <c r="X63"/>
      <c r="Y63"/>
      <c r="AN63" s="25"/>
      <c r="AO63" s="25"/>
      <c r="AP63" s="25"/>
      <c r="AQ63" s="25"/>
      <c r="AR63" s="25"/>
      <c r="AS63" s="25"/>
      <c r="AT63" s="25"/>
      <c r="AU63" s="25"/>
      <c r="AV63" s="25"/>
      <c r="AW63" s="25"/>
      <c r="AX63" s="25"/>
      <c r="BY63" s="12"/>
      <c r="CA63" s="42"/>
      <c r="EX63" s="10" t="str">
        <f t="shared" si="2"/>
        <v/>
      </c>
    </row>
    <row r="64" spans="2:154" s="335" customFormat="1" x14ac:dyDescent="0.25">
      <c r="C64" s="340"/>
      <c r="E64" s="162"/>
      <c r="F64" s="162"/>
      <c r="AN64" s="25"/>
      <c r="AO64" s="25"/>
      <c r="AP64" s="25"/>
      <c r="AQ64" s="25"/>
      <c r="AR64" s="25"/>
      <c r="AS64" s="25"/>
      <c r="AT64" s="25"/>
      <c r="AU64" s="25"/>
      <c r="AV64" s="25"/>
      <c r="AW64" s="25"/>
      <c r="AX64" s="25"/>
      <c r="BY64" s="12"/>
      <c r="CA64" s="42"/>
      <c r="EX64" s="10" t="str">
        <f t="shared" si="2"/>
        <v/>
      </c>
    </row>
    <row r="65" spans="1:154" x14ac:dyDescent="0.25">
      <c r="C65" s="340"/>
      <c r="S65"/>
      <c r="T65"/>
      <c r="U65"/>
      <c r="AN65" s="25"/>
      <c r="AO65" s="25"/>
      <c r="AP65" s="25"/>
      <c r="AQ65" s="25"/>
      <c r="AR65" s="25"/>
      <c r="AS65" s="25"/>
      <c r="AT65" s="25"/>
      <c r="AU65" s="25"/>
      <c r="AV65" s="25"/>
      <c r="AW65" s="25"/>
      <c r="AX65" s="25"/>
      <c r="BY65" s="12"/>
      <c r="CA65" s="42"/>
      <c r="EX65" s="10" t="str">
        <f t="shared" si="2"/>
        <v/>
      </c>
    </row>
    <row r="66" spans="1:154" s="335" customFormat="1" x14ac:dyDescent="0.25">
      <c r="C66" s="340"/>
      <c r="E66" s="69"/>
      <c r="F66" s="162"/>
      <c r="AN66" s="25"/>
      <c r="AO66" s="25"/>
      <c r="AP66" s="25"/>
      <c r="AQ66" s="25"/>
      <c r="AR66" s="25"/>
      <c r="AS66" s="25"/>
      <c r="AT66" s="25"/>
      <c r="AU66" s="25"/>
      <c r="AV66" s="25"/>
      <c r="AW66" s="25"/>
      <c r="AX66" s="25"/>
      <c r="BY66" s="12"/>
      <c r="CA66" s="42"/>
      <c r="EX66" s="10" t="str">
        <f t="shared" si="2"/>
        <v/>
      </c>
    </row>
    <row r="67" spans="1:154" x14ac:dyDescent="0.25">
      <c r="C67" s="340"/>
      <c r="S67"/>
      <c r="T67"/>
      <c r="U67"/>
      <c r="AN67" s="25"/>
      <c r="AO67" s="25"/>
      <c r="AP67" s="25"/>
      <c r="AQ67" s="25"/>
      <c r="AR67" s="25"/>
      <c r="AS67" s="25"/>
      <c r="AT67" s="25"/>
      <c r="AU67" s="25"/>
      <c r="AV67" s="25"/>
      <c r="AW67" s="25"/>
      <c r="AX67" s="25"/>
      <c r="BY67" s="12"/>
      <c r="CA67" s="42"/>
      <c r="EX67" s="10" t="str">
        <f t="shared" si="2"/>
        <v/>
      </c>
    </row>
    <row r="68" spans="1:154" x14ac:dyDescent="0.25">
      <c r="C68" s="340"/>
      <c r="AN68" s="25"/>
      <c r="AO68" s="25"/>
      <c r="AP68" s="25"/>
      <c r="AQ68" s="25"/>
      <c r="AR68" s="25"/>
      <c r="AS68" s="25"/>
      <c r="AT68" s="25"/>
      <c r="AU68" s="25"/>
      <c r="AV68" s="25"/>
      <c r="AW68" s="25"/>
      <c r="AX68" s="25"/>
      <c r="BY68" s="12"/>
      <c r="CA68" s="42"/>
      <c r="EX68" s="10" t="str">
        <f t="shared" si="2"/>
        <v/>
      </c>
    </row>
    <row r="69" spans="1:154" s="335" customFormat="1" ht="4.3499999999999996" customHeight="1" x14ac:dyDescent="0.25">
      <c r="A69" s="157"/>
      <c r="B69" s="157"/>
      <c r="C69" s="340"/>
      <c r="D69" s="157"/>
      <c r="E69" s="180"/>
      <c r="F69" s="180"/>
      <c r="G69" s="157"/>
      <c r="H69" s="157"/>
      <c r="I69" s="175"/>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42"/>
      <c r="CA69" s="42"/>
      <c r="EX69" s="10" t="str">
        <f t="shared" si="2"/>
        <v/>
      </c>
    </row>
    <row r="70" spans="1:154" x14ac:dyDescent="0.25">
      <c r="B70" s="5" t="s">
        <v>744</v>
      </c>
      <c r="C70" s="340"/>
      <c r="D70"/>
      <c r="E70" s="138" t="s">
        <v>1776</v>
      </c>
      <c r="F70" s="138" t="s">
        <v>1777</v>
      </c>
      <c r="G70"/>
      <c r="H70"/>
      <c r="I70"/>
      <c r="J70"/>
      <c r="K70"/>
      <c r="L70"/>
      <c r="M70"/>
      <c r="N70"/>
      <c r="O70"/>
      <c r="P70"/>
      <c r="Q70"/>
      <c r="R70"/>
      <c r="S70"/>
      <c r="T70"/>
      <c r="U70"/>
      <c r="V70"/>
      <c r="W70"/>
      <c r="X70"/>
      <c r="Y70"/>
      <c r="AN70" s="25"/>
      <c r="AO70" s="25"/>
      <c r="AP70" s="25"/>
      <c r="AQ70" s="25"/>
      <c r="AR70" s="25"/>
      <c r="AS70" s="25"/>
      <c r="AT70" s="25"/>
      <c r="AU70" s="25"/>
      <c r="AV70" s="25"/>
      <c r="AW70" s="25"/>
      <c r="AX70" s="25"/>
      <c r="BY70" s="12"/>
      <c r="CA70" s="42"/>
      <c r="EX70" s="10" t="str">
        <f t="shared" si="2"/>
        <v/>
      </c>
    </row>
    <row r="71" spans="1:154" ht="15.75" x14ac:dyDescent="0.25">
      <c r="B71" s="170" t="s">
        <v>335</v>
      </c>
      <c r="C71" s="340" t="str">
        <f>CONCATENATE("DB-",Ratios!C$20)</f>
        <v>DB-R-2a</v>
      </c>
      <c r="D71" s="5" t="str">
        <f>Ratios!D$20</f>
        <v>Adjusted cash days in hand</v>
      </c>
      <c r="E71" s="459">
        <f>Parameters!$F$97</f>
        <v>25</v>
      </c>
      <c r="F71" s="519"/>
      <c r="I71" s="335"/>
      <c r="S71"/>
      <c r="T71"/>
      <c r="U71"/>
      <c r="V71" s="393">
        <f>Ratios!V$20</f>
        <v>0</v>
      </c>
      <c r="W71" s="393">
        <f>Ratios!W$20</f>
        <v>146.54175959393984</v>
      </c>
      <c r="X71" s="393">
        <f>Ratios!X$20</f>
        <v>123.04741442632584</v>
      </c>
      <c r="Y71" s="393">
        <f>Ratios!Y$20</f>
        <v>130.53428966542288</v>
      </c>
      <c r="AN71" s="25"/>
      <c r="AO71" s="25"/>
      <c r="AP71" s="25"/>
      <c r="AQ71" s="25"/>
      <c r="AR71" s="25"/>
      <c r="AS71" s="25"/>
      <c r="AT71" s="25"/>
      <c r="AU71" s="25"/>
      <c r="AV71" s="25"/>
      <c r="AW71" s="25"/>
      <c r="AX71" s="25"/>
      <c r="BY71" s="12"/>
      <c r="CA71" s="42"/>
      <c r="EX71" s="10" t="str">
        <f t="shared" si="2"/>
        <v>Adjusted cash days in hand</v>
      </c>
    </row>
    <row r="72" spans="1:154" ht="90" x14ac:dyDescent="0.25">
      <c r="B72" s="335"/>
      <c r="C72" s="340"/>
      <c r="D72" s="461" t="str">
        <f>Parameters!$D$97</f>
        <v>Cash and investments divided by annual operating costs and interest charges, then multiplied by 365 days.
Effectively a measure of how many days it would take to exhaust cash reserves if all income were to stop.</v>
      </c>
      <c r="E72" s="335"/>
      <c r="F72" s="335"/>
      <c r="G72" s="335"/>
      <c r="H72" s="335"/>
      <c r="I72" s="335"/>
      <c r="J72" s="335"/>
      <c r="K72" s="335"/>
      <c r="L72" s="335"/>
      <c r="M72" s="335"/>
      <c r="N72" s="335"/>
      <c r="O72" s="335"/>
      <c r="P72" s="335"/>
      <c r="Q72" s="335"/>
      <c r="R72" s="335"/>
      <c r="S72" s="335"/>
      <c r="T72" s="335"/>
      <c r="U72" s="335"/>
      <c r="V72" s="335"/>
      <c r="W72" s="335"/>
      <c r="X72" s="335"/>
      <c r="Y72" s="335"/>
      <c r="AN72" s="25"/>
      <c r="AO72" s="25"/>
      <c r="AP72" s="25"/>
      <c r="AQ72" s="25"/>
      <c r="AR72" s="25"/>
      <c r="AS72" s="25"/>
      <c r="AT72" s="25"/>
      <c r="AU72" s="25"/>
      <c r="AV72" s="25"/>
      <c r="AW72" s="25"/>
      <c r="AX72" s="25"/>
      <c r="BY72" s="12"/>
      <c r="CA72" s="42"/>
      <c r="EX72" s="10" t="str">
        <f t="shared" si="2"/>
        <v/>
      </c>
    </row>
    <row r="73" spans="1:154" x14ac:dyDescent="0.25">
      <c r="C73" s="340"/>
      <c r="AN73" s="25"/>
      <c r="AO73" s="25"/>
      <c r="AP73" s="25"/>
      <c r="AQ73" s="25"/>
      <c r="AR73" s="25"/>
      <c r="AS73" s="25"/>
      <c r="AT73" s="25"/>
      <c r="AU73" s="25"/>
      <c r="AV73" s="25"/>
      <c r="AW73" s="25"/>
      <c r="AX73" s="25"/>
      <c r="BY73" s="12"/>
      <c r="CA73" s="42"/>
      <c r="EX73" s="10" t="str">
        <f t="shared" si="2"/>
        <v/>
      </c>
    </row>
    <row r="74" spans="1:154" x14ac:dyDescent="0.25">
      <c r="C74" s="340"/>
      <c r="AN74" s="25"/>
      <c r="AO74" s="25"/>
      <c r="AP74" s="25"/>
      <c r="AQ74" s="25"/>
      <c r="AR74" s="25"/>
      <c r="AS74" s="25"/>
      <c r="AT74" s="25"/>
      <c r="AU74" s="25"/>
      <c r="AV74" s="25"/>
      <c r="AW74" s="25"/>
      <c r="AX74" s="25"/>
      <c r="BY74" s="12"/>
      <c r="CA74" s="42"/>
      <c r="EX74" s="10" t="str">
        <f t="shared" si="2"/>
        <v/>
      </c>
    </row>
    <row r="75" spans="1:154" x14ac:dyDescent="0.25">
      <c r="C75" s="340"/>
      <c r="E75" s="162"/>
      <c r="AN75" s="25"/>
      <c r="AO75" s="25"/>
      <c r="AP75" s="25"/>
      <c r="AQ75" s="25"/>
      <c r="AR75" s="25"/>
      <c r="AS75" s="25"/>
      <c r="AT75" s="25"/>
      <c r="AU75" s="25"/>
      <c r="AV75" s="25"/>
      <c r="AW75" s="25"/>
      <c r="AX75" s="25"/>
      <c r="BY75" s="12"/>
      <c r="CA75" s="42"/>
      <c r="EX75" s="10" t="str">
        <f t="shared" si="2"/>
        <v/>
      </c>
    </row>
    <row r="76" spans="1:154" x14ac:dyDescent="0.25">
      <c r="C76" s="340"/>
      <c r="E76" s="162"/>
      <c r="AN76" s="25"/>
      <c r="AO76" s="25"/>
      <c r="AP76" s="25"/>
      <c r="AQ76" s="25"/>
      <c r="AR76" s="25"/>
      <c r="AS76" s="25"/>
      <c r="AT76" s="25"/>
      <c r="AU76" s="25"/>
      <c r="AV76" s="25"/>
      <c r="AW76" s="25"/>
      <c r="AX76" s="25"/>
      <c r="BY76" s="12"/>
      <c r="CA76" s="42"/>
      <c r="EX76" s="10" t="str">
        <f t="shared" si="2"/>
        <v/>
      </c>
    </row>
    <row r="77" spans="1:154" x14ac:dyDescent="0.25">
      <c r="C77" s="340"/>
      <c r="E77" s="162"/>
      <c r="AN77" s="25"/>
      <c r="AO77" s="25"/>
      <c r="AP77" s="25"/>
      <c r="AQ77" s="25"/>
      <c r="AR77" s="25"/>
      <c r="AS77" s="25"/>
      <c r="AT77" s="25"/>
      <c r="AU77" s="25"/>
      <c r="AV77" s="25"/>
      <c r="AW77" s="25"/>
      <c r="AX77" s="25"/>
      <c r="BY77" s="12"/>
      <c r="CA77" s="42"/>
      <c r="EX77" s="10" t="str">
        <f t="shared" si="2"/>
        <v/>
      </c>
    </row>
    <row r="78" spans="1:154" s="335" customFormat="1" x14ac:dyDescent="0.25">
      <c r="C78" s="340"/>
      <c r="E78" s="162"/>
      <c r="F78" s="162"/>
      <c r="AN78" s="25"/>
      <c r="AO78" s="25"/>
      <c r="AP78" s="25"/>
      <c r="AQ78" s="25"/>
      <c r="AR78" s="25"/>
      <c r="AS78" s="25"/>
      <c r="AT78" s="25"/>
      <c r="AU78" s="25"/>
      <c r="AV78" s="25"/>
      <c r="AW78" s="25"/>
      <c r="AX78" s="25"/>
      <c r="BY78" s="12"/>
      <c r="CA78" s="42"/>
      <c r="EX78" s="10" t="str">
        <f t="shared" si="2"/>
        <v/>
      </c>
    </row>
    <row r="79" spans="1:154" s="335" customFormat="1" x14ac:dyDescent="0.25">
      <c r="C79" s="340"/>
      <c r="E79" s="69"/>
      <c r="F79" s="162"/>
      <c r="AN79" s="25"/>
      <c r="AO79" s="25"/>
      <c r="AP79" s="25"/>
      <c r="AQ79" s="25"/>
      <c r="AR79" s="25"/>
      <c r="AS79" s="25"/>
      <c r="AT79" s="25"/>
      <c r="AU79" s="25"/>
      <c r="AV79" s="25"/>
      <c r="AW79" s="25"/>
      <c r="AX79" s="25"/>
      <c r="BY79" s="12"/>
      <c r="CA79" s="42"/>
      <c r="EX79" s="10" t="str">
        <f t="shared" si="2"/>
        <v/>
      </c>
    </row>
    <row r="80" spans="1:154" x14ac:dyDescent="0.25">
      <c r="C80" s="340"/>
      <c r="E80" s="162"/>
      <c r="AN80" s="25"/>
      <c r="AO80" s="25"/>
      <c r="AP80" s="25"/>
      <c r="AQ80" s="25"/>
      <c r="AR80" s="25"/>
      <c r="AS80" s="25"/>
      <c r="AT80" s="25"/>
      <c r="AU80" s="25"/>
      <c r="AV80" s="25"/>
      <c r="AW80" s="25"/>
      <c r="AX80" s="25"/>
      <c r="BY80" s="12"/>
      <c r="CA80" s="42"/>
      <c r="EX80" s="10" t="str">
        <f t="shared" si="2"/>
        <v/>
      </c>
    </row>
    <row r="81" spans="1:154" x14ac:dyDescent="0.25">
      <c r="C81" s="340"/>
      <c r="AN81" s="25"/>
      <c r="AO81" s="25"/>
      <c r="AP81" s="25"/>
      <c r="AQ81" s="25"/>
      <c r="AR81" s="25"/>
      <c r="AS81" s="25"/>
      <c r="AT81" s="25"/>
      <c r="AU81" s="25"/>
      <c r="AV81" s="25"/>
      <c r="AW81" s="25"/>
      <c r="AX81" s="25"/>
      <c r="BY81" s="12"/>
      <c r="CA81" s="42"/>
      <c r="EX81" s="10" t="str">
        <f t="shared" si="2"/>
        <v/>
      </c>
    </row>
    <row r="82" spans="1:154" x14ac:dyDescent="0.25">
      <c r="C82" s="340"/>
      <c r="E82" s="138" t="s">
        <v>1776</v>
      </c>
      <c r="F82" s="138" t="s">
        <v>1777</v>
      </c>
      <c r="AN82" s="25"/>
      <c r="AO82" s="25"/>
      <c r="AP82" s="25"/>
      <c r="AQ82" s="25"/>
      <c r="AR82" s="25"/>
      <c r="AS82" s="25"/>
      <c r="AT82" s="25"/>
      <c r="AU82" s="25"/>
      <c r="AV82" s="25"/>
      <c r="AW82" s="25"/>
      <c r="AX82" s="25"/>
      <c r="BY82" s="12"/>
      <c r="CA82" s="42"/>
      <c r="EX82" s="10" t="str">
        <f t="shared" si="2"/>
        <v/>
      </c>
    </row>
    <row r="83" spans="1:154" ht="15.75" x14ac:dyDescent="0.3">
      <c r="B83" s="105" t="s">
        <v>335</v>
      </c>
      <c r="C83" s="340" t="str">
        <f>CONCATENATE("DB-",Ratios!C$23)</f>
        <v>DB-R-2c</v>
      </c>
      <c r="D83" s="5" t="str">
        <f>Ratios!D$23</f>
        <v>Adjusted current ratio</v>
      </c>
      <c r="E83" s="545">
        <f>Parameters!$F$98</f>
        <v>1.4</v>
      </c>
      <c r="F83" s="518"/>
      <c r="V83" s="393">
        <f>Ratios!V$23</f>
        <v>0</v>
      </c>
      <c r="W83" s="393">
        <f ca="1">Ratios!W$23</f>
        <v>5.2057808455565144</v>
      </c>
      <c r="X83" s="393">
        <f ca="1">Ratios!X$23</f>
        <v>4.4522345223452238</v>
      </c>
      <c r="Y83" s="393">
        <f ca="1">Ratios!Y$23</f>
        <v>5.7139128305582769</v>
      </c>
      <c r="AN83" s="25"/>
      <c r="AO83" s="25"/>
      <c r="AP83" s="25"/>
      <c r="AQ83" s="25"/>
      <c r="AR83" s="25"/>
      <c r="AS83" s="25"/>
      <c r="AT83" s="25"/>
      <c r="AU83" s="25"/>
      <c r="AV83" s="25"/>
      <c r="AW83" s="25"/>
      <c r="AX83" s="25"/>
      <c r="BY83" s="12"/>
      <c r="BZ83" s="335"/>
      <c r="CA83" s="42"/>
      <c r="EX83" s="10" t="str">
        <f t="shared" si="2"/>
        <v>Adjusted current ratio</v>
      </c>
    </row>
    <row r="84" spans="1:154" ht="75" x14ac:dyDescent="0.25">
      <c r="C84" s="340"/>
      <c r="D84" s="461" t="str">
        <f>Parameters!$D$98</f>
        <v xml:space="preserve">Current assets (excluding restricted cash from disposal of fixed assets held for future reinvestment and assets held for resale) divided by current liabilities (excluding deferred capital grants and holiday pay accruals) </v>
      </c>
      <c r="E84" s="162"/>
      <c r="AN84" s="25"/>
      <c r="AO84" s="25"/>
      <c r="AP84" s="25"/>
      <c r="AQ84" s="25"/>
      <c r="AR84" s="25"/>
      <c r="AS84" s="25"/>
      <c r="AT84" s="25"/>
      <c r="AU84" s="25"/>
      <c r="AV84" s="25"/>
      <c r="AW84" s="25"/>
      <c r="AX84" s="25"/>
      <c r="BY84" s="12"/>
      <c r="BZ84" s="335"/>
      <c r="CA84" s="42"/>
      <c r="EX84" s="10" t="str">
        <f t="shared" ref="EX84:EX147" si="3">IF($C84="","",$D84)</f>
        <v/>
      </c>
    </row>
    <row r="85" spans="1:154" x14ac:dyDescent="0.25">
      <c r="C85" s="340"/>
      <c r="BY85" s="12"/>
      <c r="BZ85" s="335"/>
      <c r="CA85" s="42"/>
      <c r="EX85" s="10" t="str">
        <f t="shared" si="3"/>
        <v/>
      </c>
    </row>
    <row r="86" spans="1:154" x14ac:dyDescent="0.25">
      <c r="C86" s="340"/>
      <c r="BY86" s="12"/>
      <c r="BZ86" s="335"/>
      <c r="CA86" s="42"/>
      <c r="EX86" s="10" t="str">
        <f t="shared" si="3"/>
        <v/>
      </c>
    </row>
    <row r="87" spans="1:154" x14ac:dyDescent="0.25">
      <c r="C87" s="340"/>
      <c r="BY87" s="12"/>
      <c r="BZ87" s="335"/>
      <c r="CA87" s="42"/>
      <c r="EX87" s="10" t="str">
        <f t="shared" si="3"/>
        <v/>
      </c>
    </row>
    <row r="88" spans="1:154" s="335" customFormat="1" x14ac:dyDescent="0.25">
      <c r="C88" s="340"/>
      <c r="E88" s="69"/>
      <c r="F88" s="162"/>
      <c r="BY88" s="12"/>
      <c r="CA88" s="42"/>
      <c r="EX88" s="10" t="str">
        <f t="shared" si="3"/>
        <v/>
      </c>
    </row>
    <row r="89" spans="1:154" s="335" customFormat="1" x14ac:dyDescent="0.25">
      <c r="C89" s="340"/>
      <c r="E89" s="69"/>
      <c r="F89" s="162"/>
      <c r="BY89" s="12"/>
      <c r="CA89" s="42"/>
      <c r="EX89" s="10" t="str">
        <f t="shared" si="3"/>
        <v/>
      </c>
    </row>
    <row r="90" spans="1:154" s="335" customFormat="1" x14ac:dyDescent="0.25">
      <c r="C90" s="340"/>
      <c r="E90" s="69"/>
      <c r="F90" s="162"/>
      <c r="BY90" s="12"/>
      <c r="CA90" s="42"/>
      <c r="EX90" s="10" t="str">
        <f t="shared" si="3"/>
        <v/>
      </c>
    </row>
    <row r="91" spans="1:154" s="335" customFormat="1" x14ac:dyDescent="0.25">
      <c r="E91" s="69"/>
      <c r="F91" s="162"/>
      <c r="BY91" s="12"/>
      <c r="CA91" s="42"/>
      <c r="EX91" s="10" t="str">
        <f t="shared" si="3"/>
        <v/>
      </c>
    </row>
    <row r="92" spans="1:154" s="335" customFormat="1" x14ac:dyDescent="0.25">
      <c r="E92" s="69"/>
      <c r="F92" s="162"/>
      <c r="BY92" s="12"/>
      <c r="CA92" s="42"/>
      <c r="EX92" s="10" t="str">
        <f t="shared" si="3"/>
        <v/>
      </c>
    </row>
    <row r="93" spans="1:154" s="279" customFormat="1" x14ac:dyDescent="0.25">
      <c r="E93" s="69"/>
      <c r="F93" s="162"/>
      <c r="BY93" s="12"/>
      <c r="BZ93" s="335"/>
      <c r="CA93" s="42"/>
      <c r="EX93" s="10" t="str">
        <f t="shared" si="3"/>
        <v/>
      </c>
    </row>
    <row r="94" spans="1:154" s="279" customFormat="1" x14ac:dyDescent="0.25">
      <c r="D94" s="335"/>
      <c r="E94" s="69"/>
      <c r="F94" s="162"/>
      <c r="BY94" s="12"/>
      <c r="BZ94" s="335"/>
      <c r="CA94" s="42"/>
      <c r="EX94" s="10" t="str">
        <f t="shared" si="3"/>
        <v/>
      </c>
    </row>
    <row r="95" spans="1:154" x14ac:dyDescent="0.25">
      <c r="A95" s="254"/>
      <c r="B95" s="254"/>
      <c r="C95" s="254"/>
      <c r="D95" s="254" t="s">
        <v>738</v>
      </c>
      <c r="E95" s="460"/>
      <c r="F95" s="460"/>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254"/>
      <c r="BL95" s="254"/>
      <c r="BM95" s="254"/>
      <c r="BN95" s="254"/>
      <c r="BO95" s="254"/>
      <c r="BP95" s="254"/>
      <c r="BQ95" s="254"/>
      <c r="BR95" s="254"/>
      <c r="BS95" s="254"/>
      <c r="BT95" s="254"/>
      <c r="BU95" s="254"/>
      <c r="BV95" s="254"/>
      <c r="BW95" s="254"/>
      <c r="BX95" s="254"/>
      <c r="BY95" s="12"/>
      <c r="BZ95" s="335"/>
      <c r="CA95" s="42"/>
      <c r="EX95" s="10" t="str">
        <f t="shared" si="3"/>
        <v/>
      </c>
    </row>
    <row r="96" spans="1:154" x14ac:dyDescent="0.25">
      <c r="B96" s="5" t="s">
        <v>646</v>
      </c>
      <c r="E96" s="162"/>
      <c r="V96"/>
      <c r="W96"/>
      <c r="X96"/>
      <c r="Y96"/>
      <c r="AP96" s="25"/>
      <c r="AQ96" s="25"/>
      <c r="AR96" s="25"/>
      <c r="AS96" s="25"/>
      <c r="AT96" s="25"/>
      <c r="AU96" s="25"/>
      <c r="AV96" s="25"/>
      <c r="AW96" s="25"/>
      <c r="AX96" s="25"/>
      <c r="BY96" s="12"/>
      <c r="BZ96" s="335"/>
      <c r="CA96" s="42"/>
      <c r="EX96" s="10" t="str">
        <f t="shared" si="3"/>
        <v/>
      </c>
    </row>
    <row r="97" spans="2:154" x14ac:dyDescent="0.25">
      <c r="C97" s="340" t="str">
        <f>CONCATENATE("DB-",'Fin Stat'!C$23)</f>
        <v>DB-FS-IE-1</v>
      </c>
      <c r="D97" s="67" t="s">
        <v>2501</v>
      </c>
      <c r="E97" s="162"/>
      <c r="I97" s="335"/>
      <c r="V97" s="10">
        <f>'Fin Stat'!V$23</f>
        <v>0</v>
      </c>
      <c r="W97" s="10">
        <f>'Fin Stat'!W$23</f>
        <v>27973</v>
      </c>
      <c r="X97" s="10">
        <f>'Fin Stat'!X$23</f>
        <v>29133</v>
      </c>
      <c r="Y97" s="10">
        <f>'Fin Stat'!Y$23</f>
        <v>30071.37</v>
      </c>
      <c r="AP97" s="25"/>
      <c r="AQ97" s="25"/>
      <c r="AR97" s="25"/>
      <c r="AS97" s="25"/>
      <c r="AT97" s="25"/>
      <c r="AU97" s="25"/>
      <c r="AV97" s="25"/>
      <c r="AW97" s="25"/>
      <c r="AX97" s="25"/>
      <c r="BY97" s="12"/>
      <c r="BZ97" s="335"/>
      <c r="CA97" s="42"/>
      <c r="EX97" s="10" t="str">
        <f t="shared" si="3"/>
        <v>Total income</v>
      </c>
    </row>
    <row r="98" spans="2:154" x14ac:dyDescent="0.25">
      <c r="C98" s="340" t="str">
        <f>CONCATENATE("DB-",'Fin Stat'!C$29)</f>
        <v>DB-FS-IE-2</v>
      </c>
      <c r="D98" s="67" t="s">
        <v>647</v>
      </c>
      <c r="E98" s="162"/>
      <c r="I98" s="335"/>
      <c r="V98" s="10">
        <f>'Fin Stat'!V$29</f>
        <v>0</v>
      </c>
      <c r="W98" s="10">
        <f>'Fin Stat'!W$29</f>
        <v>25941</v>
      </c>
      <c r="X98" s="10">
        <f>'Fin Stat'!X$29</f>
        <v>27083</v>
      </c>
      <c r="Y98" s="10">
        <f>'Fin Stat'!Y$29</f>
        <v>27897.559999999998</v>
      </c>
      <c r="AP98" s="25"/>
      <c r="AQ98" s="25"/>
      <c r="AR98" s="25"/>
      <c r="AS98" s="25"/>
      <c r="AT98" s="25"/>
      <c r="AU98" s="25"/>
      <c r="AV98" s="25"/>
      <c r="AW98" s="25"/>
      <c r="AX98" s="25"/>
      <c r="BY98" s="12"/>
      <c r="BZ98" s="335"/>
      <c r="CA98" s="42"/>
      <c r="EX98" s="10" t="str">
        <f t="shared" si="3"/>
        <v>Total expenditure</v>
      </c>
    </row>
    <row r="99" spans="2:154" x14ac:dyDescent="0.25">
      <c r="C99" s="340"/>
      <c r="D99" s="67" t="s">
        <v>648</v>
      </c>
      <c r="E99" s="162"/>
      <c r="V99" s="10">
        <f>SUM(V97:V98)</f>
        <v>0</v>
      </c>
      <c r="W99" s="10">
        <f>SUM(W97:W98)</f>
        <v>53914</v>
      </c>
      <c r="X99" s="10">
        <f t="shared" ref="X99:Y99" si="4">SUM(X97:X98)</f>
        <v>56216</v>
      </c>
      <c r="Y99" s="10">
        <f t="shared" si="4"/>
        <v>57968.929999999993</v>
      </c>
      <c r="AP99" s="25"/>
      <c r="AQ99" s="25"/>
      <c r="AR99" s="25"/>
      <c r="AS99" s="25"/>
      <c r="AT99" s="25"/>
      <c r="AU99" s="25"/>
      <c r="AV99" s="25"/>
      <c r="AW99" s="25"/>
      <c r="AX99" s="25"/>
      <c r="BY99" s="12"/>
      <c r="BZ99" s="335"/>
      <c r="CA99" s="42"/>
      <c r="EX99" s="10" t="str">
        <f t="shared" si="3"/>
        <v/>
      </c>
    </row>
    <row r="100" spans="2:154" ht="3" customHeight="1" x14ac:dyDescent="0.25">
      <c r="C100" s="340"/>
      <c r="AP100" s="25"/>
      <c r="AQ100" s="25"/>
      <c r="AR100" s="25"/>
      <c r="AS100" s="25"/>
      <c r="AT100" s="25"/>
      <c r="AU100" s="25"/>
      <c r="AV100" s="25"/>
      <c r="AW100" s="25"/>
      <c r="AX100" s="25"/>
      <c r="BY100" s="12"/>
      <c r="BZ100" s="335"/>
      <c r="CA100" s="42"/>
      <c r="EX100" s="10" t="str">
        <f t="shared" si="3"/>
        <v/>
      </c>
    </row>
    <row r="101" spans="2:154" x14ac:dyDescent="0.25">
      <c r="C101" s="343" t="str">
        <f>CONCATENATE("DB-",'Fin Stat'!C$33)</f>
        <v>DB-FS-IE-4a</v>
      </c>
      <c r="D101" s="93" t="s">
        <v>649</v>
      </c>
      <c r="I101" s="335"/>
      <c r="V101" s="10">
        <f>'Fin Stat'!V$33*V$9</f>
        <v>0</v>
      </c>
      <c r="W101" s="10">
        <f>'Fin Stat'!W$33*W$9</f>
        <v>469</v>
      </c>
      <c r="X101" s="10">
        <f>'Fin Stat'!X$33*X$9</f>
        <v>514</v>
      </c>
      <c r="Y101" s="10">
        <f>'Fin Stat'!Y$33*Y$9</f>
        <v>571</v>
      </c>
      <c r="AP101" s="25"/>
      <c r="AQ101" s="25"/>
      <c r="AR101" s="25"/>
      <c r="AS101" s="25"/>
      <c r="AT101" s="25"/>
      <c r="AU101" s="25"/>
      <c r="AV101" s="25"/>
      <c r="AW101" s="25"/>
      <c r="AX101" s="25"/>
      <c r="BY101" s="12"/>
      <c r="BZ101" s="335"/>
      <c r="CA101" s="42"/>
      <c r="EX101" s="10" t="str">
        <f t="shared" si="3"/>
        <v>Release of capital grants</v>
      </c>
    </row>
    <row r="102" spans="2:154" x14ac:dyDescent="0.25">
      <c r="C102" s="343" t="str">
        <f>CONCATENATE("DB-",'Fin Stat'!C$21)</f>
        <v>DB-FS-IE-1i</v>
      </c>
      <c r="D102" s="93" t="s">
        <v>650</v>
      </c>
      <c r="I102" s="335"/>
      <c r="V102" s="10">
        <f>'Fin Stat'!V$21*V$9</f>
        <v>0</v>
      </c>
      <c r="W102" s="10">
        <f>'Fin Stat'!W$21*W$9</f>
        <v>0</v>
      </c>
      <c r="X102" s="10">
        <f>'Fin Stat'!X$21*X$9</f>
        <v>0</v>
      </c>
      <c r="Y102" s="10">
        <f>'Fin Stat'!Y$21*Y$9</f>
        <v>0</v>
      </c>
      <c r="AP102" s="25"/>
      <c r="AQ102" s="25"/>
      <c r="AR102" s="25"/>
      <c r="AS102" s="25"/>
      <c r="AT102" s="25"/>
      <c r="AU102" s="25"/>
      <c r="AV102" s="25"/>
      <c r="AW102" s="25"/>
      <c r="AX102" s="25"/>
      <c r="BY102" s="12"/>
      <c r="BZ102" s="335"/>
      <c r="CA102" s="42"/>
      <c r="EX102" s="10" t="str">
        <f t="shared" si="3"/>
        <v>Emergency Funding &amp; RF</v>
      </c>
    </row>
    <row r="103" spans="2:154" x14ac:dyDescent="0.25">
      <c r="C103" s="343" t="str">
        <f>CONCATENATE("DB-",'Fin Stat'!C$35)</f>
        <v>DB-FS-IE-4</v>
      </c>
      <c r="D103" s="67" t="s">
        <v>651</v>
      </c>
      <c r="I103" s="335"/>
      <c r="V103" s="10">
        <f>'Fin Stat'!V$35</f>
        <v>0</v>
      </c>
      <c r="W103" s="10">
        <f>'Fin Stat'!W$35</f>
        <v>2501</v>
      </c>
      <c r="X103" s="10">
        <f>'Fin Stat'!X$35</f>
        <v>2564</v>
      </c>
      <c r="Y103" s="10">
        <f>'Fin Stat'!Y$35</f>
        <v>2744.8100000000013</v>
      </c>
      <c r="AP103" s="25"/>
      <c r="AQ103" s="25"/>
      <c r="AR103" s="25"/>
      <c r="AS103" s="25"/>
      <c r="AT103" s="25"/>
      <c r="AU103" s="25"/>
      <c r="AV103" s="25"/>
      <c r="AW103" s="25"/>
      <c r="AX103" s="25"/>
      <c r="BY103" s="12"/>
      <c r="BZ103" s="335"/>
      <c r="CA103" s="42"/>
      <c r="EX103" s="10" t="str">
        <f t="shared" si="3"/>
        <v>Surplus/deficit before ITDA</v>
      </c>
    </row>
    <row r="104" spans="2:154" ht="3" customHeight="1" x14ac:dyDescent="0.25">
      <c r="C104" s="343"/>
      <c r="I104" s="335"/>
      <c r="AP104" s="25"/>
      <c r="AQ104" s="25"/>
      <c r="AR104" s="25"/>
      <c r="AS104" s="25"/>
      <c r="AT104" s="25"/>
      <c r="AU104" s="25"/>
      <c r="AV104" s="25"/>
      <c r="AW104" s="25"/>
      <c r="AX104" s="25"/>
      <c r="BY104" s="12"/>
      <c r="BZ104" s="335"/>
      <c r="CA104" s="42"/>
      <c r="EX104" s="10" t="str">
        <f t="shared" si="3"/>
        <v/>
      </c>
    </row>
    <row r="105" spans="2:154" x14ac:dyDescent="0.25">
      <c r="C105" s="343" t="str">
        <f>CONCATENATE("DB-",'Fin Stat'!C$44)</f>
        <v>DB-FS-IE-5a</v>
      </c>
      <c r="D105" s="67" t="s">
        <v>652</v>
      </c>
      <c r="I105" s="335"/>
      <c r="V105" s="10">
        <f>'Fin Stat'!V$44</f>
        <v>0</v>
      </c>
      <c r="W105" s="10">
        <f>'Fin Stat'!W$44</f>
        <v>2061</v>
      </c>
      <c r="X105" s="10">
        <f>'Fin Stat'!X$44</f>
        <v>2128</v>
      </c>
      <c r="Y105" s="10">
        <f>'Fin Stat'!Y$44</f>
        <v>2203</v>
      </c>
      <c r="AP105" s="25"/>
      <c r="AQ105" s="25"/>
      <c r="AR105" s="25"/>
      <c r="AS105" s="25"/>
      <c r="AT105" s="25"/>
      <c r="AU105" s="25"/>
      <c r="AV105" s="25"/>
      <c r="AW105" s="25"/>
      <c r="AX105" s="25"/>
      <c r="BY105" s="12"/>
      <c r="BZ105" s="335"/>
      <c r="CA105" s="42"/>
      <c r="EX105" s="10" t="str">
        <f t="shared" si="3"/>
        <v>Total ITDA</v>
      </c>
    </row>
    <row r="106" spans="2:154" x14ac:dyDescent="0.25">
      <c r="C106" s="343" t="str">
        <f>CONCATENATE("DB-",'Fin Stat'!C$46)</f>
        <v>DB-FS-IE-5</v>
      </c>
      <c r="D106" s="67" t="s">
        <v>653</v>
      </c>
      <c r="I106" s="335"/>
      <c r="V106" s="10">
        <f>'Fin Stat'!V$46</f>
        <v>0</v>
      </c>
      <c r="W106" s="10">
        <f>'Fin Stat'!W$46</f>
        <v>440</v>
      </c>
      <c r="X106" s="10">
        <f>'Fin Stat'!X$46</f>
        <v>436</v>
      </c>
      <c r="Y106" s="10">
        <f>'Fin Stat'!Y$46</f>
        <v>541.81000000000131</v>
      </c>
      <c r="AP106" s="25"/>
      <c r="AQ106" s="25"/>
      <c r="AR106" s="25"/>
      <c r="AS106" s="25"/>
      <c r="AT106" s="25"/>
      <c r="AU106" s="25"/>
      <c r="AV106" s="25"/>
      <c r="AW106" s="25"/>
      <c r="AX106" s="25"/>
      <c r="BY106" s="12"/>
      <c r="BZ106" s="335"/>
      <c r="CA106" s="42"/>
      <c r="EX106" s="10" t="str">
        <f t="shared" si="3"/>
        <v>Surplus/(deficit) after ITDA</v>
      </c>
    </row>
    <row r="107" spans="2:154" ht="3" customHeight="1" x14ac:dyDescent="0.25">
      <c r="C107" s="343"/>
      <c r="AP107" s="25"/>
      <c r="AQ107" s="25"/>
      <c r="AR107" s="25"/>
      <c r="AS107" s="25"/>
      <c r="AT107" s="25"/>
      <c r="AU107" s="25"/>
      <c r="AV107" s="25"/>
      <c r="AW107" s="25"/>
      <c r="AX107" s="25"/>
      <c r="BY107" s="12"/>
      <c r="BZ107" s="335"/>
      <c r="CA107" s="42"/>
      <c r="EX107" s="10" t="str">
        <f t="shared" si="3"/>
        <v/>
      </c>
    </row>
    <row r="108" spans="2:154" x14ac:dyDescent="0.25">
      <c r="B108" s="5" t="s">
        <v>654</v>
      </c>
      <c r="C108" s="343"/>
      <c r="D108" s="252" t="str" cm="1">
        <f t="array" aca="1" ref="D108" ca="1">HYPERLINK(CONCATENATE("#",CELL("address",'Cash Flow Summary'!$I$9)),CONCATENATE('Cash Flow Summary'!$B$1, " Graphs"))</f>
        <v>Cash Flow Summary Graphs</v>
      </c>
      <c r="V108" s="335"/>
      <c r="AP108" s="25"/>
      <c r="AQ108" s="25"/>
      <c r="AR108" s="25"/>
      <c r="AS108" s="25"/>
      <c r="AT108" s="25"/>
      <c r="AU108" s="25"/>
      <c r="AV108" s="25"/>
      <c r="AW108" s="25"/>
      <c r="AX108" s="25"/>
      <c r="BY108" s="12"/>
      <c r="BZ108" s="335"/>
      <c r="CA108" s="42"/>
      <c r="EX108" s="10" t="str">
        <f t="shared" si="3"/>
        <v/>
      </c>
    </row>
    <row r="109" spans="2:154" x14ac:dyDescent="0.25">
      <c r="C109" s="343" t="str">
        <f>CONCATENATE("DB-",'Fin Stat'!C$144)</f>
        <v>DB-FS-IE-5</v>
      </c>
      <c r="D109" s="67" t="s">
        <v>655</v>
      </c>
      <c r="I109" s="335"/>
      <c r="V109" s="10">
        <f>'Fin Stat'!V$144</f>
        <v>0</v>
      </c>
      <c r="W109" s="10">
        <f>'Fin Stat'!W$144</f>
        <v>440</v>
      </c>
      <c r="X109" s="10">
        <f>'Fin Stat'!X$144</f>
        <v>436</v>
      </c>
      <c r="Y109" s="10">
        <f>'Fin Stat'!Y$144</f>
        <v>541.81000000000131</v>
      </c>
      <c r="AP109" s="25"/>
      <c r="AQ109" s="25"/>
      <c r="AR109" s="25"/>
      <c r="AS109" s="25"/>
      <c r="AT109" s="25"/>
      <c r="AU109" s="25"/>
      <c r="AV109" s="25"/>
      <c r="AW109" s="25"/>
      <c r="AX109" s="25"/>
      <c r="BY109" s="12"/>
      <c r="BZ109" s="335"/>
      <c r="CA109" s="42"/>
      <c r="EX109" s="10" t="str">
        <f t="shared" si="3"/>
        <v>Operating surplus/deficit</v>
      </c>
    </row>
    <row r="110" spans="2:154" ht="3" customHeight="1" x14ac:dyDescent="0.25">
      <c r="C110" s="343"/>
      <c r="I110" s="335"/>
      <c r="AP110" s="25"/>
      <c r="AQ110" s="25"/>
      <c r="AR110" s="25"/>
      <c r="AS110" s="25"/>
      <c r="AT110" s="25"/>
      <c r="AU110" s="25"/>
      <c r="AV110" s="25"/>
      <c r="AW110" s="25"/>
      <c r="AX110" s="25"/>
      <c r="BY110" s="12"/>
      <c r="BZ110" s="335"/>
      <c r="CA110" s="42"/>
      <c r="EX110" s="10" t="str">
        <f t="shared" si="3"/>
        <v/>
      </c>
    </row>
    <row r="111" spans="2:154" x14ac:dyDescent="0.25">
      <c r="C111" s="343" t="str">
        <f>CONCATENATE("DB-",'Fin Stat'!C$192)</f>
        <v>DB-IC-2</v>
      </c>
      <c r="D111" s="67" t="s">
        <v>656</v>
      </c>
      <c r="I111" s="335"/>
      <c r="V111" s="10">
        <f>'Fin Stat'!V$192</f>
        <v>0</v>
      </c>
      <c r="W111" s="10">
        <f>'Fin Stat'!W$192</f>
        <v>-2022</v>
      </c>
      <c r="X111" s="10">
        <f>'Fin Stat'!X$192</f>
        <v>-2816</v>
      </c>
      <c r="Y111" s="10">
        <f>'Fin Stat'!Y$192</f>
        <v>-701</v>
      </c>
      <c r="AP111" s="25"/>
      <c r="AQ111" s="25"/>
      <c r="AR111" s="25"/>
      <c r="AS111" s="25"/>
      <c r="AT111" s="25"/>
      <c r="AU111" s="25"/>
      <c r="AV111" s="25"/>
      <c r="AW111" s="25"/>
      <c r="AX111" s="25"/>
      <c r="BY111" s="12"/>
      <c r="BZ111" s="335"/>
      <c r="CA111" s="42"/>
      <c r="EX111" s="10" t="str">
        <f t="shared" si="3"/>
        <v>Net investment receipts and payments</v>
      </c>
    </row>
    <row r="112" spans="2:154" x14ac:dyDescent="0.25">
      <c r="C112" s="343"/>
      <c r="D112" s="67" t="s">
        <v>657</v>
      </c>
      <c r="I112" s="335"/>
      <c r="V112" s="10">
        <f>SUM(V109:V111)</f>
        <v>0</v>
      </c>
      <c r="W112" s="10">
        <f t="shared" ref="W112:Y112" si="5">SUM(W109:W111)</f>
        <v>-1582</v>
      </c>
      <c r="X112" s="10">
        <f t="shared" si="5"/>
        <v>-2380</v>
      </c>
      <c r="Y112" s="10">
        <f t="shared" si="5"/>
        <v>-159.18999999999869</v>
      </c>
      <c r="AP112" s="25"/>
      <c r="AQ112" s="25"/>
      <c r="AR112" s="25"/>
      <c r="AS112" s="25"/>
      <c r="AT112" s="25"/>
      <c r="AU112" s="25"/>
      <c r="AV112" s="25"/>
      <c r="AW112" s="25"/>
      <c r="AX112" s="25"/>
      <c r="BY112" s="12"/>
      <c r="BZ112" s="335"/>
      <c r="CA112" s="42"/>
      <c r="EX112" s="10" t="str">
        <f t="shared" si="3"/>
        <v/>
      </c>
    </row>
    <row r="113" spans="1:154" ht="3" customHeight="1" x14ac:dyDescent="0.25">
      <c r="C113" s="343"/>
      <c r="I113" s="335"/>
      <c r="AP113" s="25"/>
      <c r="AQ113" s="25"/>
      <c r="AR113" s="25"/>
      <c r="AS113" s="25"/>
      <c r="AT113" s="25"/>
      <c r="AU113" s="25"/>
      <c r="AV113" s="25"/>
      <c r="AW113" s="25"/>
      <c r="AX113" s="25"/>
      <c r="BY113" s="12"/>
      <c r="BZ113" s="335"/>
      <c r="CA113" s="42"/>
      <c r="EX113" s="10" t="str">
        <f t="shared" si="3"/>
        <v/>
      </c>
    </row>
    <row r="114" spans="1:154" x14ac:dyDescent="0.25">
      <c r="C114" s="343" t="str">
        <f>CONCATENATE("DB-",'Fin Stat'!C$203)</f>
        <v>DB-IC-3</v>
      </c>
      <c r="D114" s="67" t="s">
        <v>658</v>
      </c>
      <c r="I114" s="335"/>
      <c r="V114" s="10">
        <f>'Fin Stat'!V$203</f>
        <v>0</v>
      </c>
      <c r="W114" s="10">
        <f>'Fin Stat'!W$203</f>
        <v>-620</v>
      </c>
      <c r="X114" s="10">
        <f>'Fin Stat'!X$203</f>
        <v>-563</v>
      </c>
      <c r="Y114" s="10">
        <f>'Fin Stat'!Y$203</f>
        <v>-563</v>
      </c>
      <c r="AP114" s="25"/>
      <c r="AQ114" s="25"/>
      <c r="AR114" s="25"/>
      <c r="AS114" s="25"/>
      <c r="AT114" s="25"/>
      <c r="AU114" s="25"/>
      <c r="AV114" s="25"/>
      <c r="AW114" s="25"/>
      <c r="AX114" s="25"/>
      <c r="BY114" s="12"/>
      <c r="BZ114" s="335"/>
      <c r="CA114" s="42"/>
      <c r="EX114" s="10" t="str">
        <f t="shared" si="3"/>
        <v>Net financing receipts and payments</v>
      </c>
    </row>
    <row r="115" spans="1:154" x14ac:dyDescent="0.25">
      <c r="C115" s="343" t="str">
        <f>CONCATENATE("DB-",'Fin Stat'!C$205)</f>
        <v>DB-IC-4</v>
      </c>
      <c r="D115" s="67" t="s">
        <v>659</v>
      </c>
      <c r="I115" s="335"/>
      <c r="V115" s="10">
        <f>'Fin Stat'!V$205</f>
        <v>0</v>
      </c>
      <c r="W115" s="10">
        <f>'Fin Stat'!W$205</f>
        <v>2794</v>
      </c>
      <c r="X115" s="10">
        <f>'Fin Stat'!X$205</f>
        <v>-950</v>
      </c>
      <c r="Y115" s="10">
        <f>'Fin Stat'!Y$205</f>
        <v>849.81000000000131</v>
      </c>
      <c r="AP115" s="25"/>
      <c r="AQ115" s="25"/>
      <c r="AR115" s="25"/>
      <c r="AS115" s="25"/>
      <c r="AT115" s="25"/>
      <c r="AU115" s="25"/>
      <c r="AV115" s="25"/>
      <c r="AW115" s="25"/>
      <c r="AX115" s="25"/>
      <c r="BY115" s="12"/>
      <c r="BZ115" s="335"/>
      <c r="CA115" s="42"/>
      <c r="EX115" s="10" t="str">
        <f t="shared" si="3"/>
        <v>Total cash movement</v>
      </c>
    </row>
    <row r="116" spans="1:154" ht="3" customHeight="1" x14ac:dyDescent="0.25">
      <c r="C116" s="343"/>
      <c r="I116" s="335"/>
      <c r="AP116" s="25"/>
      <c r="AQ116" s="25"/>
      <c r="AR116" s="25"/>
      <c r="AS116" s="25"/>
      <c r="AT116" s="25"/>
      <c r="AU116" s="25"/>
      <c r="AV116" s="25"/>
      <c r="AW116" s="25"/>
      <c r="AX116" s="25"/>
      <c r="BY116" s="12"/>
      <c r="BZ116" s="335"/>
      <c r="CA116" s="42"/>
      <c r="EX116" s="10" t="str">
        <f t="shared" si="3"/>
        <v/>
      </c>
    </row>
    <row r="117" spans="1:154" x14ac:dyDescent="0.25">
      <c r="C117" s="343" t="str">
        <f>CONCATENATE("DB-",'Fin Stat'!C$208)</f>
        <v>DB-IC-5a</v>
      </c>
      <c r="D117" s="67" t="s">
        <v>660</v>
      </c>
      <c r="I117" s="335"/>
      <c r="V117" s="10">
        <f>'Fin Stat'!V$208</f>
        <v>0</v>
      </c>
      <c r="W117" s="10">
        <f>'Fin Stat'!W$208</f>
        <v>3647</v>
      </c>
      <c r="X117" s="10">
        <f>'Fin Stat'!X$208</f>
        <v>6441</v>
      </c>
      <c r="Y117" s="10">
        <f>'Fin Stat'!Y$208</f>
        <v>5491</v>
      </c>
      <c r="AP117" s="25"/>
      <c r="AQ117" s="25"/>
      <c r="AR117" s="25"/>
      <c r="AS117" s="25"/>
      <c r="AT117" s="25"/>
      <c r="AU117" s="25"/>
      <c r="AV117" s="25"/>
      <c r="AW117" s="25"/>
      <c r="AX117" s="25"/>
      <c r="BY117" s="12"/>
      <c r="BZ117" s="335"/>
      <c r="CA117" s="42"/>
      <c r="EX117" s="10" t="str">
        <f t="shared" si="3"/>
        <v>Opening cash</v>
      </c>
    </row>
    <row r="118" spans="1:154" x14ac:dyDescent="0.25">
      <c r="C118" s="343" t="str">
        <f>CONCATENATE("DB-",'Fin Stat'!C$188)</f>
        <v>DB-IC-2d</v>
      </c>
      <c r="D118" s="93" t="s">
        <v>661</v>
      </c>
      <c r="I118" s="335"/>
      <c r="V118" s="10">
        <f>'Fin Stat'!V$188*V$9</f>
        <v>0</v>
      </c>
      <c r="W118" s="10">
        <f>'Fin Stat'!W$188*W$9</f>
        <v>0</v>
      </c>
      <c r="X118" s="10">
        <f>'Fin Stat'!X$188*X$9</f>
        <v>0</v>
      </c>
      <c r="Y118" s="10">
        <f>'Fin Stat'!Y$188*Y$9</f>
        <v>0</v>
      </c>
      <c r="AP118" s="25"/>
      <c r="AQ118" s="25"/>
      <c r="AR118" s="25"/>
      <c r="AS118" s="25"/>
      <c r="AT118" s="25"/>
      <c r="AU118" s="25"/>
      <c r="AV118" s="25"/>
      <c r="AW118" s="25"/>
      <c r="AX118" s="25"/>
      <c r="BY118" s="12"/>
      <c r="BZ118" s="335"/>
      <c r="CA118" s="42"/>
      <c r="EX118" s="10" t="str">
        <f t="shared" si="3"/>
        <v>Movement in restricted cash</v>
      </c>
    </row>
    <row r="119" spans="1:154" x14ac:dyDescent="0.25">
      <c r="C119" s="340" t="str">
        <f>CONCATENATE("DB-",'Fin Stat'!C$209)</f>
        <v>DB-IC-5</v>
      </c>
      <c r="D119" s="93" t="s">
        <v>662</v>
      </c>
      <c r="V119" s="10">
        <f>'Fin Stat'!V$209</f>
        <v>3647</v>
      </c>
      <c r="W119" s="10">
        <f>'Fin Stat'!W$209</f>
        <v>6441</v>
      </c>
      <c r="X119" s="10">
        <f>'Fin Stat'!X$209</f>
        <v>5491</v>
      </c>
      <c r="Y119" s="10">
        <f>'Fin Stat'!Y$209</f>
        <v>6340.8100000000013</v>
      </c>
      <c r="AP119" s="25"/>
      <c r="AQ119" s="25"/>
      <c r="AR119" s="25"/>
      <c r="AS119" s="25"/>
      <c r="AT119" s="25"/>
      <c r="AU119" s="25"/>
      <c r="AV119" s="25"/>
      <c r="AW119" s="25"/>
      <c r="AX119" s="25"/>
      <c r="BY119" s="12"/>
      <c r="BZ119" s="335"/>
      <c r="CA119" s="42"/>
      <c r="EX119" s="10" t="str">
        <f t="shared" si="3"/>
        <v>Closing cash</v>
      </c>
    </row>
    <row r="120" spans="1:154" ht="3" customHeight="1" x14ac:dyDescent="0.25">
      <c r="C120" s="340"/>
      <c r="D120" s="93"/>
      <c r="AP120" s="25"/>
      <c r="AQ120" s="25"/>
      <c r="AR120" s="25"/>
      <c r="AS120" s="25"/>
      <c r="AT120" s="25"/>
      <c r="AU120" s="25"/>
      <c r="AV120" s="25"/>
      <c r="AW120" s="25"/>
      <c r="AX120" s="25"/>
      <c r="BY120" s="12"/>
      <c r="BZ120" s="335"/>
      <c r="CA120" s="42"/>
      <c r="EX120" s="10" t="str">
        <f t="shared" si="3"/>
        <v/>
      </c>
    </row>
    <row r="121" spans="1:154" x14ac:dyDescent="0.25">
      <c r="B121" s="5" t="s">
        <v>663</v>
      </c>
      <c r="C121" s="340"/>
      <c r="D121" s="93"/>
      <c r="AP121" s="25"/>
      <c r="AQ121" s="25"/>
      <c r="AR121" s="25"/>
      <c r="AS121" s="25"/>
      <c r="AT121" s="25"/>
      <c r="AU121" s="25"/>
      <c r="AV121" s="25"/>
      <c r="AW121" s="25"/>
      <c r="AX121" s="25"/>
      <c r="BY121" s="12"/>
      <c r="BZ121" s="335"/>
      <c r="CA121" s="42"/>
      <c r="EX121" s="10" t="str">
        <f t="shared" si="3"/>
        <v/>
      </c>
    </row>
    <row r="122" spans="1:154" x14ac:dyDescent="0.25">
      <c r="C122" s="340" t="s">
        <v>1565</v>
      </c>
      <c r="D122" s="93" t="s">
        <v>664</v>
      </c>
      <c r="I122" s="335"/>
      <c r="V122" s="10">
        <f>'Fin Stat'!V$109</f>
        <v>0</v>
      </c>
      <c r="W122" s="10">
        <f ca="1">'Fin Stat'!W$109</f>
        <v>9280</v>
      </c>
      <c r="X122" s="10">
        <f ca="1">'Fin Stat'!X$109</f>
        <v>7906</v>
      </c>
      <c r="Y122" s="10">
        <f ca="1">'Fin Stat'!Y$109</f>
        <v>9054.8100000000013</v>
      </c>
      <c r="AP122" s="25"/>
      <c r="AQ122" s="25"/>
      <c r="AR122" s="25"/>
      <c r="AS122" s="25"/>
      <c r="AT122" s="25"/>
      <c r="AU122" s="25"/>
      <c r="AV122" s="25"/>
      <c r="AW122" s="25"/>
      <c r="AX122" s="25"/>
      <c r="BY122" s="12"/>
      <c r="BZ122" s="335"/>
      <c r="CA122" s="42"/>
      <c r="EX122" s="10" t="str">
        <f t="shared" si="3"/>
        <v>Net current assets</v>
      </c>
    </row>
    <row r="123" spans="1:154" x14ac:dyDescent="0.25">
      <c r="C123" s="340" t="str">
        <f>CONCATENATE("DB-",'Fin Stat'!C$73)</f>
        <v>DB-FS-B-1-CB</v>
      </c>
      <c r="D123" s="93" t="s">
        <v>665</v>
      </c>
      <c r="I123" s="335"/>
      <c r="V123" s="10">
        <f>'Fin Stat'!V$73</f>
        <v>0</v>
      </c>
      <c r="W123" s="10">
        <f>'Fin Stat'!W$73</f>
        <v>36679</v>
      </c>
      <c r="X123" s="10">
        <f>'Fin Stat'!X$73</f>
        <v>40420</v>
      </c>
      <c r="Y123" s="10">
        <f>'Fin Stat'!Y$73</f>
        <v>40728</v>
      </c>
      <c r="AP123" s="25"/>
      <c r="AQ123" s="25"/>
      <c r="AR123" s="25"/>
      <c r="AS123" s="25"/>
      <c r="AT123" s="25"/>
      <c r="AU123" s="25"/>
      <c r="AV123" s="25"/>
      <c r="AW123" s="25"/>
      <c r="AX123" s="25"/>
      <c r="BY123" s="12"/>
      <c r="BZ123" s="335"/>
      <c r="CA123" s="42"/>
      <c r="EX123" s="10" t="str">
        <f t="shared" si="3"/>
        <v>Non current assets</v>
      </c>
    </row>
    <row r="124" spans="1:154" x14ac:dyDescent="0.25">
      <c r="C124" s="340" t="s">
        <v>1566</v>
      </c>
      <c r="D124" s="93" t="s">
        <v>666</v>
      </c>
      <c r="I124" s="335"/>
      <c r="V124" s="10">
        <f>SUM('Fin Stat'!V$120,'Fin Stat'!V$127)</f>
        <v>0</v>
      </c>
      <c r="W124" s="10">
        <f ca="1">SUM('Fin Stat'!W$120,'Fin Stat'!W$127)</f>
        <v>35131</v>
      </c>
      <c r="X124" s="10">
        <f ca="1">SUM('Fin Stat'!X$120,'Fin Stat'!X$127)</f>
        <v>37068</v>
      </c>
      <c r="Y124" s="10">
        <f ca="1">SUM('Fin Stat'!Y$120,'Fin Stat'!Y$127)</f>
        <v>37989</v>
      </c>
      <c r="AP124" s="25"/>
      <c r="AQ124" s="25"/>
      <c r="AR124" s="25"/>
      <c r="AS124" s="25"/>
      <c r="AT124" s="25"/>
      <c r="AU124" s="25"/>
      <c r="AV124" s="25"/>
      <c r="AW124" s="25"/>
      <c r="AX124" s="25"/>
      <c r="BY124" s="12"/>
      <c r="BZ124" s="335"/>
      <c r="CA124" s="42"/>
      <c r="EX124" s="10" t="str">
        <f t="shared" si="3"/>
        <v>Non current liabilities and provisions</v>
      </c>
    </row>
    <row r="125" spans="1:154" x14ac:dyDescent="0.25">
      <c r="C125" s="340" t="str">
        <f>CONCATENATE("DB-",'Fin Stat'!C$73)</f>
        <v>DB-FS-B-1-CB</v>
      </c>
      <c r="D125" s="93" t="s">
        <v>667</v>
      </c>
      <c r="I125" s="335"/>
      <c r="V125" s="10">
        <f>'Fin Stat'!V$133</f>
        <v>0</v>
      </c>
      <c r="W125" s="10">
        <f>'Fin Stat'!W$133</f>
        <v>10828</v>
      </c>
      <c r="X125" s="10">
        <f>'Fin Stat'!X$133</f>
        <v>11258</v>
      </c>
      <c r="Y125" s="10">
        <f>'Fin Stat'!Y$133</f>
        <v>11793.810000000001</v>
      </c>
      <c r="AP125" s="25"/>
      <c r="AQ125" s="25"/>
      <c r="AR125" s="25"/>
      <c r="AS125" s="25"/>
      <c r="AT125" s="25"/>
      <c r="AU125" s="25"/>
      <c r="AV125" s="25"/>
      <c r="AW125" s="25"/>
      <c r="AX125" s="25"/>
      <c r="BY125" s="12"/>
      <c r="BZ125" s="335"/>
      <c r="CA125" s="42"/>
      <c r="EX125" s="10" t="str">
        <f t="shared" si="3"/>
        <v>Total net assets</v>
      </c>
    </row>
    <row r="126" spans="1:154" ht="8.1" customHeight="1" x14ac:dyDescent="0.25">
      <c r="A126" s="157"/>
      <c r="B126" s="157"/>
      <c r="C126" s="340"/>
      <c r="D126" s="187"/>
      <c r="F126" s="180"/>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7"/>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2"/>
      <c r="BZ126" s="335"/>
      <c r="CA126" s="42"/>
      <c r="EX126" s="10" t="str">
        <f t="shared" si="3"/>
        <v/>
      </c>
    </row>
    <row r="127" spans="1:154" s="335" customFormat="1" x14ac:dyDescent="0.25">
      <c r="A127" s="254"/>
      <c r="B127" s="254"/>
      <c r="C127" s="254"/>
      <c r="D127" s="255" t="s">
        <v>1747</v>
      </c>
      <c r="E127" s="460"/>
      <c r="F127" s="460"/>
      <c r="G127" s="254"/>
      <c r="H127" s="254"/>
      <c r="I127" s="254"/>
      <c r="J127" s="254"/>
      <c r="K127" s="254"/>
      <c r="L127" s="254"/>
      <c r="M127" s="254"/>
      <c r="N127" s="254"/>
      <c r="O127" s="254"/>
      <c r="P127" s="25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54"/>
      <c r="AV127" s="254"/>
      <c r="AW127" s="254"/>
      <c r="AX127" s="254"/>
      <c r="AY127" s="254"/>
      <c r="AZ127" s="254"/>
      <c r="BA127" s="254"/>
      <c r="BB127" s="254"/>
      <c r="BC127" s="254"/>
      <c r="BD127" s="254"/>
      <c r="BE127" s="254"/>
      <c r="BF127" s="254"/>
      <c r="BG127" s="254"/>
      <c r="BH127" s="254"/>
      <c r="BI127" s="254"/>
      <c r="BJ127" s="254"/>
      <c r="BK127" s="254"/>
      <c r="BL127" s="254"/>
      <c r="BM127" s="254"/>
      <c r="BN127" s="254"/>
      <c r="BO127" s="254"/>
      <c r="BP127" s="254"/>
      <c r="BQ127" s="254"/>
      <c r="BR127" s="254"/>
      <c r="BS127" s="254"/>
      <c r="BT127" s="254"/>
      <c r="BU127" s="254"/>
      <c r="BV127" s="254"/>
      <c r="BW127" s="254"/>
      <c r="BX127" s="254"/>
      <c r="BY127" s="12"/>
      <c r="CA127" s="42"/>
      <c r="EX127" s="10" t="str">
        <f t="shared" si="3"/>
        <v/>
      </c>
    </row>
    <row r="128" spans="1:154" s="335" customFormat="1" x14ac:dyDescent="0.25">
      <c r="E128" s="69"/>
      <c r="F128" s="162"/>
      <c r="BY128" s="12"/>
      <c r="CA128" s="42"/>
      <c r="EX128" s="10" t="str">
        <f t="shared" si="3"/>
        <v/>
      </c>
    </row>
    <row r="129" spans="2:154" x14ac:dyDescent="0.25">
      <c r="B129" s="5" t="s">
        <v>748</v>
      </c>
      <c r="C129" s="340"/>
      <c r="D129" s="93"/>
      <c r="E129" s="162"/>
      <c r="BY129" s="12"/>
      <c r="BZ129" s="335"/>
      <c r="CA129" s="42"/>
      <c r="EX129" s="10" t="str">
        <f t="shared" si="3"/>
        <v/>
      </c>
    </row>
    <row r="130" spans="2:154" x14ac:dyDescent="0.25">
      <c r="C130" s="340" t="s">
        <v>1567</v>
      </c>
      <c r="D130" s="93" t="str">
        <f>Loans!D$1084</f>
        <v>Overdrafts</v>
      </c>
      <c r="E130" s="162"/>
      <c r="I130" s="335"/>
      <c r="V130" s="10">
        <f>Loans!V$1084*V$9</f>
        <v>0</v>
      </c>
      <c r="W130" s="10">
        <f>Loans!W$1084*W$9</f>
        <v>0</v>
      </c>
      <c r="X130" s="10">
        <f>Loans!X$1084*X$9</f>
        <v>0</v>
      </c>
      <c r="Y130" s="10">
        <f>Loans!Y$1084*Y$9</f>
        <v>0</v>
      </c>
      <c r="BY130" s="12"/>
      <c r="BZ130" s="335"/>
      <c r="CA130" s="42"/>
      <c r="EX130" s="10" t="str">
        <f t="shared" si="3"/>
        <v>Overdrafts</v>
      </c>
    </row>
    <row r="131" spans="2:154" x14ac:dyDescent="0.25">
      <c r="C131" s="340" t="s">
        <v>1567</v>
      </c>
      <c r="D131" s="93" t="str">
        <f>Loans!D$1085</f>
        <v>EFS/RF</v>
      </c>
      <c r="E131" s="162"/>
      <c r="I131" s="335"/>
      <c r="V131" s="10">
        <f>Loans!V$1085*V$9</f>
        <v>0</v>
      </c>
      <c r="W131" s="10">
        <f>Loans!W$1085*W$9</f>
        <v>0</v>
      </c>
      <c r="X131" s="10">
        <f>Loans!X$1085*X$9</f>
        <v>0</v>
      </c>
      <c r="Y131" s="10">
        <f>Loans!Y$1085*Y$9</f>
        <v>0</v>
      </c>
      <c r="BY131" s="12"/>
      <c r="BZ131" s="335"/>
      <c r="CA131" s="42"/>
      <c r="EX131" s="10" t="str">
        <f t="shared" si="3"/>
        <v>EFS/RF</v>
      </c>
    </row>
    <row r="132" spans="2:154" x14ac:dyDescent="0.25">
      <c r="C132" s="340" t="s">
        <v>1567</v>
      </c>
      <c r="D132" s="93" t="str">
        <f>Loans!D$1086</f>
        <v xml:space="preserve">Commercial </v>
      </c>
      <c r="E132" s="162"/>
      <c r="I132" s="335"/>
      <c r="V132" s="10">
        <f>Loans!V$1086*V$9</f>
        <v>0</v>
      </c>
      <c r="W132" s="10">
        <f>Loans!W$1086*W$9</f>
        <v>2701</v>
      </c>
      <c r="X132" s="10">
        <f>Loans!X$1086*X$9</f>
        <v>2417</v>
      </c>
      <c r="Y132" s="10">
        <f>Loans!Y$1086*Y$9</f>
        <v>2133</v>
      </c>
      <c r="BY132" s="12"/>
      <c r="BZ132" s="335"/>
      <c r="CA132" s="42"/>
      <c r="EX132" s="10" t="str">
        <f t="shared" si="3"/>
        <v xml:space="preserve">Commercial </v>
      </c>
    </row>
    <row r="133" spans="2:154" x14ac:dyDescent="0.25">
      <c r="BY133" s="12"/>
      <c r="BZ133" s="335"/>
      <c r="CA133" s="42"/>
      <c r="EX133" s="10" t="str">
        <f t="shared" si="3"/>
        <v/>
      </c>
    </row>
    <row r="134" spans="2:154" x14ac:dyDescent="0.25">
      <c r="B134"/>
      <c r="C134"/>
      <c r="D134"/>
      <c r="E134" s="162"/>
      <c r="G134"/>
      <c r="H134"/>
      <c r="I134"/>
      <c r="J134"/>
      <c r="K134"/>
      <c r="L134"/>
      <c r="M134"/>
      <c r="N134"/>
      <c r="O134"/>
      <c r="P134"/>
      <c r="Q134"/>
      <c r="R134"/>
      <c r="S134"/>
      <c r="T134"/>
      <c r="U134"/>
      <c r="V134"/>
      <c r="W134"/>
      <c r="X134"/>
      <c r="Y134"/>
      <c r="AN134" s="25"/>
      <c r="AO134" s="25"/>
      <c r="AP134" s="25"/>
      <c r="AQ134" s="25"/>
      <c r="AR134" s="25"/>
      <c r="AS134" s="25"/>
      <c r="AT134" s="25"/>
      <c r="AU134" s="25"/>
      <c r="AV134" s="25"/>
      <c r="AW134" s="25"/>
      <c r="AX134" s="25"/>
      <c r="BY134" s="12"/>
      <c r="BZ134" s="335"/>
      <c r="CA134" s="42"/>
      <c r="EX134" s="10" t="str">
        <f t="shared" si="3"/>
        <v/>
      </c>
    </row>
    <row r="135" spans="2:154" x14ac:dyDescent="0.25">
      <c r="B135"/>
      <c r="C135"/>
      <c r="D135"/>
      <c r="E135" s="162"/>
      <c r="G135"/>
      <c r="H135"/>
      <c r="I135"/>
      <c r="J135"/>
      <c r="K135"/>
      <c r="L135"/>
      <c r="M135"/>
      <c r="N135"/>
      <c r="O135"/>
      <c r="P135"/>
      <c r="Q135"/>
      <c r="R135"/>
      <c r="S135"/>
      <c r="T135"/>
      <c r="U135"/>
      <c r="V135"/>
      <c r="W135"/>
      <c r="X135"/>
      <c r="Y135"/>
      <c r="AM135" s="25"/>
      <c r="AN135" s="25"/>
      <c r="AO135" s="25"/>
      <c r="AP135" s="25"/>
      <c r="AQ135" s="25"/>
      <c r="AR135" s="25"/>
      <c r="AS135" s="25"/>
      <c r="AT135" s="25"/>
      <c r="AU135" s="25"/>
      <c r="AV135" s="25"/>
      <c r="AW135" s="25"/>
      <c r="AX135" s="25"/>
      <c r="BY135" s="12"/>
      <c r="BZ135" s="335"/>
      <c r="CA135" s="42"/>
      <c r="EX135" s="10" t="str">
        <f t="shared" si="3"/>
        <v/>
      </c>
    </row>
    <row r="136" spans="2:154" x14ac:dyDescent="0.25">
      <c r="B136"/>
      <c r="C136"/>
      <c r="D136"/>
      <c r="E136" s="162"/>
      <c r="G136"/>
      <c r="H136"/>
      <c r="I136"/>
      <c r="J136"/>
      <c r="K136"/>
      <c r="L136"/>
      <c r="M136"/>
      <c r="N136"/>
      <c r="O136"/>
      <c r="P136"/>
      <c r="Q136"/>
      <c r="R136"/>
      <c r="S136"/>
      <c r="T136"/>
      <c r="U136"/>
      <c r="V136"/>
      <c r="W136"/>
      <c r="X136"/>
      <c r="Y136"/>
      <c r="AM136" s="25"/>
      <c r="AN136" s="25"/>
      <c r="AO136" s="25"/>
      <c r="AP136" s="25"/>
      <c r="AQ136" s="25"/>
      <c r="AR136" s="25"/>
      <c r="AS136" s="25"/>
      <c r="AT136" s="25"/>
      <c r="AU136" s="25"/>
      <c r="AV136" s="25"/>
      <c r="AW136" s="25"/>
      <c r="AX136" s="25"/>
      <c r="BY136" s="12"/>
      <c r="BZ136" s="335"/>
      <c r="CA136" s="42"/>
      <c r="EX136" s="10" t="str">
        <f t="shared" si="3"/>
        <v/>
      </c>
    </row>
    <row r="137" spans="2:154" x14ac:dyDescent="0.25">
      <c r="B137"/>
      <c r="C137"/>
      <c r="D137"/>
      <c r="E137" s="162"/>
      <c r="G137"/>
      <c r="H137"/>
      <c r="I137"/>
      <c r="J137"/>
      <c r="K137"/>
      <c r="L137"/>
      <c r="M137"/>
      <c r="N137"/>
      <c r="O137"/>
      <c r="P137"/>
      <c r="Q137"/>
      <c r="R137"/>
      <c r="S137"/>
      <c r="T137"/>
      <c r="U137"/>
      <c r="V137"/>
      <c r="W137"/>
      <c r="X137"/>
      <c r="Y137"/>
      <c r="AM137" s="25"/>
      <c r="AN137" s="25"/>
      <c r="AO137" s="25"/>
      <c r="AP137" s="25"/>
      <c r="AQ137" s="25"/>
      <c r="AR137" s="25"/>
      <c r="AS137" s="25"/>
      <c r="AT137" s="25"/>
      <c r="AU137" s="25"/>
      <c r="AV137" s="25"/>
      <c r="AW137" s="25"/>
      <c r="AX137" s="25"/>
      <c r="BY137" s="12"/>
      <c r="BZ137" s="335"/>
      <c r="CA137" s="42"/>
      <c r="EX137" s="10" t="str">
        <f t="shared" si="3"/>
        <v/>
      </c>
    </row>
    <row r="138" spans="2:154" x14ac:dyDescent="0.25">
      <c r="B138"/>
      <c r="C138"/>
      <c r="D138"/>
      <c r="E138" s="162"/>
      <c r="G138"/>
      <c r="H138"/>
      <c r="I138"/>
      <c r="J138"/>
      <c r="K138"/>
      <c r="L138"/>
      <c r="M138"/>
      <c r="N138"/>
      <c r="O138"/>
      <c r="P138"/>
      <c r="Q138"/>
      <c r="R138"/>
      <c r="S138"/>
      <c r="T138"/>
      <c r="U138"/>
      <c r="V138"/>
      <c r="W138"/>
      <c r="X138"/>
      <c r="Y138"/>
      <c r="AM138" s="25"/>
      <c r="AN138" s="25"/>
      <c r="AO138" s="25"/>
      <c r="AP138" s="25"/>
      <c r="AQ138" s="25"/>
      <c r="AR138" s="25"/>
      <c r="AS138" s="25"/>
      <c r="AT138" s="25"/>
      <c r="AU138" s="25"/>
      <c r="AV138" s="25"/>
      <c r="AW138" s="25"/>
      <c r="AX138" s="25"/>
      <c r="BY138" s="12"/>
      <c r="BZ138" s="335"/>
      <c r="CA138" s="42"/>
      <c r="EX138" s="10" t="str">
        <f t="shared" si="3"/>
        <v/>
      </c>
    </row>
    <row r="139" spans="2:154" x14ac:dyDescent="0.25">
      <c r="B139"/>
      <c r="C139"/>
      <c r="D139"/>
      <c r="E139" s="162"/>
      <c r="G139"/>
      <c r="H139"/>
      <c r="I139"/>
      <c r="J139"/>
      <c r="K139"/>
      <c r="L139"/>
      <c r="M139"/>
      <c r="N139"/>
      <c r="O139"/>
      <c r="P139"/>
      <c r="Q139"/>
      <c r="R139"/>
      <c r="S139"/>
      <c r="T139"/>
      <c r="U139"/>
      <c r="V139"/>
      <c r="W139"/>
      <c r="X139"/>
      <c r="Y139"/>
      <c r="AM139" s="25"/>
      <c r="AN139" s="25"/>
      <c r="AO139" s="25"/>
      <c r="AP139" s="25"/>
      <c r="AQ139" s="25"/>
      <c r="AR139" s="25"/>
      <c r="AS139" s="25"/>
      <c r="AT139" s="25"/>
      <c r="AU139" s="25"/>
      <c r="AV139" s="25"/>
      <c r="AW139" s="25"/>
      <c r="AX139" s="25"/>
      <c r="BY139" s="12"/>
      <c r="BZ139" s="335"/>
      <c r="CA139" s="42"/>
      <c r="EX139" s="10" t="str">
        <f t="shared" si="3"/>
        <v/>
      </c>
    </row>
    <row r="140" spans="2:154" x14ac:dyDescent="0.25">
      <c r="B140"/>
      <c r="C140"/>
      <c r="D140"/>
      <c r="E140" s="162"/>
      <c r="G140"/>
      <c r="H140"/>
      <c r="I140"/>
      <c r="J140"/>
      <c r="K140"/>
      <c r="L140"/>
      <c r="M140"/>
      <c r="N140"/>
      <c r="O140"/>
      <c r="P140"/>
      <c r="Q140"/>
      <c r="R140"/>
      <c r="S140"/>
      <c r="T140"/>
      <c r="U140"/>
      <c r="V140"/>
      <c r="W140"/>
      <c r="X140"/>
      <c r="Y140"/>
      <c r="AM140" s="25"/>
      <c r="AN140" s="25"/>
      <c r="AO140" s="25"/>
      <c r="AP140" s="25"/>
      <c r="AQ140" s="25"/>
      <c r="AR140" s="25"/>
      <c r="AS140" s="25"/>
      <c r="AT140" s="25"/>
      <c r="AU140" s="25"/>
      <c r="AV140" s="25"/>
      <c r="AW140" s="25"/>
      <c r="AX140" s="25"/>
      <c r="BY140" s="12"/>
      <c r="BZ140" s="335"/>
      <c r="CA140" s="42"/>
      <c r="EX140" s="10" t="str">
        <f t="shared" si="3"/>
        <v/>
      </c>
    </row>
    <row r="141" spans="2:154" x14ac:dyDescent="0.25">
      <c r="B141"/>
      <c r="C141"/>
      <c r="D141"/>
      <c r="E141" s="162"/>
      <c r="G141"/>
      <c r="H141"/>
      <c r="I141"/>
      <c r="J141"/>
      <c r="K141"/>
      <c r="L141"/>
      <c r="M141"/>
      <c r="N141"/>
      <c r="O141"/>
      <c r="P141"/>
      <c r="Q141"/>
      <c r="R141"/>
      <c r="S141"/>
      <c r="T141"/>
      <c r="U141"/>
      <c r="V141"/>
      <c r="W141"/>
      <c r="X141"/>
      <c r="Y141"/>
      <c r="AM141" s="25"/>
      <c r="AN141" s="25"/>
      <c r="AO141" s="25"/>
      <c r="AP141" s="25"/>
      <c r="AQ141" s="25"/>
      <c r="AR141" s="25"/>
      <c r="AS141" s="25"/>
      <c r="AT141" s="25"/>
      <c r="AU141" s="25"/>
      <c r="AV141" s="25"/>
      <c r="AW141" s="25"/>
      <c r="AX141" s="25"/>
      <c r="BY141" s="12"/>
      <c r="BZ141" s="335"/>
      <c r="CA141" s="42"/>
      <c r="EX141" s="10" t="str">
        <f t="shared" si="3"/>
        <v/>
      </c>
    </row>
    <row r="142" spans="2:154" x14ac:dyDescent="0.25">
      <c r="B142"/>
      <c r="C142"/>
      <c r="D142"/>
      <c r="E142" s="162"/>
      <c r="G142"/>
      <c r="H142"/>
      <c r="I142"/>
      <c r="J142"/>
      <c r="K142"/>
      <c r="L142"/>
      <c r="M142"/>
      <c r="N142"/>
      <c r="O142"/>
      <c r="P142"/>
      <c r="Q142"/>
      <c r="R142"/>
      <c r="S142"/>
      <c r="T142"/>
      <c r="U142"/>
      <c r="V142"/>
      <c r="W142"/>
      <c r="X142"/>
      <c r="Y142"/>
      <c r="AM142" s="25"/>
      <c r="AN142" s="25"/>
      <c r="AO142" s="25"/>
      <c r="AP142" s="25"/>
      <c r="AQ142" s="25"/>
      <c r="AR142" s="25"/>
      <c r="AS142" s="25"/>
      <c r="AT142" s="25"/>
      <c r="AU142" s="25"/>
      <c r="AV142" s="25"/>
      <c r="AW142" s="25"/>
      <c r="AX142" s="25"/>
      <c r="BY142" s="12"/>
      <c r="BZ142" s="335"/>
      <c r="CA142" s="42"/>
      <c r="EX142" s="10" t="str">
        <f t="shared" si="3"/>
        <v/>
      </c>
    </row>
    <row r="143" spans="2:154" x14ac:dyDescent="0.25">
      <c r="B143"/>
      <c r="C143"/>
      <c r="D143"/>
      <c r="E143" s="162"/>
      <c r="G143"/>
      <c r="H143"/>
      <c r="I143"/>
      <c r="J143"/>
      <c r="K143"/>
      <c r="L143"/>
      <c r="M143"/>
      <c r="N143"/>
      <c r="O143"/>
      <c r="P143"/>
      <c r="Q143"/>
      <c r="R143"/>
      <c r="S143"/>
      <c r="T143"/>
      <c r="U143"/>
      <c r="V143"/>
      <c r="W143"/>
      <c r="X143"/>
      <c r="Y143"/>
      <c r="AM143" s="25"/>
      <c r="AN143" s="25"/>
      <c r="AO143" s="25"/>
      <c r="AP143" s="25"/>
      <c r="AQ143" s="25"/>
      <c r="AR143" s="25"/>
      <c r="AS143" s="25"/>
      <c r="AT143" s="25"/>
      <c r="AU143" s="25"/>
      <c r="AV143" s="25"/>
      <c r="AW143" s="25"/>
      <c r="AX143" s="25"/>
      <c r="BY143" s="12"/>
      <c r="BZ143" s="335"/>
      <c r="CA143" s="42"/>
      <c r="EX143" s="10" t="str">
        <f t="shared" si="3"/>
        <v/>
      </c>
    </row>
    <row r="144" spans="2:154" x14ac:dyDescent="0.25">
      <c r="B144"/>
      <c r="C144"/>
      <c r="D144"/>
      <c r="E144" s="162"/>
      <c r="G144"/>
      <c r="H144"/>
      <c r="I144"/>
      <c r="J144"/>
      <c r="K144"/>
      <c r="L144"/>
      <c r="M144"/>
      <c r="N144"/>
      <c r="O144"/>
      <c r="P144"/>
      <c r="Q144"/>
      <c r="R144"/>
      <c r="S144"/>
      <c r="T144"/>
      <c r="U144"/>
      <c r="V144"/>
      <c r="W144"/>
      <c r="X144"/>
      <c r="Y144"/>
      <c r="AM144" s="25"/>
      <c r="AN144" s="25"/>
      <c r="AO144" s="25"/>
      <c r="AP144" s="25"/>
      <c r="AQ144" s="25"/>
      <c r="AR144" s="25"/>
      <c r="AS144" s="25"/>
      <c r="AT144" s="25"/>
      <c r="AU144" s="25"/>
      <c r="AV144" s="25"/>
      <c r="AW144" s="25"/>
      <c r="AX144" s="25"/>
      <c r="BY144" s="12"/>
      <c r="BZ144" s="335"/>
      <c r="CA144" s="42"/>
      <c r="EX144" s="10" t="str">
        <f t="shared" si="3"/>
        <v/>
      </c>
    </row>
    <row r="145" spans="1:154" x14ac:dyDescent="0.25">
      <c r="B145"/>
      <c r="C145"/>
      <c r="D145"/>
      <c r="E145" s="162"/>
      <c r="G145"/>
      <c r="H145"/>
      <c r="I145"/>
      <c r="J145"/>
      <c r="K145"/>
      <c r="L145"/>
      <c r="M145"/>
      <c r="N145"/>
      <c r="O145"/>
      <c r="P145"/>
      <c r="Q145"/>
      <c r="R145"/>
      <c r="S145"/>
      <c r="T145"/>
      <c r="U145"/>
      <c r="V145"/>
      <c r="W145"/>
      <c r="X145"/>
      <c r="Y145"/>
      <c r="AM145" s="25"/>
      <c r="AN145" s="25"/>
      <c r="AO145" s="25"/>
      <c r="AP145" s="25"/>
      <c r="AQ145" s="25"/>
      <c r="AR145" s="25"/>
      <c r="AS145" s="25"/>
      <c r="AT145" s="25"/>
      <c r="AU145" s="25"/>
      <c r="AV145" s="25"/>
      <c r="AW145" s="25"/>
      <c r="AX145" s="25"/>
      <c r="BY145" s="12"/>
      <c r="BZ145" s="335"/>
      <c r="CA145" s="42"/>
      <c r="EX145" s="10" t="str">
        <f t="shared" si="3"/>
        <v/>
      </c>
    </row>
    <row r="146" spans="1:154" x14ac:dyDescent="0.25">
      <c r="AM146" s="25"/>
      <c r="AN146" s="25"/>
      <c r="AO146" s="25"/>
      <c r="AP146" s="25"/>
      <c r="AQ146" s="25"/>
      <c r="AR146" s="25"/>
      <c r="AS146" s="25"/>
      <c r="AT146" s="25"/>
      <c r="AU146" s="25"/>
      <c r="AV146" s="25"/>
      <c r="AW146" s="25"/>
      <c r="AX146" s="25"/>
      <c r="BY146" s="12"/>
      <c r="BZ146" s="335"/>
      <c r="CA146" s="42"/>
      <c r="EX146" s="10" t="str">
        <f t="shared" si="3"/>
        <v/>
      </c>
    </row>
    <row r="147" spans="1:154" x14ac:dyDescent="0.25">
      <c r="A147" s="12" t="s">
        <v>88</v>
      </c>
      <c r="B147" s="12" t="s">
        <v>88</v>
      </c>
      <c r="C147" s="12" t="s">
        <v>88</v>
      </c>
      <c r="D147" s="12" t="s">
        <v>88</v>
      </c>
      <c r="E147" s="71" t="s">
        <v>88</v>
      </c>
      <c r="F147" s="163" t="s">
        <v>88</v>
      </c>
      <c r="G147" s="12" t="s">
        <v>88</v>
      </c>
      <c r="H147" s="12" t="s">
        <v>88</v>
      </c>
      <c r="I147" s="12" t="s">
        <v>88</v>
      </c>
      <c r="J147" s="12" t="s">
        <v>88</v>
      </c>
      <c r="K147" s="12" t="s">
        <v>88</v>
      </c>
      <c r="L147" s="12" t="s">
        <v>88</v>
      </c>
      <c r="M147" s="12" t="s">
        <v>88</v>
      </c>
      <c r="N147" s="12" t="s">
        <v>88</v>
      </c>
      <c r="O147" s="12" t="s">
        <v>88</v>
      </c>
      <c r="P147" s="12" t="s">
        <v>88</v>
      </c>
      <c r="Q147" s="12" t="s">
        <v>88</v>
      </c>
      <c r="R147" s="12" t="s">
        <v>88</v>
      </c>
      <c r="S147" s="12"/>
      <c r="T147" s="12"/>
      <c r="U147" s="12"/>
      <c r="V147" s="12" t="s">
        <v>88</v>
      </c>
      <c r="W147" s="12" t="s">
        <v>88</v>
      </c>
      <c r="X147" s="12"/>
      <c r="Y147" s="12"/>
      <c r="Z147" s="12" t="s">
        <v>88</v>
      </c>
      <c r="AA147" s="12" t="s">
        <v>88</v>
      </c>
      <c r="AB147" s="12" t="s">
        <v>88</v>
      </c>
      <c r="AC147" s="12" t="s">
        <v>88</v>
      </c>
      <c r="AD147" s="12" t="s">
        <v>88</v>
      </c>
      <c r="AE147" s="12" t="s">
        <v>88</v>
      </c>
      <c r="AF147" s="12" t="s">
        <v>88</v>
      </c>
      <c r="AG147" s="12" t="s">
        <v>88</v>
      </c>
      <c r="AH147" s="12" t="s">
        <v>88</v>
      </c>
      <c r="AI147" s="12" t="s">
        <v>88</v>
      </c>
      <c r="AJ147" s="12" t="s">
        <v>88</v>
      </c>
      <c r="AK147" s="12" t="s">
        <v>88</v>
      </c>
      <c r="AL147" s="12" t="s">
        <v>88</v>
      </c>
      <c r="AM147" s="12" t="s">
        <v>88</v>
      </c>
      <c r="AN147" s="12" t="s">
        <v>88</v>
      </c>
      <c r="AO147" s="12" t="s">
        <v>88</v>
      </c>
      <c r="AP147" s="12" t="s">
        <v>88</v>
      </c>
      <c r="AQ147" s="12" t="s">
        <v>88</v>
      </c>
      <c r="AR147" s="12" t="s">
        <v>88</v>
      </c>
      <c r="AS147" s="12" t="s">
        <v>88</v>
      </c>
      <c r="AT147" s="12" t="s">
        <v>88</v>
      </c>
      <c r="AU147" s="12" t="s">
        <v>88</v>
      </c>
      <c r="AV147" s="12" t="s">
        <v>88</v>
      </c>
      <c r="AW147" s="12" t="s">
        <v>88</v>
      </c>
      <c r="AX147" s="12" t="s">
        <v>88</v>
      </c>
      <c r="AY147" s="12" t="s">
        <v>88</v>
      </c>
      <c r="AZ147" s="12" t="s">
        <v>88</v>
      </c>
      <c r="BA147" s="12" t="s">
        <v>88</v>
      </c>
      <c r="BB147" s="12" t="s">
        <v>88</v>
      </c>
      <c r="BC147" s="12" t="s">
        <v>88</v>
      </c>
      <c r="BD147" s="12" t="s">
        <v>88</v>
      </c>
      <c r="BE147" s="12" t="s">
        <v>88</v>
      </c>
      <c r="BF147" s="12" t="s">
        <v>88</v>
      </c>
      <c r="BG147" s="12" t="s">
        <v>88</v>
      </c>
      <c r="BH147" s="12" t="s">
        <v>88</v>
      </c>
      <c r="BI147" s="12" t="s">
        <v>88</v>
      </c>
      <c r="BJ147" s="12" t="s">
        <v>88</v>
      </c>
      <c r="BK147" s="12" t="s">
        <v>88</v>
      </c>
      <c r="BL147" s="12" t="s">
        <v>88</v>
      </c>
      <c r="BM147" s="12" t="s">
        <v>88</v>
      </c>
      <c r="BN147" s="12" t="s">
        <v>88</v>
      </c>
      <c r="BO147" s="12" t="s">
        <v>88</v>
      </c>
      <c r="BP147" s="12" t="s">
        <v>88</v>
      </c>
      <c r="BQ147" s="12" t="s">
        <v>88</v>
      </c>
      <c r="BR147" s="12" t="s">
        <v>88</v>
      </c>
      <c r="BS147" s="12" t="s">
        <v>88</v>
      </c>
      <c r="BT147" s="12" t="s">
        <v>88</v>
      </c>
      <c r="BU147" s="12" t="s">
        <v>88</v>
      </c>
      <c r="BV147" s="12" t="s">
        <v>88</v>
      </c>
      <c r="BW147" s="12" t="s">
        <v>88</v>
      </c>
      <c r="BX147" s="12" t="s">
        <v>88</v>
      </c>
      <c r="BY147" s="12" t="s">
        <v>88</v>
      </c>
      <c r="BZ147" s="12" t="s">
        <v>88</v>
      </c>
      <c r="CA147" s="12" t="s">
        <v>88</v>
      </c>
      <c r="EX147" s="10" t="str">
        <f t="shared" si="3"/>
        <v>*</v>
      </c>
    </row>
  </sheetData>
  <sheetProtection algorithmName="SHA-512" hashValue="06s+YBBp+tdtZedTFKEkNh3im1kCKhYBbHPsp7SMRJa22XZNJ2FUXjoMaVO7Rz+ix0PjoJSOYR/MdcsMrAs7DQ==" saltValue="6aOCo/+0Zd7IeKyHkeX6kQ==" spinCount="100000" sheet="1" objects="1" scenarios="1"/>
  <mergeCells count="3">
    <mergeCell ref="BY1:BY6"/>
    <mergeCell ref="CA1:CA6"/>
    <mergeCell ref="BZ4:BZ6"/>
  </mergeCells>
  <conditionalFormatting sqref="A2">
    <cfRule type="cellIs" dxfId="32" priority="30" operator="equal">
      <formula>0</formula>
    </cfRule>
    <cfRule type="cellIs" dxfId="31" priority="31" operator="greaterThan">
      <formula>0</formula>
    </cfRule>
  </conditionalFormatting>
  <conditionalFormatting sqref="V14:Y14">
    <cfRule type="cellIs" dxfId="30" priority="24" operator="equal">
      <formula>0</formula>
    </cfRule>
    <cfRule type="containsText" dxfId="29" priority="25" operator="containsText" text="Outstanding">
      <formula>NOT(ISERROR(SEARCH("Outstanding",V14)))</formula>
    </cfRule>
    <cfRule type="containsText" dxfId="28" priority="26" operator="containsText" text="Requires Improvement">
      <formula>NOT(ISERROR(SEARCH("Requires Improvement",V14)))</formula>
    </cfRule>
    <cfRule type="containsText" dxfId="27" priority="27" operator="containsText" text="Inadequate">
      <formula>NOT(ISERROR(SEARCH("Inadequate",V14)))</formula>
    </cfRule>
    <cfRule type="containsText" dxfId="26" priority="28" operator="containsText" text="Good">
      <formula>NOT(ISERROR(SEARCH("Good",V14)))</formula>
    </cfRule>
    <cfRule type="containsText" dxfId="25" priority="29" operator="containsText" text="&quot;&quot;">
      <formula>NOT(ISERROR(SEARCH("""""",V14)))</formula>
    </cfRule>
  </conditionalFormatting>
  <conditionalFormatting sqref="AA14:AD14">
    <cfRule type="cellIs" dxfId="24" priority="6" operator="equal">
      <formula>0</formula>
    </cfRule>
    <cfRule type="containsText" dxfId="23" priority="7" operator="containsText" text="Outstanding">
      <formula>NOT(ISERROR(SEARCH("Outstanding",AA14)))</formula>
    </cfRule>
    <cfRule type="containsText" dxfId="22" priority="8" operator="containsText" text="Requires Improvement">
      <formula>NOT(ISERROR(SEARCH("Requires Improvement",AA14)))</formula>
    </cfRule>
    <cfRule type="containsText" dxfId="21" priority="9" operator="containsText" text="Inadequate">
      <formula>NOT(ISERROR(SEARCH("Inadequate",AA14)))</formula>
    </cfRule>
    <cfRule type="containsText" dxfId="20" priority="10" operator="containsText" text="Good">
      <formula>NOT(ISERROR(SEARCH("Good",AA14)))</formula>
    </cfRule>
    <cfRule type="containsText" dxfId="19" priority="11" operator="containsText" text="&quot;&quot;">
      <formula>NOT(ISERROR(SEARCH("""""",AA14)))</formula>
    </cfRule>
  </conditionalFormatting>
  <conditionalFormatting sqref="A1">
    <cfRule type="cellIs" dxfId="18" priority="4" operator="equal">
      <formula>0</formula>
    </cfRule>
    <cfRule type="cellIs" dxfId="17" priority="5" operator="greaterThan">
      <formula>0</formula>
    </cfRule>
  </conditionalFormatting>
  <dataValidations count="6">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83" xr:uid="{D04E0196-7263-470D-9218-461D9E602355}"/>
    <dataValidation allowBlank="1" showInputMessage="1" promptTitle="DSCR" prompt="Calculated as:_x000a_Net operating cash flow / (Total interest paid + Interest element of finance leases + Repayment of amount borrowed + Capital element of finance leases) _x000a__x000a__x000a_" sqref="B45" xr:uid="{FE40EB7B-C9D6-4299-B065-643C4A0E69E4}"/>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31" xr:uid="{96863431-5913-4CAB-B32D-4FEA39AFC01C}"/>
    <dataValidation allowBlank="1" showInputMessage="1" promptTitle="Adjusted cash days" prompt="Calculated as:_x000a_Cash and cash equivalents / (Staff costs excl. restructuring less LGPS costs and contributions + Other operating expenditure less Bad debt provision costs + Interest expense)_x000a__x000a_" sqref="B71" xr:uid="{492A2886-2877-4F90-9806-1BFC750B8428}"/>
    <dataValidation allowBlank="1" showInputMessage="1" promptTitle="Borrowing" prompt="+loans/overdrafts and finance leases due within one year _x000a_+ loans and finance leases due after one year _x000a_+ interest payable on loans/overdrafts_x000a__x000a_as % of adjusted income_x000a_ _x000a__x000a_" sqref="B57" xr:uid="{3EAEC433-B0D6-4F42-A664-1C48BE367917}"/>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DE0D8BD9-F812-4B8F-BC58-817C7E432267}"/>
  </dataValidations>
  <pageMargins left="0.70866141732283472" right="0.70866141732283472" top="0.74803149606299213" bottom="0.74803149606299213" header="0.31496062992125984" footer="0.31496062992125984"/>
  <pageSetup paperSize="8" scale="60" orientation="landscape" r:id="rId1"/>
  <rowBreaks count="1" manualBreakCount="1">
    <brk id="55" max="35" man="1"/>
  </rowBreaks>
  <drawing r:id="rId2"/>
  <extLst>
    <ext xmlns:x14="http://schemas.microsoft.com/office/spreadsheetml/2009/9/main" uri="{78C0D931-6437-407d-A8EE-F0AAD7539E65}">
      <x14:conditionalFormattings>
        <x14:conditionalFormatting xmlns:xm="http://schemas.microsoft.com/office/excel/2006/main">
          <x14:cfRule type="expression" priority="1" id="{588618DF-5A8C-4806-9038-C2F83875648B}">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1003E14-FF98-470D-AB29-DBD02D3DB55A}">
          <x14:formula1>
            <xm:f>'Dash Data'!$D$93:$D$100</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56ABB-9636-4E1B-BF18-D8E9742E8CC1}">
  <sheetPr codeName="Sheet25">
    <outlinePr summaryBelow="0" summaryRight="0"/>
    <pageSetUpPr autoPageBreaks="0"/>
  </sheetPr>
  <dimension ref="A1:EX107"/>
  <sheetViews>
    <sheetView showGridLines="0" zoomScaleNormal="100" workbookViewId="0">
      <pane xSplit="8" ySplit="7" topLeftCell="I8" activePane="bottomRight" state="frozen"/>
      <selection pane="topRight"/>
      <selection pane="bottomLeft"/>
      <selection pane="bottomRight"/>
    </sheetView>
  </sheetViews>
  <sheetFormatPr defaultColWidth="8.5703125" defaultRowHeight="15" outlineLevelCol="1" x14ac:dyDescent="0.25"/>
  <cols>
    <col min="1" max="1" width="5.5703125" style="67" bestFit="1" customWidth="1" collapsed="1"/>
    <col min="2" max="3" width="9.42578125" style="67" bestFit="1" customWidth="1"/>
    <col min="4" max="4" width="48.42578125" style="67" customWidth="1"/>
    <col min="5" max="5" width="12.42578125" style="1" customWidth="1" outlineLevel="1"/>
    <col min="6" max="6" width="1.5703125" style="67" customWidth="1" collapsed="1"/>
    <col min="7" max="7" width="7.42578125" style="67" hidden="1" customWidth="1" outlineLevel="1"/>
    <col min="8" max="8" width="15" style="67" hidden="1" customWidth="1" outlineLevel="1"/>
    <col min="9" max="9" width="2" style="67" bestFit="1" customWidth="1" collapsed="1"/>
    <col min="10" max="10" width="2" style="67" hidden="1" customWidth="1" outlineLevel="1"/>
    <col min="11" max="18" width="8.5703125" style="67" hidden="1" customWidth="1" outlineLevel="1"/>
    <col min="19" max="19" width="1.42578125" style="67" hidden="1" customWidth="1" outlineLevel="1"/>
    <col min="20" max="21" width="11.140625" style="67" hidden="1" customWidth="1" outlineLevel="1"/>
    <col min="22" max="25" width="9.42578125" style="67" bestFit="1" customWidth="1"/>
    <col min="26" max="26" width="1.42578125" style="67" customWidth="1"/>
    <col min="27" max="62" width="9.5703125" style="67" bestFit="1" customWidth="1"/>
    <col min="63" max="63" width="1.42578125" style="67" customWidth="1"/>
    <col min="64" max="75" width="9.42578125" style="67" bestFit="1" customWidth="1"/>
    <col min="76" max="76" width="1.42578125" style="67" customWidth="1"/>
    <col min="77" max="77" width="3.42578125" style="67" customWidth="1"/>
    <col min="78" max="78" width="13.42578125" style="67" customWidth="1"/>
    <col min="79" max="79" width="2.5703125" style="67" customWidth="1"/>
    <col min="80" max="152" width="8.5703125" style="67"/>
    <col min="153" max="153" width="8.5703125" style="67" collapsed="1"/>
    <col min="154" max="154" width="23.5703125" style="67" hidden="1" customWidth="1" outlineLevel="1"/>
    <col min="155" max="16384" width="8.5703125" style="67"/>
  </cols>
  <sheetData>
    <row r="1" spans="1:154" x14ac:dyDescent="0.25">
      <c r="A1" s="7">
        <f ca="1">ToC!A1</f>
        <v>0</v>
      </c>
      <c r="B1" s="14" t="s">
        <v>724</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CA1" s="575"/>
      <c r="EX1" s="5" t="s">
        <v>1563</v>
      </c>
    </row>
    <row r="2" spans="1:154" ht="14.45" customHeight="1" x14ac:dyDescent="0.25">
      <c r="A2" s="14"/>
      <c r="B2" s="92" t="str" cm="1">
        <f t="array" aca="1" ref="B2" ca="1">HYPERLINK(CONCATENATE("#",CELL("address",Guide!$A$134)),Guide!$B$1)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CA2" s="575"/>
      <c r="EX2" s="335"/>
    </row>
    <row r="3" spans="1:154" x14ac:dyDescent="0.25">
      <c r="A3" s="92" t="str" cm="1">
        <f t="array" aca="1" ref="A3" ca="1">HYPERLINK(CONCATENATE("#",CELL("address",ToC!$A$1)),ToC!$C$1)</f>
        <v>ToC</v>
      </c>
      <c r="B3" s="14"/>
      <c r="C3" s="14"/>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CA3" s="575"/>
      <c r="EX3" s="335"/>
    </row>
    <row r="4" spans="1:154" x14ac:dyDescent="0.25">
      <c r="A4" s="14"/>
      <c r="B4" s="14"/>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6"/>
      <c r="CA4" s="575"/>
      <c r="EX4" s="335"/>
    </row>
    <row r="5" spans="1:154" x14ac:dyDescent="0.25">
      <c r="A5" s="14"/>
      <c r="B5" s="14"/>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6"/>
      <c r="CA5" s="575"/>
      <c r="EX5" s="335"/>
    </row>
    <row r="6" spans="1:154" x14ac:dyDescent="0.25">
      <c r="A6" s="80" t="str" cm="1">
        <f t="array" aca="1" ref="A6" ca="1">HYPERLINK(CONCATENATE("#",CELL("address",BY7)),"Check")</f>
        <v>Check</v>
      </c>
      <c r="B6" s="14"/>
      <c r="C6" s="14"/>
      <c r="D6" s="26" t="s">
        <v>5</v>
      </c>
      <c r="E6" s="14"/>
      <c r="F6" s="14"/>
      <c r="G6" s="14" t="s">
        <v>6</v>
      </c>
      <c r="H6" s="14" t="s">
        <v>117</v>
      </c>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576"/>
      <c r="CA6" s="575"/>
      <c r="EX6" s="335"/>
    </row>
    <row r="7" spans="1:154" x14ac:dyDescent="0.25">
      <c r="A7" s="522"/>
      <c r="B7" s="523" t="s">
        <v>2494</v>
      </c>
      <c r="C7" s="522"/>
      <c r="D7" s="524"/>
      <c r="E7" s="522"/>
      <c r="F7" s="522"/>
      <c r="G7" s="522"/>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c r="AG7" s="522"/>
      <c r="AH7" s="522"/>
      <c r="AI7" s="522"/>
      <c r="AJ7" s="522"/>
      <c r="AK7" s="522"/>
      <c r="AL7" s="522"/>
      <c r="AM7" s="522"/>
      <c r="AN7" s="522"/>
      <c r="AO7" s="522"/>
      <c r="AP7" s="522"/>
      <c r="AQ7" s="522"/>
      <c r="AR7" s="522"/>
      <c r="AS7" s="522"/>
      <c r="AT7" s="522"/>
      <c r="AU7" s="522"/>
      <c r="AV7" s="522"/>
      <c r="AW7" s="522"/>
      <c r="AX7" s="522"/>
      <c r="AY7" s="522"/>
      <c r="AZ7" s="522"/>
      <c r="BA7" s="522"/>
      <c r="BB7" s="522"/>
      <c r="BC7" s="522"/>
      <c r="BD7" s="522"/>
      <c r="BE7" s="522"/>
      <c r="BF7" s="522"/>
      <c r="BG7" s="522"/>
      <c r="BH7" s="522"/>
      <c r="BI7" s="522"/>
      <c r="BJ7" s="522"/>
      <c r="BK7" s="522"/>
      <c r="BL7" s="522"/>
      <c r="BM7" s="525"/>
      <c r="BN7" s="522"/>
      <c r="BO7" s="522"/>
      <c r="BP7" s="522"/>
      <c r="BQ7" s="522"/>
      <c r="BR7" s="522"/>
      <c r="BS7" s="522"/>
      <c r="BT7" s="522"/>
      <c r="BU7" s="522"/>
      <c r="BV7" s="522"/>
      <c r="BW7" s="522"/>
      <c r="BX7" s="522"/>
      <c r="BY7" s="526"/>
      <c r="BZ7" s="522"/>
      <c r="CA7" s="526"/>
      <c r="CB7" s="522"/>
      <c r="CC7" s="522"/>
      <c r="CD7" s="522"/>
      <c r="CE7" s="522"/>
      <c r="CF7" s="522"/>
      <c r="CG7" s="522"/>
      <c r="CH7" s="522"/>
      <c r="CI7" s="522"/>
      <c r="CJ7" s="522"/>
      <c r="CK7" s="522"/>
      <c r="CL7" s="522"/>
      <c r="CM7" s="522"/>
      <c r="CN7" s="522"/>
      <c r="CO7" s="522"/>
      <c r="CP7" s="522"/>
      <c r="CQ7" s="522"/>
      <c r="CR7" s="522"/>
      <c r="CS7" s="522"/>
      <c r="CT7" s="522"/>
      <c r="CU7" s="522"/>
      <c r="CV7" s="522"/>
      <c r="CW7" s="522"/>
      <c r="CX7" s="522"/>
      <c r="CY7" s="522"/>
      <c r="CZ7" s="522"/>
      <c r="DA7" s="522"/>
      <c r="DB7" s="522"/>
      <c r="DC7" s="522"/>
      <c r="DD7" s="522"/>
      <c r="DE7" s="522"/>
      <c r="DF7" s="522"/>
      <c r="DG7" s="522"/>
      <c r="DH7" s="522"/>
      <c r="DI7" s="522"/>
      <c r="DJ7" s="522"/>
      <c r="DK7" s="522"/>
      <c r="DL7" s="522"/>
      <c r="DM7" s="522"/>
      <c r="DN7" s="522"/>
      <c r="DO7" s="522"/>
      <c r="DP7" s="522"/>
      <c r="DQ7" s="522"/>
      <c r="DR7" s="522"/>
      <c r="DS7" s="522"/>
      <c r="DT7" s="522"/>
      <c r="DU7" s="522"/>
      <c r="DV7" s="522"/>
      <c r="DW7" s="522"/>
      <c r="DX7" s="522"/>
      <c r="DY7" s="522"/>
      <c r="DZ7" s="522"/>
      <c r="EA7" s="522"/>
      <c r="EB7" s="522"/>
      <c r="EC7" s="522"/>
      <c r="ED7" s="522"/>
      <c r="EE7" s="522"/>
      <c r="EF7" s="522"/>
      <c r="EG7" s="522"/>
      <c r="EH7" s="522"/>
      <c r="EI7" s="522"/>
      <c r="EJ7" s="522"/>
      <c r="EK7" s="522"/>
      <c r="EL7" s="522"/>
      <c r="EM7" s="522"/>
      <c r="EN7" s="522"/>
      <c r="EO7" s="522"/>
      <c r="EP7" s="522"/>
      <c r="EQ7" s="522"/>
      <c r="ER7" s="522"/>
      <c r="ES7" s="522"/>
      <c r="ET7" s="522"/>
      <c r="EU7" s="522"/>
      <c r="EV7" s="522"/>
      <c r="EW7" s="522"/>
      <c r="EX7" s="522"/>
    </row>
    <row r="8" spans="1:154" ht="8.1" customHeight="1" x14ac:dyDescent="0.25">
      <c r="A8" s="522"/>
      <c r="B8" s="522"/>
      <c r="C8" s="522"/>
      <c r="D8" s="522"/>
      <c r="E8" s="522"/>
      <c r="F8" s="522"/>
      <c r="G8" s="522"/>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c r="AG8" s="522"/>
      <c r="AH8" s="522"/>
      <c r="AI8" s="522"/>
      <c r="AJ8" s="522"/>
      <c r="AK8" s="522"/>
      <c r="AL8" s="522"/>
      <c r="AM8" s="522"/>
      <c r="AN8" s="522"/>
      <c r="AO8" s="522"/>
      <c r="AP8" s="522"/>
      <c r="AQ8" s="522"/>
      <c r="AR8" s="522"/>
      <c r="AS8" s="522"/>
      <c r="AT8" s="522"/>
      <c r="AU8" s="522"/>
      <c r="AV8" s="522"/>
      <c r="AW8" s="522"/>
      <c r="AX8" s="522"/>
      <c r="AY8" s="522"/>
      <c r="AZ8" s="522"/>
      <c r="BA8" s="522"/>
      <c r="BB8" s="522"/>
      <c r="BC8" s="522"/>
      <c r="BD8" s="522"/>
      <c r="BE8" s="522"/>
      <c r="BF8" s="522"/>
      <c r="BG8" s="522"/>
      <c r="BH8" s="522"/>
      <c r="BI8" s="522"/>
      <c r="BJ8" s="522"/>
      <c r="BK8" s="522"/>
      <c r="BL8" s="522"/>
      <c r="BM8" s="522"/>
      <c r="BN8" s="522"/>
      <c r="BO8" s="522"/>
      <c r="BP8" s="522"/>
      <c r="BQ8" s="522"/>
      <c r="BR8" s="522"/>
      <c r="BS8" s="522"/>
      <c r="BT8" s="522"/>
      <c r="BU8" s="522"/>
      <c r="BV8" s="522"/>
      <c r="BW8" s="522"/>
      <c r="BX8" s="522"/>
      <c r="BY8" s="526"/>
      <c r="BZ8" s="522"/>
      <c r="CA8" s="526"/>
      <c r="CB8" s="522"/>
      <c r="CC8" s="522"/>
      <c r="CD8" s="522"/>
      <c r="CE8" s="522"/>
      <c r="CF8" s="522"/>
      <c r="CG8" s="522"/>
      <c r="CH8" s="522"/>
      <c r="CI8" s="522"/>
      <c r="CJ8" s="522"/>
      <c r="CK8" s="522"/>
      <c r="CL8" s="522"/>
      <c r="CM8" s="522"/>
      <c r="CN8" s="522"/>
      <c r="CO8" s="522"/>
      <c r="CP8" s="522"/>
      <c r="CQ8" s="522"/>
      <c r="CR8" s="522"/>
      <c r="CS8" s="522"/>
      <c r="CT8" s="522"/>
      <c r="CU8" s="522"/>
      <c r="CV8" s="522"/>
      <c r="CW8" s="522"/>
      <c r="CX8" s="522"/>
      <c r="CY8" s="522"/>
      <c r="CZ8" s="522"/>
      <c r="DA8" s="522"/>
      <c r="DB8" s="522"/>
      <c r="DC8" s="522"/>
      <c r="DD8" s="522"/>
      <c r="DE8" s="522"/>
      <c r="DF8" s="522"/>
      <c r="DG8" s="522"/>
      <c r="DH8" s="522"/>
      <c r="DI8" s="522"/>
      <c r="DJ8" s="522"/>
      <c r="DK8" s="522"/>
      <c r="DL8" s="522"/>
      <c r="DM8" s="522"/>
      <c r="DN8" s="522"/>
      <c r="DO8" s="522"/>
      <c r="DP8" s="522"/>
      <c r="DQ8" s="522"/>
      <c r="DR8" s="522"/>
      <c r="DS8" s="522"/>
      <c r="DT8" s="522"/>
      <c r="DU8" s="522"/>
      <c r="DV8" s="522"/>
      <c r="DW8" s="522"/>
      <c r="DX8" s="522"/>
      <c r="DY8" s="522"/>
      <c r="DZ8" s="522"/>
      <c r="EA8" s="522"/>
      <c r="EB8" s="522"/>
      <c r="EC8" s="522"/>
      <c r="ED8" s="522"/>
      <c r="EE8" s="522"/>
      <c r="EF8" s="522"/>
      <c r="EG8" s="522"/>
      <c r="EH8" s="522"/>
      <c r="EI8" s="522"/>
      <c r="EJ8" s="522"/>
      <c r="EK8" s="522"/>
      <c r="EL8" s="522"/>
      <c r="EM8" s="522"/>
      <c r="EN8" s="522"/>
      <c r="EO8" s="522"/>
      <c r="EP8" s="522"/>
      <c r="EQ8" s="522"/>
      <c r="ER8" s="522"/>
      <c r="ES8" s="522"/>
      <c r="ET8" s="522"/>
      <c r="EU8" s="522"/>
      <c r="EV8" s="522"/>
      <c r="EW8" s="522"/>
      <c r="EX8" s="527" t="str">
        <f t="shared" ref="EX8" si="0">IF($C8="","",$D8)</f>
        <v/>
      </c>
    </row>
    <row r="9" spans="1:154" s="335" customFormat="1" x14ac:dyDescent="0.25">
      <c r="A9" s="522"/>
      <c r="B9" s="522"/>
      <c r="C9" s="528"/>
      <c r="D9" s="529" t="str">
        <f>'BS Forecasts'!D$10</f>
        <v>Periods in use Flag</v>
      </c>
      <c r="E9" s="522"/>
      <c r="F9" s="522"/>
      <c r="G9" s="522"/>
      <c r="H9" s="522"/>
      <c r="I9" s="522"/>
      <c r="J9" s="522"/>
      <c r="K9" s="522"/>
      <c r="L9" s="522"/>
      <c r="M9" s="522"/>
      <c r="N9" s="522"/>
      <c r="O9" s="522"/>
      <c r="P9" s="522"/>
      <c r="Q9" s="522"/>
      <c r="R9" s="522"/>
      <c r="S9" s="522"/>
      <c r="T9" s="522"/>
      <c r="U9" s="522"/>
      <c r="V9" s="530">
        <f>'BS Forecasts'!V$10</f>
        <v>0</v>
      </c>
      <c r="W9" s="530">
        <f>'BS Forecasts'!W$10</f>
        <v>1</v>
      </c>
      <c r="X9" s="530">
        <f>'BS Forecasts'!X$10</f>
        <v>1</v>
      </c>
      <c r="Y9" s="530">
        <f>'BS Forecasts'!Y$10</f>
        <v>1</v>
      </c>
      <c r="Z9" s="522"/>
      <c r="AA9" s="530">
        <f>'BS Forecasts'!AA$10</f>
        <v>1</v>
      </c>
      <c r="AB9" s="530">
        <f>'BS Forecasts'!AB$10</f>
        <v>1</v>
      </c>
      <c r="AC9" s="530">
        <f>'BS Forecasts'!AC$10</f>
        <v>1</v>
      </c>
      <c r="AD9" s="530">
        <f>'BS Forecasts'!AD$10</f>
        <v>1</v>
      </c>
      <c r="AE9" s="530">
        <f>'BS Forecasts'!AE$10</f>
        <v>1</v>
      </c>
      <c r="AF9" s="530">
        <f>'BS Forecasts'!AF$10</f>
        <v>1</v>
      </c>
      <c r="AG9" s="530">
        <f>'BS Forecasts'!AG$10</f>
        <v>1</v>
      </c>
      <c r="AH9" s="530">
        <f>'BS Forecasts'!AH$10</f>
        <v>1</v>
      </c>
      <c r="AI9" s="530">
        <f>'BS Forecasts'!AI$10</f>
        <v>1</v>
      </c>
      <c r="AJ9" s="530">
        <f>'BS Forecasts'!AJ$10</f>
        <v>1</v>
      </c>
      <c r="AK9" s="530">
        <f>'BS Forecasts'!AK$10</f>
        <v>1</v>
      </c>
      <c r="AL9" s="530">
        <f>'BS Forecasts'!AL$10</f>
        <v>1</v>
      </c>
      <c r="AM9" s="530">
        <f>'BS Forecasts'!AM$10</f>
        <v>1</v>
      </c>
      <c r="AN9" s="530">
        <f>'BS Forecasts'!AN$10</f>
        <v>1</v>
      </c>
      <c r="AO9" s="530">
        <f>'BS Forecasts'!AO$10</f>
        <v>1</v>
      </c>
      <c r="AP9" s="530">
        <f>'BS Forecasts'!AP$10</f>
        <v>1</v>
      </c>
      <c r="AQ9" s="530">
        <f>'BS Forecasts'!AQ$10</f>
        <v>1</v>
      </c>
      <c r="AR9" s="530">
        <f>'BS Forecasts'!AR$10</f>
        <v>1</v>
      </c>
      <c r="AS9" s="530">
        <f>'BS Forecasts'!AS$10</f>
        <v>1</v>
      </c>
      <c r="AT9" s="530">
        <f>'BS Forecasts'!AT$10</f>
        <v>1</v>
      </c>
      <c r="AU9" s="530">
        <f>'BS Forecasts'!AU$10</f>
        <v>1</v>
      </c>
      <c r="AV9" s="530">
        <f>'BS Forecasts'!AV$10</f>
        <v>1</v>
      </c>
      <c r="AW9" s="530">
        <f>'BS Forecasts'!AW$10</f>
        <v>1</v>
      </c>
      <c r="AX9" s="530">
        <f>'BS Forecasts'!AX$10</f>
        <v>1</v>
      </c>
      <c r="AY9" s="530">
        <f>'BS Forecasts'!AY$10</f>
        <v>1</v>
      </c>
      <c r="AZ9" s="530">
        <f>'BS Forecasts'!AZ$10</f>
        <v>1</v>
      </c>
      <c r="BA9" s="530">
        <f>'BS Forecasts'!BA$10</f>
        <v>1</v>
      </c>
      <c r="BB9" s="530">
        <f>'BS Forecasts'!BB$10</f>
        <v>1</v>
      </c>
      <c r="BC9" s="530">
        <f>'BS Forecasts'!BC$10</f>
        <v>1</v>
      </c>
      <c r="BD9" s="530">
        <f>'BS Forecasts'!BD$10</f>
        <v>1</v>
      </c>
      <c r="BE9" s="530">
        <f>'BS Forecasts'!BE$10</f>
        <v>1</v>
      </c>
      <c r="BF9" s="530">
        <f>'BS Forecasts'!BF$10</f>
        <v>1</v>
      </c>
      <c r="BG9" s="530">
        <f>'BS Forecasts'!BG$10</f>
        <v>1</v>
      </c>
      <c r="BH9" s="530">
        <f>'BS Forecasts'!BH$10</f>
        <v>1</v>
      </c>
      <c r="BI9" s="530">
        <f>'BS Forecasts'!BI$10</f>
        <v>1</v>
      </c>
      <c r="BJ9" s="530">
        <f>'BS Forecasts'!BJ$10</f>
        <v>1</v>
      </c>
      <c r="BK9" s="522"/>
      <c r="BL9" s="530">
        <f>'BS Forecasts'!BL$10</f>
        <v>0</v>
      </c>
      <c r="BM9" s="530">
        <f>'BS Forecasts'!BM$10</f>
        <v>1</v>
      </c>
      <c r="BN9" s="530">
        <f>'BS Forecasts'!BN$10</f>
        <v>1</v>
      </c>
      <c r="BO9" s="530">
        <f>'BS Forecasts'!BO$10</f>
        <v>1</v>
      </c>
      <c r="BP9" s="530">
        <f>'BS Forecasts'!BP$10</f>
        <v>0</v>
      </c>
      <c r="BQ9" s="530">
        <f>'BS Forecasts'!BQ$10</f>
        <v>0</v>
      </c>
      <c r="BR9" s="530">
        <f>'BS Forecasts'!BR$10</f>
        <v>0</v>
      </c>
      <c r="BS9" s="530">
        <f>'BS Forecasts'!BS$10</f>
        <v>0</v>
      </c>
      <c r="BT9" s="530">
        <f>'BS Forecasts'!BT$10</f>
        <v>0</v>
      </c>
      <c r="BU9" s="530">
        <f>'BS Forecasts'!BU$10</f>
        <v>0</v>
      </c>
      <c r="BV9" s="530">
        <f>'BS Forecasts'!BV$10</f>
        <v>0</v>
      </c>
      <c r="BW9" s="530">
        <f>'BS Forecasts'!BW$10</f>
        <v>0</v>
      </c>
      <c r="BX9" s="522"/>
      <c r="BY9" s="531"/>
      <c r="BZ9" s="522"/>
      <c r="CA9" s="526"/>
      <c r="CB9" s="522"/>
      <c r="CC9" s="522"/>
      <c r="CD9" s="522"/>
      <c r="CE9" s="522"/>
      <c r="CF9" s="522"/>
      <c r="CG9" s="522"/>
      <c r="CH9" s="522"/>
      <c r="CI9" s="522"/>
      <c r="CJ9" s="522"/>
      <c r="CK9" s="522"/>
      <c r="CL9" s="522"/>
      <c r="CM9" s="522"/>
      <c r="CN9" s="522"/>
      <c r="CO9" s="522"/>
      <c r="CP9" s="522"/>
      <c r="CQ9" s="522"/>
      <c r="CR9" s="522"/>
      <c r="CS9" s="522"/>
      <c r="CT9" s="522"/>
      <c r="CU9" s="522"/>
      <c r="CV9" s="522"/>
      <c r="CW9" s="522"/>
      <c r="CX9" s="522"/>
      <c r="CY9" s="522"/>
      <c r="CZ9" s="522"/>
      <c r="DA9" s="522"/>
      <c r="DB9" s="522"/>
      <c r="DC9" s="522"/>
      <c r="DD9" s="522"/>
      <c r="DE9" s="522"/>
      <c r="DF9" s="522"/>
      <c r="DG9" s="522"/>
      <c r="DH9" s="522"/>
      <c r="DI9" s="522"/>
      <c r="DJ9" s="522"/>
      <c r="DK9" s="522"/>
      <c r="DL9" s="522"/>
      <c r="DM9" s="522"/>
      <c r="DN9" s="522"/>
      <c r="DO9" s="522"/>
      <c r="DP9" s="522"/>
      <c r="DQ9" s="522"/>
      <c r="DR9" s="522"/>
      <c r="DS9" s="522"/>
      <c r="DT9" s="522"/>
      <c r="DU9" s="522"/>
      <c r="DV9" s="522"/>
      <c r="DW9" s="522"/>
      <c r="DX9" s="522"/>
      <c r="DY9" s="522"/>
      <c r="DZ9" s="522"/>
      <c r="EA9" s="522"/>
      <c r="EB9" s="522"/>
      <c r="EC9" s="522"/>
      <c r="ED9" s="522"/>
      <c r="EE9" s="522"/>
      <c r="EF9" s="522"/>
      <c r="EG9" s="522"/>
      <c r="EH9" s="522"/>
      <c r="EI9" s="522"/>
      <c r="EJ9" s="522"/>
      <c r="EK9" s="522"/>
      <c r="EL9" s="522"/>
      <c r="EM9" s="522"/>
      <c r="EN9" s="522"/>
      <c r="EO9" s="522"/>
      <c r="EP9" s="522"/>
      <c r="EQ9" s="522"/>
      <c r="ER9" s="522"/>
      <c r="ES9" s="522"/>
      <c r="ET9" s="522"/>
      <c r="EU9" s="522"/>
      <c r="EV9" s="522"/>
      <c r="EW9" s="522"/>
      <c r="EX9" s="527" t="str">
        <f>IF($C9="","",$D9)</f>
        <v/>
      </c>
    </row>
    <row r="10" spans="1:154" s="335" customFormat="1" ht="8.1" customHeight="1" x14ac:dyDescent="0.25">
      <c r="A10" s="522"/>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2"/>
      <c r="BL10" s="522"/>
      <c r="BM10" s="522"/>
      <c r="BN10" s="522"/>
      <c r="BO10" s="522"/>
      <c r="BP10" s="522"/>
      <c r="BQ10" s="522"/>
      <c r="BR10" s="522"/>
      <c r="BS10" s="522"/>
      <c r="BT10" s="522"/>
      <c r="BU10" s="522"/>
      <c r="BV10" s="522"/>
      <c r="BW10" s="522"/>
      <c r="BX10" s="522"/>
      <c r="BY10" s="526"/>
      <c r="BZ10" s="522"/>
      <c r="CA10" s="526"/>
      <c r="CB10" s="522"/>
      <c r="CC10" s="522"/>
      <c r="CD10" s="522"/>
      <c r="CE10" s="522"/>
      <c r="CF10" s="522"/>
      <c r="CG10" s="522"/>
      <c r="CH10" s="522"/>
      <c r="CI10" s="522"/>
      <c r="CJ10" s="522"/>
      <c r="CK10" s="522"/>
      <c r="CL10" s="522"/>
      <c r="CM10" s="522"/>
      <c r="CN10" s="522"/>
      <c r="CO10" s="522"/>
      <c r="CP10" s="522"/>
      <c r="CQ10" s="522"/>
      <c r="CR10" s="522"/>
      <c r="CS10" s="522"/>
      <c r="CT10" s="522"/>
      <c r="CU10" s="522"/>
      <c r="CV10" s="522"/>
      <c r="CW10" s="522"/>
      <c r="CX10" s="522"/>
      <c r="CY10" s="522"/>
      <c r="CZ10" s="522"/>
      <c r="DA10" s="522"/>
      <c r="DB10" s="522"/>
      <c r="DC10" s="522"/>
      <c r="DD10" s="522"/>
      <c r="DE10" s="522"/>
      <c r="DF10" s="522"/>
      <c r="DG10" s="522"/>
      <c r="DH10" s="522"/>
      <c r="DI10" s="522"/>
      <c r="DJ10" s="522"/>
      <c r="DK10" s="522"/>
      <c r="DL10" s="522"/>
      <c r="DM10" s="522"/>
      <c r="DN10" s="522"/>
      <c r="DO10" s="522"/>
      <c r="DP10" s="522"/>
      <c r="DQ10" s="522"/>
      <c r="DR10" s="522"/>
      <c r="DS10" s="522"/>
      <c r="DT10" s="522"/>
      <c r="DU10" s="522"/>
      <c r="DV10" s="522"/>
      <c r="DW10" s="522"/>
      <c r="DX10" s="522"/>
      <c r="DY10" s="522"/>
      <c r="DZ10" s="522"/>
      <c r="EA10" s="522"/>
      <c r="EB10" s="522"/>
      <c r="EC10" s="522"/>
      <c r="ED10" s="522"/>
      <c r="EE10" s="522"/>
      <c r="EF10" s="522"/>
      <c r="EG10" s="522"/>
      <c r="EH10" s="522"/>
      <c r="EI10" s="522"/>
      <c r="EJ10" s="522"/>
      <c r="EK10" s="522"/>
      <c r="EL10" s="522"/>
      <c r="EM10" s="522"/>
      <c r="EN10" s="522"/>
      <c r="EO10" s="522"/>
      <c r="EP10" s="522"/>
      <c r="EQ10" s="522"/>
      <c r="ER10" s="522"/>
      <c r="ES10" s="522"/>
      <c r="ET10" s="522"/>
      <c r="EU10" s="522"/>
      <c r="EV10" s="522"/>
      <c r="EW10" s="522"/>
      <c r="EX10" s="527" t="str">
        <f t="shared" ref="EX10:EX75" si="1">IF($C10="","",$D10)</f>
        <v/>
      </c>
    </row>
    <row r="11" spans="1:154" x14ac:dyDescent="0.25">
      <c r="A11" s="532"/>
      <c r="B11" s="532"/>
      <c r="C11" s="532"/>
      <c r="D11" s="532" t="s">
        <v>726</v>
      </c>
      <c r="E11" s="532"/>
      <c r="F11" s="532"/>
      <c r="G11" s="532"/>
      <c r="H11" s="532"/>
      <c r="I11" s="532"/>
      <c r="J11" s="532"/>
      <c r="K11" s="532"/>
      <c r="L11" s="532"/>
      <c r="M11" s="532"/>
      <c r="N11" s="532"/>
      <c r="O11" s="532"/>
      <c r="P11" s="532"/>
      <c r="Q11" s="532"/>
      <c r="R11" s="532"/>
      <c r="S11" s="532"/>
      <c r="T11" s="532"/>
      <c r="U11" s="532"/>
      <c r="V11" s="532"/>
      <c r="W11" s="533"/>
      <c r="X11" s="533"/>
      <c r="Y11" s="533"/>
      <c r="Z11" s="533"/>
      <c r="AA11" s="533"/>
      <c r="AB11" s="533"/>
      <c r="AC11" s="533"/>
      <c r="AD11" s="533"/>
      <c r="AE11" s="533"/>
      <c r="AF11" s="533"/>
      <c r="AG11" s="533"/>
      <c r="AH11" s="533"/>
      <c r="AI11" s="533"/>
      <c r="AJ11" s="533"/>
      <c r="AK11" s="533"/>
      <c r="AL11" s="533"/>
      <c r="AM11" s="533"/>
      <c r="AN11" s="533"/>
      <c r="AO11" s="533"/>
      <c r="AP11" s="533"/>
      <c r="AQ11" s="533"/>
      <c r="AR11" s="533"/>
      <c r="AS11" s="533"/>
      <c r="AT11" s="533"/>
      <c r="AU11" s="533"/>
      <c r="AV11" s="533"/>
      <c r="AW11" s="533"/>
      <c r="AX11" s="533"/>
      <c r="AY11" s="533"/>
      <c r="AZ11" s="533"/>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2"/>
      <c r="BY11" s="531"/>
      <c r="BZ11" s="522"/>
      <c r="CA11" s="526"/>
      <c r="CB11" s="522"/>
      <c r="CC11" s="522"/>
      <c r="CD11" s="522"/>
      <c r="CE11" s="522"/>
      <c r="CF11" s="522"/>
      <c r="CG11" s="522"/>
      <c r="CH11" s="522"/>
      <c r="CI11" s="522"/>
      <c r="CJ11" s="522"/>
      <c r="CK11" s="522"/>
      <c r="CL11" s="522"/>
      <c r="CM11" s="522"/>
      <c r="CN11" s="522"/>
      <c r="CO11" s="522"/>
      <c r="CP11" s="522"/>
      <c r="CQ11" s="522"/>
      <c r="CR11" s="522"/>
      <c r="CS11" s="522"/>
      <c r="CT11" s="522"/>
      <c r="CU11" s="522"/>
      <c r="CV11" s="522"/>
      <c r="CW11" s="522"/>
      <c r="CX11" s="522"/>
      <c r="CY11" s="522"/>
      <c r="CZ11" s="522"/>
      <c r="DA11" s="522"/>
      <c r="DB11" s="522"/>
      <c r="DC11" s="522"/>
      <c r="DD11" s="522"/>
      <c r="DE11" s="522"/>
      <c r="DF11" s="522"/>
      <c r="DG11" s="522"/>
      <c r="DH11" s="522"/>
      <c r="DI11" s="522"/>
      <c r="DJ11" s="522"/>
      <c r="DK11" s="522"/>
      <c r="DL11" s="522"/>
      <c r="DM11" s="522"/>
      <c r="DN11" s="522"/>
      <c r="DO11" s="522"/>
      <c r="DP11" s="522"/>
      <c r="DQ11" s="522"/>
      <c r="DR11" s="522"/>
      <c r="DS11" s="522"/>
      <c r="DT11" s="522"/>
      <c r="DU11" s="522"/>
      <c r="DV11" s="522"/>
      <c r="DW11" s="522"/>
      <c r="DX11" s="522"/>
      <c r="DY11" s="522"/>
      <c r="DZ11" s="522"/>
      <c r="EA11" s="522"/>
      <c r="EB11" s="522"/>
      <c r="EC11" s="522"/>
      <c r="ED11" s="522"/>
      <c r="EE11" s="522"/>
      <c r="EF11" s="522"/>
      <c r="EG11" s="522"/>
      <c r="EH11" s="522"/>
      <c r="EI11" s="522"/>
      <c r="EJ11" s="522"/>
      <c r="EK11" s="522"/>
      <c r="EL11" s="522"/>
      <c r="EM11" s="522"/>
      <c r="EN11" s="522"/>
      <c r="EO11" s="522"/>
      <c r="EP11" s="522"/>
      <c r="EQ11" s="522"/>
      <c r="ER11" s="522"/>
      <c r="ES11" s="522"/>
      <c r="ET11" s="522"/>
      <c r="EU11" s="522"/>
      <c r="EV11" s="522"/>
      <c r="EW11" s="522"/>
      <c r="EX11" s="527" t="str">
        <f t="shared" si="1"/>
        <v/>
      </c>
    </row>
    <row r="12" spans="1:154" ht="8.1" customHeight="1" x14ac:dyDescent="0.25">
      <c r="A12" s="522"/>
      <c r="B12" s="522"/>
      <c r="C12" s="522"/>
      <c r="D12" s="522"/>
      <c r="E12" s="522"/>
      <c r="F12" s="522"/>
      <c r="G12" s="522"/>
      <c r="H12" s="522"/>
      <c r="I12" s="522"/>
      <c r="J12" s="522"/>
      <c r="K12" s="522"/>
      <c r="L12" s="522"/>
      <c r="M12" s="522"/>
      <c r="N12" s="522"/>
      <c r="O12" s="522"/>
      <c r="P12" s="522"/>
      <c r="Q12" s="522"/>
      <c r="R12" s="522"/>
      <c r="S12" s="534"/>
      <c r="T12" s="522"/>
      <c r="U12" s="522"/>
      <c r="V12" s="522"/>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c r="BI12" s="534"/>
      <c r="BJ12" s="534"/>
      <c r="BK12" s="534"/>
      <c r="BL12" s="534"/>
      <c r="BM12" s="534"/>
      <c r="BN12" s="534"/>
      <c r="BO12" s="534"/>
      <c r="BP12" s="534"/>
      <c r="BQ12" s="534"/>
      <c r="BR12" s="534"/>
      <c r="BS12" s="534"/>
      <c r="BT12" s="534"/>
      <c r="BU12" s="534"/>
      <c r="BV12" s="534"/>
      <c r="BW12" s="534"/>
      <c r="BX12" s="522"/>
      <c r="BY12" s="526"/>
      <c r="BZ12" s="522"/>
      <c r="CA12" s="526"/>
      <c r="CB12" s="522"/>
      <c r="CC12" s="522"/>
      <c r="CD12" s="522"/>
      <c r="CE12" s="522"/>
      <c r="CF12" s="522"/>
      <c r="CG12" s="522"/>
      <c r="CH12" s="522"/>
      <c r="CI12" s="522"/>
      <c r="CJ12" s="522"/>
      <c r="CK12" s="522"/>
      <c r="CL12" s="522"/>
      <c r="CM12" s="522"/>
      <c r="CN12" s="522"/>
      <c r="CO12" s="522"/>
      <c r="CP12" s="522"/>
      <c r="CQ12" s="522"/>
      <c r="CR12" s="522"/>
      <c r="CS12" s="522"/>
      <c r="CT12" s="522"/>
      <c r="CU12" s="522"/>
      <c r="CV12" s="522"/>
      <c r="CW12" s="522"/>
      <c r="CX12" s="522"/>
      <c r="CY12" s="522"/>
      <c r="CZ12" s="522"/>
      <c r="DA12" s="522"/>
      <c r="DB12" s="522"/>
      <c r="DC12" s="522"/>
      <c r="DD12" s="522"/>
      <c r="DE12" s="522"/>
      <c r="DF12" s="522"/>
      <c r="DG12" s="522"/>
      <c r="DH12" s="522"/>
      <c r="DI12" s="522"/>
      <c r="DJ12" s="522"/>
      <c r="DK12" s="522"/>
      <c r="DL12" s="522"/>
      <c r="DM12" s="522"/>
      <c r="DN12" s="522"/>
      <c r="DO12" s="522"/>
      <c r="DP12" s="522"/>
      <c r="DQ12" s="522"/>
      <c r="DR12" s="522"/>
      <c r="DS12" s="522"/>
      <c r="DT12" s="522"/>
      <c r="DU12" s="522"/>
      <c r="DV12" s="522"/>
      <c r="DW12" s="522"/>
      <c r="DX12" s="522"/>
      <c r="DY12" s="522"/>
      <c r="DZ12" s="522"/>
      <c r="EA12" s="522"/>
      <c r="EB12" s="522"/>
      <c r="EC12" s="522"/>
      <c r="ED12" s="522"/>
      <c r="EE12" s="522"/>
      <c r="EF12" s="522"/>
      <c r="EG12" s="522"/>
      <c r="EH12" s="522"/>
      <c r="EI12" s="522"/>
      <c r="EJ12" s="522"/>
      <c r="EK12" s="522"/>
      <c r="EL12" s="522"/>
      <c r="EM12" s="522"/>
      <c r="EN12" s="522"/>
      <c r="EO12" s="522"/>
      <c r="EP12" s="522"/>
      <c r="EQ12" s="522"/>
      <c r="ER12" s="522"/>
      <c r="ES12" s="522"/>
      <c r="ET12" s="522"/>
      <c r="EU12" s="522"/>
      <c r="EV12" s="522"/>
      <c r="EW12" s="522"/>
      <c r="EX12" s="527" t="str">
        <f t="shared" si="1"/>
        <v/>
      </c>
    </row>
    <row r="13" spans="1:154" x14ac:dyDescent="0.25">
      <c r="A13" s="522"/>
      <c r="B13" s="522"/>
      <c r="C13" s="522"/>
      <c r="D13" s="522" t="str">
        <f ca="1">'Fin Stat'!D$77</f>
        <v>Stock</v>
      </c>
      <c r="E13" s="522"/>
      <c r="F13" s="522"/>
      <c r="G13" s="522"/>
      <c r="H13" s="522"/>
      <c r="I13" s="522"/>
      <c r="J13" s="522"/>
      <c r="K13" s="522"/>
      <c r="L13" s="522"/>
      <c r="M13" s="522"/>
      <c r="N13" s="522"/>
      <c r="O13" s="522"/>
      <c r="P13" s="522"/>
      <c r="Q13" s="522"/>
      <c r="R13" s="522"/>
      <c r="S13" s="534"/>
      <c r="T13" s="522"/>
      <c r="U13" s="522"/>
      <c r="V13" s="527">
        <f>'Fin Stat'!V$77*V$9</f>
        <v>0</v>
      </c>
      <c r="W13" s="527">
        <f>'Fin Stat'!W$77*W$9</f>
        <v>26</v>
      </c>
      <c r="X13" s="527">
        <f>'Fin Stat'!X$77*X$9</f>
        <v>30</v>
      </c>
      <c r="Y13" s="527">
        <f>'Fin Stat'!Y$77*Y$9</f>
        <v>30</v>
      </c>
      <c r="Z13" s="534"/>
      <c r="AA13" s="527">
        <f>'Fin Stat'!AA$77*AA$9</f>
        <v>26</v>
      </c>
      <c r="AB13" s="527">
        <f>'Fin Stat'!AB$77*AB$9</f>
        <v>26</v>
      </c>
      <c r="AC13" s="527">
        <f>'Fin Stat'!AC$77*AC$9</f>
        <v>26</v>
      </c>
      <c r="AD13" s="527">
        <f>'Fin Stat'!AD$77*AD$9</f>
        <v>26</v>
      </c>
      <c r="AE13" s="527">
        <f>'Fin Stat'!AE$77*AE$9</f>
        <v>26</v>
      </c>
      <c r="AF13" s="527">
        <f>'Fin Stat'!AF$77*AF$9</f>
        <v>26</v>
      </c>
      <c r="AG13" s="527">
        <f>'Fin Stat'!AG$77*AG$9</f>
        <v>26</v>
      </c>
      <c r="AH13" s="527">
        <f>'Fin Stat'!AH$77*AH$9</f>
        <v>26</v>
      </c>
      <c r="AI13" s="527">
        <f>'Fin Stat'!AI$77*AI$9</f>
        <v>26</v>
      </c>
      <c r="AJ13" s="527">
        <f>'Fin Stat'!AJ$77*AJ$9</f>
        <v>26</v>
      </c>
      <c r="AK13" s="527">
        <f>'Fin Stat'!AK$77*AK$9</f>
        <v>26</v>
      </c>
      <c r="AL13" s="527">
        <f>'Fin Stat'!AL$77*AL$9</f>
        <v>26</v>
      </c>
      <c r="AM13" s="527">
        <f>'Fin Stat'!AM$77*AM$9</f>
        <v>26</v>
      </c>
      <c r="AN13" s="527">
        <f>'Fin Stat'!AN$77*AN$9</f>
        <v>30</v>
      </c>
      <c r="AO13" s="527">
        <f>'Fin Stat'!AO$77*AO$9</f>
        <v>30</v>
      </c>
      <c r="AP13" s="527">
        <f>'Fin Stat'!AP$77*AP$9</f>
        <v>30</v>
      </c>
      <c r="AQ13" s="527">
        <f>'Fin Stat'!AQ$77*AQ$9</f>
        <v>30</v>
      </c>
      <c r="AR13" s="527">
        <f>'Fin Stat'!AR$77*AR$9</f>
        <v>30</v>
      </c>
      <c r="AS13" s="527">
        <f>'Fin Stat'!AS$77*AS$9</f>
        <v>30</v>
      </c>
      <c r="AT13" s="527">
        <f>'Fin Stat'!AT$77*AT$9</f>
        <v>30</v>
      </c>
      <c r="AU13" s="527">
        <f>'Fin Stat'!AU$77*AU$9</f>
        <v>30</v>
      </c>
      <c r="AV13" s="527">
        <f>'Fin Stat'!AV$77*AV$9</f>
        <v>30</v>
      </c>
      <c r="AW13" s="527">
        <f>'Fin Stat'!AW$77*AW$9</f>
        <v>30</v>
      </c>
      <c r="AX13" s="527">
        <f>'Fin Stat'!AX$77*AX$9</f>
        <v>30</v>
      </c>
      <c r="AY13" s="527">
        <f>'Fin Stat'!AY$77*AY$9</f>
        <v>30</v>
      </c>
      <c r="AZ13" s="527">
        <f>'Fin Stat'!AZ$77*AZ$9</f>
        <v>30</v>
      </c>
      <c r="BA13" s="527">
        <f>'Fin Stat'!BA$77*BA$9</f>
        <v>30</v>
      </c>
      <c r="BB13" s="527">
        <f>'Fin Stat'!BB$77*BB$9</f>
        <v>30</v>
      </c>
      <c r="BC13" s="527">
        <f>'Fin Stat'!BC$77*BC$9</f>
        <v>30</v>
      </c>
      <c r="BD13" s="527">
        <f>'Fin Stat'!BD$77*BD$9</f>
        <v>30</v>
      </c>
      <c r="BE13" s="527">
        <f>'Fin Stat'!BE$77*BE$9</f>
        <v>30</v>
      </c>
      <c r="BF13" s="527">
        <f>'Fin Stat'!BF$77*BF$9</f>
        <v>30</v>
      </c>
      <c r="BG13" s="527">
        <f>'Fin Stat'!BG$77*BG$9</f>
        <v>30</v>
      </c>
      <c r="BH13" s="527">
        <f>'Fin Stat'!BH$77*BH$9</f>
        <v>30</v>
      </c>
      <c r="BI13" s="527">
        <f>'Fin Stat'!BI$77*BI$9</f>
        <v>30</v>
      </c>
      <c r="BJ13" s="527">
        <f>'Fin Stat'!BJ$77*BJ$9</f>
        <v>30</v>
      </c>
      <c r="BK13" s="534"/>
      <c r="BL13" s="527">
        <f>'Fin Stat'!BL$77*BL$9</f>
        <v>0</v>
      </c>
      <c r="BM13" s="527">
        <f>'Fin Stat'!BM$77*BM$9</f>
        <v>26</v>
      </c>
      <c r="BN13" s="527">
        <f>'Fin Stat'!BN$77*BN$9</f>
        <v>30</v>
      </c>
      <c r="BO13" s="527">
        <f>'Fin Stat'!BO$77*BO$9</f>
        <v>30</v>
      </c>
      <c r="BP13" s="527">
        <f>'Fin Stat'!BP$77*BP$9</f>
        <v>0</v>
      </c>
      <c r="BQ13" s="527">
        <f>'Fin Stat'!BQ$77*BQ$9</f>
        <v>0</v>
      </c>
      <c r="BR13" s="527">
        <f>'Fin Stat'!BR$77*BR$9</f>
        <v>0</v>
      </c>
      <c r="BS13" s="527">
        <f>'Fin Stat'!BS$77*BS$9</f>
        <v>0</v>
      </c>
      <c r="BT13" s="527">
        <f>'Fin Stat'!BT$77*BT$9</f>
        <v>0</v>
      </c>
      <c r="BU13" s="527">
        <f>'Fin Stat'!BU$77*BU$9</f>
        <v>0</v>
      </c>
      <c r="BV13" s="527">
        <f>'Fin Stat'!BV$77*BV$9</f>
        <v>0</v>
      </c>
      <c r="BW13" s="527">
        <f>'Fin Stat'!BW$77*BW$9</f>
        <v>0</v>
      </c>
      <c r="BX13" s="522"/>
      <c r="BY13" s="531"/>
      <c r="BZ13" s="522"/>
      <c r="CA13" s="526"/>
      <c r="CB13" s="522"/>
      <c r="CC13" s="522"/>
      <c r="CD13" s="522"/>
      <c r="CE13" s="522"/>
      <c r="CF13" s="522"/>
      <c r="CG13" s="522"/>
      <c r="CH13" s="522"/>
      <c r="CI13" s="522"/>
      <c r="CJ13" s="522"/>
      <c r="CK13" s="522"/>
      <c r="CL13" s="522"/>
      <c r="CM13" s="522"/>
      <c r="CN13" s="522"/>
      <c r="CO13" s="522"/>
      <c r="CP13" s="522"/>
      <c r="CQ13" s="522"/>
      <c r="CR13" s="522"/>
      <c r="CS13" s="522"/>
      <c r="CT13" s="522"/>
      <c r="CU13" s="522"/>
      <c r="CV13" s="522"/>
      <c r="CW13" s="522"/>
      <c r="CX13" s="522"/>
      <c r="CY13" s="522"/>
      <c r="CZ13" s="522"/>
      <c r="DA13" s="522"/>
      <c r="DB13" s="522"/>
      <c r="DC13" s="522"/>
      <c r="DD13" s="522"/>
      <c r="DE13" s="522"/>
      <c r="DF13" s="522"/>
      <c r="DG13" s="522"/>
      <c r="DH13" s="522"/>
      <c r="DI13" s="522"/>
      <c r="DJ13" s="522"/>
      <c r="DK13" s="522"/>
      <c r="DL13" s="522"/>
      <c r="DM13" s="522"/>
      <c r="DN13" s="522"/>
      <c r="DO13" s="522"/>
      <c r="DP13" s="522"/>
      <c r="DQ13" s="522"/>
      <c r="DR13" s="522"/>
      <c r="DS13" s="522"/>
      <c r="DT13" s="522"/>
      <c r="DU13" s="522"/>
      <c r="DV13" s="522"/>
      <c r="DW13" s="522"/>
      <c r="DX13" s="522"/>
      <c r="DY13" s="522"/>
      <c r="DZ13" s="522"/>
      <c r="EA13" s="522"/>
      <c r="EB13" s="522"/>
      <c r="EC13" s="522"/>
      <c r="ED13" s="522"/>
      <c r="EE13" s="522"/>
      <c r="EF13" s="522"/>
      <c r="EG13" s="522"/>
      <c r="EH13" s="522"/>
      <c r="EI13" s="522"/>
      <c r="EJ13" s="522"/>
      <c r="EK13" s="522"/>
      <c r="EL13" s="522"/>
      <c r="EM13" s="522"/>
      <c r="EN13" s="522"/>
      <c r="EO13" s="522"/>
      <c r="EP13" s="522"/>
      <c r="EQ13" s="522"/>
      <c r="ER13" s="522"/>
      <c r="ES13" s="522"/>
      <c r="ET13" s="522"/>
      <c r="EU13" s="522"/>
      <c r="EV13" s="522"/>
      <c r="EW13" s="522"/>
      <c r="EX13" s="527" t="str">
        <f t="shared" si="1"/>
        <v/>
      </c>
    </row>
    <row r="14" spans="1:154" ht="8.1" customHeight="1" x14ac:dyDescent="0.25">
      <c r="A14" s="522"/>
      <c r="B14" s="522"/>
      <c r="C14" s="522"/>
      <c r="D14" s="522"/>
      <c r="E14" s="522"/>
      <c r="F14" s="522"/>
      <c r="G14" s="522"/>
      <c r="H14" s="522"/>
      <c r="I14" s="522"/>
      <c r="J14" s="522"/>
      <c r="K14" s="522"/>
      <c r="L14" s="522"/>
      <c r="M14" s="522"/>
      <c r="N14" s="522"/>
      <c r="O14" s="522"/>
      <c r="P14" s="522"/>
      <c r="Q14" s="522"/>
      <c r="R14" s="522"/>
      <c r="S14" s="534"/>
      <c r="T14" s="522"/>
      <c r="U14" s="522"/>
      <c r="V14" s="522"/>
      <c r="W14" s="522"/>
      <c r="X14" s="522"/>
      <c r="Y14" s="522"/>
      <c r="Z14" s="534"/>
      <c r="AA14" s="522"/>
      <c r="AB14" s="522"/>
      <c r="AC14" s="522"/>
      <c r="AD14" s="522"/>
      <c r="AE14" s="522"/>
      <c r="AF14" s="522"/>
      <c r="AG14" s="522"/>
      <c r="AH14" s="522"/>
      <c r="AI14" s="522"/>
      <c r="AJ14" s="522"/>
      <c r="AK14" s="522"/>
      <c r="AL14" s="522"/>
      <c r="AM14" s="522"/>
      <c r="AN14" s="522"/>
      <c r="AO14" s="522"/>
      <c r="AP14" s="522"/>
      <c r="AQ14" s="522"/>
      <c r="AR14" s="522"/>
      <c r="AS14" s="522"/>
      <c r="AT14" s="522"/>
      <c r="AU14" s="522"/>
      <c r="AV14" s="522"/>
      <c r="AW14" s="522"/>
      <c r="AX14" s="522"/>
      <c r="AY14" s="522"/>
      <c r="AZ14" s="522"/>
      <c r="BA14" s="522"/>
      <c r="BB14" s="522"/>
      <c r="BC14" s="522"/>
      <c r="BD14" s="522"/>
      <c r="BE14" s="522"/>
      <c r="BF14" s="522"/>
      <c r="BG14" s="522"/>
      <c r="BH14" s="522"/>
      <c r="BI14" s="522"/>
      <c r="BJ14" s="522"/>
      <c r="BK14" s="534"/>
      <c r="BL14" s="522"/>
      <c r="BM14" s="522"/>
      <c r="BN14" s="522"/>
      <c r="BO14" s="522"/>
      <c r="BP14" s="522"/>
      <c r="BQ14" s="522"/>
      <c r="BR14" s="522"/>
      <c r="BS14" s="522"/>
      <c r="BT14" s="522"/>
      <c r="BU14" s="522"/>
      <c r="BV14" s="522"/>
      <c r="BW14" s="522"/>
      <c r="BX14" s="522"/>
      <c r="BY14" s="526"/>
      <c r="BZ14" s="522"/>
      <c r="CA14" s="526"/>
      <c r="CB14" s="522"/>
      <c r="CC14" s="522"/>
      <c r="CD14" s="522"/>
      <c r="CE14" s="522"/>
      <c r="CF14" s="522"/>
      <c r="CG14" s="522"/>
      <c r="CH14" s="522"/>
      <c r="CI14" s="522"/>
      <c r="CJ14" s="522"/>
      <c r="CK14" s="522"/>
      <c r="CL14" s="522"/>
      <c r="CM14" s="522"/>
      <c r="CN14" s="522"/>
      <c r="CO14" s="522"/>
      <c r="CP14" s="522"/>
      <c r="CQ14" s="522"/>
      <c r="CR14" s="522"/>
      <c r="CS14" s="522"/>
      <c r="CT14" s="522"/>
      <c r="CU14" s="522"/>
      <c r="CV14" s="522"/>
      <c r="CW14" s="522"/>
      <c r="CX14" s="522"/>
      <c r="CY14" s="522"/>
      <c r="CZ14" s="522"/>
      <c r="DA14" s="522"/>
      <c r="DB14" s="522"/>
      <c r="DC14" s="522"/>
      <c r="DD14" s="522"/>
      <c r="DE14" s="522"/>
      <c r="DF14" s="522"/>
      <c r="DG14" s="522"/>
      <c r="DH14" s="522"/>
      <c r="DI14" s="522"/>
      <c r="DJ14" s="522"/>
      <c r="DK14" s="522"/>
      <c r="DL14" s="522"/>
      <c r="DM14" s="522"/>
      <c r="DN14" s="522"/>
      <c r="DO14" s="522"/>
      <c r="DP14" s="522"/>
      <c r="DQ14" s="522"/>
      <c r="DR14" s="522"/>
      <c r="DS14" s="522"/>
      <c r="DT14" s="522"/>
      <c r="DU14" s="522"/>
      <c r="DV14" s="522"/>
      <c r="DW14" s="522"/>
      <c r="DX14" s="522"/>
      <c r="DY14" s="522"/>
      <c r="DZ14" s="522"/>
      <c r="EA14" s="522"/>
      <c r="EB14" s="522"/>
      <c r="EC14" s="522"/>
      <c r="ED14" s="522"/>
      <c r="EE14" s="522"/>
      <c r="EF14" s="522"/>
      <c r="EG14" s="522"/>
      <c r="EH14" s="522"/>
      <c r="EI14" s="522"/>
      <c r="EJ14" s="522"/>
      <c r="EK14" s="522"/>
      <c r="EL14" s="522"/>
      <c r="EM14" s="522"/>
      <c r="EN14" s="522"/>
      <c r="EO14" s="522"/>
      <c r="EP14" s="522"/>
      <c r="EQ14" s="522"/>
      <c r="ER14" s="522"/>
      <c r="ES14" s="522"/>
      <c r="ET14" s="522"/>
      <c r="EU14" s="522"/>
      <c r="EV14" s="522"/>
      <c r="EW14" s="522"/>
      <c r="EX14" s="527" t="str">
        <f t="shared" si="1"/>
        <v/>
      </c>
    </row>
    <row r="15" spans="1:154" x14ac:dyDescent="0.25">
      <c r="A15" s="522"/>
      <c r="B15" s="522"/>
      <c r="C15" s="522"/>
      <c r="D15" s="522" t="str">
        <f ca="1">'Fin Stat'!D$78</f>
        <v>Trade Receivables</v>
      </c>
      <c r="E15" s="522"/>
      <c r="F15" s="522"/>
      <c r="G15" s="522"/>
      <c r="H15" s="522"/>
      <c r="I15" s="522"/>
      <c r="J15" s="522"/>
      <c r="K15" s="522"/>
      <c r="L15" s="522"/>
      <c r="M15" s="522"/>
      <c r="N15" s="522"/>
      <c r="O15" s="522"/>
      <c r="P15" s="522"/>
      <c r="Q15" s="522"/>
      <c r="R15" s="522"/>
      <c r="S15" s="534"/>
      <c r="T15" s="522"/>
      <c r="U15" s="522"/>
      <c r="V15" s="527">
        <f>'Fin Stat'!V$78*V$9</f>
        <v>0</v>
      </c>
      <c r="W15" s="527">
        <f>'Fin Stat'!W$78*W$9</f>
        <v>1125</v>
      </c>
      <c r="X15" s="527">
        <f>'Fin Stat'!X$78*X$9</f>
        <v>1150</v>
      </c>
      <c r="Y15" s="527">
        <f>'Fin Stat'!Y$78*Y$9</f>
        <v>1100</v>
      </c>
      <c r="Z15" s="534"/>
      <c r="AA15" s="527">
        <f>'Fin Stat'!AA$78*AA$9</f>
        <v>1000</v>
      </c>
      <c r="AB15" s="527">
        <f>'Fin Stat'!AB$78*AB$9</f>
        <v>1300</v>
      </c>
      <c r="AC15" s="527">
        <f>'Fin Stat'!AC$78*AC$9</f>
        <v>1300</v>
      </c>
      <c r="AD15" s="527">
        <f>'Fin Stat'!AD$78*AD$9</f>
        <v>1300</v>
      </c>
      <c r="AE15" s="527">
        <f>'Fin Stat'!AE$78*AE$9</f>
        <v>1200</v>
      </c>
      <c r="AF15" s="527">
        <f>'Fin Stat'!AF$78*AF$9</f>
        <v>1200</v>
      </c>
      <c r="AG15" s="527">
        <f>'Fin Stat'!AG$78*AG$9</f>
        <v>1200</v>
      </c>
      <c r="AH15" s="527">
        <f>'Fin Stat'!AH$78*AH$9</f>
        <v>1200</v>
      </c>
      <c r="AI15" s="527">
        <f>'Fin Stat'!AI$78*AI$9</f>
        <v>1200</v>
      </c>
      <c r="AJ15" s="527">
        <f>'Fin Stat'!AJ$78*AJ$9</f>
        <v>1200</v>
      </c>
      <c r="AK15" s="527">
        <f>'Fin Stat'!AK$78*AK$9</f>
        <v>1150</v>
      </c>
      <c r="AL15" s="527">
        <f>'Fin Stat'!AL$78*AL$9</f>
        <v>1125</v>
      </c>
      <c r="AM15" s="527">
        <f>'Fin Stat'!AM$78*AM$9</f>
        <v>1125</v>
      </c>
      <c r="AN15" s="527">
        <f>'Fin Stat'!AN$78*AN$9</f>
        <v>1250</v>
      </c>
      <c r="AO15" s="527">
        <f>'Fin Stat'!AO$78*AO$9</f>
        <v>1250</v>
      </c>
      <c r="AP15" s="527">
        <f>'Fin Stat'!AP$78*AP$9</f>
        <v>1250</v>
      </c>
      <c r="AQ15" s="527">
        <f>'Fin Stat'!AQ$78*AQ$9</f>
        <v>1250</v>
      </c>
      <c r="AR15" s="527">
        <f>'Fin Stat'!AR$78*AR$9</f>
        <v>1250</v>
      </c>
      <c r="AS15" s="527">
        <f>'Fin Stat'!AS$78*AS$9</f>
        <v>1150</v>
      </c>
      <c r="AT15" s="527">
        <f>'Fin Stat'!AT$78*AT$9</f>
        <v>1150</v>
      </c>
      <c r="AU15" s="527">
        <f>'Fin Stat'!AU$78*AU$9</f>
        <v>1150</v>
      </c>
      <c r="AV15" s="527">
        <f>'Fin Stat'!AV$78*AV$9</f>
        <v>1150</v>
      </c>
      <c r="AW15" s="527">
        <f>'Fin Stat'!AW$78*AW$9</f>
        <v>1150</v>
      </c>
      <c r="AX15" s="527">
        <f>'Fin Stat'!AX$78*AX$9</f>
        <v>1150</v>
      </c>
      <c r="AY15" s="527">
        <f>'Fin Stat'!AY$78*AY$9</f>
        <v>1150</v>
      </c>
      <c r="AZ15" s="527">
        <f>'Fin Stat'!AZ$78*AZ$9</f>
        <v>1250</v>
      </c>
      <c r="BA15" s="527">
        <f>'Fin Stat'!BA$78*BA$9</f>
        <v>1250</v>
      </c>
      <c r="BB15" s="527">
        <f>'Fin Stat'!BB$78*BB$9</f>
        <v>1250</v>
      </c>
      <c r="BC15" s="527">
        <f>'Fin Stat'!BC$78*BC$9</f>
        <v>1250</v>
      </c>
      <c r="BD15" s="527">
        <f>'Fin Stat'!BD$78*BD$9</f>
        <v>1200</v>
      </c>
      <c r="BE15" s="527">
        <f>'Fin Stat'!BE$78*BE$9</f>
        <v>1200</v>
      </c>
      <c r="BF15" s="527">
        <f>'Fin Stat'!BF$78*BF$9</f>
        <v>1200</v>
      </c>
      <c r="BG15" s="527">
        <f>'Fin Stat'!BG$78*BG$9</f>
        <v>1100</v>
      </c>
      <c r="BH15" s="527">
        <f>'Fin Stat'!BH$78*BH$9</f>
        <v>1100</v>
      </c>
      <c r="BI15" s="527">
        <f>'Fin Stat'!BI$78*BI$9</f>
        <v>1100</v>
      </c>
      <c r="BJ15" s="527">
        <f>'Fin Stat'!BJ$78*BJ$9</f>
        <v>1100</v>
      </c>
      <c r="BK15" s="534"/>
      <c r="BL15" s="527">
        <f>'Fin Stat'!BL$78*BL$9</f>
        <v>0</v>
      </c>
      <c r="BM15" s="527">
        <f>'Fin Stat'!BM$78*BM$9</f>
        <v>1125</v>
      </c>
      <c r="BN15" s="527">
        <f>'Fin Stat'!BN$78*BN$9</f>
        <v>1150</v>
      </c>
      <c r="BO15" s="527">
        <f>'Fin Stat'!BO$78*BO$9</f>
        <v>1100</v>
      </c>
      <c r="BP15" s="527">
        <f>'Fin Stat'!BP$78*BP$9</f>
        <v>0</v>
      </c>
      <c r="BQ15" s="527">
        <f>'Fin Stat'!BQ$78*BQ$9</f>
        <v>0</v>
      </c>
      <c r="BR15" s="527">
        <f>'Fin Stat'!BR$78*BR$9</f>
        <v>0</v>
      </c>
      <c r="BS15" s="527">
        <f>'Fin Stat'!BS$78*BS$9</f>
        <v>0</v>
      </c>
      <c r="BT15" s="527">
        <f>'Fin Stat'!BT$78*BT$9</f>
        <v>0</v>
      </c>
      <c r="BU15" s="527">
        <f>'Fin Stat'!BU$78*BU$9</f>
        <v>0</v>
      </c>
      <c r="BV15" s="527">
        <f>'Fin Stat'!BV$78*BV$9</f>
        <v>0</v>
      </c>
      <c r="BW15" s="527">
        <f>'Fin Stat'!BW$78*BW$9</f>
        <v>0</v>
      </c>
      <c r="BX15" s="522"/>
      <c r="BY15" s="531"/>
      <c r="BZ15" s="522"/>
      <c r="CA15" s="526"/>
      <c r="CB15" s="522"/>
      <c r="CC15" s="522"/>
      <c r="CD15" s="522"/>
      <c r="CE15" s="522"/>
      <c r="CF15" s="522"/>
      <c r="CG15" s="522"/>
      <c r="CH15" s="522"/>
      <c r="CI15" s="522"/>
      <c r="CJ15" s="522"/>
      <c r="CK15" s="522"/>
      <c r="CL15" s="522"/>
      <c r="CM15" s="522"/>
      <c r="CN15" s="522"/>
      <c r="CO15" s="522"/>
      <c r="CP15" s="522"/>
      <c r="CQ15" s="522"/>
      <c r="CR15" s="522"/>
      <c r="CS15" s="522"/>
      <c r="CT15" s="522"/>
      <c r="CU15" s="522"/>
      <c r="CV15" s="522"/>
      <c r="CW15" s="522"/>
      <c r="CX15" s="522"/>
      <c r="CY15" s="522"/>
      <c r="CZ15" s="522"/>
      <c r="DA15" s="522"/>
      <c r="DB15" s="522"/>
      <c r="DC15" s="522"/>
      <c r="DD15" s="522"/>
      <c r="DE15" s="522"/>
      <c r="DF15" s="522"/>
      <c r="DG15" s="522"/>
      <c r="DH15" s="522"/>
      <c r="DI15" s="522"/>
      <c r="DJ15" s="522"/>
      <c r="DK15" s="522"/>
      <c r="DL15" s="522"/>
      <c r="DM15" s="522"/>
      <c r="DN15" s="522"/>
      <c r="DO15" s="522"/>
      <c r="DP15" s="522"/>
      <c r="DQ15" s="522"/>
      <c r="DR15" s="522"/>
      <c r="DS15" s="522"/>
      <c r="DT15" s="522"/>
      <c r="DU15" s="522"/>
      <c r="DV15" s="522"/>
      <c r="DW15" s="522"/>
      <c r="DX15" s="522"/>
      <c r="DY15" s="522"/>
      <c r="DZ15" s="522"/>
      <c r="EA15" s="522"/>
      <c r="EB15" s="522"/>
      <c r="EC15" s="522"/>
      <c r="ED15" s="522"/>
      <c r="EE15" s="522"/>
      <c r="EF15" s="522"/>
      <c r="EG15" s="522"/>
      <c r="EH15" s="522"/>
      <c r="EI15" s="522"/>
      <c r="EJ15" s="522"/>
      <c r="EK15" s="522"/>
      <c r="EL15" s="522"/>
      <c r="EM15" s="522"/>
      <c r="EN15" s="522"/>
      <c r="EO15" s="522"/>
      <c r="EP15" s="522"/>
      <c r="EQ15" s="522"/>
      <c r="ER15" s="522"/>
      <c r="ES15" s="522"/>
      <c r="ET15" s="522"/>
      <c r="EU15" s="522"/>
      <c r="EV15" s="522"/>
      <c r="EW15" s="522"/>
      <c r="EX15" s="527" t="str">
        <f t="shared" si="1"/>
        <v/>
      </c>
    </row>
    <row r="16" spans="1:154" x14ac:dyDescent="0.25">
      <c r="A16" s="522"/>
      <c r="B16" s="522"/>
      <c r="C16" s="522"/>
      <c r="D16" s="535" t="s">
        <v>109</v>
      </c>
      <c r="E16" s="522"/>
      <c r="F16" s="522"/>
      <c r="G16" s="522"/>
      <c r="H16" s="522"/>
      <c r="I16" s="522"/>
      <c r="J16" s="522"/>
      <c r="K16" s="522"/>
      <c r="L16" s="522"/>
      <c r="M16" s="522"/>
      <c r="N16" s="522"/>
      <c r="O16" s="522"/>
      <c r="P16" s="522"/>
      <c r="Q16" s="522"/>
      <c r="R16" s="522"/>
      <c r="S16" s="534"/>
      <c r="T16" s="522"/>
      <c r="U16" s="522"/>
      <c r="V16" s="373">
        <f>SUM(V15:V15)</f>
        <v>0</v>
      </c>
      <c r="W16" s="373">
        <f t="shared" ref="W16:BW16" si="2">SUM(W15:W15)</f>
        <v>1125</v>
      </c>
      <c r="X16" s="373">
        <f t="shared" si="2"/>
        <v>1150</v>
      </c>
      <c r="Y16" s="373">
        <f t="shared" si="2"/>
        <v>1100</v>
      </c>
      <c r="Z16" s="534"/>
      <c r="AA16" s="373">
        <f t="shared" si="2"/>
        <v>1000</v>
      </c>
      <c r="AB16" s="373">
        <f t="shared" si="2"/>
        <v>1300</v>
      </c>
      <c r="AC16" s="373">
        <f t="shared" si="2"/>
        <v>1300</v>
      </c>
      <c r="AD16" s="373">
        <f t="shared" si="2"/>
        <v>1300</v>
      </c>
      <c r="AE16" s="373">
        <f t="shared" si="2"/>
        <v>1200</v>
      </c>
      <c r="AF16" s="373">
        <f t="shared" si="2"/>
        <v>1200</v>
      </c>
      <c r="AG16" s="373">
        <f t="shared" si="2"/>
        <v>1200</v>
      </c>
      <c r="AH16" s="373">
        <f t="shared" si="2"/>
        <v>1200</v>
      </c>
      <c r="AI16" s="373">
        <f t="shared" si="2"/>
        <v>1200</v>
      </c>
      <c r="AJ16" s="373">
        <f t="shared" si="2"/>
        <v>1200</v>
      </c>
      <c r="AK16" s="373">
        <f t="shared" si="2"/>
        <v>1150</v>
      </c>
      <c r="AL16" s="373">
        <f t="shared" si="2"/>
        <v>1125</v>
      </c>
      <c r="AM16" s="373">
        <f t="shared" si="2"/>
        <v>1125</v>
      </c>
      <c r="AN16" s="373">
        <f t="shared" si="2"/>
        <v>1250</v>
      </c>
      <c r="AO16" s="373">
        <f t="shared" si="2"/>
        <v>1250</v>
      </c>
      <c r="AP16" s="373">
        <f t="shared" si="2"/>
        <v>1250</v>
      </c>
      <c r="AQ16" s="373">
        <f t="shared" si="2"/>
        <v>1250</v>
      </c>
      <c r="AR16" s="373">
        <f t="shared" si="2"/>
        <v>1250</v>
      </c>
      <c r="AS16" s="373">
        <f t="shared" si="2"/>
        <v>1150</v>
      </c>
      <c r="AT16" s="373">
        <f t="shared" si="2"/>
        <v>1150</v>
      </c>
      <c r="AU16" s="373">
        <f t="shared" si="2"/>
        <v>1150</v>
      </c>
      <c r="AV16" s="373">
        <f t="shared" si="2"/>
        <v>1150</v>
      </c>
      <c r="AW16" s="373">
        <f t="shared" si="2"/>
        <v>1150</v>
      </c>
      <c r="AX16" s="373">
        <f t="shared" si="2"/>
        <v>1150</v>
      </c>
      <c r="AY16" s="373">
        <f t="shared" si="2"/>
        <v>1150</v>
      </c>
      <c r="AZ16" s="373">
        <f t="shared" si="2"/>
        <v>1250</v>
      </c>
      <c r="BA16" s="373">
        <f t="shared" si="2"/>
        <v>1250</v>
      </c>
      <c r="BB16" s="373">
        <f t="shared" si="2"/>
        <v>1250</v>
      </c>
      <c r="BC16" s="373">
        <f t="shared" si="2"/>
        <v>1250</v>
      </c>
      <c r="BD16" s="373">
        <f t="shared" si="2"/>
        <v>1200</v>
      </c>
      <c r="BE16" s="373">
        <f t="shared" si="2"/>
        <v>1200</v>
      </c>
      <c r="BF16" s="373">
        <f t="shared" si="2"/>
        <v>1200</v>
      </c>
      <c r="BG16" s="373">
        <f t="shared" si="2"/>
        <v>1100</v>
      </c>
      <c r="BH16" s="373">
        <f t="shared" si="2"/>
        <v>1100</v>
      </c>
      <c r="BI16" s="373">
        <f t="shared" si="2"/>
        <v>1100</v>
      </c>
      <c r="BJ16" s="373">
        <f t="shared" si="2"/>
        <v>1100</v>
      </c>
      <c r="BK16" s="534"/>
      <c r="BL16" s="373">
        <f t="shared" si="2"/>
        <v>0</v>
      </c>
      <c r="BM16" s="373">
        <f t="shared" si="2"/>
        <v>1125</v>
      </c>
      <c r="BN16" s="373">
        <f t="shared" si="2"/>
        <v>1150</v>
      </c>
      <c r="BO16" s="373">
        <f t="shared" si="2"/>
        <v>1100</v>
      </c>
      <c r="BP16" s="373">
        <f t="shared" si="2"/>
        <v>0</v>
      </c>
      <c r="BQ16" s="373">
        <f t="shared" si="2"/>
        <v>0</v>
      </c>
      <c r="BR16" s="373">
        <f t="shared" si="2"/>
        <v>0</v>
      </c>
      <c r="BS16" s="373">
        <f t="shared" si="2"/>
        <v>0</v>
      </c>
      <c r="BT16" s="373">
        <f t="shared" si="2"/>
        <v>0</v>
      </c>
      <c r="BU16" s="373">
        <f t="shared" si="2"/>
        <v>0</v>
      </c>
      <c r="BV16" s="373">
        <f t="shared" si="2"/>
        <v>0</v>
      </c>
      <c r="BW16" s="373">
        <f t="shared" si="2"/>
        <v>0</v>
      </c>
      <c r="BX16" s="522"/>
      <c r="BY16" s="531"/>
      <c r="BZ16" s="522"/>
      <c r="CA16" s="526"/>
      <c r="CB16" s="522"/>
      <c r="CC16" s="522"/>
      <c r="CD16" s="522"/>
      <c r="CE16" s="522"/>
      <c r="CF16" s="522"/>
      <c r="CG16" s="522"/>
      <c r="CH16" s="522"/>
      <c r="CI16" s="522"/>
      <c r="CJ16" s="522"/>
      <c r="CK16" s="522"/>
      <c r="CL16" s="522"/>
      <c r="CM16" s="522"/>
      <c r="CN16" s="522"/>
      <c r="CO16" s="522"/>
      <c r="CP16" s="522"/>
      <c r="CQ16" s="522"/>
      <c r="CR16" s="522"/>
      <c r="CS16" s="522"/>
      <c r="CT16" s="522"/>
      <c r="CU16" s="522"/>
      <c r="CV16" s="522"/>
      <c r="CW16" s="522"/>
      <c r="CX16" s="522"/>
      <c r="CY16" s="522"/>
      <c r="CZ16" s="522"/>
      <c r="DA16" s="522"/>
      <c r="DB16" s="522"/>
      <c r="DC16" s="522"/>
      <c r="DD16" s="522"/>
      <c r="DE16" s="522"/>
      <c r="DF16" s="522"/>
      <c r="DG16" s="522"/>
      <c r="DH16" s="522"/>
      <c r="DI16" s="522"/>
      <c r="DJ16" s="522"/>
      <c r="DK16" s="522"/>
      <c r="DL16" s="522"/>
      <c r="DM16" s="522"/>
      <c r="DN16" s="522"/>
      <c r="DO16" s="522"/>
      <c r="DP16" s="522"/>
      <c r="DQ16" s="522"/>
      <c r="DR16" s="522"/>
      <c r="DS16" s="522"/>
      <c r="DT16" s="522"/>
      <c r="DU16" s="522"/>
      <c r="DV16" s="522"/>
      <c r="DW16" s="522"/>
      <c r="DX16" s="522"/>
      <c r="DY16" s="522"/>
      <c r="DZ16" s="522"/>
      <c r="EA16" s="522"/>
      <c r="EB16" s="522"/>
      <c r="EC16" s="522"/>
      <c r="ED16" s="522"/>
      <c r="EE16" s="522"/>
      <c r="EF16" s="522"/>
      <c r="EG16" s="522"/>
      <c r="EH16" s="522"/>
      <c r="EI16" s="522"/>
      <c r="EJ16" s="522"/>
      <c r="EK16" s="522"/>
      <c r="EL16" s="522"/>
      <c r="EM16" s="522"/>
      <c r="EN16" s="522"/>
      <c r="EO16" s="522"/>
      <c r="EP16" s="522"/>
      <c r="EQ16" s="522"/>
      <c r="ER16" s="522"/>
      <c r="ES16" s="522"/>
      <c r="ET16" s="522"/>
      <c r="EU16" s="522"/>
      <c r="EV16" s="522"/>
      <c r="EW16" s="522"/>
      <c r="EX16" s="527" t="str">
        <f t="shared" si="1"/>
        <v/>
      </c>
    </row>
    <row r="17" spans="1:154" ht="8.1" customHeight="1" x14ac:dyDescent="0.25">
      <c r="A17" s="522"/>
      <c r="B17" s="522"/>
      <c r="C17" s="522"/>
      <c r="D17" s="522"/>
      <c r="E17" s="522"/>
      <c r="F17" s="522"/>
      <c r="G17" s="522"/>
      <c r="H17" s="522"/>
      <c r="I17" s="522"/>
      <c r="J17" s="522"/>
      <c r="K17" s="522"/>
      <c r="L17" s="522"/>
      <c r="M17" s="522"/>
      <c r="N17" s="522"/>
      <c r="O17" s="522"/>
      <c r="P17" s="522"/>
      <c r="Q17" s="522"/>
      <c r="R17" s="522"/>
      <c r="S17" s="534"/>
      <c r="T17" s="522"/>
      <c r="U17" s="522"/>
      <c r="V17" s="522"/>
      <c r="W17" s="522"/>
      <c r="X17" s="522"/>
      <c r="Y17" s="522"/>
      <c r="Z17" s="534"/>
      <c r="AA17" s="522"/>
      <c r="AB17" s="522"/>
      <c r="AC17" s="522"/>
      <c r="AD17" s="522"/>
      <c r="AE17" s="522"/>
      <c r="AF17" s="522"/>
      <c r="AG17" s="522"/>
      <c r="AH17" s="522"/>
      <c r="AI17" s="522"/>
      <c r="AJ17" s="522"/>
      <c r="AK17" s="522"/>
      <c r="AL17" s="522"/>
      <c r="AM17" s="522"/>
      <c r="AN17" s="522"/>
      <c r="AO17" s="522"/>
      <c r="AP17" s="522"/>
      <c r="AQ17" s="522"/>
      <c r="AR17" s="522"/>
      <c r="AS17" s="522"/>
      <c r="AT17" s="522"/>
      <c r="AU17" s="522"/>
      <c r="AV17" s="522"/>
      <c r="AW17" s="522"/>
      <c r="AX17" s="522"/>
      <c r="AY17" s="522"/>
      <c r="AZ17" s="522"/>
      <c r="BA17" s="522"/>
      <c r="BB17" s="522"/>
      <c r="BC17" s="522"/>
      <c r="BD17" s="522"/>
      <c r="BE17" s="522"/>
      <c r="BF17" s="522"/>
      <c r="BG17" s="522"/>
      <c r="BH17" s="522"/>
      <c r="BI17" s="522"/>
      <c r="BJ17" s="522"/>
      <c r="BK17" s="534"/>
      <c r="BL17" s="522"/>
      <c r="BM17" s="522"/>
      <c r="BN17" s="522"/>
      <c r="BO17" s="522"/>
      <c r="BP17" s="522"/>
      <c r="BQ17" s="522"/>
      <c r="BR17" s="522"/>
      <c r="BS17" s="522"/>
      <c r="BT17" s="522"/>
      <c r="BU17" s="522"/>
      <c r="BV17" s="522"/>
      <c r="BW17" s="522"/>
      <c r="BX17" s="522"/>
      <c r="BY17" s="526"/>
      <c r="BZ17" s="522"/>
      <c r="CA17" s="526"/>
      <c r="CB17" s="522"/>
      <c r="CC17" s="522"/>
      <c r="CD17" s="522"/>
      <c r="CE17" s="522"/>
      <c r="CF17" s="522"/>
      <c r="CG17" s="522"/>
      <c r="CH17" s="522"/>
      <c r="CI17" s="522"/>
      <c r="CJ17" s="522"/>
      <c r="CK17" s="522"/>
      <c r="CL17" s="522"/>
      <c r="CM17" s="522"/>
      <c r="CN17" s="522"/>
      <c r="CO17" s="522"/>
      <c r="CP17" s="522"/>
      <c r="CQ17" s="522"/>
      <c r="CR17" s="522"/>
      <c r="CS17" s="522"/>
      <c r="CT17" s="522"/>
      <c r="CU17" s="522"/>
      <c r="CV17" s="522"/>
      <c r="CW17" s="522"/>
      <c r="CX17" s="522"/>
      <c r="CY17" s="522"/>
      <c r="CZ17" s="522"/>
      <c r="DA17" s="522"/>
      <c r="DB17" s="522"/>
      <c r="DC17" s="522"/>
      <c r="DD17" s="522"/>
      <c r="DE17" s="522"/>
      <c r="DF17" s="522"/>
      <c r="DG17" s="522"/>
      <c r="DH17" s="522"/>
      <c r="DI17" s="522"/>
      <c r="DJ17" s="522"/>
      <c r="DK17" s="522"/>
      <c r="DL17" s="522"/>
      <c r="DM17" s="522"/>
      <c r="DN17" s="522"/>
      <c r="DO17" s="522"/>
      <c r="DP17" s="522"/>
      <c r="DQ17" s="522"/>
      <c r="DR17" s="522"/>
      <c r="DS17" s="522"/>
      <c r="DT17" s="522"/>
      <c r="DU17" s="522"/>
      <c r="DV17" s="522"/>
      <c r="DW17" s="522"/>
      <c r="DX17" s="522"/>
      <c r="DY17" s="522"/>
      <c r="DZ17" s="522"/>
      <c r="EA17" s="522"/>
      <c r="EB17" s="522"/>
      <c r="EC17" s="522"/>
      <c r="ED17" s="522"/>
      <c r="EE17" s="522"/>
      <c r="EF17" s="522"/>
      <c r="EG17" s="522"/>
      <c r="EH17" s="522"/>
      <c r="EI17" s="522"/>
      <c r="EJ17" s="522"/>
      <c r="EK17" s="522"/>
      <c r="EL17" s="522"/>
      <c r="EM17" s="522"/>
      <c r="EN17" s="522"/>
      <c r="EO17" s="522"/>
      <c r="EP17" s="522"/>
      <c r="EQ17" s="522"/>
      <c r="ER17" s="522"/>
      <c r="ES17" s="522"/>
      <c r="ET17" s="522"/>
      <c r="EU17" s="522"/>
      <c r="EV17" s="522"/>
      <c r="EW17" s="522"/>
      <c r="EX17" s="527" t="str">
        <f t="shared" si="1"/>
        <v/>
      </c>
    </row>
    <row r="18" spans="1:154" x14ac:dyDescent="0.25">
      <c r="A18" s="522"/>
      <c r="B18" s="522"/>
      <c r="C18" s="522"/>
      <c r="D18" s="522" t="s">
        <v>129</v>
      </c>
      <c r="E18" s="522"/>
      <c r="F18" s="522"/>
      <c r="G18" s="522"/>
      <c r="H18" s="522"/>
      <c r="I18" s="522"/>
      <c r="J18" s="522"/>
      <c r="K18" s="522"/>
      <c r="L18" s="522"/>
      <c r="M18" s="522"/>
      <c r="N18" s="522"/>
      <c r="O18" s="522"/>
      <c r="P18" s="522"/>
      <c r="Q18" s="522"/>
      <c r="R18" s="522"/>
      <c r="S18" s="534"/>
      <c r="T18" s="522"/>
      <c r="U18" s="522"/>
      <c r="V18" s="527">
        <f>'Fin Stat'!V$95*V$9</f>
        <v>0</v>
      </c>
      <c r="W18" s="527">
        <f>'Fin Stat'!W$95*W$9</f>
        <v>800</v>
      </c>
      <c r="X18" s="527">
        <f>'Fin Stat'!X$95*X$9</f>
        <v>900</v>
      </c>
      <c r="Y18" s="527">
        <f>'Fin Stat'!Y$95*Y$9</f>
        <v>850</v>
      </c>
      <c r="Z18" s="534"/>
      <c r="AA18" s="527">
        <f>'Fin Stat'!AA$95*AA$9</f>
        <v>800</v>
      </c>
      <c r="AB18" s="527">
        <f>'Fin Stat'!AB$95*AB$9</f>
        <v>800</v>
      </c>
      <c r="AC18" s="527">
        <f>'Fin Stat'!AC$95*AC$9</f>
        <v>800</v>
      </c>
      <c r="AD18" s="527">
        <f>'Fin Stat'!AD$95*AD$9</f>
        <v>800</v>
      </c>
      <c r="AE18" s="527">
        <f>'Fin Stat'!AE$95*AE$9</f>
        <v>800</v>
      </c>
      <c r="AF18" s="527">
        <f>'Fin Stat'!AF$95*AF$9</f>
        <v>800</v>
      </c>
      <c r="AG18" s="527">
        <f>'Fin Stat'!AG$95*AG$9</f>
        <v>800</v>
      </c>
      <c r="AH18" s="527">
        <f>'Fin Stat'!AH$95*AH$9</f>
        <v>800</v>
      </c>
      <c r="AI18" s="527">
        <f>'Fin Stat'!AI$95*AI$9</f>
        <v>800</v>
      </c>
      <c r="AJ18" s="527">
        <f>'Fin Stat'!AJ$95*AJ$9</f>
        <v>800</v>
      </c>
      <c r="AK18" s="527">
        <f>'Fin Stat'!AK$95*AK$9</f>
        <v>800</v>
      </c>
      <c r="AL18" s="527">
        <f>'Fin Stat'!AL$95*AL$9</f>
        <v>800</v>
      </c>
      <c r="AM18" s="527">
        <f>'Fin Stat'!AM$95*AM$9</f>
        <v>900</v>
      </c>
      <c r="AN18" s="527">
        <f>'Fin Stat'!AN$95*AN$9</f>
        <v>900</v>
      </c>
      <c r="AO18" s="527">
        <f>'Fin Stat'!AO$95*AO$9</f>
        <v>900</v>
      </c>
      <c r="AP18" s="527">
        <f>'Fin Stat'!AP$95*AP$9</f>
        <v>900</v>
      </c>
      <c r="AQ18" s="527">
        <f>'Fin Stat'!AQ$95*AQ$9</f>
        <v>900</v>
      </c>
      <c r="AR18" s="527">
        <f>'Fin Stat'!AR$95*AR$9</f>
        <v>900</v>
      </c>
      <c r="AS18" s="527">
        <f>'Fin Stat'!AS$95*AS$9</f>
        <v>900</v>
      </c>
      <c r="AT18" s="527">
        <f>'Fin Stat'!AT$95*AT$9</f>
        <v>900</v>
      </c>
      <c r="AU18" s="527">
        <f>'Fin Stat'!AU$95*AU$9</f>
        <v>900</v>
      </c>
      <c r="AV18" s="527">
        <f>'Fin Stat'!AV$95*AV$9</f>
        <v>900</v>
      </c>
      <c r="AW18" s="527">
        <f>'Fin Stat'!AW$95*AW$9</f>
        <v>900</v>
      </c>
      <c r="AX18" s="527">
        <f>'Fin Stat'!AX$95*AX$9</f>
        <v>900</v>
      </c>
      <c r="AY18" s="527">
        <f>'Fin Stat'!AY$95*AY$9</f>
        <v>850</v>
      </c>
      <c r="AZ18" s="527">
        <f>'Fin Stat'!AZ$95*AZ$9</f>
        <v>850</v>
      </c>
      <c r="BA18" s="527">
        <f>'Fin Stat'!BA$95*BA$9</f>
        <v>850</v>
      </c>
      <c r="BB18" s="527">
        <f>'Fin Stat'!BB$95*BB$9</f>
        <v>850</v>
      </c>
      <c r="BC18" s="527">
        <f>'Fin Stat'!BC$95*BC$9</f>
        <v>850</v>
      </c>
      <c r="BD18" s="527">
        <f>'Fin Stat'!BD$95*BD$9</f>
        <v>850</v>
      </c>
      <c r="BE18" s="527">
        <f>'Fin Stat'!BE$95*BE$9</f>
        <v>850</v>
      </c>
      <c r="BF18" s="527">
        <f>'Fin Stat'!BF$95*BF$9</f>
        <v>850</v>
      </c>
      <c r="BG18" s="527">
        <f>'Fin Stat'!BG$95*BG$9</f>
        <v>850</v>
      </c>
      <c r="BH18" s="527">
        <f>'Fin Stat'!BH$95*BH$9</f>
        <v>850</v>
      </c>
      <c r="BI18" s="527">
        <f>'Fin Stat'!BI$95*BI$9</f>
        <v>850</v>
      </c>
      <c r="BJ18" s="527">
        <f>'Fin Stat'!BJ$95*BJ$9</f>
        <v>850</v>
      </c>
      <c r="BK18" s="534"/>
      <c r="BL18" s="527">
        <f>'Fin Stat'!BL$95*BL$9</f>
        <v>0</v>
      </c>
      <c r="BM18" s="527">
        <f>'Fin Stat'!BM$95*BM$9</f>
        <v>800</v>
      </c>
      <c r="BN18" s="527">
        <f>'Fin Stat'!BN$95*BN$9</f>
        <v>900</v>
      </c>
      <c r="BO18" s="527">
        <f>'Fin Stat'!BO$95*BO$9</f>
        <v>850</v>
      </c>
      <c r="BP18" s="527">
        <f>'Fin Stat'!BP$95*BP$9</f>
        <v>0</v>
      </c>
      <c r="BQ18" s="527">
        <f>'Fin Stat'!BQ$95*BQ$9</f>
        <v>0</v>
      </c>
      <c r="BR18" s="527">
        <f>'Fin Stat'!BR$95*BR$9</f>
        <v>0</v>
      </c>
      <c r="BS18" s="527">
        <f>'Fin Stat'!BS$95*BS$9</f>
        <v>0</v>
      </c>
      <c r="BT18" s="527">
        <f>'Fin Stat'!BT$95*BT$9</f>
        <v>0</v>
      </c>
      <c r="BU18" s="527">
        <f>'Fin Stat'!BU$95*BU$9</f>
        <v>0</v>
      </c>
      <c r="BV18" s="527">
        <f>'Fin Stat'!BV$95*BV$9</f>
        <v>0</v>
      </c>
      <c r="BW18" s="527">
        <f>'Fin Stat'!BW$95*BW$9</f>
        <v>0</v>
      </c>
      <c r="BX18" s="522"/>
      <c r="BY18" s="531"/>
      <c r="BZ18" s="522"/>
      <c r="CA18" s="526"/>
      <c r="CB18" s="522"/>
      <c r="CC18" s="522"/>
      <c r="CD18" s="522"/>
      <c r="CE18" s="522"/>
      <c r="CF18" s="522"/>
      <c r="CG18" s="522"/>
      <c r="CH18" s="522"/>
      <c r="CI18" s="522"/>
      <c r="CJ18" s="522"/>
      <c r="CK18" s="522"/>
      <c r="CL18" s="522"/>
      <c r="CM18" s="522"/>
      <c r="CN18" s="522"/>
      <c r="CO18" s="522"/>
      <c r="CP18" s="522"/>
      <c r="CQ18" s="522"/>
      <c r="CR18" s="522"/>
      <c r="CS18" s="522"/>
      <c r="CT18" s="522"/>
      <c r="CU18" s="522"/>
      <c r="CV18" s="522"/>
      <c r="CW18" s="522"/>
      <c r="CX18" s="522"/>
      <c r="CY18" s="522"/>
      <c r="CZ18" s="522"/>
      <c r="DA18" s="522"/>
      <c r="DB18" s="522"/>
      <c r="DC18" s="522"/>
      <c r="DD18" s="522"/>
      <c r="DE18" s="522"/>
      <c r="DF18" s="522"/>
      <c r="DG18" s="522"/>
      <c r="DH18" s="522"/>
      <c r="DI18" s="522"/>
      <c r="DJ18" s="522"/>
      <c r="DK18" s="522"/>
      <c r="DL18" s="522"/>
      <c r="DM18" s="522"/>
      <c r="DN18" s="522"/>
      <c r="DO18" s="522"/>
      <c r="DP18" s="522"/>
      <c r="DQ18" s="522"/>
      <c r="DR18" s="522"/>
      <c r="DS18" s="522"/>
      <c r="DT18" s="522"/>
      <c r="DU18" s="522"/>
      <c r="DV18" s="522"/>
      <c r="DW18" s="522"/>
      <c r="DX18" s="522"/>
      <c r="DY18" s="522"/>
      <c r="DZ18" s="522"/>
      <c r="EA18" s="522"/>
      <c r="EB18" s="522"/>
      <c r="EC18" s="522"/>
      <c r="ED18" s="522"/>
      <c r="EE18" s="522"/>
      <c r="EF18" s="522"/>
      <c r="EG18" s="522"/>
      <c r="EH18" s="522"/>
      <c r="EI18" s="522"/>
      <c r="EJ18" s="522"/>
      <c r="EK18" s="522"/>
      <c r="EL18" s="522"/>
      <c r="EM18" s="522"/>
      <c r="EN18" s="522"/>
      <c r="EO18" s="522"/>
      <c r="EP18" s="522"/>
      <c r="EQ18" s="522"/>
      <c r="ER18" s="522"/>
      <c r="ES18" s="522"/>
      <c r="ET18" s="522"/>
      <c r="EU18" s="522"/>
      <c r="EV18" s="522"/>
      <c r="EW18" s="522"/>
      <c r="EX18" s="527" t="str">
        <f t="shared" si="1"/>
        <v/>
      </c>
    </row>
    <row r="19" spans="1:154" x14ac:dyDescent="0.25">
      <c r="A19" s="522"/>
      <c r="B19" s="522"/>
      <c r="C19" s="522"/>
      <c r="D19" s="535" t="s">
        <v>129</v>
      </c>
      <c r="E19" s="524"/>
      <c r="F19" s="522"/>
      <c r="G19" s="522"/>
      <c r="H19" s="522"/>
      <c r="I19" s="522"/>
      <c r="J19" s="522"/>
      <c r="K19" s="522"/>
      <c r="L19" s="522"/>
      <c r="M19" s="522"/>
      <c r="N19" s="522"/>
      <c r="O19" s="522"/>
      <c r="P19" s="522"/>
      <c r="Q19" s="522"/>
      <c r="R19" s="522"/>
      <c r="S19" s="534"/>
      <c r="T19" s="522"/>
      <c r="U19" s="522"/>
      <c r="V19" s="373">
        <f>SUM(V18:V18)</f>
        <v>0</v>
      </c>
      <c r="W19" s="373">
        <f t="shared" ref="W19:BW19" si="3">SUM(W18:W18)</f>
        <v>800</v>
      </c>
      <c r="X19" s="373">
        <f t="shared" si="3"/>
        <v>900</v>
      </c>
      <c r="Y19" s="373">
        <f t="shared" si="3"/>
        <v>850</v>
      </c>
      <c r="Z19" s="534"/>
      <c r="AA19" s="373">
        <f t="shared" si="3"/>
        <v>800</v>
      </c>
      <c r="AB19" s="373">
        <f t="shared" si="3"/>
        <v>800</v>
      </c>
      <c r="AC19" s="373">
        <f t="shared" si="3"/>
        <v>800</v>
      </c>
      <c r="AD19" s="373">
        <f t="shared" si="3"/>
        <v>800</v>
      </c>
      <c r="AE19" s="373">
        <f t="shared" si="3"/>
        <v>800</v>
      </c>
      <c r="AF19" s="373">
        <f t="shared" si="3"/>
        <v>800</v>
      </c>
      <c r="AG19" s="373">
        <f t="shared" si="3"/>
        <v>800</v>
      </c>
      <c r="AH19" s="373">
        <f t="shared" si="3"/>
        <v>800</v>
      </c>
      <c r="AI19" s="373">
        <f t="shared" si="3"/>
        <v>800</v>
      </c>
      <c r="AJ19" s="373">
        <f t="shared" si="3"/>
        <v>800</v>
      </c>
      <c r="AK19" s="373">
        <f t="shared" si="3"/>
        <v>800</v>
      </c>
      <c r="AL19" s="373">
        <f t="shared" si="3"/>
        <v>800</v>
      </c>
      <c r="AM19" s="373">
        <f t="shared" si="3"/>
        <v>900</v>
      </c>
      <c r="AN19" s="373">
        <f t="shared" si="3"/>
        <v>900</v>
      </c>
      <c r="AO19" s="373">
        <f t="shared" si="3"/>
        <v>900</v>
      </c>
      <c r="AP19" s="373">
        <f t="shared" si="3"/>
        <v>900</v>
      </c>
      <c r="AQ19" s="373">
        <f t="shared" si="3"/>
        <v>900</v>
      </c>
      <c r="AR19" s="373">
        <f t="shared" si="3"/>
        <v>900</v>
      </c>
      <c r="AS19" s="373">
        <f t="shared" si="3"/>
        <v>900</v>
      </c>
      <c r="AT19" s="373">
        <f t="shared" si="3"/>
        <v>900</v>
      </c>
      <c r="AU19" s="373">
        <f t="shared" si="3"/>
        <v>900</v>
      </c>
      <c r="AV19" s="373">
        <f t="shared" si="3"/>
        <v>900</v>
      </c>
      <c r="AW19" s="373">
        <f t="shared" si="3"/>
        <v>900</v>
      </c>
      <c r="AX19" s="373">
        <f t="shared" si="3"/>
        <v>900</v>
      </c>
      <c r="AY19" s="373">
        <f t="shared" si="3"/>
        <v>850</v>
      </c>
      <c r="AZ19" s="373">
        <f t="shared" si="3"/>
        <v>850</v>
      </c>
      <c r="BA19" s="373">
        <f t="shared" si="3"/>
        <v>850</v>
      </c>
      <c r="BB19" s="373">
        <f t="shared" si="3"/>
        <v>850</v>
      </c>
      <c r="BC19" s="373">
        <f t="shared" si="3"/>
        <v>850</v>
      </c>
      <c r="BD19" s="373">
        <f t="shared" si="3"/>
        <v>850</v>
      </c>
      <c r="BE19" s="373">
        <f t="shared" si="3"/>
        <v>850</v>
      </c>
      <c r="BF19" s="373">
        <f t="shared" si="3"/>
        <v>850</v>
      </c>
      <c r="BG19" s="373">
        <f t="shared" si="3"/>
        <v>850</v>
      </c>
      <c r="BH19" s="373">
        <f t="shared" si="3"/>
        <v>850</v>
      </c>
      <c r="BI19" s="373">
        <f t="shared" si="3"/>
        <v>850</v>
      </c>
      <c r="BJ19" s="373">
        <f t="shared" si="3"/>
        <v>850</v>
      </c>
      <c r="BK19" s="534"/>
      <c r="BL19" s="373">
        <f t="shared" si="3"/>
        <v>0</v>
      </c>
      <c r="BM19" s="373">
        <f t="shared" si="3"/>
        <v>800</v>
      </c>
      <c r="BN19" s="373">
        <f t="shared" si="3"/>
        <v>900</v>
      </c>
      <c r="BO19" s="373">
        <f t="shared" si="3"/>
        <v>850</v>
      </c>
      <c r="BP19" s="373">
        <f t="shared" si="3"/>
        <v>0</v>
      </c>
      <c r="BQ19" s="373">
        <f t="shared" si="3"/>
        <v>0</v>
      </c>
      <c r="BR19" s="373">
        <f t="shared" si="3"/>
        <v>0</v>
      </c>
      <c r="BS19" s="373">
        <f t="shared" si="3"/>
        <v>0</v>
      </c>
      <c r="BT19" s="373">
        <f t="shared" si="3"/>
        <v>0</v>
      </c>
      <c r="BU19" s="373">
        <f t="shared" si="3"/>
        <v>0</v>
      </c>
      <c r="BV19" s="373">
        <f t="shared" si="3"/>
        <v>0</v>
      </c>
      <c r="BW19" s="373">
        <f t="shared" si="3"/>
        <v>0</v>
      </c>
      <c r="BX19" s="522"/>
      <c r="BY19" s="531"/>
      <c r="BZ19" s="522"/>
      <c r="CA19" s="526"/>
      <c r="CB19" s="522"/>
      <c r="CC19" s="522"/>
      <c r="CD19" s="522"/>
      <c r="CE19" s="522"/>
      <c r="CF19" s="522"/>
      <c r="CG19" s="522"/>
      <c r="CH19" s="522"/>
      <c r="CI19" s="522"/>
      <c r="CJ19" s="522"/>
      <c r="CK19" s="522"/>
      <c r="CL19" s="522"/>
      <c r="CM19" s="522"/>
      <c r="CN19" s="522"/>
      <c r="CO19" s="522"/>
      <c r="CP19" s="522"/>
      <c r="CQ19" s="522"/>
      <c r="CR19" s="522"/>
      <c r="CS19" s="522"/>
      <c r="CT19" s="522"/>
      <c r="CU19" s="522"/>
      <c r="CV19" s="522"/>
      <c r="CW19" s="522"/>
      <c r="CX19" s="522"/>
      <c r="CY19" s="522"/>
      <c r="CZ19" s="522"/>
      <c r="DA19" s="522"/>
      <c r="DB19" s="522"/>
      <c r="DC19" s="522"/>
      <c r="DD19" s="522"/>
      <c r="DE19" s="522"/>
      <c r="DF19" s="522"/>
      <c r="DG19" s="522"/>
      <c r="DH19" s="522"/>
      <c r="DI19" s="522"/>
      <c r="DJ19" s="522"/>
      <c r="DK19" s="522"/>
      <c r="DL19" s="522"/>
      <c r="DM19" s="522"/>
      <c r="DN19" s="522"/>
      <c r="DO19" s="522"/>
      <c r="DP19" s="522"/>
      <c r="DQ19" s="522"/>
      <c r="DR19" s="522"/>
      <c r="DS19" s="522"/>
      <c r="DT19" s="522"/>
      <c r="DU19" s="522"/>
      <c r="DV19" s="522"/>
      <c r="DW19" s="522"/>
      <c r="DX19" s="522"/>
      <c r="DY19" s="522"/>
      <c r="DZ19" s="522"/>
      <c r="EA19" s="522"/>
      <c r="EB19" s="522"/>
      <c r="EC19" s="522"/>
      <c r="ED19" s="522"/>
      <c r="EE19" s="522"/>
      <c r="EF19" s="522"/>
      <c r="EG19" s="522"/>
      <c r="EH19" s="522"/>
      <c r="EI19" s="522"/>
      <c r="EJ19" s="522"/>
      <c r="EK19" s="522"/>
      <c r="EL19" s="522"/>
      <c r="EM19" s="522"/>
      <c r="EN19" s="522"/>
      <c r="EO19" s="522"/>
      <c r="EP19" s="522"/>
      <c r="EQ19" s="522"/>
      <c r="ER19" s="522"/>
      <c r="ES19" s="522"/>
      <c r="ET19" s="522"/>
      <c r="EU19" s="522"/>
      <c r="EV19" s="522"/>
      <c r="EW19" s="522"/>
      <c r="EX19" s="527" t="str">
        <f t="shared" si="1"/>
        <v/>
      </c>
    </row>
    <row r="20" spans="1:154" ht="8.1" customHeight="1" x14ac:dyDescent="0.25">
      <c r="A20" s="522"/>
      <c r="B20" s="522"/>
      <c r="C20" s="522"/>
      <c r="D20" s="522"/>
      <c r="E20" s="522"/>
      <c r="F20" s="522"/>
      <c r="G20" s="522"/>
      <c r="H20" s="522"/>
      <c r="I20" s="522"/>
      <c r="J20" s="522"/>
      <c r="K20" s="522"/>
      <c r="L20" s="522"/>
      <c r="M20" s="522"/>
      <c r="N20" s="522"/>
      <c r="O20" s="522"/>
      <c r="P20" s="522"/>
      <c r="Q20" s="522"/>
      <c r="R20" s="522"/>
      <c r="S20" s="534"/>
      <c r="T20" s="522"/>
      <c r="U20" s="522"/>
      <c r="V20" s="522"/>
      <c r="W20" s="522"/>
      <c r="X20" s="522"/>
      <c r="Y20" s="522"/>
      <c r="Z20" s="534"/>
      <c r="AA20" s="522"/>
      <c r="AB20" s="522"/>
      <c r="AC20" s="522"/>
      <c r="AD20" s="522"/>
      <c r="AE20" s="522"/>
      <c r="AF20" s="522"/>
      <c r="AG20" s="522"/>
      <c r="AH20" s="522"/>
      <c r="AI20" s="522"/>
      <c r="AJ20" s="522"/>
      <c r="AK20" s="522"/>
      <c r="AL20" s="522"/>
      <c r="AM20" s="522"/>
      <c r="AN20" s="522"/>
      <c r="AO20" s="522"/>
      <c r="AP20" s="522"/>
      <c r="AQ20" s="522"/>
      <c r="AR20" s="522"/>
      <c r="AS20" s="522"/>
      <c r="AT20" s="522"/>
      <c r="AU20" s="522"/>
      <c r="AV20" s="522"/>
      <c r="AW20" s="522"/>
      <c r="AX20" s="522"/>
      <c r="AY20" s="522"/>
      <c r="AZ20" s="522"/>
      <c r="BA20" s="522"/>
      <c r="BB20" s="522"/>
      <c r="BC20" s="522"/>
      <c r="BD20" s="522"/>
      <c r="BE20" s="522"/>
      <c r="BF20" s="522"/>
      <c r="BG20" s="522"/>
      <c r="BH20" s="522"/>
      <c r="BI20" s="522"/>
      <c r="BJ20" s="522"/>
      <c r="BK20" s="534"/>
      <c r="BL20" s="522"/>
      <c r="BM20" s="522"/>
      <c r="BN20" s="522"/>
      <c r="BO20" s="522"/>
      <c r="BP20" s="522"/>
      <c r="BQ20" s="522"/>
      <c r="BR20" s="522"/>
      <c r="BS20" s="522"/>
      <c r="BT20" s="522"/>
      <c r="BU20" s="522"/>
      <c r="BV20" s="522"/>
      <c r="BW20" s="522"/>
      <c r="BX20" s="522"/>
      <c r="BY20" s="526"/>
      <c r="BZ20" s="522"/>
      <c r="CA20" s="526"/>
      <c r="CB20" s="522"/>
      <c r="CC20" s="522"/>
      <c r="CD20" s="522"/>
      <c r="CE20" s="522"/>
      <c r="CF20" s="522"/>
      <c r="CG20" s="522"/>
      <c r="CH20" s="522"/>
      <c r="CI20" s="522"/>
      <c r="CJ20" s="522"/>
      <c r="CK20" s="522"/>
      <c r="CL20" s="522"/>
      <c r="CM20" s="522"/>
      <c r="CN20" s="522"/>
      <c r="CO20" s="522"/>
      <c r="CP20" s="522"/>
      <c r="CQ20" s="522"/>
      <c r="CR20" s="522"/>
      <c r="CS20" s="522"/>
      <c r="CT20" s="522"/>
      <c r="CU20" s="522"/>
      <c r="CV20" s="522"/>
      <c r="CW20" s="522"/>
      <c r="CX20" s="522"/>
      <c r="CY20" s="522"/>
      <c r="CZ20" s="522"/>
      <c r="DA20" s="522"/>
      <c r="DB20" s="522"/>
      <c r="DC20" s="522"/>
      <c r="DD20" s="522"/>
      <c r="DE20" s="522"/>
      <c r="DF20" s="522"/>
      <c r="DG20" s="522"/>
      <c r="DH20" s="522"/>
      <c r="DI20" s="522"/>
      <c r="DJ20" s="522"/>
      <c r="DK20" s="522"/>
      <c r="DL20" s="522"/>
      <c r="DM20" s="522"/>
      <c r="DN20" s="522"/>
      <c r="DO20" s="522"/>
      <c r="DP20" s="522"/>
      <c r="DQ20" s="522"/>
      <c r="DR20" s="522"/>
      <c r="DS20" s="522"/>
      <c r="DT20" s="522"/>
      <c r="DU20" s="522"/>
      <c r="DV20" s="522"/>
      <c r="DW20" s="522"/>
      <c r="DX20" s="522"/>
      <c r="DY20" s="522"/>
      <c r="DZ20" s="522"/>
      <c r="EA20" s="522"/>
      <c r="EB20" s="522"/>
      <c r="EC20" s="522"/>
      <c r="ED20" s="522"/>
      <c r="EE20" s="522"/>
      <c r="EF20" s="522"/>
      <c r="EG20" s="522"/>
      <c r="EH20" s="522"/>
      <c r="EI20" s="522"/>
      <c r="EJ20" s="522"/>
      <c r="EK20" s="522"/>
      <c r="EL20" s="522"/>
      <c r="EM20" s="522"/>
      <c r="EN20" s="522"/>
      <c r="EO20" s="522"/>
      <c r="EP20" s="522"/>
      <c r="EQ20" s="522"/>
      <c r="ER20" s="522"/>
      <c r="ES20" s="522"/>
      <c r="ET20" s="522"/>
      <c r="EU20" s="522"/>
      <c r="EV20" s="522"/>
      <c r="EW20" s="522"/>
      <c r="EX20" s="527" t="str">
        <f t="shared" si="1"/>
        <v/>
      </c>
    </row>
    <row r="21" spans="1:154" x14ac:dyDescent="0.25">
      <c r="A21" s="522"/>
      <c r="B21" s="522"/>
      <c r="C21" s="522"/>
      <c r="D21" s="522" t="s">
        <v>727</v>
      </c>
      <c r="E21" s="524"/>
      <c r="F21" s="522"/>
      <c r="G21" s="522"/>
      <c r="H21" s="522"/>
      <c r="I21" s="522"/>
      <c r="J21" s="522"/>
      <c r="K21" s="522"/>
      <c r="L21" s="522"/>
      <c r="M21" s="522"/>
      <c r="N21" s="522"/>
      <c r="O21" s="522"/>
      <c r="P21" s="522"/>
      <c r="Q21" s="522"/>
      <c r="R21" s="522"/>
      <c r="S21" s="534"/>
      <c r="T21" s="522"/>
      <c r="U21" s="522"/>
      <c r="V21" s="527">
        <f>'Fin Stat'!V$97*V$9</f>
        <v>0</v>
      </c>
      <c r="W21" s="527">
        <f>'Fin Stat'!W$97*W$9</f>
        <v>0</v>
      </c>
      <c r="X21" s="527">
        <f>'Fin Stat'!X$97*X$9</f>
        <v>0</v>
      </c>
      <c r="Y21" s="527">
        <f>'Fin Stat'!Y$97*Y$9</f>
        <v>0</v>
      </c>
      <c r="Z21" s="534"/>
      <c r="AA21" s="527">
        <f>'Fin Stat'!AA$97*AA$9</f>
        <v>0</v>
      </c>
      <c r="AB21" s="527">
        <f>'Fin Stat'!AB$97*AB$9</f>
        <v>0</v>
      </c>
      <c r="AC21" s="527">
        <f>'Fin Stat'!AC$97*AC$9</f>
        <v>0</v>
      </c>
      <c r="AD21" s="527">
        <f>'Fin Stat'!AD$97*AD$9</f>
        <v>0</v>
      </c>
      <c r="AE21" s="527">
        <f>'Fin Stat'!AE$97*AE$9</f>
        <v>0</v>
      </c>
      <c r="AF21" s="527">
        <f>'Fin Stat'!AF$97*AF$9</f>
        <v>0</v>
      </c>
      <c r="AG21" s="527">
        <f>'Fin Stat'!AG$97*AG$9</f>
        <v>0</v>
      </c>
      <c r="AH21" s="527">
        <f>'Fin Stat'!AH$97*AH$9</f>
        <v>0</v>
      </c>
      <c r="AI21" s="527">
        <f>'Fin Stat'!AI$97*AI$9</f>
        <v>0</v>
      </c>
      <c r="AJ21" s="527">
        <f>'Fin Stat'!AJ$97*AJ$9</f>
        <v>0</v>
      </c>
      <c r="AK21" s="527">
        <f>'Fin Stat'!AK$97*AK$9</f>
        <v>0</v>
      </c>
      <c r="AL21" s="527">
        <f>'Fin Stat'!AL$97*AL$9</f>
        <v>0</v>
      </c>
      <c r="AM21" s="527">
        <f>'Fin Stat'!AM$97*AM$9</f>
        <v>0</v>
      </c>
      <c r="AN21" s="527">
        <f>'Fin Stat'!AN$97*AN$9</f>
        <v>0</v>
      </c>
      <c r="AO21" s="527">
        <f>'Fin Stat'!AO$97*AO$9</f>
        <v>0</v>
      </c>
      <c r="AP21" s="527">
        <f>'Fin Stat'!AP$97*AP$9</f>
        <v>0</v>
      </c>
      <c r="AQ21" s="527">
        <f>'Fin Stat'!AQ$97*AQ$9</f>
        <v>0</v>
      </c>
      <c r="AR21" s="527">
        <f>'Fin Stat'!AR$97*AR$9</f>
        <v>0</v>
      </c>
      <c r="AS21" s="527">
        <f>'Fin Stat'!AS$97*AS$9</f>
        <v>0</v>
      </c>
      <c r="AT21" s="527">
        <f>'Fin Stat'!AT$97*AT$9</f>
        <v>0</v>
      </c>
      <c r="AU21" s="527">
        <f>'Fin Stat'!AU$97*AU$9</f>
        <v>0</v>
      </c>
      <c r="AV21" s="527">
        <f>'Fin Stat'!AV$97*AV$9</f>
        <v>0</v>
      </c>
      <c r="AW21" s="527">
        <f>'Fin Stat'!AW$97*AW$9</f>
        <v>0</v>
      </c>
      <c r="AX21" s="527">
        <f>'Fin Stat'!AX$97*AX$9</f>
        <v>0</v>
      </c>
      <c r="AY21" s="527">
        <f>'Fin Stat'!AY$97*AY$9</f>
        <v>0</v>
      </c>
      <c r="AZ21" s="527">
        <f>'Fin Stat'!AZ$97*AZ$9</f>
        <v>0</v>
      </c>
      <c r="BA21" s="527">
        <f>'Fin Stat'!BA$97*BA$9</f>
        <v>0</v>
      </c>
      <c r="BB21" s="527">
        <f>'Fin Stat'!BB$97*BB$9</f>
        <v>0</v>
      </c>
      <c r="BC21" s="527">
        <f>'Fin Stat'!BC$97*BC$9</f>
        <v>0</v>
      </c>
      <c r="BD21" s="527">
        <f>'Fin Stat'!BD$97*BD$9</f>
        <v>0</v>
      </c>
      <c r="BE21" s="527">
        <f>'Fin Stat'!BE$97*BE$9</f>
        <v>0</v>
      </c>
      <c r="BF21" s="527">
        <f>'Fin Stat'!BF$97*BF$9</f>
        <v>0</v>
      </c>
      <c r="BG21" s="527">
        <f>'Fin Stat'!BG$97*BG$9</f>
        <v>0</v>
      </c>
      <c r="BH21" s="527">
        <f>'Fin Stat'!BH$97*BH$9</f>
        <v>0</v>
      </c>
      <c r="BI21" s="527">
        <f>'Fin Stat'!BI$97*BI$9</f>
        <v>0</v>
      </c>
      <c r="BJ21" s="527">
        <f>'Fin Stat'!BJ$97*BJ$9</f>
        <v>0</v>
      </c>
      <c r="BK21" s="534"/>
      <c r="BL21" s="527">
        <f>'Fin Stat'!BL$97*BL$9</f>
        <v>0</v>
      </c>
      <c r="BM21" s="527">
        <f>'Fin Stat'!BM$97*BM$9</f>
        <v>0</v>
      </c>
      <c r="BN21" s="527">
        <f>'Fin Stat'!BN$97*BN$9</f>
        <v>0</v>
      </c>
      <c r="BO21" s="527">
        <f>'Fin Stat'!BO$97*BO$9</f>
        <v>0</v>
      </c>
      <c r="BP21" s="527">
        <f>'Fin Stat'!BP$97*BP$9</f>
        <v>0</v>
      </c>
      <c r="BQ21" s="527">
        <f>'Fin Stat'!BQ$97*BQ$9</f>
        <v>0</v>
      </c>
      <c r="BR21" s="527">
        <f>'Fin Stat'!BR$97*BR$9</f>
        <v>0</v>
      </c>
      <c r="BS21" s="527">
        <f>'Fin Stat'!BS$97*BS$9</f>
        <v>0</v>
      </c>
      <c r="BT21" s="527">
        <f>'Fin Stat'!BT$97*BT$9</f>
        <v>0</v>
      </c>
      <c r="BU21" s="527">
        <f>'Fin Stat'!BU$97*BU$9</f>
        <v>0</v>
      </c>
      <c r="BV21" s="527">
        <f>'Fin Stat'!BV$97*BV$9</f>
        <v>0</v>
      </c>
      <c r="BW21" s="527">
        <f>'Fin Stat'!BW$97*BW$9</f>
        <v>0</v>
      </c>
      <c r="BX21" s="522"/>
      <c r="BY21" s="531"/>
      <c r="BZ21" s="522"/>
      <c r="CA21" s="526"/>
      <c r="CB21" s="522"/>
      <c r="CC21" s="522"/>
      <c r="CD21" s="522"/>
      <c r="CE21" s="522"/>
      <c r="CF21" s="522"/>
      <c r="CG21" s="522"/>
      <c r="CH21" s="522"/>
      <c r="CI21" s="522"/>
      <c r="CJ21" s="522"/>
      <c r="CK21" s="522"/>
      <c r="CL21" s="522"/>
      <c r="CM21" s="522"/>
      <c r="CN21" s="522"/>
      <c r="CO21" s="522"/>
      <c r="CP21" s="522"/>
      <c r="CQ21" s="522"/>
      <c r="CR21" s="522"/>
      <c r="CS21" s="522"/>
      <c r="CT21" s="522"/>
      <c r="CU21" s="522"/>
      <c r="CV21" s="522"/>
      <c r="CW21" s="522"/>
      <c r="CX21" s="522"/>
      <c r="CY21" s="522"/>
      <c r="CZ21" s="522"/>
      <c r="DA21" s="522"/>
      <c r="DB21" s="522"/>
      <c r="DC21" s="522"/>
      <c r="DD21" s="522"/>
      <c r="DE21" s="522"/>
      <c r="DF21" s="522"/>
      <c r="DG21" s="522"/>
      <c r="DH21" s="522"/>
      <c r="DI21" s="522"/>
      <c r="DJ21" s="522"/>
      <c r="DK21" s="522"/>
      <c r="DL21" s="522"/>
      <c r="DM21" s="522"/>
      <c r="DN21" s="522"/>
      <c r="DO21" s="522"/>
      <c r="DP21" s="522"/>
      <c r="DQ21" s="522"/>
      <c r="DR21" s="522"/>
      <c r="DS21" s="522"/>
      <c r="DT21" s="522"/>
      <c r="DU21" s="522"/>
      <c r="DV21" s="522"/>
      <c r="DW21" s="522"/>
      <c r="DX21" s="522"/>
      <c r="DY21" s="522"/>
      <c r="DZ21" s="522"/>
      <c r="EA21" s="522"/>
      <c r="EB21" s="522"/>
      <c r="EC21" s="522"/>
      <c r="ED21" s="522"/>
      <c r="EE21" s="522"/>
      <c r="EF21" s="522"/>
      <c r="EG21" s="522"/>
      <c r="EH21" s="522"/>
      <c r="EI21" s="522"/>
      <c r="EJ21" s="522"/>
      <c r="EK21" s="522"/>
      <c r="EL21" s="522"/>
      <c r="EM21" s="522"/>
      <c r="EN21" s="522"/>
      <c r="EO21" s="522"/>
      <c r="EP21" s="522"/>
      <c r="EQ21" s="522"/>
      <c r="ER21" s="522"/>
      <c r="ES21" s="522"/>
      <c r="ET21" s="522"/>
      <c r="EU21" s="522"/>
      <c r="EV21" s="522"/>
      <c r="EW21" s="522"/>
      <c r="EX21" s="527" t="str">
        <f t="shared" si="1"/>
        <v/>
      </c>
    </row>
    <row r="22" spans="1:154" s="335" customFormat="1" ht="8.1" customHeight="1" x14ac:dyDescent="0.25">
      <c r="A22" s="522"/>
      <c r="B22" s="522"/>
      <c r="C22" s="522"/>
      <c r="D22" s="522"/>
      <c r="E22" s="522"/>
      <c r="F22" s="522"/>
      <c r="G22" s="522"/>
      <c r="H22" s="522"/>
      <c r="I22" s="522"/>
      <c r="J22" s="522"/>
      <c r="K22" s="522"/>
      <c r="L22" s="522"/>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522"/>
      <c r="AJ22" s="522"/>
      <c r="AK22" s="522"/>
      <c r="AL22" s="522"/>
      <c r="AM22" s="522"/>
      <c r="AN22" s="522"/>
      <c r="AO22" s="522"/>
      <c r="AP22" s="522"/>
      <c r="AQ22" s="522"/>
      <c r="AR22" s="522"/>
      <c r="AS22" s="522"/>
      <c r="AT22" s="522"/>
      <c r="AU22" s="522"/>
      <c r="AV22" s="522"/>
      <c r="AW22" s="522"/>
      <c r="AX22" s="522"/>
      <c r="AY22" s="522"/>
      <c r="AZ22" s="522"/>
      <c r="BA22" s="522"/>
      <c r="BB22" s="522"/>
      <c r="BC22" s="522"/>
      <c r="BD22" s="522"/>
      <c r="BE22" s="522"/>
      <c r="BF22" s="522"/>
      <c r="BG22" s="522"/>
      <c r="BH22" s="522"/>
      <c r="BI22" s="522"/>
      <c r="BJ22" s="522"/>
      <c r="BK22" s="522"/>
      <c r="BL22" s="522"/>
      <c r="BM22" s="522"/>
      <c r="BN22" s="522"/>
      <c r="BO22" s="522"/>
      <c r="BP22" s="522"/>
      <c r="BQ22" s="522"/>
      <c r="BR22" s="522"/>
      <c r="BS22" s="522"/>
      <c r="BT22" s="522"/>
      <c r="BU22" s="522"/>
      <c r="BV22" s="522"/>
      <c r="BW22" s="522"/>
      <c r="BX22" s="522"/>
      <c r="BY22" s="526"/>
      <c r="BZ22" s="522"/>
      <c r="CA22" s="526"/>
      <c r="CB22" s="522"/>
      <c r="CC22" s="522"/>
      <c r="CD22" s="522"/>
      <c r="CE22" s="522"/>
      <c r="CF22" s="522"/>
      <c r="CG22" s="522"/>
      <c r="CH22" s="522"/>
      <c r="CI22" s="522"/>
      <c r="CJ22" s="522"/>
      <c r="CK22" s="522"/>
      <c r="CL22" s="522"/>
      <c r="CM22" s="522"/>
      <c r="CN22" s="522"/>
      <c r="CO22" s="522"/>
      <c r="CP22" s="522"/>
      <c r="CQ22" s="522"/>
      <c r="CR22" s="522"/>
      <c r="CS22" s="522"/>
      <c r="CT22" s="522"/>
      <c r="CU22" s="522"/>
      <c r="CV22" s="522"/>
      <c r="CW22" s="522"/>
      <c r="CX22" s="522"/>
      <c r="CY22" s="522"/>
      <c r="CZ22" s="522"/>
      <c r="DA22" s="522"/>
      <c r="DB22" s="522"/>
      <c r="DC22" s="522"/>
      <c r="DD22" s="522"/>
      <c r="DE22" s="522"/>
      <c r="DF22" s="522"/>
      <c r="DG22" s="522"/>
      <c r="DH22" s="522"/>
      <c r="DI22" s="522"/>
      <c r="DJ22" s="522"/>
      <c r="DK22" s="522"/>
      <c r="DL22" s="522"/>
      <c r="DM22" s="522"/>
      <c r="DN22" s="522"/>
      <c r="DO22" s="522"/>
      <c r="DP22" s="522"/>
      <c r="DQ22" s="522"/>
      <c r="DR22" s="522"/>
      <c r="DS22" s="522"/>
      <c r="DT22" s="522"/>
      <c r="DU22" s="522"/>
      <c r="DV22" s="522"/>
      <c r="DW22" s="522"/>
      <c r="DX22" s="522"/>
      <c r="DY22" s="522"/>
      <c r="DZ22" s="522"/>
      <c r="EA22" s="522"/>
      <c r="EB22" s="522"/>
      <c r="EC22" s="522"/>
      <c r="ED22" s="522"/>
      <c r="EE22" s="522"/>
      <c r="EF22" s="522"/>
      <c r="EG22" s="522"/>
      <c r="EH22" s="522"/>
      <c r="EI22" s="522"/>
      <c r="EJ22" s="522"/>
      <c r="EK22" s="522"/>
      <c r="EL22" s="522"/>
      <c r="EM22" s="522"/>
      <c r="EN22" s="522"/>
      <c r="EO22" s="522"/>
      <c r="EP22" s="522"/>
      <c r="EQ22" s="522"/>
      <c r="ER22" s="522"/>
      <c r="ES22" s="522"/>
      <c r="ET22" s="522"/>
      <c r="EU22" s="522"/>
      <c r="EV22" s="522"/>
      <c r="EW22" s="522"/>
      <c r="EX22" s="527" t="str">
        <f t="shared" si="1"/>
        <v/>
      </c>
    </row>
    <row r="23" spans="1:154" x14ac:dyDescent="0.25">
      <c r="A23" s="522"/>
      <c r="B23" s="522"/>
      <c r="C23" s="522"/>
      <c r="D23" s="522" t="str">
        <f>Ratios!D$20</f>
        <v>Adjusted cash days in hand</v>
      </c>
      <c r="E23" s="522"/>
      <c r="F23" s="522"/>
      <c r="G23" s="522"/>
      <c r="H23" s="522"/>
      <c r="I23" s="522"/>
      <c r="J23" s="522"/>
      <c r="K23" s="522"/>
      <c r="L23" s="522"/>
      <c r="M23" s="522"/>
      <c r="N23" s="522"/>
      <c r="O23" s="522"/>
      <c r="P23" s="522"/>
      <c r="Q23" s="522"/>
      <c r="R23" s="522"/>
      <c r="S23" s="534"/>
      <c r="T23" s="522"/>
      <c r="U23" s="522"/>
      <c r="V23" s="536">
        <f>Ratios!V$20</f>
        <v>0</v>
      </c>
      <c r="W23" s="536">
        <f>Ratios!W$20</f>
        <v>146.54175959393984</v>
      </c>
      <c r="X23" s="536">
        <f>Ratios!X$20</f>
        <v>123.04741442632584</v>
      </c>
      <c r="Y23" s="536">
        <f>Ratios!Y$20</f>
        <v>130.53428966542288</v>
      </c>
      <c r="Z23" s="534"/>
      <c r="AA23" s="536">
        <f>Ratios!AA$20</f>
        <v>179.90348381142812</v>
      </c>
      <c r="AB23" s="536">
        <f>Ratios!AB$20</f>
        <v>209.30727524417443</v>
      </c>
      <c r="AC23" s="536">
        <f>Ratios!AC$20</f>
        <v>182.20526032454049</v>
      </c>
      <c r="AD23" s="536">
        <f>Ratios!AD$20</f>
        <v>182.80877489810047</v>
      </c>
      <c r="AE23" s="536">
        <f>Ratios!AE$20</f>
        <v>176.43678381911866</v>
      </c>
      <c r="AF23" s="536">
        <f>Ratios!AF$20</f>
        <v>168.22617857417518</v>
      </c>
      <c r="AG23" s="536">
        <f>Ratios!AG$20</f>
        <v>159.0331077443667</v>
      </c>
      <c r="AH23" s="536">
        <f>Ratios!AH$20</f>
        <v>132.60478351149735</v>
      </c>
      <c r="AI23" s="536">
        <f>Ratios!AI$20</f>
        <v>152.78743366915327</v>
      </c>
      <c r="AJ23" s="536">
        <f>Ratios!AJ$20</f>
        <v>157.91028993309237</v>
      </c>
      <c r="AK23" s="536">
        <f>Ratios!AK$20</f>
        <v>163.84718911020533</v>
      </c>
      <c r="AL23" s="536">
        <f>Ratios!AL$20</f>
        <v>146.54175959393984</v>
      </c>
      <c r="AM23" s="536">
        <f>Ratios!AM$20</f>
        <v>159.34901571911266</v>
      </c>
      <c r="AN23" s="536">
        <f>Ratios!AN$20</f>
        <v>163.38401645365064</v>
      </c>
      <c r="AO23" s="536">
        <f>Ratios!AO$20</f>
        <v>161.4268400176289</v>
      </c>
      <c r="AP23" s="536">
        <f>Ratios!AP$20</f>
        <v>153.73218745409139</v>
      </c>
      <c r="AQ23" s="536">
        <f>Ratios!AQ$20</f>
        <v>137.17661965623623</v>
      </c>
      <c r="AR23" s="536">
        <f>Ratios!AR$20</f>
        <v>120.74169972087557</v>
      </c>
      <c r="AS23" s="536">
        <f>Ratios!AS$20</f>
        <v>103.94483619803142</v>
      </c>
      <c r="AT23" s="536">
        <f>Ratios!AT$20</f>
        <v>85.646577053033653</v>
      </c>
      <c r="AU23" s="536">
        <f>Ratios!AU$20</f>
        <v>100.1109152343176</v>
      </c>
      <c r="AV23" s="536">
        <f>Ratios!AV$20</f>
        <v>101.50506831203172</v>
      </c>
      <c r="AW23" s="536">
        <f>Ratios!AW$20</f>
        <v>98.27438666079037</v>
      </c>
      <c r="AX23" s="536">
        <f>Ratios!AX$20</f>
        <v>123.04741442632584</v>
      </c>
      <c r="AY23" s="536">
        <f>Ratios!AY$20</f>
        <v>146.58212879518371</v>
      </c>
      <c r="AZ23" s="536">
        <f>Ratios!AZ$20</f>
        <v>158.86079320147661</v>
      </c>
      <c r="BA23" s="536">
        <f>Ratios!BA$20</f>
        <v>159.15349977557921</v>
      </c>
      <c r="BB23" s="536">
        <f>Ratios!BB$20</f>
        <v>151.40103827895885</v>
      </c>
      <c r="BC23" s="536">
        <f>Ratios!BC$20</f>
        <v>138.06582744228774</v>
      </c>
      <c r="BD23" s="536">
        <f>Ratios!BD$20</f>
        <v>127.10342065774313</v>
      </c>
      <c r="BE23" s="536">
        <f>Ratios!BE$20</f>
        <v>111.60481039058726</v>
      </c>
      <c r="BF23" s="536">
        <f>Ratios!BF$20</f>
        <v>98.686261168737801</v>
      </c>
      <c r="BG23" s="536">
        <f>Ratios!BG$20</f>
        <v>119.21730725250001</v>
      </c>
      <c r="BH23" s="536">
        <f>Ratios!BH$20</f>
        <v>123.13599162606175</v>
      </c>
      <c r="BI23" s="536">
        <f>Ratios!BI$20</f>
        <v>121.94104247258456</v>
      </c>
      <c r="BJ23" s="536">
        <f>Ratios!BJ$20</f>
        <v>130.53428966542288</v>
      </c>
      <c r="BK23" s="534"/>
      <c r="BL23" s="536">
        <f>Ratios!BL$20</f>
        <v>0</v>
      </c>
      <c r="BM23" s="536">
        <f>Ratios!BM$20</f>
        <v>146.54175959393984</v>
      </c>
      <c r="BN23" s="536">
        <f>Ratios!BN$20</f>
        <v>123.04741442632584</v>
      </c>
      <c r="BO23" s="536">
        <f>Ratios!BO$20</f>
        <v>130.53428966542288</v>
      </c>
      <c r="BP23" s="536">
        <f>Ratios!BP$20</f>
        <v>0</v>
      </c>
      <c r="BQ23" s="536">
        <f>Ratios!BQ$20</f>
        <v>0</v>
      </c>
      <c r="BR23" s="536">
        <f>Ratios!BR$20</f>
        <v>0</v>
      </c>
      <c r="BS23" s="536">
        <f>Ratios!BS$20</f>
        <v>0</v>
      </c>
      <c r="BT23" s="536">
        <f>Ratios!BT$20</f>
        <v>0</v>
      </c>
      <c r="BU23" s="536">
        <f>Ratios!BU$20</f>
        <v>0</v>
      </c>
      <c r="BV23" s="536">
        <f>Ratios!BV$20</f>
        <v>0</v>
      </c>
      <c r="BW23" s="536">
        <f>Ratios!BW$20</f>
        <v>0</v>
      </c>
      <c r="BX23" s="522"/>
      <c r="BY23" s="531"/>
      <c r="BZ23" s="522"/>
      <c r="CA23" s="526"/>
      <c r="CB23" s="522"/>
      <c r="CC23" s="522"/>
      <c r="CD23" s="522"/>
      <c r="CE23" s="522"/>
      <c r="CF23" s="522"/>
      <c r="CG23" s="522"/>
      <c r="CH23" s="522"/>
      <c r="CI23" s="522"/>
      <c r="CJ23" s="522"/>
      <c r="CK23" s="522"/>
      <c r="CL23" s="522"/>
      <c r="CM23" s="522"/>
      <c r="CN23" s="522"/>
      <c r="CO23" s="522"/>
      <c r="CP23" s="522"/>
      <c r="CQ23" s="522"/>
      <c r="CR23" s="522"/>
      <c r="CS23" s="522"/>
      <c r="CT23" s="522"/>
      <c r="CU23" s="522"/>
      <c r="CV23" s="522"/>
      <c r="CW23" s="522"/>
      <c r="CX23" s="522"/>
      <c r="CY23" s="522"/>
      <c r="CZ23" s="522"/>
      <c r="DA23" s="522"/>
      <c r="DB23" s="522"/>
      <c r="DC23" s="522"/>
      <c r="DD23" s="522"/>
      <c r="DE23" s="522"/>
      <c r="DF23" s="522"/>
      <c r="DG23" s="522"/>
      <c r="DH23" s="522"/>
      <c r="DI23" s="522"/>
      <c r="DJ23" s="522"/>
      <c r="DK23" s="522"/>
      <c r="DL23" s="522"/>
      <c r="DM23" s="522"/>
      <c r="DN23" s="522"/>
      <c r="DO23" s="522"/>
      <c r="DP23" s="522"/>
      <c r="DQ23" s="522"/>
      <c r="DR23" s="522"/>
      <c r="DS23" s="522"/>
      <c r="DT23" s="522"/>
      <c r="DU23" s="522"/>
      <c r="DV23" s="522"/>
      <c r="DW23" s="522"/>
      <c r="DX23" s="522"/>
      <c r="DY23" s="522"/>
      <c r="DZ23" s="522"/>
      <c r="EA23" s="522"/>
      <c r="EB23" s="522"/>
      <c r="EC23" s="522"/>
      <c r="ED23" s="522"/>
      <c r="EE23" s="522"/>
      <c r="EF23" s="522"/>
      <c r="EG23" s="522"/>
      <c r="EH23" s="522"/>
      <c r="EI23" s="522"/>
      <c r="EJ23" s="522"/>
      <c r="EK23" s="522"/>
      <c r="EL23" s="522"/>
      <c r="EM23" s="522"/>
      <c r="EN23" s="522"/>
      <c r="EO23" s="522"/>
      <c r="EP23" s="522"/>
      <c r="EQ23" s="522"/>
      <c r="ER23" s="522"/>
      <c r="ES23" s="522"/>
      <c r="ET23" s="522"/>
      <c r="EU23" s="522"/>
      <c r="EV23" s="522"/>
      <c r="EW23" s="522"/>
      <c r="EX23" s="527" t="str">
        <f t="shared" si="1"/>
        <v/>
      </c>
    </row>
    <row r="24" spans="1:154" x14ac:dyDescent="0.25">
      <c r="A24" s="522"/>
      <c r="B24" s="522"/>
      <c r="C24" s="522"/>
      <c r="D24" s="522" t="str">
        <f>Ratios!D$25</f>
        <v>Trade debtor days -excluding funding body grants</v>
      </c>
      <c r="E24" s="522"/>
      <c r="F24" s="522"/>
      <c r="G24" s="522"/>
      <c r="H24" s="522"/>
      <c r="I24" s="522"/>
      <c r="J24" s="522"/>
      <c r="K24" s="522"/>
      <c r="L24" s="522"/>
      <c r="M24" s="522"/>
      <c r="N24" s="522"/>
      <c r="O24" s="522"/>
      <c r="P24" s="522"/>
      <c r="Q24" s="522"/>
      <c r="R24" s="522"/>
      <c r="S24" s="534"/>
      <c r="T24" s="522"/>
      <c r="U24" s="522"/>
      <c r="V24" s="536">
        <f>Ratios!V$25</f>
        <v>0</v>
      </c>
      <c r="W24" s="536">
        <f>Ratios!W$25</f>
        <v>110.85988120950324</v>
      </c>
      <c r="X24" s="536">
        <f>Ratios!X$25</f>
        <v>121.3150289017341</v>
      </c>
      <c r="Y24" s="536">
        <f>Ratios!Y$25</f>
        <v>114.37996940371428</v>
      </c>
      <c r="Z24" s="534"/>
      <c r="AA24" s="536">
        <f>Ratios!AA$25</f>
        <v>275.22935779816515</v>
      </c>
      <c r="AB24" s="536">
        <f>Ratios!AB$25</f>
        <v>35.648994515539307</v>
      </c>
      <c r="AC24" s="536">
        <f>Ratios!AC$25</f>
        <v>174.10714285714286</v>
      </c>
      <c r="AD24" s="536">
        <f>Ratios!AD$25</f>
        <v>115.04424778761062</v>
      </c>
      <c r="AE24" s="536">
        <f>Ratios!AE$25</f>
        <v>500.00000000000006</v>
      </c>
      <c r="AF24" s="536">
        <f>Ratios!AF$25</f>
        <v>168.22429906542055</v>
      </c>
      <c r="AG24" s="536">
        <f>Ratios!AG$25</f>
        <v>310.34482758620692</v>
      </c>
      <c r="AH24" s="536">
        <f>Ratios!AH$25</f>
        <v>195.65217391304347</v>
      </c>
      <c r="AI24" s="536">
        <f>Ratios!AI$25</f>
        <v>101.12359550561797</v>
      </c>
      <c r="AJ24" s="536">
        <f>Ratios!AJ$25</f>
        <v>197.80219780219778</v>
      </c>
      <c r="AK24" s="536">
        <f>Ratios!AK$25</f>
        <v>51.569506726457398</v>
      </c>
      <c r="AL24" s="536">
        <f>Ratios!AL$25</f>
        <v>232.75862068965517</v>
      </c>
      <c r="AM24" s="536">
        <f>Ratios!AM$25</f>
        <v>228.04054054054055</v>
      </c>
      <c r="AN24" s="536">
        <f>Ratios!AN$25</f>
        <v>37.840565085771942</v>
      </c>
      <c r="AO24" s="536">
        <f>Ratios!AO$25</f>
        <v>171.23287671232876</v>
      </c>
      <c r="AP24" s="536">
        <f>Ratios!AP$25</f>
        <v>156.25</v>
      </c>
      <c r="AQ24" s="536">
        <f>Ratios!AQ$25</f>
        <v>286.25954198473283</v>
      </c>
      <c r="AR24" s="536">
        <f>Ratios!AR$25</f>
        <v>103.30578512396694</v>
      </c>
      <c r="AS24" s="536">
        <f>Ratios!AS$25</f>
        <v>242.95774647887322</v>
      </c>
      <c r="AT24" s="536">
        <f>Ratios!AT$25</f>
        <v>207.83132530120483</v>
      </c>
      <c r="AU24" s="536">
        <f>Ratios!AU$25</f>
        <v>61.278863232682063</v>
      </c>
      <c r="AV24" s="536">
        <f>Ratios!AV$25</f>
        <v>212.96296296296299</v>
      </c>
      <c r="AW24" s="536">
        <f>Ratios!AW$25</f>
        <v>212.96296296296299</v>
      </c>
      <c r="AX24" s="536">
        <f>Ratios!AX$25</f>
        <v>199.42196531791907</v>
      </c>
      <c r="AY24" s="536">
        <f>Ratios!AY$25</f>
        <v>231.35729613733906</v>
      </c>
      <c r="AZ24" s="536">
        <f>Ratios!AZ$25</f>
        <v>37.769485277454642</v>
      </c>
      <c r="BA24" s="536">
        <f>Ratios!BA$25</f>
        <v>169.6909362414589</v>
      </c>
      <c r="BB24" s="536">
        <f>Ratios!BB$25</f>
        <v>154.80834726608458</v>
      </c>
      <c r="BC24" s="536">
        <f>Ratios!BC$25</f>
        <v>280.65711185121427</v>
      </c>
      <c r="BD24" s="536">
        <f>Ratios!BD$25</f>
        <v>95.943713021693952</v>
      </c>
      <c r="BE24" s="536">
        <f>Ratios!BE$25</f>
        <v>249.32474548098901</v>
      </c>
      <c r="BF24" s="536">
        <f>Ratios!BF$25</f>
        <v>213.70692469799059</v>
      </c>
      <c r="BG24" s="536">
        <f>Ratios!BG$25</f>
        <v>57.861745495989126</v>
      </c>
      <c r="BH24" s="536">
        <f>Ratios!BH$25</f>
        <v>200.59570846757035</v>
      </c>
      <c r="BI24" s="536">
        <f>Ratios!BI$25</f>
        <v>201.01726921085495</v>
      </c>
      <c r="BJ24" s="536">
        <f>Ratios!BJ$25</f>
        <v>179.01703374199849</v>
      </c>
      <c r="BK24" s="534"/>
      <c r="BL24" s="536">
        <f>Ratios!BL$25</f>
        <v>0</v>
      </c>
      <c r="BM24" s="536">
        <f>Ratios!BM$25</f>
        <v>110.85988120950324</v>
      </c>
      <c r="BN24" s="536">
        <f>Ratios!BN$25</f>
        <v>121.3150289017341</v>
      </c>
      <c r="BO24" s="536">
        <f>Ratios!BO$25</f>
        <v>114.37996940371428</v>
      </c>
      <c r="BP24" s="536">
        <f>Ratios!BP$25</f>
        <v>0</v>
      </c>
      <c r="BQ24" s="536">
        <f>Ratios!BQ$25</f>
        <v>0</v>
      </c>
      <c r="BR24" s="536">
        <f>Ratios!BR$25</f>
        <v>0</v>
      </c>
      <c r="BS24" s="536">
        <f>Ratios!BS$25</f>
        <v>0</v>
      </c>
      <c r="BT24" s="536">
        <f>Ratios!BT$25</f>
        <v>0</v>
      </c>
      <c r="BU24" s="536">
        <f>Ratios!BU$25</f>
        <v>0</v>
      </c>
      <c r="BV24" s="536">
        <f>Ratios!BV$25</f>
        <v>0</v>
      </c>
      <c r="BW24" s="536">
        <f>Ratios!BW$25</f>
        <v>0</v>
      </c>
      <c r="BX24" s="522"/>
      <c r="BY24" s="531"/>
      <c r="BZ24" s="522"/>
      <c r="CA24" s="526"/>
      <c r="CB24" s="522"/>
      <c r="CC24" s="522"/>
      <c r="CD24" s="522"/>
      <c r="CE24" s="522"/>
      <c r="CF24" s="522"/>
      <c r="CG24" s="522"/>
      <c r="CH24" s="522"/>
      <c r="CI24" s="522"/>
      <c r="CJ24" s="522"/>
      <c r="CK24" s="522"/>
      <c r="CL24" s="522"/>
      <c r="CM24" s="522"/>
      <c r="CN24" s="522"/>
      <c r="CO24" s="522"/>
      <c r="CP24" s="522"/>
      <c r="CQ24" s="522"/>
      <c r="CR24" s="522"/>
      <c r="CS24" s="522"/>
      <c r="CT24" s="522"/>
      <c r="CU24" s="522"/>
      <c r="CV24" s="522"/>
      <c r="CW24" s="522"/>
      <c r="CX24" s="522"/>
      <c r="CY24" s="522"/>
      <c r="CZ24" s="522"/>
      <c r="DA24" s="522"/>
      <c r="DB24" s="522"/>
      <c r="DC24" s="522"/>
      <c r="DD24" s="522"/>
      <c r="DE24" s="522"/>
      <c r="DF24" s="522"/>
      <c r="DG24" s="522"/>
      <c r="DH24" s="522"/>
      <c r="DI24" s="522"/>
      <c r="DJ24" s="522"/>
      <c r="DK24" s="522"/>
      <c r="DL24" s="522"/>
      <c r="DM24" s="522"/>
      <c r="DN24" s="522"/>
      <c r="DO24" s="522"/>
      <c r="DP24" s="522"/>
      <c r="DQ24" s="522"/>
      <c r="DR24" s="522"/>
      <c r="DS24" s="522"/>
      <c r="DT24" s="522"/>
      <c r="DU24" s="522"/>
      <c r="DV24" s="522"/>
      <c r="DW24" s="522"/>
      <c r="DX24" s="522"/>
      <c r="DY24" s="522"/>
      <c r="DZ24" s="522"/>
      <c r="EA24" s="522"/>
      <c r="EB24" s="522"/>
      <c r="EC24" s="522"/>
      <c r="ED24" s="522"/>
      <c r="EE24" s="522"/>
      <c r="EF24" s="522"/>
      <c r="EG24" s="522"/>
      <c r="EH24" s="522"/>
      <c r="EI24" s="522"/>
      <c r="EJ24" s="522"/>
      <c r="EK24" s="522"/>
      <c r="EL24" s="522"/>
      <c r="EM24" s="522"/>
      <c r="EN24" s="522"/>
      <c r="EO24" s="522"/>
      <c r="EP24" s="522"/>
      <c r="EQ24" s="522"/>
      <c r="ER24" s="522"/>
      <c r="ES24" s="522"/>
      <c r="ET24" s="522"/>
      <c r="EU24" s="522"/>
      <c r="EV24" s="522"/>
      <c r="EW24" s="522"/>
      <c r="EX24" s="527" t="str">
        <f t="shared" si="1"/>
        <v/>
      </c>
    </row>
    <row r="25" spans="1:154" x14ac:dyDescent="0.25">
      <c r="A25" s="522"/>
      <c r="B25" s="522"/>
      <c r="C25" s="522"/>
      <c r="D25" s="522" t="str">
        <f>Ratios!D$26</f>
        <v>Trade creditors days - non-pay expenditure</v>
      </c>
      <c r="E25" s="522"/>
      <c r="F25" s="522"/>
      <c r="G25" s="522"/>
      <c r="H25" s="522"/>
      <c r="I25" s="522"/>
      <c r="J25" s="522"/>
      <c r="K25" s="522"/>
      <c r="L25" s="522"/>
      <c r="M25" s="522"/>
      <c r="N25" s="522"/>
      <c r="O25" s="522"/>
      <c r="P25" s="522"/>
      <c r="Q25" s="522"/>
      <c r="R25" s="522"/>
      <c r="S25" s="534"/>
      <c r="T25" s="522"/>
      <c r="U25" s="522"/>
      <c r="V25" s="536">
        <f>Ratios!V$26</f>
        <v>0</v>
      </c>
      <c r="W25" s="536">
        <f>Ratios!W$26</f>
        <v>34.140067812463464</v>
      </c>
      <c r="X25" s="536">
        <f>Ratios!X$26</f>
        <v>36.410995344712923</v>
      </c>
      <c r="Y25" s="536">
        <f>Ratios!Y$26</f>
        <v>33.532365893503801</v>
      </c>
      <c r="Z25" s="534"/>
      <c r="AA25" s="536">
        <f>Ratios!AA$26</f>
        <v>77.41935483870968</v>
      </c>
      <c r="AB25" s="536">
        <f>Ratios!AB$26</f>
        <v>40.336134453781519</v>
      </c>
      <c r="AC25" s="536">
        <f>Ratios!AC$26</f>
        <v>32.87671232876712</v>
      </c>
      <c r="AD25" s="536">
        <f>Ratios!AD$26</f>
        <v>28.846153846153847</v>
      </c>
      <c r="AE25" s="536">
        <f>Ratios!AE$26</f>
        <v>34.433285509325678</v>
      </c>
      <c r="AF25" s="536">
        <f>Ratios!AF$26</f>
        <v>36.144578313253014</v>
      </c>
      <c r="AG25" s="536">
        <f>Ratios!AG$26</f>
        <v>46.332046332046332</v>
      </c>
      <c r="AH25" s="536">
        <f>Ratios!AH$26</f>
        <v>30.495552731893266</v>
      </c>
      <c r="AI25" s="536">
        <f>Ratios!AI$26</f>
        <v>37.795275590551178</v>
      </c>
      <c r="AJ25" s="536">
        <f>Ratios!AJ$26</f>
        <v>23.483365949119374</v>
      </c>
      <c r="AK25" s="536">
        <f>Ratios!AK$26</f>
        <v>25</v>
      </c>
      <c r="AL25" s="536">
        <f>Ratios!AL$26</f>
        <v>29.887920298879202</v>
      </c>
      <c r="AM25" s="536">
        <f>Ratios!AM$26</f>
        <v>68.354430379746844</v>
      </c>
      <c r="AN25" s="536">
        <f>Ratios!AN$26</f>
        <v>44.628099173553714</v>
      </c>
      <c r="AO25" s="536">
        <f>Ratios!AO$26</f>
        <v>36.486486486486484</v>
      </c>
      <c r="AP25" s="536">
        <f>Ratios!AP$26</f>
        <v>32.066508313539195</v>
      </c>
      <c r="AQ25" s="536">
        <f>Ratios!AQ$26</f>
        <v>35.667107001321007</v>
      </c>
      <c r="AR25" s="536">
        <f>Ratios!AR$26</f>
        <v>37.709497206703915</v>
      </c>
      <c r="AS25" s="536">
        <f>Ratios!AS$26</f>
        <v>34.090909090909093</v>
      </c>
      <c r="AT25" s="536">
        <f>Ratios!AT$26</f>
        <v>31.358885017421606</v>
      </c>
      <c r="AU25" s="536">
        <f>Ratios!AU$26</f>
        <v>33.877038895859471</v>
      </c>
      <c r="AV25" s="536">
        <f>Ratios!AV$26</f>
        <v>28.815368196371399</v>
      </c>
      <c r="AW25" s="536">
        <f>Ratios!AW$26</f>
        <v>31.69014084507042</v>
      </c>
      <c r="AX25" s="536">
        <f>Ratios!AX$26</f>
        <v>37.087912087912088</v>
      </c>
      <c r="AY25" s="536">
        <f>Ratios!AY$26</f>
        <v>62.857424571090512</v>
      </c>
      <c r="AZ25" s="536">
        <f>Ratios!AZ$26</f>
        <v>41.063463179761342</v>
      </c>
      <c r="BA25" s="536">
        <f>Ratios!BA$26</f>
        <v>33.582458104237318</v>
      </c>
      <c r="BB25" s="536">
        <f>Ratios!BB$26</f>
        <v>29.564360453320194</v>
      </c>
      <c r="BC25" s="536">
        <f>Ratios!BC$26</f>
        <v>32.903225806451609</v>
      </c>
      <c r="BD25" s="536">
        <f>Ratios!BD$26</f>
        <v>34.683731969559929</v>
      </c>
      <c r="BE25" s="536">
        <f>Ratios!BE$26</f>
        <v>31.419805566850258</v>
      </c>
      <c r="BF25" s="536">
        <f>Ratios!BF$26</f>
        <v>28.913859376594516</v>
      </c>
      <c r="BG25" s="536">
        <f>Ratios!BG$26</f>
        <v>31.202393407117818</v>
      </c>
      <c r="BH25" s="536">
        <f>Ratios!BH$26</f>
        <v>26.519405965306376</v>
      </c>
      <c r="BI25" s="536">
        <f>Ratios!BI$26</f>
        <v>29.173697909218316</v>
      </c>
      <c r="BJ25" s="536">
        <f>Ratios!BJ$26</f>
        <v>34.131063283006739</v>
      </c>
      <c r="BK25" s="534"/>
      <c r="BL25" s="536">
        <f>Ratios!BL$26</f>
        <v>0</v>
      </c>
      <c r="BM25" s="536">
        <f>Ratios!BM$26</f>
        <v>34.140067812463464</v>
      </c>
      <c r="BN25" s="536">
        <f>Ratios!BN$26</f>
        <v>36.410995344712923</v>
      </c>
      <c r="BO25" s="536">
        <f>Ratios!BO$26</f>
        <v>33.532365893503801</v>
      </c>
      <c r="BP25" s="536">
        <f>Ratios!BP$26</f>
        <v>0</v>
      </c>
      <c r="BQ25" s="536">
        <f>Ratios!BQ$26</f>
        <v>0</v>
      </c>
      <c r="BR25" s="536">
        <f>Ratios!BR$26</f>
        <v>0</v>
      </c>
      <c r="BS25" s="536">
        <f>Ratios!BS$26</f>
        <v>0</v>
      </c>
      <c r="BT25" s="536">
        <f>Ratios!BT$26</f>
        <v>0</v>
      </c>
      <c r="BU25" s="536">
        <f>Ratios!BU$26</f>
        <v>0</v>
      </c>
      <c r="BV25" s="536">
        <f>Ratios!BV$26</f>
        <v>0</v>
      </c>
      <c r="BW25" s="536">
        <f>Ratios!BW$26</f>
        <v>0</v>
      </c>
      <c r="BX25" s="522"/>
      <c r="BY25" s="531"/>
      <c r="BZ25" s="522"/>
      <c r="CA25" s="526"/>
      <c r="CB25" s="522"/>
      <c r="CC25" s="522"/>
      <c r="CD25" s="522"/>
      <c r="CE25" s="522"/>
      <c r="CF25" s="522"/>
      <c r="CG25" s="522"/>
      <c r="CH25" s="522"/>
      <c r="CI25" s="522"/>
      <c r="CJ25" s="522"/>
      <c r="CK25" s="522"/>
      <c r="CL25" s="522"/>
      <c r="CM25" s="522"/>
      <c r="CN25" s="522"/>
      <c r="CO25" s="522"/>
      <c r="CP25" s="522"/>
      <c r="CQ25" s="522"/>
      <c r="CR25" s="522"/>
      <c r="CS25" s="522"/>
      <c r="CT25" s="522"/>
      <c r="CU25" s="522"/>
      <c r="CV25" s="522"/>
      <c r="CW25" s="522"/>
      <c r="CX25" s="522"/>
      <c r="CY25" s="522"/>
      <c r="CZ25" s="522"/>
      <c r="DA25" s="522"/>
      <c r="DB25" s="522"/>
      <c r="DC25" s="522"/>
      <c r="DD25" s="522"/>
      <c r="DE25" s="522"/>
      <c r="DF25" s="522"/>
      <c r="DG25" s="522"/>
      <c r="DH25" s="522"/>
      <c r="DI25" s="522"/>
      <c r="DJ25" s="522"/>
      <c r="DK25" s="522"/>
      <c r="DL25" s="522"/>
      <c r="DM25" s="522"/>
      <c r="DN25" s="522"/>
      <c r="DO25" s="522"/>
      <c r="DP25" s="522"/>
      <c r="DQ25" s="522"/>
      <c r="DR25" s="522"/>
      <c r="DS25" s="522"/>
      <c r="DT25" s="522"/>
      <c r="DU25" s="522"/>
      <c r="DV25" s="522"/>
      <c r="DW25" s="522"/>
      <c r="DX25" s="522"/>
      <c r="DY25" s="522"/>
      <c r="DZ25" s="522"/>
      <c r="EA25" s="522"/>
      <c r="EB25" s="522"/>
      <c r="EC25" s="522"/>
      <c r="ED25" s="522"/>
      <c r="EE25" s="522"/>
      <c r="EF25" s="522"/>
      <c r="EG25" s="522"/>
      <c r="EH25" s="522"/>
      <c r="EI25" s="522"/>
      <c r="EJ25" s="522"/>
      <c r="EK25" s="522"/>
      <c r="EL25" s="522"/>
      <c r="EM25" s="522"/>
      <c r="EN25" s="522"/>
      <c r="EO25" s="522"/>
      <c r="EP25" s="522"/>
      <c r="EQ25" s="522"/>
      <c r="ER25" s="522"/>
      <c r="ES25" s="522"/>
      <c r="ET25" s="522"/>
      <c r="EU25" s="522"/>
      <c r="EV25" s="522"/>
      <c r="EW25" s="522"/>
      <c r="EX25" s="527" t="str">
        <f t="shared" si="1"/>
        <v/>
      </c>
    </row>
    <row r="26" spans="1:154" ht="8.1" customHeight="1" x14ac:dyDescent="0.25">
      <c r="A26" s="522"/>
      <c r="B26" s="522"/>
      <c r="C26" s="522"/>
      <c r="D26" s="522"/>
      <c r="E26" s="522"/>
      <c r="F26" s="522"/>
      <c r="G26" s="522"/>
      <c r="H26" s="522"/>
      <c r="I26" s="522"/>
      <c r="J26" s="522"/>
      <c r="K26" s="522"/>
      <c r="L26" s="522"/>
      <c r="M26" s="522"/>
      <c r="N26" s="522"/>
      <c r="O26" s="522"/>
      <c r="P26" s="522"/>
      <c r="Q26" s="522"/>
      <c r="R26" s="522"/>
      <c r="S26" s="534"/>
      <c r="T26" s="522"/>
      <c r="U26" s="522"/>
      <c r="V26" s="522"/>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4"/>
      <c r="AY26" s="534"/>
      <c r="AZ26" s="534"/>
      <c r="BA26" s="534"/>
      <c r="BB26" s="534"/>
      <c r="BC26" s="534"/>
      <c r="BD26" s="534"/>
      <c r="BE26" s="534"/>
      <c r="BF26" s="534"/>
      <c r="BG26" s="534"/>
      <c r="BH26" s="534"/>
      <c r="BI26" s="534"/>
      <c r="BJ26" s="534"/>
      <c r="BK26" s="534"/>
      <c r="BL26" s="534"/>
      <c r="BM26" s="534"/>
      <c r="BN26" s="534"/>
      <c r="BO26" s="534"/>
      <c r="BP26" s="534"/>
      <c r="BQ26" s="534"/>
      <c r="BR26" s="534"/>
      <c r="BS26" s="534"/>
      <c r="BT26" s="534"/>
      <c r="BU26" s="534"/>
      <c r="BV26" s="534"/>
      <c r="BW26" s="534"/>
      <c r="BX26" s="522"/>
      <c r="BY26" s="526"/>
      <c r="BZ26" s="522"/>
      <c r="CA26" s="526"/>
      <c r="CB26" s="522"/>
      <c r="CC26" s="522"/>
      <c r="CD26" s="522"/>
      <c r="CE26" s="522"/>
      <c r="CF26" s="522"/>
      <c r="CG26" s="522"/>
      <c r="CH26" s="522"/>
      <c r="CI26" s="522"/>
      <c r="CJ26" s="522"/>
      <c r="CK26" s="522"/>
      <c r="CL26" s="522"/>
      <c r="CM26" s="522"/>
      <c r="CN26" s="522"/>
      <c r="CO26" s="522"/>
      <c r="CP26" s="522"/>
      <c r="CQ26" s="522"/>
      <c r="CR26" s="522"/>
      <c r="CS26" s="522"/>
      <c r="CT26" s="522"/>
      <c r="CU26" s="522"/>
      <c r="CV26" s="522"/>
      <c r="CW26" s="522"/>
      <c r="CX26" s="522"/>
      <c r="CY26" s="522"/>
      <c r="CZ26" s="522"/>
      <c r="DA26" s="522"/>
      <c r="DB26" s="522"/>
      <c r="DC26" s="522"/>
      <c r="DD26" s="522"/>
      <c r="DE26" s="522"/>
      <c r="DF26" s="522"/>
      <c r="DG26" s="522"/>
      <c r="DH26" s="522"/>
      <c r="DI26" s="522"/>
      <c r="DJ26" s="522"/>
      <c r="DK26" s="522"/>
      <c r="DL26" s="522"/>
      <c r="DM26" s="522"/>
      <c r="DN26" s="522"/>
      <c r="DO26" s="522"/>
      <c r="DP26" s="522"/>
      <c r="DQ26" s="522"/>
      <c r="DR26" s="522"/>
      <c r="DS26" s="522"/>
      <c r="DT26" s="522"/>
      <c r="DU26" s="522"/>
      <c r="DV26" s="522"/>
      <c r="DW26" s="522"/>
      <c r="DX26" s="522"/>
      <c r="DY26" s="522"/>
      <c r="DZ26" s="522"/>
      <c r="EA26" s="522"/>
      <c r="EB26" s="522"/>
      <c r="EC26" s="522"/>
      <c r="ED26" s="522"/>
      <c r="EE26" s="522"/>
      <c r="EF26" s="522"/>
      <c r="EG26" s="522"/>
      <c r="EH26" s="522"/>
      <c r="EI26" s="522"/>
      <c r="EJ26" s="522"/>
      <c r="EK26" s="522"/>
      <c r="EL26" s="522"/>
      <c r="EM26" s="522"/>
      <c r="EN26" s="522"/>
      <c r="EO26" s="522"/>
      <c r="EP26" s="522"/>
      <c r="EQ26" s="522"/>
      <c r="ER26" s="522"/>
      <c r="ES26" s="522"/>
      <c r="ET26" s="522"/>
      <c r="EU26" s="522"/>
      <c r="EV26" s="522"/>
      <c r="EW26" s="522"/>
      <c r="EX26" s="527" t="str">
        <f t="shared" si="1"/>
        <v/>
      </c>
    </row>
    <row r="27" spans="1:154" x14ac:dyDescent="0.25">
      <c r="A27" s="532"/>
      <c r="B27" s="532"/>
      <c r="C27" s="532"/>
      <c r="D27" s="532" t="s">
        <v>739</v>
      </c>
      <c r="E27" s="532"/>
      <c r="F27" s="532"/>
      <c r="G27" s="532"/>
      <c r="H27" s="532"/>
      <c r="I27" s="532"/>
      <c r="J27" s="532"/>
      <c r="K27" s="532"/>
      <c r="L27" s="532"/>
      <c r="M27" s="532"/>
      <c r="N27" s="532"/>
      <c r="O27" s="532"/>
      <c r="P27" s="532"/>
      <c r="Q27" s="532"/>
      <c r="R27" s="532"/>
      <c r="S27" s="532"/>
      <c r="T27" s="532"/>
      <c r="U27" s="532"/>
      <c r="V27" s="532"/>
      <c r="W27" s="533"/>
      <c r="X27" s="533"/>
      <c r="Y27" s="533"/>
      <c r="Z27" s="533"/>
      <c r="AA27" s="533"/>
      <c r="AB27" s="533"/>
      <c r="AC27" s="533"/>
      <c r="AD27" s="533"/>
      <c r="AE27" s="533"/>
      <c r="AF27" s="533"/>
      <c r="AG27" s="533"/>
      <c r="AH27" s="533"/>
      <c r="AI27" s="533"/>
      <c r="AJ27" s="533"/>
      <c r="AK27" s="533"/>
      <c r="AL27" s="533"/>
      <c r="AM27" s="533"/>
      <c r="AN27" s="533"/>
      <c r="AO27" s="533"/>
      <c r="AP27" s="533"/>
      <c r="AQ27" s="533"/>
      <c r="AR27" s="533"/>
      <c r="AS27" s="533"/>
      <c r="AT27" s="533"/>
      <c r="AU27" s="533"/>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532"/>
      <c r="BY27" s="531"/>
      <c r="BZ27" s="522"/>
      <c r="CA27" s="526"/>
      <c r="CB27" s="522"/>
      <c r="CC27" s="522"/>
      <c r="CD27" s="522"/>
      <c r="CE27" s="522"/>
      <c r="CF27" s="522"/>
      <c r="CG27" s="522"/>
      <c r="CH27" s="522"/>
      <c r="CI27" s="522"/>
      <c r="CJ27" s="522"/>
      <c r="CK27" s="522"/>
      <c r="CL27" s="522"/>
      <c r="CM27" s="522"/>
      <c r="CN27" s="522"/>
      <c r="CO27" s="522"/>
      <c r="CP27" s="522"/>
      <c r="CQ27" s="522"/>
      <c r="CR27" s="522"/>
      <c r="CS27" s="522"/>
      <c r="CT27" s="522"/>
      <c r="CU27" s="522"/>
      <c r="CV27" s="522"/>
      <c r="CW27" s="522"/>
      <c r="CX27" s="522"/>
      <c r="CY27" s="522"/>
      <c r="CZ27" s="522"/>
      <c r="DA27" s="522"/>
      <c r="DB27" s="522"/>
      <c r="DC27" s="522"/>
      <c r="DD27" s="522"/>
      <c r="DE27" s="522"/>
      <c r="DF27" s="522"/>
      <c r="DG27" s="522"/>
      <c r="DH27" s="522"/>
      <c r="DI27" s="522"/>
      <c r="DJ27" s="522"/>
      <c r="DK27" s="522"/>
      <c r="DL27" s="522"/>
      <c r="DM27" s="522"/>
      <c r="DN27" s="522"/>
      <c r="DO27" s="522"/>
      <c r="DP27" s="522"/>
      <c r="DQ27" s="522"/>
      <c r="DR27" s="522"/>
      <c r="DS27" s="522"/>
      <c r="DT27" s="522"/>
      <c r="DU27" s="522"/>
      <c r="DV27" s="522"/>
      <c r="DW27" s="522"/>
      <c r="DX27" s="522"/>
      <c r="DY27" s="522"/>
      <c r="DZ27" s="522"/>
      <c r="EA27" s="522"/>
      <c r="EB27" s="522"/>
      <c r="EC27" s="522"/>
      <c r="ED27" s="522"/>
      <c r="EE27" s="522"/>
      <c r="EF27" s="522"/>
      <c r="EG27" s="522"/>
      <c r="EH27" s="522"/>
      <c r="EI27" s="522"/>
      <c r="EJ27" s="522"/>
      <c r="EK27" s="522"/>
      <c r="EL27" s="522"/>
      <c r="EM27" s="522"/>
      <c r="EN27" s="522"/>
      <c r="EO27" s="522"/>
      <c r="EP27" s="522"/>
      <c r="EQ27" s="522"/>
      <c r="ER27" s="522"/>
      <c r="ES27" s="522"/>
      <c r="ET27" s="522"/>
      <c r="EU27" s="522"/>
      <c r="EV27" s="522"/>
      <c r="EW27" s="522"/>
      <c r="EX27" s="527" t="str">
        <f t="shared" si="1"/>
        <v/>
      </c>
    </row>
    <row r="28" spans="1:154" ht="8.1" customHeight="1" x14ac:dyDescent="0.25">
      <c r="A28" s="522"/>
      <c r="B28" s="522"/>
      <c r="C28" s="522"/>
      <c r="D28" s="522"/>
      <c r="E28" s="522"/>
      <c r="F28" s="522"/>
      <c r="G28" s="522"/>
      <c r="H28" s="522"/>
      <c r="I28" s="522"/>
      <c r="J28" s="522"/>
      <c r="K28" s="522"/>
      <c r="L28" s="522"/>
      <c r="M28" s="522"/>
      <c r="N28" s="522"/>
      <c r="O28" s="522"/>
      <c r="P28" s="522"/>
      <c r="Q28" s="522"/>
      <c r="R28" s="522"/>
      <c r="S28" s="534"/>
      <c r="T28" s="522"/>
      <c r="U28" s="522"/>
      <c r="V28" s="522"/>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4"/>
      <c r="AY28" s="534"/>
      <c r="AZ28" s="534"/>
      <c r="BA28" s="534"/>
      <c r="BB28" s="534"/>
      <c r="BC28" s="534"/>
      <c r="BD28" s="534"/>
      <c r="BE28" s="534"/>
      <c r="BF28" s="534"/>
      <c r="BG28" s="534"/>
      <c r="BH28" s="534"/>
      <c r="BI28" s="534"/>
      <c r="BJ28" s="534"/>
      <c r="BK28" s="534"/>
      <c r="BL28" s="534"/>
      <c r="BM28" s="534"/>
      <c r="BN28" s="534"/>
      <c r="BO28" s="534"/>
      <c r="BP28" s="534"/>
      <c r="BQ28" s="534"/>
      <c r="BR28" s="534"/>
      <c r="BS28" s="534"/>
      <c r="BT28" s="534"/>
      <c r="BU28" s="534"/>
      <c r="BV28" s="534"/>
      <c r="BW28" s="534"/>
      <c r="BX28" s="522"/>
      <c r="BY28" s="526"/>
      <c r="BZ28" s="522"/>
      <c r="CA28" s="526"/>
      <c r="CB28" s="522"/>
      <c r="CC28" s="522"/>
      <c r="CD28" s="522"/>
      <c r="CE28" s="522"/>
      <c r="CF28" s="522"/>
      <c r="CG28" s="522"/>
      <c r="CH28" s="522"/>
      <c r="CI28" s="522"/>
      <c r="CJ28" s="522"/>
      <c r="CK28" s="522"/>
      <c r="CL28" s="522"/>
      <c r="CM28" s="522"/>
      <c r="CN28" s="522"/>
      <c r="CO28" s="522"/>
      <c r="CP28" s="522"/>
      <c r="CQ28" s="522"/>
      <c r="CR28" s="522"/>
      <c r="CS28" s="522"/>
      <c r="CT28" s="522"/>
      <c r="CU28" s="522"/>
      <c r="CV28" s="522"/>
      <c r="CW28" s="522"/>
      <c r="CX28" s="522"/>
      <c r="CY28" s="522"/>
      <c r="CZ28" s="522"/>
      <c r="DA28" s="522"/>
      <c r="DB28" s="522"/>
      <c r="DC28" s="522"/>
      <c r="DD28" s="522"/>
      <c r="DE28" s="522"/>
      <c r="DF28" s="522"/>
      <c r="DG28" s="522"/>
      <c r="DH28" s="522"/>
      <c r="DI28" s="522"/>
      <c r="DJ28" s="522"/>
      <c r="DK28" s="522"/>
      <c r="DL28" s="522"/>
      <c r="DM28" s="522"/>
      <c r="DN28" s="522"/>
      <c r="DO28" s="522"/>
      <c r="DP28" s="522"/>
      <c r="DQ28" s="522"/>
      <c r="DR28" s="522"/>
      <c r="DS28" s="522"/>
      <c r="DT28" s="522"/>
      <c r="DU28" s="522"/>
      <c r="DV28" s="522"/>
      <c r="DW28" s="522"/>
      <c r="DX28" s="522"/>
      <c r="DY28" s="522"/>
      <c r="DZ28" s="522"/>
      <c r="EA28" s="522"/>
      <c r="EB28" s="522"/>
      <c r="EC28" s="522"/>
      <c r="ED28" s="522"/>
      <c r="EE28" s="522"/>
      <c r="EF28" s="522"/>
      <c r="EG28" s="522"/>
      <c r="EH28" s="522"/>
      <c r="EI28" s="522"/>
      <c r="EJ28" s="522"/>
      <c r="EK28" s="522"/>
      <c r="EL28" s="522"/>
      <c r="EM28" s="522"/>
      <c r="EN28" s="522"/>
      <c r="EO28" s="522"/>
      <c r="EP28" s="522"/>
      <c r="EQ28" s="522"/>
      <c r="ER28" s="522"/>
      <c r="ES28" s="522"/>
      <c r="ET28" s="522"/>
      <c r="EU28" s="522"/>
      <c r="EV28" s="522"/>
      <c r="EW28" s="522"/>
      <c r="EX28" s="527" t="str">
        <f t="shared" si="1"/>
        <v/>
      </c>
    </row>
    <row r="29" spans="1:154" x14ac:dyDescent="0.25">
      <c r="A29" s="522"/>
      <c r="B29" s="522"/>
      <c r="C29" s="522"/>
      <c r="D29" s="522" t="s">
        <v>818</v>
      </c>
      <c r="E29" s="522"/>
      <c r="F29" s="522"/>
      <c r="G29" s="522"/>
      <c r="H29" s="522"/>
      <c r="I29" s="522"/>
      <c r="J29" s="522"/>
      <c r="K29" s="522"/>
      <c r="L29" s="522"/>
      <c r="M29" s="522"/>
      <c r="N29" s="522"/>
      <c r="O29" s="522"/>
      <c r="P29" s="522"/>
      <c r="Q29" s="522"/>
      <c r="R29" s="522"/>
      <c r="S29" s="522"/>
      <c r="T29" s="522"/>
      <c r="U29" s="522"/>
      <c r="V29" s="537"/>
      <c r="W29" s="537"/>
      <c r="X29" s="537"/>
      <c r="Y29" s="537"/>
      <c r="Z29" s="534"/>
      <c r="AA29" s="534"/>
      <c r="AB29" s="534"/>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4"/>
      <c r="AY29" s="534"/>
      <c r="AZ29" s="534"/>
      <c r="BA29" s="534"/>
      <c r="BB29" s="534"/>
      <c r="BC29" s="534"/>
      <c r="BD29" s="534"/>
      <c r="BE29" s="534"/>
      <c r="BF29" s="534"/>
      <c r="BG29" s="534"/>
      <c r="BH29" s="534"/>
      <c r="BI29" s="534"/>
      <c r="BJ29" s="534"/>
      <c r="BK29" s="534"/>
      <c r="BL29" s="534"/>
      <c r="BM29" s="534"/>
      <c r="BN29" s="534"/>
      <c r="BO29" s="534"/>
      <c r="BP29" s="534"/>
      <c r="BQ29" s="534"/>
      <c r="BR29" s="534"/>
      <c r="BS29" s="534"/>
      <c r="BT29" s="534"/>
      <c r="BU29" s="534"/>
      <c r="BV29" s="534"/>
      <c r="BW29" s="534"/>
      <c r="BX29" s="522"/>
      <c r="BY29" s="531"/>
      <c r="BZ29" s="522"/>
      <c r="CA29" s="526"/>
      <c r="CB29" s="522"/>
      <c r="CC29" s="522"/>
      <c r="CD29" s="522"/>
      <c r="CE29" s="522"/>
      <c r="CF29" s="522"/>
      <c r="CG29" s="522"/>
      <c r="CH29" s="522"/>
      <c r="CI29" s="522"/>
      <c r="CJ29" s="522"/>
      <c r="CK29" s="522"/>
      <c r="CL29" s="522"/>
      <c r="CM29" s="522"/>
      <c r="CN29" s="522"/>
      <c r="CO29" s="522"/>
      <c r="CP29" s="522"/>
      <c r="CQ29" s="522"/>
      <c r="CR29" s="522"/>
      <c r="CS29" s="522"/>
      <c r="CT29" s="522"/>
      <c r="CU29" s="522"/>
      <c r="CV29" s="522"/>
      <c r="CW29" s="522"/>
      <c r="CX29" s="522"/>
      <c r="CY29" s="522"/>
      <c r="CZ29" s="522"/>
      <c r="DA29" s="522"/>
      <c r="DB29" s="522"/>
      <c r="DC29" s="522"/>
      <c r="DD29" s="522"/>
      <c r="DE29" s="522"/>
      <c r="DF29" s="522"/>
      <c r="DG29" s="522"/>
      <c r="DH29" s="522"/>
      <c r="DI29" s="522"/>
      <c r="DJ29" s="522"/>
      <c r="DK29" s="522"/>
      <c r="DL29" s="522"/>
      <c r="DM29" s="522"/>
      <c r="DN29" s="522"/>
      <c r="DO29" s="522"/>
      <c r="DP29" s="522"/>
      <c r="DQ29" s="522"/>
      <c r="DR29" s="522"/>
      <c r="DS29" s="522"/>
      <c r="DT29" s="522"/>
      <c r="DU29" s="522"/>
      <c r="DV29" s="522"/>
      <c r="DW29" s="522"/>
      <c r="DX29" s="522"/>
      <c r="DY29" s="522"/>
      <c r="DZ29" s="522"/>
      <c r="EA29" s="522"/>
      <c r="EB29" s="522"/>
      <c r="EC29" s="522"/>
      <c r="ED29" s="522"/>
      <c r="EE29" s="522"/>
      <c r="EF29" s="522"/>
      <c r="EG29" s="522"/>
      <c r="EH29" s="522"/>
      <c r="EI29" s="522"/>
      <c r="EJ29" s="522"/>
      <c r="EK29" s="522"/>
      <c r="EL29" s="522"/>
      <c r="EM29" s="522"/>
      <c r="EN29" s="522"/>
      <c r="EO29" s="522"/>
      <c r="EP29" s="522"/>
      <c r="EQ29" s="522"/>
      <c r="ER29" s="522"/>
      <c r="ES29" s="522"/>
      <c r="ET29" s="522"/>
      <c r="EU29" s="522"/>
      <c r="EV29" s="522"/>
      <c r="EW29" s="522"/>
      <c r="EX29" s="527" t="str">
        <f t="shared" si="1"/>
        <v/>
      </c>
    </row>
    <row r="30" spans="1:154" s="335" customFormat="1" x14ac:dyDescent="0.25">
      <c r="A30" s="522"/>
      <c r="B30" s="522"/>
      <c r="C30" s="522"/>
      <c r="D30" s="538"/>
      <c r="E30" s="522"/>
      <c r="F30" s="522"/>
      <c r="G30" s="522"/>
      <c r="H30" s="522"/>
      <c r="I30" s="522"/>
      <c r="J30" s="522"/>
      <c r="K30" s="522"/>
      <c r="L30" s="522"/>
      <c r="M30" s="522"/>
      <c r="N30" s="522"/>
      <c r="O30" s="522"/>
      <c r="P30" s="522"/>
      <c r="Q30" s="522"/>
      <c r="R30" s="522"/>
      <c r="S30" s="534"/>
      <c r="T30" s="522"/>
      <c r="U30" s="522"/>
      <c r="V30" s="522"/>
      <c r="W30" s="522"/>
      <c r="X30" s="522"/>
      <c r="Y30" s="522"/>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4"/>
      <c r="BB30" s="534"/>
      <c r="BC30" s="534"/>
      <c r="BD30" s="534"/>
      <c r="BE30" s="534"/>
      <c r="BF30" s="534"/>
      <c r="BG30" s="534"/>
      <c r="BH30" s="534"/>
      <c r="BI30" s="534"/>
      <c r="BJ30" s="534"/>
      <c r="BK30" s="534"/>
      <c r="BL30" s="534"/>
      <c r="BM30" s="534"/>
      <c r="BN30" s="534"/>
      <c r="BO30" s="534"/>
      <c r="BP30" s="534"/>
      <c r="BQ30" s="534"/>
      <c r="BR30" s="534"/>
      <c r="BS30" s="534"/>
      <c r="BT30" s="534"/>
      <c r="BU30" s="534"/>
      <c r="BV30" s="534"/>
      <c r="BW30" s="534"/>
      <c r="BX30" s="522"/>
      <c r="BY30" s="531"/>
      <c r="BZ30" s="522"/>
      <c r="CA30" s="526"/>
      <c r="CB30" s="522"/>
      <c r="CC30" s="522"/>
      <c r="CD30" s="522"/>
      <c r="CE30" s="522"/>
      <c r="CF30" s="522"/>
      <c r="CG30" s="522"/>
      <c r="CH30" s="522"/>
      <c r="CI30" s="522"/>
      <c r="CJ30" s="522"/>
      <c r="CK30" s="522"/>
      <c r="CL30" s="522"/>
      <c r="CM30" s="522"/>
      <c r="CN30" s="522"/>
      <c r="CO30" s="522"/>
      <c r="CP30" s="522"/>
      <c r="CQ30" s="522"/>
      <c r="CR30" s="522"/>
      <c r="CS30" s="522"/>
      <c r="CT30" s="522"/>
      <c r="CU30" s="522"/>
      <c r="CV30" s="522"/>
      <c r="CW30" s="522"/>
      <c r="CX30" s="522"/>
      <c r="CY30" s="522"/>
      <c r="CZ30" s="522"/>
      <c r="DA30" s="522"/>
      <c r="DB30" s="522"/>
      <c r="DC30" s="522"/>
      <c r="DD30" s="522"/>
      <c r="DE30" s="522"/>
      <c r="DF30" s="522"/>
      <c r="DG30" s="522"/>
      <c r="DH30" s="522"/>
      <c r="DI30" s="522"/>
      <c r="DJ30" s="522"/>
      <c r="DK30" s="522"/>
      <c r="DL30" s="522"/>
      <c r="DM30" s="522"/>
      <c r="DN30" s="522"/>
      <c r="DO30" s="522"/>
      <c r="DP30" s="522"/>
      <c r="DQ30" s="522"/>
      <c r="DR30" s="522"/>
      <c r="DS30" s="522"/>
      <c r="DT30" s="522"/>
      <c r="DU30" s="522"/>
      <c r="DV30" s="522"/>
      <c r="DW30" s="522"/>
      <c r="DX30" s="522"/>
      <c r="DY30" s="522"/>
      <c r="DZ30" s="522"/>
      <c r="EA30" s="522"/>
      <c r="EB30" s="522"/>
      <c r="EC30" s="522"/>
      <c r="ED30" s="522"/>
      <c r="EE30" s="522"/>
      <c r="EF30" s="522"/>
      <c r="EG30" s="522"/>
      <c r="EH30" s="522"/>
      <c r="EI30" s="522"/>
      <c r="EJ30" s="522"/>
      <c r="EK30" s="522"/>
      <c r="EL30" s="522"/>
      <c r="EM30" s="522"/>
      <c r="EN30" s="522"/>
      <c r="EO30" s="522"/>
      <c r="EP30" s="522"/>
      <c r="EQ30" s="522"/>
      <c r="ER30" s="522"/>
      <c r="ES30" s="522"/>
      <c r="ET30" s="522"/>
      <c r="EU30" s="522"/>
      <c r="EV30" s="522"/>
      <c r="EW30" s="522"/>
      <c r="EX30" s="527" t="str">
        <f t="shared" si="1"/>
        <v/>
      </c>
    </row>
    <row r="31" spans="1:154" x14ac:dyDescent="0.25">
      <c r="A31" s="522"/>
      <c r="B31" s="522"/>
      <c r="C31" s="522"/>
      <c r="D31" s="522" t="str">
        <f>Ratios!D$43</f>
        <v xml:space="preserve">EBITDA - standard </v>
      </c>
      <c r="E31" s="522"/>
      <c r="F31" s="522"/>
      <c r="G31" s="522"/>
      <c r="H31" s="522"/>
      <c r="I31" s="522"/>
      <c r="J31" s="522"/>
      <c r="K31" s="522"/>
      <c r="L31" s="522"/>
      <c r="M31" s="522"/>
      <c r="N31" s="522"/>
      <c r="O31" s="522"/>
      <c r="P31" s="522"/>
      <c r="Q31" s="522"/>
      <c r="R31" s="522"/>
      <c r="S31" s="534"/>
      <c r="T31" s="522"/>
      <c r="U31" s="522"/>
      <c r="V31" s="527">
        <f>Ratios!V$43</f>
        <v>0</v>
      </c>
      <c r="W31" s="527">
        <f>Ratios!W$43</f>
        <v>2501</v>
      </c>
      <c r="X31" s="527">
        <f>Ratios!X$43</f>
        <v>2564</v>
      </c>
      <c r="Y31" s="527">
        <f>Ratios!Y$43</f>
        <v>2744.8100000000013</v>
      </c>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c r="BH31" s="534"/>
      <c r="BI31" s="534"/>
      <c r="BJ31" s="534"/>
      <c r="BK31" s="534"/>
      <c r="BL31" s="534"/>
      <c r="BM31" s="534"/>
      <c r="BN31" s="534"/>
      <c r="BO31" s="534"/>
      <c r="BP31" s="534"/>
      <c r="BQ31" s="534"/>
      <c r="BR31" s="534"/>
      <c r="BS31" s="534"/>
      <c r="BT31" s="534"/>
      <c r="BU31" s="534"/>
      <c r="BV31" s="534"/>
      <c r="BW31" s="534"/>
      <c r="BX31" s="522"/>
      <c r="BY31" s="531"/>
      <c r="BZ31" s="522"/>
      <c r="CA31" s="526"/>
      <c r="CB31" s="522"/>
      <c r="CC31" s="522"/>
      <c r="CD31" s="522"/>
      <c r="CE31" s="522"/>
      <c r="CF31" s="522"/>
      <c r="CG31" s="522"/>
      <c r="CH31" s="522"/>
      <c r="CI31" s="522"/>
      <c r="CJ31" s="522"/>
      <c r="CK31" s="522"/>
      <c r="CL31" s="522"/>
      <c r="CM31" s="522"/>
      <c r="CN31" s="522"/>
      <c r="CO31" s="522"/>
      <c r="CP31" s="522"/>
      <c r="CQ31" s="522"/>
      <c r="CR31" s="522"/>
      <c r="CS31" s="522"/>
      <c r="CT31" s="522"/>
      <c r="CU31" s="522"/>
      <c r="CV31" s="522"/>
      <c r="CW31" s="522"/>
      <c r="CX31" s="522"/>
      <c r="CY31" s="522"/>
      <c r="CZ31" s="522"/>
      <c r="DA31" s="522"/>
      <c r="DB31" s="522"/>
      <c r="DC31" s="522"/>
      <c r="DD31" s="522"/>
      <c r="DE31" s="522"/>
      <c r="DF31" s="522"/>
      <c r="DG31" s="522"/>
      <c r="DH31" s="522"/>
      <c r="DI31" s="522"/>
      <c r="DJ31" s="522"/>
      <c r="DK31" s="522"/>
      <c r="DL31" s="522"/>
      <c r="DM31" s="522"/>
      <c r="DN31" s="522"/>
      <c r="DO31" s="522"/>
      <c r="DP31" s="522"/>
      <c r="DQ31" s="522"/>
      <c r="DR31" s="522"/>
      <c r="DS31" s="522"/>
      <c r="DT31" s="522"/>
      <c r="DU31" s="522"/>
      <c r="DV31" s="522"/>
      <c r="DW31" s="522"/>
      <c r="DX31" s="522"/>
      <c r="DY31" s="522"/>
      <c r="DZ31" s="522"/>
      <c r="EA31" s="522"/>
      <c r="EB31" s="522"/>
      <c r="EC31" s="522"/>
      <c r="ED31" s="522"/>
      <c r="EE31" s="522"/>
      <c r="EF31" s="522"/>
      <c r="EG31" s="522"/>
      <c r="EH31" s="522"/>
      <c r="EI31" s="522"/>
      <c r="EJ31" s="522"/>
      <c r="EK31" s="522"/>
      <c r="EL31" s="522"/>
      <c r="EM31" s="522"/>
      <c r="EN31" s="522"/>
      <c r="EO31" s="522"/>
      <c r="EP31" s="522"/>
      <c r="EQ31" s="522"/>
      <c r="ER31" s="522"/>
      <c r="ES31" s="522"/>
      <c r="ET31" s="522"/>
      <c r="EU31" s="522"/>
      <c r="EV31" s="522"/>
      <c r="EW31" s="522"/>
      <c r="EX31" s="527" t="str">
        <f t="shared" si="1"/>
        <v/>
      </c>
    </row>
    <row r="32" spans="1:154" x14ac:dyDescent="0.25">
      <c r="A32" s="522"/>
      <c r="B32" s="522"/>
      <c r="C32" s="522"/>
      <c r="D32" s="522" t="str">
        <f>Ratios!D$44</f>
        <v>EBITDA as a % of adjusted income - standard</v>
      </c>
      <c r="E32" s="522"/>
      <c r="F32" s="522"/>
      <c r="G32" s="522"/>
      <c r="H32" s="522"/>
      <c r="I32" s="522"/>
      <c r="J32" s="522"/>
      <c r="K32" s="522"/>
      <c r="L32" s="522"/>
      <c r="M32" s="522"/>
      <c r="N32" s="522"/>
      <c r="O32" s="522"/>
      <c r="P32" s="522"/>
      <c r="Q32" s="522"/>
      <c r="R32" s="522"/>
      <c r="S32" s="534"/>
      <c r="T32" s="522"/>
      <c r="U32" s="522"/>
      <c r="V32" s="539">
        <f>Ratios!V$44</f>
        <v>0</v>
      </c>
      <c r="W32" s="539">
        <f>Ratios!W$44</f>
        <v>8.9407643084402813E-2</v>
      </c>
      <c r="X32" s="539">
        <f>Ratios!X$44</f>
        <v>8.79799608825447E-2</v>
      </c>
      <c r="Y32" s="539">
        <f>Ratios!Y$44</f>
        <v>9.1240110399865487E-2</v>
      </c>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4"/>
      <c r="BR32" s="534"/>
      <c r="BS32" s="534"/>
      <c r="BT32" s="534"/>
      <c r="BU32" s="534"/>
      <c r="BV32" s="534"/>
      <c r="BW32" s="534"/>
      <c r="BX32" s="522"/>
      <c r="BY32" s="531"/>
      <c r="BZ32" s="522"/>
      <c r="CA32" s="526"/>
      <c r="CB32" s="522"/>
      <c r="CC32" s="522"/>
      <c r="CD32" s="522"/>
      <c r="CE32" s="522"/>
      <c r="CF32" s="522"/>
      <c r="CG32" s="522"/>
      <c r="CH32" s="522"/>
      <c r="CI32" s="522"/>
      <c r="CJ32" s="522"/>
      <c r="CK32" s="522"/>
      <c r="CL32" s="522"/>
      <c r="CM32" s="522"/>
      <c r="CN32" s="522"/>
      <c r="CO32" s="522"/>
      <c r="CP32" s="522"/>
      <c r="CQ32" s="522"/>
      <c r="CR32" s="522"/>
      <c r="CS32" s="522"/>
      <c r="CT32" s="522"/>
      <c r="CU32" s="522"/>
      <c r="CV32" s="522"/>
      <c r="CW32" s="522"/>
      <c r="CX32" s="522"/>
      <c r="CY32" s="522"/>
      <c r="CZ32" s="522"/>
      <c r="DA32" s="522"/>
      <c r="DB32" s="522"/>
      <c r="DC32" s="522"/>
      <c r="DD32" s="522"/>
      <c r="DE32" s="522"/>
      <c r="DF32" s="522"/>
      <c r="DG32" s="522"/>
      <c r="DH32" s="522"/>
      <c r="DI32" s="522"/>
      <c r="DJ32" s="522"/>
      <c r="DK32" s="522"/>
      <c r="DL32" s="522"/>
      <c r="DM32" s="522"/>
      <c r="DN32" s="522"/>
      <c r="DO32" s="522"/>
      <c r="DP32" s="522"/>
      <c r="DQ32" s="522"/>
      <c r="DR32" s="522"/>
      <c r="DS32" s="522"/>
      <c r="DT32" s="522"/>
      <c r="DU32" s="522"/>
      <c r="DV32" s="522"/>
      <c r="DW32" s="522"/>
      <c r="DX32" s="522"/>
      <c r="DY32" s="522"/>
      <c r="DZ32" s="522"/>
      <c r="EA32" s="522"/>
      <c r="EB32" s="522"/>
      <c r="EC32" s="522"/>
      <c r="ED32" s="522"/>
      <c r="EE32" s="522"/>
      <c r="EF32" s="522"/>
      <c r="EG32" s="522"/>
      <c r="EH32" s="522"/>
      <c r="EI32" s="522"/>
      <c r="EJ32" s="522"/>
      <c r="EK32" s="522"/>
      <c r="EL32" s="522"/>
      <c r="EM32" s="522"/>
      <c r="EN32" s="522"/>
      <c r="EO32" s="522"/>
      <c r="EP32" s="522"/>
      <c r="EQ32" s="522"/>
      <c r="ER32" s="522"/>
      <c r="ES32" s="522"/>
      <c r="ET32" s="522"/>
      <c r="EU32" s="522"/>
      <c r="EV32" s="522"/>
      <c r="EW32" s="522"/>
      <c r="EX32" s="527" t="str">
        <f t="shared" si="1"/>
        <v/>
      </c>
    </row>
    <row r="33" spans="1:154" s="335" customFormat="1" ht="8.1" customHeight="1" x14ac:dyDescent="0.25">
      <c r="A33" s="522"/>
      <c r="B33" s="522"/>
      <c r="C33" s="522"/>
      <c r="D33" s="522"/>
      <c r="E33" s="522"/>
      <c r="F33" s="522"/>
      <c r="G33" s="522"/>
      <c r="H33" s="522"/>
      <c r="I33" s="522"/>
      <c r="J33" s="522"/>
      <c r="K33" s="522"/>
      <c r="L33" s="522"/>
      <c r="M33" s="522"/>
      <c r="N33" s="522"/>
      <c r="O33" s="522"/>
      <c r="P33" s="522"/>
      <c r="Q33" s="522"/>
      <c r="R33" s="522"/>
      <c r="S33" s="534"/>
      <c r="T33" s="522"/>
      <c r="U33" s="522"/>
      <c r="V33" s="522"/>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4"/>
      <c r="BR33" s="534"/>
      <c r="BS33" s="534"/>
      <c r="BT33" s="534"/>
      <c r="BU33" s="534"/>
      <c r="BV33" s="534"/>
      <c r="BW33" s="534"/>
      <c r="BX33" s="522"/>
      <c r="BY33" s="526"/>
      <c r="BZ33" s="522"/>
      <c r="CA33" s="526"/>
      <c r="CB33" s="522"/>
      <c r="CC33" s="522"/>
      <c r="CD33" s="522"/>
      <c r="CE33" s="522"/>
      <c r="CF33" s="522"/>
      <c r="CG33" s="522"/>
      <c r="CH33" s="522"/>
      <c r="CI33" s="522"/>
      <c r="CJ33" s="522"/>
      <c r="CK33" s="522"/>
      <c r="CL33" s="522"/>
      <c r="CM33" s="522"/>
      <c r="CN33" s="522"/>
      <c r="CO33" s="522"/>
      <c r="CP33" s="522"/>
      <c r="CQ33" s="522"/>
      <c r="CR33" s="522"/>
      <c r="CS33" s="522"/>
      <c r="CT33" s="522"/>
      <c r="CU33" s="522"/>
      <c r="CV33" s="522"/>
      <c r="CW33" s="522"/>
      <c r="CX33" s="522"/>
      <c r="CY33" s="522"/>
      <c r="CZ33" s="522"/>
      <c r="DA33" s="522"/>
      <c r="DB33" s="522"/>
      <c r="DC33" s="522"/>
      <c r="DD33" s="522"/>
      <c r="DE33" s="522"/>
      <c r="DF33" s="522"/>
      <c r="DG33" s="522"/>
      <c r="DH33" s="522"/>
      <c r="DI33" s="522"/>
      <c r="DJ33" s="522"/>
      <c r="DK33" s="522"/>
      <c r="DL33" s="522"/>
      <c r="DM33" s="522"/>
      <c r="DN33" s="522"/>
      <c r="DO33" s="522"/>
      <c r="DP33" s="522"/>
      <c r="DQ33" s="522"/>
      <c r="DR33" s="522"/>
      <c r="DS33" s="522"/>
      <c r="DT33" s="522"/>
      <c r="DU33" s="522"/>
      <c r="DV33" s="522"/>
      <c r="DW33" s="522"/>
      <c r="DX33" s="522"/>
      <c r="DY33" s="522"/>
      <c r="DZ33" s="522"/>
      <c r="EA33" s="522"/>
      <c r="EB33" s="522"/>
      <c r="EC33" s="522"/>
      <c r="ED33" s="522"/>
      <c r="EE33" s="522"/>
      <c r="EF33" s="522"/>
      <c r="EG33" s="522"/>
      <c r="EH33" s="522"/>
      <c r="EI33" s="522"/>
      <c r="EJ33" s="522"/>
      <c r="EK33" s="522"/>
      <c r="EL33" s="522"/>
      <c r="EM33" s="522"/>
      <c r="EN33" s="522"/>
      <c r="EO33" s="522"/>
      <c r="EP33" s="522"/>
      <c r="EQ33" s="522"/>
      <c r="ER33" s="522"/>
      <c r="ES33" s="522"/>
      <c r="ET33" s="522"/>
      <c r="EU33" s="522"/>
      <c r="EV33" s="522"/>
      <c r="EW33" s="522"/>
      <c r="EX33" s="527" t="str">
        <f t="shared" si="1"/>
        <v/>
      </c>
    </row>
    <row r="34" spans="1:154" x14ac:dyDescent="0.25">
      <c r="A34" s="522"/>
      <c r="B34" s="522"/>
      <c r="C34" s="522"/>
      <c r="D34" s="522" t="str">
        <f>Ratios!D$45</f>
        <v xml:space="preserve">EBITDA - education specific </v>
      </c>
      <c r="E34" s="522"/>
      <c r="F34" s="522"/>
      <c r="G34" s="522"/>
      <c r="H34" s="522"/>
      <c r="I34" s="522"/>
      <c r="J34" s="522"/>
      <c r="K34" s="522"/>
      <c r="L34" s="522"/>
      <c r="M34" s="522"/>
      <c r="N34" s="522"/>
      <c r="O34" s="522"/>
      <c r="P34" s="522"/>
      <c r="Q34" s="522"/>
      <c r="R34" s="522"/>
      <c r="S34" s="534"/>
      <c r="T34" s="522"/>
      <c r="U34" s="522"/>
      <c r="V34" s="527">
        <f>Ratios!V$45</f>
        <v>0</v>
      </c>
      <c r="W34" s="527">
        <f>Ratios!W$45</f>
        <v>2032</v>
      </c>
      <c r="X34" s="527">
        <f>Ratios!X$45</f>
        <v>2050</v>
      </c>
      <c r="Y34" s="527">
        <f>Ratios!Y$45</f>
        <v>2173.8100000000013</v>
      </c>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534"/>
      <c r="BA34" s="534"/>
      <c r="BB34" s="534"/>
      <c r="BC34" s="534"/>
      <c r="BD34" s="534"/>
      <c r="BE34" s="534"/>
      <c r="BF34" s="534"/>
      <c r="BG34" s="534"/>
      <c r="BH34" s="534"/>
      <c r="BI34" s="534"/>
      <c r="BJ34" s="534"/>
      <c r="BK34" s="534"/>
      <c r="BL34" s="534"/>
      <c r="BM34" s="534"/>
      <c r="BN34" s="534"/>
      <c r="BO34" s="534"/>
      <c r="BP34" s="534"/>
      <c r="BQ34" s="534"/>
      <c r="BR34" s="534"/>
      <c r="BS34" s="534"/>
      <c r="BT34" s="534"/>
      <c r="BU34" s="534"/>
      <c r="BV34" s="534"/>
      <c r="BW34" s="534"/>
      <c r="BX34" s="522"/>
      <c r="BY34" s="531"/>
      <c r="BZ34" s="522"/>
      <c r="CA34" s="526"/>
      <c r="CB34" s="522"/>
      <c r="CC34" s="522"/>
      <c r="CD34" s="522"/>
      <c r="CE34" s="522"/>
      <c r="CF34" s="522"/>
      <c r="CG34" s="522"/>
      <c r="CH34" s="522"/>
      <c r="CI34" s="522"/>
      <c r="CJ34" s="522"/>
      <c r="CK34" s="522"/>
      <c r="CL34" s="522"/>
      <c r="CM34" s="522"/>
      <c r="CN34" s="522"/>
      <c r="CO34" s="522"/>
      <c r="CP34" s="522"/>
      <c r="CQ34" s="522"/>
      <c r="CR34" s="522"/>
      <c r="CS34" s="522"/>
      <c r="CT34" s="522"/>
      <c r="CU34" s="522"/>
      <c r="CV34" s="522"/>
      <c r="CW34" s="522"/>
      <c r="CX34" s="522"/>
      <c r="CY34" s="522"/>
      <c r="CZ34" s="522"/>
      <c r="DA34" s="522"/>
      <c r="DB34" s="522"/>
      <c r="DC34" s="522"/>
      <c r="DD34" s="522"/>
      <c r="DE34" s="522"/>
      <c r="DF34" s="522"/>
      <c r="DG34" s="522"/>
      <c r="DH34" s="522"/>
      <c r="DI34" s="522"/>
      <c r="DJ34" s="522"/>
      <c r="DK34" s="522"/>
      <c r="DL34" s="522"/>
      <c r="DM34" s="522"/>
      <c r="DN34" s="522"/>
      <c r="DO34" s="522"/>
      <c r="DP34" s="522"/>
      <c r="DQ34" s="522"/>
      <c r="DR34" s="522"/>
      <c r="DS34" s="522"/>
      <c r="DT34" s="522"/>
      <c r="DU34" s="522"/>
      <c r="DV34" s="522"/>
      <c r="DW34" s="522"/>
      <c r="DX34" s="522"/>
      <c r="DY34" s="522"/>
      <c r="DZ34" s="522"/>
      <c r="EA34" s="522"/>
      <c r="EB34" s="522"/>
      <c r="EC34" s="522"/>
      <c r="ED34" s="522"/>
      <c r="EE34" s="522"/>
      <c r="EF34" s="522"/>
      <c r="EG34" s="522"/>
      <c r="EH34" s="522"/>
      <c r="EI34" s="522"/>
      <c r="EJ34" s="522"/>
      <c r="EK34" s="522"/>
      <c r="EL34" s="522"/>
      <c r="EM34" s="522"/>
      <c r="EN34" s="522"/>
      <c r="EO34" s="522"/>
      <c r="EP34" s="522"/>
      <c r="EQ34" s="522"/>
      <c r="ER34" s="522"/>
      <c r="ES34" s="522"/>
      <c r="ET34" s="522"/>
      <c r="EU34" s="522"/>
      <c r="EV34" s="522"/>
      <c r="EW34" s="522"/>
      <c r="EX34" s="527" t="str">
        <f t="shared" si="1"/>
        <v/>
      </c>
    </row>
    <row r="35" spans="1:154" x14ac:dyDescent="0.25">
      <c r="A35" s="522"/>
      <c r="B35" s="522"/>
      <c r="C35" s="522"/>
      <c r="D35" s="522" t="str">
        <f>Ratios!D$46</f>
        <v>EBITDA as a % of adjusted income - education specific</v>
      </c>
      <c r="E35" s="522"/>
      <c r="F35" s="522"/>
      <c r="G35" s="522"/>
      <c r="H35" s="522"/>
      <c r="I35" s="522"/>
      <c r="J35" s="522"/>
      <c r="K35" s="522"/>
      <c r="L35" s="522"/>
      <c r="M35" s="522"/>
      <c r="N35" s="522"/>
      <c r="O35" s="522"/>
      <c r="P35" s="522"/>
      <c r="Q35" s="522"/>
      <c r="R35" s="522"/>
      <c r="S35" s="534"/>
      <c r="T35" s="522"/>
      <c r="U35" s="522"/>
      <c r="V35" s="539">
        <f>Ratios!V$46</f>
        <v>0</v>
      </c>
      <c r="W35" s="539">
        <f>Ratios!W$46</f>
        <v>7.2641475708719122E-2</v>
      </c>
      <c r="X35" s="539">
        <f>Ratios!X$46</f>
        <v>7.0342792437291968E-2</v>
      </c>
      <c r="Y35" s="539">
        <f>Ratios!Y$46</f>
        <v>7.2259524115815529E-2</v>
      </c>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534"/>
      <c r="BE35" s="534"/>
      <c r="BF35" s="534"/>
      <c r="BG35" s="534"/>
      <c r="BH35" s="534"/>
      <c r="BI35" s="534"/>
      <c r="BJ35" s="534"/>
      <c r="BK35" s="534"/>
      <c r="BL35" s="534"/>
      <c r="BM35" s="534"/>
      <c r="BN35" s="534"/>
      <c r="BO35" s="534"/>
      <c r="BP35" s="534"/>
      <c r="BQ35" s="534"/>
      <c r="BR35" s="534"/>
      <c r="BS35" s="534"/>
      <c r="BT35" s="534"/>
      <c r="BU35" s="534"/>
      <c r="BV35" s="534"/>
      <c r="BW35" s="534"/>
      <c r="BX35" s="522"/>
      <c r="BY35" s="531"/>
      <c r="BZ35" s="522"/>
      <c r="CA35" s="526"/>
      <c r="CB35" s="522"/>
      <c r="CC35" s="522"/>
      <c r="CD35" s="522"/>
      <c r="CE35" s="522"/>
      <c r="CF35" s="522"/>
      <c r="CG35" s="522"/>
      <c r="CH35" s="522"/>
      <c r="CI35" s="522"/>
      <c r="CJ35" s="522"/>
      <c r="CK35" s="522"/>
      <c r="CL35" s="522"/>
      <c r="CM35" s="522"/>
      <c r="CN35" s="522"/>
      <c r="CO35" s="522"/>
      <c r="CP35" s="522"/>
      <c r="CQ35" s="522"/>
      <c r="CR35" s="522"/>
      <c r="CS35" s="522"/>
      <c r="CT35" s="522"/>
      <c r="CU35" s="522"/>
      <c r="CV35" s="522"/>
      <c r="CW35" s="522"/>
      <c r="CX35" s="522"/>
      <c r="CY35" s="522"/>
      <c r="CZ35" s="522"/>
      <c r="DA35" s="522"/>
      <c r="DB35" s="522"/>
      <c r="DC35" s="522"/>
      <c r="DD35" s="522"/>
      <c r="DE35" s="522"/>
      <c r="DF35" s="522"/>
      <c r="DG35" s="522"/>
      <c r="DH35" s="522"/>
      <c r="DI35" s="522"/>
      <c r="DJ35" s="522"/>
      <c r="DK35" s="522"/>
      <c r="DL35" s="522"/>
      <c r="DM35" s="522"/>
      <c r="DN35" s="522"/>
      <c r="DO35" s="522"/>
      <c r="DP35" s="522"/>
      <c r="DQ35" s="522"/>
      <c r="DR35" s="522"/>
      <c r="DS35" s="522"/>
      <c r="DT35" s="522"/>
      <c r="DU35" s="522"/>
      <c r="DV35" s="522"/>
      <c r="DW35" s="522"/>
      <c r="DX35" s="522"/>
      <c r="DY35" s="522"/>
      <c r="DZ35" s="522"/>
      <c r="EA35" s="522"/>
      <c r="EB35" s="522"/>
      <c r="EC35" s="522"/>
      <c r="ED35" s="522"/>
      <c r="EE35" s="522"/>
      <c r="EF35" s="522"/>
      <c r="EG35" s="522"/>
      <c r="EH35" s="522"/>
      <c r="EI35" s="522"/>
      <c r="EJ35" s="522"/>
      <c r="EK35" s="522"/>
      <c r="EL35" s="522"/>
      <c r="EM35" s="522"/>
      <c r="EN35" s="522"/>
      <c r="EO35" s="522"/>
      <c r="EP35" s="522"/>
      <c r="EQ35" s="522"/>
      <c r="ER35" s="522"/>
      <c r="ES35" s="522"/>
      <c r="ET35" s="522"/>
      <c r="EU35" s="522"/>
      <c r="EV35" s="522"/>
      <c r="EW35" s="522"/>
      <c r="EX35" s="527" t="str">
        <f t="shared" si="1"/>
        <v/>
      </c>
    </row>
    <row r="36" spans="1:154" s="335" customFormat="1" x14ac:dyDescent="0.25">
      <c r="A36" s="522"/>
      <c r="B36" s="522"/>
      <c r="C36" s="522"/>
      <c r="D36" s="538" t="s">
        <v>1781</v>
      </c>
      <c r="E36" s="522"/>
      <c r="F36" s="522"/>
      <c r="G36" s="522"/>
      <c r="H36" s="522"/>
      <c r="I36" s="522"/>
      <c r="J36" s="522"/>
      <c r="K36" s="522"/>
      <c r="L36" s="522"/>
      <c r="M36" s="522"/>
      <c r="N36" s="522"/>
      <c r="O36" s="522"/>
      <c r="P36" s="522"/>
      <c r="Q36" s="522"/>
      <c r="R36" s="522"/>
      <c r="S36" s="534"/>
      <c r="T36" s="522"/>
      <c r="U36" s="522"/>
      <c r="V36" s="539" t="str">
        <f>IF(Dashboard!$F$19="", "", Dashboard!$F$19)</f>
        <v/>
      </c>
      <c r="W36" s="539" t="str">
        <f>IF(Dashboard!$F$19="", "", Dashboard!$F$19)</f>
        <v/>
      </c>
      <c r="X36" s="539" t="str">
        <f>IF(Dashboard!$F$19="", "", Dashboard!$F$19)</f>
        <v/>
      </c>
      <c r="Y36" s="539" t="str">
        <f>IF(Dashboard!$F$19="", "", Dashboard!$F$19)</f>
        <v/>
      </c>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534"/>
      <c r="BE36" s="534"/>
      <c r="BF36" s="534"/>
      <c r="BG36" s="534"/>
      <c r="BH36" s="534"/>
      <c r="BI36" s="534"/>
      <c r="BJ36" s="534"/>
      <c r="BK36" s="534"/>
      <c r="BL36" s="534"/>
      <c r="BM36" s="534"/>
      <c r="BN36" s="534"/>
      <c r="BO36" s="534"/>
      <c r="BP36" s="534"/>
      <c r="BQ36" s="534"/>
      <c r="BR36" s="534"/>
      <c r="BS36" s="534"/>
      <c r="BT36" s="534"/>
      <c r="BU36" s="534"/>
      <c r="BV36" s="534"/>
      <c r="BW36" s="534"/>
      <c r="BX36" s="522"/>
      <c r="BY36" s="531"/>
      <c r="BZ36" s="522"/>
      <c r="CA36" s="526"/>
      <c r="CB36" s="522"/>
      <c r="CC36" s="522"/>
      <c r="CD36" s="522"/>
      <c r="CE36" s="522"/>
      <c r="CF36" s="522"/>
      <c r="CG36" s="522"/>
      <c r="CH36" s="522"/>
      <c r="CI36" s="522"/>
      <c r="CJ36" s="522"/>
      <c r="CK36" s="522"/>
      <c r="CL36" s="522"/>
      <c r="CM36" s="522"/>
      <c r="CN36" s="522"/>
      <c r="CO36" s="522"/>
      <c r="CP36" s="522"/>
      <c r="CQ36" s="522"/>
      <c r="CR36" s="522"/>
      <c r="CS36" s="522"/>
      <c r="CT36" s="522"/>
      <c r="CU36" s="522"/>
      <c r="CV36" s="522"/>
      <c r="CW36" s="522"/>
      <c r="CX36" s="522"/>
      <c r="CY36" s="522"/>
      <c r="CZ36" s="522"/>
      <c r="DA36" s="522"/>
      <c r="DB36" s="522"/>
      <c r="DC36" s="522"/>
      <c r="DD36" s="522"/>
      <c r="DE36" s="522"/>
      <c r="DF36" s="522"/>
      <c r="DG36" s="522"/>
      <c r="DH36" s="522"/>
      <c r="DI36" s="522"/>
      <c r="DJ36" s="522"/>
      <c r="DK36" s="522"/>
      <c r="DL36" s="522"/>
      <c r="DM36" s="522"/>
      <c r="DN36" s="522"/>
      <c r="DO36" s="522"/>
      <c r="DP36" s="522"/>
      <c r="DQ36" s="522"/>
      <c r="DR36" s="522"/>
      <c r="DS36" s="522"/>
      <c r="DT36" s="522"/>
      <c r="DU36" s="522"/>
      <c r="DV36" s="522"/>
      <c r="DW36" s="522"/>
      <c r="DX36" s="522"/>
      <c r="DY36" s="522"/>
      <c r="DZ36" s="522"/>
      <c r="EA36" s="522"/>
      <c r="EB36" s="522"/>
      <c r="EC36" s="522"/>
      <c r="ED36" s="522"/>
      <c r="EE36" s="522"/>
      <c r="EF36" s="522"/>
      <c r="EG36" s="522"/>
      <c r="EH36" s="522"/>
      <c r="EI36" s="522"/>
      <c r="EJ36" s="522"/>
      <c r="EK36" s="522"/>
      <c r="EL36" s="522"/>
      <c r="EM36" s="522"/>
      <c r="EN36" s="522"/>
      <c r="EO36" s="522"/>
      <c r="EP36" s="522"/>
      <c r="EQ36" s="522"/>
      <c r="ER36" s="522"/>
      <c r="ES36" s="522"/>
      <c r="ET36" s="522"/>
      <c r="EU36" s="522"/>
      <c r="EV36" s="522"/>
      <c r="EW36" s="522"/>
      <c r="EX36" s="527" t="str">
        <f t="shared" si="1"/>
        <v/>
      </c>
    </row>
    <row r="37" spans="1:154" x14ac:dyDescent="0.25">
      <c r="A37" s="522"/>
      <c r="B37" s="522"/>
      <c r="C37" s="522"/>
      <c r="D37" s="538"/>
      <c r="E37" s="522"/>
      <c r="F37" s="522"/>
      <c r="G37" s="522"/>
      <c r="H37" s="522"/>
      <c r="I37" s="522"/>
      <c r="J37" s="522"/>
      <c r="K37" s="522"/>
      <c r="L37" s="522"/>
      <c r="M37" s="522"/>
      <c r="N37" s="522"/>
      <c r="O37" s="522"/>
      <c r="P37" s="522"/>
      <c r="Q37" s="522"/>
      <c r="R37" s="522"/>
      <c r="S37" s="534"/>
      <c r="T37" s="522"/>
      <c r="U37" s="522"/>
      <c r="V37" s="522"/>
      <c r="W37" s="522"/>
      <c r="X37" s="522"/>
      <c r="Y37" s="522"/>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c r="BH37" s="534"/>
      <c r="BI37" s="534"/>
      <c r="BJ37" s="534"/>
      <c r="BK37" s="534"/>
      <c r="BL37" s="534"/>
      <c r="BM37" s="534"/>
      <c r="BN37" s="534"/>
      <c r="BO37" s="534"/>
      <c r="BP37" s="534"/>
      <c r="BQ37" s="534"/>
      <c r="BR37" s="534"/>
      <c r="BS37" s="534"/>
      <c r="BT37" s="534"/>
      <c r="BU37" s="534"/>
      <c r="BV37" s="534"/>
      <c r="BW37" s="534"/>
      <c r="BX37" s="522"/>
      <c r="BY37" s="531"/>
      <c r="BZ37" s="522"/>
      <c r="CA37" s="526"/>
      <c r="CB37" s="522"/>
      <c r="CC37" s="522"/>
      <c r="CD37" s="522"/>
      <c r="CE37" s="522"/>
      <c r="CF37" s="522"/>
      <c r="CG37" s="522"/>
      <c r="CH37" s="522"/>
      <c r="CI37" s="522"/>
      <c r="CJ37" s="522"/>
      <c r="CK37" s="522"/>
      <c r="CL37" s="522"/>
      <c r="CM37" s="522"/>
      <c r="CN37" s="522"/>
      <c r="CO37" s="522"/>
      <c r="CP37" s="522"/>
      <c r="CQ37" s="522"/>
      <c r="CR37" s="522"/>
      <c r="CS37" s="522"/>
      <c r="CT37" s="522"/>
      <c r="CU37" s="522"/>
      <c r="CV37" s="522"/>
      <c r="CW37" s="522"/>
      <c r="CX37" s="522"/>
      <c r="CY37" s="522"/>
      <c r="CZ37" s="522"/>
      <c r="DA37" s="522"/>
      <c r="DB37" s="522"/>
      <c r="DC37" s="522"/>
      <c r="DD37" s="522"/>
      <c r="DE37" s="522"/>
      <c r="DF37" s="522"/>
      <c r="DG37" s="522"/>
      <c r="DH37" s="522"/>
      <c r="DI37" s="522"/>
      <c r="DJ37" s="522"/>
      <c r="DK37" s="522"/>
      <c r="DL37" s="522"/>
      <c r="DM37" s="522"/>
      <c r="DN37" s="522"/>
      <c r="DO37" s="522"/>
      <c r="DP37" s="522"/>
      <c r="DQ37" s="522"/>
      <c r="DR37" s="522"/>
      <c r="DS37" s="522"/>
      <c r="DT37" s="522"/>
      <c r="DU37" s="522"/>
      <c r="DV37" s="522"/>
      <c r="DW37" s="522"/>
      <c r="DX37" s="522"/>
      <c r="DY37" s="522"/>
      <c r="DZ37" s="522"/>
      <c r="EA37" s="522"/>
      <c r="EB37" s="522"/>
      <c r="EC37" s="522"/>
      <c r="ED37" s="522"/>
      <c r="EE37" s="522"/>
      <c r="EF37" s="522"/>
      <c r="EG37" s="522"/>
      <c r="EH37" s="522"/>
      <c r="EI37" s="522"/>
      <c r="EJ37" s="522"/>
      <c r="EK37" s="522"/>
      <c r="EL37" s="522"/>
      <c r="EM37" s="522"/>
      <c r="EN37" s="522"/>
      <c r="EO37" s="522"/>
      <c r="EP37" s="522"/>
      <c r="EQ37" s="522"/>
      <c r="ER37" s="522"/>
      <c r="ES37" s="522"/>
      <c r="ET37" s="522"/>
      <c r="EU37" s="522"/>
      <c r="EV37" s="522"/>
      <c r="EW37" s="522"/>
      <c r="EX37" s="527" t="str">
        <f t="shared" si="1"/>
        <v/>
      </c>
    </row>
    <row r="38" spans="1:154" x14ac:dyDescent="0.25">
      <c r="A38" s="522"/>
      <c r="B38" s="522"/>
      <c r="C38" s="522"/>
      <c r="D38" s="538" t="str">
        <f>Ratios!D$41</f>
        <v>Adjusted Operating Surplus (Deficit)</v>
      </c>
      <c r="E38" s="522"/>
      <c r="F38" s="522"/>
      <c r="G38" s="522"/>
      <c r="H38" s="522"/>
      <c r="I38" s="522"/>
      <c r="J38" s="522"/>
      <c r="K38" s="522"/>
      <c r="L38" s="522"/>
      <c r="M38" s="522"/>
      <c r="N38" s="522"/>
      <c r="O38" s="522"/>
      <c r="P38" s="522"/>
      <c r="Q38" s="522"/>
      <c r="R38" s="522"/>
      <c r="S38" s="534"/>
      <c r="T38" s="522"/>
      <c r="U38" s="522"/>
      <c r="V38" s="527">
        <f>Ratios!V$41</f>
        <v>0</v>
      </c>
      <c r="W38" s="527">
        <f>Ratios!W$41</f>
        <v>440</v>
      </c>
      <c r="X38" s="527">
        <f>Ratios!X$41</f>
        <v>436</v>
      </c>
      <c r="Y38" s="527">
        <f>Ratios!Y$41</f>
        <v>541.81000000000131</v>
      </c>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4"/>
      <c r="BU38" s="534"/>
      <c r="BV38" s="534"/>
      <c r="BW38" s="534"/>
      <c r="BX38" s="522"/>
      <c r="BY38" s="531"/>
      <c r="BZ38" s="522"/>
      <c r="CA38" s="526"/>
      <c r="CB38" s="522"/>
      <c r="CC38" s="522"/>
      <c r="CD38" s="522"/>
      <c r="CE38" s="522"/>
      <c r="CF38" s="522"/>
      <c r="CG38" s="522"/>
      <c r="CH38" s="522"/>
      <c r="CI38" s="522"/>
      <c r="CJ38" s="522"/>
      <c r="CK38" s="522"/>
      <c r="CL38" s="522"/>
      <c r="CM38" s="522"/>
      <c r="CN38" s="522"/>
      <c r="CO38" s="522"/>
      <c r="CP38" s="522"/>
      <c r="CQ38" s="522"/>
      <c r="CR38" s="522"/>
      <c r="CS38" s="522"/>
      <c r="CT38" s="522"/>
      <c r="CU38" s="522"/>
      <c r="CV38" s="522"/>
      <c r="CW38" s="522"/>
      <c r="CX38" s="522"/>
      <c r="CY38" s="522"/>
      <c r="CZ38" s="522"/>
      <c r="DA38" s="522"/>
      <c r="DB38" s="522"/>
      <c r="DC38" s="522"/>
      <c r="DD38" s="522"/>
      <c r="DE38" s="522"/>
      <c r="DF38" s="522"/>
      <c r="DG38" s="522"/>
      <c r="DH38" s="522"/>
      <c r="DI38" s="522"/>
      <c r="DJ38" s="522"/>
      <c r="DK38" s="522"/>
      <c r="DL38" s="522"/>
      <c r="DM38" s="522"/>
      <c r="DN38" s="522"/>
      <c r="DO38" s="522"/>
      <c r="DP38" s="522"/>
      <c r="DQ38" s="522"/>
      <c r="DR38" s="522"/>
      <c r="DS38" s="522"/>
      <c r="DT38" s="522"/>
      <c r="DU38" s="522"/>
      <c r="DV38" s="522"/>
      <c r="DW38" s="522"/>
      <c r="DX38" s="522"/>
      <c r="DY38" s="522"/>
      <c r="DZ38" s="522"/>
      <c r="EA38" s="522"/>
      <c r="EB38" s="522"/>
      <c r="EC38" s="522"/>
      <c r="ED38" s="522"/>
      <c r="EE38" s="522"/>
      <c r="EF38" s="522"/>
      <c r="EG38" s="522"/>
      <c r="EH38" s="522"/>
      <c r="EI38" s="522"/>
      <c r="EJ38" s="522"/>
      <c r="EK38" s="522"/>
      <c r="EL38" s="522"/>
      <c r="EM38" s="522"/>
      <c r="EN38" s="522"/>
      <c r="EO38" s="522"/>
      <c r="EP38" s="522"/>
      <c r="EQ38" s="522"/>
      <c r="ER38" s="522"/>
      <c r="ES38" s="522"/>
      <c r="ET38" s="522"/>
      <c r="EU38" s="522"/>
      <c r="EV38" s="522"/>
      <c r="EW38" s="522"/>
      <c r="EX38" s="527" t="str">
        <f t="shared" si="1"/>
        <v/>
      </c>
    </row>
    <row r="39" spans="1:154" x14ac:dyDescent="0.25">
      <c r="A39" s="522"/>
      <c r="B39" s="522"/>
      <c r="C39" s="522"/>
      <c r="D39" s="538" t="str">
        <f>Ratios!D$42</f>
        <v>Adjusted Operating Ratio</v>
      </c>
      <c r="E39" s="522"/>
      <c r="F39" s="522"/>
      <c r="G39" s="522"/>
      <c r="H39" s="522"/>
      <c r="I39" s="522"/>
      <c r="J39" s="522"/>
      <c r="K39" s="522"/>
      <c r="L39" s="522"/>
      <c r="M39" s="522"/>
      <c r="N39" s="522"/>
      <c r="O39" s="522"/>
      <c r="P39" s="522"/>
      <c r="Q39" s="522"/>
      <c r="R39" s="522"/>
      <c r="S39" s="534"/>
      <c r="T39" s="522"/>
      <c r="U39" s="522"/>
      <c r="V39" s="539">
        <f>Ratios!V$42</f>
        <v>0</v>
      </c>
      <c r="W39" s="539">
        <f>Ratios!W$42</f>
        <v>1.5729453401494297E-2</v>
      </c>
      <c r="X39" s="539">
        <f>Ratios!X$42</f>
        <v>1.4960710976906976E-2</v>
      </c>
      <c r="Y39" s="539">
        <f>Ratios!Y$42</f>
        <v>1.8010282757550147E-2</v>
      </c>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4"/>
      <c r="BB39" s="534"/>
      <c r="BC39" s="534"/>
      <c r="BD39" s="534"/>
      <c r="BE39" s="534"/>
      <c r="BF39" s="534"/>
      <c r="BG39" s="534"/>
      <c r="BH39" s="534"/>
      <c r="BI39" s="534"/>
      <c r="BJ39" s="534"/>
      <c r="BK39" s="534"/>
      <c r="BL39" s="534"/>
      <c r="BM39" s="534"/>
      <c r="BN39" s="534"/>
      <c r="BO39" s="534"/>
      <c r="BP39" s="534"/>
      <c r="BQ39" s="534"/>
      <c r="BR39" s="534"/>
      <c r="BS39" s="534"/>
      <c r="BT39" s="534"/>
      <c r="BU39" s="534"/>
      <c r="BV39" s="534"/>
      <c r="BW39" s="534"/>
      <c r="BX39" s="522"/>
      <c r="BY39" s="531"/>
      <c r="BZ39" s="522"/>
      <c r="CA39" s="526"/>
      <c r="CB39" s="522"/>
      <c r="CC39" s="522"/>
      <c r="CD39" s="522"/>
      <c r="CE39" s="522"/>
      <c r="CF39" s="522"/>
      <c r="CG39" s="522"/>
      <c r="CH39" s="522"/>
      <c r="CI39" s="522"/>
      <c r="CJ39" s="522"/>
      <c r="CK39" s="522"/>
      <c r="CL39" s="522"/>
      <c r="CM39" s="522"/>
      <c r="CN39" s="522"/>
      <c r="CO39" s="522"/>
      <c r="CP39" s="522"/>
      <c r="CQ39" s="522"/>
      <c r="CR39" s="522"/>
      <c r="CS39" s="522"/>
      <c r="CT39" s="522"/>
      <c r="CU39" s="522"/>
      <c r="CV39" s="522"/>
      <c r="CW39" s="522"/>
      <c r="CX39" s="522"/>
      <c r="CY39" s="522"/>
      <c r="CZ39" s="522"/>
      <c r="DA39" s="522"/>
      <c r="DB39" s="522"/>
      <c r="DC39" s="522"/>
      <c r="DD39" s="522"/>
      <c r="DE39" s="522"/>
      <c r="DF39" s="522"/>
      <c r="DG39" s="522"/>
      <c r="DH39" s="522"/>
      <c r="DI39" s="522"/>
      <c r="DJ39" s="522"/>
      <c r="DK39" s="522"/>
      <c r="DL39" s="522"/>
      <c r="DM39" s="522"/>
      <c r="DN39" s="522"/>
      <c r="DO39" s="522"/>
      <c r="DP39" s="522"/>
      <c r="DQ39" s="522"/>
      <c r="DR39" s="522"/>
      <c r="DS39" s="522"/>
      <c r="DT39" s="522"/>
      <c r="DU39" s="522"/>
      <c r="DV39" s="522"/>
      <c r="DW39" s="522"/>
      <c r="DX39" s="522"/>
      <c r="DY39" s="522"/>
      <c r="DZ39" s="522"/>
      <c r="EA39" s="522"/>
      <c r="EB39" s="522"/>
      <c r="EC39" s="522"/>
      <c r="ED39" s="522"/>
      <c r="EE39" s="522"/>
      <c r="EF39" s="522"/>
      <c r="EG39" s="522"/>
      <c r="EH39" s="522"/>
      <c r="EI39" s="522"/>
      <c r="EJ39" s="522"/>
      <c r="EK39" s="522"/>
      <c r="EL39" s="522"/>
      <c r="EM39" s="522"/>
      <c r="EN39" s="522"/>
      <c r="EO39" s="522"/>
      <c r="EP39" s="522"/>
      <c r="EQ39" s="522"/>
      <c r="ER39" s="522"/>
      <c r="ES39" s="522"/>
      <c r="ET39" s="522"/>
      <c r="EU39" s="522"/>
      <c r="EV39" s="522"/>
      <c r="EW39" s="522"/>
      <c r="EX39" s="527" t="str">
        <f t="shared" si="1"/>
        <v/>
      </c>
    </row>
    <row r="40" spans="1:154" x14ac:dyDescent="0.25">
      <c r="A40" s="522"/>
      <c r="B40" s="522"/>
      <c r="C40" s="522"/>
      <c r="D40" s="538" t="s">
        <v>1780</v>
      </c>
      <c r="E40" s="522"/>
      <c r="F40" s="522"/>
      <c r="G40" s="522"/>
      <c r="H40" s="522"/>
      <c r="I40" s="522"/>
      <c r="J40" s="522"/>
      <c r="K40" s="522"/>
      <c r="L40" s="522"/>
      <c r="M40" s="522"/>
      <c r="N40" s="522"/>
      <c r="O40" s="522"/>
      <c r="P40" s="522"/>
      <c r="Q40" s="522"/>
      <c r="R40" s="522"/>
      <c r="S40" s="534"/>
      <c r="T40" s="522"/>
      <c r="U40" s="522"/>
      <c r="V40" s="539">
        <f>Parameters!$F$95</f>
        <v>0.01</v>
      </c>
      <c r="W40" s="539">
        <f>Parameters!$F$95</f>
        <v>0.01</v>
      </c>
      <c r="X40" s="539">
        <f>Parameters!$F$95</f>
        <v>0.01</v>
      </c>
      <c r="Y40" s="539">
        <f>Parameters!$F$95</f>
        <v>0.01</v>
      </c>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c r="BP40" s="534"/>
      <c r="BQ40" s="534"/>
      <c r="BR40" s="534"/>
      <c r="BS40" s="534"/>
      <c r="BT40" s="534"/>
      <c r="BU40" s="534"/>
      <c r="BV40" s="534"/>
      <c r="BW40" s="534"/>
      <c r="BX40" s="522"/>
      <c r="BY40" s="531"/>
      <c r="BZ40" s="522"/>
      <c r="CA40" s="526"/>
      <c r="CB40" s="522"/>
      <c r="CC40" s="522"/>
      <c r="CD40" s="522"/>
      <c r="CE40" s="522"/>
      <c r="CF40" s="522"/>
      <c r="CG40" s="522"/>
      <c r="CH40" s="522"/>
      <c r="CI40" s="522"/>
      <c r="CJ40" s="522"/>
      <c r="CK40" s="522"/>
      <c r="CL40" s="522"/>
      <c r="CM40" s="522"/>
      <c r="CN40" s="522"/>
      <c r="CO40" s="522"/>
      <c r="CP40" s="522"/>
      <c r="CQ40" s="522"/>
      <c r="CR40" s="522"/>
      <c r="CS40" s="522"/>
      <c r="CT40" s="522"/>
      <c r="CU40" s="522"/>
      <c r="CV40" s="522"/>
      <c r="CW40" s="522"/>
      <c r="CX40" s="522"/>
      <c r="CY40" s="522"/>
      <c r="CZ40" s="522"/>
      <c r="DA40" s="522"/>
      <c r="DB40" s="522"/>
      <c r="DC40" s="522"/>
      <c r="DD40" s="522"/>
      <c r="DE40" s="522"/>
      <c r="DF40" s="522"/>
      <c r="DG40" s="522"/>
      <c r="DH40" s="522"/>
      <c r="DI40" s="522"/>
      <c r="DJ40" s="522"/>
      <c r="DK40" s="522"/>
      <c r="DL40" s="522"/>
      <c r="DM40" s="522"/>
      <c r="DN40" s="522"/>
      <c r="DO40" s="522"/>
      <c r="DP40" s="522"/>
      <c r="DQ40" s="522"/>
      <c r="DR40" s="522"/>
      <c r="DS40" s="522"/>
      <c r="DT40" s="522"/>
      <c r="DU40" s="522"/>
      <c r="DV40" s="522"/>
      <c r="DW40" s="522"/>
      <c r="DX40" s="522"/>
      <c r="DY40" s="522"/>
      <c r="DZ40" s="522"/>
      <c r="EA40" s="522"/>
      <c r="EB40" s="522"/>
      <c r="EC40" s="522"/>
      <c r="ED40" s="522"/>
      <c r="EE40" s="522"/>
      <c r="EF40" s="522"/>
      <c r="EG40" s="522"/>
      <c r="EH40" s="522"/>
      <c r="EI40" s="522"/>
      <c r="EJ40" s="522"/>
      <c r="EK40" s="522"/>
      <c r="EL40" s="522"/>
      <c r="EM40" s="522"/>
      <c r="EN40" s="522"/>
      <c r="EO40" s="522"/>
      <c r="EP40" s="522"/>
      <c r="EQ40" s="522"/>
      <c r="ER40" s="522"/>
      <c r="ES40" s="522"/>
      <c r="ET40" s="522"/>
      <c r="EU40" s="522"/>
      <c r="EV40" s="522"/>
      <c r="EW40" s="522"/>
      <c r="EX40" s="527" t="str">
        <f t="shared" si="1"/>
        <v/>
      </c>
    </row>
    <row r="41" spans="1:154" s="335" customFormat="1" x14ac:dyDescent="0.25">
      <c r="A41" s="522"/>
      <c r="B41" s="522"/>
      <c r="C41" s="522"/>
      <c r="D41" s="538" t="s">
        <v>1782</v>
      </c>
      <c r="E41" s="522"/>
      <c r="F41" s="522"/>
      <c r="G41" s="522"/>
      <c r="H41" s="522"/>
      <c r="I41" s="522"/>
      <c r="J41" s="522"/>
      <c r="K41" s="522"/>
      <c r="L41" s="522"/>
      <c r="M41" s="522"/>
      <c r="N41" s="522"/>
      <c r="O41" s="522"/>
      <c r="P41" s="522"/>
      <c r="Q41" s="522"/>
      <c r="R41" s="522"/>
      <c r="S41" s="534"/>
      <c r="T41" s="522"/>
      <c r="U41" s="522"/>
      <c r="V41" s="539" t="str">
        <f>IF(Dashboard!$F$31="", "", Dashboard!$F$31)</f>
        <v/>
      </c>
      <c r="W41" s="539" t="str">
        <f>IF(Dashboard!$F$31="", "", Dashboard!$F$31)</f>
        <v/>
      </c>
      <c r="X41" s="539" t="str">
        <f>IF(Dashboard!$F$31="", "", Dashboard!$F$31)</f>
        <v/>
      </c>
      <c r="Y41" s="539" t="str">
        <f>IF(Dashboard!$F$31="", "", Dashboard!$F$31)</f>
        <v/>
      </c>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4"/>
      <c r="BU41" s="534"/>
      <c r="BV41" s="534"/>
      <c r="BW41" s="534"/>
      <c r="BX41" s="522"/>
      <c r="BY41" s="531"/>
      <c r="BZ41" s="522"/>
      <c r="CA41" s="526"/>
      <c r="CB41" s="522"/>
      <c r="CC41" s="522"/>
      <c r="CD41" s="522"/>
      <c r="CE41" s="522"/>
      <c r="CF41" s="522"/>
      <c r="CG41" s="522"/>
      <c r="CH41" s="522"/>
      <c r="CI41" s="522"/>
      <c r="CJ41" s="522"/>
      <c r="CK41" s="522"/>
      <c r="CL41" s="522"/>
      <c r="CM41" s="522"/>
      <c r="CN41" s="522"/>
      <c r="CO41" s="522"/>
      <c r="CP41" s="522"/>
      <c r="CQ41" s="522"/>
      <c r="CR41" s="522"/>
      <c r="CS41" s="522"/>
      <c r="CT41" s="522"/>
      <c r="CU41" s="522"/>
      <c r="CV41" s="522"/>
      <c r="CW41" s="522"/>
      <c r="CX41" s="522"/>
      <c r="CY41" s="522"/>
      <c r="CZ41" s="522"/>
      <c r="DA41" s="522"/>
      <c r="DB41" s="522"/>
      <c r="DC41" s="522"/>
      <c r="DD41" s="522"/>
      <c r="DE41" s="522"/>
      <c r="DF41" s="522"/>
      <c r="DG41" s="522"/>
      <c r="DH41" s="522"/>
      <c r="DI41" s="522"/>
      <c r="DJ41" s="522"/>
      <c r="DK41" s="522"/>
      <c r="DL41" s="522"/>
      <c r="DM41" s="522"/>
      <c r="DN41" s="522"/>
      <c r="DO41" s="522"/>
      <c r="DP41" s="522"/>
      <c r="DQ41" s="522"/>
      <c r="DR41" s="522"/>
      <c r="DS41" s="522"/>
      <c r="DT41" s="522"/>
      <c r="DU41" s="522"/>
      <c r="DV41" s="522"/>
      <c r="DW41" s="522"/>
      <c r="DX41" s="522"/>
      <c r="DY41" s="522"/>
      <c r="DZ41" s="522"/>
      <c r="EA41" s="522"/>
      <c r="EB41" s="522"/>
      <c r="EC41" s="522"/>
      <c r="ED41" s="522"/>
      <c r="EE41" s="522"/>
      <c r="EF41" s="522"/>
      <c r="EG41" s="522"/>
      <c r="EH41" s="522"/>
      <c r="EI41" s="522"/>
      <c r="EJ41" s="522"/>
      <c r="EK41" s="522"/>
      <c r="EL41" s="522"/>
      <c r="EM41" s="522"/>
      <c r="EN41" s="522"/>
      <c r="EO41" s="522"/>
      <c r="EP41" s="522"/>
      <c r="EQ41" s="522"/>
      <c r="ER41" s="522"/>
      <c r="ES41" s="522"/>
      <c r="ET41" s="522"/>
      <c r="EU41" s="522"/>
      <c r="EV41" s="522"/>
      <c r="EW41" s="522"/>
      <c r="EX41" s="527" t="str">
        <f t="shared" si="1"/>
        <v/>
      </c>
    </row>
    <row r="42" spans="1:154" x14ac:dyDescent="0.25">
      <c r="A42" s="522"/>
      <c r="B42" s="522"/>
      <c r="C42" s="522"/>
      <c r="D42" s="538"/>
      <c r="E42" s="524"/>
      <c r="F42" s="522"/>
      <c r="G42" s="522"/>
      <c r="H42" s="522"/>
      <c r="I42" s="522"/>
      <c r="J42" s="522"/>
      <c r="K42" s="522"/>
      <c r="L42" s="522"/>
      <c r="M42" s="522"/>
      <c r="N42" s="522"/>
      <c r="O42" s="522"/>
      <c r="P42" s="522"/>
      <c r="Q42" s="522"/>
      <c r="R42" s="522"/>
      <c r="S42" s="534"/>
      <c r="T42" s="522"/>
      <c r="U42" s="522"/>
      <c r="V42" s="522"/>
      <c r="W42" s="522"/>
      <c r="X42" s="522"/>
      <c r="Y42" s="522"/>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4"/>
      <c r="BP42" s="534"/>
      <c r="BQ42" s="534"/>
      <c r="BR42" s="534"/>
      <c r="BS42" s="534"/>
      <c r="BT42" s="534"/>
      <c r="BU42" s="534"/>
      <c r="BV42" s="534"/>
      <c r="BW42" s="534"/>
      <c r="BX42" s="522"/>
      <c r="BY42" s="531"/>
      <c r="BZ42" s="522"/>
      <c r="CA42" s="526"/>
      <c r="CB42" s="522"/>
      <c r="CC42" s="522"/>
      <c r="CD42" s="522"/>
      <c r="CE42" s="522"/>
      <c r="CF42" s="522"/>
      <c r="CG42" s="522"/>
      <c r="CH42" s="522"/>
      <c r="CI42" s="522"/>
      <c r="CJ42" s="522"/>
      <c r="CK42" s="522"/>
      <c r="CL42" s="522"/>
      <c r="CM42" s="522"/>
      <c r="CN42" s="522"/>
      <c r="CO42" s="522"/>
      <c r="CP42" s="522"/>
      <c r="CQ42" s="522"/>
      <c r="CR42" s="522"/>
      <c r="CS42" s="522"/>
      <c r="CT42" s="522"/>
      <c r="CU42" s="522"/>
      <c r="CV42" s="522"/>
      <c r="CW42" s="522"/>
      <c r="CX42" s="522"/>
      <c r="CY42" s="522"/>
      <c r="CZ42" s="522"/>
      <c r="DA42" s="522"/>
      <c r="DB42" s="522"/>
      <c r="DC42" s="522"/>
      <c r="DD42" s="522"/>
      <c r="DE42" s="522"/>
      <c r="DF42" s="522"/>
      <c r="DG42" s="522"/>
      <c r="DH42" s="522"/>
      <c r="DI42" s="522"/>
      <c r="DJ42" s="522"/>
      <c r="DK42" s="522"/>
      <c r="DL42" s="522"/>
      <c r="DM42" s="522"/>
      <c r="DN42" s="522"/>
      <c r="DO42" s="522"/>
      <c r="DP42" s="522"/>
      <c r="DQ42" s="522"/>
      <c r="DR42" s="522"/>
      <c r="DS42" s="522"/>
      <c r="DT42" s="522"/>
      <c r="DU42" s="522"/>
      <c r="DV42" s="522"/>
      <c r="DW42" s="522"/>
      <c r="DX42" s="522"/>
      <c r="DY42" s="522"/>
      <c r="DZ42" s="522"/>
      <c r="EA42" s="522"/>
      <c r="EB42" s="522"/>
      <c r="EC42" s="522"/>
      <c r="ED42" s="522"/>
      <c r="EE42" s="522"/>
      <c r="EF42" s="522"/>
      <c r="EG42" s="522"/>
      <c r="EH42" s="522"/>
      <c r="EI42" s="522"/>
      <c r="EJ42" s="522"/>
      <c r="EK42" s="522"/>
      <c r="EL42" s="522"/>
      <c r="EM42" s="522"/>
      <c r="EN42" s="522"/>
      <c r="EO42" s="522"/>
      <c r="EP42" s="522"/>
      <c r="EQ42" s="522"/>
      <c r="ER42" s="522"/>
      <c r="ES42" s="522"/>
      <c r="ET42" s="522"/>
      <c r="EU42" s="522"/>
      <c r="EV42" s="522"/>
      <c r="EW42" s="522"/>
      <c r="EX42" s="527" t="str">
        <f t="shared" si="1"/>
        <v/>
      </c>
    </row>
    <row r="43" spans="1:154" x14ac:dyDescent="0.25">
      <c r="A43" s="522"/>
      <c r="B43" s="535" t="s">
        <v>740</v>
      </c>
      <c r="C43" s="522"/>
      <c r="D43" s="538" t="str">
        <f>Ratios!D$31</f>
        <v>Debt Service Cover Ratio</v>
      </c>
      <c r="E43" s="524"/>
      <c r="F43" s="522"/>
      <c r="G43" s="522"/>
      <c r="H43" s="522"/>
      <c r="I43" s="522"/>
      <c r="J43" s="522"/>
      <c r="K43" s="522"/>
      <c r="L43" s="522"/>
      <c r="M43" s="522"/>
      <c r="N43" s="522"/>
      <c r="O43" s="522"/>
      <c r="P43" s="522"/>
      <c r="Q43" s="522"/>
      <c r="R43" s="522"/>
      <c r="S43" s="534"/>
      <c r="T43" s="522"/>
      <c r="U43" s="522"/>
      <c r="V43" s="540">
        <f>Ratios!V$31</f>
        <v>0</v>
      </c>
      <c r="W43" s="540">
        <f>Ratios!W$31</f>
        <v>8.7677419354838708</v>
      </c>
      <c r="X43" s="540">
        <f>Ratios!X$31</f>
        <v>4.3143872113676736</v>
      </c>
      <c r="Y43" s="540">
        <f>Ratios!Y$31</f>
        <v>3.7545470692717609</v>
      </c>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534"/>
      <c r="BR43" s="534"/>
      <c r="BS43" s="534"/>
      <c r="BT43" s="534"/>
      <c r="BU43" s="534"/>
      <c r="BV43" s="534"/>
      <c r="BW43" s="534"/>
      <c r="BX43" s="522"/>
      <c r="BY43" s="531"/>
      <c r="BZ43" s="522"/>
      <c r="CA43" s="526"/>
      <c r="CB43" s="522"/>
      <c r="CC43" s="522"/>
      <c r="CD43" s="522"/>
      <c r="CE43" s="522"/>
      <c r="CF43" s="522"/>
      <c r="CG43" s="522"/>
      <c r="CH43" s="522"/>
      <c r="CI43" s="522"/>
      <c r="CJ43" s="522"/>
      <c r="CK43" s="522"/>
      <c r="CL43" s="522"/>
      <c r="CM43" s="522"/>
      <c r="CN43" s="522"/>
      <c r="CO43" s="522"/>
      <c r="CP43" s="522"/>
      <c r="CQ43" s="522"/>
      <c r="CR43" s="522"/>
      <c r="CS43" s="522"/>
      <c r="CT43" s="522"/>
      <c r="CU43" s="522"/>
      <c r="CV43" s="522"/>
      <c r="CW43" s="522"/>
      <c r="CX43" s="522"/>
      <c r="CY43" s="522"/>
      <c r="CZ43" s="522"/>
      <c r="DA43" s="522"/>
      <c r="DB43" s="522"/>
      <c r="DC43" s="522"/>
      <c r="DD43" s="522"/>
      <c r="DE43" s="522"/>
      <c r="DF43" s="522"/>
      <c r="DG43" s="522"/>
      <c r="DH43" s="522"/>
      <c r="DI43" s="522"/>
      <c r="DJ43" s="522"/>
      <c r="DK43" s="522"/>
      <c r="DL43" s="522"/>
      <c r="DM43" s="522"/>
      <c r="DN43" s="522"/>
      <c r="DO43" s="522"/>
      <c r="DP43" s="522"/>
      <c r="DQ43" s="522"/>
      <c r="DR43" s="522"/>
      <c r="DS43" s="522"/>
      <c r="DT43" s="522"/>
      <c r="DU43" s="522"/>
      <c r="DV43" s="522"/>
      <c r="DW43" s="522"/>
      <c r="DX43" s="522"/>
      <c r="DY43" s="522"/>
      <c r="DZ43" s="522"/>
      <c r="EA43" s="522"/>
      <c r="EB43" s="522"/>
      <c r="EC43" s="522"/>
      <c r="ED43" s="522"/>
      <c r="EE43" s="522"/>
      <c r="EF43" s="522"/>
      <c r="EG43" s="522"/>
      <c r="EH43" s="522"/>
      <c r="EI43" s="522"/>
      <c r="EJ43" s="522"/>
      <c r="EK43" s="522"/>
      <c r="EL43" s="522"/>
      <c r="EM43" s="522"/>
      <c r="EN43" s="522"/>
      <c r="EO43" s="522"/>
      <c r="EP43" s="522"/>
      <c r="EQ43" s="522"/>
      <c r="ER43" s="522"/>
      <c r="ES43" s="522"/>
      <c r="ET43" s="522"/>
      <c r="EU43" s="522"/>
      <c r="EV43" s="522"/>
      <c r="EW43" s="522"/>
      <c r="EX43" s="527" t="str">
        <f t="shared" si="1"/>
        <v/>
      </c>
    </row>
    <row r="44" spans="1:154" x14ac:dyDescent="0.25">
      <c r="A44" s="522"/>
      <c r="B44" s="522"/>
      <c r="C44" s="522"/>
      <c r="D44" s="538" t="s">
        <v>1783</v>
      </c>
      <c r="E44" s="527">
        <f>Parameters!$F$96</f>
        <v>2</v>
      </c>
      <c r="F44" s="522"/>
      <c r="G44" s="522"/>
      <c r="H44" s="522"/>
      <c r="I44" s="522"/>
      <c r="J44" s="522"/>
      <c r="K44" s="522"/>
      <c r="L44" s="522"/>
      <c r="M44" s="522"/>
      <c r="N44" s="522"/>
      <c r="O44" s="522"/>
      <c r="P44" s="522"/>
      <c r="Q44" s="522"/>
      <c r="R44" s="522"/>
      <c r="S44" s="534"/>
      <c r="T44" s="522"/>
      <c r="U44" s="522"/>
      <c r="V44" s="540">
        <f>Parameters!$F$96</f>
        <v>2</v>
      </c>
      <c r="W44" s="540">
        <f>Parameters!$F$96</f>
        <v>2</v>
      </c>
      <c r="X44" s="540">
        <f>Parameters!$F$96</f>
        <v>2</v>
      </c>
      <c r="Y44" s="540">
        <f>Parameters!$F$96</f>
        <v>2</v>
      </c>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22"/>
      <c r="BY44" s="531"/>
      <c r="BZ44" s="522"/>
      <c r="CA44" s="526"/>
      <c r="CB44" s="522"/>
      <c r="CC44" s="522"/>
      <c r="CD44" s="522"/>
      <c r="CE44" s="522"/>
      <c r="CF44" s="522"/>
      <c r="CG44" s="522"/>
      <c r="CH44" s="522"/>
      <c r="CI44" s="522"/>
      <c r="CJ44" s="522"/>
      <c r="CK44" s="522"/>
      <c r="CL44" s="522"/>
      <c r="CM44" s="522"/>
      <c r="CN44" s="522"/>
      <c r="CO44" s="522"/>
      <c r="CP44" s="522"/>
      <c r="CQ44" s="522"/>
      <c r="CR44" s="522"/>
      <c r="CS44" s="522"/>
      <c r="CT44" s="522"/>
      <c r="CU44" s="522"/>
      <c r="CV44" s="522"/>
      <c r="CW44" s="522"/>
      <c r="CX44" s="522"/>
      <c r="CY44" s="522"/>
      <c r="CZ44" s="522"/>
      <c r="DA44" s="522"/>
      <c r="DB44" s="522"/>
      <c r="DC44" s="522"/>
      <c r="DD44" s="522"/>
      <c r="DE44" s="522"/>
      <c r="DF44" s="522"/>
      <c r="DG44" s="522"/>
      <c r="DH44" s="522"/>
      <c r="DI44" s="522"/>
      <c r="DJ44" s="522"/>
      <c r="DK44" s="522"/>
      <c r="DL44" s="522"/>
      <c r="DM44" s="522"/>
      <c r="DN44" s="522"/>
      <c r="DO44" s="522"/>
      <c r="DP44" s="522"/>
      <c r="DQ44" s="522"/>
      <c r="DR44" s="522"/>
      <c r="DS44" s="522"/>
      <c r="DT44" s="522"/>
      <c r="DU44" s="522"/>
      <c r="DV44" s="522"/>
      <c r="DW44" s="522"/>
      <c r="DX44" s="522"/>
      <c r="DY44" s="522"/>
      <c r="DZ44" s="522"/>
      <c r="EA44" s="522"/>
      <c r="EB44" s="522"/>
      <c r="EC44" s="522"/>
      <c r="ED44" s="522"/>
      <c r="EE44" s="522"/>
      <c r="EF44" s="522"/>
      <c r="EG44" s="522"/>
      <c r="EH44" s="522"/>
      <c r="EI44" s="522"/>
      <c r="EJ44" s="522"/>
      <c r="EK44" s="522"/>
      <c r="EL44" s="522"/>
      <c r="EM44" s="522"/>
      <c r="EN44" s="522"/>
      <c r="EO44" s="522"/>
      <c r="EP44" s="522"/>
      <c r="EQ44" s="522"/>
      <c r="ER44" s="522"/>
      <c r="ES44" s="522"/>
      <c r="ET44" s="522"/>
      <c r="EU44" s="522"/>
      <c r="EV44" s="522"/>
      <c r="EW44" s="522"/>
      <c r="EX44" s="527" t="str">
        <f t="shared" si="1"/>
        <v/>
      </c>
    </row>
    <row r="45" spans="1:154" s="335" customFormat="1" x14ac:dyDescent="0.25">
      <c r="A45" s="522"/>
      <c r="B45" s="522"/>
      <c r="C45" s="522"/>
      <c r="D45" s="538" t="s">
        <v>1784</v>
      </c>
      <c r="E45" s="522"/>
      <c r="F45" s="522"/>
      <c r="G45" s="522"/>
      <c r="H45" s="522"/>
      <c r="I45" s="522"/>
      <c r="J45" s="522"/>
      <c r="K45" s="522"/>
      <c r="L45" s="522"/>
      <c r="M45" s="522"/>
      <c r="N45" s="522"/>
      <c r="O45" s="522"/>
      <c r="P45" s="522"/>
      <c r="Q45" s="522"/>
      <c r="R45" s="522"/>
      <c r="S45" s="534"/>
      <c r="T45" s="522"/>
      <c r="U45" s="522"/>
      <c r="V45" s="540" t="str">
        <f>IF(Dashboard!$F$45="", "", Dashboard!$F$45)</f>
        <v/>
      </c>
      <c r="W45" s="540" t="str">
        <f>IF(Dashboard!$F$45="", "", Dashboard!$F$45)</f>
        <v/>
      </c>
      <c r="X45" s="540" t="str">
        <f>IF(Dashboard!$F$45="", "", Dashboard!$F$45)</f>
        <v/>
      </c>
      <c r="Y45" s="540" t="str">
        <f>IF(Dashboard!$F$45="", "", Dashboard!$F$45)</f>
        <v/>
      </c>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c r="BH45" s="534"/>
      <c r="BI45" s="534"/>
      <c r="BJ45" s="534"/>
      <c r="BK45" s="534"/>
      <c r="BL45" s="534"/>
      <c r="BM45" s="534"/>
      <c r="BN45" s="534"/>
      <c r="BO45" s="534"/>
      <c r="BP45" s="534"/>
      <c r="BQ45" s="534"/>
      <c r="BR45" s="534"/>
      <c r="BS45" s="534"/>
      <c r="BT45" s="534"/>
      <c r="BU45" s="534"/>
      <c r="BV45" s="534"/>
      <c r="BW45" s="534"/>
      <c r="BX45" s="522"/>
      <c r="BY45" s="531"/>
      <c r="BZ45" s="522"/>
      <c r="CA45" s="526"/>
      <c r="CB45" s="522"/>
      <c r="CC45" s="522"/>
      <c r="CD45" s="522"/>
      <c r="CE45" s="522"/>
      <c r="CF45" s="522"/>
      <c r="CG45" s="522"/>
      <c r="CH45" s="522"/>
      <c r="CI45" s="522"/>
      <c r="CJ45" s="522"/>
      <c r="CK45" s="522"/>
      <c r="CL45" s="522"/>
      <c r="CM45" s="522"/>
      <c r="CN45" s="522"/>
      <c r="CO45" s="522"/>
      <c r="CP45" s="522"/>
      <c r="CQ45" s="522"/>
      <c r="CR45" s="522"/>
      <c r="CS45" s="522"/>
      <c r="CT45" s="522"/>
      <c r="CU45" s="522"/>
      <c r="CV45" s="522"/>
      <c r="CW45" s="522"/>
      <c r="CX45" s="522"/>
      <c r="CY45" s="522"/>
      <c r="CZ45" s="522"/>
      <c r="DA45" s="522"/>
      <c r="DB45" s="522"/>
      <c r="DC45" s="522"/>
      <c r="DD45" s="522"/>
      <c r="DE45" s="522"/>
      <c r="DF45" s="522"/>
      <c r="DG45" s="522"/>
      <c r="DH45" s="522"/>
      <c r="DI45" s="522"/>
      <c r="DJ45" s="522"/>
      <c r="DK45" s="522"/>
      <c r="DL45" s="522"/>
      <c r="DM45" s="522"/>
      <c r="DN45" s="522"/>
      <c r="DO45" s="522"/>
      <c r="DP45" s="522"/>
      <c r="DQ45" s="522"/>
      <c r="DR45" s="522"/>
      <c r="DS45" s="522"/>
      <c r="DT45" s="522"/>
      <c r="DU45" s="522"/>
      <c r="DV45" s="522"/>
      <c r="DW45" s="522"/>
      <c r="DX45" s="522"/>
      <c r="DY45" s="522"/>
      <c r="DZ45" s="522"/>
      <c r="EA45" s="522"/>
      <c r="EB45" s="522"/>
      <c r="EC45" s="522"/>
      <c r="ED45" s="522"/>
      <c r="EE45" s="522"/>
      <c r="EF45" s="522"/>
      <c r="EG45" s="522"/>
      <c r="EH45" s="522"/>
      <c r="EI45" s="522"/>
      <c r="EJ45" s="522"/>
      <c r="EK45" s="522"/>
      <c r="EL45" s="522"/>
      <c r="EM45" s="522"/>
      <c r="EN45" s="522"/>
      <c r="EO45" s="522"/>
      <c r="EP45" s="522"/>
      <c r="EQ45" s="522"/>
      <c r="ER45" s="522"/>
      <c r="ES45" s="522"/>
      <c r="ET45" s="522"/>
      <c r="EU45" s="522"/>
      <c r="EV45" s="522"/>
      <c r="EW45" s="522"/>
      <c r="EX45" s="527" t="str">
        <f t="shared" si="1"/>
        <v/>
      </c>
    </row>
    <row r="46" spans="1:154" s="335" customFormat="1" ht="8.1" customHeight="1" x14ac:dyDescent="0.25">
      <c r="A46" s="522"/>
      <c r="B46" s="522"/>
      <c r="C46" s="522"/>
      <c r="D46" s="538"/>
      <c r="E46" s="522"/>
      <c r="F46" s="522"/>
      <c r="G46" s="522"/>
      <c r="H46" s="522"/>
      <c r="I46" s="522"/>
      <c r="J46" s="522"/>
      <c r="K46" s="522"/>
      <c r="L46" s="522"/>
      <c r="M46" s="522"/>
      <c r="N46" s="522"/>
      <c r="O46" s="522"/>
      <c r="P46" s="522"/>
      <c r="Q46" s="522"/>
      <c r="R46" s="522"/>
      <c r="S46" s="534"/>
      <c r="T46" s="522"/>
      <c r="U46" s="522"/>
      <c r="V46" s="522"/>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4"/>
      <c r="BU46" s="534"/>
      <c r="BV46" s="534"/>
      <c r="BW46" s="534"/>
      <c r="BX46" s="522"/>
      <c r="BY46" s="526"/>
      <c r="BZ46" s="522"/>
      <c r="CA46" s="526"/>
      <c r="CB46" s="522"/>
      <c r="CC46" s="522"/>
      <c r="CD46" s="522"/>
      <c r="CE46" s="522"/>
      <c r="CF46" s="522"/>
      <c r="CG46" s="522"/>
      <c r="CH46" s="522"/>
      <c r="CI46" s="522"/>
      <c r="CJ46" s="522"/>
      <c r="CK46" s="522"/>
      <c r="CL46" s="522"/>
      <c r="CM46" s="522"/>
      <c r="CN46" s="522"/>
      <c r="CO46" s="522"/>
      <c r="CP46" s="522"/>
      <c r="CQ46" s="522"/>
      <c r="CR46" s="522"/>
      <c r="CS46" s="522"/>
      <c r="CT46" s="522"/>
      <c r="CU46" s="522"/>
      <c r="CV46" s="522"/>
      <c r="CW46" s="522"/>
      <c r="CX46" s="522"/>
      <c r="CY46" s="522"/>
      <c r="CZ46" s="522"/>
      <c r="DA46" s="522"/>
      <c r="DB46" s="522"/>
      <c r="DC46" s="522"/>
      <c r="DD46" s="522"/>
      <c r="DE46" s="522"/>
      <c r="DF46" s="522"/>
      <c r="DG46" s="522"/>
      <c r="DH46" s="522"/>
      <c r="DI46" s="522"/>
      <c r="DJ46" s="522"/>
      <c r="DK46" s="522"/>
      <c r="DL46" s="522"/>
      <c r="DM46" s="522"/>
      <c r="DN46" s="522"/>
      <c r="DO46" s="522"/>
      <c r="DP46" s="522"/>
      <c r="DQ46" s="522"/>
      <c r="DR46" s="522"/>
      <c r="DS46" s="522"/>
      <c r="DT46" s="522"/>
      <c r="DU46" s="522"/>
      <c r="DV46" s="522"/>
      <c r="DW46" s="522"/>
      <c r="DX46" s="522"/>
      <c r="DY46" s="522"/>
      <c r="DZ46" s="522"/>
      <c r="EA46" s="522"/>
      <c r="EB46" s="522"/>
      <c r="EC46" s="522"/>
      <c r="ED46" s="522"/>
      <c r="EE46" s="522"/>
      <c r="EF46" s="522"/>
      <c r="EG46" s="522"/>
      <c r="EH46" s="522"/>
      <c r="EI46" s="522"/>
      <c r="EJ46" s="522"/>
      <c r="EK46" s="522"/>
      <c r="EL46" s="522"/>
      <c r="EM46" s="522"/>
      <c r="EN46" s="522"/>
      <c r="EO46" s="522"/>
      <c r="EP46" s="522"/>
      <c r="EQ46" s="522"/>
      <c r="ER46" s="522"/>
      <c r="ES46" s="522"/>
      <c r="ET46" s="522"/>
      <c r="EU46" s="522"/>
      <c r="EV46" s="522"/>
      <c r="EW46" s="522"/>
      <c r="EX46" s="527" t="str">
        <f t="shared" si="1"/>
        <v/>
      </c>
    </row>
    <row r="47" spans="1:154" x14ac:dyDescent="0.25">
      <c r="A47" s="522"/>
      <c r="B47" s="522"/>
      <c r="C47" s="522"/>
      <c r="D47" s="538" t="str">
        <f>Ratios!D$33</f>
        <v>Borrowing as a % of adjusted income</v>
      </c>
      <c r="E47" s="522"/>
      <c r="F47" s="522"/>
      <c r="G47" s="522"/>
      <c r="H47" s="522"/>
      <c r="I47" s="522"/>
      <c r="J47" s="522"/>
      <c r="K47" s="522"/>
      <c r="L47" s="522"/>
      <c r="M47" s="522"/>
      <c r="N47" s="522"/>
      <c r="O47" s="522"/>
      <c r="P47" s="522"/>
      <c r="Q47" s="522"/>
      <c r="R47" s="522"/>
      <c r="S47" s="534"/>
      <c r="T47" s="522"/>
      <c r="U47" s="522"/>
      <c r="V47" s="539">
        <f>Ratios!V$33</f>
        <v>0</v>
      </c>
      <c r="W47" s="539">
        <f ca="1">Ratios!W$33</f>
        <v>0.11049941014549744</v>
      </c>
      <c r="X47" s="539">
        <f ca="1">Ratios!X$33</f>
        <v>9.1720138626771433E-2</v>
      </c>
      <c r="Y47" s="539">
        <f ca="1">Ratios!Y$33</f>
        <v>7.4958357391475758E-2</v>
      </c>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4"/>
      <c r="BU47" s="534"/>
      <c r="BV47" s="534"/>
      <c r="BW47" s="534"/>
      <c r="BX47" s="522"/>
      <c r="BY47" s="531"/>
      <c r="BZ47" s="522"/>
      <c r="CA47" s="526"/>
      <c r="CB47" s="522"/>
      <c r="CC47" s="522"/>
      <c r="CD47" s="522"/>
      <c r="CE47" s="522"/>
      <c r="CF47" s="522"/>
      <c r="CG47" s="522"/>
      <c r="CH47" s="522"/>
      <c r="CI47" s="522"/>
      <c r="CJ47" s="522"/>
      <c r="CK47" s="522"/>
      <c r="CL47" s="522"/>
      <c r="CM47" s="522"/>
      <c r="CN47" s="522"/>
      <c r="CO47" s="522"/>
      <c r="CP47" s="522"/>
      <c r="CQ47" s="522"/>
      <c r="CR47" s="522"/>
      <c r="CS47" s="522"/>
      <c r="CT47" s="522"/>
      <c r="CU47" s="522"/>
      <c r="CV47" s="522"/>
      <c r="CW47" s="522"/>
      <c r="CX47" s="522"/>
      <c r="CY47" s="522"/>
      <c r="CZ47" s="522"/>
      <c r="DA47" s="522"/>
      <c r="DB47" s="522"/>
      <c r="DC47" s="522"/>
      <c r="DD47" s="522"/>
      <c r="DE47" s="522"/>
      <c r="DF47" s="522"/>
      <c r="DG47" s="522"/>
      <c r="DH47" s="522"/>
      <c r="DI47" s="522"/>
      <c r="DJ47" s="522"/>
      <c r="DK47" s="522"/>
      <c r="DL47" s="522"/>
      <c r="DM47" s="522"/>
      <c r="DN47" s="522"/>
      <c r="DO47" s="522"/>
      <c r="DP47" s="522"/>
      <c r="DQ47" s="522"/>
      <c r="DR47" s="522"/>
      <c r="DS47" s="522"/>
      <c r="DT47" s="522"/>
      <c r="DU47" s="522"/>
      <c r="DV47" s="522"/>
      <c r="DW47" s="522"/>
      <c r="DX47" s="522"/>
      <c r="DY47" s="522"/>
      <c r="DZ47" s="522"/>
      <c r="EA47" s="522"/>
      <c r="EB47" s="522"/>
      <c r="EC47" s="522"/>
      <c r="ED47" s="522"/>
      <c r="EE47" s="522"/>
      <c r="EF47" s="522"/>
      <c r="EG47" s="522"/>
      <c r="EH47" s="522"/>
      <c r="EI47" s="522"/>
      <c r="EJ47" s="522"/>
      <c r="EK47" s="522"/>
      <c r="EL47" s="522"/>
      <c r="EM47" s="522"/>
      <c r="EN47" s="522"/>
      <c r="EO47" s="522"/>
      <c r="EP47" s="522"/>
      <c r="EQ47" s="522"/>
      <c r="ER47" s="522"/>
      <c r="ES47" s="522"/>
      <c r="ET47" s="522"/>
      <c r="EU47" s="522"/>
      <c r="EV47" s="522"/>
      <c r="EW47" s="522"/>
      <c r="EX47" s="527" t="str">
        <f t="shared" si="1"/>
        <v/>
      </c>
    </row>
    <row r="48" spans="1:154" s="335" customFormat="1" x14ac:dyDescent="0.25">
      <c r="A48" s="522"/>
      <c r="B48" s="522"/>
      <c r="C48" s="522"/>
      <c r="D48" s="538" t="s">
        <v>2276</v>
      </c>
      <c r="E48" s="522"/>
      <c r="F48" s="522"/>
      <c r="G48" s="522"/>
      <c r="H48" s="522"/>
      <c r="I48" s="522"/>
      <c r="J48" s="522"/>
      <c r="K48" s="522"/>
      <c r="L48" s="522"/>
      <c r="M48" s="522"/>
      <c r="N48" s="522"/>
      <c r="O48" s="522"/>
      <c r="P48" s="522"/>
      <c r="Q48" s="522"/>
      <c r="R48" s="522"/>
      <c r="S48" s="534"/>
      <c r="T48" s="522"/>
      <c r="U48" s="522"/>
      <c r="V48" s="539" t="str">
        <f>IF(Dashboard!$F$57="", "", Dashboard!$F$57)</f>
        <v/>
      </c>
      <c r="W48" s="539" t="str">
        <f>IF(Dashboard!$F$57="", "", Dashboard!$F$57)</f>
        <v/>
      </c>
      <c r="X48" s="539" t="str">
        <f>IF(Dashboard!$F$57="", "", Dashboard!$F$57)</f>
        <v/>
      </c>
      <c r="Y48" s="539" t="str">
        <f>IF(Dashboard!$F$57="", "", Dashboard!$F$57)</f>
        <v/>
      </c>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c r="BP48" s="534"/>
      <c r="BQ48" s="534"/>
      <c r="BR48" s="534"/>
      <c r="BS48" s="534"/>
      <c r="BT48" s="534"/>
      <c r="BU48" s="534"/>
      <c r="BV48" s="534"/>
      <c r="BW48" s="534"/>
      <c r="BX48" s="522"/>
      <c r="BY48" s="531"/>
      <c r="BZ48" s="522"/>
      <c r="CA48" s="526"/>
      <c r="CB48" s="522"/>
      <c r="CC48" s="522"/>
      <c r="CD48" s="522"/>
      <c r="CE48" s="522"/>
      <c r="CF48" s="522"/>
      <c r="CG48" s="522"/>
      <c r="CH48" s="522"/>
      <c r="CI48" s="522"/>
      <c r="CJ48" s="522"/>
      <c r="CK48" s="522"/>
      <c r="CL48" s="522"/>
      <c r="CM48" s="522"/>
      <c r="CN48" s="522"/>
      <c r="CO48" s="522"/>
      <c r="CP48" s="522"/>
      <c r="CQ48" s="522"/>
      <c r="CR48" s="522"/>
      <c r="CS48" s="522"/>
      <c r="CT48" s="522"/>
      <c r="CU48" s="522"/>
      <c r="CV48" s="522"/>
      <c r="CW48" s="522"/>
      <c r="CX48" s="522"/>
      <c r="CY48" s="522"/>
      <c r="CZ48" s="522"/>
      <c r="DA48" s="522"/>
      <c r="DB48" s="522"/>
      <c r="DC48" s="522"/>
      <c r="DD48" s="522"/>
      <c r="DE48" s="522"/>
      <c r="DF48" s="522"/>
      <c r="DG48" s="522"/>
      <c r="DH48" s="522"/>
      <c r="DI48" s="522"/>
      <c r="DJ48" s="522"/>
      <c r="DK48" s="522"/>
      <c r="DL48" s="522"/>
      <c r="DM48" s="522"/>
      <c r="DN48" s="522"/>
      <c r="DO48" s="522"/>
      <c r="DP48" s="522"/>
      <c r="DQ48" s="522"/>
      <c r="DR48" s="522"/>
      <c r="DS48" s="522"/>
      <c r="DT48" s="522"/>
      <c r="DU48" s="522"/>
      <c r="DV48" s="522"/>
      <c r="DW48" s="522"/>
      <c r="DX48" s="522"/>
      <c r="DY48" s="522"/>
      <c r="DZ48" s="522"/>
      <c r="EA48" s="522"/>
      <c r="EB48" s="522"/>
      <c r="EC48" s="522"/>
      <c r="ED48" s="522"/>
      <c r="EE48" s="522"/>
      <c r="EF48" s="522"/>
      <c r="EG48" s="522"/>
      <c r="EH48" s="522"/>
      <c r="EI48" s="522"/>
      <c r="EJ48" s="522"/>
      <c r="EK48" s="522"/>
      <c r="EL48" s="522"/>
      <c r="EM48" s="522"/>
      <c r="EN48" s="522"/>
      <c r="EO48" s="522"/>
      <c r="EP48" s="522"/>
      <c r="EQ48" s="522"/>
      <c r="ER48" s="522"/>
      <c r="ES48" s="522"/>
      <c r="ET48" s="522"/>
      <c r="EU48" s="522"/>
      <c r="EV48" s="522"/>
      <c r="EW48" s="522"/>
      <c r="EX48" s="527" t="str">
        <f t="shared" si="1"/>
        <v/>
      </c>
    </row>
    <row r="49" spans="1:154" x14ac:dyDescent="0.25">
      <c r="A49" s="522"/>
      <c r="B49" s="522"/>
      <c r="C49" s="522"/>
      <c r="D49" s="538" t="str">
        <f>'Financial Health'!D$40</f>
        <v>Cash generation from operations (as a % of income)</v>
      </c>
      <c r="E49" s="522"/>
      <c r="F49" s="522"/>
      <c r="G49" s="522"/>
      <c r="H49" s="522"/>
      <c r="I49" s="522"/>
      <c r="J49" s="522"/>
      <c r="K49" s="522"/>
      <c r="L49" s="522"/>
      <c r="M49" s="522"/>
      <c r="N49" s="522"/>
      <c r="O49" s="522"/>
      <c r="P49" s="522"/>
      <c r="Q49" s="522"/>
      <c r="R49" s="522"/>
      <c r="S49" s="534"/>
      <c r="T49" s="522"/>
      <c r="U49" s="522"/>
      <c r="V49" s="539">
        <f>'Financial Health'!V$40</f>
        <v>0</v>
      </c>
      <c r="W49" s="539">
        <f>'Financial Health'!W$40</f>
        <v>0.19433024702391591</v>
      </c>
      <c r="X49" s="539">
        <f>'Financial Health'!X$40</f>
        <v>8.3347630648869367E-2</v>
      </c>
      <c r="Y49" s="539">
        <f>'Financial Health'!Y$40</f>
        <v>7.0265066712938126E-2</v>
      </c>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534"/>
      <c r="BU49" s="534"/>
      <c r="BV49" s="534"/>
      <c r="BW49" s="534"/>
      <c r="BX49" s="522"/>
      <c r="BY49" s="531"/>
      <c r="BZ49" s="522"/>
      <c r="CA49" s="526"/>
      <c r="CB49" s="522"/>
      <c r="CC49" s="522"/>
      <c r="CD49" s="522"/>
      <c r="CE49" s="522"/>
      <c r="CF49" s="522"/>
      <c r="CG49" s="522"/>
      <c r="CH49" s="522"/>
      <c r="CI49" s="522"/>
      <c r="CJ49" s="522"/>
      <c r="CK49" s="522"/>
      <c r="CL49" s="522"/>
      <c r="CM49" s="522"/>
      <c r="CN49" s="522"/>
      <c r="CO49" s="522"/>
      <c r="CP49" s="522"/>
      <c r="CQ49" s="522"/>
      <c r="CR49" s="522"/>
      <c r="CS49" s="522"/>
      <c r="CT49" s="522"/>
      <c r="CU49" s="522"/>
      <c r="CV49" s="522"/>
      <c r="CW49" s="522"/>
      <c r="CX49" s="522"/>
      <c r="CY49" s="522"/>
      <c r="CZ49" s="522"/>
      <c r="DA49" s="522"/>
      <c r="DB49" s="522"/>
      <c r="DC49" s="522"/>
      <c r="DD49" s="522"/>
      <c r="DE49" s="522"/>
      <c r="DF49" s="522"/>
      <c r="DG49" s="522"/>
      <c r="DH49" s="522"/>
      <c r="DI49" s="522"/>
      <c r="DJ49" s="522"/>
      <c r="DK49" s="522"/>
      <c r="DL49" s="522"/>
      <c r="DM49" s="522"/>
      <c r="DN49" s="522"/>
      <c r="DO49" s="522"/>
      <c r="DP49" s="522"/>
      <c r="DQ49" s="522"/>
      <c r="DR49" s="522"/>
      <c r="DS49" s="522"/>
      <c r="DT49" s="522"/>
      <c r="DU49" s="522"/>
      <c r="DV49" s="522"/>
      <c r="DW49" s="522"/>
      <c r="DX49" s="522"/>
      <c r="DY49" s="522"/>
      <c r="DZ49" s="522"/>
      <c r="EA49" s="522"/>
      <c r="EB49" s="522"/>
      <c r="EC49" s="522"/>
      <c r="ED49" s="522"/>
      <c r="EE49" s="522"/>
      <c r="EF49" s="522"/>
      <c r="EG49" s="522"/>
      <c r="EH49" s="522"/>
      <c r="EI49" s="522"/>
      <c r="EJ49" s="522"/>
      <c r="EK49" s="522"/>
      <c r="EL49" s="522"/>
      <c r="EM49" s="522"/>
      <c r="EN49" s="522"/>
      <c r="EO49" s="522"/>
      <c r="EP49" s="522"/>
      <c r="EQ49" s="522"/>
      <c r="ER49" s="522"/>
      <c r="ES49" s="522"/>
      <c r="ET49" s="522"/>
      <c r="EU49" s="522"/>
      <c r="EV49" s="522"/>
      <c r="EW49" s="522"/>
      <c r="EX49" s="527" t="str">
        <f t="shared" si="1"/>
        <v/>
      </c>
    </row>
    <row r="50" spans="1:154" x14ac:dyDescent="0.25">
      <c r="A50" s="522"/>
      <c r="B50" s="522"/>
      <c r="C50" s="522"/>
      <c r="D50" s="538"/>
      <c r="E50" s="524"/>
      <c r="F50" s="522"/>
      <c r="G50" s="522"/>
      <c r="H50" s="522"/>
      <c r="I50" s="522"/>
      <c r="J50" s="522"/>
      <c r="K50" s="522"/>
      <c r="L50" s="522"/>
      <c r="M50" s="522"/>
      <c r="N50" s="522"/>
      <c r="O50" s="522"/>
      <c r="P50" s="522"/>
      <c r="Q50" s="522"/>
      <c r="R50" s="522"/>
      <c r="S50" s="534"/>
      <c r="T50" s="522"/>
      <c r="U50" s="522"/>
      <c r="V50" s="522"/>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4"/>
      <c r="BW50" s="534"/>
      <c r="BX50" s="522"/>
      <c r="BY50" s="531"/>
      <c r="BZ50" s="522"/>
      <c r="CA50" s="526"/>
      <c r="CB50" s="522"/>
      <c r="CC50" s="522"/>
      <c r="CD50" s="522"/>
      <c r="CE50" s="522"/>
      <c r="CF50" s="522"/>
      <c r="CG50" s="522"/>
      <c r="CH50" s="522"/>
      <c r="CI50" s="522"/>
      <c r="CJ50" s="522"/>
      <c r="CK50" s="522"/>
      <c r="CL50" s="522"/>
      <c r="CM50" s="522"/>
      <c r="CN50" s="522"/>
      <c r="CO50" s="522"/>
      <c r="CP50" s="522"/>
      <c r="CQ50" s="522"/>
      <c r="CR50" s="522"/>
      <c r="CS50" s="522"/>
      <c r="CT50" s="522"/>
      <c r="CU50" s="522"/>
      <c r="CV50" s="522"/>
      <c r="CW50" s="522"/>
      <c r="CX50" s="522"/>
      <c r="CY50" s="522"/>
      <c r="CZ50" s="522"/>
      <c r="DA50" s="522"/>
      <c r="DB50" s="522"/>
      <c r="DC50" s="522"/>
      <c r="DD50" s="522"/>
      <c r="DE50" s="522"/>
      <c r="DF50" s="522"/>
      <c r="DG50" s="522"/>
      <c r="DH50" s="522"/>
      <c r="DI50" s="522"/>
      <c r="DJ50" s="522"/>
      <c r="DK50" s="522"/>
      <c r="DL50" s="522"/>
      <c r="DM50" s="522"/>
      <c r="DN50" s="522"/>
      <c r="DO50" s="522"/>
      <c r="DP50" s="522"/>
      <c r="DQ50" s="522"/>
      <c r="DR50" s="522"/>
      <c r="DS50" s="522"/>
      <c r="DT50" s="522"/>
      <c r="DU50" s="522"/>
      <c r="DV50" s="522"/>
      <c r="DW50" s="522"/>
      <c r="DX50" s="522"/>
      <c r="DY50" s="522"/>
      <c r="DZ50" s="522"/>
      <c r="EA50" s="522"/>
      <c r="EB50" s="522"/>
      <c r="EC50" s="522"/>
      <c r="ED50" s="522"/>
      <c r="EE50" s="522"/>
      <c r="EF50" s="522"/>
      <c r="EG50" s="522"/>
      <c r="EH50" s="522"/>
      <c r="EI50" s="522"/>
      <c r="EJ50" s="522"/>
      <c r="EK50" s="522"/>
      <c r="EL50" s="522"/>
      <c r="EM50" s="522"/>
      <c r="EN50" s="522"/>
      <c r="EO50" s="522"/>
      <c r="EP50" s="522"/>
      <c r="EQ50" s="522"/>
      <c r="ER50" s="522"/>
      <c r="ES50" s="522"/>
      <c r="ET50" s="522"/>
      <c r="EU50" s="522"/>
      <c r="EV50" s="522"/>
      <c r="EW50" s="522"/>
      <c r="EX50" s="527" t="str">
        <f t="shared" si="1"/>
        <v/>
      </c>
    </row>
    <row r="51" spans="1:154" x14ac:dyDescent="0.25">
      <c r="A51" s="522"/>
      <c r="B51" s="535" t="s">
        <v>741</v>
      </c>
      <c r="C51" s="522"/>
      <c r="D51" s="538" t="str">
        <f>Ratios!D$20</f>
        <v>Adjusted cash days in hand</v>
      </c>
      <c r="E51" s="524"/>
      <c r="F51" s="522"/>
      <c r="G51" s="522"/>
      <c r="H51" s="522"/>
      <c r="I51" s="522"/>
      <c r="J51" s="522"/>
      <c r="K51" s="522"/>
      <c r="L51" s="522"/>
      <c r="M51" s="522"/>
      <c r="N51" s="522"/>
      <c r="O51" s="522"/>
      <c r="P51" s="522"/>
      <c r="Q51" s="522"/>
      <c r="R51" s="522"/>
      <c r="S51" s="534"/>
      <c r="T51" s="522"/>
      <c r="U51" s="522"/>
      <c r="V51" s="527">
        <f>Ratios!V$20</f>
        <v>0</v>
      </c>
      <c r="W51" s="527">
        <f>Ratios!W$20</f>
        <v>146.54175959393984</v>
      </c>
      <c r="X51" s="527">
        <f>Ratios!X$20</f>
        <v>123.04741442632584</v>
      </c>
      <c r="Y51" s="527">
        <f>Ratios!Y$20</f>
        <v>130.53428966542288</v>
      </c>
      <c r="Z51" s="534"/>
      <c r="AA51" s="527">
        <f>Ratios!AA$20</f>
        <v>179.90348381142812</v>
      </c>
      <c r="AB51" s="527">
        <f>Ratios!AB$20</f>
        <v>209.30727524417443</v>
      </c>
      <c r="AC51" s="527">
        <f>Ratios!AC$20</f>
        <v>182.20526032454049</v>
      </c>
      <c r="AD51" s="527">
        <f>Ratios!AD$20</f>
        <v>182.80877489810047</v>
      </c>
      <c r="AE51" s="527">
        <f>Ratios!AE$20</f>
        <v>176.43678381911866</v>
      </c>
      <c r="AF51" s="527">
        <f>Ratios!AF$20</f>
        <v>168.22617857417518</v>
      </c>
      <c r="AG51" s="527">
        <f>Ratios!AG$20</f>
        <v>159.0331077443667</v>
      </c>
      <c r="AH51" s="527">
        <f>Ratios!AH$20</f>
        <v>132.60478351149735</v>
      </c>
      <c r="AI51" s="527">
        <f>Ratios!AI$20</f>
        <v>152.78743366915327</v>
      </c>
      <c r="AJ51" s="527">
        <f>Ratios!AJ$20</f>
        <v>157.91028993309237</v>
      </c>
      <c r="AK51" s="527">
        <f>Ratios!AK$20</f>
        <v>163.84718911020533</v>
      </c>
      <c r="AL51" s="527">
        <f>Ratios!AL$20</f>
        <v>146.54175959393984</v>
      </c>
      <c r="AM51" s="527">
        <f>Ratios!AM$20</f>
        <v>159.34901571911266</v>
      </c>
      <c r="AN51" s="527">
        <f>Ratios!AN$20</f>
        <v>163.38401645365064</v>
      </c>
      <c r="AO51" s="527">
        <f>Ratios!AO$20</f>
        <v>161.4268400176289</v>
      </c>
      <c r="AP51" s="527">
        <f>Ratios!AP$20</f>
        <v>153.73218745409139</v>
      </c>
      <c r="AQ51" s="527">
        <f>Ratios!AQ$20</f>
        <v>137.17661965623623</v>
      </c>
      <c r="AR51" s="527">
        <f>Ratios!AR$20</f>
        <v>120.74169972087557</v>
      </c>
      <c r="AS51" s="527">
        <f>Ratios!AS$20</f>
        <v>103.94483619803142</v>
      </c>
      <c r="AT51" s="527">
        <f>Ratios!AT$20</f>
        <v>85.646577053033653</v>
      </c>
      <c r="AU51" s="527">
        <f>Ratios!AU$20</f>
        <v>100.1109152343176</v>
      </c>
      <c r="AV51" s="527">
        <f>Ratios!AV$20</f>
        <v>101.50506831203172</v>
      </c>
      <c r="AW51" s="527">
        <f>Ratios!AW$20</f>
        <v>98.27438666079037</v>
      </c>
      <c r="AX51" s="527">
        <f>Ratios!AX$20</f>
        <v>123.04741442632584</v>
      </c>
      <c r="AY51" s="527">
        <f>Ratios!AY$20</f>
        <v>146.58212879518371</v>
      </c>
      <c r="AZ51" s="527">
        <f>Ratios!AZ$20</f>
        <v>158.86079320147661</v>
      </c>
      <c r="BA51" s="527">
        <f>Ratios!BA$20</f>
        <v>159.15349977557921</v>
      </c>
      <c r="BB51" s="527">
        <f>Ratios!BB$20</f>
        <v>151.40103827895885</v>
      </c>
      <c r="BC51" s="527">
        <f>Ratios!BC$20</f>
        <v>138.06582744228774</v>
      </c>
      <c r="BD51" s="527">
        <f>Ratios!BD$20</f>
        <v>127.10342065774313</v>
      </c>
      <c r="BE51" s="527">
        <f>Ratios!BE$20</f>
        <v>111.60481039058726</v>
      </c>
      <c r="BF51" s="527">
        <f>Ratios!BF$20</f>
        <v>98.686261168737801</v>
      </c>
      <c r="BG51" s="527">
        <f>Ratios!BG$20</f>
        <v>119.21730725250001</v>
      </c>
      <c r="BH51" s="527">
        <f>Ratios!BH$20</f>
        <v>123.13599162606175</v>
      </c>
      <c r="BI51" s="527">
        <f>Ratios!BI$20</f>
        <v>121.94104247258456</v>
      </c>
      <c r="BJ51" s="527">
        <f>Ratios!BJ$20</f>
        <v>130.53428966542288</v>
      </c>
      <c r="BK51" s="534"/>
      <c r="BL51" s="527">
        <f>Ratios!BL$20</f>
        <v>0</v>
      </c>
      <c r="BM51" s="527">
        <f>Ratios!BM$20</f>
        <v>146.54175959393984</v>
      </c>
      <c r="BN51" s="527">
        <f>Ratios!BN$20</f>
        <v>123.04741442632584</v>
      </c>
      <c r="BO51" s="527">
        <f>Ratios!BO$20</f>
        <v>130.53428966542288</v>
      </c>
      <c r="BP51" s="527">
        <f>Ratios!BP$20</f>
        <v>0</v>
      </c>
      <c r="BQ51" s="527">
        <f>Ratios!BQ$20</f>
        <v>0</v>
      </c>
      <c r="BR51" s="527">
        <f>Ratios!BR$20</f>
        <v>0</v>
      </c>
      <c r="BS51" s="527">
        <f>Ratios!BS$20</f>
        <v>0</v>
      </c>
      <c r="BT51" s="527">
        <f>Ratios!BT$20</f>
        <v>0</v>
      </c>
      <c r="BU51" s="527">
        <f>Ratios!BU$20</f>
        <v>0</v>
      </c>
      <c r="BV51" s="527">
        <f>Ratios!BV$20</f>
        <v>0</v>
      </c>
      <c r="BW51" s="527">
        <f>Ratios!BW$20</f>
        <v>0</v>
      </c>
      <c r="BX51" s="522"/>
      <c r="BY51" s="531"/>
      <c r="BZ51" s="522"/>
      <c r="CA51" s="526"/>
      <c r="CB51" s="522"/>
      <c r="CC51" s="522"/>
      <c r="CD51" s="522"/>
      <c r="CE51" s="522"/>
      <c r="CF51" s="522"/>
      <c r="CG51" s="522"/>
      <c r="CH51" s="522"/>
      <c r="CI51" s="522"/>
      <c r="CJ51" s="522"/>
      <c r="CK51" s="522"/>
      <c r="CL51" s="522"/>
      <c r="CM51" s="522"/>
      <c r="CN51" s="522"/>
      <c r="CO51" s="522"/>
      <c r="CP51" s="522"/>
      <c r="CQ51" s="522"/>
      <c r="CR51" s="522"/>
      <c r="CS51" s="522"/>
      <c r="CT51" s="522"/>
      <c r="CU51" s="522"/>
      <c r="CV51" s="522"/>
      <c r="CW51" s="522"/>
      <c r="CX51" s="522"/>
      <c r="CY51" s="522"/>
      <c r="CZ51" s="522"/>
      <c r="DA51" s="522"/>
      <c r="DB51" s="522"/>
      <c r="DC51" s="522"/>
      <c r="DD51" s="522"/>
      <c r="DE51" s="522"/>
      <c r="DF51" s="522"/>
      <c r="DG51" s="522"/>
      <c r="DH51" s="522"/>
      <c r="DI51" s="522"/>
      <c r="DJ51" s="522"/>
      <c r="DK51" s="522"/>
      <c r="DL51" s="522"/>
      <c r="DM51" s="522"/>
      <c r="DN51" s="522"/>
      <c r="DO51" s="522"/>
      <c r="DP51" s="522"/>
      <c r="DQ51" s="522"/>
      <c r="DR51" s="522"/>
      <c r="DS51" s="522"/>
      <c r="DT51" s="522"/>
      <c r="DU51" s="522"/>
      <c r="DV51" s="522"/>
      <c r="DW51" s="522"/>
      <c r="DX51" s="522"/>
      <c r="DY51" s="522"/>
      <c r="DZ51" s="522"/>
      <c r="EA51" s="522"/>
      <c r="EB51" s="522"/>
      <c r="EC51" s="522"/>
      <c r="ED51" s="522"/>
      <c r="EE51" s="522"/>
      <c r="EF51" s="522"/>
      <c r="EG51" s="522"/>
      <c r="EH51" s="522"/>
      <c r="EI51" s="522"/>
      <c r="EJ51" s="522"/>
      <c r="EK51" s="522"/>
      <c r="EL51" s="522"/>
      <c r="EM51" s="522"/>
      <c r="EN51" s="522"/>
      <c r="EO51" s="522"/>
      <c r="EP51" s="522"/>
      <c r="EQ51" s="522"/>
      <c r="ER51" s="522"/>
      <c r="ES51" s="522"/>
      <c r="ET51" s="522"/>
      <c r="EU51" s="522"/>
      <c r="EV51" s="522"/>
      <c r="EW51" s="522"/>
      <c r="EX51" s="527" t="str">
        <f t="shared" si="1"/>
        <v/>
      </c>
    </row>
    <row r="52" spans="1:154" x14ac:dyDescent="0.25">
      <c r="A52" s="522"/>
      <c r="B52" s="535"/>
      <c r="C52" s="522"/>
      <c r="D52" s="538" t="s">
        <v>1785</v>
      </c>
      <c r="E52" s="527">
        <f>Parameters!$F$97</f>
        <v>25</v>
      </c>
      <c r="F52" s="522"/>
      <c r="G52" s="522"/>
      <c r="H52" s="522"/>
      <c r="I52" s="522"/>
      <c r="J52" s="522"/>
      <c r="K52" s="522"/>
      <c r="L52" s="522"/>
      <c r="M52" s="522"/>
      <c r="N52" s="522"/>
      <c r="O52" s="522"/>
      <c r="P52" s="522"/>
      <c r="Q52" s="522"/>
      <c r="R52" s="522"/>
      <c r="S52" s="534"/>
      <c r="T52" s="522"/>
      <c r="U52" s="522"/>
      <c r="V52" s="527">
        <f>$E$52</f>
        <v>25</v>
      </c>
      <c r="W52" s="527">
        <f t="shared" ref="W52:BW52" si="4">$E$52</f>
        <v>25</v>
      </c>
      <c r="X52" s="527">
        <f t="shared" si="4"/>
        <v>25</v>
      </c>
      <c r="Y52" s="527">
        <f t="shared" si="4"/>
        <v>25</v>
      </c>
      <c r="Z52" s="534"/>
      <c r="AA52" s="527">
        <f t="shared" si="4"/>
        <v>25</v>
      </c>
      <c r="AB52" s="527">
        <f t="shared" si="4"/>
        <v>25</v>
      </c>
      <c r="AC52" s="527">
        <f t="shared" si="4"/>
        <v>25</v>
      </c>
      <c r="AD52" s="527">
        <f t="shared" si="4"/>
        <v>25</v>
      </c>
      <c r="AE52" s="527">
        <f t="shared" si="4"/>
        <v>25</v>
      </c>
      <c r="AF52" s="527">
        <f t="shared" si="4"/>
        <v>25</v>
      </c>
      <c r="AG52" s="527">
        <f t="shared" si="4"/>
        <v>25</v>
      </c>
      <c r="AH52" s="527">
        <f t="shared" si="4"/>
        <v>25</v>
      </c>
      <c r="AI52" s="527">
        <f t="shared" si="4"/>
        <v>25</v>
      </c>
      <c r="AJ52" s="527">
        <f t="shared" si="4"/>
        <v>25</v>
      </c>
      <c r="AK52" s="527">
        <f t="shared" si="4"/>
        <v>25</v>
      </c>
      <c r="AL52" s="527">
        <f t="shared" si="4"/>
        <v>25</v>
      </c>
      <c r="AM52" s="527">
        <f t="shared" si="4"/>
        <v>25</v>
      </c>
      <c r="AN52" s="527">
        <f t="shared" si="4"/>
        <v>25</v>
      </c>
      <c r="AO52" s="527">
        <f t="shared" si="4"/>
        <v>25</v>
      </c>
      <c r="AP52" s="527">
        <f t="shared" si="4"/>
        <v>25</v>
      </c>
      <c r="AQ52" s="527">
        <f t="shared" si="4"/>
        <v>25</v>
      </c>
      <c r="AR52" s="527">
        <f t="shared" si="4"/>
        <v>25</v>
      </c>
      <c r="AS52" s="527">
        <f t="shared" si="4"/>
        <v>25</v>
      </c>
      <c r="AT52" s="527">
        <f t="shared" si="4"/>
        <v>25</v>
      </c>
      <c r="AU52" s="527">
        <f t="shared" si="4"/>
        <v>25</v>
      </c>
      <c r="AV52" s="527">
        <f t="shared" si="4"/>
        <v>25</v>
      </c>
      <c r="AW52" s="527">
        <f t="shared" si="4"/>
        <v>25</v>
      </c>
      <c r="AX52" s="527">
        <f t="shared" si="4"/>
        <v>25</v>
      </c>
      <c r="AY52" s="527">
        <f t="shared" si="4"/>
        <v>25</v>
      </c>
      <c r="AZ52" s="527">
        <f t="shared" si="4"/>
        <v>25</v>
      </c>
      <c r="BA52" s="527">
        <f t="shared" si="4"/>
        <v>25</v>
      </c>
      <c r="BB52" s="527">
        <f t="shared" si="4"/>
        <v>25</v>
      </c>
      <c r="BC52" s="527">
        <f t="shared" si="4"/>
        <v>25</v>
      </c>
      <c r="BD52" s="527">
        <f t="shared" si="4"/>
        <v>25</v>
      </c>
      <c r="BE52" s="527">
        <f t="shared" si="4"/>
        <v>25</v>
      </c>
      <c r="BF52" s="527">
        <f t="shared" si="4"/>
        <v>25</v>
      </c>
      <c r="BG52" s="527">
        <f t="shared" si="4"/>
        <v>25</v>
      </c>
      <c r="BH52" s="527">
        <f t="shared" si="4"/>
        <v>25</v>
      </c>
      <c r="BI52" s="527">
        <f t="shared" si="4"/>
        <v>25</v>
      </c>
      <c r="BJ52" s="527">
        <f t="shared" si="4"/>
        <v>25</v>
      </c>
      <c r="BK52" s="534"/>
      <c r="BL52" s="527">
        <f t="shared" si="4"/>
        <v>25</v>
      </c>
      <c r="BM52" s="527">
        <f t="shared" si="4"/>
        <v>25</v>
      </c>
      <c r="BN52" s="527">
        <f t="shared" si="4"/>
        <v>25</v>
      </c>
      <c r="BO52" s="527">
        <f t="shared" si="4"/>
        <v>25</v>
      </c>
      <c r="BP52" s="527">
        <f t="shared" si="4"/>
        <v>25</v>
      </c>
      <c r="BQ52" s="527">
        <f t="shared" si="4"/>
        <v>25</v>
      </c>
      <c r="BR52" s="527">
        <f t="shared" si="4"/>
        <v>25</v>
      </c>
      <c r="BS52" s="527">
        <f t="shared" si="4"/>
        <v>25</v>
      </c>
      <c r="BT52" s="527">
        <f t="shared" si="4"/>
        <v>25</v>
      </c>
      <c r="BU52" s="527">
        <f t="shared" si="4"/>
        <v>25</v>
      </c>
      <c r="BV52" s="527">
        <f t="shared" si="4"/>
        <v>25</v>
      </c>
      <c r="BW52" s="527">
        <f t="shared" si="4"/>
        <v>25</v>
      </c>
      <c r="BX52" s="522"/>
      <c r="BY52" s="531"/>
      <c r="BZ52" s="522"/>
      <c r="CA52" s="526"/>
      <c r="CB52" s="522"/>
      <c r="CC52" s="522"/>
      <c r="CD52" s="522"/>
      <c r="CE52" s="522"/>
      <c r="CF52" s="522"/>
      <c r="CG52" s="522"/>
      <c r="CH52" s="522"/>
      <c r="CI52" s="522"/>
      <c r="CJ52" s="522"/>
      <c r="CK52" s="522"/>
      <c r="CL52" s="522"/>
      <c r="CM52" s="522"/>
      <c r="CN52" s="522"/>
      <c r="CO52" s="522"/>
      <c r="CP52" s="522"/>
      <c r="CQ52" s="522"/>
      <c r="CR52" s="522"/>
      <c r="CS52" s="522"/>
      <c r="CT52" s="522"/>
      <c r="CU52" s="522"/>
      <c r="CV52" s="522"/>
      <c r="CW52" s="522"/>
      <c r="CX52" s="522"/>
      <c r="CY52" s="522"/>
      <c r="CZ52" s="522"/>
      <c r="DA52" s="522"/>
      <c r="DB52" s="522"/>
      <c r="DC52" s="522"/>
      <c r="DD52" s="522"/>
      <c r="DE52" s="522"/>
      <c r="DF52" s="522"/>
      <c r="DG52" s="522"/>
      <c r="DH52" s="522"/>
      <c r="DI52" s="522"/>
      <c r="DJ52" s="522"/>
      <c r="DK52" s="522"/>
      <c r="DL52" s="522"/>
      <c r="DM52" s="522"/>
      <c r="DN52" s="522"/>
      <c r="DO52" s="522"/>
      <c r="DP52" s="522"/>
      <c r="DQ52" s="522"/>
      <c r="DR52" s="522"/>
      <c r="DS52" s="522"/>
      <c r="DT52" s="522"/>
      <c r="DU52" s="522"/>
      <c r="DV52" s="522"/>
      <c r="DW52" s="522"/>
      <c r="DX52" s="522"/>
      <c r="DY52" s="522"/>
      <c r="DZ52" s="522"/>
      <c r="EA52" s="522"/>
      <c r="EB52" s="522"/>
      <c r="EC52" s="522"/>
      <c r="ED52" s="522"/>
      <c r="EE52" s="522"/>
      <c r="EF52" s="522"/>
      <c r="EG52" s="522"/>
      <c r="EH52" s="522"/>
      <c r="EI52" s="522"/>
      <c r="EJ52" s="522"/>
      <c r="EK52" s="522"/>
      <c r="EL52" s="522"/>
      <c r="EM52" s="522"/>
      <c r="EN52" s="522"/>
      <c r="EO52" s="522"/>
      <c r="EP52" s="522"/>
      <c r="EQ52" s="522"/>
      <c r="ER52" s="522"/>
      <c r="ES52" s="522"/>
      <c r="ET52" s="522"/>
      <c r="EU52" s="522"/>
      <c r="EV52" s="522"/>
      <c r="EW52" s="522"/>
      <c r="EX52" s="527" t="str">
        <f t="shared" si="1"/>
        <v/>
      </c>
    </row>
    <row r="53" spans="1:154" s="335" customFormat="1" x14ac:dyDescent="0.25">
      <c r="A53" s="522"/>
      <c r="B53" s="522"/>
      <c r="C53" s="522"/>
      <c r="D53" s="538" t="s">
        <v>1786</v>
      </c>
      <c r="E53" s="522"/>
      <c r="F53" s="522"/>
      <c r="G53" s="522"/>
      <c r="H53" s="522"/>
      <c r="I53" s="522"/>
      <c r="J53" s="522"/>
      <c r="K53" s="522"/>
      <c r="L53" s="522"/>
      <c r="M53" s="522"/>
      <c r="N53" s="522"/>
      <c r="O53" s="522"/>
      <c r="P53" s="522"/>
      <c r="Q53" s="522"/>
      <c r="R53" s="522"/>
      <c r="S53" s="534"/>
      <c r="T53" s="522"/>
      <c r="U53" s="522"/>
      <c r="V53" s="527" t="str">
        <f>IF(Dashboard!$F$71="", "", Dashboard!$F$71)</f>
        <v/>
      </c>
      <c r="W53" s="527" t="str">
        <f>IF(Dashboard!$F$71="", "", Dashboard!$F$71)</f>
        <v/>
      </c>
      <c r="X53" s="527" t="str">
        <f>IF(Dashboard!$F$71="", "", Dashboard!$F$71)</f>
        <v/>
      </c>
      <c r="Y53" s="527" t="str">
        <f>IF(Dashboard!$F$71="", "", Dashboard!$F$71)</f>
        <v/>
      </c>
      <c r="Z53" s="534"/>
      <c r="AA53" s="527" t="str">
        <f>IF(Dashboard!$F$71="", "", Dashboard!$F$71)</f>
        <v/>
      </c>
      <c r="AB53" s="527" t="str">
        <f>IF(Dashboard!$F$71="", "", Dashboard!$F$71)</f>
        <v/>
      </c>
      <c r="AC53" s="527" t="str">
        <f>IF(Dashboard!$F$71="", "", Dashboard!$F$71)</f>
        <v/>
      </c>
      <c r="AD53" s="527" t="str">
        <f>IF(Dashboard!$F$71="", "", Dashboard!$F$71)</f>
        <v/>
      </c>
      <c r="AE53" s="527" t="str">
        <f>IF(Dashboard!$F$71="", "", Dashboard!$F$71)</f>
        <v/>
      </c>
      <c r="AF53" s="527" t="str">
        <f>IF(Dashboard!$F$71="", "", Dashboard!$F$71)</f>
        <v/>
      </c>
      <c r="AG53" s="527" t="str">
        <f>IF(Dashboard!$F$71="", "", Dashboard!$F$71)</f>
        <v/>
      </c>
      <c r="AH53" s="527" t="str">
        <f>IF(Dashboard!$F$71="", "", Dashboard!$F$71)</f>
        <v/>
      </c>
      <c r="AI53" s="527" t="str">
        <f>IF(Dashboard!$F$71="", "", Dashboard!$F$71)</f>
        <v/>
      </c>
      <c r="AJ53" s="527" t="str">
        <f>IF(Dashboard!$F$71="", "", Dashboard!$F$71)</f>
        <v/>
      </c>
      <c r="AK53" s="527" t="str">
        <f>IF(Dashboard!$F$71="", "", Dashboard!$F$71)</f>
        <v/>
      </c>
      <c r="AL53" s="527" t="str">
        <f>IF(Dashboard!$F$71="", "", Dashboard!$F$71)</f>
        <v/>
      </c>
      <c r="AM53" s="527" t="str">
        <f>IF(Dashboard!$F$71="", "", Dashboard!$F$71)</f>
        <v/>
      </c>
      <c r="AN53" s="527" t="str">
        <f>IF(Dashboard!$F$71="", "", Dashboard!$F$71)</f>
        <v/>
      </c>
      <c r="AO53" s="527" t="str">
        <f>IF(Dashboard!$F$71="", "", Dashboard!$F$71)</f>
        <v/>
      </c>
      <c r="AP53" s="527" t="str">
        <f>IF(Dashboard!$F$71="", "", Dashboard!$F$71)</f>
        <v/>
      </c>
      <c r="AQ53" s="527" t="str">
        <f>IF(Dashboard!$F$71="", "", Dashboard!$F$71)</f>
        <v/>
      </c>
      <c r="AR53" s="527" t="str">
        <f>IF(Dashboard!$F$71="", "", Dashboard!$F$71)</f>
        <v/>
      </c>
      <c r="AS53" s="527" t="str">
        <f>IF(Dashboard!$F$71="", "", Dashboard!$F$71)</f>
        <v/>
      </c>
      <c r="AT53" s="527" t="str">
        <f>IF(Dashboard!$F$71="", "", Dashboard!$F$71)</f>
        <v/>
      </c>
      <c r="AU53" s="527" t="str">
        <f>IF(Dashboard!$F$71="", "", Dashboard!$F$71)</f>
        <v/>
      </c>
      <c r="AV53" s="527" t="str">
        <f>IF(Dashboard!$F$71="", "", Dashboard!$F$71)</f>
        <v/>
      </c>
      <c r="AW53" s="527" t="str">
        <f>IF(Dashboard!$F$71="", "", Dashboard!$F$71)</f>
        <v/>
      </c>
      <c r="AX53" s="527" t="str">
        <f>IF(Dashboard!$F$71="", "", Dashboard!$F$71)</f>
        <v/>
      </c>
      <c r="AY53" s="527" t="str">
        <f>IF(Dashboard!$F$71="", "", Dashboard!$F$71)</f>
        <v/>
      </c>
      <c r="AZ53" s="527" t="str">
        <f>IF(Dashboard!$F$71="", "", Dashboard!$F$71)</f>
        <v/>
      </c>
      <c r="BA53" s="527" t="str">
        <f>IF(Dashboard!$F$71="", "", Dashboard!$F$71)</f>
        <v/>
      </c>
      <c r="BB53" s="527" t="str">
        <f>IF(Dashboard!$F$71="", "", Dashboard!$F$71)</f>
        <v/>
      </c>
      <c r="BC53" s="527" t="str">
        <f>IF(Dashboard!$F$71="", "", Dashboard!$F$71)</f>
        <v/>
      </c>
      <c r="BD53" s="527" t="str">
        <f>IF(Dashboard!$F$71="", "", Dashboard!$F$71)</f>
        <v/>
      </c>
      <c r="BE53" s="527" t="str">
        <f>IF(Dashboard!$F$71="", "", Dashboard!$F$71)</f>
        <v/>
      </c>
      <c r="BF53" s="527" t="str">
        <f>IF(Dashboard!$F$71="", "", Dashboard!$F$71)</f>
        <v/>
      </c>
      <c r="BG53" s="527" t="str">
        <f>IF(Dashboard!$F$71="", "", Dashboard!$F$71)</f>
        <v/>
      </c>
      <c r="BH53" s="527" t="str">
        <f>IF(Dashboard!$F$71="", "", Dashboard!$F$71)</f>
        <v/>
      </c>
      <c r="BI53" s="527" t="str">
        <f>IF(Dashboard!$F$71="", "", Dashboard!$F$71)</f>
        <v/>
      </c>
      <c r="BJ53" s="527" t="str">
        <f>IF(Dashboard!$F$71="", "", Dashboard!$F$71)</f>
        <v/>
      </c>
      <c r="BK53" s="534"/>
      <c r="BL53" s="527" t="str">
        <f>IF(Dashboard!$F$71="", "", Dashboard!$F$71)</f>
        <v/>
      </c>
      <c r="BM53" s="527" t="str">
        <f>IF(Dashboard!$F$71="", "", Dashboard!$F$71)</f>
        <v/>
      </c>
      <c r="BN53" s="527" t="str">
        <f>IF(Dashboard!$F$71="", "", Dashboard!$F$71)</f>
        <v/>
      </c>
      <c r="BO53" s="527" t="str">
        <f>IF(Dashboard!$F$71="", "", Dashboard!$F$71)</f>
        <v/>
      </c>
      <c r="BP53" s="527" t="str">
        <f>IF(Dashboard!$F$71="", "", Dashboard!$F$71)</f>
        <v/>
      </c>
      <c r="BQ53" s="527" t="str">
        <f>IF(Dashboard!$F$71="", "", Dashboard!$F$71)</f>
        <v/>
      </c>
      <c r="BR53" s="527" t="str">
        <f>IF(Dashboard!$F$71="", "", Dashboard!$F$71)</f>
        <v/>
      </c>
      <c r="BS53" s="527" t="str">
        <f>IF(Dashboard!$F$71="", "", Dashboard!$F$71)</f>
        <v/>
      </c>
      <c r="BT53" s="527" t="str">
        <f>IF(Dashboard!$F$71="", "", Dashboard!$F$71)</f>
        <v/>
      </c>
      <c r="BU53" s="527" t="str">
        <f>IF(Dashboard!$F$71="", "", Dashboard!$F$71)</f>
        <v/>
      </c>
      <c r="BV53" s="527" t="str">
        <f>IF(Dashboard!$F$71="", "", Dashboard!$F$71)</f>
        <v/>
      </c>
      <c r="BW53" s="527" t="str">
        <f>IF(Dashboard!$F$71="", "", Dashboard!$F$71)</f>
        <v/>
      </c>
      <c r="BX53" s="522"/>
      <c r="BY53" s="531"/>
      <c r="BZ53" s="522"/>
      <c r="CA53" s="526"/>
      <c r="CB53" s="522"/>
      <c r="CC53" s="522"/>
      <c r="CD53" s="522"/>
      <c r="CE53" s="522"/>
      <c r="CF53" s="522"/>
      <c r="CG53" s="522"/>
      <c r="CH53" s="522"/>
      <c r="CI53" s="522"/>
      <c r="CJ53" s="522"/>
      <c r="CK53" s="522"/>
      <c r="CL53" s="522"/>
      <c r="CM53" s="522"/>
      <c r="CN53" s="522"/>
      <c r="CO53" s="522"/>
      <c r="CP53" s="522"/>
      <c r="CQ53" s="522"/>
      <c r="CR53" s="522"/>
      <c r="CS53" s="522"/>
      <c r="CT53" s="522"/>
      <c r="CU53" s="522"/>
      <c r="CV53" s="522"/>
      <c r="CW53" s="522"/>
      <c r="CX53" s="522"/>
      <c r="CY53" s="522"/>
      <c r="CZ53" s="522"/>
      <c r="DA53" s="522"/>
      <c r="DB53" s="522"/>
      <c r="DC53" s="522"/>
      <c r="DD53" s="522"/>
      <c r="DE53" s="522"/>
      <c r="DF53" s="522"/>
      <c r="DG53" s="522"/>
      <c r="DH53" s="522"/>
      <c r="DI53" s="522"/>
      <c r="DJ53" s="522"/>
      <c r="DK53" s="522"/>
      <c r="DL53" s="522"/>
      <c r="DM53" s="522"/>
      <c r="DN53" s="522"/>
      <c r="DO53" s="522"/>
      <c r="DP53" s="522"/>
      <c r="DQ53" s="522"/>
      <c r="DR53" s="522"/>
      <c r="DS53" s="522"/>
      <c r="DT53" s="522"/>
      <c r="DU53" s="522"/>
      <c r="DV53" s="522"/>
      <c r="DW53" s="522"/>
      <c r="DX53" s="522"/>
      <c r="DY53" s="522"/>
      <c r="DZ53" s="522"/>
      <c r="EA53" s="522"/>
      <c r="EB53" s="522"/>
      <c r="EC53" s="522"/>
      <c r="ED53" s="522"/>
      <c r="EE53" s="522"/>
      <c r="EF53" s="522"/>
      <c r="EG53" s="522"/>
      <c r="EH53" s="522"/>
      <c r="EI53" s="522"/>
      <c r="EJ53" s="522"/>
      <c r="EK53" s="522"/>
      <c r="EL53" s="522"/>
      <c r="EM53" s="522"/>
      <c r="EN53" s="522"/>
      <c r="EO53" s="522"/>
      <c r="EP53" s="522"/>
      <c r="EQ53" s="522"/>
      <c r="ER53" s="522"/>
      <c r="ES53" s="522"/>
      <c r="ET53" s="522"/>
      <c r="EU53" s="522"/>
      <c r="EV53" s="522"/>
      <c r="EW53" s="522"/>
      <c r="EX53" s="527" t="str">
        <f t="shared" si="1"/>
        <v/>
      </c>
    </row>
    <row r="54" spans="1:154" s="335" customFormat="1" x14ac:dyDescent="0.25">
      <c r="A54" s="522"/>
      <c r="B54" s="535"/>
      <c r="C54" s="522"/>
      <c r="D54" s="538"/>
      <c r="E54" s="522"/>
      <c r="F54" s="522"/>
      <c r="G54" s="522"/>
      <c r="H54" s="522"/>
      <c r="I54" s="522"/>
      <c r="J54" s="522"/>
      <c r="K54" s="522"/>
      <c r="L54" s="522"/>
      <c r="M54" s="522"/>
      <c r="N54" s="522"/>
      <c r="O54" s="522"/>
      <c r="P54" s="522"/>
      <c r="Q54" s="522"/>
      <c r="R54" s="522"/>
      <c r="S54" s="522"/>
      <c r="T54" s="522"/>
      <c r="U54" s="522"/>
      <c r="V54" s="522"/>
      <c r="W54" s="522"/>
      <c r="X54" s="522"/>
      <c r="Y54" s="522"/>
      <c r="Z54" s="522"/>
      <c r="AA54" s="522"/>
      <c r="AB54" s="522"/>
      <c r="AC54" s="522"/>
      <c r="AD54" s="522"/>
      <c r="AE54" s="522"/>
      <c r="AF54" s="522"/>
      <c r="AG54" s="522"/>
      <c r="AH54" s="522"/>
      <c r="AI54" s="522"/>
      <c r="AJ54" s="522"/>
      <c r="AK54" s="522"/>
      <c r="AL54" s="522"/>
      <c r="AM54" s="522"/>
      <c r="AN54" s="522"/>
      <c r="AO54" s="522"/>
      <c r="AP54" s="522"/>
      <c r="AQ54" s="522"/>
      <c r="AR54" s="522"/>
      <c r="AS54" s="522"/>
      <c r="AT54" s="522"/>
      <c r="AU54" s="522"/>
      <c r="AV54" s="522"/>
      <c r="AW54" s="522"/>
      <c r="AX54" s="522"/>
      <c r="AY54" s="522"/>
      <c r="AZ54" s="522"/>
      <c r="BA54" s="522"/>
      <c r="BB54" s="522"/>
      <c r="BC54" s="522"/>
      <c r="BD54" s="522"/>
      <c r="BE54" s="522"/>
      <c r="BF54" s="522"/>
      <c r="BG54" s="522"/>
      <c r="BH54" s="522"/>
      <c r="BI54" s="522"/>
      <c r="BJ54" s="522"/>
      <c r="BK54" s="522"/>
      <c r="BL54" s="522"/>
      <c r="BM54" s="522"/>
      <c r="BN54" s="522"/>
      <c r="BO54" s="522"/>
      <c r="BP54" s="522"/>
      <c r="BQ54" s="522"/>
      <c r="BR54" s="522"/>
      <c r="BS54" s="522"/>
      <c r="BT54" s="522"/>
      <c r="BU54" s="522"/>
      <c r="BV54" s="522"/>
      <c r="BW54" s="522"/>
      <c r="BX54" s="522"/>
      <c r="BY54" s="531"/>
      <c r="BZ54" s="522"/>
      <c r="CA54" s="526"/>
      <c r="CB54" s="522"/>
      <c r="CC54" s="522"/>
      <c r="CD54" s="522"/>
      <c r="CE54" s="522"/>
      <c r="CF54" s="522"/>
      <c r="CG54" s="522"/>
      <c r="CH54" s="522"/>
      <c r="CI54" s="522"/>
      <c r="CJ54" s="522"/>
      <c r="CK54" s="522"/>
      <c r="CL54" s="522"/>
      <c r="CM54" s="522"/>
      <c r="CN54" s="522"/>
      <c r="CO54" s="522"/>
      <c r="CP54" s="522"/>
      <c r="CQ54" s="522"/>
      <c r="CR54" s="522"/>
      <c r="CS54" s="522"/>
      <c r="CT54" s="522"/>
      <c r="CU54" s="522"/>
      <c r="CV54" s="522"/>
      <c r="CW54" s="522"/>
      <c r="CX54" s="522"/>
      <c r="CY54" s="522"/>
      <c r="CZ54" s="522"/>
      <c r="DA54" s="522"/>
      <c r="DB54" s="522"/>
      <c r="DC54" s="522"/>
      <c r="DD54" s="522"/>
      <c r="DE54" s="522"/>
      <c r="DF54" s="522"/>
      <c r="DG54" s="522"/>
      <c r="DH54" s="522"/>
      <c r="DI54" s="522"/>
      <c r="DJ54" s="522"/>
      <c r="DK54" s="522"/>
      <c r="DL54" s="522"/>
      <c r="DM54" s="522"/>
      <c r="DN54" s="522"/>
      <c r="DO54" s="522"/>
      <c r="DP54" s="522"/>
      <c r="DQ54" s="522"/>
      <c r="DR54" s="522"/>
      <c r="DS54" s="522"/>
      <c r="DT54" s="522"/>
      <c r="DU54" s="522"/>
      <c r="DV54" s="522"/>
      <c r="DW54" s="522"/>
      <c r="DX54" s="522"/>
      <c r="DY54" s="522"/>
      <c r="DZ54" s="522"/>
      <c r="EA54" s="522"/>
      <c r="EB54" s="522"/>
      <c r="EC54" s="522"/>
      <c r="ED54" s="522"/>
      <c r="EE54" s="522"/>
      <c r="EF54" s="522"/>
      <c r="EG54" s="522"/>
      <c r="EH54" s="522"/>
      <c r="EI54" s="522"/>
      <c r="EJ54" s="522"/>
      <c r="EK54" s="522"/>
      <c r="EL54" s="522"/>
      <c r="EM54" s="522"/>
      <c r="EN54" s="522"/>
      <c r="EO54" s="522"/>
      <c r="EP54" s="522"/>
      <c r="EQ54" s="522"/>
      <c r="ER54" s="522"/>
      <c r="ES54" s="522"/>
      <c r="ET54" s="522"/>
      <c r="EU54" s="522"/>
      <c r="EV54" s="522"/>
      <c r="EW54" s="522"/>
      <c r="EX54" s="527" t="str">
        <f t="shared" si="1"/>
        <v/>
      </c>
    </row>
    <row r="55" spans="1:154" x14ac:dyDescent="0.25">
      <c r="A55" s="522"/>
      <c r="B55" s="522"/>
      <c r="C55" s="522"/>
      <c r="D55" s="538" t="str">
        <f>Ratios!D$22</f>
        <v>Current ratio</v>
      </c>
      <c r="E55" s="522"/>
      <c r="F55" s="522"/>
      <c r="G55" s="522"/>
      <c r="H55" s="522"/>
      <c r="I55" s="522"/>
      <c r="J55" s="522"/>
      <c r="K55" s="522"/>
      <c r="L55" s="522"/>
      <c r="M55" s="522"/>
      <c r="N55" s="522"/>
      <c r="O55" s="522"/>
      <c r="P55" s="522"/>
      <c r="Q55" s="522"/>
      <c r="R55" s="522"/>
      <c r="S55" s="534"/>
      <c r="T55" s="522"/>
      <c r="U55" s="522"/>
      <c r="V55" s="540">
        <f>Ratios!V$22</f>
        <v>0</v>
      </c>
      <c r="W55" s="540">
        <f ca="1">Ratios!W$22</f>
        <v>4.3297452457839976</v>
      </c>
      <c r="X55" s="540">
        <f ca="1">Ratios!X$22</f>
        <v>3.6772773450728073</v>
      </c>
      <c r="Y55" s="540">
        <f ca="1">Ratios!Y$22</f>
        <v>4.4652927669345583</v>
      </c>
      <c r="Z55" s="534"/>
      <c r="AA55" s="534"/>
      <c r="AB55" s="534"/>
      <c r="AC55" s="534"/>
      <c r="AD55" s="534"/>
      <c r="AE55" s="534"/>
      <c r="AF55" s="534"/>
      <c r="AG55" s="534"/>
      <c r="AH55" s="534"/>
      <c r="AI55" s="534"/>
      <c r="AJ55" s="534"/>
      <c r="AK55" s="534"/>
      <c r="AL55" s="534"/>
      <c r="AM55" s="534"/>
      <c r="AN55" s="541"/>
      <c r="AO55" s="541"/>
      <c r="AP55" s="541"/>
      <c r="AQ55" s="541"/>
      <c r="AR55" s="541"/>
      <c r="AS55" s="541"/>
      <c r="AT55" s="541"/>
      <c r="AU55" s="541"/>
      <c r="AV55" s="541"/>
      <c r="AW55" s="541"/>
      <c r="AX55" s="541"/>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534"/>
      <c r="BU55" s="534"/>
      <c r="BV55" s="534"/>
      <c r="BW55" s="534"/>
      <c r="BX55" s="522"/>
      <c r="BY55" s="531"/>
      <c r="BZ55" s="522"/>
      <c r="CA55" s="526"/>
      <c r="CB55" s="522"/>
      <c r="CC55" s="522"/>
      <c r="CD55" s="522"/>
      <c r="CE55" s="522"/>
      <c r="CF55" s="522"/>
      <c r="CG55" s="522"/>
      <c r="CH55" s="522"/>
      <c r="CI55" s="522"/>
      <c r="CJ55" s="522"/>
      <c r="CK55" s="522"/>
      <c r="CL55" s="522"/>
      <c r="CM55" s="522"/>
      <c r="CN55" s="522"/>
      <c r="CO55" s="522"/>
      <c r="CP55" s="522"/>
      <c r="CQ55" s="522"/>
      <c r="CR55" s="522"/>
      <c r="CS55" s="522"/>
      <c r="CT55" s="522"/>
      <c r="CU55" s="522"/>
      <c r="CV55" s="522"/>
      <c r="CW55" s="522"/>
      <c r="CX55" s="522"/>
      <c r="CY55" s="522"/>
      <c r="CZ55" s="522"/>
      <c r="DA55" s="522"/>
      <c r="DB55" s="522"/>
      <c r="DC55" s="522"/>
      <c r="DD55" s="522"/>
      <c r="DE55" s="522"/>
      <c r="DF55" s="522"/>
      <c r="DG55" s="522"/>
      <c r="DH55" s="522"/>
      <c r="DI55" s="522"/>
      <c r="DJ55" s="522"/>
      <c r="DK55" s="522"/>
      <c r="DL55" s="522"/>
      <c r="DM55" s="522"/>
      <c r="DN55" s="522"/>
      <c r="DO55" s="522"/>
      <c r="DP55" s="522"/>
      <c r="DQ55" s="522"/>
      <c r="DR55" s="522"/>
      <c r="DS55" s="522"/>
      <c r="DT55" s="522"/>
      <c r="DU55" s="522"/>
      <c r="DV55" s="522"/>
      <c r="DW55" s="522"/>
      <c r="DX55" s="522"/>
      <c r="DY55" s="522"/>
      <c r="DZ55" s="522"/>
      <c r="EA55" s="522"/>
      <c r="EB55" s="522"/>
      <c r="EC55" s="522"/>
      <c r="ED55" s="522"/>
      <c r="EE55" s="522"/>
      <c r="EF55" s="522"/>
      <c r="EG55" s="522"/>
      <c r="EH55" s="522"/>
      <c r="EI55" s="522"/>
      <c r="EJ55" s="522"/>
      <c r="EK55" s="522"/>
      <c r="EL55" s="522"/>
      <c r="EM55" s="522"/>
      <c r="EN55" s="522"/>
      <c r="EO55" s="522"/>
      <c r="EP55" s="522"/>
      <c r="EQ55" s="522"/>
      <c r="ER55" s="522"/>
      <c r="ES55" s="522"/>
      <c r="ET55" s="522"/>
      <c r="EU55" s="522"/>
      <c r="EV55" s="522"/>
      <c r="EW55" s="522"/>
      <c r="EX55" s="527" t="str">
        <f t="shared" si="1"/>
        <v/>
      </c>
    </row>
    <row r="56" spans="1:154" x14ac:dyDescent="0.25">
      <c r="A56" s="522"/>
      <c r="B56" s="522"/>
      <c r="C56" s="522"/>
      <c r="D56" s="538" t="str">
        <f>Ratios!D$23</f>
        <v>Adjusted current ratio</v>
      </c>
      <c r="E56" s="522"/>
      <c r="F56" s="522"/>
      <c r="G56" s="522"/>
      <c r="H56" s="522"/>
      <c r="I56" s="522"/>
      <c r="J56" s="522"/>
      <c r="K56" s="522"/>
      <c r="L56" s="522"/>
      <c r="M56" s="522"/>
      <c r="N56" s="522"/>
      <c r="O56" s="522"/>
      <c r="P56" s="522"/>
      <c r="Q56" s="522"/>
      <c r="R56" s="522"/>
      <c r="S56" s="534"/>
      <c r="T56" s="522"/>
      <c r="U56" s="522"/>
      <c r="V56" s="540">
        <f>Ratios!V$23</f>
        <v>0</v>
      </c>
      <c r="W56" s="540">
        <f ca="1">Ratios!W$23</f>
        <v>5.2057808455565144</v>
      </c>
      <c r="X56" s="540">
        <f ca="1">Ratios!X$23</f>
        <v>4.4522345223452238</v>
      </c>
      <c r="Y56" s="540">
        <f ca="1">Ratios!Y$23</f>
        <v>5.7139128305582769</v>
      </c>
      <c r="Z56" s="534"/>
      <c r="AA56" s="534"/>
      <c r="AB56" s="534"/>
      <c r="AC56" s="534"/>
      <c r="AD56" s="534"/>
      <c r="AE56" s="534"/>
      <c r="AF56" s="534"/>
      <c r="AG56" s="534"/>
      <c r="AH56" s="534"/>
      <c r="AI56" s="534"/>
      <c r="AJ56" s="534"/>
      <c r="AK56" s="534"/>
      <c r="AL56" s="534"/>
      <c r="AM56" s="534"/>
      <c r="AN56" s="541"/>
      <c r="AO56" s="541"/>
      <c r="AP56" s="541"/>
      <c r="AQ56" s="541"/>
      <c r="AR56" s="541"/>
      <c r="AS56" s="541"/>
      <c r="AT56" s="541"/>
      <c r="AU56" s="541"/>
      <c r="AV56" s="541"/>
      <c r="AW56" s="541"/>
      <c r="AX56" s="541"/>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534"/>
      <c r="BU56" s="534"/>
      <c r="BV56" s="534"/>
      <c r="BW56" s="534"/>
      <c r="BX56" s="522"/>
      <c r="BY56" s="531"/>
      <c r="BZ56" s="522"/>
      <c r="CA56" s="526"/>
      <c r="CB56" s="522"/>
      <c r="CC56" s="522"/>
      <c r="CD56" s="522"/>
      <c r="CE56" s="522"/>
      <c r="CF56" s="522"/>
      <c r="CG56" s="522"/>
      <c r="CH56" s="522"/>
      <c r="CI56" s="522"/>
      <c r="CJ56" s="522"/>
      <c r="CK56" s="522"/>
      <c r="CL56" s="522"/>
      <c r="CM56" s="522"/>
      <c r="CN56" s="522"/>
      <c r="CO56" s="522"/>
      <c r="CP56" s="522"/>
      <c r="CQ56" s="522"/>
      <c r="CR56" s="522"/>
      <c r="CS56" s="522"/>
      <c r="CT56" s="522"/>
      <c r="CU56" s="522"/>
      <c r="CV56" s="522"/>
      <c r="CW56" s="522"/>
      <c r="CX56" s="522"/>
      <c r="CY56" s="522"/>
      <c r="CZ56" s="522"/>
      <c r="DA56" s="522"/>
      <c r="DB56" s="522"/>
      <c r="DC56" s="522"/>
      <c r="DD56" s="522"/>
      <c r="DE56" s="522"/>
      <c r="DF56" s="522"/>
      <c r="DG56" s="522"/>
      <c r="DH56" s="522"/>
      <c r="DI56" s="522"/>
      <c r="DJ56" s="522"/>
      <c r="DK56" s="522"/>
      <c r="DL56" s="522"/>
      <c r="DM56" s="522"/>
      <c r="DN56" s="522"/>
      <c r="DO56" s="522"/>
      <c r="DP56" s="522"/>
      <c r="DQ56" s="522"/>
      <c r="DR56" s="522"/>
      <c r="DS56" s="522"/>
      <c r="DT56" s="522"/>
      <c r="DU56" s="522"/>
      <c r="DV56" s="522"/>
      <c r="DW56" s="522"/>
      <c r="DX56" s="522"/>
      <c r="DY56" s="522"/>
      <c r="DZ56" s="522"/>
      <c r="EA56" s="522"/>
      <c r="EB56" s="522"/>
      <c r="EC56" s="522"/>
      <c r="ED56" s="522"/>
      <c r="EE56" s="522"/>
      <c r="EF56" s="522"/>
      <c r="EG56" s="522"/>
      <c r="EH56" s="522"/>
      <c r="EI56" s="522"/>
      <c r="EJ56" s="522"/>
      <c r="EK56" s="522"/>
      <c r="EL56" s="522"/>
      <c r="EM56" s="522"/>
      <c r="EN56" s="522"/>
      <c r="EO56" s="522"/>
      <c r="EP56" s="522"/>
      <c r="EQ56" s="522"/>
      <c r="ER56" s="522"/>
      <c r="ES56" s="522"/>
      <c r="ET56" s="522"/>
      <c r="EU56" s="522"/>
      <c r="EV56" s="522"/>
      <c r="EW56" s="522"/>
      <c r="EX56" s="527" t="str">
        <f t="shared" si="1"/>
        <v/>
      </c>
    </row>
    <row r="57" spans="1:154" x14ac:dyDescent="0.25">
      <c r="A57" s="522"/>
      <c r="B57" s="522"/>
      <c r="C57" s="522"/>
      <c r="D57" s="538" t="s">
        <v>1787</v>
      </c>
      <c r="E57" s="527">
        <f>Parameters!$F$98</f>
        <v>1.4</v>
      </c>
      <c r="F57" s="522"/>
      <c r="G57" s="522"/>
      <c r="H57" s="522"/>
      <c r="I57" s="522"/>
      <c r="J57" s="522"/>
      <c r="K57" s="522"/>
      <c r="L57" s="522"/>
      <c r="M57" s="522"/>
      <c r="N57" s="522"/>
      <c r="O57" s="522"/>
      <c r="P57" s="522"/>
      <c r="Q57" s="522"/>
      <c r="R57" s="522"/>
      <c r="S57" s="534"/>
      <c r="T57" s="522"/>
      <c r="U57" s="522"/>
      <c r="V57" s="540">
        <f>$E57</f>
        <v>1.4</v>
      </c>
      <c r="W57" s="540">
        <f t="shared" ref="W57:Y57" si="5">$E57</f>
        <v>1.4</v>
      </c>
      <c r="X57" s="540">
        <f t="shared" si="5"/>
        <v>1.4</v>
      </c>
      <c r="Y57" s="540">
        <f t="shared" si="5"/>
        <v>1.4</v>
      </c>
      <c r="Z57" s="534"/>
      <c r="AA57" s="534"/>
      <c r="AB57" s="534"/>
      <c r="AC57" s="534"/>
      <c r="AD57" s="534"/>
      <c r="AE57" s="534"/>
      <c r="AF57" s="534"/>
      <c r="AG57" s="534"/>
      <c r="AH57" s="534"/>
      <c r="AI57" s="534"/>
      <c r="AJ57" s="534"/>
      <c r="AK57" s="534"/>
      <c r="AL57" s="534"/>
      <c r="AM57" s="534"/>
      <c r="AN57" s="541"/>
      <c r="AO57" s="541"/>
      <c r="AP57" s="541"/>
      <c r="AQ57" s="541"/>
      <c r="AR57" s="541"/>
      <c r="AS57" s="541"/>
      <c r="AT57" s="541"/>
      <c r="AU57" s="541"/>
      <c r="AV57" s="541"/>
      <c r="AW57" s="541"/>
      <c r="AX57" s="541"/>
      <c r="AY57" s="534"/>
      <c r="AZ57" s="534"/>
      <c r="BA57" s="534"/>
      <c r="BB57" s="534"/>
      <c r="BC57" s="534"/>
      <c r="BD57" s="534"/>
      <c r="BE57" s="534"/>
      <c r="BF57" s="534"/>
      <c r="BG57" s="534"/>
      <c r="BH57" s="534"/>
      <c r="BI57" s="534"/>
      <c r="BJ57" s="534"/>
      <c r="BK57" s="534"/>
      <c r="BL57" s="534"/>
      <c r="BM57" s="534"/>
      <c r="BN57" s="534"/>
      <c r="BO57" s="534"/>
      <c r="BP57" s="534"/>
      <c r="BQ57" s="534"/>
      <c r="BR57" s="534"/>
      <c r="BS57" s="534"/>
      <c r="BT57" s="534"/>
      <c r="BU57" s="534"/>
      <c r="BV57" s="534"/>
      <c r="BW57" s="534"/>
      <c r="BX57" s="522"/>
      <c r="BY57" s="531"/>
      <c r="BZ57" s="522"/>
      <c r="CA57" s="526"/>
      <c r="CB57" s="522"/>
      <c r="CC57" s="522"/>
      <c r="CD57" s="522"/>
      <c r="CE57" s="522"/>
      <c r="CF57" s="522"/>
      <c r="CG57" s="522"/>
      <c r="CH57" s="522"/>
      <c r="CI57" s="522"/>
      <c r="CJ57" s="522"/>
      <c r="CK57" s="522"/>
      <c r="CL57" s="522"/>
      <c r="CM57" s="522"/>
      <c r="CN57" s="522"/>
      <c r="CO57" s="522"/>
      <c r="CP57" s="522"/>
      <c r="CQ57" s="522"/>
      <c r="CR57" s="522"/>
      <c r="CS57" s="522"/>
      <c r="CT57" s="522"/>
      <c r="CU57" s="522"/>
      <c r="CV57" s="522"/>
      <c r="CW57" s="522"/>
      <c r="CX57" s="522"/>
      <c r="CY57" s="522"/>
      <c r="CZ57" s="522"/>
      <c r="DA57" s="522"/>
      <c r="DB57" s="522"/>
      <c r="DC57" s="522"/>
      <c r="DD57" s="522"/>
      <c r="DE57" s="522"/>
      <c r="DF57" s="522"/>
      <c r="DG57" s="522"/>
      <c r="DH57" s="522"/>
      <c r="DI57" s="522"/>
      <c r="DJ57" s="522"/>
      <c r="DK57" s="522"/>
      <c r="DL57" s="522"/>
      <c r="DM57" s="522"/>
      <c r="DN57" s="522"/>
      <c r="DO57" s="522"/>
      <c r="DP57" s="522"/>
      <c r="DQ57" s="522"/>
      <c r="DR57" s="522"/>
      <c r="DS57" s="522"/>
      <c r="DT57" s="522"/>
      <c r="DU57" s="522"/>
      <c r="DV57" s="522"/>
      <c r="DW57" s="522"/>
      <c r="DX57" s="522"/>
      <c r="DY57" s="522"/>
      <c r="DZ57" s="522"/>
      <c r="EA57" s="522"/>
      <c r="EB57" s="522"/>
      <c r="EC57" s="522"/>
      <c r="ED57" s="522"/>
      <c r="EE57" s="522"/>
      <c r="EF57" s="522"/>
      <c r="EG57" s="522"/>
      <c r="EH57" s="522"/>
      <c r="EI57" s="522"/>
      <c r="EJ57" s="522"/>
      <c r="EK57" s="522"/>
      <c r="EL57" s="522"/>
      <c r="EM57" s="522"/>
      <c r="EN57" s="522"/>
      <c r="EO57" s="522"/>
      <c r="EP57" s="522"/>
      <c r="EQ57" s="522"/>
      <c r="ER57" s="522"/>
      <c r="ES57" s="522"/>
      <c r="ET57" s="522"/>
      <c r="EU57" s="522"/>
      <c r="EV57" s="522"/>
      <c r="EW57" s="522"/>
      <c r="EX57" s="527" t="str">
        <f t="shared" si="1"/>
        <v/>
      </c>
    </row>
    <row r="58" spans="1:154" s="335" customFormat="1" x14ac:dyDescent="0.25">
      <c r="A58" s="522"/>
      <c r="B58" s="522"/>
      <c r="C58" s="522"/>
      <c r="D58" s="538" t="s">
        <v>1788</v>
      </c>
      <c r="E58" s="522"/>
      <c r="F58" s="522"/>
      <c r="G58" s="522"/>
      <c r="H58" s="522"/>
      <c r="I58" s="522"/>
      <c r="J58" s="522"/>
      <c r="K58" s="522"/>
      <c r="L58" s="522"/>
      <c r="M58" s="522"/>
      <c r="N58" s="522"/>
      <c r="O58" s="522"/>
      <c r="P58" s="522"/>
      <c r="Q58" s="522"/>
      <c r="R58" s="522"/>
      <c r="S58" s="534"/>
      <c r="T58" s="522"/>
      <c r="U58" s="522"/>
      <c r="V58" s="540" t="str">
        <f>IF(Dashboard!$F$83="", "", Dashboard!$F$83)</f>
        <v/>
      </c>
      <c r="W58" s="540" t="str">
        <f>IF(Dashboard!$F$83="", "", Dashboard!$F$83)</f>
        <v/>
      </c>
      <c r="X58" s="540" t="str">
        <f>IF(Dashboard!$F$83="", "", Dashboard!$F$83)</f>
        <v/>
      </c>
      <c r="Y58" s="540" t="str">
        <f>IF(Dashboard!$F$83="", "", Dashboard!$F$83)</f>
        <v/>
      </c>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4"/>
      <c r="BP58" s="534"/>
      <c r="BQ58" s="534"/>
      <c r="BR58" s="534"/>
      <c r="BS58" s="534"/>
      <c r="BT58" s="534"/>
      <c r="BU58" s="534"/>
      <c r="BV58" s="534"/>
      <c r="BW58" s="534"/>
      <c r="BX58" s="522"/>
      <c r="BY58" s="531"/>
      <c r="BZ58" s="522"/>
      <c r="CA58" s="526"/>
      <c r="CB58" s="522"/>
      <c r="CC58" s="522"/>
      <c r="CD58" s="522"/>
      <c r="CE58" s="522"/>
      <c r="CF58" s="522"/>
      <c r="CG58" s="522"/>
      <c r="CH58" s="522"/>
      <c r="CI58" s="522"/>
      <c r="CJ58" s="522"/>
      <c r="CK58" s="522"/>
      <c r="CL58" s="522"/>
      <c r="CM58" s="522"/>
      <c r="CN58" s="522"/>
      <c r="CO58" s="522"/>
      <c r="CP58" s="522"/>
      <c r="CQ58" s="522"/>
      <c r="CR58" s="522"/>
      <c r="CS58" s="522"/>
      <c r="CT58" s="522"/>
      <c r="CU58" s="522"/>
      <c r="CV58" s="522"/>
      <c r="CW58" s="522"/>
      <c r="CX58" s="522"/>
      <c r="CY58" s="522"/>
      <c r="CZ58" s="522"/>
      <c r="DA58" s="522"/>
      <c r="DB58" s="522"/>
      <c r="DC58" s="522"/>
      <c r="DD58" s="522"/>
      <c r="DE58" s="522"/>
      <c r="DF58" s="522"/>
      <c r="DG58" s="522"/>
      <c r="DH58" s="522"/>
      <c r="DI58" s="522"/>
      <c r="DJ58" s="522"/>
      <c r="DK58" s="522"/>
      <c r="DL58" s="522"/>
      <c r="DM58" s="522"/>
      <c r="DN58" s="522"/>
      <c r="DO58" s="522"/>
      <c r="DP58" s="522"/>
      <c r="DQ58" s="522"/>
      <c r="DR58" s="522"/>
      <c r="DS58" s="522"/>
      <c r="DT58" s="522"/>
      <c r="DU58" s="522"/>
      <c r="DV58" s="522"/>
      <c r="DW58" s="522"/>
      <c r="DX58" s="522"/>
      <c r="DY58" s="522"/>
      <c r="DZ58" s="522"/>
      <c r="EA58" s="522"/>
      <c r="EB58" s="522"/>
      <c r="EC58" s="522"/>
      <c r="ED58" s="522"/>
      <c r="EE58" s="522"/>
      <c r="EF58" s="522"/>
      <c r="EG58" s="522"/>
      <c r="EH58" s="522"/>
      <c r="EI58" s="522"/>
      <c r="EJ58" s="522"/>
      <c r="EK58" s="522"/>
      <c r="EL58" s="522"/>
      <c r="EM58" s="522"/>
      <c r="EN58" s="522"/>
      <c r="EO58" s="522"/>
      <c r="EP58" s="522"/>
      <c r="EQ58" s="522"/>
      <c r="ER58" s="522"/>
      <c r="ES58" s="522"/>
      <c r="ET58" s="522"/>
      <c r="EU58" s="522"/>
      <c r="EV58" s="522"/>
      <c r="EW58" s="522"/>
      <c r="EX58" s="527" t="str">
        <f t="shared" si="1"/>
        <v/>
      </c>
    </row>
    <row r="59" spans="1:154" s="335" customFormat="1" x14ac:dyDescent="0.25">
      <c r="A59" s="522"/>
      <c r="B59" s="522"/>
      <c r="C59" s="522"/>
      <c r="D59" s="522"/>
      <c r="E59" s="522"/>
      <c r="F59" s="522"/>
      <c r="G59" s="522"/>
      <c r="H59" s="522"/>
      <c r="I59" s="522"/>
      <c r="J59" s="522"/>
      <c r="K59" s="522"/>
      <c r="L59" s="522"/>
      <c r="M59" s="522"/>
      <c r="N59" s="522"/>
      <c r="O59" s="522"/>
      <c r="P59" s="522"/>
      <c r="Q59" s="522"/>
      <c r="R59" s="522"/>
      <c r="S59" s="534"/>
      <c r="T59" s="522"/>
      <c r="U59" s="522"/>
      <c r="V59" s="522"/>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4"/>
      <c r="BW59" s="534"/>
      <c r="BX59" s="522"/>
      <c r="BY59" s="526"/>
      <c r="BZ59" s="522"/>
      <c r="CA59" s="526"/>
      <c r="CB59" s="522"/>
      <c r="CC59" s="522"/>
      <c r="CD59" s="522"/>
      <c r="CE59" s="522"/>
      <c r="CF59" s="522"/>
      <c r="CG59" s="522"/>
      <c r="CH59" s="522"/>
      <c r="CI59" s="522"/>
      <c r="CJ59" s="522"/>
      <c r="CK59" s="522"/>
      <c r="CL59" s="522"/>
      <c r="CM59" s="522"/>
      <c r="CN59" s="522"/>
      <c r="CO59" s="522"/>
      <c r="CP59" s="522"/>
      <c r="CQ59" s="522"/>
      <c r="CR59" s="522"/>
      <c r="CS59" s="522"/>
      <c r="CT59" s="522"/>
      <c r="CU59" s="522"/>
      <c r="CV59" s="522"/>
      <c r="CW59" s="522"/>
      <c r="CX59" s="522"/>
      <c r="CY59" s="522"/>
      <c r="CZ59" s="522"/>
      <c r="DA59" s="522"/>
      <c r="DB59" s="522"/>
      <c r="DC59" s="522"/>
      <c r="DD59" s="522"/>
      <c r="DE59" s="522"/>
      <c r="DF59" s="522"/>
      <c r="DG59" s="522"/>
      <c r="DH59" s="522"/>
      <c r="DI59" s="522"/>
      <c r="DJ59" s="522"/>
      <c r="DK59" s="522"/>
      <c r="DL59" s="522"/>
      <c r="DM59" s="522"/>
      <c r="DN59" s="522"/>
      <c r="DO59" s="522"/>
      <c r="DP59" s="522"/>
      <c r="DQ59" s="522"/>
      <c r="DR59" s="522"/>
      <c r="DS59" s="522"/>
      <c r="DT59" s="522"/>
      <c r="DU59" s="522"/>
      <c r="DV59" s="522"/>
      <c r="DW59" s="522"/>
      <c r="DX59" s="522"/>
      <c r="DY59" s="522"/>
      <c r="DZ59" s="522"/>
      <c r="EA59" s="522"/>
      <c r="EB59" s="522"/>
      <c r="EC59" s="522"/>
      <c r="ED59" s="522"/>
      <c r="EE59" s="522"/>
      <c r="EF59" s="522"/>
      <c r="EG59" s="522"/>
      <c r="EH59" s="522"/>
      <c r="EI59" s="522"/>
      <c r="EJ59" s="522"/>
      <c r="EK59" s="522"/>
      <c r="EL59" s="522"/>
      <c r="EM59" s="522"/>
      <c r="EN59" s="522"/>
      <c r="EO59" s="522"/>
      <c r="EP59" s="522"/>
      <c r="EQ59" s="522"/>
      <c r="ER59" s="522"/>
      <c r="ES59" s="522"/>
      <c r="ET59" s="522"/>
      <c r="EU59" s="522"/>
      <c r="EV59" s="522"/>
      <c r="EW59" s="522"/>
      <c r="EX59" s="527" t="str">
        <f t="shared" si="1"/>
        <v/>
      </c>
    </row>
    <row r="60" spans="1:154" x14ac:dyDescent="0.25">
      <c r="A60" s="522"/>
      <c r="B60" s="522"/>
      <c r="C60" s="522"/>
      <c r="D60" s="522" t="str">
        <f>Ratios!D$26</f>
        <v>Trade creditors days - non-pay expenditure</v>
      </c>
      <c r="E60" s="522"/>
      <c r="F60" s="522"/>
      <c r="G60" s="522"/>
      <c r="H60" s="522"/>
      <c r="I60" s="522"/>
      <c r="J60" s="522"/>
      <c r="K60" s="522"/>
      <c r="L60" s="522"/>
      <c r="M60" s="522"/>
      <c r="N60" s="522"/>
      <c r="O60" s="522"/>
      <c r="P60" s="522"/>
      <c r="Q60" s="522"/>
      <c r="R60" s="522"/>
      <c r="S60" s="534"/>
      <c r="T60" s="522"/>
      <c r="U60" s="522"/>
      <c r="V60" s="527">
        <f>Ratios!V$26</f>
        <v>0</v>
      </c>
      <c r="W60" s="527">
        <f>Ratios!W$26</f>
        <v>34.140067812463464</v>
      </c>
      <c r="X60" s="527">
        <f>Ratios!X$26</f>
        <v>36.410995344712923</v>
      </c>
      <c r="Y60" s="527">
        <f>Ratios!Y$26</f>
        <v>33.532365893503801</v>
      </c>
      <c r="Z60" s="534"/>
      <c r="AA60" s="534"/>
      <c r="AB60" s="534"/>
      <c r="AC60" s="534"/>
      <c r="AD60" s="534"/>
      <c r="AE60" s="534"/>
      <c r="AF60" s="534"/>
      <c r="AG60" s="534"/>
      <c r="AH60" s="534"/>
      <c r="AI60" s="534"/>
      <c r="AJ60" s="534"/>
      <c r="AK60" s="534"/>
      <c r="AL60" s="534"/>
      <c r="AM60" s="534"/>
      <c r="AN60" s="541"/>
      <c r="AO60" s="541"/>
      <c r="AP60" s="541"/>
      <c r="AQ60" s="541"/>
      <c r="AR60" s="541"/>
      <c r="AS60" s="541"/>
      <c r="AT60" s="541"/>
      <c r="AU60" s="541"/>
      <c r="AV60" s="541"/>
      <c r="AW60" s="541"/>
      <c r="AX60" s="541"/>
      <c r="AY60" s="534"/>
      <c r="AZ60" s="534"/>
      <c r="BA60" s="534"/>
      <c r="BB60" s="534"/>
      <c r="BC60" s="534"/>
      <c r="BD60" s="534"/>
      <c r="BE60" s="534"/>
      <c r="BF60" s="534"/>
      <c r="BG60" s="534"/>
      <c r="BH60" s="534"/>
      <c r="BI60" s="534"/>
      <c r="BJ60" s="534"/>
      <c r="BK60" s="534"/>
      <c r="BL60" s="534"/>
      <c r="BM60" s="534"/>
      <c r="BN60" s="534"/>
      <c r="BO60" s="534"/>
      <c r="BP60" s="534"/>
      <c r="BQ60" s="534"/>
      <c r="BR60" s="534"/>
      <c r="BS60" s="534"/>
      <c r="BT60" s="534"/>
      <c r="BU60" s="534"/>
      <c r="BV60" s="534"/>
      <c r="BW60" s="534"/>
      <c r="BX60" s="522"/>
      <c r="BY60" s="531"/>
      <c r="BZ60" s="522"/>
      <c r="CA60" s="526"/>
      <c r="CB60" s="522"/>
      <c r="CC60" s="522"/>
      <c r="CD60" s="522"/>
      <c r="CE60" s="522"/>
      <c r="CF60" s="522"/>
      <c r="CG60" s="522"/>
      <c r="CH60" s="522"/>
      <c r="CI60" s="522"/>
      <c r="CJ60" s="522"/>
      <c r="CK60" s="522"/>
      <c r="CL60" s="522"/>
      <c r="CM60" s="522"/>
      <c r="CN60" s="522"/>
      <c r="CO60" s="522"/>
      <c r="CP60" s="522"/>
      <c r="CQ60" s="522"/>
      <c r="CR60" s="522"/>
      <c r="CS60" s="522"/>
      <c r="CT60" s="522"/>
      <c r="CU60" s="522"/>
      <c r="CV60" s="522"/>
      <c r="CW60" s="522"/>
      <c r="CX60" s="522"/>
      <c r="CY60" s="522"/>
      <c r="CZ60" s="522"/>
      <c r="DA60" s="522"/>
      <c r="DB60" s="522"/>
      <c r="DC60" s="522"/>
      <c r="DD60" s="522"/>
      <c r="DE60" s="522"/>
      <c r="DF60" s="522"/>
      <c r="DG60" s="522"/>
      <c r="DH60" s="522"/>
      <c r="DI60" s="522"/>
      <c r="DJ60" s="522"/>
      <c r="DK60" s="522"/>
      <c r="DL60" s="522"/>
      <c r="DM60" s="522"/>
      <c r="DN60" s="522"/>
      <c r="DO60" s="522"/>
      <c r="DP60" s="522"/>
      <c r="DQ60" s="522"/>
      <c r="DR60" s="522"/>
      <c r="DS60" s="522"/>
      <c r="DT60" s="522"/>
      <c r="DU60" s="522"/>
      <c r="DV60" s="522"/>
      <c r="DW60" s="522"/>
      <c r="DX60" s="522"/>
      <c r="DY60" s="522"/>
      <c r="DZ60" s="522"/>
      <c r="EA60" s="522"/>
      <c r="EB60" s="522"/>
      <c r="EC60" s="522"/>
      <c r="ED60" s="522"/>
      <c r="EE60" s="522"/>
      <c r="EF60" s="522"/>
      <c r="EG60" s="522"/>
      <c r="EH60" s="522"/>
      <c r="EI60" s="522"/>
      <c r="EJ60" s="522"/>
      <c r="EK60" s="522"/>
      <c r="EL60" s="522"/>
      <c r="EM60" s="522"/>
      <c r="EN60" s="522"/>
      <c r="EO60" s="522"/>
      <c r="EP60" s="522"/>
      <c r="EQ60" s="522"/>
      <c r="ER60" s="522"/>
      <c r="ES60" s="522"/>
      <c r="ET60" s="522"/>
      <c r="EU60" s="522"/>
      <c r="EV60" s="522"/>
      <c r="EW60" s="522"/>
      <c r="EX60" s="527" t="str">
        <f t="shared" si="1"/>
        <v/>
      </c>
    </row>
    <row r="61" spans="1:154" x14ac:dyDescent="0.25">
      <c r="A61" s="522"/>
      <c r="B61" s="522"/>
      <c r="C61" s="522"/>
      <c r="D61" s="522"/>
      <c r="E61" s="522"/>
      <c r="F61" s="522"/>
      <c r="G61" s="522"/>
      <c r="H61" s="522"/>
      <c r="I61" s="522"/>
      <c r="J61" s="522"/>
      <c r="K61" s="522"/>
      <c r="L61" s="522"/>
      <c r="M61" s="522"/>
      <c r="N61" s="522"/>
      <c r="O61" s="522"/>
      <c r="P61" s="522"/>
      <c r="Q61" s="522"/>
      <c r="R61" s="522"/>
      <c r="S61" s="534"/>
      <c r="T61" s="522"/>
      <c r="U61" s="522"/>
      <c r="V61" s="522"/>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c r="BP61" s="534"/>
      <c r="BQ61" s="534"/>
      <c r="BR61" s="534"/>
      <c r="BS61" s="534"/>
      <c r="BT61" s="534"/>
      <c r="BU61" s="534"/>
      <c r="BV61" s="534"/>
      <c r="BW61" s="534"/>
      <c r="BX61" s="522"/>
      <c r="BY61" s="526"/>
      <c r="BZ61" s="522"/>
      <c r="CA61" s="526"/>
      <c r="CB61" s="522"/>
      <c r="CC61" s="522"/>
      <c r="CD61" s="522"/>
      <c r="CE61" s="522"/>
      <c r="CF61" s="522"/>
      <c r="CG61" s="522"/>
      <c r="CH61" s="522"/>
      <c r="CI61" s="522"/>
      <c r="CJ61" s="522"/>
      <c r="CK61" s="522"/>
      <c r="CL61" s="522"/>
      <c r="CM61" s="522"/>
      <c r="CN61" s="522"/>
      <c r="CO61" s="522"/>
      <c r="CP61" s="522"/>
      <c r="CQ61" s="522"/>
      <c r="CR61" s="522"/>
      <c r="CS61" s="522"/>
      <c r="CT61" s="522"/>
      <c r="CU61" s="522"/>
      <c r="CV61" s="522"/>
      <c r="CW61" s="522"/>
      <c r="CX61" s="522"/>
      <c r="CY61" s="522"/>
      <c r="CZ61" s="522"/>
      <c r="DA61" s="522"/>
      <c r="DB61" s="522"/>
      <c r="DC61" s="522"/>
      <c r="DD61" s="522"/>
      <c r="DE61" s="522"/>
      <c r="DF61" s="522"/>
      <c r="DG61" s="522"/>
      <c r="DH61" s="522"/>
      <c r="DI61" s="522"/>
      <c r="DJ61" s="522"/>
      <c r="DK61" s="522"/>
      <c r="DL61" s="522"/>
      <c r="DM61" s="522"/>
      <c r="DN61" s="522"/>
      <c r="DO61" s="522"/>
      <c r="DP61" s="522"/>
      <c r="DQ61" s="522"/>
      <c r="DR61" s="522"/>
      <c r="DS61" s="522"/>
      <c r="DT61" s="522"/>
      <c r="DU61" s="522"/>
      <c r="DV61" s="522"/>
      <c r="DW61" s="522"/>
      <c r="DX61" s="522"/>
      <c r="DY61" s="522"/>
      <c r="DZ61" s="522"/>
      <c r="EA61" s="522"/>
      <c r="EB61" s="522"/>
      <c r="EC61" s="522"/>
      <c r="ED61" s="522"/>
      <c r="EE61" s="522"/>
      <c r="EF61" s="522"/>
      <c r="EG61" s="522"/>
      <c r="EH61" s="522"/>
      <c r="EI61" s="522"/>
      <c r="EJ61" s="522"/>
      <c r="EK61" s="522"/>
      <c r="EL61" s="522"/>
      <c r="EM61" s="522"/>
      <c r="EN61" s="522"/>
      <c r="EO61" s="522"/>
      <c r="EP61" s="522"/>
      <c r="EQ61" s="522"/>
      <c r="ER61" s="522"/>
      <c r="ES61" s="522"/>
      <c r="ET61" s="522"/>
      <c r="EU61" s="522"/>
      <c r="EV61" s="522"/>
      <c r="EW61" s="522"/>
      <c r="EX61" s="527" t="str">
        <f t="shared" si="1"/>
        <v/>
      </c>
    </row>
    <row r="62" spans="1:154" x14ac:dyDescent="0.25">
      <c r="A62" s="542"/>
      <c r="B62" s="542"/>
      <c r="C62" s="542"/>
      <c r="D62" s="533" t="s">
        <v>738</v>
      </c>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26"/>
      <c r="BZ62" s="522"/>
      <c r="CA62" s="526"/>
      <c r="CB62" s="522"/>
      <c r="CC62" s="522"/>
      <c r="CD62" s="522"/>
      <c r="CE62" s="522"/>
      <c r="CF62" s="522"/>
      <c r="CG62" s="522"/>
      <c r="CH62" s="522"/>
      <c r="CI62" s="522"/>
      <c r="CJ62" s="522"/>
      <c r="CK62" s="522"/>
      <c r="CL62" s="522"/>
      <c r="CM62" s="522"/>
      <c r="CN62" s="522"/>
      <c r="CO62" s="522"/>
      <c r="CP62" s="522"/>
      <c r="CQ62" s="522"/>
      <c r="CR62" s="522"/>
      <c r="CS62" s="522"/>
      <c r="CT62" s="522"/>
      <c r="CU62" s="522"/>
      <c r="CV62" s="522"/>
      <c r="CW62" s="522"/>
      <c r="CX62" s="522"/>
      <c r="CY62" s="522"/>
      <c r="CZ62" s="522"/>
      <c r="DA62" s="522"/>
      <c r="DB62" s="522"/>
      <c r="DC62" s="522"/>
      <c r="DD62" s="522"/>
      <c r="DE62" s="522"/>
      <c r="DF62" s="522"/>
      <c r="DG62" s="522"/>
      <c r="DH62" s="522"/>
      <c r="DI62" s="522"/>
      <c r="DJ62" s="522"/>
      <c r="DK62" s="522"/>
      <c r="DL62" s="522"/>
      <c r="DM62" s="522"/>
      <c r="DN62" s="522"/>
      <c r="DO62" s="522"/>
      <c r="DP62" s="522"/>
      <c r="DQ62" s="522"/>
      <c r="DR62" s="522"/>
      <c r="DS62" s="522"/>
      <c r="DT62" s="522"/>
      <c r="DU62" s="522"/>
      <c r="DV62" s="522"/>
      <c r="DW62" s="522"/>
      <c r="DX62" s="522"/>
      <c r="DY62" s="522"/>
      <c r="DZ62" s="522"/>
      <c r="EA62" s="522"/>
      <c r="EB62" s="522"/>
      <c r="EC62" s="522"/>
      <c r="ED62" s="522"/>
      <c r="EE62" s="522"/>
      <c r="EF62" s="522"/>
      <c r="EG62" s="522"/>
      <c r="EH62" s="522"/>
      <c r="EI62" s="522"/>
      <c r="EJ62" s="522"/>
      <c r="EK62" s="522"/>
      <c r="EL62" s="522"/>
      <c r="EM62" s="522"/>
      <c r="EN62" s="522"/>
      <c r="EO62" s="522"/>
      <c r="EP62" s="522"/>
      <c r="EQ62" s="522"/>
      <c r="ER62" s="522"/>
      <c r="ES62" s="522"/>
      <c r="ET62" s="522"/>
      <c r="EU62" s="522"/>
      <c r="EV62" s="522"/>
      <c r="EW62" s="522"/>
      <c r="EX62" s="527" t="str">
        <f t="shared" si="1"/>
        <v/>
      </c>
    </row>
    <row r="63" spans="1:154" x14ac:dyDescent="0.25">
      <c r="A63" s="522"/>
      <c r="B63" s="522"/>
      <c r="C63" s="522"/>
      <c r="D63" s="522"/>
      <c r="E63" s="522"/>
      <c r="F63" s="522"/>
      <c r="G63" s="522"/>
      <c r="H63" s="522"/>
      <c r="I63" s="522"/>
      <c r="J63" s="522"/>
      <c r="K63" s="522"/>
      <c r="L63" s="522"/>
      <c r="M63" s="522"/>
      <c r="N63" s="522"/>
      <c r="O63" s="522"/>
      <c r="P63" s="522"/>
      <c r="Q63" s="522"/>
      <c r="R63" s="522"/>
      <c r="S63" s="534"/>
      <c r="T63" s="522"/>
      <c r="U63" s="522"/>
      <c r="V63" s="522"/>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22"/>
      <c r="BY63" s="526"/>
      <c r="BZ63" s="522"/>
      <c r="CA63" s="526"/>
      <c r="CB63" s="522"/>
      <c r="CC63" s="522"/>
      <c r="CD63" s="522"/>
      <c r="CE63" s="522"/>
      <c r="CF63" s="522"/>
      <c r="CG63" s="522"/>
      <c r="CH63" s="522"/>
      <c r="CI63" s="522"/>
      <c r="CJ63" s="522"/>
      <c r="CK63" s="522"/>
      <c r="CL63" s="522"/>
      <c r="CM63" s="522"/>
      <c r="CN63" s="522"/>
      <c r="CO63" s="522"/>
      <c r="CP63" s="522"/>
      <c r="CQ63" s="522"/>
      <c r="CR63" s="522"/>
      <c r="CS63" s="522"/>
      <c r="CT63" s="522"/>
      <c r="CU63" s="522"/>
      <c r="CV63" s="522"/>
      <c r="CW63" s="522"/>
      <c r="CX63" s="522"/>
      <c r="CY63" s="522"/>
      <c r="CZ63" s="522"/>
      <c r="DA63" s="522"/>
      <c r="DB63" s="522"/>
      <c r="DC63" s="522"/>
      <c r="DD63" s="522"/>
      <c r="DE63" s="522"/>
      <c r="DF63" s="522"/>
      <c r="DG63" s="522"/>
      <c r="DH63" s="522"/>
      <c r="DI63" s="522"/>
      <c r="DJ63" s="522"/>
      <c r="DK63" s="522"/>
      <c r="DL63" s="522"/>
      <c r="DM63" s="522"/>
      <c r="DN63" s="522"/>
      <c r="DO63" s="522"/>
      <c r="DP63" s="522"/>
      <c r="DQ63" s="522"/>
      <c r="DR63" s="522"/>
      <c r="DS63" s="522"/>
      <c r="DT63" s="522"/>
      <c r="DU63" s="522"/>
      <c r="DV63" s="522"/>
      <c r="DW63" s="522"/>
      <c r="DX63" s="522"/>
      <c r="DY63" s="522"/>
      <c r="DZ63" s="522"/>
      <c r="EA63" s="522"/>
      <c r="EB63" s="522"/>
      <c r="EC63" s="522"/>
      <c r="ED63" s="522"/>
      <c r="EE63" s="522"/>
      <c r="EF63" s="522"/>
      <c r="EG63" s="522"/>
      <c r="EH63" s="522"/>
      <c r="EI63" s="522"/>
      <c r="EJ63" s="522"/>
      <c r="EK63" s="522"/>
      <c r="EL63" s="522"/>
      <c r="EM63" s="522"/>
      <c r="EN63" s="522"/>
      <c r="EO63" s="522"/>
      <c r="EP63" s="522"/>
      <c r="EQ63" s="522"/>
      <c r="ER63" s="522"/>
      <c r="ES63" s="522"/>
      <c r="ET63" s="522"/>
      <c r="EU63" s="522"/>
      <c r="EV63" s="522"/>
      <c r="EW63" s="522"/>
      <c r="EX63" s="527" t="str">
        <f t="shared" si="1"/>
        <v/>
      </c>
    </row>
    <row r="64" spans="1:154" x14ac:dyDescent="0.25">
      <c r="A64" s="522"/>
      <c r="B64" s="522"/>
      <c r="C64" s="522"/>
      <c r="D64" s="522"/>
      <c r="E64" s="524"/>
      <c r="F64" s="522"/>
      <c r="G64" s="522"/>
      <c r="H64" s="522"/>
      <c r="I64" s="522"/>
      <c r="J64" s="522"/>
      <c r="K64" s="522"/>
      <c r="L64" s="522"/>
      <c r="M64" s="522"/>
      <c r="N64" s="522"/>
      <c r="O64" s="522"/>
      <c r="P64" s="522"/>
      <c r="Q64" s="522"/>
      <c r="R64" s="522"/>
      <c r="S64" s="534"/>
      <c r="T64" s="522"/>
      <c r="U64" s="522"/>
      <c r="V64" s="522"/>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4"/>
      <c r="BU64" s="534"/>
      <c r="BV64" s="534"/>
      <c r="BW64" s="534"/>
      <c r="BX64" s="522"/>
      <c r="BY64" s="526"/>
      <c r="BZ64" s="522"/>
      <c r="CA64" s="526"/>
      <c r="CB64" s="522"/>
      <c r="CC64" s="522"/>
      <c r="CD64" s="522"/>
      <c r="CE64" s="522"/>
      <c r="CF64" s="522"/>
      <c r="CG64" s="522"/>
      <c r="CH64" s="522"/>
      <c r="CI64" s="522"/>
      <c r="CJ64" s="522"/>
      <c r="CK64" s="522"/>
      <c r="CL64" s="522"/>
      <c r="CM64" s="522"/>
      <c r="CN64" s="522"/>
      <c r="CO64" s="522"/>
      <c r="CP64" s="522"/>
      <c r="CQ64" s="522"/>
      <c r="CR64" s="522"/>
      <c r="CS64" s="522"/>
      <c r="CT64" s="522"/>
      <c r="CU64" s="522"/>
      <c r="CV64" s="522"/>
      <c r="CW64" s="522"/>
      <c r="CX64" s="522"/>
      <c r="CY64" s="522"/>
      <c r="CZ64" s="522"/>
      <c r="DA64" s="522"/>
      <c r="DB64" s="522"/>
      <c r="DC64" s="522"/>
      <c r="DD64" s="522"/>
      <c r="DE64" s="522"/>
      <c r="DF64" s="522"/>
      <c r="DG64" s="522"/>
      <c r="DH64" s="522"/>
      <c r="DI64" s="522"/>
      <c r="DJ64" s="522"/>
      <c r="DK64" s="522"/>
      <c r="DL64" s="522"/>
      <c r="DM64" s="522"/>
      <c r="DN64" s="522"/>
      <c r="DO64" s="522"/>
      <c r="DP64" s="522"/>
      <c r="DQ64" s="522"/>
      <c r="DR64" s="522"/>
      <c r="DS64" s="522"/>
      <c r="DT64" s="522"/>
      <c r="DU64" s="522"/>
      <c r="DV64" s="522"/>
      <c r="DW64" s="522"/>
      <c r="DX64" s="522"/>
      <c r="DY64" s="522"/>
      <c r="DZ64" s="522"/>
      <c r="EA64" s="522"/>
      <c r="EB64" s="522"/>
      <c r="EC64" s="522"/>
      <c r="ED64" s="522"/>
      <c r="EE64" s="522"/>
      <c r="EF64" s="522"/>
      <c r="EG64" s="522"/>
      <c r="EH64" s="522"/>
      <c r="EI64" s="522"/>
      <c r="EJ64" s="522"/>
      <c r="EK64" s="522"/>
      <c r="EL64" s="522"/>
      <c r="EM64" s="522"/>
      <c r="EN64" s="522"/>
      <c r="EO64" s="522"/>
      <c r="EP64" s="522"/>
      <c r="EQ64" s="522"/>
      <c r="ER64" s="522"/>
      <c r="ES64" s="522"/>
      <c r="ET64" s="522"/>
      <c r="EU64" s="522"/>
      <c r="EV64" s="522"/>
      <c r="EW64" s="522"/>
      <c r="EX64" s="527" t="str">
        <f t="shared" si="1"/>
        <v/>
      </c>
    </row>
    <row r="65" spans="1:154" x14ac:dyDescent="0.25">
      <c r="A65" s="522"/>
      <c r="B65" s="535" t="s">
        <v>646</v>
      </c>
      <c r="C65" s="522"/>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c r="AB65" s="522"/>
      <c r="AC65" s="522"/>
      <c r="AD65" s="522"/>
      <c r="AE65" s="522"/>
      <c r="AF65" s="522"/>
      <c r="AG65" s="522"/>
      <c r="AH65" s="522"/>
      <c r="AI65" s="522"/>
      <c r="AJ65" s="522"/>
      <c r="AK65" s="522"/>
      <c r="AL65" s="522"/>
      <c r="AM65" s="522"/>
      <c r="AN65" s="522"/>
      <c r="AO65" s="522"/>
      <c r="AP65" s="522"/>
      <c r="AQ65" s="522"/>
      <c r="AR65" s="522"/>
      <c r="AS65" s="522"/>
      <c r="AT65" s="522"/>
      <c r="AU65" s="522"/>
      <c r="AV65" s="522"/>
      <c r="AW65" s="522"/>
      <c r="AX65" s="522"/>
      <c r="AY65" s="522"/>
      <c r="AZ65" s="522"/>
      <c r="BA65" s="522"/>
      <c r="BB65" s="522"/>
      <c r="BC65" s="522"/>
      <c r="BD65" s="522"/>
      <c r="BE65" s="522"/>
      <c r="BF65" s="522"/>
      <c r="BG65" s="522"/>
      <c r="BH65" s="522"/>
      <c r="BI65" s="522"/>
      <c r="BJ65" s="522"/>
      <c r="BK65" s="522"/>
      <c r="BL65" s="522"/>
      <c r="BM65" s="522"/>
      <c r="BN65" s="522"/>
      <c r="BO65" s="522"/>
      <c r="BP65" s="522"/>
      <c r="BQ65" s="522"/>
      <c r="BR65" s="522"/>
      <c r="BS65" s="522"/>
      <c r="BT65" s="522"/>
      <c r="BU65" s="522"/>
      <c r="BV65" s="522"/>
      <c r="BW65" s="522"/>
      <c r="BX65" s="522"/>
      <c r="BY65" s="526"/>
      <c r="BZ65" s="522"/>
      <c r="CA65" s="526"/>
      <c r="CB65" s="522"/>
      <c r="CC65" s="522"/>
      <c r="CD65" s="522"/>
      <c r="CE65" s="522"/>
      <c r="CF65" s="522"/>
      <c r="CG65" s="522"/>
      <c r="CH65" s="522"/>
      <c r="CI65" s="522"/>
      <c r="CJ65" s="522"/>
      <c r="CK65" s="522"/>
      <c r="CL65" s="522"/>
      <c r="CM65" s="522"/>
      <c r="CN65" s="522"/>
      <c r="CO65" s="522"/>
      <c r="CP65" s="522"/>
      <c r="CQ65" s="522"/>
      <c r="CR65" s="522"/>
      <c r="CS65" s="522"/>
      <c r="CT65" s="522"/>
      <c r="CU65" s="522"/>
      <c r="CV65" s="522"/>
      <c r="CW65" s="522"/>
      <c r="CX65" s="522"/>
      <c r="CY65" s="522"/>
      <c r="CZ65" s="522"/>
      <c r="DA65" s="522"/>
      <c r="DB65" s="522"/>
      <c r="DC65" s="522"/>
      <c r="DD65" s="522"/>
      <c r="DE65" s="522"/>
      <c r="DF65" s="522"/>
      <c r="DG65" s="522"/>
      <c r="DH65" s="522"/>
      <c r="DI65" s="522"/>
      <c r="DJ65" s="522"/>
      <c r="DK65" s="522"/>
      <c r="DL65" s="522"/>
      <c r="DM65" s="522"/>
      <c r="DN65" s="522"/>
      <c r="DO65" s="522"/>
      <c r="DP65" s="522"/>
      <c r="DQ65" s="522"/>
      <c r="DR65" s="522"/>
      <c r="DS65" s="522"/>
      <c r="DT65" s="522"/>
      <c r="DU65" s="522"/>
      <c r="DV65" s="522"/>
      <c r="DW65" s="522"/>
      <c r="DX65" s="522"/>
      <c r="DY65" s="522"/>
      <c r="DZ65" s="522"/>
      <c r="EA65" s="522"/>
      <c r="EB65" s="522"/>
      <c r="EC65" s="522"/>
      <c r="ED65" s="522"/>
      <c r="EE65" s="522"/>
      <c r="EF65" s="522"/>
      <c r="EG65" s="522"/>
      <c r="EH65" s="522"/>
      <c r="EI65" s="522"/>
      <c r="EJ65" s="522"/>
      <c r="EK65" s="522"/>
      <c r="EL65" s="522"/>
      <c r="EM65" s="522"/>
      <c r="EN65" s="522"/>
      <c r="EO65" s="522"/>
      <c r="EP65" s="522"/>
      <c r="EQ65" s="522"/>
      <c r="ER65" s="522"/>
      <c r="ES65" s="522"/>
      <c r="ET65" s="522"/>
      <c r="EU65" s="522"/>
      <c r="EV65" s="522"/>
      <c r="EW65" s="522"/>
      <c r="EX65" s="527" t="str">
        <f t="shared" si="1"/>
        <v/>
      </c>
    </row>
    <row r="66" spans="1:154" x14ac:dyDescent="0.25">
      <c r="A66" s="522"/>
      <c r="B66" s="522"/>
      <c r="C66" s="522"/>
      <c r="D66" s="522" t="str">
        <f>'Fin Stat'!D13</f>
        <v>Total 14-19 Income</v>
      </c>
      <c r="E66" s="522"/>
      <c r="F66" s="522"/>
      <c r="G66" s="522"/>
      <c r="H66" s="522"/>
      <c r="I66" s="522"/>
      <c r="J66" s="522"/>
      <c r="K66" s="522"/>
      <c r="L66" s="522"/>
      <c r="M66" s="522"/>
      <c r="N66" s="522"/>
      <c r="O66" s="522"/>
      <c r="P66" s="522"/>
      <c r="Q66" s="522"/>
      <c r="R66" s="522"/>
      <c r="S66" s="522"/>
      <c r="T66" s="522"/>
      <c r="U66" s="522"/>
      <c r="V66" s="536">
        <f>'Fin Stat'!V13</f>
        <v>0</v>
      </c>
      <c r="W66" s="536">
        <f>'Fin Stat'!W13</f>
        <v>21270</v>
      </c>
      <c r="X66" s="536">
        <f>'Fin Stat'!X13</f>
        <v>22371</v>
      </c>
      <c r="Y66" s="536">
        <f>'Fin Stat'!Y13</f>
        <v>23144.85</v>
      </c>
      <c r="Z66" s="522"/>
      <c r="AA66" s="522"/>
      <c r="AB66" s="522"/>
      <c r="AC66" s="522"/>
      <c r="AD66" s="522"/>
      <c r="AE66" s="522"/>
      <c r="AF66" s="522"/>
      <c r="AG66" s="522"/>
      <c r="AH66" s="522"/>
      <c r="AI66" s="522"/>
      <c r="AJ66" s="522"/>
      <c r="AK66" s="522"/>
      <c r="AL66" s="522"/>
      <c r="AM66" s="522"/>
      <c r="AN66" s="522"/>
      <c r="AO66" s="522"/>
      <c r="AP66" s="522"/>
      <c r="AQ66" s="522"/>
      <c r="AR66" s="522"/>
      <c r="AS66" s="522"/>
      <c r="AT66" s="522"/>
      <c r="AU66" s="522"/>
      <c r="AV66" s="522"/>
      <c r="AW66" s="522"/>
      <c r="AX66" s="522"/>
      <c r="AY66" s="522"/>
      <c r="AZ66" s="522"/>
      <c r="BA66" s="522"/>
      <c r="BB66" s="522"/>
      <c r="BC66" s="522"/>
      <c r="BD66" s="522"/>
      <c r="BE66" s="522"/>
      <c r="BF66" s="522"/>
      <c r="BG66" s="522"/>
      <c r="BH66" s="522"/>
      <c r="BI66" s="522"/>
      <c r="BJ66" s="522"/>
      <c r="BK66" s="522"/>
      <c r="BL66" s="522"/>
      <c r="BM66" s="522"/>
      <c r="BN66" s="522"/>
      <c r="BO66" s="522"/>
      <c r="BP66" s="522"/>
      <c r="BQ66" s="522"/>
      <c r="BR66" s="522"/>
      <c r="BS66" s="522"/>
      <c r="BT66" s="522"/>
      <c r="BU66" s="522"/>
      <c r="BV66" s="522"/>
      <c r="BW66" s="522"/>
      <c r="BX66" s="522"/>
      <c r="BY66" s="526"/>
      <c r="BZ66" s="522"/>
      <c r="CA66" s="526"/>
      <c r="CB66" s="522"/>
      <c r="CC66" s="522"/>
      <c r="CD66" s="522"/>
      <c r="CE66" s="522"/>
      <c r="CF66" s="522"/>
      <c r="CG66" s="522"/>
      <c r="CH66" s="522"/>
      <c r="CI66" s="522"/>
      <c r="CJ66" s="522"/>
      <c r="CK66" s="522"/>
      <c r="CL66" s="522"/>
      <c r="CM66" s="522"/>
      <c r="CN66" s="522"/>
      <c r="CO66" s="522"/>
      <c r="CP66" s="522"/>
      <c r="CQ66" s="522"/>
      <c r="CR66" s="522"/>
      <c r="CS66" s="522"/>
      <c r="CT66" s="522"/>
      <c r="CU66" s="522"/>
      <c r="CV66" s="522"/>
      <c r="CW66" s="522"/>
      <c r="CX66" s="522"/>
      <c r="CY66" s="522"/>
      <c r="CZ66" s="522"/>
      <c r="DA66" s="522"/>
      <c r="DB66" s="522"/>
      <c r="DC66" s="522"/>
      <c r="DD66" s="522"/>
      <c r="DE66" s="522"/>
      <c r="DF66" s="522"/>
      <c r="DG66" s="522"/>
      <c r="DH66" s="522"/>
      <c r="DI66" s="522"/>
      <c r="DJ66" s="522"/>
      <c r="DK66" s="522"/>
      <c r="DL66" s="522"/>
      <c r="DM66" s="522"/>
      <c r="DN66" s="522"/>
      <c r="DO66" s="522"/>
      <c r="DP66" s="522"/>
      <c r="DQ66" s="522"/>
      <c r="DR66" s="522"/>
      <c r="DS66" s="522"/>
      <c r="DT66" s="522"/>
      <c r="DU66" s="522"/>
      <c r="DV66" s="522"/>
      <c r="DW66" s="522"/>
      <c r="DX66" s="522"/>
      <c r="DY66" s="522"/>
      <c r="DZ66" s="522"/>
      <c r="EA66" s="522"/>
      <c r="EB66" s="522"/>
      <c r="EC66" s="522"/>
      <c r="ED66" s="522"/>
      <c r="EE66" s="522"/>
      <c r="EF66" s="522"/>
      <c r="EG66" s="522"/>
      <c r="EH66" s="522"/>
      <c r="EI66" s="522"/>
      <c r="EJ66" s="522"/>
      <c r="EK66" s="522"/>
      <c r="EL66" s="522"/>
      <c r="EM66" s="522"/>
      <c r="EN66" s="522"/>
      <c r="EO66" s="522"/>
      <c r="EP66" s="522"/>
      <c r="EQ66" s="522"/>
      <c r="ER66" s="522"/>
      <c r="ES66" s="522"/>
      <c r="ET66" s="522"/>
      <c r="EU66" s="522"/>
      <c r="EV66" s="522"/>
      <c r="EW66" s="522"/>
      <c r="EX66" s="527" t="str">
        <f t="shared" si="1"/>
        <v/>
      </c>
    </row>
    <row r="67" spans="1:154" x14ac:dyDescent="0.25">
      <c r="A67" s="522"/>
      <c r="B67" s="522"/>
      <c r="C67" s="522"/>
      <c r="D67" s="522" t="str">
        <f ca="1">'Fin Stat'!D14</f>
        <v>Total Apprenticeships Income</v>
      </c>
      <c r="E67" s="522"/>
      <c r="F67" s="522"/>
      <c r="G67" s="522"/>
      <c r="H67" s="522"/>
      <c r="I67" s="522"/>
      <c r="J67" s="522"/>
      <c r="K67" s="522"/>
      <c r="L67" s="522"/>
      <c r="M67" s="522"/>
      <c r="N67" s="522"/>
      <c r="O67" s="522"/>
      <c r="P67" s="522"/>
      <c r="Q67" s="522"/>
      <c r="R67" s="522"/>
      <c r="S67" s="522"/>
      <c r="T67" s="522"/>
      <c r="U67" s="522"/>
      <c r="V67" s="536">
        <f>'Fin Stat'!V14</f>
        <v>0</v>
      </c>
      <c r="W67" s="536">
        <f>'Fin Stat'!W14</f>
        <v>509</v>
      </c>
      <c r="X67" s="536">
        <f>'Fin Stat'!X14</f>
        <v>615</v>
      </c>
      <c r="Y67" s="536">
        <f>'Fin Stat'!Y14</f>
        <v>638.89</v>
      </c>
      <c r="Z67" s="522"/>
      <c r="AA67" s="522"/>
      <c r="AB67" s="522"/>
      <c r="AC67" s="522"/>
      <c r="AD67" s="522"/>
      <c r="AE67" s="522"/>
      <c r="AF67" s="522"/>
      <c r="AG67" s="522"/>
      <c r="AH67" s="522"/>
      <c r="AI67" s="522"/>
      <c r="AJ67" s="522"/>
      <c r="AK67" s="522"/>
      <c r="AL67" s="522"/>
      <c r="AM67" s="522"/>
      <c r="AN67" s="522"/>
      <c r="AO67" s="522"/>
      <c r="AP67" s="522"/>
      <c r="AQ67" s="522"/>
      <c r="AR67" s="522"/>
      <c r="AS67" s="522"/>
      <c r="AT67" s="522"/>
      <c r="AU67" s="522"/>
      <c r="AV67" s="522"/>
      <c r="AW67" s="522"/>
      <c r="AX67" s="522"/>
      <c r="AY67" s="522"/>
      <c r="AZ67" s="522"/>
      <c r="BA67" s="522"/>
      <c r="BB67" s="522"/>
      <c r="BC67" s="522"/>
      <c r="BD67" s="522"/>
      <c r="BE67" s="522"/>
      <c r="BF67" s="522"/>
      <c r="BG67" s="522"/>
      <c r="BH67" s="522"/>
      <c r="BI67" s="522"/>
      <c r="BJ67" s="522"/>
      <c r="BK67" s="522"/>
      <c r="BL67" s="522"/>
      <c r="BM67" s="522"/>
      <c r="BN67" s="522"/>
      <c r="BO67" s="522"/>
      <c r="BP67" s="522"/>
      <c r="BQ67" s="522"/>
      <c r="BR67" s="522"/>
      <c r="BS67" s="522"/>
      <c r="BT67" s="522"/>
      <c r="BU67" s="522"/>
      <c r="BV67" s="522"/>
      <c r="BW67" s="522"/>
      <c r="BX67" s="522"/>
      <c r="BY67" s="526"/>
      <c r="BZ67" s="522"/>
      <c r="CA67" s="526"/>
      <c r="CB67" s="522"/>
      <c r="CC67" s="522"/>
      <c r="CD67" s="522"/>
      <c r="CE67" s="522"/>
      <c r="CF67" s="522"/>
      <c r="CG67" s="522"/>
      <c r="CH67" s="522"/>
      <c r="CI67" s="522"/>
      <c r="CJ67" s="522"/>
      <c r="CK67" s="522"/>
      <c r="CL67" s="522"/>
      <c r="CM67" s="522"/>
      <c r="CN67" s="522"/>
      <c r="CO67" s="522"/>
      <c r="CP67" s="522"/>
      <c r="CQ67" s="522"/>
      <c r="CR67" s="522"/>
      <c r="CS67" s="522"/>
      <c r="CT67" s="522"/>
      <c r="CU67" s="522"/>
      <c r="CV67" s="522"/>
      <c r="CW67" s="522"/>
      <c r="CX67" s="522"/>
      <c r="CY67" s="522"/>
      <c r="CZ67" s="522"/>
      <c r="DA67" s="522"/>
      <c r="DB67" s="522"/>
      <c r="DC67" s="522"/>
      <c r="DD67" s="522"/>
      <c r="DE67" s="522"/>
      <c r="DF67" s="522"/>
      <c r="DG67" s="522"/>
      <c r="DH67" s="522"/>
      <c r="DI67" s="522"/>
      <c r="DJ67" s="522"/>
      <c r="DK67" s="522"/>
      <c r="DL67" s="522"/>
      <c r="DM67" s="522"/>
      <c r="DN67" s="522"/>
      <c r="DO67" s="522"/>
      <c r="DP67" s="522"/>
      <c r="DQ67" s="522"/>
      <c r="DR67" s="522"/>
      <c r="DS67" s="522"/>
      <c r="DT67" s="522"/>
      <c r="DU67" s="522"/>
      <c r="DV67" s="522"/>
      <c r="DW67" s="522"/>
      <c r="DX67" s="522"/>
      <c r="DY67" s="522"/>
      <c r="DZ67" s="522"/>
      <c r="EA67" s="522"/>
      <c r="EB67" s="522"/>
      <c r="EC67" s="522"/>
      <c r="ED67" s="522"/>
      <c r="EE67" s="522"/>
      <c r="EF67" s="522"/>
      <c r="EG67" s="522"/>
      <c r="EH67" s="522"/>
      <c r="EI67" s="522"/>
      <c r="EJ67" s="522"/>
      <c r="EK67" s="522"/>
      <c r="EL67" s="522"/>
      <c r="EM67" s="522"/>
      <c r="EN67" s="522"/>
      <c r="EO67" s="522"/>
      <c r="EP67" s="522"/>
      <c r="EQ67" s="522"/>
      <c r="ER67" s="522"/>
      <c r="ES67" s="522"/>
      <c r="ET67" s="522"/>
      <c r="EU67" s="522"/>
      <c r="EV67" s="522"/>
      <c r="EW67" s="522"/>
      <c r="EX67" s="527" t="str">
        <f t="shared" si="1"/>
        <v/>
      </c>
    </row>
    <row r="68" spans="1:154" x14ac:dyDescent="0.25">
      <c r="A68" s="522"/>
      <c r="B68" s="522"/>
      <c r="C68" s="522"/>
      <c r="D68" s="522" t="str">
        <f ca="1">'Fin Stat'!D15</f>
        <v>Total Adult Education and Training Income (Excluding clawbacks)</v>
      </c>
      <c r="E68" s="522"/>
      <c r="F68" s="522"/>
      <c r="G68" s="522"/>
      <c r="H68" s="522"/>
      <c r="I68" s="522"/>
      <c r="J68" s="522"/>
      <c r="K68" s="522"/>
      <c r="L68" s="522"/>
      <c r="M68" s="522"/>
      <c r="N68" s="522"/>
      <c r="O68" s="522"/>
      <c r="P68" s="522"/>
      <c r="Q68" s="522"/>
      <c r="R68" s="522"/>
      <c r="S68" s="522"/>
      <c r="T68" s="522"/>
      <c r="U68" s="522"/>
      <c r="V68" s="536">
        <f>'Fin Stat'!V15</f>
        <v>0</v>
      </c>
      <c r="W68" s="536">
        <f>'Fin Stat'!W15</f>
        <v>1461</v>
      </c>
      <c r="X68" s="536">
        <f>'Fin Stat'!X15</f>
        <v>1497</v>
      </c>
      <c r="Y68" s="536">
        <f>'Fin Stat'!Y15</f>
        <v>1567.3999999999996</v>
      </c>
      <c r="Z68" s="522"/>
      <c r="AA68" s="522"/>
      <c r="AB68" s="522"/>
      <c r="AC68" s="522"/>
      <c r="AD68" s="522"/>
      <c r="AE68" s="522"/>
      <c r="AF68" s="522"/>
      <c r="AG68" s="522"/>
      <c r="AH68" s="522"/>
      <c r="AI68" s="522"/>
      <c r="AJ68" s="522"/>
      <c r="AK68" s="522"/>
      <c r="AL68" s="522"/>
      <c r="AM68" s="522"/>
      <c r="AN68" s="522"/>
      <c r="AO68" s="522"/>
      <c r="AP68" s="522"/>
      <c r="AQ68" s="522"/>
      <c r="AR68" s="522"/>
      <c r="AS68" s="522"/>
      <c r="AT68" s="522"/>
      <c r="AU68" s="522"/>
      <c r="AV68" s="522"/>
      <c r="AW68" s="522"/>
      <c r="AX68" s="522"/>
      <c r="AY68" s="522"/>
      <c r="AZ68" s="522"/>
      <c r="BA68" s="522"/>
      <c r="BB68" s="522"/>
      <c r="BC68" s="522"/>
      <c r="BD68" s="522"/>
      <c r="BE68" s="522"/>
      <c r="BF68" s="522"/>
      <c r="BG68" s="522"/>
      <c r="BH68" s="522"/>
      <c r="BI68" s="522"/>
      <c r="BJ68" s="522"/>
      <c r="BK68" s="522"/>
      <c r="BL68" s="522"/>
      <c r="BM68" s="522"/>
      <c r="BN68" s="522"/>
      <c r="BO68" s="522"/>
      <c r="BP68" s="522"/>
      <c r="BQ68" s="522"/>
      <c r="BR68" s="522"/>
      <c r="BS68" s="522"/>
      <c r="BT68" s="522"/>
      <c r="BU68" s="522"/>
      <c r="BV68" s="522"/>
      <c r="BW68" s="522"/>
      <c r="BX68" s="522"/>
      <c r="BY68" s="526"/>
      <c r="BZ68" s="522"/>
      <c r="CA68" s="526"/>
      <c r="CB68" s="522"/>
      <c r="CC68" s="522"/>
      <c r="CD68" s="522"/>
      <c r="CE68" s="522"/>
      <c r="CF68" s="522"/>
      <c r="CG68" s="522"/>
      <c r="CH68" s="522"/>
      <c r="CI68" s="522"/>
      <c r="CJ68" s="522"/>
      <c r="CK68" s="522"/>
      <c r="CL68" s="522"/>
      <c r="CM68" s="522"/>
      <c r="CN68" s="522"/>
      <c r="CO68" s="522"/>
      <c r="CP68" s="522"/>
      <c r="CQ68" s="522"/>
      <c r="CR68" s="522"/>
      <c r="CS68" s="522"/>
      <c r="CT68" s="522"/>
      <c r="CU68" s="522"/>
      <c r="CV68" s="522"/>
      <c r="CW68" s="522"/>
      <c r="CX68" s="522"/>
      <c r="CY68" s="522"/>
      <c r="CZ68" s="522"/>
      <c r="DA68" s="522"/>
      <c r="DB68" s="522"/>
      <c r="DC68" s="522"/>
      <c r="DD68" s="522"/>
      <c r="DE68" s="522"/>
      <c r="DF68" s="522"/>
      <c r="DG68" s="522"/>
      <c r="DH68" s="522"/>
      <c r="DI68" s="522"/>
      <c r="DJ68" s="522"/>
      <c r="DK68" s="522"/>
      <c r="DL68" s="522"/>
      <c r="DM68" s="522"/>
      <c r="DN68" s="522"/>
      <c r="DO68" s="522"/>
      <c r="DP68" s="522"/>
      <c r="DQ68" s="522"/>
      <c r="DR68" s="522"/>
      <c r="DS68" s="522"/>
      <c r="DT68" s="522"/>
      <c r="DU68" s="522"/>
      <c r="DV68" s="522"/>
      <c r="DW68" s="522"/>
      <c r="DX68" s="522"/>
      <c r="DY68" s="522"/>
      <c r="DZ68" s="522"/>
      <c r="EA68" s="522"/>
      <c r="EB68" s="522"/>
      <c r="EC68" s="522"/>
      <c r="ED68" s="522"/>
      <c r="EE68" s="522"/>
      <c r="EF68" s="522"/>
      <c r="EG68" s="522"/>
      <c r="EH68" s="522"/>
      <c r="EI68" s="522"/>
      <c r="EJ68" s="522"/>
      <c r="EK68" s="522"/>
      <c r="EL68" s="522"/>
      <c r="EM68" s="522"/>
      <c r="EN68" s="522"/>
      <c r="EO68" s="522"/>
      <c r="EP68" s="522"/>
      <c r="EQ68" s="522"/>
      <c r="ER68" s="522"/>
      <c r="ES68" s="522"/>
      <c r="ET68" s="522"/>
      <c r="EU68" s="522"/>
      <c r="EV68" s="522"/>
      <c r="EW68" s="522"/>
      <c r="EX68" s="527" t="str">
        <f t="shared" si="1"/>
        <v/>
      </c>
    </row>
    <row r="69" spans="1:154" x14ac:dyDescent="0.25">
      <c r="A69" s="522"/>
      <c r="B69" s="522"/>
      <c r="C69" s="522"/>
      <c r="D69" s="522" t="str">
        <f ca="1">'Fin Stat'!D16</f>
        <v>Total HE Income</v>
      </c>
      <c r="E69" s="524"/>
      <c r="F69" s="522"/>
      <c r="G69" s="522"/>
      <c r="H69" s="522"/>
      <c r="I69" s="522"/>
      <c r="J69" s="522"/>
      <c r="K69" s="522"/>
      <c r="L69" s="522"/>
      <c r="M69" s="522"/>
      <c r="N69" s="522"/>
      <c r="O69" s="522"/>
      <c r="P69" s="522"/>
      <c r="Q69" s="522"/>
      <c r="R69" s="522"/>
      <c r="S69" s="522"/>
      <c r="T69" s="522"/>
      <c r="U69" s="522"/>
      <c r="V69" s="536">
        <f>'Fin Stat'!V16</f>
        <v>0</v>
      </c>
      <c r="W69" s="536">
        <f>'Fin Stat'!W16</f>
        <v>751</v>
      </c>
      <c r="X69" s="536">
        <f>'Fin Stat'!X16</f>
        <v>750</v>
      </c>
      <c r="Y69" s="536">
        <f>'Fin Stat'!Y16</f>
        <v>795</v>
      </c>
      <c r="Z69" s="522"/>
      <c r="AA69" s="522"/>
      <c r="AB69" s="522"/>
      <c r="AC69" s="522"/>
      <c r="AD69" s="522"/>
      <c r="AE69" s="522"/>
      <c r="AF69" s="522"/>
      <c r="AG69" s="522"/>
      <c r="AH69" s="522"/>
      <c r="AI69" s="522"/>
      <c r="AJ69" s="522"/>
      <c r="AK69" s="522"/>
      <c r="AL69" s="522"/>
      <c r="AM69" s="522"/>
      <c r="AN69" s="522"/>
      <c r="AO69" s="522"/>
      <c r="AP69" s="522"/>
      <c r="AQ69" s="522"/>
      <c r="AR69" s="522"/>
      <c r="AS69" s="522"/>
      <c r="AT69" s="522"/>
      <c r="AU69" s="522"/>
      <c r="AV69" s="522"/>
      <c r="AW69" s="522"/>
      <c r="AX69" s="522"/>
      <c r="AY69" s="522"/>
      <c r="AZ69" s="522"/>
      <c r="BA69" s="522"/>
      <c r="BB69" s="522"/>
      <c r="BC69" s="522"/>
      <c r="BD69" s="522"/>
      <c r="BE69" s="522"/>
      <c r="BF69" s="522"/>
      <c r="BG69" s="522"/>
      <c r="BH69" s="522"/>
      <c r="BI69" s="522"/>
      <c r="BJ69" s="522"/>
      <c r="BK69" s="522"/>
      <c r="BL69" s="522"/>
      <c r="BM69" s="522"/>
      <c r="BN69" s="522"/>
      <c r="BO69" s="522"/>
      <c r="BP69" s="522"/>
      <c r="BQ69" s="522"/>
      <c r="BR69" s="522"/>
      <c r="BS69" s="522"/>
      <c r="BT69" s="522"/>
      <c r="BU69" s="522"/>
      <c r="BV69" s="522"/>
      <c r="BW69" s="522"/>
      <c r="BX69" s="522"/>
      <c r="BY69" s="526"/>
      <c r="BZ69" s="522"/>
      <c r="CA69" s="526"/>
      <c r="CB69" s="522"/>
      <c r="CC69" s="522"/>
      <c r="CD69" s="522"/>
      <c r="CE69" s="522"/>
      <c r="CF69" s="522"/>
      <c r="CG69" s="522"/>
      <c r="CH69" s="522"/>
      <c r="CI69" s="522"/>
      <c r="CJ69" s="522"/>
      <c r="CK69" s="522"/>
      <c r="CL69" s="522"/>
      <c r="CM69" s="522"/>
      <c r="CN69" s="522"/>
      <c r="CO69" s="522"/>
      <c r="CP69" s="522"/>
      <c r="CQ69" s="522"/>
      <c r="CR69" s="522"/>
      <c r="CS69" s="522"/>
      <c r="CT69" s="522"/>
      <c r="CU69" s="522"/>
      <c r="CV69" s="522"/>
      <c r="CW69" s="522"/>
      <c r="CX69" s="522"/>
      <c r="CY69" s="522"/>
      <c r="CZ69" s="522"/>
      <c r="DA69" s="522"/>
      <c r="DB69" s="522"/>
      <c r="DC69" s="522"/>
      <c r="DD69" s="522"/>
      <c r="DE69" s="522"/>
      <c r="DF69" s="522"/>
      <c r="DG69" s="522"/>
      <c r="DH69" s="522"/>
      <c r="DI69" s="522"/>
      <c r="DJ69" s="522"/>
      <c r="DK69" s="522"/>
      <c r="DL69" s="522"/>
      <c r="DM69" s="522"/>
      <c r="DN69" s="522"/>
      <c r="DO69" s="522"/>
      <c r="DP69" s="522"/>
      <c r="DQ69" s="522"/>
      <c r="DR69" s="522"/>
      <c r="DS69" s="522"/>
      <c r="DT69" s="522"/>
      <c r="DU69" s="522"/>
      <c r="DV69" s="522"/>
      <c r="DW69" s="522"/>
      <c r="DX69" s="522"/>
      <c r="DY69" s="522"/>
      <c r="DZ69" s="522"/>
      <c r="EA69" s="522"/>
      <c r="EB69" s="522"/>
      <c r="EC69" s="522"/>
      <c r="ED69" s="522"/>
      <c r="EE69" s="522"/>
      <c r="EF69" s="522"/>
      <c r="EG69" s="522"/>
      <c r="EH69" s="522"/>
      <c r="EI69" s="522"/>
      <c r="EJ69" s="522"/>
      <c r="EK69" s="522"/>
      <c r="EL69" s="522"/>
      <c r="EM69" s="522"/>
      <c r="EN69" s="522"/>
      <c r="EO69" s="522"/>
      <c r="EP69" s="522"/>
      <c r="EQ69" s="522"/>
      <c r="ER69" s="522"/>
      <c r="ES69" s="522"/>
      <c r="ET69" s="522"/>
      <c r="EU69" s="522"/>
      <c r="EV69" s="522"/>
      <c r="EW69" s="522"/>
      <c r="EX69" s="527" t="str">
        <f t="shared" si="1"/>
        <v/>
      </c>
    </row>
    <row r="70" spans="1:154" s="335" customFormat="1" x14ac:dyDescent="0.25">
      <c r="A70" s="522"/>
      <c r="B70" s="522"/>
      <c r="C70" s="522"/>
      <c r="D70" s="522" t="str">
        <f ca="1">'Fin Stat'!D17</f>
        <v>Total European Funding</v>
      </c>
      <c r="E70" s="524"/>
      <c r="F70" s="522"/>
      <c r="G70" s="522"/>
      <c r="H70" s="522"/>
      <c r="I70" s="522"/>
      <c r="J70" s="522"/>
      <c r="K70" s="522"/>
      <c r="L70" s="522"/>
      <c r="M70" s="522"/>
      <c r="N70" s="522"/>
      <c r="O70" s="522"/>
      <c r="P70" s="522"/>
      <c r="Q70" s="522"/>
      <c r="R70" s="522"/>
      <c r="S70" s="522"/>
      <c r="T70" s="522"/>
      <c r="U70" s="522"/>
      <c r="V70" s="536">
        <f>'Fin Stat'!V17</f>
        <v>0</v>
      </c>
      <c r="W70" s="536">
        <f>'Fin Stat'!W17</f>
        <v>8</v>
      </c>
      <c r="X70" s="536">
        <f>'Fin Stat'!X17</f>
        <v>0</v>
      </c>
      <c r="Y70" s="536">
        <f>'Fin Stat'!Y17</f>
        <v>0</v>
      </c>
      <c r="Z70" s="522"/>
      <c r="AA70" s="522"/>
      <c r="AB70" s="522"/>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2"/>
      <c r="AY70" s="522"/>
      <c r="AZ70" s="522"/>
      <c r="BA70" s="522"/>
      <c r="BB70" s="522"/>
      <c r="BC70" s="522"/>
      <c r="BD70" s="522"/>
      <c r="BE70" s="522"/>
      <c r="BF70" s="522"/>
      <c r="BG70" s="522"/>
      <c r="BH70" s="522"/>
      <c r="BI70" s="522"/>
      <c r="BJ70" s="522"/>
      <c r="BK70" s="522"/>
      <c r="BL70" s="522"/>
      <c r="BM70" s="522"/>
      <c r="BN70" s="522"/>
      <c r="BO70" s="522"/>
      <c r="BP70" s="522"/>
      <c r="BQ70" s="522"/>
      <c r="BR70" s="522"/>
      <c r="BS70" s="522"/>
      <c r="BT70" s="522"/>
      <c r="BU70" s="522"/>
      <c r="BV70" s="522"/>
      <c r="BW70" s="522"/>
      <c r="BX70" s="522"/>
      <c r="BY70" s="526"/>
      <c r="BZ70" s="522"/>
      <c r="CA70" s="526"/>
      <c r="CB70" s="522"/>
      <c r="CC70" s="522"/>
      <c r="CD70" s="522"/>
      <c r="CE70" s="522"/>
      <c r="CF70" s="522"/>
      <c r="CG70" s="522"/>
      <c r="CH70" s="522"/>
      <c r="CI70" s="522"/>
      <c r="CJ70" s="522"/>
      <c r="CK70" s="522"/>
      <c r="CL70" s="522"/>
      <c r="CM70" s="522"/>
      <c r="CN70" s="522"/>
      <c r="CO70" s="522"/>
      <c r="CP70" s="522"/>
      <c r="CQ70" s="522"/>
      <c r="CR70" s="522"/>
      <c r="CS70" s="522"/>
      <c r="CT70" s="522"/>
      <c r="CU70" s="522"/>
      <c r="CV70" s="522"/>
      <c r="CW70" s="522"/>
      <c r="CX70" s="522"/>
      <c r="CY70" s="522"/>
      <c r="CZ70" s="522"/>
      <c r="DA70" s="522"/>
      <c r="DB70" s="522"/>
      <c r="DC70" s="522"/>
      <c r="DD70" s="522"/>
      <c r="DE70" s="522"/>
      <c r="DF70" s="522"/>
      <c r="DG70" s="522"/>
      <c r="DH70" s="522"/>
      <c r="DI70" s="522"/>
      <c r="DJ70" s="522"/>
      <c r="DK70" s="522"/>
      <c r="DL70" s="522"/>
      <c r="DM70" s="522"/>
      <c r="DN70" s="522"/>
      <c r="DO70" s="522"/>
      <c r="DP70" s="522"/>
      <c r="DQ70" s="522"/>
      <c r="DR70" s="522"/>
      <c r="DS70" s="522"/>
      <c r="DT70" s="522"/>
      <c r="DU70" s="522"/>
      <c r="DV70" s="522"/>
      <c r="DW70" s="522"/>
      <c r="DX70" s="522"/>
      <c r="DY70" s="522"/>
      <c r="DZ70" s="522"/>
      <c r="EA70" s="522"/>
      <c r="EB70" s="522"/>
      <c r="EC70" s="522"/>
      <c r="ED70" s="522"/>
      <c r="EE70" s="522"/>
      <c r="EF70" s="522"/>
      <c r="EG70" s="522"/>
      <c r="EH70" s="522"/>
      <c r="EI70" s="522"/>
      <c r="EJ70" s="522"/>
      <c r="EK70" s="522"/>
      <c r="EL70" s="522"/>
      <c r="EM70" s="522"/>
      <c r="EN70" s="522"/>
      <c r="EO70" s="522"/>
      <c r="EP70" s="522"/>
      <c r="EQ70" s="522"/>
      <c r="ER70" s="522"/>
      <c r="ES70" s="522"/>
      <c r="ET70" s="522"/>
      <c r="EU70" s="522"/>
      <c r="EV70" s="522"/>
      <c r="EW70" s="522"/>
      <c r="EX70" s="527"/>
    </row>
    <row r="71" spans="1:154" x14ac:dyDescent="0.25">
      <c r="A71" s="522"/>
      <c r="B71" s="522"/>
      <c r="C71" s="522"/>
      <c r="D71" s="522" t="str">
        <f ca="1">'Fin Stat'!D18</f>
        <v>Total Other Income from Provision of Education and Training</v>
      </c>
      <c r="E71" s="524"/>
      <c r="F71" s="522"/>
      <c r="G71" s="522"/>
      <c r="H71" s="522"/>
      <c r="I71" s="522"/>
      <c r="J71" s="522"/>
      <c r="K71" s="522"/>
      <c r="L71" s="522"/>
      <c r="M71" s="522"/>
      <c r="N71" s="522"/>
      <c r="O71" s="522"/>
      <c r="P71" s="522"/>
      <c r="Q71" s="522"/>
      <c r="R71" s="522"/>
      <c r="S71" s="522"/>
      <c r="T71" s="522"/>
      <c r="U71" s="522"/>
      <c r="V71" s="536">
        <f>'Fin Stat'!V18</f>
        <v>0</v>
      </c>
      <c r="W71" s="536">
        <f>'Fin Stat'!W18</f>
        <v>2901</v>
      </c>
      <c r="X71" s="536">
        <f>'Fin Stat'!X18</f>
        <v>2650</v>
      </c>
      <c r="Y71" s="536">
        <f>'Fin Stat'!Y18</f>
        <v>2650</v>
      </c>
      <c r="Z71" s="522"/>
      <c r="AA71" s="522"/>
      <c r="AB71" s="522"/>
      <c r="AC71" s="522"/>
      <c r="AD71" s="522"/>
      <c r="AE71" s="522"/>
      <c r="AF71" s="522"/>
      <c r="AG71" s="522"/>
      <c r="AH71" s="522"/>
      <c r="AI71" s="522"/>
      <c r="AJ71" s="522"/>
      <c r="AK71" s="522"/>
      <c r="AL71" s="522"/>
      <c r="AM71" s="522"/>
      <c r="AN71" s="522"/>
      <c r="AO71" s="522"/>
      <c r="AP71" s="522"/>
      <c r="AQ71" s="522"/>
      <c r="AR71" s="522"/>
      <c r="AS71" s="522"/>
      <c r="AT71" s="522"/>
      <c r="AU71" s="522"/>
      <c r="AV71" s="522"/>
      <c r="AW71" s="522"/>
      <c r="AX71" s="522"/>
      <c r="AY71" s="522"/>
      <c r="AZ71" s="522"/>
      <c r="BA71" s="522"/>
      <c r="BB71" s="522"/>
      <c r="BC71" s="522"/>
      <c r="BD71" s="522"/>
      <c r="BE71" s="522"/>
      <c r="BF71" s="522"/>
      <c r="BG71" s="522"/>
      <c r="BH71" s="522"/>
      <c r="BI71" s="522"/>
      <c r="BJ71" s="522"/>
      <c r="BK71" s="522"/>
      <c r="BL71" s="522"/>
      <c r="BM71" s="522"/>
      <c r="BN71" s="522"/>
      <c r="BO71" s="522"/>
      <c r="BP71" s="522"/>
      <c r="BQ71" s="522"/>
      <c r="BR71" s="522"/>
      <c r="BS71" s="522"/>
      <c r="BT71" s="522"/>
      <c r="BU71" s="522"/>
      <c r="BV71" s="522"/>
      <c r="BW71" s="522"/>
      <c r="BX71" s="522"/>
      <c r="BY71" s="526"/>
      <c r="BZ71" s="522"/>
      <c r="CA71" s="526"/>
      <c r="CB71" s="522"/>
      <c r="CC71" s="522"/>
      <c r="CD71" s="522"/>
      <c r="CE71" s="522"/>
      <c r="CF71" s="522"/>
      <c r="CG71" s="522"/>
      <c r="CH71" s="522"/>
      <c r="CI71" s="522"/>
      <c r="CJ71" s="522"/>
      <c r="CK71" s="522"/>
      <c r="CL71" s="522"/>
      <c r="CM71" s="522"/>
      <c r="CN71" s="522"/>
      <c r="CO71" s="522"/>
      <c r="CP71" s="522"/>
      <c r="CQ71" s="522"/>
      <c r="CR71" s="522"/>
      <c r="CS71" s="522"/>
      <c r="CT71" s="522"/>
      <c r="CU71" s="522"/>
      <c r="CV71" s="522"/>
      <c r="CW71" s="522"/>
      <c r="CX71" s="522"/>
      <c r="CY71" s="522"/>
      <c r="CZ71" s="522"/>
      <c r="DA71" s="522"/>
      <c r="DB71" s="522"/>
      <c r="DC71" s="522"/>
      <c r="DD71" s="522"/>
      <c r="DE71" s="522"/>
      <c r="DF71" s="522"/>
      <c r="DG71" s="522"/>
      <c r="DH71" s="522"/>
      <c r="DI71" s="522"/>
      <c r="DJ71" s="522"/>
      <c r="DK71" s="522"/>
      <c r="DL71" s="522"/>
      <c r="DM71" s="522"/>
      <c r="DN71" s="522"/>
      <c r="DO71" s="522"/>
      <c r="DP71" s="522"/>
      <c r="DQ71" s="522"/>
      <c r="DR71" s="522"/>
      <c r="DS71" s="522"/>
      <c r="DT71" s="522"/>
      <c r="DU71" s="522"/>
      <c r="DV71" s="522"/>
      <c r="DW71" s="522"/>
      <c r="DX71" s="522"/>
      <c r="DY71" s="522"/>
      <c r="DZ71" s="522"/>
      <c r="EA71" s="522"/>
      <c r="EB71" s="522"/>
      <c r="EC71" s="522"/>
      <c r="ED71" s="522"/>
      <c r="EE71" s="522"/>
      <c r="EF71" s="522"/>
      <c r="EG71" s="522"/>
      <c r="EH71" s="522"/>
      <c r="EI71" s="522"/>
      <c r="EJ71" s="522"/>
      <c r="EK71" s="522"/>
      <c r="EL71" s="522"/>
      <c r="EM71" s="522"/>
      <c r="EN71" s="522"/>
      <c r="EO71" s="522"/>
      <c r="EP71" s="522"/>
      <c r="EQ71" s="522"/>
      <c r="ER71" s="522"/>
      <c r="ES71" s="522"/>
      <c r="ET71" s="522"/>
      <c r="EU71" s="522"/>
      <c r="EV71" s="522"/>
      <c r="EW71" s="522"/>
      <c r="EX71" s="527" t="str">
        <f t="shared" si="1"/>
        <v/>
      </c>
    </row>
    <row r="72" spans="1:154" x14ac:dyDescent="0.25">
      <c r="A72" s="522"/>
      <c r="B72" s="522"/>
      <c r="C72" s="522"/>
      <c r="D72" s="522" t="str">
        <f ca="1">'Fin Stat'!D19</f>
        <v>Total commercial income</v>
      </c>
      <c r="E72" s="524"/>
      <c r="F72" s="522"/>
      <c r="G72" s="522"/>
      <c r="H72" s="522"/>
      <c r="I72" s="522"/>
      <c r="J72" s="522"/>
      <c r="K72" s="522"/>
      <c r="L72" s="522"/>
      <c r="M72" s="522"/>
      <c r="N72" s="522"/>
      <c r="O72" s="522"/>
      <c r="P72" s="522"/>
      <c r="Q72" s="522"/>
      <c r="R72" s="522"/>
      <c r="S72" s="522"/>
      <c r="T72" s="522"/>
      <c r="U72" s="522"/>
      <c r="V72" s="536">
        <f>'Fin Stat'!V19</f>
        <v>0</v>
      </c>
      <c r="W72" s="536">
        <f>'Fin Stat'!W19</f>
        <v>938</v>
      </c>
      <c r="X72" s="536">
        <f>'Fin Stat'!X19</f>
        <v>1250</v>
      </c>
      <c r="Y72" s="536">
        <f>'Fin Stat'!Y19</f>
        <v>1275.2299999999998</v>
      </c>
      <c r="Z72" s="522"/>
      <c r="AA72" s="522"/>
      <c r="AB72" s="522"/>
      <c r="AC72" s="522"/>
      <c r="AD72" s="522"/>
      <c r="AE72" s="522"/>
      <c r="AF72" s="522"/>
      <c r="AG72" s="522"/>
      <c r="AH72" s="522"/>
      <c r="AI72" s="522"/>
      <c r="AJ72" s="522"/>
      <c r="AK72" s="522"/>
      <c r="AL72" s="522"/>
      <c r="AM72" s="522"/>
      <c r="AN72" s="522"/>
      <c r="AO72" s="522"/>
      <c r="AP72" s="522"/>
      <c r="AQ72" s="522"/>
      <c r="AR72" s="522"/>
      <c r="AS72" s="522"/>
      <c r="AT72" s="522"/>
      <c r="AU72" s="522"/>
      <c r="AV72" s="522"/>
      <c r="AW72" s="522"/>
      <c r="AX72" s="522"/>
      <c r="AY72" s="522"/>
      <c r="AZ72" s="522"/>
      <c r="BA72" s="522"/>
      <c r="BB72" s="522"/>
      <c r="BC72" s="522"/>
      <c r="BD72" s="522"/>
      <c r="BE72" s="522"/>
      <c r="BF72" s="522"/>
      <c r="BG72" s="522"/>
      <c r="BH72" s="522"/>
      <c r="BI72" s="522"/>
      <c r="BJ72" s="522"/>
      <c r="BK72" s="522"/>
      <c r="BL72" s="522"/>
      <c r="BM72" s="522"/>
      <c r="BN72" s="522"/>
      <c r="BO72" s="522"/>
      <c r="BP72" s="522"/>
      <c r="BQ72" s="522"/>
      <c r="BR72" s="522"/>
      <c r="BS72" s="522"/>
      <c r="BT72" s="522"/>
      <c r="BU72" s="522"/>
      <c r="BV72" s="522"/>
      <c r="BW72" s="522"/>
      <c r="BX72" s="522"/>
      <c r="BY72" s="526"/>
      <c r="BZ72" s="522"/>
      <c r="CA72" s="526"/>
      <c r="CB72" s="522"/>
      <c r="CC72" s="522"/>
      <c r="CD72" s="522"/>
      <c r="CE72" s="522"/>
      <c r="CF72" s="522"/>
      <c r="CG72" s="522"/>
      <c r="CH72" s="522"/>
      <c r="CI72" s="522"/>
      <c r="CJ72" s="522"/>
      <c r="CK72" s="522"/>
      <c r="CL72" s="522"/>
      <c r="CM72" s="522"/>
      <c r="CN72" s="522"/>
      <c r="CO72" s="522"/>
      <c r="CP72" s="522"/>
      <c r="CQ72" s="522"/>
      <c r="CR72" s="522"/>
      <c r="CS72" s="522"/>
      <c r="CT72" s="522"/>
      <c r="CU72" s="522"/>
      <c r="CV72" s="522"/>
      <c r="CW72" s="522"/>
      <c r="CX72" s="522"/>
      <c r="CY72" s="522"/>
      <c r="CZ72" s="522"/>
      <c r="DA72" s="522"/>
      <c r="DB72" s="522"/>
      <c r="DC72" s="522"/>
      <c r="DD72" s="522"/>
      <c r="DE72" s="522"/>
      <c r="DF72" s="522"/>
      <c r="DG72" s="522"/>
      <c r="DH72" s="522"/>
      <c r="DI72" s="522"/>
      <c r="DJ72" s="522"/>
      <c r="DK72" s="522"/>
      <c r="DL72" s="522"/>
      <c r="DM72" s="522"/>
      <c r="DN72" s="522"/>
      <c r="DO72" s="522"/>
      <c r="DP72" s="522"/>
      <c r="DQ72" s="522"/>
      <c r="DR72" s="522"/>
      <c r="DS72" s="522"/>
      <c r="DT72" s="522"/>
      <c r="DU72" s="522"/>
      <c r="DV72" s="522"/>
      <c r="DW72" s="522"/>
      <c r="DX72" s="522"/>
      <c r="DY72" s="522"/>
      <c r="DZ72" s="522"/>
      <c r="EA72" s="522"/>
      <c r="EB72" s="522"/>
      <c r="EC72" s="522"/>
      <c r="ED72" s="522"/>
      <c r="EE72" s="522"/>
      <c r="EF72" s="522"/>
      <c r="EG72" s="522"/>
      <c r="EH72" s="522"/>
      <c r="EI72" s="522"/>
      <c r="EJ72" s="522"/>
      <c r="EK72" s="522"/>
      <c r="EL72" s="522"/>
      <c r="EM72" s="522"/>
      <c r="EN72" s="522"/>
      <c r="EO72" s="522"/>
      <c r="EP72" s="522"/>
      <c r="EQ72" s="522"/>
      <c r="ER72" s="522"/>
      <c r="ES72" s="522"/>
      <c r="ET72" s="522"/>
      <c r="EU72" s="522"/>
      <c r="EV72" s="522"/>
      <c r="EW72" s="522"/>
      <c r="EX72" s="527" t="str">
        <f t="shared" si="1"/>
        <v/>
      </c>
    </row>
    <row r="73" spans="1:154" x14ac:dyDescent="0.25">
      <c r="A73" s="522"/>
      <c r="B73" s="522"/>
      <c r="C73" s="522"/>
      <c r="D73" s="522" t="str">
        <f ca="1">'Fin Stat'!D20</f>
        <v>Total Other Income</v>
      </c>
      <c r="E73" s="524"/>
      <c r="F73" s="522"/>
      <c r="G73" s="522"/>
      <c r="H73" s="522"/>
      <c r="I73" s="522"/>
      <c r="J73" s="522"/>
      <c r="K73" s="522"/>
      <c r="L73" s="522"/>
      <c r="M73" s="522"/>
      <c r="N73" s="522"/>
      <c r="O73" s="522"/>
      <c r="P73" s="522"/>
      <c r="Q73" s="522"/>
      <c r="R73" s="522"/>
      <c r="S73" s="522"/>
      <c r="T73" s="522"/>
      <c r="U73" s="522"/>
      <c r="V73" s="536">
        <f>'Fin Stat'!V20</f>
        <v>0</v>
      </c>
      <c r="W73" s="536">
        <f>'Fin Stat'!W20</f>
        <v>135</v>
      </c>
      <c r="X73" s="536">
        <f>'Fin Stat'!X20</f>
        <v>0</v>
      </c>
      <c r="Y73" s="536">
        <f>'Fin Stat'!Y20</f>
        <v>0</v>
      </c>
      <c r="Z73" s="522"/>
      <c r="AA73" s="522"/>
      <c r="AB73" s="522"/>
      <c r="AC73" s="522"/>
      <c r="AD73" s="522"/>
      <c r="AE73" s="522"/>
      <c r="AF73" s="522"/>
      <c r="AG73" s="522"/>
      <c r="AH73" s="522"/>
      <c r="AI73" s="522"/>
      <c r="AJ73" s="522"/>
      <c r="AK73" s="522"/>
      <c r="AL73" s="522"/>
      <c r="AM73" s="522"/>
      <c r="AN73" s="522"/>
      <c r="AO73" s="522"/>
      <c r="AP73" s="522"/>
      <c r="AQ73" s="522"/>
      <c r="AR73" s="522"/>
      <c r="AS73" s="522"/>
      <c r="AT73" s="522"/>
      <c r="AU73" s="522"/>
      <c r="AV73" s="522"/>
      <c r="AW73" s="522"/>
      <c r="AX73" s="522"/>
      <c r="AY73" s="522"/>
      <c r="AZ73" s="522"/>
      <c r="BA73" s="522"/>
      <c r="BB73" s="522"/>
      <c r="BC73" s="522"/>
      <c r="BD73" s="522"/>
      <c r="BE73" s="522"/>
      <c r="BF73" s="522"/>
      <c r="BG73" s="522"/>
      <c r="BH73" s="522"/>
      <c r="BI73" s="522"/>
      <c r="BJ73" s="522"/>
      <c r="BK73" s="522"/>
      <c r="BL73" s="522"/>
      <c r="BM73" s="522"/>
      <c r="BN73" s="522"/>
      <c r="BO73" s="522"/>
      <c r="BP73" s="522"/>
      <c r="BQ73" s="522"/>
      <c r="BR73" s="522"/>
      <c r="BS73" s="522"/>
      <c r="BT73" s="522"/>
      <c r="BU73" s="522"/>
      <c r="BV73" s="522"/>
      <c r="BW73" s="522"/>
      <c r="BX73" s="522"/>
      <c r="BY73" s="526"/>
      <c r="BZ73" s="522"/>
      <c r="CA73" s="526"/>
      <c r="CB73" s="522"/>
      <c r="CC73" s="522"/>
      <c r="CD73" s="522"/>
      <c r="CE73" s="522"/>
      <c r="CF73" s="522"/>
      <c r="CG73" s="522"/>
      <c r="CH73" s="522"/>
      <c r="CI73" s="522"/>
      <c r="CJ73" s="522"/>
      <c r="CK73" s="522"/>
      <c r="CL73" s="522"/>
      <c r="CM73" s="522"/>
      <c r="CN73" s="522"/>
      <c r="CO73" s="522"/>
      <c r="CP73" s="522"/>
      <c r="CQ73" s="522"/>
      <c r="CR73" s="522"/>
      <c r="CS73" s="522"/>
      <c r="CT73" s="522"/>
      <c r="CU73" s="522"/>
      <c r="CV73" s="522"/>
      <c r="CW73" s="522"/>
      <c r="CX73" s="522"/>
      <c r="CY73" s="522"/>
      <c r="CZ73" s="522"/>
      <c r="DA73" s="522"/>
      <c r="DB73" s="522"/>
      <c r="DC73" s="522"/>
      <c r="DD73" s="522"/>
      <c r="DE73" s="522"/>
      <c r="DF73" s="522"/>
      <c r="DG73" s="522"/>
      <c r="DH73" s="522"/>
      <c r="DI73" s="522"/>
      <c r="DJ73" s="522"/>
      <c r="DK73" s="522"/>
      <c r="DL73" s="522"/>
      <c r="DM73" s="522"/>
      <c r="DN73" s="522"/>
      <c r="DO73" s="522"/>
      <c r="DP73" s="522"/>
      <c r="DQ73" s="522"/>
      <c r="DR73" s="522"/>
      <c r="DS73" s="522"/>
      <c r="DT73" s="522"/>
      <c r="DU73" s="522"/>
      <c r="DV73" s="522"/>
      <c r="DW73" s="522"/>
      <c r="DX73" s="522"/>
      <c r="DY73" s="522"/>
      <c r="DZ73" s="522"/>
      <c r="EA73" s="522"/>
      <c r="EB73" s="522"/>
      <c r="EC73" s="522"/>
      <c r="ED73" s="522"/>
      <c r="EE73" s="522"/>
      <c r="EF73" s="522"/>
      <c r="EG73" s="522"/>
      <c r="EH73" s="522"/>
      <c r="EI73" s="522"/>
      <c r="EJ73" s="522"/>
      <c r="EK73" s="522"/>
      <c r="EL73" s="522"/>
      <c r="EM73" s="522"/>
      <c r="EN73" s="522"/>
      <c r="EO73" s="522"/>
      <c r="EP73" s="522"/>
      <c r="EQ73" s="522"/>
      <c r="ER73" s="522"/>
      <c r="ES73" s="522"/>
      <c r="ET73" s="522"/>
      <c r="EU73" s="522"/>
      <c r="EV73" s="522"/>
      <c r="EW73" s="522"/>
      <c r="EX73" s="527" t="str">
        <f t="shared" si="1"/>
        <v/>
      </c>
    </row>
    <row r="74" spans="1:154" x14ac:dyDescent="0.25">
      <c r="A74" s="522"/>
      <c r="B74" s="522"/>
      <c r="C74" s="522"/>
      <c r="D74" s="522" t="str">
        <f ca="1">'Fin Stat'!D21</f>
        <v>Total Emergency Funding</v>
      </c>
      <c r="E74" s="524"/>
      <c r="F74" s="522"/>
      <c r="G74" s="522"/>
      <c r="H74" s="522"/>
      <c r="I74" s="522"/>
      <c r="J74" s="522"/>
      <c r="K74" s="522"/>
      <c r="L74" s="522"/>
      <c r="M74" s="522"/>
      <c r="N74" s="522"/>
      <c r="O74" s="522"/>
      <c r="P74" s="522"/>
      <c r="Q74" s="522"/>
      <c r="R74" s="522"/>
      <c r="S74" s="522"/>
      <c r="T74" s="522"/>
      <c r="U74" s="522"/>
      <c r="V74" s="536">
        <f>'Fin Stat'!V21</f>
        <v>0</v>
      </c>
      <c r="W74" s="536">
        <f>'Fin Stat'!W21</f>
        <v>0</v>
      </c>
      <c r="X74" s="536">
        <f>'Fin Stat'!X21</f>
        <v>0</v>
      </c>
      <c r="Y74" s="536">
        <f>'Fin Stat'!Y21</f>
        <v>0</v>
      </c>
      <c r="Z74" s="522"/>
      <c r="AA74" s="522"/>
      <c r="AB74" s="522"/>
      <c r="AC74" s="522"/>
      <c r="AD74" s="522"/>
      <c r="AE74" s="522"/>
      <c r="AF74" s="522"/>
      <c r="AG74" s="522"/>
      <c r="AH74" s="522"/>
      <c r="AI74" s="522"/>
      <c r="AJ74" s="522"/>
      <c r="AK74" s="522"/>
      <c r="AL74" s="522"/>
      <c r="AM74" s="522"/>
      <c r="AN74" s="522"/>
      <c r="AO74" s="522"/>
      <c r="AP74" s="522"/>
      <c r="AQ74" s="522"/>
      <c r="AR74" s="522"/>
      <c r="AS74" s="522"/>
      <c r="AT74" s="522"/>
      <c r="AU74" s="522"/>
      <c r="AV74" s="522"/>
      <c r="AW74" s="522"/>
      <c r="AX74" s="522"/>
      <c r="AY74" s="522"/>
      <c r="AZ74" s="522"/>
      <c r="BA74" s="522"/>
      <c r="BB74" s="522"/>
      <c r="BC74" s="522"/>
      <c r="BD74" s="522"/>
      <c r="BE74" s="522"/>
      <c r="BF74" s="522"/>
      <c r="BG74" s="522"/>
      <c r="BH74" s="522"/>
      <c r="BI74" s="522"/>
      <c r="BJ74" s="522"/>
      <c r="BK74" s="522"/>
      <c r="BL74" s="522"/>
      <c r="BM74" s="522"/>
      <c r="BN74" s="522"/>
      <c r="BO74" s="522"/>
      <c r="BP74" s="522"/>
      <c r="BQ74" s="522"/>
      <c r="BR74" s="522"/>
      <c r="BS74" s="522"/>
      <c r="BT74" s="522"/>
      <c r="BU74" s="522"/>
      <c r="BV74" s="522"/>
      <c r="BW74" s="522"/>
      <c r="BX74" s="522"/>
      <c r="BY74" s="526"/>
      <c r="BZ74" s="522"/>
      <c r="CA74" s="526"/>
      <c r="CB74" s="522"/>
      <c r="CC74" s="522"/>
      <c r="CD74" s="522"/>
      <c r="CE74" s="522"/>
      <c r="CF74" s="522"/>
      <c r="CG74" s="522"/>
      <c r="CH74" s="522"/>
      <c r="CI74" s="522"/>
      <c r="CJ74" s="522"/>
      <c r="CK74" s="522"/>
      <c r="CL74" s="522"/>
      <c r="CM74" s="522"/>
      <c r="CN74" s="522"/>
      <c r="CO74" s="522"/>
      <c r="CP74" s="522"/>
      <c r="CQ74" s="522"/>
      <c r="CR74" s="522"/>
      <c r="CS74" s="522"/>
      <c r="CT74" s="522"/>
      <c r="CU74" s="522"/>
      <c r="CV74" s="522"/>
      <c r="CW74" s="522"/>
      <c r="CX74" s="522"/>
      <c r="CY74" s="522"/>
      <c r="CZ74" s="522"/>
      <c r="DA74" s="522"/>
      <c r="DB74" s="522"/>
      <c r="DC74" s="522"/>
      <c r="DD74" s="522"/>
      <c r="DE74" s="522"/>
      <c r="DF74" s="522"/>
      <c r="DG74" s="522"/>
      <c r="DH74" s="522"/>
      <c r="DI74" s="522"/>
      <c r="DJ74" s="522"/>
      <c r="DK74" s="522"/>
      <c r="DL74" s="522"/>
      <c r="DM74" s="522"/>
      <c r="DN74" s="522"/>
      <c r="DO74" s="522"/>
      <c r="DP74" s="522"/>
      <c r="DQ74" s="522"/>
      <c r="DR74" s="522"/>
      <c r="DS74" s="522"/>
      <c r="DT74" s="522"/>
      <c r="DU74" s="522"/>
      <c r="DV74" s="522"/>
      <c r="DW74" s="522"/>
      <c r="DX74" s="522"/>
      <c r="DY74" s="522"/>
      <c r="DZ74" s="522"/>
      <c r="EA74" s="522"/>
      <c r="EB74" s="522"/>
      <c r="EC74" s="522"/>
      <c r="ED74" s="522"/>
      <c r="EE74" s="522"/>
      <c r="EF74" s="522"/>
      <c r="EG74" s="522"/>
      <c r="EH74" s="522"/>
      <c r="EI74" s="522"/>
      <c r="EJ74" s="522"/>
      <c r="EK74" s="522"/>
      <c r="EL74" s="522"/>
      <c r="EM74" s="522"/>
      <c r="EN74" s="522"/>
      <c r="EO74" s="522"/>
      <c r="EP74" s="522"/>
      <c r="EQ74" s="522"/>
      <c r="ER74" s="522"/>
      <c r="ES74" s="522"/>
      <c r="ET74" s="522"/>
      <c r="EU74" s="522"/>
      <c r="EV74" s="522"/>
      <c r="EW74" s="522"/>
      <c r="EX74" s="527" t="str">
        <f t="shared" si="1"/>
        <v/>
      </c>
    </row>
    <row r="75" spans="1:154" s="335" customFormat="1" x14ac:dyDescent="0.25">
      <c r="A75" s="522"/>
      <c r="B75" s="522"/>
      <c r="C75" s="522"/>
      <c r="D75" s="522" t="str">
        <f ca="1">'Fin Stat'!D22</f>
        <v>Total gifts and donated assets</v>
      </c>
      <c r="E75" s="524"/>
      <c r="F75" s="522"/>
      <c r="G75" s="522"/>
      <c r="H75" s="522"/>
      <c r="I75" s="522"/>
      <c r="J75" s="522"/>
      <c r="K75" s="522"/>
      <c r="L75" s="522"/>
      <c r="M75" s="522"/>
      <c r="N75" s="522"/>
      <c r="O75" s="522"/>
      <c r="P75" s="522"/>
      <c r="Q75" s="522"/>
      <c r="R75" s="522"/>
      <c r="S75" s="522"/>
      <c r="T75" s="522"/>
      <c r="U75" s="522"/>
      <c r="V75" s="536">
        <f>'Fin Stat'!V22</f>
        <v>0</v>
      </c>
      <c r="W75" s="536">
        <f>'Fin Stat'!W22</f>
        <v>0</v>
      </c>
      <c r="X75" s="536">
        <f>'Fin Stat'!X22</f>
        <v>0</v>
      </c>
      <c r="Y75" s="536">
        <f>'Fin Stat'!Y22</f>
        <v>0</v>
      </c>
      <c r="Z75" s="522"/>
      <c r="AA75" s="522"/>
      <c r="AB75" s="522"/>
      <c r="AC75" s="522"/>
      <c r="AD75" s="522"/>
      <c r="AE75" s="522"/>
      <c r="AF75" s="522"/>
      <c r="AG75" s="522"/>
      <c r="AH75" s="522"/>
      <c r="AI75" s="522"/>
      <c r="AJ75" s="522"/>
      <c r="AK75" s="522"/>
      <c r="AL75" s="522"/>
      <c r="AM75" s="522"/>
      <c r="AN75" s="522"/>
      <c r="AO75" s="522"/>
      <c r="AP75" s="522"/>
      <c r="AQ75" s="522"/>
      <c r="AR75" s="522"/>
      <c r="AS75" s="522"/>
      <c r="AT75" s="522"/>
      <c r="AU75" s="522"/>
      <c r="AV75" s="522"/>
      <c r="AW75" s="522"/>
      <c r="AX75" s="522"/>
      <c r="AY75" s="522"/>
      <c r="AZ75" s="522"/>
      <c r="BA75" s="522"/>
      <c r="BB75" s="522"/>
      <c r="BC75" s="522"/>
      <c r="BD75" s="522"/>
      <c r="BE75" s="522"/>
      <c r="BF75" s="522"/>
      <c r="BG75" s="522"/>
      <c r="BH75" s="522"/>
      <c r="BI75" s="522"/>
      <c r="BJ75" s="522"/>
      <c r="BK75" s="522"/>
      <c r="BL75" s="522"/>
      <c r="BM75" s="522"/>
      <c r="BN75" s="522"/>
      <c r="BO75" s="522"/>
      <c r="BP75" s="522"/>
      <c r="BQ75" s="522"/>
      <c r="BR75" s="522"/>
      <c r="BS75" s="522"/>
      <c r="BT75" s="522"/>
      <c r="BU75" s="522"/>
      <c r="BV75" s="522"/>
      <c r="BW75" s="522"/>
      <c r="BX75" s="522"/>
      <c r="BY75" s="526"/>
      <c r="BZ75" s="522"/>
      <c r="CA75" s="526"/>
      <c r="CB75" s="522"/>
      <c r="CC75" s="522"/>
      <c r="CD75" s="522"/>
      <c r="CE75" s="522"/>
      <c r="CF75" s="522"/>
      <c r="CG75" s="522"/>
      <c r="CH75" s="522"/>
      <c r="CI75" s="522"/>
      <c r="CJ75" s="522"/>
      <c r="CK75" s="522"/>
      <c r="CL75" s="522"/>
      <c r="CM75" s="522"/>
      <c r="CN75" s="522"/>
      <c r="CO75" s="522"/>
      <c r="CP75" s="522"/>
      <c r="CQ75" s="522"/>
      <c r="CR75" s="522"/>
      <c r="CS75" s="522"/>
      <c r="CT75" s="522"/>
      <c r="CU75" s="522"/>
      <c r="CV75" s="522"/>
      <c r="CW75" s="522"/>
      <c r="CX75" s="522"/>
      <c r="CY75" s="522"/>
      <c r="CZ75" s="522"/>
      <c r="DA75" s="522"/>
      <c r="DB75" s="522"/>
      <c r="DC75" s="522"/>
      <c r="DD75" s="522"/>
      <c r="DE75" s="522"/>
      <c r="DF75" s="522"/>
      <c r="DG75" s="522"/>
      <c r="DH75" s="522"/>
      <c r="DI75" s="522"/>
      <c r="DJ75" s="522"/>
      <c r="DK75" s="522"/>
      <c r="DL75" s="522"/>
      <c r="DM75" s="522"/>
      <c r="DN75" s="522"/>
      <c r="DO75" s="522"/>
      <c r="DP75" s="522"/>
      <c r="DQ75" s="522"/>
      <c r="DR75" s="522"/>
      <c r="DS75" s="522"/>
      <c r="DT75" s="522"/>
      <c r="DU75" s="522"/>
      <c r="DV75" s="522"/>
      <c r="DW75" s="522"/>
      <c r="DX75" s="522"/>
      <c r="DY75" s="522"/>
      <c r="DZ75" s="522"/>
      <c r="EA75" s="522"/>
      <c r="EB75" s="522"/>
      <c r="EC75" s="522"/>
      <c r="ED75" s="522"/>
      <c r="EE75" s="522"/>
      <c r="EF75" s="522"/>
      <c r="EG75" s="522"/>
      <c r="EH75" s="522"/>
      <c r="EI75" s="522"/>
      <c r="EJ75" s="522"/>
      <c r="EK75" s="522"/>
      <c r="EL75" s="522"/>
      <c r="EM75" s="522"/>
      <c r="EN75" s="522"/>
      <c r="EO75" s="522"/>
      <c r="EP75" s="522"/>
      <c r="EQ75" s="522"/>
      <c r="ER75" s="522"/>
      <c r="ES75" s="522"/>
      <c r="ET75" s="522"/>
      <c r="EU75" s="522"/>
      <c r="EV75" s="522"/>
      <c r="EW75" s="522"/>
      <c r="EX75" s="527" t="str">
        <f t="shared" si="1"/>
        <v/>
      </c>
    </row>
    <row r="76" spans="1:154" x14ac:dyDescent="0.25">
      <c r="A76" s="522"/>
      <c r="B76" s="522"/>
      <c r="C76" s="522"/>
      <c r="D76" s="535" t="str">
        <f>'Fin Stat'!D23</f>
        <v>Total Operating Income</v>
      </c>
      <c r="E76" s="524"/>
      <c r="F76" s="522"/>
      <c r="G76" s="522"/>
      <c r="H76" s="522"/>
      <c r="I76" s="522"/>
      <c r="J76" s="522"/>
      <c r="K76" s="522"/>
      <c r="L76" s="522"/>
      <c r="M76" s="522"/>
      <c r="N76" s="522"/>
      <c r="O76" s="522"/>
      <c r="P76" s="522"/>
      <c r="Q76" s="522"/>
      <c r="R76" s="522"/>
      <c r="S76" s="522"/>
      <c r="T76" s="522"/>
      <c r="U76" s="522"/>
      <c r="V76" s="373">
        <f>SUM(V66:V75)</f>
        <v>0</v>
      </c>
      <c r="W76" s="373">
        <f t="shared" ref="W76:Y76" si="6">SUM(W66:W74)</f>
        <v>27973</v>
      </c>
      <c r="X76" s="373">
        <f t="shared" si="6"/>
        <v>29133</v>
      </c>
      <c r="Y76" s="373">
        <f t="shared" si="6"/>
        <v>30071.37</v>
      </c>
      <c r="Z76" s="522"/>
      <c r="AA76" s="522"/>
      <c r="AB76" s="522"/>
      <c r="AC76" s="522"/>
      <c r="AD76" s="522"/>
      <c r="AE76" s="522"/>
      <c r="AF76" s="522"/>
      <c r="AG76" s="522"/>
      <c r="AH76" s="522"/>
      <c r="AI76" s="522"/>
      <c r="AJ76" s="522"/>
      <c r="AK76" s="522"/>
      <c r="AL76" s="522"/>
      <c r="AM76" s="522"/>
      <c r="AN76" s="522"/>
      <c r="AO76" s="522"/>
      <c r="AP76" s="522"/>
      <c r="AQ76" s="522"/>
      <c r="AR76" s="522"/>
      <c r="AS76" s="522"/>
      <c r="AT76" s="522"/>
      <c r="AU76" s="522"/>
      <c r="AV76" s="522"/>
      <c r="AW76" s="522"/>
      <c r="AX76" s="522"/>
      <c r="AY76" s="522"/>
      <c r="AZ76" s="522"/>
      <c r="BA76" s="522"/>
      <c r="BB76" s="522"/>
      <c r="BC76" s="522"/>
      <c r="BD76" s="522"/>
      <c r="BE76" s="522"/>
      <c r="BF76" s="522"/>
      <c r="BG76" s="522"/>
      <c r="BH76" s="522"/>
      <c r="BI76" s="522"/>
      <c r="BJ76" s="522"/>
      <c r="BK76" s="522"/>
      <c r="BL76" s="522"/>
      <c r="BM76" s="522"/>
      <c r="BN76" s="522"/>
      <c r="BO76" s="522"/>
      <c r="BP76" s="522"/>
      <c r="BQ76" s="522"/>
      <c r="BR76" s="522"/>
      <c r="BS76" s="522"/>
      <c r="BT76" s="522"/>
      <c r="BU76" s="522"/>
      <c r="BV76" s="522"/>
      <c r="BW76" s="522"/>
      <c r="BX76" s="522"/>
      <c r="BY76" s="526"/>
      <c r="BZ76" s="522"/>
      <c r="CA76" s="526"/>
      <c r="CB76" s="522"/>
      <c r="CC76" s="522"/>
      <c r="CD76" s="522"/>
      <c r="CE76" s="522"/>
      <c r="CF76" s="522"/>
      <c r="CG76" s="522"/>
      <c r="CH76" s="522"/>
      <c r="CI76" s="522"/>
      <c r="CJ76" s="522"/>
      <c r="CK76" s="522"/>
      <c r="CL76" s="522"/>
      <c r="CM76" s="522"/>
      <c r="CN76" s="522"/>
      <c r="CO76" s="522"/>
      <c r="CP76" s="522"/>
      <c r="CQ76" s="522"/>
      <c r="CR76" s="522"/>
      <c r="CS76" s="522"/>
      <c r="CT76" s="522"/>
      <c r="CU76" s="522"/>
      <c r="CV76" s="522"/>
      <c r="CW76" s="522"/>
      <c r="CX76" s="522"/>
      <c r="CY76" s="522"/>
      <c r="CZ76" s="522"/>
      <c r="DA76" s="522"/>
      <c r="DB76" s="522"/>
      <c r="DC76" s="522"/>
      <c r="DD76" s="522"/>
      <c r="DE76" s="522"/>
      <c r="DF76" s="522"/>
      <c r="DG76" s="522"/>
      <c r="DH76" s="522"/>
      <c r="DI76" s="522"/>
      <c r="DJ76" s="522"/>
      <c r="DK76" s="522"/>
      <c r="DL76" s="522"/>
      <c r="DM76" s="522"/>
      <c r="DN76" s="522"/>
      <c r="DO76" s="522"/>
      <c r="DP76" s="522"/>
      <c r="DQ76" s="522"/>
      <c r="DR76" s="522"/>
      <c r="DS76" s="522"/>
      <c r="DT76" s="522"/>
      <c r="DU76" s="522"/>
      <c r="DV76" s="522"/>
      <c r="DW76" s="522"/>
      <c r="DX76" s="522"/>
      <c r="DY76" s="522"/>
      <c r="DZ76" s="522"/>
      <c r="EA76" s="522"/>
      <c r="EB76" s="522"/>
      <c r="EC76" s="522"/>
      <c r="ED76" s="522"/>
      <c r="EE76" s="522"/>
      <c r="EF76" s="522"/>
      <c r="EG76" s="522"/>
      <c r="EH76" s="522"/>
      <c r="EI76" s="522"/>
      <c r="EJ76" s="522"/>
      <c r="EK76" s="522"/>
      <c r="EL76" s="522"/>
      <c r="EM76" s="522"/>
      <c r="EN76" s="522"/>
      <c r="EO76" s="522"/>
      <c r="EP76" s="522"/>
      <c r="EQ76" s="522"/>
      <c r="ER76" s="522"/>
      <c r="ES76" s="522"/>
      <c r="ET76" s="522"/>
      <c r="EU76" s="522"/>
      <c r="EV76" s="522"/>
      <c r="EW76" s="522"/>
      <c r="EX76" s="527" t="str">
        <f t="shared" ref="EX76:EX103" si="7">IF($C76="","",$D76)</f>
        <v/>
      </c>
    </row>
    <row r="77" spans="1:154" x14ac:dyDescent="0.25">
      <c r="A77" s="522"/>
      <c r="B77" s="522"/>
      <c r="C77" s="522"/>
      <c r="D77" s="522" t="str">
        <f>'Fin Stat'!D24</f>
        <v>Of which: subcontracted out</v>
      </c>
      <c r="E77" s="524"/>
      <c r="F77" s="522"/>
      <c r="G77" s="522"/>
      <c r="H77" s="522"/>
      <c r="I77" s="522"/>
      <c r="J77" s="522"/>
      <c r="K77" s="522"/>
      <c r="L77" s="522"/>
      <c r="M77" s="522"/>
      <c r="N77" s="522"/>
      <c r="O77" s="522"/>
      <c r="P77" s="522"/>
      <c r="Q77" s="522"/>
      <c r="R77" s="522"/>
      <c r="S77" s="534"/>
      <c r="T77" s="522"/>
      <c r="U77" s="522"/>
      <c r="V77" s="536">
        <f>'Fin Stat'!V24</f>
        <v>0</v>
      </c>
      <c r="W77" s="536">
        <f>'Fin Stat'!W24</f>
        <v>0</v>
      </c>
      <c r="X77" s="536">
        <f>'Fin Stat'!X24</f>
        <v>0</v>
      </c>
      <c r="Y77" s="536">
        <f>'Fin Stat'!Y24</f>
        <v>0</v>
      </c>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c r="BH77" s="534"/>
      <c r="BI77" s="534"/>
      <c r="BJ77" s="534"/>
      <c r="BK77" s="534"/>
      <c r="BL77" s="534"/>
      <c r="BM77" s="534"/>
      <c r="BN77" s="534"/>
      <c r="BO77" s="534"/>
      <c r="BP77" s="534"/>
      <c r="BQ77" s="534"/>
      <c r="BR77" s="534"/>
      <c r="BS77" s="534"/>
      <c r="BT77" s="534"/>
      <c r="BU77" s="534"/>
      <c r="BV77" s="534"/>
      <c r="BW77" s="534"/>
      <c r="BX77" s="522"/>
      <c r="BY77" s="526"/>
      <c r="BZ77" s="522"/>
      <c r="CA77" s="526"/>
      <c r="CB77" s="522"/>
      <c r="CC77" s="522"/>
      <c r="CD77" s="522"/>
      <c r="CE77" s="522"/>
      <c r="CF77" s="522"/>
      <c r="CG77" s="522"/>
      <c r="CH77" s="522"/>
      <c r="CI77" s="522"/>
      <c r="CJ77" s="522"/>
      <c r="CK77" s="522"/>
      <c r="CL77" s="522"/>
      <c r="CM77" s="522"/>
      <c r="CN77" s="522"/>
      <c r="CO77" s="522"/>
      <c r="CP77" s="522"/>
      <c r="CQ77" s="522"/>
      <c r="CR77" s="522"/>
      <c r="CS77" s="522"/>
      <c r="CT77" s="522"/>
      <c r="CU77" s="522"/>
      <c r="CV77" s="522"/>
      <c r="CW77" s="522"/>
      <c r="CX77" s="522"/>
      <c r="CY77" s="522"/>
      <c r="CZ77" s="522"/>
      <c r="DA77" s="522"/>
      <c r="DB77" s="522"/>
      <c r="DC77" s="522"/>
      <c r="DD77" s="522"/>
      <c r="DE77" s="522"/>
      <c r="DF77" s="522"/>
      <c r="DG77" s="522"/>
      <c r="DH77" s="522"/>
      <c r="DI77" s="522"/>
      <c r="DJ77" s="522"/>
      <c r="DK77" s="522"/>
      <c r="DL77" s="522"/>
      <c r="DM77" s="522"/>
      <c r="DN77" s="522"/>
      <c r="DO77" s="522"/>
      <c r="DP77" s="522"/>
      <c r="DQ77" s="522"/>
      <c r="DR77" s="522"/>
      <c r="DS77" s="522"/>
      <c r="DT77" s="522"/>
      <c r="DU77" s="522"/>
      <c r="DV77" s="522"/>
      <c r="DW77" s="522"/>
      <c r="DX77" s="522"/>
      <c r="DY77" s="522"/>
      <c r="DZ77" s="522"/>
      <c r="EA77" s="522"/>
      <c r="EB77" s="522"/>
      <c r="EC77" s="522"/>
      <c r="ED77" s="522"/>
      <c r="EE77" s="522"/>
      <c r="EF77" s="522"/>
      <c r="EG77" s="522"/>
      <c r="EH77" s="522"/>
      <c r="EI77" s="522"/>
      <c r="EJ77" s="522"/>
      <c r="EK77" s="522"/>
      <c r="EL77" s="522"/>
      <c r="EM77" s="522"/>
      <c r="EN77" s="522"/>
      <c r="EO77" s="522"/>
      <c r="EP77" s="522"/>
      <c r="EQ77" s="522"/>
      <c r="ER77" s="522"/>
      <c r="ES77" s="522"/>
      <c r="ET77" s="522"/>
      <c r="EU77" s="522"/>
      <c r="EV77" s="522"/>
      <c r="EW77" s="522"/>
      <c r="EX77" s="527" t="str">
        <f t="shared" si="7"/>
        <v/>
      </c>
    </row>
    <row r="78" spans="1:154" x14ac:dyDescent="0.25">
      <c r="A78" s="522"/>
      <c r="B78" s="522"/>
      <c r="C78" s="522"/>
      <c r="D78" s="522"/>
      <c r="E78" s="524"/>
      <c r="F78" s="522"/>
      <c r="G78" s="522"/>
      <c r="H78" s="522"/>
      <c r="I78" s="522"/>
      <c r="J78" s="522"/>
      <c r="K78" s="522"/>
      <c r="L78" s="522"/>
      <c r="M78" s="522"/>
      <c r="N78" s="522"/>
      <c r="O78" s="522"/>
      <c r="P78" s="522"/>
      <c r="Q78" s="522"/>
      <c r="R78" s="522"/>
      <c r="S78" s="522"/>
      <c r="T78" s="522"/>
      <c r="U78" s="522"/>
      <c r="V78" s="522"/>
      <c r="W78" s="522"/>
      <c r="X78" s="522"/>
      <c r="Y78" s="522"/>
      <c r="Z78" s="522"/>
      <c r="AA78" s="522"/>
      <c r="AB78" s="522"/>
      <c r="AC78" s="522"/>
      <c r="AD78" s="522"/>
      <c r="AE78" s="522"/>
      <c r="AF78" s="522"/>
      <c r="AG78" s="522"/>
      <c r="AH78" s="522"/>
      <c r="AI78" s="522"/>
      <c r="AJ78" s="522"/>
      <c r="AK78" s="522"/>
      <c r="AL78" s="522"/>
      <c r="AM78" s="522"/>
      <c r="AN78" s="522"/>
      <c r="AO78" s="522"/>
      <c r="AP78" s="522"/>
      <c r="AQ78" s="522"/>
      <c r="AR78" s="522"/>
      <c r="AS78" s="522"/>
      <c r="AT78" s="522"/>
      <c r="AU78" s="522"/>
      <c r="AV78" s="522"/>
      <c r="AW78" s="522"/>
      <c r="AX78" s="522"/>
      <c r="AY78" s="522"/>
      <c r="AZ78" s="522"/>
      <c r="BA78" s="522"/>
      <c r="BB78" s="522"/>
      <c r="BC78" s="522"/>
      <c r="BD78" s="522"/>
      <c r="BE78" s="522"/>
      <c r="BF78" s="522"/>
      <c r="BG78" s="522"/>
      <c r="BH78" s="522"/>
      <c r="BI78" s="522"/>
      <c r="BJ78" s="522"/>
      <c r="BK78" s="522"/>
      <c r="BL78" s="522"/>
      <c r="BM78" s="522"/>
      <c r="BN78" s="522"/>
      <c r="BO78" s="522"/>
      <c r="BP78" s="522"/>
      <c r="BQ78" s="522"/>
      <c r="BR78" s="522"/>
      <c r="BS78" s="522"/>
      <c r="BT78" s="522"/>
      <c r="BU78" s="522"/>
      <c r="BV78" s="522"/>
      <c r="BW78" s="522"/>
      <c r="BX78" s="522"/>
      <c r="BY78" s="526"/>
      <c r="BZ78" s="522"/>
      <c r="CA78" s="526"/>
      <c r="CB78" s="522"/>
      <c r="CC78" s="522"/>
      <c r="CD78" s="522"/>
      <c r="CE78" s="522"/>
      <c r="CF78" s="522"/>
      <c r="CG78" s="522"/>
      <c r="CH78" s="522"/>
      <c r="CI78" s="522"/>
      <c r="CJ78" s="522"/>
      <c r="CK78" s="522"/>
      <c r="CL78" s="522"/>
      <c r="CM78" s="522"/>
      <c r="CN78" s="522"/>
      <c r="CO78" s="522"/>
      <c r="CP78" s="522"/>
      <c r="CQ78" s="522"/>
      <c r="CR78" s="522"/>
      <c r="CS78" s="522"/>
      <c r="CT78" s="522"/>
      <c r="CU78" s="522"/>
      <c r="CV78" s="522"/>
      <c r="CW78" s="522"/>
      <c r="CX78" s="522"/>
      <c r="CY78" s="522"/>
      <c r="CZ78" s="522"/>
      <c r="DA78" s="522"/>
      <c r="DB78" s="522"/>
      <c r="DC78" s="522"/>
      <c r="DD78" s="522"/>
      <c r="DE78" s="522"/>
      <c r="DF78" s="522"/>
      <c r="DG78" s="522"/>
      <c r="DH78" s="522"/>
      <c r="DI78" s="522"/>
      <c r="DJ78" s="522"/>
      <c r="DK78" s="522"/>
      <c r="DL78" s="522"/>
      <c r="DM78" s="522"/>
      <c r="DN78" s="522"/>
      <c r="DO78" s="522"/>
      <c r="DP78" s="522"/>
      <c r="DQ78" s="522"/>
      <c r="DR78" s="522"/>
      <c r="DS78" s="522"/>
      <c r="DT78" s="522"/>
      <c r="DU78" s="522"/>
      <c r="DV78" s="522"/>
      <c r="DW78" s="522"/>
      <c r="DX78" s="522"/>
      <c r="DY78" s="522"/>
      <c r="DZ78" s="522"/>
      <c r="EA78" s="522"/>
      <c r="EB78" s="522"/>
      <c r="EC78" s="522"/>
      <c r="ED78" s="522"/>
      <c r="EE78" s="522"/>
      <c r="EF78" s="522"/>
      <c r="EG78" s="522"/>
      <c r="EH78" s="522"/>
      <c r="EI78" s="522"/>
      <c r="EJ78" s="522"/>
      <c r="EK78" s="522"/>
      <c r="EL78" s="522"/>
      <c r="EM78" s="522"/>
      <c r="EN78" s="522"/>
      <c r="EO78" s="522"/>
      <c r="EP78" s="522"/>
      <c r="EQ78" s="522"/>
      <c r="ER78" s="522"/>
      <c r="ES78" s="522"/>
      <c r="ET78" s="522"/>
      <c r="EU78" s="522"/>
      <c r="EV78" s="522"/>
      <c r="EW78" s="522"/>
      <c r="EX78" s="527" t="str">
        <f t="shared" si="7"/>
        <v/>
      </c>
    </row>
    <row r="79" spans="1:154" x14ac:dyDescent="0.25">
      <c r="A79" s="522"/>
      <c r="B79" s="522"/>
      <c r="C79" s="522"/>
      <c r="D79" s="522" t="str">
        <f>Ratios!D$66</f>
        <v>Total Staff costs as % of Adjusted Income</v>
      </c>
      <c r="E79" s="524"/>
      <c r="F79" s="522"/>
      <c r="G79" s="522"/>
      <c r="H79" s="522"/>
      <c r="I79" s="522"/>
      <c r="J79" s="522"/>
      <c r="K79" s="522"/>
      <c r="L79" s="522"/>
      <c r="M79" s="522"/>
      <c r="N79" s="522"/>
      <c r="O79" s="522"/>
      <c r="P79" s="522"/>
      <c r="Q79" s="522"/>
      <c r="R79" s="522"/>
      <c r="S79" s="534"/>
      <c r="T79" s="522"/>
      <c r="U79" s="522"/>
      <c r="V79" s="539">
        <f>Ratios!V$66</f>
        <v>0</v>
      </c>
      <c r="W79" s="539">
        <f>Ratios!W$66</f>
        <v>0.61873949880241663</v>
      </c>
      <c r="X79" s="539">
        <f>Ratios!X$66</f>
        <v>0.61973715815118557</v>
      </c>
      <c r="Y79" s="539">
        <f>Ratios!Y$66</f>
        <v>0.61978777643595107</v>
      </c>
      <c r="Z79" s="534"/>
      <c r="AA79" s="534"/>
      <c r="AB79" s="534"/>
      <c r="AC79" s="534"/>
      <c r="AD79" s="534"/>
      <c r="AE79" s="534"/>
      <c r="AF79" s="534"/>
      <c r="AG79" s="534"/>
      <c r="AH79" s="534"/>
      <c r="AI79" s="534"/>
      <c r="AJ79" s="534"/>
      <c r="AK79" s="534"/>
      <c r="AL79" s="534"/>
      <c r="AM79" s="534"/>
      <c r="AN79" s="534"/>
      <c r="AO79" s="534"/>
      <c r="AP79" s="534"/>
      <c r="AQ79" s="534"/>
      <c r="AR79" s="534"/>
      <c r="AS79" s="534"/>
      <c r="AT79" s="534"/>
      <c r="AU79" s="534"/>
      <c r="AV79" s="534"/>
      <c r="AW79" s="534"/>
      <c r="AX79" s="534"/>
      <c r="AY79" s="534"/>
      <c r="AZ79" s="534"/>
      <c r="BA79" s="534"/>
      <c r="BB79" s="534"/>
      <c r="BC79" s="534"/>
      <c r="BD79" s="534"/>
      <c r="BE79" s="534"/>
      <c r="BF79" s="534"/>
      <c r="BG79" s="534"/>
      <c r="BH79" s="534"/>
      <c r="BI79" s="534"/>
      <c r="BJ79" s="534"/>
      <c r="BK79" s="534"/>
      <c r="BL79" s="534"/>
      <c r="BM79" s="534"/>
      <c r="BN79" s="534"/>
      <c r="BO79" s="534"/>
      <c r="BP79" s="534"/>
      <c r="BQ79" s="534"/>
      <c r="BR79" s="534"/>
      <c r="BS79" s="534"/>
      <c r="BT79" s="534"/>
      <c r="BU79" s="534"/>
      <c r="BV79" s="534"/>
      <c r="BW79" s="534"/>
      <c r="BX79" s="522"/>
      <c r="BY79" s="526"/>
      <c r="BZ79" s="522"/>
      <c r="CA79" s="526"/>
      <c r="CB79" s="522"/>
      <c r="CC79" s="522"/>
      <c r="CD79" s="522"/>
      <c r="CE79" s="522"/>
      <c r="CF79" s="522"/>
      <c r="CG79" s="522"/>
      <c r="CH79" s="522"/>
      <c r="CI79" s="522"/>
      <c r="CJ79" s="522"/>
      <c r="CK79" s="522"/>
      <c r="CL79" s="522"/>
      <c r="CM79" s="522"/>
      <c r="CN79" s="522"/>
      <c r="CO79" s="522"/>
      <c r="CP79" s="522"/>
      <c r="CQ79" s="522"/>
      <c r="CR79" s="522"/>
      <c r="CS79" s="522"/>
      <c r="CT79" s="522"/>
      <c r="CU79" s="522"/>
      <c r="CV79" s="522"/>
      <c r="CW79" s="522"/>
      <c r="CX79" s="522"/>
      <c r="CY79" s="522"/>
      <c r="CZ79" s="522"/>
      <c r="DA79" s="522"/>
      <c r="DB79" s="522"/>
      <c r="DC79" s="522"/>
      <c r="DD79" s="522"/>
      <c r="DE79" s="522"/>
      <c r="DF79" s="522"/>
      <c r="DG79" s="522"/>
      <c r="DH79" s="522"/>
      <c r="DI79" s="522"/>
      <c r="DJ79" s="522"/>
      <c r="DK79" s="522"/>
      <c r="DL79" s="522"/>
      <c r="DM79" s="522"/>
      <c r="DN79" s="522"/>
      <c r="DO79" s="522"/>
      <c r="DP79" s="522"/>
      <c r="DQ79" s="522"/>
      <c r="DR79" s="522"/>
      <c r="DS79" s="522"/>
      <c r="DT79" s="522"/>
      <c r="DU79" s="522"/>
      <c r="DV79" s="522"/>
      <c r="DW79" s="522"/>
      <c r="DX79" s="522"/>
      <c r="DY79" s="522"/>
      <c r="DZ79" s="522"/>
      <c r="EA79" s="522"/>
      <c r="EB79" s="522"/>
      <c r="EC79" s="522"/>
      <c r="ED79" s="522"/>
      <c r="EE79" s="522"/>
      <c r="EF79" s="522"/>
      <c r="EG79" s="522"/>
      <c r="EH79" s="522"/>
      <c r="EI79" s="522"/>
      <c r="EJ79" s="522"/>
      <c r="EK79" s="522"/>
      <c r="EL79" s="522"/>
      <c r="EM79" s="522"/>
      <c r="EN79" s="522"/>
      <c r="EO79" s="522"/>
      <c r="EP79" s="522"/>
      <c r="EQ79" s="522"/>
      <c r="ER79" s="522"/>
      <c r="ES79" s="522"/>
      <c r="ET79" s="522"/>
      <c r="EU79" s="522"/>
      <c r="EV79" s="522"/>
      <c r="EW79" s="522"/>
      <c r="EX79" s="527" t="str">
        <f t="shared" si="7"/>
        <v/>
      </c>
    </row>
    <row r="80" spans="1:154" s="335" customFormat="1" ht="8.1" customHeight="1" x14ac:dyDescent="0.25">
      <c r="A80" s="522"/>
      <c r="B80" s="522"/>
      <c r="C80" s="522"/>
      <c r="D80" s="522"/>
      <c r="E80" s="522"/>
      <c r="F80" s="522"/>
      <c r="G80" s="522"/>
      <c r="H80" s="522"/>
      <c r="I80" s="522"/>
      <c r="J80" s="522"/>
      <c r="K80" s="522"/>
      <c r="L80" s="522"/>
      <c r="M80" s="522"/>
      <c r="N80" s="522"/>
      <c r="O80" s="522"/>
      <c r="P80" s="522"/>
      <c r="Q80" s="522"/>
      <c r="R80" s="522"/>
      <c r="S80" s="522"/>
      <c r="T80" s="522"/>
      <c r="U80" s="522"/>
      <c r="V80" s="522"/>
      <c r="W80" s="522"/>
      <c r="X80" s="522"/>
      <c r="Y80" s="522"/>
      <c r="Z80" s="522"/>
      <c r="AA80" s="522"/>
      <c r="AB80" s="522"/>
      <c r="AC80" s="522"/>
      <c r="AD80" s="522"/>
      <c r="AE80" s="522"/>
      <c r="AF80" s="522"/>
      <c r="AG80" s="522"/>
      <c r="AH80" s="522"/>
      <c r="AI80" s="522"/>
      <c r="AJ80" s="522"/>
      <c r="AK80" s="522"/>
      <c r="AL80" s="522"/>
      <c r="AM80" s="522"/>
      <c r="AN80" s="522"/>
      <c r="AO80" s="522"/>
      <c r="AP80" s="522"/>
      <c r="AQ80" s="522"/>
      <c r="AR80" s="522"/>
      <c r="AS80" s="522"/>
      <c r="AT80" s="522"/>
      <c r="AU80" s="522"/>
      <c r="AV80" s="522"/>
      <c r="AW80" s="522"/>
      <c r="AX80" s="522"/>
      <c r="AY80" s="522"/>
      <c r="AZ80" s="522"/>
      <c r="BA80" s="522"/>
      <c r="BB80" s="522"/>
      <c r="BC80" s="522"/>
      <c r="BD80" s="522"/>
      <c r="BE80" s="522"/>
      <c r="BF80" s="522"/>
      <c r="BG80" s="522"/>
      <c r="BH80" s="522"/>
      <c r="BI80" s="522"/>
      <c r="BJ80" s="522"/>
      <c r="BK80" s="522"/>
      <c r="BL80" s="522"/>
      <c r="BM80" s="522"/>
      <c r="BN80" s="522"/>
      <c r="BO80" s="522"/>
      <c r="BP80" s="522"/>
      <c r="BQ80" s="522"/>
      <c r="BR80" s="522"/>
      <c r="BS80" s="522"/>
      <c r="BT80" s="522"/>
      <c r="BU80" s="522"/>
      <c r="BV80" s="522"/>
      <c r="BW80" s="522"/>
      <c r="BX80" s="522"/>
      <c r="BY80" s="526"/>
      <c r="BZ80" s="522"/>
      <c r="CA80" s="526"/>
      <c r="CB80" s="522"/>
      <c r="CC80" s="522"/>
      <c r="CD80" s="522"/>
      <c r="CE80" s="522"/>
      <c r="CF80" s="522"/>
      <c r="CG80" s="522"/>
      <c r="CH80" s="522"/>
      <c r="CI80" s="522"/>
      <c r="CJ80" s="522"/>
      <c r="CK80" s="522"/>
      <c r="CL80" s="522"/>
      <c r="CM80" s="522"/>
      <c r="CN80" s="522"/>
      <c r="CO80" s="522"/>
      <c r="CP80" s="522"/>
      <c r="CQ80" s="522"/>
      <c r="CR80" s="522"/>
      <c r="CS80" s="522"/>
      <c r="CT80" s="522"/>
      <c r="CU80" s="522"/>
      <c r="CV80" s="522"/>
      <c r="CW80" s="522"/>
      <c r="CX80" s="522"/>
      <c r="CY80" s="522"/>
      <c r="CZ80" s="522"/>
      <c r="DA80" s="522"/>
      <c r="DB80" s="522"/>
      <c r="DC80" s="522"/>
      <c r="DD80" s="522"/>
      <c r="DE80" s="522"/>
      <c r="DF80" s="522"/>
      <c r="DG80" s="522"/>
      <c r="DH80" s="522"/>
      <c r="DI80" s="522"/>
      <c r="DJ80" s="522"/>
      <c r="DK80" s="522"/>
      <c r="DL80" s="522"/>
      <c r="DM80" s="522"/>
      <c r="DN80" s="522"/>
      <c r="DO80" s="522"/>
      <c r="DP80" s="522"/>
      <c r="DQ80" s="522"/>
      <c r="DR80" s="522"/>
      <c r="DS80" s="522"/>
      <c r="DT80" s="522"/>
      <c r="DU80" s="522"/>
      <c r="DV80" s="522"/>
      <c r="DW80" s="522"/>
      <c r="DX80" s="522"/>
      <c r="DY80" s="522"/>
      <c r="DZ80" s="522"/>
      <c r="EA80" s="522"/>
      <c r="EB80" s="522"/>
      <c r="EC80" s="522"/>
      <c r="ED80" s="522"/>
      <c r="EE80" s="522"/>
      <c r="EF80" s="522"/>
      <c r="EG80" s="522"/>
      <c r="EH80" s="522"/>
      <c r="EI80" s="522"/>
      <c r="EJ80" s="522"/>
      <c r="EK80" s="522"/>
      <c r="EL80" s="522"/>
      <c r="EM80" s="522"/>
      <c r="EN80" s="522"/>
      <c r="EO80" s="522"/>
      <c r="EP80" s="522"/>
      <c r="EQ80" s="522"/>
      <c r="ER80" s="522"/>
      <c r="ES80" s="522"/>
      <c r="ET80" s="522"/>
      <c r="EU80" s="522"/>
      <c r="EV80" s="522"/>
      <c r="EW80" s="522"/>
      <c r="EX80" s="527" t="str">
        <f t="shared" si="7"/>
        <v/>
      </c>
    </row>
    <row r="81" spans="1:154" x14ac:dyDescent="0.25">
      <c r="A81" s="522"/>
      <c r="B81" s="535" t="s">
        <v>592</v>
      </c>
      <c r="C81" s="522"/>
      <c r="D81" s="522"/>
      <c r="E81" s="522"/>
      <c r="F81" s="522"/>
      <c r="G81" s="522"/>
      <c r="H81" s="522"/>
      <c r="I81" s="522"/>
      <c r="J81" s="522"/>
      <c r="K81" s="522"/>
      <c r="L81" s="522"/>
      <c r="M81" s="522"/>
      <c r="N81" s="522"/>
      <c r="O81" s="522"/>
      <c r="P81" s="522"/>
      <c r="Q81" s="522"/>
      <c r="R81" s="522"/>
      <c r="S81" s="522"/>
      <c r="T81" s="522"/>
      <c r="U81" s="522"/>
      <c r="V81" s="522"/>
      <c r="W81" s="522"/>
      <c r="X81" s="522"/>
      <c r="Y81" s="522"/>
      <c r="Z81" s="522"/>
      <c r="AA81" s="522"/>
      <c r="AB81" s="522"/>
      <c r="AC81" s="522"/>
      <c r="AD81" s="522"/>
      <c r="AE81" s="522"/>
      <c r="AF81" s="522"/>
      <c r="AG81" s="522"/>
      <c r="AH81" s="522"/>
      <c r="AI81" s="522"/>
      <c r="AJ81" s="522"/>
      <c r="AK81" s="522"/>
      <c r="AL81" s="522"/>
      <c r="AM81" s="522"/>
      <c r="AN81" s="522"/>
      <c r="AO81" s="522"/>
      <c r="AP81" s="522"/>
      <c r="AQ81" s="522"/>
      <c r="AR81" s="522"/>
      <c r="AS81" s="522"/>
      <c r="AT81" s="522"/>
      <c r="AU81" s="522"/>
      <c r="AV81" s="522"/>
      <c r="AW81" s="522"/>
      <c r="AX81" s="522"/>
      <c r="AY81" s="522"/>
      <c r="AZ81" s="522"/>
      <c r="BA81" s="522"/>
      <c r="BB81" s="522"/>
      <c r="BC81" s="522"/>
      <c r="BD81" s="522"/>
      <c r="BE81" s="522"/>
      <c r="BF81" s="522"/>
      <c r="BG81" s="522"/>
      <c r="BH81" s="522"/>
      <c r="BI81" s="522"/>
      <c r="BJ81" s="522"/>
      <c r="BK81" s="522"/>
      <c r="BL81" s="522"/>
      <c r="BM81" s="522"/>
      <c r="BN81" s="522"/>
      <c r="BO81" s="522"/>
      <c r="BP81" s="522"/>
      <c r="BQ81" s="522"/>
      <c r="BR81" s="522"/>
      <c r="BS81" s="522"/>
      <c r="BT81" s="522"/>
      <c r="BU81" s="522"/>
      <c r="BV81" s="522"/>
      <c r="BW81" s="522"/>
      <c r="BX81" s="522"/>
      <c r="BY81" s="526"/>
      <c r="BZ81" s="522"/>
      <c r="CA81" s="526"/>
      <c r="CB81" s="522"/>
      <c r="CC81" s="522"/>
      <c r="CD81" s="522"/>
      <c r="CE81" s="522"/>
      <c r="CF81" s="522"/>
      <c r="CG81" s="522"/>
      <c r="CH81" s="522"/>
      <c r="CI81" s="522"/>
      <c r="CJ81" s="522"/>
      <c r="CK81" s="522"/>
      <c r="CL81" s="522"/>
      <c r="CM81" s="522"/>
      <c r="CN81" s="522"/>
      <c r="CO81" s="522"/>
      <c r="CP81" s="522"/>
      <c r="CQ81" s="522"/>
      <c r="CR81" s="522"/>
      <c r="CS81" s="522"/>
      <c r="CT81" s="522"/>
      <c r="CU81" s="522"/>
      <c r="CV81" s="522"/>
      <c r="CW81" s="522"/>
      <c r="CX81" s="522"/>
      <c r="CY81" s="522"/>
      <c r="CZ81" s="522"/>
      <c r="DA81" s="522"/>
      <c r="DB81" s="522"/>
      <c r="DC81" s="522"/>
      <c r="DD81" s="522"/>
      <c r="DE81" s="522"/>
      <c r="DF81" s="522"/>
      <c r="DG81" s="522"/>
      <c r="DH81" s="522"/>
      <c r="DI81" s="522"/>
      <c r="DJ81" s="522"/>
      <c r="DK81" s="522"/>
      <c r="DL81" s="522"/>
      <c r="DM81" s="522"/>
      <c r="DN81" s="522"/>
      <c r="DO81" s="522"/>
      <c r="DP81" s="522"/>
      <c r="DQ81" s="522"/>
      <c r="DR81" s="522"/>
      <c r="DS81" s="522"/>
      <c r="DT81" s="522"/>
      <c r="DU81" s="522"/>
      <c r="DV81" s="522"/>
      <c r="DW81" s="522"/>
      <c r="DX81" s="522"/>
      <c r="DY81" s="522"/>
      <c r="DZ81" s="522"/>
      <c r="EA81" s="522"/>
      <c r="EB81" s="522"/>
      <c r="EC81" s="522"/>
      <c r="ED81" s="522"/>
      <c r="EE81" s="522"/>
      <c r="EF81" s="522"/>
      <c r="EG81" s="522"/>
      <c r="EH81" s="522"/>
      <c r="EI81" s="522"/>
      <c r="EJ81" s="522"/>
      <c r="EK81" s="522"/>
      <c r="EL81" s="522"/>
      <c r="EM81" s="522"/>
      <c r="EN81" s="522"/>
      <c r="EO81" s="522"/>
      <c r="EP81" s="522"/>
      <c r="EQ81" s="522"/>
      <c r="ER81" s="522"/>
      <c r="ES81" s="522"/>
      <c r="ET81" s="522"/>
      <c r="EU81" s="522"/>
      <c r="EV81" s="522"/>
      <c r="EW81" s="522"/>
      <c r="EX81" s="527" t="str">
        <f t="shared" si="7"/>
        <v/>
      </c>
    </row>
    <row r="82" spans="1:154" s="335" customFormat="1" x14ac:dyDescent="0.25">
      <c r="A82" s="522"/>
      <c r="B82" s="522"/>
      <c r="C82" s="522"/>
      <c r="D82" s="535" t="s">
        <v>577</v>
      </c>
      <c r="E82" s="522"/>
      <c r="F82" s="522"/>
      <c r="G82" s="522"/>
      <c r="H82" s="522"/>
      <c r="I82" s="522"/>
      <c r="J82" s="522"/>
      <c r="K82" s="522"/>
      <c r="L82" s="522"/>
      <c r="M82" s="522"/>
      <c r="N82" s="522"/>
      <c r="O82" s="522"/>
      <c r="P82" s="522"/>
      <c r="Q82" s="522"/>
      <c r="R82" s="522"/>
      <c r="S82" s="522"/>
      <c r="T82" s="522"/>
      <c r="U82" s="522"/>
      <c r="V82" s="373">
        <f>'Fin Stat'!V$177</f>
        <v>0</v>
      </c>
      <c r="W82" s="373">
        <f>'Fin Stat'!W$177</f>
        <v>5436</v>
      </c>
      <c r="X82" s="373">
        <f>'Fin Stat'!X$177</f>
        <v>2429</v>
      </c>
      <c r="Y82" s="373">
        <f>'Fin Stat'!Y$177</f>
        <v>2113.8100000000013</v>
      </c>
      <c r="Z82" s="522"/>
      <c r="AA82" s="373">
        <f>'Fin Stat'!AA$177</f>
        <v>5369</v>
      </c>
      <c r="AB82" s="373">
        <f>'Fin Stat'!AB$177</f>
        <v>1067</v>
      </c>
      <c r="AC82" s="373">
        <f>'Fin Stat'!AC$177</f>
        <v>350</v>
      </c>
      <c r="AD82" s="373">
        <f>'Fin Stat'!AD$177</f>
        <v>130</v>
      </c>
      <c r="AE82" s="373">
        <f>'Fin Stat'!AE$177</f>
        <v>-764</v>
      </c>
      <c r="AF82" s="373">
        <f>'Fin Stat'!AF$177</f>
        <v>-553</v>
      </c>
      <c r="AG82" s="373">
        <f>'Fin Stat'!AG$177</f>
        <v>-580</v>
      </c>
      <c r="AH82" s="373">
        <f>'Fin Stat'!AH$177</f>
        <v>-784</v>
      </c>
      <c r="AI82" s="373">
        <f>'Fin Stat'!AI$177</f>
        <v>1468</v>
      </c>
      <c r="AJ82" s="373">
        <f>'Fin Stat'!AJ$177</f>
        <v>398</v>
      </c>
      <c r="AK82" s="373">
        <f>'Fin Stat'!AK$177</f>
        <v>465</v>
      </c>
      <c r="AL82" s="373">
        <f>'Fin Stat'!AL$177</f>
        <v>-1130</v>
      </c>
      <c r="AM82" s="373">
        <f>'Fin Stat'!AM$177</f>
        <v>2920</v>
      </c>
      <c r="AN82" s="373">
        <f>'Fin Stat'!AN$177</f>
        <v>1122</v>
      </c>
      <c r="AO82" s="373">
        <f>'Fin Stat'!AO$177</f>
        <v>246</v>
      </c>
      <c r="AP82" s="373">
        <f>'Fin Stat'!AP$177</f>
        <v>-301</v>
      </c>
      <c r="AQ82" s="373">
        <f>'Fin Stat'!AQ$177</f>
        <v>-767</v>
      </c>
      <c r="AR82" s="373">
        <f>'Fin Stat'!AR$177</f>
        <v>-752</v>
      </c>
      <c r="AS82" s="373">
        <f>'Fin Stat'!AS$177</f>
        <v>-728</v>
      </c>
      <c r="AT82" s="373">
        <f>'Fin Stat'!AT$177</f>
        <v>-795</v>
      </c>
      <c r="AU82" s="373">
        <f>'Fin Stat'!AU$177</f>
        <v>1607</v>
      </c>
      <c r="AV82" s="373">
        <f>'Fin Stat'!AV$177</f>
        <v>505</v>
      </c>
      <c r="AW82" s="373">
        <f>'Fin Stat'!AW$177</f>
        <v>106</v>
      </c>
      <c r="AX82" s="373">
        <f>'Fin Stat'!AX$177</f>
        <v>-734</v>
      </c>
      <c r="AY82" s="373">
        <f>'Fin Stat'!AY$177</f>
        <v>2370.7483333333334</v>
      </c>
      <c r="AZ82" s="373">
        <f>'Fin Stat'!AZ$177</f>
        <v>1168.3566666666661</v>
      </c>
      <c r="BA82" s="373">
        <f>'Fin Stat'!BA$177</f>
        <v>255.48833333333278</v>
      </c>
      <c r="BB82" s="373">
        <f>'Fin Stat'!BB$177</f>
        <v>-306.61333333333323</v>
      </c>
      <c r="BC82" s="373">
        <f>'Fin Stat'!BC$177</f>
        <v>-784.53</v>
      </c>
      <c r="BD82" s="373">
        <f>'Fin Stat'!BD$177</f>
        <v>-608.22999999999979</v>
      </c>
      <c r="BE82" s="373">
        <f>'Fin Stat'!BE$177</f>
        <v>-846.74166666666702</v>
      </c>
      <c r="BF82" s="373">
        <f>'Fin Stat'!BF$177</f>
        <v>-808.5183333333332</v>
      </c>
      <c r="BG82" s="373">
        <f>'Fin Stat'!BG$177</f>
        <v>1762.378333333334</v>
      </c>
      <c r="BH82" s="373">
        <f>'Fin Stat'!BH$177</f>
        <v>555.06833333333361</v>
      </c>
      <c r="BI82" s="373">
        <f>'Fin Stat'!BI$177</f>
        <v>117.19333333333361</v>
      </c>
      <c r="BJ82" s="373">
        <f>'Fin Stat'!BJ$177</f>
        <v>-760.79000000000042</v>
      </c>
      <c r="BK82" s="522"/>
      <c r="BL82" s="373">
        <f>'Fin Stat'!BL$177</f>
        <v>0</v>
      </c>
      <c r="BM82" s="373">
        <f>'Fin Stat'!BM$177</f>
        <v>5436</v>
      </c>
      <c r="BN82" s="373">
        <f>'Fin Stat'!BN$177</f>
        <v>2429</v>
      </c>
      <c r="BO82" s="373">
        <f>'Fin Stat'!BO$177</f>
        <v>2113.8100000000013</v>
      </c>
      <c r="BP82" s="373">
        <f>'Fin Stat'!BP$177</f>
        <v>0</v>
      </c>
      <c r="BQ82" s="373">
        <f>'Fin Stat'!BQ$177</f>
        <v>0</v>
      </c>
      <c r="BR82" s="373">
        <f>'Fin Stat'!BR$177</f>
        <v>0</v>
      </c>
      <c r="BS82" s="373">
        <f>'Fin Stat'!BS$177</f>
        <v>0</v>
      </c>
      <c r="BT82" s="373">
        <f>'Fin Stat'!BT$177</f>
        <v>0</v>
      </c>
      <c r="BU82" s="373">
        <f>'Fin Stat'!BU$177</f>
        <v>0</v>
      </c>
      <c r="BV82" s="373">
        <f>'Fin Stat'!BV$177</f>
        <v>0</v>
      </c>
      <c r="BW82" s="373">
        <f>'Fin Stat'!BW$177</f>
        <v>0</v>
      </c>
      <c r="BX82" s="522"/>
      <c r="BY82" s="526"/>
      <c r="BZ82" s="522"/>
      <c r="CA82" s="526"/>
      <c r="CB82" s="522"/>
      <c r="CC82" s="522"/>
      <c r="CD82" s="522"/>
      <c r="CE82" s="522"/>
      <c r="CF82" s="522"/>
      <c r="CG82" s="522"/>
      <c r="CH82" s="522"/>
      <c r="CI82" s="522"/>
      <c r="CJ82" s="522"/>
      <c r="CK82" s="522"/>
      <c r="CL82" s="522"/>
      <c r="CM82" s="522"/>
      <c r="CN82" s="522"/>
      <c r="CO82" s="522"/>
      <c r="CP82" s="522"/>
      <c r="CQ82" s="522"/>
      <c r="CR82" s="522"/>
      <c r="CS82" s="522"/>
      <c r="CT82" s="522"/>
      <c r="CU82" s="522"/>
      <c r="CV82" s="522"/>
      <c r="CW82" s="522"/>
      <c r="CX82" s="522"/>
      <c r="CY82" s="522"/>
      <c r="CZ82" s="522"/>
      <c r="DA82" s="522"/>
      <c r="DB82" s="522"/>
      <c r="DC82" s="522"/>
      <c r="DD82" s="522"/>
      <c r="DE82" s="522"/>
      <c r="DF82" s="522"/>
      <c r="DG82" s="522"/>
      <c r="DH82" s="522"/>
      <c r="DI82" s="522"/>
      <c r="DJ82" s="522"/>
      <c r="DK82" s="522"/>
      <c r="DL82" s="522"/>
      <c r="DM82" s="522"/>
      <c r="DN82" s="522"/>
      <c r="DO82" s="522"/>
      <c r="DP82" s="522"/>
      <c r="DQ82" s="522"/>
      <c r="DR82" s="522"/>
      <c r="DS82" s="522"/>
      <c r="DT82" s="522"/>
      <c r="DU82" s="522"/>
      <c r="DV82" s="522"/>
      <c r="DW82" s="522"/>
      <c r="DX82" s="522"/>
      <c r="DY82" s="522"/>
      <c r="DZ82" s="522"/>
      <c r="EA82" s="522"/>
      <c r="EB82" s="522"/>
      <c r="EC82" s="522"/>
      <c r="ED82" s="522"/>
      <c r="EE82" s="522"/>
      <c r="EF82" s="522"/>
      <c r="EG82" s="522"/>
      <c r="EH82" s="522"/>
      <c r="EI82" s="522"/>
      <c r="EJ82" s="522"/>
      <c r="EK82" s="522"/>
      <c r="EL82" s="522"/>
      <c r="EM82" s="522"/>
      <c r="EN82" s="522"/>
      <c r="EO82" s="522"/>
      <c r="EP82" s="522"/>
      <c r="EQ82" s="522"/>
      <c r="ER82" s="522"/>
      <c r="ES82" s="522"/>
      <c r="ET82" s="522"/>
      <c r="EU82" s="522"/>
      <c r="EV82" s="522"/>
      <c r="EW82" s="522"/>
      <c r="EX82" s="527" t="str">
        <f t="shared" si="7"/>
        <v/>
      </c>
    </row>
    <row r="83" spans="1:154" s="335" customFormat="1" x14ac:dyDescent="0.25">
      <c r="A83" s="522"/>
      <c r="B83" s="522"/>
      <c r="C83" s="522"/>
      <c r="D83" s="535" t="s">
        <v>582</v>
      </c>
      <c r="E83" s="524"/>
      <c r="F83" s="522"/>
      <c r="G83" s="522"/>
      <c r="H83" s="522"/>
      <c r="I83" s="522"/>
      <c r="J83" s="522"/>
      <c r="K83" s="522"/>
      <c r="L83" s="522"/>
      <c r="M83" s="522"/>
      <c r="N83" s="522"/>
      <c r="O83" s="522"/>
      <c r="P83" s="522"/>
      <c r="Q83" s="522"/>
      <c r="R83" s="522"/>
      <c r="S83" s="522"/>
      <c r="T83" s="522"/>
      <c r="U83" s="522"/>
      <c r="V83" s="373">
        <f>'Fin Stat'!V183</f>
        <v>0</v>
      </c>
      <c r="W83" s="373">
        <f>'Fin Stat'!W183</f>
        <v>-112</v>
      </c>
      <c r="X83" s="373">
        <f>'Fin Stat'!X183</f>
        <v>-798</v>
      </c>
      <c r="Y83" s="373">
        <f>'Fin Stat'!Y183</f>
        <v>0</v>
      </c>
      <c r="Z83" s="522"/>
      <c r="AA83" s="373">
        <f>'Fin Stat'!AA183</f>
        <v>-100</v>
      </c>
      <c r="AB83" s="373">
        <f>'Fin Stat'!AB183</f>
        <v>0</v>
      </c>
      <c r="AC83" s="373">
        <f>'Fin Stat'!AC183</f>
        <v>0</v>
      </c>
      <c r="AD83" s="373">
        <f>'Fin Stat'!AD183</f>
        <v>0</v>
      </c>
      <c r="AE83" s="373">
        <f>'Fin Stat'!AE183</f>
        <v>0</v>
      </c>
      <c r="AF83" s="373">
        <f>'Fin Stat'!AF183</f>
        <v>0</v>
      </c>
      <c r="AG83" s="373">
        <f>'Fin Stat'!AG183</f>
        <v>0</v>
      </c>
      <c r="AH83" s="373">
        <f>'Fin Stat'!AH183</f>
        <v>0</v>
      </c>
      <c r="AI83" s="373">
        <f>'Fin Stat'!AI183</f>
        <v>0</v>
      </c>
      <c r="AJ83" s="373">
        <f>'Fin Stat'!AJ183</f>
        <v>0</v>
      </c>
      <c r="AK83" s="373">
        <f>'Fin Stat'!AK183</f>
        <v>-12</v>
      </c>
      <c r="AL83" s="373">
        <f>'Fin Stat'!AL183</f>
        <v>0</v>
      </c>
      <c r="AM83" s="373">
        <f>'Fin Stat'!AM183</f>
        <v>-798</v>
      </c>
      <c r="AN83" s="373">
        <f>'Fin Stat'!AN183</f>
        <v>0</v>
      </c>
      <c r="AO83" s="373">
        <f>'Fin Stat'!AO183</f>
        <v>0</v>
      </c>
      <c r="AP83" s="373">
        <f>'Fin Stat'!AP183</f>
        <v>0</v>
      </c>
      <c r="AQ83" s="373">
        <f>'Fin Stat'!AQ183</f>
        <v>0</v>
      </c>
      <c r="AR83" s="373">
        <f>'Fin Stat'!AR183</f>
        <v>0</v>
      </c>
      <c r="AS83" s="373">
        <f>'Fin Stat'!AS183</f>
        <v>0</v>
      </c>
      <c r="AT83" s="373">
        <f>'Fin Stat'!AT183</f>
        <v>0</v>
      </c>
      <c r="AU83" s="373">
        <f>'Fin Stat'!AU183</f>
        <v>0</v>
      </c>
      <c r="AV83" s="373">
        <f>'Fin Stat'!AV183</f>
        <v>0</v>
      </c>
      <c r="AW83" s="373">
        <f>'Fin Stat'!AW183</f>
        <v>0</v>
      </c>
      <c r="AX83" s="373">
        <f>'Fin Stat'!AX183</f>
        <v>0</v>
      </c>
      <c r="AY83" s="373">
        <f>'Fin Stat'!AY183</f>
        <v>0</v>
      </c>
      <c r="AZ83" s="373">
        <f>'Fin Stat'!AZ183</f>
        <v>0</v>
      </c>
      <c r="BA83" s="373">
        <f>'Fin Stat'!BA183</f>
        <v>0</v>
      </c>
      <c r="BB83" s="373">
        <f>'Fin Stat'!BB183</f>
        <v>0</v>
      </c>
      <c r="BC83" s="373">
        <f>'Fin Stat'!BC183</f>
        <v>0</v>
      </c>
      <c r="BD83" s="373">
        <f>'Fin Stat'!BD183</f>
        <v>0</v>
      </c>
      <c r="BE83" s="373">
        <f>'Fin Stat'!BE183</f>
        <v>0</v>
      </c>
      <c r="BF83" s="373">
        <f>'Fin Stat'!BF183</f>
        <v>0</v>
      </c>
      <c r="BG83" s="373">
        <f>'Fin Stat'!BG183</f>
        <v>0</v>
      </c>
      <c r="BH83" s="373">
        <f>'Fin Stat'!BH183</f>
        <v>0</v>
      </c>
      <c r="BI83" s="373">
        <f>'Fin Stat'!BI183</f>
        <v>0</v>
      </c>
      <c r="BJ83" s="373">
        <f>'Fin Stat'!BJ183</f>
        <v>0</v>
      </c>
      <c r="BK83" s="522"/>
      <c r="BL83" s="373">
        <f>'Fin Stat'!BL183</f>
        <v>0</v>
      </c>
      <c r="BM83" s="373">
        <f>'Fin Stat'!BM183</f>
        <v>-112</v>
      </c>
      <c r="BN83" s="373">
        <f>'Fin Stat'!BN183</f>
        <v>-798</v>
      </c>
      <c r="BO83" s="373">
        <f>'Fin Stat'!BO183</f>
        <v>0</v>
      </c>
      <c r="BP83" s="373">
        <f>'Fin Stat'!BP183</f>
        <v>0</v>
      </c>
      <c r="BQ83" s="373">
        <f>'Fin Stat'!BQ183</f>
        <v>0</v>
      </c>
      <c r="BR83" s="373">
        <f>'Fin Stat'!BR183</f>
        <v>0</v>
      </c>
      <c r="BS83" s="373">
        <f>'Fin Stat'!BS183</f>
        <v>0</v>
      </c>
      <c r="BT83" s="373">
        <f>'Fin Stat'!BT183</f>
        <v>0</v>
      </c>
      <c r="BU83" s="373">
        <f>'Fin Stat'!BU183</f>
        <v>0</v>
      </c>
      <c r="BV83" s="373">
        <f>'Fin Stat'!BV183</f>
        <v>0</v>
      </c>
      <c r="BW83" s="373">
        <f>'Fin Stat'!BW183</f>
        <v>0</v>
      </c>
      <c r="BX83" s="522"/>
      <c r="BY83" s="526"/>
      <c r="BZ83" s="522"/>
      <c r="CA83" s="526"/>
      <c r="CB83" s="522"/>
      <c r="CC83" s="522"/>
      <c r="CD83" s="522"/>
      <c r="CE83" s="522"/>
      <c r="CF83" s="522"/>
      <c r="CG83" s="522"/>
      <c r="CH83" s="522"/>
      <c r="CI83" s="522"/>
      <c r="CJ83" s="522"/>
      <c r="CK83" s="522"/>
      <c r="CL83" s="522"/>
      <c r="CM83" s="522"/>
      <c r="CN83" s="522"/>
      <c r="CO83" s="522"/>
      <c r="CP83" s="522"/>
      <c r="CQ83" s="522"/>
      <c r="CR83" s="522"/>
      <c r="CS83" s="522"/>
      <c r="CT83" s="522"/>
      <c r="CU83" s="522"/>
      <c r="CV83" s="522"/>
      <c r="CW83" s="522"/>
      <c r="CX83" s="522"/>
      <c r="CY83" s="522"/>
      <c r="CZ83" s="522"/>
      <c r="DA83" s="522"/>
      <c r="DB83" s="522"/>
      <c r="DC83" s="522"/>
      <c r="DD83" s="522"/>
      <c r="DE83" s="522"/>
      <c r="DF83" s="522"/>
      <c r="DG83" s="522"/>
      <c r="DH83" s="522"/>
      <c r="DI83" s="522"/>
      <c r="DJ83" s="522"/>
      <c r="DK83" s="522"/>
      <c r="DL83" s="522"/>
      <c r="DM83" s="522"/>
      <c r="DN83" s="522"/>
      <c r="DO83" s="522"/>
      <c r="DP83" s="522"/>
      <c r="DQ83" s="522"/>
      <c r="DR83" s="522"/>
      <c r="DS83" s="522"/>
      <c r="DT83" s="522"/>
      <c r="DU83" s="522"/>
      <c r="DV83" s="522"/>
      <c r="DW83" s="522"/>
      <c r="DX83" s="522"/>
      <c r="DY83" s="522"/>
      <c r="DZ83" s="522"/>
      <c r="EA83" s="522"/>
      <c r="EB83" s="522"/>
      <c r="EC83" s="522"/>
      <c r="ED83" s="522"/>
      <c r="EE83" s="522"/>
      <c r="EF83" s="522"/>
      <c r="EG83" s="522"/>
      <c r="EH83" s="522"/>
      <c r="EI83" s="522"/>
      <c r="EJ83" s="522"/>
      <c r="EK83" s="522"/>
      <c r="EL83" s="522"/>
      <c r="EM83" s="522"/>
      <c r="EN83" s="522"/>
      <c r="EO83" s="522"/>
      <c r="EP83" s="522"/>
      <c r="EQ83" s="522"/>
      <c r="ER83" s="522"/>
      <c r="ES83" s="522"/>
      <c r="ET83" s="522"/>
      <c r="EU83" s="522"/>
      <c r="EV83" s="522"/>
      <c r="EW83" s="522"/>
      <c r="EX83" s="527" t="str">
        <f t="shared" si="7"/>
        <v/>
      </c>
    </row>
    <row r="84" spans="1:154" s="335" customFormat="1" x14ac:dyDescent="0.25">
      <c r="A84" s="522"/>
      <c r="B84" s="522"/>
      <c r="C84" s="522"/>
      <c r="D84" s="522"/>
      <c r="E84" s="522"/>
      <c r="F84" s="522"/>
      <c r="G84" s="522"/>
      <c r="H84" s="522"/>
      <c r="I84" s="522"/>
      <c r="J84" s="522"/>
      <c r="K84" s="522"/>
      <c r="L84" s="522"/>
      <c r="M84" s="522"/>
      <c r="N84" s="522"/>
      <c r="O84" s="522"/>
      <c r="P84" s="522"/>
      <c r="Q84" s="522"/>
      <c r="R84" s="522"/>
      <c r="S84" s="522"/>
      <c r="T84" s="522"/>
      <c r="U84" s="522"/>
      <c r="V84" s="522"/>
      <c r="W84" s="522"/>
      <c r="X84" s="522"/>
      <c r="Y84" s="522"/>
      <c r="Z84" s="522"/>
      <c r="AA84" s="522"/>
      <c r="AB84" s="522"/>
      <c r="AC84" s="522"/>
      <c r="AD84" s="522"/>
      <c r="AE84" s="522"/>
      <c r="AF84" s="522"/>
      <c r="AG84" s="522"/>
      <c r="AH84" s="522"/>
      <c r="AI84" s="522"/>
      <c r="AJ84" s="522"/>
      <c r="AK84" s="522"/>
      <c r="AL84" s="522"/>
      <c r="AM84" s="522"/>
      <c r="AN84" s="522"/>
      <c r="AO84" s="522"/>
      <c r="AP84" s="522"/>
      <c r="AQ84" s="522"/>
      <c r="AR84" s="522"/>
      <c r="AS84" s="522"/>
      <c r="AT84" s="522"/>
      <c r="AU84" s="522"/>
      <c r="AV84" s="522"/>
      <c r="AW84" s="522"/>
      <c r="AX84" s="522"/>
      <c r="AY84" s="522"/>
      <c r="AZ84" s="522"/>
      <c r="BA84" s="522"/>
      <c r="BB84" s="522"/>
      <c r="BC84" s="522"/>
      <c r="BD84" s="522"/>
      <c r="BE84" s="522"/>
      <c r="BF84" s="522"/>
      <c r="BG84" s="522"/>
      <c r="BH84" s="522"/>
      <c r="BI84" s="522"/>
      <c r="BJ84" s="522"/>
      <c r="BK84" s="522"/>
      <c r="BL84" s="522"/>
      <c r="BM84" s="522"/>
      <c r="BN84" s="522"/>
      <c r="BO84" s="522"/>
      <c r="BP84" s="522"/>
      <c r="BQ84" s="522"/>
      <c r="BR84" s="522"/>
      <c r="BS84" s="522"/>
      <c r="BT84" s="522"/>
      <c r="BU84" s="522"/>
      <c r="BV84" s="522"/>
      <c r="BW84" s="522"/>
      <c r="BX84" s="522"/>
      <c r="BY84" s="526"/>
      <c r="BZ84" s="522"/>
      <c r="CA84" s="526"/>
      <c r="CB84" s="522"/>
      <c r="CC84" s="522"/>
      <c r="CD84" s="522"/>
      <c r="CE84" s="522"/>
      <c r="CF84" s="522"/>
      <c r="CG84" s="522"/>
      <c r="CH84" s="522"/>
      <c r="CI84" s="522"/>
      <c r="CJ84" s="522"/>
      <c r="CK84" s="522"/>
      <c r="CL84" s="522"/>
      <c r="CM84" s="522"/>
      <c r="CN84" s="522"/>
      <c r="CO84" s="522"/>
      <c r="CP84" s="522"/>
      <c r="CQ84" s="522"/>
      <c r="CR84" s="522"/>
      <c r="CS84" s="522"/>
      <c r="CT84" s="522"/>
      <c r="CU84" s="522"/>
      <c r="CV84" s="522"/>
      <c r="CW84" s="522"/>
      <c r="CX84" s="522"/>
      <c r="CY84" s="522"/>
      <c r="CZ84" s="522"/>
      <c r="DA84" s="522"/>
      <c r="DB84" s="522"/>
      <c r="DC84" s="522"/>
      <c r="DD84" s="522"/>
      <c r="DE84" s="522"/>
      <c r="DF84" s="522"/>
      <c r="DG84" s="522"/>
      <c r="DH84" s="522"/>
      <c r="DI84" s="522"/>
      <c r="DJ84" s="522"/>
      <c r="DK84" s="522"/>
      <c r="DL84" s="522"/>
      <c r="DM84" s="522"/>
      <c r="DN84" s="522"/>
      <c r="DO84" s="522"/>
      <c r="DP84" s="522"/>
      <c r="DQ84" s="522"/>
      <c r="DR84" s="522"/>
      <c r="DS84" s="522"/>
      <c r="DT84" s="522"/>
      <c r="DU84" s="522"/>
      <c r="DV84" s="522"/>
      <c r="DW84" s="522"/>
      <c r="DX84" s="522"/>
      <c r="DY84" s="522"/>
      <c r="DZ84" s="522"/>
      <c r="EA84" s="522"/>
      <c r="EB84" s="522"/>
      <c r="EC84" s="522"/>
      <c r="ED84" s="522"/>
      <c r="EE84" s="522"/>
      <c r="EF84" s="522"/>
      <c r="EG84" s="522"/>
      <c r="EH84" s="522"/>
      <c r="EI84" s="522"/>
      <c r="EJ84" s="522"/>
      <c r="EK84" s="522"/>
      <c r="EL84" s="522"/>
      <c r="EM84" s="522"/>
      <c r="EN84" s="522"/>
      <c r="EO84" s="522"/>
      <c r="EP84" s="522"/>
      <c r="EQ84" s="522"/>
      <c r="ER84" s="522"/>
      <c r="ES84" s="522"/>
      <c r="ET84" s="522"/>
      <c r="EU84" s="522"/>
      <c r="EV84" s="522"/>
      <c r="EW84" s="522"/>
      <c r="EX84" s="527" t="str">
        <f t="shared" si="7"/>
        <v/>
      </c>
    </row>
    <row r="85" spans="1:154" x14ac:dyDescent="0.25">
      <c r="A85" s="522"/>
      <c r="B85" s="522"/>
      <c r="C85" s="522"/>
      <c r="D85" s="535"/>
      <c r="E85" s="522"/>
      <c r="F85" s="522"/>
      <c r="G85" s="522"/>
      <c r="H85" s="522"/>
      <c r="I85" s="522"/>
      <c r="J85" s="522"/>
      <c r="K85" s="522"/>
      <c r="L85" s="522"/>
      <c r="M85" s="522"/>
      <c r="N85" s="522"/>
      <c r="O85" s="522"/>
      <c r="P85" s="522"/>
      <c r="Q85" s="522"/>
      <c r="R85" s="522"/>
      <c r="S85" s="534"/>
      <c r="T85" s="522"/>
      <c r="U85" s="522"/>
      <c r="V85" s="522"/>
      <c r="W85" s="522"/>
      <c r="X85" s="522"/>
      <c r="Y85" s="522"/>
      <c r="Z85" s="534"/>
      <c r="AA85" s="534"/>
      <c r="AB85" s="534"/>
      <c r="AC85" s="534"/>
      <c r="AD85" s="534"/>
      <c r="AE85" s="534"/>
      <c r="AF85" s="534"/>
      <c r="AG85" s="534"/>
      <c r="AH85" s="534"/>
      <c r="AI85" s="534"/>
      <c r="AJ85" s="534"/>
      <c r="AK85" s="534"/>
      <c r="AL85" s="534"/>
      <c r="AM85" s="534"/>
      <c r="AN85" s="534"/>
      <c r="AO85" s="534"/>
      <c r="AP85" s="534"/>
      <c r="AQ85" s="534"/>
      <c r="AR85" s="534"/>
      <c r="AS85" s="534"/>
      <c r="AT85" s="534"/>
      <c r="AU85" s="534"/>
      <c r="AV85" s="534"/>
      <c r="AW85" s="534"/>
      <c r="AX85" s="534"/>
      <c r="AY85" s="534"/>
      <c r="AZ85" s="534"/>
      <c r="BA85" s="534"/>
      <c r="BB85" s="534"/>
      <c r="BC85" s="534"/>
      <c r="BD85" s="534"/>
      <c r="BE85" s="534"/>
      <c r="BF85" s="534"/>
      <c r="BG85" s="534"/>
      <c r="BH85" s="534"/>
      <c r="BI85" s="534"/>
      <c r="BJ85" s="534"/>
      <c r="BK85" s="522"/>
      <c r="BL85" s="534"/>
      <c r="BM85" s="534"/>
      <c r="BN85" s="534"/>
      <c r="BO85" s="534"/>
      <c r="BP85" s="534"/>
      <c r="BQ85" s="534"/>
      <c r="BR85" s="534"/>
      <c r="BS85" s="534"/>
      <c r="BT85" s="534"/>
      <c r="BU85" s="534"/>
      <c r="BV85" s="534"/>
      <c r="BW85" s="534"/>
      <c r="BX85" s="522"/>
      <c r="BY85" s="526"/>
      <c r="BZ85" s="522"/>
      <c r="CA85" s="526"/>
      <c r="CB85" s="522"/>
      <c r="CC85" s="522"/>
      <c r="CD85" s="522"/>
      <c r="CE85" s="522"/>
      <c r="CF85" s="522"/>
      <c r="CG85" s="522"/>
      <c r="CH85" s="522"/>
      <c r="CI85" s="522"/>
      <c r="CJ85" s="522"/>
      <c r="CK85" s="522"/>
      <c r="CL85" s="522"/>
      <c r="CM85" s="522"/>
      <c r="CN85" s="522"/>
      <c r="CO85" s="522"/>
      <c r="CP85" s="522"/>
      <c r="CQ85" s="522"/>
      <c r="CR85" s="522"/>
      <c r="CS85" s="522"/>
      <c r="CT85" s="522"/>
      <c r="CU85" s="522"/>
      <c r="CV85" s="522"/>
      <c r="CW85" s="522"/>
      <c r="CX85" s="522"/>
      <c r="CY85" s="522"/>
      <c r="CZ85" s="522"/>
      <c r="DA85" s="522"/>
      <c r="DB85" s="522"/>
      <c r="DC85" s="522"/>
      <c r="DD85" s="522"/>
      <c r="DE85" s="522"/>
      <c r="DF85" s="522"/>
      <c r="DG85" s="522"/>
      <c r="DH85" s="522"/>
      <c r="DI85" s="522"/>
      <c r="DJ85" s="522"/>
      <c r="DK85" s="522"/>
      <c r="DL85" s="522"/>
      <c r="DM85" s="522"/>
      <c r="DN85" s="522"/>
      <c r="DO85" s="522"/>
      <c r="DP85" s="522"/>
      <c r="DQ85" s="522"/>
      <c r="DR85" s="522"/>
      <c r="DS85" s="522"/>
      <c r="DT85" s="522"/>
      <c r="DU85" s="522"/>
      <c r="DV85" s="522"/>
      <c r="DW85" s="522"/>
      <c r="DX85" s="522"/>
      <c r="DY85" s="522"/>
      <c r="DZ85" s="522"/>
      <c r="EA85" s="522"/>
      <c r="EB85" s="522"/>
      <c r="EC85" s="522"/>
      <c r="ED85" s="522"/>
      <c r="EE85" s="522"/>
      <c r="EF85" s="522"/>
      <c r="EG85" s="522"/>
      <c r="EH85" s="522"/>
      <c r="EI85" s="522"/>
      <c r="EJ85" s="522"/>
      <c r="EK85" s="522"/>
      <c r="EL85" s="522"/>
      <c r="EM85" s="522"/>
      <c r="EN85" s="522"/>
      <c r="EO85" s="522"/>
      <c r="EP85" s="522"/>
      <c r="EQ85" s="522"/>
      <c r="ER85" s="522"/>
      <c r="ES85" s="522"/>
      <c r="ET85" s="522"/>
      <c r="EU85" s="522"/>
      <c r="EV85" s="522"/>
      <c r="EW85" s="522"/>
      <c r="EX85" s="527" t="str">
        <f t="shared" si="7"/>
        <v/>
      </c>
    </row>
    <row r="86" spans="1:154" s="335" customFormat="1" ht="8.1" customHeight="1" x14ac:dyDescent="0.25">
      <c r="A86" s="522"/>
      <c r="B86" s="522"/>
      <c r="C86" s="522"/>
      <c r="D86" s="522"/>
      <c r="E86" s="522"/>
      <c r="F86" s="522"/>
      <c r="G86" s="522"/>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522"/>
      <c r="AK86" s="522"/>
      <c r="AL86" s="522"/>
      <c r="AM86" s="522"/>
      <c r="AN86" s="522"/>
      <c r="AO86" s="522"/>
      <c r="AP86" s="522"/>
      <c r="AQ86" s="522"/>
      <c r="AR86" s="522"/>
      <c r="AS86" s="522"/>
      <c r="AT86" s="522"/>
      <c r="AU86" s="522"/>
      <c r="AV86" s="522"/>
      <c r="AW86" s="522"/>
      <c r="AX86" s="522"/>
      <c r="AY86" s="522"/>
      <c r="AZ86" s="522"/>
      <c r="BA86" s="522"/>
      <c r="BB86" s="522"/>
      <c r="BC86" s="522"/>
      <c r="BD86" s="522"/>
      <c r="BE86" s="522"/>
      <c r="BF86" s="522"/>
      <c r="BG86" s="522"/>
      <c r="BH86" s="522"/>
      <c r="BI86" s="522"/>
      <c r="BJ86" s="522"/>
      <c r="BK86" s="522"/>
      <c r="BL86" s="522"/>
      <c r="BM86" s="522"/>
      <c r="BN86" s="522"/>
      <c r="BO86" s="522"/>
      <c r="BP86" s="522"/>
      <c r="BQ86" s="522"/>
      <c r="BR86" s="522"/>
      <c r="BS86" s="522"/>
      <c r="BT86" s="522"/>
      <c r="BU86" s="522"/>
      <c r="BV86" s="522"/>
      <c r="BW86" s="522"/>
      <c r="BX86" s="522"/>
      <c r="BY86" s="526"/>
      <c r="BZ86" s="522"/>
      <c r="CA86" s="526"/>
      <c r="CB86" s="522"/>
      <c r="CC86" s="522"/>
      <c r="CD86" s="522"/>
      <c r="CE86" s="522"/>
      <c r="CF86" s="522"/>
      <c r="CG86" s="522"/>
      <c r="CH86" s="522"/>
      <c r="CI86" s="522"/>
      <c r="CJ86" s="522"/>
      <c r="CK86" s="522"/>
      <c r="CL86" s="522"/>
      <c r="CM86" s="522"/>
      <c r="CN86" s="522"/>
      <c r="CO86" s="522"/>
      <c r="CP86" s="522"/>
      <c r="CQ86" s="522"/>
      <c r="CR86" s="522"/>
      <c r="CS86" s="522"/>
      <c r="CT86" s="522"/>
      <c r="CU86" s="522"/>
      <c r="CV86" s="522"/>
      <c r="CW86" s="522"/>
      <c r="CX86" s="522"/>
      <c r="CY86" s="522"/>
      <c r="CZ86" s="522"/>
      <c r="DA86" s="522"/>
      <c r="DB86" s="522"/>
      <c r="DC86" s="522"/>
      <c r="DD86" s="522"/>
      <c r="DE86" s="522"/>
      <c r="DF86" s="522"/>
      <c r="DG86" s="522"/>
      <c r="DH86" s="522"/>
      <c r="DI86" s="522"/>
      <c r="DJ86" s="522"/>
      <c r="DK86" s="522"/>
      <c r="DL86" s="522"/>
      <c r="DM86" s="522"/>
      <c r="DN86" s="522"/>
      <c r="DO86" s="522"/>
      <c r="DP86" s="522"/>
      <c r="DQ86" s="522"/>
      <c r="DR86" s="522"/>
      <c r="DS86" s="522"/>
      <c r="DT86" s="522"/>
      <c r="DU86" s="522"/>
      <c r="DV86" s="522"/>
      <c r="DW86" s="522"/>
      <c r="DX86" s="522"/>
      <c r="DY86" s="522"/>
      <c r="DZ86" s="522"/>
      <c r="EA86" s="522"/>
      <c r="EB86" s="522"/>
      <c r="EC86" s="522"/>
      <c r="ED86" s="522"/>
      <c r="EE86" s="522"/>
      <c r="EF86" s="522"/>
      <c r="EG86" s="522"/>
      <c r="EH86" s="522"/>
      <c r="EI86" s="522"/>
      <c r="EJ86" s="522"/>
      <c r="EK86" s="522"/>
      <c r="EL86" s="522"/>
      <c r="EM86" s="522"/>
      <c r="EN86" s="522"/>
      <c r="EO86" s="522"/>
      <c r="EP86" s="522"/>
      <c r="EQ86" s="522"/>
      <c r="ER86" s="522"/>
      <c r="ES86" s="522"/>
      <c r="ET86" s="522"/>
      <c r="EU86" s="522"/>
      <c r="EV86" s="522"/>
      <c r="EW86" s="522"/>
      <c r="EX86" s="527" t="str">
        <f t="shared" si="7"/>
        <v/>
      </c>
    </row>
    <row r="87" spans="1:154" x14ac:dyDescent="0.25">
      <c r="A87" s="522"/>
      <c r="B87" s="535" t="s">
        <v>1747</v>
      </c>
      <c r="C87" s="522"/>
      <c r="D87" s="522" t="s">
        <v>123</v>
      </c>
      <c r="E87" s="522"/>
      <c r="F87" s="522"/>
      <c r="G87" s="522"/>
      <c r="H87" s="522"/>
      <c r="I87" s="522"/>
      <c r="J87" s="522"/>
      <c r="K87" s="522"/>
      <c r="L87" s="522"/>
      <c r="M87" s="522"/>
      <c r="N87" s="522"/>
      <c r="O87" s="522"/>
      <c r="P87" s="522"/>
      <c r="Q87" s="522"/>
      <c r="R87" s="522"/>
      <c r="S87" s="534"/>
      <c r="T87" s="522"/>
      <c r="U87" s="522"/>
      <c r="V87" s="536">
        <f>Loans!V$1084</f>
        <v>0</v>
      </c>
      <c r="W87" s="536">
        <f>Loans!W$1084</f>
        <v>0</v>
      </c>
      <c r="X87" s="536">
        <f>Loans!X$1084</f>
        <v>0</v>
      </c>
      <c r="Y87" s="536">
        <f>Loans!Y$1084</f>
        <v>0</v>
      </c>
      <c r="Z87" s="534"/>
      <c r="AA87" s="536">
        <f>Loans!AA$1084</f>
        <v>0</v>
      </c>
      <c r="AB87" s="536">
        <f>Loans!AB$1084</f>
        <v>0</v>
      </c>
      <c r="AC87" s="536">
        <f>Loans!AC$1084</f>
        <v>0</v>
      </c>
      <c r="AD87" s="536">
        <f>Loans!AD$1084</f>
        <v>0</v>
      </c>
      <c r="AE87" s="536">
        <f>Loans!AE$1084</f>
        <v>0</v>
      </c>
      <c r="AF87" s="536">
        <f>Loans!AF$1084</f>
        <v>0</v>
      </c>
      <c r="AG87" s="536">
        <f>Loans!AG$1084</f>
        <v>0</v>
      </c>
      <c r="AH87" s="536">
        <f>Loans!AH$1084</f>
        <v>0</v>
      </c>
      <c r="AI87" s="536">
        <f>Loans!AI$1084</f>
        <v>0</v>
      </c>
      <c r="AJ87" s="536">
        <f>Loans!AJ$1084</f>
        <v>0</v>
      </c>
      <c r="AK87" s="536">
        <f>Loans!AK$1084</f>
        <v>0</v>
      </c>
      <c r="AL87" s="536">
        <f>Loans!AL$1084</f>
        <v>0</v>
      </c>
      <c r="AM87" s="536">
        <f>Loans!AM$1084</f>
        <v>0</v>
      </c>
      <c r="AN87" s="536">
        <f>Loans!AN$1084</f>
        <v>0</v>
      </c>
      <c r="AO87" s="536">
        <f>Loans!AO$1084</f>
        <v>0</v>
      </c>
      <c r="AP87" s="536">
        <f>Loans!AP$1084</f>
        <v>0</v>
      </c>
      <c r="AQ87" s="536">
        <f>Loans!AQ$1084</f>
        <v>0</v>
      </c>
      <c r="AR87" s="536">
        <f>Loans!AR$1084</f>
        <v>0</v>
      </c>
      <c r="AS87" s="536">
        <f>Loans!AS$1084</f>
        <v>0</v>
      </c>
      <c r="AT87" s="536">
        <f>Loans!AT$1084</f>
        <v>0</v>
      </c>
      <c r="AU87" s="536">
        <f>Loans!AU$1084</f>
        <v>0</v>
      </c>
      <c r="AV87" s="536">
        <f>Loans!AV$1084</f>
        <v>0</v>
      </c>
      <c r="AW87" s="536">
        <f>Loans!AW$1084</f>
        <v>0</v>
      </c>
      <c r="AX87" s="536">
        <f>Loans!AX$1084</f>
        <v>0</v>
      </c>
      <c r="AY87" s="536">
        <f>Loans!AY$1084</f>
        <v>0</v>
      </c>
      <c r="AZ87" s="536">
        <f>Loans!AZ$1084</f>
        <v>0</v>
      </c>
      <c r="BA87" s="536">
        <f>Loans!BA$1084</f>
        <v>0</v>
      </c>
      <c r="BB87" s="536">
        <f>Loans!BB$1084</f>
        <v>0</v>
      </c>
      <c r="BC87" s="536">
        <f>Loans!BC$1084</f>
        <v>0</v>
      </c>
      <c r="BD87" s="536">
        <f>Loans!BD$1084</f>
        <v>0</v>
      </c>
      <c r="BE87" s="536">
        <f>Loans!BE$1084</f>
        <v>0</v>
      </c>
      <c r="BF87" s="536">
        <f>Loans!BF$1084</f>
        <v>0</v>
      </c>
      <c r="BG87" s="536">
        <f>Loans!BG$1084</f>
        <v>0</v>
      </c>
      <c r="BH87" s="536">
        <f>Loans!BH$1084</f>
        <v>0</v>
      </c>
      <c r="BI87" s="536">
        <f>Loans!BI$1084</f>
        <v>0</v>
      </c>
      <c r="BJ87" s="536">
        <f>Loans!BJ$1084</f>
        <v>0</v>
      </c>
      <c r="BK87" s="522"/>
      <c r="BL87" s="536">
        <f>Loans!BL$1084</f>
        <v>0</v>
      </c>
      <c r="BM87" s="536">
        <f>Loans!BM$1084</f>
        <v>0</v>
      </c>
      <c r="BN87" s="536">
        <f>Loans!BN$1084</f>
        <v>0</v>
      </c>
      <c r="BO87" s="536">
        <f>Loans!BO$1084</f>
        <v>0</v>
      </c>
      <c r="BP87" s="536">
        <f>Loans!BP$1084</f>
        <v>0</v>
      </c>
      <c r="BQ87" s="536">
        <f>Loans!BQ$1084</f>
        <v>0</v>
      </c>
      <c r="BR87" s="536">
        <f>Loans!BR$1084</f>
        <v>0</v>
      </c>
      <c r="BS87" s="536">
        <f>Loans!BS$1084</f>
        <v>0</v>
      </c>
      <c r="BT87" s="536">
        <f>Loans!BT$1084</f>
        <v>0</v>
      </c>
      <c r="BU87" s="536">
        <f>Loans!BU$1084</f>
        <v>0</v>
      </c>
      <c r="BV87" s="536">
        <f>Loans!BV$1084</f>
        <v>0</v>
      </c>
      <c r="BW87" s="536">
        <f>Loans!BW$1084</f>
        <v>0</v>
      </c>
      <c r="BX87" s="522"/>
      <c r="BY87" s="526"/>
      <c r="BZ87" s="522"/>
      <c r="CA87" s="526"/>
      <c r="CB87" s="522"/>
      <c r="CC87" s="522"/>
      <c r="CD87" s="522"/>
      <c r="CE87" s="522"/>
      <c r="CF87" s="522"/>
      <c r="CG87" s="522"/>
      <c r="CH87" s="522"/>
      <c r="CI87" s="522"/>
      <c r="CJ87" s="522"/>
      <c r="CK87" s="522"/>
      <c r="CL87" s="522"/>
      <c r="CM87" s="522"/>
      <c r="CN87" s="522"/>
      <c r="CO87" s="522"/>
      <c r="CP87" s="522"/>
      <c r="CQ87" s="522"/>
      <c r="CR87" s="522"/>
      <c r="CS87" s="522"/>
      <c r="CT87" s="522"/>
      <c r="CU87" s="522"/>
      <c r="CV87" s="522"/>
      <c r="CW87" s="522"/>
      <c r="CX87" s="522"/>
      <c r="CY87" s="522"/>
      <c r="CZ87" s="522"/>
      <c r="DA87" s="522"/>
      <c r="DB87" s="522"/>
      <c r="DC87" s="522"/>
      <c r="DD87" s="522"/>
      <c r="DE87" s="522"/>
      <c r="DF87" s="522"/>
      <c r="DG87" s="522"/>
      <c r="DH87" s="522"/>
      <c r="DI87" s="522"/>
      <c r="DJ87" s="522"/>
      <c r="DK87" s="522"/>
      <c r="DL87" s="522"/>
      <c r="DM87" s="522"/>
      <c r="DN87" s="522"/>
      <c r="DO87" s="522"/>
      <c r="DP87" s="522"/>
      <c r="DQ87" s="522"/>
      <c r="DR87" s="522"/>
      <c r="DS87" s="522"/>
      <c r="DT87" s="522"/>
      <c r="DU87" s="522"/>
      <c r="DV87" s="522"/>
      <c r="DW87" s="522"/>
      <c r="DX87" s="522"/>
      <c r="DY87" s="522"/>
      <c r="DZ87" s="522"/>
      <c r="EA87" s="522"/>
      <c r="EB87" s="522"/>
      <c r="EC87" s="522"/>
      <c r="ED87" s="522"/>
      <c r="EE87" s="522"/>
      <c r="EF87" s="522"/>
      <c r="EG87" s="522"/>
      <c r="EH87" s="522"/>
      <c r="EI87" s="522"/>
      <c r="EJ87" s="522"/>
      <c r="EK87" s="522"/>
      <c r="EL87" s="522"/>
      <c r="EM87" s="522"/>
      <c r="EN87" s="522"/>
      <c r="EO87" s="522"/>
      <c r="EP87" s="522"/>
      <c r="EQ87" s="522"/>
      <c r="ER87" s="522"/>
      <c r="ES87" s="522"/>
      <c r="ET87" s="522"/>
      <c r="EU87" s="522"/>
      <c r="EV87" s="522"/>
      <c r="EW87" s="522"/>
      <c r="EX87" s="527" t="str">
        <f t="shared" si="7"/>
        <v/>
      </c>
    </row>
    <row r="88" spans="1:154" x14ac:dyDescent="0.25">
      <c r="A88" s="522"/>
      <c r="B88" s="522"/>
      <c r="C88" s="522"/>
      <c r="D88" s="522" t="s">
        <v>288</v>
      </c>
      <c r="E88" s="522"/>
      <c r="F88" s="522"/>
      <c r="G88" s="522"/>
      <c r="H88" s="522"/>
      <c r="I88" s="522"/>
      <c r="J88" s="522"/>
      <c r="K88" s="522"/>
      <c r="L88" s="522"/>
      <c r="M88" s="522"/>
      <c r="N88" s="522"/>
      <c r="O88" s="522"/>
      <c r="P88" s="522"/>
      <c r="Q88" s="522"/>
      <c r="R88" s="522"/>
      <c r="S88" s="534"/>
      <c r="T88" s="522"/>
      <c r="U88" s="522"/>
      <c r="V88" s="536">
        <f>Loans!V$1085</f>
        <v>0</v>
      </c>
      <c r="W88" s="536">
        <f>Loans!W$1085</f>
        <v>0</v>
      </c>
      <c r="X88" s="536">
        <f>Loans!X$1085</f>
        <v>0</v>
      </c>
      <c r="Y88" s="536">
        <f>Loans!Y$1085</f>
        <v>0</v>
      </c>
      <c r="Z88" s="534"/>
      <c r="AA88" s="536">
        <f>Loans!AA$1085</f>
        <v>0</v>
      </c>
      <c r="AB88" s="536">
        <f>Loans!AB$1085</f>
        <v>0</v>
      </c>
      <c r="AC88" s="536">
        <f>Loans!AC$1085</f>
        <v>0</v>
      </c>
      <c r="AD88" s="536">
        <f>Loans!AD$1085</f>
        <v>0</v>
      </c>
      <c r="AE88" s="536">
        <f>Loans!AE$1085</f>
        <v>0</v>
      </c>
      <c r="AF88" s="536">
        <f>Loans!AF$1085</f>
        <v>0</v>
      </c>
      <c r="AG88" s="536">
        <f>Loans!AG$1085</f>
        <v>0</v>
      </c>
      <c r="AH88" s="536">
        <f>Loans!AH$1085</f>
        <v>0</v>
      </c>
      <c r="AI88" s="536">
        <f>Loans!AI$1085</f>
        <v>0</v>
      </c>
      <c r="AJ88" s="536">
        <f>Loans!AJ$1085</f>
        <v>0</v>
      </c>
      <c r="AK88" s="536">
        <f>Loans!AK$1085</f>
        <v>0</v>
      </c>
      <c r="AL88" s="536">
        <f>Loans!AL$1085</f>
        <v>0</v>
      </c>
      <c r="AM88" s="536">
        <f>Loans!AM$1085</f>
        <v>0</v>
      </c>
      <c r="AN88" s="536">
        <f>Loans!AN$1085</f>
        <v>0</v>
      </c>
      <c r="AO88" s="536">
        <f>Loans!AO$1085</f>
        <v>0</v>
      </c>
      <c r="AP88" s="536">
        <f>Loans!AP$1085</f>
        <v>0</v>
      </c>
      <c r="AQ88" s="536">
        <f>Loans!AQ$1085</f>
        <v>0</v>
      </c>
      <c r="AR88" s="536">
        <f>Loans!AR$1085</f>
        <v>0</v>
      </c>
      <c r="AS88" s="536">
        <f>Loans!AS$1085</f>
        <v>0</v>
      </c>
      <c r="AT88" s="536">
        <f>Loans!AT$1085</f>
        <v>0</v>
      </c>
      <c r="AU88" s="536">
        <f>Loans!AU$1085</f>
        <v>0</v>
      </c>
      <c r="AV88" s="536">
        <f>Loans!AV$1085</f>
        <v>0</v>
      </c>
      <c r="AW88" s="536">
        <f>Loans!AW$1085</f>
        <v>0</v>
      </c>
      <c r="AX88" s="536">
        <f>Loans!AX$1085</f>
        <v>0</v>
      </c>
      <c r="AY88" s="536">
        <f>Loans!AY$1085</f>
        <v>0</v>
      </c>
      <c r="AZ88" s="536">
        <f>Loans!AZ$1085</f>
        <v>0</v>
      </c>
      <c r="BA88" s="536">
        <f>Loans!BA$1085</f>
        <v>0</v>
      </c>
      <c r="BB88" s="536">
        <f>Loans!BB$1085</f>
        <v>0</v>
      </c>
      <c r="BC88" s="536">
        <f>Loans!BC$1085</f>
        <v>0</v>
      </c>
      <c r="BD88" s="536">
        <f>Loans!BD$1085</f>
        <v>0</v>
      </c>
      <c r="BE88" s="536">
        <f>Loans!BE$1085</f>
        <v>0</v>
      </c>
      <c r="BF88" s="536">
        <f>Loans!BF$1085</f>
        <v>0</v>
      </c>
      <c r="BG88" s="536">
        <f>Loans!BG$1085</f>
        <v>0</v>
      </c>
      <c r="BH88" s="536">
        <f>Loans!BH$1085</f>
        <v>0</v>
      </c>
      <c r="BI88" s="536">
        <f>Loans!BI$1085</f>
        <v>0</v>
      </c>
      <c r="BJ88" s="536">
        <f>Loans!BJ$1085</f>
        <v>0</v>
      </c>
      <c r="BK88" s="522"/>
      <c r="BL88" s="536">
        <f>Loans!BL$1085</f>
        <v>0</v>
      </c>
      <c r="BM88" s="536">
        <f>Loans!BM$1085</f>
        <v>0</v>
      </c>
      <c r="BN88" s="536">
        <f>Loans!BN$1085</f>
        <v>0</v>
      </c>
      <c r="BO88" s="536">
        <f>Loans!BO$1085</f>
        <v>0</v>
      </c>
      <c r="BP88" s="536">
        <f>Loans!BP$1085</f>
        <v>0</v>
      </c>
      <c r="BQ88" s="536">
        <f>Loans!BQ$1085</f>
        <v>0</v>
      </c>
      <c r="BR88" s="536">
        <f>Loans!BR$1085</f>
        <v>0</v>
      </c>
      <c r="BS88" s="536">
        <f>Loans!BS$1085</f>
        <v>0</v>
      </c>
      <c r="BT88" s="536">
        <f>Loans!BT$1085</f>
        <v>0</v>
      </c>
      <c r="BU88" s="536">
        <f>Loans!BU$1085</f>
        <v>0</v>
      </c>
      <c r="BV88" s="536">
        <f>Loans!BV$1085</f>
        <v>0</v>
      </c>
      <c r="BW88" s="536">
        <f>Loans!BW$1085</f>
        <v>0</v>
      </c>
      <c r="BX88" s="522"/>
      <c r="BY88" s="526"/>
      <c r="BZ88" s="522"/>
      <c r="CA88" s="526"/>
      <c r="CB88" s="522"/>
      <c r="CC88" s="522"/>
      <c r="CD88" s="522"/>
      <c r="CE88" s="522"/>
      <c r="CF88" s="522"/>
      <c r="CG88" s="522"/>
      <c r="CH88" s="522"/>
      <c r="CI88" s="522"/>
      <c r="CJ88" s="522"/>
      <c r="CK88" s="522"/>
      <c r="CL88" s="522"/>
      <c r="CM88" s="522"/>
      <c r="CN88" s="522"/>
      <c r="CO88" s="522"/>
      <c r="CP88" s="522"/>
      <c r="CQ88" s="522"/>
      <c r="CR88" s="522"/>
      <c r="CS88" s="522"/>
      <c r="CT88" s="522"/>
      <c r="CU88" s="522"/>
      <c r="CV88" s="522"/>
      <c r="CW88" s="522"/>
      <c r="CX88" s="522"/>
      <c r="CY88" s="522"/>
      <c r="CZ88" s="522"/>
      <c r="DA88" s="522"/>
      <c r="DB88" s="522"/>
      <c r="DC88" s="522"/>
      <c r="DD88" s="522"/>
      <c r="DE88" s="522"/>
      <c r="DF88" s="522"/>
      <c r="DG88" s="522"/>
      <c r="DH88" s="522"/>
      <c r="DI88" s="522"/>
      <c r="DJ88" s="522"/>
      <c r="DK88" s="522"/>
      <c r="DL88" s="522"/>
      <c r="DM88" s="522"/>
      <c r="DN88" s="522"/>
      <c r="DO88" s="522"/>
      <c r="DP88" s="522"/>
      <c r="DQ88" s="522"/>
      <c r="DR88" s="522"/>
      <c r="DS88" s="522"/>
      <c r="DT88" s="522"/>
      <c r="DU88" s="522"/>
      <c r="DV88" s="522"/>
      <c r="DW88" s="522"/>
      <c r="DX88" s="522"/>
      <c r="DY88" s="522"/>
      <c r="DZ88" s="522"/>
      <c r="EA88" s="522"/>
      <c r="EB88" s="522"/>
      <c r="EC88" s="522"/>
      <c r="ED88" s="522"/>
      <c r="EE88" s="522"/>
      <c r="EF88" s="522"/>
      <c r="EG88" s="522"/>
      <c r="EH88" s="522"/>
      <c r="EI88" s="522"/>
      <c r="EJ88" s="522"/>
      <c r="EK88" s="522"/>
      <c r="EL88" s="522"/>
      <c r="EM88" s="522"/>
      <c r="EN88" s="522"/>
      <c r="EO88" s="522"/>
      <c r="EP88" s="522"/>
      <c r="EQ88" s="522"/>
      <c r="ER88" s="522"/>
      <c r="ES88" s="522"/>
      <c r="ET88" s="522"/>
      <c r="EU88" s="522"/>
      <c r="EV88" s="522"/>
      <c r="EW88" s="522"/>
      <c r="EX88" s="527" t="str">
        <f t="shared" si="7"/>
        <v/>
      </c>
    </row>
    <row r="89" spans="1:154" x14ac:dyDescent="0.25">
      <c r="A89" s="522"/>
      <c r="B89" s="522"/>
      <c r="C89" s="522"/>
      <c r="D89" s="522" t="s">
        <v>215</v>
      </c>
      <c r="E89" s="522"/>
      <c r="F89" s="522"/>
      <c r="G89" s="522"/>
      <c r="H89" s="522"/>
      <c r="I89" s="522"/>
      <c r="J89" s="522"/>
      <c r="K89" s="522"/>
      <c r="L89" s="522"/>
      <c r="M89" s="522"/>
      <c r="N89" s="522"/>
      <c r="O89" s="522"/>
      <c r="P89" s="522"/>
      <c r="Q89" s="522"/>
      <c r="R89" s="522"/>
      <c r="S89" s="534"/>
      <c r="T89" s="522"/>
      <c r="U89" s="522"/>
      <c r="V89" s="536">
        <f>Loans!V$1086</f>
        <v>3042</v>
      </c>
      <c r="W89" s="536">
        <f>Loans!W$1086</f>
        <v>2701</v>
      </c>
      <c r="X89" s="536">
        <f>Loans!X$1086</f>
        <v>2417</v>
      </c>
      <c r="Y89" s="536">
        <f>Loans!Y$1086</f>
        <v>2133</v>
      </c>
      <c r="Z89" s="534"/>
      <c r="AA89" s="536">
        <f>Loans!AA$1086</f>
        <v>2987</v>
      </c>
      <c r="AB89" s="536">
        <f>Loans!AB$1086</f>
        <v>2963</v>
      </c>
      <c r="AC89" s="536">
        <f>Loans!AC$1086</f>
        <v>2939</v>
      </c>
      <c r="AD89" s="536">
        <f>Loans!AD$1086</f>
        <v>2883</v>
      </c>
      <c r="AE89" s="536">
        <f>Loans!AE$1086</f>
        <v>2858</v>
      </c>
      <c r="AF89" s="536">
        <f>Loans!AF$1086</f>
        <v>2843</v>
      </c>
      <c r="AG89" s="536">
        <f>Loans!AG$1086</f>
        <v>2798</v>
      </c>
      <c r="AH89" s="536">
        <f>Loans!AH$1086</f>
        <v>2785</v>
      </c>
      <c r="AI89" s="536">
        <f>Loans!AI$1086</f>
        <v>2772</v>
      </c>
      <c r="AJ89" s="536">
        <f>Loans!AJ$1086</f>
        <v>2727</v>
      </c>
      <c r="AK89" s="536">
        <f>Loans!AK$1086</f>
        <v>2714</v>
      </c>
      <c r="AL89" s="536">
        <f>Loans!AL$1086</f>
        <v>2701</v>
      </c>
      <c r="AM89" s="536">
        <f>Loans!AM$1086</f>
        <v>2657</v>
      </c>
      <c r="AN89" s="536">
        <f>Loans!AN$1086</f>
        <v>2644</v>
      </c>
      <c r="AO89" s="536">
        <f>Loans!AO$1086</f>
        <v>2631</v>
      </c>
      <c r="AP89" s="536">
        <f>Loans!AP$1086</f>
        <v>2586</v>
      </c>
      <c r="AQ89" s="536">
        <f>Loans!AQ$1086</f>
        <v>2572</v>
      </c>
      <c r="AR89" s="536">
        <f>Loans!AR$1086</f>
        <v>2559</v>
      </c>
      <c r="AS89" s="536">
        <f>Loans!AS$1086</f>
        <v>2514</v>
      </c>
      <c r="AT89" s="536">
        <f>Loans!AT$1086</f>
        <v>2501</v>
      </c>
      <c r="AU89" s="536">
        <f>Loans!AU$1086</f>
        <v>2488</v>
      </c>
      <c r="AV89" s="536">
        <f>Loans!AV$1086</f>
        <v>2443</v>
      </c>
      <c r="AW89" s="536">
        <f>Loans!AW$1086</f>
        <v>2430</v>
      </c>
      <c r="AX89" s="536">
        <f>Loans!AX$1086</f>
        <v>2417</v>
      </c>
      <c r="AY89" s="536">
        <f>Loans!AY$1086</f>
        <v>2373</v>
      </c>
      <c r="AZ89" s="536">
        <f>Loans!AZ$1086</f>
        <v>2360</v>
      </c>
      <c r="BA89" s="536">
        <f>Loans!BA$1086</f>
        <v>2347</v>
      </c>
      <c r="BB89" s="536">
        <f>Loans!BB$1086</f>
        <v>2302</v>
      </c>
      <c r="BC89" s="536">
        <f>Loans!BC$1086</f>
        <v>2288</v>
      </c>
      <c r="BD89" s="536">
        <f>Loans!BD$1086</f>
        <v>2275</v>
      </c>
      <c r="BE89" s="536">
        <f>Loans!BE$1086</f>
        <v>2230</v>
      </c>
      <c r="BF89" s="536">
        <f>Loans!BF$1086</f>
        <v>2217</v>
      </c>
      <c r="BG89" s="536">
        <f>Loans!BG$1086</f>
        <v>2204</v>
      </c>
      <c r="BH89" s="536">
        <f>Loans!BH$1086</f>
        <v>2159</v>
      </c>
      <c r="BI89" s="536">
        <f>Loans!BI$1086</f>
        <v>2146</v>
      </c>
      <c r="BJ89" s="536">
        <f>Loans!BJ$1086</f>
        <v>2133</v>
      </c>
      <c r="BK89" s="522"/>
      <c r="BL89" s="536">
        <f>Loans!BL$1086</f>
        <v>3042</v>
      </c>
      <c r="BM89" s="536">
        <f>Loans!BM$1086</f>
        <v>2701</v>
      </c>
      <c r="BN89" s="536">
        <f>Loans!BN$1086</f>
        <v>2417</v>
      </c>
      <c r="BO89" s="536">
        <f>Loans!BO$1086</f>
        <v>2133</v>
      </c>
      <c r="BP89" s="536">
        <f>Loans!BP$1086</f>
        <v>2133</v>
      </c>
      <c r="BQ89" s="536">
        <f>Loans!BQ$1086</f>
        <v>2133</v>
      </c>
      <c r="BR89" s="536">
        <f>Loans!BR$1086</f>
        <v>2133</v>
      </c>
      <c r="BS89" s="536">
        <f>Loans!BS$1086</f>
        <v>2133</v>
      </c>
      <c r="BT89" s="536">
        <f>Loans!BT$1086</f>
        <v>2133</v>
      </c>
      <c r="BU89" s="536">
        <f>Loans!BU$1086</f>
        <v>2133</v>
      </c>
      <c r="BV89" s="536">
        <f>Loans!BV$1086</f>
        <v>2133</v>
      </c>
      <c r="BW89" s="536">
        <f>Loans!BW$1086</f>
        <v>2133</v>
      </c>
      <c r="BX89" s="522"/>
      <c r="BY89" s="526"/>
      <c r="BZ89" s="522"/>
      <c r="CA89" s="526"/>
      <c r="CB89" s="522"/>
      <c r="CC89" s="522"/>
      <c r="CD89" s="522"/>
      <c r="CE89" s="522"/>
      <c r="CF89" s="522"/>
      <c r="CG89" s="522"/>
      <c r="CH89" s="522"/>
      <c r="CI89" s="522"/>
      <c r="CJ89" s="522"/>
      <c r="CK89" s="522"/>
      <c r="CL89" s="522"/>
      <c r="CM89" s="522"/>
      <c r="CN89" s="522"/>
      <c r="CO89" s="522"/>
      <c r="CP89" s="522"/>
      <c r="CQ89" s="522"/>
      <c r="CR89" s="522"/>
      <c r="CS89" s="522"/>
      <c r="CT89" s="522"/>
      <c r="CU89" s="522"/>
      <c r="CV89" s="522"/>
      <c r="CW89" s="522"/>
      <c r="CX89" s="522"/>
      <c r="CY89" s="522"/>
      <c r="CZ89" s="522"/>
      <c r="DA89" s="522"/>
      <c r="DB89" s="522"/>
      <c r="DC89" s="522"/>
      <c r="DD89" s="522"/>
      <c r="DE89" s="522"/>
      <c r="DF89" s="522"/>
      <c r="DG89" s="522"/>
      <c r="DH89" s="522"/>
      <c r="DI89" s="522"/>
      <c r="DJ89" s="522"/>
      <c r="DK89" s="522"/>
      <c r="DL89" s="522"/>
      <c r="DM89" s="522"/>
      <c r="DN89" s="522"/>
      <c r="DO89" s="522"/>
      <c r="DP89" s="522"/>
      <c r="DQ89" s="522"/>
      <c r="DR89" s="522"/>
      <c r="DS89" s="522"/>
      <c r="DT89" s="522"/>
      <c r="DU89" s="522"/>
      <c r="DV89" s="522"/>
      <c r="DW89" s="522"/>
      <c r="DX89" s="522"/>
      <c r="DY89" s="522"/>
      <c r="DZ89" s="522"/>
      <c r="EA89" s="522"/>
      <c r="EB89" s="522"/>
      <c r="EC89" s="522"/>
      <c r="ED89" s="522"/>
      <c r="EE89" s="522"/>
      <c r="EF89" s="522"/>
      <c r="EG89" s="522"/>
      <c r="EH89" s="522"/>
      <c r="EI89" s="522"/>
      <c r="EJ89" s="522"/>
      <c r="EK89" s="522"/>
      <c r="EL89" s="522"/>
      <c r="EM89" s="522"/>
      <c r="EN89" s="522"/>
      <c r="EO89" s="522"/>
      <c r="EP89" s="522"/>
      <c r="EQ89" s="522"/>
      <c r="ER89" s="522"/>
      <c r="ES89" s="522"/>
      <c r="ET89" s="522"/>
      <c r="EU89" s="522"/>
      <c r="EV89" s="522"/>
      <c r="EW89" s="522"/>
      <c r="EX89" s="527" t="str">
        <f t="shared" si="7"/>
        <v/>
      </c>
    </row>
    <row r="90" spans="1:154" s="335" customFormat="1" ht="8.1" customHeight="1" x14ac:dyDescent="0.25">
      <c r="A90" s="522"/>
      <c r="B90" s="522"/>
      <c r="C90" s="522"/>
      <c r="D90" s="522"/>
      <c r="E90" s="522"/>
      <c r="F90" s="522"/>
      <c r="G90" s="522"/>
      <c r="H90" s="522"/>
      <c r="I90" s="522"/>
      <c r="J90" s="522"/>
      <c r="K90" s="522"/>
      <c r="L90" s="522"/>
      <c r="M90" s="522"/>
      <c r="N90" s="522"/>
      <c r="O90" s="522"/>
      <c r="P90" s="522"/>
      <c r="Q90" s="522"/>
      <c r="R90" s="522"/>
      <c r="S90" s="534"/>
      <c r="T90" s="522"/>
      <c r="U90" s="522"/>
      <c r="V90" s="522"/>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534"/>
      <c r="AY90" s="534"/>
      <c r="AZ90" s="534"/>
      <c r="BA90" s="534"/>
      <c r="BB90" s="534"/>
      <c r="BC90" s="534"/>
      <c r="BD90" s="534"/>
      <c r="BE90" s="534"/>
      <c r="BF90" s="534"/>
      <c r="BG90" s="534"/>
      <c r="BH90" s="534"/>
      <c r="BI90" s="534"/>
      <c r="BJ90" s="534"/>
      <c r="BK90" s="534"/>
      <c r="BL90" s="534"/>
      <c r="BM90" s="534"/>
      <c r="BN90" s="534"/>
      <c r="BO90" s="534"/>
      <c r="BP90" s="534"/>
      <c r="BQ90" s="534"/>
      <c r="BR90" s="534"/>
      <c r="BS90" s="534"/>
      <c r="BT90" s="534"/>
      <c r="BU90" s="534"/>
      <c r="BV90" s="534"/>
      <c r="BW90" s="534"/>
      <c r="BX90" s="522"/>
      <c r="BY90" s="526"/>
      <c r="BZ90" s="522"/>
      <c r="CA90" s="526"/>
      <c r="CB90" s="522"/>
      <c r="CC90" s="522"/>
      <c r="CD90" s="522"/>
      <c r="CE90" s="522"/>
      <c r="CF90" s="522"/>
      <c r="CG90" s="522"/>
      <c r="CH90" s="522"/>
      <c r="CI90" s="522"/>
      <c r="CJ90" s="522"/>
      <c r="CK90" s="522"/>
      <c r="CL90" s="522"/>
      <c r="CM90" s="522"/>
      <c r="CN90" s="522"/>
      <c r="CO90" s="522"/>
      <c r="CP90" s="522"/>
      <c r="CQ90" s="522"/>
      <c r="CR90" s="522"/>
      <c r="CS90" s="522"/>
      <c r="CT90" s="522"/>
      <c r="CU90" s="522"/>
      <c r="CV90" s="522"/>
      <c r="CW90" s="522"/>
      <c r="CX90" s="522"/>
      <c r="CY90" s="522"/>
      <c r="CZ90" s="522"/>
      <c r="DA90" s="522"/>
      <c r="DB90" s="522"/>
      <c r="DC90" s="522"/>
      <c r="DD90" s="522"/>
      <c r="DE90" s="522"/>
      <c r="DF90" s="522"/>
      <c r="DG90" s="522"/>
      <c r="DH90" s="522"/>
      <c r="DI90" s="522"/>
      <c r="DJ90" s="522"/>
      <c r="DK90" s="522"/>
      <c r="DL90" s="522"/>
      <c r="DM90" s="522"/>
      <c r="DN90" s="522"/>
      <c r="DO90" s="522"/>
      <c r="DP90" s="522"/>
      <c r="DQ90" s="522"/>
      <c r="DR90" s="522"/>
      <c r="DS90" s="522"/>
      <c r="DT90" s="522"/>
      <c r="DU90" s="522"/>
      <c r="DV90" s="522"/>
      <c r="DW90" s="522"/>
      <c r="DX90" s="522"/>
      <c r="DY90" s="522"/>
      <c r="DZ90" s="522"/>
      <c r="EA90" s="522"/>
      <c r="EB90" s="522"/>
      <c r="EC90" s="522"/>
      <c r="ED90" s="522"/>
      <c r="EE90" s="522"/>
      <c r="EF90" s="522"/>
      <c r="EG90" s="522"/>
      <c r="EH90" s="522"/>
      <c r="EI90" s="522"/>
      <c r="EJ90" s="522"/>
      <c r="EK90" s="522"/>
      <c r="EL90" s="522"/>
      <c r="EM90" s="522"/>
      <c r="EN90" s="522"/>
      <c r="EO90" s="522"/>
      <c r="EP90" s="522"/>
      <c r="EQ90" s="522"/>
      <c r="ER90" s="522"/>
      <c r="ES90" s="522"/>
      <c r="ET90" s="522"/>
      <c r="EU90" s="522"/>
      <c r="EV90" s="522"/>
      <c r="EW90" s="522"/>
      <c r="EX90" s="527" t="str">
        <f t="shared" si="7"/>
        <v/>
      </c>
    </row>
    <row r="91" spans="1:154" s="335" customFormat="1" x14ac:dyDescent="0.25">
      <c r="A91" s="542"/>
      <c r="B91" s="542"/>
      <c r="C91" s="542"/>
      <c r="D91" s="533" t="s">
        <v>2384</v>
      </c>
      <c r="E91" s="542"/>
      <c r="F91" s="542"/>
      <c r="G91" s="542"/>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542"/>
      <c r="AF91" s="542"/>
      <c r="AG91" s="542"/>
      <c r="AH91" s="542"/>
      <c r="AI91" s="542"/>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42"/>
      <c r="BG91" s="542"/>
      <c r="BH91" s="542"/>
      <c r="BI91" s="542"/>
      <c r="BJ91" s="542"/>
      <c r="BK91" s="542"/>
      <c r="BL91" s="542"/>
      <c r="BM91" s="542"/>
      <c r="BN91" s="542"/>
      <c r="BO91" s="542"/>
      <c r="BP91" s="542"/>
      <c r="BQ91" s="542"/>
      <c r="BR91" s="542"/>
      <c r="BS91" s="542"/>
      <c r="BT91" s="542"/>
      <c r="BU91" s="542"/>
      <c r="BV91" s="542"/>
      <c r="BW91" s="542"/>
      <c r="BX91" s="542"/>
      <c r="BY91" s="526"/>
      <c r="BZ91" s="522"/>
      <c r="CA91" s="526"/>
      <c r="CB91" s="522"/>
      <c r="CC91" s="522"/>
      <c r="CD91" s="522"/>
      <c r="CE91" s="522"/>
      <c r="CF91" s="522"/>
      <c r="CG91" s="522"/>
      <c r="CH91" s="522"/>
      <c r="CI91" s="522"/>
      <c r="CJ91" s="522"/>
      <c r="CK91" s="522"/>
      <c r="CL91" s="522"/>
      <c r="CM91" s="522"/>
      <c r="CN91" s="522"/>
      <c r="CO91" s="522"/>
      <c r="CP91" s="522"/>
      <c r="CQ91" s="522"/>
      <c r="CR91" s="522"/>
      <c r="CS91" s="522"/>
      <c r="CT91" s="522"/>
      <c r="CU91" s="522"/>
      <c r="CV91" s="522"/>
      <c r="CW91" s="522"/>
      <c r="CX91" s="522"/>
      <c r="CY91" s="522"/>
      <c r="CZ91" s="522"/>
      <c r="DA91" s="522"/>
      <c r="DB91" s="522"/>
      <c r="DC91" s="522"/>
      <c r="DD91" s="522"/>
      <c r="DE91" s="522"/>
      <c r="DF91" s="522"/>
      <c r="DG91" s="522"/>
      <c r="DH91" s="522"/>
      <c r="DI91" s="522"/>
      <c r="DJ91" s="522"/>
      <c r="DK91" s="522"/>
      <c r="DL91" s="522"/>
      <c r="DM91" s="522"/>
      <c r="DN91" s="522"/>
      <c r="DO91" s="522"/>
      <c r="DP91" s="522"/>
      <c r="DQ91" s="522"/>
      <c r="DR91" s="522"/>
      <c r="DS91" s="522"/>
      <c r="DT91" s="522"/>
      <c r="DU91" s="522"/>
      <c r="DV91" s="522"/>
      <c r="DW91" s="522"/>
      <c r="DX91" s="522"/>
      <c r="DY91" s="522"/>
      <c r="DZ91" s="522"/>
      <c r="EA91" s="522"/>
      <c r="EB91" s="522"/>
      <c r="EC91" s="522"/>
      <c r="ED91" s="522"/>
      <c r="EE91" s="522"/>
      <c r="EF91" s="522"/>
      <c r="EG91" s="522"/>
      <c r="EH91" s="522"/>
      <c r="EI91" s="522"/>
      <c r="EJ91" s="522"/>
      <c r="EK91" s="522"/>
      <c r="EL91" s="522"/>
      <c r="EM91" s="522"/>
      <c r="EN91" s="522"/>
      <c r="EO91" s="522"/>
      <c r="EP91" s="522"/>
      <c r="EQ91" s="522"/>
      <c r="ER91" s="522"/>
      <c r="ES91" s="522"/>
      <c r="ET91" s="522"/>
      <c r="EU91" s="522"/>
      <c r="EV91" s="522"/>
      <c r="EW91" s="522"/>
      <c r="EX91" s="527" t="str">
        <f t="shared" si="7"/>
        <v/>
      </c>
    </row>
    <row r="92" spans="1:154" s="335" customFormat="1" ht="8.1" customHeight="1" x14ac:dyDescent="0.25">
      <c r="A92" s="522"/>
      <c r="B92" s="522"/>
      <c r="C92" s="522"/>
      <c r="D92" s="522"/>
      <c r="E92" s="522"/>
      <c r="F92" s="522"/>
      <c r="G92" s="522"/>
      <c r="H92" s="522"/>
      <c r="I92" s="522"/>
      <c r="J92" s="522"/>
      <c r="K92" s="522"/>
      <c r="L92" s="522"/>
      <c r="M92" s="522"/>
      <c r="N92" s="522"/>
      <c r="O92" s="522"/>
      <c r="P92" s="522"/>
      <c r="Q92" s="522"/>
      <c r="R92" s="522"/>
      <c r="S92" s="534"/>
      <c r="T92" s="522"/>
      <c r="U92" s="522"/>
      <c r="V92" s="522"/>
      <c r="W92" s="534"/>
      <c r="X92" s="534"/>
      <c r="Y92" s="534"/>
      <c r="Z92" s="534"/>
      <c r="AA92" s="534"/>
      <c r="AB92" s="534"/>
      <c r="AC92" s="534"/>
      <c r="AD92" s="534"/>
      <c r="AE92" s="534"/>
      <c r="AF92" s="534"/>
      <c r="AG92" s="534"/>
      <c r="AH92" s="534"/>
      <c r="AI92" s="534"/>
      <c r="AJ92" s="534"/>
      <c r="AK92" s="534"/>
      <c r="AL92" s="534"/>
      <c r="AM92" s="534"/>
      <c r="AN92" s="534"/>
      <c r="AO92" s="534"/>
      <c r="AP92" s="534"/>
      <c r="AQ92" s="534"/>
      <c r="AR92" s="534"/>
      <c r="AS92" s="534"/>
      <c r="AT92" s="534"/>
      <c r="AU92" s="534"/>
      <c r="AV92" s="534"/>
      <c r="AW92" s="534"/>
      <c r="AX92" s="534"/>
      <c r="AY92" s="534"/>
      <c r="AZ92" s="534"/>
      <c r="BA92" s="534"/>
      <c r="BB92" s="534"/>
      <c r="BC92" s="534"/>
      <c r="BD92" s="534"/>
      <c r="BE92" s="534"/>
      <c r="BF92" s="534"/>
      <c r="BG92" s="534"/>
      <c r="BH92" s="534"/>
      <c r="BI92" s="534"/>
      <c r="BJ92" s="534"/>
      <c r="BK92" s="534"/>
      <c r="BL92" s="534"/>
      <c r="BM92" s="534"/>
      <c r="BN92" s="534"/>
      <c r="BO92" s="534"/>
      <c r="BP92" s="534"/>
      <c r="BQ92" s="534"/>
      <c r="BR92" s="534"/>
      <c r="BS92" s="534"/>
      <c r="BT92" s="534"/>
      <c r="BU92" s="534"/>
      <c r="BV92" s="534"/>
      <c r="BW92" s="534"/>
      <c r="BX92" s="522"/>
      <c r="BY92" s="526"/>
      <c r="BZ92" s="522"/>
      <c r="CA92" s="526"/>
      <c r="CB92" s="522"/>
      <c r="CC92" s="522"/>
      <c r="CD92" s="522"/>
      <c r="CE92" s="522"/>
      <c r="CF92" s="522"/>
      <c r="CG92" s="522"/>
      <c r="CH92" s="522"/>
      <c r="CI92" s="522"/>
      <c r="CJ92" s="522"/>
      <c r="CK92" s="522"/>
      <c r="CL92" s="522"/>
      <c r="CM92" s="522"/>
      <c r="CN92" s="522"/>
      <c r="CO92" s="522"/>
      <c r="CP92" s="522"/>
      <c r="CQ92" s="522"/>
      <c r="CR92" s="522"/>
      <c r="CS92" s="522"/>
      <c r="CT92" s="522"/>
      <c r="CU92" s="522"/>
      <c r="CV92" s="522"/>
      <c r="CW92" s="522"/>
      <c r="CX92" s="522"/>
      <c r="CY92" s="522"/>
      <c r="CZ92" s="522"/>
      <c r="DA92" s="522"/>
      <c r="DB92" s="522"/>
      <c r="DC92" s="522"/>
      <c r="DD92" s="522"/>
      <c r="DE92" s="522"/>
      <c r="DF92" s="522"/>
      <c r="DG92" s="522"/>
      <c r="DH92" s="522"/>
      <c r="DI92" s="522"/>
      <c r="DJ92" s="522"/>
      <c r="DK92" s="522"/>
      <c r="DL92" s="522"/>
      <c r="DM92" s="522"/>
      <c r="DN92" s="522"/>
      <c r="DO92" s="522"/>
      <c r="DP92" s="522"/>
      <c r="DQ92" s="522"/>
      <c r="DR92" s="522"/>
      <c r="DS92" s="522"/>
      <c r="DT92" s="522"/>
      <c r="DU92" s="522"/>
      <c r="DV92" s="522"/>
      <c r="DW92" s="522"/>
      <c r="DX92" s="522"/>
      <c r="DY92" s="522"/>
      <c r="DZ92" s="522"/>
      <c r="EA92" s="522"/>
      <c r="EB92" s="522"/>
      <c r="EC92" s="522"/>
      <c r="ED92" s="522"/>
      <c r="EE92" s="522"/>
      <c r="EF92" s="522"/>
      <c r="EG92" s="522"/>
      <c r="EH92" s="522"/>
      <c r="EI92" s="522"/>
      <c r="EJ92" s="522"/>
      <c r="EK92" s="522"/>
      <c r="EL92" s="522"/>
      <c r="EM92" s="522"/>
      <c r="EN92" s="522"/>
      <c r="EO92" s="522"/>
      <c r="EP92" s="522"/>
      <c r="EQ92" s="522"/>
      <c r="ER92" s="522"/>
      <c r="ES92" s="522"/>
      <c r="ET92" s="522"/>
      <c r="EU92" s="522"/>
      <c r="EV92" s="522"/>
      <c r="EW92" s="522"/>
      <c r="EX92" s="527" t="str">
        <f t="shared" si="7"/>
        <v/>
      </c>
    </row>
    <row r="93" spans="1:154" s="335" customFormat="1" x14ac:dyDescent="0.25">
      <c r="A93" s="522"/>
      <c r="B93" s="535" t="s">
        <v>2401</v>
      </c>
      <c r="C93" s="522"/>
      <c r="D93" s="522" t="s">
        <v>2400</v>
      </c>
      <c r="E93" s="522"/>
      <c r="F93" s="522"/>
      <c r="G93" s="522"/>
      <c r="H93" s="522"/>
      <c r="I93" s="522"/>
      <c r="J93" s="522"/>
      <c r="K93" s="522"/>
      <c r="L93" s="522"/>
      <c r="M93" s="522"/>
      <c r="N93" s="522"/>
      <c r="O93" s="522"/>
      <c r="P93" s="522"/>
      <c r="Q93" s="522"/>
      <c r="R93" s="522"/>
      <c r="S93" s="534"/>
      <c r="T93" s="522"/>
      <c r="U93" s="522"/>
      <c r="V93" s="263" t="str">
        <f>Dashboard!V$14</f>
        <v/>
      </c>
      <c r="W93" s="263" t="str">
        <f ca="1">Dashboard!W$14</f>
        <v>Outstanding</v>
      </c>
      <c r="X93" s="263" t="str">
        <f ca="1">Dashboard!X$14</f>
        <v>Outstanding</v>
      </c>
      <c r="Y93" s="263" t="str">
        <f ca="1">Dashboard!Y$14</f>
        <v>Outstanding</v>
      </c>
      <c r="Z93" s="534"/>
      <c r="AA93" s="534"/>
      <c r="AB93" s="534"/>
      <c r="AC93" s="534"/>
      <c r="AD93" s="534"/>
      <c r="AE93" s="534"/>
      <c r="AF93" s="534"/>
      <c r="AG93" s="534"/>
      <c r="AH93" s="534"/>
      <c r="AI93" s="534"/>
      <c r="AJ93" s="534"/>
      <c r="AK93" s="534"/>
      <c r="AL93" s="534"/>
      <c r="AM93" s="534"/>
      <c r="AN93" s="534"/>
      <c r="AO93" s="534"/>
      <c r="AP93" s="534"/>
      <c r="AQ93" s="534"/>
      <c r="AR93" s="534"/>
      <c r="AS93" s="534"/>
      <c r="AT93" s="534"/>
      <c r="AU93" s="534"/>
      <c r="AV93" s="534"/>
      <c r="AW93" s="534"/>
      <c r="AX93" s="534"/>
      <c r="AY93" s="534"/>
      <c r="AZ93" s="534"/>
      <c r="BA93" s="534"/>
      <c r="BB93" s="534"/>
      <c r="BC93" s="534"/>
      <c r="BD93" s="534"/>
      <c r="BE93" s="534"/>
      <c r="BF93" s="534"/>
      <c r="BG93" s="534"/>
      <c r="BH93" s="534"/>
      <c r="BI93" s="534"/>
      <c r="BJ93" s="534"/>
      <c r="BK93" s="534"/>
      <c r="BL93" s="534"/>
      <c r="BM93" s="534"/>
      <c r="BN93" s="534"/>
      <c r="BO93" s="534"/>
      <c r="BP93" s="534"/>
      <c r="BQ93" s="534"/>
      <c r="BR93" s="534"/>
      <c r="BS93" s="534"/>
      <c r="BT93" s="534"/>
      <c r="BU93" s="534"/>
      <c r="BV93" s="534"/>
      <c r="BW93" s="534"/>
      <c r="BX93" s="522"/>
      <c r="BY93" s="526"/>
      <c r="BZ93" s="522"/>
      <c r="CA93" s="526"/>
      <c r="CB93" s="522"/>
      <c r="CC93" s="522"/>
      <c r="CD93" s="522"/>
      <c r="CE93" s="522"/>
      <c r="CF93" s="522"/>
      <c r="CG93" s="522"/>
      <c r="CH93" s="522"/>
      <c r="CI93" s="522"/>
      <c r="CJ93" s="522"/>
      <c r="CK93" s="522"/>
      <c r="CL93" s="522"/>
      <c r="CM93" s="522"/>
      <c r="CN93" s="522"/>
      <c r="CO93" s="522"/>
      <c r="CP93" s="522"/>
      <c r="CQ93" s="522"/>
      <c r="CR93" s="522"/>
      <c r="CS93" s="522"/>
      <c r="CT93" s="522"/>
      <c r="CU93" s="522"/>
      <c r="CV93" s="522"/>
      <c r="CW93" s="522"/>
      <c r="CX93" s="522"/>
      <c r="CY93" s="522"/>
      <c r="CZ93" s="522"/>
      <c r="DA93" s="522"/>
      <c r="DB93" s="522"/>
      <c r="DC93" s="522"/>
      <c r="DD93" s="522"/>
      <c r="DE93" s="522"/>
      <c r="DF93" s="522"/>
      <c r="DG93" s="522"/>
      <c r="DH93" s="522"/>
      <c r="DI93" s="522"/>
      <c r="DJ93" s="522"/>
      <c r="DK93" s="522"/>
      <c r="DL93" s="522"/>
      <c r="DM93" s="522"/>
      <c r="DN93" s="522"/>
      <c r="DO93" s="522"/>
      <c r="DP93" s="522"/>
      <c r="DQ93" s="522"/>
      <c r="DR93" s="522"/>
      <c r="DS93" s="522"/>
      <c r="DT93" s="522"/>
      <c r="DU93" s="522"/>
      <c r="DV93" s="522"/>
      <c r="DW93" s="522"/>
      <c r="DX93" s="522"/>
      <c r="DY93" s="522"/>
      <c r="DZ93" s="522"/>
      <c r="EA93" s="522"/>
      <c r="EB93" s="522"/>
      <c r="EC93" s="522"/>
      <c r="ED93" s="522"/>
      <c r="EE93" s="522"/>
      <c r="EF93" s="522"/>
      <c r="EG93" s="522"/>
      <c r="EH93" s="522"/>
      <c r="EI93" s="522"/>
      <c r="EJ93" s="522"/>
      <c r="EK93" s="522"/>
      <c r="EL93" s="522"/>
      <c r="EM93" s="522"/>
      <c r="EN93" s="522"/>
      <c r="EO93" s="522"/>
      <c r="EP93" s="522"/>
      <c r="EQ93" s="522"/>
      <c r="ER93" s="522"/>
      <c r="ES93" s="522"/>
      <c r="ET93" s="522"/>
      <c r="EU93" s="522"/>
      <c r="EV93" s="522"/>
      <c r="EW93" s="522"/>
      <c r="EX93" s="527" t="str">
        <f t="shared" si="7"/>
        <v/>
      </c>
    </row>
    <row r="94" spans="1:154" s="335" customFormat="1" x14ac:dyDescent="0.25">
      <c r="A94" s="522"/>
      <c r="B94" s="535"/>
      <c r="C94" s="522"/>
      <c r="D94" s="522" t="s">
        <v>2404</v>
      </c>
      <c r="E94" s="524"/>
      <c r="F94" s="522"/>
      <c r="G94" s="522"/>
      <c r="H94" s="522"/>
      <c r="I94" s="522"/>
      <c r="J94" s="522"/>
      <c r="K94" s="522"/>
      <c r="L94" s="522"/>
      <c r="M94" s="522"/>
      <c r="N94" s="522"/>
      <c r="O94" s="522"/>
      <c r="P94" s="522"/>
      <c r="Q94" s="522"/>
      <c r="R94" s="522"/>
      <c r="S94" s="534"/>
      <c r="T94" s="522"/>
      <c r="U94" s="522"/>
      <c r="V94" s="536">
        <f>Dashboard!V$15</f>
        <v>0</v>
      </c>
      <c r="W94" s="536">
        <f ca="1">Dashboard!W$15</f>
        <v>250</v>
      </c>
      <c r="X94" s="536">
        <f ca="1">Dashboard!X$15</f>
        <v>260</v>
      </c>
      <c r="Y94" s="536">
        <f ca="1">Dashboard!Y$15</f>
        <v>260</v>
      </c>
      <c r="Z94" s="534"/>
      <c r="AA94" s="534"/>
      <c r="AB94" s="534"/>
      <c r="AC94" s="534"/>
      <c r="AD94" s="534"/>
      <c r="AE94" s="534"/>
      <c r="AF94" s="534"/>
      <c r="AG94" s="534"/>
      <c r="AH94" s="534"/>
      <c r="AI94" s="534"/>
      <c r="AJ94" s="534"/>
      <c r="AK94" s="534"/>
      <c r="AL94" s="534"/>
      <c r="AM94" s="534"/>
      <c r="AN94" s="534"/>
      <c r="AO94" s="534"/>
      <c r="AP94" s="534"/>
      <c r="AQ94" s="534"/>
      <c r="AR94" s="534"/>
      <c r="AS94" s="534"/>
      <c r="AT94" s="534"/>
      <c r="AU94" s="534"/>
      <c r="AV94" s="534"/>
      <c r="AW94" s="534"/>
      <c r="AX94" s="534"/>
      <c r="AY94" s="534"/>
      <c r="AZ94" s="534"/>
      <c r="BA94" s="534"/>
      <c r="BB94" s="534"/>
      <c r="BC94" s="534"/>
      <c r="BD94" s="534"/>
      <c r="BE94" s="534"/>
      <c r="BF94" s="534"/>
      <c r="BG94" s="534"/>
      <c r="BH94" s="534"/>
      <c r="BI94" s="534"/>
      <c r="BJ94" s="534"/>
      <c r="BK94" s="534"/>
      <c r="BL94" s="534"/>
      <c r="BM94" s="534"/>
      <c r="BN94" s="534"/>
      <c r="BO94" s="534"/>
      <c r="BP94" s="534"/>
      <c r="BQ94" s="534"/>
      <c r="BR94" s="534"/>
      <c r="BS94" s="534"/>
      <c r="BT94" s="534"/>
      <c r="BU94" s="534"/>
      <c r="BV94" s="534"/>
      <c r="BW94" s="534"/>
      <c r="BX94" s="522"/>
      <c r="BY94" s="526"/>
      <c r="BZ94" s="522"/>
      <c r="CA94" s="526"/>
      <c r="CB94" s="522"/>
      <c r="CC94" s="522"/>
      <c r="CD94" s="522"/>
      <c r="CE94" s="522"/>
      <c r="CF94" s="522"/>
      <c r="CG94" s="522"/>
      <c r="CH94" s="522"/>
      <c r="CI94" s="522"/>
      <c r="CJ94" s="522"/>
      <c r="CK94" s="522"/>
      <c r="CL94" s="522"/>
      <c r="CM94" s="522"/>
      <c r="CN94" s="522"/>
      <c r="CO94" s="522"/>
      <c r="CP94" s="522"/>
      <c r="CQ94" s="522"/>
      <c r="CR94" s="522"/>
      <c r="CS94" s="522"/>
      <c r="CT94" s="522"/>
      <c r="CU94" s="522"/>
      <c r="CV94" s="522"/>
      <c r="CW94" s="522"/>
      <c r="CX94" s="522"/>
      <c r="CY94" s="522"/>
      <c r="CZ94" s="522"/>
      <c r="DA94" s="522"/>
      <c r="DB94" s="522"/>
      <c r="DC94" s="522"/>
      <c r="DD94" s="522"/>
      <c r="DE94" s="522"/>
      <c r="DF94" s="522"/>
      <c r="DG94" s="522"/>
      <c r="DH94" s="522"/>
      <c r="DI94" s="522"/>
      <c r="DJ94" s="522"/>
      <c r="DK94" s="522"/>
      <c r="DL94" s="522"/>
      <c r="DM94" s="522"/>
      <c r="DN94" s="522"/>
      <c r="DO94" s="522"/>
      <c r="DP94" s="522"/>
      <c r="DQ94" s="522"/>
      <c r="DR94" s="522"/>
      <c r="DS94" s="522"/>
      <c r="DT94" s="522"/>
      <c r="DU94" s="522"/>
      <c r="DV94" s="522"/>
      <c r="DW94" s="522"/>
      <c r="DX94" s="522"/>
      <c r="DY94" s="522"/>
      <c r="DZ94" s="522"/>
      <c r="EA94" s="522"/>
      <c r="EB94" s="522"/>
      <c r="EC94" s="522"/>
      <c r="ED94" s="522"/>
      <c r="EE94" s="522"/>
      <c r="EF94" s="522"/>
      <c r="EG94" s="522"/>
      <c r="EH94" s="522"/>
      <c r="EI94" s="522"/>
      <c r="EJ94" s="522"/>
      <c r="EK94" s="522"/>
      <c r="EL94" s="522"/>
      <c r="EM94" s="522"/>
      <c r="EN94" s="522"/>
      <c r="EO94" s="522"/>
      <c r="EP94" s="522"/>
      <c r="EQ94" s="522"/>
      <c r="ER94" s="522"/>
      <c r="ES94" s="522"/>
      <c r="ET94" s="522"/>
      <c r="EU94" s="522"/>
      <c r="EV94" s="522"/>
      <c r="EW94" s="522"/>
      <c r="EX94" s="527" t="str">
        <f t="shared" si="7"/>
        <v/>
      </c>
    </row>
    <row r="95" spans="1:154" x14ac:dyDescent="0.25">
      <c r="A95" s="522"/>
      <c r="B95" s="535" t="s">
        <v>2402</v>
      </c>
      <c r="C95" s="522"/>
      <c r="D95" s="522" t="s">
        <v>1695</v>
      </c>
      <c r="E95" s="524"/>
      <c r="F95" s="522"/>
      <c r="G95" s="522"/>
      <c r="H95" s="522"/>
      <c r="I95" s="522"/>
      <c r="J95" s="522"/>
      <c r="K95" s="522"/>
      <c r="L95" s="522"/>
      <c r="M95" s="522"/>
      <c r="N95" s="522"/>
      <c r="O95" s="522"/>
      <c r="P95" s="522"/>
      <c r="Q95" s="522"/>
      <c r="R95" s="522"/>
      <c r="S95" s="534"/>
      <c r="T95" s="522"/>
      <c r="U95" s="522"/>
      <c r="V95" s="539">
        <f>Dashboard!V$19</f>
        <v>0</v>
      </c>
      <c r="W95" s="539">
        <f>Dashboard!W$19</f>
        <v>7.2641475708719122E-2</v>
      </c>
      <c r="X95" s="539">
        <f>Dashboard!X$19</f>
        <v>7.0342792437291968E-2</v>
      </c>
      <c r="Y95" s="539">
        <f>Dashboard!Y$19</f>
        <v>7.2259524115815529E-2</v>
      </c>
      <c r="Z95" s="534"/>
      <c r="AA95" s="534"/>
      <c r="AB95" s="534"/>
      <c r="AC95" s="534"/>
      <c r="AD95" s="534"/>
      <c r="AE95" s="534"/>
      <c r="AF95" s="534"/>
      <c r="AG95" s="534"/>
      <c r="AH95" s="534"/>
      <c r="AI95" s="534"/>
      <c r="AJ95" s="534"/>
      <c r="AK95" s="534"/>
      <c r="AL95" s="534"/>
      <c r="AM95" s="534"/>
      <c r="AN95" s="534"/>
      <c r="AO95" s="534"/>
      <c r="AP95" s="534"/>
      <c r="AQ95" s="534"/>
      <c r="AR95" s="534"/>
      <c r="AS95" s="534"/>
      <c r="AT95" s="534"/>
      <c r="AU95" s="534"/>
      <c r="AV95" s="534"/>
      <c r="AW95" s="534"/>
      <c r="AX95" s="534"/>
      <c r="AY95" s="534"/>
      <c r="AZ95" s="534"/>
      <c r="BA95" s="534"/>
      <c r="BB95" s="534"/>
      <c r="BC95" s="534"/>
      <c r="BD95" s="534"/>
      <c r="BE95" s="534"/>
      <c r="BF95" s="534"/>
      <c r="BG95" s="534"/>
      <c r="BH95" s="534"/>
      <c r="BI95" s="534"/>
      <c r="BJ95" s="534"/>
      <c r="BK95" s="534"/>
      <c r="BL95" s="534"/>
      <c r="BM95" s="534"/>
      <c r="BN95" s="534"/>
      <c r="BO95" s="534"/>
      <c r="BP95" s="534"/>
      <c r="BQ95" s="534"/>
      <c r="BR95" s="534"/>
      <c r="BS95" s="534"/>
      <c r="BT95" s="534"/>
      <c r="BU95" s="534"/>
      <c r="BV95" s="534"/>
      <c r="BW95" s="534"/>
      <c r="BX95" s="522"/>
      <c r="BY95" s="531"/>
      <c r="BZ95" s="522"/>
      <c r="CA95" s="526"/>
      <c r="CB95" s="522"/>
      <c r="CC95" s="522"/>
      <c r="CD95" s="522"/>
      <c r="CE95" s="522"/>
      <c r="CF95" s="522"/>
      <c r="CG95" s="522"/>
      <c r="CH95" s="522"/>
      <c r="CI95" s="522"/>
      <c r="CJ95" s="522"/>
      <c r="CK95" s="522"/>
      <c r="CL95" s="522"/>
      <c r="CM95" s="522"/>
      <c r="CN95" s="522"/>
      <c r="CO95" s="522"/>
      <c r="CP95" s="522"/>
      <c r="CQ95" s="522"/>
      <c r="CR95" s="522"/>
      <c r="CS95" s="522"/>
      <c r="CT95" s="522"/>
      <c r="CU95" s="522"/>
      <c r="CV95" s="522"/>
      <c r="CW95" s="522"/>
      <c r="CX95" s="522"/>
      <c r="CY95" s="522"/>
      <c r="CZ95" s="522"/>
      <c r="DA95" s="522"/>
      <c r="DB95" s="522"/>
      <c r="DC95" s="522"/>
      <c r="DD95" s="522"/>
      <c r="DE95" s="522"/>
      <c r="DF95" s="522"/>
      <c r="DG95" s="522"/>
      <c r="DH95" s="522"/>
      <c r="DI95" s="522"/>
      <c r="DJ95" s="522"/>
      <c r="DK95" s="522"/>
      <c r="DL95" s="522"/>
      <c r="DM95" s="522"/>
      <c r="DN95" s="522"/>
      <c r="DO95" s="522"/>
      <c r="DP95" s="522"/>
      <c r="DQ95" s="522"/>
      <c r="DR95" s="522"/>
      <c r="DS95" s="522"/>
      <c r="DT95" s="522"/>
      <c r="DU95" s="522"/>
      <c r="DV95" s="522"/>
      <c r="DW95" s="522"/>
      <c r="DX95" s="522"/>
      <c r="DY95" s="522"/>
      <c r="DZ95" s="522"/>
      <c r="EA95" s="522"/>
      <c r="EB95" s="522"/>
      <c r="EC95" s="522"/>
      <c r="ED95" s="522"/>
      <c r="EE95" s="522"/>
      <c r="EF95" s="522"/>
      <c r="EG95" s="522"/>
      <c r="EH95" s="522"/>
      <c r="EI95" s="522"/>
      <c r="EJ95" s="522"/>
      <c r="EK95" s="522"/>
      <c r="EL95" s="522"/>
      <c r="EM95" s="522"/>
      <c r="EN95" s="522"/>
      <c r="EO95" s="522"/>
      <c r="EP95" s="522"/>
      <c r="EQ95" s="522"/>
      <c r="ER95" s="522"/>
      <c r="ES95" s="522"/>
      <c r="ET95" s="522"/>
      <c r="EU95" s="522"/>
      <c r="EV95" s="522"/>
      <c r="EW95" s="522"/>
      <c r="EX95" s="527" t="str">
        <f t="shared" si="7"/>
        <v/>
      </c>
    </row>
    <row r="96" spans="1:154" s="335" customFormat="1" x14ac:dyDescent="0.25">
      <c r="A96" s="522"/>
      <c r="B96" s="535"/>
      <c r="C96" s="522"/>
      <c r="D96" s="522" t="s">
        <v>2399</v>
      </c>
      <c r="E96" s="522"/>
      <c r="F96" s="522"/>
      <c r="G96" s="522"/>
      <c r="H96" s="522"/>
      <c r="I96" s="522"/>
      <c r="J96" s="522"/>
      <c r="K96" s="522"/>
      <c r="L96" s="522"/>
      <c r="M96" s="522"/>
      <c r="N96" s="522"/>
      <c r="O96" s="522"/>
      <c r="P96" s="522"/>
      <c r="Q96" s="522"/>
      <c r="R96" s="522"/>
      <c r="S96" s="534"/>
      <c r="T96" s="522"/>
      <c r="U96" s="522"/>
      <c r="V96" s="539">
        <f>Dashboard!V$20</f>
        <v>0</v>
      </c>
      <c r="W96" s="539">
        <f>Dashboard!W$20</f>
        <v>0</v>
      </c>
      <c r="X96" s="539">
        <f>Dashboard!X$20</f>
        <v>0</v>
      </c>
      <c r="Y96" s="539">
        <f>Dashboard!Y$20</f>
        <v>0</v>
      </c>
      <c r="Z96" s="534"/>
      <c r="AA96" s="534"/>
      <c r="AB96" s="534"/>
      <c r="AC96" s="534"/>
      <c r="AD96" s="534"/>
      <c r="AE96" s="534"/>
      <c r="AF96" s="534"/>
      <c r="AG96" s="534"/>
      <c r="AH96" s="534"/>
      <c r="AI96" s="534"/>
      <c r="AJ96" s="534"/>
      <c r="AK96" s="534"/>
      <c r="AL96" s="534"/>
      <c r="AM96" s="534"/>
      <c r="AN96" s="534"/>
      <c r="AO96" s="534"/>
      <c r="AP96" s="534"/>
      <c r="AQ96" s="534"/>
      <c r="AR96" s="534"/>
      <c r="AS96" s="534"/>
      <c r="AT96" s="534"/>
      <c r="AU96" s="534"/>
      <c r="AV96" s="534"/>
      <c r="AW96" s="534"/>
      <c r="AX96" s="534"/>
      <c r="AY96" s="534"/>
      <c r="AZ96" s="534"/>
      <c r="BA96" s="534"/>
      <c r="BB96" s="534"/>
      <c r="BC96" s="534"/>
      <c r="BD96" s="534"/>
      <c r="BE96" s="534"/>
      <c r="BF96" s="534"/>
      <c r="BG96" s="534"/>
      <c r="BH96" s="534"/>
      <c r="BI96" s="534"/>
      <c r="BJ96" s="534"/>
      <c r="BK96" s="534"/>
      <c r="BL96" s="534"/>
      <c r="BM96" s="534"/>
      <c r="BN96" s="534"/>
      <c r="BO96" s="534"/>
      <c r="BP96" s="534"/>
      <c r="BQ96" s="534"/>
      <c r="BR96" s="534"/>
      <c r="BS96" s="534"/>
      <c r="BT96" s="534"/>
      <c r="BU96" s="534"/>
      <c r="BV96" s="534"/>
      <c r="BW96" s="534"/>
      <c r="BX96" s="522"/>
      <c r="BY96" s="526"/>
      <c r="BZ96" s="522"/>
      <c r="CA96" s="526"/>
      <c r="CB96" s="522"/>
      <c r="CC96" s="522"/>
      <c r="CD96" s="522"/>
      <c r="CE96" s="522"/>
      <c r="CF96" s="522"/>
      <c r="CG96" s="522"/>
      <c r="CH96" s="522"/>
      <c r="CI96" s="522"/>
      <c r="CJ96" s="522"/>
      <c r="CK96" s="522"/>
      <c r="CL96" s="522"/>
      <c r="CM96" s="522"/>
      <c r="CN96" s="522"/>
      <c r="CO96" s="522"/>
      <c r="CP96" s="522"/>
      <c r="CQ96" s="522"/>
      <c r="CR96" s="522"/>
      <c r="CS96" s="522"/>
      <c r="CT96" s="522"/>
      <c r="CU96" s="522"/>
      <c r="CV96" s="522"/>
      <c r="CW96" s="522"/>
      <c r="CX96" s="522"/>
      <c r="CY96" s="522"/>
      <c r="CZ96" s="522"/>
      <c r="DA96" s="522"/>
      <c r="DB96" s="522"/>
      <c r="DC96" s="522"/>
      <c r="DD96" s="522"/>
      <c r="DE96" s="522"/>
      <c r="DF96" s="522"/>
      <c r="DG96" s="522"/>
      <c r="DH96" s="522"/>
      <c r="DI96" s="522"/>
      <c r="DJ96" s="522"/>
      <c r="DK96" s="522"/>
      <c r="DL96" s="522"/>
      <c r="DM96" s="522"/>
      <c r="DN96" s="522"/>
      <c r="DO96" s="522"/>
      <c r="DP96" s="522"/>
      <c r="DQ96" s="522"/>
      <c r="DR96" s="522"/>
      <c r="DS96" s="522"/>
      <c r="DT96" s="522"/>
      <c r="DU96" s="522"/>
      <c r="DV96" s="522"/>
      <c r="DW96" s="522"/>
      <c r="DX96" s="522"/>
      <c r="DY96" s="522"/>
      <c r="DZ96" s="522"/>
      <c r="EA96" s="522"/>
      <c r="EB96" s="522"/>
      <c r="EC96" s="522"/>
      <c r="ED96" s="522"/>
      <c r="EE96" s="522"/>
      <c r="EF96" s="522"/>
      <c r="EG96" s="522"/>
      <c r="EH96" s="522"/>
      <c r="EI96" s="522"/>
      <c r="EJ96" s="522"/>
      <c r="EK96" s="522"/>
      <c r="EL96" s="522"/>
      <c r="EM96" s="522"/>
      <c r="EN96" s="522"/>
      <c r="EO96" s="522"/>
      <c r="EP96" s="522"/>
      <c r="EQ96" s="522"/>
      <c r="ER96" s="522"/>
      <c r="ES96" s="522"/>
      <c r="ET96" s="522"/>
      <c r="EU96" s="522"/>
      <c r="EV96" s="522"/>
      <c r="EW96" s="522"/>
      <c r="EX96" s="527" t="str">
        <f t="shared" si="7"/>
        <v/>
      </c>
    </row>
    <row r="97" spans="1:154" s="335" customFormat="1" x14ac:dyDescent="0.25">
      <c r="A97" s="522"/>
      <c r="B97" s="535" t="s">
        <v>740</v>
      </c>
      <c r="C97" s="522"/>
      <c r="D97" s="522" t="s">
        <v>2403</v>
      </c>
      <c r="E97" s="524"/>
      <c r="F97" s="522"/>
      <c r="G97" s="522"/>
      <c r="H97" s="522"/>
      <c r="I97" s="522"/>
      <c r="J97" s="522"/>
      <c r="K97" s="522"/>
      <c r="L97" s="522"/>
      <c r="M97" s="522"/>
      <c r="N97" s="522"/>
      <c r="O97" s="522"/>
      <c r="P97" s="522"/>
      <c r="Q97" s="522"/>
      <c r="R97" s="522"/>
      <c r="S97" s="534"/>
      <c r="T97" s="522"/>
      <c r="U97" s="522"/>
      <c r="V97" s="540">
        <f>Dashboard!V45</f>
        <v>0</v>
      </c>
      <c r="W97" s="540">
        <f>Dashboard!W45</f>
        <v>8.7677419354838708</v>
      </c>
      <c r="X97" s="540">
        <f>Dashboard!X45</f>
        <v>4.3143872113676736</v>
      </c>
      <c r="Y97" s="540">
        <f>Dashboard!Y45</f>
        <v>3.7545470692717609</v>
      </c>
      <c r="Z97" s="534"/>
      <c r="AA97" s="534"/>
      <c r="AB97" s="534"/>
      <c r="AC97" s="534"/>
      <c r="AD97" s="534"/>
      <c r="AE97" s="534"/>
      <c r="AF97" s="534"/>
      <c r="AG97" s="534"/>
      <c r="AH97" s="534"/>
      <c r="AI97" s="534"/>
      <c r="AJ97" s="534"/>
      <c r="AK97" s="534"/>
      <c r="AL97" s="534"/>
      <c r="AM97" s="534"/>
      <c r="AN97" s="534"/>
      <c r="AO97" s="534"/>
      <c r="AP97" s="534"/>
      <c r="AQ97" s="534"/>
      <c r="AR97" s="534"/>
      <c r="AS97" s="534"/>
      <c r="AT97" s="534"/>
      <c r="AU97" s="534"/>
      <c r="AV97" s="534"/>
      <c r="AW97" s="534"/>
      <c r="AX97" s="534"/>
      <c r="AY97" s="534"/>
      <c r="AZ97" s="534"/>
      <c r="BA97" s="534"/>
      <c r="BB97" s="534"/>
      <c r="BC97" s="534"/>
      <c r="BD97" s="534"/>
      <c r="BE97" s="534"/>
      <c r="BF97" s="534"/>
      <c r="BG97" s="534"/>
      <c r="BH97" s="534"/>
      <c r="BI97" s="534"/>
      <c r="BJ97" s="534"/>
      <c r="BK97" s="534"/>
      <c r="BL97" s="534"/>
      <c r="BM97" s="534"/>
      <c r="BN97" s="534"/>
      <c r="BO97" s="534"/>
      <c r="BP97" s="534"/>
      <c r="BQ97" s="534"/>
      <c r="BR97" s="534"/>
      <c r="BS97" s="534"/>
      <c r="BT97" s="534"/>
      <c r="BU97" s="534"/>
      <c r="BV97" s="534"/>
      <c r="BW97" s="534"/>
      <c r="BX97" s="522"/>
      <c r="BY97" s="526"/>
      <c r="BZ97" s="522"/>
      <c r="CA97" s="526"/>
      <c r="CB97" s="522"/>
      <c r="CC97" s="522"/>
      <c r="CD97" s="522"/>
      <c r="CE97" s="522"/>
      <c r="CF97" s="522"/>
      <c r="CG97" s="522"/>
      <c r="CH97" s="522"/>
      <c r="CI97" s="522"/>
      <c r="CJ97" s="522"/>
      <c r="CK97" s="522"/>
      <c r="CL97" s="522"/>
      <c r="CM97" s="522"/>
      <c r="CN97" s="522"/>
      <c r="CO97" s="522"/>
      <c r="CP97" s="522"/>
      <c r="CQ97" s="522"/>
      <c r="CR97" s="522"/>
      <c r="CS97" s="522"/>
      <c r="CT97" s="522"/>
      <c r="CU97" s="522"/>
      <c r="CV97" s="522"/>
      <c r="CW97" s="522"/>
      <c r="CX97" s="522"/>
      <c r="CY97" s="522"/>
      <c r="CZ97" s="522"/>
      <c r="DA97" s="522"/>
      <c r="DB97" s="522"/>
      <c r="DC97" s="522"/>
      <c r="DD97" s="522"/>
      <c r="DE97" s="522"/>
      <c r="DF97" s="522"/>
      <c r="DG97" s="522"/>
      <c r="DH97" s="522"/>
      <c r="DI97" s="522"/>
      <c r="DJ97" s="522"/>
      <c r="DK97" s="522"/>
      <c r="DL97" s="522"/>
      <c r="DM97" s="522"/>
      <c r="DN97" s="522"/>
      <c r="DO97" s="522"/>
      <c r="DP97" s="522"/>
      <c r="DQ97" s="522"/>
      <c r="DR97" s="522"/>
      <c r="DS97" s="522"/>
      <c r="DT97" s="522"/>
      <c r="DU97" s="522"/>
      <c r="DV97" s="522"/>
      <c r="DW97" s="522"/>
      <c r="DX97" s="522"/>
      <c r="DY97" s="522"/>
      <c r="DZ97" s="522"/>
      <c r="EA97" s="522"/>
      <c r="EB97" s="522"/>
      <c r="EC97" s="522"/>
      <c r="ED97" s="522"/>
      <c r="EE97" s="522"/>
      <c r="EF97" s="522"/>
      <c r="EG97" s="522"/>
      <c r="EH97" s="522"/>
      <c r="EI97" s="522"/>
      <c r="EJ97" s="522"/>
      <c r="EK97" s="522"/>
      <c r="EL97" s="522"/>
      <c r="EM97" s="522"/>
      <c r="EN97" s="522"/>
      <c r="EO97" s="522"/>
      <c r="EP97" s="522"/>
      <c r="EQ97" s="522"/>
      <c r="ER97" s="522"/>
      <c r="ES97" s="522"/>
      <c r="ET97" s="522"/>
      <c r="EU97" s="522"/>
      <c r="EV97" s="522"/>
      <c r="EW97" s="522"/>
      <c r="EX97" s="527" t="str">
        <f t="shared" si="7"/>
        <v/>
      </c>
    </row>
    <row r="98" spans="1:154" s="335" customFormat="1" x14ac:dyDescent="0.25">
      <c r="A98" s="522"/>
      <c r="B98" s="535"/>
      <c r="C98" s="522"/>
      <c r="D98" s="522" t="s">
        <v>239</v>
      </c>
      <c r="E98" s="524"/>
      <c r="F98" s="522"/>
      <c r="G98" s="522"/>
      <c r="H98" s="522"/>
      <c r="I98" s="522"/>
      <c r="J98" s="522"/>
      <c r="K98" s="522"/>
      <c r="L98" s="522"/>
      <c r="M98" s="522"/>
      <c r="N98" s="522"/>
      <c r="O98" s="522"/>
      <c r="P98" s="522"/>
      <c r="Q98" s="522"/>
      <c r="R98" s="522"/>
      <c r="S98" s="534"/>
      <c r="T98" s="522"/>
      <c r="U98" s="522"/>
      <c r="V98" s="539">
        <f>Dashboard!V57</f>
        <v>0</v>
      </c>
      <c r="W98" s="539">
        <f ca="1">Dashboard!W57</f>
        <v>0.11049941014549744</v>
      </c>
      <c r="X98" s="539">
        <f ca="1">Dashboard!X57</f>
        <v>9.1720138626771433E-2</v>
      </c>
      <c r="Y98" s="539">
        <f ca="1">Dashboard!Y57</f>
        <v>7.4958357391475758E-2</v>
      </c>
      <c r="Z98" s="534"/>
      <c r="AA98" s="534"/>
      <c r="AB98" s="534"/>
      <c r="AC98" s="534"/>
      <c r="AD98" s="534"/>
      <c r="AE98" s="534"/>
      <c r="AF98" s="534"/>
      <c r="AG98" s="534"/>
      <c r="AH98" s="534"/>
      <c r="AI98" s="534"/>
      <c r="AJ98" s="534"/>
      <c r="AK98" s="534"/>
      <c r="AL98" s="534"/>
      <c r="AM98" s="534"/>
      <c r="AN98" s="534"/>
      <c r="AO98" s="534"/>
      <c r="AP98" s="534"/>
      <c r="AQ98" s="534"/>
      <c r="AR98" s="534"/>
      <c r="AS98" s="534"/>
      <c r="AT98" s="534"/>
      <c r="AU98" s="534"/>
      <c r="AV98" s="534"/>
      <c r="AW98" s="534"/>
      <c r="AX98" s="534"/>
      <c r="AY98" s="534"/>
      <c r="AZ98" s="534"/>
      <c r="BA98" s="534"/>
      <c r="BB98" s="534"/>
      <c r="BC98" s="534"/>
      <c r="BD98" s="534"/>
      <c r="BE98" s="534"/>
      <c r="BF98" s="534"/>
      <c r="BG98" s="534"/>
      <c r="BH98" s="534"/>
      <c r="BI98" s="534"/>
      <c r="BJ98" s="534"/>
      <c r="BK98" s="534"/>
      <c r="BL98" s="534"/>
      <c r="BM98" s="534"/>
      <c r="BN98" s="534"/>
      <c r="BO98" s="534"/>
      <c r="BP98" s="534"/>
      <c r="BQ98" s="534"/>
      <c r="BR98" s="534"/>
      <c r="BS98" s="534"/>
      <c r="BT98" s="534"/>
      <c r="BU98" s="534"/>
      <c r="BV98" s="534"/>
      <c r="BW98" s="534"/>
      <c r="BX98" s="522"/>
      <c r="BY98" s="531"/>
      <c r="BZ98" s="522"/>
      <c r="CA98" s="526"/>
      <c r="CB98" s="522"/>
      <c r="CC98" s="522"/>
      <c r="CD98" s="522"/>
      <c r="CE98" s="522"/>
      <c r="CF98" s="522"/>
      <c r="CG98" s="522"/>
      <c r="CH98" s="522"/>
      <c r="CI98" s="522"/>
      <c r="CJ98" s="522"/>
      <c r="CK98" s="522"/>
      <c r="CL98" s="522"/>
      <c r="CM98" s="522"/>
      <c r="CN98" s="522"/>
      <c r="CO98" s="522"/>
      <c r="CP98" s="522"/>
      <c r="CQ98" s="522"/>
      <c r="CR98" s="522"/>
      <c r="CS98" s="522"/>
      <c r="CT98" s="522"/>
      <c r="CU98" s="522"/>
      <c r="CV98" s="522"/>
      <c r="CW98" s="522"/>
      <c r="CX98" s="522"/>
      <c r="CY98" s="522"/>
      <c r="CZ98" s="522"/>
      <c r="DA98" s="522"/>
      <c r="DB98" s="522"/>
      <c r="DC98" s="522"/>
      <c r="DD98" s="522"/>
      <c r="DE98" s="522"/>
      <c r="DF98" s="522"/>
      <c r="DG98" s="522"/>
      <c r="DH98" s="522"/>
      <c r="DI98" s="522"/>
      <c r="DJ98" s="522"/>
      <c r="DK98" s="522"/>
      <c r="DL98" s="522"/>
      <c r="DM98" s="522"/>
      <c r="DN98" s="522"/>
      <c r="DO98" s="522"/>
      <c r="DP98" s="522"/>
      <c r="DQ98" s="522"/>
      <c r="DR98" s="522"/>
      <c r="DS98" s="522"/>
      <c r="DT98" s="522"/>
      <c r="DU98" s="522"/>
      <c r="DV98" s="522"/>
      <c r="DW98" s="522"/>
      <c r="DX98" s="522"/>
      <c r="DY98" s="522"/>
      <c r="DZ98" s="522"/>
      <c r="EA98" s="522"/>
      <c r="EB98" s="522"/>
      <c r="EC98" s="522"/>
      <c r="ED98" s="522"/>
      <c r="EE98" s="522"/>
      <c r="EF98" s="522"/>
      <c r="EG98" s="522"/>
      <c r="EH98" s="522"/>
      <c r="EI98" s="522"/>
      <c r="EJ98" s="522"/>
      <c r="EK98" s="522"/>
      <c r="EL98" s="522"/>
      <c r="EM98" s="522"/>
      <c r="EN98" s="522"/>
      <c r="EO98" s="522"/>
      <c r="EP98" s="522"/>
      <c r="EQ98" s="522"/>
      <c r="ER98" s="522"/>
      <c r="ES98" s="522"/>
      <c r="ET98" s="522"/>
      <c r="EU98" s="522"/>
      <c r="EV98" s="522"/>
      <c r="EW98" s="522"/>
      <c r="EX98" s="527" t="str">
        <f t="shared" si="7"/>
        <v/>
      </c>
    </row>
    <row r="99" spans="1:154" s="335" customFormat="1" x14ac:dyDescent="0.25">
      <c r="A99" s="522"/>
      <c r="B99" s="535" t="s">
        <v>741</v>
      </c>
      <c r="C99" s="522"/>
      <c r="D99" s="522" t="s">
        <v>875</v>
      </c>
      <c r="E99" s="522"/>
      <c r="F99" s="522"/>
      <c r="G99" s="522"/>
      <c r="H99" s="522"/>
      <c r="I99" s="522"/>
      <c r="J99" s="522"/>
      <c r="K99" s="522"/>
      <c r="L99" s="522"/>
      <c r="M99" s="522"/>
      <c r="N99" s="522"/>
      <c r="O99" s="522"/>
      <c r="P99" s="522"/>
      <c r="Q99" s="522"/>
      <c r="R99" s="522"/>
      <c r="S99" s="534"/>
      <c r="T99" s="522"/>
      <c r="U99" s="522"/>
      <c r="V99" s="540">
        <f>Dashboard!V$71</f>
        <v>0</v>
      </c>
      <c r="W99" s="540">
        <f>Dashboard!W$71</f>
        <v>146.54175959393984</v>
      </c>
      <c r="X99" s="540">
        <f>Dashboard!X$71</f>
        <v>123.04741442632584</v>
      </c>
      <c r="Y99" s="540">
        <f>Dashboard!Y$71</f>
        <v>130.53428966542288</v>
      </c>
      <c r="Z99" s="534"/>
      <c r="AA99" s="534"/>
      <c r="AB99" s="534"/>
      <c r="AC99" s="534"/>
      <c r="AD99" s="534"/>
      <c r="AE99" s="534"/>
      <c r="AF99" s="534"/>
      <c r="AG99" s="534"/>
      <c r="AH99" s="534"/>
      <c r="AI99" s="534"/>
      <c r="AJ99" s="534"/>
      <c r="AK99" s="534"/>
      <c r="AL99" s="534"/>
      <c r="AM99" s="534"/>
      <c r="AN99" s="534"/>
      <c r="AO99" s="534"/>
      <c r="AP99" s="534"/>
      <c r="AQ99" s="534"/>
      <c r="AR99" s="534"/>
      <c r="AS99" s="534"/>
      <c r="AT99" s="534"/>
      <c r="AU99" s="534"/>
      <c r="AV99" s="534"/>
      <c r="AW99" s="534"/>
      <c r="AX99" s="534"/>
      <c r="AY99" s="534"/>
      <c r="AZ99" s="534"/>
      <c r="BA99" s="534"/>
      <c r="BB99" s="534"/>
      <c r="BC99" s="534"/>
      <c r="BD99" s="534"/>
      <c r="BE99" s="534"/>
      <c r="BF99" s="534"/>
      <c r="BG99" s="534"/>
      <c r="BH99" s="534"/>
      <c r="BI99" s="534"/>
      <c r="BJ99" s="534"/>
      <c r="BK99" s="534"/>
      <c r="BL99" s="534"/>
      <c r="BM99" s="534"/>
      <c r="BN99" s="534"/>
      <c r="BO99" s="534"/>
      <c r="BP99" s="534"/>
      <c r="BQ99" s="534"/>
      <c r="BR99" s="534"/>
      <c r="BS99" s="534"/>
      <c r="BT99" s="534"/>
      <c r="BU99" s="534"/>
      <c r="BV99" s="534"/>
      <c r="BW99" s="534"/>
      <c r="BX99" s="522"/>
      <c r="BY99" s="526"/>
      <c r="BZ99" s="522"/>
      <c r="CA99" s="526"/>
      <c r="CB99" s="522"/>
      <c r="CC99" s="522"/>
      <c r="CD99" s="522"/>
      <c r="CE99" s="522"/>
      <c r="CF99" s="522"/>
      <c r="CG99" s="522"/>
      <c r="CH99" s="522"/>
      <c r="CI99" s="522"/>
      <c r="CJ99" s="522"/>
      <c r="CK99" s="522"/>
      <c r="CL99" s="522"/>
      <c r="CM99" s="522"/>
      <c r="CN99" s="522"/>
      <c r="CO99" s="522"/>
      <c r="CP99" s="522"/>
      <c r="CQ99" s="522"/>
      <c r="CR99" s="522"/>
      <c r="CS99" s="522"/>
      <c r="CT99" s="522"/>
      <c r="CU99" s="522"/>
      <c r="CV99" s="522"/>
      <c r="CW99" s="522"/>
      <c r="CX99" s="522"/>
      <c r="CY99" s="522"/>
      <c r="CZ99" s="522"/>
      <c r="DA99" s="522"/>
      <c r="DB99" s="522"/>
      <c r="DC99" s="522"/>
      <c r="DD99" s="522"/>
      <c r="DE99" s="522"/>
      <c r="DF99" s="522"/>
      <c r="DG99" s="522"/>
      <c r="DH99" s="522"/>
      <c r="DI99" s="522"/>
      <c r="DJ99" s="522"/>
      <c r="DK99" s="522"/>
      <c r="DL99" s="522"/>
      <c r="DM99" s="522"/>
      <c r="DN99" s="522"/>
      <c r="DO99" s="522"/>
      <c r="DP99" s="522"/>
      <c r="DQ99" s="522"/>
      <c r="DR99" s="522"/>
      <c r="DS99" s="522"/>
      <c r="DT99" s="522"/>
      <c r="DU99" s="522"/>
      <c r="DV99" s="522"/>
      <c r="DW99" s="522"/>
      <c r="DX99" s="522"/>
      <c r="DY99" s="522"/>
      <c r="DZ99" s="522"/>
      <c r="EA99" s="522"/>
      <c r="EB99" s="522"/>
      <c r="EC99" s="522"/>
      <c r="ED99" s="522"/>
      <c r="EE99" s="522"/>
      <c r="EF99" s="522"/>
      <c r="EG99" s="522"/>
      <c r="EH99" s="522"/>
      <c r="EI99" s="522"/>
      <c r="EJ99" s="522"/>
      <c r="EK99" s="522"/>
      <c r="EL99" s="522"/>
      <c r="EM99" s="522"/>
      <c r="EN99" s="522"/>
      <c r="EO99" s="522"/>
      <c r="EP99" s="522"/>
      <c r="EQ99" s="522"/>
      <c r="ER99" s="522"/>
      <c r="ES99" s="522"/>
      <c r="ET99" s="522"/>
      <c r="EU99" s="522"/>
      <c r="EV99" s="522"/>
      <c r="EW99" s="522"/>
      <c r="EX99" s="527" t="str">
        <f t="shared" si="7"/>
        <v/>
      </c>
    </row>
    <row r="100" spans="1:154" s="335" customFormat="1" x14ac:dyDescent="0.25">
      <c r="A100" s="522"/>
      <c r="B100" s="522"/>
      <c r="C100" s="522"/>
      <c r="D100" s="522" t="s">
        <v>238</v>
      </c>
      <c r="E100" s="524"/>
      <c r="F100" s="522"/>
      <c r="G100" s="522"/>
      <c r="H100" s="522"/>
      <c r="I100" s="522"/>
      <c r="J100" s="522"/>
      <c r="K100" s="522"/>
      <c r="L100" s="522"/>
      <c r="M100" s="522"/>
      <c r="N100" s="522"/>
      <c r="O100" s="522"/>
      <c r="P100" s="522"/>
      <c r="Q100" s="522"/>
      <c r="R100" s="522"/>
      <c r="S100" s="534"/>
      <c r="T100" s="522"/>
      <c r="U100" s="522"/>
      <c r="V100" s="540">
        <f>Dashboard!V$83</f>
        <v>0</v>
      </c>
      <c r="W100" s="540">
        <f ca="1">Dashboard!W$83</f>
        <v>5.2057808455565144</v>
      </c>
      <c r="X100" s="540">
        <f ca="1">Dashboard!X$83</f>
        <v>4.4522345223452238</v>
      </c>
      <c r="Y100" s="540">
        <f ca="1">Dashboard!Y$83</f>
        <v>5.7139128305582769</v>
      </c>
      <c r="Z100" s="534"/>
      <c r="AA100" s="534"/>
      <c r="AB100" s="534"/>
      <c r="AC100" s="534"/>
      <c r="AD100" s="534"/>
      <c r="AE100" s="534"/>
      <c r="AF100" s="534"/>
      <c r="AG100" s="534"/>
      <c r="AH100" s="534"/>
      <c r="AI100" s="534"/>
      <c r="AJ100" s="534"/>
      <c r="AK100" s="534"/>
      <c r="AL100" s="534"/>
      <c r="AM100" s="534"/>
      <c r="AN100" s="534"/>
      <c r="AO100" s="534"/>
      <c r="AP100" s="534"/>
      <c r="AQ100" s="534"/>
      <c r="AR100" s="534"/>
      <c r="AS100" s="534"/>
      <c r="AT100" s="534"/>
      <c r="AU100" s="534"/>
      <c r="AV100" s="534"/>
      <c r="AW100" s="534"/>
      <c r="AX100" s="534"/>
      <c r="AY100" s="534"/>
      <c r="AZ100" s="534"/>
      <c r="BA100" s="534"/>
      <c r="BB100" s="534"/>
      <c r="BC100" s="534"/>
      <c r="BD100" s="534"/>
      <c r="BE100" s="534"/>
      <c r="BF100" s="534"/>
      <c r="BG100" s="534"/>
      <c r="BH100" s="534"/>
      <c r="BI100" s="534"/>
      <c r="BJ100" s="534"/>
      <c r="BK100" s="534"/>
      <c r="BL100" s="534"/>
      <c r="BM100" s="534"/>
      <c r="BN100" s="534"/>
      <c r="BO100" s="534"/>
      <c r="BP100" s="534"/>
      <c r="BQ100" s="534"/>
      <c r="BR100" s="534"/>
      <c r="BS100" s="534"/>
      <c r="BT100" s="534"/>
      <c r="BU100" s="534"/>
      <c r="BV100" s="534"/>
      <c r="BW100" s="534"/>
      <c r="BX100" s="522"/>
      <c r="BY100" s="526"/>
      <c r="BZ100" s="522"/>
      <c r="CA100" s="526"/>
      <c r="CB100" s="522"/>
      <c r="CC100" s="522"/>
      <c r="CD100" s="522"/>
      <c r="CE100" s="522"/>
      <c r="CF100" s="522"/>
      <c r="CG100" s="522"/>
      <c r="CH100" s="522"/>
      <c r="CI100" s="522"/>
      <c r="CJ100" s="522"/>
      <c r="CK100" s="522"/>
      <c r="CL100" s="522"/>
      <c r="CM100" s="522"/>
      <c r="CN100" s="522"/>
      <c r="CO100" s="522"/>
      <c r="CP100" s="522"/>
      <c r="CQ100" s="522"/>
      <c r="CR100" s="522"/>
      <c r="CS100" s="522"/>
      <c r="CT100" s="522"/>
      <c r="CU100" s="522"/>
      <c r="CV100" s="522"/>
      <c r="CW100" s="522"/>
      <c r="CX100" s="522"/>
      <c r="CY100" s="522"/>
      <c r="CZ100" s="522"/>
      <c r="DA100" s="522"/>
      <c r="DB100" s="522"/>
      <c r="DC100" s="522"/>
      <c r="DD100" s="522"/>
      <c r="DE100" s="522"/>
      <c r="DF100" s="522"/>
      <c r="DG100" s="522"/>
      <c r="DH100" s="522"/>
      <c r="DI100" s="522"/>
      <c r="DJ100" s="522"/>
      <c r="DK100" s="522"/>
      <c r="DL100" s="522"/>
      <c r="DM100" s="522"/>
      <c r="DN100" s="522"/>
      <c r="DO100" s="522"/>
      <c r="DP100" s="522"/>
      <c r="DQ100" s="522"/>
      <c r="DR100" s="522"/>
      <c r="DS100" s="522"/>
      <c r="DT100" s="522"/>
      <c r="DU100" s="522"/>
      <c r="DV100" s="522"/>
      <c r="DW100" s="522"/>
      <c r="DX100" s="522"/>
      <c r="DY100" s="522"/>
      <c r="DZ100" s="522"/>
      <c r="EA100" s="522"/>
      <c r="EB100" s="522"/>
      <c r="EC100" s="522"/>
      <c r="ED100" s="522"/>
      <c r="EE100" s="522"/>
      <c r="EF100" s="522"/>
      <c r="EG100" s="522"/>
      <c r="EH100" s="522"/>
      <c r="EI100" s="522"/>
      <c r="EJ100" s="522"/>
      <c r="EK100" s="522"/>
      <c r="EL100" s="522"/>
      <c r="EM100" s="522"/>
      <c r="EN100" s="522"/>
      <c r="EO100" s="522"/>
      <c r="EP100" s="522"/>
      <c r="EQ100" s="522"/>
      <c r="ER100" s="522"/>
      <c r="ES100" s="522"/>
      <c r="ET100" s="522"/>
      <c r="EU100" s="522"/>
      <c r="EV100" s="522"/>
      <c r="EW100" s="522"/>
      <c r="EX100" s="527" t="str">
        <f t="shared" si="7"/>
        <v/>
      </c>
    </row>
    <row r="101" spans="1:154" s="335" customFormat="1" x14ac:dyDescent="0.25">
      <c r="A101" s="522"/>
      <c r="B101" s="522"/>
      <c r="C101" s="522"/>
      <c r="D101" s="522"/>
      <c r="E101" s="524"/>
      <c r="F101" s="522"/>
      <c r="G101" s="522"/>
      <c r="H101" s="522"/>
      <c r="I101" s="522"/>
      <c r="J101" s="522"/>
      <c r="K101" s="522"/>
      <c r="L101" s="522"/>
      <c r="M101" s="522"/>
      <c r="N101" s="522"/>
      <c r="O101" s="522"/>
      <c r="P101" s="522"/>
      <c r="Q101" s="522"/>
      <c r="R101" s="522"/>
      <c r="S101" s="534"/>
      <c r="T101" s="522"/>
      <c r="U101" s="522"/>
      <c r="V101" s="522"/>
      <c r="W101" s="534"/>
      <c r="X101" s="534"/>
      <c r="Y101" s="534"/>
      <c r="Z101" s="534"/>
      <c r="AA101" s="534"/>
      <c r="AB101" s="534"/>
      <c r="AC101" s="534"/>
      <c r="AD101" s="534"/>
      <c r="AE101" s="534"/>
      <c r="AF101" s="534"/>
      <c r="AG101" s="534"/>
      <c r="AH101" s="534"/>
      <c r="AI101" s="534"/>
      <c r="AJ101" s="534"/>
      <c r="AK101" s="534"/>
      <c r="AL101" s="534"/>
      <c r="AM101" s="534"/>
      <c r="AN101" s="534"/>
      <c r="AO101" s="534"/>
      <c r="AP101" s="534"/>
      <c r="AQ101" s="534"/>
      <c r="AR101" s="534"/>
      <c r="AS101" s="534"/>
      <c r="AT101" s="534"/>
      <c r="AU101" s="534"/>
      <c r="AV101" s="534"/>
      <c r="AW101" s="534"/>
      <c r="AX101" s="534"/>
      <c r="AY101" s="534"/>
      <c r="AZ101" s="534"/>
      <c r="BA101" s="534"/>
      <c r="BB101" s="534"/>
      <c r="BC101" s="534"/>
      <c r="BD101" s="534"/>
      <c r="BE101" s="534"/>
      <c r="BF101" s="534"/>
      <c r="BG101" s="534"/>
      <c r="BH101" s="534"/>
      <c r="BI101" s="534"/>
      <c r="BJ101" s="534"/>
      <c r="BK101" s="534"/>
      <c r="BL101" s="534"/>
      <c r="BM101" s="534"/>
      <c r="BN101" s="534"/>
      <c r="BO101" s="534"/>
      <c r="BP101" s="534"/>
      <c r="BQ101" s="534"/>
      <c r="BR101" s="534"/>
      <c r="BS101" s="534"/>
      <c r="BT101" s="534"/>
      <c r="BU101" s="534"/>
      <c r="BV101" s="534"/>
      <c r="BW101" s="534"/>
      <c r="BX101" s="522"/>
      <c r="BY101" s="531"/>
      <c r="BZ101" s="522"/>
      <c r="CA101" s="526"/>
      <c r="CB101" s="522"/>
      <c r="CC101" s="522"/>
      <c r="CD101" s="522"/>
      <c r="CE101" s="522"/>
      <c r="CF101" s="522"/>
      <c r="CG101" s="522"/>
      <c r="CH101" s="522"/>
      <c r="CI101" s="522"/>
      <c r="CJ101" s="522"/>
      <c r="CK101" s="522"/>
      <c r="CL101" s="522"/>
      <c r="CM101" s="522"/>
      <c r="CN101" s="522"/>
      <c r="CO101" s="522"/>
      <c r="CP101" s="522"/>
      <c r="CQ101" s="522"/>
      <c r="CR101" s="522"/>
      <c r="CS101" s="522"/>
      <c r="CT101" s="522"/>
      <c r="CU101" s="522"/>
      <c r="CV101" s="522"/>
      <c r="CW101" s="522"/>
      <c r="CX101" s="522"/>
      <c r="CY101" s="522"/>
      <c r="CZ101" s="522"/>
      <c r="DA101" s="522"/>
      <c r="DB101" s="522"/>
      <c r="DC101" s="522"/>
      <c r="DD101" s="522"/>
      <c r="DE101" s="522"/>
      <c r="DF101" s="522"/>
      <c r="DG101" s="522"/>
      <c r="DH101" s="522"/>
      <c r="DI101" s="522"/>
      <c r="DJ101" s="522"/>
      <c r="DK101" s="522"/>
      <c r="DL101" s="522"/>
      <c r="DM101" s="522"/>
      <c r="DN101" s="522"/>
      <c r="DO101" s="522"/>
      <c r="DP101" s="522"/>
      <c r="DQ101" s="522"/>
      <c r="DR101" s="522"/>
      <c r="DS101" s="522"/>
      <c r="DT101" s="522"/>
      <c r="DU101" s="522"/>
      <c r="DV101" s="522"/>
      <c r="DW101" s="522"/>
      <c r="DX101" s="522"/>
      <c r="DY101" s="522"/>
      <c r="DZ101" s="522"/>
      <c r="EA101" s="522"/>
      <c r="EB101" s="522"/>
      <c r="EC101" s="522"/>
      <c r="ED101" s="522"/>
      <c r="EE101" s="522"/>
      <c r="EF101" s="522"/>
      <c r="EG101" s="522"/>
      <c r="EH101" s="522"/>
      <c r="EI101" s="522"/>
      <c r="EJ101" s="522"/>
      <c r="EK101" s="522"/>
      <c r="EL101" s="522"/>
      <c r="EM101" s="522"/>
      <c r="EN101" s="522"/>
      <c r="EO101" s="522"/>
      <c r="EP101" s="522"/>
      <c r="EQ101" s="522"/>
      <c r="ER101" s="522"/>
      <c r="ES101" s="522"/>
      <c r="ET101" s="522"/>
      <c r="EU101" s="522"/>
      <c r="EV101" s="522"/>
      <c r="EW101" s="522"/>
      <c r="EX101" s="527" t="str">
        <f t="shared" si="7"/>
        <v/>
      </c>
    </row>
    <row r="102" spans="1:154" s="335" customFormat="1" ht="8.1" customHeight="1" x14ac:dyDescent="0.25">
      <c r="A102" s="522"/>
      <c r="B102" s="522"/>
      <c r="C102" s="522"/>
      <c r="D102" s="522"/>
      <c r="E102" s="522"/>
      <c r="F102" s="522"/>
      <c r="G102" s="522"/>
      <c r="H102" s="522"/>
      <c r="I102" s="522"/>
      <c r="J102" s="522"/>
      <c r="K102" s="522"/>
      <c r="L102" s="522"/>
      <c r="M102" s="522"/>
      <c r="N102" s="522"/>
      <c r="O102" s="522"/>
      <c r="P102" s="522"/>
      <c r="Q102" s="522"/>
      <c r="R102" s="522"/>
      <c r="S102" s="534"/>
      <c r="T102" s="522"/>
      <c r="U102" s="522"/>
      <c r="V102" s="522"/>
      <c r="W102" s="534"/>
      <c r="X102" s="534"/>
      <c r="Y102" s="534"/>
      <c r="Z102" s="534"/>
      <c r="AA102" s="534"/>
      <c r="AB102" s="534"/>
      <c r="AC102" s="534"/>
      <c r="AD102" s="534"/>
      <c r="AE102" s="534"/>
      <c r="AF102" s="534"/>
      <c r="AG102" s="534"/>
      <c r="AH102" s="534"/>
      <c r="AI102" s="534"/>
      <c r="AJ102" s="534"/>
      <c r="AK102" s="534"/>
      <c r="AL102" s="534"/>
      <c r="AM102" s="534"/>
      <c r="AN102" s="534"/>
      <c r="AO102" s="534"/>
      <c r="AP102" s="534"/>
      <c r="AQ102" s="534"/>
      <c r="AR102" s="534"/>
      <c r="AS102" s="534"/>
      <c r="AT102" s="534"/>
      <c r="AU102" s="534"/>
      <c r="AV102" s="534"/>
      <c r="AW102" s="534"/>
      <c r="AX102" s="534"/>
      <c r="AY102" s="534"/>
      <c r="AZ102" s="534"/>
      <c r="BA102" s="534"/>
      <c r="BB102" s="534"/>
      <c r="BC102" s="534"/>
      <c r="BD102" s="534"/>
      <c r="BE102" s="534"/>
      <c r="BF102" s="534"/>
      <c r="BG102" s="534"/>
      <c r="BH102" s="534"/>
      <c r="BI102" s="534"/>
      <c r="BJ102" s="534"/>
      <c r="BK102" s="534"/>
      <c r="BL102" s="534"/>
      <c r="BM102" s="534"/>
      <c r="BN102" s="534"/>
      <c r="BO102" s="534"/>
      <c r="BP102" s="534"/>
      <c r="BQ102" s="534"/>
      <c r="BR102" s="534"/>
      <c r="BS102" s="534"/>
      <c r="BT102" s="534"/>
      <c r="BU102" s="534"/>
      <c r="BV102" s="534"/>
      <c r="BW102" s="534"/>
      <c r="BX102" s="522"/>
      <c r="BY102" s="526"/>
      <c r="BZ102" s="522"/>
      <c r="CA102" s="526"/>
      <c r="CB102" s="522"/>
      <c r="CC102" s="522"/>
      <c r="CD102" s="522"/>
      <c r="CE102" s="522"/>
      <c r="CF102" s="522"/>
      <c r="CG102" s="522"/>
      <c r="CH102" s="522"/>
      <c r="CI102" s="522"/>
      <c r="CJ102" s="522"/>
      <c r="CK102" s="522"/>
      <c r="CL102" s="522"/>
      <c r="CM102" s="522"/>
      <c r="CN102" s="522"/>
      <c r="CO102" s="522"/>
      <c r="CP102" s="522"/>
      <c r="CQ102" s="522"/>
      <c r="CR102" s="522"/>
      <c r="CS102" s="522"/>
      <c r="CT102" s="522"/>
      <c r="CU102" s="522"/>
      <c r="CV102" s="522"/>
      <c r="CW102" s="522"/>
      <c r="CX102" s="522"/>
      <c r="CY102" s="522"/>
      <c r="CZ102" s="522"/>
      <c r="DA102" s="522"/>
      <c r="DB102" s="522"/>
      <c r="DC102" s="522"/>
      <c r="DD102" s="522"/>
      <c r="DE102" s="522"/>
      <c r="DF102" s="522"/>
      <c r="DG102" s="522"/>
      <c r="DH102" s="522"/>
      <c r="DI102" s="522"/>
      <c r="DJ102" s="522"/>
      <c r="DK102" s="522"/>
      <c r="DL102" s="522"/>
      <c r="DM102" s="522"/>
      <c r="DN102" s="522"/>
      <c r="DO102" s="522"/>
      <c r="DP102" s="522"/>
      <c r="DQ102" s="522"/>
      <c r="DR102" s="522"/>
      <c r="DS102" s="522"/>
      <c r="DT102" s="522"/>
      <c r="DU102" s="522"/>
      <c r="DV102" s="522"/>
      <c r="DW102" s="522"/>
      <c r="DX102" s="522"/>
      <c r="DY102" s="522"/>
      <c r="DZ102" s="522"/>
      <c r="EA102" s="522"/>
      <c r="EB102" s="522"/>
      <c r="EC102" s="522"/>
      <c r="ED102" s="522"/>
      <c r="EE102" s="522"/>
      <c r="EF102" s="522"/>
      <c r="EG102" s="522"/>
      <c r="EH102" s="522"/>
      <c r="EI102" s="522"/>
      <c r="EJ102" s="522"/>
      <c r="EK102" s="522"/>
      <c r="EL102" s="522"/>
      <c r="EM102" s="522"/>
      <c r="EN102" s="522"/>
      <c r="EO102" s="522"/>
      <c r="EP102" s="522"/>
      <c r="EQ102" s="522"/>
      <c r="ER102" s="522"/>
      <c r="ES102" s="522"/>
      <c r="ET102" s="522"/>
      <c r="EU102" s="522"/>
      <c r="EV102" s="522"/>
      <c r="EW102" s="522"/>
      <c r="EX102" s="527" t="str">
        <f t="shared" si="7"/>
        <v/>
      </c>
    </row>
    <row r="103" spans="1:154" x14ac:dyDescent="0.25">
      <c r="A103" s="531" t="s">
        <v>88</v>
      </c>
      <c r="B103" s="531" t="s">
        <v>88</v>
      </c>
      <c r="C103" s="531" t="s">
        <v>88</v>
      </c>
      <c r="D103" s="531" t="s">
        <v>88</v>
      </c>
      <c r="E103" s="543" t="s">
        <v>88</v>
      </c>
      <c r="F103" s="531" t="s">
        <v>88</v>
      </c>
      <c r="G103" s="531" t="s">
        <v>88</v>
      </c>
      <c r="H103" s="531" t="s">
        <v>88</v>
      </c>
      <c r="I103" s="531" t="s">
        <v>88</v>
      </c>
      <c r="J103" s="531" t="s">
        <v>88</v>
      </c>
      <c r="K103" s="531" t="s">
        <v>88</v>
      </c>
      <c r="L103" s="531" t="s">
        <v>88</v>
      </c>
      <c r="M103" s="531" t="s">
        <v>88</v>
      </c>
      <c r="N103" s="531" t="s">
        <v>88</v>
      </c>
      <c r="O103" s="531" t="s">
        <v>88</v>
      </c>
      <c r="P103" s="531" t="s">
        <v>88</v>
      </c>
      <c r="Q103" s="531" t="s">
        <v>88</v>
      </c>
      <c r="R103" s="531" t="s">
        <v>88</v>
      </c>
      <c r="S103" s="531"/>
      <c r="T103" s="531" t="s">
        <v>88</v>
      </c>
      <c r="U103" s="531" t="s">
        <v>88</v>
      </c>
      <c r="V103" s="531" t="s">
        <v>88</v>
      </c>
      <c r="W103" s="531" t="s">
        <v>88</v>
      </c>
      <c r="X103" s="531"/>
      <c r="Y103" s="531"/>
      <c r="Z103" s="531" t="s">
        <v>88</v>
      </c>
      <c r="AA103" s="531" t="s">
        <v>88</v>
      </c>
      <c r="AB103" s="531" t="s">
        <v>88</v>
      </c>
      <c r="AC103" s="531" t="s">
        <v>88</v>
      </c>
      <c r="AD103" s="531" t="s">
        <v>88</v>
      </c>
      <c r="AE103" s="531" t="s">
        <v>88</v>
      </c>
      <c r="AF103" s="531" t="s">
        <v>88</v>
      </c>
      <c r="AG103" s="531" t="s">
        <v>88</v>
      </c>
      <c r="AH103" s="531" t="s">
        <v>88</v>
      </c>
      <c r="AI103" s="531" t="s">
        <v>88</v>
      </c>
      <c r="AJ103" s="531" t="s">
        <v>88</v>
      </c>
      <c r="AK103" s="531" t="s">
        <v>88</v>
      </c>
      <c r="AL103" s="531" t="s">
        <v>88</v>
      </c>
      <c r="AM103" s="531" t="s">
        <v>88</v>
      </c>
      <c r="AN103" s="531" t="s">
        <v>88</v>
      </c>
      <c r="AO103" s="531" t="s">
        <v>88</v>
      </c>
      <c r="AP103" s="531" t="s">
        <v>88</v>
      </c>
      <c r="AQ103" s="531" t="s">
        <v>88</v>
      </c>
      <c r="AR103" s="531" t="s">
        <v>88</v>
      </c>
      <c r="AS103" s="531" t="s">
        <v>88</v>
      </c>
      <c r="AT103" s="531" t="s">
        <v>88</v>
      </c>
      <c r="AU103" s="531" t="s">
        <v>88</v>
      </c>
      <c r="AV103" s="531" t="s">
        <v>88</v>
      </c>
      <c r="AW103" s="531" t="s">
        <v>88</v>
      </c>
      <c r="AX103" s="531" t="s">
        <v>88</v>
      </c>
      <c r="AY103" s="531" t="s">
        <v>88</v>
      </c>
      <c r="AZ103" s="531" t="s">
        <v>88</v>
      </c>
      <c r="BA103" s="531" t="s">
        <v>88</v>
      </c>
      <c r="BB103" s="531" t="s">
        <v>88</v>
      </c>
      <c r="BC103" s="531" t="s">
        <v>88</v>
      </c>
      <c r="BD103" s="531" t="s">
        <v>88</v>
      </c>
      <c r="BE103" s="531" t="s">
        <v>88</v>
      </c>
      <c r="BF103" s="531" t="s">
        <v>88</v>
      </c>
      <c r="BG103" s="531" t="s">
        <v>88</v>
      </c>
      <c r="BH103" s="531" t="s">
        <v>88</v>
      </c>
      <c r="BI103" s="531" t="s">
        <v>88</v>
      </c>
      <c r="BJ103" s="531" t="s">
        <v>88</v>
      </c>
      <c r="BK103" s="531" t="s">
        <v>88</v>
      </c>
      <c r="BL103" s="531" t="s">
        <v>88</v>
      </c>
      <c r="BM103" s="531" t="s">
        <v>88</v>
      </c>
      <c r="BN103" s="531" t="s">
        <v>88</v>
      </c>
      <c r="BO103" s="531" t="s">
        <v>88</v>
      </c>
      <c r="BP103" s="531" t="s">
        <v>88</v>
      </c>
      <c r="BQ103" s="531" t="s">
        <v>88</v>
      </c>
      <c r="BR103" s="531" t="s">
        <v>88</v>
      </c>
      <c r="BS103" s="531" t="s">
        <v>88</v>
      </c>
      <c r="BT103" s="531" t="s">
        <v>88</v>
      </c>
      <c r="BU103" s="531" t="s">
        <v>88</v>
      </c>
      <c r="BV103" s="531" t="s">
        <v>88</v>
      </c>
      <c r="BW103" s="531" t="s">
        <v>88</v>
      </c>
      <c r="BX103" s="531" t="s">
        <v>88</v>
      </c>
      <c r="BY103" s="531" t="s">
        <v>88</v>
      </c>
      <c r="BZ103" s="531" t="s">
        <v>88</v>
      </c>
      <c r="CA103" s="531" t="s">
        <v>88</v>
      </c>
      <c r="CB103" s="522"/>
      <c r="CC103" s="522"/>
      <c r="CD103" s="522"/>
      <c r="CE103" s="522"/>
      <c r="CF103" s="522"/>
      <c r="CG103" s="522"/>
      <c r="CH103" s="522"/>
      <c r="CI103" s="522"/>
      <c r="CJ103" s="522"/>
      <c r="CK103" s="522"/>
      <c r="CL103" s="522"/>
      <c r="CM103" s="522"/>
      <c r="CN103" s="522"/>
      <c r="CO103" s="522"/>
      <c r="CP103" s="522"/>
      <c r="CQ103" s="522"/>
      <c r="CR103" s="522"/>
      <c r="CS103" s="522"/>
      <c r="CT103" s="522"/>
      <c r="CU103" s="522"/>
      <c r="CV103" s="522"/>
      <c r="CW103" s="522"/>
      <c r="CX103" s="522"/>
      <c r="CY103" s="522"/>
      <c r="CZ103" s="522"/>
      <c r="DA103" s="522"/>
      <c r="DB103" s="522"/>
      <c r="DC103" s="522"/>
      <c r="DD103" s="522"/>
      <c r="DE103" s="522"/>
      <c r="DF103" s="522"/>
      <c r="DG103" s="522"/>
      <c r="DH103" s="522"/>
      <c r="DI103" s="522"/>
      <c r="DJ103" s="522"/>
      <c r="DK103" s="522"/>
      <c r="DL103" s="522"/>
      <c r="DM103" s="522"/>
      <c r="DN103" s="522"/>
      <c r="DO103" s="522"/>
      <c r="DP103" s="522"/>
      <c r="DQ103" s="522"/>
      <c r="DR103" s="522"/>
      <c r="DS103" s="522"/>
      <c r="DT103" s="522"/>
      <c r="DU103" s="522"/>
      <c r="DV103" s="522"/>
      <c r="DW103" s="522"/>
      <c r="DX103" s="522"/>
      <c r="DY103" s="522"/>
      <c r="DZ103" s="522"/>
      <c r="EA103" s="522"/>
      <c r="EB103" s="522"/>
      <c r="EC103" s="522"/>
      <c r="ED103" s="522"/>
      <c r="EE103" s="522"/>
      <c r="EF103" s="522"/>
      <c r="EG103" s="522"/>
      <c r="EH103" s="522"/>
      <c r="EI103" s="522"/>
      <c r="EJ103" s="522"/>
      <c r="EK103" s="522"/>
      <c r="EL103" s="522"/>
      <c r="EM103" s="522"/>
      <c r="EN103" s="522"/>
      <c r="EO103" s="522"/>
      <c r="EP103" s="522"/>
      <c r="EQ103" s="522"/>
      <c r="ER103" s="522"/>
      <c r="ES103" s="522"/>
      <c r="ET103" s="522"/>
      <c r="EU103" s="522"/>
      <c r="EV103" s="522"/>
      <c r="EW103" s="522"/>
      <c r="EX103" s="527" t="str">
        <f t="shared" si="7"/>
        <v>*</v>
      </c>
    </row>
    <row r="104" spans="1:154" x14ac:dyDescent="0.25">
      <c r="A104" s="522"/>
      <c r="B104" s="522"/>
      <c r="C104" s="522"/>
      <c r="D104" s="522"/>
      <c r="E104" s="524"/>
      <c r="F104" s="522"/>
      <c r="G104" s="522"/>
      <c r="H104" s="522"/>
      <c r="I104" s="522"/>
      <c r="J104" s="522"/>
      <c r="K104" s="522"/>
      <c r="L104" s="522"/>
      <c r="M104" s="522"/>
      <c r="N104" s="522"/>
      <c r="O104" s="522"/>
      <c r="P104" s="522"/>
      <c r="Q104" s="522"/>
      <c r="R104" s="522"/>
      <c r="S104" s="522"/>
      <c r="T104" s="522"/>
      <c r="U104" s="522"/>
      <c r="V104" s="522"/>
      <c r="W104" s="522"/>
      <c r="X104" s="522"/>
      <c r="Y104" s="522"/>
      <c r="Z104" s="522"/>
      <c r="AA104" s="522"/>
      <c r="AB104" s="522"/>
      <c r="AC104" s="522"/>
      <c r="AD104" s="522"/>
      <c r="AE104" s="522"/>
      <c r="AF104" s="522"/>
      <c r="AG104" s="522"/>
      <c r="AH104" s="522"/>
      <c r="AI104" s="522"/>
      <c r="AJ104" s="522"/>
      <c r="AK104" s="522"/>
      <c r="AL104" s="522"/>
      <c r="AM104" s="522"/>
      <c r="AN104" s="522"/>
      <c r="AO104" s="522"/>
      <c r="AP104" s="522"/>
      <c r="AQ104" s="522"/>
      <c r="AR104" s="522"/>
      <c r="AS104" s="522"/>
      <c r="AT104" s="522"/>
      <c r="AU104" s="522"/>
      <c r="AV104" s="522"/>
      <c r="AW104" s="522"/>
      <c r="AX104" s="522"/>
      <c r="AY104" s="522"/>
      <c r="AZ104" s="522"/>
      <c r="BA104" s="522"/>
      <c r="BB104" s="522"/>
      <c r="BC104" s="522"/>
      <c r="BD104" s="522"/>
      <c r="BE104" s="522"/>
      <c r="BF104" s="522"/>
      <c r="BG104" s="522"/>
      <c r="BH104" s="522"/>
      <c r="BI104" s="522"/>
      <c r="BJ104" s="522"/>
      <c r="BK104" s="522"/>
      <c r="BL104" s="522"/>
      <c r="BM104" s="522"/>
      <c r="BN104" s="522"/>
      <c r="BO104" s="522"/>
      <c r="BP104" s="522"/>
      <c r="BQ104" s="522"/>
      <c r="BR104" s="522"/>
      <c r="BS104" s="522"/>
      <c r="BT104" s="522"/>
      <c r="BU104" s="522"/>
      <c r="BV104" s="522"/>
      <c r="BW104" s="522"/>
      <c r="BX104" s="522"/>
      <c r="BY104" s="522"/>
      <c r="BZ104" s="522"/>
      <c r="CA104" s="522"/>
      <c r="CB104" s="522"/>
      <c r="CC104" s="522"/>
      <c r="CD104" s="522"/>
      <c r="CE104" s="522"/>
      <c r="CF104" s="522"/>
      <c r="CG104" s="522"/>
      <c r="CH104" s="522"/>
      <c r="CI104" s="522"/>
      <c r="CJ104" s="522"/>
      <c r="CK104" s="522"/>
      <c r="CL104" s="522"/>
      <c r="CM104" s="522"/>
      <c r="CN104" s="522"/>
      <c r="CO104" s="522"/>
      <c r="CP104" s="522"/>
      <c r="CQ104" s="522"/>
      <c r="CR104" s="522"/>
      <c r="CS104" s="522"/>
      <c r="CT104" s="522"/>
      <c r="CU104" s="522"/>
      <c r="CV104" s="522"/>
      <c r="CW104" s="522"/>
      <c r="CX104" s="522"/>
      <c r="CY104" s="522"/>
      <c r="CZ104" s="522"/>
      <c r="DA104" s="522"/>
      <c r="DB104" s="522"/>
      <c r="DC104" s="522"/>
      <c r="DD104" s="522"/>
      <c r="DE104" s="522"/>
      <c r="DF104" s="522"/>
      <c r="DG104" s="522"/>
      <c r="DH104" s="522"/>
      <c r="DI104" s="522"/>
      <c r="DJ104" s="522"/>
      <c r="DK104" s="522"/>
      <c r="DL104" s="522"/>
      <c r="DM104" s="522"/>
      <c r="DN104" s="522"/>
      <c r="DO104" s="522"/>
      <c r="DP104" s="522"/>
      <c r="DQ104" s="522"/>
      <c r="DR104" s="522"/>
      <c r="DS104" s="522"/>
      <c r="DT104" s="522"/>
      <c r="DU104" s="522"/>
      <c r="DV104" s="522"/>
      <c r="DW104" s="522"/>
      <c r="DX104" s="522"/>
      <c r="DY104" s="522"/>
      <c r="DZ104" s="522"/>
      <c r="EA104" s="522"/>
      <c r="EB104" s="522"/>
      <c r="EC104" s="522"/>
      <c r="ED104" s="522"/>
      <c r="EE104" s="522"/>
      <c r="EF104" s="522"/>
      <c r="EG104" s="522"/>
      <c r="EH104" s="522"/>
      <c r="EI104" s="522"/>
      <c r="EJ104" s="522"/>
      <c r="EK104" s="522"/>
      <c r="EL104" s="522"/>
      <c r="EM104" s="522"/>
      <c r="EN104" s="522"/>
      <c r="EO104" s="522"/>
      <c r="EP104" s="522"/>
      <c r="EQ104" s="522"/>
      <c r="ER104" s="522"/>
      <c r="ES104" s="522"/>
      <c r="ET104" s="522"/>
      <c r="EU104" s="522"/>
      <c r="EV104" s="522"/>
      <c r="EW104" s="522"/>
      <c r="EX104" s="522"/>
    </row>
    <row r="105" spans="1:154" x14ac:dyDescent="0.25">
      <c r="A105" s="522"/>
      <c r="B105" s="522"/>
      <c r="C105" s="522"/>
      <c r="D105" s="522"/>
      <c r="E105" s="524"/>
      <c r="F105" s="522"/>
      <c r="G105" s="522"/>
      <c r="H105" s="522"/>
      <c r="I105" s="522"/>
      <c r="J105" s="522"/>
      <c r="K105" s="522"/>
      <c r="L105" s="522"/>
      <c r="M105" s="522"/>
      <c r="N105" s="522"/>
      <c r="O105" s="522"/>
      <c r="P105" s="522"/>
      <c r="Q105" s="522"/>
      <c r="R105" s="522"/>
      <c r="S105" s="522"/>
      <c r="T105" s="522"/>
      <c r="U105" s="522"/>
      <c r="V105" s="522"/>
      <c r="W105" s="522"/>
      <c r="X105" s="522"/>
      <c r="Y105" s="522"/>
      <c r="Z105" s="522"/>
      <c r="AA105" s="522"/>
      <c r="AB105" s="522"/>
      <c r="AC105" s="522"/>
      <c r="AD105" s="522"/>
      <c r="AE105" s="522"/>
      <c r="AF105" s="522"/>
      <c r="AG105" s="522"/>
      <c r="AH105" s="522"/>
      <c r="AI105" s="522"/>
      <c r="AJ105" s="522"/>
      <c r="AK105" s="522"/>
      <c r="AL105" s="522"/>
      <c r="AM105" s="522"/>
      <c r="AN105" s="522"/>
      <c r="AO105" s="522"/>
      <c r="AP105" s="522"/>
      <c r="AQ105" s="522"/>
      <c r="AR105" s="522"/>
      <c r="AS105" s="522"/>
      <c r="AT105" s="522"/>
      <c r="AU105" s="522"/>
      <c r="AV105" s="522"/>
      <c r="AW105" s="522"/>
      <c r="AX105" s="522"/>
      <c r="AY105" s="522"/>
      <c r="AZ105" s="522"/>
      <c r="BA105" s="522"/>
      <c r="BB105" s="522"/>
      <c r="BC105" s="522"/>
      <c r="BD105" s="522"/>
      <c r="BE105" s="522"/>
      <c r="BF105" s="522"/>
      <c r="BG105" s="522"/>
      <c r="BH105" s="522"/>
      <c r="BI105" s="522"/>
      <c r="BJ105" s="522"/>
      <c r="BK105" s="522"/>
      <c r="BL105" s="522"/>
      <c r="BM105" s="522"/>
      <c r="BN105" s="522"/>
      <c r="BO105" s="522"/>
      <c r="BP105" s="522"/>
      <c r="BQ105" s="522"/>
      <c r="BR105" s="522"/>
      <c r="BS105" s="522"/>
      <c r="BT105" s="522"/>
      <c r="BU105" s="522"/>
      <c r="BV105" s="522"/>
      <c r="BW105" s="522"/>
      <c r="BX105" s="522"/>
      <c r="BY105" s="522"/>
      <c r="BZ105" s="522"/>
      <c r="CA105" s="522"/>
      <c r="CB105" s="522"/>
      <c r="CC105" s="522"/>
      <c r="CD105" s="522"/>
      <c r="CE105" s="522"/>
      <c r="CF105" s="522"/>
      <c r="CG105" s="522"/>
      <c r="CH105" s="522"/>
      <c r="CI105" s="522"/>
      <c r="CJ105" s="522"/>
      <c r="CK105" s="522"/>
      <c r="CL105" s="522"/>
      <c r="CM105" s="522"/>
      <c r="CN105" s="522"/>
      <c r="CO105" s="522"/>
      <c r="CP105" s="522"/>
      <c r="CQ105" s="522"/>
      <c r="CR105" s="522"/>
      <c r="CS105" s="522"/>
      <c r="CT105" s="522"/>
      <c r="CU105" s="522"/>
      <c r="CV105" s="522"/>
      <c r="CW105" s="522"/>
      <c r="CX105" s="522"/>
      <c r="CY105" s="522"/>
      <c r="CZ105" s="522"/>
      <c r="DA105" s="522"/>
      <c r="DB105" s="522"/>
      <c r="DC105" s="522"/>
      <c r="DD105" s="522"/>
      <c r="DE105" s="522"/>
      <c r="DF105" s="522"/>
      <c r="DG105" s="522"/>
      <c r="DH105" s="522"/>
      <c r="DI105" s="522"/>
      <c r="DJ105" s="522"/>
      <c r="DK105" s="522"/>
      <c r="DL105" s="522"/>
      <c r="DM105" s="522"/>
      <c r="DN105" s="522"/>
      <c r="DO105" s="522"/>
      <c r="DP105" s="522"/>
      <c r="DQ105" s="522"/>
      <c r="DR105" s="522"/>
      <c r="DS105" s="522"/>
      <c r="DT105" s="522"/>
      <c r="DU105" s="522"/>
      <c r="DV105" s="522"/>
      <c r="DW105" s="522"/>
      <c r="DX105" s="522"/>
      <c r="DY105" s="522"/>
      <c r="DZ105" s="522"/>
      <c r="EA105" s="522"/>
      <c r="EB105" s="522"/>
      <c r="EC105" s="522"/>
      <c r="ED105" s="522"/>
      <c r="EE105" s="522"/>
      <c r="EF105" s="522"/>
      <c r="EG105" s="522"/>
      <c r="EH105" s="522"/>
      <c r="EI105" s="522"/>
      <c r="EJ105" s="522"/>
      <c r="EK105" s="522"/>
      <c r="EL105" s="522"/>
      <c r="EM105" s="522"/>
      <c r="EN105" s="522"/>
      <c r="EO105" s="522"/>
      <c r="EP105" s="522"/>
      <c r="EQ105" s="522"/>
      <c r="ER105" s="522"/>
      <c r="ES105" s="522"/>
      <c r="ET105" s="522"/>
      <c r="EU105" s="522"/>
      <c r="EV105" s="522"/>
      <c r="EW105" s="522"/>
      <c r="EX105" s="522"/>
    </row>
    <row r="106" spans="1:154" x14ac:dyDescent="0.25">
      <c r="A106" s="522"/>
      <c r="B106" s="522"/>
      <c r="C106" s="522"/>
      <c r="D106" s="522"/>
      <c r="E106" s="524"/>
      <c r="F106" s="522"/>
      <c r="G106" s="522"/>
      <c r="H106" s="522"/>
      <c r="I106" s="522"/>
      <c r="J106" s="522"/>
      <c r="K106" s="522"/>
      <c r="L106" s="522"/>
      <c r="M106" s="522"/>
      <c r="N106" s="522"/>
      <c r="O106" s="522"/>
      <c r="P106" s="522"/>
      <c r="Q106" s="522"/>
      <c r="R106" s="522"/>
      <c r="S106" s="522"/>
      <c r="T106" s="522"/>
      <c r="U106" s="522"/>
      <c r="V106" s="522"/>
      <c r="W106" s="522"/>
      <c r="X106" s="522"/>
      <c r="Y106" s="522"/>
      <c r="Z106" s="522"/>
      <c r="AA106" s="522"/>
      <c r="AB106" s="522"/>
      <c r="AC106" s="522"/>
      <c r="AD106" s="522"/>
      <c r="AE106" s="522"/>
      <c r="AF106" s="522"/>
      <c r="AG106" s="522"/>
      <c r="AH106" s="522"/>
      <c r="AI106" s="522"/>
      <c r="AJ106" s="522"/>
      <c r="AK106" s="522"/>
      <c r="AL106" s="522"/>
      <c r="AM106" s="522"/>
      <c r="AN106" s="522"/>
      <c r="AO106" s="522"/>
      <c r="AP106" s="522"/>
      <c r="AQ106" s="522"/>
      <c r="AR106" s="522"/>
      <c r="AS106" s="522"/>
      <c r="AT106" s="522"/>
      <c r="AU106" s="522"/>
      <c r="AV106" s="522"/>
      <c r="AW106" s="522"/>
      <c r="AX106" s="522"/>
      <c r="AY106" s="522"/>
      <c r="AZ106" s="522"/>
      <c r="BA106" s="522"/>
      <c r="BB106" s="522"/>
      <c r="BC106" s="522"/>
      <c r="BD106" s="522"/>
      <c r="BE106" s="522"/>
      <c r="BF106" s="522"/>
      <c r="BG106" s="522"/>
      <c r="BH106" s="522"/>
      <c r="BI106" s="522"/>
      <c r="BJ106" s="522"/>
      <c r="BK106" s="522"/>
      <c r="BL106" s="522"/>
      <c r="BM106" s="522"/>
      <c r="BN106" s="522"/>
      <c r="BO106" s="522"/>
      <c r="BP106" s="522"/>
      <c r="BQ106" s="522"/>
      <c r="BR106" s="522"/>
      <c r="BS106" s="522"/>
      <c r="BT106" s="522"/>
      <c r="BU106" s="522"/>
      <c r="BV106" s="522"/>
      <c r="BW106" s="522"/>
      <c r="BX106" s="522"/>
      <c r="BY106" s="522"/>
      <c r="BZ106" s="522"/>
      <c r="CA106" s="522"/>
      <c r="CB106" s="522"/>
      <c r="CC106" s="522"/>
      <c r="CD106" s="522"/>
      <c r="CE106" s="522"/>
      <c r="CF106" s="522"/>
      <c r="CG106" s="522"/>
      <c r="CH106" s="522"/>
      <c r="CI106" s="522"/>
      <c r="CJ106" s="522"/>
      <c r="CK106" s="522"/>
      <c r="CL106" s="522"/>
      <c r="CM106" s="522"/>
      <c r="CN106" s="522"/>
      <c r="CO106" s="522"/>
      <c r="CP106" s="522"/>
      <c r="CQ106" s="522"/>
      <c r="CR106" s="522"/>
      <c r="CS106" s="522"/>
      <c r="CT106" s="522"/>
      <c r="CU106" s="522"/>
      <c r="CV106" s="522"/>
      <c r="CW106" s="522"/>
      <c r="CX106" s="522"/>
      <c r="CY106" s="522"/>
      <c r="CZ106" s="522"/>
      <c r="DA106" s="522"/>
      <c r="DB106" s="522"/>
      <c r="DC106" s="522"/>
      <c r="DD106" s="522"/>
      <c r="DE106" s="522"/>
      <c r="DF106" s="522"/>
      <c r="DG106" s="522"/>
      <c r="DH106" s="522"/>
      <c r="DI106" s="522"/>
      <c r="DJ106" s="522"/>
      <c r="DK106" s="522"/>
      <c r="DL106" s="522"/>
      <c r="DM106" s="522"/>
      <c r="DN106" s="522"/>
      <c r="DO106" s="522"/>
      <c r="DP106" s="522"/>
      <c r="DQ106" s="522"/>
      <c r="DR106" s="522"/>
      <c r="DS106" s="522"/>
      <c r="DT106" s="522"/>
      <c r="DU106" s="522"/>
      <c r="DV106" s="522"/>
      <c r="DW106" s="522"/>
      <c r="DX106" s="522"/>
      <c r="DY106" s="522"/>
      <c r="DZ106" s="522"/>
      <c r="EA106" s="522"/>
      <c r="EB106" s="522"/>
      <c r="EC106" s="522"/>
      <c r="ED106" s="522"/>
      <c r="EE106" s="522"/>
      <c r="EF106" s="522"/>
      <c r="EG106" s="522"/>
      <c r="EH106" s="522"/>
      <c r="EI106" s="522"/>
      <c r="EJ106" s="522"/>
      <c r="EK106" s="522"/>
      <c r="EL106" s="522"/>
      <c r="EM106" s="522"/>
      <c r="EN106" s="522"/>
      <c r="EO106" s="522"/>
      <c r="EP106" s="522"/>
      <c r="EQ106" s="522"/>
      <c r="ER106" s="522"/>
      <c r="ES106" s="522"/>
      <c r="ET106" s="522"/>
      <c r="EU106" s="522"/>
      <c r="EV106" s="522"/>
      <c r="EW106" s="522"/>
      <c r="EX106" s="522"/>
    </row>
    <row r="107" spans="1:154" x14ac:dyDescent="0.25">
      <c r="A107" s="522"/>
      <c r="B107" s="522"/>
      <c r="C107" s="522"/>
      <c r="D107" s="522"/>
      <c r="E107" s="524"/>
      <c r="F107" s="522"/>
      <c r="G107" s="522"/>
      <c r="H107" s="522"/>
      <c r="I107" s="522"/>
      <c r="J107" s="522"/>
      <c r="K107" s="522"/>
      <c r="L107" s="522"/>
      <c r="M107" s="522"/>
      <c r="N107" s="522"/>
      <c r="O107" s="522"/>
      <c r="P107" s="522"/>
      <c r="Q107" s="522"/>
      <c r="R107" s="522"/>
      <c r="S107" s="522"/>
      <c r="T107" s="522"/>
      <c r="U107" s="522"/>
      <c r="V107" s="522"/>
      <c r="W107" s="522"/>
      <c r="X107" s="522"/>
      <c r="Y107" s="522"/>
      <c r="Z107" s="522"/>
      <c r="AA107" s="522"/>
      <c r="AB107" s="522"/>
      <c r="AC107" s="522"/>
      <c r="AD107" s="522"/>
      <c r="AE107" s="522"/>
      <c r="AF107" s="522"/>
      <c r="AG107" s="522"/>
      <c r="AH107" s="522"/>
      <c r="AI107" s="522"/>
      <c r="AJ107" s="522"/>
      <c r="AK107" s="522"/>
      <c r="AL107" s="522"/>
      <c r="AM107" s="522"/>
      <c r="AN107" s="522"/>
      <c r="AO107" s="522"/>
      <c r="AP107" s="522"/>
      <c r="AQ107" s="522"/>
      <c r="AR107" s="522"/>
      <c r="AS107" s="522"/>
      <c r="AT107" s="522"/>
      <c r="AU107" s="522"/>
      <c r="AV107" s="522"/>
      <c r="AW107" s="522"/>
      <c r="AX107" s="522"/>
      <c r="AY107" s="522"/>
      <c r="AZ107" s="522"/>
      <c r="BA107" s="522"/>
      <c r="BB107" s="522"/>
      <c r="BC107" s="522"/>
      <c r="BD107" s="522"/>
      <c r="BE107" s="522"/>
      <c r="BF107" s="522"/>
      <c r="BG107" s="522"/>
      <c r="BH107" s="522"/>
      <c r="BI107" s="522"/>
      <c r="BJ107" s="522"/>
      <c r="BK107" s="522"/>
      <c r="BL107" s="522"/>
      <c r="BM107" s="522"/>
      <c r="BN107" s="522"/>
      <c r="BO107" s="522"/>
      <c r="BP107" s="522"/>
      <c r="BQ107" s="522"/>
      <c r="BR107" s="522"/>
      <c r="BS107" s="522"/>
      <c r="BT107" s="522"/>
      <c r="BU107" s="522"/>
      <c r="BV107" s="522"/>
      <c r="BW107" s="522"/>
      <c r="BX107" s="522"/>
      <c r="BY107" s="522"/>
      <c r="BZ107" s="522"/>
      <c r="CA107" s="522"/>
      <c r="CB107" s="522"/>
      <c r="CC107" s="522"/>
      <c r="CD107" s="522"/>
      <c r="CE107" s="522"/>
      <c r="CF107" s="522"/>
      <c r="CG107" s="522"/>
      <c r="CH107" s="522"/>
      <c r="CI107" s="522"/>
      <c r="CJ107" s="522"/>
      <c r="CK107" s="522"/>
      <c r="CL107" s="522"/>
      <c r="CM107" s="522"/>
      <c r="CN107" s="522"/>
      <c r="CO107" s="522"/>
      <c r="CP107" s="522"/>
      <c r="CQ107" s="522"/>
      <c r="CR107" s="522"/>
      <c r="CS107" s="522"/>
      <c r="CT107" s="522"/>
      <c r="CU107" s="522"/>
      <c r="CV107" s="522"/>
      <c r="CW107" s="522"/>
      <c r="CX107" s="522"/>
      <c r="CY107" s="522"/>
      <c r="CZ107" s="522"/>
      <c r="DA107" s="522"/>
      <c r="DB107" s="522"/>
      <c r="DC107" s="522"/>
      <c r="DD107" s="522"/>
      <c r="DE107" s="522"/>
      <c r="DF107" s="522"/>
      <c r="DG107" s="522"/>
      <c r="DH107" s="522"/>
      <c r="DI107" s="522"/>
      <c r="DJ107" s="522"/>
      <c r="DK107" s="522"/>
      <c r="DL107" s="522"/>
      <c r="DM107" s="522"/>
      <c r="DN107" s="522"/>
      <c r="DO107" s="522"/>
      <c r="DP107" s="522"/>
      <c r="DQ107" s="522"/>
      <c r="DR107" s="522"/>
      <c r="DS107" s="522"/>
      <c r="DT107" s="522"/>
      <c r="DU107" s="522"/>
      <c r="DV107" s="522"/>
      <c r="DW107" s="522"/>
      <c r="DX107" s="522"/>
      <c r="DY107" s="522"/>
      <c r="DZ107" s="522"/>
      <c r="EA107" s="522"/>
      <c r="EB107" s="522"/>
      <c r="EC107" s="522"/>
      <c r="ED107" s="522"/>
      <c r="EE107" s="522"/>
      <c r="EF107" s="522"/>
      <c r="EG107" s="522"/>
      <c r="EH107" s="522"/>
      <c r="EI107" s="522"/>
      <c r="EJ107" s="522"/>
      <c r="EK107" s="522"/>
      <c r="EL107" s="522"/>
      <c r="EM107" s="522"/>
      <c r="EN107" s="522"/>
      <c r="EO107" s="522"/>
      <c r="EP107" s="522"/>
      <c r="EQ107" s="522"/>
      <c r="ER107" s="522"/>
      <c r="ES107" s="522"/>
      <c r="ET107" s="522"/>
      <c r="EU107" s="522"/>
      <c r="EV107" s="522"/>
      <c r="EW107" s="522"/>
      <c r="EX107" s="522"/>
    </row>
  </sheetData>
  <sheetProtection algorithmName="SHA-512" hashValue="O8dGe/vxp+F5GQ8NckkfUVYzLPTrI+wcQVFgLGJN/JFmqV0muT0B698ejRAhxrE32JyZ56MUw4yZaoqT7m8jhA==" saltValue="Z7KmHpX7fO+iO+DW2U3RnA==" spinCount="100000" sheet="1" objects="1" scenarios="1"/>
  <mergeCells count="3">
    <mergeCell ref="BY1:BY6"/>
    <mergeCell ref="CA1:CA6"/>
    <mergeCell ref="BZ4:BZ6"/>
  </mergeCells>
  <conditionalFormatting sqref="A1">
    <cfRule type="cellIs" dxfId="15" priority="10" operator="equal">
      <formula>0</formula>
    </cfRule>
    <cfRule type="cellIs" dxfId="14" priority="11" operator="greaterThan">
      <formula>0</formula>
    </cfRule>
  </conditionalFormatting>
  <conditionalFormatting sqref="V93:Y93">
    <cfRule type="cellIs" dxfId="13" priority="4" operator="equal">
      <formula>0</formula>
    </cfRule>
    <cfRule type="containsText" dxfId="12" priority="5" operator="containsText" text="Outstanding">
      <formula>NOT(ISERROR(SEARCH("Outstanding",V93)))</formula>
    </cfRule>
    <cfRule type="containsText" dxfId="11" priority="6" operator="containsText" text="Requires Improvement">
      <formula>NOT(ISERROR(SEARCH("Requires Improvement",V93)))</formula>
    </cfRule>
    <cfRule type="containsText" dxfId="10" priority="7" operator="containsText" text="Inadequate">
      <formula>NOT(ISERROR(SEARCH("Inadequate",V93)))</formula>
    </cfRule>
    <cfRule type="containsText" dxfId="9" priority="8" operator="containsText" text="Good">
      <formula>NOT(ISERROR(SEARCH("Good",V93)))</formula>
    </cfRule>
    <cfRule type="containsText" dxfId="8" priority="9" operator="containsText" text="&quot;&quot;">
      <formula>NOT(ISERROR(SEARCH("""""",V93)))</formula>
    </cfRule>
  </conditionalFormatting>
  <conditionalFormatting sqref="V2:Y2">
    <cfRule type="expression" dxfId="7" priority="1">
      <formula>OR($D$2=$D$95, $D$2=$D$96, $D$2=$D$98)</formula>
    </cfRule>
  </conditionalFormatting>
  <dataValidations count="1">
    <dataValidation type="list" allowBlank="1" showInputMessage="1" showErrorMessage="1" sqref="D2" xr:uid="{ECDE0EFE-B226-43F3-AB46-6ED02A28AC73}">
      <formula1>$D$93:$D$100</formula1>
    </dataValidation>
  </dataValidations>
  <pageMargins left="0.70866141732283472" right="0.70866141732283472" top="0.74803149606299213" bottom="0.74803149606299213" header="0.31496062992125984" footer="0.31496062992125984"/>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84D3-9312-4144-821B-80DCC03CF397}">
  <sheetPr codeName="Sheet10">
    <outlinePr summaryBelow="0" summaryRight="0"/>
    <pageSetUpPr autoPageBreaks="0"/>
  </sheetPr>
  <dimension ref="A1:K247"/>
  <sheetViews>
    <sheetView showGridLines="0" zoomScaleNormal="100" workbookViewId="0">
      <selection activeCell="E21" sqref="E21"/>
    </sheetView>
  </sheetViews>
  <sheetFormatPr defaultColWidth="0" defaultRowHeight="15" outlineLevelRow="1" x14ac:dyDescent="0.25"/>
  <cols>
    <col min="1" max="1" width="2.5703125" style="67" customWidth="1"/>
    <col min="2" max="2" width="13.5703125" style="278" customWidth="1"/>
    <col min="3" max="3" width="31.5703125" style="69" customWidth="1"/>
    <col min="4" max="4" width="64.42578125" style="295" customWidth="1"/>
    <col min="5" max="5" width="32.5703125" style="15" customWidth="1"/>
    <col min="6" max="6" width="12.5703125" style="15" customWidth="1"/>
    <col min="7" max="7" width="9.5703125" style="67" hidden="1" customWidth="1"/>
    <col min="8" max="8" width="0.42578125" style="1" customWidth="1"/>
    <col min="9" max="9" width="12.42578125" style="67" customWidth="1"/>
    <col min="10" max="10" width="0" style="67" hidden="1" customWidth="1"/>
    <col min="11" max="16383" width="9.42578125" style="67" hidden="1"/>
    <col min="16384" max="16384" width="9.42578125" style="67" hidden="1" customWidth="1"/>
  </cols>
  <sheetData>
    <row r="1" spans="1:8" x14ac:dyDescent="0.25">
      <c r="A1" s="14"/>
      <c r="B1" s="101" t="s">
        <v>414</v>
      </c>
      <c r="C1" s="131" t="str">
        <f>CollegeNameInput</f>
        <v>HALESOWEN COLLEGE</v>
      </c>
      <c r="D1" s="68"/>
      <c r="E1" s="102"/>
      <c r="F1" s="102"/>
    </row>
    <row r="2" spans="1:8" collapsed="1" x14ac:dyDescent="0.25">
      <c r="A2" s="92" t="str" cm="1">
        <f t="array" aca="1" ref="A2" ca="1">HYPERLINK(CONCATENATE("#",CELL("address",ToC!$A$1)),ToC!$C$1)</f>
        <v>ToC</v>
      </c>
      <c r="B2" s="101"/>
      <c r="C2" s="68"/>
      <c r="D2" s="68"/>
      <c r="E2" s="101"/>
      <c r="F2" s="14"/>
      <c r="G2" s="31" t="s">
        <v>85</v>
      </c>
      <c r="H2" s="67"/>
    </row>
    <row r="3" spans="1:8" hidden="1" outlineLevel="1" x14ac:dyDescent="0.25">
      <c r="A3" s="14"/>
      <c r="B3" s="101"/>
      <c r="C3" s="72"/>
      <c r="D3" s="68"/>
      <c r="E3" s="101"/>
      <c r="F3" s="14"/>
      <c r="G3" s="30" t="s">
        <v>99</v>
      </c>
      <c r="H3" s="67"/>
    </row>
    <row r="4" spans="1:8" hidden="1" outlineLevel="1" x14ac:dyDescent="0.25">
      <c r="A4" s="14"/>
      <c r="B4" s="101"/>
      <c r="C4" s="72"/>
      <c r="D4" s="68"/>
      <c r="E4" s="101"/>
      <c r="F4" s="14"/>
      <c r="G4" s="30" t="s">
        <v>99</v>
      </c>
      <c r="H4" s="67"/>
    </row>
    <row r="5" spans="1:8" hidden="1" outlineLevel="1" x14ac:dyDescent="0.25">
      <c r="A5" s="14"/>
      <c r="B5" s="101"/>
      <c r="C5" s="72"/>
      <c r="D5" s="68"/>
      <c r="E5" s="101"/>
      <c r="F5" s="14"/>
      <c r="G5" s="30" t="s">
        <v>99</v>
      </c>
      <c r="H5" s="67"/>
    </row>
    <row r="6" spans="1:8" x14ac:dyDescent="0.25">
      <c r="A6" s="14"/>
      <c r="B6" s="101"/>
      <c r="C6" s="68"/>
      <c r="D6" s="68"/>
      <c r="E6" s="101"/>
      <c r="F6" s="14"/>
      <c r="G6" s="30" t="s">
        <v>99</v>
      </c>
      <c r="H6" s="67"/>
    </row>
    <row r="7" spans="1:8" x14ac:dyDescent="0.25">
      <c r="G7" s="30" t="s">
        <v>99</v>
      </c>
      <c r="H7" s="67"/>
    </row>
    <row r="8" spans="1:8" s="279" customFormat="1" x14ac:dyDescent="0.25">
      <c r="B8" s="278"/>
      <c r="C8" s="296" t="s">
        <v>795</v>
      </c>
      <c r="D8" s="297" t="s">
        <v>5</v>
      </c>
      <c r="E8" s="282" t="s">
        <v>118</v>
      </c>
      <c r="F8" s="15"/>
      <c r="G8" s="30"/>
    </row>
    <row r="9" spans="1:8" s="279" customFormat="1" x14ac:dyDescent="0.25">
      <c r="B9" s="278"/>
      <c r="C9" s="298" t="s">
        <v>2574</v>
      </c>
      <c r="D9" s="299" t="s">
        <v>2493</v>
      </c>
      <c r="E9" s="281">
        <v>44376</v>
      </c>
      <c r="F9" s="15"/>
      <c r="G9" s="30"/>
    </row>
    <row r="10" spans="1:8" s="279" customFormat="1" ht="8.1" customHeight="1" x14ac:dyDescent="0.25">
      <c r="B10" s="278"/>
      <c r="C10" s="69"/>
      <c r="D10" s="295"/>
      <c r="E10" s="15"/>
      <c r="F10" s="15"/>
      <c r="G10" s="30"/>
    </row>
    <row r="11" spans="1:8" s="279" customFormat="1" x14ac:dyDescent="0.25">
      <c r="A11" s="40"/>
      <c r="B11" s="99"/>
      <c r="C11" s="99" t="s">
        <v>809</v>
      </c>
      <c r="D11" s="70"/>
      <c r="E11" s="99"/>
      <c r="F11" s="40"/>
      <c r="G11" s="30" t="s">
        <v>99</v>
      </c>
    </row>
    <row r="12" spans="1:8" s="279" customFormat="1" ht="8.1" customHeight="1" x14ac:dyDescent="0.25">
      <c r="B12" s="278"/>
      <c r="C12" s="69"/>
      <c r="D12" s="295"/>
      <c r="E12" s="15"/>
      <c r="F12" s="15"/>
      <c r="G12" s="30" t="s">
        <v>99</v>
      </c>
    </row>
    <row r="13" spans="1:8" s="279" customFormat="1" x14ac:dyDescent="0.25">
      <c r="B13" s="316" t="s">
        <v>821</v>
      </c>
      <c r="C13" s="300"/>
      <c r="D13" s="295" t="s">
        <v>825</v>
      </c>
      <c r="E13" s="264"/>
      <c r="F13" s="15"/>
      <c r="G13" s="30"/>
    </row>
    <row r="14" spans="1:8" s="279" customFormat="1" ht="8.1" customHeight="1" x14ac:dyDescent="0.25">
      <c r="B14" s="278"/>
      <c r="C14" s="69"/>
      <c r="D14" s="295"/>
      <c r="E14" s="15"/>
      <c r="F14" s="15"/>
      <c r="G14" s="30"/>
    </row>
    <row r="15" spans="1:8" s="279" customFormat="1" ht="60" x14ac:dyDescent="0.25">
      <c r="B15" s="286" t="s">
        <v>822</v>
      </c>
      <c r="C15" s="300"/>
      <c r="D15" s="295" t="s">
        <v>826</v>
      </c>
      <c r="E15" s="264"/>
      <c r="F15" s="15"/>
      <c r="G15" s="30"/>
    </row>
    <row r="16" spans="1:8" s="279" customFormat="1" ht="8.1" customHeight="1" x14ac:dyDescent="0.25">
      <c r="B16" s="278"/>
      <c r="C16" s="69"/>
      <c r="D16" s="295"/>
      <c r="E16" s="15"/>
      <c r="F16" s="15"/>
      <c r="G16" s="30"/>
    </row>
    <row r="17" spans="1:7" s="279" customFormat="1" ht="75" x14ac:dyDescent="0.25">
      <c r="B17" s="288" t="s">
        <v>823</v>
      </c>
      <c r="C17" s="472"/>
      <c r="D17" s="295" t="s">
        <v>2542</v>
      </c>
      <c r="E17" s="15"/>
      <c r="F17" s="15"/>
      <c r="G17" s="30"/>
    </row>
    <row r="18" spans="1:7" s="335" customFormat="1" x14ac:dyDescent="0.25">
      <c r="B18" s="474" t="s">
        <v>2304</v>
      </c>
      <c r="C18" s="473"/>
      <c r="D18" s="295"/>
      <c r="E18" s="15"/>
      <c r="F18" s="15"/>
      <c r="G18" s="30"/>
    </row>
    <row r="19" spans="1:7" s="335" customFormat="1" x14ac:dyDescent="0.25">
      <c r="B19" s="335" t="str">
        <f>'Financial Health'!B1</f>
        <v>Financial Health</v>
      </c>
      <c r="C19" s="473"/>
      <c r="D19" s="306" t="s">
        <v>2302</v>
      </c>
      <c r="E19" s="15"/>
      <c r="F19" s="15"/>
      <c r="G19" s="30"/>
    </row>
    <row r="20" spans="1:7" s="335" customFormat="1" x14ac:dyDescent="0.25">
      <c r="B20" s="335" t="str">
        <f>Dashboard!B1</f>
        <v>Dashboard</v>
      </c>
      <c r="C20" s="473"/>
      <c r="D20" s="306" t="s">
        <v>2303</v>
      </c>
      <c r="E20" s="15"/>
      <c r="F20" s="15"/>
      <c r="G20" s="30"/>
    </row>
    <row r="21" spans="1:7" s="279" customFormat="1" ht="8.1" customHeight="1" x14ac:dyDescent="0.25">
      <c r="B21" s="278"/>
      <c r="C21" s="69"/>
      <c r="D21" s="295"/>
      <c r="E21" s="15"/>
      <c r="F21" s="15"/>
      <c r="G21" s="30"/>
    </row>
    <row r="22" spans="1:7" s="279" customFormat="1" ht="60.6" customHeight="1" x14ac:dyDescent="0.25">
      <c r="B22" s="287" t="s">
        <v>824</v>
      </c>
      <c r="C22" s="300"/>
      <c r="D22" s="295" t="s">
        <v>2305</v>
      </c>
      <c r="E22" s="264"/>
      <c r="F22" s="15"/>
      <c r="G22" s="30"/>
    </row>
    <row r="23" spans="1:7" s="279" customFormat="1" ht="8.1" customHeight="1" x14ac:dyDescent="0.25">
      <c r="B23" s="278"/>
      <c r="C23" s="69"/>
      <c r="D23" s="295"/>
      <c r="E23" s="15"/>
      <c r="F23" s="15"/>
      <c r="G23" s="30"/>
    </row>
    <row r="24" spans="1:7" s="279" customFormat="1" x14ac:dyDescent="0.25">
      <c r="A24" s="40"/>
      <c r="B24" s="99"/>
      <c r="C24" s="99" t="s">
        <v>820</v>
      </c>
      <c r="D24" s="70"/>
      <c r="E24" s="99"/>
      <c r="F24" s="40"/>
      <c r="G24" s="30" t="s">
        <v>99</v>
      </c>
    </row>
    <row r="25" spans="1:7" s="279" customFormat="1" ht="8.1" customHeight="1" x14ac:dyDescent="0.25">
      <c r="B25" s="278"/>
      <c r="C25" s="69"/>
      <c r="D25" s="295"/>
      <c r="E25" s="15"/>
      <c r="F25" s="15"/>
      <c r="G25" s="30" t="s">
        <v>99</v>
      </c>
    </row>
    <row r="26" spans="1:7" s="279" customFormat="1" x14ac:dyDescent="0.25">
      <c r="B26" s="289" t="s">
        <v>810</v>
      </c>
      <c r="C26" s="300"/>
      <c r="D26" s="295" t="s">
        <v>813</v>
      </c>
      <c r="E26" s="264"/>
      <c r="F26" s="15"/>
      <c r="G26" s="30"/>
    </row>
    <row r="27" spans="1:7" s="279" customFormat="1" ht="8.1" customHeight="1" x14ac:dyDescent="0.25">
      <c r="B27" s="278"/>
      <c r="C27" s="69"/>
      <c r="D27" s="295"/>
      <c r="E27" s="15"/>
      <c r="F27" s="15"/>
      <c r="G27" s="30"/>
    </row>
    <row r="28" spans="1:7" s="279" customFormat="1" x14ac:dyDescent="0.25">
      <c r="B28" s="290" t="s">
        <v>811</v>
      </c>
      <c r="C28" s="300"/>
      <c r="D28" s="15" t="s">
        <v>814</v>
      </c>
      <c r="E28" s="264"/>
      <c r="F28" s="15"/>
      <c r="G28" s="30"/>
    </row>
    <row r="29" spans="1:7" s="279" customFormat="1" ht="8.1" customHeight="1" x14ac:dyDescent="0.25">
      <c r="B29" s="278"/>
      <c r="C29" s="69"/>
      <c r="D29" s="295"/>
      <c r="E29" s="15"/>
      <c r="F29" s="15"/>
      <c r="G29" s="30"/>
    </row>
    <row r="30" spans="1:7" s="279" customFormat="1" x14ac:dyDescent="0.25">
      <c r="B30" s="291" t="s">
        <v>812</v>
      </c>
      <c r="C30" s="300"/>
      <c r="D30" s="295" t="s">
        <v>815</v>
      </c>
      <c r="E30" s="264"/>
      <c r="F30" s="15"/>
      <c r="G30" s="30"/>
    </row>
    <row r="31" spans="1:7" s="279" customFormat="1" ht="8.1" customHeight="1" x14ac:dyDescent="0.25">
      <c r="B31" s="278"/>
      <c r="C31" s="69"/>
      <c r="D31" s="295"/>
      <c r="E31" s="15"/>
      <c r="F31" s="15"/>
      <c r="G31" s="30"/>
    </row>
    <row r="32" spans="1:7" s="279" customFormat="1" x14ac:dyDescent="0.25">
      <c r="B32" s="292" t="s">
        <v>816</v>
      </c>
      <c r="C32" s="300"/>
      <c r="D32" s="15" t="s">
        <v>817</v>
      </c>
      <c r="E32" s="264"/>
      <c r="F32" s="15"/>
      <c r="G32" s="30"/>
    </row>
    <row r="33" spans="1:8" s="279" customFormat="1" ht="8.1" customHeight="1" x14ac:dyDescent="0.25">
      <c r="B33" s="278"/>
      <c r="C33" s="69"/>
      <c r="D33" s="295"/>
      <c r="E33" s="15"/>
      <c r="F33" s="15"/>
      <c r="G33" s="30"/>
    </row>
    <row r="34" spans="1:8" s="279" customFormat="1" x14ac:dyDescent="0.25">
      <c r="B34" s="293" t="s">
        <v>818</v>
      </c>
      <c r="C34" s="300"/>
      <c r="D34" s="15" t="s">
        <v>819</v>
      </c>
      <c r="E34" s="264"/>
      <c r="F34" s="15"/>
      <c r="G34" s="30"/>
    </row>
    <row r="35" spans="1:8" s="335" customFormat="1" ht="8.1" customHeight="1" x14ac:dyDescent="0.25">
      <c r="B35" s="492"/>
      <c r="C35" s="69"/>
      <c r="D35" s="295"/>
      <c r="E35" s="15"/>
      <c r="F35" s="15"/>
      <c r="G35" s="30"/>
    </row>
    <row r="36" spans="1:8" s="335" customFormat="1" x14ac:dyDescent="0.25">
      <c r="A36" s="40"/>
      <c r="B36" s="99"/>
      <c r="C36" s="99" t="s">
        <v>2425</v>
      </c>
      <c r="D36" s="70"/>
      <c r="E36" s="99"/>
      <c r="F36" s="40"/>
      <c r="H36" s="1"/>
    </row>
    <row r="37" spans="1:8" s="335" customFormat="1" x14ac:dyDescent="0.25">
      <c r="B37" s="492"/>
      <c r="C37" s="69"/>
      <c r="D37" s="295"/>
      <c r="E37" s="15"/>
      <c r="F37" s="15"/>
      <c r="H37" s="1"/>
    </row>
    <row r="38" spans="1:8" s="335" customFormat="1" ht="30" x14ac:dyDescent="0.25">
      <c r="B38" s="492"/>
      <c r="C38" s="307" t="s">
        <v>2455</v>
      </c>
      <c r="D38" s="120"/>
      <c r="E38" s="120"/>
      <c r="F38" s="140"/>
      <c r="H38" s="1"/>
    </row>
    <row r="39" spans="1:8" s="335" customFormat="1" ht="3.6" customHeight="1" x14ac:dyDescent="0.25">
      <c r="B39" s="492"/>
      <c r="C39" s="308"/>
      <c r="D39" s="309"/>
      <c r="E39" s="85"/>
      <c r="F39" s="111"/>
      <c r="H39" s="1"/>
    </row>
    <row r="40" spans="1:8" s="335" customFormat="1" ht="36.6" customHeight="1" x14ac:dyDescent="0.25">
      <c r="B40" s="492"/>
      <c r="C40" s="269"/>
      <c r="D40" s="309" t="s">
        <v>2426</v>
      </c>
      <c r="E40" s="499" t="s">
        <v>2433</v>
      </c>
      <c r="F40" s="110"/>
      <c r="H40" s="1"/>
    </row>
    <row r="41" spans="1:8" s="335" customFormat="1" ht="8.1" customHeight="1" x14ac:dyDescent="0.25">
      <c r="B41" s="492"/>
      <c r="C41" s="308"/>
      <c r="D41" s="309"/>
      <c r="E41" s="85"/>
      <c r="F41" s="111"/>
      <c r="G41" s="109" t="s">
        <v>99</v>
      </c>
    </row>
    <row r="42" spans="1:8" s="335" customFormat="1" ht="14.45" customHeight="1" x14ac:dyDescent="0.25">
      <c r="B42" s="492"/>
      <c r="C42" s="269"/>
      <c r="D42" s="100" t="str" cm="1">
        <f t="array" aca="1" ref="D42" ca="1">HYPERLINK(CONCATENATE("#",CELL("address",'Cover Sheet'!$A$2)),'Cover Sheet'!$B$1)</f>
        <v>Cover Sheet</v>
      </c>
      <c r="E42" s="85"/>
      <c r="F42" s="110"/>
      <c r="H42" s="1"/>
    </row>
    <row r="43" spans="1:8" s="335" customFormat="1" ht="14.45" customHeight="1" x14ac:dyDescent="0.25">
      <c r="B43" s="492"/>
      <c r="C43" s="269"/>
      <c r="D43" s="100" t="str" cm="1">
        <f t="array" aca="1" ref="D43" ca="1">HYPERLINK(CONCATENATE("#",CELL("address",'Learners and Staff'!$A$2)),'Learners and Staff'!$B$1)</f>
        <v>Learners and Staff</v>
      </c>
      <c r="E43" s="85"/>
      <c r="F43" s="110"/>
      <c r="H43" s="1"/>
    </row>
    <row r="44" spans="1:8" s="335" customFormat="1" ht="8.1" customHeight="1" x14ac:dyDescent="0.25">
      <c r="B44" s="492"/>
      <c r="C44" s="308"/>
      <c r="D44" s="309"/>
      <c r="E44" s="85"/>
      <c r="F44" s="111"/>
      <c r="G44" s="109" t="s">
        <v>99</v>
      </c>
    </row>
    <row r="45" spans="1:8" s="335" customFormat="1" ht="14.45" customHeight="1" x14ac:dyDescent="0.25">
      <c r="B45" s="492"/>
      <c r="C45" s="310" t="s">
        <v>2428</v>
      </c>
      <c r="D45" s="100" t="str" cm="1">
        <f t="array" aca="1" ref="D45" ca="1">HYPERLINK(CONCATENATE("#",CELL("address",'I&amp;E Monthly'!$A$2)),'I&amp;E Monthly'!$B$1)</f>
        <v>I&amp;E Monthly</v>
      </c>
      <c r="E45" s="85"/>
      <c r="F45" s="110"/>
      <c r="H45" s="1"/>
    </row>
    <row r="46" spans="1:8" s="335" customFormat="1" ht="14.45" customHeight="1" x14ac:dyDescent="0.25">
      <c r="B46" s="492"/>
      <c r="C46" s="308"/>
      <c r="D46" s="100" t="str" cm="1">
        <f t="array" aca="1" ref="D46" ca="1">HYPERLINK(CONCATENATE("#",CELL("address",'I&amp;E Annual'!$A$2)),'I&amp;E Annual'!$B$1)</f>
        <v>I&amp;E Annual</v>
      </c>
      <c r="E46" s="499" t="s">
        <v>2427</v>
      </c>
      <c r="F46" s="111"/>
      <c r="G46" s="109" t="s">
        <v>99</v>
      </c>
    </row>
    <row r="47" spans="1:8" s="335" customFormat="1" ht="14.45" customHeight="1" x14ac:dyDescent="0.25">
      <c r="B47" s="492"/>
      <c r="C47" s="269"/>
      <c r="D47" s="100" t="str" cm="1">
        <f t="array" aca="1" ref="D47" ca="1">HYPERLINK(CONCATENATE("#",CELL("address",'I&amp;E Profiles'!$A$2)),'I&amp;E Profiles'!$B$1)</f>
        <v>I&amp;E Profiles</v>
      </c>
      <c r="E47" s="499" t="s">
        <v>2427</v>
      </c>
      <c r="F47" s="110"/>
      <c r="H47" s="1"/>
    </row>
    <row r="48" spans="1:8" s="335" customFormat="1" ht="105" x14ac:dyDescent="0.25">
      <c r="B48" s="492"/>
      <c r="C48" s="269"/>
      <c r="D48" s="309" t="s">
        <v>2543</v>
      </c>
      <c r="E48" s="85"/>
      <c r="F48" s="110"/>
      <c r="H48" s="1"/>
    </row>
    <row r="49" spans="2:8" s="335" customFormat="1" x14ac:dyDescent="0.25">
      <c r="B49" s="492"/>
      <c r="C49" s="269"/>
      <c r="D49" s="309" t="s">
        <v>2430</v>
      </c>
      <c r="E49" s="85"/>
      <c r="F49" s="110"/>
      <c r="H49" s="1"/>
    </row>
    <row r="50" spans="2:8" s="335" customFormat="1" ht="71.099999999999994" customHeight="1" x14ac:dyDescent="0.25">
      <c r="B50" s="492"/>
      <c r="C50" s="269"/>
      <c r="D50" s="309" t="s">
        <v>2432</v>
      </c>
      <c r="E50" s="85"/>
      <c r="F50" s="110"/>
      <c r="H50" s="1"/>
    </row>
    <row r="51" spans="2:8" s="335" customFormat="1" ht="8.1" customHeight="1" x14ac:dyDescent="0.25">
      <c r="B51" s="492"/>
      <c r="C51" s="308"/>
      <c r="D51" s="309"/>
      <c r="E51" s="85"/>
      <c r="F51" s="111"/>
      <c r="G51" s="109" t="s">
        <v>99</v>
      </c>
    </row>
    <row r="52" spans="2:8" s="335" customFormat="1" ht="69" customHeight="1" x14ac:dyDescent="0.25">
      <c r="B52" s="492"/>
      <c r="C52" s="269"/>
      <c r="D52" s="309" t="s">
        <v>2431</v>
      </c>
      <c r="E52" s="85"/>
      <c r="F52" s="110"/>
      <c r="H52" s="1"/>
    </row>
    <row r="53" spans="2:8" s="335" customFormat="1" ht="8.1" customHeight="1" x14ac:dyDescent="0.25">
      <c r="B53" s="492"/>
      <c r="C53" s="308"/>
      <c r="D53" s="309"/>
      <c r="E53" s="85"/>
      <c r="F53" s="111"/>
      <c r="G53" s="109" t="s">
        <v>99</v>
      </c>
    </row>
    <row r="54" spans="2:8" s="335" customFormat="1" ht="14.45" customHeight="1" x14ac:dyDescent="0.25">
      <c r="B54" s="492"/>
      <c r="C54" s="310" t="s">
        <v>2429</v>
      </c>
      <c r="D54" s="100" t="str" cm="1">
        <f t="array" aca="1" ref="D54" ca="1">HYPERLINK(CONCATENATE("#",CELL("address",'Opening Balances'!$A$2)),'Opening Balances'!$B$1)</f>
        <v>Opening Balances</v>
      </c>
      <c r="E54" s="100"/>
      <c r="F54" s="110"/>
      <c r="H54" s="1"/>
    </row>
    <row r="55" spans="2:8" s="335" customFormat="1" ht="14.45" customHeight="1" x14ac:dyDescent="0.25">
      <c r="B55" s="492"/>
      <c r="C55" s="308"/>
      <c r="D55" s="100" t="str" cm="1">
        <f t="array" aca="1" ref="D55" ca="1">HYPERLINK(CONCATENATE("#",CELL("address",'Investing Inputs'!$A$2)),'Investing Inputs'!$B$1)</f>
        <v>Investing Inputs</v>
      </c>
      <c r="E55" s="85"/>
      <c r="F55" s="111"/>
      <c r="G55" s="109" t="s">
        <v>99</v>
      </c>
    </row>
    <row r="56" spans="2:8" s="335" customFormat="1" ht="14.45" customHeight="1" x14ac:dyDescent="0.25">
      <c r="B56" s="492"/>
      <c r="C56" s="269"/>
      <c r="D56" s="100" t="str" cm="1">
        <f t="array" aca="1" ref="D56" ca="1">HYPERLINK(CONCATENATE("#",CELL("address",Loans!$A$2)),Loans!$B$1)</f>
        <v>Loans</v>
      </c>
      <c r="E56" s="100"/>
      <c r="F56" s="110"/>
      <c r="H56" s="1"/>
    </row>
    <row r="57" spans="2:8" s="335" customFormat="1" ht="14.45" customHeight="1" x14ac:dyDescent="0.25">
      <c r="B57" s="492"/>
      <c r="C57" s="269"/>
      <c r="D57" s="100" t="str" cm="1">
        <f t="array" aca="1" ref="D57" ca="1">HYPERLINK(CONCATENATE("#",CELL("address",'BS Forecasts'!$A$2)),'BS Forecasts'!$B$1)</f>
        <v>BS Forecasts</v>
      </c>
      <c r="E57" s="100"/>
      <c r="F57" s="110"/>
      <c r="H57" s="1"/>
    </row>
    <row r="58" spans="2:8" s="335" customFormat="1" ht="8.1" customHeight="1" x14ac:dyDescent="0.25">
      <c r="B58" s="492"/>
      <c r="C58" s="308"/>
      <c r="D58" s="309"/>
      <c r="E58" s="85"/>
      <c r="F58" s="111"/>
      <c r="G58" s="109" t="s">
        <v>99</v>
      </c>
    </row>
    <row r="59" spans="2:8" s="335" customFormat="1" ht="14.45" customHeight="1" x14ac:dyDescent="0.25">
      <c r="B59" s="492"/>
      <c r="C59" s="310" t="s">
        <v>2435</v>
      </c>
      <c r="D59" s="100" t="str" cm="1">
        <f t="array" aca="1" ref="D59" ca="1">HYPERLINK(CONCATENATE("#",CELL("address",'User Template'!$A$2)),'User Template'!$B$1)</f>
        <v>User Template</v>
      </c>
      <c r="E59" s="499" t="s">
        <v>2427</v>
      </c>
      <c r="F59" s="110"/>
      <c r="H59" s="1"/>
    </row>
    <row r="60" spans="2:8" s="335" customFormat="1" ht="56.45" customHeight="1" x14ac:dyDescent="0.25">
      <c r="B60" s="492"/>
      <c r="C60" s="269"/>
      <c r="D60" s="309" t="s">
        <v>2434</v>
      </c>
      <c r="E60" s="100"/>
      <c r="F60" s="110"/>
      <c r="H60" s="1"/>
    </row>
    <row r="61" spans="2:8" s="335" customFormat="1" ht="8.1" customHeight="1" x14ac:dyDescent="0.25">
      <c r="B61" s="492"/>
      <c r="C61" s="308"/>
      <c r="D61" s="309"/>
      <c r="E61" s="85"/>
      <c r="F61" s="111"/>
      <c r="G61" s="109" t="s">
        <v>99</v>
      </c>
    </row>
    <row r="62" spans="2:8" s="335" customFormat="1" ht="14.45" customHeight="1" x14ac:dyDescent="0.25">
      <c r="B62" s="492"/>
      <c r="C62" s="310" t="s">
        <v>2439</v>
      </c>
      <c r="D62" s="100" t="str" cm="1">
        <f t="array" aca="1" ref="D62" ca="1">HYPERLINK(CONCATENATE("#",CELL("address",'Financial Health'!$A$2)),'Financial Health'!$B$1)</f>
        <v>Financial Health</v>
      </c>
      <c r="F62" s="110"/>
      <c r="H62" s="1"/>
    </row>
    <row r="63" spans="2:8" s="335" customFormat="1" ht="30" x14ac:dyDescent="0.25">
      <c r="B63" s="492"/>
      <c r="C63" s="269"/>
      <c r="D63" s="309" t="s">
        <v>2436</v>
      </c>
      <c r="E63" s="100"/>
      <c r="F63" s="110"/>
      <c r="H63" s="1"/>
    </row>
    <row r="64" spans="2:8" s="335" customFormat="1" ht="56.45" customHeight="1" x14ac:dyDescent="0.25">
      <c r="B64" s="492"/>
      <c r="C64" s="269"/>
      <c r="D64" s="100" t="str" cm="1">
        <f t="array" aca="1" ref="D64" ca="1">HYPERLINK(CONCATENATE("#",CELL("address",Dashboard!$A$2)),Dashboard!$B$1)</f>
        <v>Dashboard</v>
      </c>
      <c r="E64" s="499" t="s">
        <v>2427</v>
      </c>
      <c r="F64" s="110"/>
      <c r="H64" s="1"/>
    </row>
    <row r="65" spans="2:8" s="335" customFormat="1" ht="30" x14ac:dyDescent="0.25">
      <c r="B65" s="492"/>
      <c r="C65" s="269"/>
      <c r="D65" s="309" t="s">
        <v>2437</v>
      </c>
      <c r="E65" s="100"/>
      <c r="F65" s="110"/>
      <c r="H65" s="1"/>
    </row>
    <row r="66" spans="2:8" s="335" customFormat="1" ht="8.1" customHeight="1" x14ac:dyDescent="0.25">
      <c r="B66" s="492"/>
      <c r="C66" s="308"/>
      <c r="D66" s="309"/>
      <c r="E66" s="85"/>
      <c r="F66" s="111"/>
      <c r="G66" s="109" t="s">
        <v>99</v>
      </c>
    </row>
    <row r="67" spans="2:8" s="335" customFormat="1" x14ac:dyDescent="0.25">
      <c r="B67" s="492"/>
      <c r="C67" s="310" t="s">
        <v>2438</v>
      </c>
      <c r="D67" s="100" t="str" cm="1">
        <f t="array" aca="1" ref="D67" ca="1">HYPERLINK(CONCATENATE("#",CELL("address",Guide!$E$90)),Guide!$B$1)</f>
        <v>Guide</v>
      </c>
      <c r="E67" s="499" t="s">
        <v>2427</v>
      </c>
      <c r="F67" s="110"/>
      <c r="H67" s="1"/>
    </row>
    <row r="68" spans="2:8" s="335" customFormat="1" x14ac:dyDescent="0.25">
      <c r="B68" s="492"/>
      <c r="C68" s="310"/>
      <c r="D68" s="309" t="s">
        <v>2442</v>
      </c>
      <c r="E68" s="499"/>
      <c r="F68" s="110"/>
      <c r="H68" s="1"/>
    </row>
    <row r="69" spans="2:8" s="335" customFormat="1" x14ac:dyDescent="0.25">
      <c r="B69" s="492"/>
      <c r="C69" s="310"/>
      <c r="D69" s="500" t="s">
        <v>2443</v>
      </c>
      <c r="E69" s="499" t="s">
        <v>2427</v>
      </c>
      <c r="F69" s="110"/>
      <c r="H69" s="1"/>
    </row>
    <row r="70" spans="2:8" s="335" customFormat="1" ht="44.45" customHeight="1" x14ac:dyDescent="0.25">
      <c r="B70" s="492"/>
      <c r="C70" s="310"/>
      <c r="D70" s="309" t="s">
        <v>2440</v>
      </c>
      <c r="E70" s="499"/>
      <c r="F70" s="110"/>
      <c r="H70" s="1"/>
    </row>
    <row r="71" spans="2:8" s="335" customFormat="1" x14ac:dyDescent="0.25">
      <c r="B71" s="492"/>
      <c r="C71" s="269"/>
      <c r="D71" s="309"/>
      <c r="E71" s="100"/>
      <c r="F71" s="110"/>
      <c r="H71" s="1"/>
    </row>
    <row r="72" spans="2:8" s="335" customFormat="1" ht="8.1" customHeight="1" x14ac:dyDescent="0.25">
      <c r="B72" s="492"/>
      <c r="C72" s="311"/>
      <c r="D72" s="312"/>
      <c r="E72" s="114"/>
      <c r="F72" s="115"/>
      <c r="G72" s="109" t="s">
        <v>99</v>
      </c>
    </row>
    <row r="73" spans="2:8" s="335" customFormat="1" ht="8.1" customHeight="1" x14ac:dyDescent="0.25">
      <c r="B73" s="492"/>
      <c r="C73" s="308"/>
      <c r="D73" s="309"/>
      <c r="E73" s="85"/>
      <c r="F73" s="111"/>
      <c r="G73" s="109" t="s">
        <v>99</v>
      </c>
    </row>
    <row r="74" spans="2:8" s="335" customFormat="1" ht="30" x14ac:dyDescent="0.25">
      <c r="B74" s="492"/>
      <c r="C74" s="315"/>
      <c r="D74" s="309" t="s">
        <v>2441</v>
      </c>
      <c r="E74" s="100" t="str" cm="1">
        <f t="array" aca="1" ref="E74" ca="1">HYPERLINK(CONCATENATE("#",CELL("address",$C$11)),"Styles")</f>
        <v>Styles</v>
      </c>
      <c r="F74" s="111"/>
      <c r="H74" s="1"/>
    </row>
    <row r="75" spans="2:8" s="335" customFormat="1" ht="8.1" customHeight="1" x14ac:dyDescent="0.25">
      <c r="B75" s="492"/>
      <c r="C75" s="308"/>
      <c r="D75" s="309"/>
      <c r="E75" s="85"/>
      <c r="F75" s="111"/>
      <c r="G75" s="109" t="s">
        <v>99</v>
      </c>
    </row>
    <row r="76" spans="2:8" s="335" customFormat="1" ht="30" x14ac:dyDescent="0.25">
      <c r="B76" s="492"/>
      <c r="C76" s="315" t="s">
        <v>2447</v>
      </c>
      <c r="D76" s="309" t="s">
        <v>2444</v>
      </c>
      <c r="E76" s="316" t="s">
        <v>821</v>
      </c>
      <c r="F76" s="111"/>
      <c r="H76" s="1"/>
    </row>
    <row r="77" spans="2:8" s="335" customFormat="1" ht="8.1" customHeight="1" x14ac:dyDescent="0.25">
      <c r="B77" s="492"/>
      <c r="C77" s="308"/>
      <c r="D77" s="309"/>
      <c r="E77" s="85"/>
      <c r="F77" s="111"/>
      <c r="G77" s="109" t="s">
        <v>99</v>
      </c>
    </row>
    <row r="78" spans="2:8" s="335" customFormat="1" ht="30" x14ac:dyDescent="0.25">
      <c r="B78" s="492"/>
      <c r="C78" s="308"/>
      <c r="D78" s="309" t="s">
        <v>2445</v>
      </c>
      <c r="E78" s="289" t="s">
        <v>810</v>
      </c>
      <c r="F78" s="111"/>
      <c r="H78" s="1"/>
    </row>
    <row r="79" spans="2:8" s="335" customFormat="1" ht="45" x14ac:dyDescent="0.25">
      <c r="B79" s="492"/>
      <c r="C79" s="308"/>
      <c r="D79" s="309" t="s">
        <v>2446</v>
      </c>
      <c r="E79" s="85"/>
      <c r="F79" s="111"/>
      <c r="H79" s="1"/>
    </row>
    <row r="80" spans="2:8" s="335" customFormat="1" ht="8.1" customHeight="1" x14ac:dyDescent="0.25">
      <c r="B80" s="492"/>
      <c r="C80" s="308"/>
      <c r="D80" s="309"/>
      <c r="E80" s="85"/>
      <c r="F80" s="111"/>
      <c r="G80" s="109" t="s">
        <v>99</v>
      </c>
    </row>
    <row r="81" spans="1:8" s="335" customFormat="1" ht="60" x14ac:dyDescent="0.25">
      <c r="B81" s="492"/>
      <c r="C81" s="315" t="s">
        <v>2448</v>
      </c>
      <c r="D81" s="309" t="s">
        <v>2544</v>
      </c>
      <c r="E81" s="286" t="s">
        <v>822</v>
      </c>
      <c r="F81" s="111"/>
      <c r="H81" s="1"/>
    </row>
    <row r="82" spans="1:8" s="335" customFormat="1" ht="8.1" customHeight="1" x14ac:dyDescent="0.25">
      <c r="B82" s="492"/>
      <c r="C82" s="308"/>
      <c r="D82" s="309"/>
      <c r="E82" s="85"/>
      <c r="F82" s="111"/>
      <c r="G82" s="109" t="s">
        <v>99</v>
      </c>
    </row>
    <row r="83" spans="1:8" s="335" customFormat="1" ht="45" x14ac:dyDescent="0.25">
      <c r="B83" s="492"/>
      <c r="C83" s="315"/>
      <c r="D83" s="309" t="s">
        <v>2456</v>
      </c>
      <c r="E83" s="290" t="s">
        <v>811</v>
      </c>
      <c r="F83" s="111"/>
      <c r="H83" s="1"/>
    </row>
    <row r="84" spans="1:8" s="335" customFormat="1" ht="60" x14ac:dyDescent="0.25">
      <c r="B84" s="492"/>
      <c r="C84" s="308"/>
      <c r="D84" s="309" t="s">
        <v>2457</v>
      </c>
      <c r="E84" s="85"/>
      <c r="F84" s="111"/>
      <c r="H84" s="1"/>
    </row>
    <row r="85" spans="1:8" s="335" customFormat="1" x14ac:dyDescent="0.25">
      <c r="B85" s="492"/>
      <c r="C85" s="313"/>
      <c r="D85" s="314"/>
      <c r="E85" s="113"/>
      <c r="F85" s="112"/>
      <c r="H85" s="1"/>
    </row>
    <row r="86" spans="1:8" s="279" customFormat="1" ht="8.1" customHeight="1" x14ac:dyDescent="0.25">
      <c r="B86" s="278"/>
      <c r="C86" s="69"/>
      <c r="D86" s="295"/>
      <c r="E86" s="15"/>
      <c r="F86" s="15"/>
      <c r="G86" s="30"/>
    </row>
    <row r="87" spans="1:8" s="279" customFormat="1" x14ac:dyDescent="0.25">
      <c r="A87" s="40"/>
      <c r="B87" s="99"/>
      <c r="C87" s="99" t="s">
        <v>796</v>
      </c>
      <c r="D87" s="70"/>
      <c r="E87" s="99"/>
      <c r="F87" s="40"/>
      <c r="G87" s="30" t="s">
        <v>99</v>
      </c>
    </row>
    <row r="88" spans="1:8" s="279" customFormat="1" ht="8.1" customHeight="1" x14ac:dyDescent="0.25">
      <c r="B88" s="278"/>
      <c r="C88" s="69"/>
      <c r="D88" s="295"/>
      <c r="E88" s="15"/>
      <c r="F88" s="15"/>
      <c r="G88" s="30" t="s">
        <v>99</v>
      </c>
    </row>
    <row r="89" spans="1:8" ht="18.75" x14ac:dyDescent="0.25">
      <c r="B89" s="294" t="s">
        <v>792</v>
      </c>
      <c r="C89" s="301"/>
      <c r="G89" s="30"/>
      <c r="H89" s="67"/>
    </row>
    <row r="90" spans="1:8" customFormat="1" x14ac:dyDescent="0.25">
      <c r="B90" s="278"/>
      <c r="C90" s="300"/>
      <c r="D90" s="277" t="s">
        <v>784</v>
      </c>
      <c r="E90" s="264" t="s">
        <v>793</v>
      </c>
      <c r="F90" s="15"/>
      <c r="G90" s="30"/>
    </row>
    <row r="91" spans="1:8" x14ac:dyDescent="0.25">
      <c r="B91" s="260">
        <v>1</v>
      </c>
      <c r="C91" s="270" t="str" cm="1">
        <f t="array" aca="1" ref="C91" ca="1">HYPERLINK(CONCATENATE("#",CELL("address",'Cover Sheet'!$B$1)),'Cover Sheet'!$B$1)</f>
        <v>Cover Sheet</v>
      </c>
      <c r="D91" s="302"/>
      <c r="E91" s="261"/>
      <c r="G91" s="15"/>
      <c r="H91" s="67"/>
    </row>
    <row r="92" spans="1:8" customFormat="1" x14ac:dyDescent="0.25">
      <c r="B92" s="256"/>
      <c r="C92" s="272" t="str" cm="1">
        <f t="array" aca="1" ref="C92" ca="1">HYPERLINK(CONCATENATE("#",CELL("address",'Cover Sheet'!$D$8)),'Cover Sheet'!$D$8)</f>
        <v>College Details</v>
      </c>
      <c r="D92" s="303" t="s">
        <v>2370</v>
      </c>
      <c r="E92" s="514"/>
      <c r="F92" s="15"/>
      <c r="G92" s="262"/>
      <c r="H92" s="67"/>
    </row>
    <row r="93" spans="1:8" customFormat="1" ht="105" x14ac:dyDescent="0.25">
      <c r="B93" s="257"/>
      <c r="C93" s="273" t="str" cm="1">
        <f t="array" aca="1" ref="C93" ca="1">HYPERLINK(CONCATENATE("#",CELL("address",'Cover Sheet'!$D$17)),'Cover Sheet'!$D$17)</f>
        <v>Date Inputs</v>
      </c>
      <c r="D93" s="303" t="s">
        <v>2385</v>
      </c>
      <c r="E93" s="514"/>
      <c r="F93" s="15"/>
      <c r="G93" s="262"/>
      <c r="H93" s="67"/>
    </row>
    <row r="94" spans="1:8" s="335" customFormat="1" ht="45.6" customHeight="1" x14ac:dyDescent="0.25">
      <c r="B94" s="257"/>
      <c r="C94" s="273" t="str" cm="1">
        <f t="array" aca="1" ref="C94" ca="1">HYPERLINK(CONCATENATE("#",CELL("address",'Cover Sheet'!$D$31)),'Cover Sheet'!$D$31)</f>
        <v>Financial Health Grade</v>
      </c>
      <c r="D94" s="303" t="s">
        <v>2461</v>
      </c>
      <c r="E94" s="514"/>
      <c r="F94" s="15"/>
      <c r="G94" s="15"/>
    </row>
    <row r="95" spans="1:8" customFormat="1" ht="30" x14ac:dyDescent="0.25">
      <c r="B95" s="257"/>
      <c r="C95" s="273" t="str" cm="1">
        <f t="array" aca="1" ref="C95" ca="1">HYPERLINK(CONCATENATE("#",CELL("address",'Cover Sheet'!$D$46)),'Cover Sheet'!$D$46)</f>
        <v>Mid Year Merger Details</v>
      </c>
      <c r="D95" s="303" t="s">
        <v>2379</v>
      </c>
      <c r="E95" s="514"/>
      <c r="F95" s="15"/>
      <c r="G95" s="15"/>
      <c r="H95" s="67"/>
    </row>
    <row r="96" spans="1:8" s="335" customFormat="1" ht="31.5" customHeight="1" x14ac:dyDescent="0.25">
      <c r="B96" s="257"/>
      <c r="C96" s="273" t="str" cm="1">
        <f t="array" aca="1" ref="C96" ca="1">HYPERLINK(CONCATENATE("#",CELL("address",'Cover Sheet'!$D$52)),'Cover Sheet'!$D$52)</f>
        <v>Declarations</v>
      </c>
      <c r="D96" s="303" t="s">
        <v>2371</v>
      </c>
      <c r="E96" s="514"/>
      <c r="F96" s="15"/>
      <c r="G96" s="15"/>
    </row>
    <row r="97" spans="1:11" s="266" customFormat="1" x14ac:dyDescent="0.25">
      <c r="B97" s="258">
        <v>2</v>
      </c>
      <c r="C97" s="271" t="str" cm="1">
        <f t="array" aca="1" ref="C97" ca="1">HYPERLINK(CONCATENATE("#",CELL("address",'Learners and Staff'!$A$2)),'Learners and Staff'!$B$1)</f>
        <v>Learners and Staff</v>
      </c>
      <c r="D97" s="303" t="s">
        <v>791</v>
      </c>
      <c r="E97" s="514"/>
      <c r="F97" s="15"/>
      <c r="G97" s="15"/>
    </row>
    <row r="98" spans="1:11" x14ac:dyDescent="0.25">
      <c r="B98" s="258">
        <v>3</v>
      </c>
      <c r="C98" s="271" t="str" cm="1">
        <f t="array" aca="1" ref="C98" ca="1">HYPERLINK(CONCATENATE("#",CELL("address",$C$134)),$C$134)</f>
        <v>I&amp;E Inputs Completion Steps</v>
      </c>
      <c r="D98" s="303" t="s">
        <v>758</v>
      </c>
      <c r="E98" s="514"/>
      <c r="G98" s="15"/>
      <c r="H98" s="67"/>
    </row>
    <row r="99" spans="1:11" ht="45" x14ac:dyDescent="0.25">
      <c r="B99" s="258">
        <v>4</v>
      </c>
      <c r="C99" s="271" t="str" cm="1">
        <f t="array" aca="1" ref="C99" ca="1">HYPERLINK(CONCATENATE("#",CELL("address",'Opening Balances'!$B$1)),'Opening Balances'!$B$1)</f>
        <v>Opening Balances</v>
      </c>
      <c r="D99" s="303" t="s">
        <v>2372</v>
      </c>
      <c r="E99" s="514"/>
      <c r="G99" s="262"/>
      <c r="H99" s="67"/>
    </row>
    <row r="100" spans="1:11" ht="45" x14ac:dyDescent="0.25">
      <c r="B100" s="258">
        <v>5</v>
      </c>
      <c r="C100" s="271" t="str" cm="1">
        <f t="array" aca="1" ref="C100" ca="1">HYPERLINK(CONCATENATE("#",CELL("address",'Investing Inputs'!$B$1)),'Investing Inputs'!$B$1)</f>
        <v>Investing Inputs</v>
      </c>
      <c r="D100" s="303" t="s">
        <v>780</v>
      </c>
      <c r="E100" s="259"/>
      <c r="G100" s="262"/>
      <c r="H100" s="67"/>
    </row>
    <row r="101" spans="1:11" x14ac:dyDescent="0.25">
      <c r="A101"/>
      <c r="B101" s="256"/>
      <c r="C101" s="272" t="str" cm="1">
        <f t="array" aca="1" ref="C101" ca="1">HYPERLINK(CONCATENATE("#",CELL("address",'Investing Inputs'!$D$8)),'Investing Inputs'!$D$8)</f>
        <v>Capital Expenditure</v>
      </c>
      <c r="D101" s="304" t="s">
        <v>773</v>
      </c>
      <c r="E101" s="514"/>
      <c r="H101" s="67"/>
      <c r="I101"/>
      <c r="J101"/>
      <c r="K101"/>
    </row>
    <row r="102" spans="1:11" ht="24" x14ac:dyDescent="0.25">
      <c r="A102"/>
      <c r="B102" s="256"/>
      <c r="C102" s="272" t="str" cm="1">
        <f t="array" aca="1" ref="C102" ca="1">HYPERLINK(CONCATENATE("#",CELL("address",'Investing Inputs'!$D$48)),'Investing Inputs'!$D$48)</f>
        <v>Movement from Assets under Construction</v>
      </c>
      <c r="D102" s="304" t="s">
        <v>786</v>
      </c>
      <c r="E102" s="514"/>
      <c r="H102" s="67"/>
      <c r="I102"/>
      <c r="J102"/>
      <c r="K102"/>
    </row>
    <row r="103" spans="1:11" ht="24" x14ac:dyDescent="0.25">
      <c r="A103"/>
      <c r="B103" s="256"/>
      <c r="C103" s="272" t="str" cm="1">
        <f t="array" aca="1" ref="C103" ca="1">HYPERLINK(CONCATENATE("#",CELL("address",'Investing Inputs'!$D$73)),'Investing Inputs'!$D$73)</f>
        <v>Surplus/Loss on Revaluation/ Fair Value Adjustment</v>
      </c>
      <c r="D103" s="304" t="s">
        <v>830</v>
      </c>
      <c r="E103" s="514"/>
      <c r="H103" s="67"/>
      <c r="I103"/>
      <c r="J103"/>
      <c r="K103"/>
    </row>
    <row r="104" spans="1:11" x14ac:dyDescent="0.25">
      <c r="A104"/>
      <c r="B104" s="256"/>
      <c r="C104" s="272" t="str" cm="1">
        <f t="array" aca="1" ref="C104" ca="1">HYPERLINK(CONCATENATE("#",CELL("address",'Investing Inputs'!$D$99)),'Investing Inputs'!$D$99)</f>
        <v>Moved to Assets Held for Sale</v>
      </c>
      <c r="D104" s="304" t="s">
        <v>786</v>
      </c>
      <c r="E104" s="514"/>
      <c r="H104" s="67"/>
      <c r="I104"/>
      <c r="J104"/>
      <c r="K104"/>
    </row>
    <row r="105" spans="1:11" x14ac:dyDescent="0.25">
      <c r="A105"/>
      <c r="B105" s="256"/>
      <c r="C105" s="272" t="str" cm="1">
        <f t="array" aca="1" ref="C105" ca="1">HYPERLINK(CONCATENATE("#",CELL("address",'Investing Inputs'!$D$125)),'Investing Inputs'!$D$125)</f>
        <v>Disposals</v>
      </c>
      <c r="D105" s="304" t="s">
        <v>787</v>
      </c>
      <c r="E105" s="514"/>
      <c r="H105" s="67"/>
      <c r="I105"/>
      <c r="J105"/>
      <c r="K105"/>
    </row>
    <row r="106" spans="1:11" s="266" customFormat="1" ht="75" x14ac:dyDescent="0.25">
      <c r="B106" s="256"/>
      <c r="C106" s="272" t="str" cm="1">
        <f t="array" aca="1" ref="C106" ca="1">HYPERLINK(CONCATENATE("#",CELL("address",'Investing Inputs'!$D$200)),'Investing Inputs'!$D$200)</f>
        <v>NCA Accounts</v>
      </c>
      <c r="D106" s="303" t="s">
        <v>2373</v>
      </c>
      <c r="E106" s="514"/>
      <c r="F106" s="15"/>
    </row>
    <row r="107" spans="1:11" s="335" customFormat="1" ht="45" x14ac:dyDescent="0.25">
      <c r="B107" s="256"/>
      <c r="C107" s="272" t="str" cm="1">
        <f t="array" aca="1" ref="C107" ca="1">HYPERLINK(CONCATENATE("#",CELL("address",'Investing Inputs'!$D$301)),'Investing Inputs'!$D$301)</f>
        <v>NCA Accounts Reclassification</v>
      </c>
      <c r="D107" s="304" t="s">
        <v>2374</v>
      </c>
      <c r="E107" s="514"/>
      <c r="F107" s="15"/>
    </row>
    <row r="108" spans="1:11" s="279" customFormat="1" x14ac:dyDescent="0.25">
      <c r="B108" s="258">
        <v>6</v>
      </c>
      <c r="C108" s="271" t="str" cm="1">
        <f t="array" aca="1" ref="C108" ca="1">HYPERLINK(CONCATENATE("#",CELL("address",$C$207)),$C$207)</f>
        <v>Loans</v>
      </c>
      <c r="D108" s="303" t="s">
        <v>758</v>
      </c>
      <c r="E108" s="514"/>
      <c r="F108" s="15"/>
    </row>
    <row r="109" spans="1:11" ht="255" x14ac:dyDescent="0.25">
      <c r="B109" s="258">
        <v>7</v>
      </c>
      <c r="C109" s="271" t="str" cm="1">
        <f t="array" aca="1" ref="C109" ca="1">HYPERLINK(CONCATENATE("#",CELL("address",'BS Forecasts'!$B$1)),'BS Forecasts'!$B$1)</f>
        <v>BS Forecasts</v>
      </c>
      <c r="D109" s="303" t="s">
        <v>2375</v>
      </c>
      <c r="E109" s="514"/>
      <c r="G109" s="262"/>
      <c r="H109" s="67"/>
    </row>
    <row r="110" spans="1:11" ht="30" x14ac:dyDescent="0.25">
      <c r="B110" s="283">
        <v>8</v>
      </c>
      <c r="C110" s="284" t="str" cm="1">
        <f t="array" aca="1" ref="C110" ca="1">HYPERLINK(CONCATENATE("#",CELL("address",'User Template'!$B$1)),'User Template'!$B$1)</f>
        <v>User Template</v>
      </c>
      <c r="D110" s="305" t="s">
        <v>828</v>
      </c>
      <c r="E110" s="515"/>
      <c r="H110" s="67"/>
    </row>
    <row r="111" spans="1:11" s="279" customFormat="1" ht="8.1" customHeight="1" x14ac:dyDescent="0.25">
      <c r="B111" s="278"/>
      <c r="C111" s="69"/>
      <c r="D111" s="295"/>
      <c r="E111" s="15"/>
      <c r="F111" s="15"/>
      <c r="G111" s="30"/>
    </row>
    <row r="112" spans="1:11" s="279" customFormat="1" x14ac:dyDescent="0.25">
      <c r="A112" s="40"/>
      <c r="B112" s="99"/>
      <c r="C112" s="99" t="s">
        <v>797</v>
      </c>
      <c r="D112" s="70"/>
      <c r="E112" s="99"/>
      <c r="F112" s="40"/>
      <c r="G112" s="30" t="s">
        <v>99</v>
      </c>
    </row>
    <row r="113" spans="2:7" s="279" customFormat="1" ht="8.1" customHeight="1" x14ac:dyDescent="0.25">
      <c r="B113" s="278"/>
      <c r="C113" s="69"/>
      <c r="D113" s="295"/>
      <c r="E113" s="15"/>
      <c r="F113" s="15"/>
      <c r="G113" s="30" t="s">
        <v>99</v>
      </c>
    </row>
    <row r="114" spans="2:7" s="279" customFormat="1" ht="18.75" x14ac:dyDescent="0.25">
      <c r="B114" s="294" t="s">
        <v>860</v>
      </c>
      <c r="C114" s="301"/>
      <c r="D114" s="295"/>
      <c r="E114" s="15"/>
      <c r="F114" s="15"/>
      <c r="G114" s="30"/>
    </row>
    <row r="115" spans="2:7" s="279" customFormat="1" x14ac:dyDescent="0.25">
      <c r="B115" s="278"/>
      <c r="C115" s="300"/>
      <c r="D115" s="277" t="s">
        <v>784</v>
      </c>
      <c r="E115" s="264" t="s">
        <v>801</v>
      </c>
      <c r="F115" s="15"/>
      <c r="G115" s="30"/>
    </row>
    <row r="116" spans="2:7" s="279" customFormat="1" x14ac:dyDescent="0.25">
      <c r="B116" s="260">
        <v>1</v>
      </c>
      <c r="C116" s="270" t="str" cm="1">
        <f t="array" aca="1" ref="C116" ca="1">HYPERLINK(CONCATENATE("#",CELL("address",'Fin Stat'!$A$2)),'Fin Stat'!$B$1)</f>
        <v>Fin Stat</v>
      </c>
      <c r="D116" s="302" t="s">
        <v>799</v>
      </c>
      <c r="E116" s="261"/>
      <c r="F116" s="15"/>
      <c r="G116" s="15"/>
    </row>
    <row r="117" spans="2:7" s="279" customFormat="1" x14ac:dyDescent="0.25">
      <c r="B117" s="256"/>
      <c r="C117" s="272" t="str" cm="1">
        <f t="array" aca="1" ref="C117" ca="1">HYPERLINK(CONCATENATE("#",CELL("address",'Fin Stat'!$D$11)),'Fin Stat'!$D$11)</f>
        <v>Income &amp; Expenditure</v>
      </c>
      <c r="D117" s="303" t="s">
        <v>897</v>
      </c>
      <c r="E117" s="259"/>
      <c r="F117" s="15"/>
      <c r="G117" s="262"/>
    </row>
    <row r="118" spans="2:7" s="279" customFormat="1" x14ac:dyDescent="0.25">
      <c r="B118" s="257"/>
      <c r="C118" s="272" t="str" cm="1">
        <f t="array" aca="1" ref="C118" ca="1">HYPERLINK(CONCATENATE("#",CELL("address",'Fin Stat'!$D$63)),'Fin Stat'!$D$63)</f>
        <v>Balance Sheet</v>
      </c>
      <c r="D118" s="303" t="s">
        <v>2376</v>
      </c>
      <c r="E118" s="514"/>
      <c r="F118" s="15"/>
      <c r="G118" s="262"/>
    </row>
    <row r="119" spans="2:7" s="279" customFormat="1" ht="45" x14ac:dyDescent="0.25">
      <c r="B119" s="257"/>
      <c r="C119" s="272" t="str" cm="1">
        <f t="array" aca="1" ref="C119" ca="1">HYPERLINK(CONCATENATE("#",CELL("address",'Fin Stat'!$D$141)),'Fin Stat'!$D$141)</f>
        <v>Cash Flow</v>
      </c>
      <c r="D119" s="303" t="s">
        <v>831</v>
      </c>
      <c r="E119" s="514"/>
      <c r="F119" s="15"/>
      <c r="G119" s="15"/>
    </row>
    <row r="120" spans="2:7" s="279" customFormat="1" ht="30" x14ac:dyDescent="0.25">
      <c r="B120" s="258">
        <v>2</v>
      </c>
      <c r="C120" s="271" t="str" cm="1">
        <f t="array" aca="1" ref="C120" ca="1">HYPERLINK(CONCATENATE("#",CELL("address",Ratios!$B$1)),Ratios!$B$1)</f>
        <v>Ratios</v>
      </c>
      <c r="D120" s="303" t="s">
        <v>800</v>
      </c>
      <c r="E120" s="514"/>
      <c r="F120" s="15"/>
      <c r="G120" s="15"/>
    </row>
    <row r="121" spans="2:7" s="279" customFormat="1" ht="75" x14ac:dyDescent="0.25">
      <c r="B121" s="258">
        <v>3</v>
      </c>
      <c r="C121" s="271" t="str" cm="1">
        <f t="array" aca="1" ref="C121" ca="1">HYPERLINK(CONCATENATE("#",CELL("address",'Financial Health'!$B$1)),'Financial Health'!$B$1)</f>
        <v>Financial Health</v>
      </c>
      <c r="D121" s="303" t="s">
        <v>2451</v>
      </c>
      <c r="E121" s="514"/>
      <c r="F121" s="15"/>
      <c r="G121" s="262"/>
    </row>
    <row r="122" spans="2:7" s="279" customFormat="1" ht="75" x14ac:dyDescent="0.25">
      <c r="B122" s="257"/>
      <c r="C122" s="272" t="str" cm="1">
        <f t="array" aca="1" ref="C122" ca="1">HYPERLINK(CONCATENATE("#",CELL("address",'Financial Health'!$D$11)),'Financial Health'!$D$11)</f>
        <v>Financial Health Grading - Existing System</v>
      </c>
      <c r="D122" s="303" t="s">
        <v>2452</v>
      </c>
      <c r="E122" s="514"/>
      <c r="F122" s="15"/>
      <c r="G122" s="262"/>
    </row>
    <row r="123" spans="2:7" s="279" customFormat="1" ht="90" x14ac:dyDescent="0.25">
      <c r="B123" s="257"/>
      <c r="C123" s="272" t="str" cm="1">
        <f t="array" aca="1" ref="C123" ca="1">HYPERLINK(CONCATENATE("#",CELL("address",'Financial Health'!$D$34)),'Financial Health'!$D$34)</f>
        <v>Financial Health Grading - Proposed System</v>
      </c>
      <c r="D123" s="303" t="s">
        <v>2377</v>
      </c>
      <c r="E123" s="514"/>
      <c r="F123" s="15"/>
      <c r="G123" s="262"/>
    </row>
    <row r="124" spans="2:7" s="279" customFormat="1" ht="30" x14ac:dyDescent="0.25">
      <c r="B124" s="258">
        <v>4</v>
      </c>
      <c r="C124" s="271" t="str" cm="1">
        <f t="array" aca="1" ref="C124" ca="1">HYPERLINK(CONCATENATE("#",CELL("address",'Cash Flow Summary'!$B$1)),'Cash Flow Summary'!$B$1)</f>
        <v>Cash Flow Summary</v>
      </c>
      <c r="D124" s="303" t="s">
        <v>804</v>
      </c>
      <c r="E124" s="514"/>
      <c r="F124" s="15"/>
      <c r="G124" s="262"/>
    </row>
    <row r="125" spans="2:7" s="279" customFormat="1" ht="120" x14ac:dyDescent="0.25">
      <c r="B125" s="258">
        <v>5</v>
      </c>
      <c r="C125" s="271" t="str" cm="1">
        <f t="array" aca="1" ref="C125" ca="1">HYPERLINK(CONCATENATE("#",CELL("address",'WC Dashboard'!$B$1)),'WC Dashboard'!$B$1)</f>
        <v>WC Dashboard</v>
      </c>
      <c r="D125" s="303" t="s">
        <v>2453</v>
      </c>
      <c r="E125" s="514"/>
      <c r="F125" s="15"/>
      <c r="G125" s="262"/>
    </row>
    <row r="126" spans="2:7" s="279" customFormat="1" ht="90" x14ac:dyDescent="0.25">
      <c r="B126" s="258">
        <v>6</v>
      </c>
      <c r="C126" s="271" t="str" cm="1">
        <f t="array" aca="1" ref="C126" ca="1">HYPERLINK(CONCATENATE("#",CELL("address",Dashboard!$B$1)),Dashboard!$B$1)</f>
        <v>Dashboard</v>
      </c>
      <c r="D126" s="303" t="s">
        <v>2409</v>
      </c>
      <c r="E126" s="259"/>
      <c r="F126" s="15"/>
      <c r="G126" s="262"/>
    </row>
    <row r="127" spans="2:7" s="279" customFormat="1" x14ac:dyDescent="0.25">
      <c r="B127" s="256"/>
      <c r="C127" s="272" t="str" cm="1">
        <f t="array" aca="1" ref="C127" ca="1">HYPERLINK(CONCATENATE("#",CELL("address",Dashboard!$B$13)),LOWER(Dashboard!$B$13))</f>
        <v>financal health</v>
      </c>
      <c r="D127" s="304" t="s">
        <v>2545</v>
      </c>
      <c r="E127" s="514"/>
      <c r="F127" s="15"/>
    </row>
    <row r="128" spans="2:7" s="279" customFormat="1" ht="45" x14ac:dyDescent="0.25">
      <c r="B128" s="256"/>
      <c r="C128" s="272" t="str" cm="1">
        <f t="array" aca="1" ref="C128" ca="1">HYPERLINK(CONCATENATE("#",CELL("address",Dashboard!$B$17)),LOWER(Dashboard!$B$17))</f>
        <v>performance</v>
      </c>
      <c r="D128" s="304" t="s">
        <v>832</v>
      </c>
      <c r="E128" s="514"/>
      <c r="F128" s="15"/>
    </row>
    <row r="129" spans="1:8" s="279" customFormat="1" ht="45" x14ac:dyDescent="0.25">
      <c r="B129" s="256"/>
      <c r="C129" s="272" t="str" cm="1">
        <f t="array" aca="1" ref="C129" ca="1">HYPERLINK(CONCATENATE("#",CELL("address",Dashboard!$B$44)),LOWER(Dashboard!$B$44))</f>
        <v>financing</v>
      </c>
      <c r="D129" s="304" t="s">
        <v>807</v>
      </c>
      <c r="E129" s="514"/>
      <c r="F129" s="15"/>
    </row>
    <row r="130" spans="1:8" s="279" customFormat="1" ht="45" x14ac:dyDescent="0.25">
      <c r="B130" s="256"/>
      <c r="C130" s="272" t="str" cm="1">
        <f t="array" aca="1" ref="C130" ca="1">HYPERLINK(CONCATENATE("#",CELL("address",Dashboard!$B$70)),LOWER(Dashboard!$B$70))</f>
        <v>solvency</v>
      </c>
      <c r="D130" s="304" t="s">
        <v>808</v>
      </c>
      <c r="E130" s="514"/>
      <c r="F130" s="15"/>
    </row>
    <row r="131" spans="1:8" s="279" customFormat="1" ht="60" x14ac:dyDescent="0.25">
      <c r="B131" s="256"/>
      <c r="C131" s="272" t="str" cm="1">
        <f t="array" aca="1" ref="C131" ca="1">HYPERLINK(CONCATENATE("#",CELL("address",Dashboard!$D$95)),Dashboard!$D$95)</f>
        <v>Financial Statements</v>
      </c>
      <c r="D131" s="304" t="s">
        <v>805</v>
      </c>
      <c r="E131" s="514"/>
      <c r="F131" s="15"/>
    </row>
    <row r="132" spans="1:8" s="279" customFormat="1" ht="75" x14ac:dyDescent="0.25">
      <c r="B132" s="285"/>
      <c r="C132" s="497" t="str" cm="1">
        <f t="array" aca="1" ref="C132" ca="1">HYPERLINK(CONCATENATE("#",CELL("address",Dashboard!$B$129)),LOWER(Dashboard!$B$129))</f>
        <v>debt</v>
      </c>
      <c r="D132" s="305" t="s">
        <v>806</v>
      </c>
      <c r="E132" s="515"/>
      <c r="F132" s="15"/>
    </row>
    <row r="133" spans="1:8" ht="8.1" customHeight="1" x14ac:dyDescent="0.25">
      <c r="G133" s="30"/>
      <c r="H133" s="67"/>
    </row>
    <row r="134" spans="1:8" x14ac:dyDescent="0.25">
      <c r="A134" s="40"/>
      <c r="B134" s="99"/>
      <c r="C134" s="70" t="s">
        <v>802</v>
      </c>
      <c r="D134" s="70"/>
      <c r="E134" s="99"/>
      <c r="F134" s="40"/>
      <c r="G134" s="30" t="s">
        <v>99</v>
      </c>
      <c r="H134" s="67"/>
    </row>
    <row r="135" spans="1:8" ht="8.1" customHeight="1" x14ac:dyDescent="0.25">
      <c r="G135" s="30" t="s">
        <v>99</v>
      </c>
      <c r="H135" s="67"/>
    </row>
    <row r="136" spans="1:8" ht="30" x14ac:dyDescent="0.25">
      <c r="C136" s="306" t="s">
        <v>343</v>
      </c>
      <c r="D136" s="295" t="s">
        <v>2386</v>
      </c>
      <c r="G136" s="30" t="s">
        <v>99</v>
      </c>
      <c r="H136" s="67"/>
    </row>
    <row r="137" spans="1:8" ht="8.1" customHeight="1" x14ac:dyDescent="0.25">
      <c r="G137" s="30" t="s">
        <v>99</v>
      </c>
      <c r="H137" s="67"/>
    </row>
    <row r="138" spans="1:8" ht="15.75" x14ac:dyDescent="0.25">
      <c r="C138" s="493" t="s">
        <v>743</v>
      </c>
      <c r="D138" s="494"/>
      <c r="E138" s="120" t="s">
        <v>335</v>
      </c>
      <c r="F138" s="140" t="s">
        <v>335</v>
      </c>
      <c r="G138" s="109"/>
      <c r="H138" s="67"/>
    </row>
    <row r="139" spans="1:8" ht="8.1" customHeight="1" x14ac:dyDescent="0.25">
      <c r="C139" s="308"/>
      <c r="D139" s="309"/>
      <c r="E139" s="85"/>
      <c r="F139" s="111"/>
      <c r="G139" s="109" t="s">
        <v>99</v>
      </c>
      <c r="H139" s="67"/>
    </row>
    <row r="140" spans="1:8" ht="104.25" customHeight="1" x14ac:dyDescent="0.25">
      <c r="C140" s="315" t="s">
        <v>742</v>
      </c>
      <c r="D140" s="309" t="s">
        <v>2546</v>
      </c>
      <c r="E140" s="100" t="str" cm="1">
        <f t="array" aca="1" ref="E140" ca="1">HYPERLINK(CONCATENATE("#",CELL("address",'I&amp;E Monthly'!$B$1)),'I&amp;E Monthly'!$B$1)</f>
        <v>I&amp;E Monthly</v>
      </c>
      <c r="F140" s="110"/>
      <c r="G140" s="109"/>
      <c r="H140" s="67"/>
    </row>
    <row r="141" spans="1:8" s="335" customFormat="1" ht="8.1" customHeight="1" x14ac:dyDescent="0.25">
      <c r="B141" s="491"/>
      <c r="C141" s="308"/>
      <c r="D141" s="309"/>
      <c r="E141" s="85"/>
      <c r="F141" s="111"/>
      <c r="G141" s="109" t="s">
        <v>99</v>
      </c>
    </row>
    <row r="142" spans="1:8" s="335" customFormat="1" ht="87.75" customHeight="1" x14ac:dyDescent="0.25">
      <c r="B142" s="491"/>
      <c r="C142" s="308"/>
      <c r="D142" s="309" t="s">
        <v>2454</v>
      </c>
      <c r="E142" s="100" t="str" cm="1">
        <f t="array" aca="1" ref="E142" ca="1">HYPERLINK(CONCATENATE("#",CELL("address",'I&amp;E Monthly'!$E$116)),'I&amp;E Monthly'!$B$1)</f>
        <v>I&amp;E Monthly</v>
      </c>
      <c r="F142" s="111"/>
      <c r="G142" s="109" t="s">
        <v>99</v>
      </c>
    </row>
    <row r="143" spans="1:8" ht="8.1" customHeight="1" x14ac:dyDescent="0.25">
      <c r="C143" s="308"/>
      <c r="D143" s="309"/>
      <c r="E143" s="85"/>
      <c r="F143" s="111"/>
      <c r="G143" s="109" t="s">
        <v>99</v>
      </c>
      <c r="H143" s="67"/>
    </row>
    <row r="144" spans="1:8" ht="45" x14ac:dyDescent="0.25">
      <c r="C144" s="308"/>
      <c r="D144" s="309" t="s">
        <v>2388</v>
      </c>
      <c r="E144" s="100" t="str" cm="1">
        <f t="array" aca="1" ref="E144" ca="1">HYPERLINK(CONCATENATE("#",CELL("address",'I&amp;E Annual'!$B$1)),'I&amp;E Annual'!$B$1)</f>
        <v>I&amp;E Annual</v>
      </c>
      <c r="F144" s="111"/>
      <c r="G144" s="109" t="s">
        <v>99</v>
      </c>
      <c r="H144" s="67"/>
    </row>
    <row r="145" spans="2:8" ht="8.1" customHeight="1" x14ac:dyDescent="0.25">
      <c r="C145" s="311"/>
      <c r="D145" s="312"/>
      <c r="E145" s="114"/>
      <c r="F145" s="115"/>
      <c r="G145" s="109" t="s">
        <v>99</v>
      </c>
      <c r="H145" s="67"/>
    </row>
    <row r="146" spans="2:8" ht="8.1" customHeight="1" x14ac:dyDescent="0.25">
      <c r="C146" s="308"/>
      <c r="D146" s="309"/>
      <c r="E146" s="85"/>
      <c r="F146" s="111"/>
      <c r="G146" s="109" t="s">
        <v>99</v>
      </c>
      <c r="H146" s="67"/>
    </row>
    <row r="147" spans="2:8" x14ac:dyDescent="0.25">
      <c r="C147" s="315" t="s">
        <v>519</v>
      </c>
      <c r="D147" s="309" t="s">
        <v>2460</v>
      </c>
      <c r="E147" s="100" t="str" cm="1">
        <f t="array" aca="1" ref="E147" ca="1">HYPERLINK(CONCATENATE("#",CELL("address",'Cover Sheet'!$D$17)),'Cover Sheet'!$B$1)</f>
        <v>Cover Sheet</v>
      </c>
      <c r="F147" s="110"/>
      <c r="G147" s="109"/>
      <c r="H147" s="67"/>
    </row>
    <row r="148" spans="2:8" ht="60" x14ac:dyDescent="0.25">
      <c r="C148" s="310"/>
      <c r="D148" s="309" t="s">
        <v>2387</v>
      </c>
      <c r="E148" s="100" t="str" cm="1">
        <f t="array" aca="1" ref="E148" ca="1">HYPERLINK(CONCATENATE("#",CELL("address",'I&amp;E Monthly'!$B$1)),'I&amp;E Monthly'!$B$1)</f>
        <v>I&amp;E Monthly</v>
      </c>
      <c r="F148" s="110"/>
      <c r="G148" s="109"/>
      <c r="H148" s="67"/>
    </row>
    <row r="149" spans="2:8" ht="8.1" customHeight="1" x14ac:dyDescent="0.25">
      <c r="C149" s="308"/>
      <c r="D149" s="309"/>
      <c r="E149" s="85"/>
      <c r="F149" s="111"/>
      <c r="G149" s="109" t="s">
        <v>99</v>
      </c>
      <c r="H149" s="67"/>
    </row>
    <row r="150" spans="2:8" ht="45" x14ac:dyDescent="0.25">
      <c r="C150" s="310"/>
      <c r="D150" s="309" t="s">
        <v>2547</v>
      </c>
      <c r="E150" s="100" t="str" cm="1">
        <f t="array" aca="1" ref="E150" ca="1">HYPERLINK(CONCATENATE("#",CELL("address",'I&amp;E Monthly'!$B$1)),'I&amp;E Monthly'!$B$1)</f>
        <v>I&amp;E Monthly</v>
      </c>
      <c r="F150" s="110"/>
      <c r="G150" s="109"/>
      <c r="H150" s="67"/>
    </row>
    <row r="151" spans="2:8" ht="8.1" customHeight="1" x14ac:dyDescent="0.25">
      <c r="C151" s="308"/>
      <c r="D151" s="309"/>
      <c r="E151" s="85"/>
      <c r="F151" s="111"/>
      <c r="G151" s="109" t="s">
        <v>99</v>
      </c>
      <c r="H151" s="67"/>
    </row>
    <row r="152" spans="2:8" ht="30" x14ac:dyDescent="0.25">
      <c r="C152" s="308"/>
      <c r="D152" s="309" t="s">
        <v>2389</v>
      </c>
      <c r="E152" s="100" t="str" cm="1">
        <f t="array" aca="1" ref="E152" ca="1">HYPERLINK(CONCATENATE("#",CELL("address",'I&amp;E Annual'!$B$1)),'I&amp;E Annual'!$B$1)</f>
        <v>I&amp;E Annual</v>
      </c>
      <c r="F152" s="111"/>
      <c r="G152" s="109" t="s">
        <v>99</v>
      </c>
      <c r="H152" s="67"/>
    </row>
    <row r="153" spans="2:8" ht="8.1" customHeight="1" x14ac:dyDescent="0.25">
      <c r="C153" s="313"/>
      <c r="D153" s="314"/>
      <c r="E153" s="113"/>
      <c r="F153" s="112"/>
      <c r="G153" s="109" t="s">
        <v>99</v>
      </c>
      <c r="H153" s="67"/>
    </row>
    <row r="154" spans="2:8" ht="8.1" customHeight="1" x14ac:dyDescent="0.25">
      <c r="G154" s="30" t="s">
        <v>99</v>
      </c>
      <c r="H154" s="67"/>
    </row>
    <row r="155" spans="2:8" ht="15.75" x14ac:dyDescent="0.25">
      <c r="C155" s="495" t="s">
        <v>785</v>
      </c>
      <c r="D155" s="494"/>
      <c r="E155" s="120" t="s">
        <v>335</v>
      </c>
      <c r="F155" s="140" t="s">
        <v>335</v>
      </c>
      <c r="G155" s="109" t="s">
        <v>99</v>
      </c>
      <c r="H155" s="67"/>
    </row>
    <row r="156" spans="2:8" ht="8.1" customHeight="1" x14ac:dyDescent="0.25">
      <c r="C156" s="308"/>
      <c r="D156" s="309"/>
      <c r="E156" s="85"/>
      <c r="F156" s="111"/>
      <c r="G156" s="109" t="s">
        <v>99</v>
      </c>
      <c r="H156" s="67"/>
    </row>
    <row r="157" spans="2:8" s="335" customFormat="1" ht="90" customHeight="1" x14ac:dyDescent="0.25">
      <c r="B157" s="491"/>
      <c r="C157" s="310"/>
      <c r="D157" s="309" t="s">
        <v>2397</v>
      </c>
      <c r="E157" s="100"/>
      <c r="F157" s="111"/>
      <c r="G157" s="109" t="s">
        <v>99</v>
      </c>
    </row>
    <row r="158" spans="2:8" s="335" customFormat="1" ht="8.1" customHeight="1" x14ac:dyDescent="0.25">
      <c r="B158" s="491"/>
      <c r="C158" s="308"/>
      <c r="D158" s="309"/>
      <c r="E158" s="85"/>
      <c r="F158" s="111"/>
      <c r="G158" s="109" t="s">
        <v>99</v>
      </c>
    </row>
    <row r="159" spans="2:8" ht="30" x14ac:dyDescent="0.25">
      <c r="C159" s="315" t="s">
        <v>742</v>
      </c>
      <c r="D159" s="295" t="s">
        <v>2548</v>
      </c>
      <c r="E159" s="100" t="str" cm="1">
        <f t="array" aca="1" ref="E159" ca="1">HYPERLINK(CONCATENATE("#",CELL("address",'I&amp;E Monthly'!$B$1)),'I&amp;E Monthly'!$B$1)</f>
        <v>I&amp;E Monthly</v>
      </c>
      <c r="F159" s="110"/>
      <c r="G159" s="109" t="s">
        <v>99</v>
      </c>
      <c r="H159" s="67"/>
    </row>
    <row r="160" spans="2:8" s="335" customFormat="1" ht="8.1" customHeight="1" x14ac:dyDescent="0.25">
      <c r="B160" s="491"/>
      <c r="C160" s="308"/>
      <c r="D160" s="309"/>
      <c r="E160" s="85"/>
      <c r="F160" s="111"/>
      <c r="G160" s="109" t="s">
        <v>99</v>
      </c>
    </row>
    <row r="161" spans="2:8" ht="75.75" customHeight="1" x14ac:dyDescent="0.25">
      <c r="C161" s="310"/>
      <c r="D161" s="309" t="s">
        <v>2396</v>
      </c>
      <c r="E161" s="100" t="str" cm="1">
        <f t="array" aca="1" ref="E161" ca="1">HYPERLINK(CONCATENATE("#",CELL("address",'I&amp;E Annual'!$G$6)),'I&amp;E Annual'!$B$1)</f>
        <v>I&amp;E Annual</v>
      </c>
      <c r="F161" s="111"/>
      <c r="G161" s="109" t="s">
        <v>99</v>
      </c>
      <c r="H161" s="67"/>
    </row>
    <row r="162" spans="2:8" s="335" customFormat="1" ht="8.1" customHeight="1" x14ac:dyDescent="0.25">
      <c r="B162" s="491"/>
      <c r="C162" s="308"/>
      <c r="D162" s="309"/>
      <c r="E162" s="85"/>
      <c r="F162" s="111"/>
      <c r="G162" s="109" t="s">
        <v>99</v>
      </c>
    </row>
    <row r="163" spans="2:8" s="335" customFormat="1" ht="45" x14ac:dyDescent="0.25">
      <c r="B163" s="491"/>
      <c r="C163" s="310"/>
      <c r="D163" s="309" t="s">
        <v>2392</v>
      </c>
      <c r="E163" s="100" t="str" cm="1">
        <f t="array" aca="1" ref="E163" ca="1">HYPERLINK(CONCATENATE("#",CELL("address",'I&amp;E Monthly'!$AA$1)),'I&amp;E Monthly'!$B$1)</f>
        <v>I&amp;E Monthly</v>
      </c>
      <c r="F163" s="111"/>
      <c r="G163" s="109" t="s">
        <v>99</v>
      </c>
    </row>
    <row r="164" spans="2:8" s="335" customFormat="1" ht="8.1" customHeight="1" x14ac:dyDescent="0.25">
      <c r="B164" s="491"/>
      <c r="C164" s="308"/>
      <c r="D164" s="309"/>
      <c r="E164" s="85"/>
      <c r="F164" s="111"/>
      <c r="G164" s="109" t="s">
        <v>99</v>
      </c>
    </row>
    <row r="165" spans="2:8" s="335" customFormat="1" ht="30" x14ac:dyDescent="0.25">
      <c r="B165" s="491"/>
      <c r="C165" s="310"/>
      <c r="D165" s="309" t="s">
        <v>2393</v>
      </c>
      <c r="E165" s="100" t="str" cm="1">
        <f t="array" aca="1" ref="E165" ca="1">HYPERLINK(CONCATENATE("#",CELL("address",'I&amp;E Annual'!$W$11)),'I&amp;E Annual'!$B$1)</f>
        <v>I&amp;E Annual</v>
      </c>
      <c r="F165" s="111"/>
      <c r="G165" s="109" t="s">
        <v>99</v>
      </c>
    </row>
    <row r="166" spans="2:8" ht="8.1" customHeight="1" x14ac:dyDescent="0.25">
      <c r="C166" s="308"/>
      <c r="D166" s="309"/>
      <c r="E166" s="85"/>
      <c r="F166" s="111"/>
      <c r="G166" s="109" t="s">
        <v>99</v>
      </c>
      <c r="H166" s="67"/>
    </row>
    <row r="167" spans="2:8" ht="45" x14ac:dyDescent="0.25">
      <c r="C167" s="269"/>
      <c r="D167" s="309" t="s">
        <v>2394</v>
      </c>
      <c r="E167" s="100" t="str" cm="1">
        <f t="array" aca="1" ref="E167" ca="1">HYPERLINK(CONCATENATE("#",CELL("address",'I&amp;E Profiles'!$D$13)),'I&amp;E Profiles'!$B$1)</f>
        <v>I&amp;E Profiles</v>
      </c>
      <c r="F167" s="111"/>
      <c r="G167" s="109" t="s">
        <v>99</v>
      </c>
      <c r="H167" s="67"/>
    </row>
    <row r="168" spans="2:8" ht="8.1" customHeight="1" x14ac:dyDescent="0.25">
      <c r="C168" s="308"/>
      <c r="D168" s="309"/>
      <c r="E168" s="85"/>
      <c r="F168" s="111"/>
      <c r="G168" s="109" t="s">
        <v>99</v>
      </c>
      <c r="H168" s="67"/>
    </row>
    <row r="169" spans="2:8" ht="30" x14ac:dyDescent="0.25">
      <c r="C169" s="269"/>
      <c r="D169" s="309" t="s">
        <v>2395</v>
      </c>
      <c r="E169" s="100" t="str" cm="1">
        <f t="array" aca="1" ref="E169" ca="1">HYPERLINK(CONCATENATE("#",CELL("address",'I&amp;E Annual'!$E$6)),'I&amp;E Annual'!$B$1)</f>
        <v>I&amp;E Annual</v>
      </c>
      <c r="F169" s="111"/>
      <c r="G169" s="109" t="s">
        <v>99</v>
      </c>
      <c r="H169" s="67"/>
    </row>
    <row r="170" spans="2:8" ht="8.1" customHeight="1" x14ac:dyDescent="0.25">
      <c r="C170" s="308"/>
      <c r="D170" s="309"/>
      <c r="E170" s="85"/>
      <c r="F170" s="111"/>
      <c r="G170" s="109" t="s">
        <v>99</v>
      </c>
      <c r="H170" s="67"/>
    </row>
    <row r="171" spans="2:8" ht="30" x14ac:dyDescent="0.25">
      <c r="C171" s="308"/>
      <c r="D171" s="309" t="s">
        <v>2391</v>
      </c>
      <c r="E171" s="100" t="str" cm="1">
        <f t="array" aca="1" ref="E171" ca="1">HYPERLINK(CONCATENATE("#",CELL("address",'I&amp;E Annual'!$B$1)),'I&amp;E Annual'!$B$1)</f>
        <v>I&amp;E Annual</v>
      </c>
      <c r="F171" s="111"/>
      <c r="G171" s="109"/>
      <c r="H171" s="67"/>
    </row>
    <row r="172" spans="2:8" ht="8.1" customHeight="1" x14ac:dyDescent="0.25">
      <c r="C172" s="311"/>
      <c r="D172" s="312"/>
      <c r="E172" s="114"/>
      <c r="F172" s="115"/>
      <c r="G172" s="109" t="s">
        <v>99</v>
      </c>
      <c r="H172" s="67"/>
    </row>
    <row r="173" spans="2:8" ht="8.1" customHeight="1" x14ac:dyDescent="0.25">
      <c r="C173" s="308"/>
      <c r="D173" s="309"/>
      <c r="E173" s="85"/>
      <c r="F173" s="111"/>
      <c r="G173" s="109" t="s">
        <v>99</v>
      </c>
      <c r="H173" s="67"/>
    </row>
    <row r="174" spans="2:8" x14ac:dyDescent="0.25">
      <c r="C174" s="315" t="s">
        <v>519</v>
      </c>
      <c r="D174" s="309" t="s">
        <v>2459</v>
      </c>
      <c r="E174" s="100" t="str" cm="1">
        <f t="array" aca="1" ref="E174" ca="1">HYPERLINK(CONCATENATE("#",CELL("address",'Cover Sheet'!$B$1)),'Cover Sheet'!$B$1)</f>
        <v>Cover Sheet</v>
      </c>
      <c r="F174" s="110"/>
      <c r="G174" s="109"/>
      <c r="H174" s="67"/>
    </row>
    <row r="175" spans="2:8" ht="8.1" customHeight="1" x14ac:dyDescent="0.25">
      <c r="C175" s="308"/>
      <c r="D175" s="309"/>
      <c r="E175" s="85"/>
      <c r="F175" s="111"/>
      <c r="G175" s="109" t="s">
        <v>99</v>
      </c>
      <c r="H175" s="67"/>
    </row>
    <row r="176" spans="2:8" ht="52.35" customHeight="1" x14ac:dyDescent="0.25">
      <c r="C176" s="308"/>
      <c r="D176" s="309" t="s">
        <v>2398</v>
      </c>
      <c r="E176" s="100" t="str" cm="1">
        <f t="array" aca="1" ref="E176" ca="1">HYPERLINK(CONCATENATE("#",CELL("address",'I&amp;E Monthly'!$B$1)),'I&amp;E Monthly'!$B$1)</f>
        <v>I&amp;E Monthly</v>
      </c>
      <c r="F176" s="110"/>
      <c r="G176" s="109"/>
      <c r="H176" s="67"/>
    </row>
    <row r="177" spans="3:8" ht="8.1" customHeight="1" x14ac:dyDescent="0.25">
      <c r="C177" s="308"/>
      <c r="D177" s="309"/>
      <c r="E177" s="85"/>
      <c r="F177" s="111"/>
      <c r="G177" s="109" t="s">
        <v>99</v>
      </c>
      <c r="H177" s="67"/>
    </row>
    <row r="178" spans="3:8" ht="60" x14ac:dyDescent="0.25">
      <c r="C178" s="308"/>
      <c r="D178" s="309" t="s">
        <v>2410</v>
      </c>
      <c r="E178" s="100" t="str" cm="1">
        <f t="array" aca="1" ref="E178" ca="1">HYPERLINK(CONCATENATE("#",CELL("address",'I&amp;E Annual'!$W$11)),'I&amp;E Annual'!$B$1)</f>
        <v>I&amp;E Annual</v>
      </c>
      <c r="F178" s="111"/>
      <c r="G178" s="109"/>
      <c r="H178" s="67"/>
    </row>
    <row r="179" spans="3:8" ht="8.1" customHeight="1" x14ac:dyDescent="0.25">
      <c r="C179" s="308"/>
      <c r="D179" s="309"/>
      <c r="E179" s="85"/>
      <c r="F179" s="111"/>
      <c r="G179" s="109" t="s">
        <v>99</v>
      </c>
      <c r="H179" s="67"/>
    </row>
    <row r="180" spans="3:8" ht="30" x14ac:dyDescent="0.25">
      <c r="C180" s="308"/>
      <c r="D180" s="309" t="s">
        <v>2390</v>
      </c>
      <c r="E180" s="100" t="str" cm="1">
        <f t="array" aca="1" ref="E180" ca="1">HYPERLINK(CONCATENATE("#",CELL("address",'I&amp;E Annual'!$B$1)),'I&amp;E Annual'!$B$1)</f>
        <v>I&amp;E Annual</v>
      </c>
      <c r="F180" s="111"/>
      <c r="G180" s="109"/>
      <c r="H180" s="67"/>
    </row>
    <row r="181" spans="3:8" ht="8.1" customHeight="1" x14ac:dyDescent="0.25">
      <c r="C181" s="308"/>
      <c r="D181" s="309"/>
      <c r="E181" s="85"/>
      <c r="F181" s="111"/>
      <c r="G181" s="109" t="s">
        <v>99</v>
      </c>
      <c r="H181" s="67"/>
    </row>
    <row r="182" spans="3:8" ht="8.1" customHeight="1" x14ac:dyDescent="0.25">
      <c r="C182" s="313"/>
      <c r="D182" s="314"/>
      <c r="E182" s="113"/>
      <c r="F182" s="112"/>
      <c r="G182" s="109" t="s">
        <v>99</v>
      </c>
      <c r="H182" s="67"/>
    </row>
    <row r="183" spans="3:8" ht="8.1" customHeight="1" x14ac:dyDescent="0.25">
      <c r="C183" s="278"/>
      <c r="D183" s="278"/>
      <c r="E183" s="3"/>
      <c r="F183" s="3"/>
      <c r="G183" s="3"/>
      <c r="H183" s="3"/>
    </row>
    <row r="184" spans="3:8" x14ac:dyDescent="0.25">
      <c r="C184" s="132"/>
      <c r="D184" s="309"/>
      <c r="G184" s="30" t="s">
        <v>99</v>
      </c>
      <c r="H184" s="67"/>
    </row>
    <row r="185" spans="3:8" x14ac:dyDescent="0.25">
      <c r="C185" s="132"/>
      <c r="D185" s="309"/>
      <c r="G185" s="30" t="s">
        <v>99</v>
      </c>
      <c r="H185" s="67"/>
    </row>
    <row r="186" spans="3:8" x14ac:dyDescent="0.25">
      <c r="C186" s="100"/>
      <c r="D186" s="309"/>
      <c r="G186" s="30" t="s">
        <v>99</v>
      </c>
      <c r="H186" s="67"/>
    </row>
    <row r="187" spans="3:8" x14ac:dyDescent="0.25">
      <c r="C187" s="100"/>
      <c r="D187" s="309"/>
      <c r="G187" s="30" t="s">
        <v>99</v>
      </c>
      <c r="H187" s="67"/>
    </row>
    <row r="188" spans="3:8" x14ac:dyDescent="0.25">
      <c r="C188" s="132"/>
      <c r="D188" s="309"/>
      <c r="G188" s="30" t="s">
        <v>99</v>
      </c>
      <c r="H188" s="67"/>
    </row>
    <row r="189" spans="3:8" ht="8.1" customHeight="1" x14ac:dyDescent="0.25">
      <c r="G189" s="30" t="s">
        <v>99</v>
      </c>
      <c r="H189" s="67"/>
    </row>
    <row r="190" spans="3:8" x14ac:dyDescent="0.25">
      <c r="C190" s="100"/>
      <c r="D190" s="309"/>
      <c r="G190" s="30" t="s">
        <v>99</v>
      </c>
      <c r="H190" s="67"/>
    </row>
    <row r="191" spans="3:8" x14ac:dyDescent="0.25">
      <c r="C191" s="100"/>
      <c r="D191" s="309"/>
      <c r="G191" s="30" t="s">
        <v>99</v>
      </c>
      <c r="H191" s="67"/>
    </row>
    <row r="192" spans="3:8" x14ac:dyDescent="0.25">
      <c r="C192" s="132"/>
      <c r="D192" s="309"/>
      <c r="G192" s="30" t="s">
        <v>99</v>
      </c>
      <c r="H192" s="67"/>
    </row>
    <row r="199" spans="1:8" x14ac:dyDescent="0.25">
      <c r="C199" s="278"/>
      <c r="D199" s="278"/>
      <c r="E199" s="3"/>
      <c r="F199" s="3"/>
      <c r="G199" s="3"/>
      <c r="H199" s="3"/>
    </row>
    <row r="200" spans="1:8" s="279" customFormat="1" x14ac:dyDescent="0.25">
      <c r="B200" s="278"/>
      <c r="C200" s="69"/>
      <c r="D200" s="295"/>
      <c r="E200" s="15"/>
      <c r="F200" s="15"/>
      <c r="H200" s="1"/>
    </row>
    <row r="201" spans="1:8" s="279" customFormat="1" x14ac:dyDescent="0.25">
      <c r="B201" s="278"/>
      <c r="C201" s="69"/>
      <c r="D201" s="295"/>
      <c r="E201" s="15"/>
      <c r="F201" s="15"/>
      <c r="H201" s="1"/>
    </row>
    <row r="202" spans="1:8" s="279" customFormat="1" x14ac:dyDescent="0.25">
      <c r="B202" s="278"/>
      <c r="C202" s="278"/>
      <c r="D202" s="278"/>
      <c r="E202" s="278"/>
      <c r="F202" s="278"/>
      <c r="G202" s="278"/>
      <c r="H202" s="278"/>
    </row>
    <row r="203" spans="1:8" s="279" customFormat="1" x14ac:dyDescent="0.25">
      <c r="B203" s="278"/>
      <c r="C203" s="69"/>
      <c r="D203" s="295"/>
      <c r="E203" s="15"/>
      <c r="F203" s="15"/>
      <c r="H203" s="1"/>
    </row>
    <row r="204" spans="1:8" s="279" customFormat="1" x14ac:dyDescent="0.25">
      <c r="B204" s="278"/>
      <c r="C204" s="69"/>
      <c r="D204" s="295"/>
      <c r="E204" s="15"/>
      <c r="F204" s="15"/>
      <c r="H204" s="1"/>
    </row>
    <row r="205" spans="1:8" s="266" customFormat="1" x14ac:dyDescent="0.25">
      <c r="A205" s="40"/>
      <c r="B205" s="99"/>
      <c r="C205" s="70" t="s">
        <v>803</v>
      </c>
      <c r="D205" s="70"/>
      <c r="E205" s="99"/>
      <c r="F205" s="40"/>
      <c r="H205" s="1"/>
    </row>
    <row r="206" spans="1:8" s="266" customFormat="1" x14ac:dyDescent="0.25">
      <c r="B206" s="278"/>
      <c r="C206" s="69"/>
      <c r="D206" s="295"/>
      <c r="E206" s="15"/>
      <c r="F206" s="15"/>
      <c r="H206" s="1"/>
    </row>
    <row r="207" spans="1:8" s="266" customFormat="1" ht="15.75" x14ac:dyDescent="0.25">
      <c r="B207" s="278"/>
      <c r="C207" s="307" t="s">
        <v>178</v>
      </c>
      <c r="D207" s="120"/>
      <c r="E207" s="120"/>
      <c r="F207" s="140"/>
      <c r="H207" s="1"/>
    </row>
    <row r="208" spans="1:8" s="266" customFormat="1" ht="3.6" customHeight="1" x14ac:dyDescent="0.25">
      <c r="B208" s="278"/>
      <c r="C208" s="308"/>
      <c r="D208" s="309"/>
      <c r="E208" s="85"/>
      <c r="F208" s="111"/>
      <c r="H208" s="1"/>
    </row>
    <row r="209" spans="2:8" s="266" customFormat="1" ht="36.6" customHeight="1" x14ac:dyDescent="0.25">
      <c r="B209" s="278"/>
      <c r="C209" s="269" t="str" cm="1">
        <f t="array" aca="1" ref="C209" ca="1">HYPERLINK(CONCATENATE("#",CELL("address",Loans!$D$8)),Loans!$D$8)</f>
        <v>Loan Data Table</v>
      </c>
      <c r="D209" s="309" t="s">
        <v>2414</v>
      </c>
      <c r="E209" s="100"/>
      <c r="F209" s="110"/>
      <c r="H209" s="1"/>
    </row>
    <row r="210" spans="2:8" s="335" customFormat="1" ht="8.1" customHeight="1" x14ac:dyDescent="0.25">
      <c r="B210" s="492"/>
      <c r="C210" s="308"/>
      <c r="D210" s="309"/>
      <c r="E210" s="85"/>
      <c r="F210" s="111"/>
      <c r="G210" s="109" t="s">
        <v>99</v>
      </c>
    </row>
    <row r="211" spans="2:8" s="335" customFormat="1" x14ac:dyDescent="0.25">
      <c r="B211" s="492"/>
      <c r="C211" s="269"/>
      <c r="D211" s="498" t="s">
        <v>2411</v>
      </c>
      <c r="E211" s="100" t="str" cm="1">
        <f t="array" aca="1" ref="E211" ca="1">HYPERLINK(CONCATENATE("#",CELL("address",Loans!$D$10)),Loans!$D$10)</f>
        <v>Information Requirement by ESFA</v>
      </c>
      <c r="F211" s="110"/>
      <c r="H211" s="1"/>
    </row>
    <row r="212" spans="2:8" s="335" customFormat="1" x14ac:dyDescent="0.25">
      <c r="B212" s="492"/>
      <c r="C212" s="269"/>
      <c r="D212" s="498" t="s">
        <v>2412</v>
      </c>
      <c r="E212" s="100" t="str" cm="1">
        <f t="array" aca="1" ref="E212" ca="1">HYPERLINK(CONCATENATE("#",CELL("address",Loans!$M$10)),Loans!$M$10)</f>
        <v>Loan Covenants</v>
      </c>
      <c r="F212" s="110"/>
      <c r="H212" s="1"/>
    </row>
    <row r="213" spans="2:8" s="335" customFormat="1" ht="45" x14ac:dyDescent="0.25">
      <c r="B213" s="492"/>
      <c r="C213" s="269"/>
      <c r="D213" s="498" t="s">
        <v>2413</v>
      </c>
      <c r="E213" s="100" t="str" cm="1">
        <f t="array" aca="1" ref="E213" ca="1">HYPERLINK(CONCATENATE("#",CELL("address",Loans!$P$10)),Loans!$P$10)</f>
        <v>Info required if automated interest calc. is used</v>
      </c>
      <c r="F213" s="110"/>
      <c r="H213" s="1"/>
    </row>
    <row r="214" spans="2:8" s="266" customFormat="1" ht="8.1" customHeight="1" x14ac:dyDescent="0.25">
      <c r="B214" s="278"/>
      <c r="C214" s="308"/>
      <c r="D214" s="309"/>
      <c r="E214" s="85"/>
      <c r="F214" s="111"/>
      <c r="G214" s="109" t="s">
        <v>99</v>
      </c>
    </row>
    <row r="215" spans="2:8" s="266" customFormat="1" ht="90" x14ac:dyDescent="0.25">
      <c r="B215" s="278"/>
      <c r="C215" s="269"/>
      <c r="D215" s="309" t="s">
        <v>2415</v>
      </c>
      <c r="E215" s="100" t="str" cm="1">
        <f t="array" aca="1" ref="E215" ca="1">HYPERLINK(CONCATENATE("#",CELL("address",Loans!$P$11)),Loans!$P$11)</f>
        <v>Use Automated Interest Calculation?</v>
      </c>
      <c r="F215" s="110"/>
      <c r="H215" s="1"/>
    </row>
    <row r="216" spans="2:8" s="335" customFormat="1" ht="58.5" customHeight="1" x14ac:dyDescent="0.25">
      <c r="B216" s="492"/>
      <c r="C216" s="269"/>
      <c r="D216" s="309" t="s">
        <v>2416</v>
      </c>
      <c r="E216" s="100" t="str" cm="1">
        <f t="array" aca="1" ref="E216" ca="1">HYPERLINK(CONCATENATE("#",CELL("address",Loans!$D$57)),Loans!$D$45)</f>
        <v>Manual Loan Data Inputs</v>
      </c>
      <c r="F216" s="110"/>
      <c r="H216" s="1"/>
    </row>
    <row r="217" spans="2:8" s="335" customFormat="1" ht="8.1" customHeight="1" x14ac:dyDescent="0.25">
      <c r="B217" s="492"/>
      <c r="C217" s="308"/>
      <c r="D217" s="309"/>
      <c r="E217" s="85"/>
      <c r="F217" s="111"/>
      <c r="G217" s="109" t="s">
        <v>99</v>
      </c>
    </row>
    <row r="218" spans="2:8" s="266" customFormat="1" ht="30" x14ac:dyDescent="0.25">
      <c r="B218" s="278"/>
      <c r="C218" s="269"/>
      <c r="D218" s="309" t="s">
        <v>783</v>
      </c>
      <c r="E218" s="100" t="str" cm="1">
        <f t="array" aca="1" ref="E218" ca="1">HYPERLINK(CONCATENATE("#",CELL("address",Loans!$AA$8)),Loans!$AA$8)</f>
        <v>Variable Annual Interest Rate Option (%)</v>
      </c>
      <c r="F218" s="110"/>
      <c r="H218" s="1"/>
    </row>
    <row r="219" spans="2:8" s="266" customFormat="1" ht="8.1" customHeight="1" x14ac:dyDescent="0.25">
      <c r="B219" s="278"/>
      <c r="C219" s="311"/>
      <c r="D219" s="312"/>
      <c r="E219" s="114"/>
      <c r="F219" s="115"/>
      <c r="G219" s="109" t="s">
        <v>99</v>
      </c>
    </row>
    <row r="220" spans="2:8" s="266" customFormat="1" ht="8.1" customHeight="1" x14ac:dyDescent="0.25">
      <c r="B220" s="278"/>
      <c r="C220" s="308"/>
      <c r="D220" s="309"/>
      <c r="E220" s="85"/>
      <c r="F220" s="111"/>
      <c r="G220" s="109" t="s">
        <v>99</v>
      </c>
    </row>
    <row r="221" spans="2:8" s="266" customFormat="1" ht="45" x14ac:dyDescent="0.25">
      <c r="B221" s="278"/>
      <c r="C221" s="269" t="str" cm="1">
        <f t="array" aca="1" ref="C221" ca="1">HYPERLINK(CONCATENATE("#",CELL("address",Loans!$AA$45)),Loans!$D$45)</f>
        <v>Manual Loan Data Inputs</v>
      </c>
      <c r="D221" s="309" t="s">
        <v>2417</v>
      </c>
      <c r="E221" s="100" t="str" cm="1">
        <f t="array" aca="1" ref="E221" ca="1">HYPERLINK(CONCATENATE("#",CELL("address",Loans!$D$47)),Loans!$D$45)</f>
        <v>Manual Loan Data Inputs</v>
      </c>
      <c r="F221" s="111"/>
      <c r="H221" s="1"/>
    </row>
    <row r="222" spans="2:8" s="266" customFormat="1" ht="8.1" customHeight="1" x14ac:dyDescent="0.25">
      <c r="B222" s="278"/>
      <c r="C222" s="308"/>
      <c r="D222" s="309"/>
      <c r="E222" s="85"/>
      <c r="F222" s="111"/>
      <c r="G222" s="109" t="s">
        <v>99</v>
      </c>
    </row>
    <row r="223" spans="2:8" s="266" customFormat="1" ht="105" x14ac:dyDescent="0.25">
      <c r="B223" s="278"/>
      <c r="C223" s="308"/>
      <c r="D223" s="309" t="s">
        <v>2419</v>
      </c>
      <c r="E223" s="100"/>
      <c r="F223" s="111"/>
      <c r="H223" s="1"/>
    </row>
    <row r="224" spans="2:8" s="266" customFormat="1" ht="8.1" customHeight="1" x14ac:dyDescent="0.25">
      <c r="B224" s="278"/>
      <c r="C224" s="308"/>
      <c r="D224" s="309"/>
      <c r="E224" s="85"/>
      <c r="F224" s="111"/>
      <c r="G224" s="109" t="s">
        <v>99</v>
      </c>
    </row>
    <row r="225" spans="2:8" s="266" customFormat="1" ht="45" x14ac:dyDescent="0.25">
      <c r="B225" s="278"/>
      <c r="C225" s="308"/>
      <c r="D225" s="309" t="s">
        <v>2418</v>
      </c>
      <c r="E225" s="100" t="str" cm="1">
        <f t="array" aca="1" ref="E225" ca="1">HYPERLINK(CONCATENATE("#",CELL("address",Loans!$D$57)),Loans!$D$45)</f>
        <v>Manual Loan Data Inputs</v>
      </c>
      <c r="F225" s="111"/>
      <c r="H225" s="1"/>
    </row>
    <row r="226" spans="2:8" s="335" customFormat="1" ht="90" x14ac:dyDescent="0.25">
      <c r="B226" s="492"/>
      <c r="C226" s="308"/>
      <c r="D226" s="309" t="s">
        <v>2420</v>
      </c>
      <c r="E226" s="100" t="str" cm="1">
        <f t="array" aca="1" ref="E226" ca="1">HYPERLINK(CONCATENATE("#",CELL("address",Loans!$D$684)),Loans!$D$427)</f>
        <v>Loan Interest Calculation Option</v>
      </c>
      <c r="F226" s="111"/>
      <c r="H226" s="1"/>
    </row>
    <row r="227" spans="2:8" s="266" customFormat="1" x14ac:dyDescent="0.25">
      <c r="B227" s="278"/>
      <c r="C227" s="308"/>
      <c r="D227" s="309"/>
      <c r="E227" s="85"/>
      <c r="F227" s="111"/>
      <c r="H227" s="1"/>
    </row>
    <row r="228" spans="2:8" s="266" customFormat="1" x14ac:dyDescent="0.25">
      <c r="B228" s="278"/>
      <c r="C228" s="313"/>
      <c r="D228" s="314"/>
      <c r="E228" s="113"/>
      <c r="F228" s="112"/>
      <c r="H228" s="1"/>
    </row>
    <row r="229" spans="2:8" s="266" customFormat="1" x14ac:dyDescent="0.25">
      <c r="B229" s="278"/>
      <c r="C229" s="278"/>
      <c r="D229" s="278"/>
      <c r="E229" s="265"/>
      <c r="F229" s="265"/>
      <c r="G229" s="265"/>
      <c r="H229" s="265"/>
    </row>
    <row r="230" spans="2:8" s="266" customFormat="1" ht="30" x14ac:dyDescent="0.25">
      <c r="B230" s="278"/>
      <c r="C230" s="307" t="s">
        <v>788</v>
      </c>
      <c r="D230" s="120"/>
      <c r="E230" s="120"/>
      <c r="F230" s="140"/>
      <c r="H230" s="1"/>
    </row>
    <row r="231" spans="2:8" s="266" customFormat="1" x14ac:dyDescent="0.25">
      <c r="B231" s="278"/>
      <c r="C231" s="308"/>
      <c r="D231" s="309"/>
      <c r="E231" s="85"/>
      <c r="F231" s="111"/>
      <c r="H231" s="1"/>
    </row>
    <row r="232" spans="2:8" s="266" customFormat="1" ht="45" x14ac:dyDescent="0.25">
      <c r="B232" s="278"/>
      <c r="C232" s="269" t="str" cm="1">
        <f t="array" aca="1" ref="C232" ca="1">HYPERLINK(CONCATENATE("#",CELL("address",Loans!$D$427)),Loans!$D$427)</f>
        <v>Loan Interest Calculation Option</v>
      </c>
      <c r="D232" s="309" t="s">
        <v>2424</v>
      </c>
      <c r="E232" s="85"/>
      <c r="F232" s="111"/>
      <c r="H232" s="1"/>
    </row>
    <row r="233" spans="2:8" s="266" customFormat="1" ht="30" x14ac:dyDescent="0.25">
      <c r="B233" s="278"/>
      <c r="C233" s="308"/>
      <c r="D233" s="309" t="s">
        <v>789</v>
      </c>
      <c r="E233" s="85"/>
      <c r="F233" s="111"/>
      <c r="H233" s="1"/>
    </row>
    <row r="234" spans="2:8" s="266" customFormat="1" ht="8.1" customHeight="1" x14ac:dyDescent="0.25">
      <c r="B234" s="278"/>
      <c r="C234" s="308"/>
      <c r="D234" s="309"/>
      <c r="E234" s="85"/>
      <c r="F234" s="111"/>
      <c r="G234" s="109" t="s">
        <v>99</v>
      </c>
    </row>
    <row r="235" spans="2:8" s="266" customFormat="1" ht="30" x14ac:dyDescent="0.25">
      <c r="B235" s="278"/>
      <c r="C235" s="308"/>
      <c r="D235" s="309" t="s">
        <v>790</v>
      </c>
      <c r="E235" s="100" t="str" cm="1">
        <f t="array" aca="1" ref="E235" ca="1">HYPERLINK(CONCATENATE("#",CELL("address",Loans!$P$11)),Loans!$P$11)</f>
        <v>Use Automated Interest Calculation?</v>
      </c>
      <c r="F235" s="111"/>
      <c r="H235" s="1"/>
    </row>
    <row r="236" spans="2:8" s="266" customFormat="1" ht="8.1" customHeight="1" x14ac:dyDescent="0.25">
      <c r="B236" s="278"/>
      <c r="C236" s="308"/>
      <c r="D236" s="309"/>
      <c r="E236" s="85"/>
      <c r="F236" s="111"/>
      <c r="G236" s="109" t="s">
        <v>99</v>
      </c>
    </row>
    <row r="237" spans="2:8" s="266" customFormat="1" ht="60" x14ac:dyDescent="0.25">
      <c r="B237" s="278"/>
      <c r="C237" s="308"/>
      <c r="D237" s="309" t="s">
        <v>2421</v>
      </c>
      <c r="E237" s="100" t="str" cm="1">
        <f t="array" aca="1" ref="E237" ca="1">HYPERLINK(CONCATENATE("#",CELL("address",Loans!$Q$11)),Loans!$Q$11)</f>
        <v>Date of first forecast interest payment</v>
      </c>
      <c r="F237" s="111"/>
      <c r="H237" s="1"/>
    </row>
    <row r="238" spans="2:8" s="266" customFormat="1" ht="8.1" customHeight="1" x14ac:dyDescent="0.25">
      <c r="B238" s="278"/>
      <c r="C238" s="308"/>
      <c r="D238" s="309"/>
      <c r="E238" s="85"/>
      <c r="F238" s="111"/>
      <c r="G238" s="109" t="s">
        <v>99</v>
      </c>
    </row>
    <row r="239" spans="2:8" s="266" customFormat="1" ht="30" x14ac:dyDescent="0.25">
      <c r="B239" s="278"/>
      <c r="C239" s="308"/>
      <c r="D239" s="309" t="s">
        <v>2422</v>
      </c>
      <c r="E239" s="100" t="str" cm="1">
        <f t="array" aca="1" ref="E239" ca="1">HYPERLINK(CONCATENATE("#",CELL("address",Loans!$R$11)),Loans!$R$11)</f>
        <v>Interest Compounding Frequency</v>
      </c>
      <c r="F239" s="111"/>
      <c r="H239" s="1"/>
    </row>
    <row r="240" spans="2:8" s="266" customFormat="1" ht="8.1" customHeight="1" x14ac:dyDescent="0.25">
      <c r="B240" s="278"/>
      <c r="C240" s="308"/>
      <c r="D240" s="309"/>
      <c r="E240" s="85"/>
      <c r="F240" s="111"/>
      <c r="G240" s="109" t="s">
        <v>99</v>
      </c>
    </row>
    <row r="241" spans="1:9" s="266" customFormat="1" ht="30" x14ac:dyDescent="0.25">
      <c r="B241" s="278"/>
      <c r="C241" s="308"/>
      <c r="D241" s="309" t="s">
        <v>2549</v>
      </c>
      <c r="E241" s="100" t="str" cm="1">
        <f t="array" aca="1" ref="E241" ca="1">HYPERLINK(CONCATENATE("#",CELL("address",Loans!$S$11)),Loans!$S$11)</f>
        <v>Interest Payment Frequency</v>
      </c>
      <c r="F241" s="111"/>
      <c r="H241" s="1"/>
    </row>
    <row r="242" spans="1:9" s="266" customFormat="1" ht="8.1" customHeight="1" x14ac:dyDescent="0.25">
      <c r="B242" s="278"/>
      <c r="C242" s="308"/>
      <c r="D242" s="309"/>
      <c r="E242" s="85"/>
      <c r="F242" s="111"/>
      <c r="G242" s="109" t="s">
        <v>99</v>
      </c>
    </row>
    <row r="243" spans="1:9" s="266" customFormat="1" ht="60" x14ac:dyDescent="0.25">
      <c r="B243" s="278"/>
      <c r="C243" s="308"/>
      <c r="D243" s="309" t="s">
        <v>2423</v>
      </c>
      <c r="E243" s="100" t="str" cm="1">
        <f t="array" aca="1" ref="E243" ca="1">HYPERLINK(CONCATENATE("#",CELL("address",Loans!$T$11)),Loans!$T$11)</f>
        <v>Intr. accrues at Period End</v>
      </c>
      <c r="F243" s="111"/>
      <c r="H243" s="1"/>
    </row>
    <row r="244" spans="1:9" s="266" customFormat="1" ht="8.1" customHeight="1" x14ac:dyDescent="0.25">
      <c r="B244" s="278"/>
      <c r="C244" s="308"/>
      <c r="D244" s="309"/>
      <c r="E244" s="85"/>
      <c r="F244" s="111"/>
      <c r="G244" s="109" t="s">
        <v>99</v>
      </c>
    </row>
    <row r="245" spans="1:9" s="266" customFormat="1" x14ac:dyDescent="0.25">
      <c r="B245" s="278"/>
      <c r="C245" s="313"/>
      <c r="D245" s="314"/>
      <c r="E245" s="113"/>
      <c r="F245" s="112"/>
      <c r="H245" s="1"/>
    </row>
    <row r="246" spans="1:9" s="266" customFormat="1" x14ac:dyDescent="0.25">
      <c r="B246" s="278"/>
      <c r="C246" s="69"/>
      <c r="D246" s="295"/>
      <c r="E246" s="15"/>
      <c r="F246" s="15"/>
      <c r="H246" s="1"/>
    </row>
    <row r="247" spans="1:9" x14ac:dyDescent="0.25">
      <c r="A247" s="12" t="s">
        <v>88</v>
      </c>
      <c r="B247" s="163" t="s">
        <v>88</v>
      </c>
      <c r="C247" s="163" t="s">
        <v>88</v>
      </c>
      <c r="D247" s="163" t="s">
        <v>88</v>
      </c>
      <c r="E247" s="12" t="s">
        <v>88</v>
      </c>
      <c r="F247" s="12" t="s">
        <v>88</v>
      </c>
      <c r="G247" s="12" t="s">
        <v>88</v>
      </c>
      <c r="H247" s="12" t="s">
        <v>88</v>
      </c>
      <c r="I247" s="12" t="s">
        <v>88</v>
      </c>
    </row>
  </sheetData>
  <sheetProtection algorithmName="SHA-512" hashValue="zff1H8Kq31g5s5HPmNE9uY31H1WaTTosLboB9DxHN/wFUaoll//RKulRRhj82K5i/DhC8xXlQ400sprYVFc3/w==" saltValue="7pboAUzJEao1Wl7u2K74/Q==" spinCount="100000" sheet="1" objects="1" scenarios="1"/>
  <dataValidations disablePrompts="1" count="5">
    <dataValidation allowBlank="1" promptTitle="Selected Profile Name" prompt="The selected Profile name should match the respective name on the 'I&amp;E Inputs_profiles' sheet._x000a__x000a_If the inputed name has changed on the 'I&amp;E Inputs_profiles' sheet, it must be reselected from the dropdown menu here." sqref="D138 D207:F207 D230:F230 D38:F38" xr:uid="{2E2B99F7-DE45-4B50-B5CF-7514C0C81957}"/>
    <dataValidation type="list" allowBlank="1" showInputMessage="1" showErrorMessage="1" sqref="G184:G192 G111:G115 G219:G220 G210 G214 G222 G224 G234 G236 G238 G240 G242 G244 G217 G133:G182 G55 G86:G90 G72:G73 G41 G46 G75 G77 G3:G35 G53 G44 G51 G58 G61 G66 G80 G82" xr:uid="{EFE1769F-25E0-4E9C-B694-CC2724B568AA}">
      <formula1>"Yes,No"</formula1>
    </dataValidation>
    <dataValidation allowBlank="1" showInputMessage="1" promptTitle="Actuals and Optional Data" prompt="Actuals I&amp;E data is always entered in the 'I&amp;E Inputs_monthly' sheet, regardless of the method selected. _x000a__x000a_Optional year I&amp;E data is also always entered on the &quot;I&amp;E Monthly&quot; sheet regardless of the method selected." sqref="E138 E155" xr:uid="{74B71414-2C48-4700-BFC4-281311CD1F01}"/>
    <dataValidation allowBlank="1" showInputMessage="1" promptTitle="Monthly Method: Forecast Data" prompt="Forecast data is entered  in the 'I&amp;E Monthly' sheet on a monthly basis using the monthly timeline." sqref="F138" xr:uid="{A2858C7C-8B38-4E92-98E8-BD3FF1124C46}"/>
    <dataValidation allowBlank="1" showInputMessage="1" promptTitle="Annual Method: Forecast Data" prompt="Forecast data is entered  in the 'I&amp;E Annual' sheet on an annual basis using the annual timeline. " sqref="F155" xr:uid="{A7F00432-945A-4A44-A7D5-0AF9AF147476}"/>
  </dataValidation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10DD-6B13-4B06-B15C-880A2112C11E}">
  <sheetPr codeName="Sheet14">
    <outlinePr summaryBelow="0" summaryRight="0"/>
    <pageSetUpPr autoPageBreaks="0"/>
  </sheetPr>
  <dimension ref="A1:EX391"/>
  <sheetViews>
    <sheetView showGridLines="0" zoomScaleNormal="100" workbookViewId="0">
      <pane xSplit="8" ySplit="7" topLeftCell="I8" activePane="bottomRight" state="frozen"/>
      <selection pane="topRight"/>
      <selection pane="bottomLeft"/>
      <selection pane="bottomRight"/>
    </sheetView>
  </sheetViews>
  <sheetFormatPr defaultColWidth="8.5703125" defaultRowHeight="15" outlineLevelCol="1" x14ac:dyDescent="0.25"/>
  <cols>
    <col min="1" max="1" width="6.5703125" style="11" bestFit="1" customWidth="1" collapsed="1"/>
    <col min="2" max="3" width="9.42578125" style="11" bestFit="1" customWidth="1"/>
    <col min="4" max="4" width="48.42578125" style="11" customWidth="1"/>
    <col min="5" max="5" width="11.5703125" style="1" customWidth="1"/>
    <col min="6" max="6" width="11.5703125" style="11" customWidth="1"/>
    <col min="7" max="8" width="3" style="11" customWidth="1"/>
    <col min="9" max="9" width="2.85546875" style="11" bestFit="1" customWidth="1" collapsed="1"/>
    <col min="10" max="10" width="8.5703125" style="11" hidden="1" customWidth="1" outlineLevel="1"/>
    <col min="11" max="11" width="10.42578125" style="11" hidden="1" customWidth="1" outlineLevel="1"/>
    <col min="12" max="18" width="8.5703125" style="11" hidden="1" customWidth="1" outlineLevel="1"/>
    <col min="19" max="19" width="1.42578125" hidden="1" customWidth="1" outlineLevel="1"/>
    <col min="20" max="21" width="11.140625" style="11" hidden="1" customWidth="1" outlineLevel="1"/>
    <col min="22" max="23" width="9.42578125" style="11" bestFit="1" customWidth="1"/>
    <col min="24" max="25" width="9.42578125" bestFit="1" customWidth="1"/>
    <col min="26" max="26" width="1.42578125" style="11" customWidth="1"/>
    <col min="27" max="62" width="9.5703125" style="11" bestFit="1" customWidth="1"/>
    <col min="63" max="63" width="1.42578125" style="11" customWidth="1"/>
    <col min="64" max="67" width="9.42578125" style="11" bestFit="1" customWidth="1" outlineLevel="1"/>
    <col min="68" max="75" width="9.42578125" style="11" bestFit="1" customWidth="1"/>
    <col min="76" max="76" width="1.42578125" style="11" customWidth="1"/>
    <col min="77" max="77" width="3.42578125" style="11" customWidth="1"/>
    <col min="78" max="78" width="13.42578125" style="11" customWidth="1"/>
    <col min="79" max="79" width="2.5703125" style="11" customWidth="1"/>
    <col min="80" max="153" width="8.5703125" style="11"/>
    <col min="154" max="154" width="31.42578125" style="11" customWidth="1" outlineLevel="1"/>
    <col min="155" max="16384" width="8.5703125" style="11"/>
  </cols>
  <sheetData>
    <row r="1" spans="1:154" x14ac:dyDescent="0.25">
      <c r="A1" s="7">
        <f ca="1">ToC!A1</f>
        <v>0</v>
      </c>
      <c r="B1" s="20" t="s">
        <v>283</v>
      </c>
      <c r="C1" s="14"/>
      <c r="D1" s="14" t="str">
        <f>Template!$D$1</f>
        <v>HALESOWEN COLLEGE</v>
      </c>
      <c r="E1" s="14"/>
      <c r="F1" s="14"/>
      <c r="G1" s="14"/>
      <c r="H1" s="14"/>
      <c r="I1" s="14"/>
      <c r="J1" s="14"/>
      <c r="K1" s="14"/>
      <c r="L1" s="14"/>
      <c r="M1" s="14"/>
      <c r="N1" s="14"/>
      <c r="O1" s="14"/>
      <c r="P1" s="14"/>
      <c r="Q1" s="14"/>
      <c r="R1" s="14"/>
      <c r="S1" s="14"/>
      <c r="T1" s="14"/>
      <c r="U1" s="14"/>
      <c r="V1" s="14" t="s">
        <v>1</v>
      </c>
      <c r="W1" s="14"/>
      <c r="X1" s="14"/>
      <c r="Y1" s="14"/>
      <c r="Z1" s="14"/>
      <c r="AA1" s="14" t="s">
        <v>89</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
        <v>275</v>
      </c>
      <c r="BM1" s="14"/>
      <c r="BN1" s="14"/>
      <c r="BO1" s="14"/>
      <c r="BP1" s="14" t="s">
        <v>278</v>
      </c>
      <c r="BQ1" s="14"/>
      <c r="BR1" s="14"/>
      <c r="BS1" s="14"/>
      <c r="BT1" s="14"/>
      <c r="BU1" s="14"/>
      <c r="BV1" s="14"/>
      <c r="BW1" s="14"/>
      <c r="BX1" s="14"/>
      <c r="BY1" s="607"/>
      <c r="CA1" s="607"/>
      <c r="EX1" s="5" t="s">
        <v>1563</v>
      </c>
    </row>
    <row r="2" spans="1:154" ht="14.45" customHeight="1" x14ac:dyDescent="0.25">
      <c r="A2" s="14"/>
      <c r="B2" s="92" t="str" cm="1">
        <f t="array" aca="1" ref="B2" ca="1">HYPERLINK(CONCATENATE("#",CELL("address",Guide!$A$134)),Guide!$B$1)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607"/>
      <c r="CA2" s="607"/>
      <c r="EX2" s="335"/>
    </row>
    <row r="3" spans="1:154" x14ac:dyDescent="0.25">
      <c r="A3" s="92" t="str" cm="1">
        <f t="array" aca="1" ref="A3" ca="1">HYPERLINK(CONCATENATE("#",CELL("address",ToC!$A$1)),ToC!$C$1)</f>
        <v>ToC</v>
      </c>
      <c r="B3" s="14"/>
      <c r="C3" s="14"/>
      <c r="D3" s="43" t="s">
        <v>2</v>
      </c>
      <c r="E3" s="26"/>
      <c r="F3" s="14"/>
      <c r="G3" s="14"/>
      <c r="H3" s="14"/>
      <c r="I3" s="14"/>
      <c r="J3" s="14"/>
      <c r="K3" s="14"/>
      <c r="L3" s="14"/>
      <c r="M3" s="14"/>
      <c r="N3" s="14"/>
      <c r="O3" s="14"/>
      <c r="P3" s="14"/>
      <c r="Q3" s="14"/>
      <c r="R3" s="14"/>
      <c r="S3" s="14"/>
      <c r="T3" s="14"/>
      <c r="U3" s="14"/>
      <c r="V3" s="204" t="str">
        <f>"FY"&amp;V12</f>
        <v>FY2020</v>
      </c>
      <c r="W3" s="18" t="str">
        <f>"FY"&amp;W12</f>
        <v>FY2021</v>
      </c>
      <c r="X3" s="18" t="str">
        <f>"FY"&amp;X12</f>
        <v>FY2022</v>
      </c>
      <c r="Y3" s="19" t="str">
        <f>"FY"&amp;Y12</f>
        <v>FY2023</v>
      </c>
      <c r="Z3" s="14"/>
      <c r="AA3" s="17" t="str">
        <f t="shared" ref="AA3:BJ3" si="0">"FY"&amp;AA12</f>
        <v>FY2021</v>
      </c>
      <c r="AB3" s="18" t="str">
        <f t="shared" si="0"/>
        <v>FY2021</v>
      </c>
      <c r="AC3" s="18" t="str">
        <f t="shared" si="0"/>
        <v>FY2021</v>
      </c>
      <c r="AD3" s="18" t="str">
        <f t="shared" si="0"/>
        <v>FY2021</v>
      </c>
      <c r="AE3" s="18" t="str">
        <f t="shared" si="0"/>
        <v>FY2021</v>
      </c>
      <c r="AF3" s="18" t="str">
        <f t="shared" si="0"/>
        <v>FY2021</v>
      </c>
      <c r="AG3" s="18" t="str">
        <f t="shared" si="0"/>
        <v>FY2021</v>
      </c>
      <c r="AH3" s="18" t="str">
        <f t="shared" si="0"/>
        <v>FY2021</v>
      </c>
      <c r="AI3" s="18" t="str">
        <f t="shared" si="0"/>
        <v>FY2021</v>
      </c>
      <c r="AJ3" s="18" t="str">
        <f t="shared" si="0"/>
        <v>FY2021</v>
      </c>
      <c r="AK3" s="18" t="str">
        <f t="shared" si="0"/>
        <v>FY2021</v>
      </c>
      <c r="AL3" s="19" t="str">
        <f t="shared" si="0"/>
        <v>FY2021</v>
      </c>
      <c r="AM3" s="18" t="str">
        <f t="shared" si="0"/>
        <v>FY2022</v>
      </c>
      <c r="AN3" s="18" t="str">
        <f t="shared" si="0"/>
        <v>FY2022</v>
      </c>
      <c r="AO3" s="18" t="str">
        <f t="shared" si="0"/>
        <v>FY2022</v>
      </c>
      <c r="AP3" s="18" t="str">
        <f t="shared" si="0"/>
        <v>FY2022</v>
      </c>
      <c r="AQ3" s="18" t="str">
        <f t="shared" si="0"/>
        <v>FY2022</v>
      </c>
      <c r="AR3" s="18" t="str">
        <f t="shared" si="0"/>
        <v>FY2022</v>
      </c>
      <c r="AS3" s="18" t="str">
        <f t="shared" si="0"/>
        <v>FY2022</v>
      </c>
      <c r="AT3" s="18" t="str">
        <f t="shared" si="0"/>
        <v>FY2022</v>
      </c>
      <c r="AU3" s="18" t="str">
        <f t="shared" si="0"/>
        <v>FY2022</v>
      </c>
      <c r="AV3" s="18" t="str">
        <f t="shared" si="0"/>
        <v>FY2022</v>
      </c>
      <c r="AW3" s="18" t="str">
        <f t="shared" si="0"/>
        <v>FY2022</v>
      </c>
      <c r="AX3" s="18" t="str">
        <f t="shared" si="0"/>
        <v>FY2022</v>
      </c>
      <c r="AY3" s="17" t="str">
        <f t="shared" si="0"/>
        <v>FY2023</v>
      </c>
      <c r="AZ3" s="18" t="str">
        <f t="shared" si="0"/>
        <v>FY2023</v>
      </c>
      <c r="BA3" s="18" t="str">
        <f t="shared" si="0"/>
        <v>FY2023</v>
      </c>
      <c r="BB3" s="18" t="str">
        <f t="shared" si="0"/>
        <v>FY2023</v>
      </c>
      <c r="BC3" s="18" t="str">
        <f t="shared" si="0"/>
        <v>FY2023</v>
      </c>
      <c r="BD3" s="18" t="str">
        <f t="shared" si="0"/>
        <v>FY2023</v>
      </c>
      <c r="BE3" s="18" t="str">
        <f t="shared" si="0"/>
        <v>FY2023</v>
      </c>
      <c r="BF3" s="18" t="str">
        <f t="shared" si="0"/>
        <v>FY2023</v>
      </c>
      <c r="BG3" s="18" t="str">
        <f t="shared" si="0"/>
        <v>FY2023</v>
      </c>
      <c r="BH3" s="18" t="str">
        <f t="shared" si="0"/>
        <v>FY2023</v>
      </c>
      <c r="BI3" s="18" t="str">
        <f t="shared" si="0"/>
        <v>FY2023</v>
      </c>
      <c r="BJ3" s="19" t="str">
        <f t="shared" si="0"/>
        <v>FY2023</v>
      </c>
      <c r="BK3" s="14"/>
      <c r="BL3" s="17" t="str">
        <f t="shared" ref="BL3:BW3" si="1">"FY"&amp;BL12</f>
        <v>FY2020</v>
      </c>
      <c r="BM3" s="18" t="str">
        <f t="shared" si="1"/>
        <v>FY2021</v>
      </c>
      <c r="BN3" s="18" t="str">
        <f t="shared" si="1"/>
        <v>FY2022</v>
      </c>
      <c r="BO3" s="19" t="str">
        <f t="shared" si="1"/>
        <v>FY2023</v>
      </c>
      <c r="BP3" s="17" t="str">
        <f t="shared" si="1"/>
        <v>FY2024</v>
      </c>
      <c r="BQ3" s="18" t="str">
        <f t="shared" si="1"/>
        <v>FY2025</v>
      </c>
      <c r="BR3" s="18" t="str">
        <f t="shared" si="1"/>
        <v>FY2026</v>
      </c>
      <c r="BS3" s="18" t="str">
        <f t="shared" si="1"/>
        <v>FY2027</v>
      </c>
      <c r="BT3" s="18" t="str">
        <f t="shared" si="1"/>
        <v>FY2028</v>
      </c>
      <c r="BU3" s="18" t="str">
        <f t="shared" si="1"/>
        <v>FY2029</v>
      </c>
      <c r="BV3" s="18" t="str">
        <f t="shared" si="1"/>
        <v>FY2030</v>
      </c>
      <c r="BW3" s="19" t="str">
        <f t="shared" si="1"/>
        <v>FY2031</v>
      </c>
      <c r="BX3" s="14"/>
      <c r="BY3" s="607"/>
      <c r="CA3" s="607"/>
      <c r="EX3" s="335"/>
    </row>
    <row r="4" spans="1:154" x14ac:dyDescent="0.25">
      <c r="A4" s="14"/>
      <c r="B4" s="14"/>
      <c r="C4" s="14"/>
      <c r="D4" s="43" t="s">
        <v>116</v>
      </c>
      <c r="E4" s="26"/>
      <c r="F4" s="14"/>
      <c r="G4" s="14"/>
      <c r="H4" s="14"/>
      <c r="I4" s="14"/>
      <c r="J4" s="14"/>
      <c r="K4" s="14"/>
      <c r="L4" s="14"/>
      <c r="M4" s="14"/>
      <c r="N4" s="14"/>
      <c r="O4" s="14"/>
      <c r="P4" s="14"/>
      <c r="Q4" s="14"/>
      <c r="R4" s="14"/>
      <c r="S4" s="14"/>
      <c r="T4" s="14"/>
      <c r="U4" s="14"/>
      <c r="V4" s="32">
        <f>IF(AND($E$10&gt;=V8, $E$10&lt;V10), -1, IF($E$10&lt;V10, 1, 0))</f>
        <v>0</v>
      </c>
      <c r="W4" s="207">
        <f t="shared" ref="W4:Y4" si="2">IF(AND($E$10&gt;=W8, $E$10&lt;W10), -1, IF($E$10&lt;W10, 1, 0))</f>
        <v>-1</v>
      </c>
      <c r="X4" s="207">
        <f t="shared" si="2"/>
        <v>1</v>
      </c>
      <c r="Y4" s="34">
        <f t="shared" si="2"/>
        <v>1</v>
      </c>
      <c r="Z4" s="14"/>
      <c r="AA4" s="32">
        <f t="shared" ref="AA4:BJ4" si="3">IF($E$10&lt;AA10, 1, 0)</f>
        <v>0</v>
      </c>
      <c r="AB4" s="33">
        <f t="shared" si="3"/>
        <v>0</v>
      </c>
      <c r="AC4" s="33">
        <f t="shared" si="3"/>
        <v>0</v>
      </c>
      <c r="AD4" s="33">
        <f t="shared" si="3"/>
        <v>0</v>
      </c>
      <c r="AE4" s="33">
        <f t="shared" si="3"/>
        <v>0</v>
      </c>
      <c r="AF4" s="33">
        <f t="shared" si="3"/>
        <v>0</v>
      </c>
      <c r="AG4" s="33">
        <f t="shared" si="3"/>
        <v>0</v>
      </c>
      <c r="AH4" s="33">
        <f t="shared" si="3"/>
        <v>0</v>
      </c>
      <c r="AI4" s="33">
        <f t="shared" si="3"/>
        <v>0</v>
      </c>
      <c r="AJ4" s="33">
        <f t="shared" si="3"/>
        <v>0</v>
      </c>
      <c r="AK4" s="33">
        <f t="shared" si="3"/>
        <v>0</v>
      </c>
      <c r="AL4" s="34">
        <f t="shared" si="3"/>
        <v>1</v>
      </c>
      <c r="AM4" s="81">
        <f t="shared" si="3"/>
        <v>1</v>
      </c>
      <c r="AN4" s="81">
        <f>IF($E$10&lt;AN10, 1, 0)</f>
        <v>1</v>
      </c>
      <c r="AO4" s="81">
        <f>IF($E$10&lt;AO10, 1, 0)</f>
        <v>1</v>
      </c>
      <c r="AP4" s="81">
        <f t="shared" si="3"/>
        <v>1</v>
      </c>
      <c r="AQ4" s="81">
        <f t="shared" si="3"/>
        <v>1</v>
      </c>
      <c r="AR4" s="81">
        <f t="shared" si="3"/>
        <v>1</v>
      </c>
      <c r="AS4" s="81">
        <f t="shared" si="3"/>
        <v>1</v>
      </c>
      <c r="AT4" s="81">
        <f t="shared" si="3"/>
        <v>1</v>
      </c>
      <c r="AU4" s="81">
        <f t="shared" si="3"/>
        <v>1</v>
      </c>
      <c r="AV4" s="81">
        <f t="shared" si="3"/>
        <v>1</v>
      </c>
      <c r="AW4" s="81">
        <f t="shared" si="3"/>
        <v>1</v>
      </c>
      <c r="AX4" s="81">
        <f t="shared" si="3"/>
        <v>1</v>
      </c>
      <c r="AY4" s="32">
        <f t="shared" si="3"/>
        <v>1</v>
      </c>
      <c r="AZ4" s="33">
        <f t="shared" si="3"/>
        <v>1</v>
      </c>
      <c r="BA4" s="33">
        <f t="shared" si="3"/>
        <v>1</v>
      </c>
      <c r="BB4" s="33">
        <f t="shared" si="3"/>
        <v>1</v>
      </c>
      <c r="BC4" s="33">
        <f t="shared" si="3"/>
        <v>1</v>
      </c>
      <c r="BD4" s="33">
        <f t="shared" si="3"/>
        <v>1</v>
      </c>
      <c r="BE4" s="33">
        <f t="shared" si="3"/>
        <v>1</v>
      </c>
      <c r="BF4" s="33">
        <f t="shared" si="3"/>
        <v>1</v>
      </c>
      <c r="BG4" s="33">
        <f t="shared" si="3"/>
        <v>1</v>
      </c>
      <c r="BH4" s="33">
        <f t="shared" si="3"/>
        <v>1</v>
      </c>
      <c r="BI4" s="33">
        <f t="shared" si="3"/>
        <v>1</v>
      </c>
      <c r="BJ4" s="34">
        <f t="shared" si="3"/>
        <v>1</v>
      </c>
      <c r="BK4" s="14"/>
      <c r="BL4" s="32">
        <f>IF(AND($E$10&gt;=BL8, $E$10&lt;BL10), -1, IF($E$10&lt;BL10, 1, 0))</f>
        <v>0</v>
      </c>
      <c r="BM4" s="33">
        <f t="shared" ref="BM4:BW4" si="4">IF(AND($E$10&gt;=BM8, $E$10&lt;BM10), -1, IF($E$10&lt;BM10, 1, 0))</f>
        <v>-1</v>
      </c>
      <c r="BN4" s="33">
        <f t="shared" si="4"/>
        <v>1</v>
      </c>
      <c r="BO4" s="34">
        <f t="shared" si="4"/>
        <v>1</v>
      </c>
      <c r="BP4" s="32">
        <f t="shared" si="4"/>
        <v>1</v>
      </c>
      <c r="BQ4" s="33">
        <f t="shared" si="4"/>
        <v>1</v>
      </c>
      <c r="BR4" s="33">
        <f t="shared" si="4"/>
        <v>1</v>
      </c>
      <c r="BS4" s="33">
        <f t="shared" si="4"/>
        <v>1</v>
      </c>
      <c r="BT4" s="33">
        <f t="shared" si="4"/>
        <v>1</v>
      </c>
      <c r="BU4" s="33">
        <f t="shared" si="4"/>
        <v>1</v>
      </c>
      <c r="BV4" s="33">
        <f t="shared" si="4"/>
        <v>1</v>
      </c>
      <c r="BW4" s="34">
        <f t="shared" si="4"/>
        <v>1</v>
      </c>
      <c r="BX4" s="14"/>
      <c r="BY4" s="607"/>
      <c r="BZ4" s="576"/>
      <c r="CA4" s="607"/>
      <c r="EX4" s="335"/>
    </row>
    <row r="5" spans="1:154" x14ac:dyDescent="0.25">
      <c r="A5" s="14"/>
      <c r="B5" s="14"/>
      <c r="C5" s="14"/>
      <c r="D5" s="43" t="s">
        <v>4</v>
      </c>
      <c r="E5" s="26"/>
      <c r="F5" s="14"/>
      <c r="G5" s="14"/>
      <c r="H5" s="14"/>
      <c r="I5" s="14"/>
      <c r="J5" s="14"/>
      <c r="K5" s="14"/>
      <c r="L5" s="14"/>
      <c r="M5" s="14"/>
      <c r="N5" s="14"/>
      <c r="O5" s="14"/>
      <c r="P5" s="14"/>
      <c r="Q5" s="14"/>
      <c r="R5" s="14"/>
      <c r="S5" s="14"/>
      <c r="T5" s="14"/>
      <c r="U5" s="14"/>
      <c r="V5" s="21">
        <f>V10</f>
        <v>44043</v>
      </c>
      <c r="W5" s="22">
        <f t="shared" ref="W5:Y5" si="5">W10</f>
        <v>44408</v>
      </c>
      <c r="X5" s="22">
        <f t="shared" si="5"/>
        <v>44773</v>
      </c>
      <c r="Y5" s="23">
        <f t="shared" si="5"/>
        <v>45138</v>
      </c>
      <c r="Z5" s="14"/>
      <c r="AA5" s="21">
        <f>AA10</f>
        <v>44074</v>
      </c>
      <c r="AB5" s="22">
        <f t="shared" ref="AB5:BW5" si="6">AB10</f>
        <v>44104</v>
      </c>
      <c r="AC5" s="22">
        <f t="shared" si="6"/>
        <v>44135</v>
      </c>
      <c r="AD5" s="22">
        <f t="shared" si="6"/>
        <v>44165</v>
      </c>
      <c r="AE5" s="22">
        <f t="shared" si="6"/>
        <v>44196</v>
      </c>
      <c r="AF5" s="22">
        <f t="shared" si="6"/>
        <v>44227</v>
      </c>
      <c r="AG5" s="22">
        <f t="shared" si="6"/>
        <v>44255</v>
      </c>
      <c r="AH5" s="22">
        <f t="shared" si="6"/>
        <v>44286</v>
      </c>
      <c r="AI5" s="22">
        <f t="shared" si="6"/>
        <v>44316</v>
      </c>
      <c r="AJ5" s="22">
        <f t="shared" si="6"/>
        <v>44347</v>
      </c>
      <c r="AK5" s="22">
        <f t="shared" si="6"/>
        <v>44377</v>
      </c>
      <c r="AL5" s="23">
        <f t="shared" si="6"/>
        <v>44408</v>
      </c>
      <c r="AM5" s="22">
        <f t="shared" si="6"/>
        <v>44439</v>
      </c>
      <c r="AN5" s="22">
        <f t="shared" si="6"/>
        <v>44469</v>
      </c>
      <c r="AO5" s="22">
        <f t="shared" si="6"/>
        <v>44500</v>
      </c>
      <c r="AP5" s="22">
        <f t="shared" si="6"/>
        <v>44530</v>
      </c>
      <c r="AQ5" s="22">
        <f t="shared" si="6"/>
        <v>44561</v>
      </c>
      <c r="AR5" s="22">
        <f t="shared" si="6"/>
        <v>44592</v>
      </c>
      <c r="AS5" s="22">
        <f t="shared" si="6"/>
        <v>44620</v>
      </c>
      <c r="AT5" s="22">
        <f t="shared" si="6"/>
        <v>44651</v>
      </c>
      <c r="AU5" s="22">
        <f t="shared" si="6"/>
        <v>44681</v>
      </c>
      <c r="AV5" s="22">
        <f t="shared" si="6"/>
        <v>44712</v>
      </c>
      <c r="AW5" s="22">
        <f t="shared" si="6"/>
        <v>44742</v>
      </c>
      <c r="AX5" s="22">
        <f t="shared" si="6"/>
        <v>44773</v>
      </c>
      <c r="AY5" s="21">
        <f t="shared" si="6"/>
        <v>44804</v>
      </c>
      <c r="AZ5" s="22">
        <f t="shared" si="6"/>
        <v>44834</v>
      </c>
      <c r="BA5" s="22">
        <f t="shared" si="6"/>
        <v>44865</v>
      </c>
      <c r="BB5" s="22">
        <f t="shared" si="6"/>
        <v>44895</v>
      </c>
      <c r="BC5" s="22">
        <f t="shared" si="6"/>
        <v>44926</v>
      </c>
      <c r="BD5" s="22">
        <f t="shared" si="6"/>
        <v>44957</v>
      </c>
      <c r="BE5" s="22">
        <f t="shared" si="6"/>
        <v>44985</v>
      </c>
      <c r="BF5" s="22">
        <f t="shared" si="6"/>
        <v>45016</v>
      </c>
      <c r="BG5" s="22">
        <f t="shared" si="6"/>
        <v>45046</v>
      </c>
      <c r="BH5" s="22">
        <f t="shared" si="6"/>
        <v>45077</v>
      </c>
      <c r="BI5" s="22">
        <f t="shared" si="6"/>
        <v>45107</v>
      </c>
      <c r="BJ5" s="23">
        <f t="shared" si="6"/>
        <v>45138</v>
      </c>
      <c r="BK5" s="14"/>
      <c r="BL5" s="21">
        <f t="shared" si="6"/>
        <v>44043</v>
      </c>
      <c r="BM5" s="22">
        <f t="shared" si="6"/>
        <v>44408</v>
      </c>
      <c r="BN5" s="22">
        <f t="shared" si="6"/>
        <v>44773</v>
      </c>
      <c r="BO5" s="23">
        <f>BO10</f>
        <v>45138</v>
      </c>
      <c r="BP5" s="21">
        <f t="shared" si="6"/>
        <v>45504</v>
      </c>
      <c r="BQ5" s="22">
        <f t="shared" si="6"/>
        <v>45869</v>
      </c>
      <c r="BR5" s="22">
        <f t="shared" si="6"/>
        <v>46234</v>
      </c>
      <c r="BS5" s="22">
        <f t="shared" si="6"/>
        <v>46599</v>
      </c>
      <c r="BT5" s="22">
        <f t="shared" si="6"/>
        <v>46965</v>
      </c>
      <c r="BU5" s="22">
        <f t="shared" si="6"/>
        <v>47330</v>
      </c>
      <c r="BV5" s="22">
        <f t="shared" si="6"/>
        <v>47695</v>
      </c>
      <c r="BW5" s="23">
        <f t="shared" si="6"/>
        <v>48060</v>
      </c>
      <c r="BX5" s="14"/>
      <c r="BY5" s="607"/>
      <c r="BZ5" s="576"/>
      <c r="CA5" s="607"/>
      <c r="EX5" s="335"/>
    </row>
    <row r="6" spans="1:154" x14ac:dyDescent="0.25">
      <c r="A6" s="80" t="str" cm="1">
        <f t="array" aca="1" ref="A6" ca="1">HYPERLINK(CONCATENATE("#",CELL("address",BY7)),"Check")</f>
        <v>Check</v>
      </c>
      <c r="B6" s="14"/>
      <c r="C6" s="14"/>
      <c r="D6" s="14" t="str">
        <f>Template!D6</f>
        <v>Description</v>
      </c>
      <c r="E6" s="44"/>
      <c r="F6" s="14"/>
      <c r="G6" s="14"/>
      <c r="H6" s="14"/>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607"/>
      <c r="BZ6" s="576"/>
      <c r="CA6" s="607"/>
      <c r="EX6" s="335"/>
    </row>
    <row r="7" spans="1:154" ht="6.6" customHeight="1" x14ac:dyDescent="0.25">
      <c r="D7" s="1"/>
      <c r="E7" s="11"/>
      <c r="S7" s="11"/>
      <c r="X7" s="11"/>
      <c r="Y7" s="11"/>
      <c r="BM7" s="6"/>
      <c r="BY7" s="42"/>
      <c r="CA7" s="42"/>
      <c r="CB7"/>
      <c r="EX7" s="335"/>
    </row>
    <row r="8" spans="1:154" x14ac:dyDescent="0.25">
      <c r="D8" s="1" t="s">
        <v>3</v>
      </c>
      <c r="E8" s="159">
        <f>'Cover Sheet'!$E$23</f>
        <v>44044</v>
      </c>
      <c r="T8" s="335"/>
      <c r="U8" s="335"/>
      <c r="V8" s="353">
        <f>DATE(YEAR(W8)-1, first_FY_month, 1)</f>
        <v>43678</v>
      </c>
      <c r="W8" s="353">
        <f>E8</f>
        <v>44044</v>
      </c>
      <c r="X8" s="38">
        <f>W10+1</f>
        <v>44409</v>
      </c>
      <c r="Y8" s="38">
        <f t="shared" ref="Y8" si="7">X10+1</f>
        <v>44774</v>
      </c>
      <c r="Z8" s="37"/>
      <c r="AA8" s="353">
        <f>$E$8</f>
        <v>44044</v>
      </c>
      <c r="AB8" s="38">
        <f>AA10+1</f>
        <v>44075</v>
      </c>
      <c r="AC8" s="38">
        <f t="shared" ref="AC8:BJ8" si="8">AB10+1</f>
        <v>44105</v>
      </c>
      <c r="AD8" s="38">
        <f t="shared" si="8"/>
        <v>44136</v>
      </c>
      <c r="AE8" s="38">
        <f t="shared" si="8"/>
        <v>44166</v>
      </c>
      <c r="AF8" s="38">
        <f t="shared" si="8"/>
        <v>44197</v>
      </c>
      <c r="AG8" s="38">
        <f t="shared" si="8"/>
        <v>44228</v>
      </c>
      <c r="AH8" s="38">
        <f t="shared" si="8"/>
        <v>44256</v>
      </c>
      <c r="AI8" s="38">
        <f t="shared" si="8"/>
        <v>44287</v>
      </c>
      <c r="AJ8" s="38">
        <f t="shared" si="8"/>
        <v>44317</v>
      </c>
      <c r="AK8" s="38">
        <f t="shared" si="8"/>
        <v>44348</v>
      </c>
      <c r="AL8" s="38">
        <f t="shared" si="8"/>
        <v>44378</v>
      </c>
      <c r="AM8" s="38">
        <f t="shared" si="8"/>
        <v>44409</v>
      </c>
      <c r="AN8" s="38">
        <f t="shared" si="8"/>
        <v>44440</v>
      </c>
      <c r="AO8" s="38">
        <f t="shared" si="8"/>
        <v>44470</v>
      </c>
      <c r="AP8" s="38">
        <f t="shared" si="8"/>
        <v>44501</v>
      </c>
      <c r="AQ8" s="38">
        <f t="shared" si="8"/>
        <v>44531</v>
      </c>
      <c r="AR8" s="38">
        <f t="shared" si="8"/>
        <v>44562</v>
      </c>
      <c r="AS8" s="38">
        <f t="shared" si="8"/>
        <v>44593</v>
      </c>
      <c r="AT8" s="38">
        <f t="shared" si="8"/>
        <v>44621</v>
      </c>
      <c r="AU8" s="38">
        <f t="shared" si="8"/>
        <v>44652</v>
      </c>
      <c r="AV8" s="38">
        <f t="shared" si="8"/>
        <v>44682</v>
      </c>
      <c r="AW8" s="38">
        <f t="shared" si="8"/>
        <v>44713</v>
      </c>
      <c r="AX8" s="38">
        <f t="shared" si="8"/>
        <v>44743</v>
      </c>
      <c r="AY8" s="38">
        <f t="shared" si="8"/>
        <v>44774</v>
      </c>
      <c r="AZ8" s="38">
        <f t="shared" si="8"/>
        <v>44805</v>
      </c>
      <c r="BA8" s="38">
        <f t="shared" si="8"/>
        <v>44835</v>
      </c>
      <c r="BB8" s="38">
        <f t="shared" si="8"/>
        <v>44866</v>
      </c>
      <c r="BC8" s="38">
        <f t="shared" si="8"/>
        <v>44896</v>
      </c>
      <c r="BD8" s="38">
        <f t="shared" si="8"/>
        <v>44927</v>
      </c>
      <c r="BE8" s="38">
        <f t="shared" si="8"/>
        <v>44958</v>
      </c>
      <c r="BF8" s="38">
        <f t="shared" si="8"/>
        <v>44986</v>
      </c>
      <c r="BG8" s="38">
        <f t="shared" si="8"/>
        <v>45017</v>
      </c>
      <c r="BH8" s="38">
        <f t="shared" si="8"/>
        <v>45047</v>
      </c>
      <c r="BI8" s="38">
        <f t="shared" si="8"/>
        <v>45078</v>
      </c>
      <c r="BJ8" s="38">
        <f t="shared" si="8"/>
        <v>45108</v>
      </c>
      <c r="BK8" s="37"/>
      <c r="BL8" s="353">
        <f>V8</f>
        <v>43678</v>
      </c>
      <c r="BM8" s="353">
        <f>W8</f>
        <v>44044</v>
      </c>
      <c r="BN8" s="353">
        <f>X8</f>
        <v>44409</v>
      </c>
      <c r="BO8" s="353">
        <f>Y8</f>
        <v>44774</v>
      </c>
      <c r="BP8" s="38">
        <f>BO10+1</f>
        <v>45139</v>
      </c>
      <c r="BQ8" s="38">
        <f t="shared" ref="BQ8:BW8" si="9">BP10+1</f>
        <v>45505</v>
      </c>
      <c r="BR8" s="38">
        <f t="shared" si="9"/>
        <v>45870</v>
      </c>
      <c r="BS8" s="38">
        <f t="shared" si="9"/>
        <v>46235</v>
      </c>
      <c r="BT8" s="38">
        <f t="shared" si="9"/>
        <v>46600</v>
      </c>
      <c r="BU8" s="38">
        <f t="shared" si="9"/>
        <v>46966</v>
      </c>
      <c r="BV8" s="38">
        <f t="shared" si="9"/>
        <v>47331</v>
      </c>
      <c r="BW8" s="38">
        <f t="shared" si="9"/>
        <v>47696</v>
      </c>
      <c r="BY8" s="12"/>
      <c r="CA8" s="12"/>
      <c r="EX8" s="10" t="str">
        <f t="shared" ref="EX8" si="10">IF($C8="","",$D8)</f>
        <v/>
      </c>
    </row>
    <row r="9" spans="1:154" ht="6.6" customHeight="1" x14ac:dyDescent="0.25">
      <c r="D9" s="1"/>
      <c r="E9" s="11"/>
      <c r="F9" s="335"/>
      <c r="S9" s="11"/>
      <c r="T9" s="335"/>
      <c r="U9" s="335"/>
      <c r="X9" s="11"/>
      <c r="Y9" s="11"/>
      <c r="BM9" s="6"/>
      <c r="BY9" s="42"/>
      <c r="CA9" s="42"/>
      <c r="EX9" s="10" t="str">
        <f>IF($C9="","",$D9)</f>
        <v/>
      </c>
    </row>
    <row r="10" spans="1:154" x14ac:dyDescent="0.25">
      <c r="D10" s="1" t="s">
        <v>4</v>
      </c>
      <c r="E10" s="159">
        <f>'Cover Sheet'!$E$27</f>
        <v>44377</v>
      </c>
      <c r="F10" s="335"/>
      <c r="S10" s="11"/>
      <c r="T10" s="335"/>
      <c r="U10" s="335"/>
      <c r="V10" s="233">
        <f>EOMONTH(DATE(YEAR(V8)+1, last_FY_month, 1),0)</f>
        <v>44043</v>
      </c>
      <c r="W10" s="233">
        <f>EOMONTH(DATE(YEAR(W8)+1, last_FY_month, 1),0)</f>
        <v>44408</v>
      </c>
      <c r="X10" s="233">
        <f>EOMONTH(DATE(YEAR(X8)+1, last_FY_month, 1),0)</f>
        <v>44773</v>
      </c>
      <c r="Y10" s="233">
        <f>EOMONTH(DATE(YEAR(Y8)+1, last_FY_month, 1),0)</f>
        <v>45138</v>
      </c>
      <c r="Z10" s="37"/>
      <c r="AA10" s="38">
        <f>EOMONTH(AA8,0)</f>
        <v>44074</v>
      </c>
      <c r="AB10" s="38">
        <f>EOMONTH(AB8,0)</f>
        <v>44104</v>
      </c>
      <c r="AC10" s="38">
        <f t="shared" ref="AC10:BJ10" si="11">EOMONTH(AC8,0)</f>
        <v>44135</v>
      </c>
      <c r="AD10" s="38">
        <f t="shared" si="11"/>
        <v>44165</v>
      </c>
      <c r="AE10" s="38">
        <f t="shared" si="11"/>
        <v>44196</v>
      </c>
      <c r="AF10" s="38">
        <f t="shared" si="11"/>
        <v>44227</v>
      </c>
      <c r="AG10" s="38">
        <f t="shared" si="11"/>
        <v>44255</v>
      </c>
      <c r="AH10" s="38">
        <f t="shared" si="11"/>
        <v>44286</v>
      </c>
      <c r="AI10" s="38">
        <f t="shared" si="11"/>
        <v>44316</v>
      </c>
      <c r="AJ10" s="38">
        <f t="shared" si="11"/>
        <v>44347</v>
      </c>
      <c r="AK10" s="38">
        <f t="shared" si="11"/>
        <v>44377</v>
      </c>
      <c r="AL10" s="38">
        <f t="shared" si="11"/>
        <v>44408</v>
      </c>
      <c r="AM10" s="38">
        <f t="shared" si="11"/>
        <v>44439</v>
      </c>
      <c r="AN10" s="38">
        <f t="shared" si="11"/>
        <v>44469</v>
      </c>
      <c r="AO10" s="38">
        <f t="shared" si="11"/>
        <v>44500</v>
      </c>
      <c r="AP10" s="38">
        <f t="shared" si="11"/>
        <v>44530</v>
      </c>
      <c r="AQ10" s="38">
        <f t="shared" si="11"/>
        <v>44561</v>
      </c>
      <c r="AR10" s="38">
        <f t="shared" si="11"/>
        <v>44592</v>
      </c>
      <c r="AS10" s="38">
        <f t="shared" si="11"/>
        <v>44620</v>
      </c>
      <c r="AT10" s="38">
        <f t="shared" si="11"/>
        <v>44651</v>
      </c>
      <c r="AU10" s="38">
        <f t="shared" si="11"/>
        <v>44681</v>
      </c>
      <c r="AV10" s="38">
        <f t="shared" si="11"/>
        <v>44712</v>
      </c>
      <c r="AW10" s="38">
        <f t="shared" si="11"/>
        <v>44742</v>
      </c>
      <c r="AX10" s="38">
        <f t="shared" si="11"/>
        <v>44773</v>
      </c>
      <c r="AY10" s="38">
        <f t="shared" si="11"/>
        <v>44804</v>
      </c>
      <c r="AZ10" s="38">
        <f t="shared" si="11"/>
        <v>44834</v>
      </c>
      <c r="BA10" s="38">
        <f t="shared" si="11"/>
        <v>44865</v>
      </c>
      <c r="BB10" s="38">
        <f t="shared" si="11"/>
        <v>44895</v>
      </c>
      <c r="BC10" s="38">
        <f t="shared" si="11"/>
        <v>44926</v>
      </c>
      <c r="BD10" s="38">
        <f t="shared" si="11"/>
        <v>44957</v>
      </c>
      <c r="BE10" s="38">
        <f t="shared" si="11"/>
        <v>44985</v>
      </c>
      <c r="BF10" s="38">
        <f t="shared" si="11"/>
        <v>45016</v>
      </c>
      <c r="BG10" s="38">
        <f t="shared" si="11"/>
        <v>45046</v>
      </c>
      <c r="BH10" s="38">
        <f t="shared" si="11"/>
        <v>45077</v>
      </c>
      <c r="BI10" s="38">
        <f t="shared" si="11"/>
        <v>45107</v>
      </c>
      <c r="BJ10" s="38">
        <f t="shared" si="11"/>
        <v>45138</v>
      </c>
      <c r="BK10" s="37"/>
      <c r="BL10" s="233">
        <f t="shared" ref="BL10:BW10" si="12">EOMONTH(DATE(YEAR(BL8)+1, last_FY_month, 1),0)</f>
        <v>44043</v>
      </c>
      <c r="BM10" s="233">
        <f t="shared" si="12"/>
        <v>44408</v>
      </c>
      <c r="BN10" s="233">
        <f t="shared" si="12"/>
        <v>44773</v>
      </c>
      <c r="BO10" s="233">
        <f t="shared" si="12"/>
        <v>45138</v>
      </c>
      <c r="BP10" s="233">
        <f t="shared" si="12"/>
        <v>45504</v>
      </c>
      <c r="BQ10" s="233">
        <f t="shared" si="12"/>
        <v>45869</v>
      </c>
      <c r="BR10" s="233">
        <f t="shared" si="12"/>
        <v>46234</v>
      </c>
      <c r="BS10" s="233">
        <f t="shared" si="12"/>
        <v>46599</v>
      </c>
      <c r="BT10" s="233">
        <f t="shared" si="12"/>
        <v>46965</v>
      </c>
      <c r="BU10" s="233">
        <f t="shared" si="12"/>
        <v>47330</v>
      </c>
      <c r="BV10" s="233">
        <f t="shared" si="12"/>
        <v>47695</v>
      </c>
      <c r="BW10" s="233">
        <f t="shared" si="12"/>
        <v>48060</v>
      </c>
      <c r="BY10" s="12"/>
      <c r="CA10" s="12"/>
      <c r="EX10" s="10" t="str">
        <f t="shared" ref="EX10:EX73" si="13">IF($C10="","",$D10)</f>
        <v/>
      </c>
    </row>
    <row r="11" spans="1:154" s="67" customFormat="1" ht="6.6" customHeight="1" x14ac:dyDescent="0.25">
      <c r="D11" s="1"/>
      <c r="T11" s="335"/>
      <c r="U11" s="335"/>
      <c r="BM11" s="6"/>
      <c r="BY11" s="42"/>
      <c r="CA11" s="42"/>
      <c r="EX11" s="10" t="str">
        <f t="shared" si="13"/>
        <v/>
      </c>
    </row>
    <row r="12" spans="1:154" s="67" customFormat="1" x14ac:dyDescent="0.25">
      <c r="D12" s="1" t="s">
        <v>2</v>
      </c>
      <c r="T12" s="335"/>
      <c r="U12" s="335"/>
      <c r="V12" s="234">
        <f>IF(MONTH(V10)&gt;=8,YEAR(V10)+1,YEAR(V10))</f>
        <v>2020</v>
      </c>
      <c r="W12" s="103">
        <f>IF(MONTH(W10)&gt;=8,YEAR(W10)+1,YEAR(W10))</f>
        <v>2021</v>
      </c>
      <c r="X12" s="103">
        <f>IF(MONTH(X10)&gt;=8,YEAR(X10)+1,YEAR(X10))</f>
        <v>2022</v>
      </c>
      <c r="Y12" s="103">
        <f>IF(MONTH(Y10)&gt;=8,YEAR(Y10)+1,YEAR(Y10))</f>
        <v>2023</v>
      </c>
      <c r="AA12" s="103">
        <f t="shared" ref="AA12:BJ12" si="14">IF(MONTH(AA10)&gt;=8,YEAR(AA10)+1,YEAR(AA10))</f>
        <v>2021</v>
      </c>
      <c r="AB12" s="103">
        <f t="shared" si="14"/>
        <v>2021</v>
      </c>
      <c r="AC12" s="103">
        <f t="shared" si="14"/>
        <v>2021</v>
      </c>
      <c r="AD12" s="103">
        <f t="shared" si="14"/>
        <v>2021</v>
      </c>
      <c r="AE12" s="103">
        <f t="shared" si="14"/>
        <v>2021</v>
      </c>
      <c r="AF12" s="103">
        <f t="shared" si="14"/>
        <v>2021</v>
      </c>
      <c r="AG12" s="103">
        <f t="shared" si="14"/>
        <v>2021</v>
      </c>
      <c r="AH12" s="103">
        <f t="shared" si="14"/>
        <v>2021</v>
      </c>
      <c r="AI12" s="103">
        <f t="shared" si="14"/>
        <v>2021</v>
      </c>
      <c r="AJ12" s="103">
        <f t="shared" si="14"/>
        <v>2021</v>
      </c>
      <c r="AK12" s="103">
        <f t="shared" si="14"/>
        <v>2021</v>
      </c>
      <c r="AL12" s="103">
        <f t="shared" si="14"/>
        <v>2021</v>
      </c>
      <c r="AM12" s="103">
        <f t="shared" si="14"/>
        <v>2022</v>
      </c>
      <c r="AN12" s="103">
        <f t="shared" si="14"/>
        <v>2022</v>
      </c>
      <c r="AO12" s="103">
        <f t="shared" si="14"/>
        <v>2022</v>
      </c>
      <c r="AP12" s="103">
        <f t="shared" si="14"/>
        <v>2022</v>
      </c>
      <c r="AQ12" s="103">
        <f t="shared" si="14"/>
        <v>2022</v>
      </c>
      <c r="AR12" s="103">
        <f t="shared" si="14"/>
        <v>2022</v>
      </c>
      <c r="AS12" s="103">
        <f t="shared" si="14"/>
        <v>2022</v>
      </c>
      <c r="AT12" s="103">
        <f t="shared" si="14"/>
        <v>2022</v>
      </c>
      <c r="AU12" s="103">
        <f t="shared" si="14"/>
        <v>2022</v>
      </c>
      <c r="AV12" s="103">
        <f t="shared" si="14"/>
        <v>2022</v>
      </c>
      <c r="AW12" s="103">
        <f t="shared" si="14"/>
        <v>2022</v>
      </c>
      <c r="AX12" s="103">
        <f t="shared" si="14"/>
        <v>2022</v>
      </c>
      <c r="AY12" s="103">
        <f t="shared" si="14"/>
        <v>2023</v>
      </c>
      <c r="AZ12" s="103">
        <f t="shared" si="14"/>
        <v>2023</v>
      </c>
      <c r="BA12" s="103">
        <f t="shared" si="14"/>
        <v>2023</v>
      </c>
      <c r="BB12" s="103">
        <f t="shared" si="14"/>
        <v>2023</v>
      </c>
      <c r="BC12" s="103">
        <f t="shared" si="14"/>
        <v>2023</v>
      </c>
      <c r="BD12" s="103">
        <f t="shared" si="14"/>
        <v>2023</v>
      </c>
      <c r="BE12" s="103">
        <f t="shared" si="14"/>
        <v>2023</v>
      </c>
      <c r="BF12" s="103">
        <f t="shared" si="14"/>
        <v>2023</v>
      </c>
      <c r="BG12" s="103">
        <f t="shared" si="14"/>
        <v>2023</v>
      </c>
      <c r="BH12" s="103">
        <f t="shared" si="14"/>
        <v>2023</v>
      </c>
      <c r="BI12" s="103">
        <f t="shared" si="14"/>
        <v>2023</v>
      </c>
      <c r="BJ12" s="103">
        <f t="shared" si="14"/>
        <v>2023</v>
      </c>
      <c r="BL12" s="103">
        <f t="shared" ref="BL12:BW12" si="15">IF(MONTH(BL10)&gt;=8,YEAR(BL10)+1,YEAR(BL10))</f>
        <v>2020</v>
      </c>
      <c r="BM12" s="103">
        <f t="shared" si="15"/>
        <v>2021</v>
      </c>
      <c r="BN12" s="103">
        <f t="shared" si="15"/>
        <v>2022</v>
      </c>
      <c r="BO12" s="103">
        <f t="shared" si="15"/>
        <v>2023</v>
      </c>
      <c r="BP12" s="103">
        <f t="shared" si="15"/>
        <v>2024</v>
      </c>
      <c r="BQ12" s="103">
        <f t="shared" si="15"/>
        <v>2025</v>
      </c>
      <c r="BR12" s="103">
        <f t="shared" si="15"/>
        <v>2026</v>
      </c>
      <c r="BS12" s="103">
        <f t="shared" si="15"/>
        <v>2027</v>
      </c>
      <c r="BT12" s="103">
        <f t="shared" si="15"/>
        <v>2028</v>
      </c>
      <c r="BU12" s="103">
        <f t="shared" si="15"/>
        <v>2029</v>
      </c>
      <c r="BV12" s="103">
        <f t="shared" si="15"/>
        <v>2030</v>
      </c>
      <c r="BW12" s="103">
        <f t="shared" si="15"/>
        <v>2031</v>
      </c>
      <c r="BY12" s="12"/>
      <c r="CA12" s="12"/>
      <c r="EX12" s="10" t="str">
        <f t="shared" si="13"/>
        <v/>
      </c>
    </row>
    <row r="13" spans="1:154" ht="6.6" customHeight="1" x14ac:dyDescent="0.25">
      <c r="D13" s="1"/>
      <c r="E13" s="11"/>
      <c r="S13" s="11"/>
      <c r="T13" s="335"/>
      <c r="U13" s="335"/>
      <c r="X13" s="11"/>
      <c r="Y13" s="11"/>
      <c r="BM13" s="6"/>
      <c r="BY13" s="42"/>
      <c r="CA13" s="42"/>
      <c r="EX13" s="10" t="str">
        <f t="shared" si="13"/>
        <v/>
      </c>
    </row>
    <row r="14" spans="1:154" s="67" customFormat="1" x14ac:dyDescent="0.25">
      <c r="D14" s="1" t="s">
        <v>344</v>
      </c>
      <c r="T14" s="335"/>
      <c r="U14" s="335"/>
      <c r="V14" s="45"/>
      <c r="W14" s="45">
        <f>V14+1</f>
        <v>1</v>
      </c>
      <c r="X14" s="45">
        <f t="shared" ref="X14:Y14" si="16">W14+1</f>
        <v>2</v>
      </c>
      <c r="Y14" s="45">
        <f t="shared" si="16"/>
        <v>3</v>
      </c>
      <c r="AA14" s="45">
        <f t="shared" ref="AA14:BJ14" si="17">INDEX($V14:$Y14, MATCH(AA3, $V3:$Y3, 0))</f>
        <v>1</v>
      </c>
      <c r="AB14" s="45">
        <f t="shared" si="17"/>
        <v>1</v>
      </c>
      <c r="AC14" s="45">
        <f t="shared" si="17"/>
        <v>1</v>
      </c>
      <c r="AD14" s="45">
        <f t="shared" si="17"/>
        <v>1</v>
      </c>
      <c r="AE14" s="45">
        <f t="shared" si="17"/>
        <v>1</v>
      </c>
      <c r="AF14" s="45">
        <f t="shared" si="17"/>
        <v>1</v>
      </c>
      <c r="AG14" s="45">
        <f t="shared" si="17"/>
        <v>1</v>
      </c>
      <c r="AH14" s="45">
        <f t="shared" si="17"/>
        <v>1</v>
      </c>
      <c r="AI14" s="45">
        <f t="shared" si="17"/>
        <v>1</v>
      </c>
      <c r="AJ14" s="45">
        <f t="shared" si="17"/>
        <v>1</v>
      </c>
      <c r="AK14" s="45">
        <f t="shared" si="17"/>
        <v>1</v>
      </c>
      <c r="AL14" s="45">
        <f t="shared" si="17"/>
        <v>1</v>
      </c>
      <c r="AM14" s="45">
        <f t="shared" si="17"/>
        <v>2</v>
      </c>
      <c r="AN14" s="45">
        <f t="shared" si="17"/>
        <v>2</v>
      </c>
      <c r="AO14" s="45">
        <f t="shared" si="17"/>
        <v>2</v>
      </c>
      <c r="AP14" s="45">
        <f t="shared" si="17"/>
        <v>2</v>
      </c>
      <c r="AQ14" s="45">
        <f t="shared" si="17"/>
        <v>2</v>
      </c>
      <c r="AR14" s="45">
        <f t="shared" si="17"/>
        <v>2</v>
      </c>
      <c r="AS14" s="45">
        <f t="shared" si="17"/>
        <v>2</v>
      </c>
      <c r="AT14" s="45">
        <f t="shared" si="17"/>
        <v>2</v>
      </c>
      <c r="AU14" s="45">
        <f t="shared" si="17"/>
        <v>2</v>
      </c>
      <c r="AV14" s="45">
        <f t="shared" si="17"/>
        <v>2</v>
      </c>
      <c r="AW14" s="45">
        <f t="shared" si="17"/>
        <v>2</v>
      </c>
      <c r="AX14" s="45">
        <f t="shared" si="17"/>
        <v>2</v>
      </c>
      <c r="AY14" s="45">
        <f t="shared" si="17"/>
        <v>3</v>
      </c>
      <c r="AZ14" s="45">
        <f t="shared" si="17"/>
        <v>3</v>
      </c>
      <c r="BA14" s="45">
        <f t="shared" si="17"/>
        <v>3</v>
      </c>
      <c r="BB14" s="45">
        <f t="shared" si="17"/>
        <v>3</v>
      </c>
      <c r="BC14" s="45">
        <f t="shared" si="17"/>
        <v>3</v>
      </c>
      <c r="BD14" s="45">
        <f t="shared" si="17"/>
        <v>3</v>
      </c>
      <c r="BE14" s="45">
        <f t="shared" si="17"/>
        <v>3</v>
      </c>
      <c r="BF14" s="45">
        <f t="shared" si="17"/>
        <v>3</v>
      </c>
      <c r="BG14" s="45">
        <f t="shared" si="17"/>
        <v>3</v>
      </c>
      <c r="BH14" s="45">
        <f t="shared" si="17"/>
        <v>3</v>
      </c>
      <c r="BI14" s="45">
        <f t="shared" si="17"/>
        <v>3</v>
      </c>
      <c r="BJ14" s="45">
        <f t="shared" si="17"/>
        <v>3</v>
      </c>
      <c r="BL14" s="45">
        <f t="shared" ref="BL14:BW14" si="18">_xlfn.IFNA(INDEX($V14:$Y14, MATCH(BL3, $V3:$Y3, 0)),BK14+1)</f>
        <v>0</v>
      </c>
      <c r="BM14" s="45">
        <f t="shared" si="18"/>
        <v>1</v>
      </c>
      <c r="BN14" s="45">
        <f t="shared" si="18"/>
        <v>2</v>
      </c>
      <c r="BO14" s="45">
        <f t="shared" si="18"/>
        <v>3</v>
      </c>
      <c r="BP14" s="45">
        <f t="shared" si="18"/>
        <v>4</v>
      </c>
      <c r="BQ14" s="45">
        <f t="shared" si="18"/>
        <v>5</v>
      </c>
      <c r="BR14" s="45">
        <f t="shared" si="18"/>
        <v>6</v>
      </c>
      <c r="BS14" s="45">
        <f t="shared" si="18"/>
        <v>7</v>
      </c>
      <c r="BT14" s="45">
        <f t="shared" si="18"/>
        <v>8</v>
      </c>
      <c r="BU14" s="45">
        <f t="shared" si="18"/>
        <v>9</v>
      </c>
      <c r="BV14" s="45">
        <f t="shared" si="18"/>
        <v>10</v>
      </c>
      <c r="BW14" s="45">
        <f t="shared" si="18"/>
        <v>11</v>
      </c>
      <c r="BY14" s="12"/>
      <c r="CA14" s="12"/>
      <c r="EX14" s="10" t="str">
        <f t="shared" si="13"/>
        <v/>
      </c>
    </row>
    <row r="15" spans="1:154" s="67" customFormat="1" ht="6.6" customHeight="1" x14ac:dyDescent="0.25">
      <c r="D15" s="1"/>
      <c r="S15" s="279"/>
      <c r="T15" s="335"/>
      <c r="U15" s="335"/>
      <c r="BM15" s="6"/>
      <c r="BY15" s="42"/>
      <c r="CA15" s="42"/>
      <c r="EX15" s="10" t="str">
        <f t="shared" si="13"/>
        <v/>
      </c>
    </row>
    <row r="16" spans="1:154" s="67" customFormat="1" x14ac:dyDescent="0.25">
      <c r="D16" s="1" t="s">
        <v>548</v>
      </c>
      <c r="S16" s="279"/>
      <c r="T16" s="335"/>
      <c r="U16" s="335"/>
      <c r="V16" s="45">
        <f>IF(V4=0, 1, 0)</f>
        <v>1</v>
      </c>
      <c r="W16" s="45">
        <f t="shared" ref="W16:Y16" si="19">IF(W4=0, 1, 0)</f>
        <v>0</v>
      </c>
      <c r="X16" s="45">
        <f t="shared" si="19"/>
        <v>0</v>
      </c>
      <c r="Y16" s="45">
        <f t="shared" si="19"/>
        <v>0</v>
      </c>
      <c r="AA16" s="45">
        <f>IF(AA4=0, 1, 0)</f>
        <v>1</v>
      </c>
      <c r="AB16" s="45">
        <f t="shared" ref="AB16:BW16" si="20">IF(AB4=0, 1, 0)</f>
        <v>1</v>
      </c>
      <c r="AC16" s="45">
        <f t="shared" si="20"/>
        <v>1</v>
      </c>
      <c r="AD16" s="45">
        <f t="shared" si="20"/>
        <v>1</v>
      </c>
      <c r="AE16" s="45">
        <f t="shared" si="20"/>
        <v>1</v>
      </c>
      <c r="AF16" s="45">
        <f t="shared" si="20"/>
        <v>1</v>
      </c>
      <c r="AG16" s="45">
        <f t="shared" si="20"/>
        <v>1</v>
      </c>
      <c r="AH16" s="45">
        <f t="shared" si="20"/>
        <v>1</v>
      </c>
      <c r="AI16" s="45">
        <f t="shared" si="20"/>
        <v>1</v>
      </c>
      <c r="AJ16" s="45">
        <f t="shared" si="20"/>
        <v>1</v>
      </c>
      <c r="AK16" s="45">
        <f t="shared" si="20"/>
        <v>1</v>
      </c>
      <c r="AL16" s="45">
        <f t="shared" si="20"/>
        <v>0</v>
      </c>
      <c r="AM16" s="45">
        <f t="shared" si="20"/>
        <v>0</v>
      </c>
      <c r="AN16" s="45">
        <f t="shared" si="20"/>
        <v>0</v>
      </c>
      <c r="AO16" s="45">
        <f t="shared" si="20"/>
        <v>0</v>
      </c>
      <c r="AP16" s="45">
        <f t="shared" si="20"/>
        <v>0</v>
      </c>
      <c r="AQ16" s="45">
        <f t="shared" si="20"/>
        <v>0</v>
      </c>
      <c r="AR16" s="45">
        <f t="shared" si="20"/>
        <v>0</v>
      </c>
      <c r="AS16" s="45">
        <f t="shared" si="20"/>
        <v>0</v>
      </c>
      <c r="AT16" s="45">
        <f t="shared" si="20"/>
        <v>0</v>
      </c>
      <c r="AU16" s="45">
        <f t="shared" si="20"/>
        <v>0</v>
      </c>
      <c r="AV16" s="45">
        <f t="shared" si="20"/>
        <v>0</v>
      </c>
      <c r="AW16" s="45">
        <f t="shared" si="20"/>
        <v>0</v>
      </c>
      <c r="AX16" s="45">
        <f t="shared" si="20"/>
        <v>0</v>
      </c>
      <c r="AY16" s="45">
        <f t="shared" si="20"/>
        <v>0</v>
      </c>
      <c r="AZ16" s="45">
        <f t="shared" si="20"/>
        <v>0</v>
      </c>
      <c r="BA16" s="45">
        <f t="shared" si="20"/>
        <v>0</v>
      </c>
      <c r="BB16" s="45">
        <f t="shared" si="20"/>
        <v>0</v>
      </c>
      <c r="BC16" s="45">
        <f t="shared" si="20"/>
        <v>0</v>
      </c>
      <c r="BD16" s="45">
        <f t="shared" si="20"/>
        <v>0</v>
      </c>
      <c r="BE16" s="45">
        <f t="shared" si="20"/>
        <v>0</v>
      </c>
      <c r="BF16" s="45">
        <f t="shared" si="20"/>
        <v>0</v>
      </c>
      <c r="BG16" s="45">
        <f t="shared" si="20"/>
        <v>0</v>
      </c>
      <c r="BH16" s="45">
        <f t="shared" si="20"/>
        <v>0</v>
      </c>
      <c r="BI16" s="45">
        <f t="shared" si="20"/>
        <v>0</v>
      </c>
      <c r="BJ16" s="45">
        <f t="shared" si="20"/>
        <v>0</v>
      </c>
      <c r="BL16" s="45">
        <f>IF(BL4=0, 1, 0)</f>
        <v>1</v>
      </c>
      <c r="BM16" s="45">
        <f t="shared" si="20"/>
        <v>0</v>
      </c>
      <c r="BN16" s="45">
        <f t="shared" si="20"/>
        <v>0</v>
      </c>
      <c r="BO16" s="45">
        <f t="shared" si="20"/>
        <v>0</v>
      </c>
      <c r="BP16" s="45">
        <f t="shared" si="20"/>
        <v>0</v>
      </c>
      <c r="BQ16" s="45">
        <f t="shared" si="20"/>
        <v>0</v>
      </c>
      <c r="BR16" s="45">
        <f t="shared" si="20"/>
        <v>0</v>
      </c>
      <c r="BS16" s="45">
        <f t="shared" si="20"/>
        <v>0</v>
      </c>
      <c r="BT16" s="45">
        <f t="shared" si="20"/>
        <v>0</v>
      </c>
      <c r="BU16" s="45">
        <f t="shared" si="20"/>
        <v>0</v>
      </c>
      <c r="BV16" s="45">
        <f t="shared" si="20"/>
        <v>0</v>
      </c>
      <c r="BW16" s="45">
        <f t="shared" si="20"/>
        <v>0</v>
      </c>
      <c r="BY16" s="12"/>
      <c r="CA16" s="12"/>
      <c r="EX16" s="10" t="str">
        <f t="shared" si="13"/>
        <v/>
      </c>
    </row>
    <row r="17" spans="1:154" s="67" customFormat="1" ht="6.6" customHeight="1" x14ac:dyDescent="0.25">
      <c r="D17" s="1"/>
      <c r="T17" s="335"/>
      <c r="U17" s="335"/>
      <c r="BM17" s="6"/>
      <c r="BY17" s="42"/>
      <c r="CA17" s="42"/>
      <c r="EX17" s="10" t="str">
        <f t="shared" si="13"/>
        <v/>
      </c>
    </row>
    <row r="18" spans="1:154" s="67" customFormat="1" x14ac:dyDescent="0.25">
      <c r="D18" s="1" t="s">
        <v>547</v>
      </c>
      <c r="S18" s="279"/>
      <c r="T18" s="335"/>
      <c r="U18" s="335"/>
      <c r="V18" s="200">
        <f>IF(AND(R16=0, V16=1), 1, 0)</f>
        <v>1</v>
      </c>
      <c r="W18" s="200">
        <f t="shared" ref="W18:Y18" si="21">IF(AND(V16=0, W16=1), 1, 0)</f>
        <v>0</v>
      </c>
      <c r="X18" s="200">
        <f t="shared" si="21"/>
        <v>0</v>
      </c>
      <c r="Y18" s="200">
        <f t="shared" si="21"/>
        <v>0</v>
      </c>
      <c r="AA18" s="200">
        <f>IF(AND(Z16=0, AA16=1), 1, 0)</f>
        <v>1</v>
      </c>
      <c r="AB18" s="45">
        <f t="shared" ref="AB18:BJ18" si="22">IF(AND(AA16=0, AB16=1), 1, 0)</f>
        <v>0</v>
      </c>
      <c r="AC18" s="45">
        <f t="shared" si="22"/>
        <v>0</v>
      </c>
      <c r="AD18" s="45">
        <f t="shared" si="22"/>
        <v>0</v>
      </c>
      <c r="AE18" s="45">
        <f t="shared" si="22"/>
        <v>0</v>
      </c>
      <c r="AF18" s="45">
        <f t="shared" si="22"/>
        <v>0</v>
      </c>
      <c r="AG18" s="45">
        <f t="shared" si="22"/>
        <v>0</v>
      </c>
      <c r="AH18" s="45">
        <f t="shared" si="22"/>
        <v>0</v>
      </c>
      <c r="AI18" s="45">
        <f t="shared" si="22"/>
        <v>0</v>
      </c>
      <c r="AJ18" s="45">
        <f t="shared" si="22"/>
        <v>0</v>
      </c>
      <c r="AK18" s="45">
        <f t="shared" si="22"/>
        <v>0</v>
      </c>
      <c r="AL18" s="45">
        <f t="shared" si="22"/>
        <v>0</v>
      </c>
      <c r="AM18" s="45">
        <f t="shared" si="22"/>
        <v>0</v>
      </c>
      <c r="AN18" s="45">
        <f t="shared" si="22"/>
        <v>0</v>
      </c>
      <c r="AO18" s="45">
        <f t="shared" si="22"/>
        <v>0</v>
      </c>
      <c r="AP18" s="45">
        <f t="shared" si="22"/>
        <v>0</v>
      </c>
      <c r="AQ18" s="45">
        <f t="shared" si="22"/>
        <v>0</v>
      </c>
      <c r="AR18" s="45">
        <f t="shared" si="22"/>
        <v>0</v>
      </c>
      <c r="AS18" s="45">
        <f t="shared" si="22"/>
        <v>0</v>
      </c>
      <c r="AT18" s="45">
        <f t="shared" si="22"/>
        <v>0</v>
      </c>
      <c r="AU18" s="45">
        <f t="shared" si="22"/>
        <v>0</v>
      </c>
      <c r="AV18" s="45">
        <f t="shared" si="22"/>
        <v>0</v>
      </c>
      <c r="AW18" s="45">
        <f t="shared" si="22"/>
        <v>0</v>
      </c>
      <c r="AX18" s="45">
        <f t="shared" si="22"/>
        <v>0</v>
      </c>
      <c r="AY18" s="45">
        <f t="shared" si="22"/>
        <v>0</v>
      </c>
      <c r="AZ18" s="45">
        <f t="shared" si="22"/>
        <v>0</v>
      </c>
      <c r="BA18" s="45">
        <f t="shared" si="22"/>
        <v>0</v>
      </c>
      <c r="BB18" s="45">
        <f t="shared" si="22"/>
        <v>0</v>
      </c>
      <c r="BC18" s="45">
        <f t="shared" si="22"/>
        <v>0</v>
      </c>
      <c r="BD18" s="45">
        <f t="shared" si="22"/>
        <v>0</v>
      </c>
      <c r="BE18" s="45">
        <f t="shared" si="22"/>
        <v>0</v>
      </c>
      <c r="BF18" s="45">
        <f t="shared" si="22"/>
        <v>0</v>
      </c>
      <c r="BG18" s="45">
        <f t="shared" si="22"/>
        <v>0</v>
      </c>
      <c r="BH18" s="45">
        <f t="shared" si="22"/>
        <v>0</v>
      </c>
      <c r="BI18" s="45">
        <f t="shared" si="22"/>
        <v>0</v>
      </c>
      <c r="BJ18" s="45">
        <f t="shared" si="22"/>
        <v>0</v>
      </c>
      <c r="BL18" s="45">
        <f t="shared" ref="BL18" si="23">IF(AND(BK16=0, BL16=1), 1, 0)</f>
        <v>1</v>
      </c>
      <c r="BM18" s="45">
        <f t="shared" ref="BM18" si="24">IF(AND(BL16=0, BM16=1), 1, 0)</f>
        <v>0</v>
      </c>
      <c r="BN18" s="45">
        <f t="shared" ref="BN18" si="25">IF(AND(BM16=0, BN16=1), 1, 0)</f>
        <v>0</v>
      </c>
      <c r="BO18" s="45">
        <f t="shared" ref="BO18" si="26">IF(AND(BN16=0, BO16=1), 1, 0)</f>
        <v>0</v>
      </c>
      <c r="BP18" s="45">
        <f t="shared" ref="BP18" si="27">IF(AND(BO16=0, BP16=1), 1, 0)</f>
        <v>0</v>
      </c>
      <c r="BQ18" s="45">
        <f t="shared" ref="BQ18" si="28">IF(AND(BP16=0, BQ16=1), 1, 0)</f>
        <v>0</v>
      </c>
      <c r="BR18" s="45">
        <f t="shared" ref="BR18" si="29">IF(AND(BQ16=0, BR16=1), 1, 0)</f>
        <v>0</v>
      </c>
      <c r="BS18" s="45">
        <f t="shared" ref="BS18" si="30">IF(AND(BR16=0, BS16=1), 1, 0)</f>
        <v>0</v>
      </c>
      <c r="BT18" s="45">
        <f t="shared" ref="BT18" si="31">IF(AND(BS16=0, BT16=1), 1, 0)</f>
        <v>0</v>
      </c>
      <c r="BU18" s="45">
        <f t="shared" ref="BU18" si="32">IF(AND(BT16=0, BU16=1), 1, 0)</f>
        <v>0</v>
      </c>
      <c r="BV18" s="45">
        <f t="shared" ref="BV18" si="33">IF(AND(BU16=0, BV16=1), 1, 0)</f>
        <v>0</v>
      </c>
      <c r="BW18" s="45">
        <f t="shared" ref="BW18" si="34">IF(AND(BV16=0, BW16=1), 1, 0)</f>
        <v>0</v>
      </c>
      <c r="BY18" s="12"/>
      <c r="CA18" s="12"/>
      <c r="EX18" s="10" t="str">
        <f t="shared" si="13"/>
        <v/>
      </c>
    </row>
    <row r="19" spans="1:154" s="67" customFormat="1" ht="6.6" customHeight="1" x14ac:dyDescent="0.25">
      <c r="D19" s="1"/>
      <c r="S19" s="279"/>
      <c r="T19" s="335"/>
      <c r="U19" s="335"/>
      <c r="V19" s="279"/>
      <c r="W19" s="279"/>
      <c r="X19" s="279"/>
      <c r="Y19" s="279"/>
      <c r="BM19" s="6"/>
      <c r="BY19" s="42"/>
      <c r="CA19" s="42"/>
      <c r="EX19" s="10" t="str">
        <f t="shared" si="13"/>
        <v/>
      </c>
    </row>
    <row r="20" spans="1:154" x14ac:dyDescent="0.25">
      <c r="D20" s="1" t="s">
        <v>120</v>
      </c>
      <c r="E20" s="11"/>
      <c r="S20" s="279"/>
      <c r="T20" s="335"/>
      <c r="U20" s="335"/>
      <c r="V20" s="45">
        <f>IF(AND(R$4=0, V$4=1), 1,0)</f>
        <v>0</v>
      </c>
      <c r="W20" s="45">
        <f t="shared" ref="W20:Y20" si="35">IF(AND(V$4=0, W$4=1), 1,0)</f>
        <v>0</v>
      </c>
      <c r="X20" s="45">
        <f t="shared" si="35"/>
        <v>0</v>
      </c>
      <c r="Y20" s="45">
        <f t="shared" si="35"/>
        <v>0</v>
      </c>
      <c r="AA20" s="45">
        <f>IF(AND(Z$4=0, AA$4=1), 1,0)</f>
        <v>0</v>
      </c>
      <c r="AB20" s="45">
        <f t="shared" ref="AB20:BJ20" si="36">IF(AND(AA$4=0, AB$4=1), 1,0)</f>
        <v>0</v>
      </c>
      <c r="AC20" s="45">
        <f t="shared" si="36"/>
        <v>0</v>
      </c>
      <c r="AD20" s="45">
        <f t="shared" si="36"/>
        <v>0</v>
      </c>
      <c r="AE20" s="45">
        <f t="shared" si="36"/>
        <v>0</v>
      </c>
      <c r="AF20" s="45">
        <f t="shared" si="36"/>
        <v>0</v>
      </c>
      <c r="AG20" s="45">
        <f t="shared" si="36"/>
        <v>0</v>
      </c>
      <c r="AH20" s="45">
        <f t="shared" si="36"/>
        <v>0</v>
      </c>
      <c r="AI20" s="45">
        <f t="shared" si="36"/>
        <v>0</v>
      </c>
      <c r="AJ20" s="45">
        <f t="shared" si="36"/>
        <v>0</v>
      </c>
      <c r="AK20" s="45">
        <f t="shared" si="36"/>
        <v>0</v>
      </c>
      <c r="AL20" s="45">
        <f t="shared" si="36"/>
        <v>1</v>
      </c>
      <c r="AM20" s="45">
        <f t="shared" si="36"/>
        <v>0</v>
      </c>
      <c r="AN20" s="45">
        <f t="shared" si="36"/>
        <v>0</v>
      </c>
      <c r="AO20" s="45">
        <f t="shared" si="36"/>
        <v>0</v>
      </c>
      <c r="AP20" s="45">
        <f t="shared" si="36"/>
        <v>0</v>
      </c>
      <c r="AQ20" s="45">
        <f t="shared" si="36"/>
        <v>0</v>
      </c>
      <c r="AR20" s="45">
        <f t="shared" si="36"/>
        <v>0</v>
      </c>
      <c r="AS20" s="45">
        <f t="shared" si="36"/>
        <v>0</v>
      </c>
      <c r="AT20" s="45">
        <f t="shared" si="36"/>
        <v>0</v>
      </c>
      <c r="AU20" s="45">
        <f t="shared" si="36"/>
        <v>0</v>
      </c>
      <c r="AV20" s="45">
        <f t="shared" si="36"/>
        <v>0</v>
      </c>
      <c r="AW20" s="45">
        <f t="shared" si="36"/>
        <v>0</v>
      </c>
      <c r="AX20" s="45">
        <f t="shared" si="36"/>
        <v>0</v>
      </c>
      <c r="AY20" s="45">
        <f t="shared" si="36"/>
        <v>0</v>
      </c>
      <c r="AZ20" s="45">
        <f t="shared" si="36"/>
        <v>0</v>
      </c>
      <c r="BA20" s="45">
        <f t="shared" si="36"/>
        <v>0</v>
      </c>
      <c r="BB20" s="45">
        <f t="shared" si="36"/>
        <v>0</v>
      </c>
      <c r="BC20" s="45">
        <f t="shared" si="36"/>
        <v>0</v>
      </c>
      <c r="BD20" s="45">
        <f t="shared" si="36"/>
        <v>0</v>
      </c>
      <c r="BE20" s="45">
        <f t="shared" si="36"/>
        <v>0</v>
      </c>
      <c r="BF20" s="45">
        <f t="shared" si="36"/>
        <v>0</v>
      </c>
      <c r="BG20" s="45">
        <f t="shared" si="36"/>
        <v>0</v>
      </c>
      <c r="BH20" s="45">
        <f t="shared" si="36"/>
        <v>0</v>
      </c>
      <c r="BI20" s="45">
        <f t="shared" si="36"/>
        <v>0</v>
      </c>
      <c r="BJ20" s="45">
        <f t="shared" si="36"/>
        <v>0</v>
      </c>
      <c r="BL20" s="45">
        <f t="shared" ref="BL20" si="37">IF(AND(BK$4=0, BL$4=1), 1,0)</f>
        <v>0</v>
      </c>
      <c r="BM20" s="45">
        <f t="shared" ref="BM20" si="38">IF(AND(BL$4=0, BM$4=1), 1,0)</f>
        <v>0</v>
      </c>
      <c r="BN20" s="45">
        <f t="shared" ref="BN20" si="39">IF(AND(BM$4=0, BN$4=1), 1,0)</f>
        <v>0</v>
      </c>
      <c r="BO20" s="45">
        <f t="shared" ref="BO20" si="40">IF(AND(BN$4=0, BO$4=1), 1,0)</f>
        <v>0</v>
      </c>
      <c r="BP20" s="45">
        <f t="shared" ref="BP20" si="41">IF(AND(BO$4=0, BP$4=1), 1,0)</f>
        <v>0</v>
      </c>
      <c r="BQ20" s="45">
        <f t="shared" ref="BQ20" si="42">IF(AND(BP$4=0, BQ$4=1), 1,0)</f>
        <v>0</v>
      </c>
      <c r="BR20" s="45">
        <f t="shared" ref="BR20" si="43">IF(AND(BQ$4=0, BR$4=1), 1,0)</f>
        <v>0</v>
      </c>
      <c r="BS20" s="45">
        <f t="shared" ref="BS20" si="44">IF(AND(BR$4=0, BS$4=1), 1,0)</f>
        <v>0</v>
      </c>
      <c r="BT20" s="45">
        <f t="shared" ref="BT20" si="45">IF(AND(BS$4=0, BT$4=1), 1,0)</f>
        <v>0</v>
      </c>
      <c r="BU20" s="45">
        <f t="shared" ref="BU20" si="46">IF(AND(BT$4=0, BU$4=1), 1,0)</f>
        <v>0</v>
      </c>
      <c r="BV20" s="45">
        <f t="shared" ref="BV20" si="47">IF(AND(BU$4=0, BV$4=1), 1,0)</f>
        <v>0</v>
      </c>
      <c r="BW20" s="45">
        <f t="shared" ref="BW20" si="48">IF(AND(BV$4=0, BW$4=1), 1,0)</f>
        <v>0</v>
      </c>
      <c r="BY20" s="12"/>
      <c r="CA20" s="12"/>
      <c r="EX20" s="10" t="str">
        <f t="shared" si="13"/>
        <v/>
      </c>
    </row>
    <row r="21" spans="1:154" ht="6.6" customHeight="1" x14ac:dyDescent="0.25">
      <c r="D21" s="1"/>
      <c r="E21" s="11"/>
      <c r="S21" s="11"/>
      <c r="T21" s="335"/>
      <c r="U21" s="335"/>
      <c r="X21" s="11"/>
      <c r="Y21" s="11"/>
      <c r="BM21" s="6"/>
      <c r="BY21" s="42"/>
      <c r="CA21" s="42"/>
      <c r="EX21" s="10" t="str">
        <f t="shared" si="13"/>
        <v/>
      </c>
    </row>
    <row r="22" spans="1:154" x14ac:dyDescent="0.25">
      <c r="D22" s="1" t="s">
        <v>168</v>
      </c>
      <c r="E22" s="11"/>
      <c r="S22" s="11"/>
      <c r="T22" s="335"/>
      <c r="U22" s="335"/>
      <c r="V22" s="45">
        <f>IF(V4=0,0,1)</f>
        <v>0</v>
      </c>
      <c r="W22" s="45">
        <f>IF(W4=0,0,1)</f>
        <v>1</v>
      </c>
      <c r="X22" s="45">
        <f>IF(X4=0,0,1)</f>
        <v>1</v>
      </c>
      <c r="Y22" s="45">
        <f>IF(Y4=0,0,1)</f>
        <v>1</v>
      </c>
      <c r="AA22" s="45">
        <f t="shared" ref="AA22:BJ22" si="49">IF(AA4=0,0,1)</f>
        <v>0</v>
      </c>
      <c r="AB22" s="45">
        <f t="shared" si="49"/>
        <v>0</v>
      </c>
      <c r="AC22" s="45">
        <f t="shared" si="49"/>
        <v>0</v>
      </c>
      <c r="AD22" s="45">
        <f t="shared" si="49"/>
        <v>0</v>
      </c>
      <c r="AE22" s="45">
        <f t="shared" si="49"/>
        <v>0</v>
      </c>
      <c r="AF22" s="45">
        <f t="shared" si="49"/>
        <v>0</v>
      </c>
      <c r="AG22" s="45">
        <f t="shared" si="49"/>
        <v>0</v>
      </c>
      <c r="AH22" s="45">
        <f t="shared" si="49"/>
        <v>0</v>
      </c>
      <c r="AI22" s="45">
        <f t="shared" si="49"/>
        <v>0</v>
      </c>
      <c r="AJ22" s="45">
        <f t="shared" si="49"/>
        <v>0</v>
      </c>
      <c r="AK22" s="45">
        <f t="shared" si="49"/>
        <v>0</v>
      </c>
      <c r="AL22" s="45">
        <f t="shared" si="49"/>
        <v>1</v>
      </c>
      <c r="AM22" s="45">
        <f t="shared" si="49"/>
        <v>1</v>
      </c>
      <c r="AN22" s="45">
        <f t="shared" si="49"/>
        <v>1</v>
      </c>
      <c r="AO22" s="45">
        <f t="shared" si="49"/>
        <v>1</v>
      </c>
      <c r="AP22" s="45">
        <f t="shared" si="49"/>
        <v>1</v>
      </c>
      <c r="AQ22" s="45">
        <f t="shared" si="49"/>
        <v>1</v>
      </c>
      <c r="AR22" s="45">
        <f t="shared" si="49"/>
        <v>1</v>
      </c>
      <c r="AS22" s="45">
        <f t="shared" si="49"/>
        <v>1</v>
      </c>
      <c r="AT22" s="45">
        <f t="shared" si="49"/>
        <v>1</v>
      </c>
      <c r="AU22" s="45">
        <f t="shared" si="49"/>
        <v>1</v>
      </c>
      <c r="AV22" s="45">
        <f t="shared" si="49"/>
        <v>1</v>
      </c>
      <c r="AW22" s="45">
        <f t="shared" si="49"/>
        <v>1</v>
      </c>
      <c r="AX22" s="45">
        <f t="shared" si="49"/>
        <v>1</v>
      </c>
      <c r="AY22" s="45">
        <f t="shared" si="49"/>
        <v>1</v>
      </c>
      <c r="AZ22" s="45">
        <f t="shared" si="49"/>
        <v>1</v>
      </c>
      <c r="BA22" s="45">
        <f t="shared" si="49"/>
        <v>1</v>
      </c>
      <c r="BB22" s="45">
        <f t="shared" si="49"/>
        <v>1</v>
      </c>
      <c r="BC22" s="45">
        <f t="shared" si="49"/>
        <v>1</v>
      </c>
      <c r="BD22" s="45">
        <f t="shared" si="49"/>
        <v>1</v>
      </c>
      <c r="BE22" s="45">
        <f t="shared" si="49"/>
        <v>1</v>
      </c>
      <c r="BF22" s="45">
        <f t="shared" si="49"/>
        <v>1</v>
      </c>
      <c r="BG22" s="45">
        <f t="shared" si="49"/>
        <v>1</v>
      </c>
      <c r="BH22" s="45">
        <f t="shared" si="49"/>
        <v>1</v>
      </c>
      <c r="BI22" s="45">
        <f t="shared" si="49"/>
        <v>1</v>
      </c>
      <c r="BJ22" s="45">
        <f t="shared" si="49"/>
        <v>1</v>
      </c>
      <c r="BL22" s="45">
        <f t="shared" ref="BL22:BW22" si="50">IF(BL4=0,0,1)</f>
        <v>0</v>
      </c>
      <c r="BM22" s="45">
        <f>IF(BM4=0,0,1)</f>
        <v>1</v>
      </c>
      <c r="BN22" s="45">
        <f t="shared" si="50"/>
        <v>1</v>
      </c>
      <c r="BO22" s="45">
        <f t="shared" si="50"/>
        <v>1</v>
      </c>
      <c r="BP22" s="45">
        <f t="shared" si="50"/>
        <v>1</v>
      </c>
      <c r="BQ22" s="45">
        <f t="shared" si="50"/>
        <v>1</v>
      </c>
      <c r="BR22" s="45">
        <f t="shared" si="50"/>
        <v>1</v>
      </c>
      <c r="BS22" s="45">
        <f t="shared" si="50"/>
        <v>1</v>
      </c>
      <c r="BT22" s="45">
        <f t="shared" si="50"/>
        <v>1</v>
      </c>
      <c r="BU22" s="45">
        <f t="shared" si="50"/>
        <v>1</v>
      </c>
      <c r="BV22" s="45">
        <f t="shared" si="50"/>
        <v>1</v>
      </c>
      <c r="BW22" s="45">
        <f t="shared" si="50"/>
        <v>1</v>
      </c>
      <c r="BY22" s="12"/>
      <c r="CA22" s="12"/>
      <c r="EX22" s="10" t="str">
        <f t="shared" si="13"/>
        <v/>
      </c>
    </row>
    <row r="23" spans="1:154" s="67" customFormat="1" ht="6.6" customHeight="1" x14ac:dyDescent="0.25">
      <c r="D23" s="1"/>
      <c r="T23" s="335"/>
      <c r="U23" s="335"/>
      <c r="BM23" s="6"/>
      <c r="BY23" s="42"/>
      <c r="CA23" s="42"/>
      <c r="EX23" s="10" t="str">
        <f t="shared" si="13"/>
        <v/>
      </c>
    </row>
    <row r="24" spans="1:154" s="67" customFormat="1" x14ac:dyDescent="0.25">
      <c r="D24" s="1" t="s">
        <v>346</v>
      </c>
      <c r="T24" s="335"/>
      <c r="U24" s="335"/>
      <c r="V24" s="45">
        <f t="shared" ref="V24:Y24" si="51">IF(AND(V10&gt;$W$8, V10&lt;=$W$10), 1, 0)</f>
        <v>0</v>
      </c>
      <c r="W24" s="45">
        <f t="shared" si="51"/>
        <v>1</v>
      </c>
      <c r="X24" s="45">
        <f t="shared" si="51"/>
        <v>0</v>
      </c>
      <c r="Y24" s="45">
        <f t="shared" si="51"/>
        <v>0</v>
      </c>
      <c r="AA24" s="45">
        <f>IF(AND(AA10&gt;$W$8, AA10&lt;=$W$10), 1, 0)</f>
        <v>1</v>
      </c>
      <c r="AB24" s="45">
        <f t="shared" ref="AB24:BW24" si="52">IF(AND(AB10&gt;$W$8, AB10&lt;=$W$10), 1, 0)</f>
        <v>1</v>
      </c>
      <c r="AC24" s="45">
        <f t="shared" si="52"/>
        <v>1</v>
      </c>
      <c r="AD24" s="45">
        <f t="shared" si="52"/>
        <v>1</v>
      </c>
      <c r="AE24" s="45">
        <f t="shared" si="52"/>
        <v>1</v>
      </c>
      <c r="AF24" s="45">
        <f t="shared" si="52"/>
        <v>1</v>
      </c>
      <c r="AG24" s="45">
        <f t="shared" si="52"/>
        <v>1</v>
      </c>
      <c r="AH24" s="45">
        <f t="shared" si="52"/>
        <v>1</v>
      </c>
      <c r="AI24" s="45">
        <f t="shared" si="52"/>
        <v>1</v>
      </c>
      <c r="AJ24" s="45">
        <f t="shared" si="52"/>
        <v>1</v>
      </c>
      <c r="AK24" s="45">
        <f t="shared" si="52"/>
        <v>1</v>
      </c>
      <c r="AL24" s="45">
        <f t="shared" si="52"/>
        <v>1</v>
      </c>
      <c r="AM24" s="45">
        <f t="shared" si="52"/>
        <v>0</v>
      </c>
      <c r="AN24" s="45">
        <f t="shared" si="52"/>
        <v>0</v>
      </c>
      <c r="AO24" s="45">
        <f t="shared" si="52"/>
        <v>0</v>
      </c>
      <c r="AP24" s="45">
        <f t="shared" si="52"/>
        <v>0</v>
      </c>
      <c r="AQ24" s="45">
        <f t="shared" si="52"/>
        <v>0</v>
      </c>
      <c r="AR24" s="45">
        <f t="shared" si="52"/>
        <v>0</v>
      </c>
      <c r="AS24" s="45">
        <f t="shared" si="52"/>
        <v>0</v>
      </c>
      <c r="AT24" s="45">
        <f t="shared" si="52"/>
        <v>0</v>
      </c>
      <c r="AU24" s="45">
        <f t="shared" si="52"/>
        <v>0</v>
      </c>
      <c r="AV24" s="45">
        <f t="shared" si="52"/>
        <v>0</v>
      </c>
      <c r="AW24" s="45">
        <f t="shared" si="52"/>
        <v>0</v>
      </c>
      <c r="AX24" s="45">
        <f t="shared" si="52"/>
        <v>0</v>
      </c>
      <c r="AY24" s="45">
        <f t="shared" si="52"/>
        <v>0</v>
      </c>
      <c r="AZ24" s="45">
        <f t="shared" si="52"/>
        <v>0</v>
      </c>
      <c r="BA24" s="45">
        <f t="shared" si="52"/>
        <v>0</v>
      </c>
      <c r="BB24" s="45">
        <f t="shared" si="52"/>
        <v>0</v>
      </c>
      <c r="BC24" s="45">
        <f t="shared" si="52"/>
        <v>0</v>
      </c>
      <c r="BD24" s="45">
        <f t="shared" si="52"/>
        <v>0</v>
      </c>
      <c r="BE24" s="45">
        <f t="shared" si="52"/>
        <v>0</v>
      </c>
      <c r="BF24" s="45">
        <f t="shared" si="52"/>
        <v>0</v>
      </c>
      <c r="BG24" s="45">
        <f t="shared" si="52"/>
        <v>0</v>
      </c>
      <c r="BH24" s="45">
        <f t="shared" si="52"/>
        <v>0</v>
      </c>
      <c r="BI24" s="45">
        <f t="shared" si="52"/>
        <v>0</v>
      </c>
      <c r="BJ24" s="45">
        <f t="shared" si="52"/>
        <v>0</v>
      </c>
      <c r="BL24" s="45">
        <f t="shared" si="52"/>
        <v>0</v>
      </c>
      <c r="BM24" s="45">
        <f t="shared" si="52"/>
        <v>1</v>
      </c>
      <c r="BN24" s="45">
        <f t="shared" si="52"/>
        <v>0</v>
      </c>
      <c r="BO24" s="45">
        <f t="shared" si="52"/>
        <v>0</v>
      </c>
      <c r="BP24" s="45">
        <f t="shared" si="52"/>
        <v>0</v>
      </c>
      <c r="BQ24" s="45">
        <f t="shared" si="52"/>
        <v>0</v>
      </c>
      <c r="BR24" s="45">
        <f t="shared" si="52"/>
        <v>0</v>
      </c>
      <c r="BS24" s="45">
        <f t="shared" si="52"/>
        <v>0</v>
      </c>
      <c r="BT24" s="45">
        <f t="shared" si="52"/>
        <v>0</v>
      </c>
      <c r="BU24" s="45">
        <f t="shared" si="52"/>
        <v>0</v>
      </c>
      <c r="BV24" s="45">
        <f t="shared" si="52"/>
        <v>0</v>
      </c>
      <c r="BW24" s="45">
        <f t="shared" si="52"/>
        <v>0</v>
      </c>
      <c r="BY24" s="12"/>
      <c r="CA24" s="12"/>
      <c r="EX24" s="10" t="str">
        <f t="shared" si="13"/>
        <v/>
      </c>
    </row>
    <row r="25" spans="1:154" s="67" customFormat="1" ht="6.6" customHeight="1" x14ac:dyDescent="0.25">
      <c r="D25" s="1"/>
      <c r="T25" s="335"/>
      <c r="U25" s="335"/>
      <c r="BM25" s="6"/>
      <c r="BY25" s="42"/>
      <c r="CA25" s="42"/>
      <c r="EX25" s="10" t="str">
        <f t="shared" si="13"/>
        <v/>
      </c>
    </row>
    <row r="26" spans="1:154" s="67" customFormat="1" x14ac:dyDescent="0.25">
      <c r="D26" s="1" t="s">
        <v>345</v>
      </c>
      <c r="T26" s="335"/>
      <c r="U26" s="335"/>
      <c r="V26" s="45">
        <f>V22*V24</f>
        <v>0</v>
      </c>
      <c r="W26" s="45">
        <f t="shared" ref="W26:BW26" si="53">W22*W24</f>
        <v>1</v>
      </c>
      <c r="X26" s="45">
        <f t="shared" si="53"/>
        <v>0</v>
      </c>
      <c r="Y26" s="45">
        <f t="shared" si="53"/>
        <v>0</v>
      </c>
      <c r="AA26" s="45">
        <f t="shared" si="53"/>
        <v>0</v>
      </c>
      <c r="AB26" s="45">
        <f t="shared" si="53"/>
        <v>0</v>
      </c>
      <c r="AC26" s="45">
        <f t="shared" si="53"/>
        <v>0</v>
      </c>
      <c r="AD26" s="45">
        <f t="shared" si="53"/>
        <v>0</v>
      </c>
      <c r="AE26" s="45">
        <f t="shared" si="53"/>
        <v>0</v>
      </c>
      <c r="AF26" s="45">
        <f t="shared" si="53"/>
        <v>0</v>
      </c>
      <c r="AG26" s="45">
        <f t="shared" si="53"/>
        <v>0</v>
      </c>
      <c r="AH26" s="45">
        <f t="shared" si="53"/>
        <v>0</v>
      </c>
      <c r="AI26" s="45">
        <f>AI22*AI24</f>
        <v>0</v>
      </c>
      <c r="AJ26" s="45">
        <f t="shared" si="53"/>
        <v>0</v>
      </c>
      <c r="AK26" s="45">
        <f t="shared" si="53"/>
        <v>0</v>
      </c>
      <c r="AL26" s="45">
        <f t="shared" si="53"/>
        <v>1</v>
      </c>
      <c r="AM26" s="45">
        <f t="shared" si="53"/>
        <v>0</v>
      </c>
      <c r="AN26" s="45">
        <f t="shared" si="53"/>
        <v>0</v>
      </c>
      <c r="AO26" s="45">
        <f t="shared" si="53"/>
        <v>0</v>
      </c>
      <c r="AP26" s="45">
        <f t="shared" si="53"/>
        <v>0</v>
      </c>
      <c r="AQ26" s="45">
        <f t="shared" si="53"/>
        <v>0</v>
      </c>
      <c r="AR26" s="45">
        <f t="shared" si="53"/>
        <v>0</v>
      </c>
      <c r="AS26" s="45">
        <f t="shared" si="53"/>
        <v>0</v>
      </c>
      <c r="AT26" s="45">
        <f t="shared" si="53"/>
        <v>0</v>
      </c>
      <c r="AU26" s="45">
        <f t="shared" si="53"/>
        <v>0</v>
      </c>
      <c r="AV26" s="45">
        <f t="shared" si="53"/>
        <v>0</v>
      </c>
      <c r="AW26" s="45">
        <f t="shared" si="53"/>
        <v>0</v>
      </c>
      <c r="AX26" s="45">
        <f t="shared" si="53"/>
        <v>0</v>
      </c>
      <c r="AY26" s="45">
        <f t="shared" si="53"/>
        <v>0</v>
      </c>
      <c r="AZ26" s="45">
        <f t="shared" si="53"/>
        <v>0</v>
      </c>
      <c r="BA26" s="45">
        <f t="shared" si="53"/>
        <v>0</v>
      </c>
      <c r="BB26" s="45">
        <f t="shared" si="53"/>
        <v>0</v>
      </c>
      <c r="BC26" s="45">
        <f t="shared" si="53"/>
        <v>0</v>
      </c>
      <c r="BD26" s="45">
        <f t="shared" si="53"/>
        <v>0</v>
      </c>
      <c r="BE26" s="45">
        <f t="shared" si="53"/>
        <v>0</v>
      </c>
      <c r="BF26" s="45">
        <f t="shared" si="53"/>
        <v>0</v>
      </c>
      <c r="BG26" s="45">
        <f t="shared" si="53"/>
        <v>0</v>
      </c>
      <c r="BH26" s="45">
        <f t="shared" si="53"/>
        <v>0</v>
      </c>
      <c r="BI26" s="45">
        <f t="shared" si="53"/>
        <v>0</v>
      </c>
      <c r="BJ26" s="45">
        <f t="shared" si="53"/>
        <v>0</v>
      </c>
      <c r="BL26" s="45">
        <f t="shared" si="53"/>
        <v>0</v>
      </c>
      <c r="BM26" s="45">
        <f t="shared" si="53"/>
        <v>1</v>
      </c>
      <c r="BN26" s="45">
        <f t="shared" si="53"/>
        <v>0</v>
      </c>
      <c r="BO26" s="45">
        <f t="shared" si="53"/>
        <v>0</v>
      </c>
      <c r="BP26" s="45">
        <f t="shared" si="53"/>
        <v>0</v>
      </c>
      <c r="BQ26" s="45">
        <f t="shared" si="53"/>
        <v>0</v>
      </c>
      <c r="BR26" s="45">
        <f t="shared" si="53"/>
        <v>0</v>
      </c>
      <c r="BS26" s="45">
        <f t="shared" si="53"/>
        <v>0</v>
      </c>
      <c r="BT26" s="45">
        <f t="shared" si="53"/>
        <v>0</v>
      </c>
      <c r="BU26" s="45">
        <f t="shared" si="53"/>
        <v>0</v>
      </c>
      <c r="BV26" s="45">
        <f t="shared" si="53"/>
        <v>0</v>
      </c>
      <c r="BW26" s="45">
        <f t="shared" si="53"/>
        <v>0</v>
      </c>
      <c r="BY26" s="12"/>
      <c r="CA26" s="12"/>
      <c r="EX26" s="10" t="str">
        <f t="shared" si="13"/>
        <v/>
      </c>
    </row>
    <row r="27" spans="1:154" s="67" customFormat="1" ht="6.6" customHeight="1" x14ac:dyDescent="0.25">
      <c r="D27" s="1"/>
      <c r="T27" s="335"/>
      <c r="U27" s="335"/>
      <c r="BM27" s="6"/>
      <c r="BY27" s="42"/>
      <c r="CA27" s="42"/>
      <c r="EX27" s="10" t="str">
        <f t="shared" si="13"/>
        <v/>
      </c>
    </row>
    <row r="28" spans="1:154" s="67" customFormat="1" x14ac:dyDescent="0.25">
      <c r="D28" s="1" t="s">
        <v>348</v>
      </c>
      <c r="T28" s="335"/>
      <c r="U28" s="335"/>
      <c r="V28" s="45">
        <f t="shared" ref="V28:Y28" si="54">(1-V22)*V24</f>
        <v>0</v>
      </c>
      <c r="W28" s="45">
        <f t="shared" si="54"/>
        <v>0</v>
      </c>
      <c r="X28" s="45">
        <f t="shared" si="54"/>
        <v>0</v>
      </c>
      <c r="Y28" s="45">
        <f t="shared" si="54"/>
        <v>0</v>
      </c>
      <c r="AA28" s="45">
        <f>(1-AA22)*AA24</f>
        <v>1</v>
      </c>
      <c r="AB28" s="45">
        <f t="shared" ref="AB28:BW28" si="55">(1-AB22)*AB24</f>
        <v>1</v>
      </c>
      <c r="AC28" s="45">
        <f t="shared" si="55"/>
        <v>1</v>
      </c>
      <c r="AD28" s="45">
        <f t="shared" si="55"/>
        <v>1</v>
      </c>
      <c r="AE28" s="45">
        <f t="shared" si="55"/>
        <v>1</v>
      </c>
      <c r="AF28" s="45">
        <f t="shared" si="55"/>
        <v>1</v>
      </c>
      <c r="AG28" s="45">
        <f t="shared" si="55"/>
        <v>1</v>
      </c>
      <c r="AH28" s="45">
        <f t="shared" si="55"/>
        <v>1</v>
      </c>
      <c r="AI28" s="45">
        <f t="shared" si="55"/>
        <v>1</v>
      </c>
      <c r="AJ28" s="45">
        <f t="shared" si="55"/>
        <v>1</v>
      </c>
      <c r="AK28" s="45">
        <f t="shared" si="55"/>
        <v>1</v>
      </c>
      <c r="AL28" s="45">
        <f t="shared" si="55"/>
        <v>0</v>
      </c>
      <c r="AM28" s="45">
        <f t="shared" si="55"/>
        <v>0</v>
      </c>
      <c r="AN28" s="45">
        <f t="shared" si="55"/>
        <v>0</v>
      </c>
      <c r="AO28" s="45">
        <f t="shared" si="55"/>
        <v>0</v>
      </c>
      <c r="AP28" s="45">
        <f t="shared" si="55"/>
        <v>0</v>
      </c>
      <c r="AQ28" s="45">
        <f t="shared" si="55"/>
        <v>0</v>
      </c>
      <c r="AR28" s="45">
        <f t="shared" si="55"/>
        <v>0</v>
      </c>
      <c r="AS28" s="45">
        <f t="shared" si="55"/>
        <v>0</v>
      </c>
      <c r="AT28" s="45">
        <f t="shared" si="55"/>
        <v>0</v>
      </c>
      <c r="AU28" s="45">
        <f t="shared" si="55"/>
        <v>0</v>
      </c>
      <c r="AV28" s="45">
        <f t="shared" si="55"/>
        <v>0</v>
      </c>
      <c r="AW28" s="45">
        <f t="shared" si="55"/>
        <v>0</v>
      </c>
      <c r="AX28" s="45">
        <f t="shared" si="55"/>
        <v>0</v>
      </c>
      <c r="AY28" s="45">
        <f t="shared" si="55"/>
        <v>0</v>
      </c>
      <c r="AZ28" s="45">
        <f t="shared" si="55"/>
        <v>0</v>
      </c>
      <c r="BA28" s="45">
        <f t="shared" si="55"/>
        <v>0</v>
      </c>
      <c r="BB28" s="45">
        <f t="shared" si="55"/>
        <v>0</v>
      </c>
      <c r="BC28" s="45">
        <f t="shared" si="55"/>
        <v>0</v>
      </c>
      <c r="BD28" s="45">
        <f t="shared" si="55"/>
        <v>0</v>
      </c>
      <c r="BE28" s="45">
        <f t="shared" si="55"/>
        <v>0</v>
      </c>
      <c r="BF28" s="45">
        <f t="shared" si="55"/>
        <v>0</v>
      </c>
      <c r="BG28" s="45">
        <f t="shared" si="55"/>
        <v>0</v>
      </c>
      <c r="BH28" s="45">
        <f t="shared" si="55"/>
        <v>0</v>
      </c>
      <c r="BI28" s="45">
        <f t="shared" si="55"/>
        <v>0</v>
      </c>
      <c r="BJ28" s="45">
        <f t="shared" si="55"/>
        <v>0</v>
      </c>
      <c r="BL28" s="45">
        <f t="shared" si="55"/>
        <v>0</v>
      </c>
      <c r="BM28" s="45">
        <f t="shared" si="55"/>
        <v>0</v>
      </c>
      <c r="BN28" s="45">
        <f t="shared" si="55"/>
        <v>0</v>
      </c>
      <c r="BO28" s="45">
        <f t="shared" si="55"/>
        <v>0</v>
      </c>
      <c r="BP28" s="45">
        <f t="shared" si="55"/>
        <v>0</v>
      </c>
      <c r="BQ28" s="45">
        <f t="shared" si="55"/>
        <v>0</v>
      </c>
      <c r="BR28" s="45">
        <f t="shared" si="55"/>
        <v>0</v>
      </c>
      <c r="BS28" s="45">
        <f t="shared" si="55"/>
        <v>0</v>
      </c>
      <c r="BT28" s="45">
        <f t="shared" si="55"/>
        <v>0</v>
      </c>
      <c r="BU28" s="45">
        <f t="shared" si="55"/>
        <v>0</v>
      </c>
      <c r="BV28" s="45">
        <f t="shared" si="55"/>
        <v>0</v>
      </c>
      <c r="BW28" s="45">
        <f t="shared" si="55"/>
        <v>0</v>
      </c>
      <c r="BY28" s="12"/>
      <c r="CA28" s="12"/>
      <c r="EX28" s="10" t="str">
        <f t="shared" si="13"/>
        <v/>
      </c>
    </row>
    <row r="29" spans="1:154" s="67" customFormat="1" ht="6.6" customHeight="1" x14ac:dyDescent="0.25">
      <c r="D29" s="1"/>
      <c r="T29" s="335"/>
      <c r="U29" s="335"/>
      <c r="BM29" s="6"/>
      <c r="BY29" s="42"/>
      <c r="CA29" s="42"/>
      <c r="EX29" s="10" t="str">
        <f t="shared" si="13"/>
        <v/>
      </c>
    </row>
    <row r="30" spans="1:154" s="67" customFormat="1" x14ac:dyDescent="0.25">
      <c r="D30" s="177" t="s">
        <v>347</v>
      </c>
      <c r="T30" s="335"/>
      <c r="U30" s="335"/>
      <c r="V30" s="136"/>
      <c r="W30" s="45">
        <f>V30+1</f>
        <v>1</v>
      </c>
      <c r="X30" s="45">
        <f t="shared" ref="X30:Y30" si="56">W30+1</f>
        <v>2</v>
      </c>
      <c r="Y30" s="45">
        <f t="shared" si="56"/>
        <v>3</v>
      </c>
      <c r="AA30" s="200">
        <f>IF(AA4=0,0,INDEX($W30:$Y30,MATCH(AA3,$W3:$Y3,0)))</f>
        <v>0</v>
      </c>
      <c r="AB30" s="200">
        <f t="shared" ref="AB30:BJ30" si="57">IF(AB4=0,0,INDEX($W30:$Y30,MATCH(AB3,$W3:$Y3,0)))</f>
        <v>0</v>
      </c>
      <c r="AC30" s="200">
        <f t="shared" si="57"/>
        <v>0</v>
      </c>
      <c r="AD30" s="200">
        <f t="shared" si="57"/>
        <v>0</v>
      </c>
      <c r="AE30" s="200">
        <f t="shared" si="57"/>
        <v>0</v>
      </c>
      <c r="AF30" s="200">
        <f t="shared" si="57"/>
        <v>0</v>
      </c>
      <c r="AG30" s="200">
        <f t="shared" si="57"/>
        <v>0</v>
      </c>
      <c r="AH30" s="200">
        <f t="shared" si="57"/>
        <v>0</v>
      </c>
      <c r="AI30" s="200">
        <f t="shared" si="57"/>
        <v>0</v>
      </c>
      <c r="AJ30" s="200">
        <f t="shared" si="57"/>
        <v>0</v>
      </c>
      <c r="AK30" s="200">
        <f t="shared" si="57"/>
        <v>0</v>
      </c>
      <c r="AL30" s="200">
        <f t="shared" si="57"/>
        <v>1</v>
      </c>
      <c r="AM30" s="200">
        <f t="shared" si="57"/>
        <v>2</v>
      </c>
      <c r="AN30" s="200">
        <f t="shared" si="57"/>
        <v>2</v>
      </c>
      <c r="AO30" s="200">
        <f t="shared" si="57"/>
        <v>2</v>
      </c>
      <c r="AP30" s="200">
        <f t="shared" si="57"/>
        <v>2</v>
      </c>
      <c r="AQ30" s="200">
        <f t="shared" si="57"/>
        <v>2</v>
      </c>
      <c r="AR30" s="200">
        <f t="shared" si="57"/>
        <v>2</v>
      </c>
      <c r="AS30" s="200">
        <f t="shared" si="57"/>
        <v>2</v>
      </c>
      <c r="AT30" s="200">
        <f t="shared" si="57"/>
        <v>2</v>
      </c>
      <c r="AU30" s="200">
        <f t="shared" si="57"/>
        <v>2</v>
      </c>
      <c r="AV30" s="200">
        <f t="shared" si="57"/>
        <v>2</v>
      </c>
      <c r="AW30" s="200">
        <f t="shared" si="57"/>
        <v>2</v>
      </c>
      <c r="AX30" s="200">
        <f t="shared" si="57"/>
        <v>2</v>
      </c>
      <c r="AY30" s="200">
        <f t="shared" si="57"/>
        <v>3</v>
      </c>
      <c r="AZ30" s="200">
        <f t="shared" si="57"/>
        <v>3</v>
      </c>
      <c r="BA30" s="200">
        <f t="shared" si="57"/>
        <v>3</v>
      </c>
      <c r="BB30" s="200">
        <f t="shared" si="57"/>
        <v>3</v>
      </c>
      <c r="BC30" s="200">
        <f t="shared" si="57"/>
        <v>3</v>
      </c>
      <c r="BD30" s="200">
        <f t="shared" si="57"/>
        <v>3</v>
      </c>
      <c r="BE30" s="200">
        <f t="shared" si="57"/>
        <v>3</v>
      </c>
      <c r="BF30" s="200">
        <f t="shared" si="57"/>
        <v>3</v>
      </c>
      <c r="BG30" s="200">
        <f t="shared" si="57"/>
        <v>3</v>
      </c>
      <c r="BH30" s="200">
        <f t="shared" si="57"/>
        <v>3</v>
      </c>
      <c r="BI30" s="200">
        <f t="shared" si="57"/>
        <v>3</v>
      </c>
      <c r="BJ30" s="200">
        <f t="shared" si="57"/>
        <v>3</v>
      </c>
      <c r="BL30" s="136"/>
      <c r="BM30" s="136"/>
      <c r="BN30" s="136"/>
      <c r="BO30" s="136"/>
      <c r="BP30" s="136"/>
      <c r="BQ30" s="136"/>
      <c r="BR30" s="136"/>
      <c r="BS30" s="136"/>
      <c r="BT30" s="136"/>
      <c r="BU30" s="136"/>
      <c r="BV30" s="136"/>
      <c r="BW30" s="136"/>
      <c r="BY30" s="12"/>
      <c r="CA30" s="12"/>
      <c r="EX30" s="10" t="str">
        <f t="shared" si="13"/>
        <v/>
      </c>
    </row>
    <row r="31" spans="1:154" s="67" customFormat="1" ht="6.6" customHeight="1" x14ac:dyDescent="0.25">
      <c r="D31" s="1"/>
      <c r="T31" s="335"/>
      <c r="U31" s="335"/>
      <c r="BM31" s="6"/>
      <c r="BY31" s="42"/>
      <c r="CA31" s="42"/>
      <c r="EX31" s="10" t="str">
        <f t="shared" si="13"/>
        <v/>
      </c>
    </row>
    <row r="32" spans="1:154" x14ac:dyDescent="0.25">
      <c r="A32" s="279"/>
      <c r="D32" s="1" t="s">
        <v>167</v>
      </c>
      <c r="E32" s="11"/>
      <c r="S32" s="11"/>
      <c r="T32" s="335"/>
      <c r="U32" s="335"/>
      <c r="V32" s="45"/>
      <c r="W32" s="45"/>
      <c r="X32" s="45"/>
      <c r="Y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L32" s="45"/>
      <c r="BM32" s="45"/>
      <c r="BN32" s="45"/>
      <c r="BO32" s="45"/>
      <c r="BP32" s="45"/>
      <c r="BQ32" s="45"/>
      <c r="BR32" s="45"/>
      <c r="BS32" s="45"/>
      <c r="BT32" s="45"/>
      <c r="BU32" s="45"/>
      <c r="BV32" s="45"/>
      <c r="BW32" s="45"/>
      <c r="BY32" s="195"/>
      <c r="BZ32" s="93"/>
      <c r="CA32" s="195"/>
      <c r="EX32" s="10" t="str">
        <f t="shared" si="13"/>
        <v/>
      </c>
    </row>
    <row r="33" spans="1:154" ht="6.6" customHeight="1" x14ac:dyDescent="0.25">
      <c r="D33" s="1"/>
      <c r="E33" s="11"/>
      <c r="S33" s="11"/>
      <c r="T33" s="335"/>
      <c r="U33" s="335"/>
      <c r="X33" s="11"/>
      <c r="Y33" s="11"/>
      <c r="BM33" s="6"/>
      <c r="BY33" s="42"/>
      <c r="CA33" s="42"/>
      <c r="EX33" s="10" t="str">
        <f t="shared" si="13"/>
        <v/>
      </c>
    </row>
    <row r="34" spans="1:154" s="335" customFormat="1" x14ac:dyDescent="0.25">
      <c r="D34" s="1" t="s">
        <v>902</v>
      </c>
      <c r="V34" s="45" t="s">
        <v>903</v>
      </c>
      <c r="W34" s="45" t="s">
        <v>904</v>
      </c>
      <c r="X34" s="45" t="s">
        <v>905</v>
      </c>
      <c r="Y34" s="45" t="s">
        <v>906</v>
      </c>
      <c r="AA34" s="45" t="str">
        <f t="shared" ref="AA34:BJ34" si="58">"M"&amp;COLUMN()-COLUMN($Z34)</f>
        <v>M1</v>
      </c>
      <c r="AB34" s="45" t="str">
        <f t="shared" si="58"/>
        <v>M2</v>
      </c>
      <c r="AC34" s="45" t="str">
        <f t="shared" si="58"/>
        <v>M3</v>
      </c>
      <c r="AD34" s="45" t="str">
        <f t="shared" si="58"/>
        <v>M4</v>
      </c>
      <c r="AE34" s="45" t="str">
        <f t="shared" si="58"/>
        <v>M5</v>
      </c>
      <c r="AF34" s="45" t="str">
        <f t="shared" si="58"/>
        <v>M6</v>
      </c>
      <c r="AG34" s="45" t="str">
        <f t="shared" si="58"/>
        <v>M7</v>
      </c>
      <c r="AH34" s="45" t="str">
        <f t="shared" si="58"/>
        <v>M8</v>
      </c>
      <c r="AI34" s="45" t="str">
        <f t="shared" si="58"/>
        <v>M9</v>
      </c>
      <c r="AJ34" s="45" t="str">
        <f t="shared" si="58"/>
        <v>M10</v>
      </c>
      <c r="AK34" s="45" t="str">
        <f t="shared" si="58"/>
        <v>M11</v>
      </c>
      <c r="AL34" s="45" t="str">
        <f t="shared" si="58"/>
        <v>M12</v>
      </c>
      <c r="AM34" s="45" t="str">
        <f t="shared" si="58"/>
        <v>M13</v>
      </c>
      <c r="AN34" s="45" t="str">
        <f t="shared" si="58"/>
        <v>M14</v>
      </c>
      <c r="AO34" s="45" t="str">
        <f t="shared" si="58"/>
        <v>M15</v>
      </c>
      <c r="AP34" s="45" t="str">
        <f t="shared" si="58"/>
        <v>M16</v>
      </c>
      <c r="AQ34" s="45" t="str">
        <f t="shared" si="58"/>
        <v>M17</v>
      </c>
      <c r="AR34" s="45" t="str">
        <f t="shared" si="58"/>
        <v>M18</v>
      </c>
      <c r="AS34" s="45" t="str">
        <f t="shared" si="58"/>
        <v>M19</v>
      </c>
      <c r="AT34" s="45" t="str">
        <f t="shared" si="58"/>
        <v>M20</v>
      </c>
      <c r="AU34" s="45" t="str">
        <f t="shared" si="58"/>
        <v>M21</v>
      </c>
      <c r="AV34" s="45" t="str">
        <f t="shared" si="58"/>
        <v>M22</v>
      </c>
      <c r="AW34" s="45" t="str">
        <f t="shared" si="58"/>
        <v>M23</v>
      </c>
      <c r="AX34" s="45" t="str">
        <f t="shared" si="58"/>
        <v>M24</v>
      </c>
      <c r="AY34" s="45" t="str">
        <f t="shared" si="58"/>
        <v>M25</v>
      </c>
      <c r="AZ34" s="45" t="str">
        <f t="shared" si="58"/>
        <v>M26</v>
      </c>
      <c r="BA34" s="45" t="str">
        <f t="shared" si="58"/>
        <v>M27</v>
      </c>
      <c r="BB34" s="45" t="str">
        <f t="shared" si="58"/>
        <v>M28</v>
      </c>
      <c r="BC34" s="45" t="str">
        <f t="shared" si="58"/>
        <v>M29</v>
      </c>
      <c r="BD34" s="45" t="str">
        <f t="shared" si="58"/>
        <v>M30</v>
      </c>
      <c r="BE34" s="45" t="str">
        <f t="shared" si="58"/>
        <v>M31</v>
      </c>
      <c r="BF34" s="45" t="str">
        <f t="shared" si="58"/>
        <v>M32</v>
      </c>
      <c r="BG34" s="45" t="str">
        <f t="shared" si="58"/>
        <v>M33</v>
      </c>
      <c r="BH34" s="45" t="str">
        <f t="shared" si="58"/>
        <v>M34</v>
      </c>
      <c r="BI34" s="45" t="str">
        <f t="shared" si="58"/>
        <v>M35</v>
      </c>
      <c r="BJ34" s="45" t="str">
        <f t="shared" si="58"/>
        <v>M36</v>
      </c>
      <c r="BL34" s="45" t="str">
        <f t="shared" ref="BL34:BW34" si="59">"Y"&amp;COLUMN()-COLUMN($BK34)</f>
        <v>Y1</v>
      </c>
      <c r="BM34" s="45" t="str">
        <f t="shared" si="59"/>
        <v>Y2</v>
      </c>
      <c r="BN34" s="45" t="str">
        <f t="shared" si="59"/>
        <v>Y3</v>
      </c>
      <c r="BO34" s="45" t="str">
        <f t="shared" si="59"/>
        <v>Y4</v>
      </c>
      <c r="BP34" s="45" t="str">
        <f t="shared" si="59"/>
        <v>Y5</v>
      </c>
      <c r="BQ34" s="45" t="str">
        <f t="shared" si="59"/>
        <v>Y6</v>
      </c>
      <c r="BR34" s="45" t="str">
        <f t="shared" si="59"/>
        <v>Y7</v>
      </c>
      <c r="BS34" s="45" t="str">
        <f t="shared" si="59"/>
        <v>Y8</v>
      </c>
      <c r="BT34" s="45" t="str">
        <f t="shared" si="59"/>
        <v>Y9</v>
      </c>
      <c r="BU34" s="45" t="str">
        <f t="shared" si="59"/>
        <v>Y10</v>
      </c>
      <c r="BV34" s="45" t="str">
        <f t="shared" si="59"/>
        <v>Y11</v>
      </c>
      <c r="BW34" s="45" t="str">
        <f t="shared" si="59"/>
        <v>Y12</v>
      </c>
      <c r="BY34" s="195"/>
      <c r="CA34" s="195"/>
      <c r="EX34" s="10" t="str">
        <f t="shared" si="13"/>
        <v/>
      </c>
    </row>
    <row r="35" spans="1:154" s="335" customFormat="1" ht="6.6" customHeight="1" x14ac:dyDescent="0.25">
      <c r="D35" s="1"/>
      <c r="BM35" s="6"/>
      <c r="BY35" s="42"/>
      <c r="CA35" s="42"/>
      <c r="EX35" s="10" t="str">
        <f t="shared" si="13"/>
        <v/>
      </c>
    </row>
    <row r="36" spans="1:154" s="335" customFormat="1" ht="13.5" customHeight="1" x14ac:dyDescent="0.25">
      <c r="D36" s="1" t="s">
        <v>907</v>
      </c>
      <c r="BM36" s="6"/>
      <c r="BY36" s="42"/>
      <c r="CA36" s="42"/>
      <c r="EX36" s="10" t="str">
        <f t="shared" si="13"/>
        <v/>
      </c>
    </row>
    <row r="37" spans="1:154" s="335" customFormat="1" x14ac:dyDescent="0.25">
      <c r="D37" s="45" t="str">
        <f t="shared" ref="D37:Q37" si="60">SUBSTITUTE(ADDRESS(1,COLUMN(),4),"1","")</f>
        <v>D</v>
      </c>
      <c r="E37" s="45" t="str">
        <f t="shared" si="60"/>
        <v>E</v>
      </c>
      <c r="F37" s="45" t="str">
        <f t="shared" si="60"/>
        <v>F</v>
      </c>
      <c r="G37" s="45" t="str">
        <f t="shared" si="60"/>
        <v>G</v>
      </c>
      <c r="H37" s="45" t="str">
        <f t="shared" si="60"/>
        <v>H</v>
      </c>
      <c r="I37" s="45" t="str">
        <f t="shared" si="60"/>
        <v>I</v>
      </c>
      <c r="J37" s="45" t="str">
        <f t="shared" si="60"/>
        <v>J</v>
      </c>
      <c r="K37" s="45" t="str">
        <f t="shared" si="60"/>
        <v>K</v>
      </c>
      <c r="L37" s="45" t="str">
        <f t="shared" si="60"/>
        <v>L</v>
      </c>
      <c r="M37" s="45" t="str">
        <f t="shared" si="60"/>
        <v>M</v>
      </c>
      <c r="N37" s="45" t="str">
        <f t="shared" si="60"/>
        <v>N</v>
      </c>
      <c r="O37" s="45" t="str">
        <f t="shared" si="60"/>
        <v>O</v>
      </c>
      <c r="P37" s="45" t="str">
        <f t="shared" si="60"/>
        <v>P</v>
      </c>
      <c r="Q37" s="45" t="str">
        <f t="shared" si="60"/>
        <v>Q</v>
      </c>
      <c r="R37" s="416" t="str">
        <f>SUBSTITUTE(ADDRESS(1,COLUMN(),4),"1","")</f>
        <v>R</v>
      </c>
      <c r="S37" s="416" t="str">
        <f>SUBSTITUTE(ADDRESS(1,COLUMN(),4),"1","")</f>
        <v>S</v>
      </c>
      <c r="T37" s="45" t="str">
        <f>SUBSTITUTE(ADDRESS(1,COLUMN(),4),"1","")</f>
        <v>T</v>
      </c>
      <c r="U37" s="45" t="str">
        <f t="shared" ref="U37:Y37" si="61">SUBSTITUTE(ADDRESS(1,COLUMN(),4),"1","")</f>
        <v>U</v>
      </c>
      <c r="V37" s="45" t="str">
        <f t="shared" si="61"/>
        <v>V</v>
      </c>
      <c r="W37" s="45" t="str">
        <f t="shared" si="61"/>
        <v>W</v>
      </c>
      <c r="X37" s="45" t="str">
        <f t="shared" si="61"/>
        <v>X</v>
      </c>
      <c r="Y37" s="45" t="str">
        <f t="shared" si="61"/>
        <v>Y</v>
      </c>
      <c r="AA37" s="45" t="str">
        <f t="shared" ref="AA37:BJ37" si="62">SUBSTITUTE(ADDRESS(1,COLUMN(),4),"1","")</f>
        <v>AA</v>
      </c>
      <c r="AB37" s="45" t="str">
        <f t="shared" si="62"/>
        <v>AB</v>
      </c>
      <c r="AC37" s="45" t="str">
        <f t="shared" si="62"/>
        <v>AC</v>
      </c>
      <c r="AD37" s="45" t="str">
        <f t="shared" si="62"/>
        <v>AD</v>
      </c>
      <c r="AE37" s="45" t="str">
        <f t="shared" si="62"/>
        <v>AE</v>
      </c>
      <c r="AF37" s="45" t="str">
        <f t="shared" si="62"/>
        <v>AF</v>
      </c>
      <c r="AG37" s="45" t="str">
        <f t="shared" si="62"/>
        <v>AG</v>
      </c>
      <c r="AH37" s="45" t="str">
        <f t="shared" si="62"/>
        <v>AH</v>
      </c>
      <c r="AI37" s="45" t="str">
        <f t="shared" si="62"/>
        <v>AI</v>
      </c>
      <c r="AJ37" s="45" t="str">
        <f t="shared" si="62"/>
        <v>AJ</v>
      </c>
      <c r="AK37" s="45" t="str">
        <f t="shared" si="62"/>
        <v>AK</v>
      </c>
      <c r="AL37" s="45" t="str">
        <f t="shared" si="62"/>
        <v>AL</v>
      </c>
      <c r="AM37" s="45" t="str">
        <f t="shared" si="62"/>
        <v>AM</v>
      </c>
      <c r="AN37" s="45" t="str">
        <f t="shared" si="62"/>
        <v>AN</v>
      </c>
      <c r="AO37" s="45" t="str">
        <f t="shared" si="62"/>
        <v>AO</v>
      </c>
      <c r="AP37" s="45" t="str">
        <f t="shared" si="62"/>
        <v>AP</v>
      </c>
      <c r="AQ37" s="45" t="str">
        <f t="shared" si="62"/>
        <v>AQ</v>
      </c>
      <c r="AR37" s="45" t="str">
        <f t="shared" si="62"/>
        <v>AR</v>
      </c>
      <c r="AS37" s="45" t="str">
        <f t="shared" si="62"/>
        <v>AS</v>
      </c>
      <c r="AT37" s="45" t="str">
        <f t="shared" si="62"/>
        <v>AT</v>
      </c>
      <c r="AU37" s="45" t="str">
        <f t="shared" si="62"/>
        <v>AU</v>
      </c>
      <c r="AV37" s="45" t="str">
        <f t="shared" si="62"/>
        <v>AV</v>
      </c>
      <c r="AW37" s="45" t="str">
        <f t="shared" si="62"/>
        <v>AW</v>
      </c>
      <c r="AX37" s="45" t="str">
        <f t="shared" si="62"/>
        <v>AX</v>
      </c>
      <c r="AY37" s="45" t="str">
        <f t="shared" si="62"/>
        <v>AY</v>
      </c>
      <c r="AZ37" s="45" t="str">
        <f t="shared" si="62"/>
        <v>AZ</v>
      </c>
      <c r="BA37" s="45" t="str">
        <f t="shared" si="62"/>
        <v>BA</v>
      </c>
      <c r="BB37" s="45" t="str">
        <f t="shared" si="62"/>
        <v>BB</v>
      </c>
      <c r="BC37" s="45" t="str">
        <f t="shared" si="62"/>
        <v>BC</v>
      </c>
      <c r="BD37" s="45" t="str">
        <f t="shared" si="62"/>
        <v>BD</v>
      </c>
      <c r="BE37" s="45" t="str">
        <f t="shared" si="62"/>
        <v>BE</v>
      </c>
      <c r="BF37" s="45" t="str">
        <f t="shared" si="62"/>
        <v>BF</v>
      </c>
      <c r="BG37" s="45" t="str">
        <f t="shared" si="62"/>
        <v>BG</v>
      </c>
      <c r="BH37" s="45" t="str">
        <f t="shared" si="62"/>
        <v>BH</v>
      </c>
      <c r="BI37" s="45" t="str">
        <f t="shared" si="62"/>
        <v>BI</v>
      </c>
      <c r="BJ37" s="45" t="str">
        <f t="shared" si="62"/>
        <v>BJ</v>
      </c>
      <c r="BL37" s="45" t="str">
        <f t="shared" ref="BL37:BW37" si="63">SUBSTITUTE(ADDRESS(1,COLUMN(),4),"1","")</f>
        <v>BL</v>
      </c>
      <c r="BM37" s="45" t="str">
        <f t="shared" si="63"/>
        <v>BM</v>
      </c>
      <c r="BN37" s="45" t="str">
        <f t="shared" si="63"/>
        <v>BN</v>
      </c>
      <c r="BO37" s="45" t="str">
        <f t="shared" si="63"/>
        <v>BO</v>
      </c>
      <c r="BP37" s="45" t="str">
        <f t="shared" si="63"/>
        <v>BP</v>
      </c>
      <c r="BQ37" s="45" t="str">
        <f t="shared" si="63"/>
        <v>BQ</v>
      </c>
      <c r="BR37" s="45" t="str">
        <f t="shared" si="63"/>
        <v>BR</v>
      </c>
      <c r="BS37" s="45" t="str">
        <f t="shared" si="63"/>
        <v>BS</v>
      </c>
      <c r="BT37" s="45" t="str">
        <f t="shared" si="63"/>
        <v>BT</v>
      </c>
      <c r="BU37" s="45" t="str">
        <f t="shared" si="63"/>
        <v>BU</v>
      </c>
      <c r="BV37" s="45" t="str">
        <f t="shared" si="63"/>
        <v>BV</v>
      </c>
      <c r="BW37" s="45" t="str">
        <f t="shared" si="63"/>
        <v>BW</v>
      </c>
      <c r="BY37" s="195"/>
      <c r="CA37" s="195"/>
      <c r="EX37" s="10" t="str">
        <f t="shared" si="13"/>
        <v/>
      </c>
    </row>
    <row r="38" spans="1:154" s="335" customFormat="1" ht="6.6" customHeight="1" x14ac:dyDescent="0.25">
      <c r="D38" s="1"/>
      <c r="BM38" s="6"/>
      <c r="BY38" s="42"/>
      <c r="CA38" s="42"/>
      <c r="EX38" s="10" t="str">
        <f t="shared" si="13"/>
        <v/>
      </c>
    </row>
    <row r="39" spans="1:154" s="335" customFormat="1" x14ac:dyDescent="0.25">
      <c r="D39" s="62" t="s">
        <v>1738</v>
      </c>
      <c r="V39" s="136"/>
      <c r="W39" s="136"/>
      <c r="X39" s="136"/>
      <c r="Y39" s="136"/>
      <c r="AA39" s="45">
        <f>MIN(12, COUNTA($AA3:AA3))</f>
        <v>1</v>
      </c>
      <c r="AB39" s="45">
        <f>MIN(12, COUNTA($AA3:AB3))</f>
        <v>2</v>
      </c>
      <c r="AC39" s="45">
        <f>MIN(12, COUNTA($AA3:AC3))</f>
        <v>3</v>
      </c>
      <c r="AD39" s="45">
        <f>MIN(12, COUNTA($AA3:AD3))</f>
        <v>4</v>
      </c>
      <c r="AE39" s="45">
        <f>MIN(12, COUNTA($AA3:AE3))</f>
        <v>5</v>
      </c>
      <c r="AF39" s="45">
        <f>MIN(12, COUNTA($AA3:AF3))</f>
        <v>6</v>
      </c>
      <c r="AG39" s="45">
        <f>MIN(12, COUNTA($AA3:AG3))</f>
        <v>7</v>
      </c>
      <c r="AH39" s="45">
        <f>MIN(12, COUNTA($AA3:AH3))</f>
        <v>8</v>
      </c>
      <c r="AI39" s="45">
        <f>MIN(12, COUNTA($AA3:AI3))</f>
        <v>9</v>
      </c>
      <c r="AJ39" s="45">
        <f>MIN(12, COUNTA($AA3:AJ3))</f>
        <v>10</v>
      </c>
      <c r="AK39" s="45">
        <f>MIN(12, COUNTA($AA3:AK3))</f>
        <v>11</v>
      </c>
      <c r="AL39" s="45">
        <f>MIN(12, COUNTA($AA3:AL3))</f>
        <v>12</v>
      </c>
      <c r="AM39" s="45">
        <f>MIN(12, COUNTA($AA3:AM3))</f>
        <v>12</v>
      </c>
      <c r="AN39" s="45">
        <f>MIN(12, COUNTA($AA3:AN3))</f>
        <v>12</v>
      </c>
      <c r="AO39" s="45">
        <f>MIN(12, COUNTA($AA3:AO3))</f>
        <v>12</v>
      </c>
      <c r="AP39" s="45">
        <f>MIN(12, COUNTA($AA3:AP3))</f>
        <v>12</v>
      </c>
      <c r="AQ39" s="45">
        <f>MIN(12, COUNTA($AA3:AQ3))</f>
        <v>12</v>
      </c>
      <c r="AR39" s="45">
        <f>MIN(12, COUNTA($AA3:AR3))</f>
        <v>12</v>
      </c>
      <c r="AS39" s="45">
        <f>MIN(12, COUNTA($AA3:AS3))</f>
        <v>12</v>
      </c>
      <c r="AT39" s="45">
        <f>MIN(12, COUNTA($AA3:AT3))</f>
        <v>12</v>
      </c>
      <c r="AU39" s="45">
        <f>MIN(12, COUNTA($AA3:AU3))</f>
        <v>12</v>
      </c>
      <c r="AV39" s="45">
        <f>MIN(12, COUNTA($AA3:AV3))</f>
        <v>12</v>
      </c>
      <c r="AW39" s="45">
        <f>MIN(12, COUNTA($AA3:AW3))</f>
        <v>12</v>
      </c>
      <c r="AX39" s="45">
        <f>MIN(12, COUNTA($AA3:AX3))</f>
        <v>12</v>
      </c>
      <c r="AY39" s="45">
        <f>MIN(12, COUNTA($AA3:AY3))</f>
        <v>12</v>
      </c>
      <c r="AZ39" s="45">
        <f>MIN(12, COUNTA($AA3:AZ3))</f>
        <v>12</v>
      </c>
      <c r="BA39" s="45">
        <f>MIN(12, COUNTA($AA3:BA3))</f>
        <v>12</v>
      </c>
      <c r="BB39" s="45">
        <f>MIN(12, COUNTA($AA3:BB3))</f>
        <v>12</v>
      </c>
      <c r="BC39" s="45">
        <f>MIN(12, COUNTA($AA3:BC3))</f>
        <v>12</v>
      </c>
      <c r="BD39" s="45">
        <f>MIN(12, COUNTA($AA3:BD3))</f>
        <v>12</v>
      </c>
      <c r="BE39" s="45">
        <f>MIN(12, COUNTA($AA3:BE3))</f>
        <v>12</v>
      </c>
      <c r="BF39" s="45">
        <f>MIN(12, COUNTA($AA3:BF3))</f>
        <v>12</v>
      </c>
      <c r="BG39" s="45">
        <f>MIN(12, COUNTA($AA3:BG3))</f>
        <v>12</v>
      </c>
      <c r="BH39" s="45">
        <f>MIN(12, COUNTA($AA3:BH3))</f>
        <v>12</v>
      </c>
      <c r="BI39" s="45">
        <f>MIN(12, COUNTA($AA3:BI3))</f>
        <v>12</v>
      </c>
      <c r="BJ39" s="45">
        <f>MIN(12, COUNTA($AA3:BJ3))</f>
        <v>12</v>
      </c>
      <c r="BL39" s="136"/>
      <c r="BM39" s="136"/>
      <c r="BN39" s="136"/>
      <c r="BO39" s="136"/>
      <c r="BP39" s="136"/>
      <c r="BQ39" s="136"/>
      <c r="BR39" s="136"/>
      <c r="BS39" s="136"/>
      <c r="BT39" s="136"/>
      <c r="BU39" s="136"/>
      <c r="BV39" s="136"/>
      <c r="BW39" s="136"/>
      <c r="BY39" s="12"/>
      <c r="CA39" s="12"/>
      <c r="EX39" s="10" t="str">
        <f t="shared" si="13"/>
        <v/>
      </c>
    </row>
    <row r="40" spans="1:154" s="335" customFormat="1" ht="6.6" customHeight="1" x14ac:dyDescent="0.25">
      <c r="D40" s="1"/>
      <c r="BM40" s="6"/>
      <c r="BY40" s="42"/>
      <c r="CA40" s="42"/>
      <c r="EX40" s="10" t="str">
        <f t="shared" si="13"/>
        <v/>
      </c>
    </row>
    <row r="41" spans="1:154" x14ac:dyDescent="0.25">
      <c r="A41" s="40"/>
      <c r="B41" s="40"/>
      <c r="C41" s="40"/>
      <c r="D41" s="40" t="s">
        <v>221</v>
      </c>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12"/>
      <c r="CA41" s="12"/>
      <c r="EX41" s="10" t="str">
        <f t="shared" si="13"/>
        <v/>
      </c>
    </row>
    <row r="42" spans="1:154" s="67" customFormat="1" ht="6.6" customHeight="1" x14ac:dyDescent="0.25">
      <c r="D42" s="1"/>
      <c r="BM42" s="6"/>
      <c r="BY42" s="42"/>
      <c r="CA42" s="42"/>
      <c r="EX42" s="10" t="str">
        <f t="shared" si="13"/>
        <v/>
      </c>
    </row>
    <row r="43" spans="1:154" s="67" customFormat="1" x14ac:dyDescent="0.25">
      <c r="D43" s="1" t="s">
        <v>536</v>
      </c>
      <c r="T43" s="335"/>
      <c r="U43" s="335"/>
      <c r="V43" s="45">
        <f t="shared" ref="V43" si="64">V10-V8+1</f>
        <v>366</v>
      </c>
      <c r="W43" s="45">
        <f>W10-W8+1</f>
        <v>365</v>
      </c>
      <c r="X43" s="45">
        <f t="shared" ref="X43:Y43" si="65">X10-X8+1</f>
        <v>365</v>
      </c>
      <c r="Y43" s="45">
        <f t="shared" si="65"/>
        <v>365</v>
      </c>
      <c r="AA43" s="45">
        <f t="shared" ref="AA43:BJ43" si="66">AA10-AA8+1</f>
        <v>31</v>
      </c>
      <c r="AB43" s="45">
        <f t="shared" si="66"/>
        <v>30</v>
      </c>
      <c r="AC43" s="45">
        <f t="shared" si="66"/>
        <v>31</v>
      </c>
      <c r="AD43" s="45">
        <f t="shared" si="66"/>
        <v>30</v>
      </c>
      <c r="AE43" s="45">
        <f t="shared" si="66"/>
        <v>31</v>
      </c>
      <c r="AF43" s="45">
        <f t="shared" si="66"/>
        <v>31</v>
      </c>
      <c r="AG43" s="45">
        <f t="shared" si="66"/>
        <v>28</v>
      </c>
      <c r="AH43" s="45">
        <f t="shared" si="66"/>
        <v>31</v>
      </c>
      <c r="AI43" s="45">
        <f t="shared" si="66"/>
        <v>30</v>
      </c>
      <c r="AJ43" s="45">
        <f t="shared" si="66"/>
        <v>31</v>
      </c>
      <c r="AK43" s="45">
        <f t="shared" si="66"/>
        <v>30</v>
      </c>
      <c r="AL43" s="45">
        <f t="shared" si="66"/>
        <v>31</v>
      </c>
      <c r="AM43" s="45">
        <f t="shared" si="66"/>
        <v>31</v>
      </c>
      <c r="AN43" s="45">
        <f t="shared" si="66"/>
        <v>30</v>
      </c>
      <c r="AO43" s="45">
        <f t="shared" si="66"/>
        <v>31</v>
      </c>
      <c r="AP43" s="45">
        <f t="shared" si="66"/>
        <v>30</v>
      </c>
      <c r="AQ43" s="45">
        <f t="shared" si="66"/>
        <v>31</v>
      </c>
      <c r="AR43" s="45">
        <f t="shared" si="66"/>
        <v>31</v>
      </c>
      <c r="AS43" s="45">
        <f t="shared" si="66"/>
        <v>28</v>
      </c>
      <c r="AT43" s="45">
        <f t="shared" si="66"/>
        <v>31</v>
      </c>
      <c r="AU43" s="45">
        <f t="shared" si="66"/>
        <v>30</v>
      </c>
      <c r="AV43" s="45">
        <f t="shared" si="66"/>
        <v>31</v>
      </c>
      <c r="AW43" s="45">
        <f t="shared" si="66"/>
        <v>30</v>
      </c>
      <c r="AX43" s="45">
        <f t="shared" si="66"/>
        <v>31</v>
      </c>
      <c r="AY43" s="45">
        <f t="shared" si="66"/>
        <v>31</v>
      </c>
      <c r="AZ43" s="45">
        <f t="shared" si="66"/>
        <v>30</v>
      </c>
      <c r="BA43" s="45">
        <f t="shared" si="66"/>
        <v>31</v>
      </c>
      <c r="BB43" s="45">
        <f t="shared" si="66"/>
        <v>30</v>
      </c>
      <c r="BC43" s="45">
        <f t="shared" si="66"/>
        <v>31</v>
      </c>
      <c r="BD43" s="45">
        <f t="shared" si="66"/>
        <v>31</v>
      </c>
      <c r="BE43" s="45">
        <f t="shared" si="66"/>
        <v>28</v>
      </c>
      <c r="BF43" s="45">
        <f t="shared" si="66"/>
        <v>31</v>
      </c>
      <c r="BG43" s="45">
        <f t="shared" si="66"/>
        <v>30</v>
      </c>
      <c r="BH43" s="45">
        <f t="shared" si="66"/>
        <v>31</v>
      </c>
      <c r="BI43" s="45">
        <f t="shared" si="66"/>
        <v>30</v>
      </c>
      <c r="BJ43" s="45">
        <f t="shared" si="66"/>
        <v>31</v>
      </c>
      <c r="BL43" s="45">
        <f t="shared" ref="BL43:BW43" si="67">BL10-BL8+1</f>
        <v>366</v>
      </c>
      <c r="BM43" s="45">
        <f t="shared" si="67"/>
        <v>365</v>
      </c>
      <c r="BN43" s="45">
        <f t="shared" si="67"/>
        <v>365</v>
      </c>
      <c r="BO43" s="45">
        <f t="shared" si="67"/>
        <v>365</v>
      </c>
      <c r="BP43" s="45">
        <f t="shared" si="67"/>
        <v>366</v>
      </c>
      <c r="BQ43" s="45">
        <f t="shared" si="67"/>
        <v>365</v>
      </c>
      <c r="BR43" s="45">
        <f t="shared" si="67"/>
        <v>365</v>
      </c>
      <c r="BS43" s="45">
        <f t="shared" si="67"/>
        <v>365</v>
      </c>
      <c r="BT43" s="45">
        <f t="shared" si="67"/>
        <v>366</v>
      </c>
      <c r="BU43" s="45">
        <f t="shared" si="67"/>
        <v>365</v>
      </c>
      <c r="BV43" s="45">
        <f t="shared" si="67"/>
        <v>365</v>
      </c>
      <c r="BW43" s="45">
        <f t="shared" si="67"/>
        <v>365</v>
      </c>
      <c r="BY43" s="12"/>
      <c r="CA43" s="12"/>
      <c r="EX43" s="10" t="str">
        <f t="shared" si="13"/>
        <v/>
      </c>
    </row>
    <row r="44" spans="1:154" ht="6.6" customHeight="1" x14ac:dyDescent="0.25">
      <c r="D44" s="1"/>
      <c r="E44" s="11"/>
      <c r="S44" s="11"/>
      <c r="T44" s="335"/>
      <c r="U44" s="335"/>
      <c r="X44" s="11"/>
      <c r="Y44" s="11"/>
      <c r="BM44" s="6"/>
      <c r="BY44" s="42"/>
      <c r="CA44" s="42"/>
      <c r="EX44" s="10" t="str">
        <f t="shared" si="13"/>
        <v/>
      </c>
    </row>
    <row r="45" spans="1:154" x14ac:dyDescent="0.25">
      <c r="D45" s="5" t="s">
        <v>228</v>
      </c>
      <c r="F45" s="5"/>
      <c r="T45" s="335"/>
      <c r="U45" s="335"/>
      <c r="AS45" s="329"/>
      <c r="AT45" s="329"/>
      <c r="BY45" s="12"/>
      <c r="CA45" s="12"/>
      <c r="EX45" s="10" t="str">
        <f t="shared" si="13"/>
        <v/>
      </c>
    </row>
    <row r="46" spans="1:154" x14ac:dyDescent="0.25">
      <c r="B46" s="5"/>
      <c r="D46" s="5" t="str">
        <f>Loans!D$11</f>
        <v>Lender</v>
      </c>
      <c r="E46" s="5" t="s">
        <v>538</v>
      </c>
      <c r="F46" s="5" t="s">
        <v>539</v>
      </c>
      <c r="S46" s="11"/>
      <c r="T46" s="335"/>
      <c r="U46" s="335"/>
      <c r="X46" s="11"/>
      <c r="Y46" s="11"/>
      <c r="AS46" s="329"/>
      <c r="AT46" s="329"/>
      <c r="BY46" s="12"/>
      <c r="CA46" s="12"/>
      <c r="EX46" s="10" t="str">
        <f t="shared" si="13"/>
        <v/>
      </c>
    </row>
    <row r="47" spans="1:154" x14ac:dyDescent="0.25">
      <c r="B47" s="11" t="str">
        <f ca="1">Loans!B$13</f>
        <v>Loan 1</v>
      </c>
      <c r="D47" s="62" t="str">
        <f>Loans!D$13</f>
        <v>NatWest</v>
      </c>
      <c r="E47" s="159" t="str">
        <f>IF(Loans!I$13=0, "", Loans!I$13)</f>
        <v/>
      </c>
      <c r="F47" s="159" t="str">
        <f>IF(Loans!J$13=0, "", Loans!J$13)</f>
        <v/>
      </c>
      <c r="R47" s="93"/>
      <c r="S47" s="329"/>
      <c r="T47" s="335"/>
      <c r="U47" s="335"/>
      <c r="V47" s="45">
        <f>IF(AND(V$5&gt;=$E47,V$8&lt;=$F47),1,0)</f>
        <v>0</v>
      </c>
      <c r="W47" s="45">
        <f t="shared" ref="W47:BW51" si="68">IF(AND(W$5&gt;=$E47,W$8&lt;=$F47),1,0)</f>
        <v>0</v>
      </c>
      <c r="X47" s="45">
        <f t="shared" si="68"/>
        <v>0</v>
      </c>
      <c r="Y47" s="45">
        <f t="shared" si="68"/>
        <v>0</v>
      </c>
      <c r="Z47" s="329"/>
      <c r="AA47" s="45">
        <f t="shared" si="68"/>
        <v>0</v>
      </c>
      <c r="AB47" s="45">
        <f t="shared" si="68"/>
        <v>0</v>
      </c>
      <c r="AC47" s="45">
        <f t="shared" si="68"/>
        <v>0</v>
      </c>
      <c r="AD47" s="45">
        <f t="shared" si="68"/>
        <v>0</v>
      </c>
      <c r="AE47" s="45">
        <f t="shared" si="68"/>
        <v>0</v>
      </c>
      <c r="AF47" s="45">
        <f t="shared" si="68"/>
        <v>0</v>
      </c>
      <c r="AG47" s="45">
        <f t="shared" si="68"/>
        <v>0</v>
      </c>
      <c r="AH47" s="45">
        <f t="shared" si="68"/>
        <v>0</v>
      </c>
      <c r="AI47" s="45">
        <f t="shared" si="68"/>
        <v>0</v>
      </c>
      <c r="AJ47" s="45">
        <f t="shared" si="68"/>
        <v>0</v>
      </c>
      <c r="AK47" s="45">
        <f t="shared" si="68"/>
        <v>0</v>
      </c>
      <c r="AL47" s="45">
        <f t="shared" si="68"/>
        <v>0</v>
      </c>
      <c r="AM47" s="45">
        <f t="shared" si="68"/>
        <v>0</v>
      </c>
      <c r="AN47" s="45">
        <f t="shared" si="68"/>
        <v>0</v>
      </c>
      <c r="AO47" s="45">
        <f t="shared" si="68"/>
        <v>0</v>
      </c>
      <c r="AP47" s="45">
        <f t="shared" si="68"/>
        <v>0</v>
      </c>
      <c r="AQ47" s="45">
        <f t="shared" si="68"/>
        <v>0</v>
      </c>
      <c r="AR47" s="45">
        <f t="shared" si="68"/>
        <v>0</v>
      </c>
      <c r="AS47" s="45">
        <f t="shared" si="68"/>
        <v>0</v>
      </c>
      <c r="AT47" s="45">
        <f t="shared" si="68"/>
        <v>0</v>
      </c>
      <c r="AU47" s="45">
        <f t="shared" si="68"/>
        <v>0</v>
      </c>
      <c r="AV47" s="45">
        <f t="shared" si="68"/>
        <v>0</v>
      </c>
      <c r="AW47" s="45">
        <f t="shared" si="68"/>
        <v>0</v>
      </c>
      <c r="AX47" s="45">
        <f t="shared" si="68"/>
        <v>0</v>
      </c>
      <c r="AY47" s="45">
        <f t="shared" si="68"/>
        <v>0</v>
      </c>
      <c r="AZ47" s="45">
        <f>IF(AND(AZ$5&gt;=$E47,AZ$8&lt;=$F47),1,0)</f>
        <v>0</v>
      </c>
      <c r="BA47" s="45">
        <f t="shared" si="68"/>
        <v>0</v>
      </c>
      <c r="BB47" s="45">
        <f t="shared" si="68"/>
        <v>0</v>
      </c>
      <c r="BC47" s="45">
        <f t="shared" si="68"/>
        <v>0</v>
      </c>
      <c r="BD47" s="45">
        <f t="shared" si="68"/>
        <v>0</v>
      </c>
      <c r="BE47" s="45">
        <f t="shared" si="68"/>
        <v>0</v>
      </c>
      <c r="BF47" s="45">
        <f t="shared" si="68"/>
        <v>0</v>
      </c>
      <c r="BG47" s="45">
        <f t="shared" si="68"/>
        <v>0</v>
      </c>
      <c r="BH47" s="45">
        <f t="shared" si="68"/>
        <v>0</v>
      </c>
      <c r="BI47" s="45">
        <f t="shared" si="68"/>
        <v>0</v>
      </c>
      <c r="BJ47" s="45">
        <f t="shared" si="68"/>
        <v>0</v>
      </c>
      <c r="BK47" s="329"/>
      <c r="BL47" s="45">
        <f t="shared" si="68"/>
        <v>0</v>
      </c>
      <c r="BM47" s="45">
        <f t="shared" si="68"/>
        <v>0</v>
      </c>
      <c r="BN47" s="45">
        <f t="shared" si="68"/>
        <v>0</v>
      </c>
      <c r="BO47" s="45">
        <f t="shared" si="68"/>
        <v>0</v>
      </c>
      <c r="BP47" s="45">
        <f t="shared" si="68"/>
        <v>0</v>
      </c>
      <c r="BQ47" s="45">
        <f t="shared" si="68"/>
        <v>0</v>
      </c>
      <c r="BR47" s="45">
        <f t="shared" si="68"/>
        <v>0</v>
      </c>
      <c r="BS47" s="45">
        <f t="shared" si="68"/>
        <v>0</v>
      </c>
      <c r="BT47" s="45">
        <f t="shared" si="68"/>
        <v>0</v>
      </c>
      <c r="BU47" s="45">
        <f t="shared" si="68"/>
        <v>0</v>
      </c>
      <c r="BV47" s="45">
        <f t="shared" si="68"/>
        <v>0</v>
      </c>
      <c r="BW47" s="45">
        <f t="shared" si="68"/>
        <v>0</v>
      </c>
      <c r="BY47" s="12"/>
      <c r="CA47" s="12"/>
      <c r="EX47" s="10" t="str">
        <f t="shared" si="13"/>
        <v/>
      </c>
    </row>
    <row r="48" spans="1:154" x14ac:dyDescent="0.25">
      <c r="B48" s="11" t="str">
        <f ca="1">Loans!B$14</f>
        <v>Loan 2</v>
      </c>
      <c r="D48" s="62" t="str">
        <f>Loans!D$14</f>
        <v>NatWest</v>
      </c>
      <c r="E48" s="159" t="str">
        <f>IF(Loans!I$14=0, "", Loans!I$14)</f>
        <v/>
      </c>
      <c r="F48" s="159" t="str">
        <f>IF(Loans!J$14=0, "", Loans!J$14)</f>
        <v/>
      </c>
      <c r="S48" s="329"/>
      <c r="T48" s="335"/>
      <c r="U48" s="335"/>
      <c r="V48" s="45">
        <f t="shared" ref="V48:AH66" si="69">IF(AND(V$5&gt;=$E48,V$8&lt;=$F48),1,0)</f>
        <v>0</v>
      </c>
      <c r="W48" s="45">
        <f t="shared" si="68"/>
        <v>0</v>
      </c>
      <c r="X48" s="45">
        <f t="shared" si="68"/>
        <v>0</v>
      </c>
      <c r="Y48" s="45">
        <f t="shared" si="68"/>
        <v>0</v>
      </c>
      <c r="Z48" s="329"/>
      <c r="AA48" s="45">
        <f t="shared" si="68"/>
        <v>0</v>
      </c>
      <c r="AB48" s="45">
        <f t="shared" si="68"/>
        <v>0</v>
      </c>
      <c r="AC48" s="45">
        <f t="shared" si="68"/>
        <v>0</v>
      </c>
      <c r="AD48" s="45">
        <f t="shared" si="68"/>
        <v>0</v>
      </c>
      <c r="AE48" s="45">
        <f t="shared" si="68"/>
        <v>0</v>
      </c>
      <c r="AF48" s="45">
        <f t="shared" si="68"/>
        <v>0</v>
      </c>
      <c r="AG48" s="45">
        <f t="shared" si="68"/>
        <v>0</v>
      </c>
      <c r="AH48" s="45">
        <f t="shared" si="68"/>
        <v>0</v>
      </c>
      <c r="AI48" s="45">
        <f t="shared" si="68"/>
        <v>0</v>
      </c>
      <c r="AJ48" s="45">
        <f t="shared" si="68"/>
        <v>0</v>
      </c>
      <c r="AK48" s="45">
        <f t="shared" si="68"/>
        <v>0</v>
      </c>
      <c r="AL48" s="45">
        <f t="shared" si="68"/>
        <v>0</v>
      </c>
      <c r="AM48" s="45">
        <f t="shared" si="68"/>
        <v>0</v>
      </c>
      <c r="AN48" s="45">
        <f t="shared" si="68"/>
        <v>0</v>
      </c>
      <c r="AO48" s="45">
        <f t="shared" si="68"/>
        <v>0</v>
      </c>
      <c r="AP48" s="45">
        <f t="shared" si="68"/>
        <v>0</v>
      </c>
      <c r="AQ48" s="45">
        <f t="shared" si="68"/>
        <v>0</v>
      </c>
      <c r="AR48" s="45">
        <f t="shared" si="68"/>
        <v>0</v>
      </c>
      <c r="AS48" s="45">
        <f t="shared" si="68"/>
        <v>0</v>
      </c>
      <c r="AT48" s="45">
        <f t="shared" si="68"/>
        <v>0</v>
      </c>
      <c r="AU48" s="45">
        <f t="shared" si="68"/>
        <v>0</v>
      </c>
      <c r="AV48" s="45">
        <f t="shared" si="68"/>
        <v>0</v>
      </c>
      <c r="AW48" s="45">
        <f t="shared" si="68"/>
        <v>0</v>
      </c>
      <c r="AX48" s="45">
        <f t="shared" si="68"/>
        <v>0</v>
      </c>
      <c r="AY48" s="45">
        <f t="shared" si="68"/>
        <v>0</v>
      </c>
      <c r="AZ48" s="45">
        <f t="shared" si="68"/>
        <v>0</v>
      </c>
      <c r="BA48" s="45">
        <f t="shared" si="68"/>
        <v>0</v>
      </c>
      <c r="BB48" s="45">
        <f t="shared" si="68"/>
        <v>0</v>
      </c>
      <c r="BC48" s="45">
        <f t="shared" si="68"/>
        <v>0</v>
      </c>
      <c r="BD48" s="45">
        <f t="shared" si="68"/>
        <v>0</v>
      </c>
      <c r="BE48" s="45">
        <f t="shared" si="68"/>
        <v>0</v>
      </c>
      <c r="BF48" s="45">
        <f t="shared" si="68"/>
        <v>0</v>
      </c>
      <c r="BG48" s="45">
        <f t="shared" si="68"/>
        <v>0</v>
      </c>
      <c r="BH48" s="45">
        <f t="shared" si="68"/>
        <v>0</v>
      </c>
      <c r="BI48" s="45">
        <f t="shared" si="68"/>
        <v>0</v>
      </c>
      <c r="BJ48" s="45">
        <f t="shared" si="68"/>
        <v>0</v>
      </c>
      <c r="BK48" s="329"/>
      <c r="BL48" s="45">
        <f t="shared" si="68"/>
        <v>0</v>
      </c>
      <c r="BM48" s="45">
        <f t="shared" si="68"/>
        <v>0</v>
      </c>
      <c r="BN48" s="45">
        <f t="shared" si="68"/>
        <v>0</v>
      </c>
      <c r="BO48" s="45">
        <f t="shared" si="68"/>
        <v>0</v>
      </c>
      <c r="BP48" s="45">
        <f t="shared" si="68"/>
        <v>0</v>
      </c>
      <c r="BQ48" s="45">
        <f t="shared" si="68"/>
        <v>0</v>
      </c>
      <c r="BR48" s="45">
        <f t="shared" si="68"/>
        <v>0</v>
      </c>
      <c r="BS48" s="45">
        <f t="shared" si="68"/>
        <v>0</v>
      </c>
      <c r="BT48" s="45">
        <f t="shared" si="68"/>
        <v>0</v>
      </c>
      <c r="BU48" s="45">
        <f t="shared" si="68"/>
        <v>0</v>
      </c>
      <c r="BV48" s="45">
        <f t="shared" si="68"/>
        <v>0</v>
      </c>
      <c r="BW48" s="45">
        <f t="shared" si="68"/>
        <v>0</v>
      </c>
      <c r="BY48" s="12"/>
      <c r="CA48" s="12"/>
      <c r="EX48" s="10" t="str">
        <f t="shared" si="13"/>
        <v/>
      </c>
    </row>
    <row r="49" spans="1:154" x14ac:dyDescent="0.25">
      <c r="B49" s="11" t="str">
        <f ca="1">Loans!B$15</f>
        <v>Loan 3</v>
      </c>
      <c r="D49" s="62" t="str">
        <f>Loans!D$15</f>
        <v>NatWest</v>
      </c>
      <c r="E49" s="159" t="str">
        <f>IF(Loans!I$15=0, "", Loans!I$15)</f>
        <v/>
      </c>
      <c r="F49" s="159" t="str">
        <f>IF(Loans!J$15=0, "", Loans!J$15)</f>
        <v/>
      </c>
      <c r="S49" s="329"/>
      <c r="T49" s="335"/>
      <c r="U49" s="335"/>
      <c r="V49" s="45">
        <f t="shared" si="69"/>
        <v>0</v>
      </c>
      <c r="W49" s="45">
        <f t="shared" si="68"/>
        <v>0</v>
      </c>
      <c r="X49" s="45">
        <f t="shared" si="68"/>
        <v>0</v>
      </c>
      <c r="Y49" s="45">
        <f t="shared" si="68"/>
        <v>0</v>
      </c>
      <c r="Z49" s="329"/>
      <c r="AA49" s="45">
        <f t="shared" si="68"/>
        <v>0</v>
      </c>
      <c r="AB49" s="45">
        <f t="shared" si="68"/>
        <v>0</v>
      </c>
      <c r="AC49" s="45">
        <f t="shared" si="68"/>
        <v>0</v>
      </c>
      <c r="AD49" s="45">
        <f t="shared" si="68"/>
        <v>0</v>
      </c>
      <c r="AE49" s="45">
        <f t="shared" si="68"/>
        <v>0</v>
      </c>
      <c r="AF49" s="45">
        <f t="shared" si="68"/>
        <v>0</v>
      </c>
      <c r="AG49" s="45">
        <f t="shared" si="68"/>
        <v>0</v>
      </c>
      <c r="AH49" s="45">
        <f t="shared" si="68"/>
        <v>0</v>
      </c>
      <c r="AI49" s="45">
        <f t="shared" si="68"/>
        <v>0</v>
      </c>
      <c r="AJ49" s="45">
        <f t="shared" si="68"/>
        <v>0</v>
      </c>
      <c r="AK49" s="45">
        <f t="shared" si="68"/>
        <v>0</v>
      </c>
      <c r="AL49" s="45">
        <f t="shared" si="68"/>
        <v>0</v>
      </c>
      <c r="AM49" s="45">
        <f t="shared" si="68"/>
        <v>0</v>
      </c>
      <c r="AN49" s="45">
        <f t="shared" si="68"/>
        <v>0</v>
      </c>
      <c r="AO49" s="45">
        <f t="shared" si="68"/>
        <v>0</v>
      </c>
      <c r="AP49" s="45">
        <f t="shared" si="68"/>
        <v>0</v>
      </c>
      <c r="AQ49" s="45">
        <f t="shared" si="68"/>
        <v>0</v>
      </c>
      <c r="AR49" s="45">
        <f t="shared" si="68"/>
        <v>0</v>
      </c>
      <c r="AS49" s="45">
        <f t="shared" si="68"/>
        <v>0</v>
      </c>
      <c r="AT49" s="45">
        <f t="shared" si="68"/>
        <v>0</v>
      </c>
      <c r="AU49" s="45">
        <f t="shared" si="68"/>
        <v>0</v>
      </c>
      <c r="AV49" s="45">
        <f t="shared" si="68"/>
        <v>0</v>
      </c>
      <c r="AW49" s="45">
        <f t="shared" si="68"/>
        <v>0</v>
      </c>
      <c r="AX49" s="45">
        <f t="shared" si="68"/>
        <v>0</v>
      </c>
      <c r="AY49" s="45">
        <f t="shared" si="68"/>
        <v>0</v>
      </c>
      <c r="AZ49" s="45">
        <f t="shared" si="68"/>
        <v>0</v>
      </c>
      <c r="BA49" s="45">
        <f t="shared" si="68"/>
        <v>0</v>
      </c>
      <c r="BB49" s="45">
        <f t="shared" si="68"/>
        <v>0</v>
      </c>
      <c r="BC49" s="45">
        <f t="shared" si="68"/>
        <v>0</v>
      </c>
      <c r="BD49" s="45">
        <f t="shared" si="68"/>
        <v>0</v>
      </c>
      <c r="BE49" s="45">
        <f t="shared" si="68"/>
        <v>0</v>
      </c>
      <c r="BF49" s="45">
        <f t="shared" si="68"/>
        <v>0</v>
      </c>
      <c r="BG49" s="45">
        <f t="shared" si="68"/>
        <v>0</v>
      </c>
      <c r="BH49" s="45">
        <f t="shared" si="68"/>
        <v>0</v>
      </c>
      <c r="BI49" s="45">
        <f t="shared" si="68"/>
        <v>0</v>
      </c>
      <c r="BJ49" s="45">
        <f t="shared" si="68"/>
        <v>0</v>
      </c>
      <c r="BK49" s="329"/>
      <c r="BL49" s="45">
        <f t="shared" si="68"/>
        <v>0</v>
      </c>
      <c r="BM49" s="45">
        <f t="shared" si="68"/>
        <v>0</v>
      </c>
      <c r="BN49" s="45">
        <f t="shared" si="68"/>
        <v>0</v>
      </c>
      <c r="BO49" s="45">
        <f t="shared" si="68"/>
        <v>0</v>
      </c>
      <c r="BP49" s="45">
        <f t="shared" si="68"/>
        <v>0</v>
      </c>
      <c r="BQ49" s="45">
        <f t="shared" si="68"/>
        <v>0</v>
      </c>
      <c r="BR49" s="45">
        <f t="shared" si="68"/>
        <v>0</v>
      </c>
      <c r="BS49" s="45">
        <f t="shared" si="68"/>
        <v>0</v>
      </c>
      <c r="BT49" s="45">
        <f t="shared" si="68"/>
        <v>0</v>
      </c>
      <c r="BU49" s="45">
        <f t="shared" si="68"/>
        <v>0</v>
      </c>
      <c r="BV49" s="45">
        <f t="shared" si="68"/>
        <v>0</v>
      </c>
      <c r="BW49" s="45">
        <f t="shared" si="68"/>
        <v>0</v>
      </c>
      <c r="BY49" s="12"/>
      <c r="CA49" s="12"/>
      <c r="EX49" s="10" t="str">
        <f t="shared" si="13"/>
        <v/>
      </c>
    </row>
    <row r="50" spans="1:154" x14ac:dyDescent="0.25">
      <c r="B50" s="11" t="str">
        <f ca="1">Loans!B$16</f>
        <v>Loan 4</v>
      </c>
      <c r="D50" s="62" t="str">
        <f>Loans!D$16</f>
        <v>NatWest</v>
      </c>
      <c r="E50" s="159" t="str">
        <f>IF(Loans!I$16=0, "", Loans!I$16)</f>
        <v/>
      </c>
      <c r="F50" s="159" t="str">
        <f>IF(Loans!J$16=0, "", Loans!J$16)</f>
        <v/>
      </c>
      <c r="S50" s="329"/>
      <c r="T50" s="335"/>
      <c r="U50" s="335"/>
      <c r="V50" s="45">
        <f t="shared" si="69"/>
        <v>0</v>
      </c>
      <c r="W50" s="45">
        <f t="shared" si="68"/>
        <v>0</v>
      </c>
      <c r="X50" s="45">
        <f t="shared" si="68"/>
        <v>0</v>
      </c>
      <c r="Y50" s="45">
        <f t="shared" si="68"/>
        <v>0</v>
      </c>
      <c r="Z50" s="329"/>
      <c r="AA50" s="45">
        <f t="shared" si="68"/>
        <v>0</v>
      </c>
      <c r="AB50" s="45">
        <f t="shared" si="68"/>
        <v>0</v>
      </c>
      <c r="AC50" s="45">
        <f t="shared" si="68"/>
        <v>0</v>
      </c>
      <c r="AD50" s="45">
        <f t="shared" si="68"/>
        <v>0</v>
      </c>
      <c r="AE50" s="45">
        <f t="shared" si="68"/>
        <v>0</v>
      </c>
      <c r="AF50" s="45">
        <f t="shared" si="68"/>
        <v>0</v>
      </c>
      <c r="AG50" s="45">
        <f t="shared" si="68"/>
        <v>0</v>
      </c>
      <c r="AH50" s="45">
        <f t="shared" si="68"/>
        <v>0</v>
      </c>
      <c r="AI50" s="45">
        <f t="shared" si="68"/>
        <v>0</v>
      </c>
      <c r="AJ50" s="45">
        <f t="shared" si="68"/>
        <v>0</v>
      </c>
      <c r="AK50" s="45">
        <f t="shared" si="68"/>
        <v>0</v>
      </c>
      <c r="AL50" s="45">
        <f t="shared" si="68"/>
        <v>0</v>
      </c>
      <c r="AM50" s="45">
        <f t="shared" si="68"/>
        <v>0</v>
      </c>
      <c r="AN50" s="45">
        <f t="shared" si="68"/>
        <v>0</v>
      </c>
      <c r="AO50" s="45">
        <f t="shared" si="68"/>
        <v>0</v>
      </c>
      <c r="AP50" s="45">
        <f t="shared" si="68"/>
        <v>0</v>
      </c>
      <c r="AQ50" s="45">
        <f t="shared" si="68"/>
        <v>0</v>
      </c>
      <c r="AR50" s="45">
        <f t="shared" si="68"/>
        <v>0</v>
      </c>
      <c r="AS50" s="45">
        <f t="shared" si="68"/>
        <v>0</v>
      </c>
      <c r="AT50" s="45">
        <f t="shared" si="68"/>
        <v>0</v>
      </c>
      <c r="AU50" s="45">
        <f t="shared" si="68"/>
        <v>0</v>
      </c>
      <c r="AV50" s="45">
        <f t="shared" si="68"/>
        <v>0</v>
      </c>
      <c r="AW50" s="45">
        <f t="shared" si="68"/>
        <v>0</v>
      </c>
      <c r="AX50" s="45">
        <f t="shared" si="68"/>
        <v>0</v>
      </c>
      <c r="AY50" s="45">
        <f t="shared" si="68"/>
        <v>0</v>
      </c>
      <c r="AZ50" s="45">
        <f t="shared" si="68"/>
        <v>0</v>
      </c>
      <c r="BA50" s="45">
        <f t="shared" si="68"/>
        <v>0</v>
      </c>
      <c r="BB50" s="45">
        <f t="shared" si="68"/>
        <v>0</v>
      </c>
      <c r="BC50" s="45">
        <f t="shared" si="68"/>
        <v>0</v>
      </c>
      <c r="BD50" s="45">
        <f t="shared" si="68"/>
        <v>0</v>
      </c>
      <c r="BE50" s="45">
        <f t="shared" si="68"/>
        <v>0</v>
      </c>
      <c r="BF50" s="45">
        <f t="shared" si="68"/>
        <v>0</v>
      </c>
      <c r="BG50" s="45">
        <f t="shared" si="68"/>
        <v>0</v>
      </c>
      <c r="BH50" s="45">
        <f t="shared" si="68"/>
        <v>0</v>
      </c>
      <c r="BI50" s="45">
        <f t="shared" si="68"/>
        <v>0</v>
      </c>
      <c r="BJ50" s="45">
        <f t="shared" si="68"/>
        <v>0</v>
      </c>
      <c r="BK50" s="329"/>
      <c r="BL50" s="45">
        <f t="shared" si="68"/>
        <v>0</v>
      </c>
      <c r="BM50" s="45">
        <f t="shared" si="68"/>
        <v>0</v>
      </c>
      <c r="BN50" s="45">
        <f t="shared" si="68"/>
        <v>0</v>
      </c>
      <c r="BO50" s="45">
        <f t="shared" si="68"/>
        <v>0</v>
      </c>
      <c r="BP50" s="45">
        <f t="shared" si="68"/>
        <v>0</v>
      </c>
      <c r="BQ50" s="45">
        <f t="shared" si="68"/>
        <v>0</v>
      </c>
      <c r="BR50" s="45">
        <f t="shared" si="68"/>
        <v>0</v>
      </c>
      <c r="BS50" s="45">
        <f t="shared" si="68"/>
        <v>0</v>
      </c>
      <c r="BT50" s="45">
        <f t="shared" si="68"/>
        <v>0</v>
      </c>
      <c r="BU50" s="45">
        <f t="shared" si="68"/>
        <v>0</v>
      </c>
      <c r="BV50" s="45">
        <f t="shared" si="68"/>
        <v>0</v>
      </c>
      <c r="BW50" s="45">
        <f t="shared" si="68"/>
        <v>0</v>
      </c>
      <c r="BY50" s="12"/>
      <c r="CA50" s="12"/>
      <c r="EX50" s="10" t="str">
        <f t="shared" si="13"/>
        <v/>
      </c>
    </row>
    <row r="51" spans="1:154" x14ac:dyDescent="0.25">
      <c r="B51" s="11" t="str">
        <f ca="1">Loans!B$17</f>
        <v>Loan 5</v>
      </c>
      <c r="D51" s="62" t="str">
        <f>Loans!D$17</f>
        <v>NatWest</v>
      </c>
      <c r="E51" s="159" t="str">
        <f>IF(Loans!I$17=0, "", Loans!I$17)</f>
        <v/>
      </c>
      <c r="F51" s="159" t="str">
        <f>IF(Loans!J$17=0, "", Loans!J$17)</f>
        <v/>
      </c>
      <c r="S51" s="329"/>
      <c r="T51" s="335"/>
      <c r="U51" s="335"/>
      <c r="V51" s="45">
        <f t="shared" si="69"/>
        <v>0</v>
      </c>
      <c r="W51" s="45">
        <f t="shared" si="68"/>
        <v>0</v>
      </c>
      <c r="X51" s="45">
        <f t="shared" si="68"/>
        <v>0</v>
      </c>
      <c r="Y51" s="45">
        <f t="shared" si="68"/>
        <v>0</v>
      </c>
      <c r="Z51" s="329"/>
      <c r="AA51" s="45">
        <f t="shared" si="68"/>
        <v>0</v>
      </c>
      <c r="AB51" s="45">
        <f t="shared" si="68"/>
        <v>0</v>
      </c>
      <c r="AC51" s="45">
        <f t="shared" si="68"/>
        <v>0</v>
      </c>
      <c r="AD51" s="45">
        <f t="shared" si="68"/>
        <v>0</v>
      </c>
      <c r="AE51" s="45">
        <f t="shared" si="68"/>
        <v>0</v>
      </c>
      <c r="AF51" s="45">
        <f t="shared" si="68"/>
        <v>0</v>
      </c>
      <c r="AG51" s="45">
        <f t="shared" si="68"/>
        <v>0</v>
      </c>
      <c r="AH51" s="45">
        <f t="shared" si="68"/>
        <v>0</v>
      </c>
      <c r="AI51" s="45">
        <f t="shared" si="68"/>
        <v>0</v>
      </c>
      <c r="AJ51" s="45">
        <f t="shared" si="68"/>
        <v>0</v>
      </c>
      <c r="AK51" s="45">
        <f t="shared" si="68"/>
        <v>0</v>
      </c>
      <c r="AL51" s="45">
        <f t="shared" si="68"/>
        <v>0</v>
      </c>
      <c r="AM51" s="45">
        <f t="shared" si="68"/>
        <v>0</v>
      </c>
      <c r="AN51" s="45">
        <f t="shared" si="68"/>
        <v>0</v>
      </c>
      <c r="AO51" s="45">
        <f t="shared" si="68"/>
        <v>0</v>
      </c>
      <c r="AP51" s="45">
        <f t="shared" si="68"/>
        <v>0</v>
      </c>
      <c r="AQ51" s="45">
        <f t="shared" si="68"/>
        <v>0</v>
      </c>
      <c r="AR51" s="45">
        <f t="shared" si="68"/>
        <v>0</v>
      </c>
      <c r="AS51" s="45">
        <f t="shared" si="68"/>
        <v>0</v>
      </c>
      <c r="AT51" s="45">
        <f t="shared" si="68"/>
        <v>0</v>
      </c>
      <c r="AU51" s="45">
        <f t="shared" si="68"/>
        <v>0</v>
      </c>
      <c r="AV51" s="45">
        <f t="shared" si="68"/>
        <v>0</v>
      </c>
      <c r="AW51" s="45">
        <f t="shared" si="68"/>
        <v>0</v>
      </c>
      <c r="AX51" s="45">
        <f t="shared" si="68"/>
        <v>0</v>
      </c>
      <c r="AY51" s="45">
        <f t="shared" si="68"/>
        <v>0</v>
      </c>
      <c r="AZ51" s="45">
        <f t="shared" ref="AZ51:BO66" si="70">IF(AND(AZ$5&gt;=$E51,AZ$8&lt;=$F51),1,0)</f>
        <v>0</v>
      </c>
      <c r="BA51" s="45">
        <f t="shared" si="70"/>
        <v>0</v>
      </c>
      <c r="BB51" s="45">
        <f t="shared" si="70"/>
        <v>0</v>
      </c>
      <c r="BC51" s="45">
        <f t="shared" si="70"/>
        <v>0</v>
      </c>
      <c r="BD51" s="45">
        <f t="shared" si="70"/>
        <v>0</v>
      </c>
      <c r="BE51" s="45">
        <f t="shared" si="70"/>
        <v>0</v>
      </c>
      <c r="BF51" s="45">
        <f t="shared" si="70"/>
        <v>0</v>
      </c>
      <c r="BG51" s="45">
        <f t="shared" si="70"/>
        <v>0</v>
      </c>
      <c r="BH51" s="45">
        <f t="shared" si="70"/>
        <v>0</v>
      </c>
      <c r="BI51" s="45">
        <f t="shared" si="70"/>
        <v>0</v>
      </c>
      <c r="BJ51" s="45">
        <f t="shared" si="70"/>
        <v>0</v>
      </c>
      <c r="BK51" s="329"/>
      <c r="BL51" s="45">
        <f t="shared" si="70"/>
        <v>0</v>
      </c>
      <c r="BM51" s="45">
        <f t="shared" si="70"/>
        <v>0</v>
      </c>
      <c r="BN51" s="45">
        <f t="shared" si="70"/>
        <v>0</v>
      </c>
      <c r="BO51" s="45">
        <f t="shared" si="70"/>
        <v>0</v>
      </c>
      <c r="BP51" s="45">
        <f t="shared" ref="BP51:BW66" si="71">IF(AND(BP$5&gt;=$E51,BP$8&lt;=$F51),1,0)</f>
        <v>0</v>
      </c>
      <c r="BQ51" s="45">
        <f t="shared" si="71"/>
        <v>0</v>
      </c>
      <c r="BR51" s="45">
        <f t="shared" si="71"/>
        <v>0</v>
      </c>
      <c r="BS51" s="45">
        <f t="shared" si="71"/>
        <v>0</v>
      </c>
      <c r="BT51" s="45">
        <f t="shared" si="71"/>
        <v>0</v>
      </c>
      <c r="BU51" s="45">
        <f t="shared" si="71"/>
        <v>0</v>
      </c>
      <c r="BV51" s="45">
        <f t="shared" si="71"/>
        <v>0</v>
      </c>
      <c r="BW51" s="45">
        <f t="shared" si="71"/>
        <v>0</v>
      </c>
      <c r="BY51" s="12"/>
      <c r="CA51" s="12"/>
      <c r="EX51" s="10" t="str">
        <f t="shared" si="13"/>
        <v/>
      </c>
    </row>
    <row r="52" spans="1:154" x14ac:dyDescent="0.25">
      <c r="B52" s="11" t="str">
        <f ca="1">Loans!B$18</f>
        <v>Loan 6</v>
      </c>
      <c r="D52" s="62">
        <f>Loans!D$18</f>
        <v>0</v>
      </c>
      <c r="E52" s="159" t="str">
        <f>IF(Loans!I$18=0, "", Loans!I$18)</f>
        <v/>
      </c>
      <c r="F52" s="159" t="str">
        <f>IF(Loans!J$18=0, "", Loans!J$18)</f>
        <v/>
      </c>
      <c r="S52" s="329"/>
      <c r="T52" s="335"/>
      <c r="U52" s="335"/>
      <c r="V52" s="45">
        <f t="shared" si="69"/>
        <v>0</v>
      </c>
      <c r="W52" s="45">
        <f t="shared" si="69"/>
        <v>0</v>
      </c>
      <c r="X52" s="45">
        <f t="shared" si="69"/>
        <v>0</v>
      </c>
      <c r="Y52" s="45">
        <f t="shared" si="69"/>
        <v>0</v>
      </c>
      <c r="Z52" s="329"/>
      <c r="AA52" s="45">
        <f t="shared" si="69"/>
        <v>0</v>
      </c>
      <c r="AB52" s="45">
        <f t="shared" si="69"/>
        <v>0</v>
      </c>
      <c r="AC52" s="45">
        <f t="shared" si="69"/>
        <v>0</v>
      </c>
      <c r="AD52" s="45">
        <f t="shared" si="69"/>
        <v>0</v>
      </c>
      <c r="AE52" s="45">
        <f t="shared" si="69"/>
        <v>0</v>
      </c>
      <c r="AF52" s="45">
        <f t="shared" si="69"/>
        <v>0</v>
      </c>
      <c r="AG52" s="45">
        <f t="shared" si="69"/>
        <v>0</v>
      </c>
      <c r="AH52" s="45">
        <f t="shared" si="69"/>
        <v>0</v>
      </c>
      <c r="AI52" s="45">
        <f t="shared" ref="AI52:AX66" si="72">IF(AND(AI$5&gt;=$E52,AI$8&lt;=$F52),1,0)</f>
        <v>0</v>
      </c>
      <c r="AJ52" s="45">
        <f t="shared" si="72"/>
        <v>0</v>
      </c>
      <c r="AK52" s="45">
        <f t="shared" si="72"/>
        <v>0</v>
      </c>
      <c r="AL52" s="45">
        <f t="shared" si="72"/>
        <v>0</v>
      </c>
      <c r="AM52" s="45">
        <f t="shared" si="72"/>
        <v>0</v>
      </c>
      <c r="AN52" s="45">
        <f t="shared" si="72"/>
        <v>0</v>
      </c>
      <c r="AO52" s="45">
        <f t="shared" si="72"/>
        <v>0</v>
      </c>
      <c r="AP52" s="45">
        <f t="shared" si="72"/>
        <v>0</v>
      </c>
      <c r="AQ52" s="45">
        <f t="shared" si="72"/>
        <v>0</v>
      </c>
      <c r="AR52" s="45">
        <f t="shared" si="72"/>
        <v>0</v>
      </c>
      <c r="AS52" s="45">
        <f t="shared" si="72"/>
        <v>0</v>
      </c>
      <c r="AT52" s="45">
        <f t="shared" si="72"/>
        <v>0</v>
      </c>
      <c r="AU52" s="45">
        <f t="shared" si="72"/>
        <v>0</v>
      </c>
      <c r="AV52" s="45">
        <f t="shared" si="72"/>
        <v>0</v>
      </c>
      <c r="AW52" s="45">
        <f t="shared" si="72"/>
        <v>0</v>
      </c>
      <c r="AX52" s="45">
        <f t="shared" si="72"/>
        <v>0</v>
      </c>
      <c r="AY52" s="45">
        <f t="shared" ref="AY52:BN66" si="73">IF(AND(AY$5&gt;=$E52,AY$8&lt;=$F52),1,0)</f>
        <v>0</v>
      </c>
      <c r="AZ52" s="45">
        <f t="shared" si="70"/>
        <v>0</v>
      </c>
      <c r="BA52" s="45">
        <f t="shared" si="73"/>
        <v>0</v>
      </c>
      <c r="BB52" s="45">
        <f t="shared" si="73"/>
        <v>0</v>
      </c>
      <c r="BC52" s="45">
        <f t="shared" si="73"/>
        <v>0</v>
      </c>
      <c r="BD52" s="45">
        <f t="shared" si="73"/>
        <v>0</v>
      </c>
      <c r="BE52" s="45">
        <f t="shared" si="73"/>
        <v>0</v>
      </c>
      <c r="BF52" s="45">
        <f t="shared" si="73"/>
        <v>0</v>
      </c>
      <c r="BG52" s="45">
        <f t="shared" si="73"/>
        <v>0</v>
      </c>
      <c r="BH52" s="45">
        <f t="shared" si="73"/>
        <v>0</v>
      </c>
      <c r="BI52" s="45">
        <f t="shared" si="73"/>
        <v>0</v>
      </c>
      <c r="BJ52" s="45">
        <f t="shared" si="73"/>
        <v>0</v>
      </c>
      <c r="BK52" s="329"/>
      <c r="BL52" s="45">
        <f t="shared" si="73"/>
        <v>0</v>
      </c>
      <c r="BM52" s="45">
        <f t="shared" si="73"/>
        <v>0</v>
      </c>
      <c r="BN52" s="45">
        <f t="shared" si="73"/>
        <v>0</v>
      </c>
      <c r="BO52" s="45">
        <f t="shared" si="70"/>
        <v>0</v>
      </c>
      <c r="BP52" s="45">
        <f t="shared" si="71"/>
        <v>0</v>
      </c>
      <c r="BQ52" s="45">
        <f t="shared" si="71"/>
        <v>0</v>
      </c>
      <c r="BR52" s="45">
        <f t="shared" si="71"/>
        <v>0</v>
      </c>
      <c r="BS52" s="45">
        <f t="shared" si="71"/>
        <v>0</v>
      </c>
      <c r="BT52" s="45">
        <f t="shared" si="71"/>
        <v>0</v>
      </c>
      <c r="BU52" s="45">
        <f t="shared" si="71"/>
        <v>0</v>
      </c>
      <c r="BV52" s="45">
        <f t="shared" si="71"/>
        <v>0</v>
      </c>
      <c r="BW52" s="45">
        <f t="shared" si="71"/>
        <v>0</v>
      </c>
      <c r="BY52" s="12"/>
      <c r="CA52" s="12"/>
      <c r="EX52" s="10" t="str">
        <f t="shared" si="13"/>
        <v/>
      </c>
    </row>
    <row r="53" spans="1:154" s="5" customFormat="1" x14ac:dyDescent="0.25">
      <c r="A53" s="11"/>
      <c r="B53" s="11" t="str">
        <f ca="1">Loans!B$19</f>
        <v>Loan 7</v>
      </c>
      <c r="D53" s="62">
        <f>Loans!D$19</f>
        <v>0</v>
      </c>
      <c r="E53" s="159" t="str">
        <f>IF(Loans!I$19=0, "", Loans!I$19)</f>
        <v/>
      </c>
      <c r="F53" s="159" t="str">
        <f>IF(Loans!J$19=0, "", Loans!J$19)</f>
        <v/>
      </c>
      <c r="G53" s="11"/>
      <c r="H53" s="11"/>
      <c r="I53" s="11"/>
      <c r="J53" s="11"/>
      <c r="K53" s="11"/>
      <c r="N53" s="11"/>
      <c r="O53" s="11"/>
      <c r="P53" s="11"/>
      <c r="Q53" s="11"/>
      <c r="R53" s="11"/>
      <c r="S53" s="329"/>
      <c r="T53" s="335"/>
      <c r="U53" s="335"/>
      <c r="V53" s="45">
        <f t="shared" si="69"/>
        <v>0</v>
      </c>
      <c r="W53" s="45">
        <f t="shared" si="69"/>
        <v>0</v>
      </c>
      <c r="X53" s="45">
        <f t="shared" si="69"/>
        <v>0</v>
      </c>
      <c r="Y53" s="45">
        <f t="shared" si="69"/>
        <v>0</v>
      </c>
      <c r="Z53" s="329"/>
      <c r="AA53" s="45">
        <f t="shared" si="69"/>
        <v>0</v>
      </c>
      <c r="AB53" s="45">
        <f t="shared" si="69"/>
        <v>0</v>
      </c>
      <c r="AC53" s="45">
        <f t="shared" si="69"/>
        <v>0</v>
      </c>
      <c r="AD53" s="45">
        <f t="shared" si="69"/>
        <v>0</v>
      </c>
      <c r="AE53" s="45">
        <f t="shared" si="69"/>
        <v>0</v>
      </c>
      <c r="AF53" s="45">
        <f t="shared" si="69"/>
        <v>0</v>
      </c>
      <c r="AG53" s="45">
        <f t="shared" si="69"/>
        <v>0</v>
      </c>
      <c r="AH53" s="45">
        <f t="shared" si="69"/>
        <v>0</v>
      </c>
      <c r="AI53" s="45">
        <f t="shared" si="72"/>
        <v>0</v>
      </c>
      <c r="AJ53" s="45">
        <f t="shared" si="72"/>
        <v>0</v>
      </c>
      <c r="AK53" s="45">
        <f t="shared" si="72"/>
        <v>0</v>
      </c>
      <c r="AL53" s="45">
        <f t="shared" si="72"/>
        <v>0</v>
      </c>
      <c r="AM53" s="45">
        <f t="shared" si="72"/>
        <v>0</v>
      </c>
      <c r="AN53" s="45">
        <f t="shared" si="72"/>
        <v>0</v>
      </c>
      <c r="AO53" s="45">
        <f t="shared" si="72"/>
        <v>0</v>
      </c>
      <c r="AP53" s="45">
        <f t="shared" si="72"/>
        <v>0</v>
      </c>
      <c r="AQ53" s="45">
        <f t="shared" si="72"/>
        <v>0</v>
      </c>
      <c r="AR53" s="45">
        <f t="shared" si="72"/>
        <v>0</v>
      </c>
      <c r="AS53" s="45">
        <f t="shared" si="72"/>
        <v>0</v>
      </c>
      <c r="AT53" s="45">
        <f t="shared" si="72"/>
        <v>0</v>
      </c>
      <c r="AU53" s="45">
        <f t="shared" si="72"/>
        <v>0</v>
      </c>
      <c r="AV53" s="45">
        <f t="shared" si="72"/>
        <v>0</v>
      </c>
      <c r="AW53" s="45">
        <f t="shared" si="72"/>
        <v>0</v>
      </c>
      <c r="AX53" s="45">
        <f t="shared" si="72"/>
        <v>0</v>
      </c>
      <c r="AY53" s="45">
        <f t="shared" si="73"/>
        <v>0</v>
      </c>
      <c r="AZ53" s="45">
        <f t="shared" si="70"/>
        <v>0</v>
      </c>
      <c r="BA53" s="45">
        <f t="shared" si="73"/>
        <v>0</v>
      </c>
      <c r="BB53" s="45">
        <f t="shared" si="73"/>
        <v>0</v>
      </c>
      <c r="BC53" s="45">
        <f t="shared" si="73"/>
        <v>0</v>
      </c>
      <c r="BD53" s="45">
        <f t="shared" si="73"/>
        <v>0</v>
      </c>
      <c r="BE53" s="45">
        <f t="shared" si="73"/>
        <v>0</v>
      </c>
      <c r="BF53" s="45">
        <f t="shared" si="73"/>
        <v>0</v>
      </c>
      <c r="BG53" s="45">
        <f t="shared" si="73"/>
        <v>0</v>
      </c>
      <c r="BH53" s="45">
        <f t="shared" si="73"/>
        <v>0</v>
      </c>
      <c r="BI53" s="45">
        <f t="shared" si="73"/>
        <v>0</v>
      </c>
      <c r="BJ53" s="45">
        <f t="shared" si="73"/>
        <v>0</v>
      </c>
      <c r="BK53" s="329"/>
      <c r="BL53" s="45">
        <f t="shared" si="73"/>
        <v>0</v>
      </c>
      <c r="BM53" s="45">
        <f t="shared" si="73"/>
        <v>0</v>
      </c>
      <c r="BN53" s="45">
        <f t="shared" si="73"/>
        <v>0</v>
      </c>
      <c r="BO53" s="45">
        <f t="shared" si="70"/>
        <v>0</v>
      </c>
      <c r="BP53" s="45">
        <f t="shared" si="71"/>
        <v>0</v>
      </c>
      <c r="BQ53" s="45">
        <f t="shared" si="71"/>
        <v>0</v>
      </c>
      <c r="BR53" s="45">
        <f t="shared" si="71"/>
        <v>0</v>
      </c>
      <c r="BS53" s="45">
        <f t="shared" si="71"/>
        <v>0</v>
      </c>
      <c r="BT53" s="45">
        <f t="shared" si="71"/>
        <v>0</v>
      </c>
      <c r="BU53" s="45">
        <f t="shared" si="71"/>
        <v>0</v>
      </c>
      <c r="BV53" s="45">
        <f t="shared" si="71"/>
        <v>0</v>
      </c>
      <c r="BW53" s="45">
        <f t="shared" si="71"/>
        <v>0</v>
      </c>
      <c r="BX53" s="11"/>
      <c r="BY53" s="12"/>
      <c r="BZ53" s="11"/>
      <c r="CA53" s="12"/>
      <c r="EX53" s="10" t="str">
        <f t="shared" si="13"/>
        <v/>
      </c>
    </row>
    <row r="54" spans="1:154" x14ac:dyDescent="0.25">
      <c r="B54" s="11" t="str">
        <f ca="1">Loans!B$20</f>
        <v>Loan 8</v>
      </c>
      <c r="D54" s="62">
        <f>Loans!D$20</f>
        <v>0</v>
      </c>
      <c r="E54" s="159" t="str">
        <f>IF(Loans!I$20=0, "", Loans!I$20)</f>
        <v/>
      </c>
      <c r="F54" s="159" t="str">
        <f>IF(Loans!J$20=0, "", Loans!J$20)</f>
        <v/>
      </c>
      <c r="S54" s="329"/>
      <c r="T54" s="335"/>
      <c r="U54" s="335"/>
      <c r="V54" s="45">
        <f t="shared" si="69"/>
        <v>0</v>
      </c>
      <c r="W54" s="45">
        <f t="shared" si="69"/>
        <v>0</v>
      </c>
      <c r="X54" s="45">
        <f t="shared" si="69"/>
        <v>0</v>
      </c>
      <c r="Y54" s="45">
        <f t="shared" si="69"/>
        <v>0</v>
      </c>
      <c r="Z54" s="329"/>
      <c r="AA54" s="45">
        <f t="shared" si="69"/>
        <v>0</v>
      </c>
      <c r="AB54" s="45">
        <f t="shared" si="69"/>
        <v>0</v>
      </c>
      <c r="AC54" s="45">
        <f t="shared" si="69"/>
        <v>0</v>
      </c>
      <c r="AD54" s="45">
        <f t="shared" si="69"/>
        <v>0</v>
      </c>
      <c r="AE54" s="45">
        <f t="shared" si="69"/>
        <v>0</v>
      </c>
      <c r="AF54" s="45">
        <f t="shared" si="69"/>
        <v>0</v>
      </c>
      <c r="AG54" s="45">
        <f t="shared" si="69"/>
        <v>0</v>
      </c>
      <c r="AH54" s="45">
        <f t="shared" si="69"/>
        <v>0</v>
      </c>
      <c r="AI54" s="45">
        <f t="shared" si="72"/>
        <v>0</v>
      </c>
      <c r="AJ54" s="45">
        <f t="shared" si="72"/>
        <v>0</v>
      </c>
      <c r="AK54" s="45">
        <f t="shared" si="72"/>
        <v>0</v>
      </c>
      <c r="AL54" s="45">
        <f t="shared" si="72"/>
        <v>0</v>
      </c>
      <c r="AM54" s="45">
        <f t="shared" si="72"/>
        <v>0</v>
      </c>
      <c r="AN54" s="45">
        <f t="shared" si="72"/>
        <v>0</v>
      </c>
      <c r="AO54" s="45">
        <f t="shared" si="72"/>
        <v>0</v>
      </c>
      <c r="AP54" s="45">
        <f t="shared" si="72"/>
        <v>0</v>
      </c>
      <c r="AQ54" s="45">
        <f t="shared" si="72"/>
        <v>0</v>
      </c>
      <c r="AR54" s="45">
        <f t="shared" si="72"/>
        <v>0</v>
      </c>
      <c r="AS54" s="45">
        <f t="shared" si="72"/>
        <v>0</v>
      </c>
      <c r="AT54" s="45">
        <f t="shared" si="72"/>
        <v>0</v>
      </c>
      <c r="AU54" s="45">
        <f t="shared" si="72"/>
        <v>0</v>
      </c>
      <c r="AV54" s="45">
        <f t="shared" si="72"/>
        <v>0</v>
      </c>
      <c r="AW54" s="45">
        <f t="shared" si="72"/>
        <v>0</v>
      </c>
      <c r="AX54" s="45">
        <f t="shared" si="72"/>
        <v>0</v>
      </c>
      <c r="AY54" s="45">
        <f t="shared" si="73"/>
        <v>0</v>
      </c>
      <c r="AZ54" s="45">
        <f t="shared" si="70"/>
        <v>0</v>
      </c>
      <c r="BA54" s="45">
        <f t="shared" si="73"/>
        <v>0</v>
      </c>
      <c r="BB54" s="45">
        <f t="shared" si="73"/>
        <v>0</v>
      </c>
      <c r="BC54" s="45">
        <f t="shared" si="73"/>
        <v>0</v>
      </c>
      <c r="BD54" s="45">
        <f t="shared" si="73"/>
        <v>0</v>
      </c>
      <c r="BE54" s="45">
        <f t="shared" si="73"/>
        <v>0</v>
      </c>
      <c r="BF54" s="45">
        <f t="shared" si="73"/>
        <v>0</v>
      </c>
      <c r="BG54" s="45">
        <f t="shared" si="73"/>
        <v>0</v>
      </c>
      <c r="BH54" s="45">
        <f t="shared" si="73"/>
        <v>0</v>
      </c>
      <c r="BI54" s="45">
        <f t="shared" si="73"/>
        <v>0</v>
      </c>
      <c r="BJ54" s="45">
        <f t="shared" si="73"/>
        <v>0</v>
      </c>
      <c r="BK54" s="329"/>
      <c r="BL54" s="45">
        <f t="shared" si="73"/>
        <v>0</v>
      </c>
      <c r="BM54" s="45">
        <f t="shared" si="73"/>
        <v>0</v>
      </c>
      <c r="BN54" s="45">
        <f t="shared" si="73"/>
        <v>0</v>
      </c>
      <c r="BO54" s="45">
        <f t="shared" si="70"/>
        <v>0</v>
      </c>
      <c r="BP54" s="45">
        <f t="shared" si="71"/>
        <v>0</v>
      </c>
      <c r="BQ54" s="45">
        <f t="shared" si="71"/>
        <v>0</v>
      </c>
      <c r="BR54" s="45">
        <f t="shared" si="71"/>
        <v>0</v>
      </c>
      <c r="BS54" s="45">
        <f t="shared" si="71"/>
        <v>0</v>
      </c>
      <c r="BT54" s="45">
        <f t="shared" si="71"/>
        <v>0</v>
      </c>
      <c r="BU54" s="45">
        <f t="shared" si="71"/>
        <v>0</v>
      </c>
      <c r="BV54" s="45">
        <f t="shared" si="71"/>
        <v>0</v>
      </c>
      <c r="BW54" s="45">
        <f t="shared" si="71"/>
        <v>0</v>
      </c>
      <c r="BY54" s="12"/>
      <c r="CA54" s="12"/>
      <c r="EX54" s="10" t="str">
        <f t="shared" si="13"/>
        <v/>
      </c>
    </row>
    <row r="55" spans="1:154" x14ac:dyDescent="0.25">
      <c r="B55" s="11" t="str">
        <f ca="1">Loans!B$21</f>
        <v>Loan 9</v>
      </c>
      <c r="D55" s="62">
        <f>Loans!D$21</f>
        <v>0</v>
      </c>
      <c r="E55" s="159" t="str">
        <f>IF(Loans!I$21=0, "", Loans!I$21)</f>
        <v/>
      </c>
      <c r="F55" s="159" t="str">
        <f>IF(Loans!J$21=0, "", Loans!J$21)</f>
        <v/>
      </c>
      <c r="S55" s="329"/>
      <c r="T55" s="335"/>
      <c r="U55" s="335"/>
      <c r="V55" s="45">
        <f t="shared" si="69"/>
        <v>0</v>
      </c>
      <c r="W55" s="45">
        <f t="shared" si="69"/>
        <v>0</v>
      </c>
      <c r="X55" s="45">
        <f t="shared" si="69"/>
        <v>0</v>
      </c>
      <c r="Y55" s="45">
        <f t="shared" si="69"/>
        <v>0</v>
      </c>
      <c r="Z55" s="329"/>
      <c r="AA55" s="45">
        <f t="shared" si="69"/>
        <v>0</v>
      </c>
      <c r="AB55" s="45">
        <f t="shared" si="69"/>
        <v>0</v>
      </c>
      <c r="AC55" s="45">
        <f t="shared" si="69"/>
        <v>0</v>
      </c>
      <c r="AD55" s="45">
        <f t="shared" si="69"/>
        <v>0</v>
      </c>
      <c r="AE55" s="45">
        <f t="shared" si="69"/>
        <v>0</v>
      </c>
      <c r="AF55" s="45">
        <f t="shared" si="69"/>
        <v>0</v>
      </c>
      <c r="AG55" s="45">
        <f t="shared" si="69"/>
        <v>0</v>
      </c>
      <c r="AH55" s="45">
        <f t="shared" si="69"/>
        <v>0</v>
      </c>
      <c r="AI55" s="45">
        <f t="shared" si="72"/>
        <v>0</v>
      </c>
      <c r="AJ55" s="45">
        <f t="shared" si="72"/>
        <v>0</v>
      </c>
      <c r="AK55" s="45">
        <f t="shared" si="72"/>
        <v>0</v>
      </c>
      <c r="AL55" s="45">
        <f t="shared" si="72"/>
        <v>0</v>
      </c>
      <c r="AM55" s="45">
        <f t="shared" si="72"/>
        <v>0</v>
      </c>
      <c r="AN55" s="45">
        <f t="shared" si="72"/>
        <v>0</v>
      </c>
      <c r="AO55" s="45">
        <f t="shared" si="72"/>
        <v>0</v>
      </c>
      <c r="AP55" s="45">
        <f t="shared" si="72"/>
        <v>0</v>
      </c>
      <c r="AQ55" s="45">
        <f t="shared" si="72"/>
        <v>0</v>
      </c>
      <c r="AR55" s="45">
        <f t="shared" si="72"/>
        <v>0</v>
      </c>
      <c r="AS55" s="45">
        <f t="shared" si="72"/>
        <v>0</v>
      </c>
      <c r="AT55" s="45">
        <f t="shared" si="72"/>
        <v>0</v>
      </c>
      <c r="AU55" s="45">
        <f t="shared" si="72"/>
        <v>0</v>
      </c>
      <c r="AV55" s="45">
        <f t="shared" si="72"/>
        <v>0</v>
      </c>
      <c r="AW55" s="45">
        <f t="shared" si="72"/>
        <v>0</v>
      </c>
      <c r="AX55" s="45">
        <f t="shared" si="72"/>
        <v>0</v>
      </c>
      <c r="AY55" s="45">
        <f t="shared" si="73"/>
        <v>0</v>
      </c>
      <c r="AZ55" s="45">
        <f t="shared" si="70"/>
        <v>0</v>
      </c>
      <c r="BA55" s="45">
        <f t="shared" si="73"/>
        <v>0</v>
      </c>
      <c r="BB55" s="45">
        <f t="shared" si="73"/>
        <v>0</v>
      </c>
      <c r="BC55" s="45">
        <f t="shared" si="73"/>
        <v>0</v>
      </c>
      <c r="BD55" s="45">
        <f t="shared" si="73"/>
        <v>0</v>
      </c>
      <c r="BE55" s="45">
        <f t="shared" si="73"/>
        <v>0</v>
      </c>
      <c r="BF55" s="45">
        <f t="shared" si="73"/>
        <v>0</v>
      </c>
      <c r="BG55" s="45">
        <f t="shared" si="73"/>
        <v>0</v>
      </c>
      <c r="BH55" s="45">
        <f t="shared" si="73"/>
        <v>0</v>
      </c>
      <c r="BI55" s="45">
        <f t="shared" si="73"/>
        <v>0</v>
      </c>
      <c r="BJ55" s="45">
        <f t="shared" si="73"/>
        <v>0</v>
      </c>
      <c r="BK55" s="329"/>
      <c r="BL55" s="45">
        <f t="shared" si="73"/>
        <v>0</v>
      </c>
      <c r="BM55" s="45">
        <f t="shared" si="73"/>
        <v>0</v>
      </c>
      <c r="BN55" s="45">
        <f t="shared" si="73"/>
        <v>0</v>
      </c>
      <c r="BO55" s="45">
        <f t="shared" si="70"/>
        <v>0</v>
      </c>
      <c r="BP55" s="45">
        <f t="shared" si="71"/>
        <v>0</v>
      </c>
      <c r="BQ55" s="45">
        <f t="shared" si="71"/>
        <v>0</v>
      </c>
      <c r="BR55" s="45">
        <f t="shared" si="71"/>
        <v>0</v>
      </c>
      <c r="BS55" s="45">
        <f t="shared" si="71"/>
        <v>0</v>
      </c>
      <c r="BT55" s="45">
        <f t="shared" si="71"/>
        <v>0</v>
      </c>
      <c r="BU55" s="45">
        <f t="shared" si="71"/>
        <v>0</v>
      </c>
      <c r="BV55" s="45">
        <f t="shared" si="71"/>
        <v>0</v>
      </c>
      <c r="BW55" s="45">
        <f t="shared" si="71"/>
        <v>0</v>
      </c>
      <c r="BY55" s="12"/>
      <c r="CA55" s="12"/>
      <c r="EX55" s="10" t="str">
        <f t="shared" si="13"/>
        <v/>
      </c>
    </row>
    <row r="56" spans="1:154" x14ac:dyDescent="0.25">
      <c r="B56" s="11" t="str">
        <f ca="1">Loans!B$22</f>
        <v>Loan 10</v>
      </c>
      <c r="D56" s="62">
        <f>Loans!D$22</f>
        <v>0</v>
      </c>
      <c r="E56" s="159" t="str">
        <f>IF(Loans!I$22=0, "", Loans!I$22)</f>
        <v/>
      </c>
      <c r="F56" s="159" t="str">
        <f>IF(Loans!J$22=0, "", Loans!J$22)</f>
        <v/>
      </c>
      <c r="S56" s="329"/>
      <c r="T56" s="335"/>
      <c r="U56" s="335"/>
      <c r="V56" s="45">
        <f t="shared" si="69"/>
        <v>0</v>
      </c>
      <c r="W56" s="45">
        <f t="shared" si="69"/>
        <v>0</v>
      </c>
      <c r="X56" s="45">
        <f t="shared" si="69"/>
        <v>0</v>
      </c>
      <c r="Y56" s="45">
        <f t="shared" si="69"/>
        <v>0</v>
      </c>
      <c r="Z56" s="329"/>
      <c r="AA56" s="45">
        <f t="shared" si="69"/>
        <v>0</v>
      </c>
      <c r="AB56" s="45">
        <f t="shared" si="69"/>
        <v>0</v>
      </c>
      <c r="AC56" s="45">
        <f t="shared" si="69"/>
        <v>0</v>
      </c>
      <c r="AD56" s="45">
        <f t="shared" si="69"/>
        <v>0</v>
      </c>
      <c r="AE56" s="45">
        <f t="shared" si="69"/>
        <v>0</v>
      </c>
      <c r="AF56" s="45">
        <f t="shared" si="69"/>
        <v>0</v>
      </c>
      <c r="AG56" s="45">
        <f t="shared" si="69"/>
        <v>0</v>
      </c>
      <c r="AH56" s="45">
        <f t="shared" si="69"/>
        <v>0</v>
      </c>
      <c r="AI56" s="45">
        <f t="shared" si="72"/>
        <v>0</v>
      </c>
      <c r="AJ56" s="45">
        <f t="shared" si="72"/>
        <v>0</v>
      </c>
      <c r="AK56" s="45">
        <f t="shared" si="72"/>
        <v>0</v>
      </c>
      <c r="AL56" s="45">
        <f t="shared" si="72"/>
        <v>0</v>
      </c>
      <c r="AM56" s="45">
        <f t="shared" si="72"/>
        <v>0</v>
      </c>
      <c r="AN56" s="45">
        <f t="shared" si="72"/>
        <v>0</v>
      </c>
      <c r="AO56" s="45">
        <f t="shared" si="72"/>
        <v>0</v>
      </c>
      <c r="AP56" s="45">
        <f t="shared" si="72"/>
        <v>0</v>
      </c>
      <c r="AQ56" s="45">
        <f t="shared" si="72"/>
        <v>0</v>
      </c>
      <c r="AR56" s="45">
        <f t="shared" si="72"/>
        <v>0</v>
      </c>
      <c r="AS56" s="45">
        <f t="shared" si="72"/>
        <v>0</v>
      </c>
      <c r="AT56" s="45">
        <f t="shared" si="72"/>
        <v>0</v>
      </c>
      <c r="AU56" s="45">
        <f t="shared" si="72"/>
        <v>0</v>
      </c>
      <c r="AV56" s="45">
        <f t="shared" si="72"/>
        <v>0</v>
      </c>
      <c r="AW56" s="45">
        <f t="shared" si="72"/>
        <v>0</v>
      </c>
      <c r="AX56" s="45">
        <f t="shared" si="72"/>
        <v>0</v>
      </c>
      <c r="AY56" s="45">
        <f t="shared" si="73"/>
        <v>0</v>
      </c>
      <c r="AZ56" s="45">
        <f t="shared" si="70"/>
        <v>0</v>
      </c>
      <c r="BA56" s="45">
        <f t="shared" si="73"/>
        <v>0</v>
      </c>
      <c r="BB56" s="45">
        <f t="shared" si="73"/>
        <v>0</v>
      </c>
      <c r="BC56" s="45">
        <f t="shared" si="73"/>
        <v>0</v>
      </c>
      <c r="BD56" s="45">
        <f t="shared" si="73"/>
        <v>0</v>
      </c>
      <c r="BE56" s="45">
        <f t="shared" si="73"/>
        <v>0</v>
      </c>
      <c r="BF56" s="45">
        <f t="shared" si="73"/>
        <v>0</v>
      </c>
      <c r="BG56" s="45">
        <f t="shared" si="73"/>
        <v>0</v>
      </c>
      <c r="BH56" s="45">
        <f t="shared" si="73"/>
        <v>0</v>
      </c>
      <c r="BI56" s="45">
        <f t="shared" si="73"/>
        <v>0</v>
      </c>
      <c r="BJ56" s="45">
        <f t="shared" si="73"/>
        <v>0</v>
      </c>
      <c r="BK56" s="329"/>
      <c r="BL56" s="45">
        <f t="shared" si="73"/>
        <v>0</v>
      </c>
      <c r="BM56" s="45">
        <f t="shared" si="73"/>
        <v>0</v>
      </c>
      <c r="BN56" s="45">
        <f t="shared" si="73"/>
        <v>0</v>
      </c>
      <c r="BO56" s="45">
        <f t="shared" si="70"/>
        <v>0</v>
      </c>
      <c r="BP56" s="45">
        <f t="shared" si="71"/>
        <v>0</v>
      </c>
      <c r="BQ56" s="45">
        <f t="shared" si="71"/>
        <v>0</v>
      </c>
      <c r="BR56" s="45">
        <f t="shared" si="71"/>
        <v>0</v>
      </c>
      <c r="BS56" s="45">
        <f t="shared" si="71"/>
        <v>0</v>
      </c>
      <c r="BT56" s="45">
        <f t="shared" si="71"/>
        <v>0</v>
      </c>
      <c r="BU56" s="45">
        <f t="shared" si="71"/>
        <v>0</v>
      </c>
      <c r="BV56" s="45">
        <f t="shared" si="71"/>
        <v>0</v>
      </c>
      <c r="BW56" s="45">
        <f t="shared" si="71"/>
        <v>0</v>
      </c>
      <c r="BY56" s="12"/>
      <c r="CA56" s="12"/>
      <c r="EX56" s="10" t="str">
        <f t="shared" si="13"/>
        <v/>
      </c>
    </row>
    <row r="57" spans="1:154" x14ac:dyDescent="0.25">
      <c r="B57" s="11" t="str">
        <f ca="1">Loans!B$23</f>
        <v>Loan 11</v>
      </c>
      <c r="D57" s="62">
        <f>Loans!D$23</f>
        <v>0</v>
      </c>
      <c r="E57" s="159" t="str">
        <f>IF(Loans!I$23=0, "", Loans!I$23)</f>
        <v/>
      </c>
      <c r="F57" s="159" t="str">
        <f>IF(Loans!J$23=0, "", Loans!J$23)</f>
        <v/>
      </c>
      <c r="S57" s="329"/>
      <c r="T57" s="335"/>
      <c r="U57" s="335"/>
      <c r="V57" s="45">
        <f t="shared" si="69"/>
        <v>0</v>
      </c>
      <c r="W57" s="45">
        <f t="shared" si="69"/>
        <v>0</v>
      </c>
      <c r="X57" s="45">
        <f t="shared" si="69"/>
        <v>0</v>
      </c>
      <c r="Y57" s="45">
        <f t="shared" si="69"/>
        <v>0</v>
      </c>
      <c r="Z57" s="329"/>
      <c r="AA57" s="45">
        <f t="shared" si="69"/>
        <v>0</v>
      </c>
      <c r="AB57" s="45">
        <f t="shared" si="69"/>
        <v>0</v>
      </c>
      <c r="AC57" s="45">
        <f t="shared" si="69"/>
        <v>0</v>
      </c>
      <c r="AD57" s="45">
        <f t="shared" si="69"/>
        <v>0</v>
      </c>
      <c r="AE57" s="45">
        <f t="shared" si="69"/>
        <v>0</v>
      </c>
      <c r="AF57" s="45">
        <f t="shared" si="69"/>
        <v>0</v>
      </c>
      <c r="AG57" s="45">
        <f t="shared" si="69"/>
        <v>0</v>
      </c>
      <c r="AH57" s="45">
        <f t="shared" si="69"/>
        <v>0</v>
      </c>
      <c r="AI57" s="45">
        <f t="shared" si="72"/>
        <v>0</v>
      </c>
      <c r="AJ57" s="45">
        <f t="shared" si="72"/>
        <v>0</v>
      </c>
      <c r="AK57" s="45">
        <f t="shared" si="72"/>
        <v>0</v>
      </c>
      <c r="AL57" s="45">
        <f t="shared" si="72"/>
        <v>0</v>
      </c>
      <c r="AM57" s="45">
        <f t="shared" si="72"/>
        <v>0</v>
      </c>
      <c r="AN57" s="45">
        <f t="shared" si="72"/>
        <v>0</v>
      </c>
      <c r="AO57" s="45">
        <f t="shared" si="72"/>
        <v>0</v>
      </c>
      <c r="AP57" s="45">
        <f t="shared" si="72"/>
        <v>0</v>
      </c>
      <c r="AQ57" s="45">
        <f t="shared" si="72"/>
        <v>0</v>
      </c>
      <c r="AR57" s="45">
        <f t="shared" si="72"/>
        <v>0</v>
      </c>
      <c r="AS57" s="45">
        <f t="shared" si="72"/>
        <v>0</v>
      </c>
      <c r="AT57" s="45">
        <f t="shared" si="72"/>
        <v>0</v>
      </c>
      <c r="AU57" s="45">
        <f t="shared" si="72"/>
        <v>0</v>
      </c>
      <c r="AV57" s="45">
        <f t="shared" si="72"/>
        <v>0</v>
      </c>
      <c r="AW57" s="45">
        <f t="shared" si="72"/>
        <v>0</v>
      </c>
      <c r="AX57" s="45">
        <f t="shared" si="72"/>
        <v>0</v>
      </c>
      <c r="AY57" s="45">
        <f t="shared" si="73"/>
        <v>0</v>
      </c>
      <c r="AZ57" s="45">
        <f t="shared" si="70"/>
        <v>0</v>
      </c>
      <c r="BA57" s="45">
        <f t="shared" si="73"/>
        <v>0</v>
      </c>
      <c r="BB57" s="45">
        <f t="shared" si="73"/>
        <v>0</v>
      </c>
      <c r="BC57" s="45">
        <f t="shared" si="73"/>
        <v>0</v>
      </c>
      <c r="BD57" s="45">
        <f t="shared" si="73"/>
        <v>0</v>
      </c>
      <c r="BE57" s="45">
        <f t="shared" si="73"/>
        <v>0</v>
      </c>
      <c r="BF57" s="45">
        <f t="shared" si="73"/>
        <v>0</v>
      </c>
      <c r="BG57" s="45">
        <f t="shared" si="73"/>
        <v>0</v>
      </c>
      <c r="BH57" s="45">
        <f t="shared" si="73"/>
        <v>0</v>
      </c>
      <c r="BI57" s="45">
        <f t="shared" si="73"/>
        <v>0</v>
      </c>
      <c r="BJ57" s="45">
        <f t="shared" si="73"/>
        <v>0</v>
      </c>
      <c r="BK57" s="329"/>
      <c r="BL57" s="45">
        <f t="shared" si="73"/>
        <v>0</v>
      </c>
      <c r="BM57" s="45">
        <f t="shared" si="73"/>
        <v>0</v>
      </c>
      <c r="BN57" s="45">
        <f t="shared" si="73"/>
        <v>0</v>
      </c>
      <c r="BO57" s="45">
        <f t="shared" si="70"/>
        <v>0</v>
      </c>
      <c r="BP57" s="45">
        <f t="shared" si="71"/>
        <v>0</v>
      </c>
      <c r="BQ57" s="45">
        <f t="shared" si="71"/>
        <v>0</v>
      </c>
      <c r="BR57" s="45">
        <f t="shared" si="71"/>
        <v>0</v>
      </c>
      <c r="BS57" s="45">
        <f t="shared" si="71"/>
        <v>0</v>
      </c>
      <c r="BT57" s="45">
        <f t="shared" si="71"/>
        <v>0</v>
      </c>
      <c r="BU57" s="45">
        <f t="shared" si="71"/>
        <v>0</v>
      </c>
      <c r="BV57" s="45">
        <f t="shared" si="71"/>
        <v>0</v>
      </c>
      <c r="BW57" s="45">
        <f t="shared" si="71"/>
        <v>0</v>
      </c>
      <c r="BY57" s="12"/>
      <c r="CA57" s="12"/>
      <c r="EX57" s="10" t="str">
        <f t="shared" si="13"/>
        <v/>
      </c>
    </row>
    <row r="58" spans="1:154" x14ac:dyDescent="0.25">
      <c r="B58" s="11" t="str">
        <f ca="1">Loans!B$24</f>
        <v>Loan 12</v>
      </c>
      <c r="D58" s="62">
        <f>Loans!D$24</f>
        <v>0</v>
      </c>
      <c r="E58" s="159" t="str">
        <f>IF(Loans!I$24=0, "", Loans!I$24)</f>
        <v/>
      </c>
      <c r="F58" s="159" t="str">
        <f>IF(Loans!J$24=0, "", Loans!J$24)</f>
        <v/>
      </c>
      <c r="S58" s="329"/>
      <c r="T58" s="335"/>
      <c r="U58" s="335"/>
      <c r="V58" s="45">
        <f t="shared" si="69"/>
        <v>0</v>
      </c>
      <c r="W58" s="45">
        <f t="shared" si="69"/>
        <v>0</v>
      </c>
      <c r="X58" s="45">
        <f t="shared" si="69"/>
        <v>0</v>
      </c>
      <c r="Y58" s="45">
        <f t="shared" si="69"/>
        <v>0</v>
      </c>
      <c r="Z58" s="329"/>
      <c r="AA58" s="45">
        <f t="shared" si="69"/>
        <v>0</v>
      </c>
      <c r="AB58" s="45">
        <f t="shared" si="69"/>
        <v>0</v>
      </c>
      <c r="AC58" s="45">
        <f t="shared" si="69"/>
        <v>0</v>
      </c>
      <c r="AD58" s="45">
        <f t="shared" si="69"/>
        <v>0</v>
      </c>
      <c r="AE58" s="45">
        <f t="shared" si="69"/>
        <v>0</v>
      </c>
      <c r="AF58" s="45">
        <f t="shared" si="69"/>
        <v>0</v>
      </c>
      <c r="AG58" s="45">
        <f t="shared" si="69"/>
        <v>0</v>
      </c>
      <c r="AH58" s="45">
        <f t="shared" si="69"/>
        <v>0</v>
      </c>
      <c r="AI58" s="45">
        <f t="shared" si="72"/>
        <v>0</v>
      </c>
      <c r="AJ58" s="45">
        <f t="shared" si="72"/>
        <v>0</v>
      </c>
      <c r="AK58" s="45">
        <f t="shared" si="72"/>
        <v>0</v>
      </c>
      <c r="AL58" s="45">
        <f t="shared" si="72"/>
        <v>0</v>
      </c>
      <c r="AM58" s="45">
        <f t="shared" si="72"/>
        <v>0</v>
      </c>
      <c r="AN58" s="45">
        <f t="shared" si="72"/>
        <v>0</v>
      </c>
      <c r="AO58" s="45">
        <f t="shared" si="72"/>
        <v>0</v>
      </c>
      <c r="AP58" s="45">
        <f t="shared" si="72"/>
        <v>0</v>
      </c>
      <c r="AQ58" s="45">
        <f t="shared" si="72"/>
        <v>0</v>
      </c>
      <c r="AR58" s="45">
        <f t="shared" si="72"/>
        <v>0</v>
      </c>
      <c r="AS58" s="45">
        <f t="shared" si="72"/>
        <v>0</v>
      </c>
      <c r="AT58" s="45">
        <f t="shared" si="72"/>
        <v>0</v>
      </c>
      <c r="AU58" s="45">
        <f t="shared" si="72"/>
        <v>0</v>
      </c>
      <c r="AV58" s="45">
        <f t="shared" si="72"/>
        <v>0</v>
      </c>
      <c r="AW58" s="45">
        <f t="shared" si="72"/>
        <v>0</v>
      </c>
      <c r="AX58" s="45">
        <f t="shared" si="72"/>
        <v>0</v>
      </c>
      <c r="AY58" s="45">
        <f t="shared" si="73"/>
        <v>0</v>
      </c>
      <c r="AZ58" s="45">
        <f t="shared" si="70"/>
        <v>0</v>
      </c>
      <c r="BA58" s="45">
        <f t="shared" si="73"/>
        <v>0</v>
      </c>
      <c r="BB58" s="45">
        <f t="shared" si="73"/>
        <v>0</v>
      </c>
      <c r="BC58" s="45">
        <f t="shared" si="73"/>
        <v>0</v>
      </c>
      <c r="BD58" s="45">
        <f t="shared" si="73"/>
        <v>0</v>
      </c>
      <c r="BE58" s="45">
        <f t="shared" si="73"/>
        <v>0</v>
      </c>
      <c r="BF58" s="45">
        <f t="shared" si="73"/>
        <v>0</v>
      </c>
      <c r="BG58" s="45">
        <f t="shared" si="73"/>
        <v>0</v>
      </c>
      <c r="BH58" s="45">
        <f t="shared" si="73"/>
        <v>0</v>
      </c>
      <c r="BI58" s="45">
        <f t="shared" si="73"/>
        <v>0</v>
      </c>
      <c r="BJ58" s="45">
        <f t="shared" si="73"/>
        <v>0</v>
      </c>
      <c r="BK58" s="329"/>
      <c r="BL58" s="45">
        <f t="shared" si="73"/>
        <v>0</v>
      </c>
      <c r="BM58" s="45">
        <f t="shared" si="73"/>
        <v>0</v>
      </c>
      <c r="BN58" s="45">
        <f t="shared" si="73"/>
        <v>0</v>
      </c>
      <c r="BO58" s="45">
        <f t="shared" si="70"/>
        <v>0</v>
      </c>
      <c r="BP58" s="45">
        <f t="shared" si="71"/>
        <v>0</v>
      </c>
      <c r="BQ58" s="45">
        <f t="shared" si="71"/>
        <v>0</v>
      </c>
      <c r="BR58" s="45">
        <f t="shared" si="71"/>
        <v>0</v>
      </c>
      <c r="BS58" s="45">
        <f t="shared" si="71"/>
        <v>0</v>
      </c>
      <c r="BT58" s="45">
        <f t="shared" si="71"/>
        <v>0</v>
      </c>
      <c r="BU58" s="45">
        <f t="shared" si="71"/>
        <v>0</v>
      </c>
      <c r="BV58" s="45">
        <f t="shared" si="71"/>
        <v>0</v>
      </c>
      <c r="BW58" s="45">
        <f t="shared" si="71"/>
        <v>0</v>
      </c>
      <c r="BY58" s="12"/>
      <c r="CA58" s="12"/>
      <c r="EX58" s="10" t="str">
        <f t="shared" si="13"/>
        <v/>
      </c>
    </row>
    <row r="59" spans="1:154" x14ac:dyDescent="0.25">
      <c r="B59" s="11" t="str">
        <f ca="1">Loans!B$25</f>
        <v>Loan 13</v>
      </c>
      <c r="D59" s="62">
        <f>Loans!D$25</f>
        <v>0</v>
      </c>
      <c r="E59" s="159" t="str">
        <f>IF(Loans!I$25=0, "", Loans!I$25)</f>
        <v/>
      </c>
      <c r="F59" s="159" t="str">
        <f>IF(Loans!J$25=0, "", Loans!J$25)</f>
        <v/>
      </c>
      <c r="S59" s="329"/>
      <c r="T59" s="335"/>
      <c r="U59" s="335"/>
      <c r="V59" s="45">
        <f t="shared" si="69"/>
        <v>0</v>
      </c>
      <c r="W59" s="45">
        <f t="shared" si="69"/>
        <v>0</v>
      </c>
      <c r="X59" s="45">
        <f t="shared" si="69"/>
        <v>0</v>
      </c>
      <c r="Y59" s="45">
        <f t="shared" si="69"/>
        <v>0</v>
      </c>
      <c r="Z59" s="329"/>
      <c r="AA59" s="45">
        <f t="shared" si="69"/>
        <v>0</v>
      </c>
      <c r="AB59" s="45">
        <f t="shared" si="69"/>
        <v>0</v>
      </c>
      <c r="AC59" s="45">
        <f t="shared" si="69"/>
        <v>0</v>
      </c>
      <c r="AD59" s="45">
        <f t="shared" si="69"/>
        <v>0</v>
      </c>
      <c r="AE59" s="45">
        <f t="shared" si="69"/>
        <v>0</v>
      </c>
      <c r="AF59" s="45">
        <f t="shared" si="69"/>
        <v>0</v>
      </c>
      <c r="AG59" s="45">
        <f t="shared" si="69"/>
        <v>0</v>
      </c>
      <c r="AH59" s="45">
        <f t="shared" si="69"/>
        <v>0</v>
      </c>
      <c r="AI59" s="45">
        <f t="shared" si="72"/>
        <v>0</v>
      </c>
      <c r="AJ59" s="45">
        <f t="shared" si="72"/>
        <v>0</v>
      </c>
      <c r="AK59" s="45">
        <f t="shared" si="72"/>
        <v>0</v>
      </c>
      <c r="AL59" s="45">
        <f t="shared" si="72"/>
        <v>0</v>
      </c>
      <c r="AM59" s="45">
        <f t="shared" si="72"/>
        <v>0</v>
      </c>
      <c r="AN59" s="45">
        <f t="shared" si="72"/>
        <v>0</v>
      </c>
      <c r="AO59" s="45">
        <f t="shared" si="72"/>
        <v>0</v>
      </c>
      <c r="AP59" s="45">
        <f t="shared" si="72"/>
        <v>0</v>
      </c>
      <c r="AQ59" s="45">
        <f t="shared" si="72"/>
        <v>0</v>
      </c>
      <c r="AR59" s="45">
        <f t="shared" si="72"/>
        <v>0</v>
      </c>
      <c r="AS59" s="45">
        <f t="shared" si="72"/>
        <v>0</v>
      </c>
      <c r="AT59" s="45">
        <f t="shared" si="72"/>
        <v>0</v>
      </c>
      <c r="AU59" s="45">
        <f t="shared" si="72"/>
        <v>0</v>
      </c>
      <c r="AV59" s="45">
        <f t="shared" si="72"/>
        <v>0</v>
      </c>
      <c r="AW59" s="45">
        <f t="shared" si="72"/>
        <v>0</v>
      </c>
      <c r="AX59" s="45">
        <f t="shared" si="72"/>
        <v>0</v>
      </c>
      <c r="AY59" s="45">
        <f t="shared" si="73"/>
        <v>0</v>
      </c>
      <c r="AZ59" s="45">
        <f t="shared" si="70"/>
        <v>0</v>
      </c>
      <c r="BA59" s="45">
        <f t="shared" si="73"/>
        <v>0</v>
      </c>
      <c r="BB59" s="45">
        <f t="shared" si="73"/>
        <v>0</v>
      </c>
      <c r="BC59" s="45">
        <f t="shared" si="73"/>
        <v>0</v>
      </c>
      <c r="BD59" s="45">
        <f t="shared" si="73"/>
        <v>0</v>
      </c>
      <c r="BE59" s="45">
        <f t="shared" si="73"/>
        <v>0</v>
      </c>
      <c r="BF59" s="45">
        <f t="shared" si="73"/>
        <v>0</v>
      </c>
      <c r="BG59" s="45">
        <f t="shared" si="73"/>
        <v>0</v>
      </c>
      <c r="BH59" s="45">
        <f t="shared" si="73"/>
        <v>0</v>
      </c>
      <c r="BI59" s="45">
        <f t="shared" si="73"/>
        <v>0</v>
      </c>
      <c r="BJ59" s="45">
        <f t="shared" si="73"/>
        <v>0</v>
      </c>
      <c r="BK59" s="329"/>
      <c r="BL59" s="45">
        <f t="shared" si="73"/>
        <v>0</v>
      </c>
      <c r="BM59" s="45">
        <f t="shared" si="73"/>
        <v>0</v>
      </c>
      <c r="BN59" s="45">
        <f t="shared" si="73"/>
        <v>0</v>
      </c>
      <c r="BO59" s="45">
        <f t="shared" si="70"/>
        <v>0</v>
      </c>
      <c r="BP59" s="45">
        <f t="shared" si="71"/>
        <v>0</v>
      </c>
      <c r="BQ59" s="45">
        <f t="shared" si="71"/>
        <v>0</v>
      </c>
      <c r="BR59" s="45">
        <f t="shared" si="71"/>
        <v>0</v>
      </c>
      <c r="BS59" s="45">
        <f t="shared" si="71"/>
        <v>0</v>
      </c>
      <c r="BT59" s="45">
        <f t="shared" si="71"/>
        <v>0</v>
      </c>
      <c r="BU59" s="45">
        <f t="shared" si="71"/>
        <v>0</v>
      </c>
      <c r="BV59" s="45">
        <f t="shared" si="71"/>
        <v>0</v>
      </c>
      <c r="BW59" s="45">
        <f t="shared" si="71"/>
        <v>0</v>
      </c>
      <c r="BY59" s="12"/>
      <c r="CA59" s="12"/>
      <c r="EX59" s="10" t="str">
        <f t="shared" si="13"/>
        <v/>
      </c>
    </row>
    <row r="60" spans="1:154" x14ac:dyDescent="0.25">
      <c r="B60" s="11" t="str">
        <f ca="1">Loans!B$26</f>
        <v>Loan 14</v>
      </c>
      <c r="D60" s="62">
        <f>Loans!D$26</f>
        <v>0</v>
      </c>
      <c r="E60" s="159" t="str">
        <f>IF(Loans!I$26=0, "", Loans!I$26)</f>
        <v/>
      </c>
      <c r="F60" s="159" t="str">
        <f>IF(Loans!J$26=0, "", Loans!J$26)</f>
        <v/>
      </c>
      <c r="S60" s="329"/>
      <c r="T60" s="335"/>
      <c r="U60" s="335"/>
      <c r="V60" s="45">
        <f t="shared" si="69"/>
        <v>0</v>
      </c>
      <c r="W60" s="45">
        <f t="shared" si="69"/>
        <v>0</v>
      </c>
      <c r="X60" s="45">
        <f t="shared" si="69"/>
        <v>0</v>
      </c>
      <c r="Y60" s="45">
        <f t="shared" si="69"/>
        <v>0</v>
      </c>
      <c r="Z60" s="329"/>
      <c r="AA60" s="45">
        <f t="shared" si="69"/>
        <v>0</v>
      </c>
      <c r="AB60" s="45">
        <f t="shared" si="69"/>
        <v>0</v>
      </c>
      <c r="AC60" s="45">
        <f t="shared" si="69"/>
        <v>0</v>
      </c>
      <c r="AD60" s="45">
        <f t="shared" si="69"/>
        <v>0</v>
      </c>
      <c r="AE60" s="45">
        <f t="shared" si="69"/>
        <v>0</v>
      </c>
      <c r="AF60" s="45">
        <f t="shared" si="69"/>
        <v>0</v>
      </c>
      <c r="AG60" s="45">
        <f t="shared" si="69"/>
        <v>0</v>
      </c>
      <c r="AH60" s="45">
        <f t="shared" si="69"/>
        <v>0</v>
      </c>
      <c r="AI60" s="45">
        <f t="shared" si="72"/>
        <v>0</v>
      </c>
      <c r="AJ60" s="45">
        <f t="shared" si="72"/>
        <v>0</v>
      </c>
      <c r="AK60" s="45">
        <f t="shared" si="72"/>
        <v>0</v>
      </c>
      <c r="AL60" s="45">
        <f t="shared" si="72"/>
        <v>0</v>
      </c>
      <c r="AM60" s="45">
        <f t="shared" si="72"/>
        <v>0</v>
      </c>
      <c r="AN60" s="45">
        <f t="shared" si="72"/>
        <v>0</v>
      </c>
      <c r="AO60" s="45">
        <f t="shared" si="72"/>
        <v>0</v>
      </c>
      <c r="AP60" s="45">
        <f t="shared" si="72"/>
        <v>0</v>
      </c>
      <c r="AQ60" s="45">
        <f t="shared" si="72"/>
        <v>0</v>
      </c>
      <c r="AR60" s="45">
        <f t="shared" si="72"/>
        <v>0</v>
      </c>
      <c r="AS60" s="45">
        <f t="shared" si="72"/>
        <v>0</v>
      </c>
      <c r="AT60" s="45">
        <f t="shared" si="72"/>
        <v>0</v>
      </c>
      <c r="AU60" s="45">
        <f t="shared" si="72"/>
        <v>0</v>
      </c>
      <c r="AV60" s="45">
        <f t="shared" si="72"/>
        <v>0</v>
      </c>
      <c r="AW60" s="45">
        <f t="shared" si="72"/>
        <v>0</v>
      </c>
      <c r="AX60" s="45">
        <f t="shared" si="72"/>
        <v>0</v>
      </c>
      <c r="AY60" s="45">
        <f t="shared" si="73"/>
        <v>0</v>
      </c>
      <c r="AZ60" s="45">
        <f t="shared" si="70"/>
        <v>0</v>
      </c>
      <c r="BA60" s="45">
        <f t="shared" si="73"/>
        <v>0</v>
      </c>
      <c r="BB60" s="45">
        <f t="shared" si="73"/>
        <v>0</v>
      </c>
      <c r="BC60" s="45">
        <f t="shared" si="73"/>
        <v>0</v>
      </c>
      <c r="BD60" s="45">
        <f t="shared" si="73"/>
        <v>0</v>
      </c>
      <c r="BE60" s="45">
        <f t="shared" si="73"/>
        <v>0</v>
      </c>
      <c r="BF60" s="45">
        <f t="shared" si="73"/>
        <v>0</v>
      </c>
      <c r="BG60" s="45">
        <f t="shared" si="73"/>
        <v>0</v>
      </c>
      <c r="BH60" s="45">
        <f t="shared" si="73"/>
        <v>0</v>
      </c>
      <c r="BI60" s="45">
        <f t="shared" si="73"/>
        <v>0</v>
      </c>
      <c r="BJ60" s="45">
        <f t="shared" si="73"/>
        <v>0</v>
      </c>
      <c r="BK60" s="329"/>
      <c r="BL60" s="45">
        <f t="shared" si="73"/>
        <v>0</v>
      </c>
      <c r="BM60" s="45">
        <f t="shared" si="73"/>
        <v>0</v>
      </c>
      <c r="BN60" s="45">
        <f t="shared" si="73"/>
        <v>0</v>
      </c>
      <c r="BO60" s="45">
        <f t="shared" si="70"/>
        <v>0</v>
      </c>
      <c r="BP60" s="45">
        <f t="shared" si="71"/>
        <v>0</v>
      </c>
      <c r="BQ60" s="45">
        <f t="shared" si="71"/>
        <v>0</v>
      </c>
      <c r="BR60" s="45">
        <f t="shared" si="71"/>
        <v>0</v>
      </c>
      <c r="BS60" s="45">
        <f t="shared" si="71"/>
        <v>0</v>
      </c>
      <c r="BT60" s="45">
        <f t="shared" si="71"/>
        <v>0</v>
      </c>
      <c r="BU60" s="45">
        <f t="shared" si="71"/>
        <v>0</v>
      </c>
      <c r="BV60" s="45">
        <f t="shared" si="71"/>
        <v>0</v>
      </c>
      <c r="BW60" s="45">
        <f t="shared" si="71"/>
        <v>0</v>
      </c>
      <c r="BY60" s="12"/>
      <c r="CA60" s="12"/>
      <c r="EX60" s="10" t="str">
        <f t="shared" si="13"/>
        <v/>
      </c>
    </row>
    <row r="61" spans="1:154" x14ac:dyDescent="0.25">
      <c r="B61" s="11" t="str">
        <f ca="1">Loans!B$27</f>
        <v>Loan 15</v>
      </c>
      <c r="D61" s="62">
        <f>Loans!D$27</f>
        <v>0</v>
      </c>
      <c r="E61" s="159" t="str">
        <f>IF(Loans!I$27=0, "", Loans!I$27)</f>
        <v/>
      </c>
      <c r="F61" s="159" t="str">
        <f>IF(Loans!J$27=0, "", Loans!J$27)</f>
        <v/>
      </c>
      <c r="S61" s="329"/>
      <c r="T61" s="335"/>
      <c r="U61" s="335"/>
      <c r="V61" s="45">
        <f t="shared" si="69"/>
        <v>0</v>
      </c>
      <c r="W61" s="45">
        <f t="shared" si="69"/>
        <v>0</v>
      </c>
      <c r="X61" s="45">
        <f t="shared" si="69"/>
        <v>0</v>
      </c>
      <c r="Y61" s="45">
        <f t="shared" si="69"/>
        <v>0</v>
      </c>
      <c r="Z61" s="329"/>
      <c r="AA61" s="45">
        <f t="shared" si="69"/>
        <v>0</v>
      </c>
      <c r="AB61" s="45">
        <f t="shared" si="69"/>
        <v>0</v>
      </c>
      <c r="AC61" s="45">
        <f t="shared" si="69"/>
        <v>0</v>
      </c>
      <c r="AD61" s="45">
        <f t="shared" si="69"/>
        <v>0</v>
      </c>
      <c r="AE61" s="45">
        <f t="shared" si="69"/>
        <v>0</v>
      </c>
      <c r="AF61" s="45">
        <f t="shared" si="69"/>
        <v>0</v>
      </c>
      <c r="AG61" s="45">
        <f t="shared" si="69"/>
        <v>0</v>
      </c>
      <c r="AH61" s="45">
        <f t="shared" si="69"/>
        <v>0</v>
      </c>
      <c r="AI61" s="45">
        <f t="shared" si="72"/>
        <v>0</v>
      </c>
      <c r="AJ61" s="45">
        <f t="shared" si="72"/>
        <v>0</v>
      </c>
      <c r="AK61" s="45">
        <f t="shared" si="72"/>
        <v>0</v>
      </c>
      <c r="AL61" s="45">
        <f t="shared" si="72"/>
        <v>0</v>
      </c>
      <c r="AM61" s="45">
        <f t="shared" si="72"/>
        <v>0</v>
      </c>
      <c r="AN61" s="45">
        <f t="shared" si="72"/>
        <v>0</v>
      </c>
      <c r="AO61" s="45">
        <f t="shared" si="72"/>
        <v>0</v>
      </c>
      <c r="AP61" s="45">
        <f t="shared" si="72"/>
        <v>0</v>
      </c>
      <c r="AQ61" s="45">
        <f t="shared" si="72"/>
        <v>0</v>
      </c>
      <c r="AR61" s="45">
        <f t="shared" si="72"/>
        <v>0</v>
      </c>
      <c r="AS61" s="45">
        <f t="shared" si="72"/>
        <v>0</v>
      </c>
      <c r="AT61" s="45">
        <f t="shared" si="72"/>
        <v>0</v>
      </c>
      <c r="AU61" s="45">
        <f t="shared" si="72"/>
        <v>0</v>
      </c>
      <c r="AV61" s="45">
        <f t="shared" si="72"/>
        <v>0</v>
      </c>
      <c r="AW61" s="45">
        <f t="shared" si="72"/>
        <v>0</v>
      </c>
      <c r="AX61" s="45">
        <f t="shared" si="72"/>
        <v>0</v>
      </c>
      <c r="AY61" s="45">
        <f t="shared" si="73"/>
        <v>0</v>
      </c>
      <c r="AZ61" s="45">
        <f t="shared" si="70"/>
        <v>0</v>
      </c>
      <c r="BA61" s="45">
        <f t="shared" si="73"/>
        <v>0</v>
      </c>
      <c r="BB61" s="45">
        <f t="shared" si="73"/>
        <v>0</v>
      </c>
      <c r="BC61" s="45">
        <f t="shared" si="73"/>
        <v>0</v>
      </c>
      <c r="BD61" s="45">
        <f t="shared" si="73"/>
        <v>0</v>
      </c>
      <c r="BE61" s="45">
        <f t="shared" si="73"/>
        <v>0</v>
      </c>
      <c r="BF61" s="45">
        <f t="shared" si="73"/>
        <v>0</v>
      </c>
      <c r="BG61" s="45">
        <f t="shared" si="73"/>
        <v>0</v>
      </c>
      <c r="BH61" s="45">
        <f t="shared" si="73"/>
        <v>0</v>
      </c>
      <c r="BI61" s="45">
        <f t="shared" si="73"/>
        <v>0</v>
      </c>
      <c r="BJ61" s="45">
        <f t="shared" si="73"/>
        <v>0</v>
      </c>
      <c r="BK61" s="329"/>
      <c r="BL61" s="45">
        <f t="shared" si="73"/>
        <v>0</v>
      </c>
      <c r="BM61" s="45">
        <f t="shared" si="73"/>
        <v>0</v>
      </c>
      <c r="BN61" s="45">
        <f t="shared" si="73"/>
        <v>0</v>
      </c>
      <c r="BO61" s="45">
        <f t="shared" si="70"/>
        <v>0</v>
      </c>
      <c r="BP61" s="45">
        <f t="shared" si="71"/>
        <v>0</v>
      </c>
      <c r="BQ61" s="45">
        <f t="shared" si="71"/>
        <v>0</v>
      </c>
      <c r="BR61" s="45">
        <f t="shared" si="71"/>
        <v>0</v>
      </c>
      <c r="BS61" s="45">
        <f t="shared" si="71"/>
        <v>0</v>
      </c>
      <c r="BT61" s="45">
        <f t="shared" si="71"/>
        <v>0</v>
      </c>
      <c r="BU61" s="45">
        <f t="shared" si="71"/>
        <v>0</v>
      </c>
      <c r="BV61" s="45">
        <f t="shared" si="71"/>
        <v>0</v>
      </c>
      <c r="BW61" s="45">
        <f t="shared" si="71"/>
        <v>0</v>
      </c>
      <c r="BY61" s="12"/>
      <c r="CA61" s="12"/>
      <c r="EX61" s="10" t="str">
        <f t="shared" si="13"/>
        <v/>
      </c>
    </row>
    <row r="62" spans="1:154" x14ac:dyDescent="0.25">
      <c r="B62" s="11" t="str">
        <f ca="1">Loans!B$28</f>
        <v>Loan 16</v>
      </c>
      <c r="D62" s="62">
        <f>Loans!D$28</f>
        <v>0</v>
      </c>
      <c r="E62" s="159" t="str">
        <f>IF(Loans!I$28=0, "", Loans!I$28)</f>
        <v/>
      </c>
      <c r="F62" s="159" t="str">
        <f>IF(Loans!J$28=0, "", Loans!J$28)</f>
        <v/>
      </c>
      <c r="S62" s="329"/>
      <c r="T62" s="335"/>
      <c r="U62" s="335"/>
      <c r="V62" s="45">
        <f t="shared" si="69"/>
        <v>0</v>
      </c>
      <c r="W62" s="45">
        <f t="shared" si="69"/>
        <v>0</v>
      </c>
      <c r="X62" s="45">
        <f t="shared" si="69"/>
        <v>0</v>
      </c>
      <c r="Y62" s="45">
        <f t="shared" si="69"/>
        <v>0</v>
      </c>
      <c r="Z62" s="329"/>
      <c r="AA62" s="45">
        <f t="shared" si="69"/>
        <v>0</v>
      </c>
      <c r="AB62" s="45">
        <f t="shared" si="69"/>
        <v>0</v>
      </c>
      <c r="AC62" s="45">
        <f t="shared" si="69"/>
        <v>0</v>
      </c>
      <c r="AD62" s="45">
        <f t="shared" si="69"/>
        <v>0</v>
      </c>
      <c r="AE62" s="45">
        <f t="shared" si="69"/>
        <v>0</v>
      </c>
      <c r="AF62" s="45">
        <f t="shared" si="69"/>
        <v>0</v>
      </c>
      <c r="AG62" s="45">
        <f t="shared" si="69"/>
        <v>0</v>
      </c>
      <c r="AH62" s="45">
        <f t="shared" si="69"/>
        <v>0</v>
      </c>
      <c r="AI62" s="45">
        <f t="shared" si="72"/>
        <v>0</v>
      </c>
      <c r="AJ62" s="45">
        <f t="shared" si="72"/>
        <v>0</v>
      </c>
      <c r="AK62" s="45">
        <f t="shared" si="72"/>
        <v>0</v>
      </c>
      <c r="AL62" s="45">
        <f t="shared" si="72"/>
        <v>0</v>
      </c>
      <c r="AM62" s="45">
        <f t="shared" si="72"/>
        <v>0</v>
      </c>
      <c r="AN62" s="45">
        <f t="shared" si="72"/>
        <v>0</v>
      </c>
      <c r="AO62" s="45">
        <f t="shared" si="72"/>
        <v>0</v>
      </c>
      <c r="AP62" s="45">
        <f t="shared" si="72"/>
        <v>0</v>
      </c>
      <c r="AQ62" s="45">
        <f t="shared" si="72"/>
        <v>0</v>
      </c>
      <c r="AR62" s="45">
        <f t="shared" si="72"/>
        <v>0</v>
      </c>
      <c r="AS62" s="45">
        <f t="shared" si="72"/>
        <v>0</v>
      </c>
      <c r="AT62" s="45">
        <f t="shared" si="72"/>
        <v>0</v>
      </c>
      <c r="AU62" s="45">
        <f t="shared" si="72"/>
        <v>0</v>
      </c>
      <c r="AV62" s="45">
        <f t="shared" si="72"/>
        <v>0</v>
      </c>
      <c r="AW62" s="45">
        <f t="shared" si="72"/>
        <v>0</v>
      </c>
      <c r="AX62" s="45">
        <f t="shared" si="72"/>
        <v>0</v>
      </c>
      <c r="AY62" s="45">
        <f t="shared" si="73"/>
        <v>0</v>
      </c>
      <c r="AZ62" s="45">
        <f t="shared" si="70"/>
        <v>0</v>
      </c>
      <c r="BA62" s="45">
        <f t="shared" si="73"/>
        <v>0</v>
      </c>
      <c r="BB62" s="45">
        <f t="shared" si="73"/>
        <v>0</v>
      </c>
      <c r="BC62" s="45">
        <f t="shared" si="73"/>
        <v>0</v>
      </c>
      <c r="BD62" s="45">
        <f t="shared" si="73"/>
        <v>0</v>
      </c>
      <c r="BE62" s="45">
        <f t="shared" si="73"/>
        <v>0</v>
      </c>
      <c r="BF62" s="45">
        <f t="shared" si="73"/>
        <v>0</v>
      </c>
      <c r="BG62" s="45">
        <f t="shared" si="73"/>
        <v>0</v>
      </c>
      <c r="BH62" s="45">
        <f t="shared" si="73"/>
        <v>0</v>
      </c>
      <c r="BI62" s="45">
        <f t="shared" si="73"/>
        <v>0</v>
      </c>
      <c r="BJ62" s="45">
        <f t="shared" si="73"/>
        <v>0</v>
      </c>
      <c r="BK62" s="329"/>
      <c r="BL62" s="45">
        <f t="shared" si="73"/>
        <v>0</v>
      </c>
      <c r="BM62" s="45">
        <f t="shared" si="73"/>
        <v>0</v>
      </c>
      <c r="BN62" s="45">
        <f t="shared" si="73"/>
        <v>0</v>
      </c>
      <c r="BO62" s="45">
        <f t="shared" si="70"/>
        <v>0</v>
      </c>
      <c r="BP62" s="45">
        <f t="shared" si="71"/>
        <v>0</v>
      </c>
      <c r="BQ62" s="45">
        <f t="shared" si="71"/>
        <v>0</v>
      </c>
      <c r="BR62" s="45">
        <f t="shared" si="71"/>
        <v>0</v>
      </c>
      <c r="BS62" s="45">
        <f t="shared" si="71"/>
        <v>0</v>
      </c>
      <c r="BT62" s="45">
        <f t="shared" si="71"/>
        <v>0</v>
      </c>
      <c r="BU62" s="45">
        <f t="shared" si="71"/>
        <v>0</v>
      </c>
      <c r="BV62" s="45">
        <f t="shared" si="71"/>
        <v>0</v>
      </c>
      <c r="BW62" s="45">
        <f t="shared" si="71"/>
        <v>0</v>
      </c>
      <c r="BY62" s="12"/>
      <c r="CA62" s="12"/>
      <c r="EX62" s="10" t="str">
        <f t="shared" si="13"/>
        <v/>
      </c>
    </row>
    <row r="63" spans="1:154" x14ac:dyDescent="0.25">
      <c r="B63" s="11" t="str">
        <f ca="1">Loans!B$29</f>
        <v>Loan 17</v>
      </c>
      <c r="D63" s="62">
        <f>Loans!D$29</f>
        <v>0</v>
      </c>
      <c r="E63" s="159" t="str">
        <f>IF(Loans!I$29=0, "", Loans!I$29)</f>
        <v/>
      </c>
      <c r="F63" s="159" t="str">
        <f>IF(Loans!J$29=0, "", Loans!J$29)</f>
        <v/>
      </c>
      <c r="S63" s="329"/>
      <c r="T63" s="335"/>
      <c r="U63" s="335"/>
      <c r="V63" s="45">
        <f t="shared" si="69"/>
        <v>0</v>
      </c>
      <c r="W63" s="45">
        <f t="shared" si="69"/>
        <v>0</v>
      </c>
      <c r="X63" s="45">
        <f t="shared" si="69"/>
        <v>0</v>
      </c>
      <c r="Y63" s="45">
        <f t="shared" si="69"/>
        <v>0</v>
      </c>
      <c r="Z63" s="329"/>
      <c r="AA63" s="45">
        <f t="shared" si="69"/>
        <v>0</v>
      </c>
      <c r="AB63" s="45">
        <f t="shared" si="69"/>
        <v>0</v>
      </c>
      <c r="AC63" s="45">
        <f t="shared" si="69"/>
        <v>0</v>
      </c>
      <c r="AD63" s="45">
        <f t="shared" si="69"/>
        <v>0</v>
      </c>
      <c r="AE63" s="45">
        <f t="shared" si="69"/>
        <v>0</v>
      </c>
      <c r="AF63" s="45">
        <f t="shared" si="69"/>
        <v>0</v>
      </c>
      <c r="AG63" s="45">
        <f t="shared" si="69"/>
        <v>0</v>
      </c>
      <c r="AH63" s="45">
        <f t="shared" si="69"/>
        <v>0</v>
      </c>
      <c r="AI63" s="45">
        <f t="shared" si="72"/>
        <v>0</v>
      </c>
      <c r="AJ63" s="45">
        <f t="shared" si="72"/>
        <v>0</v>
      </c>
      <c r="AK63" s="45">
        <f t="shared" si="72"/>
        <v>0</v>
      </c>
      <c r="AL63" s="45">
        <f t="shared" si="72"/>
        <v>0</v>
      </c>
      <c r="AM63" s="45">
        <f t="shared" si="72"/>
        <v>0</v>
      </c>
      <c r="AN63" s="45">
        <f t="shared" si="72"/>
        <v>0</v>
      </c>
      <c r="AO63" s="45">
        <f t="shared" si="72"/>
        <v>0</v>
      </c>
      <c r="AP63" s="45">
        <f t="shared" si="72"/>
        <v>0</v>
      </c>
      <c r="AQ63" s="45">
        <f t="shared" si="72"/>
        <v>0</v>
      </c>
      <c r="AR63" s="45">
        <f t="shared" si="72"/>
        <v>0</v>
      </c>
      <c r="AS63" s="45">
        <f t="shared" si="72"/>
        <v>0</v>
      </c>
      <c r="AT63" s="45">
        <f t="shared" si="72"/>
        <v>0</v>
      </c>
      <c r="AU63" s="45">
        <f t="shared" si="72"/>
        <v>0</v>
      </c>
      <c r="AV63" s="45">
        <f t="shared" si="72"/>
        <v>0</v>
      </c>
      <c r="AW63" s="45">
        <f t="shared" si="72"/>
        <v>0</v>
      </c>
      <c r="AX63" s="45">
        <f t="shared" si="72"/>
        <v>0</v>
      </c>
      <c r="AY63" s="45">
        <f t="shared" si="73"/>
        <v>0</v>
      </c>
      <c r="AZ63" s="45">
        <f t="shared" si="70"/>
        <v>0</v>
      </c>
      <c r="BA63" s="45">
        <f t="shared" si="73"/>
        <v>0</v>
      </c>
      <c r="BB63" s="45">
        <f t="shared" si="73"/>
        <v>0</v>
      </c>
      <c r="BC63" s="45">
        <f t="shared" si="73"/>
        <v>0</v>
      </c>
      <c r="BD63" s="45">
        <f t="shared" si="73"/>
        <v>0</v>
      </c>
      <c r="BE63" s="45">
        <f t="shared" si="73"/>
        <v>0</v>
      </c>
      <c r="BF63" s="45">
        <f t="shared" si="73"/>
        <v>0</v>
      </c>
      <c r="BG63" s="45">
        <f t="shared" si="73"/>
        <v>0</v>
      </c>
      <c r="BH63" s="45">
        <f t="shared" si="73"/>
        <v>0</v>
      </c>
      <c r="BI63" s="45">
        <f t="shared" si="73"/>
        <v>0</v>
      </c>
      <c r="BJ63" s="45">
        <f t="shared" si="73"/>
        <v>0</v>
      </c>
      <c r="BK63" s="329"/>
      <c r="BL63" s="45">
        <f t="shared" si="73"/>
        <v>0</v>
      </c>
      <c r="BM63" s="45">
        <f t="shared" si="73"/>
        <v>0</v>
      </c>
      <c r="BN63" s="45">
        <f t="shared" si="73"/>
        <v>0</v>
      </c>
      <c r="BO63" s="45">
        <f t="shared" si="70"/>
        <v>0</v>
      </c>
      <c r="BP63" s="45">
        <f t="shared" si="71"/>
        <v>0</v>
      </c>
      <c r="BQ63" s="45">
        <f t="shared" si="71"/>
        <v>0</v>
      </c>
      <c r="BR63" s="45">
        <f t="shared" si="71"/>
        <v>0</v>
      </c>
      <c r="BS63" s="45">
        <f t="shared" si="71"/>
        <v>0</v>
      </c>
      <c r="BT63" s="45">
        <f t="shared" si="71"/>
        <v>0</v>
      </c>
      <c r="BU63" s="45">
        <f t="shared" si="71"/>
        <v>0</v>
      </c>
      <c r="BV63" s="45">
        <f t="shared" si="71"/>
        <v>0</v>
      </c>
      <c r="BW63" s="45">
        <f t="shared" si="71"/>
        <v>0</v>
      </c>
      <c r="BY63" s="12"/>
      <c r="CA63" s="12"/>
      <c r="EX63" s="10" t="str">
        <f t="shared" si="13"/>
        <v/>
      </c>
    </row>
    <row r="64" spans="1:154" x14ac:dyDescent="0.25">
      <c r="B64" s="11" t="str">
        <f ca="1">Loans!B$30</f>
        <v>Loan 18</v>
      </c>
      <c r="D64" s="62">
        <f>Loans!D$30</f>
        <v>0</v>
      </c>
      <c r="E64" s="159" t="str">
        <f>IF(Loans!I$30=0, "", Loans!I$30)</f>
        <v/>
      </c>
      <c r="F64" s="159" t="str">
        <f>IF(Loans!J$30=0, "", Loans!J$30)</f>
        <v/>
      </c>
      <c r="S64" s="329"/>
      <c r="T64" s="335"/>
      <c r="U64" s="335"/>
      <c r="V64" s="45">
        <f t="shared" si="69"/>
        <v>0</v>
      </c>
      <c r="W64" s="45">
        <f t="shared" si="69"/>
        <v>0</v>
      </c>
      <c r="X64" s="45">
        <f t="shared" si="69"/>
        <v>0</v>
      </c>
      <c r="Y64" s="45">
        <f t="shared" si="69"/>
        <v>0</v>
      </c>
      <c r="Z64" s="329"/>
      <c r="AA64" s="45">
        <f t="shared" si="69"/>
        <v>0</v>
      </c>
      <c r="AB64" s="45">
        <f t="shared" si="69"/>
        <v>0</v>
      </c>
      <c r="AC64" s="45">
        <f t="shared" si="69"/>
        <v>0</v>
      </c>
      <c r="AD64" s="45">
        <f t="shared" si="69"/>
        <v>0</v>
      </c>
      <c r="AE64" s="45">
        <f t="shared" si="69"/>
        <v>0</v>
      </c>
      <c r="AF64" s="45">
        <f t="shared" si="69"/>
        <v>0</v>
      </c>
      <c r="AG64" s="45">
        <f t="shared" si="69"/>
        <v>0</v>
      </c>
      <c r="AH64" s="45">
        <f t="shared" si="69"/>
        <v>0</v>
      </c>
      <c r="AI64" s="45">
        <f t="shared" si="72"/>
        <v>0</v>
      </c>
      <c r="AJ64" s="45">
        <f t="shared" si="72"/>
        <v>0</v>
      </c>
      <c r="AK64" s="45">
        <f t="shared" si="72"/>
        <v>0</v>
      </c>
      <c r="AL64" s="45">
        <f t="shared" si="72"/>
        <v>0</v>
      </c>
      <c r="AM64" s="45">
        <f t="shared" si="72"/>
        <v>0</v>
      </c>
      <c r="AN64" s="45">
        <f t="shared" si="72"/>
        <v>0</v>
      </c>
      <c r="AO64" s="45">
        <f t="shared" si="72"/>
        <v>0</v>
      </c>
      <c r="AP64" s="45">
        <f t="shared" si="72"/>
        <v>0</v>
      </c>
      <c r="AQ64" s="45">
        <f t="shared" si="72"/>
        <v>0</v>
      </c>
      <c r="AR64" s="45">
        <f t="shared" si="72"/>
        <v>0</v>
      </c>
      <c r="AS64" s="45">
        <f t="shared" si="72"/>
        <v>0</v>
      </c>
      <c r="AT64" s="45">
        <f t="shared" si="72"/>
        <v>0</v>
      </c>
      <c r="AU64" s="45">
        <f t="shared" si="72"/>
        <v>0</v>
      </c>
      <c r="AV64" s="45">
        <f t="shared" si="72"/>
        <v>0</v>
      </c>
      <c r="AW64" s="45">
        <f t="shared" si="72"/>
        <v>0</v>
      </c>
      <c r="AX64" s="45">
        <f t="shared" si="72"/>
        <v>0</v>
      </c>
      <c r="AY64" s="45">
        <f t="shared" si="73"/>
        <v>0</v>
      </c>
      <c r="AZ64" s="45">
        <f t="shared" si="70"/>
        <v>0</v>
      </c>
      <c r="BA64" s="45">
        <f t="shared" si="73"/>
        <v>0</v>
      </c>
      <c r="BB64" s="45">
        <f t="shared" si="73"/>
        <v>0</v>
      </c>
      <c r="BC64" s="45">
        <f t="shared" si="73"/>
        <v>0</v>
      </c>
      <c r="BD64" s="45">
        <f t="shared" si="73"/>
        <v>0</v>
      </c>
      <c r="BE64" s="45">
        <f t="shared" si="73"/>
        <v>0</v>
      </c>
      <c r="BF64" s="45">
        <f t="shared" si="73"/>
        <v>0</v>
      </c>
      <c r="BG64" s="45">
        <f t="shared" si="73"/>
        <v>0</v>
      </c>
      <c r="BH64" s="45">
        <f t="shared" si="73"/>
        <v>0</v>
      </c>
      <c r="BI64" s="45">
        <f t="shared" si="73"/>
        <v>0</v>
      </c>
      <c r="BJ64" s="45">
        <f t="shared" si="73"/>
        <v>0</v>
      </c>
      <c r="BK64" s="329"/>
      <c r="BL64" s="45">
        <f t="shared" si="73"/>
        <v>0</v>
      </c>
      <c r="BM64" s="45">
        <f t="shared" si="73"/>
        <v>0</v>
      </c>
      <c r="BN64" s="45">
        <f t="shared" si="73"/>
        <v>0</v>
      </c>
      <c r="BO64" s="45">
        <f t="shared" si="70"/>
        <v>0</v>
      </c>
      <c r="BP64" s="45">
        <f t="shared" si="71"/>
        <v>0</v>
      </c>
      <c r="BQ64" s="45">
        <f t="shared" si="71"/>
        <v>0</v>
      </c>
      <c r="BR64" s="45">
        <f t="shared" si="71"/>
        <v>0</v>
      </c>
      <c r="BS64" s="45">
        <f t="shared" si="71"/>
        <v>0</v>
      </c>
      <c r="BT64" s="45">
        <f t="shared" si="71"/>
        <v>0</v>
      </c>
      <c r="BU64" s="45">
        <f t="shared" si="71"/>
        <v>0</v>
      </c>
      <c r="BV64" s="45">
        <f t="shared" si="71"/>
        <v>0</v>
      </c>
      <c r="BW64" s="45">
        <f t="shared" si="71"/>
        <v>0</v>
      </c>
      <c r="BY64" s="12"/>
      <c r="CA64" s="12"/>
      <c r="EX64" s="10" t="str">
        <f t="shared" si="13"/>
        <v/>
      </c>
    </row>
    <row r="65" spans="1:154" x14ac:dyDescent="0.25">
      <c r="B65" s="11" t="str">
        <f ca="1">Loans!B$31</f>
        <v>Loan 19</v>
      </c>
      <c r="D65" s="62">
        <f>Loans!D$31</f>
        <v>0</v>
      </c>
      <c r="E65" s="159" t="str">
        <f>IF(Loans!I$31=0, "", Loans!I$31)</f>
        <v/>
      </c>
      <c r="F65" s="159" t="str">
        <f>IF(Loans!J$31=0, "", Loans!J$31)</f>
        <v/>
      </c>
      <c r="S65" s="329"/>
      <c r="T65" s="335"/>
      <c r="U65" s="335"/>
      <c r="V65" s="45">
        <f t="shared" si="69"/>
        <v>0</v>
      </c>
      <c r="W65" s="45">
        <f t="shared" si="69"/>
        <v>0</v>
      </c>
      <c r="X65" s="45">
        <f t="shared" si="69"/>
        <v>0</v>
      </c>
      <c r="Y65" s="45">
        <f t="shared" si="69"/>
        <v>0</v>
      </c>
      <c r="Z65" s="329"/>
      <c r="AA65" s="45">
        <f t="shared" si="69"/>
        <v>0</v>
      </c>
      <c r="AB65" s="45">
        <f t="shared" si="69"/>
        <v>0</v>
      </c>
      <c r="AC65" s="45">
        <f t="shared" si="69"/>
        <v>0</v>
      </c>
      <c r="AD65" s="45">
        <f t="shared" si="69"/>
        <v>0</v>
      </c>
      <c r="AE65" s="45">
        <f t="shared" si="69"/>
        <v>0</v>
      </c>
      <c r="AF65" s="45">
        <f t="shared" si="69"/>
        <v>0</v>
      </c>
      <c r="AG65" s="45">
        <f t="shared" si="69"/>
        <v>0</v>
      </c>
      <c r="AH65" s="45">
        <f t="shared" si="69"/>
        <v>0</v>
      </c>
      <c r="AI65" s="45">
        <f t="shared" si="72"/>
        <v>0</v>
      </c>
      <c r="AJ65" s="45">
        <f t="shared" si="72"/>
        <v>0</v>
      </c>
      <c r="AK65" s="45">
        <f t="shared" si="72"/>
        <v>0</v>
      </c>
      <c r="AL65" s="45">
        <f t="shared" si="72"/>
        <v>0</v>
      </c>
      <c r="AM65" s="45">
        <f t="shared" si="72"/>
        <v>0</v>
      </c>
      <c r="AN65" s="45">
        <f t="shared" si="72"/>
        <v>0</v>
      </c>
      <c r="AO65" s="45">
        <f t="shared" si="72"/>
        <v>0</v>
      </c>
      <c r="AP65" s="45">
        <f t="shared" si="72"/>
        <v>0</v>
      </c>
      <c r="AQ65" s="45">
        <f t="shared" si="72"/>
        <v>0</v>
      </c>
      <c r="AR65" s="45">
        <f t="shared" si="72"/>
        <v>0</v>
      </c>
      <c r="AS65" s="45">
        <f t="shared" si="72"/>
        <v>0</v>
      </c>
      <c r="AT65" s="45">
        <f t="shared" si="72"/>
        <v>0</v>
      </c>
      <c r="AU65" s="45">
        <f t="shared" si="72"/>
        <v>0</v>
      </c>
      <c r="AV65" s="45">
        <f t="shared" si="72"/>
        <v>0</v>
      </c>
      <c r="AW65" s="45">
        <f t="shared" si="72"/>
        <v>0</v>
      </c>
      <c r="AX65" s="45">
        <f t="shared" si="72"/>
        <v>0</v>
      </c>
      <c r="AY65" s="45">
        <f t="shared" si="73"/>
        <v>0</v>
      </c>
      <c r="AZ65" s="45">
        <f t="shared" si="70"/>
        <v>0</v>
      </c>
      <c r="BA65" s="45">
        <f t="shared" si="73"/>
        <v>0</v>
      </c>
      <c r="BB65" s="45">
        <f t="shared" si="73"/>
        <v>0</v>
      </c>
      <c r="BC65" s="45">
        <f t="shared" si="73"/>
        <v>0</v>
      </c>
      <c r="BD65" s="45">
        <f t="shared" si="73"/>
        <v>0</v>
      </c>
      <c r="BE65" s="45">
        <f t="shared" si="73"/>
        <v>0</v>
      </c>
      <c r="BF65" s="45">
        <f t="shared" si="73"/>
        <v>0</v>
      </c>
      <c r="BG65" s="45">
        <f t="shared" si="73"/>
        <v>0</v>
      </c>
      <c r="BH65" s="45">
        <f t="shared" si="73"/>
        <v>0</v>
      </c>
      <c r="BI65" s="45">
        <f t="shared" si="73"/>
        <v>0</v>
      </c>
      <c r="BJ65" s="45">
        <f t="shared" si="73"/>
        <v>0</v>
      </c>
      <c r="BK65" s="329"/>
      <c r="BL65" s="45">
        <f t="shared" si="73"/>
        <v>0</v>
      </c>
      <c r="BM65" s="45">
        <f t="shared" si="73"/>
        <v>0</v>
      </c>
      <c r="BN65" s="45">
        <f t="shared" si="73"/>
        <v>0</v>
      </c>
      <c r="BO65" s="45">
        <f t="shared" si="70"/>
        <v>0</v>
      </c>
      <c r="BP65" s="45">
        <f t="shared" si="71"/>
        <v>0</v>
      </c>
      <c r="BQ65" s="45">
        <f t="shared" si="71"/>
        <v>0</v>
      </c>
      <c r="BR65" s="45">
        <f t="shared" si="71"/>
        <v>0</v>
      </c>
      <c r="BS65" s="45">
        <f t="shared" si="71"/>
        <v>0</v>
      </c>
      <c r="BT65" s="45">
        <f t="shared" si="71"/>
        <v>0</v>
      </c>
      <c r="BU65" s="45">
        <f t="shared" si="71"/>
        <v>0</v>
      </c>
      <c r="BV65" s="45">
        <f t="shared" si="71"/>
        <v>0</v>
      </c>
      <c r="BW65" s="45">
        <f t="shared" si="71"/>
        <v>0</v>
      </c>
      <c r="BY65" s="12"/>
      <c r="CA65" s="12"/>
      <c r="EX65" s="10" t="str">
        <f t="shared" si="13"/>
        <v/>
      </c>
    </row>
    <row r="66" spans="1:154" x14ac:dyDescent="0.25">
      <c r="B66" s="11" t="str">
        <f ca="1">Loans!B$32</f>
        <v>Loan 20</v>
      </c>
      <c r="D66" s="62">
        <f>Loans!D$32</f>
        <v>0</v>
      </c>
      <c r="E66" s="159" t="str">
        <f>IF(Loans!I$32=0, "", Loans!I$32)</f>
        <v/>
      </c>
      <c r="F66" s="159" t="str">
        <f>IF(Loans!J$32=0, "", Loans!J$32)</f>
        <v/>
      </c>
      <c r="S66" s="329"/>
      <c r="T66" s="335"/>
      <c r="U66" s="335"/>
      <c r="V66" s="45">
        <f t="shared" si="69"/>
        <v>0</v>
      </c>
      <c r="W66" s="45">
        <f t="shared" si="69"/>
        <v>0</v>
      </c>
      <c r="X66" s="45">
        <f t="shared" si="69"/>
        <v>0</v>
      </c>
      <c r="Y66" s="45">
        <f t="shared" si="69"/>
        <v>0</v>
      </c>
      <c r="Z66" s="329"/>
      <c r="AA66" s="45">
        <f t="shared" si="69"/>
        <v>0</v>
      </c>
      <c r="AB66" s="45">
        <f t="shared" si="69"/>
        <v>0</v>
      </c>
      <c r="AC66" s="45">
        <f t="shared" si="69"/>
        <v>0</v>
      </c>
      <c r="AD66" s="45">
        <f t="shared" si="69"/>
        <v>0</v>
      </c>
      <c r="AE66" s="45">
        <f t="shared" si="69"/>
        <v>0</v>
      </c>
      <c r="AF66" s="45">
        <f t="shared" si="69"/>
        <v>0</v>
      </c>
      <c r="AG66" s="45">
        <f t="shared" si="69"/>
        <v>0</v>
      </c>
      <c r="AH66" s="45">
        <f t="shared" si="69"/>
        <v>0</v>
      </c>
      <c r="AI66" s="45">
        <f t="shared" si="72"/>
        <v>0</v>
      </c>
      <c r="AJ66" s="45">
        <f t="shared" si="72"/>
        <v>0</v>
      </c>
      <c r="AK66" s="45">
        <f t="shared" si="72"/>
        <v>0</v>
      </c>
      <c r="AL66" s="45">
        <f t="shared" si="72"/>
        <v>0</v>
      </c>
      <c r="AM66" s="45">
        <f t="shared" si="72"/>
        <v>0</v>
      </c>
      <c r="AN66" s="45">
        <f t="shared" si="72"/>
        <v>0</v>
      </c>
      <c r="AO66" s="45">
        <f t="shared" si="72"/>
        <v>0</v>
      </c>
      <c r="AP66" s="45">
        <f t="shared" si="72"/>
        <v>0</v>
      </c>
      <c r="AQ66" s="45">
        <f t="shared" si="72"/>
        <v>0</v>
      </c>
      <c r="AR66" s="45">
        <f t="shared" si="72"/>
        <v>0</v>
      </c>
      <c r="AS66" s="45">
        <f t="shared" si="72"/>
        <v>0</v>
      </c>
      <c r="AT66" s="45">
        <f t="shared" si="72"/>
        <v>0</v>
      </c>
      <c r="AU66" s="45">
        <f t="shared" si="72"/>
        <v>0</v>
      </c>
      <c r="AV66" s="45">
        <f t="shared" si="72"/>
        <v>0</v>
      </c>
      <c r="AW66" s="45">
        <f t="shared" si="72"/>
        <v>0</v>
      </c>
      <c r="AX66" s="45">
        <f t="shared" si="72"/>
        <v>0</v>
      </c>
      <c r="AY66" s="45">
        <f t="shared" si="73"/>
        <v>0</v>
      </c>
      <c r="AZ66" s="45">
        <f t="shared" si="70"/>
        <v>0</v>
      </c>
      <c r="BA66" s="45">
        <f t="shared" si="73"/>
        <v>0</v>
      </c>
      <c r="BB66" s="45">
        <f t="shared" si="73"/>
        <v>0</v>
      </c>
      <c r="BC66" s="45">
        <f t="shared" si="73"/>
        <v>0</v>
      </c>
      <c r="BD66" s="45">
        <f t="shared" si="73"/>
        <v>0</v>
      </c>
      <c r="BE66" s="45">
        <f t="shared" si="73"/>
        <v>0</v>
      </c>
      <c r="BF66" s="45">
        <f t="shared" si="73"/>
        <v>0</v>
      </c>
      <c r="BG66" s="45">
        <f t="shared" si="73"/>
        <v>0</v>
      </c>
      <c r="BH66" s="45">
        <f t="shared" si="73"/>
        <v>0</v>
      </c>
      <c r="BI66" s="45">
        <f t="shared" si="73"/>
        <v>0</v>
      </c>
      <c r="BJ66" s="45">
        <f t="shared" si="73"/>
        <v>0</v>
      </c>
      <c r="BK66" s="329"/>
      <c r="BL66" s="45">
        <f t="shared" si="73"/>
        <v>0</v>
      </c>
      <c r="BM66" s="45">
        <f t="shared" si="73"/>
        <v>0</v>
      </c>
      <c r="BN66" s="45">
        <f t="shared" si="73"/>
        <v>0</v>
      </c>
      <c r="BO66" s="45">
        <f t="shared" si="70"/>
        <v>0</v>
      </c>
      <c r="BP66" s="45">
        <f t="shared" si="71"/>
        <v>0</v>
      </c>
      <c r="BQ66" s="45">
        <f t="shared" si="71"/>
        <v>0</v>
      </c>
      <c r="BR66" s="45">
        <f t="shared" si="71"/>
        <v>0</v>
      </c>
      <c r="BS66" s="45">
        <f t="shared" si="71"/>
        <v>0</v>
      </c>
      <c r="BT66" s="45">
        <f t="shared" si="71"/>
        <v>0</v>
      </c>
      <c r="BU66" s="45">
        <f t="shared" si="71"/>
        <v>0</v>
      </c>
      <c r="BV66" s="45">
        <f t="shared" si="71"/>
        <v>0</v>
      </c>
      <c r="BW66" s="45">
        <f t="shared" si="71"/>
        <v>0</v>
      </c>
      <c r="BY66" s="12"/>
      <c r="CA66" s="12"/>
      <c r="EX66" s="10" t="str">
        <f t="shared" si="13"/>
        <v/>
      </c>
    </row>
    <row r="67" spans="1:154" s="67" customFormat="1" ht="6.6" customHeight="1" x14ac:dyDescent="0.25">
      <c r="D67" s="1"/>
      <c r="T67" s="335"/>
      <c r="U67" s="335"/>
      <c r="BM67" s="6"/>
      <c r="BY67" s="42"/>
      <c r="CA67" s="42"/>
      <c r="EX67" s="10" t="str">
        <f t="shared" si="13"/>
        <v/>
      </c>
    </row>
    <row r="68" spans="1:154" s="67" customFormat="1" x14ac:dyDescent="0.25">
      <c r="D68" s="5" t="s">
        <v>541</v>
      </c>
      <c r="E68" s="1"/>
      <c r="F68" s="5"/>
      <c r="T68" s="335"/>
      <c r="U68" s="335"/>
      <c r="BY68" s="12"/>
      <c r="CA68" s="12"/>
      <c r="EX68" s="10" t="str">
        <f t="shared" si="13"/>
        <v/>
      </c>
    </row>
    <row r="69" spans="1:154" s="67" customFormat="1" x14ac:dyDescent="0.25">
      <c r="B69" s="5"/>
      <c r="D69" s="5" t="str">
        <f>Loans!D$11</f>
        <v>Lender</v>
      </c>
      <c r="E69" s="5" t="s">
        <v>538</v>
      </c>
      <c r="F69" s="5" t="s">
        <v>539</v>
      </c>
      <c r="T69" s="335"/>
      <c r="U69" s="335"/>
      <c r="BY69" s="12"/>
      <c r="CA69" s="12"/>
      <c r="EX69" s="10" t="str">
        <f t="shared" si="13"/>
        <v/>
      </c>
    </row>
    <row r="70" spans="1:154" s="67" customFormat="1" x14ac:dyDescent="0.25">
      <c r="B70" s="67" t="str">
        <f ca="1">Loans!B$13</f>
        <v>Loan 1</v>
      </c>
      <c r="D70" s="62" t="str">
        <f>Loans!D$13</f>
        <v>NatWest</v>
      </c>
      <c r="E70" s="159" t="str">
        <f>IF(Loans!I$13=0, "", Loans!I$13)</f>
        <v/>
      </c>
      <c r="F70" s="159" t="str">
        <f>IF(Loans!J$13=0, "", Loans!J$13)</f>
        <v/>
      </c>
      <c r="T70" s="335"/>
      <c r="U70" s="335"/>
      <c r="AA70" s="45">
        <f>(Z70+AA47)*AA47</f>
        <v>0</v>
      </c>
      <c r="AB70" s="45">
        <f t="shared" ref="AB70:BJ70" si="74">(AA70+AB47)*AB47</f>
        <v>0</v>
      </c>
      <c r="AC70" s="45">
        <f t="shared" si="74"/>
        <v>0</v>
      </c>
      <c r="AD70" s="45">
        <f t="shared" si="74"/>
        <v>0</v>
      </c>
      <c r="AE70" s="45">
        <f t="shared" si="74"/>
        <v>0</v>
      </c>
      <c r="AF70" s="45">
        <f t="shared" si="74"/>
        <v>0</v>
      </c>
      <c r="AG70" s="45">
        <f t="shared" si="74"/>
        <v>0</v>
      </c>
      <c r="AH70" s="45">
        <f t="shared" si="74"/>
        <v>0</v>
      </c>
      <c r="AI70" s="45">
        <f t="shared" si="74"/>
        <v>0</v>
      </c>
      <c r="AJ70" s="45">
        <f t="shared" si="74"/>
        <v>0</v>
      </c>
      <c r="AK70" s="45">
        <f t="shared" si="74"/>
        <v>0</v>
      </c>
      <c r="AL70" s="45">
        <f t="shared" si="74"/>
        <v>0</v>
      </c>
      <c r="AM70" s="45">
        <f t="shared" si="74"/>
        <v>0</v>
      </c>
      <c r="AN70" s="45">
        <f t="shared" si="74"/>
        <v>0</v>
      </c>
      <c r="AO70" s="45">
        <f t="shared" si="74"/>
        <v>0</v>
      </c>
      <c r="AP70" s="45">
        <f t="shared" si="74"/>
        <v>0</v>
      </c>
      <c r="AQ70" s="45">
        <f t="shared" si="74"/>
        <v>0</v>
      </c>
      <c r="AR70" s="45">
        <f t="shared" si="74"/>
        <v>0</v>
      </c>
      <c r="AS70" s="45">
        <f t="shared" si="74"/>
        <v>0</v>
      </c>
      <c r="AT70" s="45">
        <f t="shared" si="74"/>
        <v>0</v>
      </c>
      <c r="AU70" s="45">
        <f t="shared" si="74"/>
        <v>0</v>
      </c>
      <c r="AV70" s="45">
        <f t="shared" si="74"/>
        <v>0</v>
      </c>
      <c r="AW70" s="45">
        <f t="shared" si="74"/>
        <v>0</v>
      </c>
      <c r="AX70" s="45">
        <f t="shared" si="74"/>
        <v>0</v>
      </c>
      <c r="AY70" s="45">
        <f t="shared" si="74"/>
        <v>0</v>
      </c>
      <c r="AZ70" s="45">
        <f t="shared" si="74"/>
        <v>0</v>
      </c>
      <c r="BA70" s="45">
        <f t="shared" si="74"/>
        <v>0</v>
      </c>
      <c r="BB70" s="45">
        <f t="shared" si="74"/>
        <v>0</v>
      </c>
      <c r="BC70" s="45">
        <f t="shared" si="74"/>
        <v>0</v>
      </c>
      <c r="BD70" s="45">
        <f t="shared" si="74"/>
        <v>0</v>
      </c>
      <c r="BE70" s="45">
        <f t="shared" si="74"/>
        <v>0</v>
      </c>
      <c r="BF70" s="45">
        <f t="shared" si="74"/>
        <v>0</v>
      </c>
      <c r="BG70" s="45">
        <f t="shared" si="74"/>
        <v>0</v>
      </c>
      <c r="BH70" s="45">
        <f t="shared" si="74"/>
        <v>0</v>
      </c>
      <c r="BI70" s="45">
        <f t="shared" si="74"/>
        <v>0</v>
      </c>
      <c r="BJ70" s="45">
        <f t="shared" si="74"/>
        <v>0</v>
      </c>
      <c r="BY70" s="12"/>
      <c r="CA70" s="12"/>
      <c r="EX70" s="10" t="str">
        <f t="shared" si="13"/>
        <v/>
      </c>
    </row>
    <row r="71" spans="1:154" s="67" customFormat="1" x14ac:dyDescent="0.25">
      <c r="B71" s="67" t="str">
        <f ca="1">Loans!B$14</f>
        <v>Loan 2</v>
      </c>
      <c r="D71" s="62" t="str">
        <f>Loans!D$14</f>
        <v>NatWest</v>
      </c>
      <c r="E71" s="159" t="str">
        <f>IF(Loans!I$14=0, "", Loans!I$14)</f>
        <v/>
      </c>
      <c r="F71" s="159" t="str">
        <f>IF(Loans!J$14=0, "", Loans!J$14)</f>
        <v/>
      </c>
      <c r="T71" s="335"/>
      <c r="U71" s="335"/>
      <c r="AA71" s="45">
        <f t="shared" ref="AA71:BJ71" si="75">(Z71+AA48)*AA48</f>
        <v>0</v>
      </c>
      <c r="AB71" s="45">
        <f t="shared" si="75"/>
        <v>0</v>
      </c>
      <c r="AC71" s="45">
        <f t="shared" si="75"/>
        <v>0</v>
      </c>
      <c r="AD71" s="45">
        <f t="shared" si="75"/>
        <v>0</v>
      </c>
      <c r="AE71" s="45">
        <f t="shared" si="75"/>
        <v>0</v>
      </c>
      <c r="AF71" s="45">
        <f t="shared" si="75"/>
        <v>0</v>
      </c>
      <c r="AG71" s="45">
        <f t="shared" si="75"/>
        <v>0</v>
      </c>
      <c r="AH71" s="45">
        <f t="shared" si="75"/>
        <v>0</v>
      </c>
      <c r="AI71" s="45">
        <f t="shared" si="75"/>
        <v>0</v>
      </c>
      <c r="AJ71" s="45">
        <f t="shared" si="75"/>
        <v>0</v>
      </c>
      <c r="AK71" s="45">
        <f t="shared" si="75"/>
        <v>0</v>
      </c>
      <c r="AL71" s="45">
        <f t="shared" si="75"/>
        <v>0</v>
      </c>
      <c r="AM71" s="45">
        <f t="shared" si="75"/>
        <v>0</v>
      </c>
      <c r="AN71" s="45">
        <f t="shared" si="75"/>
        <v>0</v>
      </c>
      <c r="AO71" s="45">
        <f t="shared" si="75"/>
        <v>0</v>
      </c>
      <c r="AP71" s="45">
        <f t="shared" si="75"/>
        <v>0</v>
      </c>
      <c r="AQ71" s="45">
        <f t="shared" si="75"/>
        <v>0</v>
      </c>
      <c r="AR71" s="45">
        <f t="shared" si="75"/>
        <v>0</v>
      </c>
      <c r="AS71" s="45">
        <f t="shared" si="75"/>
        <v>0</v>
      </c>
      <c r="AT71" s="45">
        <f t="shared" si="75"/>
        <v>0</v>
      </c>
      <c r="AU71" s="45">
        <f t="shared" si="75"/>
        <v>0</v>
      </c>
      <c r="AV71" s="45">
        <f t="shared" si="75"/>
        <v>0</v>
      </c>
      <c r="AW71" s="45">
        <f t="shared" si="75"/>
        <v>0</v>
      </c>
      <c r="AX71" s="45">
        <f t="shared" si="75"/>
        <v>0</v>
      </c>
      <c r="AY71" s="45">
        <f t="shared" si="75"/>
        <v>0</v>
      </c>
      <c r="AZ71" s="45">
        <f t="shared" si="75"/>
        <v>0</v>
      </c>
      <c r="BA71" s="45">
        <f t="shared" si="75"/>
        <v>0</v>
      </c>
      <c r="BB71" s="45">
        <f t="shared" si="75"/>
        <v>0</v>
      </c>
      <c r="BC71" s="45">
        <f t="shared" si="75"/>
        <v>0</v>
      </c>
      <c r="BD71" s="45">
        <f t="shared" si="75"/>
        <v>0</v>
      </c>
      <c r="BE71" s="45">
        <f t="shared" si="75"/>
        <v>0</v>
      </c>
      <c r="BF71" s="45">
        <f t="shared" si="75"/>
        <v>0</v>
      </c>
      <c r="BG71" s="45">
        <f t="shared" si="75"/>
        <v>0</v>
      </c>
      <c r="BH71" s="45">
        <f t="shared" si="75"/>
        <v>0</v>
      </c>
      <c r="BI71" s="45">
        <f t="shared" si="75"/>
        <v>0</v>
      </c>
      <c r="BJ71" s="45">
        <f t="shared" si="75"/>
        <v>0</v>
      </c>
      <c r="BY71" s="12"/>
      <c r="CA71" s="12"/>
      <c r="EX71" s="10" t="str">
        <f t="shared" si="13"/>
        <v/>
      </c>
    </row>
    <row r="72" spans="1:154" s="67" customFormat="1" x14ac:dyDescent="0.25">
      <c r="B72" s="67" t="str">
        <f ca="1">Loans!B$15</f>
        <v>Loan 3</v>
      </c>
      <c r="D72" s="62" t="str">
        <f>Loans!D$15</f>
        <v>NatWest</v>
      </c>
      <c r="E72" s="159" t="str">
        <f>IF(Loans!I$15=0, "", Loans!I$15)</f>
        <v/>
      </c>
      <c r="F72" s="159" t="str">
        <f>IF(Loans!J$15=0, "", Loans!J$15)</f>
        <v/>
      </c>
      <c r="T72" s="335"/>
      <c r="U72" s="335"/>
      <c r="AA72" s="45">
        <f t="shared" ref="AA72:BJ72" si="76">(Z72+AA49)*AA49</f>
        <v>0</v>
      </c>
      <c r="AB72" s="45">
        <f t="shared" si="76"/>
        <v>0</v>
      </c>
      <c r="AC72" s="45">
        <f t="shared" si="76"/>
        <v>0</v>
      </c>
      <c r="AD72" s="45">
        <f t="shared" si="76"/>
        <v>0</v>
      </c>
      <c r="AE72" s="45">
        <f t="shared" si="76"/>
        <v>0</v>
      </c>
      <c r="AF72" s="45">
        <f t="shared" si="76"/>
        <v>0</v>
      </c>
      <c r="AG72" s="45">
        <f t="shared" si="76"/>
        <v>0</v>
      </c>
      <c r="AH72" s="45">
        <f t="shared" si="76"/>
        <v>0</v>
      </c>
      <c r="AI72" s="45">
        <f t="shared" si="76"/>
        <v>0</v>
      </c>
      <c r="AJ72" s="45">
        <f t="shared" si="76"/>
        <v>0</v>
      </c>
      <c r="AK72" s="45">
        <f t="shared" si="76"/>
        <v>0</v>
      </c>
      <c r="AL72" s="45">
        <f t="shared" si="76"/>
        <v>0</v>
      </c>
      <c r="AM72" s="45">
        <f t="shared" si="76"/>
        <v>0</v>
      </c>
      <c r="AN72" s="45">
        <f t="shared" si="76"/>
        <v>0</v>
      </c>
      <c r="AO72" s="45">
        <f t="shared" si="76"/>
        <v>0</v>
      </c>
      <c r="AP72" s="45">
        <f t="shared" si="76"/>
        <v>0</v>
      </c>
      <c r="AQ72" s="45">
        <f t="shared" si="76"/>
        <v>0</v>
      </c>
      <c r="AR72" s="45">
        <f t="shared" si="76"/>
        <v>0</v>
      </c>
      <c r="AS72" s="45">
        <f t="shared" si="76"/>
        <v>0</v>
      </c>
      <c r="AT72" s="45">
        <f t="shared" si="76"/>
        <v>0</v>
      </c>
      <c r="AU72" s="45">
        <f t="shared" si="76"/>
        <v>0</v>
      </c>
      <c r="AV72" s="45">
        <f t="shared" si="76"/>
        <v>0</v>
      </c>
      <c r="AW72" s="45">
        <f t="shared" si="76"/>
        <v>0</v>
      </c>
      <c r="AX72" s="45">
        <f t="shared" si="76"/>
        <v>0</v>
      </c>
      <c r="AY72" s="45">
        <f t="shared" si="76"/>
        <v>0</v>
      </c>
      <c r="AZ72" s="45">
        <f t="shared" si="76"/>
        <v>0</v>
      </c>
      <c r="BA72" s="45">
        <f t="shared" si="76"/>
        <v>0</v>
      </c>
      <c r="BB72" s="45">
        <f t="shared" si="76"/>
        <v>0</v>
      </c>
      <c r="BC72" s="45">
        <f t="shared" si="76"/>
        <v>0</v>
      </c>
      <c r="BD72" s="45">
        <f t="shared" si="76"/>
        <v>0</v>
      </c>
      <c r="BE72" s="45">
        <f t="shared" si="76"/>
        <v>0</v>
      </c>
      <c r="BF72" s="45">
        <f t="shared" si="76"/>
        <v>0</v>
      </c>
      <c r="BG72" s="45">
        <f t="shared" si="76"/>
        <v>0</v>
      </c>
      <c r="BH72" s="45">
        <f t="shared" si="76"/>
        <v>0</v>
      </c>
      <c r="BI72" s="45">
        <f t="shared" si="76"/>
        <v>0</v>
      </c>
      <c r="BJ72" s="45">
        <f t="shared" si="76"/>
        <v>0</v>
      </c>
      <c r="BY72" s="12"/>
      <c r="CA72" s="12"/>
      <c r="EX72" s="10" t="str">
        <f t="shared" si="13"/>
        <v/>
      </c>
    </row>
    <row r="73" spans="1:154" s="67" customFormat="1" x14ac:dyDescent="0.25">
      <c r="B73" s="67" t="str">
        <f ca="1">Loans!B$16</f>
        <v>Loan 4</v>
      </c>
      <c r="D73" s="62" t="str">
        <f>Loans!D$16</f>
        <v>NatWest</v>
      </c>
      <c r="E73" s="159" t="str">
        <f>IF(Loans!I$16=0, "", Loans!I$16)</f>
        <v/>
      </c>
      <c r="F73" s="159" t="str">
        <f>IF(Loans!J$16=0, "", Loans!J$16)</f>
        <v/>
      </c>
      <c r="T73" s="335"/>
      <c r="U73" s="335"/>
      <c r="AA73" s="45">
        <f t="shared" ref="AA73:BJ73" si="77">(Z73+AA50)*AA50</f>
        <v>0</v>
      </c>
      <c r="AB73" s="45">
        <f t="shared" si="77"/>
        <v>0</v>
      </c>
      <c r="AC73" s="45">
        <f t="shared" si="77"/>
        <v>0</v>
      </c>
      <c r="AD73" s="45">
        <f t="shared" si="77"/>
        <v>0</v>
      </c>
      <c r="AE73" s="45">
        <f t="shared" si="77"/>
        <v>0</v>
      </c>
      <c r="AF73" s="45">
        <f t="shared" si="77"/>
        <v>0</v>
      </c>
      <c r="AG73" s="45">
        <f t="shared" si="77"/>
        <v>0</v>
      </c>
      <c r="AH73" s="45">
        <f t="shared" si="77"/>
        <v>0</v>
      </c>
      <c r="AI73" s="45">
        <f t="shared" si="77"/>
        <v>0</v>
      </c>
      <c r="AJ73" s="45">
        <f t="shared" si="77"/>
        <v>0</v>
      </c>
      <c r="AK73" s="45">
        <f t="shared" si="77"/>
        <v>0</v>
      </c>
      <c r="AL73" s="45">
        <f t="shared" si="77"/>
        <v>0</v>
      </c>
      <c r="AM73" s="45">
        <f t="shared" si="77"/>
        <v>0</v>
      </c>
      <c r="AN73" s="45">
        <f t="shared" si="77"/>
        <v>0</v>
      </c>
      <c r="AO73" s="45">
        <f t="shared" si="77"/>
        <v>0</v>
      </c>
      <c r="AP73" s="45">
        <f t="shared" si="77"/>
        <v>0</v>
      </c>
      <c r="AQ73" s="45">
        <f t="shared" si="77"/>
        <v>0</v>
      </c>
      <c r="AR73" s="45">
        <f t="shared" si="77"/>
        <v>0</v>
      </c>
      <c r="AS73" s="45">
        <f t="shared" si="77"/>
        <v>0</v>
      </c>
      <c r="AT73" s="45">
        <f t="shared" si="77"/>
        <v>0</v>
      </c>
      <c r="AU73" s="45">
        <f t="shared" si="77"/>
        <v>0</v>
      </c>
      <c r="AV73" s="45">
        <f t="shared" si="77"/>
        <v>0</v>
      </c>
      <c r="AW73" s="45">
        <f t="shared" si="77"/>
        <v>0</v>
      </c>
      <c r="AX73" s="45">
        <f t="shared" si="77"/>
        <v>0</v>
      </c>
      <c r="AY73" s="45">
        <f t="shared" si="77"/>
        <v>0</v>
      </c>
      <c r="AZ73" s="45">
        <f t="shared" si="77"/>
        <v>0</v>
      </c>
      <c r="BA73" s="45">
        <f t="shared" si="77"/>
        <v>0</v>
      </c>
      <c r="BB73" s="45">
        <f t="shared" si="77"/>
        <v>0</v>
      </c>
      <c r="BC73" s="45">
        <f t="shared" si="77"/>
        <v>0</v>
      </c>
      <c r="BD73" s="45">
        <f t="shared" si="77"/>
        <v>0</v>
      </c>
      <c r="BE73" s="45">
        <f t="shared" si="77"/>
        <v>0</v>
      </c>
      <c r="BF73" s="45">
        <f t="shared" si="77"/>
        <v>0</v>
      </c>
      <c r="BG73" s="45">
        <f t="shared" si="77"/>
        <v>0</v>
      </c>
      <c r="BH73" s="45">
        <f t="shared" si="77"/>
        <v>0</v>
      </c>
      <c r="BI73" s="45">
        <f t="shared" si="77"/>
        <v>0</v>
      </c>
      <c r="BJ73" s="45">
        <f t="shared" si="77"/>
        <v>0</v>
      </c>
      <c r="BY73" s="12"/>
      <c r="CA73" s="12"/>
      <c r="EX73" s="10" t="str">
        <f t="shared" si="13"/>
        <v/>
      </c>
    </row>
    <row r="74" spans="1:154" s="67" customFormat="1" x14ac:dyDescent="0.25">
      <c r="B74" s="67" t="str">
        <f ca="1">Loans!B$17</f>
        <v>Loan 5</v>
      </c>
      <c r="D74" s="62" t="str">
        <f>Loans!D$17</f>
        <v>NatWest</v>
      </c>
      <c r="E74" s="159" t="str">
        <f>IF(Loans!I$17=0, "", Loans!I$17)</f>
        <v/>
      </c>
      <c r="F74" s="159" t="str">
        <f>IF(Loans!J$17=0, "", Loans!J$17)</f>
        <v/>
      </c>
      <c r="T74" s="335"/>
      <c r="U74" s="335"/>
      <c r="AA74" s="45">
        <f t="shared" ref="AA74:BJ74" si="78">(Z74+AA51)*AA51</f>
        <v>0</v>
      </c>
      <c r="AB74" s="45">
        <f t="shared" si="78"/>
        <v>0</v>
      </c>
      <c r="AC74" s="45">
        <f t="shared" si="78"/>
        <v>0</v>
      </c>
      <c r="AD74" s="45">
        <f t="shared" si="78"/>
        <v>0</v>
      </c>
      <c r="AE74" s="45">
        <f t="shared" si="78"/>
        <v>0</v>
      </c>
      <c r="AF74" s="45">
        <f t="shared" si="78"/>
        <v>0</v>
      </c>
      <c r="AG74" s="45">
        <f t="shared" si="78"/>
        <v>0</v>
      </c>
      <c r="AH74" s="45">
        <f t="shared" si="78"/>
        <v>0</v>
      </c>
      <c r="AI74" s="45">
        <f t="shared" si="78"/>
        <v>0</v>
      </c>
      <c r="AJ74" s="45">
        <f t="shared" si="78"/>
        <v>0</v>
      </c>
      <c r="AK74" s="45">
        <f t="shared" si="78"/>
        <v>0</v>
      </c>
      <c r="AL74" s="45">
        <f t="shared" si="78"/>
        <v>0</v>
      </c>
      <c r="AM74" s="45">
        <f t="shared" si="78"/>
        <v>0</v>
      </c>
      <c r="AN74" s="45">
        <f t="shared" si="78"/>
        <v>0</v>
      </c>
      <c r="AO74" s="45">
        <f t="shared" si="78"/>
        <v>0</v>
      </c>
      <c r="AP74" s="45">
        <f t="shared" si="78"/>
        <v>0</v>
      </c>
      <c r="AQ74" s="45">
        <f t="shared" si="78"/>
        <v>0</v>
      </c>
      <c r="AR74" s="45">
        <f t="shared" si="78"/>
        <v>0</v>
      </c>
      <c r="AS74" s="45">
        <f t="shared" si="78"/>
        <v>0</v>
      </c>
      <c r="AT74" s="45">
        <f t="shared" si="78"/>
        <v>0</v>
      </c>
      <c r="AU74" s="45">
        <f t="shared" si="78"/>
        <v>0</v>
      </c>
      <c r="AV74" s="45">
        <f t="shared" si="78"/>
        <v>0</v>
      </c>
      <c r="AW74" s="45">
        <f t="shared" si="78"/>
        <v>0</v>
      </c>
      <c r="AX74" s="45">
        <f t="shared" si="78"/>
        <v>0</v>
      </c>
      <c r="AY74" s="45">
        <f t="shared" si="78"/>
        <v>0</v>
      </c>
      <c r="AZ74" s="45">
        <f t="shared" si="78"/>
        <v>0</v>
      </c>
      <c r="BA74" s="45">
        <f t="shared" si="78"/>
        <v>0</v>
      </c>
      <c r="BB74" s="45">
        <f t="shared" si="78"/>
        <v>0</v>
      </c>
      <c r="BC74" s="45">
        <f t="shared" si="78"/>
        <v>0</v>
      </c>
      <c r="BD74" s="45">
        <f t="shared" si="78"/>
        <v>0</v>
      </c>
      <c r="BE74" s="45">
        <f t="shared" si="78"/>
        <v>0</v>
      </c>
      <c r="BF74" s="45">
        <f t="shared" si="78"/>
        <v>0</v>
      </c>
      <c r="BG74" s="45">
        <f t="shared" si="78"/>
        <v>0</v>
      </c>
      <c r="BH74" s="45">
        <f t="shared" si="78"/>
        <v>0</v>
      </c>
      <c r="BI74" s="45">
        <f t="shared" si="78"/>
        <v>0</v>
      </c>
      <c r="BJ74" s="45">
        <f t="shared" si="78"/>
        <v>0</v>
      </c>
      <c r="BY74" s="12"/>
      <c r="CA74" s="12"/>
      <c r="EX74" s="10" t="str">
        <f t="shared" ref="EX74:EX137" si="79">IF($C74="","",$D74)</f>
        <v/>
      </c>
    </row>
    <row r="75" spans="1:154" s="67" customFormat="1" x14ac:dyDescent="0.25">
      <c r="B75" s="67" t="str">
        <f ca="1">Loans!B$18</f>
        <v>Loan 6</v>
      </c>
      <c r="D75" s="62">
        <f>Loans!D$18</f>
        <v>0</v>
      </c>
      <c r="E75" s="159" t="str">
        <f>IF(Loans!I$18=0, "", Loans!I$18)</f>
        <v/>
      </c>
      <c r="F75" s="159" t="str">
        <f>IF(Loans!J$18=0, "", Loans!J$18)</f>
        <v/>
      </c>
      <c r="T75" s="335"/>
      <c r="U75" s="335"/>
      <c r="AA75" s="45">
        <f t="shared" ref="AA75:BJ75" si="80">(Z75+AA52)*AA52</f>
        <v>0</v>
      </c>
      <c r="AB75" s="45">
        <f t="shared" si="80"/>
        <v>0</v>
      </c>
      <c r="AC75" s="45">
        <f t="shared" si="80"/>
        <v>0</v>
      </c>
      <c r="AD75" s="45">
        <f t="shared" si="80"/>
        <v>0</v>
      </c>
      <c r="AE75" s="45">
        <f t="shared" si="80"/>
        <v>0</v>
      </c>
      <c r="AF75" s="45">
        <f t="shared" si="80"/>
        <v>0</v>
      </c>
      <c r="AG75" s="45">
        <f t="shared" si="80"/>
        <v>0</v>
      </c>
      <c r="AH75" s="45">
        <f t="shared" si="80"/>
        <v>0</v>
      </c>
      <c r="AI75" s="45">
        <f t="shared" si="80"/>
        <v>0</v>
      </c>
      <c r="AJ75" s="45">
        <f t="shared" si="80"/>
        <v>0</v>
      </c>
      <c r="AK75" s="45">
        <f t="shared" si="80"/>
        <v>0</v>
      </c>
      <c r="AL75" s="45">
        <f t="shared" si="80"/>
        <v>0</v>
      </c>
      <c r="AM75" s="45">
        <f t="shared" si="80"/>
        <v>0</v>
      </c>
      <c r="AN75" s="45">
        <f t="shared" si="80"/>
        <v>0</v>
      </c>
      <c r="AO75" s="45">
        <f t="shared" si="80"/>
        <v>0</v>
      </c>
      <c r="AP75" s="45">
        <f t="shared" si="80"/>
        <v>0</v>
      </c>
      <c r="AQ75" s="45">
        <f t="shared" si="80"/>
        <v>0</v>
      </c>
      <c r="AR75" s="45">
        <f t="shared" si="80"/>
        <v>0</v>
      </c>
      <c r="AS75" s="45">
        <f t="shared" si="80"/>
        <v>0</v>
      </c>
      <c r="AT75" s="45">
        <f t="shared" si="80"/>
        <v>0</v>
      </c>
      <c r="AU75" s="45">
        <f t="shared" si="80"/>
        <v>0</v>
      </c>
      <c r="AV75" s="45">
        <f t="shared" si="80"/>
        <v>0</v>
      </c>
      <c r="AW75" s="45">
        <f t="shared" si="80"/>
        <v>0</v>
      </c>
      <c r="AX75" s="45">
        <f t="shared" si="80"/>
        <v>0</v>
      </c>
      <c r="AY75" s="45">
        <f t="shared" si="80"/>
        <v>0</v>
      </c>
      <c r="AZ75" s="45">
        <f t="shared" si="80"/>
        <v>0</v>
      </c>
      <c r="BA75" s="45">
        <f t="shared" si="80"/>
        <v>0</v>
      </c>
      <c r="BB75" s="45">
        <f t="shared" si="80"/>
        <v>0</v>
      </c>
      <c r="BC75" s="45">
        <f t="shared" si="80"/>
        <v>0</v>
      </c>
      <c r="BD75" s="45">
        <f t="shared" si="80"/>
        <v>0</v>
      </c>
      <c r="BE75" s="45">
        <f t="shared" si="80"/>
        <v>0</v>
      </c>
      <c r="BF75" s="45">
        <f t="shared" si="80"/>
        <v>0</v>
      </c>
      <c r="BG75" s="45">
        <f t="shared" si="80"/>
        <v>0</v>
      </c>
      <c r="BH75" s="45">
        <f t="shared" si="80"/>
        <v>0</v>
      </c>
      <c r="BI75" s="45">
        <f t="shared" si="80"/>
        <v>0</v>
      </c>
      <c r="BJ75" s="45">
        <f t="shared" si="80"/>
        <v>0</v>
      </c>
      <c r="BY75" s="12"/>
      <c r="CA75" s="12"/>
      <c r="EX75" s="10" t="str">
        <f t="shared" si="79"/>
        <v/>
      </c>
    </row>
    <row r="76" spans="1:154" s="5" customFormat="1" x14ac:dyDescent="0.25">
      <c r="A76" s="67"/>
      <c r="B76" s="67" t="str">
        <f ca="1">Loans!B$19</f>
        <v>Loan 7</v>
      </c>
      <c r="D76" s="62">
        <f>Loans!D$19</f>
        <v>0</v>
      </c>
      <c r="E76" s="159" t="str">
        <f>IF(Loans!I$19=0, "", Loans!I$19)</f>
        <v/>
      </c>
      <c r="F76" s="159" t="str">
        <f>IF(Loans!J$19=0, "", Loans!J$19)</f>
        <v/>
      </c>
      <c r="G76" s="67"/>
      <c r="H76" s="67"/>
      <c r="I76" s="67"/>
      <c r="J76" s="67"/>
      <c r="K76" s="67"/>
      <c r="N76" s="67"/>
      <c r="O76" s="67"/>
      <c r="P76" s="67"/>
      <c r="Q76" s="67"/>
      <c r="R76" s="67"/>
      <c r="S76" s="67"/>
      <c r="T76" s="335"/>
      <c r="U76" s="335"/>
      <c r="V76" s="67"/>
      <c r="W76" s="67"/>
      <c r="X76" s="67"/>
      <c r="Y76" s="67"/>
      <c r="Z76" s="67"/>
      <c r="AA76" s="45">
        <f t="shared" ref="AA76:BJ76" si="81">(Z76+AA53)*AA53</f>
        <v>0</v>
      </c>
      <c r="AB76" s="45">
        <f t="shared" si="81"/>
        <v>0</v>
      </c>
      <c r="AC76" s="45">
        <f t="shared" si="81"/>
        <v>0</v>
      </c>
      <c r="AD76" s="45">
        <f t="shared" si="81"/>
        <v>0</v>
      </c>
      <c r="AE76" s="45">
        <f t="shared" si="81"/>
        <v>0</v>
      </c>
      <c r="AF76" s="45">
        <f t="shared" si="81"/>
        <v>0</v>
      </c>
      <c r="AG76" s="45">
        <f t="shared" si="81"/>
        <v>0</v>
      </c>
      <c r="AH76" s="45">
        <f t="shared" si="81"/>
        <v>0</v>
      </c>
      <c r="AI76" s="45">
        <f t="shared" si="81"/>
        <v>0</v>
      </c>
      <c r="AJ76" s="45">
        <f t="shared" si="81"/>
        <v>0</v>
      </c>
      <c r="AK76" s="45">
        <f t="shared" si="81"/>
        <v>0</v>
      </c>
      <c r="AL76" s="45">
        <f t="shared" si="81"/>
        <v>0</v>
      </c>
      <c r="AM76" s="45">
        <f t="shared" si="81"/>
        <v>0</v>
      </c>
      <c r="AN76" s="45">
        <f t="shared" si="81"/>
        <v>0</v>
      </c>
      <c r="AO76" s="45">
        <f t="shared" si="81"/>
        <v>0</v>
      </c>
      <c r="AP76" s="45">
        <f t="shared" si="81"/>
        <v>0</v>
      </c>
      <c r="AQ76" s="45">
        <f t="shared" si="81"/>
        <v>0</v>
      </c>
      <c r="AR76" s="45">
        <f t="shared" si="81"/>
        <v>0</v>
      </c>
      <c r="AS76" s="45">
        <f t="shared" si="81"/>
        <v>0</v>
      </c>
      <c r="AT76" s="45">
        <f t="shared" si="81"/>
        <v>0</v>
      </c>
      <c r="AU76" s="45">
        <f t="shared" si="81"/>
        <v>0</v>
      </c>
      <c r="AV76" s="45">
        <f t="shared" si="81"/>
        <v>0</v>
      </c>
      <c r="AW76" s="45">
        <f t="shared" si="81"/>
        <v>0</v>
      </c>
      <c r="AX76" s="45">
        <f t="shared" si="81"/>
        <v>0</v>
      </c>
      <c r="AY76" s="45">
        <f t="shared" si="81"/>
        <v>0</v>
      </c>
      <c r="AZ76" s="45">
        <f t="shared" si="81"/>
        <v>0</v>
      </c>
      <c r="BA76" s="45">
        <f t="shared" si="81"/>
        <v>0</v>
      </c>
      <c r="BB76" s="45">
        <f t="shared" si="81"/>
        <v>0</v>
      </c>
      <c r="BC76" s="45">
        <f t="shared" si="81"/>
        <v>0</v>
      </c>
      <c r="BD76" s="45">
        <f t="shared" si="81"/>
        <v>0</v>
      </c>
      <c r="BE76" s="45">
        <f t="shared" si="81"/>
        <v>0</v>
      </c>
      <c r="BF76" s="45">
        <f t="shared" si="81"/>
        <v>0</v>
      </c>
      <c r="BG76" s="45">
        <f t="shared" si="81"/>
        <v>0</v>
      </c>
      <c r="BH76" s="45">
        <f t="shared" si="81"/>
        <v>0</v>
      </c>
      <c r="BI76" s="45">
        <f t="shared" si="81"/>
        <v>0</v>
      </c>
      <c r="BJ76" s="45">
        <f t="shared" si="81"/>
        <v>0</v>
      </c>
      <c r="BK76" s="67"/>
      <c r="BL76" s="67"/>
      <c r="BM76" s="67"/>
      <c r="BN76" s="67"/>
      <c r="BO76" s="67"/>
      <c r="BP76" s="67"/>
      <c r="BQ76" s="67"/>
      <c r="BR76" s="67"/>
      <c r="BS76" s="67"/>
      <c r="BT76" s="67"/>
      <c r="BU76" s="67"/>
      <c r="BV76" s="67"/>
      <c r="BW76" s="67"/>
      <c r="BX76" s="67"/>
      <c r="BY76" s="12"/>
      <c r="BZ76" s="67"/>
      <c r="CA76" s="12"/>
      <c r="EX76" s="10" t="str">
        <f t="shared" si="79"/>
        <v/>
      </c>
    </row>
    <row r="77" spans="1:154" s="67" customFormat="1" x14ac:dyDescent="0.25">
      <c r="B77" s="67" t="str">
        <f ca="1">Loans!B$20</f>
        <v>Loan 8</v>
      </c>
      <c r="D77" s="62">
        <f>Loans!D$20</f>
        <v>0</v>
      </c>
      <c r="E77" s="159" t="str">
        <f>IF(Loans!I$20=0, "", Loans!I$20)</f>
        <v/>
      </c>
      <c r="F77" s="159" t="str">
        <f>IF(Loans!J$20=0, "", Loans!J$20)</f>
        <v/>
      </c>
      <c r="T77" s="335"/>
      <c r="U77" s="335"/>
      <c r="AA77" s="45">
        <f t="shared" ref="AA77:BJ77" si="82">(Z77+AA54)*AA54</f>
        <v>0</v>
      </c>
      <c r="AB77" s="45">
        <f t="shared" si="82"/>
        <v>0</v>
      </c>
      <c r="AC77" s="45">
        <f t="shared" si="82"/>
        <v>0</v>
      </c>
      <c r="AD77" s="45">
        <f t="shared" si="82"/>
        <v>0</v>
      </c>
      <c r="AE77" s="45">
        <f t="shared" si="82"/>
        <v>0</v>
      </c>
      <c r="AF77" s="45">
        <f t="shared" si="82"/>
        <v>0</v>
      </c>
      <c r="AG77" s="45">
        <f t="shared" si="82"/>
        <v>0</v>
      </c>
      <c r="AH77" s="45">
        <f t="shared" si="82"/>
        <v>0</v>
      </c>
      <c r="AI77" s="45">
        <f t="shared" si="82"/>
        <v>0</v>
      </c>
      <c r="AJ77" s="45">
        <f t="shared" si="82"/>
        <v>0</v>
      </c>
      <c r="AK77" s="45">
        <f t="shared" si="82"/>
        <v>0</v>
      </c>
      <c r="AL77" s="45">
        <f t="shared" si="82"/>
        <v>0</v>
      </c>
      <c r="AM77" s="45">
        <f t="shared" si="82"/>
        <v>0</v>
      </c>
      <c r="AN77" s="45">
        <f t="shared" si="82"/>
        <v>0</v>
      </c>
      <c r="AO77" s="45">
        <f t="shared" si="82"/>
        <v>0</v>
      </c>
      <c r="AP77" s="45">
        <f t="shared" si="82"/>
        <v>0</v>
      </c>
      <c r="AQ77" s="45">
        <f t="shared" si="82"/>
        <v>0</v>
      </c>
      <c r="AR77" s="45">
        <f t="shared" si="82"/>
        <v>0</v>
      </c>
      <c r="AS77" s="45">
        <f t="shared" si="82"/>
        <v>0</v>
      </c>
      <c r="AT77" s="45">
        <f t="shared" si="82"/>
        <v>0</v>
      </c>
      <c r="AU77" s="45">
        <f t="shared" si="82"/>
        <v>0</v>
      </c>
      <c r="AV77" s="45">
        <f t="shared" si="82"/>
        <v>0</v>
      </c>
      <c r="AW77" s="45">
        <f t="shared" si="82"/>
        <v>0</v>
      </c>
      <c r="AX77" s="45">
        <f t="shared" si="82"/>
        <v>0</v>
      </c>
      <c r="AY77" s="45">
        <f t="shared" si="82"/>
        <v>0</v>
      </c>
      <c r="AZ77" s="45">
        <f t="shared" si="82"/>
        <v>0</v>
      </c>
      <c r="BA77" s="45">
        <f t="shared" si="82"/>
        <v>0</v>
      </c>
      <c r="BB77" s="45">
        <f t="shared" si="82"/>
        <v>0</v>
      </c>
      <c r="BC77" s="45">
        <f t="shared" si="82"/>
        <v>0</v>
      </c>
      <c r="BD77" s="45">
        <f t="shared" si="82"/>
        <v>0</v>
      </c>
      <c r="BE77" s="45">
        <f t="shared" si="82"/>
        <v>0</v>
      </c>
      <c r="BF77" s="45">
        <f t="shared" si="82"/>
        <v>0</v>
      </c>
      <c r="BG77" s="45">
        <f t="shared" si="82"/>
        <v>0</v>
      </c>
      <c r="BH77" s="45">
        <f t="shared" si="82"/>
        <v>0</v>
      </c>
      <c r="BI77" s="45">
        <f t="shared" si="82"/>
        <v>0</v>
      </c>
      <c r="BJ77" s="45">
        <f t="shared" si="82"/>
        <v>0</v>
      </c>
      <c r="BY77" s="12"/>
      <c r="CA77" s="12"/>
      <c r="EX77" s="10" t="str">
        <f t="shared" si="79"/>
        <v/>
      </c>
    </row>
    <row r="78" spans="1:154" s="67" customFormat="1" x14ac:dyDescent="0.25">
      <c r="B78" s="67" t="str">
        <f ca="1">Loans!B$21</f>
        <v>Loan 9</v>
      </c>
      <c r="D78" s="62">
        <f>Loans!D$21</f>
        <v>0</v>
      </c>
      <c r="E78" s="159" t="str">
        <f>IF(Loans!I$21=0, "", Loans!I$21)</f>
        <v/>
      </c>
      <c r="F78" s="159" t="str">
        <f>IF(Loans!J$21=0, "", Loans!J$21)</f>
        <v/>
      </c>
      <c r="T78" s="335"/>
      <c r="U78" s="335"/>
      <c r="AA78" s="45">
        <f t="shared" ref="AA78:BJ78" si="83">(Z78+AA55)*AA55</f>
        <v>0</v>
      </c>
      <c r="AB78" s="45">
        <f t="shared" si="83"/>
        <v>0</v>
      </c>
      <c r="AC78" s="45">
        <f t="shared" si="83"/>
        <v>0</v>
      </c>
      <c r="AD78" s="45">
        <f t="shared" si="83"/>
        <v>0</v>
      </c>
      <c r="AE78" s="45">
        <f t="shared" si="83"/>
        <v>0</v>
      </c>
      <c r="AF78" s="45">
        <f t="shared" si="83"/>
        <v>0</v>
      </c>
      <c r="AG78" s="45">
        <f t="shared" si="83"/>
        <v>0</v>
      </c>
      <c r="AH78" s="45">
        <f t="shared" si="83"/>
        <v>0</v>
      </c>
      <c r="AI78" s="45">
        <f t="shared" si="83"/>
        <v>0</v>
      </c>
      <c r="AJ78" s="45">
        <f t="shared" si="83"/>
        <v>0</v>
      </c>
      <c r="AK78" s="45">
        <f t="shared" si="83"/>
        <v>0</v>
      </c>
      <c r="AL78" s="45">
        <f t="shared" si="83"/>
        <v>0</v>
      </c>
      <c r="AM78" s="45">
        <f t="shared" si="83"/>
        <v>0</v>
      </c>
      <c r="AN78" s="45">
        <f t="shared" si="83"/>
        <v>0</v>
      </c>
      <c r="AO78" s="45">
        <f t="shared" si="83"/>
        <v>0</v>
      </c>
      <c r="AP78" s="45">
        <f t="shared" si="83"/>
        <v>0</v>
      </c>
      <c r="AQ78" s="45">
        <f t="shared" si="83"/>
        <v>0</v>
      </c>
      <c r="AR78" s="45">
        <f t="shared" si="83"/>
        <v>0</v>
      </c>
      <c r="AS78" s="45">
        <f t="shared" si="83"/>
        <v>0</v>
      </c>
      <c r="AT78" s="45">
        <f t="shared" si="83"/>
        <v>0</v>
      </c>
      <c r="AU78" s="45">
        <f t="shared" si="83"/>
        <v>0</v>
      </c>
      <c r="AV78" s="45">
        <f t="shared" si="83"/>
        <v>0</v>
      </c>
      <c r="AW78" s="45">
        <f t="shared" si="83"/>
        <v>0</v>
      </c>
      <c r="AX78" s="45">
        <f t="shared" si="83"/>
        <v>0</v>
      </c>
      <c r="AY78" s="45">
        <f t="shared" si="83"/>
        <v>0</v>
      </c>
      <c r="AZ78" s="45">
        <f t="shared" si="83"/>
        <v>0</v>
      </c>
      <c r="BA78" s="45">
        <f t="shared" si="83"/>
        <v>0</v>
      </c>
      <c r="BB78" s="45">
        <f t="shared" si="83"/>
        <v>0</v>
      </c>
      <c r="BC78" s="45">
        <f t="shared" si="83"/>
        <v>0</v>
      </c>
      <c r="BD78" s="45">
        <f t="shared" si="83"/>
        <v>0</v>
      </c>
      <c r="BE78" s="45">
        <f t="shared" si="83"/>
        <v>0</v>
      </c>
      <c r="BF78" s="45">
        <f t="shared" si="83"/>
        <v>0</v>
      </c>
      <c r="BG78" s="45">
        <f t="shared" si="83"/>
        <v>0</v>
      </c>
      <c r="BH78" s="45">
        <f t="shared" si="83"/>
        <v>0</v>
      </c>
      <c r="BI78" s="45">
        <f t="shared" si="83"/>
        <v>0</v>
      </c>
      <c r="BJ78" s="45">
        <f t="shared" si="83"/>
        <v>0</v>
      </c>
      <c r="BY78" s="12"/>
      <c r="CA78" s="12"/>
      <c r="EX78" s="10" t="str">
        <f t="shared" si="79"/>
        <v/>
      </c>
    </row>
    <row r="79" spans="1:154" s="67" customFormat="1" x14ac:dyDescent="0.25">
      <c r="B79" s="67" t="str">
        <f ca="1">Loans!B$22</f>
        <v>Loan 10</v>
      </c>
      <c r="D79" s="62">
        <f>Loans!D$22</f>
        <v>0</v>
      </c>
      <c r="E79" s="159" t="str">
        <f>IF(Loans!I$22=0, "", Loans!I$22)</f>
        <v/>
      </c>
      <c r="F79" s="159" t="str">
        <f>IF(Loans!J$22=0, "", Loans!J$22)</f>
        <v/>
      </c>
      <c r="T79" s="335"/>
      <c r="U79" s="335"/>
      <c r="AA79" s="45">
        <f t="shared" ref="AA79:BJ79" si="84">(Z79+AA56)*AA56</f>
        <v>0</v>
      </c>
      <c r="AB79" s="45">
        <f t="shared" si="84"/>
        <v>0</v>
      </c>
      <c r="AC79" s="45">
        <f t="shared" si="84"/>
        <v>0</v>
      </c>
      <c r="AD79" s="45">
        <f t="shared" si="84"/>
        <v>0</v>
      </c>
      <c r="AE79" s="45">
        <f t="shared" si="84"/>
        <v>0</v>
      </c>
      <c r="AF79" s="45">
        <f t="shared" si="84"/>
        <v>0</v>
      </c>
      <c r="AG79" s="45">
        <f t="shared" si="84"/>
        <v>0</v>
      </c>
      <c r="AH79" s="45">
        <f t="shared" si="84"/>
        <v>0</v>
      </c>
      <c r="AI79" s="45">
        <f t="shared" si="84"/>
        <v>0</v>
      </c>
      <c r="AJ79" s="45">
        <f t="shared" si="84"/>
        <v>0</v>
      </c>
      <c r="AK79" s="45">
        <f t="shared" si="84"/>
        <v>0</v>
      </c>
      <c r="AL79" s="45">
        <f t="shared" si="84"/>
        <v>0</v>
      </c>
      <c r="AM79" s="45">
        <f t="shared" si="84"/>
        <v>0</v>
      </c>
      <c r="AN79" s="45">
        <f t="shared" si="84"/>
        <v>0</v>
      </c>
      <c r="AO79" s="45">
        <f t="shared" si="84"/>
        <v>0</v>
      </c>
      <c r="AP79" s="45">
        <f t="shared" si="84"/>
        <v>0</v>
      </c>
      <c r="AQ79" s="45">
        <f t="shared" si="84"/>
        <v>0</v>
      </c>
      <c r="AR79" s="45">
        <f t="shared" si="84"/>
        <v>0</v>
      </c>
      <c r="AS79" s="45">
        <f t="shared" si="84"/>
        <v>0</v>
      </c>
      <c r="AT79" s="45">
        <f t="shared" si="84"/>
        <v>0</v>
      </c>
      <c r="AU79" s="45">
        <f t="shared" si="84"/>
        <v>0</v>
      </c>
      <c r="AV79" s="45">
        <f t="shared" si="84"/>
        <v>0</v>
      </c>
      <c r="AW79" s="45">
        <f t="shared" si="84"/>
        <v>0</v>
      </c>
      <c r="AX79" s="45">
        <f t="shared" si="84"/>
        <v>0</v>
      </c>
      <c r="AY79" s="45">
        <f t="shared" si="84"/>
        <v>0</v>
      </c>
      <c r="AZ79" s="45">
        <f t="shared" si="84"/>
        <v>0</v>
      </c>
      <c r="BA79" s="45">
        <f t="shared" si="84"/>
        <v>0</v>
      </c>
      <c r="BB79" s="45">
        <f t="shared" si="84"/>
        <v>0</v>
      </c>
      <c r="BC79" s="45">
        <f t="shared" si="84"/>
        <v>0</v>
      </c>
      <c r="BD79" s="45">
        <f t="shared" si="84"/>
        <v>0</v>
      </c>
      <c r="BE79" s="45">
        <f t="shared" si="84"/>
        <v>0</v>
      </c>
      <c r="BF79" s="45">
        <f t="shared" si="84"/>
        <v>0</v>
      </c>
      <c r="BG79" s="45">
        <f t="shared" si="84"/>
        <v>0</v>
      </c>
      <c r="BH79" s="45">
        <f t="shared" si="84"/>
        <v>0</v>
      </c>
      <c r="BI79" s="45">
        <f t="shared" si="84"/>
        <v>0</v>
      </c>
      <c r="BJ79" s="45">
        <f t="shared" si="84"/>
        <v>0</v>
      </c>
      <c r="BY79" s="12"/>
      <c r="CA79" s="12"/>
      <c r="EX79" s="10" t="str">
        <f t="shared" si="79"/>
        <v/>
      </c>
    </row>
    <row r="80" spans="1:154" s="67" customFormat="1" x14ac:dyDescent="0.25">
      <c r="B80" s="67" t="str">
        <f ca="1">Loans!B$23</f>
        <v>Loan 11</v>
      </c>
      <c r="D80" s="62">
        <f>Loans!D$23</f>
        <v>0</v>
      </c>
      <c r="E80" s="159" t="str">
        <f>IF(Loans!I$23=0, "", Loans!I$23)</f>
        <v/>
      </c>
      <c r="F80" s="159" t="str">
        <f>IF(Loans!J$23=0, "", Loans!J$23)</f>
        <v/>
      </c>
      <c r="T80" s="335"/>
      <c r="U80" s="335"/>
      <c r="AA80" s="45">
        <f t="shared" ref="AA80:BJ80" si="85">(Z80+AA57)*AA57</f>
        <v>0</v>
      </c>
      <c r="AB80" s="45">
        <f t="shared" si="85"/>
        <v>0</v>
      </c>
      <c r="AC80" s="45">
        <f t="shared" si="85"/>
        <v>0</v>
      </c>
      <c r="AD80" s="45">
        <f t="shared" si="85"/>
        <v>0</v>
      </c>
      <c r="AE80" s="45">
        <f t="shared" si="85"/>
        <v>0</v>
      </c>
      <c r="AF80" s="45">
        <f t="shared" si="85"/>
        <v>0</v>
      </c>
      <c r="AG80" s="45">
        <f t="shared" si="85"/>
        <v>0</v>
      </c>
      <c r="AH80" s="45">
        <f t="shared" si="85"/>
        <v>0</v>
      </c>
      <c r="AI80" s="45">
        <f t="shared" si="85"/>
        <v>0</v>
      </c>
      <c r="AJ80" s="45">
        <f t="shared" si="85"/>
        <v>0</v>
      </c>
      <c r="AK80" s="45">
        <f t="shared" si="85"/>
        <v>0</v>
      </c>
      <c r="AL80" s="45">
        <f t="shared" si="85"/>
        <v>0</v>
      </c>
      <c r="AM80" s="45">
        <f t="shared" si="85"/>
        <v>0</v>
      </c>
      <c r="AN80" s="45">
        <f t="shared" si="85"/>
        <v>0</v>
      </c>
      <c r="AO80" s="45">
        <f t="shared" si="85"/>
        <v>0</v>
      </c>
      <c r="AP80" s="45">
        <f t="shared" si="85"/>
        <v>0</v>
      </c>
      <c r="AQ80" s="45">
        <f t="shared" si="85"/>
        <v>0</v>
      </c>
      <c r="AR80" s="45">
        <f t="shared" si="85"/>
        <v>0</v>
      </c>
      <c r="AS80" s="45">
        <f t="shared" si="85"/>
        <v>0</v>
      </c>
      <c r="AT80" s="45">
        <f t="shared" si="85"/>
        <v>0</v>
      </c>
      <c r="AU80" s="45">
        <f t="shared" si="85"/>
        <v>0</v>
      </c>
      <c r="AV80" s="45">
        <f t="shared" si="85"/>
        <v>0</v>
      </c>
      <c r="AW80" s="45">
        <f t="shared" si="85"/>
        <v>0</v>
      </c>
      <c r="AX80" s="45">
        <f t="shared" si="85"/>
        <v>0</v>
      </c>
      <c r="AY80" s="45">
        <f t="shared" si="85"/>
        <v>0</v>
      </c>
      <c r="AZ80" s="45">
        <f t="shared" si="85"/>
        <v>0</v>
      </c>
      <c r="BA80" s="45">
        <f t="shared" si="85"/>
        <v>0</v>
      </c>
      <c r="BB80" s="45">
        <f t="shared" si="85"/>
        <v>0</v>
      </c>
      <c r="BC80" s="45">
        <f t="shared" si="85"/>
        <v>0</v>
      </c>
      <c r="BD80" s="45">
        <f t="shared" si="85"/>
        <v>0</v>
      </c>
      <c r="BE80" s="45">
        <f t="shared" si="85"/>
        <v>0</v>
      </c>
      <c r="BF80" s="45">
        <f t="shared" si="85"/>
        <v>0</v>
      </c>
      <c r="BG80" s="45">
        <f t="shared" si="85"/>
        <v>0</v>
      </c>
      <c r="BH80" s="45">
        <f t="shared" si="85"/>
        <v>0</v>
      </c>
      <c r="BI80" s="45">
        <f t="shared" si="85"/>
        <v>0</v>
      </c>
      <c r="BJ80" s="45">
        <f t="shared" si="85"/>
        <v>0</v>
      </c>
      <c r="BY80" s="12"/>
      <c r="CA80" s="12"/>
      <c r="EX80" s="10" t="str">
        <f t="shared" si="79"/>
        <v/>
      </c>
    </row>
    <row r="81" spans="2:154" s="67" customFormat="1" x14ac:dyDescent="0.25">
      <c r="B81" s="67" t="str">
        <f ca="1">Loans!B$24</f>
        <v>Loan 12</v>
      </c>
      <c r="D81" s="62">
        <f>Loans!D$24</f>
        <v>0</v>
      </c>
      <c r="E81" s="159" t="str">
        <f>IF(Loans!I$24=0, "", Loans!I$24)</f>
        <v/>
      </c>
      <c r="F81" s="159" t="str">
        <f>IF(Loans!J$24=0, "", Loans!J$24)</f>
        <v/>
      </c>
      <c r="T81" s="335"/>
      <c r="U81" s="335"/>
      <c r="AA81" s="45">
        <f t="shared" ref="AA81:BJ81" si="86">(Z81+AA58)*AA58</f>
        <v>0</v>
      </c>
      <c r="AB81" s="45">
        <f t="shared" si="86"/>
        <v>0</v>
      </c>
      <c r="AC81" s="45">
        <f t="shared" si="86"/>
        <v>0</v>
      </c>
      <c r="AD81" s="45">
        <f t="shared" si="86"/>
        <v>0</v>
      </c>
      <c r="AE81" s="45">
        <f t="shared" si="86"/>
        <v>0</v>
      </c>
      <c r="AF81" s="45">
        <f t="shared" si="86"/>
        <v>0</v>
      </c>
      <c r="AG81" s="45">
        <f t="shared" si="86"/>
        <v>0</v>
      </c>
      <c r="AH81" s="45">
        <f t="shared" si="86"/>
        <v>0</v>
      </c>
      <c r="AI81" s="45">
        <f t="shared" si="86"/>
        <v>0</v>
      </c>
      <c r="AJ81" s="45">
        <f t="shared" si="86"/>
        <v>0</v>
      </c>
      <c r="AK81" s="45">
        <f t="shared" si="86"/>
        <v>0</v>
      </c>
      <c r="AL81" s="45">
        <f t="shared" si="86"/>
        <v>0</v>
      </c>
      <c r="AM81" s="45">
        <f t="shared" si="86"/>
        <v>0</v>
      </c>
      <c r="AN81" s="45">
        <f t="shared" si="86"/>
        <v>0</v>
      </c>
      <c r="AO81" s="45">
        <f t="shared" si="86"/>
        <v>0</v>
      </c>
      <c r="AP81" s="45">
        <f t="shared" si="86"/>
        <v>0</v>
      </c>
      <c r="AQ81" s="45">
        <f t="shared" si="86"/>
        <v>0</v>
      </c>
      <c r="AR81" s="45">
        <f t="shared" si="86"/>
        <v>0</v>
      </c>
      <c r="AS81" s="45">
        <f t="shared" si="86"/>
        <v>0</v>
      </c>
      <c r="AT81" s="45">
        <f t="shared" si="86"/>
        <v>0</v>
      </c>
      <c r="AU81" s="45">
        <f t="shared" si="86"/>
        <v>0</v>
      </c>
      <c r="AV81" s="45">
        <f t="shared" si="86"/>
        <v>0</v>
      </c>
      <c r="AW81" s="45">
        <f t="shared" si="86"/>
        <v>0</v>
      </c>
      <c r="AX81" s="45">
        <f t="shared" si="86"/>
        <v>0</v>
      </c>
      <c r="AY81" s="45">
        <f t="shared" si="86"/>
        <v>0</v>
      </c>
      <c r="AZ81" s="45">
        <f t="shared" si="86"/>
        <v>0</v>
      </c>
      <c r="BA81" s="45">
        <f t="shared" si="86"/>
        <v>0</v>
      </c>
      <c r="BB81" s="45">
        <f t="shared" si="86"/>
        <v>0</v>
      </c>
      <c r="BC81" s="45">
        <f t="shared" si="86"/>
        <v>0</v>
      </c>
      <c r="BD81" s="45">
        <f t="shared" si="86"/>
        <v>0</v>
      </c>
      <c r="BE81" s="45">
        <f t="shared" si="86"/>
        <v>0</v>
      </c>
      <c r="BF81" s="45">
        <f t="shared" si="86"/>
        <v>0</v>
      </c>
      <c r="BG81" s="45">
        <f t="shared" si="86"/>
        <v>0</v>
      </c>
      <c r="BH81" s="45">
        <f t="shared" si="86"/>
        <v>0</v>
      </c>
      <c r="BI81" s="45">
        <f t="shared" si="86"/>
        <v>0</v>
      </c>
      <c r="BJ81" s="45">
        <f t="shared" si="86"/>
        <v>0</v>
      </c>
      <c r="BY81" s="12"/>
      <c r="CA81" s="12"/>
      <c r="EX81" s="10" t="str">
        <f t="shared" si="79"/>
        <v/>
      </c>
    </row>
    <row r="82" spans="2:154" s="67" customFormat="1" x14ac:dyDescent="0.25">
      <c r="B82" s="67" t="str">
        <f ca="1">Loans!B$25</f>
        <v>Loan 13</v>
      </c>
      <c r="D82" s="62">
        <f>Loans!D$25</f>
        <v>0</v>
      </c>
      <c r="E82" s="159" t="str">
        <f>IF(Loans!I$25=0, "", Loans!I$25)</f>
        <v/>
      </c>
      <c r="F82" s="159" t="str">
        <f>IF(Loans!J$25=0, "", Loans!J$25)</f>
        <v/>
      </c>
      <c r="T82" s="335"/>
      <c r="U82" s="335"/>
      <c r="AA82" s="45">
        <f t="shared" ref="AA82:BJ82" si="87">(Z82+AA59)*AA59</f>
        <v>0</v>
      </c>
      <c r="AB82" s="45">
        <f t="shared" si="87"/>
        <v>0</v>
      </c>
      <c r="AC82" s="45">
        <f t="shared" si="87"/>
        <v>0</v>
      </c>
      <c r="AD82" s="45">
        <f t="shared" si="87"/>
        <v>0</v>
      </c>
      <c r="AE82" s="45">
        <f t="shared" si="87"/>
        <v>0</v>
      </c>
      <c r="AF82" s="45">
        <f t="shared" si="87"/>
        <v>0</v>
      </c>
      <c r="AG82" s="45">
        <f t="shared" si="87"/>
        <v>0</v>
      </c>
      <c r="AH82" s="45">
        <f t="shared" si="87"/>
        <v>0</v>
      </c>
      <c r="AI82" s="45">
        <f t="shared" si="87"/>
        <v>0</v>
      </c>
      <c r="AJ82" s="45">
        <f t="shared" si="87"/>
        <v>0</v>
      </c>
      <c r="AK82" s="45">
        <f t="shared" si="87"/>
        <v>0</v>
      </c>
      <c r="AL82" s="45">
        <f t="shared" si="87"/>
        <v>0</v>
      </c>
      <c r="AM82" s="45">
        <f t="shared" si="87"/>
        <v>0</v>
      </c>
      <c r="AN82" s="45">
        <f t="shared" si="87"/>
        <v>0</v>
      </c>
      <c r="AO82" s="45">
        <f t="shared" si="87"/>
        <v>0</v>
      </c>
      <c r="AP82" s="45">
        <f t="shared" si="87"/>
        <v>0</v>
      </c>
      <c r="AQ82" s="45">
        <f t="shared" si="87"/>
        <v>0</v>
      </c>
      <c r="AR82" s="45">
        <f t="shared" si="87"/>
        <v>0</v>
      </c>
      <c r="AS82" s="45">
        <f t="shared" si="87"/>
        <v>0</v>
      </c>
      <c r="AT82" s="45">
        <f t="shared" si="87"/>
        <v>0</v>
      </c>
      <c r="AU82" s="45">
        <f t="shared" si="87"/>
        <v>0</v>
      </c>
      <c r="AV82" s="45">
        <f t="shared" si="87"/>
        <v>0</v>
      </c>
      <c r="AW82" s="45">
        <f t="shared" si="87"/>
        <v>0</v>
      </c>
      <c r="AX82" s="45">
        <f t="shared" si="87"/>
        <v>0</v>
      </c>
      <c r="AY82" s="45">
        <f t="shared" si="87"/>
        <v>0</v>
      </c>
      <c r="AZ82" s="45">
        <f t="shared" si="87"/>
        <v>0</v>
      </c>
      <c r="BA82" s="45">
        <f t="shared" si="87"/>
        <v>0</v>
      </c>
      <c r="BB82" s="45">
        <f t="shared" si="87"/>
        <v>0</v>
      </c>
      <c r="BC82" s="45">
        <f t="shared" si="87"/>
        <v>0</v>
      </c>
      <c r="BD82" s="45">
        <f t="shared" si="87"/>
        <v>0</v>
      </c>
      <c r="BE82" s="45">
        <f t="shared" si="87"/>
        <v>0</v>
      </c>
      <c r="BF82" s="45">
        <f t="shared" si="87"/>
        <v>0</v>
      </c>
      <c r="BG82" s="45">
        <f t="shared" si="87"/>
        <v>0</v>
      </c>
      <c r="BH82" s="45">
        <f t="shared" si="87"/>
        <v>0</v>
      </c>
      <c r="BI82" s="45">
        <f t="shared" si="87"/>
        <v>0</v>
      </c>
      <c r="BJ82" s="45">
        <f t="shared" si="87"/>
        <v>0</v>
      </c>
      <c r="BY82" s="12"/>
      <c r="CA82" s="12"/>
      <c r="EX82" s="10" t="str">
        <f t="shared" si="79"/>
        <v/>
      </c>
    </row>
    <row r="83" spans="2:154" s="67" customFormat="1" x14ac:dyDescent="0.25">
      <c r="B83" s="67" t="str">
        <f ca="1">Loans!B$26</f>
        <v>Loan 14</v>
      </c>
      <c r="D83" s="62">
        <f>Loans!D$26</f>
        <v>0</v>
      </c>
      <c r="E83" s="159" t="str">
        <f>IF(Loans!I$26=0, "", Loans!I$26)</f>
        <v/>
      </c>
      <c r="F83" s="159" t="str">
        <f>IF(Loans!J$26=0, "", Loans!J$26)</f>
        <v/>
      </c>
      <c r="T83" s="335"/>
      <c r="U83" s="335"/>
      <c r="AA83" s="45">
        <f t="shared" ref="AA83:BJ83" si="88">(Z83+AA60)*AA60</f>
        <v>0</v>
      </c>
      <c r="AB83" s="45">
        <f t="shared" si="88"/>
        <v>0</v>
      </c>
      <c r="AC83" s="45">
        <f t="shared" si="88"/>
        <v>0</v>
      </c>
      <c r="AD83" s="45">
        <f t="shared" si="88"/>
        <v>0</v>
      </c>
      <c r="AE83" s="45">
        <f t="shared" si="88"/>
        <v>0</v>
      </c>
      <c r="AF83" s="45">
        <f t="shared" si="88"/>
        <v>0</v>
      </c>
      <c r="AG83" s="45">
        <f t="shared" si="88"/>
        <v>0</v>
      </c>
      <c r="AH83" s="45">
        <f t="shared" si="88"/>
        <v>0</v>
      </c>
      <c r="AI83" s="45">
        <f t="shared" si="88"/>
        <v>0</v>
      </c>
      <c r="AJ83" s="45">
        <f t="shared" si="88"/>
        <v>0</v>
      </c>
      <c r="AK83" s="45">
        <f t="shared" si="88"/>
        <v>0</v>
      </c>
      <c r="AL83" s="45">
        <f t="shared" si="88"/>
        <v>0</v>
      </c>
      <c r="AM83" s="45">
        <f t="shared" si="88"/>
        <v>0</v>
      </c>
      <c r="AN83" s="45">
        <f t="shared" si="88"/>
        <v>0</v>
      </c>
      <c r="AO83" s="45">
        <f t="shared" si="88"/>
        <v>0</v>
      </c>
      <c r="AP83" s="45">
        <f t="shared" si="88"/>
        <v>0</v>
      </c>
      <c r="AQ83" s="45">
        <f t="shared" si="88"/>
        <v>0</v>
      </c>
      <c r="AR83" s="45">
        <f t="shared" si="88"/>
        <v>0</v>
      </c>
      <c r="AS83" s="45">
        <f t="shared" si="88"/>
        <v>0</v>
      </c>
      <c r="AT83" s="45">
        <f t="shared" si="88"/>
        <v>0</v>
      </c>
      <c r="AU83" s="45">
        <f t="shared" si="88"/>
        <v>0</v>
      </c>
      <c r="AV83" s="45">
        <f t="shared" si="88"/>
        <v>0</v>
      </c>
      <c r="AW83" s="45">
        <f t="shared" si="88"/>
        <v>0</v>
      </c>
      <c r="AX83" s="45">
        <f t="shared" si="88"/>
        <v>0</v>
      </c>
      <c r="AY83" s="45">
        <f t="shared" si="88"/>
        <v>0</v>
      </c>
      <c r="AZ83" s="45">
        <f t="shared" si="88"/>
        <v>0</v>
      </c>
      <c r="BA83" s="45">
        <f t="shared" si="88"/>
        <v>0</v>
      </c>
      <c r="BB83" s="45">
        <f t="shared" si="88"/>
        <v>0</v>
      </c>
      <c r="BC83" s="45">
        <f t="shared" si="88"/>
        <v>0</v>
      </c>
      <c r="BD83" s="45">
        <f t="shared" si="88"/>
        <v>0</v>
      </c>
      <c r="BE83" s="45">
        <f t="shared" si="88"/>
        <v>0</v>
      </c>
      <c r="BF83" s="45">
        <f t="shared" si="88"/>
        <v>0</v>
      </c>
      <c r="BG83" s="45">
        <f t="shared" si="88"/>
        <v>0</v>
      </c>
      <c r="BH83" s="45">
        <f t="shared" si="88"/>
        <v>0</v>
      </c>
      <c r="BI83" s="45">
        <f t="shared" si="88"/>
        <v>0</v>
      </c>
      <c r="BJ83" s="45">
        <f t="shared" si="88"/>
        <v>0</v>
      </c>
      <c r="BY83" s="12"/>
      <c r="CA83" s="12"/>
      <c r="EX83" s="10" t="str">
        <f t="shared" si="79"/>
        <v/>
      </c>
    </row>
    <row r="84" spans="2:154" s="67" customFormat="1" x14ac:dyDescent="0.25">
      <c r="B84" s="67" t="str">
        <f ca="1">Loans!B$27</f>
        <v>Loan 15</v>
      </c>
      <c r="D84" s="62">
        <f>Loans!D$27</f>
        <v>0</v>
      </c>
      <c r="E84" s="159" t="str">
        <f>IF(Loans!I$27=0, "", Loans!I$27)</f>
        <v/>
      </c>
      <c r="F84" s="159" t="str">
        <f>IF(Loans!J$27=0, "", Loans!J$27)</f>
        <v/>
      </c>
      <c r="T84" s="335"/>
      <c r="U84" s="335"/>
      <c r="AA84" s="45">
        <f t="shared" ref="AA84:BJ84" si="89">(Z84+AA61)*AA61</f>
        <v>0</v>
      </c>
      <c r="AB84" s="45">
        <f t="shared" si="89"/>
        <v>0</v>
      </c>
      <c r="AC84" s="45">
        <f t="shared" si="89"/>
        <v>0</v>
      </c>
      <c r="AD84" s="45">
        <f t="shared" si="89"/>
        <v>0</v>
      </c>
      <c r="AE84" s="45">
        <f t="shared" si="89"/>
        <v>0</v>
      </c>
      <c r="AF84" s="45">
        <f t="shared" si="89"/>
        <v>0</v>
      </c>
      <c r="AG84" s="45">
        <f t="shared" si="89"/>
        <v>0</v>
      </c>
      <c r="AH84" s="45">
        <f t="shared" si="89"/>
        <v>0</v>
      </c>
      <c r="AI84" s="45">
        <f t="shared" si="89"/>
        <v>0</v>
      </c>
      <c r="AJ84" s="45">
        <f t="shared" si="89"/>
        <v>0</v>
      </c>
      <c r="AK84" s="45">
        <f t="shared" si="89"/>
        <v>0</v>
      </c>
      <c r="AL84" s="45">
        <f t="shared" si="89"/>
        <v>0</v>
      </c>
      <c r="AM84" s="45">
        <f t="shared" si="89"/>
        <v>0</v>
      </c>
      <c r="AN84" s="45">
        <f t="shared" si="89"/>
        <v>0</v>
      </c>
      <c r="AO84" s="45">
        <f t="shared" si="89"/>
        <v>0</v>
      </c>
      <c r="AP84" s="45">
        <f t="shared" si="89"/>
        <v>0</v>
      </c>
      <c r="AQ84" s="45">
        <f t="shared" si="89"/>
        <v>0</v>
      </c>
      <c r="AR84" s="45">
        <f t="shared" si="89"/>
        <v>0</v>
      </c>
      <c r="AS84" s="45">
        <f t="shared" si="89"/>
        <v>0</v>
      </c>
      <c r="AT84" s="45">
        <f t="shared" si="89"/>
        <v>0</v>
      </c>
      <c r="AU84" s="45">
        <f t="shared" si="89"/>
        <v>0</v>
      </c>
      <c r="AV84" s="45">
        <f t="shared" si="89"/>
        <v>0</v>
      </c>
      <c r="AW84" s="45">
        <f t="shared" si="89"/>
        <v>0</v>
      </c>
      <c r="AX84" s="45">
        <f t="shared" si="89"/>
        <v>0</v>
      </c>
      <c r="AY84" s="45">
        <f t="shared" si="89"/>
        <v>0</v>
      </c>
      <c r="AZ84" s="45">
        <f t="shared" si="89"/>
        <v>0</v>
      </c>
      <c r="BA84" s="45">
        <f t="shared" si="89"/>
        <v>0</v>
      </c>
      <c r="BB84" s="45">
        <f t="shared" si="89"/>
        <v>0</v>
      </c>
      <c r="BC84" s="45">
        <f t="shared" si="89"/>
        <v>0</v>
      </c>
      <c r="BD84" s="45">
        <f t="shared" si="89"/>
        <v>0</v>
      </c>
      <c r="BE84" s="45">
        <f t="shared" si="89"/>
        <v>0</v>
      </c>
      <c r="BF84" s="45">
        <f t="shared" si="89"/>
        <v>0</v>
      </c>
      <c r="BG84" s="45">
        <f t="shared" si="89"/>
        <v>0</v>
      </c>
      <c r="BH84" s="45">
        <f t="shared" si="89"/>
        <v>0</v>
      </c>
      <c r="BI84" s="45">
        <f t="shared" si="89"/>
        <v>0</v>
      </c>
      <c r="BJ84" s="45">
        <f t="shared" si="89"/>
        <v>0</v>
      </c>
      <c r="BY84" s="12"/>
      <c r="CA84" s="12"/>
      <c r="EX84" s="10" t="str">
        <f t="shared" si="79"/>
        <v/>
      </c>
    </row>
    <row r="85" spans="2:154" s="67" customFormat="1" x14ac:dyDescent="0.25">
      <c r="B85" s="67" t="str">
        <f ca="1">Loans!B$28</f>
        <v>Loan 16</v>
      </c>
      <c r="D85" s="62">
        <f>Loans!D$28</f>
        <v>0</v>
      </c>
      <c r="E85" s="159" t="str">
        <f>IF(Loans!I$28=0, "", Loans!I$28)</f>
        <v/>
      </c>
      <c r="F85" s="159" t="str">
        <f>IF(Loans!J$28=0, "", Loans!J$28)</f>
        <v/>
      </c>
      <c r="T85" s="335"/>
      <c r="U85" s="335"/>
      <c r="AA85" s="45">
        <f t="shared" ref="AA85:BJ85" si="90">(Z85+AA62)*AA62</f>
        <v>0</v>
      </c>
      <c r="AB85" s="45">
        <f t="shared" si="90"/>
        <v>0</v>
      </c>
      <c r="AC85" s="45">
        <f t="shared" si="90"/>
        <v>0</v>
      </c>
      <c r="AD85" s="45">
        <f t="shared" si="90"/>
        <v>0</v>
      </c>
      <c r="AE85" s="45">
        <f t="shared" si="90"/>
        <v>0</v>
      </c>
      <c r="AF85" s="45">
        <f t="shared" si="90"/>
        <v>0</v>
      </c>
      <c r="AG85" s="45">
        <f t="shared" si="90"/>
        <v>0</v>
      </c>
      <c r="AH85" s="45">
        <f t="shared" si="90"/>
        <v>0</v>
      </c>
      <c r="AI85" s="45">
        <f t="shared" si="90"/>
        <v>0</v>
      </c>
      <c r="AJ85" s="45">
        <f t="shared" si="90"/>
        <v>0</v>
      </c>
      <c r="AK85" s="45">
        <f t="shared" si="90"/>
        <v>0</v>
      </c>
      <c r="AL85" s="45">
        <f t="shared" si="90"/>
        <v>0</v>
      </c>
      <c r="AM85" s="45">
        <f t="shared" si="90"/>
        <v>0</v>
      </c>
      <c r="AN85" s="45">
        <f t="shared" si="90"/>
        <v>0</v>
      </c>
      <c r="AO85" s="45">
        <f t="shared" si="90"/>
        <v>0</v>
      </c>
      <c r="AP85" s="45">
        <f t="shared" si="90"/>
        <v>0</v>
      </c>
      <c r="AQ85" s="45">
        <f t="shared" si="90"/>
        <v>0</v>
      </c>
      <c r="AR85" s="45">
        <f t="shared" si="90"/>
        <v>0</v>
      </c>
      <c r="AS85" s="45">
        <f t="shared" si="90"/>
        <v>0</v>
      </c>
      <c r="AT85" s="45">
        <f t="shared" si="90"/>
        <v>0</v>
      </c>
      <c r="AU85" s="45">
        <f t="shared" si="90"/>
        <v>0</v>
      </c>
      <c r="AV85" s="45">
        <f t="shared" si="90"/>
        <v>0</v>
      </c>
      <c r="AW85" s="45">
        <f t="shared" si="90"/>
        <v>0</v>
      </c>
      <c r="AX85" s="45">
        <f t="shared" si="90"/>
        <v>0</v>
      </c>
      <c r="AY85" s="45">
        <f t="shared" si="90"/>
        <v>0</v>
      </c>
      <c r="AZ85" s="45">
        <f t="shared" si="90"/>
        <v>0</v>
      </c>
      <c r="BA85" s="45">
        <f t="shared" si="90"/>
        <v>0</v>
      </c>
      <c r="BB85" s="45">
        <f t="shared" si="90"/>
        <v>0</v>
      </c>
      <c r="BC85" s="45">
        <f t="shared" si="90"/>
        <v>0</v>
      </c>
      <c r="BD85" s="45">
        <f t="shared" si="90"/>
        <v>0</v>
      </c>
      <c r="BE85" s="45">
        <f t="shared" si="90"/>
        <v>0</v>
      </c>
      <c r="BF85" s="45">
        <f t="shared" si="90"/>
        <v>0</v>
      </c>
      <c r="BG85" s="45">
        <f t="shared" si="90"/>
        <v>0</v>
      </c>
      <c r="BH85" s="45">
        <f t="shared" si="90"/>
        <v>0</v>
      </c>
      <c r="BI85" s="45">
        <f t="shared" si="90"/>
        <v>0</v>
      </c>
      <c r="BJ85" s="45">
        <f t="shared" si="90"/>
        <v>0</v>
      </c>
      <c r="BY85" s="12"/>
      <c r="CA85" s="12"/>
      <c r="EX85" s="10" t="str">
        <f t="shared" si="79"/>
        <v/>
      </c>
    </row>
    <row r="86" spans="2:154" s="67" customFormat="1" x14ac:dyDescent="0.25">
      <c r="B86" s="67" t="str">
        <f ca="1">Loans!B$29</f>
        <v>Loan 17</v>
      </c>
      <c r="D86" s="62">
        <f>Loans!D$29</f>
        <v>0</v>
      </c>
      <c r="E86" s="159" t="str">
        <f>IF(Loans!I$29=0, "", Loans!I$29)</f>
        <v/>
      </c>
      <c r="F86" s="159" t="str">
        <f>IF(Loans!J$29=0, "", Loans!J$29)</f>
        <v/>
      </c>
      <c r="T86" s="335"/>
      <c r="U86" s="335"/>
      <c r="AA86" s="45">
        <f t="shared" ref="AA86:BJ86" si="91">(Z86+AA63)*AA63</f>
        <v>0</v>
      </c>
      <c r="AB86" s="45">
        <f t="shared" si="91"/>
        <v>0</v>
      </c>
      <c r="AC86" s="45">
        <f t="shared" si="91"/>
        <v>0</v>
      </c>
      <c r="AD86" s="45">
        <f t="shared" si="91"/>
        <v>0</v>
      </c>
      <c r="AE86" s="45">
        <f t="shared" si="91"/>
        <v>0</v>
      </c>
      <c r="AF86" s="45">
        <f t="shared" si="91"/>
        <v>0</v>
      </c>
      <c r="AG86" s="45">
        <f t="shared" si="91"/>
        <v>0</v>
      </c>
      <c r="AH86" s="45">
        <f t="shared" si="91"/>
        <v>0</v>
      </c>
      <c r="AI86" s="45">
        <f t="shared" si="91"/>
        <v>0</v>
      </c>
      <c r="AJ86" s="45">
        <f t="shared" si="91"/>
        <v>0</v>
      </c>
      <c r="AK86" s="45">
        <f t="shared" si="91"/>
        <v>0</v>
      </c>
      <c r="AL86" s="45">
        <f t="shared" si="91"/>
        <v>0</v>
      </c>
      <c r="AM86" s="45">
        <f t="shared" si="91"/>
        <v>0</v>
      </c>
      <c r="AN86" s="45">
        <f t="shared" si="91"/>
        <v>0</v>
      </c>
      <c r="AO86" s="45">
        <f t="shared" si="91"/>
        <v>0</v>
      </c>
      <c r="AP86" s="45">
        <f t="shared" si="91"/>
        <v>0</v>
      </c>
      <c r="AQ86" s="45">
        <f t="shared" si="91"/>
        <v>0</v>
      </c>
      <c r="AR86" s="45">
        <f t="shared" si="91"/>
        <v>0</v>
      </c>
      <c r="AS86" s="45">
        <f t="shared" si="91"/>
        <v>0</v>
      </c>
      <c r="AT86" s="45">
        <f t="shared" si="91"/>
        <v>0</v>
      </c>
      <c r="AU86" s="45">
        <f t="shared" si="91"/>
        <v>0</v>
      </c>
      <c r="AV86" s="45">
        <f t="shared" si="91"/>
        <v>0</v>
      </c>
      <c r="AW86" s="45">
        <f t="shared" si="91"/>
        <v>0</v>
      </c>
      <c r="AX86" s="45">
        <f t="shared" si="91"/>
        <v>0</v>
      </c>
      <c r="AY86" s="45">
        <f t="shared" si="91"/>
        <v>0</v>
      </c>
      <c r="AZ86" s="45">
        <f t="shared" si="91"/>
        <v>0</v>
      </c>
      <c r="BA86" s="45">
        <f t="shared" si="91"/>
        <v>0</v>
      </c>
      <c r="BB86" s="45">
        <f t="shared" si="91"/>
        <v>0</v>
      </c>
      <c r="BC86" s="45">
        <f t="shared" si="91"/>
        <v>0</v>
      </c>
      <c r="BD86" s="45">
        <f t="shared" si="91"/>
        <v>0</v>
      </c>
      <c r="BE86" s="45">
        <f t="shared" si="91"/>
        <v>0</v>
      </c>
      <c r="BF86" s="45">
        <f t="shared" si="91"/>
        <v>0</v>
      </c>
      <c r="BG86" s="45">
        <f t="shared" si="91"/>
        <v>0</v>
      </c>
      <c r="BH86" s="45">
        <f t="shared" si="91"/>
        <v>0</v>
      </c>
      <c r="BI86" s="45">
        <f t="shared" si="91"/>
        <v>0</v>
      </c>
      <c r="BJ86" s="45">
        <f t="shared" si="91"/>
        <v>0</v>
      </c>
      <c r="BY86" s="12"/>
      <c r="CA86" s="12"/>
      <c r="EX86" s="10" t="str">
        <f t="shared" si="79"/>
        <v/>
      </c>
    </row>
    <row r="87" spans="2:154" s="67" customFormat="1" x14ac:dyDescent="0.25">
      <c r="B87" s="67" t="str">
        <f ca="1">Loans!B$30</f>
        <v>Loan 18</v>
      </c>
      <c r="D87" s="62">
        <f>Loans!D$30</f>
        <v>0</v>
      </c>
      <c r="E87" s="159" t="str">
        <f>IF(Loans!I$30=0, "", Loans!I$30)</f>
        <v/>
      </c>
      <c r="F87" s="159" t="str">
        <f>IF(Loans!J$30=0, "", Loans!J$30)</f>
        <v/>
      </c>
      <c r="T87" s="335"/>
      <c r="U87" s="335"/>
      <c r="AA87" s="45">
        <f t="shared" ref="AA87:BJ87" si="92">(Z87+AA64)*AA64</f>
        <v>0</v>
      </c>
      <c r="AB87" s="45">
        <f t="shared" si="92"/>
        <v>0</v>
      </c>
      <c r="AC87" s="45">
        <f t="shared" si="92"/>
        <v>0</v>
      </c>
      <c r="AD87" s="45">
        <f t="shared" si="92"/>
        <v>0</v>
      </c>
      <c r="AE87" s="45">
        <f t="shared" si="92"/>
        <v>0</v>
      </c>
      <c r="AF87" s="45">
        <f t="shared" si="92"/>
        <v>0</v>
      </c>
      <c r="AG87" s="45">
        <f t="shared" si="92"/>
        <v>0</v>
      </c>
      <c r="AH87" s="45">
        <f t="shared" si="92"/>
        <v>0</v>
      </c>
      <c r="AI87" s="45">
        <f t="shared" si="92"/>
        <v>0</v>
      </c>
      <c r="AJ87" s="45">
        <f t="shared" si="92"/>
        <v>0</v>
      </c>
      <c r="AK87" s="45">
        <f t="shared" si="92"/>
        <v>0</v>
      </c>
      <c r="AL87" s="45">
        <f t="shared" si="92"/>
        <v>0</v>
      </c>
      <c r="AM87" s="45">
        <f t="shared" si="92"/>
        <v>0</v>
      </c>
      <c r="AN87" s="45">
        <f t="shared" si="92"/>
        <v>0</v>
      </c>
      <c r="AO87" s="45">
        <f t="shared" si="92"/>
        <v>0</v>
      </c>
      <c r="AP87" s="45">
        <f t="shared" si="92"/>
        <v>0</v>
      </c>
      <c r="AQ87" s="45">
        <f t="shared" si="92"/>
        <v>0</v>
      </c>
      <c r="AR87" s="45">
        <f t="shared" si="92"/>
        <v>0</v>
      </c>
      <c r="AS87" s="45">
        <f t="shared" si="92"/>
        <v>0</v>
      </c>
      <c r="AT87" s="45">
        <f t="shared" si="92"/>
        <v>0</v>
      </c>
      <c r="AU87" s="45">
        <f t="shared" si="92"/>
        <v>0</v>
      </c>
      <c r="AV87" s="45">
        <f t="shared" si="92"/>
        <v>0</v>
      </c>
      <c r="AW87" s="45">
        <f t="shared" si="92"/>
        <v>0</v>
      </c>
      <c r="AX87" s="45">
        <f t="shared" si="92"/>
        <v>0</v>
      </c>
      <c r="AY87" s="45">
        <f t="shared" si="92"/>
        <v>0</v>
      </c>
      <c r="AZ87" s="45">
        <f t="shared" si="92"/>
        <v>0</v>
      </c>
      <c r="BA87" s="45">
        <f t="shared" si="92"/>
        <v>0</v>
      </c>
      <c r="BB87" s="45">
        <f t="shared" si="92"/>
        <v>0</v>
      </c>
      <c r="BC87" s="45">
        <f t="shared" si="92"/>
        <v>0</v>
      </c>
      <c r="BD87" s="45">
        <f t="shared" si="92"/>
        <v>0</v>
      </c>
      <c r="BE87" s="45">
        <f t="shared" si="92"/>
        <v>0</v>
      </c>
      <c r="BF87" s="45">
        <f t="shared" si="92"/>
        <v>0</v>
      </c>
      <c r="BG87" s="45">
        <f t="shared" si="92"/>
        <v>0</v>
      </c>
      <c r="BH87" s="45">
        <f t="shared" si="92"/>
        <v>0</v>
      </c>
      <c r="BI87" s="45">
        <f t="shared" si="92"/>
        <v>0</v>
      </c>
      <c r="BJ87" s="45">
        <f t="shared" si="92"/>
        <v>0</v>
      </c>
      <c r="BY87" s="12"/>
      <c r="CA87" s="12"/>
      <c r="EX87" s="10" t="str">
        <f t="shared" si="79"/>
        <v/>
      </c>
    </row>
    <row r="88" spans="2:154" s="67" customFormat="1" x14ac:dyDescent="0.25">
      <c r="B88" s="67" t="str">
        <f ca="1">Loans!B$31</f>
        <v>Loan 19</v>
      </c>
      <c r="D88" s="62">
        <f>Loans!D$31</f>
        <v>0</v>
      </c>
      <c r="E88" s="159" t="str">
        <f>IF(Loans!I$31=0, "", Loans!I$31)</f>
        <v/>
      </c>
      <c r="F88" s="159" t="str">
        <f>IF(Loans!J$31=0, "", Loans!J$31)</f>
        <v/>
      </c>
      <c r="T88" s="335"/>
      <c r="U88" s="335"/>
      <c r="AA88" s="45">
        <f t="shared" ref="AA88:BJ88" si="93">(Z88+AA65)*AA65</f>
        <v>0</v>
      </c>
      <c r="AB88" s="45">
        <f t="shared" si="93"/>
        <v>0</v>
      </c>
      <c r="AC88" s="45">
        <f t="shared" si="93"/>
        <v>0</v>
      </c>
      <c r="AD88" s="45">
        <f t="shared" si="93"/>
        <v>0</v>
      </c>
      <c r="AE88" s="45">
        <f t="shared" si="93"/>
        <v>0</v>
      </c>
      <c r="AF88" s="45">
        <f t="shared" si="93"/>
        <v>0</v>
      </c>
      <c r="AG88" s="45">
        <f t="shared" si="93"/>
        <v>0</v>
      </c>
      <c r="AH88" s="45">
        <f t="shared" si="93"/>
        <v>0</v>
      </c>
      <c r="AI88" s="45">
        <f t="shared" si="93"/>
        <v>0</v>
      </c>
      <c r="AJ88" s="45">
        <f t="shared" si="93"/>
        <v>0</v>
      </c>
      <c r="AK88" s="45">
        <f t="shared" si="93"/>
        <v>0</v>
      </c>
      <c r="AL88" s="45">
        <f t="shared" si="93"/>
        <v>0</v>
      </c>
      <c r="AM88" s="45">
        <f t="shared" si="93"/>
        <v>0</v>
      </c>
      <c r="AN88" s="45">
        <f t="shared" si="93"/>
        <v>0</v>
      </c>
      <c r="AO88" s="45">
        <f t="shared" si="93"/>
        <v>0</v>
      </c>
      <c r="AP88" s="45">
        <f t="shared" si="93"/>
        <v>0</v>
      </c>
      <c r="AQ88" s="45">
        <f t="shared" si="93"/>
        <v>0</v>
      </c>
      <c r="AR88" s="45">
        <f t="shared" si="93"/>
        <v>0</v>
      </c>
      <c r="AS88" s="45">
        <f t="shared" si="93"/>
        <v>0</v>
      </c>
      <c r="AT88" s="45">
        <f t="shared" si="93"/>
        <v>0</v>
      </c>
      <c r="AU88" s="45">
        <f t="shared" si="93"/>
        <v>0</v>
      </c>
      <c r="AV88" s="45">
        <f t="shared" si="93"/>
        <v>0</v>
      </c>
      <c r="AW88" s="45">
        <f t="shared" si="93"/>
        <v>0</v>
      </c>
      <c r="AX88" s="45">
        <f t="shared" si="93"/>
        <v>0</v>
      </c>
      <c r="AY88" s="45">
        <f t="shared" si="93"/>
        <v>0</v>
      </c>
      <c r="AZ88" s="45">
        <f t="shared" si="93"/>
        <v>0</v>
      </c>
      <c r="BA88" s="45">
        <f t="shared" si="93"/>
        <v>0</v>
      </c>
      <c r="BB88" s="45">
        <f t="shared" si="93"/>
        <v>0</v>
      </c>
      <c r="BC88" s="45">
        <f t="shared" si="93"/>
        <v>0</v>
      </c>
      <c r="BD88" s="45">
        <f t="shared" si="93"/>
        <v>0</v>
      </c>
      <c r="BE88" s="45">
        <f t="shared" si="93"/>
        <v>0</v>
      </c>
      <c r="BF88" s="45">
        <f t="shared" si="93"/>
        <v>0</v>
      </c>
      <c r="BG88" s="45">
        <f t="shared" si="93"/>
        <v>0</v>
      </c>
      <c r="BH88" s="45">
        <f t="shared" si="93"/>
        <v>0</v>
      </c>
      <c r="BI88" s="45">
        <f t="shared" si="93"/>
        <v>0</v>
      </c>
      <c r="BJ88" s="45">
        <f t="shared" si="93"/>
        <v>0</v>
      </c>
      <c r="BY88" s="12"/>
      <c r="CA88" s="12"/>
      <c r="EX88" s="10" t="str">
        <f t="shared" si="79"/>
        <v/>
      </c>
    </row>
    <row r="89" spans="2:154" s="67" customFormat="1" x14ac:dyDescent="0.25">
      <c r="B89" s="67" t="str">
        <f ca="1">Loans!B$32</f>
        <v>Loan 20</v>
      </c>
      <c r="D89" s="62">
        <f>Loans!D$32</f>
        <v>0</v>
      </c>
      <c r="E89" s="159" t="str">
        <f>IF(Loans!I$32=0, "", Loans!I$32)</f>
        <v/>
      </c>
      <c r="F89" s="159" t="str">
        <f>IF(Loans!J$32=0, "", Loans!J$32)</f>
        <v/>
      </c>
      <c r="T89" s="335"/>
      <c r="U89" s="335"/>
      <c r="AA89" s="45">
        <f t="shared" ref="AA89:BJ89" si="94">(Z89+AA66)*AA66</f>
        <v>0</v>
      </c>
      <c r="AB89" s="45">
        <f t="shared" si="94"/>
        <v>0</v>
      </c>
      <c r="AC89" s="45">
        <f t="shared" si="94"/>
        <v>0</v>
      </c>
      <c r="AD89" s="45">
        <f t="shared" si="94"/>
        <v>0</v>
      </c>
      <c r="AE89" s="45">
        <f t="shared" si="94"/>
        <v>0</v>
      </c>
      <c r="AF89" s="45">
        <f t="shared" si="94"/>
        <v>0</v>
      </c>
      <c r="AG89" s="45">
        <f t="shared" si="94"/>
        <v>0</v>
      </c>
      <c r="AH89" s="45">
        <f t="shared" si="94"/>
        <v>0</v>
      </c>
      <c r="AI89" s="45">
        <f t="shared" si="94"/>
        <v>0</v>
      </c>
      <c r="AJ89" s="45">
        <f t="shared" si="94"/>
        <v>0</v>
      </c>
      <c r="AK89" s="45">
        <f t="shared" si="94"/>
        <v>0</v>
      </c>
      <c r="AL89" s="45">
        <f t="shared" si="94"/>
        <v>0</v>
      </c>
      <c r="AM89" s="45">
        <f t="shared" si="94"/>
        <v>0</v>
      </c>
      <c r="AN89" s="45">
        <f t="shared" si="94"/>
        <v>0</v>
      </c>
      <c r="AO89" s="45">
        <f t="shared" si="94"/>
        <v>0</v>
      </c>
      <c r="AP89" s="45">
        <f t="shared" si="94"/>
        <v>0</v>
      </c>
      <c r="AQ89" s="45">
        <f t="shared" si="94"/>
        <v>0</v>
      </c>
      <c r="AR89" s="45">
        <f t="shared" si="94"/>
        <v>0</v>
      </c>
      <c r="AS89" s="45">
        <f t="shared" si="94"/>
        <v>0</v>
      </c>
      <c r="AT89" s="45">
        <f t="shared" si="94"/>
        <v>0</v>
      </c>
      <c r="AU89" s="45">
        <f t="shared" si="94"/>
        <v>0</v>
      </c>
      <c r="AV89" s="45">
        <f t="shared" si="94"/>
        <v>0</v>
      </c>
      <c r="AW89" s="45">
        <f t="shared" si="94"/>
        <v>0</v>
      </c>
      <c r="AX89" s="45">
        <f t="shared" si="94"/>
        <v>0</v>
      </c>
      <c r="AY89" s="45">
        <f t="shared" si="94"/>
        <v>0</v>
      </c>
      <c r="AZ89" s="45">
        <f t="shared" si="94"/>
        <v>0</v>
      </c>
      <c r="BA89" s="45">
        <f t="shared" si="94"/>
        <v>0</v>
      </c>
      <c r="BB89" s="45">
        <f t="shared" si="94"/>
        <v>0</v>
      </c>
      <c r="BC89" s="45">
        <f t="shared" si="94"/>
        <v>0</v>
      </c>
      <c r="BD89" s="45">
        <f t="shared" si="94"/>
        <v>0</v>
      </c>
      <c r="BE89" s="45">
        <f t="shared" si="94"/>
        <v>0</v>
      </c>
      <c r="BF89" s="45">
        <f t="shared" si="94"/>
        <v>0</v>
      </c>
      <c r="BG89" s="45">
        <f t="shared" si="94"/>
        <v>0</v>
      </c>
      <c r="BH89" s="45">
        <f t="shared" si="94"/>
        <v>0</v>
      </c>
      <c r="BI89" s="45">
        <f t="shared" si="94"/>
        <v>0</v>
      </c>
      <c r="BJ89" s="45">
        <f t="shared" si="94"/>
        <v>0</v>
      </c>
      <c r="BY89" s="12"/>
      <c r="CA89" s="12"/>
      <c r="EX89" s="10" t="str">
        <f t="shared" si="79"/>
        <v/>
      </c>
    </row>
    <row r="90" spans="2:154" ht="6.6" customHeight="1" x14ac:dyDescent="0.25">
      <c r="D90" s="1"/>
      <c r="E90" s="11"/>
      <c r="S90" s="11"/>
      <c r="T90" s="335"/>
      <c r="U90" s="335"/>
      <c r="X90" s="11"/>
      <c r="Y90" s="11"/>
      <c r="BM90" s="6"/>
      <c r="BY90" s="42"/>
      <c r="CA90" s="42"/>
      <c r="EX90" s="10" t="str">
        <f t="shared" si="79"/>
        <v/>
      </c>
    </row>
    <row r="91" spans="2:154" x14ac:dyDescent="0.25">
      <c r="D91" s="5" t="s">
        <v>227</v>
      </c>
      <c r="F91" s="5"/>
      <c r="S91" s="11"/>
      <c r="T91" s="335"/>
      <c r="U91" s="335"/>
      <c r="X91" s="11"/>
      <c r="Y91" s="11"/>
      <c r="BY91" s="12"/>
      <c r="CA91" s="12"/>
      <c r="EX91" s="10" t="str">
        <f t="shared" si="79"/>
        <v/>
      </c>
    </row>
    <row r="92" spans="2:154" x14ac:dyDescent="0.25">
      <c r="B92" s="5"/>
      <c r="D92" s="5" t="str">
        <f>Loans!D$11</f>
        <v>Lender</v>
      </c>
      <c r="E92" s="5" t="s">
        <v>538</v>
      </c>
      <c r="F92" s="5" t="s">
        <v>539</v>
      </c>
      <c r="S92" s="11"/>
      <c r="T92" s="335"/>
      <c r="U92" s="335"/>
      <c r="X92" s="11"/>
      <c r="Y92" s="11"/>
      <c r="BY92" s="12"/>
      <c r="CA92" s="12"/>
      <c r="EX92" s="10" t="str">
        <f t="shared" si="79"/>
        <v/>
      </c>
    </row>
    <row r="93" spans="2:154" x14ac:dyDescent="0.25">
      <c r="B93" s="67" t="str">
        <f ca="1">Loans!B$13</f>
        <v>Loan 1</v>
      </c>
      <c r="D93" s="62" t="str">
        <f>Loans!D$13</f>
        <v>NatWest</v>
      </c>
      <c r="E93" s="159" t="str">
        <f>IF(Loans!I$13=0, "", Loans!I$13)</f>
        <v/>
      </c>
      <c r="F93" s="159" t="str">
        <f>IF(Loans!J$13=0, "", Loans!J$13)</f>
        <v/>
      </c>
      <c r="G93" s="67"/>
      <c r="H93" s="67"/>
      <c r="I93" s="67"/>
      <c r="J93" s="67"/>
      <c r="K93" s="67"/>
      <c r="S93" s="11"/>
      <c r="T93" s="335"/>
      <c r="U93" s="335"/>
      <c r="V93" s="200">
        <f t="shared" ref="V93:V112" si="95">IF(AND(V47=1,R47=0), 1,0)</f>
        <v>0</v>
      </c>
      <c r="W93" s="45">
        <f t="shared" ref="W93:BW93" si="96">IF(AND(W47=1,V47=0), 1,0)</f>
        <v>0</v>
      </c>
      <c r="X93" s="45">
        <f t="shared" si="96"/>
        <v>0</v>
      </c>
      <c r="Y93" s="45">
        <f t="shared" si="96"/>
        <v>0</v>
      </c>
      <c r="AA93" s="45">
        <f>IF(AND(AA47=1,Z47=0), 1,0)</f>
        <v>0</v>
      </c>
      <c r="AB93" s="45">
        <f t="shared" si="96"/>
        <v>0</v>
      </c>
      <c r="AC93" s="45">
        <f t="shared" si="96"/>
        <v>0</v>
      </c>
      <c r="AD93" s="45">
        <f t="shared" si="96"/>
        <v>0</v>
      </c>
      <c r="AE93" s="45">
        <f t="shared" si="96"/>
        <v>0</v>
      </c>
      <c r="AF93" s="45">
        <f t="shared" si="96"/>
        <v>0</v>
      </c>
      <c r="AG93" s="45">
        <f t="shared" si="96"/>
        <v>0</v>
      </c>
      <c r="AH93" s="45">
        <f t="shared" si="96"/>
        <v>0</v>
      </c>
      <c r="AI93" s="45">
        <f t="shared" si="96"/>
        <v>0</v>
      </c>
      <c r="AJ93" s="45">
        <f t="shared" si="96"/>
        <v>0</v>
      </c>
      <c r="AK93" s="45">
        <f t="shared" si="96"/>
        <v>0</v>
      </c>
      <c r="AL93" s="45">
        <f t="shared" si="96"/>
        <v>0</v>
      </c>
      <c r="AM93" s="45">
        <f t="shared" si="96"/>
        <v>0</v>
      </c>
      <c r="AN93" s="45">
        <f t="shared" si="96"/>
        <v>0</v>
      </c>
      <c r="AO93" s="45">
        <f t="shared" si="96"/>
        <v>0</v>
      </c>
      <c r="AP93" s="45">
        <f t="shared" si="96"/>
        <v>0</v>
      </c>
      <c r="AQ93" s="45">
        <f t="shared" si="96"/>
        <v>0</v>
      </c>
      <c r="AR93" s="45">
        <f t="shared" si="96"/>
        <v>0</v>
      </c>
      <c r="AS93" s="45">
        <f t="shared" si="96"/>
        <v>0</v>
      </c>
      <c r="AT93" s="45">
        <f t="shared" si="96"/>
        <v>0</v>
      </c>
      <c r="AU93" s="45">
        <f t="shared" si="96"/>
        <v>0</v>
      </c>
      <c r="AV93" s="45">
        <f t="shared" si="96"/>
        <v>0</v>
      </c>
      <c r="AW93" s="45">
        <f t="shared" si="96"/>
        <v>0</v>
      </c>
      <c r="AX93" s="45">
        <f t="shared" si="96"/>
        <v>0</v>
      </c>
      <c r="AY93" s="45">
        <f t="shared" si="96"/>
        <v>0</v>
      </c>
      <c r="AZ93" s="45">
        <f t="shared" si="96"/>
        <v>0</v>
      </c>
      <c r="BA93" s="45">
        <f t="shared" si="96"/>
        <v>0</v>
      </c>
      <c r="BB93" s="45">
        <f t="shared" si="96"/>
        <v>0</v>
      </c>
      <c r="BC93" s="45">
        <f t="shared" si="96"/>
        <v>0</v>
      </c>
      <c r="BD93" s="45">
        <f t="shared" si="96"/>
        <v>0</v>
      </c>
      <c r="BE93" s="45">
        <f t="shared" si="96"/>
        <v>0</v>
      </c>
      <c r="BF93" s="45">
        <f t="shared" si="96"/>
        <v>0</v>
      </c>
      <c r="BG93" s="45">
        <f t="shared" si="96"/>
        <v>0</v>
      </c>
      <c r="BH93" s="45">
        <f t="shared" si="96"/>
        <v>0</v>
      </c>
      <c r="BI93" s="45">
        <f t="shared" si="96"/>
        <v>0</v>
      </c>
      <c r="BJ93" s="45">
        <f t="shared" si="96"/>
        <v>0</v>
      </c>
      <c r="BL93" s="45">
        <f t="shared" si="96"/>
        <v>0</v>
      </c>
      <c r="BM93" s="45">
        <f>IF(AND(BM47=1,BL47=0), 1,0)</f>
        <v>0</v>
      </c>
      <c r="BN93" s="45">
        <f t="shared" si="96"/>
        <v>0</v>
      </c>
      <c r="BO93" s="45">
        <f t="shared" si="96"/>
        <v>0</v>
      </c>
      <c r="BP93" s="45">
        <f t="shared" si="96"/>
        <v>0</v>
      </c>
      <c r="BQ93" s="45">
        <f t="shared" si="96"/>
        <v>0</v>
      </c>
      <c r="BR93" s="45">
        <f t="shared" si="96"/>
        <v>0</v>
      </c>
      <c r="BS93" s="45">
        <f t="shared" si="96"/>
        <v>0</v>
      </c>
      <c r="BT93" s="45">
        <f t="shared" si="96"/>
        <v>0</v>
      </c>
      <c r="BU93" s="45">
        <f t="shared" si="96"/>
        <v>0</v>
      </c>
      <c r="BV93" s="45">
        <f t="shared" si="96"/>
        <v>0</v>
      </c>
      <c r="BW93" s="45">
        <f t="shared" si="96"/>
        <v>0</v>
      </c>
      <c r="BY93" s="12"/>
      <c r="CA93" s="12"/>
      <c r="EX93" s="10" t="str">
        <f t="shared" si="79"/>
        <v/>
      </c>
    </row>
    <row r="94" spans="2:154" x14ac:dyDescent="0.25">
      <c r="B94" s="67" t="str">
        <f ca="1">Loans!B$14</f>
        <v>Loan 2</v>
      </c>
      <c r="D94" s="62" t="str">
        <f>Loans!D$14</f>
        <v>NatWest</v>
      </c>
      <c r="E94" s="159" t="str">
        <f>IF(Loans!I$14=0, "", Loans!I$14)</f>
        <v/>
      </c>
      <c r="F94" s="159" t="str">
        <f>IF(Loans!J$14=0, "", Loans!J$14)</f>
        <v/>
      </c>
      <c r="G94" s="67"/>
      <c r="H94" s="67"/>
      <c r="I94" s="67"/>
      <c r="J94" s="67"/>
      <c r="K94" s="67"/>
      <c r="S94" s="11"/>
      <c r="T94" s="335"/>
      <c r="U94" s="335"/>
      <c r="V94" s="45">
        <f t="shared" si="95"/>
        <v>0</v>
      </c>
      <c r="W94" s="45">
        <f t="shared" ref="W94:BW94" si="97">IF(AND(W48=1,V48=0), 1,0)</f>
        <v>0</v>
      </c>
      <c r="X94" s="45">
        <f t="shared" si="97"/>
        <v>0</v>
      </c>
      <c r="Y94" s="45">
        <f t="shared" si="97"/>
        <v>0</v>
      </c>
      <c r="AA94" s="45">
        <f t="shared" si="97"/>
        <v>0</v>
      </c>
      <c r="AB94" s="45">
        <f t="shared" si="97"/>
        <v>0</v>
      </c>
      <c r="AC94" s="45">
        <f t="shared" si="97"/>
        <v>0</v>
      </c>
      <c r="AD94" s="45">
        <f t="shared" si="97"/>
        <v>0</v>
      </c>
      <c r="AE94" s="45">
        <f t="shared" si="97"/>
        <v>0</v>
      </c>
      <c r="AF94" s="45">
        <f t="shared" si="97"/>
        <v>0</v>
      </c>
      <c r="AG94" s="45">
        <f t="shared" si="97"/>
        <v>0</v>
      </c>
      <c r="AH94" s="45">
        <f t="shared" si="97"/>
        <v>0</v>
      </c>
      <c r="AI94" s="45">
        <f t="shared" si="97"/>
        <v>0</v>
      </c>
      <c r="AJ94" s="45">
        <f t="shared" si="97"/>
        <v>0</v>
      </c>
      <c r="AK94" s="45">
        <f t="shared" si="97"/>
        <v>0</v>
      </c>
      <c r="AL94" s="45">
        <f t="shared" si="97"/>
        <v>0</v>
      </c>
      <c r="AM94" s="45">
        <f t="shared" si="97"/>
        <v>0</v>
      </c>
      <c r="AN94" s="45">
        <f t="shared" si="97"/>
        <v>0</v>
      </c>
      <c r="AO94" s="45">
        <f t="shared" si="97"/>
        <v>0</v>
      </c>
      <c r="AP94" s="45">
        <f t="shared" si="97"/>
        <v>0</v>
      </c>
      <c r="AQ94" s="45">
        <f t="shared" si="97"/>
        <v>0</v>
      </c>
      <c r="AR94" s="45">
        <f t="shared" si="97"/>
        <v>0</v>
      </c>
      <c r="AS94" s="45">
        <f t="shared" si="97"/>
        <v>0</v>
      </c>
      <c r="AT94" s="45">
        <f t="shared" si="97"/>
        <v>0</v>
      </c>
      <c r="AU94" s="45">
        <f t="shared" si="97"/>
        <v>0</v>
      </c>
      <c r="AV94" s="45">
        <f t="shared" si="97"/>
        <v>0</v>
      </c>
      <c r="AW94" s="45">
        <f t="shared" si="97"/>
        <v>0</v>
      </c>
      <c r="AX94" s="45">
        <f t="shared" si="97"/>
        <v>0</v>
      </c>
      <c r="AY94" s="45">
        <f t="shared" si="97"/>
        <v>0</v>
      </c>
      <c r="AZ94" s="45">
        <f t="shared" si="97"/>
        <v>0</v>
      </c>
      <c r="BA94" s="45">
        <f t="shared" si="97"/>
        <v>0</v>
      </c>
      <c r="BB94" s="45">
        <f t="shared" si="97"/>
        <v>0</v>
      </c>
      <c r="BC94" s="45">
        <f t="shared" si="97"/>
        <v>0</v>
      </c>
      <c r="BD94" s="45">
        <f t="shared" si="97"/>
        <v>0</v>
      </c>
      <c r="BE94" s="45">
        <f t="shared" si="97"/>
        <v>0</v>
      </c>
      <c r="BF94" s="45">
        <f t="shared" si="97"/>
        <v>0</v>
      </c>
      <c r="BG94" s="45">
        <f t="shared" si="97"/>
        <v>0</v>
      </c>
      <c r="BH94" s="45">
        <f t="shared" si="97"/>
        <v>0</v>
      </c>
      <c r="BI94" s="45">
        <f t="shared" si="97"/>
        <v>0</v>
      </c>
      <c r="BJ94" s="45">
        <f t="shared" si="97"/>
        <v>0</v>
      </c>
      <c r="BL94" s="45">
        <f t="shared" si="97"/>
        <v>0</v>
      </c>
      <c r="BM94" s="45">
        <f t="shared" si="97"/>
        <v>0</v>
      </c>
      <c r="BN94" s="45">
        <f t="shared" si="97"/>
        <v>0</v>
      </c>
      <c r="BO94" s="45">
        <f t="shared" si="97"/>
        <v>0</v>
      </c>
      <c r="BP94" s="45">
        <f t="shared" si="97"/>
        <v>0</v>
      </c>
      <c r="BQ94" s="45">
        <f t="shared" si="97"/>
        <v>0</v>
      </c>
      <c r="BR94" s="45">
        <f t="shared" si="97"/>
        <v>0</v>
      </c>
      <c r="BS94" s="45">
        <f t="shared" si="97"/>
        <v>0</v>
      </c>
      <c r="BT94" s="45">
        <f t="shared" si="97"/>
        <v>0</v>
      </c>
      <c r="BU94" s="45">
        <f t="shared" si="97"/>
        <v>0</v>
      </c>
      <c r="BV94" s="45">
        <f t="shared" si="97"/>
        <v>0</v>
      </c>
      <c r="BW94" s="45">
        <f t="shared" si="97"/>
        <v>0</v>
      </c>
      <c r="BY94" s="12"/>
      <c r="CA94" s="12"/>
      <c r="EX94" s="10" t="str">
        <f t="shared" si="79"/>
        <v/>
      </c>
    </row>
    <row r="95" spans="2:154" x14ac:dyDescent="0.25">
      <c r="B95" s="67" t="str">
        <f ca="1">Loans!B$15</f>
        <v>Loan 3</v>
      </c>
      <c r="D95" s="62" t="str">
        <f>Loans!D$15</f>
        <v>NatWest</v>
      </c>
      <c r="E95" s="159" t="str">
        <f>IF(Loans!I$15=0, "", Loans!I$15)</f>
        <v/>
      </c>
      <c r="F95" s="159" t="str">
        <f>IF(Loans!J$15=0, "", Loans!J$15)</f>
        <v/>
      </c>
      <c r="G95" s="67"/>
      <c r="H95" s="67"/>
      <c r="I95" s="67"/>
      <c r="J95" s="67"/>
      <c r="K95" s="67"/>
      <c r="S95" s="11"/>
      <c r="T95" s="335"/>
      <c r="U95" s="335"/>
      <c r="V95" s="45">
        <f t="shared" si="95"/>
        <v>0</v>
      </c>
      <c r="W95" s="45">
        <f t="shared" ref="W95:BW95" si="98">IF(AND(W49=1,V49=0), 1,0)</f>
        <v>0</v>
      </c>
      <c r="X95" s="45">
        <f t="shared" si="98"/>
        <v>0</v>
      </c>
      <c r="Y95" s="45">
        <f t="shared" si="98"/>
        <v>0</v>
      </c>
      <c r="AA95" s="45">
        <f t="shared" si="98"/>
        <v>0</v>
      </c>
      <c r="AB95" s="45">
        <f t="shared" si="98"/>
        <v>0</v>
      </c>
      <c r="AC95" s="45">
        <f t="shared" si="98"/>
        <v>0</v>
      </c>
      <c r="AD95" s="45">
        <f t="shared" si="98"/>
        <v>0</v>
      </c>
      <c r="AE95" s="45">
        <f t="shared" si="98"/>
        <v>0</v>
      </c>
      <c r="AF95" s="45">
        <f t="shared" si="98"/>
        <v>0</v>
      </c>
      <c r="AG95" s="45">
        <f t="shared" si="98"/>
        <v>0</v>
      </c>
      <c r="AH95" s="45">
        <f t="shared" si="98"/>
        <v>0</v>
      </c>
      <c r="AI95" s="45">
        <f t="shared" si="98"/>
        <v>0</v>
      </c>
      <c r="AJ95" s="45">
        <f t="shared" si="98"/>
        <v>0</v>
      </c>
      <c r="AK95" s="45">
        <f t="shared" si="98"/>
        <v>0</v>
      </c>
      <c r="AL95" s="45">
        <f t="shared" si="98"/>
        <v>0</v>
      </c>
      <c r="AM95" s="45">
        <f t="shared" si="98"/>
        <v>0</v>
      </c>
      <c r="AN95" s="45">
        <f t="shared" si="98"/>
        <v>0</v>
      </c>
      <c r="AO95" s="45">
        <f t="shared" si="98"/>
        <v>0</v>
      </c>
      <c r="AP95" s="45">
        <f t="shared" si="98"/>
        <v>0</v>
      </c>
      <c r="AQ95" s="45">
        <f t="shared" si="98"/>
        <v>0</v>
      </c>
      <c r="AR95" s="45">
        <f t="shared" si="98"/>
        <v>0</v>
      </c>
      <c r="AS95" s="45">
        <f t="shared" si="98"/>
        <v>0</v>
      </c>
      <c r="AT95" s="45">
        <f t="shared" si="98"/>
        <v>0</v>
      </c>
      <c r="AU95" s="45">
        <f t="shared" si="98"/>
        <v>0</v>
      </c>
      <c r="AV95" s="45">
        <f t="shared" si="98"/>
        <v>0</v>
      </c>
      <c r="AW95" s="45">
        <f t="shared" si="98"/>
        <v>0</v>
      </c>
      <c r="AX95" s="45">
        <f t="shared" si="98"/>
        <v>0</v>
      </c>
      <c r="AY95" s="45">
        <f t="shared" si="98"/>
        <v>0</v>
      </c>
      <c r="AZ95" s="45">
        <f t="shared" si="98"/>
        <v>0</v>
      </c>
      <c r="BA95" s="45">
        <f t="shared" si="98"/>
        <v>0</v>
      </c>
      <c r="BB95" s="45">
        <f t="shared" si="98"/>
        <v>0</v>
      </c>
      <c r="BC95" s="45">
        <f t="shared" si="98"/>
        <v>0</v>
      </c>
      <c r="BD95" s="45">
        <f t="shared" si="98"/>
        <v>0</v>
      </c>
      <c r="BE95" s="45">
        <f t="shared" si="98"/>
        <v>0</v>
      </c>
      <c r="BF95" s="45">
        <f t="shared" si="98"/>
        <v>0</v>
      </c>
      <c r="BG95" s="45">
        <f t="shared" si="98"/>
        <v>0</v>
      </c>
      <c r="BH95" s="45">
        <f t="shared" si="98"/>
        <v>0</v>
      </c>
      <c r="BI95" s="45">
        <f t="shared" si="98"/>
        <v>0</v>
      </c>
      <c r="BJ95" s="45">
        <f t="shared" si="98"/>
        <v>0</v>
      </c>
      <c r="BL95" s="45">
        <f t="shared" si="98"/>
        <v>0</v>
      </c>
      <c r="BM95" s="45">
        <f t="shared" si="98"/>
        <v>0</v>
      </c>
      <c r="BN95" s="45">
        <f t="shared" si="98"/>
        <v>0</v>
      </c>
      <c r="BO95" s="45">
        <f t="shared" si="98"/>
        <v>0</v>
      </c>
      <c r="BP95" s="45">
        <f t="shared" si="98"/>
        <v>0</v>
      </c>
      <c r="BQ95" s="45">
        <f t="shared" si="98"/>
        <v>0</v>
      </c>
      <c r="BR95" s="45">
        <f t="shared" si="98"/>
        <v>0</v>
      </c>
      <c r="BS95" s="45">
        <f t="shared" si="98"/>
        <v>0</v>
      </c>
      <c r="BT95" s="45">
        <f t="shared" si="98"/>
        <v>0</v>
      </c>
      <c r="BU95" s="45">
        <f t="shared" si="98"/>
        <v>0</v>
      </c>
      <c r="BV95" s="45">
        <f t="shared" si="98"/>
        <v>0</v>
      </c>
      <c r="BW95" s="45">
        <f t="shared" si="98"/>
        <v>0</v>
      </c>
      <c r="BY95" s="12"/>
      <c r="CA95" s="12"/>
      <c r="EX95" s="10" t="str">
        <f t="shared" si="79"/>
        <v/>
      </c>
    </row>
    <row r="96" spans="2:154" x14ac:dyDescent="0.25">
      <c r="B96" s="67" t="str">
        <f ca="1">Loans!B$16</f>
        <v>Loan 4</v>
      </c>
      <c r="D96" s="62" t="str">
        <f>Loans!D$16</f>
        <v>NatWest</v>
      </c>
      <c r="E96" s="159" t="str">
        <f>IF(Loans!I$16=0, "", Loans!I$16)</f>
        <v/>
      </c>
      <c r="F96" s="159" t="str">
        <f>IF(Loans!J$16=0, "", Loans!J$16)</f>
        <v/>
      </c>
      <c r="G96" s="67"/>
      <c r="H96" s="67"/>
      <c r="I96" s="67"/>
      <c r="J96" s="67"/>
      <c r="K96" s="67"/>
      <c r="S96" s="11"/>
      <c r="T96" s="335"/>
      <c r="U96" s="335"/>
      <c r="V96" s="45">
        <f t="shared" si="95"/>
        <v>0</v>
      </c>
      <c r="W96" s="45">
        <f t="shared" ref="W96:BW96" si="99">IF(AND(W50=1,V50=0), 1,0)</f>
        <v>0</v>
      </c>
      <c r="X96" s="45">
        <f t="shared" si="99"/>
        <v>0</v>
      </c>
      <c r="Y96" s="45">
        <f t="shared" si="99"/>
        <v>0</v>
      </c>
      <c r="AA96" s="45">
        <f t="shared" si="99"/>
        <v>0</v>
      </c>
      <c r="AB96" s="45">
        <f t="shared" si="99"/>
        <v>0</v>
      </c>
      <c r="AC96" s="45">
        <f t="shared" si="99"/>
        <v>0</v>
      </c>
      <c r="AD96" s="45">
        <f t="shared" si="99"/>
        <v>0</v>
      </c>
      <c r="AE96" s="45">
        <f t="shared" si="99"/>
        <v>0</v>
      </c>
      <c r="AF96" s="45">
        <f t="shared" si="99"/>
        <v>0</v>
      </c>
      <c r="AG96" s="45">
        <f t="shared" si="99"/>
        <v>0</v>
      </c>
      <c r="AH96" s="45">
        <f t="shared" si="99"/>
        <v>0</v>
      </c>
      <c r="AI96" s="45">
        <f t="shared" si="99"/>
        <v>0</v>
      </c>
      <c r="AJ96" s="45">
        <f t="shared" si="99"/>
        <v>0</v>
      </c>
      <c r="AK96" s="45">
        <f t="shared" si="99"/>
        <v>0</v>
      </c>
      <c r="AL96" s="45">
        <f t="shared" si="99"/>
        <v>0</v>
      </c>
      <c r="AM96" s="45">
        <f t="shared" si="99"/>
        <v>0</v>
      </c>
      <c r="AN96" s="45">
        <f t="shared" si="99"/>
        <v>0</v>
      </c>
      <c r="AO96" s="45">
        <f t="shared" si="99"/>
        <v>0</v>
      </c>
      <c r="AP96" s="45">
        <f t="shared" si="99"/>
        <v>0</v>
      </c>
      <c r="AQ96" s="45">
        <f t="shared" si="99"/>
        <v>0</v>
      </c>
      <c r="AR96" s="45">
        <f t="shared" si="99"/>
        <v>0</v>
      </c>
      <c r="AS96" s="45">
        <f t="shared" si="99"/>
        <v>0</v>
      </c>
      <c r="AT96" s="45">
        <f t="shared" si="99"/>
        <v>0</v>
      </c>
      <c r="AU96" s="45">
        <f t="shared" si="99"/>
        <v>0</v>
      </c>
      <c r="AV96" s="45">
        <f t="shared" si="99"/>
        <v>0</v>
      </c>
      <c r="AW96" s="45">
        <f t="shared" si="99"/>
        <v>0</v>
      </c>
      <c r="AX96" s="45">
        <f t="shared" si="99"/>
        <v>0</v>
      </c>
      <c r="AY96" s="45">
        <f t="shared" si="99"/>
        <v>0</v>
      </c>
      <c r="AZ96" s="45">
        <f t="shared" si="99"/>
        <v>0</v>
      </c>
      <c r="BA96" s="45">
        <f t="shared" si="99"/>
        <v>0</v>
      </c>
      <c r="BB96" s="45">
        <f t="shared" si="99"/>
        <v>0</v>
      </c>
      <c r="BC96" s="45">
        <f t="shared" si="99"/>
        <v>0</v>
      </c>
      <c r="BD96" s="45">
        <f t="shared" si="99"/>
        <v>0</v>
      </c>
      <c r="BE96" s="45">
        <f t="shared" si="99"/>
        <v>0</v>
      </c>
      <c r="BF96" s="45">
        <f t="shared" si="99"/>
        <v>0</v>
      </c>
      <c r="BG96" s="45">
        <f t="shared" si="99"/>
        <v>0</v>
      </c>
      <c r="BH96" s="45">
        <f t="shared" si="99"/>
        <v>0</v>
      </c>
      <c r="BI96" s="45">
        <f t="shared" si="99"/>
        <v>0</v>
      </c>
      <c r="BJ96" s="45">
        <f t="shared" si="99"/>
        <v>0</v>
      </c>
      <c r="BL96" s="45">
        <f t="shared" si="99"/>
        <v>0</v>
      </c>
      <c r="BM96" s="45">
        <f t="shared" si="99"/>
        <v>0</v>
      </c>
      <c r="BN96" s="45">
        <f t="shared" si="99"/>
        <v>0</v>
      </c>
      <c r="BO96" s="45">
        <f t="shared" si="99"/>
        <v>0</v>
      </c>
      <c r="BP96" s="45">
        <f t="shared" si="99"/>
        <v>0</v>
      </c>
      <c r="BQ96" s="45">
        <f t="shared" si="99"/>
        <v>0</v>
      </c>
      <c r="BR96" s="45">
        <f t="shared" si="99"/>
        <v>0</v>
      </c>
      <c r="BS96" s="45">
        <f t="shared" si="99"/>
        <v>0</v>
      </c>
      <c r="BT96" s="45">
        <f t="shared" si="99"/>
        <v>0</v>
      </c>
      <c r="BU96" s="45">
        <f t="shared" si="99"/>
        <v>0</v>
      </c>
      <c r="BV96" s="45">
        <f t="shared" si="99"/>
        <v>0</v>
      </c>
      <c r="BW96" s="45">
        <f t="shared" si="99"/>
        <v>0</v>
      </c>
      <c r="BY96" s="12"/>
      <c r="CA96" s="12"/>
      <c r="EX96" s="10" t="str">
        <f t="shared" si="79"/>
        <v/>
      </c>
    </row>
    <row r="97" spans="1:154" x14ac:dyDescent="0.25">
      <c r="B97" s="67" t="str">
        <f ca="1">Loans!B$17</f>
        <v>Loan 5</v>
      </c>
      <c r="D97" s="62" t="str">
        <f>Loans!D$17</f>
        <v>NatWest</v>
      </c>
      <c r="E97" s="159" t="str">
        <f>IF(Loans!I$17=0, "", Loans!I$17)</f>
        <v/>
      </c>
      <c r="F97" s="159" t="str">
        <f>IF(Loans!J$17=0, "", Loans!J$17)</f>
        <v/>
      </c>
      <c r="G97" s="67"/>
      <c r="H97" s="67"/>
      <c r="I97" s="67"/>
      <c r="J97" s="67"/>
      <c r="K97" s="67"/>
      <c r="S97" s="11"/>
      <c r="T97" s="335"/>
      <c r="U97" s="335"/>
      <c r="V97" s="45">
        <f t="shared" si="95"/>
        <v>0</v>
      </c>
      <c r="W97" s="45">
        <f t="shared" ref="W97:BW97" si="100">IF(AND(W51=1,V51=0), 1,0)</f>
        <v>0</v>
      </c>
      <c r="X97" s="45">
        <f t="shared" si="100"/>
        <v>0</v>
      </c>
      <c r="Y97" s="45">
        <f t="shared" si="100"/>
        <v>0</v>
      </c>
      <c r="AA97" s="45">
        <f t="shared" si="100"/>
        <v>0</v>
      </c>
      <c r="AB97" s="45">
        <f t="shared" si="100"/>
        <v>0</v>
      </c>
      <c r="AC97" s="45">
        <f t="shared" si="100"/>
        <v>0</v>
      </c>
      <c r="AD97" s="45">
        <f t="shared" si="100"/>
        <v>0</v>
      </c>
      <c r="AE97" s="45">
        <f t="shared" si="100"/>
        <v>0</v>
      </c>
      <c r="AF97" s="45">
        <f t="shared" si="100"/>
        <v>0</v>
      </c>
      <c r="AG97" s="45">
        <f t="shared" si="100"/>
        <v>0</v>
      </c>
      <c r="AH97" s="45">
        <f t="shared" si="100"/>
        <v>0</v>
      </c>
      <c r="AI97" s="45">
        <f t="shared" si="100"/>
        <v>0</v>
      </c>
      <c r="AJ97" s="45">
        <f t="shared" si="100"/>
        <v>0</v>
      </c>
      <c r="AK97" s="45">
        <f t="shared" si="100"/>
        <v>0</v>
      </c>
      <c r="AL97" s="45">
        <f t="shared" si="100"/>
        <v>0</v>
      </c>
      <c r="AM97" s="45">
        <f t="shared" si="100"/>
        <v>0</v>
      </c>
      <c r="AN97" s="45">
        <f t="shared" si="100"/>
        <v>0</v>
      </c>
      <c r="AO97" s="45">
        <f t="shared" si="100"/>
        <v>0</v>
      </c>
      <c r="AP97" s="45">
        <f t="shared" si="100"/>
        <v>0</v>
      </c>
      <c r="AQ97" s="45">
        <f t="shared" si="100"/>
        <v>0</v>
      </c>
      <c r="AR97" s="45">
        <f t="shared" si="100"/>
        <v>0</v>
      </c>
      <c r="AS97" s="45">
        <f t="shared" si="100"/>
        <v>0</v>
      </c>
      <c r="AT97" s="45">
        <f t="shared" si="100"/>
        <v>0</v>
      </c>
      <c r="AU97" s="45">
        <f t="shared" si="100"/>
        <v>0</v>
      </c>
      <c r="AV97" s="45">
        <f t="shared" si="100"/>
        <v>0</v>
      </c>
      <c r="AW97" s="45">
        <f t="shared" si="100"/>
        <v>0</v>
      </c>
      <c r="AX97" s="45">
        <f t="shared" si="100"/>
        <v>0</v>
      </c>
      <c r="AY97" s="45">
        <f t="shared" si="100"/>
        <v>0</v>
      </c>
      <c r="AZ97" s="45">
        <f t="shared" si="100"/>
        <v>0</v>
      </c>
      <c r="BA97" s="45">
        <f t="shared" si="100"/>
        <v>0</v>
      </c>
      <c r="BB97" s="45">
        <f t="shared" si="100"/>
        <v>0</v>
      </c>
      <c r="BC97" s="45">
        <f t="shared" si="100"/>
        <v>0</v>
      </c>
      <c r="BD97" s="45">
        <f t="shared" si="100"/>
        <v>0</v>
      </c>
      <c r="BE97" s="45">
        <f t="shared" si="100"/>
        <v>0</v>
      </c>
      <c r="BF97" s="45">
        <f t="shared" si="100"/>
        <v>0</v>
      </c>
      <c r="BG97" s="45">
        <f t="shared" si="100"/>
        <v>0</v>
      </c>
      <c r="BH97" s="45">
        <f t="shared" si="100"/>
        <v>0</v>
      </c>
      <c r="BI97" s="45">
        <f t="shared" si="100"/>
        <v>0</v>
      </c>
      <c r="BJ97" s="45">
        <f t="shared" si="100"/>
        <v>0</v>
      </c>
      <c r="BL97" s="45">
        <f t="shared" si="100"/>
        <v>0</v>
      </c>
      <c r="BM97" s="45">
        <f t="shared" si="100"/>
        <v>0</v>
      </c>
      <c r="BN97" s="45">
        <f t="shared" si="100"/>
        <v>0</v>
      </c>
      <c r="BO97" s="45">
        <f t="shared" si="100"/>
        <v>0</v>
      </c>
      <c r="BP97" s="45">
        <f t="shared" si="100"/>
        <v>0</v>
      </c>
      <c r="BQ97" s="45">
        <f t="shared" si="100"/>
        <v>0</v>
      </c>
      <c r="BR97" s="45">
        <f t="shared" si="100"/>
        <v>0</v>
      </c>
      <c r="BS97" s="45">
        <f t="shared" si="100"/>
        <v>0</v>
      </c>
      <c r="BT97" s="45">
        <f t="shared" si="100"/>
        <v>0</v>
      </c>
      <c r="BU97" s="45">
        <f t="shared" si="100"/>
        <v>0</v>
      </c>
      <c r="BV97" s="45">
        <f t="shared" si="100"/>
        <v>0</v>
      </c>
      <c r="BW97" s="45">
        <f t="shared" si="100"/>
        <v>0</v>
      </c>
      <c r="BY97" s="12"/>
      <c r="CA97" s="12"/>
      <c r="EX97" s="10" t="str">
        <f t="shared" si="79"/>
        <v/>
      </c>
    </row>
    <row r="98" spans="1:154" x14ac:dyDescent="0.25">
      <c r="B98" s="67" t="str">
        <f ca="1">Loans!B$18</f>
        <v>Loan 6</v>
      </c>
      <c r="D98" s="62">
        <f>Loans!D$18</f>
        <v>0</v>
      </c>
      <c r="E98" s="159" t="str">
        <f>IF(Loans!I$18=0, "", Loans!I$18)</f>
        <v/>
      </c>
      <c r="F98" s="159" t="str">
        <f>IF(Loans!J$18=0, "", Loans!J$18)</f>
        <v/>
      </c>
      <c r="G98" s="67"/>
      <c r="H98" s="67"/>
      <c r="I98" s="67"/>
      <c r="J98" s="67"/>
      <c r="K98" s="67"/>
      <c r="S98" s="11"/>
      <c r="T98" s="335"/>
      <c r="U98" s="335"/>
      <c r="V98" s="45">
        <f t="shared" si="95"/>
        <v>0</v>
      </c>
      <c r="W98" s="45">
        <f t="shared" ref="W98:BW98" si="101">IF(AND(W52=1,V52=0), 1,0)</f>
        <v>0</v>
      </c>
      <c r="X98" s="45">
        <f t="shared" si="101"/>
        <v>0</v>
      </c>
      <c r="Y98" s="45">
        <f t="shared" si="101"/>
        <v>0</v>
      </c>
      <c r="AA98" s="45">
        <f t="shared" si="101"/>
        <v>0</v>
      </c>
      <c r="AB98" s="45">
        <f t="shared" si="101"/>
        <v>0</v>
      </c>
      <c r="AC98" s="45">
        <f t="shared" si="101"/>
        <v>0</v>
      </c>
      <c r="AD98" s="45">
        <f t="shared" si="101"/>
        <v>0</v>
      </c>
      <c r="AE98" s="45">
        <f t="shared" si="101"/>
        <v>0</v>
      </c>
      <c r="AF98" s="45">
        <f t="shared" si="101"/>
        <v>0</v>
      </c>
      <c r="AG98" s="45">
        <f t="shared" si="101"/>
        <v>0</v>
      </c>
      <c r="AH98" s="45">
        <f t="shared" si="101"/>
        <v>0</v>
      </c>
      <c r="AI98" s="45">
        <f t="shared" si="101"/>
        <v>0</v>
      </c>
      <c r="AJ98" s="45">
        <f t="shared" si="101"/>
        <v>0</v>
      </c>
      <c r="AK98" s="45">
        <f t="shared" si="101"/>
        <v>0</v>
      </c>
      <c r="AL98" s="45">
        <f t="shared" si="101"/>
        <v>0</v>
      </c>
      <c r="AM98" s="45">
        <f t="shared" si="101"/>
        <v>0</v>
      </c>
      <c r="AN98" s="45">
        <f t="shared" si="101"/>
        <v>0</v>
      </c>
      <c r="AO98" s="45">
        <f t="shared" si="101"/>
        <v>0</v>
      </c>
      <c r="AP98" s="45">
        <f t="shared" si="101"/>
        <v>0</v>
      </c>
      <c r="AQ98" s="45">
        <f t="shared" si="101"/>
        <v>0</v>
      </c>
      <c r="AR98" s="45">
        <f t="shared" si="101"/>
        <v>0</v>
      </c>
      <c r="AS98" s="45">
        <f t="shared" si="101"/>
        <v>0</v>
      </c>
      <c r="AT98" s="45">
        <f t="shared" si="101"/>
        <v>0</v>
      </c>
      <c r="AU98" s="45">
        <f t="shared" si="101"/>
        <v>0</v>
      </c>
      <c r="AV98" s="45">
        <f t="shared" si="101"/>
        <v>0</v>
      </c>
      <c r="AW98" s="45">
        <f t="shared" si="101"/>
        <v>0</v>
      </c>
      <c r="AX98" s="45">
        <f t="shared" si="101"/>
        <v>0</v>
      </c>
      <c r="AY98" s="45">
        <f t="shared" si="101"/>
        <v>0</v>
      </c>
      <c r="AZ98" s="45">
        <f t="shared" si="101"/>
        <v>0</v>
      </c>
      <c r="BA98" s="45">
        <f t="shared" si="101"/>
        <v>0</v>
      </c>
      <c r="BB98" s="45">
        <f t="shared" si="101"/>
        <v>0</v>
      </c>
      <c r="BC98" s="45">
        <f t="shared" si="101"/>
        <v>0</v>
      </c>
      <c r="BD98" s="45">
        <f t="shared" si="101"/>
        <v>0</v>
      </c>
      <c r="BE98" s="45">
        <f t="shared" si="101"/>
        <v>0</v>
      </c>
      <c r="BF98" s="45">
        <f t="shared" si="101"/>
        <v>0</v>
      </c>
      <c r="BG98" s="45">
        <f t="shared" si="101"/>
        <v>0</v>
      </c>
      <c r="BH98" s="45">
        <f t="shared" si="101"/>
        <v>0</v>
      </c>
      <c r="BI98" s="45">
        <f t="shared" si="101"/>
        <v>0</v>
      </c>
      <c r="BJ98" s="45">
        <f t="shared" si="101"/>
        <v>0</v>
      </c>
      <c r="BL98" s="45">
        <f t="shared" si="101"/>
        <v>0</v>
      </c>
      <c r="BM98" s="45">
        <f t="shared" si="101"/>
        <v>0</v>
      </c>
      <c r="BN98" s="45">
        <f t="shared" si="101"/>
        <v>0</v>
      </c>
      <c r="BO98" s="45">
        <f t="shared" si="101"/>
        <v>0</v>
      </c>
      <c r="BP98" s="45">
        <f t="shared" si="101"/>
        <v>0</v>
      </c>
      <c r="BQ98" s="45">
        <f t="shared" si="101"/>
        <v>0</v>
      </c>
      <c r="BR98" s="45">
        <f t="shared" si="101"/>
        <v>0</v>
      </c>
      <c r="BS98" s="45">
        <f t="shared" si="101"/>
        <v>0</v>
      </c>
      <c r="BT98" s="45">
        <f t="shared" si="101"/>
        <v>0</v>
      </c>
      <c r="BU98" s="45">
        <f t="shared" si="101"/>
        <v>0</v>
      </c>
      <c r="BV98" s="45">
        <f t="shared" si="101"/>
        <v>0</v>
      </c>
      <c r="BW98" s="45">
        <f t="shared" si="101"/>
        <v>0</v>
      </c>
      <c r="BY98" s="12"/>
      <c r="CA98" s="12"/>
      <c r="EX98" s="10" t="str">
        <f t="shared" si="79"/>
        <v/>
      </c>
    </row>
    <row r="99" spans="1:154" s="5" customFormat="1" x14ac:dyDescent="0.25">
      <c r="A99" s="11"/>
      <c r="B99" s="67" t="str">
        <f ca="1">Loans!B$19</f>
        <v>Loan 7</v>
      </c>
      <c r="D99" s="62">
        <f>Loans!D$19</f>
        <v>0</v>
      </c>
      <c r="E99" s="159" t="str">
        <f>IF(Loans!I$19=0, "", Loans!I$19)</f>
        <v/>
      </c>
      <c r="F99" s="159" t="str">
        <f>IF(Loans!J$19=0, "", Loans!J$19)</f>
        <v/>
      </c>
      <c r="G99" s="67"/>
      <c r="H99" s="67"/>
      <c r="I99" s="67"/>
      <c r="J99" s="67"/>
      <c r="K99" s="67"/>
      <c r="N99" s="11"/>
      <c r="O99" s="11"/>
      <c r="P99" s="11"/>
      <c r="Q99" s="11"/>
      <c r="R99" s="11"/>
      <c r="S99" s="11"/>
      <c r="T99" s="335"/>
      <c r="U99" s="335"/>
      <c r="V99" s="45">
        <f t="shared" si="95"/>
        <v>0</v>
      </c>
      <c r="W99" s="45">
        <f>IF(AND(W53=1,V53=0), 1,0)</f>
        <v>0</v>
      </c>
      <c r="X99" s="45">
        <f t="shared" ref="X99:BW99" si="102">IF(AND(X53=1,W53=0), 1,0)</f>
        <v>0</v>
      </c>
      <c r="Y99" s="45">
        <f t="shared" si="102"/>
        <v>0</v>
      </c>
      <c r="Z99" s="11"/>
      <c r="AA99" s="45">
        <f t="shared" si="102"/>
        <v>0</v>
      </c>
      <c r="AB99" s="45">
        <f t="shared" si="102"/>
        <v>0</v>
      </c>
      <c r="AC99" s="45">
        <f t="shared" si="102"/>
        <v>0</v>
      </c>
      <c r="AD99" s="45">
        <f t="shared" si="102"/>
        <v>0</v>
      </c>
      <c r="AE99" s="45">
        <f t="shared" si="102"/>
        <v>0</v>
      </c>
      <c r="AF99" s="45">
        <f t="shared" si="102"/>
        <v>0</v>
      </c>
      <c r="AG99" s="45">
        <f t="shared" si="102"/>
        <v>0</v>
      </c>
      <c r="AH99" s="45">
        <f t="shared" si="102"/>
        <v>0</v>
      </c>
      <c r="AI99" s="45">
        <f t="shared" si="102"/>
        <v>0</v>
      </c>
      <c r="AJ99" s="45">
        <f t="shared" si="102"/>
        <v>0</v>
      </c>
      <c r="AK99" s="45">
        <f t="shared" si="102"/>
        <v>0</v>
      </c>
      <c r="AL99" s="45">
        <f t="shared" si="102"/>
        <v>0</v>
      </c>
      <c r="AM99" s="45">
        <f t="shared" si="102"/>
        <v>0</v>
      </c>
      <c r="AN99" s="45">
        <f t="shared" si="102"/>
        <v>0</v>
      </c>
      <c r="AO99" s="45">
        <f t="shared" si="102"/>
        <v>0</v>
      </c>
      <c r="AP99" s="45">
        <f t="shared" si="102"/>
        <v>0</v>
      </c>
      <c r="AQ99" s="45">
        <f t="shared" si="102"/>
        <v>0</v>
      </c>
      <c r="AR99" s="45">
        <f t="shared" si="102"/>
        <v>0</v>
      </c>
      <c r="AS99" s="45">
        <f t="shared" si="102"/>
        <v>0</v>
      </c>
      <c r="AT99" s="45">
        <f t="shared" si="102"/>
        <v>0</v>
      </c>
      <c r="AU99" s="45">
        <f t="shared" si="102"/>
        <v>0</v>
      </c>
      <c r="AV99" s="45">
        <f t="shared" si="102"/>
        <v>0</v>
      </c>
      <c r="AW99" s="45">
        <f t="shared" si="102"/>
        <v>0</v>
      </c>
      <c r="AX99" s="45">
        <f t="shared" si="102"/>
        <v>0</v>
      </c>
      <c r="AY99" s="45">
        <f t="shared" si="102"/>
        <v>0</v>
      </c>
      <c r="AZ99" s="45">
        <f t="shared" si="102"/>
        <v>0</v>
      </c>
      <c r="BA99" s="45">
        <f t="shared" si="102"/>
        <v>0</v>
      </c>
      <c r="BB99" s="45">
        <f t="shared" si="102"/>
        <v>0</v>
      </c>
      <c r="BC99" s="45">
        <f t="shared" si="102"/>
        <v>0</v>
      </c>
      <c r="BD99" s="45">
        <f t="shared" si="102"/>
        <v>0</v>
      </c>
      <c r="BE99" s="45">
        <f t="shared" si="102"/>
        <v>0</v>
      </c>
      <c r="BF99" s="45">
        <f t="shared" si="102"/>
        <v>0</v>
      </c>
      <c r="BG99" s="45">
        <f t="shared" si="102"/>
        <v>0</v>
      </c>
      <c r="BH99" s="45">
        <f t="shared" si="102"/>
        <v>0</v>
      </c>
      <c r="BI99" s="45">
        <f t="shared" si="102"/>
        <v>0</v>
      </c>
      <c r="BJ99" s="45">
        <f t="shared" si="102"/>
        <v>0</v>
      </c>
      <c r="BK99" s="11"/>
      <c r="BL99" s="45">
        <f t="shared" si="102"/>
        <v>0</v>
      </c>
      <c r="BM99" s="45">
        <f t="shared" si="102"/>
        <v>0</v>
      </c>
      <c r="BN99" s="45">
        <f t="shared" si="102"/>
        <v>0</v>
      </c>
      <c r="BO99" s="45">
        <f t="shared" si="102"/>
        <v>0</v>
      </c>
      <c r="BP99" s="45">
        <f t="shared" si="102"/>
        <v>0</v>
      </c>
      <c r="BQ99" s="45">
        <f t="shared" si="102"/>
        <v>0</v>
      </c>
      <c r="BR99" s="45">
        <f t="shared" si="102"/>
        <v>0</v>
      </c>
      <c r="BS99" s="45">
        <f t="shared" si="102"/>
        <v>0</v>
      </c>
      <c r="BT99" s="45">
        <f t="shared" si="102"/>
        <v>0</v>
      </c>
      <c r="BU99" s="45">
        <f t="shared" si="102"/>
        <v>0</v>
      </c>
      <c r="BV99" s="45">
        <f t="shared" si="102"/>
        <v>0</v>
      </c>
      <c r="BW99" s="45">
        <f t="shared" si="102"/>
        <v>0</v>
      </c>
      <c r="BX99" s="11"/>
      <c r="BY99" s="12"/>
      <c r="BZ99" s="11"/>
      <c r="CA99" s="12"/>
      <c r="EX99" s="10" t="str">
        <f t="shared" si="79"/>
        <v/>
      </c>
    </row>
    <row r="100" spans="1:154" x14ac:dyDescent="0.25">
      <c r="B100" s="67" t="str">
        <f ca="1">Loans!B$20</f>
        <v>Loan 8</v>
      </c>
      <c r="D100" s="62">
        <f>Loans!D$20</f>
        <v>0</v>
      </c>
      <c r="E100" s="159" t="str">
        <f>IF(Loans!I$20=0, "", Loans!I$20)</f>
        <v/>
      </c>
      <c r="F100" s="159" t="str">
        <f>IF(Loans!J$20=0, "", Loans!J$20)</f>
        <v/>
      </c>
      <c r="G100" s="67"/>
      <c r="H100" s="67"/>
      <c r="I100" s="67"/>
      <c r="J100" s="67"/>
      <c r="K100" s="67"/>
      <c r="S100" s="11"/>
      <c r="T100" s="335"/>
      <c r="U100" s="335"/>
      <c r="V100" s="45">
        <f t="shared" si="95"/>
        <v>0</v>
      </c>
      <c r="W100" s="45">
        <f t="shared" ref="W100:BW100" si="103">IF(AND(W54=1,V54=0), 1,0)</f>
        <v>0</v>
      </c>
      <c r="X100" s="45">
        <f t="shared" si="103"/>
        <v>0</v>
      </c>
      <c r="Y100" s="45">
        <f t="shared" si="103"/>
        <v>0</v>
      </c>
      <c r="AA100" s="45">
        <f t="shared" si="103"/>
        <v>0</v>
      </c>
      <c r="AB100" s="45">
        <f t="shared" si="103"/>
        <v>0</v>
      </c>
      <c r="AC100" s="45">
        <f t="shared" si="103"/>
        <v>0</v>
      </c>
      <c r="AD100" s="45">
        <f t="shared" si="103"/>
        <v>0</v>
      </c>
      <c r="AE100" s="45">
        <f t="shared" si="103"/>
        <v>0</v>
      </c>
      <c r="AF100" s="45">
        <f t="shared" si="103"/>
        <v>0</v>
      </c>
      <c r="AG100" s="45">
        <f t="shared" si="103"/>
        <v>0</v>
      </c>
      <c r="AH100" s="45">
        <f t="shared" si="103"/>
        <v>0</v>
      </c>
      <c r="AI100" s="45">
        <f t="shared" si="103"/>
        <v>0</v>
      </c>
      <c r="AJ100" s="45">
        <f t="shared" si="103"/>
        <v>0</v>
      </c>
      <c r="AK100" s="45">
        <f t="shared" si="103"/>
        <v>0</v>
      </c>
      <c r="AL100" s="45">
        <f t="shared" si="103"/>
        <v>0</v>
      </c>
      <c r="AM100" s="45">
        <f t="shared" si="103"/>
        <v>0</v>
      </c>
      <c r="AN100" s="45">
        <f t="shared" si="103"/>
        <v>0</v>
      </c>
      <c r="AO100" s="45">
        <f t="shared" si="103"/>
        <v>0</v>
      </c>
      <c r="AP100" s="45">
        <f t="shared" si="103"/>
        <v>0</v>
      </c>
      <c r="AQ100" s="45">
        <f t="shared" si="103"/>
        <v>0</v>
      </c>
      <c r="AR100" s="45">
        <f t="shared" si="103"/>
        <v>0</v>
      </c>
      <c r="AS100" s="45">
        <f t="shared" si="103"/>
        <v>0</v>
      </c>
      <c r="AT100" s="45">
        <f t="shared" si="103"/>
        <v>0</v>
      </c>
      <c r="AU100" s="45">
        <f t="shared" si="103"/>
        <v>0</v>
      </c>
      <c r="AV100" s="45">
        <f t="shared" si="103"/>
        <v>0</v>
      </c>
      <c r="AW100" s="45">
        <f t="shared" si="103"/>
        <v>0</v>
      </c>
      <c r="AX100" s="45">
        <f t="shared" si="103"/>
        <v>0</v>
      </c>
      <c r="AY100" s="45">
        <f t="shared" si="103"/>
        <v>0</v>
      </c>
      <c r="AZ100" s="45">
        <f t="shared" si="103"/>
        <v>0</v>
      </c>
      <c r="BA100" s="45">
        <f t="shared" si="103"/>
        <v>0</v>
      </c>
      <c r="BB100" s="45">
        <f t="shared" si="103"/>
        <v>0</v>
      </c>
      <c r="BC100" s="45">
        <f t="shared" si="103"/>
        <v>0</v>
      </c>
      <c r="BD100" s="45">
        <f t="shared" si="103"/>
        <v>0</v>
      </c>
      <c r="BE100" s="45">
        <f t="shared" si="103"/>
        <v>0</v>
      </c>
      <c r="BF100" s="45">
        <f t="shared" si="103"/>
        <v>0</v>
      </c>
      <c r="BG100" s="45">
        <f t="shared" si="103"/>
        <v>0</v>
      </c>
      <c r="BH100" s="45">
        <f t="shared" si="103"/>
        <v>0</v>
      </c>
      <c r="BI100" s="45">
        <f t="shared" si="103"/>
        <v>0</v>
      </c>
      <c r="BJ100" s="45">
        <f t="shared" si="103"/>
        <v>0</v>
      </c>
      <c r="BL100" s="45">
        <f t="shared" si="103"/>
        <v>0</v>
      </c>
      <c r="BM100" s="45">
        <f t="shared" si="103"/>
        <v>0</v>
      </c>
      <c r="BN100" s="45">
        <f t="shared" si="103"/>
        <v>0</v>
      </c>
      <c r="BO100" s="45">
        <f t="shared" si="103"/>
        <v>0</v>
      </c>
      <c r="BP100" s="45">
        <f t="shared" si="103"/>
        <v>0</v>
      </c>
      <c r="BQ100" s="45">
        <f t="shared" si="103"/>
        <v>0</v>
      </c>
      <c r="BR100" s="45">
        <f t="shared" si="103"/>
        <v>0</v>
      </c>
      <c r="BS100" s="45">
        <f t="shared" si="103"/>
        <v>0</v>
      </c>
      <c r="BT100" s="45">
        <f t="shared" si="103"/>
        <v>0</v>
      </c>
      <c r="BU100" s="45">
        <f t="shared" si="103"/>
        <v>0</v>
      </c>
      <c r="BV100" s="45">
        <f t="shared" si="103"/>
        <v>0</v>
      </c>
      <c r="BW100" s="45">
        <f t="shared" si="103"/>
        <v>0</v>
      </c>
      <c r="BY100" s="12"/>
      <c r="CA100" s="12"/>
      <c r="EX100" s="10" t="str">
        <f t="shared" si="79"/>
        <v/>
      </c>
    </row>
    <row r="101" spans="1:154" x14ac:dyDescent="0.25">
      <c r="B101" s="67" t="str">
        <f ca="1">Loans!B$21</f>
        <v>Loan 9</v>
      </c>
      <c r="D101" s="62">
        <f>Loans!D$21</f>
        <v>0</v>
      </c>
      <c r="E101" s="159" t="str">
        <f>IF(Loans!I$21=0, "", Loans!I$21)</f>
        <v/>
      </c>
      <c r="F101" s="159" t="str">
        <f>IF(Loans!J$21=0, "", Loans!J$21)</f>
        <v/>
      </c>
      <c r="G101" s="67"/>
      <c r="H101" s="67"/>
      <c r="I101" s="67"/>
      <c r="J101" s="67"/>
      <c r="K101" s="67"/>
      <c r="S101" s="11"/>
      <c r="T101" s="335"/>
      <c r="U101" s="335"/>
      <c r="V101" s="45">
        <f t="shared" si="95"/>
        <v>0</v>
      </c>
      <c r="W101" s="45">
        <f t="shared" ref="W101:BW101" si="104">IF(AND(W55=1,V55=0), 1,0)</f>
        <v>0</v>
      </c>
      <c r="X101" s="45">
        <f t="shared" si="104"/>
        <v>0</v>
      </c>
      <c r="Y101" s="45">
        <f t="shared" si="104"/>
        <v>0</v>
      </c>
      <c r="AA101" s="45">
        <f t="shared" si="104"/>
        <v>0</v>
      </c>
      <c r="AB101" s="45">
        <f t="shared" si="104"/>
        <v>0</v>
      </c>
      <c r="AC101" s="45">
        <f t="shared" si="104"/>
        <v>0</v>
      </c>
      <c r="AD101" s="45">
        <f t="shared" si="104"/>
        <v>0</v>
      </c>
      <c r="AE101" s="45">
        <f t="shared" si="104"/>
        <v>0</v>
      </c>
      <c r="AF101" s="45">
        <f t="shared" si="104"/>
        <v>0</v>
      </c>
      <c r="AG101" s="45">
        <f t="shared" si="104"/>
        <v>0</v>
      </c>
      <c r="AH101" s="45">
        <f t="shared" si="104"/>
        <v>0</v>
      </c>
      <c r="AI101" s="45">
        <f t="shared" si="104"/>
        <v>0</v>
      </c>
      <c r="AJ101" s="45">
        <f t="shared" si="104"/>
        <v>0</v>
      </c>
      <c r="AK101" s="45">
        <f t="shared" si="104"/>
        <v>0</v>
      </c>
      <c r="AL101" s="45">
        <f t="shared" si="104"/>
        <v>0</v>
      </c>
      <c r="AM101" s="45">
        <f t="shared" si="104"/>
        <v>0</v>
      </c>
      <c r="AN101" s="45">
        <f t="shared" si="104"/>
        <v>0</v>
      </c>
      <c r="AO101" s="45">
        <f t="shared" si="104"/>
        <v>0</v>
      </c>
      <c r="AP101" s="45">
        <f t="shared" si="104"/>
        <v>0</v>
      </c>
      <c r="AQ101" s="45">
        <f t="shared" si="104"/>
        <v>0</v>
      </c>
      <c r="AR101" s="45">
        <f t="shared" si="104"/>
        <v>0</v>
      </c>
      <c r="AS101" s="45">
        <f t="shared" si="104"/>
        <v>0</v>
      </c>
      <c r="AT101" s="45">
        <f t="shared" si="104"/>
        <v>0</v>
      </c>
      <c r="AU101" s="45">
        <f t="shared" si="104"/>
        <v>0</v>
      </c>
      <c r="AV101" s="45">
        <f t="shared" si="104"/>
        <v>0</v>
      </c>
      <c r="AW101" s="45">
        <f t="shared" si="104"/>
        <v>0</v>
      </c>
      <c r="AX101" s="45">
        <f t="shared" si="104"/>
        <v>0</v>
      </c>
      <c r="AY101" s="45">
        <f t="shared" si="104"/>
        <v>0</v>
      </c>
      <c r="AZ101" s="45">
        <f t="shared" si="104"/>
        <v>0</v>
      </c>
      <c r="BA101" s="45">
        <f t="shared" si="104"/>
        <v>0</v>
      </c>
      <c r="BB101" s="45">
        <f t="shared" si="104"/>
        <v>0</v>
      </c>
      <c r="BC101" s="45">
        <f t="shared" si="104"/>
        <v>0</v>
      </c>
      <c r="BD101" s="45">
        <f t="shared" si="104"/>
        <v>0</v>
      </c>
      <c r="BE101" s="45">
        <f t="shared" si="104"/>
        <v>0</v>
      </c>
      <c r="BF101" s="45">
        <f t="shared" si="104"/>
        <v>0</v>
      </c>
      <c r="BG101" s="45">
        <f t="shared" si="104"/>
        <v>0</v>
      </c>
      <c r="BH101" s="45">
        <f t="shared" si="104"/>
        <v>0</v>
      </c>
      <c r="BI101" s="45">
        <f t="shared" si="104"/>
        <v>0</v>
      </c>
      <c r="BJ101" s="45">
        <f t="shared" si="104"/>
        <v>0</v>
      </c>
      <c r="BL101" s="45">
        <f t="shared" si="104"/>
        <v>0</v>
      </c>
      <c r="BM101" s="45">
        <f t="shared" si="104"/>
        <v>0</v>
      </c>
      <c r="BN101" s="45">
        <f t="shared" si="104"/>
        <v>0</v>
      </c>
      <c r="BO101" s="45">
        <f t="shared" si="104"/>
        <v>0</v>
      </c>
      <c r="BP101" s="45">
        <f t="shared" si="104"/>
        <v>0</v>
      </c>
      <c r="BQ101" s="45">
        <f t="shared" si="104"/>
        <v>0</v>
      </c>
      <c r="BR101" s="45">
        <f t="shared" si="104"/>
        <v>0</v>
      </c>
      <c r="BS101" s="45">
        <f t="shared" si="104"/>
        <v>0</v>
      </c>
      <c r="BT101" s="45">
        <f t="shared" si="104"/>
        <v>0</v>
      </c>
      <c r="BU101" s="45">
        <f t="shared" si="104"/>
        <v>0</v>
      </c>
      <c r="BV101" s="45">
        <f t="shared" si="104"/>
        <v>0</v>
      </c>
      <c r="BW101" s="45">
        <f t="shared" si="104"/>
        <v>0</v>
      </c>
      <c r="BY101" s="12"/>
      <c r="CA101" s="12"/>
      <c r="EX101" s="10" t="str">
        <f t="shared" si="79"/>
        <v/>
      </c>
    </row>
    <row r="102" spans="1:154" x14ac:dyDescent="0.25">
      <c r="B102" s="67" t="str">
        <f ca="1">Loans!B$22</f>
        <v>Loan 10</v>
      </c>
      <c r="D102" s="62">
        <f>Loans!D$22</f>
        <v>0</v>
      </c>
      <c r="E102" s="159" t="str">
        <f>IF(Loans!I$22=0, "", Loans!I$22)</f>
        <v/>
      </c>
      <c r="F102" s="159" t="str">
        <f>IF(Loans!J$22=0, "", Loans!J$22)</f>
        <v/>
      </c>
      <c r="G102" s="67"/>
      <c r="H102" s="67"/>
      <c r="I102" s="67"/>
      <c r="J102" s="67"/>
      <c r="K102" s="67"/>
      <c r="S102" s="11"/>
      <c r="T102" s="335"/>
      <c r="U102" s="335"/>
      <c r="V102" s="45">
        <f t="shared" si="95"/>
        <v>0</v>
      </c>
      <c r="W102" s="45">
        <f t="shared" ref="W102:BW102" si="105">IF(AND(W56=1,V56=0), 1,0)</f>
        <v>0</v>
      </c>
      <c r="X102" s="45">
        <f t="shared" si="105"/>
        <v>0</v>
      </c>
      <c r="Y102" s="45">
        <f t="shared" si="105"/>
        <v>0</v>
      </c>
      <c r="AA102" s="45">
        <f t="shared" si="105"/>
        <v>0</v>
      </c>
      <c r="AB102" s="45">
        <f t="shared" si="105"/>
        <v>0</v>
      </c>
      <c r="AC102" s="45">
        <f t="shared" si="105"/>
        <v>0</v>
      </c>
      <c r="AD102" s="45">
        <f t="shared" si="105"/>
        <v>0</v>
      </c>
      <c r="AE102" s="45">
        <f t="shared" si="105"/>
        <v>0</v>
      </c>
      <c r="AF102" s="45">
        <f t="shared" si="105"/>
        <v>0</v>
      </c>
      <c r="AG102" s="45">
        <f t="shared" si="105"/>
        <v>0</v>
      </c>
      <c r="AH102" s="45">
        <f t="shared" si="105"/>
        <v>0</v>
      </c>
      <c r="AI102" s="45">
        <f t="shared" si="105"/>
        <v>0</v>
      </c>
      <c r="AJ102" s="45">
        <f t="shared" si="105"/>
        <v>0</v>
      </c>
      <c r="AK102" s="45">
        <f t="shared" si="105"/>
        <v>0</v>
      </c>
      <c r="AL102" s="45">
        <f t="shared" si="105"/>
        <v>0</v>
      </c>
      <c r="AM102" s="45">
        <f t="shared" si="105"/>
        <v>0</v>
      </c>
      <c r="AN102" s="45">
        <f t="shared" si="105"/>
        <v>0</v>
      </c>
      <c r="AO102" s="45">
        <f t="shared" si="105"/>
        <v>0</v>
      </c>
      <c r="AP102" s="45">
        <f t="shared" si="105"/>
        <v>0</v>
      </c>
      <c r="AQ102" s="45">
        <f t="shared" si="105"/>
        <v>0</v>
      </c>
      <c r="AR102" s="45">
        <f t="shared" si="105"/>
        <v>0</v>
      </c>
      <c r="AS102" s="45">
        <f t="shared" si="105"/>
        <v>0</v>
      </c>
      <c r="AT102" s="45">
        <f t="shared" si="105"/>
        <v>0</v>
      </c>
      <c r="AU102" s="45">
        <f t="shared" si="105"/>
        <v>0</v>
      </c>
      <c r="AV102" s="45">
        <f t="shared" si="105"/>
        <v>0</v>
      </c>
      <c r="AW102" s="45">
        <f t="shared" si="105"/>
        <v>0</v>
      </c>
      <c r="AX102" s="45">
        <f t="shared" si="105"/>
        <v>0</v>
      </c>
      <c r="AY102" s="45">
        <f t="shared" si="105"/>
        <v>0</v>
      </c>
      <c r="AZ102" s="45">
        <f t="shared" si="105"/>
        <v>0</v>
      </c>
      <c r="BA102" s="45">
        <f t="shared" si="105"/>
        <v>0</v>
      </c>
      <c r="BB102" s="45">
        <f t="shared" si="105"/>
        <v>0</v>
      </c>
      <c r="BC102" s="45">
        <f t="shared" si="105"/>
        <v>0</v>
      </c>
      <c r="BD102" s="45">
        <f t="shared" si="105"/>
        <v>0</v>
      </c>
      <c r="BE102" s="45">
        <f t="shared" si="105"/>
        <v>0</v>
      </c>
      <c r="BF102" s="45">
        <f t="shared" si="105"/>
        <v>0</v>
      </c>
      <c r="BG102" s="45">
        <f t="shared" si="105"/>
        <v>0</v>
      </c>
      <c r="BH102" s="45">
        <f t="shared" si="105"/>
        <v>0</v>
      </c>
      <c r="BI102" s="45">
        <f t="shared" si="105"/>
        <v>0</v>
      </c>
      <c r="BJ102" s="45">
        <f t="shared" si="105"/>
        <v>0</v>
      </c>
      <c r="BL102" s="45">
        <f t="shared" si="105"/>
        <v>0</v>
      </c>
      <c r="BM102" s="45">
        <f t="shared" si="105"/>
        <v>0</v>
      </c>
      <c r="BN102" s="45">
        <f t="shared" si="105"/>
        <v>0</v>
      </c>
      <c r="BO102" s="45">
        <f t="shared" si="105"/>
        <v>0</v>
      </c>
      <c r="BP102" s="45">
        <f t="shared" si="105"/>
        <v>0</v>
      </c>
      <c r="BQ102" s="45">
        <f t="shared" si="105"/>
        <v>0</v>
      </c>
      <c r="BR102" s="45">
        <f t="shared" si="105"/>
        <v>0</v>
      </c>
      <c r="BS102" s="45">
        <f t="shared" si="105"/>
        <v>0</v>
      </c>
      <c r="BT102" s="45">
        <f t="shared" si="105"/>
        <v>0</v>
      </c>
      <c r="BU102" s="45">
        <f t="shared" si="105"/>
        <v>0</v>
      </c>
      <c r="BV102" s="45">
        <f t="shared" si="105"/>
        <v>0</v>
      </c>
      <c r="BW102" s="45">
        <f t="shared" si="105"/>
        <v>0</v>
      </c>
      <c r="BY102" s="12"/>
      <c r="CA102" s="12"/>
      <c r="EX102" s="10" t="str">
        <f t="shared" si="79"/>
        <v/>
      </c>
    </row>
    <row r="103" spans="1:154" x14ac:dyDescent="0.25">
      <c r="B103" s="67" t="str">
        <f ca="1">Loans!B$23</f>
        <v>Loan 11</v>
      </c>
      <c r="D103" s="62">
        <f>Loans!D$23</f>
        <v>0</v>
      </c>
      <c r="E103" s="159" t="str">
        <f>IF(Loans!I$23=0, "", Loans!I$23)</f>
        <v/>
      </c>
      <c r="F103" s="159" t="str">
        <f>IF(Loans!J$23=0, "", Loans!J$23)</f>
        <v/>
      </c>
      <c r="G103" s="67"/>
      <c r="H103" s="67"/>
      <c r="I103" s="67"/>
      <c r="J103" s="67"/>
      <c r="K103" s="67"/>
      <c r="S103" s="11"/>
      <c r="T103" s="335"/>
      <c r="U103" s="335"/>
      <c r="V103" s="45">
        <f t="shared" si="95"/>
        <v>0</v>
      </c>
      <c r="W103" s="45">
        <f t="shared" ref="W103:BW103" si="106">IF(AND(W57=1,V57=0), 1,0)</f>
        <v>0</v>
      </c>
      <c r="X103" s="45">
        <f t="shared" si="106"/>
        <v>0</v>
      </c>
      <c r="Y103" s="45">
        <f t="shared" si="106"/>
        <v>0</v>
      </c>
      <c r="AA103" s="45">
        <f t="shared" si="106"/>
        <v>0</v>
      </c>
      <c r="AB103" s="45">
        <f t="shared" si="106"/>
        <v>0</v>
      </c>
      <c r="AC103" s="45">
        <f t="shared" si="106"/>
        <v>0</v>
      </c>
      <c r="AD103" s="45">
        <f t="shared" si="106"/>
        <v>0</v>
      </c>
      <c r="AE103" s="45">
        <f t="shared" si="106"/>
        <v>0</v>
      </c>
      <c r="AF103" s="45">
        <f t="shared" si="106"/>
        <v>0</v>
      </c>
      <c r="AG103" s="45">
        <f t="shared" si="106"/>
        <v>0</v>
      </c>
      <c r="AH103" s="45">
        <f t="shared" si="106"/>
        <v>0</v>
      </c>
      <c r="AI103" s="45">
        <f t="shared" si="106"/>
        <v>0</v>
      </c>
      <c r="AJ103" s="45">
        <f t="shared" si="106"/>
        <v>0</v>
      </c>
      <c r="AK103" s="45">
        <f t="shared" si="106"/>
        <v>0</v>
      </c>
      <c r="AL103" s="45">
        <f t="shared" si="106"/>
        <v>0</v>
      </c>
      <c r="AM103" s="45">
        <f t="shared" si="106"/>
        <v>0</v>
      </c>
      <c r="AN103" s="45">
        <f t="shared" si="106"/>
        <v>0</v>
      </c>
      <c r="AO103" s="45">
        <f t="shared" si="106"/>
        <v>0</v>
      </c>
      <c r="AP103" s="45">
        <f t="shared" si="106"/>
        <v>0</v>
      </c>
      <c r="AQ103" s="45">
        <f t="shared" si="106"/>
        <v>0</v>
      </c>
      <c r="AR103" s="45">
        <f t="shared" si="106"/>
        <v>0</v>
      </c>
      <c r="AS103" s="45">
        <f t="shared" si="106"/>
        <v>0</v>
      </c>
      <c r="AT103" s="45">
        <f t="shared" si="106"/>
        <v>0</v>
      </c>
      <c r="AU103" s="45">
        <f t="shared" si="106"/>
        <v>0</v>
      </c>
      <c r="AV103" s="45">
        <f t="shared" si="106"/>
        <v>0</v>
      </c>
      <c r="AW103" s="45">
        <f t="shared" si="106"/>
        <v>0</v>
      </c>
      <c r="AX103" s="45">
        <f t="shared" si="106"/>
        <v>0</v>
      </c>
      <c r="AY103" s="45">
        <f t="shared" si="106"/>
        <v>0</v>
      </c>
      <c r="AZ103" s="45">
        <f t="shared" si="106"/>
        <v>0</v>
      </c>
      <c r="BA103" s="45">
        <f t="shared" si="106"/>
        <v>0</v>
      </c>
      <c r="BB103" s="45">
        <f t="shared" si="106"/>
        <v>0</v>
      </c>
      <c r="BC103" s="45">
        <f t="shared" si="106"/>
        <v>0</v>
      </c>
      <c r="BD103" s="45">
        <f t="shared" si="106"/>
        <v>0</v>
      </c>
      <c r="BE103" s="45">
        <f t="shared" si="106"/>
        <v>0</v>
      </c>
      <c r="BF103" s="45">
        <f t="shared" si="106"/>
        <v>0</v>
      </c>
      <c r="BG103" s="45">
        <f t="shared" si="106"/>
        <v>0</v>
      </c>
      <c r="BH103" s="45">
        <f t="shared" si="106"/>
        <v>0</v>
      </c>
      <c r="BI103" s="45">
        <f t="shared" si="106"/>
        <v>0</v>
      </c>
      <c r="BJ103" s="45">
        <f t="shared" si="106"/>
        <v>0</v>
      </c>
      <c r="BL103" s="45">
        <f t="shared" si="106"/>
        <v>0</v>
      </c>
      <c r="BM103" s="45">
        <f t="shared" si="106"/>
        <v>0</v>
      </c>
      <c r="BN103" s="45">
        <f t="shared" si="106"/>
        <v>0</v>
      </c>
      <c r="BO103" s="45">
        <f t="shared" si="106"/>
        <v>0</v>
      </c>
      <c r="BP103" s="45">
        <f t="shared" si="106"/>
        <v>0</v>
      </c>
      <c r="BQ103" s="45">
        <f t="shared" si="106"/>
        <v>0</v>
      </c>
      <c r="BR103" s="45">
        <f t="shared" si="106"/>
        <v>0</v>
      </c>
      <c r="BS103" s="45">
        <f t="shared" si="106"/>
        <v>0</v>
      </c>
      <c r="BT103" s="45">
        <f t="shared" si="106"/>
        <v>0</v>
      </c>
      <c r="BU103" s="45">
        <f t="shared" si="106"/>
        <v>0</v>
      </c>
      <c r="BV103" s="45">
        <f t="shared" si="106"/>
        <v>0</v>
      </c>
      <c r="BW103" s="45">
        <f t="shared" si="106"/>
        <v>0</v>
      </c>
      <c r="BY103" s="12"/>
      <c r="CA103" s="12"/>
      <c r="EX103" s="10" t="str">
        <f t="shared" si="79"/>
        <v/>
      </c>
    </row>
    <row r="104" spans="1:154" x14ac:dyDescent="0.25">
      <c r="B104" s="67" t="str">
        <f ca="1">Loans!B$24</f>
        <v>Loan 12</v>
      </c>
      <c r="D104" s="62">
        <f>Loans!D$24</f>
        <v>0</v>
      </c>
      <c r="E104" s="159" t="str">
        <f>IF(Loans!I$24=0, "", Loans!I$24)</f>
        <v/>
      </c>
      <c r="F104" s="159" t="str">
        <f>IF(Loans!J$24=0, "", Loans!J$24)</f>
        <v/>
      </c>
      <c r="G104" s="67"/>
      <c r="H104" s="67"/>
      <c r="I104" s="67"/>
      <c r="J104" s="67"/>
      <c r="K104" s="67"/>
      <c r="S104" s="11"/>
      <c r="T104" s="335"/>
      <c r="U104" s="335"/>
      <c r="V104" s="45">
        <f t="shared" si="95"/>
        <v>0</v>
      </c>
      <c r="W104" s="45">
        <f t="shared" ref="W104:BW104" si="107">IF(AND(W58=1,V58=0), 1,0)</f>
        <v>0</v>
      </c>
      <c r="X104" s="45">
        <f t="shared" si="107"/>
        <v>0</v>
      </c>
      <c r="Y104" s="45">
        <f t="shared" si="107"/>
        <v>0</v>
      </c>
      <c r="AA104" s="45">
        <f t="shared" si="107"/>
        <v>0</v>
      </c>
      <c r="AB104" s="45">
        <f t="shared" si="107"/>
        <v>0</v>
      </c>
      <c r="AC104" s="45">
        <f t="shared" si="107"/>
        <v>0</v>
      </c>
      <c r="AD104" s="45">
        <f t="shared" si="107"/>
        <v>0</v>
      </c>
      <c r="AE104" s="45">
        <f t="shared" si="107"/>
        <v>0</v>
      </c>
      <c r="AF104" s="45">
        <f t="shared" si="107"/>
        <v>0</v>
      </c>
      <c r="AG104" s="45">
        <f t="shared" si="107"/>
        <v>0</v>
      </c>
      <c r="AH104" s="45">
        <f t="shared" si="107"/>
        <v>0</v>
      </c>
      <c r="AI104" s="45">
        <f t="shared" si="107"/>
        <v>0</v>
      </c>
      <c r="AJ104" s="45">
        <f t="shared" si="107"/>
        <v>0</v>
      </c>
      <c r="AK104" s="45">
        <f t="shared" si="107"/>
        <v>0</v>
      </c>
      <c r="AL104" s="45">
        <f t="shared" si="107"/>
        <v>0</v>
      </c>
      <c r="AM104" s="45">
        <f t="shared" si="107"/>
        <v>0</v>
      </c>
      <c r="AN104" s="45">
        <f t="shared" si="107"/>
        <v>0</v>
      </c>
      <c r="AO104" s="45">
        <f t="shared" si="107"/>
        <v>0</v>
      </c>
      <c r="AP104" s="45">
        <f t="shared" si="107"/>
        <v>0</v>
      </c>
      <c r="AQ104" s="45">
        <f t="shared" si="107"/>
        <v>0</v>
      </c>
      <c r="AR104" s="45">
        <f t="shared" si="107"/>
        <v>0</v>
      </c>
      <c r="AS104" s="45">
        <f t="shared" si="107"/>
        <v>0</v>
      </c>
      <c r="AT104" s="45">
        <f t="shared" si="107"/>
        <v>0</v>
      </c>
      <c r="AU104" s="45">
        <f t="shared" si="107"/>
        <v>0</v>
      </c>
      <c r="AV104" s="45">
        <f t="shared" si="107"/>
        <v>0</v>
      </c>
      <c r="AW104" s="45">
        <f t="shared" si="107"/>
        <v>0</v>
      </c>
      <c r="AX104" s="45">
        <f t="shared" si="107"/>
        <v>0</v>
      </c>
      <c r="AY104" s="45">
        <f t="shared" si="107"/>
        <v>0</v>
      </c>
      <c r="AZ104" s="45">
        <f t="shared" si="107"/>
        <v>0</v>
      </c>
      <c r="BA104" s="45">
        <f t="shared" si="107"/>
        <v>0</v>
      </c>
      <c r="BB104" s="45">
        <f t="shared" si="107"/>
        <v>0</v>
      </c>
      <c r="BC104" s="45">
        <f t="shared" si="107"/>
        <v>0</v>
      </c>
      <c r="BD104" s="45">
        <f t="shared" si="107"/>
        <v>0</v>
      </c>
      <c r="BE104" s="45">
        <f t="shared" si="107"/>
        <v>0</v>
      </c>
      <c r="BF104" s="45">
        <f t="shared" si="107"/>
        <v>0</v>
      </c>
      <c r="BG104" s="45">
        <f t="shared" si="107"/>
        <v>0</v>
      </c>
      <c r="BH104" s="45">
        <f t="shared" si="107"/>
        <v>0</v>
      </c>
      <c r="BI104" s="45">
        <f t="shared" si="107"/>
        <v>0</v>
      </c>
      <c r="BJ104" s="45">
        <f t="shared" si="107"/>
        <v>0</v>
      </c>
      <c r="BL104" s="45">
        <f t="shared" si="107"/>
        <v>0</v>
      </c>
      <c r="BM104" s="45">
        <f t="shared" si="107"/>
        <v>0</v>
      </c>
      <c r="BN104" s="45">
        <f t="shared" si="107"/>
        <v>0</v>
      </c>
      <c r="BO104" s="45">
        <f t="shared" si="107"/>
        <v>0</v>
      </c>
      <c r="BP104" s="45">
        <f t="shared" si="107"/>
        <v>0</v>
      </c>
      <c r="BQ104" s="45">
        <f t="shared" si="107"/>
        <v>0</v>
      </c>
      <c r="BR104" s="45">
        <f t="shared" si="107"/>
        <v>0</v>
      </c>
      <c r="BS104" s="45">
        <f t="shared" si="107"/>
        <v>0</v>
      </c>
      <c r="BT104" s="45">
        <f t="shared" si="107"/>
        <v>0</v>
      </c>
      <c r="BU104" s="45">
        <f t="shared" si="107"/>
        <v>0</v>
      </c>
      <c r="BV104" s="45">
        <f t="shared" si="107"/>
        <v>0</v>
      </c>
      <c r="BW104" s="45">
        <f t="shared" si="107"/>
        <v>0</v>
      </c>
      <c r="BY104" s="12"/>
      <c r="CA104" s="12"/>
      <c r="EX104" s="10" t="str">
        <f t="shared" si="79"/>
        <v/>
      </c>
    </row>
    <row r="105" spans="1:154" x14ac:dyDescent="0.25">
      <c r="B105" s="67" t="str">
        <f ca="1">Loans!B$25</f>
        <v>Loan 13</v>
      </c>
      <c r="D105" s="62">
        <f>Loans!D$25</f>
        <v>0</v>
      </c>
      <c r="E105" s="159" t="str">
        <f>IF(Loans!I$25=0, "", Loans!I$25)</f>
        <v/>
      </c>
      <c r="F105" s="159" t="str">
        <f>IF(Loans!J$25=0, "", Loans!J$25)</f>
        <v/>
      </c>
      <c r="G105" s="67"/>
      <c r="H105" s="67"/>
      <c r="I105" s="67"/>
      <c r="J105" s="67"/>
      <c r="K105" s="67"/>
      <c r="S105" s="11"/>
      <c r="T105" s="335"/>
      <c r="U105" s="335"/>
      <c r="V105" s="45">
        <f t="shared" si="95"/>
        <v>0</v>
      </c>
      <c r="W105" s="45">
        <f t="shared" ref="W105:BW105" si="108">IF(AND(W59=1,V59=0), 1,0)</f>
        <v>0</v>
      </c>
      <c r="X105" s="45">
        <f t="shared" si="108"/>
        <v>0</v>
      </c>
      <c r="Y105" s="45">
        <f t="shared" si="108"/>
        <v>0</v>
      </c>
      <c r="AA105" s="45">
        <f t="shared" si="108"/>
        <v>0</v>
      </c>
      <c r="AB105" s="45">
        <f t="shared" si="108"/>
        <v>0</v>
      </c>
      <c r="AC105" s="45">
        <f t="shared" si="108"/>
        <v>0</v>
      </c>
      <c r="AD105" s="45">
        <f t="shared" si="108"/>
        <v>0</v>
      </c>
      <c r="AE105" s="45">
        <f t="shared" si="108"/>
        <v>0</v>
      </c>
      <c r="AF105" s="45">
        <f t="shared" si="108"/>
        <v>0</v>
      </c>
      <c r="AG105" s="45">
        <f t="shared" si="108"/>
        <v>0</v>
      </c>
      <c r="AH105" s="45">
        <f t="shared" si="108"/>
        <v>0</v>
      </c>
      <c r="AI105" s="45">
        <f t="shared" si="108"/>
        <v>0</v>
      </c>
      <c r="AJ105" s="45">
        <f t="shared" si="108"/>
        <v>0</v>
      </c>
      <c r="AK105" s="45">
        <f t="shared" si="108"/>
        <v>0</v>
      </c>
      <c r="AL105" s="45">
        <f t="shared" si="108"/>
        <v>0</v>
      </c>
      <c r="AM105" s="45">
        <f t="shared" si="108"/>
        <v>0</v>
      </c>
      <c r="AN105" s="45">
        <f t="shared" si="108"/>
        <v>0</v>
      </c>
      <c r="AO105" s="45">
        <f t="shared" si="108"/>
        <v>0</v>
      </c>
      <c r="AP105" s="45">
        <f t="shared" si="108"/>
        <v>0</v>
      </c>
      <c r="AQ105" s="45">
        <f t="shared" si="108"/>
        <v>0</v>
      </c>
      <c r="AR105" s="45">
        <f t="shared" si="108"/>
        <v>0</v>
      </c>
      <c r="AS105" s="45">
        <f t="shared" si="108"/>
        <v>0</v>
      </c>
      <c r="AT105" s="45">
        <f t="shared" si="108"/>
        <v>0</v>
      </c>
      <c r="AU105" s="45">
        <f t="shared" si="108"/>
        <v>0</v>
      </c>
      <c r="AV105" s="45">
        <f t="shared" si="108"/>
        <v>0</v>
      </c>
      <c r="AW105" s="45">
        <f t="shared" si="108"/>
        <v>0</v>
      </c>
      <c r="AX105" s="45">
        <f t="shared" si="108"/>
        <v>0</v>
      </c>
      <c r="AY105" s="45">
        <f t="shared" si="108"/>
        <v>0</v>
      </c>
      <c r="AZ105" s="45">
        <f t="shared" si="108"/>
        <v>0</v>
      </c>
      <c r="BA105" s="45">
        <f t="shared" si="108"/>
        <v>0</v>
      </c>
      <c r="BB105" s="45">
        <f t="shared" si="108"/>
        <v>0</v>
      </c>
      <c r="BC105" s="45">
        <f t="shared" si="108"/>
        <v>0</v>
      </c>
      <c r="BD105" s="45">
        <f t="shared" si="108"/>
        <v>0</v>
      </c>
      <c r="BE105" s="45">
        <f t="shared" si="108"/>
        <v>0</v>
      </c>
      <c r="BF105" s="45">
        <f t="shared" si="108"/>
        <v>0</v>
      </c>
      <c r="BG105" s="45">
        <f t="shared" si="108"/>
        <v>0</v>
      </c>
      <c r="BH105" s="45">
        <f t="shared" si="108"/>
        <v>0</v>
      </c>
      <c r="BI105" s="45">
        <f t="shared" si="108"/>
        <v>0</v>
      </c>
      <c r="BJ105" s="45">
        <f t="shared" si="108"/>
        <v>0</v>
      </c>
      <c r="BL105" s="45">
        <f t="shared" si="108"/>
        <v>0</v>
      </c>
      <c r="BM105" s="45">
        <f t="shared" si="108"/>
        <v>0</v>
      </c>
      <c r="BN105" s="45">
        <f t="shared" si="108"/>
        <v>0</v>
      </c>
      <c r="BO105" s="45">
        <f t="shared" si="108"/>
        <v>0</v>
      </c>
      <c r="BP105" s="45">
        <f t="shared" si="108"/>
        <v>0</v>
      </c>
      <c r="BQ105" s="45">
        <f t="shared" si="108"/>
        <v>0</v>
      </c>
      <c r="BR105" s="45">
        <f t="shared" si="108"/>
        <v>0</v>
      </c>
      <c r="BS105" s="45">
        <f t="shared" si="108"/>
        <v>0</v>
      </c>
      <c r="BT105" s="45">
        <f t="shared" si="108"/>
        <v>0</v>
      </c>
      <c r="BU105" s="45">
        <f t="shared" si="108"/>
        <v>0</v>
      </c>
      <c r="BV105" s="45">
        <f t="shared" si="108"/>
        <v>0</v>
      </c>
      <c r="BW105" s="45">
        <f t="shared" si="108"/>
        <v>0</v>
      </c>
      <c r="BY105" s="12"/>
      <c r="CA105" s="12"/>
      <c r="EX105" s="10" t="str">
        <f t="shared" si="79"/>
        <v/>
      </c>
    </row>
    <row r="106" spans="1:154" x14ac:dyDescent="0.25">
      <c r="B106" s="67" t="str">
        <f ca="1">Loans!B$26</f>
        <v>Loan 14</v>
      </c>
      <c r="D106" s="62">
        <f>Loans!D$26</f>
        <v>0</v>
      </c>
      <c r="E106" s="159" t="str">
        <f>IF(Loans!I$26=0, "", Loans!I$26)</f>
        <v/>
      </c>
      <c r="F106" s="159" t="str">
        <f>IF(Loans!J$26=0, "", Loans!J$26)</f>
        <v/>
      </c>
      <c r="G106" s="67"/>
      <c r="H106" s="67"/>
      <c r="I106" s="67"/>
      <c r="J106" s="67"/>
      <c r="K106" s="67"/>
      <c r="S106" s="11"/>
      <c r="T106" s="335"/>
      <c r="U106" s="335"/>
      <c r="V106" s="45">
        <f t="shared" si="95"/>
        <v>0</v>
      </c>
      <c r="W106" s="45">
        <f t="shared" ref="W106:BW106" si="109">IF(AND(W60=1,V60=0), 1,0)</f>
        <v>0</v>
      </c>
      <c r="X106" s="45">
        <f t="shared" si="109"/>
        <v>0</v>
      </c>
      <c r="Y106" s="45">
        <f t="shared" si="109"/>
        <v>0</v>
      </c>
      <c r="AA106" s="45">
        <f t="shared" si="109"/>
        <v>0</v>
      </c>
      <c r="AB106" s="45">
        <f t="shared" si="109"/>
        <v>0</v>
      </c>
      <c r="AC106" s="45">
        <f t="shared" si="109"/>
        <v>0</v>
      </c>
      <c r="AD106" s="45">
        <f t="shared" si="109"/>
        <v>0</v>
      </c>
      <c r="AE106" s="45">
        <f t="shared" si="109"/>
        <v>0</v>
      </c>
      <c r="AF106" s="45">
        <f t="shared" si="109"/>
        <v>0</v>
      </c>
      <c r="AG106" s="45">
        <f t="shared" si="109"/>
        <v>0</v>
      </c>
      <c r="AH106" s="45">
        <f t="shared" si="109"/>
        <v>0</v>
      </c>
      <c r="AI106" s="45">
        <f t="shared" si="109"/>
        <v>0</v>
      </c>
      <c r="AJ106" s="45">
        <f t="shared" si="109"/>
        <v>0</v>
      </c>
      <c r="AK106" s="45">
        <f t="shared" si="109"/>
        <v>0</v>
      </c>
      <c r="AL106" s="45">
        <f t="shared" si="109"/>
        <v>0</v>
      </c>
      <c r="AM106" s="45">
        <f t="shared" si="109"/>
        <v>0</v>
      </c>
      <c r="AN106" s="45">
        <f t="shared" si="109"/>
        <v>0</v>
      </c>
      <c r="AO106" s="45">
        <f t="shared" si="109"/>
        <v>0</v>
      </c>
      <c r="AP106" s="45">
        <f t="shared" si="109"/>
        <v>0</v>
      </c>
      <c r="AQ106" s="45">
        <f t="shared" si="109"/>
        <v>0</v>
      </c>
      <c r="AR106" s="45">
        <f t="shared" si="109"/>
        <v>0</v>
      </c>
      <c r="AS106" s="45">
        <f t="shared" si="109"/>
        <v>0</v>
      </c>
      <c r="AT106" s="45">
        <f t="shared" si="109"/>
        <v>0</v>
      </c>
      <c r="AU106" s="45">
        <f t="shared" si="109"/>
        <v>0</v>
      </c>
      <c r="AV106" s="45">
        <f t="shared" si="109"/>
        <v>0</v>
      </c>
      <c r="AW106" s="45">
        <f t="shared" si="109"/>
        <v>0</v>
      </c>
      <c r="AX106" s="45">
        <f t="shared" si="109"/>
        <v>0</v>
      </c>
      <c r="AY106" s="45">
        <f t="shared" si="109"/>
        <v>0</v>
      </c>
      <c r="AZ106" s="45">
        <f t="shared" si="109"/>
        <v>0</v>
      </c>
      <c r="BA106" s="45">
        <f t="shared" si="109"/>
        <v>0</v>
      </c>
      <c r="BB106" s="45">
        <f t="shared" si="109"/>
        <v>0</v>
      </c>
      <c r="BC106" s="45">
        <f t="shared" si="109"/>
        <v>0</v>
      </c>
      <c r="BD106" s="45">
        <f t="shared" si="109"/>
        <v>0</v>
      </c>
      <c r="BE106" s="45">
        <f t="shared" si="109"/>
        <v>0</v>
      </c>
      <c r="BF106" s="45">
        <f t="shared" si="109"/>
        <v>0</v>
      </c>
      <c r="BG106" s="45">
        <f t="shared" si="109"/>
        <v>0</v>
      </c>
      <c r="BH106" s="45">
        <f t="shared" si="109"/>
        <v>0</v>
      </c>
      <c r="BI106" s="45">
        <f t="shared" si="109"/>
        <v>0</v>
      </c>
      <c r="BJ106" s="45">
        <f t="shared" si="109"/>
        <v>0</v>
      </c>
      <c r="BL106" s="45">
        <f t="shared" si="109"/>
        <v>0</v>
      </c>
      <c r="BM106" s="45">
        <f t="shared" si="109"/>
        <v>0</v>
      </c>
      <c r="BN106" s="45">
        <f t="shared" si="109"/>
        <v>0</v>
      </c>
      <c r="BO106" s="45">
        <f t="shared" si="109"/>
        <v>0</v>
      </c>
      <c r="BP106" s="45">
        <f t="shared" si="109"/>
        <v>0</v>
      </c>
      <c r="BQ106" s="45">
        <f t="shared" si="109"/>
        <v>0</v>
      </c>
      <c r="BR106" s="45">
        <f t="shared" si="109"/>
        <v>0</v>
      </c>
      <c r="BS106" s="45">
        <f t="shared" si="109"/>
        <v>0</v>
      </c>
      <c r="BT106" s="45">
        <f t="shared" si="109"/>
        <v>0</v>
      </c>
      <c r="BU106" s="45">
        <f t="shared" si="109"/>
        <v>0</v>
      </c>
      <c r="BV106" s="45">
        <f t="shared" si="109"/>
        <v>0</v>
      </c>
      <c r="BW106" s="45">
        <f t="shared" si="109"/>
        <v>0</v>
      </c>
      <c r="BY106" s="12"/>
      <c r="CA106" s="12"/>
      <c r="EX106" s="10" t="str">
        <f t="shared" si="79"/>
        <v/>
      </c>
    </row>
    <row r="107" spans="1:154" x14ac:dyDescent="0.25">
      <c r="B107" s="67" t="str">
        <f ca="1">Loans!B$27</f>
        <v>Loan 15</v>
      </c>
      <c r="D107" s="62">
        <f>Loans!D$27</f>
        <v>0</v>
      </c>
      <c r="E107" s="159" t="str">
        <f>IF(Loans!I$27=0, "", Loans!I$27)</f>
        <v/>
      </c>
      <c r="F107" s="159" t="str">
        <f>IF(Loans!J$27=0, "", Loans!J$27)</f>
        <v/>
      </c>
      <c r="G107" s="67"/>
      <c r="H107" s="67"/>
      <c r="I107" s="67"/>
      <c r="J107" s="67"/>
      <c r="K107" s="67"/>
      <c r="S107" s="11"/>
      <c r="T107" s="335"/>
      <c r="U107" s="335"/>
      <c r="V107" s="45">
        <f t="shared" si="95"/>
        <v>0</v>
      </c>
      <c r="W107" s="45">
        <f t="shared" ref="W107:BW107" si="110">IF(AND(W61=1,V61=0), 1,0)</f>
        <v>0</v>
      </c>
      <c r="X107" s="45">
        <f t="shared" si="110"/>
        <v>0</v>
      </c>
      <c r="Y107" s="45">
        <f t="shared" si="110"/>
        <v>0</v>
      </c>
      <c r="AA107" s="45">
        <f t="shared" si="110"/>
        <v>0</v>
      </c>
      <c r="AB107" s="45">
        <f t="shared" si="110"/>
        <v>0</v>
      </c>
      <c r="AC107" s="45">
        <f t="shared" si="110"/>
        <v>0</v>
      </c>
      <c r="AD107" s="45">
        <f t="shared" si="110"/>
        <v>0</v>
      </c>
      <c r="AE107" s="45">
        <f t="shared" si="110"/>
        <v>0</v>
      </c>
      <c r="AF107" s="45">
        <f t="shared" si="110"/>
        <v>0</v>
      </c>
      <c r="AG107" s="45">
        <f t="shared" si="110"/>
        <v>0</v>
      </c>
      <c r="AH107" s="45">
        <f t="shared" si="110"/>
        <v>0</v>
      </c>
      <c r="AI107" s="45">
        <f t="shared" si="110"/>
        <v>0</v>
      </c>
      <c r="AJ107" s="45">
        <f t="shared" si="110"/>
        <v>0</v>
      </c>
      <c r="AK107" s="45">
        <f t="shared" si="110"/>
        <v>0</v>
      </c>
      <c r="AL107" s="45">
        <f t="shared" si="110"/>
        <v>0</v>
      </c>
      <c r="AM107" s="45">
        <f t="shared" si="110"/>
        <v>0</v>
      </c>
      <c r="AN107" s="45">
        <f t="shared" si="110"/>
        <v>0</v>
      </c>
      <c r="AO107" s="45">
        <f t="shared" si="110"/>
        <v>0</v>
      </c>
      <c r="AP107" s="45">
        <f t="shared" si="110"/>
        <v>0</v>
      </c>
      <c r="AQ107" s="45">
        <f t="shared" si="110"/>
        <v>0</v>
      </c>
      <c r="AR107" s="45">
        <f t="shared" si="110"/>
        <v>0</v>
      </c>
      <c r="AS107" s="45">
        <f t="shared" si="110"/>
        <v>0</v>
      </c>
      <c r="AT107" s="45">
        <f t="shared" si="110"/>
        <v>0</v>
      </c>
      <c r="AU107" s="45">
        <f t="shared" si="110"/>
        <v>0</v>
      </c>
      <c r="AV107" s="45">
        <f t="shared" si="110"/>
        <v>0</v>
      </c>
      <c r="AW107" s="45">
        <f t="shared" si="110"/>
        <v>0</v>
      </c>
      <c r="AX107" s="45">
        <f t="shared" si="110"/>
        <v>0</v>
      </c>
      <c r="AY107" s="45">
        <f t="shared" si="110"/>
        <v>0</v>
      </c>
      <c r="AZ107" s="45">
        <f t="shared" si="110"/>
        <v>0</v>
      </c>
      <c r="BA107" s="45">
        <f t="shared" si="110"/>
        <v>0</v>
      </c>
      <c r="BB107" s="45">
        <f t="shared" si="110"/>
        <v>0</v>
      </c>
      <c r="BC107" s="45">
        <f t="shared" si="110"/>
        <v>0</v>
      </c>
      <c r="BD107" s="45">
        <f t="shared" si="110"/>
        <v>0</v>
      </c>
      <c r="BE107" s="45">
        <f t="shared" si="110"/>
        <v>0</v>
      </c>
      <c r="BF107" s="45">
        <f t="shared" si="110"/>
        <v>0</v>
      </c>
      <c r="BG107" s="45">
        <f t="shared" si="110"/>
        <v>0</v>
      </c>
      <c r="BH107" s="45">
        <f t="shared" si="110"/>
        <v>0</v>
      </c>
      <c r="BI107" s="45">
        <f t="shared" si="110"/>
        <v>0</v>
      </c>
      <c r="BJ107" s="45">
        <f t="shared" si="110"/>
        <v>0</v>
      </c>
      <c r="BL107" s="45">
        <f t="shared" si="110"/>
        <v>0</v>
      </c>
      <c r="BM107" s="45">
        <f t="shared" si="110"/>
        <v>0</v>
      </c>
      <c r="BN107" s="45">
        <f t="shared" si="110"/>
        <v>0</v>
      </c>
      <c r="BO107" s="45">
        <f t="shared" si="110"/>
        <v>0</v>
      </c>
      <c r="BP107" s="45">
        <f t="shared" si="110"/>
        <v>0</v>
      </c>
      <c r="BQ107" s="45">
        <f t="shared" si="110"/>
        <v>0</v>
      </c>
      <c r="BR107" s="45">
        <f t="shared" si="110"/>
        <v>0</v>
      </c>
      <c r="BS107" s="45">
        <f t="shared" si="110"/>
        <v>0</v>
      </c>
      <c r="BT107" s="45">
        <f t="shared" si="110"/>
        <v>0</v>
      </c>
      <c r="BU107" s="45">
        <f t="shared" si="110"/>
        <v>0</v>
      </c>
      <c r="BV107" s="45">
        <f t="shared" si="110"/>
        <v>0</v>
      </c>
      <c r="BW107" s="45">
        <f t="shared" si="110"/>
        <v>0</v>
      </c>
      <c r="BY107" s="12"/>
      <c r="CA107" s="12"/>
      <c r="EX107" s="10" t="str">
        <f t="shared" si="79"/>
        <v/>
      </c>
    </row>
    <row r="108" spans="1:154" x14ac:dyDescent="0.25">
      <c r="B108" s="67" t="str">
        <f ca="1">Loans!B$28</f>
        <v>Loan 16</v>
      </c>
      <c r="D108" s="62">
        <f>Loans!D$28</f>
        <v>0</v>
      </c>
      <c r="E108" s="159" t="str">
        <f>IF(Loans!I$28=0, "", Loans!I$28)</f>
        <v/>
      </c>
      <c r="F108" s="159" t="str">
        <f>IF(Loans!J$28=0, "", Loans!J$28)</f>
        <v/>
      </c>
      <c r="G108" s="67"/>
      <c r="H108" s="67"/>
      <c r="I108" s="67"/>
      <c r="J108" s="67"/>
      <c r="K108" s="67"/>
      <c r="S108" s="11"/>
      <c r="T108" s="335"/>
      <c r="U108" s="335"/>
      <c r="V108" s="45">
        <f t="shared" si="95"/>
        <v>0</v>
      </c>
      <c r="W108" s="45">
        <f t="shared" ref="W108:BW108" si="111">IF(AND(W62=1,V62=0), 1,0)</f>
        <v>0</v>
      </c>
      <c r="X108" s="45">
        <f t="shared" si="111"/>
        <v>0</v>
      </c>
      <c r="Y108" s="45">
        <f t="shared" si="111"/>
        <v>0</v>
      </c>
      <c r="AA108" s="45">
        <f t="shared" si="111"/>
        <v>0</v>
      </c>
      <c r="AB108" s="45">
        <f t="shared" si="111"/>
        <v>0</v>
      </c>
      <c r="AC108" s="45">
        <f t="shared" si="111"/>
        <v>0</v>
      </c>
      <c r="AD108" s="45">
        <f t="shared" si="111"/>
        <v>0</v>
      </c>
      <c r="AE108" s="45">
        <f t="shared" si="111"/>
        <v>0</v>
      </c>
      <c r="AF108" s="45">
        <f t="shared" si="111"/>
        <v>0</v>
      </c>
      <c r="AG108" s="45">
        <f t="shared" si="111"/>
        <v>0</v>
      </c>
      <c r="AH108" s="45">
        <f t="shared" si="111"/>
        <v>0</v>
      </c>
      <c r="AI108" s="45">
        <f t="shared" si="111"/>
        <v>0</v>
      </c>
      <c r="AJ108" s="45">
        <f t="shared" si="111"/>
        <v>0</v>
      </c>
      <c r="AK108" s="45">
        <f t="shared" si="111"/>
        <v>0</v>
      </c>
      <c r="AL108" s="45">
        <f t="shared" si="111"/>
        <v>0</v>
      </c>
      <c r="AM108" s="45">
        <f t="shared" si="111"/>
        <v>0</v>
      </c>
      <c r="AN108" s="45">
        <f t="shared" si="111"/>
        <v>0</v>
      </c>
      <c r="AO108" s="45">
        <f t="shared" si="111"/>
        <v>0</v>
      </c>
      <c r="AP108" s="45">
        <f t="shared" si="111"/>
        <v>0</v>
      </c>
      <c r="AQ108" s="45">
        <f t="shared" si="111"/>
        <v>0</v>
      </c>
      <c r="AR108" s="45">
        <f t="shared" si="111"/>
        <v>0</v>
      </c>
      <c r="AS108" s="45">
        <f t="shared" si="111"/>
        <v>0</v>
      </c>
      <c r="AT108" s="45">
        <f t="shared" si="111"/>
        <v>0</v>
      </c>
      <c r="AU108" s="45">
        <f t="shared" si="111"/>
        <v>0</v>
      </c>
      <c r="AV108" s="45">
        <f t="shared" si="111"/>
        <v>0</v>
      </c>
      <c r="AW108" s="45">
        <f t="shared" si="111"/>
        <v>0</v>
      </c>
      <c r="AX108" s="45">
        <f t="shared" si="111"/>
        <v>0</v>
      </c>
      <c r="AY108" s="45">
        <f t="shared" si="111"/>
        <v>0</v>
      </c>
      <c r="AZ108" s="45">
        <f t="shared" si="111"/>
        <v>0</v>
      </c>
      <c r="BA108" s="45">
        <f t="shared" si="111"/>
        <v>0</v>
      </c>
      <c r="BB108" s="45">
        <f t="shared" si="111"/>
        <v>0</v>
      </c>
      <c r="BC108" s="45">
        <f t="shared" si="111"/>
        <v>0</v>
      </c>
      <c r="BD108" s="45">
        <f t="shared" si="111"/>
        <v>0</v>
      </c>
      <c r="BE108" s="45">
        <f t="shared" si="111"/>
        <v>0</v>
      </c>
      <c r="BF108" s="45">
        <f t="shared" si="111"/>
        <v>0</v>
      </c>
      <c r="BG108" s="45">
        <f t="shared" si="111"/>
        <v>0</v>
      </c>
      <c r="BH108" s="45">
        <f t="shared" si="111"/>
        <v>0</v>
      </c>
      <c r="BI108" s="45">
        <f t="shared" si="111"/>
        <v>0</v>
      </c>
      <c r="BJ108" s="45">
        <f t="shared" si="111"/>
        <v>0</v>
      </c>
      <c r="BL108" s="45">
        <f t="shared" si="111"/>
        <v>0</v>
      </c>
      <c r="BM108" s="45">
        <f t="shared" si="111"/>
        <v>0</v>
      </c>
      <c r="BN108" s="45">
        <f t="shared" si="111"/>
        <v>0</v>
      </c>
      <c r="BO108" s="45">
        <f t="shared" si="111"/>
        <v>0</v>
      </c>
      <c r="BP108" s="45">
        <f t="shared" si="111"/>
        <v>0</v>
      </c>
      <c r="BQ108" s="45">
        <f t="shared" si="111"/>
        <v>0</v>
      </c>
      <c r="BR108" s="45">
        <f t="shared" si="111"/>
        <v>0</v>
      </c>
      <c r="BS108" s="45">
        <f t="shared" si="111"/>
        <v>0</v>
      </c>
      <c r="BT108" s="45">
        <f t="shared" si="111"/>
        <v>0</v>
      </c>
      <c r="BU108" s="45">
        <f t="shared" si="111"/>
        <v>0</v>
      </c>
      <c r="BV108" s="45">
        <f t="shared" si="111"/>
        <v>0</v>
      </c>
      <c r="BW108" s="45">
        <f t="shared" si="111"/>
        <v>0</v>
      </c>
      <c r="BY108" s="12"/>
      <c r="CA108" s="12"/>
      <c r="EX108" s="10" t="str">
        <f t="shared" si="79"/>
        <v/>
      </c>
    </row>
    <row r="109" spans="1:154" x14ac:dyDescent="0.25">
      <c r="B109" s="67" t="str">
        <f ca="1">Loans!B$29</f>
        <v>Loan 17</v>
      </c>
      <c r="D109" s="62">
        <f>Loans!D$29</f>
        <v>0</v>
      </c>
      <c r="E109" s="159" t="str">
        <f>IF(Loans!I$29=0, "", Loans!I$29)</f>
        <v/>
      </c>
      <c r="F109" s="159" t="str">
        <f>IF(Loans!J$29=0, "", Loans!J$29)</f>
        <v/>
      </c>
      <c r="G109" s="67"/>
      <c r="H109" s="67"/>
      <c r="I109" s="67"/>
      <c r="J109" s="67"/>
      <c r="K109" s="67"/>
      <c r="S109" s="11"/>
      <c r="T109" s="335"/>
      <c r="U109" s="335"/>
      <c r="V109" s="45">
        <f t="shared" si="95"/>
        <v>0</v>
      </c>
      <c r="W109" s="45">
        <f t="shared" ref="W109:BW109" si="112">IF(AND(W63=1,V63=0), 1,0)</f>
        <v>0</v>
      </c>
      <c r="X109" s="45">
        <f t="shared" si="112"/>
        <v>0</v>
      </c>
      <c r="Y109" s="45">
        <f t="shared" si="112"/>
        <v>0</v>
      </c>
      <c r="AA109" s="45">
        <f t="shared" si="112"/>
        <v>0</v>
      </c>
      <c r="AB109" s="45">
        <f t="shared" si="112"/>
        <v>0</v>
      </c>
      <c r="AC109" s="45">
        <f t="shared" si="112"/>
        <v>0</v>
      </c>
      <c r="AD109" s="45">
        <f t="shared" si="112"/>
        <v>0</v>
      </c>
      <c r="AE109" s="45">
        <f t="shared" si="112"/>
        <v>0</v>
      </c>
      <c r="AF109" s="45">
        <f t="shared" si="112"/>
        <v>0</v>
      </c>
      <c r="AG109" s="45">
        <f t="shared" si="112"/>
        <v>0</v>
      </c>
      <c r="AH109" s="45">
        <f t="shared" si="112"/>
        <v>0</v>
      </c>
      <c r="AI109" s="45">
        <f t="shared" si="112"/>
        <v>0</v>
      </c>
      <c r="AJ109" s="45">
        <f t="shared" si="112"/>
        <v>0</v>
      </c>
      <c r="AK109" s="45">
        <f t="shared" si="112"/>
        <v>0</v>
      </c>
      <c r="AL109" s="45">
        <f t="shared" si="112"/>
        <v>0</v>
      </c>
      <c r="AM109" s="45">
        <f t="shared" si="112"/>
        <v>0</v>
      </c>
      <c r="AN109" s="45">
        <f t="shared" si="112"/>
        <v>0</v>
      </c>
      <c r="AO109" s="45">
        <f t="shared" si="112"/>
        <v>0</v>
      </c>
      <c r="AP109" s="45">
        <f t="shared" si="112"/>
        <v>0</v>
      </c>
      <c r="AQ109" s="45">
        <f t="shared" si="112"/>
        <v>0</v>
      </c>
      <c r="AR109" s="45">
        <f t="shared" si="112"/>
        <v>0</v>
      </c>
      <c r="AS109" s="45">
        <f t="shared" si="112"/>
        <v>0</v>
      </c>
      <c r="AT109" s="45">
        <f t="shared" si="112"/>
        <v>0</v>
      </c>
      <c r="AU109" s="45">
        <f t="shared" si="112"/>
        <v>0</v>
      </c>
      <c r="AV109" s="45">
        <f t="shared" si="112"/>
        <v>0</v>
      </c>
      <c r="AW109" s="45">
        <f t="shared" si="112"/>
        <v>0</v>
      </c>
      <c r="AX109" s="45">
        <f t="shared" si="112"/>
        <v>0</v>
      </c>
      <c r="AY109" s="45">
        <f t="shared" si="112"/>
        <v>0</v>
      </c>
      <c r="AZ109" s="45">
        <f t="shared" si="112"/>
        <v>0</v>
      </c>
      <c r="BA109" s="45">
        <f t="shared" si="112"/>
        <v>0</v>
      </c>
      <c r="BB109" s="45">
        <f t="shared" si="112"/>
        <v>0</v>
      </c>
      <c r="BC109" s="45">
        <f t="shared" si="112"/>
        <v>0</v>
      </c>
      <c r="BD109" s="45">
        <f t="shared" si="112"/>
        <v>0</v>
      </c>
      <c r="BE109" s="45">
        <f t="shared" si="112"/>
        <v>0</v>
      </c>
      <c r="BF109" s="45">
        <f t="shared" si="112"/>
        <v>0</v>
      </c>
      <c r="BG109" s="45">
        <f t="shared" si="112"/>
        <v>0</v>
      </c>
      <c r="BH109" s="45">
        <f t="shared" si="112"/>
        <v>0</v>
      </c>
      <c r="BI109" s="45">
        <f t="shared" si="112"/>
        <v>0</v>
      </c>
      <c r="BJ109" s="45">
        <f t="shared" si="112"/>
        <v>0</v>
      </c>
      <c r="BL109" s="45">
        <f t="shared" si="112"/>
        <v>0</v>
      </c>
      <c r="BM109" s="45">
        <f t="shared" si="112"/>
        <v>0</v>
      </c>
      <c r="BN109" s="45">
        <f t="shared" si="112"/>
        <v>0</v>
      </c>
      <c r="BO109" s="45">
        <f t="shared" si="112"/>
        <v>0</v>
      </c>
      <c r="BP109" s="45">
        <f t="shared" si="112"/>
        <v>0</v>
      </c>
      <c r="BQ109" s="45">
        <f t="shared" si="112"/>
        <v>0</v>
      </c>
      <c r="BR109" s="45">
        <f t="shared" si="112"/>
        <v>0</v>
      </c>
      <c r="BS109" s="45">
        <f t="shared" si="112"/>
        <v>0</v>
      </c>
      <c r="BT109" s="45">
        <f t="shared" si="112"/>
        <v>0</v>
      </c>
      <c r="BU109" s="45">
        <f t="shared" si="112"/>
        <v>0</v>
      </c>
      <c r="BV109" s="45">
        <f t="shared" si="112"/>
        <v>0</v>
      </c>
      <c r="BW109" s="45">
        <f t="shared" si="112"/>
        <v>0</v>
      </c>
      <c r="BY109" s="12"/>
      <c r="CA109" s="12"/>
      <c r="EX109" s="10" t="str">
        <f t="shared" si="79"/>
        <v/>
      </c>
    </row>
    <row r="110" spans="1:154" x14ac:dyDescent="0.25">
      <c r="B110" s="67" t="str">
        <f ca="1">Loans!B$30</f>
        <v>Loan 18</v>
      </c>
      <c r="D110" s="62">
        <f>Loans!D$30</f>
        <v>0</v>
      </c>
      <c r="E110" s="159" t="str">
        <f>IF(Loans!I$30=0, "", Loans!I$30)</f>
        <v/>
      </c>
      <c r="F110" s="159" t="str">
        <f>IF(Loans!J$30=0, "", Loans!J$30)</f>
        <v/>
      </c>
      <c r="G110" s="67"/>
      <c r="H110" s="67"/>
      <c r="I110" s="67"/>
      <c r="J110" s="67"/>
      <c r="K110" s="67"/>
      <c r="S110" s="11"/>
      <c r="T110" s="335"/>
      <c r="U110" s="335"/>
      <c r="V110" s="45">
        <f t="shared" si="95"/>
        <v>0</v>
      </c>
      <c r="W110" s="45">
        <f t="shared" ref="W110:BW110" si="113">IF(AND(W64=1,V64=0), 1,0)</f>
        <v>0</v>
      </c>
      <c r="X110" s="45">
        <f t="shared" si="113"/>
        <v>0</v>
      </c>
      <c r="Y110" s="45">
        <f t="shared" si="113"/>
        <v>0</v>
      </c>
      <c r="AA110" s="45">
        <f t="shared" si="113"/>
        <v>0</v>
      </c>
      <c r="AB110" s="45">
        <f t="shared" si="113"/>
        <v>0</v>
      </c>
      <c r="AC110" s="45">
        <f t="shared" si="113"/>
        <v>0</v>
      </c>
      <c r="AD110" s="45">
        <f t="shared" si="113"/>
        <v>0</v>
      </c>
      <c r="AE110" s="45">
        <f t="shared" si="113"/>
        <v>0</v>
      </c>
      <c r="AF110" s="45">
        <f t="shared" si="113"/>
        <v>0</v>
      </c>
      <c r="AG110" s="45">
        <f t="shared" si="113"/>
        <v>0</v>
      </c>
      <c r="AH110" s="45">
        <f t="shared" si="113"/>
        <v>0</v>
      </c>
      <c r="AI110" s="45">
        <f t="shared" si="113"/>
        <v>0</v>
      </c>
      <c r="AJ110" s="45">
        <f t="shared" si="113"/>
        <v>0</v>
      </c>
      <c r="AK110" s="45">
        <f t="shared" si="113"/>
        <v>0</v>
      </c>
      <c r="AL110" s="45">
        <f t="shared" si="113"/>
        <v>0</v>
      </c>
      <c r="AM110" s="45">
        <f t="shared" si="113"/>
        <v>0</v>
      </c>
      <c r="AN110" s="45">
        <f t="shared" si="113"/>
        <v>0</v>
      </c>
      <c r="AO110" s="45">
        <f t="shared" si="113"/>
        <v>0</v>
      </c>
      <c r="AP110" s="45">
        <f t="shared" si="113"/>
        <v>0</v>
      </c>
      <c r="AQ110" s="45">
        <f t="shared" si="113"/>
        <v>0</v>
      </c>
      <c r="AR110" s="45">
        <f t="shared" si="113"/>
        <v>0</v>
      </c>
      <c r="AS110" s="45">
        <f t="shared" si="113"/>
        <v>0</v>
      </c>
      <c r="AT110" s="45">
        <f t="shared" si="113"/>
        <v>0</v>
      </c>
      <c r="AU110" s="45">
        <f t="shared" si="113"/>
        <v>0</v>
      </c>
      <c r="AV110" s="45">
        <f t="shared" si="113"/>
        <v>0</v>
      </c>
      <c r="AW110" s="45">
        <f t="shared" si="113"/>
        <v>0</v>
      </c>
      <c r="AX110" s="45">
        <f t="shared" si="113"/>
        <v>0</v>
      </c>
      <c r="AY110" s="45">
        <f t="shared" si="113"/>
        <v>0</v>
      </c>
      <c r="AZ110" s="45">
        <f t="shared" si="113"/>
        <v>0</v>
      </c>
      <c r="BA110" s="45">
        <f t="shared" si="113"/>
        <v>0</v>
      </c>
      <c r="BB110" s="45">
        <f t="shared" si="113"/>
        <v>0</v>
      </c>
      <c r="BC110" s="45">
        <f t="shared" si="113"/>
        <v>0</v>
      </c>
      <c r="BD110" s="45">
        <f t="shared" si="113"/>
        <v>0</v>
      </c>
      <c r="BE110" s="45">
        <f t="shared" si="113"/>
        <v>0</v>
      </c>
      <c r="BF110" s="45">
        <f t="shared" si="113"/>
        <v>0</v>
      </c>
      <c r="BG110" s="45">
        <f t="shared" si="113"/>
        <v>0</v>
      </c>
      <c r="BH110" s="45">
        <f t="shared" si="113"/>
        <v>0</v>
      </c>
      <c r="BI110" s="45">
        <f t="shared" si="113"/>
        <v>0</v>
      </c>
      <c r="BJ110" s="45">
        <f t="shared" si="113"/>
        <v>0</v>
      </c>
      <c r="BL110" s="45">
        <f t="shared" si="113"/>
        <v>0</v>
      </c>
      <c r="BM110" s="45">
        <f t="shared" si="113"/>
        <v>0</v>
      </c>
      <c r="BN110" s="45">
        <f t="shared" si="113"/>
        <v>0</v>
      </c>
      <c r="BO110" s="45">
        <f t="shared" si="113"/>
        <v>0</v>
      </c>
      <c r="BP110" s="45">
        <f t="shared" si="113"/>
        <v>0</v>
      </c>
      <c r="BQ110" s="45">
        <f t="shared" si="113"/>
        <v>0</v>
      </c>
      <c r="BR110" s="45">
        <f t="shared" si="113"/>
        <v>0</v>
      </c>
      <c r="BS110" s="45">
        <f t="shared" si="113"/>
        <v>0</v>
      </c>
      <c r="BT110" s="45">
        <f t="shared" si="113"/>
        <v>0</v>
      </c>
      <c r="BU110" s="45">
        <f t="shared" si="113"/>
        <v>0</v>
      </c>
      <c r="BV110" s="45">
        <f t="shared" si="113"/>
        <v>0</v>
      </c>
      <c r="BW110" s="45">
        <f t="shared" si="113"/>
        <v>0</v>
      </c>
      <c r="BY110" s="12"/>
      <c r="CA110" s="12"/>
      <c r="EX110" s="10" t="str">
        <f t="shared" si="79"/>
        <v/>
      </c>
    </row>
    <row r="111" spans="1:154" x14ac:dyDescent="0.25">
      <c r="B111" s="67" t="str">
        <f ca="1">Loans!B$31</f>
        <v>Loan 19</v>
      </c>
      <c r="D111" s="62">
        <f>Loans!D$31</f>
        <v>0</v>
      </c>
      <c r="E111" s="159" t="str">
        <f>IF(Loans!I$31=0, "", Loans!I$31)</f>
        <v/>
      </c>
      <c r="F111" s="159" t="str">
        <f>IF(Loans!J$31=0, "", Loans!J$31)</f>
        <v/>
      </c>
      <c r="G111" s="67"/>
      <c r="H111" s="67"/>
      <c r="I111" s="67"/>
      <c r="J111" s="67"/>
      <c r="K111" s="67"/>
      <c r="S111" s="11"/>
      <c r="T111" s="335"/>
      <c r="U111" s="335"/>
      <c r="V111" s="45">
        <f t="shared" si="95"/>
        <v>0</v>
      </c>
      <c r="W111" s="45">
        <f t="shared" ref="W111:BW111" si="114">IF(AND(W65=1,V65=0), 1,0)</f>
        <v>0</v>
      </c>
      <c r="X111" s="45">
        <f t="shared" si="114"/>
        <v>0</v>
      </c>
      <c r="Y111" s="45">
        <f t="shared" si="114"/>
        <v>0</v>
      </c>
      <c r="AA111" s="45">
        <f t="shared" si="114"/>
        <v>0</v>
      </c>
      <c r="AB111" s="45">
        <f t="shared" si="114"/>
        <v>0</v>
      </c>
      <c r="AC111" s="45">
        <f t="shared" si="114"/>
        <v>0</v>
      </c>
      <c r="AD111" s="45">
        <f t="shared" si="114"/>
        <v>0</v>
      </c>
      <c r="AE111" s="45">
        <f t="shared" si="114"/>
        <v>0</v>
      </c>
      <c r="AF111" s="45">
        <f t="shared" si="114"/>
        <v>0</v>
      </c>
      <c r="AG111" s="45">
        <f t="shared" si="114"/>
        <v>0</v>
      </c>
      <c r="AH111" s="45">
        <f t="shared" si="114"/>
        <v>0</v>
      </c>
      <c r="AI111" s="45">
        <f t="shared" si="114"/>
        <v>0</v>
      </c>
      <c r="AJ111" s="45">
        <f t="shared" si="114"/>
        <v>0</v>
      </c>
      <c r="AK111" s="45">
        <f t="shared" si="114"/>
        <v>0</v>
      </c>
      <c r="AL111" s="45">
        <f t="shared" si="114"/>
        <v>0</v>
      </c>
      <c r="AM111" s="45">
        <f t="shared" si="114"/>
        <v>0</v>
      </c>
      <c r="AN111" s="45">
        <f t="shared" si="114"/>
        <v>0</v>
      </c>
      <c r="AO111" s="45">
        <f t="shared" si="114"/>
        <v>0</v>
      </c>
      <c r="AP111" s="45">
        <f t="shared" si="114"/>
        <v>0</v>
      </c>
      <c r="AQ111" s="45">
        <f t="shared" si="114"/>
        <v>0</v>
      </c>
      <c r="AR111" s="45">
        <f t="shared" si="114"/>
        <v>0</v>
      </c>
      <c r="AS111" s="45">
        <f t="shared" si="114"/>
        <v>0</v>
      </c>
      <c r="AT111" s="45">
        <f t="shared" si="114"/>
        <v>0</v>
      </c>
      <c r="AU111" s="45">
        <f t="shared" si="114"/>
        <v>0</v>
      </c>
      <c r="AV111" s="45">
        <f t="shared" si="114"/>
        <v>0</v>
      </c>
      <c r="AW111" s="45">
        <f t="shared" si="114"/>
        <v>0</v>
      </c>
      <c r="AX111" s="45">
        <f t="shared" si="114"/>
        <v>0</v>
      </c>
      <c r="AY111" s="45">
        <f t="shared" si="114"/>
        <v>0</v>
      </c>
      <c r="AZ111" s="45">
        <f t="shared" si="114"/>
        <v>0</v>
      </c>
      <c r="BA111" s="45">
        <f t="shared" si="114"/>
        <v>0</v>
      </c>
      <c r="BB111" s="45">
        <f t="shared" si="114"/>
        <v>0</v>
      </c>
      <c r="BC111" s="45">
        <f t="shared" si="114"/>
        <v>0</v>
      </c>
      <c r="BD111" s="45">
        <f t="shared" si="114"/>
        <v>0</v>
      </c>
      <c r="BE111" s="45">
        <f t="shared" si="114"/>
        <v>0</v>
      </c>
      <c r="BF111" s="45">
        <f t="shared" si="114"/>
        <v>0</v>
      </c>
      <c r="BG111" s="45">
        <f t="shared" si="114"/>
        <v>0</v>
      </c>
      <c r="BH111" s="45">
        <f t="shared" si="114"/>
        <v>0</v>
      </c>
      <c r="BI111" s="45">
        <f t="shared" si="114"/>
        <v>0</v>
      </c>
      <c r="BJ111" s="45">
        <f t="shared" si="114"/>
        <v>0</v>
      </c>
      <c r="BL111" s="45">
        <f t="shared" si="114"/>
        <v>0</v>
      </c>
      <c r="BM111" s="45">
        <f t="shared" si="114"/>
        <v>0</v>
      </c>
      <c r="BN111" s="45">
        <f t="shared" si="114"/>
        <v>0</v>
      </c>
      <c r="BO111" s="45">
        <f t="shared" si="114"/>
        <v>0</v>
      </c>
      <c r="BP111" s="45">
        <f t="shared" si="114"/>
        <v>0</v>
      </c>
      <c r="BQ111" s="45">
        <f t="shared" si="114"/>
        <v>0</v>
      </c>
      <c r="BR111" s="45">
        <f t="shared" si="114"/>
        <v>0</v>
      </c>
      <c r="BS111" s="45">
        <f t="shared" si="114"/>
        <v>0</v>
      </c>
      <c r="BT111" s="45">
        <f t="shared" si="114"/>
        <v>0</v>
      </c>
      <c r="BU111" s="45">
        <f t="shared" si="114"/>
        <v>0</v>
      </c>
      <c r="BV111" s="45">
        <f t="shared" si="114"/>
        <v>0</v>
      </c>
      <c r="BW111" s="45">
        <f t="shared" si="114"/>
        <v>0</v>
      </c>
      <c r="BY111" s="12"/>
      <c r="CA111" s="12"/>
      <c r="EX111" s="10" t="str">
        <f t="shared" si="79"/>
        <v/>
      </c>
    </row>
    <row r="112" spans="1:154" x14ac:dyDescent="0.25">
      <c r="B112" s="67" t="str">
        <f ca="1">Loans!B$32</f>
        <v>Loan 20</v>
      </c>
      <c r="D112" s="62">
        <f>Loans!D$32</f>
        <v>0</v>
      </c>
      <c r="E112" s="159" t="str">
        <f>IF(Loans!I$32=0, "", Loans!I$32)</f>
        <v/>
      </c>
      <c r="F112" s="159" t="str">
        <f>IF(Loans!J$32=0, "", Loans!J$32)</f>
        <v/>
      </c>
      <c r="G112" s="67"/>
      <c r="H112" s="67"/>
      <c r="I112" s="67"/>
      <c r="J112" s="67"/>
      <c r="K112" s="67"/>
      <c r="S112" s="11"/>
      <c r="T112" s="335"/>
      <c r="U112" s="335"/>
      <c r="V112" s="45">
        <f t="shared" si="95"/>
        <v>0</v>
      </c>
      <c r="W112" s="45">
        <f t="shared" ref="W112:BW112" si="115">IF(AND(W66=1,V66=0), 1,0)</f>
        <v>0</v>
      </c>
      <c r="X112" s="45">
        <f t="shared" si="115"/>
        <v>0</v>
      </c>
      <c r="Y112" s="45">
        <f t="shared" si="115"/>
        <v>0</v>
      </c>
      <c r="AA112" s="45">
        <f t="shared" si="115"/>
        <v>0</v>
      </c>
      <c r="AB112" s="45">
        <f t="shared" si="115"/>
        <v>0</v>
      </c>
      <c r="AC112" s="45">
        <f t="shared" si="115"/>
        <v>0</v>
      </c>
      <c r="AD112" s="45">
        <f t="shared" si="115"/>
        <v>0</v>
      </c>
      <c r="AE112" s="45">
        <f t="shared" si="115"/>
        <v>0</v>
      </c>
      <c r="AF112" s="45">
        <f t="shared" si="115"/>
        <v>0</v>
      </c>
      <c r="AG112" s="45">
        <f t="shared" si="115"/>
        <v>0</v>
      </c>
      <c r="AH112" s="45">
        <f t="shared" si="115"/>
        <v>0</v>
      </c>
      <c r="AI112" s="45">
        <f t="shared" si="115"/>
        <v>0</v>
      </c>
      <c r="AJ112" s="45">
        <f t="shared" si="115"/>
        <v>0</v>
      </c>
      <c r="AK112" s="45">
        <f t="shared" si="115"/>
        <v>0</v>
      </c>
      <c r="AL112" s="45">
        <f t="shared" si="115"/>
        <v>0</v>
      </c>
      <c r="AM112" s="45">
        <f t="shared" si="115"/>
        <v>0</v>
      </c>
      <c r="AN112" s="45">
        <f t="shared" si="115"/>
        <v>0</v>
      </c>
      <c r="AO112" s="45">
        <f t="shared" si="115"/>
        <v>0</v>
      </c>
      <c r="AP112" s="45">
        <f t="shared" si="115"/>
        <v>0</v>
      </c>
      <c r="AQ112" s="45">
        <f t="shared" si="115"/>
        <v>0</v>
      </c>
      <c r="AR112" s="45">
        <f t="shared" si="115"/>
        <v>0</v>
      </c>
      <c r="AS112" s="45">
        <f t="shared" si="115"/>
        <v>0</v>
      </c>
      <c r="AT112" s="45">
        <f t="shared" si="115"/>
        <v>0</v>
      </c>
      <c r="AU112" s="45">
        <f t="shared" si="115"/>
        <v>0</v>
      </c>
      <c r="AV112" s="45">
        <f t="shared" si="115"/>
        <v>0</v>
      </c>
      <c r="AW112" s="45">
        <f t="shared" si="115"/>
        <v>0</v>
      </c>
      <c r="AX112" s="45">
        <f t="shared" si="115"/>
        <v>0</v>
      </c>
      <c r="AY112" s="45">
        <f t="shared" si="115"/>
        <v>0</v>
      </c>
      <c r="AZ112" s="45">
        <f t="shared" si="115"/>
        <v>0</v>
      </c>
      <c r="BA112" s="45">
        <f t="shared" si="115"/>
        <v>0</v>
      </c>
      <c r="BB112" s="45">
        <f t="shared" si="115"/>
        <v>0</v>
      </c>
      <c r="BC112" s="45">
        <f t="shared" si="115"/>
        <v>0</v>
      </c>
      <c r="BD112" s="45">
        <f t="shared" si="115"/>
        <v>0</v>
      </c>
      <c r="BE112" s="45">
        <f t="shared" si="115"/>
        <v>0</v>
      </c>
      <c r="BF112" s="45">
        <f t="shared" si="115"/>
        <v>0</v>
      </c>
      <c r="BG112" s="45">
        <f t="shared" si="115"/>
        <v>0</v>
      </c>
      <c r="BH112" s="45">
        <f t="shared" si="115"/>
        <v>0</v>
      </c>
      <c r="BI112" s="45">
        <f t="shared" si="115"/>
        <v>0</v>
      </c>
      <c r="BJ112" s="45">
        <f t="shared" si="115"/>
        <v>0</v>
      </c>
      <c r="BL112" s="45">
        <f t="shared" si="115"/>
        <v>0</v>
      </c>
      <c r="BM112" s="45">
        <f t="shared" si="115"/>
        <v>0</v>
      </c>
      <c r="BN112" s="45">
        <f t="shared" si="115"/>
        <v>0</v>
      </c>
      <c r="BO112" s="45">
        <f t="shared" si="115"/>
        <v>0</v>
      </c>
      <c r="BP112" s="45">
        <f t="shared" si="115"/>
        <v>0</v>
      </c>
      <c r="BQ112" s="45">
        <f t="shared" si="115"/>
        <v>0</v>
      </c>
      <c r="BR112" s="45">
        <f t="shared" si="115"/>
        <v>0</v>
      </c>
      <c r="BS112" s="45">
        <f t="shared" si="115"/>
        <v>0</v>
      </c>
      <c r="BT112" s="45">
        <f t="shared" si="115"/>
        <v>0</v>
      </c>
      <c r="BU112" s="45">
        <f t="shared" si="115"/>
        <v>0</v>
      </c>
      <c r="BV112" s="45">
        <f t="shared" si="115"/>
        <v>0</v>
      </c>
      <c r="BW112" s="45">
        <f t="shared" si="115"/>
        <v>0</v>
      </c>
      <c r="BY112" s="12"/>
      <c r="CA112" s="12"/>
      <c r="EX112" s="10" t="str">
        <f t="shared" si="79"/>
        <v/>
      </c>
    </row>
    <row r="113" spans="1:154" ht="6.6" customHeight="1" x14ac:dyDescent="0.25">
      <c r="D113" s="1"/>
      <c r="E113" s="11"/>
      <c r="S113" s="11"/>
      <c r="T113" s="335"/>
      <c r="U113" s="335"/>
      <c r="X113" s="11"/>
      <c r="Y113" s="11"/>
      <c r="BM113" s="6"/>
      <c r="BY113" s="42"/>
      <c r="CA113" s="42"/>
      <c r="EX113" s="10" t="str">
        <f t="shared" si="79"/>
        <v/>
      </c>
    </row>
    <row r="114" spans="1:154" x14ac:dyDescent="0.25">
      <c r="D114" s="5" t="s">
        <v>229</v>
      </c>
      <c r="F114" s="5"/>
      <c r="S114" s="11"/>
      <c r="T114" s="335"/>
      <c r="U114" s="335"/>
      <c r="X114" s="11"/>
      <c r="Y114" s="11"/>
      <c r="BY114" s="12"/>
      <c r="CA114" s="12"/>
      <c r="EX114" s="10" t="str">
        <f t="shared" si="79"/>
        <v/>
      </c>
    </row>
    <row r="115" spans="1:154" x14ac:dyDescent="0.25">
      <c r="B115" s="5"/>
      <c r="D115" s="5" t="str">
        <f>Loans!D$11</f>
        <v>Lender</v>
      </c>
      <c r="E115" s="5" t="s">
        <v>538</v>
      </c>
      <c r="F115" s="5" t="s">
        <v>539</v>
      </c>
      <c r="S115" s="11"/>
      <c r="T115" s="335"/>
      <c r="U115" s="335"/>
      <c r="X115" s="11"/>
      <c r="Y115" s="11"/>
      <c r="BY115" s="12"/>
      <c r="CA115" s="12"/>
      <c r="EX115" s="10" t="str">
        <f t="shared" si="79"/>
        <v/>
      </c>
    </row>
    <row r="116" spans="1:154" x14ac:dyDescent="0.25">
      <c r="B116" s="67" t="str">
        <f ca="1">Loans!B$13</f>
        <v>Loan 1</v>
      </c>
      <c r="D116" s="62" t="str">
        <f>Loans!D$13</f>
        <v>NatWest</v>
      </c>
      <c r="E116" s="159" t="str">
        <f>IF(Loans!I$13=0, "", Loans!I$13)</f>
        <v/>
      </c>
      <c r="F116" s="159" t="str">
        <f>IF(Loans!J$13=0, "", Loans!J$13)</f>
        <v/>
      </c>
      <c r="G116" s="67"/>
      <c r="H116" s="67"/>
      <c r="I116" s="67"/>
      <c r="J116" s="67"/>
      <c r="K116" s="67"/>
      <c r="S116" s="67"/>
      <c r="T116" s="335"/>
      <c r="U116" s="335"/>
      <c r="V116" s="45">
        <f t="shared" ref="V116:X135" si="116">IF(AND(V47=1,W47=0), 1,0)</f>
        <v>0</v>
      </c>
      <c r="W116" s="45">
        <f t="shared" si="116"/>
        <v>0</v>
      </c>
      <c r="X116" s="45">
        <f t="shared" si="116"/>
        <v>0</v>
      </c>
      <c r="Y116" s="45">
        <f t="shared" ref="Y116:Y135" si="117">IF(AND(Y47=1,S47=0), 1,0)</f>
        <v>0</v>
      </c>
      <c r="AA116" s="45">
        <f>IF(AND(AA47=1,AB47=0), 1,0)</f>
        <v>0</v>
      </c>
      <c r="AB116" s="45">
        <f t="shared" ref="AB116:BW121" si="118">IF(AND(AB47=1,AC47=0), 1,0)</f>
        <v>0</v>
      </c>
      <c r="AC116" s="45">
        <f t="shared" si="118"/>
        <v>0</v>
      </c>
      <c r="AD116" s="45">
        <f t="shared" si="118"/>
        <v>0</v>
      </c>
      <c r="AE116" s="45">
        <f t="shared" si="118"/>
        <v>0</v>
      </c>
      <c r="AF116" s="45">
        <f t="shared" si="118"/>
        <v>0</v>
      </c>
      <c r="AG116" s="45">
        <f t="shared" si="118"/>
        <v>0</v>
      </c>
      <c r="AH116" s="45">
        <f t="shared" si="118"/>
        <v>0</v>
      </c>
      <c r="AI116" s="45">
        <f t="shared" si="118"/>
        <v>0</v>
      </c>
      <c r="AJ116" s="45">
        <f t="shared" si="118"/>
        <v>0</v>
      </c>
      <c r="AK116" s="45">
        <f t="shared" si="118"/>
        <v>0</v>
      </c>
      <c r="AL116" s="45">
        <f t="shared" si="118"/>
        <v>0</v>
      </c>
      <c r="AM116" s="45">
        <f t="shared" si="118"/>
        <v>0</v>
      </c>
      <c r="AN116" s="45">
        <f t="shared" si="118"/>
        <v>0</v>
      </c>
      <c r="AO116" s="45">
        <f t="shared" si="118"/>
        <v>0</v>
      </c>
      <c r="AP116" s="45">
        <f t="shared" si="118"/>
        <v>0</v>
      </c>
      <c r="AQ116" s="45">
        <f t="shared" si="118"/>
        <v>0</v>
      </c>
      <c r="AR116" s="45">
        <f t="shared" si="118"/>
        <v>0</v>
      </c>
      <c r="AS116" s="45">
        <f>IF(AND(AS47=1,AT47=0), 1,0)</f>
        <v>0</v>
      </c>
      <c r="AT116" s="45">
        <f t="shared" si="118"/>
        <v>0</v>
      </c>
      <c r="AU116" s="45">
        <f t="shared" si="118"/>
        <v>0</v>
      </c>
      <c r="AV116" s="45">
        <f t="shared" si="118"/>
        <v>0</v>
      </c>
      <c r="AW116" s="45">
        <f t="shared" si="118"/>
        <v>0</v>
      </c>
      <c r="AX116" s="45">
        <f t="shared" si="118"/>
        <v>0</v>
      </c>
      <c r="AY116" s="45">
        <f t="shared" si="118"/>
        <v>0</v>
      </c>
      <c r="AZ116" s="45">
        <f t="shared" si="118"/>
        <v>0</v>
      </c>
      <c r="BA116" s="45">
        <f t="shared" si="118"/>
        <v>0</v>
      </c>
      <c r="BB116" s="45">
        <f t="shared" si="118"/>
        <v>0</v>
      </c>
      <c r="BC116" s="45">
        <f t="shared" si="118"/>
        <v>0</v>
      </c>
      <c r="BD116" s="45">
        <f t="shared" si="118"/>
        <v>0</v>
      </c>
      <c r="BE116" s="45">
        <f t="shared" si="118"/>
        <v>0</v>
      </c>
      <c r="BF116" s="45">
        <f t="shared" si="118"/>
        <v>0</v>
      </c>
      <c r="BG116" s="45">
        <f t="shared" si="118"/>
        <v>0</v>
      </c>
      <c r="BH116" s="45">
        <f t="shared" si="118"/>
        <v>0</v>
      </c>
      <c r="BI116" s="45">
        <f t="shared" si="118"/>
        <v>0</v>
      </c>
      <c r="BJ116" s="45">
        <f t="shared" si="118"/>
        <v>0</v>
      </c>
      <c r="BK116" s="67"/>
      <c r="BL116" s="45">
        <f t="shared" si="118"/>
        <v>0</v>
      </c>
      <c r="BM116" s="45">
        <f t="shared" si="118"/>
        <v>0</v>
      </c>
      <c r="BN116" s="45">
        <f t="shared" si="118"/>
        <v>0</v>
      </c>
      <c r="BO116" s="45">
        <f t="shared" si="118"/>
        <v>0</v>
      </c>
      <c r="BP116" s="45">
        <f t="shared" si="118"/>
        <v>0</v>
      </c>
      <c r="BQ116" s="45">
        <f t="shared" si="118"/>
        <v>0</v>
      </c>
      <c r="BR116" s="45">
        <f t="shared" si="118"/>
        <v>0</v>
      </c>
      <c r="BS116" s="45">
        <f t="shared" si="118"/>
        <v>0</v>
      </c>
      <c r="BT116" s="45">
        <f t="shared" si="118"/>
        <v>0</v>
      </c>
      <c r="BU116" s="45">
        <f t="shared" si="118"/>
        <v>0</v>
      </c>
      <c r="BV116" s="45">
        <f t="shared" si="118"/>
        <v>0</v>
      </c>
      <c r="BW116" s="45">
        <f t="shared" si="118"/>
        <v>0</v>
      </c>
      <c r="BY116" s="12"/>
      <c r="CA116" s="12"/>
      <c r="EX116" s="10" t="str">
        <f t="shared" si="79"/>
        <v/>
      </c>
    </row>
    <row r="117" spans="1:154" x14ac:dyDescent="0.25">
      <c r="B117" s="67" t="str">
        <f ca="1">Loans!B$14</f>
        <v>Loan 2</v>
      </c>
      <c r="D117" s="62" t="str">
        <f>Loans!D$14</f>
        <v>NatWest</v>
      </c>
      <c r="E117" s="159" t="str">
        <f>IF(Loans!I$14=0, "", Loans!I$14)</f>
        <v/>
      </c>
      <c r="F117" s="159" t="str">
        <f>IF(Loans!J$14=0, "", Loans!J$14)</f>
        <v/>
      </c>
      <c r="G117" s="67"/>
      <c r="H117" s="67"/>
      <c r="I117" s="67"/>
      <c r="J117" s="67"/>
      <c r="K117" s="67"/>
      <c r="S117" s="67"/>
      <c r="T117" s="335"/>
      <c r="U117" s="335"/>
      <c r="V117" s="45">
        <f t="shared" si="116"/>
        <v>0</v>
      </c>
      <c r="W117" s="45">
        <f t="shared" si="116"/>
        <v>0</v>
      </c>
      <c r="X117" s="45">
        <f t="shared" si="116"/>
        <v>0</v>
      </c>
      <c r="Y117" s="45">
        <f t="shared" si="117"/>
        <v>0</v>
      </c>
      <c r="AA117" s="45">
        <f t="shared" ref="AA117:AP135" si="119">IF(AND(AA48=1,AB48=0), 1,0)</f>
        <v>0</v>
      </c>
      <c r="AB117" s="45">
        <f t="shared" si="119"/>
        <v>0</v>
      </c>
      <c r="AC117" s="45">
        <f t="shared" si="119"/>
        <v>0</v>
      </c>
      <c r="AD117" s="45">
        <f t="shared" si="119"/>
        <v>0</v>
      </c>
      <c r="AE117" s="45">
        <f t="shared" si="119"/>
        <v>0</v>
      </c>
      <c r="AF117" s="45">
        <f t="shared" si="119"/>
        <v>0</v>
      </c>
      <c r="AG117" s="45">
        <f t="shared" si="119"/>
        <v>0</v>
      </c>
      <c r="AH117" s="45">
        <f t="shared" si="119"/>
        <v>0</v>
      </c>
      <c r="AI117" s="45">
        <f t="shared" si="119"/>
        <v>0</v>
      </c>
      <c r="AJ117" s="45">
        <f t="shared" si="119"/>
        <v>0</v>
      </c>
      <c r="AK117" s="45">
        <f t="shared" si="119"/>
        <v>0</v>
      </c>
      <c r="AL117" s="45">
        <f t="shared" si="119"/>
        <v>0</v>
      </c>
      <c r="AM117" s="45">
        <f t="shared" si="119"/>
        <v>0</v>
      </c>
      <c r="AN117" s="45">
        <f t="shared" si="119"/>
        <v>0</v>
      </c>
      <c r="AO117" s="45">
        <f t="shared" si="119"/>
        <v>0</v>
      </c>
      <c r="AP117" s="45">
        <f t="shared" si="119"/>
        <v>0</v>
      </c>
      <c r="AQ117" s="45">
        <f t="shared" si="118"/>
        <v>0</v>
      </c>
      <c r="AR117" s="45">
        <f t="shared" si="118"/>
        <v>0</v>
      </c>
      <c r="AS117" s="45">
        <f t="shared" si="118"/>
        <v>0</v>
      </c>
      <c r="AT117" s="45">
        <f t="shared" si="118"/>
        <v>0</v>
      </c>
      <c r="AU117" s="45">
        <f t="shared" si="118"/>
        <v>0</v>
      </c>
      <c r="AV117" s="45">
        <f t="shared" si="118"/>
        <v>0</v>
      </c>
      <c r="AW117" s="45">
        <f t="shared" si="118"/>
        <v>0</v>
      </c>
      <c r="AX117" s="45">
        <f t="shared" si="118"/>
        <v>0</v>
      </c>
      <c r="AY117" s="45">
        <f t="shared" si="118"/>
        <v>0</v>
      </c>
      <c r="AZ117" s="45">
        <f t="shared" si="118"/>
        <v>0</v>
      </c>
      <c r="BA117" s="45">
        <f t="shared" si="118"/>
        <v>0</v>
      </c>
      <c r="BB117" s="45">
        <f t="shared" si="118"/>
        <v>0</v>
      </c>
      <c r="BC117" s="45">
        <f t="shared" si="118"/>
        <v>0</v>
      </c>
      <c r="BD117" s="45">
        <f t="shared" si="118"/>
        <v>0</v>
      </c>
      <c r="BE117" s="45">
        <f t="shared" si="118"/>
        <v>0</v>
      </c>
      <c r="BF117" s="45">
        <f t="shared" si="118"/>
        <v>0</v>
      </c>
      <c r="BG117" s="45">
        <f t="shared" si="118"/>
        <v>0</v>
      </c>
      <c r="BH117" s="45">
        <f t="shared" si="118"/>
        <v>0</v>
      </c>
      <c r="BI117" s="45">
        <f t="shared" si="118"/>
        <v>0</v>
      </c>
      <c r="BJ117" s="45">
        <f t="shared" si="118"/>
        <v>0</v>
      </c>
      <c r="BK117" s="67"/>
      <c r="BL117" s="45">
        <f t="shared" si="118"/>
        <v>0</v>
      </c>
      <c r="BM117" s="45">
        <f t="shared" si="118"/>
        <v>0</v>
      </c>
      <c r="BN117" s="45">
        <f t="shared" si="118"/>
        <v>0</v>
      </c>
      <c r="BO117" s="45">
        <f t="shared" si="118"/>
        <v>0</v>
      </c>
      <c r="BP117" s="45">
        <f t="shared" si="118"/>
        <v>0</v>
      </c>
      <c r="BQ117" s="45">
        <f t="shared" si="118"/>
        <v>0</v>
      </c>
      <c r="BR117" s="45">
        <f t="shared" si="118"/>
        <v>0</v>
      </c>
      <c r="BS117" s="45">
        <f t="shared" si="118"/>
        <v>0</v>
      </c>
      <c r="BT117" s="45">
        <f t="shared" si="118"/>
        <v>0</v>
      </c>
      <c r="BU117" s="45">
        <f t="shared" si="118"/>
        <v>0</v>
      </c>
      <c r="BV117" s="45">
        <f t="shared" si="118"/>
        <v>0</v>
      </c>
      <c r="BW117" s="45">
        <f t="shared" si="118"/>
        <v>0</v>
      </c>
      <c r="BY117" s="12"/>
      <c r="CA117" s="12"/>
      <c r="EX117" s="10" t="str">
        <f t="shared" si="79"/>
        <v/>
      </c>
    </row>
    <row r="118" spans="1:154" x14ac:dyDescent="0.25">
      <c r="B118" s="67" t="str">
        <f ca="1">Loans!B$15</f>
        <v>Loan 3</v>
      </c>
      <c r="D118" s="62" t="str">
        <f>Loans!D$15</f>
        <v>NatWest</v>
      </c>
      <c r="E118" s="159" t="str">
        <f>IF(Loans!I$15=0, "", Loans!I$15)</f>
        <v/>
      </c>
      <c r="F118" s="159" t="str">
        <f>IF(Loans!J$15=0, "", Loans!J$15)</f>
        <v/>
      </c>
      <c r="G118" s="67"/>
      <c r="H118" s="67"/>
      <c r="I118" s="67"/>
      <c r="J118" s="67"/>
      <c r="K118" s="67"/>
      <c r="S118" s="67"/>
      <c r="T118" s="335"/>
      <c r="U118" s="335"/>
      <c r="V118" s="45">
        <f t="shared" si="116"/>
        <v>0</v>
      </c>
      <c r="W118" s="45">
        <f t="shared" si="116"/>
        <v>0</v>
      </c>
      <c r="X118" s="45">
        <f t="shared" si="116"/>
        <v>0</v>
      </c>
      <c r="Y118" s="45">
        <f t="shared" si="117"/>
        <v>0</v>
      </c>
      <c r="AA118" s="45">
        <f t="shared" si="119"/>
        <v>0</v>
      </c>
      <c r="AB118" s="45">
        <f t="shared" si="118"/>
        <v>0</v>
      </c>
      <c r="AC118" s="45">
        <f t="shared" si="118"/>
        <v>0</v>
      </c>
      <c r="AD118" s="45">
        <f t="shared" si="118"/>
        <v>0</v>
      </c>
      <c r="AE118" s="45">
        <f t="shared" si="118"/>
        <v>0</v>
      </c>
      <c r="AF118" s="45">
        <f t="shared" si="118"/>
        <v>0</v>
      </c>
      <c r="AG118" s="45">
        <f t="shared" si="118"/>
        <v>0</v>
      </c>
      <c r="AH118" s="45">
        <f t="shared" si="118"/>
        <v>0</v>
      </c>
      <c r="AI118" s="45">
        <f t="shared" si="118"/>
        <v>0</v>
      </c>
      <c r="AJ118" s="45">
        <f t="shared" si="118"/>
        <v>0</v>
      </c>
      <c r="AK118" s="45">
        <f t="shared" si="118"/>
        <v>0</v>
      </c>
      <c r="AL118" s="45">
        <f t="shared" si="118"/>
        <v>0</v>
      </c>
      <c r="AM118" s="45">
        <f t="shared" si="118"/>
        <v>0</v>
      </c>
      <c r="AN118" s="45">
        <f t="shared" si="118"/>
        <v>0</v>
      </c>
      <c r="AO118" s="45">
        <f t="shared" si="118"/>
        <v>0</v>
      </c>
      <c r="AP118" s="45">
        <f t="shared" si="118"/>
        <v>0</v>
      </c>
      <c r="AQ118" s="45">
        <f t="shared" si="118"/>
        <v>0</v>
      </c>
      <c r="AR118" s="45">
        <f t="shared" si="118"/>
        <v>0</v>
      </c>
      <c r="AS118" s="45">
        <f t="shared" si="118"/>
        <v>0</v>
      </c>
      <c r="AT118" s="45">
        <f t="shared" si="118"/>
        <v>0</v>
      </c>
      <c r="AU118" s="45">
        <f t="shared" si="118"/>
        <v>0</v>
      </c>
      <c r="AV118" s="45">
        <f t="shared" si="118"/>
        <v>0</v>
      </c>
      <c r="AW118" s="45">
        <f t="shared" si="118"/>
        <v>0</v>
      </c>
      <c r="AX118" s="45">
        <f t="shared" si="118"/>
        <v>0</v>
      </c>
      <c r="AY118" s="45">
        <f t="shared" si="118"/>
        <v>0</v>
      </c>
      <c r="AZ118" s="45">
        <f t="shared" si="118"/>
        <v>0</v>
      </c>
      <c r="BA118" s="45">
        <f t="shared" si="118"/>
        <v>0</v>
      </c>
      <c r="BB118" s="45">
        <f t="shared" si="118"/>
        <v>0</v>
      </c>
      <c r="BC118" s="45">
        <f t="shared" si="118"/>
        <v>0</v>
      </c>
      <c r="BD118" s="45">
        <f t="shared" si="118"/>
        <v>0</v>
      </c>
      <c r="BE118" s="45">
        <f t="shared" si="118"/>
        <v>0</v>
      </c>
      <c r="BF118" s="45">
        <f t="shared" si="118"/>
        <v>0</v>
      </c>
      <c r="BG118" s="45">
        <f t="shared" si="118"/>
        <v>0</v>
      </c>
      <c r="BH118" s="45">
        <f t="shared" si="118"/>
        <v>0</v>
      </c>
      <c r="BI118" s="45">
        <f t="shared" si="118"/>
        <v>0</v>
      </c>
      <c r="BJ118" s="45">
        <f t="shared" si="118"/>
        <v>0</v>
      </c>
      <c r="BK118" s="67"/>
      <c r="BL118" s="45">
        <f t="shared" si="118"/>
        <v>0</v>
      </c>
      <c r="BM118" s="45">
        <f t="shared" si="118"/>
        <v>0</v>
      </c>
      <c r="BN118" s="45">
        <f t="shared" si="118"/>
        <v>0</v>
      </c>
      <c r="BO118" s="45">
        <f t="shared" si="118"/>
        <v>0</v>
      </c>
      <c r="BP118" s="45">
        <f t="shared" si="118"/>
        <v>0</v>
      </c>
      <c r="BQ118" s="45">
        <f t="shared" si="118"/>
        <v>0</v>
      </c>
      <c r="BR118" s="45">
        <f t="shared" si="118"/>
        <v>0</v>
      </c>
      <c r="BS118" s="45">
        <f t="shared" si="118"/>
        <v>0</v>
      </c>
      <c r="BT118" s="45">
        <f t="shared" si="118"/>
        <v>0</v>
      </c>
      <c r="BU118" s="45">
        <f t="shared" si="118"/>
        <v>0</v>
      </c>
      <c r="BV118" s="45">
        <f t="shared" si="118"/>
        <v>0</v>
      </c>
      <c r="BW118" s="45">
        <f t="shared" si="118"/>
        <v>0</v>
      </c>
      <c r="BY118" s="12"/>
      <c r="CA118" s="12"/>
      <c r="EX118" s="10" t="str">
        <f t="shared" si="79"/>
        <v/>
      </c>
    </row>
    <row r="119" spans="1:154" x14ac:dyDescent="0.25">
      <c r="B119" s="67" t="str">
        <f ca="1">Loans!B$16</f>
        <v>Loan 4</v>
      </c>
      <c r="D119" s="62" t="str">
        <f>Loans!D$16</f>
        <v>NatWest</v>
      </c>
      <c r="E119" s="159" t="str">
        <f>IF(Loans!I$16=0, "", Loans!I$16)</f>
        <v/>
      </c>
      <c r="F119" s="159" t="str">
        <f>IF(Loans!J$16=0, "", Loans!J$16)</f>
        <v/>
      </c>
      <c r="G119" s="67"/>
      <c r="H119" s="67"/>
      <c r="I119" s="67"/>
      <c r="J119" s="67"/>
      <c r="K119" s="67"/>
      <c r="S119" s="67"/>
      <c r="T119" s="335"/>
      <c r="U119" s="335"/>
      <c r="V119" s="45">
        <f t="shared" si="116"/>
        <v>0</v>
      </c>
      <c r="W119" s="45">
        <f t="shared" si="116"/>
        <v>0</v>
      </c>
      <c r="X119" s="45">
        <f t="shared" si="116"/>
        <v>0</v>
      </c>
      <c r="Y119" s="45">
        <f t="shared" si="117"/>
        <v>0</v>
      </c>
      <c r="AA119" s="45">
        <f t="shared" si="119"/>
        <v>0</v>
      </c>
      <c r="AB119" s="45">
        <f t="shared" si="118"/>
        <v>0</v>
      </c>
      <c r="AC119" s="45">
        <f t="shared" si="118"/>
        <v>0</v>
      </c>
      <c r="AD119" s="45">
        <f t="shared" si="118"/>
        <v>0</v>
      </c>
      <c r="AE119" s="45">
        <f t="shared" si="118"/>
        <v>0</v>
      </c>
      <c r="AF119" s="45">
        <f t="shared" si="118"/>
        <v>0</v>
      </c>
      <c r="AG119" s="45">
        <f t="shared" si="118"/>
        <v>0</v>
      </c>
      <c r="AH119" s="45">
        <f t="shared" si="118"/>
        <v>0</v>
      </c>
      <c r="AI119" s="45">
        <f t="shared" si="118"/>
        <v>0</v>
      </c>
      <c r="AJ119" s="45">
        <f t="shared" si="118"/>
        <v>0</v>
      </c>
      <c r="AK119" s="45">
        <f t="shared" si="118"/>
        <v>0</v>
      </c>
      <c r="AL119" s="45">
        <f t="shared" si="118"/>
        <v>0</v>
      </c>
      <c r="AM119" s="45">
        <f t="shared" si="118"/>
        <v>0</v>
      </c>
      <c r="AN119" s="45">
        <f t="shared" si="118"/>
        <v>0</v>
      </c>
      <c r="AO119" s="45">
        <f t="shared" si="118"/>
        <v>0</v>
      </c>
      <c r="AP119" s="45">
        <f t="shared" si="118"/>
        <v>0</v>
      </c>
      <c r="AQ119" s="45">
        <f t="shared" si="118"/>
        <v>0</v>
      </c>
      <c r="AR119" s="45">
        <f t="shared" si="118"/>
        <v>0</v>
      </c>
      <c r="AS119" s="45">
        <f t="shared" si="118"/>
        <v>0</v>
      </c>
      <c r="AT119" s="45">
        <f t="shared" si="118"/>
        <v>0</v>
      </c>
      <c r="AU119" s="45">
        <f t="shared" si="118"/>
        <v>0</v>
      </c>
      <c r="AV119" s="45">
        <f t="shared" si="118"/>
        <v>0</v>
      </c>
      <c r="AW119" s="45">
        <f t="shared" si="118"/>
        <v>0</v>
      </c>
      <c r="AX119" s="45">
        <f t="shared" si="118"/>
        <v>0</v>
      </c>
      <c r="AY119" s="45">
        <f t="shared" si="118"/>
        <v>0</v>
      </c>
      <c r="AZ119" s="45">
        <f t="shared" si="118"/>
        <v>0</v>
      </c>
      <c r="BA119" s="45">
        <f t="shared" si="118"/>
        <v>0</v>
      </c>
      <c r="BB119" s="45">
        <f t="shared" si="118"/>
        <v>0</v>
      </c>
      <c r="BC119" s="45">
        <f t="shared" si="118"/>
        <v>0</v>
      </c>
      <c r="BD119" s="45">
        <f t="shared" si="118"/>
        <v>0</v>
      </c>
      <c r="BE119" s="45">
        <f t="shared" si="118"/>
        <v>0</v>
      </c>
      <c r="BF119" s="45">
        <f t="shared" si="118"/>
        <v>0</v>
      </c>
      <c r="BG119" s="45">
        <f t="shared" si="118"/>
        <v>0</v>
      </c>
      <c r="BH119" s="45">
        <f t="shared" si="118"/>
        <v>0</v>
      </c>
      <c r="BI119" s="45">
        <f t="shared" si="118"/>
        <v>0</v>
      </c>
      <c r="BJ119" s="45">
        <f t="shared" si="118"/>
        <v>0</v>
      </c>
      <c r="BK119" s="67"/>
      <c r="BL119" s="45">
        <f t="shared" si="118"/>
        <v>0</v>
      </c>
      <c r="BM119" s="45">
        <f t="shared" si="118"/>
        <v>0</v>
      </c>
      <c r="BN119" s="45">
        <f t="shared" si="118"/>
        <v>0</v>
      </c>
      <c r="BO119" s="45">
        <f t="shared" si="118"/>
        <v>0</v>
      </c>
      <c r="BP119" s="45">
        <f t="shared" si="118"/>
        <v>0</v>
      </c>
      <c r="BQ119" s="45">
        <f t="shared" si="118"/>
        <v>0</v>
      </c>
      <c r="BR119" s="45">
        <f t="shared" si="118"/>
        <v>0</v>
      </c>
      <c r="BS119" s="45">
        <f t="shared" si="118"/>
        <v>0</v>
      </c>
      <c r="BT119" s="45">
        <f t="shared" si="118"/>
        <v>0</v>
      </c>
      <c r="BU119" s="45">
        <f t="shared" si="118"/>
        <v>0</v>
      </c>
      <c r="BV119" s="45">
        <f t="shared" si="118"/>
        <v>0</v>
      </c>
      <c r="BW119" s="45">
        <f t="shared" si="118"/>
        <v>0</v>
      </c>
      <c r="BY119" s="12"/>
      <c r="CA119" s="12"/>
      <c r="EX119" s="10" t="str">
        <f t="shared" si="79"/>
        <v/>
      </c>
    </row>
    <row r="120" spans="1:154" x14ac:dyDescent="0.25">
      <c r="B120" s="67" t="str">
        <f ca="1">Loans!B$17</f>
        <v>Loan 5</v>
      </c>
      <c r="D120" s="62" t="str">
        <f>Loans!D$17</f>
        <v>NatWest</v>
      </c>
      <c r="E120" s="159" t="str">
        <f>IF(Loans!I$17=0, "", Loans!I$17)</f>
        <v/>
      </c>
      <c r="F120" s="159" t="str">
        <f>IF(Loans!J$17=0, "", Loans!J$17)</f>
        <v/>
      </c>
      <c r="G120" s="67"/>
      <c r="H120" s="67"/>
      <c r="I120" s="67"/>
      <c r="J120" s="67"/>
      <c r="K120" s="67"/>
      <c r="S120" s="67"/>
      <c r="T120" s="335"/>
      <c r="U120" s="335"/>
      <c r="V120" s="45">
        <f t="shared" si="116"/>
        <v>0</v>
      </c>
      <c r="W120" s="45">
        <f t="shared" si="116"/>
        <v>0</v>
      </c>
      <c r="X120" s="45">
        <f t="shared" si="116"/>
        <v>0</v>
      </c>
      <c r="Y120" s="45">
        <f t="shared" si="117"/>
        <v>0</v>
      </c>
      <c r="AA120" s="45">
        <f t="shared" si="119"/>
        <v>0</v>
      </c>
      <c r="AB120" s="45">
        <f t="shared" si="118"/>
        <v>0</v>
      </c>
      <c r="AC120" s="45">
        <f t="shared" si="118"/>
        <v>0</v>
      </c>
      <c r="AD120" s="45">
        <f t="shared" si="118"/>
        <v>0</v>
      </c>
      <c r="AE120" s="45">
        <f t="shared" si="118"/>
        <v>0</v>
      </c>
      <c r="AF120" s="45">
        <f t="shared" si="118"/>
        <v>0</v>
      </c>
      <c r="AG120" s="45">
        <f t="shared" si="118"/>
        <v>0</v>
      </c>
      <c r="AH120" s="45">
        <f t="shared" si="118"/>
        <v>0</v>
      </c>
      <c r="AI120" s="45">
        <f t="shared" si="118"/>
        <v>0</v>
      </c>
      <c r="AJ120" s="45">
        <f t="shared" si="118"/>
        <v>0</v>
      </c>
      <c r="AK120" s="45">
        <f t="shared" si="118"/>
        <v>0</v>
      </c>
      <c r="AL120" s="45">
        <f t="shared" si="118"/>
        <v>0</v>
      </c>
      <c r="AM120" s="45">
        <f t="shared" si="118"/>
        <v>0</v>
      </c>
      <c r="AN120" s="45">
        <f t="shared" si="118"/>
        <v>0</v>
      </c>
      <c r="AO120" s="45">
        <f t="shared" si="118"/>
        <v>0</v>
      </c>
      <c r="AP120" s="45">
        <f t="shared" si="118"/>
        <v>0</v>
      </c>
      <c r="AQ120" s="45">
        <f t="shared" si="118"/>
        <v>0</v>
      </c>
      <c r="AR120" s="45">
        <f t="shared" si="118"/>
        <v>0</v>
      </c>
      <c r="AS120" s="45">
        <f t="shared" si="118"/>
        <v>0</v>
      </c>
      <c r="AT120" s="45">
        <f t="shared" si="118"/>
        <v>0</v>
      </c>
      <c r="AU120" s="45">
        <f t="shared" si="118"/>
        <v>0</v>
      </c>
      <c r="AV120" s="45">
        <f t="shared" si="118"/>
        <v>0</v>
      </c>
      <c r="AW120" s="45">
        <f t="shared" si="118"/>
        <v>0</v>
      </c>
      <c r="AX120" s="45">
        <f t="shared" si="118"/>
        <v>0</v>
      </c>
      <c r="AY120" s="45">
        <f t="shared" si="118"/>
        <v>0</v>
      </c>
      <c r="AZ120" s="45">
        <f t="shared" si="118"/>
        <v>0</v>
      </c>
      <c r="BA120" s="45">
        <f t="shared" si="118"/>
        <v>0</v>
      </c>
      <c r="BB120" s="45">
        <f t="shared" si="118"/>
        <v>0</v>
      </c>
      <c r="BC120" s="45">
        <f t="shared" si="118"/>
        <v>0</v>
      </c>
      <c r="BD120" s="45">
        <f t="shared" si="118"/>
        <v>0</v>
      </c>
      <c r="BE120" s="45">
        <f t="shared" si="118"/>
        <v>0</v>
      </c>
      <c r="BF120" s="45">
        <f t="shared" si="118"/>
        <v>0</v>
      </c>
      <c r="BG120" s="45">
        <f t="shared" si="118"/>
        <v>0</v>
      </c>
      <c r="BH120" s="45">
        <f t="shared" si="118"/>
        <v>0</v>
      </c>
      <c r="BI120" s="45">
        <f t="shared" si="118"/>
        <v>0</v>
      </c>
      <c r="BJ120" s="45">
        <f t="shared" si="118"/>
        <v>0</v>
      </c>
      <c r="BK120" s="67"/>
      <c r="BL120" s="45">
        <f t="shared" si="118"/>
        <v>0</v>
      </c>
      <c r="BM120" s="45">
        <f t="shared" si="118"/>
        <v>0</v>
      </c>
      <c r="BN120" s="45">
        <f t="shared" si="118"/>
        <v>0</v>
      </c>
      <c r="BO120" s="45">
        <f t="shared" si="118"/>
        <v>0</v>
      </c>
      <c r="BP120" s="45">
        <f t="shared" si="118"/>
        <v>0</v>
      </c>
      <c r="BQ120" s="45">
        <f t="shared" si="118"/>
        <v>0</v>
      </c>
      <c r="BR120" s="45">
        <f t="shared" si="118"/>
        <v>0</v>
      </c>
      <c r="BS120" s="45">
        <f t="shared" si="118"/>
        <v>0</v>
      </c>
      <c r="BT120" s="45">
        <f t="shared" si="118"/>
        <v>0</v>
      </c>
      <c r="BU120" s="45">
        <f t="shared" si="118"/>
        <v>0</v>
      </c>
      <c r="BV120" s="45">
        <f t="shared" si="118"/>
        <v>0</v>
      </c>
      <c r="BW120" s="45">
        <f t="shared" si="118"/>
        <v>0</v>
      </c>
      <c r="BY120" s="12"/>
      <c r="CA120" s="12"/>
      <c r="EX120" s="10" t="str">
        <f t="shared" si="79"/>
        <v/>
      </c>
    </row>
    <row r="121" spans="1:154" x14ac:dyDescent="0.25">
      <c r="B121" s="67" t="str">
        <f ca="1">Loans!B$18</f>
        <v>Loan 6</v>
      </c>
      <c r="D121" s="62">
        <f>Loans!D$18</f>
        <v>0</v>
      </c>
      <c r="E121" s="159" t="str">
        <f>IF(Loans!I$18=0, "", Loans!I$18)</f>
        <v/>
      </c>
      <c r="F121" s="159" t="str">
        <f>IF(Loans!J$18=0, "", Loans!J$18)</f>
        <v/>
      </c>
      <c r="G121" s="67"/>
      <c r="H121" s="67"/>
      <c r="I121" s="67"/>
      <c r="J121" s="67"/>
      <c r="K121" s="67"/>
      <c r="S121" s="67"/>
      <c r="T121" s="335"/>
      <c r="U121" s="335"/>
      <c r="V121" s="45">
        <f t="shared" si="116"/>
        <v>0</v>
      </c>
      <c r="W121" s="45">
        <f t="shared" si="116"/>
        <v>0</v>
      </c>
      <c r="X121" s="45">
        <f t="shared" si="116"/>
        <v>0</v>
      </c>
      <c r="Y121" s="45">
        <f t="shared" si="117"/>
        <v>0</v>
      </c>
      <c r="AA121" s="45">
        <f t="shared" si="119"/>
        <v>0</v>
      </c>
      <c r="AB121" s="45">
        <f t="shared" si="118"/>
        <v>0</v>
      </c>
      <c r="AC121" s="45">
        <f t="shared" si="118"/>
        <v>0</v>
      </c>
      <c r="AD121" s="45">
        <f t="shared" si="118"/>
        <v>0</v>
      </c>
      <c r="AE121" s="45">
        <f t="shared" si="118"/>
        <v>0</v>
      </c>
      <c r="AF121" s="45">
        <f t="shared" si="118"/>
        <v>0</v>
      </c>
      <c r="AG121" s="45">
        <f t="shared" si="118"/>
        <v>0</v>
      </c>
      <c r="AH121" s="45">
        <f t="shared" si="118"/>
        <v>0</v>
      </c>
      <c r="AI121" s="45">
        <f t="shared" si="118"/>
        <v>0</v>
      </c>
      <c r="AJ121" s="45">
        <f t="shared" si="118"/>
        <v>0</v>
      </c>
      <c r="AK121" s="45">
        <f t="shared" si="118"/>
        <v>0</v>
      </c>
      <c r="AL121" s="45">
        <f t="shared" si="118"/>
        <v>0</v>
      </c>
      <c r="AM121" s="45">
        <f t="shared" si="118"/>
        <v>0</v>
      </c>
      <c r="AN121" s="45">
        <f t="shared" si="118"/>
        <v>0</v>
      </c>
      <c r="AO121" s="45">
        <f t="shared" si="118"/>
        <v>0</v>
      </c>
      <c r="AP121" s="45">
        <f t="shared" si="118"/>
        <v>0</v>
      </c>
      <c r="AQ121" s="45">
        <f t="shared" si="118"/>
        <v>0</v>
      </c>
      <c r="AR121" s="45">
        <f t="shared" si="118"/>
        <v>0</v>
      </c>
      <c r="AS121" s="45">
        <f t="shared" si="118"/>
        <v>0</v>
      </c>
      <c r="AT121" s="45">
        <f t="shared" si="118"/>
        <v>0</v>
      </c>
      <c r="AU121" s="45">
        <f t="shared" si="118"/>
        <v>0</v>
      </c>
      <c r="AV121" s="45">
        <f t="shared" si="118"/>
        <v>0</v>
      </c>
      <c r="AW121" s="45">
        <f t="shared" si="118"/>
        <v>0</v>
      </c>
      <c r="AX121" s="45">
        <f t="shared" si="118"/>
        <v>0</v>
      </c>
      <c r="AY121" s="45">
        <f t="shared" si="118"/>
        <v>0</v>
      </c>
      <c r="AZ121" s="45">
        <f t="shared" si="118"/>
        <v>0</v>
      </c>
      <c r="BA121" s="45">
        <f t="shared" si="118"/>
        <v>0</v>
      </c>
      <c r="BB121" s="45">
        <f t="shared" si="118"/>
        <v>0</v>
      </c>
      <c r="BC121" s="45">
        <f t="shared" si="118"/>
        <v>0</v>
      </c>
      <c r="BD121" s="45">
        <f t="shared" si="118"/>
        <v>0</v>
      </c>
      <c r="BE121" s="45">
        <f t="shared" si="118"/>
        <v>0</v>
      </c>
      <c r="BF121" s="45">
        <f t="shared" ref="AB121:BW126" si="120">IF(AND(BF52=1,BG52=0), 1,0)</f>
        <v>0</v>
      </c>
      <c r="BG121" s="45">
        <f t="shared" si="120"/>
        <v>0</v>
      </c>
      <c r="BH121" s="45">
        <f t="shared" si="120"/>
        <v>0</v>
      </c>
      <c r="BI121" s="45">
        <f t="shared" si="120"/>
        <v>0</v>
      </c>
      <c r="BJ121" s="45">
        <f t="shared" si="120"/>
        <v>0</v>
      </c>
      <c r="BK121" s="67"/>
      <c r="BL121" s="45">
        <f t="shared" si="120"/>
        <v>0</v>
      </c>
      <c r="BM121" s="45">
        <f t="shared" si="120"/>
        <v>0</v>
      </c>
      <c r="BN121" s="45">
        <f t="shared" si="120"/>
        <v>0</v>
      </c>
      <c r="BO121" s="45">
        <f t="shared" si="120"/>
        <v>0</v>
      </c>
      <c r="BP121" s="45">
        <f t="shared" si="120"/>
        <v>0</v>
      </c>
      <c r="BQ121" s="45">
        <f t="shared" si="120"/>
        <v>0</v>
      </c>
      <c r="BR121" s="45">
        <f t="shared" si="120"/>
        <v>0</v>
      </c>
      <c r="BS121" s="45">
        <f t="shared" si="120"/>
        <v>0</v>
      </c>
      <c r="BT121" s="45">
        <f t="shared" si="120"/>
        <v>0</v>
      </c>
      <c r="BU121" s="45">
        <f t="shared" si="120"/>
        <v>0</v>
      </c>
      <c r="BV121" s="45">
        <f t="shared" si="120"/>
        <v>0</v>
      </c>
      <c r="BW121" s="45">
        <f t="shared" si="120"/>
        <v>0</v>
      </c>
      <c r="BY121" s="12"/>
      <c r="CA121" s="12"/>
      <c r="EX121" s="10" t="str">
        <f t="shared" si="79"/>
        <v/>
      </c>
    </row>
    <row r="122" spans="1:154" s="5" customFormat="1" x14ac:dyDescent="0.25">
      <c r="A122" s="11"/>
      <c r="B122" s="67" t="str">
        <f ca="1">Loans!B$19</f>
        <v>Loan 7</v>
      </c>
      <c r="D122" s="62">
        <f>Loans!D$19</f>
        <v>0</v>
      </c>
      <c r="E122" s="159" t="str">
        <f>IF(Loans!I$19=0, "", Loans!I$19)</f>
        <v/>
      </c>
      <c r="F122" s="159" t="str">
        <f>IF(Loans!J$19=0, "", Loans!J$19)</f>
        <v/>
      </c>
      <c r="G122" s="67"/>
      <c r="H122" s="67"/>
      <c r="I122" s="67"/>
      <c r="J122" s="67"/>
      <c r="K122" s="67"/>
      <c r="N122" s="11"/>
      <c r="O122" s="11"/>
      <c r="P122" s="11"/>
      <c r="Q122" s="11"/>
      <c r="S122" s="67"/>
      <c r="T122" s="335"/>
      <c r="U122" s="335"/>
      <c r="V122" s="45">
        <f t="shared" si="116"/>
        <v>0</v>
      </c>
      <c r="W122" s="45">
        <f t="shared" si="116"/>
        <v>0</v>
      </c>
      <c r="X122" s="45">
        <f t="shared" si="116"/>
        <v>0</v>
      </c>
      <c r="Y122" s="45">
        <f t="shared" si="117"/>
        <v>0</v>
      </c>
      <c r="Z122" s="11"/>
      <c r="AA122" s="45">
        <f t="shared" si="119"/>
        <v>0</v>
      </c>
      <c r="AB122" s="45">
        <f t="shared" si="120"/>
        <v>0</v>
      </c>
      <c r="AC122" s="45">
        <f t="shared" si="120"/>
        <v>0</v>
      </c>
      <c r="AD122" s="45">
        <f t="shared" si="120"/>
        <v>0</v>
      </c>
      <c r="AE122" s="45">
        <f t="shared" si="120"/>
        <v>0</v>
      </c>
      <c r="AF122" s="45">
        <f t="shared" si="120"/>
        <v>0</v>
      </c>
      <c r="AG122" s="45">
        <f t="shared" si="120"/>
        <v>0</v>
      </c>
      <c r="AH122" s="45">
        <f t="shared" si="120"/>
        <v>0</v>
      </c>
      <c r="AI122" s="45">
        <f t="shared" si="120"/>
        <v>0</v>
      </c>
      <c r="AJ122" s="45">
        <f t="shared" si="120"/>
        <v>0</v>
      </c>
      <c r="AK122" s="45">
        <f t="shared" si="120"/>
        <v>0</v>
      </c>
      <c r="AL122" s="45">
        <f t="shared" si="120"/>
        <v>0</v>
      </c>
      <c r="AM122" s="45">
        <f t="shared" si="120"/>
        <v>0</v>
      </c>
      <c r="AN122" s="45">
        <f t="shared" si="120"/>
        <v>0</v>
      </c>
      <c r="AO122" s="45">
        <f t="shared" si="120"/>
        <v>0</v>
      </c>
      <c r="AP122" s="45">
        <f t="shared" si="120"/>
        <v>0</v>
      </c>
      <c r="AQ122" s="45">
        <f t="shared" si="120"/>
        <v>0</v>
      </c>
      <c r="AR122" s="45">
        <f t="shared" si="120"/>
        <v>0</v>
      </c>
      <c r="AS122" s="45">
        <f t="shared" si="120"/>
        <v>0</v>
      </c>
      <c r="AT122" s="45">
        <f t="shared" si="120"/>
        <v>0</v>
      </c>
      <c r="AU122" s="45">
        <f t="shared" si="120"/>
        <v>0</v>
      </c>
      <c r="AV122" s="45">
        <f t="shared" si="120"/>
        <v>0</v>
      </c>
      <c r="AW122" s="45">
        <f t="shared" si="120"/>
        <v>0</v>
      </c>
      <c r="AX122" s="45">
        <f t="shared" si="120"/>
        <v>0</v>
      </c>
      <c r="AY122" s="45">
        <f t="shared" si="120"/>
        <v>0</v>
      </c>
      <c r="AZ122" s="45">
        <f t="shared" si="120"/>
        <v>0</v>
      </c>
      <c r="BA122" s="45">
        <f t="shared" si="120"/>
        <v>0</v>
      </c>
      <c r="BB122" s="45">
        <f t="shared" si="120"/>
        <v>0</v>
      </c>
      <c r="BC122" s="45">
        <f t="shared" si="120"/>
        <v>0</v>
      </c>
      <c r="BD122" s="45">
        <f t="shared" si="120"/>
        <v>0</v>
      </c>
      <c r="BE122" s="45">
        <f t="shared" si="120"/>
        <v>0</v>
      </c>
      <c r="BF122" s="45">
        <f t="shared" si="120"/>
        <v>0</v>
      </c>
      <c r="BG122" s="45">
        <f t="shared" si="120"/>
        <v>0</v>
      </c>
      <c r="BH122" s="45">
        <f t="shared" si="120"/>
        <v>0</v>
      </c>
      <c r="BI122" s="45">
        <f t="shared" si="120"/>
        <v>0</v>
      </c>
      <c r="BJ122" s="45">
        <f t="shared" si="120"/>
        <v>0</v>
      </c>
      <c r="BK122" s="67"/>
      <c r="BL122" s="45">
        <f t="shared" si="120"/>
        <v>0</v>
      </c>
      <c r="BM122" s="45">
        <f t="shared" si="120"/>
        <v>0</v>
      </c>
      <c r="BN122" s="45">
        <f t="shared" si="120"/>
        <v>0</v>
      </c>
      <c r="BO122" s="45">
        <f t="shared" si="120"/>
        <v>0</v>
      </c>
      <c r="BP122" s="45">
        <f t="shared" si="120"/>
        <v>0</v>
      </c>
      <c r="BQ122" s="45">
        <f t="shared" si="120"/>
        <v>0</v>
      </c>
      <c r="BR122" s="45">
        <f t="shared" si="120"/>
        <v>0</v>
      </c>
      <c r="BS122" s="45">
        <f t="shared" si="120"/>
        <v>0</v>
      </c>
      <c r="BT122" s="45">
        <f t="shared" si="120"/>
        <v>0</v>
      </c>
      <c r="BU122" s="45">
        <f t="shared" si="120"/>
        <v>0</v>
      </c>
      <c r="BV122" s="45">
        <f t="shared" si="120"/>
        <v>0</v>
      </c>
      <c r="BW122" s="45">
        <f t="shared" si="120"/>
        <v>0</v>
      </c>
      <c r="BX122" s="11"/>
      <c r="BY122" s="12"/>
      <c r="BZ122" s="11"/>
      <c r="CA122" s="12"/>
      <c r="EX122" s="10" t="str">
        <f t="shared" si="79"/>
        <v/>
      </c>
    </row>
    <row r="123" spans="1:154" x14ac:dyDescent="0.25">
      <c r="B123" s="67" t="str">
        <f ca="1">Loans!B$20</f>
        <v>Loan 8</v>
      </c>
      <c r="D123" s="62">
        <f>Loans!D$20</f>
        <v>0</v>
      </c>
      <c r="E123" s="159" t="str">
        <f>IF(Loans!I$20=0, "", Loans!I$20)</f>
        <v/>
      </c>
      <c r="F123" s="159" t="str">
        <f>IF(Loans!J$20=0, "", Loans!J$20)</f>
        <v/>
      </c>
      <c r="G123" s="67"/>
      <c r="H123" s="67"/>
      <c r="I123" s="67"/>
      <c r="J123" s="67"/>
      <c r="K123" s="67"/>
      <c r="S123" s="67"/>
      <c r="T123" s="335"/>
      <c r="U123" s="335"/>
      <c r="V123" s="45">
        <f t="shared" si="116"/>
        <v>0</v>
      </c>
      <c r="W123" s="45">
        <f t="shared" si="116"/>
        <v>0</v>
      </c>
      <c r="X123" s="45">
        <f t="shared" si="116"/>
        <v>0</v>
      </c>
      <c r="Y123" s="45">
        <f t="shared" si="117"/>
        <v>0</v>
      </c>
      <c r="AA123" s="45">
        <f t="shared" si="119"/>
        <v>0</v>
      </c>
      <c r="AB123" s="45">
        <f t="shared" si="120"/>
        <v>0</v>
      </c>
      <c r="AC123" s="45">
        <f t="shared" si="120"/>
        <v>0</v>
      </c>
      <c r="AD123" s="45">
        <f t="shared" si="120"/>
        <v>0</v>
      </c>
      <c r="AE123" s="45">
        <f t="shared" si="120"/>
        <v>0</v>
      </c>
      <c r="AF123" s="45">
        <f t="shared" si="120"/>
        <v>0</v>
      </c>
      <c r="AG123" s="45">
        <f t="shared" si="120"/>
        <v>0</v>
      </c>
      <c r="AH123" s="45">
        <f t="shared" si="120"/>
        <v>0</v>
      </c>
      <c r="AI123" s="45">
        <f t="shared" si="120"/>
        <v>0</v>
      </c>
      <c r="AJ123" s="45">
        <f t="shared" si="120"/>
        <v>0</v>
      </c>
      <c r="AK123" s="45">
        <f t="shared" si="120"/>
        <v>0</v>
      </c>
      <c r="AL123" s="45">
        <f t="shared" si="120"/>
        <v>0</v>
      </c>
      <c r="AM123" s="45">
        <f t="shared" si="120"/>
        <v>0</v>
      </c>
      <c r="AN123" s="45">
        <f t="shared" si="120"/>
        <v>0</v>
      </c>
      <c r="AO123" s="45">
        <f t="shared" si="120"/>
        <v>0</v>
      </c>
      <c r="AP123" s="45">
        <f t="shared" si="120"/>
        <v>0</v>
      </c>
      <c r="AQ123" s="45">
        <f t="shared" si="120"/>
        <v>0</v>
      </c>
      <c r="AR123" s="45">
        <f t="shared" si="120"/>
        <v>0</v>
      </c>
      <c r="AS123" s="45">
        <f t="shared" si="120"/>
        <v>0</v>
      </c>
      <c r="AT123" s="45">
        <f t="shared" si="120"/>
        <v>0</v>
      </c>
      <c r="AU123" s="45">
        <f t="shared" si="120"/>
        <v>0</v>
      </c>
      <c r="AV123" s="45">
        <f t="shared" si="120"/>
        <v>0</v>
      </c>
      <c r="AW123" s="45">
        <f t="shared" si="120"/>
        <v>0</v>
      </c>
      <c r="AX123" s="45">
        <f t="shared" si="120"/>
        <v>0</v>
      </c>
      <c r="AY123" s="45">
        <f t="shared" si="120"/>
        <v>0</v>
      </c>
      <c r="AZ123" s="45">
        <f t="shared" si="120"/>
        <v>0</v>
      </c>
      <c r="BA123" s="45">
        <f t="shared" si="120"/>
        <v>0</v>
      </c>
      <c r="BB123" s="45">
        <f t="shared" si="120"/>
        <v>0</v>
      </c>
      <c r="BC123" s="45">
        <f t="shared" si="120"/>
        <v>0</v>
      </c>
      <c r="BD123" s="45">
        <f t="shared" si="120"/>
        <v>0</v>
      </c>
      <c r="BE123" s="45">
        <f t="shared" si="120"/>
        <v>0</v>
      </c>
      <c r="BF123" s="45">
        <f t="shared" si="120"/>
        <v>0</v>
      </c>
      <c r="BG123" s="45">
        <f t="shared" si="120"/>
        <v>0</v>
      </c>
      <c r="BH123" s="45">
        <f t="shared" si="120"/>
        <v>0</v>
      </c>
      <c r="BI123" s="45">
        <f t="shared" si="120"/>
        <v>0</v>
      </c>
      <c r="BJ123" s="45">
        <f t="shared" si="120"/>
        <v>0</v>
      </c>
      <c r="BK123" s="67"/>
      <c r="BL123" s="45">
        <f t="shared" si="120"/>
        <v>0</v>
      </c>
      <c r="BM123" s="45">
        <f t="shared" si="120"/>
        <v>0</v>
      </c>
      <c r="BN123" s="45">
        <f t="shared" si="120"/>
        <v>0</v>
      </c>
      <c r="BO123" s="45">
        <f t="shared" si="120"/>
        <v>0</v>
      </c>
      <c r="BP123" s="45">
        <f t="shared" si="120"/>
        <v>0</v>
      </c>
      <c r="BQ123" s="45">
        <f t="shared" si="120"/>
        <v>0</v>
      </c>
      <c r="BR123" s="45">
        <f t="shared" si="120"/>
        <v>0</v>
      </c>
      <c r="BS123" s="45">
        <f t="shared" si="120"/>
        <v>0</v>
      </c>
      <c r="BT123" s="45">
        <f t="shared" si="120"/>
        <v>0</v>
      </c>
      <c r="BU123" s="45">
        <f t="shared" si="120"/>
        <v>0</v>
      </c>
      <c r="BV123" s="45">
        <f t="shared" si="120"/>
        <v>0</v>
      </c>
      <c r="BW123" s="45">
        <f t="shared" si="120"/>
        <v>0</v>
      </c>
      <c r="BY123" s="12"/>
      <c r="CA123" s="12"/>
      <c r="EX123" s="10" t="str">
        <f t="shared" si="79"/>
        <v/>
      </c>
    </row>
    <row r="124" spans="1:154" x14ac:dyDescent="0.25">
      <c r="B124" s="67" t="str">
        <f ca="1">Loans!B$21</f>
        <v>Loan 9</v>
      </c>
      <c r="D124" s="62">
        <f>Loans!D$21</f>
        <v>0</v>
      </c>
      <c r="E124" s="159" t="str">
        <f>IF(Loans!I$21=0, "", Loans!I$21)</f>
        <v/>
      </c>
      <c r="F124" s="159" t="str">
        <f>IF(Loans!J$21=0, "", Loans!J$21)</f>
        <v/>
      </c>
      <c r="G124" s="67"/>
      <c r="H124" s="67"/>
      <c r="I124" s="67"/>
      <c r="J124" s="67"/>
      <c r="K124" s="67"/>
      <c r="S124" s="67"/>
      <c r="T124" s="335"/>
      <c r="U124" s="335"/>
      <c r="V124" s="45">
        <f t="shared" si="116"/>
        <v>0</v>
      </c>
      <c r="W124" s="45">
        <f t="shared" si="116"/>
        <v>0</v>
      </c>
      <c r="X124" s="45">
        <f t="shared" si="116"/>
        <v>0</v>
      </c>
      <c r="Y124" s="45">
        <f t="shared" si="117"/>
        <v>0</v>
      </c>
      <c r="AA124" s="45">
        <f t="shared" si="119"/>
        <v>0</v>
      </c>
      <c r="AB124" s="45">
        <f t="shared" si="120"/>
        <v>0</v>
      </c>
      <c r="AC124" s="45">
        <f t="shared" si="120"/>
        <v>0</v>
      </c>
      <c r="AD124" s="45">
        <f t="shared" si="120"/>
        <v>0</v>
      </c>
      <c r="AE124" s="45">
        <f t="shared" si="120"/>
        <v>0</v>
      </c>
      <c r="AF124" s="45">
        <f t="shared" si="120"/>
        <v>0</v>
      </c>
      <c r="AG124" s="45">
        <f t="shared" si="120"/>
        <v>0</v>
      </c>
      <c r="AH124" s="45">
        <f t="shared" si="120"/>
        <v>0</v>
      </c>
      <c r="AI124" s="45">
        <f t="shared" si="120"/>
        <v>0</v>
      </c>
      <c r="AJ124" s="45">
        <f t="shared" si="120"/>
        <v>0</v>
      </c>
      <c r="AK124" s="45">
        <f t="shared" si="120"/>
        <v>0</v>
      </c>
      <c r="AL124" s="45">
        <f t="shared" si="120"/>
        <v>0</v>
      </c>
      <c r="AM124" s="45">
        <f t="shared" si="120"/>
        <v>0</v>
      </c>
      <c r="AN124" s="45">
        <f t="shared" si="120"/>
        <v>0</v>
      </c>
      <c r="AO124" s="45">
        <f t="shared" si="120"/>
        <v>0</v>
      </c>
      <c r="AP124" s="45">
        <f t="shared" si="120"/>
        <v>0</v>
      </c>
      <c r="AQ124" s="45">
        <f t="shared" si="120"/>
        <v>0</v>
      </c>
      <c r="AR124" s="45">
        <f t="shared" si="120"/>
        <v>0</v>
      </c>
      <c r="AS124" s="45">
        <f t="shared" si="120"/>
        <v>0</v>
      </c>
      <c r="AT124" s="45">
        <f t="shared" si="120"/>
        <v>0</v>
      </c>
      <c r="AU124" s="45">
        <f t="shared" si="120"/>
        <v>0</v>
      </c>
      <c r="AV124" s="45">
        <f t="shared" si="120"/>
        <v>0</v>
      </c>
      <c r="AW124" s="45">
        <f t="shared" si="120"/>
        <v>0</v>
      </c>
      <c r="AX124" s="45">
        <f t="shared" si="120"/>
        <v>0</v>
      </c>
      <c r="AY124" s="45">
        <f t="shared" si="120"/>
        <v>0</v>
      </c>
      <c r="AZ124" s="45">
        <f t="shared" si="120"/>
        <v>0</v>
      </c>
      <c r="BA124" s="45">
        <f t="shared" si="120"/>
        <v>0</v>
      </c>
      <c r="BB124" s="45">
        <f t="shared" si="120"/>
        <v>0</v>
      </c>
      <c r="BC124" s="45">
        <f t="shared" si="120"/>
        <v>0</v>
      </c>
      <c r="BD124" s="45">
        <f t="shared" si="120"/>
        <v>0</v>
      </c>
      <c r="BE124" s="45">
        <f t="shared" si="120"/>
        <v>0</v>
      </c>
      <c r="BF124" s="45">
        <f t="shared" si="120"/>
        <v>0</v>
      </c>
      <c r="BG124" s="45">
        <f t="shared" si="120"/>
        <v>0</v>
      </c>
      <c r="BH124" s="45">
        <f t="shared" si="120"/>
        <v>0</v>
      </c>
      <c r="BI124" s="45">
        <f t="shared" si="120"/>
        <v>0</v>
      </c>
      <c r="BJ124" s="45">
        <f t="shared" si="120"/>
        <v>0</v>
      </c>
      <c r="BK124" s="67"/>
      <c r="BL124" s="45">
        <f t="shared" si="120"/>
        <v>0</v>
      </c>
      <c r="BM124" s="45">
        <f t="shared" si="120"/>
        <v>0</v>
      </c>
      <c r="BN124" s="45">
        <f t="shared" si="120"/>
        <v>0</v>
      </c>
      <c r="BO124" s="45">
        <f t="shared" si="120"/>
        <v>0</v>
      </c>
      <c r="BP124" s="45">
        <f t="shared" si="120"/>
        <v>0</v>
      </c>
      <c r="BQ124" s="45">
        <f t="shared" si="120"/>
        <v>0</v>
      </c>
      <c r="BR124" s="45">
        <f t="shared" si="120"/>
        <v>0</v>
      </c>
      <c r="BS124" s="45">
        <f t="shared" si="120"/>
        <v>0</v>
      </c>
      <c r="BT124" s="45">
        <f t="shared" si="120"/>
        <v>0</v>
      </c>
      <c r="BU124" s="45">
        <f t="shared" si="120"/>
        <v>0</v>
      </c>
      <c r="BV124" s="45">
        <f t="shared" si="120"/>
        <v>0</v>
      </c>
      <c r="BW124" s="45">
        <f t="shared" si="120"/>
        <v>0</v>
      </c>
      <c r="BY124" s="12"/>
      <c r="CA124" s="12"/>
      <c r="EX124" s="10" t="str">
        <f t="shared" si="79"/>
        <v/>
      </c>
    </row>
    <row r="125" spans="1:154" x14ac:dyDescent="0.25">
      <c r="B125" s="67" t="str">
        <f ca="1">Loans!B$22</f>
        <v>Loan 10</v>
      </c>
      <c r="D125" s="62">
        <f>Loans!D$22</f>
        <v>0</v>
      </c>
      <c r="E125" s="159" t="str">
        <f>IF(Loans!I$22=0, "", Loans!I$22)</f>
        <v/>
      </c>
      <c r="F125" s="159" t="str">
        <f>IF(Loans!J$22=0, "", Loans!J$22)</f>
        <v/>
      </c>
      <c r="G125" s="67"/>
      <c r="H125" s="67"/>
      <c r="I125" s="67"/>
      <c r="J125" s="67"/>
      <c r="K125" s="67"/>
      <c r="S125" s="67"/>
      <c r="T125" s="335"/>
      <c r="U125" s="335"/>
      <c r="V125" s="45">
        <f t="shared" si="116"/>
        <v>0</v>
      </c>
      <c r="W125" s="45">
        <f t="shared" si="116"/>
        <v>0</v>
      </c>
      <c r="X125" s="45">
        <f t="shared" si="116"/>
        <v>0</v>
      </c>
      <c r="Y125" s="45">
        <f t="shared" si="117"/>
        <v>0</v>
      </c>
      <c r="AA125" s="45">
        <f t="shared" si="119"/>
        <v>0</v>
      </c>
      <c r="AB125" s="45">
        <f t="shared" si="120"/>
        <v>0</v>
      </c>
      <c r="AC125" s="45">
        <f t="shared" si="120"/>
        <v>0</v>
      </c>
      <c r="AD125" s="45">
        <f t="shared" si="120"/>
        <v>0</v>
      </c>
      <c r="AE125" s="45">
        <f t="shared" si="120"/>
        <v>0</v>
      </c>
      <c r="AF125" s="45">
        <f t="shared" si="120"/>
        <v>0</v>
      </c>
      <c r="AG125" s="45">
        <f t="shared" si="120"/>
        <v>0</v>
      </c>
      <c r="AH125" s="45">
        <f t="shared" si="120"/>
        <v>0</v>
      </c>
      <c r="AI125" s="45">
        <f t="shared" si="120"/>
        <v>0</v>
      </c>
      <c r="AJ125" s="45">
        <f t="shared" si="120"/>
        <v>0</v>
      </c>
      <c r="AK125" s="45">
        <f t="shared" si="120"/>
        <v>0</v>
      </c>
      <c r="AL125" s="45">
        <f t="shared" si="120"/>
        <v>0</v>
      </c>
      <c r="AM125" s="45">
        <f t="shared" si="120"/>
        <v>0</v>
      </c>
      <c r="AN125" s="45">
        <f t="shared" si="120"/>
        <v>0</v>
      </c>
      <c r="AO125" s="45">
        <f t="shared" si="120"/>
        <v>0</v>
      </c>
      <c r="AP125" s="45">
        <f t="shared" si="120"/>
        <v>0</v>
      </c>
      <c r="AQ125" s="45">
        <f t="shared" si="120"/>
        <v>0</v>
      </c>
      <c r="AR125" s="45">
        <f t="shared" si="120"/>
        <v>0</v>
      </c>
      <c r="AS125" s="45">
        <f t="shared" si="120"/>
        <v>0</v>
      </c>
      <c r="AT125" s="45">
        <f t="shared" si="120"/>
        <v>0</v>
      </c>
      <c r="AU125" s="45">
        <f t="shared" si="120"/>
        <v>0</v>
      </c>
      <c r="AV125" s="45">
        <f t="shared" si="120"/>
        <v>0</v>
      </c>
      <c r="AW125" s="45">
        <f t="shared" si="120"/>
        <v>0</v>
      </c>
      <c r="AX125" s="45">
        <f t="shared" si="120"/>
        <v>0</v>
      </c>
      <c r="AY125" s="45">
        <f t="shared" si="120"/>
        <v>0</v>
      </c>
      <c r="AZ125" s="45">
        <f t="shared" si="120"/>
        <v>0</v>
      </c>
      <c r="BA125" s="45">
        <f t="shared" si="120"/>
        <v>0</v>
      </c>
      <c r="BB125" s="45">
        <f t="shared" si="120"/>
        <v>0</v>
      </c>
      <c r="BC125" s="45">
        <f t="shared" si="120"/>
        <v>0</v>
      </c>
      <c r="BD125" s="45">
        <f t="shared" si="120"/>
        <v>0</v>
      </c>
      <c r="BE125" s="45">
        <f t="shared" si="120"/>
        <v>0</v>
      </c>
      <c r="BF125" s="45">
        <f t="shared" si="120"/>
        <v>0</v>
      </c>
      <c r="BG125" s="45">
        <f t="shared" si="120"/>
        <v>0</v>
      </c>
      <c r="BH125" s="45">
        <f t="shared" si="120"/>
        <v>0</v>
      </c>
      <c r="BI125" s="45">
        <f t="shared" si="120"/>
        <v>0</v>
      </c>
      <c r="BJ125" s="45">
        <f t="shared" si="120"/>
        <v>0</v>
      </c>
      <c r="BK125" s="67"/>
      <c r="BL125" s="45">
        <f t="shared" si="120"/>
        <v>0</v>
      </c>
      <c r="BM125" s="45">
        <f t="shared" si="120"/>
        <v>0</v>
      </c>
      <c r="BN125" s="45">
        <f t="shared" si="120"/>
        <v>0</v>
      </c>
      <c r="BO125" s="45">
        <f t="shared" si="120"/>
        <v>0</v>
      </c>
      <c r="BP125" s="45">
        <f t="shared" si="120"/>
        <v>0</v>
      </c>
      <c r="BQ125" s="45">
        <f t="shared" si="120"/>
        <v>0</v>
      </c>
      <c r="BR125" s="45">
        <f t="shared" si="120"/>
        <v>0</v>
      </c>
      <c r="BS125" s="45">
        <f t="shared" si="120"/>
        <v>0</v>
      </c>
      <c r="BT125" s="45">
        <f t="shared" si="120"/>
        <v>0</v>
      </c>
      <c r="BU125" s="45">
        <f t="shared" si="120"/>
        <v>0</v>
      </c>
      <c r="BV125" s="45">
        <f t="shared" si="120"/>
        <v>0</v>
      </c>
      <c r="BW125" s="45">
        <f t="shared" si="120"/>
        <v>0</v>
      </c>
      <c r="BY125" s="12"/>
      <c r="CA125" s="12"/>
      <c r="EX125" s="10" t="str">
        <f t="shared" si="79"/>
        <v/>
      </c>
    </row>
    <row r="126" spans="1:154" x14ac:dyDescent="0.25">
      <c r="B126" s="67" t="str">
        <f ca="1">Loans!B$23</f>
        <v>Loan 11</v>
      </c>
      <c r="D126" s="62">
        <f>Loans!D$23</f>
        <v>0</v>
      </c>
      <c r="E126" s="159" t="str">
        <f>IF(Loans!I$23=0, "", Loans!I$23)</f>
        <v/>
      </c>
      <c r="F126" s="159" t="str">
        <f>IF(Loans!J$23=0, "", Loans!J$23)</f>
        <v/>
      </c>
      <c r="G126" s="67"/>
      <c r="H126" s="67"/>
      <c r="I126" s="67"/>
      <c r="J126" s="67"/>
      <c r="K126" s="67"/>
      <c r="S126" s="67"/>
      <c r="T126" s="335"/>
      <c r="U126" s="335"/>
      <c r="V126" s="45">
        <f t="shared" si="116"/>
        <v>0</v>
      </c>
      <c r="W126" s="45">
        <f t="shared" si="116"/>
        <v>0</v>
      </c>
      <c r="X126" s="45">
        <f t="shared" si="116"/>
        <v>0</v>
      </c>
      <c r="Y126" s="45">
        <f t="shared" si="117"/>
        <v>0</v>
      </c>
      <c r="AA126" s="45">
        <f t="shared" si="119"/>
        <v>0</v>
      </c>
      <c r="AB126" s="45">
        <f t="shared" si="120"/>
        <v>0</v>
      </c>
      <c r="AC126" s="45">
        <f t="shared" si="120"/>
        <v>0</v>
      </c>
      <c r="AD126" s="45">
        <f t="shared" si="120"/>
        <v>0</v>
      </c>
      <c r="AE126" s="45">
        <f t="shared" si="120"/>
        <v>0</v>
      </c>
      <c r="AF126" s="45">
        <f t="shared" si="120"/>
        <v>0</v>
      </c>
      <c r="AG126" s="45">
        <f t="shared" si="120"/>
        <v>0</v>
      </c>
      <c r="AH126" s="45">
        <f t="shared" si="120"/>
        <v>0</v>
      </c>
      <c r="AI126" s="45">
        <f t="shared" si="120"/>
        <v>0</v>
      </c>
      <c r="AJ126" s="45">
        <f t="shared" si="120"/>
        <v>0</v>
      </c>
      <c r="AK126" s="45">
        <f t="shared" si="120"/>
        <v>0</v>
      </c>
      <c r="AL126" s="45">
        <f t="shared" si="120"/>
        <v>0</v>
      </c>
      <c r="AM126" s="45">
        <f t="shared" si="120"/>
        <v>0</v>
      </c>
      <c r="AN126" s="45">
        <f t="shared" si="120"/>
        <v>0</v>
      </c>
      <c r="AO126" s="45">
        <f t="shared" si="120"/>
        <v>0</v>
      </c>
      <c r="AP126" s="45">
        <f t="shared" si="120"/>
        <v>0</v>
      </c>
      <c r="AQ126" s="45">
        <f t="shared" si="120"/>
        <v>0</v>
      </c>
      <c r="AR126" s="45">
        <f t="shared" si="120"/>
        <v>0</v>
      </c>
      <c r="AS126" s="45">
        <f t="shared" si="120"/>
        <v>0</v>
      </c>
      <c r="AT126" s="45">
        <f t="shared" si="120"/>
        <v>0</v>
      </c>
      <c r="AU126" s="45">
        <f t="shared" si="120"/>
        <v>0</v>
      </c>
      <c r="AV126" s="45">
        <f t="shared" si="120"/>
        <v>0</v>
      </c>
      <c r="AW126" s="45">
        <f t="shared" si="120"/>
        <v>0</v>
      </c>
      <c r="AX126" s="45">
        <f t="shared" si="120"/>
        <v>0</v>
      </c>
      <c r="AY126" s="45">
        <f t="shared" si="120"/>
        <v>0</v>
      </c>
      <c r="AZ126" s="45">
        <f t="shared" si="120"/>
        <v>0</v>
      </c>
      <c r="BA126" s="45">
        <f t="shared" si="120"/>
        <v>0</v>
      </c>
      <c r="BB126" s="45">
        <f t="shared" si="120"/>
        <v>0</v>
      </c>
      <c r="BC126" s="45">
        <f t="shared" si="120"/>
        <v>0</v>
      </c>
      <c r="BD126" s="45">
        <f t="shared" si="120"/>
        <v>0</v>
      </c>
      <c r="BE126" s="45">
        <f t="shared" si="120"/>
        <v>0</v>
      </c>
      <c r="BF126" s="45">
        <f t="shared" si="120"/>
        <v>0</v>
      </c>
      <c r="BG126" s="45">
        <f t="shared" si="120"/>
        <v>0</v>
      </c>
      <c r="BH126" s="45">
        <f t="shared" si="120"/>
        <v>0</v>
      </c>
      <c r="BI126" s="45">
        <f t="shared" si="120"/>
        <v>0</v>
      </c>
      <c r="BJ126" s="45">
        <f t="shared" si="120"/>
        <v>0</v>
      </c>
      <c r="BK126" s="67"/>
      <c r="BL126" s="45">
        <f t="shared" si="120"/>
        <v>0</v>
      </c>
      <c r="BM126" s="45">
        <f t="shared" si="120"/>
        <v>0</v>
      </c>
      <c r="BN126" s="45">
        <f t="shared" si="120"/>
        <v>0</v>
      </c>
      <c r="BO126" s="45">
        <f t="shared" si="120"/>
        <v>0</v>
      </c>
      <c r="BP126" s="45">
        <f t="shared" si="120"/>
        <v>0</v>
      </c>
      <c r="BQ126" s="45">
        <f t="shared" si="120"/>
        <v>0</v>
      </c>
      <c r="BR126" s="45">
        <f t="shared" si="120"/>
        <v>0</v>
      </c>
      <c r="BS126" s="45">
        <f t="shared" si="120"/>
        <v>0</v>
      </c>
      <c r="BT126" s="45">
        <f t="shared" si="120"/>
        <v>0</v>
      </c>
      <c r="BU126" s="45">
        <f t="shared" ref="AB126:BW132" si="121">IF(AND(BU57=1,BV57=0), 1,0)</f>
        <v>0</v>
      </c>
      <c r="BV126" s="45">
        <f t="shared" si="121"/>
        <v>0</v>
      </c>
      <c r="BW126" s="45">
        <f t="shared" si="121"/>
        <v>0</v>
      </c>
      <c r="BY126" s="12"/>
      <c r="CA126" s="12"/>
      <c r="EX126" s="10" t="str">
        <f t="shared" si="79"/>
        <v/>
      </c>
    </row>
    <row r="127" spans="1:154" x14ac:dyDescent="0.25">
      <c r="B127" s="67" t="str">
        <f ca="1">Loans!B$24</f>
        <v>Loan 12</v>
      </c>
      <c r="D127" s="62">
        <f>Loans!D$24</f>
        <v>0</v>
      </c>
      <c r="E127" s="159" t="str">
        <f>IF(Loans!I$24=0, "", Loans!I$24)</f>
        <v/>
      </c>
      <c r="F127" s="159" t="str">
        <f>IF(Loans!J$24=0, "", Loans!J$24)</f>
        <v/>
      </c>
      <c r="G127" s="67"/>
      <c r="H127" s="67"/>
      <c r="I127" s="67"/>
      <c r="J127" s="67"/>
      <c r="K127" s="67"/>
      <c r="S127" s="67"/>
      <c r="T127" s="335"/>
      <c r="U127" s="335"/>
      <c r="V127" s="45">
        <f t="shared" si="116"/>
        <v>0</v>
      </c>
      <c r="W127" s="45">
        <f t="shared" si="116"/>
        <v>0</v>
      </c>
      <c r="X127" s="45">
        <f t="shared" si="116"/>
        <v>0</v>
      </c>
      <c r="Y127" s="45">
        <f t="shared" si="117"/>
        <v>0</v>
      </c>
      <c r="AA127" s="45">
        <f t="shared" si="119"/>
        <v>0</v>
      </c>
      <c r="AB127" s="45">
        <f t="shared" si="121"/>
        <v>0</v>
      </c>
      <c r="AC127" s="45">
        <f t="shared" si="121"/>
        <v>0</v>
      </c>
      <c r="AD127" s="45">
        <f t="shared" si="121"/>
        <v>0</v>
      </c>
      <c r="AE127" s="45">
        <f t="shared" si="121"/>
        <v>0</v>
      </c>
      <c r="AF127" s="45">
        <f t="shared" si="121"/>
        <v>0</v>
      </c>
      <c r="AG127" s="45">
        <f t="shared" si="121"/>
        <v>0</v>
      </c>
      <c r="AH127" s="45">
        <f t="shared" si="121"/>
        <v>0</v>
      </c>
      <c r="AI127" s="45">
        <f t="shared" si="121"/>
        <v>0</v>
      </c>
      <c r="AJ127" s="45">
        <f t="shared" si="121"/>
        <v>0</v>
      </c>
      <c r="AK127" s="45">
        <f t="shared" si="121"/>
        <v>0</v>
      </c>
      <c r="AL127" s="45">
        <f t="shared" si="121"/>
        <v>0</v>
      </c>
      <c r="AM127" s="45">
        <f t="shared" si="121"/>
        <v>0</v>
      </c>
      <c r="AN127" s="45">
        <f t="shared" si="121"/>
        <v>0</v>
      </c>
      <c r="AO127" s="45">
        <f t="shared" si="121"/>
        <v>0</v>
      </c>
      <c r="AP127" s="45">
        <f t="shared" si="121"/>
        <v>0</v>
      </c>
      <c r="AQ127" s="45">
        <f t="shared" si="121"/>
        <v>0</v>
      </c>
      <c r="AR127" s="45">
        <f t="shared" si="121"/>
        <v>0</v>
      </c>
      <c r="AS127" s="45">
        <f t="shared" si="121"/>
        <v>0</v>
      </c>
      <c r="AT127" s="45">
        <f t="shared" si="121"/>
        <v>0</v>
      </c>
      <c r="AU127" s="45">
        <f t="shared" si="121"/>
        <v>0</v>
      </c>
      <c r="AV127" s="45">
        <f t="shared" si="121"/>
        <v>0</v>
      </c>
      <c r="AW127" s="45">
        <f t="shared" si="121"/>
        <v>0</v>
      </c>
      <c r="AX127" s="45">
        <f t="shared" si="121"/>
        <v>0</v>
      </c>
      <c r="AY127" s="45">
        <f t="shared" si="121"/>
        <v>0</v>
      </c>
      <c r="AZ127" s="45">
        <f t="shared" si="121"/>
        <v>0</v>
      </c>
      <c r="BA127" s="45">
        <f t="shared" si="121"/>
        <v>0</v>
      </c>
      <c r="BB127" s="45">
        <f t="shared" si="121"/>
        <v>0</v>
      </c>
      <c r="BC127" s="45">
        <f t="shared" si="121"/>
        <v>0</v>
      </c>
      <c r="BD127" s="45">
        <f t="shared" si="121"/>
        <v>0</v>
      </c>
      <c r="BE127" s="45">
        <f t="shared" si="121"/>
        <v>0</v>
      </c>
      <c r="BF127" s="45">
        <f t="shared" si="121"/>
        <v>0</v>
      </c>
      <c r="BG127" s="45">
        <f t="shared" si="121"/>
        <v>0</v>
      </c>
      <c r="BH127" s="45">
        <f t="shared" si="121"/>
        <v>0</v>
      </c>
      <c r="BI127" s="45">
        <f t="shared" si="121"/>
        <v>0</v>
      </c>
      <c r="BJ127" s="45">
        <f t="shared" si="121"/>
        <v>0</v>
      </c>
      <c r="BK127" s="67"/>
      <c r="BL127" s="45">
        <f t="shared" si="121"/>
        <v>0</v>
      </c>
      <c r="BM127" s="45">
        <f t="shared" si="121"/>
        <v>0</v>
      </c>
      <c r="BN127" s="45">
        <f t="shared" si="121"/>
        <v>0</v>
      </c>
      <c r="BO127" s="45">
        <f t="shared" si="121"/>
        <v>0</v>
      </c>
      <c r="BP127" s="45">
        <f t="shared" si="121"/>
        <v>0</v>
      </c>
      <c r="BQ127" s="45">
        <f t="shared" si="121"/>
        <v>0</v>
      </c>
      <c r="BR127" s="45">
        <f t="shared" si="121"/>
        <v>0</v>
      </c>
      <c r="BS127" s="45">
        <f t="shared" si="121"/>
        <v>0</v>
      </c>
      <c r="BT127" s="45">
        <f t="shared" si="121"/>
        <v>0</v>
      </c>
      <c r="BU127" s="45">
        <f t="shared" si="121"/>
        <v>0</v>
      </c>
      <c r="BV127" s="45">
        <f t="shared" si="121"/>
        <v>0</v>
      </c>
      <c r="BW127" s="45">
        <f t="shared" si="121"/>
        <v>0</v>
      </c>
      <c r="BY127" s="12"/>
      <c r="CA127" s="12"/>
      <c r="EX127" s="10" t="str">
        <f t="shared" si="79"/>
        <v/>
      </c>
    </row>
    <row r="128" spans="1:154" x14ac:dyDescent="0.25">
      <c r="B128" s="67" t="str">
        <f ca="1">Loans!B$25</f>
        <v>Loan 13</v>
      </c>
      <c r="D128" s="62">
        <f>Loans!D$25</f>
        <v>0</v>
      </c>
      <c r="E128" s="159" t="str">
        <f>IF(Loans!I$25=0, "", Loans!I$25)</f>
        <v/>
      </c>
      <c r="F128" s="159" t="str">
        <f>IF(Loans!J$25=0, "", Loans!J$25)</f>
        <v/>
      </c>
      <c r="G128" s="67"/>
      <c r="H128" s="67"/>
      <c r="I128" s="67"/>
      <c r="J128" s="67"/>
      <c r="K128" s="67"/>
      <c r="S128" s="67"/>
      <c r="T128" s="335"/>
      <c r="U128" s="335"/>
      <c r="V128" s="45">
        <f t="shared" si="116"/>
        <v>0</v>
      </c>
      <c r="W128" s="45">
        <f t="shared" si="116"/>
        <v>0</v>
      </c>
      <c r="X128" s="45">
        <f t="shared" si="116"/>
        <v>0</v>
      </c>
      <c r="Y128" s="45">
        <f t="shared" si="117"/>
        <v>0</v>
      </c>
      <c r="AA128" s="45">
        <f t="shared" si="119"/>
        <v>0</v>
      </c>
      <c r="AB128" s="45">
        <f t="shared" si="121"/>
        <v>0</v>
      </c>
      <c r="AC128" s="45">
        <f t="shared" si="121"/>
        <v>0</v>
      </c>
      <c r="AD128" s="45">
        <f t="shared" si="121"/>
        <v>0</v>
      </c>
      <c r="AE128" s="45">
        <f t="shared" si="121"/>
        <v>0</v>
      </c>
      <c r="AF128" s="45">
        <f t="shared" si="121"/>
        <v>0</v>
      </c>
      <c r="AG128" s="45">
        <f t="shared" si="121"/>
        <v>0</v>
      </c>
      <c r="AH128" s="45">
        <f t="shared" si="121"/>
        <v>0</v>
      </c>
      <c r="AI128" s="45">
        <f t="shared" si="121"/>
        <v>0</v>
      </c>
      <c r="AJ128" s="45">
        <f t="shared" si="121"/>
        <v>0</v>
      </c>
      <c r="AK128" s="45">
        <f t="shared" si="121"/>
        <v>0</v>
      </c>
      <c r="AL128" s="45">
        <f t="shared" si="121"/>
        <v>0</v>
      </c>
      <c r="AM128" s="45">
        <f t="shared" si="121"/>
        <v>0</v>
      </c>
      <c r="AN128" s="45">
        <f t="shared" si="121"/>
        <v>0</v>
      </c>
      <c r="AO128" s="45">
        <f t="shared" si="121"/>
        <v>0</v>
      </c>
      <c r="AP128" s="45">
        <f t="shared" si="121"/>
        <v>0</v>
      </c>
      <c r="AQ128" s="45">
        <f t="shared" si="121"/>
        <v>0</v>
      </c>
      <c r="AR128" s="45">
        <f t="shared" si="121"/>
        <v>0</v>
      </c>
      <c r="AS128" s="45">
        <f t="shared" si="121"/>
        <v>0</v>
      </c>
      <c r="AT128" s="45">
        <f t="shared" si="121"/>
        <v>0</v>
      </c>
      <c r="AU128" s="45">
        <f t="shared" si="121"/>
        <v>0</v>
      </c>
      <c r="AV128" s="45">
        <f t="shared" si="121"/>
        <v>0</v>
      </c>
      <c r="AW128" s="45">
        <f t="shared" si="121"/>
        <v>0</v>
      </c>
      <c r="AX128" s="45">
        <f t="shared" si="121"/>
        <v>0</v>
      </c>
      <c r="AY128" s="45">
        <f t="shared" si="121"/>
        <v>0</v>
      </c>
      <c r="AZ128" s="45">
        <f t="shared" si="121"/>
        <v>0</v>
      </c>
      <c r="BA128" s="45">
        <f t="shared" si="121"/>
        <v>0</v>
      </c>
      <c r="BB128" s="45">
        <f t="shared" si="121"/>
        <v>0</v>
      </c>
      <c r="BC128" s="45">
        <f t="shared" si="121"/>
        <v>0</v>
      </c>
      <c r="BD128" s="45">
        <f t="shared" si="121"/>
        <v>0</v>
      </c>
      <c r="BE128" s="45">
        <f t="shared" si="121"/>
        <v>0</v>
      </c>
      <c r="BF128" s="45">
        <f t="shared" si="121"/>
        <v>0</v>
      </c>
      <c r="BG128" s="45">
        <f t="shared" si="121"/>
        <v>0</v>
      </c>
      <c r="BH128" s="45">
        <f t="shared" si="121"/>
        <v>0</v>
      </c>
      <c r="BI128" s="45">
        <f t="shared" si="121"/>
        <v>0</v>
      </c>
      <c r="BJ128" s="45">
        <f t="shared" si="121"/>
        <v>0</v>
      </c>
      <c r="BK128" s="67"/>
      <c r="BL128" s="45">
        <f t="shared" si="121"/>
        <v>0</v>
      </c>
      <c r="BM128" s="45">
        <f t="shared" si="121"/>
        <v>0</v>
      </c>
      <c r="BN128" s="45">
        <f t="shared" si="121"/>
        <v>0</v>
      </c>
      <c r="BO128" s="45">
        <f t="shared" si="121"/>
        <v>0</v>
      </c>
      <c r="BP128" s="45">
        <f t="shared" si="121"/>
        <v>0</v>
      </c>
      <c r="BQ128" s="45">
        <f t="shared" si="121"/>
        <v>0</v>
      </c>
      <c r="BR128" s="45">
        <f t="shared" si="121"/>
        <v>0</v>
      </c>
      <c r="BS128" s="45">
        <f t="shared" si="121"/>
        <v>0</v>
      </c>
      <c r="BT128" s="45">
        <f t="shared" si="121"/>
        <v>0</v>
      </c>
      <c r="BU128" s="45">
        <f t="shared" si="121"/>
        <v>0</v>
      </c>
      <c r="BV128" s="45">
        <f t="shared" si="121"/>
        <v>0</v>
      </c>
      <c r="BW128" s="45">
        <f t="shared" si="121"/>
        <v>0</v>
      </c>
      <c r="BY128" s="12"/>
      <c r="CA128" s="12"/>
      <c r="EX128" s="10" t="str">
        <f t="shared" si="79"/>
        <v/>
      </c>
    </row>
    <row r="129" spans="2:154" x14ac:dyDescent="0.25">
      <c r="B129" s="67" t="str">
        <f ca="1">Loans!B$26</f>
        <v>Loan 14</v>
      </c>
      <c r="D129" s="62">
        <f>Loans!D$26</f>
        <v>0</v>
      </c>
      <c r="E129" s="159" t="str">
        <f>IF(Loans!I$26=0, "", Loans!I$26)</f>
        <v/>
      </c>
      <c r="F129" s="159" t="str">
        <f>IF(Loans!J$26=0, "", Loans!J$26)</f>
        <v/>
      </c>
      <c r="G129" s="67"/>
      <c r="H129" s="67"/>
      <c r="I129" s="67"/>
      <c r="J129" s="67"/>
      <c r="K129" s="67"/>
      <c r="S129" s="67"/>
      <c r="T129" s="335"/>
      <c r="U129" s="335"/>
      <c r="V129" s="45">
        <f t="shared" si="116"/>
        <v>0</v>
      </c>
      <c r="W129" s="45">
        <f t="shared" si="116"/>
        <v>0</v>
      </c>
      <c r="X129" s="45">
        <f t="shared" si="116"/>
        <v>0</v>
      </c>
      <c r="Y129" s="45">
        <f t="shared" si="117"/>
        <v>0</v>
      </c>
      <c r="AA129" s="45">
        <f t="shared" si="119"/>
        <v>0</v>
      </c>
      <c r="AB129" s="45">
        <f t="shared" si="121"/>
        <v>0</v>
      </c>
      <c r="AC129" s="45">
        <f t="shared" si="121"/>
        <v>0</v>
      </c>
      <c r="AD129" s="45">
        <f t="shared" si="121"/>
        <v>0</v>
      </c>
      <c r="AE129" s="45">
        <f t="shared" si="121"/>
        <v>0</v>
      </c>
      <c r="AF129" s="45">
        <f t="shared" si="121"/>
        <v>0</v>
      </c>
      <c r="AG129" s="45">
        <f t="shared" si="121"/>
        <v>0</v>
      </c>
      <c r="AH129" s="45">
        <f t="shared" si="121"/>
        <v>0</v>
      </c>
      <c r="AI129" s="45">
        <f t="shared" si="121"/>
        <v>0</v>
      </c>
      <c r="AJ129" s="45">
        <f t="shared" si="121"/>
        <v>0</v>
      </c>
      <c r="AK129" s="45">
        <f t="shared" si="121"/>
        <v>0</v>
      </c>
      <c r="AL129" s="45">
        <f t="shared" si="121"/>
        <v>0</v>
      </c>
      <c r="AM129" s="45">
        <f t="shared" si="121"/>
        <v>0</v>
      </c>
      <c r="AN129" s="45">
        <f t="shared" si="121"/>
        <v>0</v>
      </c>
      <c r="AO129" s="45">
        <f t="shared" si="121"/>
        <v>0</v>
      </c>
      <c r="AP129" s="45">
        <f t="shared" si="121"/>
        <v>0</v>
      </c>
      <c r="AQ129" s="45">
        <f t="shared" si="121"/>
        <v>0</v>
      </c>
      <c r="AR129" s="45">
        <f t="shared" si="121"/>
        <v>0</v>
      </c>
      <c r="AS129" s="45">
        <f t="shared" si="121"/>
        <v>0</v>
      </c>
      <c r="AT129" s="45">
        <f t="shared" si="121"/>
        <v>0</v>
      </c>
      <c r="AU129" s="45">
        <f t="shared" si="121"/>
        <v>0</v>
      </c>
      <c r="AV129" s="45">
        <f t="shared" si="121"/>
        <v>0</v>
      </c>
      <c r="AW129" s="45">
        <f t="shared" si="121"/>
        <v>0</v>
      </c>
      <c r="AX129" s="45">
        <f t="shared" si="121"/>
        <v>0</v>
      </c>
      <c r="AY129" s="45">
        <f t="shared" si="121"/>
        <v>0</v>
      </c>
      <c r="AZ129" s="45">
        <f t="shared" si="121"/>
        <v>0</v>
      </c>
      <c r="BA129" s="45">
        <f t="shared" si="121"/>
        <v>0</v>
      </c>
      <c r="BB129" s="45">
        <f t="shared" si="121"/>
        <v>0</v>
      </c>
      <c r="BC129" s="45">
        <f t="shared" si="121"/>
        <v>0</v>
      </c>
      <c r="BD129" s="45">
        <f t="shared" si="121"/>
        <v>0</v>
      </c>
      <c r="BE129" s="45">
        <f t="shared" si="121"/>
        <v>0</v>
      </c>
      <c r="BF129" s="45">
        <f t="shared" si="121"/>
        <v>0</v>
      </c>
      <c r="BG129" s="45">
        <f t="shared" si="121"/>
        <v>0</v>
      </c>
      <c r="BH129" s="45">
        <f t="shared" si="121"/>
        <v>0</v>
      </c>
      <c r="BI129" s="45">
        <f t="shared" si="121"/>
        <v>0</v>
      </c>
      <c r="BJ129" s="45">
        <f t="shared" si="121"/>
        <v>0</v>
      </c>
      <c r="BK129" s="67"/>
      <c r="BL129" s="45">
        <f t="shared" si="121"/>
        <v>0</v>
      </c>
      <c r="BM129" s="45">
        <f t="shared" si="121"/>
        <v>0</v>
      </c>
      <c r="BN129" s="45">
        <f t="shared" si="121"/>
        <v>0</v>
      </c>
      <c r="BO129" s="45">
        <f t="shared" si="121"/>
        <v>0</v>
      </c>
      <c r="BP129" s="45">
        <f t="shared" si="121"/>
        <v>0</v>
      </c>
      <c r="BQ129" s="45">
        <f t="shared" si="121"/>
        <v>0</v>
      </c>
      <c r="BR129" s="45">
        <f t="shared" si="121"/>
        <v>0</v>
      </c>
      <c r="BS129" s="45">
        <f t="shared" si="121"/>
        <v>0</v>
      </c>
      <c r="BT129" s="45">
        <f t="shared" si="121"/>
        <v>0</v>
      </c>
      <c r="BU129" s="45">
        <f t="shared" si="121"/>
        <v>0</v>
      </c>
      <c r="BV129" s="45">
        <f t="shared" si="121"/>
        <v>0</v>
      </c>
      <c r="BW129" s="45">
        <f t="shared" si="121"/>
        <v>0</v>
      </c>
      <c r="BY129" s="12"/>
      <c r="CA129" s="12"/>
      <c r="EX129" s="10" t="str">
        <f t="shared" si="79"/>
        <v/>
      </c>
    </row>
    <row r="130" spans="2:154" x14ac:dyDescent="0.25">
      <c r="B130" s="67" t="str">
        <f ca="1">Loans!B$27</f>
        <v>Loan 15</v>
      </c>
      <c r="D130" s="62">
        <f>Loans!D$27</f>
        <v>0</v>
      </c>
      <c r="E130" s="159" t="str">
        <f>IF(Loans!I$27=0, "", Loans!I$27)</f>
        <v/>
      </c>
      <c r="F130" s="159" t="str">
        <f>IF(Loans!J$27=0, "", Loans!J$27)</f>
        <v/>
      </c>
      <c r="G130" s="67"/>
      <c r="H130" s="67"/>
      <c r="I130" s="67"/>
      <c r="J130" s="67"/>
      <c r="K130" s="67"/>
      <c r="S130" s="67"/>
      <c r="T130" s="335"/>
      <c r="U130" s="335"/>
      <c r="V130" s="45">
        <f t="shared" si="116"/>
        <v>0</v>
      </c>
      <c r="W130" s="45">
        <f t="shared" si="116"/>
        <v>0</v>
      </c>
      <c r="X130" s="45">
        <f t="shared" si="116"/>
        <v>0</v>
      </c>
      <c r="Y130" s="45">
        <f t="shared" si="117"/>
        <v>0</v>
      </c>
      <c r="AA130" s="45">
        <f t="shared" si="119"/>
        <v>0</v>
      </c>
      <c r="AB130" s="45">
        <f t="shared" si="121"/>
        <v>0</v>
      </c>
      <c r="AC130" s="45">
        <f t="shared" si="121"/>
        <v>0</v>
      </c>
      <c r="AD130" s="45">
        <f t="shared" si="121"/>
        <v>0</v>
      </c>
      <c r="AE130" s="45">
        <f t="shared" si="121"/>
        <v>0</v>
      </c>
      <c r="AF130" s="45">
        <f t="shared" si="121"/>
        <v>0</v>
      </c>
      <c r="AG130" s="45">
        <f t="shared" si="121"/>
        <v>0</v>
      </c>
      <c r="AH130" s="45">
        <f t="shared" si="121"/>
        <v>0</v>
      </c>
      <c r="AI130" s="45">
        <f t="shared" si="121"/>
        <v>0</v>
      </c>
      <c r="AJ130" s="45">
        <f t="shared" si="121"/>
        <v>0</v>
      </c>
      <c r="AK130" s="45">
        <f t="shared" si="121"/>
        <v>0</v>
      </c>
      <c r="AL130" s="45">
        <f t="shared" si="121"/>
        <v>0</v>
      </c>
      <c r="AM130" s="45">
        <f t="shared" si="121"/>
        <v>0</v>
      </c>
      <c r="AN130" s="45">
        <f t="shared" si="121"/>
        <v>0</v>
      </c>
      <c r="AO130" s="45">
        <f t="shared" si="121"/>
        <v>0</v>
      </c>
      <c r="AP130" s="45">
        <f t="shared" si="121"/>
        <v>0</v>
      </c>
      <c r="AQ130" s="45">
        <f t="shared" si="121"/>
        <v>0</v>
      </c>
      <c r="AR130" s="45">
        <f t="shared" si="121"/>
        <v>0</v>
      </c>
      <c r="AS130" s="45">
        <f t="shared" si="121"/>
        <v>0</v>
      </c>
      <c r="AT130" s="45">
        <f t="shared" si="121"/>
        <v>0</v>
      </c>
      <c r="AU130" s="45">
        <f t="shared" si="121"/>
        <v>0</v>
      </c>
      <c r="AV130" s="45">
        <f t="shared" si="121"/>
        <v>0</v>
      </c>
      <c r="AW130" s="45">
        <f t="shared" si="121"/>
        <v>0</v>
      </c>
      <c r="AX130" s="45">
        <f t="shared" si="121"/>
        <v>0</v>
      </c>
      <c r="AY130" s="45">
        <f t="shared" si="121"/>
        <v>0</v>
      </c>
      <c r="AZ130" s="45">
        <f t="shared" si="121"/>
        <v>0</v>
      </c>
      <c r="BA130" s="45">
        <f t="shared" si="121"/>
        <v>0</v>
      </c>
      <c r="BB130" s="45">
        <f t="shared" si="121"/>
        <v>0</v>
      </c>
      <c r="BC130" s="45">
        <f t="shared" si="121"/>
        <v>0</v>
      </c>
      <c r="BD130" s="45">
        <f t="shared" si="121"/>
        <v>0</v>
      </c>
      <c r="BE130" s="45">
        <f t="shared" si="121"/>
        <v>0</v>
      </c>
      <c r="BF130" s="45">
        <f t="shared" si="121"/>
        <v>0</v>
      </c>
      <c r="BG130" s="45">
        <f t="shared" si="121"/>
        <v>0</v>
      </c>
      <c r="BH130" s="45">
        <f t="shared" si="121"/>
        <v>0</v>
      </c>
      <c r="BI130" s="45">
        <f t="shared" si="121"/>
        <v>0</v>
      </c>
      <c r="BJ130" s="45">
        <f t="shared" si="121"/>
        <v>0</v>
      </c>
      <c r="BK130" s="67"/>
      <c r="BL130" s="45">
        <f t="shared" si="121"/>
        <v>0</v>
      </c>
      <c r="BM130" s="45">
        <f t="shared" si="121"/>
        <v>0</v>
      </c>
      <c r="BN130" s="45">
        <f t="shared" si="121"/>
        <v>0</v>
      </c>
      <c r="BO130" s="45">
        <f t="shared" si="121"/>
        <v>0</v>
      </c>
      <c r="BP130" s="45">
        <f t="shared" si="121"/>
        <v>0</v>
      </c>
      <c r="BQ130" s="45">
        <f t="shared" si="121"/>
        <v>0</v>
      </c>
      <c r="BR130" s="45">
        <f t="shared" si="121"/>
        <v>0</v>
      </c>
      <c r="BS130" s="45">
        <f t="shared" si="121"/>
        <v>0</v>
      </c>
      <c r="BT130" s="45">
        <f t="shared" si="121"/>
        <v>0</v>
      </c>
      <c r="BU130" s="45">
        <f t="shared" si="121"/>
        <v>0</v>
      </c>
      <c r="BV130" s="45">
        <f t="shared" si="121"/>
        <v>0</v>
      </c>
      <c r="BW130" s="45">
        <f t="shared" si="121"/>
        <v>0</v>
      </c>
      <c r="BY130" s="12"/>
      <c r="CA130" s="12"/>
      <c r="EX130" s="10" t="str">
        <f t="shared" si="79"/>
        <v/>
      </c>
    </row>
    <row r="131" spans="2:154" x14ac:dyDescent="0.25">
      <c r="B131" s="67" t="str">
        <f ca="1">Loans!B$28</f>
        <v>Loan 16</v>
      </c>
      <c r="D131" s="62">
        <f>Loans!D$28</f>
        <v>0</v>
      </c>
      <c r="E131" s="159" t="str">
        <f>IF(Loans!I$28=0, "", Loans!I$28)</f>
        <v/>
      </c>
      <c r="F131" s="159" t="str">
        <f>IF(Loans!J$28=0, "", Loans!J$28)</f>
        <v/>
      </c>
      <c r="G131" s="67"/>
      <c r="H131" s="67"/>
      <c r="I131" s="67"/>
      <c r="J131" s="67"/>
      <c r="K131" s="67"/>
      <c r="S131" s="67"/>
      <c r="T131" s="335"/>
      <c r="U131" s="335"/>
      <c r="V131" s="45">
        <f t="shared" si="116"/>
        <v>0</v>
      </c>
      <c r="W131" s="45">
        <f t="shared" si="116"/>
        <v>0</v>
      </c>
      <c r="X131" s="45">
        <f t="shared" si="116"/>
        <v>0</v>
      </c>
      <c r="Y131" s="45">
        <f t="shared" si="117"/>
        <v>0</v>
      </c>
      <c r="AA131" s="45">
        <f t="shared" si="119"/>
        <v>0</v>
      </c>
      <c r="AB131" s="45">
        <f t="shared" si="121"/>
        <v>0</v>
      </c>
      <c r="AC131" s="45">
        <f t="shared" si="121"/>
        <v>0</v>
      </c>
      <c r="AD131" s="45">
        <f t="shared" si="121"/>
        <v>0</v>
      </c>
      <c r="AE131" s="45">
        <f t="shared" si="121"/>
        <v>0</v>
      </c>
      <c r="AF131" s="45">
        <f t="shared" si="121"/>
        <v>0</v>
      </c>
      <c r="AG131" s="45">
        <f t="shared" si="121"/>
        <v>0</v>
      </c>
      <c r="AH131" s="45">
        <f t="shared" si="121"/>
        <v>0</v>
      </c>
      <c r="AI131" s="45">
        <f t="shared" si="121"/>
        <v>0</v>
      </c>
      <c r="AJ131" s="45">
        <f t="shared" si="121"/>
        <v>0</v>
      </c>
      <c r="AK131" s="45">
        <f t="shared" si="121"/>
        <v>0</v>
      </c>
      <c r="AL131" s="45">
        <f t="shared" si="121"/>
        <v>0</v>
      </c>
      <c r="AM131" s="45">
        <f t="shared" si="121"/>
        <v>0</v>
      </c>
      <c r="AN131" s="45">
        <f t="shared" si="121"/>
        <v>0</v>
      </c>
      <c r="AO131" s="45">
        <f t="shared" si="121"/>
        <v>0</v>
      </c>
      <c r="AP131" s="45">
        <f t="shared" si="121"/>
        <v>0</v>
      </c>
      <c r="AQ131" s="45">
        <f t="shared" si="121"/>
        <v>0</v>
      </c>
      <c r="AR131" s="45">
        <f t="shared" si="121"/>
        <v>0</v>
      </c>
      <c r="AS131" s="45">
        <f t="shared" si="121"/>
        <v>0</v>
      </c>
      <c r="AT131" s="45">
        <f t="shared" si="121"/>
        <v>0</v>
      </c>
      <c r="AU131" s="45">
        <f t="shared" si="121"/>
        <v>0</v>
      </c>
      <c r="AV131" s="45">
        <f t="shared" si="121"/>
        <v>0</v>
      </c>
      <c r="AW131" s="45">
        <f t="shared" si="121"/>
        <v>0</v>
      </c>
      <c r="AX131" s="45">
        <f t="shared" si="121"/>
        <v>0</v>
      </c>
      <c r="AY131" s="45">
        <f t="shared" si="121"/>
        <v>0</v>
      </c>
      <c r="AZ131" s="45">
        <f t="shared" si="121"/>
        <v>0</v>
      </c>
      <c r="BA131" s="45">
        <f t="shared" si="121"/>
        <v>0</v>
      </c>
      <c r="BB131" s="45">
        <f t="shared" si="121"/>
        <v>0</v>
      </c>
      <c r="BC131" s="45">
        <f t="shared" si="121"/>
        <v>0</v>
      </c>
      <c r="BD131" s="45">
        <f t="shared" si="121"/>
        <v>0</v>
      </c>
      <c r="BE131" s="45">
        <f t="shared" si="121"/>
        <v>0</v>
      </c>
      <c r="BF131" s="45">
        <f t="shared" si="121"/>
        <v>0</v>
      </c>
      <c r="BG131" s="45">
        <f t="shared" si="121"/>
        <v>0</v>
      </c>
      <c r="BH131" s="45">
        <f t="shared" si="121"/>
        <v>0</v>
      </c>
      <c r="BI131" s="45">
        <f t="shared" si="121"/>
        <v>0</v>
      </c>
      <c r="BJ131" s="45">
        <f t="shared" si="121"/>
        <v>0</v>
      </c>
      <c r="BK131" s="67"/>
      <c r="BL131" s="45">
        <f t="shared" si="121"/>
        <v>0</v>
      </c>
      <c r="BM131" s="45">
        <f t="shared" si="121"/>
        <v>0</v>
      </c>
      <c r="BN131" s="45">
        <f t="shared" si="121"/>
        <v>0</v>
      </c>
      <c r="BO131" s="45">
        <f t="shared" si="121"/>
        <v>0</v>
      </c>
      <c r="BP131" s="45">
        <f t="shared" si="121"/>
        <v>0</v>
      </c>
      <c r="BQ131" s="45">
        <f t="shared" si="121"/>
        <v>0</v>
      </c>
      <c r="BR131" s="45">
        <f t="shared" si="121"/>
        <v>0</v>
      </c>
      <c r="BS131" s="45">
        <f t="shared" si="121"/>
        <v>0</v>
      </c>
      <c r="BT131" s="45">
        <f t="shared" si="121"/>
        <v>0</v>
      </c>
      <c r="BU131" s="45">
        <f t="shared" si="121"/>
        <v>0</v>
      </c>
      <c r="BV131" s="45">
        <f t="shared" si="121"/>
        <v>0</v>
      </c>
      <c r="BW131" s="45">
        <f t="shared" si="121"/>
        <v>0</v>
      </c>
      <c r="BY131" s="12"/>
      <c r="CA131" s="12"/>
      <c r="EX131" s="10" t="str">
        <f t="shared" si="79"/>
        <v/>
      </c>
    </row>
    <row r="132" spans="2:154" x14ac:dyDescent="0.25">
      <c r="B132" s="67" t="str">
        <f ca="1">Loans!B$29</f>
        <v>Loan 17</v>
      </c>
      <c r="D132" s="62">
        <f>Loans!D$29</f>
        <v>0</v>
      </c>
      <c r="E132" s="159" t="str">
        <f>IF(Loans!I$29=0, "", Loans!I$29)</f>
        <v/>
      </c>
      <c r="F132" s="159" t="str">
        <f>IF(Loans!J$29=0, "", Loans!J$29)</f>
        <v/>
      </c>
      <c r="G132" s="67"/>
      <c r="H132" s="67"/>
      <c r="I132" s="67"/>
      <c r="J132" s="67"/>
      <c r="K132" s="67"/>
      <c r="S132" s="67"/>
      <c r="T132" s="335"/>
      <c r="U132" s="335"/>
      <c r="V132" s="45">
        <f t="shared" si="116"/>
        <v>0</v>
      </c>
      <c r="W132" s="45">
        <f t="shared" si="116"/>
        <v>0</v>
      </c>
      <c r="X132" s="45">
        <f t="shared" si="116"/>
        <v>0</v>
      </c>
      <c r="Y132" s="45">
        <f t="shared" si="117"/>
        <v>0</v>
      </c>
      <c r="AA132" s="45">
        <f t="shared" si="119"/>
        <v>0</v>
      </c>
      <c r="AB132" s="45">
        <f t="shared" si="121"/>
        <v>0</v>
      </c>
      <c r="AC132" s="45">
        <f t="shared" si="121"/>
        <v>0</v>
      </c>
      <c r="AD132" s="45">
        <f t="shared" si="121"/>
        <v>0</v>
      </c>
      <c r="AE132" s="45">
        <f t="shared" si="121"/>
        <v>0</v>
      </c>
      <c r="AF132" s="45">
        <f t="shared" si="121"/>
        <v>0</v>
      </c>
      <c r="AG132" s="45">
        <f t="shared" si="121"/>
        <v>0</v>
      </c>
      <c r="AH132" s="45">
        <f t="shared" si="121"/>
        <v>0</v>
      </c>
      <c r="AI132" s="45">
        <f t="shared" si="121"/>
        <v>0</v>
      </c>
      <c r="AJ132" s="45">
        <f t="shared" si="121"/>
        <v>0</v>
      </c>
      <c r="AK132" s="45">
        <f t="shared" si="121"/>
        <v>0</v>
      </c>
      <c r="AL132" s="45">
        <f t="shared" si="121"/>
        <v>0</v>
      </c>
      <c r="AM132" s="45">
        <f t="shared" si="121"/>
        <v>0</v>
      </c>
      <c r="AN132" s="45">
        <f t="shared" ref="AB132:BW135" si="122">IF(AND(AN63=1,AO63=0), 1,0)</f>
        <v>0</v>
      </c>
      <c r="AO132" s="45">
        <f t="shared" si="122"/>
        <v>0</v>
      </c>
      <c r="AP132" s="45">
        <f t="shared" si="122"/>
        <v>0</v>
      </c>
      <c r="AQ132" s="45">
        <f t="shared" si="122"/>
        <v>0</v>
      </c>
      <c r="AR132" s="45">
        <f t="shared" si="122"/>
        <v>0</v>
      </c>
      <c r="AS132" s="45">
        <f t="shared" si="122"/>
        <v>0</v>
      </c>
      <c r="AT132" s="45">
        <f t="shared" si="122"/>
        <v>0</v>
      </c>
      <c r="AU132" s="45">
        <f t="shared" si="122"/>
        <v>0</v>
      </c>
      <c r="AV132" s="45">
        <f t="shared" si="122"/>
        <v>0</v>
      </c>
      <c r="AW132" s="45">
        <f t="shared" si="122"/>
        <v>0</v>
      </c>
      <c r="AX132" s="45">
        <f t="shared" si="122"/>
        <v>0</v>
      </c>
      <c r="AY132" s="45">
        <f t="shared" si="122"/>
        <v>0</v>
      </c>
      <c r="AZ132" s="45">
        <f t="shared" si="122"/>
        <v>0</v>
      </c>
      <c r="BA132" s="45">
        <f t="shared" si="122"/>
        <v>0</v>
      </c>
      <c r="BB132" s="45">
        <f t="shared" si="122"/>
        <v>0</v>
      </c>
      <c r="BC132" s="45">
        <f t="shared" si="122"/>
        <v>0</v>
      </c>
      <c r="BD132" s="45">
        <f t="shared" si="122"/>
        <v>0</v>
      </c>
      <c r="BE132" s="45">
        <f t="shared" si="122"/>
        <v>0</v>
      </c>
      <c r="BF132" s="45">
        <f t="shared" si="122"/>
        <v>0</v>
      </c>
      <c r="BG132" s="45">
        <f t="shared" si="122"/>
        <v>0</v>
      </c>
      <c r="BH132" s="45">
        <f t="shared" si="122"/>
        <v>0</v>
      </c>
      <c r="BI132" s="45">
        <f t="shared" si="122"/>
        <v>0</v>
      </c>
      <c r="BJ132" s="45">
        <f t="shared" si="122"/>
        <v>0</v>
      </c>
      <c r="BK132" s="67"/>
      <c r="BL132" s="45">
        <f t="shared" si="122"/>
        <v>0</v>
      </c>
      <c r="BM132" s="45">
        <f t="shared" si="122"/>
        <v>0</v>
      </c>
      <c r="BN132" s="45">
        <f t="shared" si="122"/>
        <v>0</v>
      </c>
      <c r="BO132" s="45">
        <f t="shared" si="122"/>
        <v>0</v>
      </c>
      <c r="BP132" s="45">
        <f t="shared" si="122"/>
        <v>0</v>
      </c>
      <c r="BQ132" s="45">
        <f t="shared" si="122"/>
        <v>0</v>
      </c>
      <c r="BR132" s="45">
        <f t="shared" si="122"/>
        <v>0</v>
      </c>
      <c r="BS132" s="45">
        <f t="shared" si="122"/>
        <v>0</v>
      </c>
      <c r="BT132" s="45">
        <f t="shared" si="122"/>
        <v>0</v>
      </c>
      <c r="BU132" s="45">
        <f t="shared" si="122"/>
        <v>0</v>
      </c>
      <c r="BV132" s="45">
        <f t="shared" si="122"/>
        <v>0</v>
      </c>
      <c r="BW132" s="45">
        <f t="shared" si="122"/>
        <v>0</v>
      </c>
      <c r="BY132" s="12"/>
      <c r="CA132" s="12"/>
      <c r="EX132" s="10" t="str">
        <f t="shared" si="79"/>
        <v/>
      </c>
    </row>
    <row r="133" spans="2:154" x14ac:dyDescent="0.25">
      <c r="B133" s="67" t="str">
        <f ca="1">Loans!B$30</f>
        <v>Loan 18</v>
      </c>
      <c r="D133" s="62">
        <f>Loans!D$30</f>
        <v>0</v>
      </c>
      <c r="E133" s="159" t="str">
        <f>IF(Loans!I$30=0, "", Loans!I$30)</f>
        <v/>
      </c>
      <c r="F133" s="159" t="str">
        <f>IF(Loans!J$30=0, "", Loans!J$30)</f>
        <v/>
      </c>
      <c r="G133" s="67"/>
      <c r="H133" s="67"/>
      <c r="I133" s="67"/>
      <c r="J133" s="67"/>
      <c r="K133" s="67"/>
      <c r="S133" s="67"/>
      <c r="T133" s="335"/>
      <c r="U133" s="335"/>
      <c r="V133" s="45">
        <f t="shared" si="116"/>
        <v>0</v>
      </c>
      <c r="W133" s="45">
        <f t="shared" si="116"/>
        <v>0</v>
      </c>
      <c r="X133" s="45">
        <f t="shared" si="116"/>
        <v>0</v>
      </c>
      <c r="Y133" s="45">
        <f t="shared" si="117"/>
        <v>0</v>
      </c>
      <c r="AA133" s="45">
        <f t="shared" si="119"/>
        <v>0</v>
      </c>
      <c r="AB133" s="45">
        <f t="shared" si="122"/>
        <v>0</v>
      </c>
      <c r="AC133" s="45">
        <f t="shared" si="122"/>
        <v>0</v>
      </c>
      <c r="AD133" s="45">
        <f t="shared" si="122"/>
        <v>0</v>
      </c>
      <c r="AE133" s="45">
        <f t="shared" si="122"/>
        <v>0</v>
      </c>
      <c r="AF133" s="45">
        <f t="shared" si="122"/>
        <v>0</v>
      </c>
      <c r="AG133" s="45">
        <f t="shared" si="122"/>
        <v>0</v>
      </c>
      <c r="AH133" s="45">
        <f t="shared" si="122"/>
        <v>0</v>
      </c>
      <c r="AI133" s="45">
        <f t="shared" si="122"/>
        <v>0</v>
      </c>
      <c r="AJ133" s="45">
        <f t="shared" si="122"/>
        <v>0</v>
      </c>
      <c r="AK133" s="45">
        <f t="shared" si="122"/>
        <v>0</v>
      </c>
      <c r="AL133" s="45">
        <f t="shared" si="122"/>
        <v>0</v>
      </c>
      <c r="AM133" s="45">
        <f t="shared" si="122"/>
        <v>0</v>
      </c>
      <c r="AN133" s="45">
        <f t="shared" si="122"/>
        <v>0</v>
      </c>
      <c r="AO133" s="45">
        <f t="shared" si="122"/>
        <v>0</v>
      </c>
      <c r="AP133" s="45">
        <f t="shared" si="122"/>
        <v>0</v>
      </c>
      <c r="AQ133" s="45">
        <f t="shared" si="122"/>
        <v>0</v>
      </c>
      <c r="AR133" s="45">
        <f t="shared" si="122"/>
        <v>0</v>
      </c>
      <c r="AS133" s="45">
        <f t="shared" si="122"/>
        <v>0</v>
      </c>
      <c r="AT133" s="45">
        <f t="shared" si="122"/>
        <v>0</v>
      </c>
      <c r="AU133" s="45">
        <f t="shared" si="122"/>
        <v>0</v>
      </c>
      <c r="AV133" s="45">
        <f t="shared" si="122"/>
        <v>0</v>
      </c>
      <c r="AW133" s="45">
        <f t="shared" si="122"/>
        <v>0</v>
      </c>
      <c r="AX133" s="45">
        <f t="shared" si="122"/>
        <v>0</v>
      </c>
      <c r="AY133" s="45">
        <f t="shared" si="122"/>
        <v>0</v>
      </c>
      <c r="AZ133" s="45">
        <f t="shared" si="122"/>
        <v>0</v>
      </c>
      <c r="BA133" s="45">
        <f t="shared" si="122"/>
        <v>0</v>
      </c>
      <c r="BB133" s="45">
        <f t="shared" si="122"/>
        <v>0</v>
      </c>
      <c r="BC133" s="45">
        <f t="shared" si="122"/>
        <v>0</v>
      </c>
      <c r="BD133" s="45">
        <f t="shared" si="122"/>
        <v>0</v>
      </c>
      <c r="BE133" s="45">
        <f t="shared" si="122"/>
        <v>0</v>
      </c>
      <c r="BF133" s="45">
        <f t="shared" si="122"/>
        <v>0</v>
      </c>
      <c r="BG133" s="45">
        <f t="shared" si="122"/>
        <v>0</v>
      </c>
      <c r="BH133" s="45">
        <f t="shared" si="122"/>
        <v>0</v>
      </c>
      <c r="BI133" s="45">
        <f t="shared" si="122"/>
        <v>0</v>
      </c>
      <c r="BJ133" s="45">
        <f t="shared" si="122"/>
        <v>0</v>
      </c>
      <c r="BK133" s="67"/>
      <c r="BL133" s="45">
        <f t="shared" si="122"/>
        <v>0</v>
      </c>
      <c r="BM133" s="45">
        <f t="shared" si="122"/>
        <v>0</v>
      </c>
      <c r="BN133" s="45">
        <f t="shared" si="122"/>
        <v>0</v>
      </c>
      <c r="BO133" s="45">
        <f t="shared" si="122"/>
        <v>0</v>
      </c>
      <c r="BP133" s="45">
        <f t="shared" si="122"/>
        <v>0</v>
      </c>
      <c r="BQ133" s="45">
        <f t="shared" si="122"/>
        <v>0</v>
      </c>
      <c r="BR133" s="45">
        <f t="shared" si="122"/>
        <v>0</v>
      </c>
      <c r="BS133" s="45">
        <f t="shared" si="122"/>
        <v>0</v>
      </c>
      <c r="BT133" s="45">
        <f t="shared" si="122"/>
        <v>0</v>
      </c>
      <c r="BU133" s="45">
        <f t="shared" si="122"/>
        <v>0</v>
      </c>
      <c r="BV133" s="45">
        <f t="shared" si="122"/>
        <v>0</v>
      </c>
      <c r="BW133" s="45">
        <f t="shared" si="122"/>
        <v>0</v>
      </c>
      <c r="BY133" s="12"/>
      <c r="CA133" s="12"/>
      <c r="EX133" s="10" t="str">
        <f t="shared" si="79"/>
        <v/>
      </c>
    </row>
    <row r="134" spans="2:154" x14ac:dyDescent="0.25">
      <c r="B134" s="67" t="str">
        <f ca="1">Loans!B$31</f>
        <v>Loan 19</v>
      </c>
      <c r="D134" s="62">
        <f>Loans!D$31</f>
        <v>0</v>
      </c>
      <c r="E134" s="159" t="str">
        <f>IF(Loans!I$31=0, "", Loans!I$31)</f>
        <v/>
      </c>
      <c r="F134" s="159" t="str">
        <f>IF(Loans!J$31=0, "", Loans!J$31)</f>
        <v/>
      </c>
      <c r="G134" s="67"/>
      <c r="H134" s="67"/>
      <c r="I134" s="67"/>
      <c r="J134" s="67"/>
      <c r="K134" s="67"/>
      <c r="S134" s="67"/>
      <c r="T134" s="335"/>
      <c r="U134" s="335"/>
      <c r="V134" s="45">
        <f t="shared" si="116"/>
        <v>0</v>
      </c>
      <c r="W134" s="45">
        <f t="shared" si="116"/>
        <v>0</v>
      </c>
      <c r="X134" s="45">
        <f t="shared" si="116"/>
        <v>0</v>
      </c>
      <c r="Y134" s="45">
        <f t="shared" si="117"/>
        <v>0</v>
      </c>
      <c r="AA134" s="45">
        <f t="shared" si="119"/>
        <v>0</v>
      </c>
      <c r="AB134" s="45">
        <f t="shared" si="122"/>
        <v>0</v>
      </c>
      <c r="AC134" s="45">
        <f t="shared" si="122"/>
        <v>0</v>
      </c>
      <c r="AD134" s="45">
        <f t="shared" si="122"/>
        <v>0</v>
      </c>
      <c r="AE134" s="45">
        <f t="shared" si="122"/>
        <v>0</v>
      </c>
      <c r="AF134" s="45">
        <f t="shared" si="122"/>
        <v>0</v>
      </c>
      <c r="AG134" s="45">
        <f t="shared" si="122"/>
        <v>0</v>
      </c>
      <c r="AH134" s="45">
        <f t="shared" si="122"/>
        <v>0</v>
      </c>
      <c r="AI134" s="45">
        <f t="shared" si="122"/>
        <v>0</v>
      </c>
      <c r="AJ134" s="45">
        <f t="shared" si="122"/>
        <v>0</v>
      </c>
      <c r="AK134" s="45">
        <f t="shared" si="122"/>
        <v>0</v>
      </c>
      <c r="AL134" s="45">
        <f t="shared" si="122"/>
        <v>0</v>
      </c>
      <c r="AM134" s="45">
        <f t="shared" si="122"/>
        <v>0</v>
      </c>
      <c r="AN134" s="45">
        <f t="shared" si="122"/>
        <v>0</v>
      </c>
      <c r="AO134" s="45">
        <f t="shared" si="122"/>
        <v>0</v>
      </c>
      <c r="AP134" s="45">
        <f t="shared" si="122"/>
        <v>0</v>
      </c>
      <c r="AQ134" s="45">
        <f t="shared" si="122"/>
        <v>0</v>
      </c>
      <c r="AR134" s="45">
        <f t="shared" si="122"/>
        <v>0</v>
      </c>
      <c r="AS134" s="45">
        <f t="shared" si="122"/>
        <v>0</v>
      </c>
      <c r="AT134" s="45">
        <f t="shared" si="122"/>
        <v>0</v>
      </c>
      <c r="AU134" s="45">
        <f t="shared" si="122"/>
        <v>0</v>
      </c>
      <c r="AV134" s="45">
        <f t="shared" si="122"/>
        <v>0</v>
      </c>
      <c r="AW134" s="45">
        <f t="shared" si="122"/>
        <v>0</v>
      </c>
      <c r="AX134" s="45">
        <f t="shared" si="122"/>
        <v>0</v>
      </c>
      <c r="AY134" s="45">
        <f t="shared" si="122"/>
        <v>0</v>
      </c>
      <c r="AZ134" s="45">
        <f t="shared" si="122"/>
        <v>0</v>
      </c>
      <c r="BA134" s="45">
        <f t="shared" si="122"/>
        <v>0</v>
      </c>
      <c r="BB134" s="45">
        <f t="shared" si="122"/>
        <v>0</v>
      </c>
      <c r="BC134" s="45">
        <f t="shared" si="122"/>
        <v>0</v>
      </c>
      <c r="BD134" s="45">
        <f t="shared" si="122"/>
        <v>0</v>
      </c>
      <c r="BE134" s="45">
        <f t="shared" si="122"/>
        <v>0</v>
      </c>
      <c r="BF134" s="45">
        <f t="shared" si="122"/>
        <v>0</v>
      </c>
      <c r="BG134" s="45">
        <f t="shared" si="122"/>
        <v>0</v>
      </c>
      <c r="BH134" s="45">
        <f t="shared" si="122"/>
        <v>0</v>
      </c>
      <c r="BI134" s="45">
        <f t="shared" si="122"/>
        <v>0</v>
      </c>
      <c r="BJ134" s="45">
        <f t="shared" si="122"/>
        <v>0</v>
      </c>
      <c r="BK134" s="67"/>
      <c r="BL134" s="45">
        <f t="shared" si="122"/>
        <v>0</v>
      </c>
      <c r="BM134" s="45">
        <f t="shared" si="122"/>
        <v>0</v>
      </c>
      <c r="BN134" s="45">
        <f t="shared" si="122"/>
        <v>0</v>
      </c>
      <c r="BO134" s="45">
        <f t="shared" si="122"/>
        <v>0</v>
      </c>
      <c r="BP134" s="45">
        <f t="shared" si="122"/>
        <v>0</v>
      </c>
      <c r="BQ134" s="45">
        <f t="shared" si="122"/>
        <v>0</v>
      </c>
      <c r="BR134" s="45">
        <f t="shared" si="122"/>
        <v>0</v>
      </c>
      <c r="BS134" s="45">
        <f t="shared" si="122"/>
        <v>0</v>
      </c>
      <c r="BT134" s="45">
        <f t="shared" si="122"/>
        <v>0</v>
      </c>
      <c r="BU134" s="45">
        <f t="shared" si="122"/>
        <v>0</v>
      </c>
      <c r="BV134" s="45">
        <f t="shared" si="122"/>
        <v>0</v>
      </c>
      <c r="BW134" s="45">
        <f t="shared" si="122"/>
        <v>0</v>
      </c>
      <c r="BY134" s="12"/>
      <c r="CA134" s="12"/>
      <c r="EX134" s="10" t="str">
        <f t="shared" si="79"/>
        <v/>
      </c>
    </row>
    <row r="135" spans="2:154" x14ac:dyDescent="0.25">
      <c r="B135" s="67" t="str">
        <f ca="1">Loans!B$32</f>
        <v>Loan 20</v>
      </c>
      <c r="D135" s="62">
        <f>Loans!D$32</f>
        <v>0</v>
      </c>
      <c r="E135" s="159" t="str">
        <f>IF(Loans!I$32=0, "", Loans!I$32)</f>
        <v/>
      </c>
      <c r="F135" s="159" t="str">
        <f>IF(Loans!J$32=0, "", Loans!J$32)</f>
        <v/>
      </c>
      <c r="G135" s="67"/>
      <c r="H135" s="67"/>
      <c r="I135" s="67"/>
      <c r="J135" s="67"/>
      <c r="K135" s="67"/>
      <c r="S135" s="67"/>
      <c r="T135" s="335"/>
      <c r="U135" s="335"/>
      <c r="V135" s="45">
        <f t="shared" si="116"/>
        <v>0</v>
      </c>
      <c r="W135" s="45">
        <f t="shared" si="116"/>
        <v>0</v>
      </c>
      <c r="X135" s="45">
        <f t="shared" si="116"/>
        <v>0</v>
      </c>
      <c r="Y135" s="45">
        <f t="shared" si="117"/>
        <v>0</v>
      </c>
      <c r="AA135" s="45">
        <f t="shared" si="119"/>
        <v>0</v>
      </c>
      <c r="AB135" s="45">
        <f t="shared" si="122"/>
        <v>0</v>
      </c>
      <c r="AC135" s="45">
        <f t="shared" si="122"/>
        <v>0</v>
      </c>
      <c r="AD135" s="45">
        <f t="shared" si="122"/>
        <v>0</v>
      </c>
      <c r="AE135" s="45">
        <f t="shared" si="122"/>
        <v>0</v>
      </c>
      <c r="AF135" s="45">
        <f t="shared" si="122"/>
        <v>0</v>
      </c>
      <c r="AG135" s="45">
        <f t="shared" si="122"/>
        <v>0</v>
      </c>
      <c r="AH135" s="45">
        <f t="shared" si="122"/>
        <v>0</v>
      </c>
      <c r="AI135" s="45">
        <f t="shared" si="122"/>
        <v>0</v>
      </c>
      <c r="AJ135" s="45">
        <f t="shared" si="122"/>
        <v>0</v>
      </c>
      <c r="AK135" s="45">
        <f t="shared" si="122"/>
        <v>0</v>
      </c>
      <c r="AL135" s="45">
        <f t="shared" si="122"/>
        <v>0</v>
      </c>
      <c r="AM135" s="45">
        <f t="shared" si="122"/>
        <v>0</v>
      </c>
      <c r="AN135" s="45">
        <f t="shared" si="122"/>
        <v>0</v>
      </c>
      <c r="AO135" s="45">
        <f t="shared" si="122"/>
        <v>0</v>
      </c>
      <c r="AP135" s="45">
        <f t="shared" si="122"/>
        <v>0</v>
      </c>
      <c r="AQ135" s="45">
        <f t="shared" si="122"/>
        <v>0</v>
      </c>
      <c r="AR135" s="45">
        <f t="shared" si="122"/>
        <v>0</v>
      </c>
      <c r="AS135" s="45">
        <f t="shared" si="122"/>
        <v>0</v>
      </c>
      <c r="AT135" s="45">
        <f t="shared" si="122"/>
        <v>0</v>
      </c>
      <c r="AU135" s="45">
        <f t="shared" si="122"/>
        <v>0</v>
      </c>
      <c r="AV135" s="45">
        <f t="shared" si="122"/>
        <v>0</v>
      </c>
      <c r="AW135" s="45">
        <f t="shared" si="122"/>
        <v>0</v>
      </c>
      <c r="AX135" s="45">
        <f t="shared" si="122"/>
        <v>0</v>
      </c>
      <c r="AY135" s="45">
        <f t="shared" si="122"/>
        <v>0</v>
      </c>
      <c r="AZ135" s="45">
        <f t="shared" si="122"/>
        <v>0</v>
      </c>
      <c r="BA135" s="45">
        <f t="shared" si="122"/>
        <v>0</v>
      </c>
      <c r="BB135" s="45">
        <f t="shared" si="122"/>
        <v>0</v>
      </c>
      <c r="BC135" s="45">
        <f t="shared" si="122"/>
        <v>0</v>
      </c>
      <c r="BD135" s="45">
        <f t="shared" si="122"/>
        <v>0</v>
      </c>
      <c r="BE135" s="45">
        <f t="shared" si="122"/>
        <v>0</v>
      </c>
      <c r="BF135" s="45">
        <f t="shared" si="122"/>
        <v>0</v>
      </c>
      <c r="BG135" s="45">
        <f t="shared" si="122"/>
        <v>0</v>
      </c>
      <c r="BH135" s="45">
        <f t="shared" si="122"/>
        <v>0</v>
      </c>
      <c r="BI135" s="45">
        <f t="shared" si="122"/>
        <v>0</v>
      </c>
      <c r="BJ135" s="45">
        <f t="shared" si="122"/>
        <v>0</v>
      </c>
      <c r="BK135" s="67"/>
      <c r="BL135" s="45">
        <f t="shared" si="122"/>
        <v>0</v>
      </c>
      <c r="BM135" s="45">
        <f t="shared" si="122"/>
        <v>0</v>
      </c>
      <c r="BN135" s="45">
        <f t="shared" si="122"/>
        <v>0</v>
      </c>
      <c r="BO135" s="45">
        <f t="shared" si="122"/>
        <v>0</v>
      </c>
      <c r="BP135" s="45">
        <f t="shared" si="122"/>
        <v>0</v>
      </c>
      <c r="BQ135" s="45">
        <f t="shared" si="122"/>
        <v>0</v>
      </c>
      <c r="BR135" s="45">
        <f t="shared" si="122"/>
        <v>0</v>
      </c>
      <c r="BS135" s="45">
        <f t="shared" si="122"/>
        <v>0</v>
      </c>
      <c r="BT135" s="45">
        <f t="shared" si="122"/>
        <v>0</v>
      </c>
      <c r="BU135" s="45">
        <f t="shared" si="122"/>
        <v>0</v>
      </c>
      <c r="BV135" s="45">
        <f t="shared" si="122"/>
        <v>0</v>
      </c>
      <c r="BW135" s="45">
        <f t="shared" si="122"/>
        <v>0</v>
      </c>
      <c r="BY135" s="12"/>
      <c r="CA135" s="12"/>
      <c r="EX135" s="10" t="str">
        <f t="shared" si="79"/>
        <v/>
      </c>
    </row>
    <row r="136" spans="2:154" s="67" customFormat="1" ht="6.6" customHeight="1" x14ac:dyDescent="0.25">
      <c r="D136" s="1"/>
      <c r="T136" s="335"/>
      <c r="U136" s="335"/>
      <c r="BM136" s="6"/>
      <c r="BY136" s="42"/>
      <c r="CA136" s="42"/>
      <c r="EX136" s="10" t="str">
        <f t="shared" si="79"/>
        <v/>
      </c>
    </row>
    <row r="137" spans="2:154" s="67" customFormat="1" x14ac:dyDescent="0.25">
      <c r="D137" s="5" t="s">
        <v>760</v>
      </c>
      <c r="T137" s="335"/>
      <c r="U137" s="335"/>
      <c r="BY137" s="12"/>
      <c r="CA137" s="12"/>
      <c r="EX137" s="10" t="str">
        <f t="shared" si="79"/>
        <v/>
      </c>
    </row>
    <row r="138" spans="2:154" s="67" customFormat="1" x14ac:dyDescent="0.25">
      <c r="B138" s="5"/>
      <c r="D138" s="5" t="str">
        <f>Loans!D$11</f>
        <v>Lender</v>
      </c>
      <c r="E138" s="5" t="s">
        <v>542</v>
      </c>
      <c r="F138" s="5" t="s">
        <v>537</v>
      </c>
      <c r="T138" s="335"/>
      <c r="U138" s="335"/>
      <c r="BY138" s="12"/>
      <c r="CA138" s="12"/>
      <c r="EX138" s="10" t="str">
        <f t="shared" ref="EX138:EX201" si="123">IF($C138="","",$D138)</f>
        <v/>
      </c>
    </row>
    <row r="139" spans="2:154" s="67" customFormat="1" x14ac:dyDescent="0.25">
      <c r="B139" s="67" t="str">
        <f ca="1">Loans!B$13</f>
        <v>Loan 1</v>
      </c>
      <c r="D139" s="62" t="str">
        <f>Loans!D$13</f>
        <v>NatWest</v>
      </c>
      <c r="E139" s="253" t="str">
        <f>IF(Loans!Q$13=0, "", Loans!Q$13)</f>
        <v/>
      </c>
      <c r="F139" s="10">
        <f>Loans!G$686</f>
        <v>0</v>
      </c>
      <c r="T139" s="335"/>
      <c r="U139" s="335"/>
      <c r="V139" s="45">
        <f>IF(AND($E139&gt;=V$8, $E139&lt;=V$10), 1,0)</f>
        <v>0</v>
      </c>
      <c r="W139" s="45">
        <f t="shared" ref="V139:Y154" si="124">IF(AND($E139&gt;=W$8, $E139&lt;=W$10), 1,0)</f>
        <v>0</v>
      </c>
      <c r="X139" s="45">
        <f t="shared" si="124"/>
        <v>0</v>
      </c>
      <c r="Y139" s="45">
        <f t="shared" si="124"/>
        <v>0</v>
      </c>
      <c r="AA139" s="200">
        <f t="shared" ref="AA139:AP158" si="125">IF(AND($E139&gt;=AA$8, $E139&lt;=AA$10), 1,0)</f>
        <v>0</v>
      </c>
      <c r="AB139" s="45">
        <f t="shared" ref="AB139:BW144" si="126">IF(AND($E139&gt;=AB$8, $E139&lt;=AB$10), 1,0)</f>
        <v>0</v>
      </c>
      <c r="AC139" s="45">
        <f t="shared" si="126"/>
        <v>0</v>
      </c>
      <c r="AD139" s="45">
        <f t="shared" si="126"/>
        <v>0</v>
      </c>
      <c r="AE139" s="45">
        <f t="shared" si="126"/>
        <v>0</v>
      </c>
      <c r="AF139" s="45">
        <f t="shared" si="126"/>
        <v>0</v>
      </c>
      <c r="AG139" s="45">
        <f t="shared" si="126"/>
        <v>0</v>
      </c>
      <c r="AH139" s="45">
        <f t="shared" si="126"/>
        <v>0</v>
      </c>
      <c r="AI139" s="45">
        <f t="shared" si="126"/>
        <v>0</v>
      </c>
      <c r="AJ139" s="45">
        <f t="shared" si="126"/>
        <v>0</v>
      </c>
      <c r="AK139" s="45">
        <f t="shared" si="126"/>
        <v>0</v>
      </c>
      <c r="AL139" s="45">
        <f t="shared" si="126"/>
        <v>0</v>
      </c>
      <c r="AM139" s="45">
        <f t="shared" si="126"/>
        <v>0</v>
      </c>
      <c r="AN139" s="45">
        <f t="shared" si="126"/>
        <v>0</v>
      </c>
      <c r="AO139" s="45">
        <f t="shared" si="126"/>
        <v>0</v>
      </c>
      <c r="AP139" s="45">
        <f t="shared" si="126"/>
        <v>0</v>
      </c>
      <c r="AQ139" s="45">
        <f t="shared" si="126"/>
        <v>0</v>
      </c>
      <c r="AR139" s="45">
        <f t="shared" si="126"/>
        <v>0</v>
      </c>
      <c r="AS139" s="45">
        <f t="shared" si="126"/>
        <v>0</v>
      </c>
      <c r="AT139" s="45">
        <f t="shared" si="126"/>
        <v>0</v>
      </c>
      <c r="AU139" s="45">
        <f t="shared" si="126"/>
        <v>0</v>
      </c>
      <c r="AV139" s="45">
        <f t="shared" si="126"/>
        <v>0</v>
      </c>
      <c r="AW139" s="45">
        <f t="shared" si="126"/>
        <v>0</v>
      </c>
      <c r="AX139" s="45">
        <f t="shared" si="126"/>
        <v>0</v>
      </c>
      <c r="AY139" s="45">
        <f t="shared" si="126"/>
        <v>0</v>
      </c>
      <c r="AZ139" s="45">
        <f t="shared" si="126"/>
        <v>0</v>
      </c>
      <c r="BA139" s="45">
        <f t="shared" si="126"/>
        <v>0</v>
      </c>
      <c r="BB139" s="45">
        <f t="shared" si="126"/>
        <v>0</v>
      </c>
      <c r="BC139" s="45">
        <f t="shared" si="126"/>
        <v>0</v>
      </c>
      <c r="BD139" s="45">
        <f t="shared" si="126"/>
        <v>0</v>
      </c>
      <c r="BE139" s="45">
        <f t="shared" si="126"/>
        <v>0</v>
      </c>
      <c r="BF139" s="45">
        <f t="shared" si="126"/>
        <v>0</v>
      </c>
      <c r="BG139" s="45">
        <f t="shared" si="126"/>
        <v>0</v>
      </c>
      <c r="BH139" s="45">
        <f t="shared" si="126"/>
        <v>0</v>
      </c>
      <c r="BI139" s="45">
        <f t="shared" si="126"/>
        <v>0</v>
      </c>
      <c r="BJ139" s="45">
        <f t="shared" si="126"/>
        <v>0</v>
      </c>
      <c r="BL139" s="45">
        <f t="shared" si="126"/>
        <v>0</v>
      </c>
      <c r="BM139" s="45">
        <f t="shared" si="126"/>
        <v>0</v>
      </c>
      <c r="BN139" s="45">
        <f t="shared" si="126"/>
        <v>0</v>
      </c>
      <c r="BO139" s="45">
        <f t="shared" si="126"/>
        <v>0</v>
      </c>
      <c r="BP139" s="45">
        <f t="shared" si="126"/>
        <v>0</v>
      </c>
      <c r="BQ139" s="45">
        <f t="shared" si="126"/>
        <v>0</v>
      </c>
      <c r="BR139" s="45">
        <f t="shared" si="126"/>
        <v>0</v>
      </c>
      <c r="BS139" s="45">
        <f t="shared" si="126"/>
        <v>0</v>
      </c>
      <c r="BT139" s="45">
        <f t="shared" si="126"/>
        <v>0</v>
      </c>
      <c r="BU139" s="45">
        <f t="shared" si="126"/>
        <v>0</v>
      </c>
      <c r="BV139" s="45">
        <f t="shared" si="126"/>
        <v>0</v>
      </c>
      <c r="BW139" s="45">
        <f t="shared" si="126"/>
        <v>0</v>
      </c>
      <c r="BY139" s="12"/>
      <c r="CA139" s="12"/>
      <c r="EX139" s="10" t="str">
        <f t="shared" si="123"/>
        <v/>
      </c>
    </row>
    <row r="140" spans="2:154" s="67" customFormat="1" x14ac:dyDescent="0.25">
      <c r="B140" s="67" t="str">
        <f ca="1">Loans!B$14</f>
        <v>Loan 2</v>
      </c>
      <c r="D140" s="62" t="str">
        <f>Loans!D$14</f>
        <v>NatWest</v>
      </c>
      <c r="E140" s="253" t="str">
        <f>IF(Loans!Q$14=0, "", Loans!Q$14)</f>
        <v/>
      </c>
      <c r="F140" s="10">
        <f>Loans!G$687</f>
        <v>0</v>
      </c>
      <c r="T140" s="335"/>
      <c r="U140" s="335"/>
      <c r="V140" s="45">
        <f t="shared" si="124"/>
        <v>0</v>
      </c>
      <c r="W140" s="45">
        <f t="shared" si="124"/>
        <v>0</v>
      </c>
      <c r="X140" s="45">
        <f t="shared" si="124"/>
        <v>0</v>
      </c>
      <c r="Y140" s="45">
        <f t="shared" si="124"/>
        <v>0</v>
      </c>
      <c r="AA140" s="45">
        <f t="shared" si="125"/>
        <v>0</v>
      </c>
      <c r="AB140" s="45">
        <f t="shared" si="125"/>
        <v>0</v>
      </c>
      <c r="AC140" s="45">
        <f t="shared" si="125"/>
        <v>0</v>
      </c>
      <c r="AD140" s="45">
        <f t="shared" si="125"/>
        <v>0</v>
      </c>
      <c r="AE140" s="45">
        <f t="shared" si="125"/>
        <v>0</v>
      </c>
      <c r="AF140" s="45">
        <f t="shared" si="125"/>
        <v>0</v>
      </c>
      <c r="AG140" s="45">
        <f t="shared" si="125"/>
        <v>0</v>
      </c>
      <c r="AH140" s="45">
        <f t="shared" si="125"/>
        <v>0</v>
      </c>
      <c r="AI140" s="45">
        <f t="shared" si="125"/>
        <v>0</v>
      </c>
      <c r="AJ140" s="45">
        <f t="shared" si="125"/>
        <v>0</v>
      </c>
      <c r="AK140" s="45">
        <f t="shared" si="125"/>
        <v>0</v>
      </c>
      <c r="AL140" s="45">
        <f t="shared" si="125"/>
        <v>0</v>
      </c>
      <c r="AM140" s="45">
        <f t="shared" si="125"/>
        <v>0</v>
      </c>
      <c r="AN140" s="45">
        <f t="shared" si="125"/>
        <v>0</v>
      </c>
      <c r="AO140" s="45">
        <f t="shared" si="125"/>
        <v>0</v>
      </c>
      <c r="AP140" s="45">
        <f t="shared" si="125"/>
        <v>0</v>
      </c>
      <c r="AQ140" s="45">
        <f t="shared" si="126"/>
        <v>0</v>
      </c>
      <c r="AR140" s="45">
        <f t="shared" si="126"/>
        <v>0</v>
      </c>
      <c r="AS140" s="45">
        <f t="shared" si="126"/>
        <v>0</v>
      </c>
      <c r="AT140" s="45">
        <f t="shared" si="126"/>
        <v>0</v>
      </c>
      <c r="AU140" s="45">
        <f t="shared" si="126"/>
        <v>0</v>
      </c>
      <c r="AV140" s="45">
        <f t="shared" si="126"/>
        <v>0</v>
      </c>
      <c r="AW140" s="45">
        <f t="shared" si="126"/>
        <v>0</v>
      </c>
      <c r="AX140" s="45">
        <f t="shared" si="126"/>
        <v>0</v>
      </c>
      <c r="AY140" s="45">
        <f t="shared" si="126"/>
        <v>0</v>
      </c>
      <c r="AZ140" s="45">
        <f t="shared" si="126"/>
        <v>0</v>
      </c>
      <c r="BA140" s="45">
        <f t="shared" si="126"/>
        <v>0</v>
      </c>
      <c r="BB140" s="45">
        <f t="shared" si="126"/>
        <v>0</v>
      </c>
      <c r="BC140" s="45">
        <f t="shared" si="126"/>
        <v>0</v>
      </c>
      <c r="BD140" s="45">
        <f t="shared" si="126"/>
        <v>0</v>
      </c>
      <c r="BE140" s="45">
        <f t="shared" si="126"/>
        <v>0</v>
      </c>
      <c r="BF140" s="45">
        <f t="shared" si="126"/>
        <v>0</v>
      </c>
      <c r="BG140" s="45">
        <f t="shared" si="126"/>
        <v>0</v>
      </c>
      <c r="BH140" s="45">
        <f t="shared" si="126"/>
        <v>0</v>
      </c>
      <c r="BI140" s="45">
        <f t="shared" si="126"/>
        <v>0</v>
      </c>
      <c r="BJ140" s="45">
        <f t="shared" si="126"/>
        <v>0</v>
      </c>
      <c r="BL140" s="45">
        <f t="shared" si="126"/>
        <v>0</v>
      </c>
      <c r="BM140" s="45">
        <f t="shared" si="126"/>
        <v>0</v>
      </c>
      <c r="BN140" s="45">
        <f t="shared" si="126"/>
        <v>0</v>
      </c>
      <c r="BO140" s="45">
        <f t="shared" si="126"/>
        <v>0</v>
      </c>
      <c r="BP140" s="45">
        <f t="shared" si="126"/>
        <v>0</v>
      </c>
      <c r="BQ140" s="45">
        <f t="shared" si="126"/>
        <v>0</v>
      </c>
      <c r="BR140" s="45">
        <f t="shared" si="126"/>
        <v>0</v>
      </c>
      <c r="BS140" s="45">
        <f t="shared" si="126"/>
        <v>0</v>
      </c>
      <c r="BT140" s="45">
        <f t="shared" si="126"/>
        <v>0</v>
      </c>
      <c r="BU140" s="45">
        <f t="shared" si="126"/>
        <v>0</v>
      </c>
      <c r="BV140" s="45">
        <f t="shared" si="126"/>
        <v>0</v>
      </c>
      <c r="BW140" s="45">
        <f t="shared" si="126"/>
        <v>0</v>
      </c>
      <c r="BY140" s="12"/>
      <c r="CA140" s="12"/>
      <c r="EX140" s="10" t="str">
        <f t="shared" si="123"/>
        <v/>
      </c>
    </row>
    <row r="141" spans="2:154" s="67" customFormat="1" x14ac:dyDescent="0.25">
      <c r="B141" s="67" t="str">
        <f ca="1">Loans!B$15</f>
        <v>Loan 3</v>
      </c>
      <c r="D141" s="62" t="str">
        <f>Loans!D$15</f>
        <v>NatWest</v>
      </c>
      <c r="E141" s="159" t="str">
        <f>IF(Loans!Q$15=0, "", Loans!Q$15)</f>
        <v/>
      </c>
      <c r="F141" s="10">
        <f>Loans!G$688</f>
        <v>0</v>
      </c>
      <c r="T141" s="335"/>
      <c r="U141" s="335"/>
      <c r="V141" s="45">
        <f t="shared" si="124"/>
        <v>0</v>
      </c>
      <c r="W141" s="45">
        <f t="shared" si="124"/>
        <v>0</v>
      </c>
      <c r="X141" s="45">
        <f t="shared" si="124"/>
        <v>0</v>
      </c>
      <c r="Y141" s="45">
        <f t="shared" si="124"/>
        <v>0</v>
      </c>
      <c r="AA141" s="45">
        <f t="shared" si="125"/>
        <v>0</v>
      </c>
      <c r="AB141" s="45">
        <f t="shared" si="126"/>
        <v>0</v>
      </c>
      <c r="AC141" s="45">
        <f t="shared" si="126"/>
        <v>0</v>
      </c>
      <c r="AD141" s="45">
        <f t="shared" si="126"/>
        <v>0</v>
      </c>
      <c r="AE141" s="45">
        <f t="shared" si="126"/>
        <v>0</v>
      </c>
      <c r="AF141" s="45">
        <f t="shared" si="126"/>
        <v>0</v>
      </c>
      <c r="AG141" s="45">
        <f t="shared" si="126"/>
        <v>0</v>
      </c>
      <c r="AH141" s="45">
        <f t="shared" si="126"/>
        <v>0</v>
      </c>
      <c r="AI141" s="45">
        <f t="shared" si="126"/>
        <v>0</v>
      </c>
      <c r="AJ141" s="45">
        <f t="shared" si="126"/>
        <v>0</v>
      </c>
      <c r="AK141" s="45">
        <f t="shared" si="126"/>
        <v>0</v>
      </c>
      <c r="AL141" s="45">
        <f t="shared" si="126"/>
        <v>0</v>
      </c>
      <c r="AM141" s="45">
        <f t="shared" si="126"/>
        <v>0</v>
      </c>
      <c r="AN141" s="45">
        <f t="shared" si="126"/>
        <v>0</v>
      </c>
      <c r="AO141" s="45">
        <f t="shared" si="126"/>
        <v>0</v>
      </c>
      <c r="AP141" s="45">
        <f t="shared" si="126"/>
        <v>0</v>
      </c>
      <c r="AQ141" s="45">
        <f t="shared" si="126"/>
        <v>0</v>
      </c>
      <c r="AR141" s="45">
        <f t="shared" si="126"/>
        <v>0</v>
      </c>
      <c r="AS141" s="45">
        <f t="shared" si="126"/>
        <v>0</v>
      </c>
      <c r="AT141" s="45">
        <f t="shared" si="126"/>
        <v>0</v>
      </c>
      <c r="AU141" s="45">
        <f t="shared" si="126"/>
        <v>0</v>
      </c>
      <c r="AV141" s="45">
        <f t="shared" si="126"/>
        <v>0</v>
      </c>
      <c r="AW141" s="45">
        <f t="shared" si="126"/>
        <v>0</v>
      </c>
      <c r="AX141" s="45">
        <f t="shared" si="126"/>
        <v>0</v>
      </c>
      <c r="AY141" s="45">
        <f t="shared" si="126"/>
        <v>0</v>
      </c>
      <c r="AZ141" s="45">
        <f t="shared" si="126"/>
        <v>0</v>
      </c>
      <c r="BA141" s="45">
        <f t="shared" si="126"/>
        <v>0</v>
      </c>
      <c r="BB141" s="45">
        <f t="shared" si="126"/>
        <v>0</v>
      </c>
      <c r="BC141" s="45">
        <f t="shared" si="126"/>
        <v>0</v>
      </c>
      <c r="BD141" s="45">
        <f t="shared" si="126"/>
        <v>0</v>
      </c>
      <c r="BE141" s="45">
        <f t="shared" si="126"/>
        <v>0</v>
      </c>
      <c r="BF141" s="45">
        <f t="shared" si="126"/>
        <v>0</v>
      </c>
      <c r="BG141" s="45">
        <f t="shared" si="126"/>
        <v>0</v>
      </c>
      <c r="BH141" s="45">
        <f t="shared" si="126"/>
        <v>0</v>
      </c>
      <c r="BI141" s="45">
        <f t="shared" si="126"/>
        <v>0</v>
      </c>
      <c r="BJ141" s="45">
        <f t="shared" si="126"/>
        <v>0</v>
      </c>
      <c r="BL141" s="45">
        <f t="shared" si="126"/>
        <v>0</v>
      </c>
      <c r="BM141" s="45">
        <f t="shared" si="126"/>
        <v>0</v>
      </c>
      <c r="BN141" s="45">
        <f t="shared" si="126"/>
        <v>0</v>
      </c>
      <c r="BO141" s="45">
        <f t="shared" si="126"/>
        <v>0</v>
      </c>
      <c r="BP141" s="45">
        <f t="shared" si="126"/>
        <v>0</v>
      </c>
      <c r="BQ141" s="45">
        <f t="shared" si="126"/>
        <v>0</v>
      </c>
      <c r="BR141" s="45">
        <f t="shared" si="126"/>
        <v>0</v>
      </c>
      <c r="BS141" s="45">
        <f t="shared" si="126"/>
        <v>0</v>
      </c>
      <c r="BT141" s="45">
        <f t="shared" si="126"/>
        <v>0</v>
      </c>
      <c r="BU141" s="45">
        <f t="shared" si="126"/>
        <v>0</v>
      </c>
      <c r="BV141" s="45">
        <f t="shared" si="126"/>
        <v>0</v>
      </c>
      <c r="BW141" s="45">
        <f t="shared" si="126"/>
        <v>0</v>
      </c>
      <c r="BY141" s="12"/>
      <c r="CA141" s="12"/>
      <c r="EX141" s="10" t="str">
        <f t="shared" si="123"/>
        <v/>
      </c>
    </row>
    <row r="142" spans="2:154" s="67" customFormat="1" x14ac:dyDescent="0.25">
      <c r="B142" s="67" t="str">
        <f ca="1">Loans!B$16</f>
        <v>Loan 4</v>
      </c>
      <c r="D142" s="62" t="str">
        <f>Loans!D$16</f>
        <v>NatWest</v>
      </c>
      <c r="E142" s="159" t="str">
        <f>IF(Loans!Q$16=0, "", Loans!Q$16)</f>
        <v/>
      </c>
      <c r="F142" s="10">
        <f>Loans!G$689</f>
        <v>0</v>
      </c>
      <c r="T142" s="335"/>
      <c r="U142" s="335"/>
      <c r="V142" s="45">
        <f t="shared" si="124"/>
        <v>0</v>
      </c>
      <c r="W142" s="45">
        <f t="shared" si="124"/>
        <v>0</v>
      </c>
      <c r="X142" s="45">
        <f t="shared" si="124"/>
        <v>0</v>
      </c>
      <c r="Y142" s="45">
        <f t="shared" si="124"/>
        <v>0</v>
      </c>
      <c r="AA142" s="45">
        <f t="shared" si="125"/>
        <v>0</v>
      </c>
      <c r="AB142" s="45">
        <f t="shared" si="126"/>
        <v>0</v>
      </c>
      <c r="AC142" s="45">
        <f t="shared" si="126"/>
        <v>0</v>
      </c>
      <c r="AD142" s="45">
        <f t="shared" si="126"/>
        <v>0</v>
      </c>
      <c r="AE142" s="45">
        <f t="shared" si="126"/>
        <v>0</v>
      </c>
      <c r="AF142" s="45">
        <f t="shared" si="126"/>
        <v>0</v>
      </c>
      <c r="AG142" s="45">
        <f t="shared" si="126"/>
        <v>0</v>
      </c>
      <c r="AH142" s="45">
        <f t="shared" si="126"/>
        <v>0</v>
      </c>
      <c r="AI142" s="45">
        <f t="shared" si="126"/>
        <v>0</v>
      </c>
      <c r="AJ142" s="45">
        <f t="shared" si="126"/>
        <v>0</v>
      </c>
      <c r="AK142" s="45">
        <f t="shared" si="126"/>
        <v>0</v>
      </c>
      <c r="AL142" s="45">
        <f t="shared" si="126"/>
        <v>0</v>
      </c>
      <c r="AM142" s="45">
        <f t="shared" si="126"/>
        <v>0</v>
      </c>
      <c r="AN142" s="45">
        <f t="shared" si="126"/>
        <v>0</v>
      </c>
      <c r="AO142" s="45">
        <f t="shared" si="126"/>
        <v>0</v>
      </c>
      <c r="AP142" s="45">
        <f t="shared" si="126"/>
        <v>0</v>
      </c>
      <c r="AQ142" s="45">
        <f t="shared" si="126"/>
        <v>0</v>
      </c>
      <c r="AR142" s="45">
        <f t="shared" si="126"/>
        <v>0</v>
      </c>
      <c r="AS142" s="45">
        <f t="shared" si="126"/>
        <v>0</v>
      </c>
      <c r="AT142" s="45">
        <f t="shared" si="126"/>
        <v>0</v>
      </c>
      <c r="AU142" s="45">
        <f t="shared" si="126"/>
        <v>0</v>
      </c>
      <c r="AV142" s="45">
        <f t="shared" si="126"/>
        <v>0</v>
      </c>
      <c r="AW142" s="45">
        <f t="shared" si="126"/>
        <v>0</v>
      </c>
      <c r="AX142" s="45">
        <f t="shared" si="126"/>
        <v>0</v>
      </c>
      <c r="AY142" s="45">
        <f t="shared" si="126"/>
        <v>0</v>
      </c>
      <c r="AZ142" s="45">
        <f t="shared" si="126"/>
        <v>0</v>
      </c>
      <c r="BA142" s="45">
        <f t="shared" si="126"/>
        <v>0</v>
      </c>
      <c r="BB142" s="45">
        <f t="shared" si="126"/>
        <v>0</v>
      </c>
      <c r="BC142" s="45">
        <f t="shared" si="126"/>
        <v>0</v>
      </c>
      <c r="BD142" s="45">
        <f t="shared" si="126"/>
        <v>0</v>
      </c>
      <c r="BE142" s="45">
        <f t="shared" si="126"/>
        <v>0</v>
      </c>
      <c r="BF142" s="45">
        <f t="shared" si="126"/>
        <v>0</v>
      </c>
      <c r="BG142" s="45">
        <f t="shared" si="126"/>
        <v>0</v>
      </c>
      <c r="BH142" s="45">
        <f t="shared" si="126"/>
        <v>0</v>
      </c>
      <c r="BI142" s="45">
        <f t="shared" si="126"/>
        <v>0</v>
      </c>
      <c r="BJ142" s="45">
        <f t="shared" si="126"/>
        <v>0</v>
      </c>
      <c r="BL142" s="45">
        <f t="shared" si="126"/>
        <v>0</v>
      </c>
      <c r="BM142" s="45">
        <f t="shared" si="126"/>
        <v>0</v>
      </c>
      <c r="BN142" s="45">
        <f t="shared" si="126"/>
        <v>0</v>
      </c>
      <c r="BO142" s="45">
        <f t="shared" si="126"/>
        <v>0</v>
      </c>
      <c r="BP142" s="45">
        <f t="shared" si="126"/>
        <v>0</v>
      </c>
      <c r="BQ142" s="45">
        <f t="shared" si="126"/>
        <v>0</v>
      </c>
      <c r="BR142" s="45">
        <f t="shared" si="126"/>
        <v>0</v>
      </c>
      <c r="BS142" s="45">
        <f t="shared" si="126"/>
        <v>0</v>
      </c>
      <c r="BT142" s="45">
        <f t="shared" si="126"/>
        <v>0</v>
      </c>
      <c r="BU142" s="45">
        <f t="shared" si="126"/>
        <v>0</v>
      </c>
      <c r="BV142" s="45">
        <f t="shared" si="126"/>
        <v>0</v>
      </c>
      <c r="BW142" s="45">
        <f t="shared" si="126"/>
        <v>0</v>
      </c>
      <c r="BY142" s="12"/>
      <c r="CA142" s="12"/>
      <c r="EX142" s="10" t="str">
        <f t="shared" si="123"/>
        <v/>
      </c>
    </row>
    <row r="143" spans="2:154" s="67" customFormat="1" x14ac:dyDescent="0.25">
      <c r="B143" s="67" t="str">
        <f ca="1">Loans!B$17</f>
        <v>Loan 5</v>
      </c>
      <c r="D143" s="62" t="str">
        <f>Loans!D$17</f>
        <v>NatWest</v>
      </c>
      <c r="E143" s="159" t="str">
        <f>IF(Loans!Q$17=0, "", Loans!Q$17)</f>
        <v/>
      </c>
      <c r="F143" s="10">
        <f>Loans!G$690</f>
        <v>0</v>
      </c>
      <c r="T143" s="335"/>
      <c r="U143" s="335"/>
      <c r="V143" s="45">
        <f t="shared" si="124"/>
        <v>0</v>
      </c>
      <c r="W143" s="45">
        <f t="shared" si="124"/>
        <v>0</v>
      </c>
      <c r="X143" s="45">
        <f t="shared" si="124"/>
        <v>0</v>
      </c>
      <c r="Y143" s="45">
        <f t="shared" si="124"/>
        <v>0</v>
      </c>
      <c r="AA143" s="45">
        <f t="shared" si="125"/>
        <v>0</v>
      </c>
      <c r="AB143" s="45">
        <f t="shared" si="126"/>
        <v>0</v>
      </c>
      <c r="AC143" s="45">
        <f t="shared" si="126"/>
        <v>0</v>
      </c>
      <c r="AD143" s="45">
        <f t="shared" si="126"/>
        <v>0</v>
      </c>
      <c r="AE143" s="45">
        <f t="shared" si="126"/>
        <v>0</v>
      </c>
      <c r="AF143" s="45">
        <f t="shared" si="126"/>
        <v>0</v>
      </c>
      <c r="AG143" s="45">
        <f t="shared" si="126"/>
        <v>0</v>
      </c>
      <c r="AH143" s="45">
        <f t="shared" si="126"/>
        <v>0</v>
      </c>
      <c r="AI143" s="45">
        <f t="shared" si="126"/>
        <v>0</v>
      </c>
      <c r="AJ143" s="45">
        <f t="shared" si="126"/>
        <v>0</v>
      </c>
      <c r="AK143" s="45">
        <f t="shared" si="126"/>
        <v>0</v>
      </c>
      <c r="AL143" s="45">
        <f t="shared" si="126"/>
        <v>0</v>
      </c>
      <c r="AM143" s="45">
        <f t="shared" si="126"/>
        <v>0</v>
      </c>
      <c r="AN143" s="45">
        <f t="shared" si="126"/>
        <v>0</v>
      </c>
      <c r="AO143" s="45">
        <f t="shared" si="126"/>
        <v>0</v>
      </c>
      <c r="AP143" s="45">
        <f t="shared" si="126"/>
        <v>0</v>
      </c>
      <c r="AQ143" s="45">
        <f t="shared" si="126"/>
        <v>0</v>
      </c>
      <c r="AR143" s="45">
        <f t="shared" si="126"/>
        <v>0</v>
      </c>
      <c r="AS143" s="45">
        <f t="shared" si="126"/>
        <v>0</v>
      </c>
      <c r="AT143" s="45">
        <f t="shared" si="126"/>
        <v>0</v>
      </c>
      <c r="AU143" s="45">
        <f t="shared" si="126"/>
        <v>0</v>
      </c>
      <c r="AV143" s="45">
        <f t="shared" si="126"/>
        <v>0</v>
      </c>
      <c r="AW143" s="45">
        <f t="shared" si="126"/>
        <v>0</v>
      </c>
      <c r="AX143" s="45">
        <f t="shared" si="126"/>
        <v>0</v>
      </c>
      <c r="AY143" s="45">
        <f t="shared" si="126"/>
        <v>0</v>
      </c>
      <c r="AZ143" s="45">
        <f t="shared" si="126"/>
        <v>0</v>
      </c>
      <c r="BA143" s="45">
        <f t="shared" si="126"/>
        <v>0</v>
      </c>
      <c r="BB143" s="45">
        <f t="shared" si="126"/>
        <v>0</v>
      </c>
      <c r="BC143" s="45">
        <f t="shared" si="126"/>
        <v>0</v>
      </c>
      <c r="BD143" s="45">
        <f t="shared" si="126"/>
        <v>0</v>
      </c>
      <c r="BE143" s="45">
        <f t="shared" si="126"/>
        <v>0</v>
      </c>
      <c r="BF143" s="45">
        <f t="shared" si="126"/>
        <v>0</v>
      </c>
      <c r="BG143" s="45">
        <f t="shared" si="126"/>
        <v>0</v>
      </c>
      <c r="BH143" s="45">
        <f t="shared" si="126"/>
        <v>0</v>
      </c>
      <c r="BI143" s="45">
        <f t="shared" si="126"/>
        <v>0</v>
      </c>
      <c r="BJ143" s="45">
        <f t="shared" si="126"/>
        <v>0</v>
      </c>
      <c r="BL143" s="45">
        <f t="shared" si="126"/>
        <v>0</v>
      </c>
      <c r="BM143" s="45">
        <f t="shared" si="126"/>
        <v>0</v>
      </c>
      <c r="BN143" s="45">
        <f t="shared" si="126"/>
        <v>0</v>
      </c>
      <c r="BO143" s="45">
        <f t="shared" si="126"/>
        <v>0</v>
      </c>
      <c r="BP143" s="45">
        <f t="shared" si="126"/>
        <v>0</v>
      </c>
      <c r="BQ143" s="45">
        <f t="shared" si="126"/>
        <v>0</v>
      </c>
      <c r="BR143" s="45">
        <f t="shared" si="126"/>
        <v>0</v>
      </c>
      <c r="BS143" s="45">
        <f t="shared" si="126"/>
        <v>0</v>
      </c>
      <c r="BT143" s="45">
        <f t="shared" si="126"/>
        <v>0</v>
      </c>
      <c r="BU143" s="45">
        <f t="shared" si="126"/>
        <v>0</v>
      </c>
      <c r="BV143" s="45">
        <f t="shared" si="126"/>
        <v>0</v>
      </c>
      <c r="BW143" s="45">
        <f t="shared" si="126"/>
        <v>0</v>
      </c>
      <c r="BY143" s="12"/>
      <c r="CA143" s="12"/>
      <c r="EX143" s="10" t="str">
        <f t="shared" si="123"/>
        <v/>
      </c>
    </row>
    <row r="144" spans="2:154" s="67" customFormat="1" x14ac:dyDescent="0.25">
      <c r="B144" s="67" t="str">
        <f ca="1">Loans!B$18</f>
        <v>Loan 6</v>
      </c>
      <c r="D144" s="62">
        <f>Loans!D$18</f>
        <v>0</v>
      </c>
      <c r="E144" s="159" t="str">
        <f>IF(Loans!Q$18=0, "", Loans!Q$18)</f>
        <v/>
      </c>
      <c r="F144" s="10">
        <f>Loans!G$691</f>
        <v>0</v>
      </c>
      <c r="T144" s="335"/>
      <c r="U144" s="335"/>
      <c r="V144" s="45">
        <f t="shared" si="124"/>
        <v>0</v>
      </c>
      <c r="W144" s="45">
        <f t="shared" si="124"/>
        <v>0</v>
      </c>
      <c r="X144" s="45">
        <f t="shared" si="124"/>
        <v>0</v>
      </c>
      <c r="Y144" s="45">
        <f t="shared" si="124"/>
        <v>0</v>
      </c>
      <c r="AA144" s="45">
        <f t="shared" si="125"/>
        <v>0</v>
      </c>
      <c r="AB144" s="45">
        <f t="shared" si="126"/>
        <v>0</v>
      </c>
      <c r="AC144" s="45">
        <f t="shared" si="126"/>
        <v>0</v>
      </c>
      <c r="AD144" s="45">
        <f t="shared" si="126"/>
        <v>0</v>
      </c>
      <c r="AE144" s="45">
        <f t="shared" si="126"/>
        <v>0</v>
      </c>
      <c r="AF144" s="45">
        <f t="shared" si="126"/>
        <v>0</v>
      </c>
      <c r="AG144" s="45">
        <f t="shared" si="126"/>
        <v>0</v>
      </c>
      <c r="AH144" s="45">
        <f t="shared" si="126"/>
        <v>0</v>
      </c>
      <c r="AI144" s="45">
        <f t="shared" si="126"/>
        <v>0</v>
      </c>
      <c r="AJ144" s="45">
        <f t="shared" si="126"/>
        <v>0</v>
      </c>
      <c r="AK144" s="45">
        <f t="shared" si="126"/>
        <v>0</v>
      </c>
      <c r="AL144" s="45">
        <f t="shared" si="126"/>
        <v>0</v>
      </c>
      <c r="AM144" s="45">
        <f t="shared" si="126"/>
        <v>0</v>
      </c>
      <c r="AN144" s="45">
        <f t="shared" si="126"/>
        <v>0</v>
      </c>
      <c r="AO144" s="45">
        <f t="shared" si="126"/>
        <v>0</v>
      </c>
      <c r="AP144" s="45">
        <f t="shared" si="126"/>
        <v>0</v>
      </c>
      <c r="AQ144" s="45">
        <f t="shared" si="126"/>
        <v>0</v>
      </c>
      <c r="AR144" s="45">
        <f t="shared" si="126"/>
        <v>0</v>
      </c>
      <c r="AS144" s="45">
        <f t="shared" si="126"/>
        <v>0</v>
      </c>
      <c r="AT144" s="45">
        <f t="shared" si="126"/>
        <v>0</v>
      </c>
      <c r="AU144" s="45">
        <f t="shared" si="126"/>
        <v>0</v>
      </c>
      <c r="AV144" s="45">
        <f t="shared" si="126"/>
        <v>0</v>
      </c>
      <c r="AW144" s="45">
        <f t="shared" si="126"/>
        <v>0</v>
      </c>
      <c r="AX144" s="45">
        <f t="shared" si="126"/>
        <v>0</v>
      </c>
      <c r="AY144" s="45">
        <f t="shared" si="126"/>
        <v>0</v>
      </c>
      <c r="AZ144" s="45">
        <f t="shared" si="126"/>
        <v>0</v>
      </c>
      <c r="BA144" s="45">
        <f t="shared" si="126"/>
        <v>0</v>
      </c>
      <c r="BB144" s="45">
        <f t="shared" si="126"/>
        <v>0</v>
      </c>
      <c r="BC144" s="45">
        <f t="shared" si="126"/>
        <v>0</v>
      </c>
      <c r="BD144" s="45">
        <f t="shared" si="126"/>
        <v>0</v>
      </c>
      <c r="BE144" s="45">
        <f t="shared" si="126"/>
        <v>0</v>
      </c>
      <c r="BF144" s="45">
        <f t="shared" ref="AB144:BW149" si="127">IF(AND($E144&gt;=BF$8, $E144&lt;=BF$10), 1,0)</f>
        <v>0</v>
      </c>
      <c r="BG144" s="45">
        <f t="shared" si="127"/>
        <v>0</v>
      </c>
      <c r="BH144" s="45">
        <f t="shared" si="127"/>
        <v>0</v>
      </c>
      <c r="BI144" s="45">
        <f t="shared" si="127"/>
        <v>0</v>
      </c>
      <c r="BJ144" s="45">
        <f t="shared" si="127"/>
        <v>0</v>
      </c>
      <c r="BL144" s="45">
        <f t="shared" si="127"/>
        <v>0</v>
      </c>
      <c r="BM144" s="45">
        <f t="shared" si="127"/>
        <v>0</v>
      </c>
      <c r="BN144" s="45">
        <f t="shared" si="127"/>
        <v>0</v>
      </c>
      <c r="BO144" s="45">
        <f t="shared" si="127"/>
        <v>0</v>
      </c>
      <c r="BP144" s="45">
        <f t="shared" si="127"/>
        <v>0</v>
      </c>
      <c r="BQ144" s="45">
        <f t="shared" si="127"/>
        <v>0</v>
      </c>
      <c r="BR144" s="45">
        <f t="shared" si="127"/>
        <v>0</v>
      </c>
      <c r="BS144" s="45">
        <f t="shared" si="127"/>
        <v>0</v>
      </c>
      <c r="BT144" s="45">
        <f t="shared" si="127"/>
        <v>0</v>
      </c>
      <c r="BU144" s="45">
        <f t="shared" si="127"/>
        <v>0</v>
      </c>
      <c r="BV144" s="45">
        <f t="shared" si="127"/>
        <v>0</v>
      </c>
      <c r="BW144" s="45">
        <f t="shared" si="127"/>
        <v>0</v>
      </c>
      <c r="BY144" s="12"/>
      <c r="CA144" s="12"/>
      <c r="EX144" s="10" t="str">
        <f t="shared" si="123"/>
        <v/>
      </c>
    </row>
    <row r="145" spans="1:154" s="5" customFormat="1" x14ac:dyDescent="0.25">
      <c r="A145" s="67"/>
      <c r="B145" s="67" t="str">
        <f ca="1">Loans!B$19</f>
        <v>Loan 7</v>
      </c>
      <c r="D145" s="62">
        <f>Loans!D$19</f>
        <v>0</v>
      </c>
      <c r="E145" s="159" t="str">
        <f>IF(Loans!Q$19=0, "", Loans!Q$19)</f>
        <v/>
      </c>
      <c r="F145" s="10">
        <f>Loans!G$692</f>
        <v>0</v>
      </c>
      <c r="G145" s="67"/>
      <c r="H145" s="67"/>
      <c r="I145" s="67"/>
      <c r="J145" s="67"/>
      <c r="K145" s="67"/>
      <c r="M145" s="67"/>
      <c r="N145" s="67"/>
      <c r="O145" s="67"/>
      <c r="P145" s="67"/>
      <c r="Q145" s="67"/>
      <c r="S145" s="67"/>
      <c r="T145" s="335"/>
      <c r="U145" s="335"/>
      <c r="V145" s="45">
        <f t="shared" si="124"/>
        <v>0</v>
      </c>
      <c r="W145" s="45">
        <f t="shared" si="124"/>
        <v>0</v>
      </c>
      <c r="X145" s="45">
        <f t="shared" si="124"/>
        <v>0</v>
      </c>
      <c r="Y145" s="45">
        <f t="shared" si="124"/>
        <v>0</v>
      </c>
      <c r="Z145" s="67"/>
      <c r="AA145" s="45">
        <f t="shared" si="125"/>
        <v>0</v>
      </c>
      <c r="AB145" s="45">
        <f t="shared" si="127"/>
        <v>0</v>
      </c>
      <c r="AC145" s="45">
        <f t="shared" si="127"/>
        <v>0</v>
      </c>
      <c r="AD145" s="45">
        <f t="shared" si="127"/>
        <v>0</v>
      </c>
      <c r="AE145" s="45">
        <f t="shared" si="127"/>
        <v>0</v>
      </c>
      <c r="AF145" s="45">
        <f t="shared" si="127"/>
        <v>0</v>
      </c>
      <c r="AG145" s="45">
        <f t="shared" si="127"/>
        <v>0</v>
      </c>
      <c r="AH145" s="45">
        <f t="shared" si="127"/>
        <v>0</v>
      </c>
      <c r="AI145" s="45">
        <f t="shared" si="127"/>
        <v>0</v>
      </c>
      <c r="AJ145" s="45">
        <f t="shared" si="127"/>
        <v>0</v>
      </c>
      <c r="AK145" s="45">
        <f t="shared" si="127"/>
        <v>0</v>
      </c>
      <c r="AL145" s="45">
        <f t="shared" si="127"/>
        <v>0</v>
      </c>
      <c r="AM145" s="45">
        <f t="shared" si="127"/>
        <v>0</v>
      </c>
      <c r="AN145" s="45">
        <f t="shared" si="127"/>
        <v>0</v>
      </c>
      <c r="AO145" s="45">
        <f t="shared" si="127"/>
        <v>0</v>
      </c>
      <c r="AP145" s="45">
        <f t="shared" si="127"/>
        <v>0</v>
      </c>
      <c r="AQ145" s="45">
        <f t="shared" si="127"/>
        <v>0</v>
      </c>
      <c r="AR145" s="45">
        <f t="shared" si="127"/>
        <v>0</v>
      </c>
      <c r="AS145" s="45">
        <f t="shared" si="127"/>
        <v>0</v>
      </c>
      <c r="AT145" s="45">
        <f t="shared" si="127"/>
        <v>0</v>
      </c>
      <c r="AU145" s="45">
        <f t="shared" si="127"/>
        <v>0</v>
      </c>
      <c r="AV145" s="45">
        <f t="shared" si="127"/>
        <v>0</v>
      </c>
      <c r="AW145" s="45">
        <f t="shared" si="127"/>
        <v>0</v>
      </c>
      <c r="AX145" s="45">
        <f t="shared" si="127"/>
        <v>0</v>
      </c>
      <c r="AY145" s="45">
        <f t="shared" si="127"/>
        <v>0</v>
      </c>
      <c r="AZ145" s="45">
        <f t="shared" si="127"/>
        <v>0</v>
      </c>
      <c r="BA145" s="45">
        <f t="shared" si="127"/>
        <v>0</v>
      </c>
      <c r="BB145" s="45">
        <f t="shared" si="127"/>
        <v>0</v>
      </c>
      <c r="BC145" s="45">
        <f t="shared" si="127"/>
        <v>0</v>
      </c>
      <c r="BD145" s="45">
        <f t="shared" si="127"/>
        <v>0</v>
      </c>
      <c r="BE145" s="45">
        <f t="shared" si="127"/>
        <v>0</v>
      </c>
      <c r="BF145" s="45">
        <f t="shared" si="127"/>
        <v>0</v>
      </c>
      <c r="BG145" s="45">
        <f t="shared" si="127"/>
        <v>0</v>
      </c>
      <c r="BH145" s="45">
        <f t="shared" si="127"/>
        <v>0</v>
      </c>
      <c r="BI145" s="45">
        <f t="shared" si="127"/>
        <v>0</v>
      </c>
      <c r="BJ145" s="45">
        <f t="shared" si="127"/>
        <v>0</v>
      </c>
      <c r="BK145" s="67"/>
      <c r="BL145" s="45">
        <f t="shared" si="127"/>
        <v>0</v>
      </c>
      <c r="BM145" s="45">
        <f t="shared" si="127"/>
        <v>0</v>
      </c>
      <c r="BN145" s="45">
        <f t="shared" si="127"/>
        <v>0</v>
      </c>
      <c r="BO145" s="45">
        <f t="shared" si="127"/>
        <v>0</v>
      </c>
      <c r="BP145" s="45">
        <f t="shared" si="127"/>
        <v>0</v>
      </c>
      <c r="BQ145" s="45">
        <f t="shared" si="127"/>
        <v>0</v>
      </c>
      <c r="BR145" s="45">
        <f t="shared" si="127"/>
        <v>0</v>
      </c>
      <c r="BS145" s="45">
        <f t="shared" si="127"/>
        <v>0</v>
      </c>
      <c r="BT145" s="45">
        <f t="shared" si="127"/>
        <v>0</v>
      </c>
      <c r="BU145" s="45">
        <f t="shared" si="127"/>
        <v>0</v>
      </c>
      <c r="BV145" s="45">
        <f t="shared" si="127"/>
        <v>0</v>
      </c>
      <c r="BW145" s="45">
        <f t="shared" si="127"/>
        <v>0</v>
      </c>
      <c r="BX145" s="67"/>
      <c r="BY145" s="12"/>
      <c r="BZ145" s="67"/>
      <c r="CA145" s="12"/>
      <c r="EX145" s="10" t="str">
        <f t="shared" si="123"/>
        <v/>
      </c>
    </row>
    <row r="146" spans="1:154" s="67" customFormat="1" x14ac:dyDescent="0.25">
      <c r="B146" s="67" t="str">
        <f ca="1">Loans!B$20</f>
        <v>Loan 8</v>
      </c>
      <c r="D146" s="62">
        <f>Loans!D$20</f>
        <v>0</v>
      </c>
      <c r="E146" s="159" t="str">
        <f>IF(Loans!Q$20=0, "", Loans!Q$20)</f>
        <v/>
      </c>
      <c r="F146" s="10">
        <f>Loans!G$693</f>
        <v>0</v>
      </c>
      <c r="T146" s="335"/>
      <c r="U146" s="335"/>
      <c r="V146" s="45">
        <f t="shared" si="124"/>
        <v>0</v>
      </c>
      <c r="W146" s="45">
        <f t="shared" si="124"/>
        <v>0</v>
      </c>
      <c r="X146" s="45">
        <f t="shared" si="124"/>
        <v>0</v>
      </c>
      <c r="Y146" s="45">
        <f t="shared" si="124"/>
        <v>0</v>
      </c>
      <c r="AA146" s="45">
        <f t="shared" si="125"/>
        <v>0</v>
      </c>
      <c r="AB146" s="45">
        <f t="shared" si="127"/>
        <v>0</v>
      </c>
      <c r="AC146" s="45">
        <f t="shared" si="127"/>
        <v>0</v>
      </c>
      <c r="AD146" s="45">
        <f t="shared" si="127"/>
        <v>0</v>
      </c>
      <c r="AE146" s="45">
        <f t="shared" si="127"/>
        <v>0</v>
      </c>
      <c r="AF146" s="45">
        <f t="shared" si="127"/>
        <v>0</v>
      </c>
      <c r="AG146" s="45">
        <f t="shared" si="127"/>
        <v>0</v>
      </c>
      <c r="AH146" s="45">
        <f t="shared" si="127"/>
        <v>0</v>
      </c>
      <c r="AI146" s="45">
        <f t="shared" si="127"/>
        <v>0</v>
      </c>
      <c r="AJ146" s="45">
        <f t="shared" si="127"/>
        <v>0</v>
      </c>
      <c r="AK146" s="45">
        <f t="shared" si="127"/>
        <v>0</v>
      </c>
      <c r="AL146" s="45">
        <f t="shared" si="127"/>
        <v>0</v>
      </c>
      <c r="AM146" s="45">
        <f t="shared" si="127"/>
        <v>0</v>
      </c>
      <c r="AN146" s="45">
        <f t="shared" si="127"/>
        <v>0</v>
      </c>
      <c r="AO146" s="45">
        <f t="shared" si="127"/>
        <v>0</v>
      </c>
      <c r="AP146" s="45">
        <f t="shared" si="127"/>
        <v>0</v>
      </c>
      <c r="AQ146" s="45">
        <f t="shared" si="127"/>
        <v>0</v>
      </c>
      <c r="AR146" s="45">
        <f t="shared" si="127"/>
        <v>0</v>
      </c>
      <c r="AS146" s="45">
        <f t="shared" si="127"/>
        <v>0</v>
      </c>
      <c r="AT146" s="45">
        <f t="shared" si="127"/>
        <v>0</v>
      </c>
      <c r="AU146" s="45">
        <f t="shared" si="127"/>
        <v>0</v>
      </c>
      <c r="AV146" s="45">
        <f t="shared" si="127"/>
        <v>0</v>
      </c>
      <c r="AW146" s="45">
        <f t="shared" si="127"/>
        <v>0</v>
      </c>
      <c r="AX146" s="45">
        <f t="shared" si="127"/>
        <v>0</v>
      </c>
      <c r="AY146" s="45">
        <f t="shared" si="127"/>
        <v>0</v>
      </c>
      <c r="AZ146" s="45">
        <f t="shared" si="127"/>
        <v>0</v>
      </c>
      <c r="BA146" s="45">
        <f t="shared" si="127"/>
        <v>0</v>
      </c>
      <c r="BB146" s="45">
        <f t="shared" si="127"/>
        <v>0</v>
      </c>
      <c r="BC146" s="45">
        <f t="shared" si="127"/>
        <v>0</v>
      </c>
      <c r="BD146" s="45">
        <f t="shared" si="127"/>
        <v>0</v>
      </c>
      <c r="BE146" s="45">
        <f t="shared" si="127"/>
        <v>0</v>
      </c>
      <c r="BF146" s="45">
        <f t="shared" si="127"/>
        <v>0</v>
      </c>
      <c r="BG146" s="45">
        <f t="shared" si="127"/>
        <v>0</v>
      </c>
      <c r="BH146" s="45">
        <f t="shared" si="127"/>
        <v>0</v>
      </c>
      <c r="BI146" s="45">
        <f t="shared" si="127"/>
        <v>0</v>
      </c>
      <c r="BJ146" s="45">
        <f t="shared" si="127"/>
        <v>0</v>
      </c>
      <c r="BL146" s="45">
        <f t="shared" si="127"/>
        <v>0</v>
      </c>
      <c r="BM146" s="45">
        <f t="shared" si="127"/>
        <v>0</v>
      </c>
      <c r="BN146" s="45">
        <f t="shared" si="127"/>
        <v>0</v>
      </c>
      <c r="BO146" s="45">
        <f t="shared" si="127"/>
        <v>0</v>
      </c>
      <c r="BP146" s="45">
        <f t="shared" si="127"/>
        <v>0</v>
      </c>
      <c r="BQ146" s="45">
        <f t="shared" si="127"/>
        <v>0</v>
      </c>
      <c r="BR146" s="45">
        <f t="shared" si="127"/>
        <v>0</v>
      </c>
      <c r="BS146" s="45">
        <f t="shared" si="127"/>
        <v>0</v>
      </c>
      <c r="BT146" s="45">
        <f t="shared" si="127"/>
        <v>0</v>
      </c>
      <c r="BU146" s="45">
        <f t="shared" si="127"/>
        <v>0</v>
      </c>
      <c r="BV146" s="45">
        <f t="shared" si="127"/>
        <v>0</v>
      </c>
      <c r="BW146" s="45">
        <f t="shared" si="127"/>
        <v>0</v>
      </c>
      <c r="BY146" s="12"/>
      <c r="CA146" s="12"/>
      <c r="EX146" s="10" t="str">
        <f t="shared" si="123"/>
        <v/>
      </c>
    </row>
    <row r="147" spans="1:154" s="67" customFormat="1" x14ac:dyDescent="0.25">
      <c r="B147" s="67" t="str">
        <f ca="1">Loans!B$21</f>
        <v>Loan 9</v>
      </c>
      <c r="D147" s="62">
        <f>Loans!D$21</f>
        <v>0</v>
      </c>
      <c r="E147" s="159" t="str">
        <f>IF(Loans!Q$21=0, "", Loans!Q$21)</f>
        <v/>
      </c>
      <c r="F147" s="10">
        <f>Loans!G$694</f>
        <v>0</v>
      </c>
      <c r="T147" s="335"/>
      <c r="U147" s="335"/>
      <c r="V147" s="45">
        <f t="shared" si="124"/>
        <v>0</v>
      </c>
      <c r="W147" s="45">
        <f t="shared" si="124"/>
        <v>0</v>
      </c>
      <c r="X147" s="45">
        <f t="shared" si="124"/>
        <v>0</v>
      </c>
      <c r="Y147" s="45">
        <f t="shared" si="124"/>
        <v>0</v>
      </c>
      <c r="AA147" s="45">
        <f t="shared" si="125"/>
        <v>0</v>
      </c>
      <c r="AB147" s="45">
        <f t="shared" si="127"/>
        <v>0</v>
      </c>
      <c r="AC147" s="45">
        <f t="shared" si="127"/>
        <v>0</v>
      </c>
      <c r="AD147" s="45">
        <f t="shared" si="127"/>
        <v>0</v>
      </c>
      <c r="AE147" s="45">
        <f t="shared" si="127"/>
        <v>0</v>
      </c>
      <c r="AF147" s="45">
        <f t="shared" si="127"/>
        <v>0</v>
      </c>
      <c r="AG147" s="45">
        <f t="shared" si="127"/>
        <v>0</v>
      </c>
      <c r="AH147" s="45">
        <f t="shared" si="127"/>
        <v>0</v>
      </c>
      <c r="AI147" s="45">
        <f t="shared" si="127"/>
        <v>0</v>
      </c>
      <c r="AJ147" s="45">
        <f t="shared" si="127"/>
        <v>0</v>
      </c>
      <c r="AK147" s="45">
        <f t="shared" si="127"/>
        <v>0</v>
      </c>
      <c r="AL147" s="45">
        <f t="shared" si="127"/>
        <v>0</v>
      </c>
      <c r="AM147" s="45">
        <f t="shared" si="127"/>
        <v>0</v>
      </c>
      <c r="AN147" s="45">
        <f t="shared" si="127"/>
        <v>0</v>
      </c>
      <c r="AO147" s="45">
        <f t="shared" si="127"/>
        <v>0</v>
      </c>
      <c r="AP147" s="45">
        <f t="shared" si="127"/>
        <v>0</v>
      </c>
      <c r="AQ147" s="45">
        <f t="shared" si="127"/>
        <v>0</v>
      </c>
      <c r="AR147" s="45">
        <f t="shared" si="127"/>
        <v>0</v>
      </c>
      <c r="AS147" s="45">
        <f t="shared" si="127"/>
        <v>0</v>
      </c>
      <c r="AT147" s="45">
        <f t="shared" si="127"/>
        <v>0</v>
      </c>
      <c r="AU147" s="45">
        <f t="shared" si="127"/>
        <v>0</v>
      </c>
      <c r="AV147" s="45">
        <f t="shared" si="127"/>
        <v>0</v>
      </c>
      <c r="AW147" s="45">
        <f t="shared" si="127"/>
        <v>0</v>
      </c>
      <c r="AX147" s="45">
        <f t="shared" si="127"/>
        <v>0</v>
      </c>
      <c r="AY147" s="45">
        <f t="shared" si="127"/>
        <v>0</v>
      </c>
      <c r="AZ147" s="45">
        <f t="shared" si="127"/>
        <v>0</v>
      </c>
      <c r="BA147" s="45">
        <f t="shared" si="127"/>
        <v>0</v>
      </c>
      <c r="BB147" s="45">
        <f t="shared" si="127"/>
        <v>0</v>
      </c>
      <c r="BC147" s="45">
        <f t="shared" si="127"/>
        <v>0</v>
      </c>
      <c r="BD147" s="45">
        <f t="shared" si="127"/>
        <v>0</v>
      </c>
      <c r="BE147" s="45">
        <f t="shared" si="127"/>
        <v>0</v>
      </c>
      <c r="BF147" s="45">
        <f t="shared" si="127"/>
        <v>0</v>
      </c>
      <c r="BG147" s="45">
        <f t="shared" si="127"/>
        <v>0</v>
      </c>
      <c r="BH147" s="45">
        <f t="shared" si="127"/>
        <v>0</v>
      </c>
      <c r="BI147" s="45">
        <f t="shared" si="127"/>
        <v>0</v>
      </c>
      <c r="BJ147" s="45">
        <f t="shared" si="127"/>
        <v>0</v>
      </c>
      <c r="BL147" s="45">
        <f t="shared" si="127"/>
        <v>0</v>
      </c>
      <c r="BM147" s="45">
        <f t="shared" si="127"/>
        <v>0</v>
      </c>
      <c r="BN147" s="45">
        <f t="shared" si="127"/>
        <v>0</v>
      </c>
      <c r="BO147" s="45">
        <f t="shared" si="127"/>
        <v>0</v>
      </c>
      <c r="BP147" s="45">
        <f t="shared" si="127"/>
        <v>0</v>
      </c>
      <c r="BQ147" s="45">
        <f t="shared" si="127"/>
        <v>0</v>
      </c>
      <c r="BR147" s="45">
        <f t="shared" si="127"/>
        <v>0</v>
      </c>
      <c r="BS147" s="45">
        <f t="shared" si="127"/>
        <v>0</v>
      </c>
      <c r="BT147" s="45">
        <f t="shared" si="127"/>
        <v>0</v>
      </c>
      <c r="BU147" s="45">
        <f t="shared" si="127"/>
        <v>0</v>
      </c>
      <c r="BV147" s="45">
        <f t="shared" si="127"/>
        <v>0</v>
      </c>
      <c r="BW147" s="45">
        <f t="shared" si="127"/>
        <v>0</v>
      </c>
      <c r="BY147" s="12"/>
      <c r="CA147" s="12"/>
      <c r="EX147" s="10" t="str">
        <f t="shared" si="123"/>
        <v/>
      </c>
    </row>
    <row r="148" spans="1:154" s="67" customFormat="1" x14ac:dyDescent="0.25">
      <c r="B148" s="67" t="str">
        <f ca="1">Loans!B$22</f>
        <v>Loan 10</v>
      </c>
      <c r="D148" s="62">
        <f>Loans!D$22</f>
        <v>0</v>
      </c>
      <c r="E148" s="159" t="str">
        <f>IF(Loans!Q$22=0, "", Loans!Q$22)</f>
        <v/>
      </c>
      <c r="F148" s="10">
        <f>Loans!G$695</f>
        <v>0</v>
      </c>
      <c r="T148" s="335"/>
      <c r="U148" s="335"/>
      <c r="V148" s="45">
        <f t="shared" si="124"/>
        <v>0</v>
      </c>
      <c r="W148" s="45">
        <f t="shared" si="124"/>
        <v>0</v>
      </c>
      <c r="X148" s="45">
        <f t="shared" si="124"/>
        <v>0</v>
      </c>
      <c r="Y148" s="45">
        <f t="shared" si="124"/>
        <v>0</v>
      </c>
      <c r="AA148" s="45">
        <f t="shared" si="125"/>
        <v>0</v>
      </c>
      <c r="AB148" s="45">
        <f t="shared" si="127"/>
        <v>0</v>
      </c>
      <c r="AC148" s="45">
        <f t="shared" si="127"/>
        <v>0</v>
      </c>
      <c r="AD148" s="45">
        <f t="shared" si="127"/>
        <v>0</v>
      </c>
      <c r="AE148" s="45">
        <f t="shared" si="127"/>
        <v>0</v>
      </c>
      <c r="AF148" s="45">
        <f t="shared" si="127"/>
        <v>0</v>
      </c>
      <c r="AG148" s="45">
        <f t="shared" si="127"/>
        <v>0</v>
      </c>
      <c r="AH148" s="45">
        <f t="shared" si="127"/>
        <v>0</v>
      </c>
      <c r="AI148" s="45">
        <f t="shared" si="127"/>
        <v>0</v>
      </c>
      <c r="AJ148" s="45">
        <f t="shared" si="127"/>
        <v>0</v>
      </c>
      <c r="AK148" s="45">
        <f t="shared" si="127"/>
        <v>0</v>
      </c>
      <c r="AL148" s="45">
        <f t="shared" si="127"/>
        <v>0</v>
      </c>
      <c r="AM148" s="45">
        <f t="shared" si="127"/>
        <v>0</v>
      </c>
      <c r="AN148" s="45">
        <f t="shared" si="127"/>
        <v>0</v>
      </c>
      <c r="AO148" s="45">
        <f t="shared" si="127"/>
        <v>0</v>
      </c>
      <c r="AP148" s="45">
        <f t="shared" si="127"/>
        <v>0</v>
      </c>
      <c r="AQ148" s="45">
        <f t="shared" si="127"/>
        <v>0</v>
      </c>
      <c r="AR148" s="45">
        <f t="shared" si="127"/>
        <v>0</v>
      </c>
      <c r="AS148" s="45">
        <f t="shared" si="127"/>
        <v>0</v>
      </c>
      <c r="AT148" s="45">
        <f t="shared" si="127"/>
        <v>0</v>
      </c>
      <c r="AU148" s="45">
        <f t="shared" si="127"/>
        <v>0</v>
      </c>
      <c r="AV148" s="45">
        <f t="shared" si="127"/>
        <v>0</v>
      </c>
      <c r="AW148" s="45">
        <f t="shared" si="127"/>
        <v>0</v>
      </c>
      <c r="AX148" s="45">
        <f t="shared" si="127"/>
        <v>0</v>
      </c>
      <c r="AY148" s="45">
        <f t="shared" si="127"/>
        <v>0</v>
      </c>
      <c r="AZ148" s="45">
        <f t="shared" si="127"/>
        <v>0</v>
      </c>
      <c r="BA148" s="45">
        <f t="shared" si="127"/>
        <v>0</v>
      </c>
      <c r="BB148" s="45">
        <f t="shared" si="127"/>
        <v>0</v>
      </c>
      <c r="BC148" s="45">
        <f t="shared" si="127"/>
        <v>0</v>
      </c>
      <c r="BD148" s="45">
        <f t="shared" si="127"/>
        <v>0</v>
      </c>
      <c r="BE148" s="45">
        <f t="shared" si="127"/>
        <v>0</v>
      </c>
      <c r="BF148" s="45">
        <f t="shared" si="127"/>
        <v>0</v>
      </c>
      <c r="BG148" s="45">
        <f t="shared" si="127"/>
        <v>0</v>
      </c>
      <c r="BH148" s="45">
        <f t="shared" si="127"/>
        <v>0</v>
      </c>
      <c r="BI148" s="45">
        <f t="shared" si="127"/>
        <v>0</v>
      </c>
      <c r="BJ148" s="45">
        <f t="shared" si="127"/>
        <v>0</v>
      </c>
      <c r="BL148" s="45">
        <f t="shared" si="127"/>
        <v>0</v>
      </c>
      <c r="BM148" s="45">
        <f t="shared" si="127"/>
        <v>0</v>
      </c>
      <c r="BN148" s="45">
        <f t="shared" si="127"/>
        <v>0</v>
      </c>
      <c r="BO148" s="45">
        <f t="shared" si="127"/>
        <v>0</v>
      </c>
      <c r="BP148" s="45">
        <f t="shared" si="127"/>
        <v>0</v>
      </c>
      <c r="BQ148" s="45">
        <f t="shared" si="127"/>
        <v>0</v>
      </c>
      <c r="BR148" s="45">
        <f t="shared" si="127"/>
        <v>0</v>
      </c>
      <c r="BS148" s="45">
        <f t="shared" si="127"/>
        <v>0</v>
      </c>
      <c r="BT148" s="45">
        <f t="shared" si="127"/>
        <v>0</v>
      </c>
      <c r="BU148" s="45">
        <f t="shared" si="127"/>
        <v>0</v>
      </c>
      <c r="BV148" s="45">
        <f t="shared" si="127"/>
        <v>0</v>
      </c>
      <c r="BW148" s="45">
        <f t="shared" si="127"/>
        <v>0</v>
      </c>
      <c r="BY148" s="12"/>
      <c r="CA148" s="12"/>
      <c r="EX148" s="10" t="str">
        <f t="shared" si="123"/>
        <v/>
      </c>
    </row>
    <row r="149" spans="1:154" s="67" customFormat="1" x14ac:dyDescent="0.25">
      <c r="B149" s="67" t="str">
        <f ca="1">Loans!B$23</f>
        <v>Loan 11</v>
      </c>
      <c r="D149" s="62">
        <f>Loans!D$23</f>
        <v>0</v>
      </c>
      <c r="E149" s="159" t="str">
        <f>IF(Loans!Q$23=0, "", Loans!Q$23)</f>
        <v/>
      </c>
      <c r="F149" s="10">
        <f>Loans!G$696</f>
        <v>0</v>
      </c>
      <c r="T149" s="335"/>
      <c r="U149" s="335"/>
      <c r="V149" s="45">
        <f t="shared" si="124"/>
        <v>0</v>
      </c>
      <c r="W149" s="45">
        <f t="shared" si="124"/>
        <v>0</v>
      </c>
      <c r="X149" s="45">
        <f t="shared" si="124"/>
        <v>0</v>
      </c>
      <c r="Y149" s="45">
        <f t="shared" si="124"/>
        <v>0</v>
      </c>
      <c r="AA149" s="45">
        <f t="shared" si="125"/>
        <v>0</v>
      </c>
      <c r="AB149" s="45">
        <f t="shared" si="127"/>
        <v>0</v>
      </c>
      <c r="AC149" s="45">
        <f t="shared" si="127"/>
        <v>0</v>
      </c>
      <c r="AD149" s="45">
        <f t="shared" si="127"/>
        <v>0</v>
      </c>
      <c r="AE149" s="45">
        <f t="shared" si="127"/>
        <v>0</v>
      </c>
      <c r="AF149" s="45">
        <f t="shared" si="127"/>
        <v>0</v>
      </c>
      <c r="AG149" s="45">
        <f t="shared" si="127"/>
        <v>0</v>
      </c>
      <c r="AH149" s="45">
        <f t="shared" si="127"/>
        <v>0</v>
      </c>
      <c r="AI149" s="45">
        <f t="shared" si="127"/>
        <v>0</v>
      </c>
      <c r="AJ149" s="45">
        <f t="shared" si="127"/>
        <v>0</v>
      </c>
      <c r="AK149" s="45">
        <f t="shared" si="127"/>
        <v>0</v>
      </c>
      <c r="AL149" s="45">
        <f t="shared" si="127"/>
        <v>0</v>
      </c>
      <c r="AM149" s="45">
        <f t="shared" si="127"/>
        <v>0</v>
      </c>
      <c r="AN149" s="45">
        <f t="shared" si="127"/>
        <v>0</v>
      </c>
      <c r="AO149" s="45">
        <f t="shared" si="127"/>
        <v>0</v>
      </c>
      <c r="AP149" s="45">
        <f t="shared" si="127"/>
        <v>0</v>
      </c>
      <c r="AQ149" s="45">
        <f t="shared" si="127"/>
        <v>0</v>
      </c>
      <c r="AR149" s="45">
        <f t="shared" si="127"/>
        <v>0</v>
      </c>
      <c r="AS149" s="45">
        <f t="shared" si="127"/>
        <v>0</v>
      </c>
      <c r="AT149" s="45">
        <f t="shared" si="127"/>
        <v>0</v>
      </c>
      <c r="AU149" s="45">
        <f t="shared" si="127"/>
        <v>0</v>
      </c>
      <c r="AV149" s="45">
        <f t="shared" si="127"/>
        <v>0</v>
      </c>
      <c r="AW149" s="45">
        <f t="shared" si="127"/>
        <v>0</v>
      </c>
      <c r="AX149" s="45">
        <f t="shared" si="127"/>
        <v>0</v>
      </c>
      <c r="AY149" s="45">
        <f t="shared" si="127"/>
        <v>0</v>
      </c>
      <c r="AZ149" s="45">
        <f t="shared" si="127"/>
        <v>0</v>
      </c>
      <c r="BA149" s="45">
        <f t="shared" si="127"/>
        <v>0</v>
      </c>
      <c r="BB149" s="45">
        <f t="shared" si="127"/>
        <v>0</v>
      </c>
      <c r="BC149" s="45">
        <f t="shared" si="127"/>
        <v>0</v>
      </c>
      <c r="BD149" s="45">
        <f t="shared" si="127"/>
        <v>0</v>
      </c>
      <c r="BE149" s="45">
        <f t="shared" si="127"/>
        <v>0</v>
      </c>
      <c r="BF149" s="45">
        <f t="shared" si="127"/>
        <v>0</v>
      </c>
      <c r="BG149" s="45">
        <f t="shared" si="127"/>
        <v>0</v>
      </c>
      <c r="BH149" s="45">
        <f t="shared" si="127"/>
        <v>0</v>
      </c>
      <c r="BI149" s="45">
        <f t="shared" si="127"/>
        <v>0</v>
      </c>
      <c r="BJ149" s="45">
        <f t="shared" si="127"/>
        <v>0</v>
      </c>
      <c r="BL149" s="45">
        <f t="shared" si="127"/>
        <v>0</v>
      </c>
      <c r="BM149" s="45">
        <f t="shared" si="127"/>
        <v>0</v>
      </c>
      <c r="BN149" s="45">
        <f t="shared" si="127"/>
        <v>0</v>
      </c>
      <c r="BO149" s="45">
        <f t="shared" si="127"/>
        <v>0</v>
      </c>
      <c r="BP149" s="45">
        <f t="shared" si="127"/>
        <v>0</v>
      </c>
      <c r="BQ149" s="45">
        <f t="shared" si="127"/>
        <v>0</v>
      </c>
      <c r="BR149" s="45">
        <f t="shared" si="127"/>
        <v>0</v>
      </c>
      <c r="BS149" s="45">
        <f t="shared" si="127"/>
        <v>0</v>
      </c>
      <c r="BT149" s="45">
        <f t="shared" si="127"/>
        <v>0</v>
      </c>
      <c r="BU149" s="45">
        <f t="shared" ref="AB149:BW155" si="128">IF(AND($E149&gt;=BU$8, $E149&lt;=BU$10), 1,0)</f>
        <v>0</v>
      </c>
      <c r="BV149" s="45">
        <f t="shared" si="128"/>
        <v>0</v>
      </c>
      <c r="BW149" s="45">
        <f t="shared" si="128"/>
        <v>0</v>
      </c>
      <c r="BY149" s="12"/>
      <c r="CA149" s="12"/>
      <c r="EX149" s="10" t="str">
        <f t="shared" si="123"/>
        <v/>
      </c>
    </row>
    <row r="150" spans="1:154" s="67" customFormat="1" x14ac:dyDescent="0.25">
      <c r="B150" s="67" t="str">
        <f ca="1">Loans!B$24</f>
        <v>Loan 12</v>
      </c>
      <c r="D150" s="62">
        <f>Loans!D$24</f>
        <v>0</v>
      </c>
      <c r="E150" s="159" t="str">
        <f>IF(Loans!Q$24=0, "", Loans!Q$24)</f>
        <v/>
      </c>
      <c r="F150" s="10">
        <f>Loans!G$697</f>
        <v>0</v>
      </c>
      <c r="T150" s="335"/>
      <c r="U150" s="335"/>
      <c r="V150" s="45">
        <f t="shared" si="124"/>
        <v>0</v>
      </c>
      <c r="W150" s="45">
        <f t="shared" si="124"/>
        <v>0</v>
      </c>
      <c r="X150" s="45">
        <f t="shared" si="124"/>
        <v>0</v>
      </c>
      <c r="Y150" s="45">
        <f t="shared" si="124"/>
        <v>0</v>
      </c>
      <c r="AA150" s="45">
        <f t="shared" si="125"/>
        <v>0</v>
      </c>
      <c r="AB150" s="45">
        <f t="shared" si="128"/>
        <v>0</v>
      </c>
      <c r="AC150" s="45">
        <f t="shared" si="128"/>
        <v>0</v>
      </c>
      <c r="AD150" s="45">
        <f t="shared" si="128"/>
        <v>0</v>
      </c>
      <c r="AE150" s="45">
        <f t="shared" si="128"/>
        <v>0</v>
      </c>
      <c r="AF150" s="45">
        <f t="shared" si="128"/>
        <v>0</v>
      </c>
      <c r="AG150" s="45">
        <f t="shared" si="128"/>
        <v>0</v>
      </c>
      <c r="AH150" s="45">
        <f t="shared" si="128"/>
        <v>0</v>
      </c>
      <c r="AI150" s="45">
        <f t="shared" si="128"/>
        <v>0</v>
      </c>
      <c r="AJ150" s="45">
        <f t="shared" si="128"/>
        <v>0</v>
      </c>
      <c r="AK150" s="45">
        <f t="shared" si="128"/>
        <v>0</v>
      </c>
      <c r="AL150" s="45">
        <f t="shared" si="128"/>
        <v>0</v>
      </c>
      <c r="AM150" s="45">
        <f t="shared" si="128"/>
        <v>0</v>
      </c>
      <c r="AN150" s="45">
        <f t="shared" si="128"/>
        <v>0</v>
      </c>
      <c r="AO150" s="45">
        <f t="shared" si="128"/>
        <v>0</v>
      </c>
      <c r="AP150" s="45">
        <f t="shared" si="128"/>
        <v>0</v>
      </c>
      <c r="AQ150" s="45">
        <f t="shared" si="128"/>
        <v>0</v>
      </c>
      <c r="AR150" s="45">
        <f t="shared" si="128"/>
        <v>0</v>
      </c>
      <c r="AS150" s="45">
        <f t="shared" si="128"/>
        <v>0</v>
      </c>
      <c r="AT150" s="45">
        <f t="shared" si="128"/>
        <v>0</v>
      </c>
      <c r="AU150" s="45">
        <f t="shared" si="128"/>
        <v>0</v>
      </c>
      <c r="AV150" s="45">
        <f t="shared" si="128"/>
        <v>0</v>
      </c>
      <c r="AW150" s="45">
        <f t="shared" si="128"/>
        <v>0</v>
      </c>
      <c r="AX150" s="45">
        <f t="shared" si="128"/>
        <v>0</v>
      </c>
      <c r="AY150" s="45">
        <f t="shared" si="128"/>
        <v>0</v>
      </c>
      <c r="AZ150" s="45">
        <f t="shared" si="128"/>
        <v>0</v>
      </c>
      <c r="BA150" s="45">
        <f t="shared" si="128"/>
        <v>0</v>
      </c>
      <c r="BB150" s="45">
        <f t="shared" si="128"/>
        <v>0</v>
      </c>
      <c r="BC150" s="45">
        <f t="shared" si="128"/>
        <v>0</v>
      </c>
      <c r="BD150" s="45">
        <f t="shared" si="128"/>
        <v>0</v>
      </c>
      <c r="BE150" s="45">
        <f t="shared" si="128"/>
        <v>0</v>
      </c>
      <c r="BF150" s="45">
        <f t="shared" si="128"/>
        <v>0</v>
      </c>
      <c r="BG150" s="45">
        <f t="shared" si="128"/>
        <v>0</v>
      </c>
      <c r="BH150" s="45">
        <f t="shared" si="128"/>
        <v>0</v>
      </c>
      <c r="BI150" s="45">
        <f t="shared" si="128"/>
        <v>0</v>
      </c>
      <c r="BJ150" s="45">
        <f t="shared" si="128"/>
        <v>0</v>
      </c>
      <c r="BL150" s="45">
        <f t="shared" si="128"/>
        <v>0</v>
      </c>
      <c r="BM150" s="45">
        <f t="shared" si="128"/>
        <v>0</v>
      </c>
      <c r="BN150" s="45">
        <f t="shared" si="128"/>
        <v>0</v>
      </c>
      <c r="BO150" s="45">
        <f t="shared" si="128"/>
        <v>0</v>
      </c>
      <c r="BP150" s="45">
        <f t="shared" si="128"/>
        <v>0</v>
      </c>
      <c r="BQ150" s="45">
        <f t="shared" si="128"/>
        <v>0</v>
      </c>
      <c r="BR150" s="45">
        <f t="shared" si="128"/>
        <v>0</v>
      </c>
      <c r="BS150" s="45">
        <f t="shared" si="128"/>
        <v>0</v>
      </c>
      <c r="BT150" s="45">
        <f t="shared" si="128"/>
        <v>0</v>
      </c>
      <c r="BU150" s="45">
        <f t="shared" si="128"/>
        <v>0</v>
      </c>
      <c r="BV150" s="45">
        <f t="shared" si="128"/>
        <v>0</v>
      </c>
      <c r="BW150" s="45">
        <f t="shared" si="128"/>
        <v>0</v>
      </c>
      <c r="BY150" s="12"/>
      <c r="CA150" s="12"/>
      <c r="EX150" s="10" t="str">
        <f t="shared" si="123"/>
        <v/>
      </c>
    </row>
    <row r="151" spans="1:154" s="67" customFormat="1" x14ac:dyDescent="0.25">
      <c r="B151" s="67" t="str">
        <f ca="1">Loans!B$25</f>
        <v>Loan 13</v>
      </c>
      <c r="D151" s="62">
        <f>Loans!D$25</f>
        <v>0</v>
      </c>
      <c r="E151" s="159" t="str">
        <f>IF(Loans!Q$25=0, "", Loans!Q$25)</f>
        <v/>
      </c>
      <c r="F151" s="10">
        <f>Loans!G$698</f>
        <v>0</v>
      </c>
      <c r="T151" s="335"/>
      <c r="U151" s="335"/>
      <c r="V151" s="45">
        <f t="shared" si="124"/>
        <v>0</v>
      </c>
      <c r="W151" s="45">
        <f t="shared" si="124"/>
        <v>0</v>
      </c>
      <c r="X151" s="45">
        <f t="shared" si="124"/>
        <v>0</v>
      </c>
      <c r="Y151" s="45">
        <f t="shared" si="124"/>
        <v>0</v>
      </c>
      <c r="AA151" s="45">
        <f t="shared" si="125"/>
        <v>0</v>
      </c>
      <c r="AB151" s="45">
        <f t="shared" si="128"/>
        <v>0</v>
      </c>
      <c r="AC151" s="45">
        <f t="shared" si="128"/>
        <v>0</v>
      </c>
      <c r="AD151" s="45">
        <f t="shared" si="128"/>
        <v>0</v>
      </c>
      <c r="AE151" s="45">
        <f t="shared" si="128"/>
        <v>0</v>
      </c>
      <c r="AF151" s="45">
        <f t="shared" si="128"/>
        <v>0</v>
      </c>
      <c r="AG151" s="45">
        <f t="shared" si="128"/>
        <v>0</v>
      </c>
      <c r="AH151" s="45">
        <f t="shared" si="128"/>
        <v>0</v>
      </c>
      <c r="AI151" s="45">
        <f t="shared" si="128"/>
        <v>0</v>
      </c>
      <c r="AJ151" s="45">
        <f t="shared" si="128"/>
        <v>0</v>
      </c>
      <c r="AK151" s="45">
        <f t="shared" si="128"/>
        <v>0</v>
      </c>
      <c r="AL151" s="45">
        <f t="shared" si="128"/>
        <v>0</v>
      </c>
      <c r="AM151" s="45">
        <f t="shared" si="128"/>
        <v>0</v>
      </c>
      <c r="AN151" s="45">
        <f t="shared" si="128"/>
        <v>0</v>
      </c>
      <c r="AO151" s="45">
        <f t="shared" si="128"/>
        <v>0</v>
      </c>
      <c r="AP151" s="45">
        <f t="shared" si="128"/>
        <v>0</v>
      </c>
      <c r="AQ151" s="45">
        <f t="shared" si="128"/>
        <v>0</v>
      </c>
      <c r="AR151" s="45">
        <f t="shared" si="128"/>
        <v>0</v>
      </c>
      <c r="AS151" s="45">
        <f t="shared" si="128"/>
        <v>0</v>
      </c>
      <c r="AT151" s="45">
        <f t="shared" si="128"/>
        <v>0</v>
      </c>
      <c r="AU151" s="45">
        <f t="shared" si="128"/>
        <v>0</v>
      </c>
      <c r="AV151" s="45">
        <f t="shared" si="128"/>
        <v>0</v>
      </c>
      <c r="AW151" s="45">
        <f t="shared" si="128"/>
        <v>0</v>
      </c>
      <c r="AX151" s="45">
        <f t="shared" si="128"/>
        <v>0</v>
      </c>
      <c r="AY151" s="45">
        <f t="shared" si="128"/>
        <v>0</v>
      </c>
      <c r="AZ151" s="45">
        <f t="shared" si="128"/>
        <v>0</v>
      </c>
      <c r="BA151" s="45">
        <f t="shared" si="128"/>
        <v>0</v>
      </c>
      <c r="BB151" s="45">
        <f t="shared" si="128"/>
        <v>0</v>
      </c>
      <c r="BC151" s="45">
        <f t="shared" si="128"/>
        <v>0</v>
      </c>
      <c r="BD151" s="45">
        <f t="shared" si="128"/>
        <v>0</v>
      </c>
      <c r="BE151" s="45">
        <f t="shared" si="128"/>
        <v>0</v>
      </c>
      <c r="BF151" s="45">
        <f t="shared" si="128"/>
        <v>0</v>
      </c>
      <c r="BG151" s="45">
        <f t="shared" si="128"/>
        <v>0</v>
      </c>
      <c r="BH151" s="45">
        <f t="shared" si="128"/>
        <v>0</v>
      </c>
      <c r="BI151" s="45">
        <f t="shared" si="128"/>
        <v>0</v>
      </c>
      <c r="BJ151" s="45">
        <f t="shared" si="128"/>
        <v>0</v>
      </c>
      <c r="BL151" s="45">
        <f t="shared" si="128"/>
        <v>0</v>
      </c>
      <c r="BM151" s="45">
        <f t="shared" si="128"/>
        <v>0</v>
      </c>
      <c r="BN151" s="45">
        <f t="shared" si="128"/>
        <v>0</v>
      </c>
      <c r="BO151" s="45">
        <f t="shared" si="128"/>
        <v>0</v>
      </c>
      <c r="BP151" s="45">
        <f t="shared" si="128"/>
        <v>0</v>
      </c>
      <c r="BQ151" s="45">
        <f t="shared" si="128"/>
        <v>0</v>
      </c>
      <c r="BR151" s="45">
        <f t="shared" si="128"/>
        <v>0</v>
      </c>
      <c r="BS151" s="45">
        <f t="shared" si="128"/>
        <v>0</v>
      </c>
      <c r="BT151" s="45">
        <f t="shared" si="128"/>
        <v>0</v>
      </c>
      <c r="BU151" s="45">
        <f t="shared" si="128"/>
        <v>0</v>
      </c>
      <c r="BV151" s="45">
        <f t="shared" si="128"/>
        <v>0</v>
      </c>
      <c r="BW151" s="45">
        <f t="shared" si="128"/>
        <v>0</v>
      </c>
      <c r="BY151" s="12"/>
      <c r="CA151" s="12"/>
      <c r="EX151" s="10" t="str">
        <f t="shared" si="123"/>
        <v/>
      </c>
    </row>
    <row r="152" spans="1:154" s="67" customFormat="1" x14ac:dyDescent="0.25">
      <c r="B152" s="67" t="str">
        <f ca="1">Loans!B$26</f>
        <v>Loan 14</v>
      </c>
      <c r="D152" s="62">
        <f>Loans!D$26</f>
        <v>0</v>
      </c>
      <c r="E152" s="159" t="str">
        <f>IF(Loans!Q$26=0, "", Loans!Q$26)</f>
        <v/>
      </c>
      <c r="F152" s="10">
        <f>Loans!G$699</f>
        <v>0</v>
      </c>
      <c r="T152" s="335"/>
      <c r="U152" s="335"/>
      <c r="V152" s="45">
        <f t="shared" si="124"/>
        <v>0</v>
      </c>
      <c r="W152" s="45">
        <f t="shared" si="124"/>
        <v>0</v>
      </c>
      <c r="X152" s="45">
        <f t="shared" si="124"/>
        <v>0</v>
      </c>
      <c r="Y152" s="45">
        <f t="shared" si="124"/>
        <v>0</v>
      </c>
      <c r="AA152" s="45">
        <f t="shared" si="125"/>
        <v>0</v>
      </c>
      <c r="AB152" s="45">
        <f t="shared" si="128"/>
        <v>0</v>
      </c>
      <c r="AC152" s="45">
        <f t="shared" si="128"/>
        <v>0</v>
      </c>
      <c r="AD152" s="45">
        <f t="shared" si="128"/>
        <v>0</v>
      </c>
      <c r="AE152" s="45">
        <f t="shared" si="128"/>
        <v>0</v>
      </c>
      <c r="AF152" s="45">
        <f t="shared" si="128"/>
        <v>0</v>
      </c>
      <c r="AG152" s="45">
        <f t="shared" si="128"/>
        <v>0</v>
      </c>
      <c r="AH152" s="45">
        <f t="shared" si="128"/>
        <v>0</v>
      </c>
      <c r="AI152" s="45">
        <f t="shared" si="128"/>
        <v>0</v>
      </c>
      <c r="AJ152" s="45">
        <f t="shared" si="128"/>
        <v>0</v>
      </c>
      <c r="AK152" s="45">
        <f t="shared" si="128"/>
        <v>0</v>
      </c>
      <c r="AL152" s="45">
        <f t="shared" si="128"/>
        <v>0</v>
      </c>
      <c r="AM152" s="45">
        <f t="shared" si="128"/>
        <v>0</v>
      </c>
      <c r="AN152" s="45">
        <f t="shared" si="128"/>
        <v>0</v>
      </c>
      <c r="AO152" s="45">
        <f t="shared" si="128"/>
        <v>0</v>
      </c>
      <c r="AP152" s="45">
        <f t="shared" si="128"/>
        <v>0</v>
      </c>
      <c r="AQ152" s="45">
        <f t="shared" si="128"/>
        <v>0</v>
      </c>
      <c r="AR152" s="45">
        <f t="shared" si="128"/>
        <v>0</v>
      </c>
      <c r="AS152" s="45">
        <f t="shared" si="128"/>
        <v>0</v>
      </c>
      <c r="AT152" s="45">
        <f t="shared" si="128"/>
        <v>0</v>
      </c>
      <c r="AU152" s="45">
        <f t="shared" si="128"/>
        <v>0</v>
      </c>
      <c r="AV152" s="45">
        <f t="shared" si="128"/>
        <v>0</v>
      </c>
      <c r="AW152" s="45">
        <f t="shared" si="128"/>
        <v>0</v>
      </c>
      <c r="AX152" s="45">
        <f t="shared" si="128"/>
        <v>0</v>
      </c>
      <c r="AY152" s="45">
        <f t="shared" si="128"/>
        <v>0</v>
      </c>
      <c r="AZ152" s="45">
        <f t="shared" si="128"/>
        <v>0</v>
      </c>
      <c r="BA152" s="45">
        <f t="shared" si="128"/>
        <v>0</v>
      </c>
      <c r="BB152" s="45">
        <f t="shared" si="128"/>
        <v>0</v>
      </c>
      <c r="BC152" s="45">
        <f t="shared" si="128"/>
        <v>0</v>
      </c>
      <c r="BD152" s="45">
        <f t="shared" si="128"/>
        <v>0</v>
      </c>
      <c r="BE152" s="45">
        <f t="shared" si="128"/>
        <v>0</v>
      </c>
      <c r="BF152" s="45">
        <f t="shared" si="128"/>
        <v>0</v>
      </c>
      <c r="BG152" s="45">
        <f t="shared" si="128"/>
        <v>0</v>
      </c>
      <c r="BH152" s="45">
        <f t="shared" si="128"/>
        <v>0</v>
      </c>
      <c r="BI152" s="45">
        <f t="shared" si="128"/>
        <v>0</v>
      </c>
      <c r="BJ152" s="45">
        <f t="shared" si="128"/>
        <v>0</v>
      </c>
      <c r="BL152" s="45">
        <f t="shared" si="128"/>
        <v>0</v>
      </c>
      <c r="BM152" s="45">
        <f t="shared" si="128"/>
        <v>0</v>
      </c>
      <c r="BN152" s="45">
        <f t="shared" si="128"/>
        <v>0</v>
      </c>
      <c r="BO152" s="45">
        <f t="shared" si="128"/>
        <v>0</v>
      </c>
      <c r="BP152" s="45">
        <f t="shared" si="128"/>
        <v>0</v>
      </c>
      <c r="BQ152" s="45">
        <f t="shared" si="128"/>
        <v>0</v>
      </c>
      <c r="BR152" s="45">
        <f t="shared" si="128"/>
        <v>0</v>
      </c>
      <c r="BS152" s="45">
        <f t="shared" si="128"/>
        <v>0</v>
      </c>
      <c r="BT152" s="45">
        <f t="shared" si="128"/>
        <v>0</v>
      </c>
      <c r="BU152" s="45">
        <f t="shared" si="128"/>
        <v>0</v>
      </c>
      <c r="BV152" s="45">
        <f t="shared" si="128"/>
        <v>0</v>
      </c>
      <c r="BW152" s="45">
        <f t="shared" si="128"/>
        <v>0</v>
      </c>
      <c r="BY152" s="12"/>
      <c r="CA152" s="12"/>
      <c r="EX152" s="10" t="str">
        <f t="shared" si="123"/>
        <v/>
      </c>
    </row>
    <row r="153" spans="1:154" s="67" customFormat="1" x14ac:dyDescent="0.25">
      <c r="B153" s="67" t="str">
        <f ca="1">Loans!B$27</f>
        <v>Loan 15</v>
      </c>
      <c r="D153" s="62">
        <f>Loans!D$27</f>
        <v>0</v>
      </c>
      <c r="E153" s="159" t="str">
        <f>IF(Loans!Q$27=0, "", Loans!Q$27)</f>
        <v/>
      </c>
      <c r="F153" s="10">
        <f>Loans!G$700</f>
        <v>0</v>
      </c>
      <c r="T153" s="335"/>
      <c r="U153" s="335"/>
      <c r="V153" s="45">
        <f t="shared" si="124"/>
        <v>0</v>
      </c>
      <c r="W153" s="45">
        <f t="shared" si="124"/>
        <v>0</v>
      </c>
      <c r="X153" s="45">
        <f t="shared" si="124"/>
        <v>0</v>
      </c>
      <c r="Y153" s="45">
        <f t="shared" si="124"/>
        <v>0</v>
      </c>
      <c r="AA153" s="45">
        <f t="shared" si="125"/>
        <v>0</v>
      </c>
      <c r="AB153" s="45">
        <f t="shared" si="128"/>
        <v>0</v>
      </c>
      <c r="AC153" s="45">
        <f t="shared" si="128"/>
        <v>0</v>
      </c>
      <c r="AD153" s="45">
        <f t="shared" si="128"/>
        <v>0</v>
      </c>
      <c r="AE153" s="45">
        <f t="shared" si="128"/>
        <v>0</v>
      </c>
      <c r="AF153" s="45">
        <f t="shared" si="128"/>
        <v>0</v>
      </c>
      <c r="AG153" s="45">
        <f t="shared" si="128"/>
        <v>0</v>
      </c>
      <c r="AH153" s="45">
        <f t="shared" si="128"/>
        <v>0</v>
      </c>
      <c r="AI153" s="45">
        <f t="shared" si="128"/>
        <v>0</v>
      </c>
      <c r="AJ153" s="45">
        <f t="shared" si="128"/>
        <v>0</v>
      </c>
      <c r="AK153" s="45">
        <f t="shared" si="128"/>
        <v>0</v>
      </c>
      <c r="AL153" s="45">
        <f t="shared" si="128"/>
        <v>0</v>
      </c>
      <c r="AM153" s="45">
        <f t="shared" si="128"/>
        <v>0</v>
      </c>
      <c r="AN153" s="45">
        <f t="shared" si="128"/>
        <v>0</v>
      </c>
      <c r="AO153" s="45">
        <f t="shared" si="128"/>
        <v>0</v>
      </c>
      <c r="AP153" s="45">
        <f t="shared" si="128"/>
        <v>0</v>
      </c>
      <c r="AQ153" s="45">
        <f t="shared" si="128"/>
        <v>0</v>
      </c>
      <c r="AR153" s="45">
        <f t="shared" si="128"/>
        <v>0</v>
      </c>
      <c r="AS153" s="45">
        <f t="shared" si="128"/>
        <v>0</v>
      </c>
      <c r="AT153" s="45">
        <f t="shared" si="128"/>
        <v>0</v>
      </c>
      <c r="AU153" s="45">
        <f t="shared" si="128"/>
        <v>0</v>
      </c>
      <c r="AV153" s="45">
        <f t="shared" si="128"/>
        <v>0</v>
      </c>
      <c r="AW153" s="45">
        <f t="shared" si="128"/>
        <v>0</v>
      </c>
      <c r="AX153" s="45">
        <f t="shared" si="128"/>
        <v>0</v>
      </c>
      <c r="AY153" s="45">
        <f t="shared" si="128"/>
        <v>0</v>
      </c>
      <c r="AZ153" s="45">
        <f t="shared" si="128"/>
        <v>0</v>
      </c>
      <c r="BA153" s="45">
        <f t="shared" si="128"/>
        <v>0</v>
      </c>
      <c r="BB153" s="45">
        <f t="shared" si="128"/>
        <v>0</v>
      </c>
      <c r="BC153" s="45">
        <f t="shared" si="128"/>
        <v>0</v>
      </c>
      <c r="BD153" s="45">
        <f t="shared" si="128"/>
        <v>0</v>
      </c>
      <c r="BE153" s="45">
        <f t="shared" si="128"/>
        <v>0</v>
      </c>
      <c r="BF153" s="45">
        <f t="shared" si="128"/>
        <v>0</v>
      </c>
      <c r="BG153" s="45">
        <f t="shared" si="128"/>
        <v>0</v>
      </c>
      <c r="BH153" s="45">
        <f t="shared" si="128"/>
        <v>0</v>
      </c>
      <c r="BI153" s="45">
        <f t="shared" si="128"/>
        <v>0</v>
      </c>
      <c r="BJ153" s="45">
        <f t="shared" si="128"/>
        <v>0</v>
      </c>
      <c r="BL153" s="45">
        <f t="shared" si="128"/>
        <v>0</v>
      </c>
      <c r="BM153" s="45">
        <f t="shared" si="128"/>
        <v>0</v>
      </c>
      <c r="BN153" s="45">
        <f t="shared" si="128"/>
        <v>0</v>
      </c>
      <c r="BO153" s="45">
        <f t="shared" si="128"/>
        <v>0</v>
      </c>
      <c r="BP153" s="45">
        <f t="shared" si="128"/>
        <v>0</v>
      </c>
      <c r="BQ153" s="45">
        <f t="shared" si="128"/>
        <v>0</v>
      </c>
      <c r="BR153" s="45">
        <f t="shared" si="128"/>
        <v>0</v>
      </c>
      <c r="BS153" s="45">
        <f t="shared" si="128"/>
        <v>0</v>
      </c>
      <c r="BT153" s="45">
        <f t="shared" si="128"/>
        <v>0</v>
      </c>
      <c r="BU153" s="45">
        <f t="shared" si="128"/>
        <v>0</v>
      </c>
      <c r="BV153" s="45">
        <f t="shared" si="128"/>
        <v>0</v>
      </c>
      <c r="BW153" s="45">
        <f t="shared" si="128"/>
        <v>0</v>
      </c>
      <c r="BY153" s="12"/>
      <c r="CA153" s="12"/>
      <c r="EX153" s="10" t="str">
        <f t="shared" si="123"/>
        <v/>
      </c>
    </row>
    <row r="154" spans="1:154" s="67" customFormat="1" x14ac:dyDescent="0.25">
      <c r="B154" s="67" t="str">
        <f ca="1">Loans!B$28</f>
        <v>Loan 16</v>
      </c>
      <c r="D154" s="62">
        <f>Loans!D$28</f>
        <v>0</v>
      </c>
      <c r="E154" s="159" t="str">
        <f>IF(Loans!Q$28=0, "", Loans!Q$28)</f>
        <v/>
      </c>
      <c r="F154" s="10">
        <f>Loans!G$701</f>
        <v>0</v>
      </c>
      <c r="T154" s="335"/>
      <c r="U154" s="335"/>
      <c r="V154" s="45">
        <f t="shared" si="124"/>
        <v>0</v>
      </c>
      <c r="W154" s="45">
        <f t="shared" si="124"/>
        <v>0</v>
      </c>
      <c r="X154" s="45">
        <f t="shared" si="124"/>
        <v>0</v>
      </c>
      <c r="Y154" s="45">
        <f t="shared" si="124"/>
        <v>0</v>
      </c>
      <c r="AA154" s="45">
        <f t="shared" si="125"/>
        <v>0</v>
      </c>
      <c r="AB154" s="45">
        <f t="shared" si="128"/>
        <v>0</v>
      </c>
      <c r="AC154" s="45">
        <f t="shared" si="128"/>
        <v>0</v>
      </c>
      <c r="AD154" s="45">
        <f t="shared" si="128"/>
        <v>0</v>
      </c>
      <c r="AE154" s="45">
        <f t="shared" si="128"/>
        <v>0</v>
      </c>
      <c r="AF154" s="45">
        <f t="shared" si="128"/>
        <v>0</v>
      </c>
      <c r="AG154" s="45">
        <f t="shared" si="128"/>
        <v>0</v>
      </c>
      <c r="AH154" s="45">
        <f t="shared" si="128"/>
        <v>0</v>
      </c>
      <c r="AI154" s="45">
        <f t="shared" si="128"/>
        <v>0</v>
      </c>
      <c r="AJ154" s="45">
        <f t="shared" si="128"/>
        <v>0</v>
      </c>
      <c r="AK154" s="45">
        <f t="shared" si="128"/>
        <v>0</v>
      </c>
      <c r="AL154" s="45">
        <f t="shared" si="128"/>
        <v>0</v>
      </c>
      <c r="AM154" s="45">
        <f t="shared" si="128"/>
        <v>0</v>
      </c>
      <c r="AN154" s="45">
        <f t="shared" si="128"/>
        <v>0</v>
      </c>
      <c r="AO154" s="45">
        <f t="shared" si="128"/>
        <v>0</v>
      </c>
      <c r="AP154" s="45">
        <f t="shared" si="128"/>
        <v>0</v>
      </c>
      <c r="AQ154" s="45">
        <f t="shared" si="128"/>
        <v>0</v>
      </c>
      <c r="AR154" s="45">
        <f t="shared" si="128"/>
        <v>0</v>
      </c>
      <c r="AS154" s="45">
        <f t="shared" si="128"/>
        <v>0</v>
      </c>
      <c r="AT154" s="45">
        <f t="shared" si="128"/>
        <v>0</v>
      </c>
      <c r="AU154" s="45">
        <f t="shared" si="128"/>
        <v>0</v>
      </c>
      <c r="AV154" s="45">
        <f t="shared" si="128"/>
        <v>0</v>
      </c>
      <c r="AW154" s="45">
        <f t="shared" si="128"/>
        <v>0</v>
      </c>
      <c r="AX154" s="45">
        <f t="shared" si="128"/>
        <v>0</v>
      </c>
      <c r="AY154" s="45">
        <f t="shared" si="128"/>
        <v>0</v>
      </c>
      <c r="AZ154" s="45">
        <f t="shared" si="128"/>
        <v>0</v>
      </c>
      <c r="BA154" s="45">
        <f t="shared" si="128"/>
        <v>0</v>
      </c>
      <c r="BB154" s="45">
        <f t="shared" si="128"/>
        <v>0</v>
      </c>
      <c r="BC154" s="45">
        <f t="shared" si="128"/>
        <v>0</v>
      </c>
      <c r="BD154" s="45">
        <f t="shared" si="128"/>
        <v>0</v>
      </c>
      <c r="BE154" s="45">
        <f t="shared" si="128"/>
        <v>0</v>
      </c>
      <c r="BF154" s="45">
        <f t="shared" si="128"/>
        <v>0</v>
      </c>
      <c r="BG154" s="45">
        <f t="shared" si="128"/>
        <v>0</v>
      </c>
      <c r="BH154" s="45">
        <f t="shared" si="128"/>
        <v>0</v>
      </c>
      <c r="BI154" s="45">
        <f t="shared" si="128"/>
        <v>0</v>
      </c>
      <c r="BJ154" s="45">
        <f t="shared" si="128"/>
        <v>0</v>
      </c>
      <c r="BL154" s="45">
        <f t="shared" si="128"/>
        <v>0</v>
      </c>
      <c r="BM154" s="45">
        <f t="shared" si="128"/>
        <v>0</v>
      </c>
      <c r="BN154" s="45">
        <f t="shared" si="128"/>
        <v>0</v>
      </c>
      <c r="BO154" s="45">
        <f t="shared" si="128"/>
        <v>0</v>
      </c>
      <c r="BP154" s="45">
        <f t="shared" si="128"/>
        <v>0</v>
      </c>
      <c r="BQ154" s="45">
        <f t="shared" si="128"/>
        <v>0</v>
      </c>
      <c r="BR154" s="45">
        <f t="shared" si="128"/>
        <v>0</v>
      </c>
      <c r="BS154" s="45">
        <f t="shared" si="128"/>
        <v>0</v>
      </c>
      <c r="BT154" s="45">
        <f t="shared" si="128"/>
        <v>0</v>
      </c>
      <c r="BU154" s="45">
        <f t="shared" si="128"/>
        <v>0</v>
      </c>
      <c r="BV154" s="45">
        <f t="shared" si="128"/>
        <v>0</v>
      </c>
      <c r="BW154" s="45">
        <f t="shared" si="128"/>
        <v>0</v>
      </c>
      <c r="BY154" s="12"/>
      <c r="CA154" s="12"/>
      <c r="EX154" s="10" t="str">
        <f t="shared" si="123"/>
        <v/>
      </c>
    </row>
    <row r="155" spans="1:154" s="67" customFormat="1" x14ac:dyDescent="0.25">
      <c r="B155" s="67" t="str">
        <f ca="1">Loans!B$29</f>
        <v>Loan 17</v>
      </c>
      <c r="D155" s="62">
        <f>Loans!D$29</f>
        <v>0</v>
      </c>
      <c r="E155" s="159" t="str">
        <f>IF(Loans!Q$29=0, "", Loans!Q$29)</f>
        <v/>
      </c>
      <c r="F155" s="10">
        <f>Loans!G$702</f>
        <v>0</v>
      </c>
      <c r="T155" s="335"/>
      <c r="U155" s="335"/>
      <c r="V155" s="45">
        <f t="shared" ref="V155:Y158" si="129">IF(AND($E155&gt;=V$8, $E155&lt;=V$10), 1,0)</f>
        <v>0</v>
      </c>
      <c r="W155" s="45">
        <f t="shared" si="129"/>
        <v>0</v>
      </c>
      <c r="X155" s="45">
        <f t="shared" si="129"/>
        <v>0</v>
      </c>
      <c r="Y155" s="45">
        <f t="shared" si="129"/>
        <v>0</v>
      </c>
      <c r="AA155" s="45">
        <f t="shared" si="125"/>
        <v>0</v>
      </c>
      <c r="AB155" s="45">
        <f t="shared" si="128"/>
        <v>0</v>
      </c>
      <c r="AC155" s="45">
        <f t="shared" si="128"/>
        <v>0</v>
      </c>
      <c r="AD155" s="45">
        <f t="shared" si="128"/>
        <v>0</v>
      </c>
      <c r="AE155" s="45">
        <f t="shared" si="128"/>
        <v>0</v>
      </c>
      <c r="AF155" s="45">
        <f t="shared" si="128"/>
        <v>0</v>
      </c>
      <c r="AG155" s="45">
        <f t="shared" si="128"/>
        <v>0</v>
      </c>
      <c r="AH155" s="45">
        <f t="shared" si="128"/>
        <v>0</v>
      </c>
      <c r="AI155" s="45">
        <f t="shared" si="128"/>
        <v>0</v>
      </c>
      <c r="AJ155" s="45">
        <f t="shared" si="128"/>
        <v>0</v>
      </c>
      <c r="AK155" s="45">
        <f t="shared" si="128"/>
        <v>0</v>
      </c>
      <c r="AL155" s="45">
        <f t="shared" si="128"/>
        <v>0</v>
      </c>
      <c r="AM155" s="45">
        <f t="shared" si="128"/>
        <v>0</v>
      </c>
      <c r="AN155" s="45">
        <f t="shared" ref="AB155:BW158" si="130">IF(AND($E155&gt;=AN$8, $E155&lt;=AN$10), 1,0)</f>
        <v>0</v>
      </c>
      <c r="AO155" s="45">
        <f t="shared" si="130"/>
        <v>0</v>
      </c>
      <c r="AP155" s="45">
        <f t="shared" si="130"/>
        <v>0</v>
      </c>
      <c r="AQ155" s="45">
        <f t="shared" si="130"/>
        <v>0</v>
      </c>
      <c r="AR155" s="45">
        <f t="shared" si="130"/>
        <v>0</v>
      </c>
      <c r="AS155" s="45">
        <f t="shared" si="130"/>
        <v>0</v>
      </c>
      <c r="AT155" s="45">
        <f t="shared" si="130"/>
        <v>0</v>
      </c>
      <c r="AU155" s="45">
        <f t="shared" si="130"/>
        <v>0</v>
      </c>
      <c r="AV155" s="45">
        <f t="shared" si="130"/>
        <v>0</v>
      </c>
      <c r="AW155" s="45">
        <f t="shared" si="130"/>
        <v>0</v>
      </c>
      <c r="AX155" s="45">
        <f t="shared" si="130"/>
        <v>0</v>
      </c>
      <c r="AY155" s="45">
        <f t="shared" si="130"/>
        <v>0</v>
      </c>
      <c r="AZ155" s="45">
        <f t="shared" si="130"/>
        <v>0</v>
      </c>
      <c r="BA155" s="45">
        <f t="shared" si="130"/>
        <v>0</v>
      </c>
      <c r="BB155" s="45">
        <f t="shared" si="130"/>
        <v>0</v>
      </c>
      <c r="BC155" s="45">
        <f t="shared" si="130"/>
        <v>0</v>
      </c>
      <c r="BD155" s="45">
        <f t="shared" si="130"/>
        <v>0</v>
      </c>
      <c r="BE155" s="45">
        <f t="shared" si="130"/>
        <v>0</v>
      </c>
      <c r="BF155" s="45">
        <f t="shared" si="130"/>
        <v>0</v>
      </c>
      <c r="BG155" s="45">
        <f t="shared" si="130"/>
        <v>0</v>
      </c>
      <c r="BH155" s="45">
        <f t="shared" si="130"/>
        <v>0</v>
      </c>
      <c r="BI155" s="45">
        <f t="shared" si="130"/>
        <v>0</v>
      </c>
      <c r="BJ155" s="45">
        <f t="shared" si="130"/>
        <v>0</v>
      </c>
      <c r="BL155" s="45">
        <f t="shared" si="130"/>
        <v>0</v>
      </c>
      <c r="BM155" s="45">
        <f t="shared" si="130"/>
        <v>0</v>
      </c>
      <c r="BN155" s="45">
        <f t="shared" si="130"/>
        <v>0</v>
      </c>
      <c r="BO155" s="45">
        <f t="shared" si="130"/>
        <v>0</v>
      </c>
      <c r="BP155" s="45">
        <f t="shared" si="130"/>
        <v>0</v>
      </c>
      <c r="BQ155" s="45">
        <f t="shared" si="130"/>
        <v>0</v>
      </c>
      <c r="BR155" s="45">
        <f t="shared" si="130"/>
        <v>0</v>
      </c>
      <c r="BS155" s="45">
        <f t="shared" si="130"/>
        <v>0</v>
      </c>
      <c r="BT155" s="45">
        <f t="shared" si="130"/>
        <v>0</v>
      </c>
      <c r="BU155" s="45">
        <f t="shared" si="130"/>
        <v>0</v>
      </c>
      <c r="BV155" s="45">
        <f t="shared" si="130"/>
        <v>0</v>
      </c>
      <c r="BW155" s="45">
        <f t="shared" si="130"/>
        <v>0</v>
      </c>
      <c r="BY155" s="12"/>
      <c r="CA155" s="12"/>
      <c r="EX155" s="10" t="str">
        <f t="shared" si="123"/>
        <v/>
      </c>
    </row>
    <row r="156" spans="1:154" s="67" customFormat="1" x14ac:dyDescent="0.25">
      <c r="B156" s="67" t="str">
        <f ca="1">Loans!B$30</f>
        <v>Loan 18</v>
      </c>
      <c r="D156" s="62">
        <f>Loans!D$30</f>
        <v>0</v>
      </c>
      <c r="E156" s="159" t="str">
        <f>IF(Loans!Q$30=0, "", Loans!Q$30)</f>
        <v/>
      </c>
      <c r="F156" s="10">
        <f>Loans!G$703</f>
        <v>0</v>
      </c>
      <c r="T156" s="335"/>
      <c r="U156" s="335"/>
      <c r="V156" s="45">
        <f t="shared" si="129"/>
        <v>0</v>
      </c>
      <c r="W156" s="45">
        <f t="shared" si="129"/>
        <v>0</v>
      </c>
      <c r="X156" s="45">
        <f t="shared" si="129"/>
        <v>0</v>
      </c>
      <c r="Y156" s="45">
        <f t="shared" si="129"/>
        <v>0</v>
      </c>
      <c r="AA156" s="45">
        <f t="shared" si="125"/>
        <v>0</v>
      </c>
      <c r="AB156" s="45">
        <f t="shared" si="130"/>
        <v>0</v>
      </c>
      <c r="AC156" s="45">
        <f t="shared" si="130"/>
        <v>0</v>
      </c>
      <c r="AD156" s="45">
        <f t="shared" si="130"/>
        <v>0</v>
      </c>
      <c r="AE156" s="45">
        <f t="shared" si="130"/>
        <v>0</v>
      </c>
      <c r="AF156" s="45">
        <f t="shared" si="130"/>
        <v>0</v>
      </c>
      <c r="AG156" s="45">
        <f t="shared" si="130"/>
        <v>0</v>
      </c>
      <c r="AH156" s="45">
        <f t="shared" si="130"/>
        <v>0</v>
      </c>
      <c r="AI156" s="45">
        <f t="shared" si="130"/>
        <v>0</v>
      </c>
      <c r="AJ156" s="45">
        <f t="shared" si="130"/>
        <v>0</v>
      </c>
      <c r="AK156" s="45">
        <f t="shared" si="130"/>
        <v>0</v>
      </c>
      <c r="AL156" s="45">
        <f t="shared" si="130"/>
        <v>0</v>
      </c>
      <c r="AM156" s="45">
        <f t="shared" si="130"/>
        <v>0</v>
      </c>
      <c r="AN156" s="45">
        <f t="shared" si="130"/>
        <v>0</v>
      </c>
      <c r="AO156" s="45">
        <f t="shared" si="130"/>
        <v>0</v>
      </c>
      <c r="AP156" s="45">
        <f t="shared" si="130"/>
        <v>0</v>
      </c>
      <c r="AQ156" s="45">
        <f t="shared" si="130"/>
        <v>0</v>
      </c>
      <c r="AR156" s="45">
        <f t="shared" si="130"/>
        <v>0</v>
      </c>
      <c r="AS156" s="45">
        <f t="shared" si="130"/>
        <v>0</v>
      </c>
      <c r="AT156" s="45">
        <f t="shared" si="130"/>
        <v>0</v>
      </c>
      <c r="AU156" s="45">
        <f t="shared" si="130"/>
        <v>0</v>
      </c>
      <c r="AV156" s="45">
        <f t="shared" si="130"/>
        <v>0</v>
      </c>
      <c r="AW156" s="45">
        <f t="shared" si="130"/>
        <v>0</v>
      </c>
      <c r="AX156" s="45">
        <f t="shared" si="130"/>
        <v>0</v>
      </c>
      <c r="AY156" s="45">
        <f t="shared" si="130"/>
        <v>0</v>
      </c>
      <c r="AZ156" s="45">
        <f t="shared" si="130"/>
        <v>0</v>
      </c>
      <c r="BA156" s="45">
        <f t="shared" si="130"/>
        <v>0</v>
      </c>
      <c r="BB156" s="45">
        <f t="shared" si="130"/>
        <v>0</v>
      </c>
      <c r="BC156" s="45">
        <f t="shared" si="130"/>
        <v>0</v>
      </c>
      <c r="BD156" s="45">
        <f t="shared" si="130"/>
        <v>0</v>
      </c>
      <c r="BE156" s="45">
        <f t="shared" si="130"/>
        <v>0</v>
      </c>
      <c r="BF156" s="45">
        <f t="shared" si="130"/>
        <v>0</v>
      </c>
      <c r="BG156" s="45">
        <f t="shared" si="130"/>
        <v>0</v>
      </c>
      <c r="BH156" s="45">
        <f t="shared" si="130"/>
        <v>0</v>
      </c>
      <c r="BI156" s="45">
        <f t="shared" si="130"/>
        <v>0</v>
      </c>
      <c r="BJ156" s="45">
        <f t="shared" si="130"/>
        <v>0</v>
      </c>
      <c r="BL156" s="45">
        <f t="shared" si="130"/>
        <v>0</v>
      </c>
      <c r="BM156" s="45">
        <f t="shared" si="130"/>
        <v>0</v>
      </c>
      <c r="BN156" s="45">
        <f t="shared" si="130"/>
        <v>0</v>
      </c>
      <c r="BO156" s="45">
        <f t="shared" si="130"/>
        <v>0</v>
      </c>
      <c r="BP156" s="45">
        <f t="shared" si="130"/>
        <v>0</v>
      </c>
      <c r="BQ156" s="45">
        <f t="shared" si="130"/>
        <v>0</v>
      </c>
      <c r="BR156" s="45">
        <f t="shared" si="130"/>
        <v>0</v>
      </c>
      <c r="BS156" s="45">
        <f t="shared" si="130"/>
        <v>0</v>
      </c>
      <c r="BT156" s="45">
        <f t="shared" si="130"/>
        <v>0</v>
      </c>
      <c r="BU156" s="45">
        <f t="shared" si="130"/>
        <v>0</v>
      </c>
      <c r="BV156" s="45">
        <f t="shared" si="130"/>
        <v>0</v>
      </c>
      <c r="BW156" s="45">
        <f t="shared" si="130"/>
        <v>0</v>
      </c>
      <c r="BY156" s="12"/>
      <c r="CA156" s="12"/>
      <c r="EX156" s="10" t="str">
        <f t="shared" si="123"/>
        <v/>
      </c>
    </row>
    <row r="157" spans="1:154" s="67" customFormat="1" x14ac:dyDescent="0.25">
      <c r="B157" s="67" t="str">
        <f ca="1">Loans!B$31</f>
        <v>Loan 19</v>
      </c>
      <c r="D157" s="62">
        <f>Loans!D$31</f>
        <v>0</v>
      </c>
      <c r="E157" s="159" t="str">
        <f>IF(Loans!Q$31=0, "", Loans!Q$31)</f>
        <v/>
      </c>
      <c r="F157" s="10">
        <f>Loans!G$704</f>
        <v>0</v>
      </c>
      <c r="T157" s="335"/>
      <c r="U157" s="335"/>
      <c r="V157" s="45">
        <f t="shared" si="129"/>
        <v>0</v>
      </c>
      <c r="W157" s="45">
        <f t="shared" si="129"/>
        <v>0</v>
      </c>
      <c r="X157" s="45">
        <f t="shared" si="129"/>
        <v>0</v>
      </c>
      <c r="Y157" s="45">
        <f t="shared" si="129"/>
        <v>0</v>
      </c>
      <c r="AA157" s="45">
        <f t="shared" si="125"/>
        <v>0</v>
      </c>
      <c r="AB157" s="45">
        <f t="shared" si="130"/>
        <v>0</v>
      </c>
      <c r="AC157" s="45">
        <f t="shared" si="130"/>
        <v>0</v>
      </c>
      <c r="AD157" s="45">
        <f t="shared" si="130"/>
        <v>0</v>
      </c>
      <c r="AE157" s="45">
        <f t="shared" si="130"/>
        <v>0</v>
      </c>
      <c r="AF157" s="45">
        <f t="shared" si="130"/>
        <v>0</v>
      </c>
      <c r="AG157" s="45">
        <f t="shared" si="130"/>
        <v>0</v>
      </c>
      <c r="AH157" s="45">
        <f t="shared" si="130"/>
        <v>0</v>
      </c>
      <c r="AI157" s="45">
        <f t="shared" si="130"/>
        <v>0</v>
      </c>
      <c r="AJ157" s="45">
        <f t="shared" si="130"/>
        <v>0</v>
      </c>
      <c r="AK157" s="45">
        <f t="shared" si="130"/>
        <v>0</v>
      </c>
      <c r="AL157" s="45">
        <f t="shared" si="130"/>
        <v>0</v>
      </c>
      <c r="AM157" s="45">
        <f t="shared" si="130"/>
        <v>0</v>
      </c>
      <c r="AN157" s="45">
        <f t="shared" si="130"/>
        <v>0</v>
      </c>
      <c r="AO157" s="45">
        <f t="shared" si="130"/>
        <v>0</v>
      </c>
      <c r="AP157" s="45">
        <f t="shared" si="130"/>
        <v>0</v>
      </c>
      <c r="AQ157" s="45">
        <f t="shared" si="130"/>
        <v>0</v>
      </c>
      <c r="AR157" s="45">
        <f t="shared" si="130"/>
        <v>0</v>
      </c>
      <c r="AS157" s="45">
        <f t="shared" si="130"/>
        <v>0</v>
      </c>
      <c r="AT157" s="45">
        <f t="shared" si="130"/>
        <v>0</v>
      </c>
      <c r="AU157" s="45">
        <f t="shared" si="130"/>
        <v>0</v>
      </c>
      <c r="AV157" s="45">
        <f t="shared" si="130"/>
        <v>0</v>
      </c>
      <c r="AW157" s="45">
        <f t="shared" si="130"/>
        <v>0</v>
      </c>
      <c r="AX157" s="45">
        <f t="shared" si="130"/>
        <v>0</v>
      </c>
      <c r="AY157" s="45">
        <f t="shared" si="130"/>
        <v>0</v>
      </c>
      <c r="AZ157" s="45">
        <f t="shared" si="130"/>
        <v>0</v>
      </c>
      <c r="BA157" s="45">
        <f t="shared" si="130"/>
        <v>0</v>
      </c>
      <c r="BB157" s="45">
        <f t="shared" si="130"/>
        <v>0</v>
      </c>
      <c r="BC157" s="45">
        <f t="shared" si="130"/>
        <v>0</v>
      </c>
      <c r="BD157" s="45">
        <f t="shared" si="130"/>
        <v>0</v>
      </c>
      <c r="BE157" s="45">
        <f t="shared" si="130"/>
        <v>0</v>
      </c>
      <c r="BF157" s="45">
        <f t="shared" si="130"/>
        <v>0</v>
      </c>
      <c r="BG157" s="45">
        <f t="shared" si="130"/>
        <v>0</v>
      </c>
      <c r="BH157" s="45">
        <f t="shared" si="130"/>
        <v>0</v>
      </c>
      <c r="BI157" s="45">
        <f t="shared" si="130"/>
        <v>0</v>
      </c>
      <c r="BJ157" s="45">
        <f t="shared" si="130"/>
        <v>0</v>
      </c>
      <c r="BL157" s="45">
        <f t="shared" si="130"/>
        <v>0</v>
      </c>
      <c r="BM157" s="45">
        <f t="shared" si="130"/>
        <v>0</v>
      </c>
      <c r="BN157" s="45">
        <f t="shared" si="130"/>
        <v>0</v>
      </c>
      <c r="BO157" s="45">
        <f t="shared" si="130"/>
        <v>0</v>
      </c>
      <c r="BP157" s="45">
        <f t="shared" si="130"/>
        <v>0</v>
      </c>
      <c r="BQ157" s="45">
        <f t="shared" si="130"/>
        <v>0</v>
      </c>
      <c r="BR157" s="45">
        <f t="shared" si="130"/>
        <v>0</v>
      </c>
      <c r="BS157" s="45">
        <f t="shared" si="130"/>
        <v>0</v>
      </c>
      <c r="BT157" s="45">
        <f t="shared" si="130"/>
        <v>0</v>
      </c>
      <c r="BU157" s="45">
        <f t="shared" si="130"/>
        <v>0</v>
      </c>
      <c r="BV157" s="45">
        <f t="shared" si="130"/>
        <v>0</v>
      </c>
      <c r="BW157" s="45">
        <f t="shared" si="130"/>
        <v>0</v>
      </c>
      <c r="BY157" s="12"/>
      <c r="CA157" s="12"/>
      <c r="EX157" s="10" t="str">
        <f t="shared" si="123"/>
        <v/>
      </c>
    </row>
    <row r="158" spans="1:154" s="67" customFormat="1" x14ac:dyDescent="0.25">
      <c r="B158" s="67" t="str">
        <f ca="1">Loans!B$32</f>
        <v>Loan 20</v>
      </c>
      <c r="D158" s="62">
        <f>Loans!D$32</f>
        <v>0</v>
      </c>
      <c r="E158" s="159" t="str">
        <f>IF(Loans!Q$32=0, "", Loans!Q$32)</f>
        <v/>
      </c>
      <c r="F158" s="10">
        <f>Loans!G$705</f>
        <v>0</v>
      </c>
      <c r="T158" s="335"/>
      <c r="U158" s="335"/>
      <c r="V158" s="45">
        <f t="shared" si="129"/>
        <v>0</v>
      </c>
      <c r="W158" s="45">
        <f t="shared" si="129"/>
        <v>0</v>
      </c>
      <c r="X158" s="45">
        <f t="shared" si="129"/>
        <v>0</v>
      </c>
      <c r="Y158" s="45">
        <f t="shared" si="129"/>
        <v>0</v>
      </c>
      <c r="AA158" s="45">
        <f t="shared" si="125"/>
        <v>0</v>
      </c>
      <c r="AB158" s="45">
        <f t="shared" si="130"/>
        <v>0</v>
      </c>
      <c r="AC158" s="45">
        <f t="shared" si="130"/>
        <v>0</v>
      </c>
      <c r="AD158" s="45">
        <f t="shared" si="130"/>
        <v>0</v>
      </c>
      <c r="AE158" s="45">
        <f t="shared" si="130"/>
        <v>0</v>
      </c>
      <c r="AF158" s="45">
        <f t="shared" si="130"/>
        <v>0</v>
      </c>
      <c r="AG158" s="45">
        <f t="shared" si="130"/>
        <v>0</v>
      </c>
      <c r="AH158" s="45">
        <f t="shared" si="130"/>
        <v>0</v>
      </c>
      <c r="AI158" s="45">
        <f t="shared" si="130"/>
        <v>0</v>
      </c>
      <c r="AJ158" s="45">
        <f t="shared" si="130"/>
        <v>0</v>
      </c>
      <c r="AK158" s="45">
        <f t="shared" si="130"/>
        <v>0</v>
      </c>
      <c r="AL158" s="45">
        <f t="shared" si="130"/>
        <v>0</v>
      </c>
      <c r="AM158" s="45">
        <f t="shared" si="130"/>
        <v>0</v>
      </c>
      <c r="AN158" s="45">
        <f t="shared" si="130"/>
        <v>0</v>
      </c>
      <c r="AO158" s="45">
        <f t="shared" si="130"/>
        <v>0</v>
      </c>
      <c r="AP158" s="45">
        <f t="shared" si="130"/>
        <v>0</v>
      </c>
      <c r="AQ158" s="45">
        <f t="shared" si="130"/>
        <v>0</v>
      </c>
      <c r="AR158" s="45">
        <f t="shared" si="130"/>
        <v>0</v>
      </c>
      <c r="AS158" s="45">
        <f t="shared" si="130"/>
        <v>0</v>
      </c>
      <c r="AT158" s="45">
        <f t="shared" si="130"/>
        <v>0</v>
      </c>
      <c r="AU158" s="45">
        <f t="shared" si="130"/>
        <v>0</v>
      </c>
      <c r="AV158" s="45">
        <f t="shared" si="130"/>
        <v>0</v>
      </c>
      <c r="AW158" s="45">
        <f t="shared" si="130"/>
        <v>0</v>
      </c>
      <c r="AX158" s="45">
        <f t="shared" si="130"/>
        <v>0</v>
      </c>
      <c r="AY158" s="45">
        <f t="shared" si="130"/>
        <v>0</v>
      </c>
      <c r="AZ158" s="45">
        <f t="shared" si="130"/>
        <v>0</v>
      </c>
      <c r="BA158" s="45">
        <f t="shared" si="130"/>
        <v>0</v>
      </c>
      <c r="BB158" s="45">
        <f t="shared" si="130"/>
        <v>0</v>
      </c>
      <c r="BC158" s="45">
        <f t="shared" si="130"/>
        <v>0</v>
      </c>
      <c r="BD158" s="45">
        <f t="shared" si="130"/>
        <v>0</v>
      </c>
      <c r="BE158" s="45">
        <f t="shared" si="130"/>
        <v>0</v>
      </c>
      <c r="BF158" s="45">
        <f t="shared" si="130"/>
        <v>0</v>
      </c>
      <c r="BG158" s="45">
        <f t="shared" si="130"/>
        <v>0</v>
      </c>
      <c r="BH158" s="45">
        <f t="shared" si="130"/>
        <v>0</v>
      </c>
      <c r="BI158" s="45">
        <f t="shared" si="130"/>
        <v>0</v>
      </c>
      <c r="BJ158" s="45">
        <f t="shared" si="130"/>
        <v>0</v>
      </c>
      <c r="BL158" s="45">
        <f t="shared" si="130"/>
        <v>0</v>
      </c>
      <c r="BM158" s="45">
        <f t="shared" si="130"/>
        <v>0</v>
      </c>
      <c r="BN158" s="45">
        <f t="shared" si="130"/>
        <v>0</v>
      </c>
      <c r="BO158" s="45">
        <f t="shared" si="130"/>
        <v>0</v>
      </c>
      <c r="BP158" s="45">
        <f t="shared" si="130"/>
        <v>0</v>
      </c>
      <c r="BQ158" s="45">
        <f t="shared" si="130"/>
        <v>0</v>
      </c>
      <c r="BR158" s="45">
        <f t="shared" si="130"/>
        <v>0</v>
      </c>
      <c r="BS158" s="45">
        <f t="shared" si="130"/>
        <v>0</v>
      </c>
      <c r="BT158" s="45">
        <f t="shared" si="130"/>
        <v>0</v>
      </c>
      <c r="BU158" s="45">
        <f t="shared" si="130"/>
        <v>0</v>
      </c>
      <c r="BV158" s="45">
        <f t="shared" si="130"/>
        <v>0</v>
      </c>
      <c r="BW158" s="45">
        <f t="shared" si="130"/>
        <v>0</v>
      </c>
      <c r="BY158" s="12"/>
      <c r="CA158" s="12"/>
      <c r="EX158" s="10" t="str">
        <f t="shared" si="123"/>
        <v/>
      </c>
    </row>
    <row r="159" spans="1:154" s="67" customFormat="1" ht="6.6" customHeight="1" x14ac:dyDescent="0.25">
      <c r="D159" s="1"/>
      <c r="T159" s="335"/>
      <c r="U159" s="335"/>
      <c r="BM159" s="6"/>
      <c r="BY159" s="42"/>
      <c r="CA159" s="42"/>
      <c r="EX159" s="10" t="str">
        <f t="shared" si="123"/>
        <v/>
      </c>
    </row>
    <row r="160" spans="1:154" s="67" customFormat="1" x14ac:dyDescent="0.25">
      <c r="D160" s="5" t="s">
        <v>559</v>
      </c>
      <c r="T160" s="335"/>
      <c r="U160" s="335"/>
      <c r="BY160" s="12"/>
      <c r="CA160" s="12"/>
      <c r="EX160" s="10" t="str">
        <f t="shared" si="123"/>
        <v/>
      </c>
    </row>
    <row r="161" spans="1:154" s="67" customFormat="1" x14ac:dyDescent="0.25">
      <c r="B161" s="5"/>
      <c r="D161" s="5" t="str">
        <f>Loans!D$11</f>
        <v>Lender</v>
      </c>
      <c r="E161" s="5" t="s">
        <v>542</v>
      </c>
      <c r="F161" s="5" t="s">
        <v>537</v>
      </c>
      <c r="T161" s="335"/>
      <c r="U161" s="335"/>
      <c r="BY161" s="12"/>
      <c r="CA161" s="12"/>
      <c r="EX161" s="10" t="str">
        <f t="shared" si="123"/>
        <v/>
      </c>
    </row>
    <row r="162" spans="1:154" s="67" customFormat="1" x14ac:dyDescent="0.25">
      <c r="B162" s="67" t="str">
        <f ca="1">Loans!B$13</f>
        <v>Loan 1</v>
      </c>
      <c r="D162" s="62" t="str">
        <f>Loans!D$13</f>
        <v>NatWest</v>
      </c>
      <c r="E162" s="159" t="str">
        <f>IF(Loans!Q$13=0, "", Loans!Q$13)</f>
        <v/>
      </c>
      <c r="F162" s="201">
        <f>Loans!G$686</f>
        <v>0</v>
      </c>
      <c r="S162" s="279"/>
      <c r="T162" s="335"/>
      <c r="U162" s="335"/>
      <c r="V162" s="136"/>
      <c r="W162" s="136"/>
      <c r="X162" s="136"/>
      <c r="Y162" s="136"/>
      <c r="AA162" s="200">
        <f>IF(SUM($AA139:AA139)=0, 0, AA47)</f>
        <v>0</v>
      </c>
      <c r="AB162" s="45">
        <f>IF(SUM($AA139:AB139)=0, 0, AB47)</f>
        <v>0</v>
      </c>
      <c r="AC162" s="45">
        <f>IF(SUM($AA139:AC139)=0, 0, AC47)</f>
        <v>0</v>
      </c>
      <c r="AD162" s="45">
        <f>IF(SUM($AA139:AD139)=0, 0, AD47)</f>
        <v>0</v>
      </c>
      <c r="AE162" s="45">
        <f>IF(SUM($AA139:AE139)=0, 0, AE47)</f>
        <v>0</v>
      </c>
      <c r="AF162" s="45">
        <f>IF(SUM($AA139:AF139)=0, 0, AF47)</f>
        <v>0</v>
      </c>
      <c r="AG162" s="45">
        <f>IF(SUM($AA139:AG139)=0, 0, AG47)</f>
        <v>0</v>
      </c>
      <c r="AH162" s="45">
        <f>IF(SUM($AA139:AH139)=0, 0, AH47)</f>
        <v>0</v>
      </c>
      <c r="AI162" s="45">
        <f>IF(SUM($AA139:AI139)=0, 0, AI47)</f>
        <v>0</v>
      </c>
      <c r="AJ162" s="45">
        <f>IF(SUM($AA139:AJ139)=0, 0, AJ47)</f>
        <v>0</v>
      </c>
      <c r="AK162" s="45">
        <f>IF(SUM($AA139:AK139)=0, 0, AK47)</f>
        <v>0</v>
      </c>
      <c r="AL162" s="45">
        <f>IF(SUM($AA139:AL139)=0, 0, AL47)</f>
        <v>0</v>
      </c>
      <c r="AM162" s="45">
        <f>IF(SUM($AA139:AM139)=0, 0, AM47)</f>
        <v>0</v>
      </c>
      <c r="AN162" s="45">
        <f>IF(SUM($AA139:AN139)=0, 0, AN47)</f>
        <v>0</v>
      </c>
      <c r="AO162" s="45">
        <f>IF(SUM($AA139:AO139)=0, 0, AO47)</f>
        <v>0</v>
      </c>
      <c r="AP162" s="45">
        <f>IF(SUM($AA139:AP139)=0, 0, AP47)</f>
        <v>0</v>
      </c>
      <c r="AQ162" s="45">
        <f>IF(SUM($AA139:AQ139)=0, 0, AQ47)</f>
        <v>0</v>
      </c>
      <c r="AR162" s="45">
        <f>IF(SUM($AA139:AR139)=0, 0, AR47)</f>
        <v>0</v>
      </c>
      <c r="AS162" s="45">
        <f>IF(SUM($AA139:AS139)=0, 0, AS47)</f>
        <v>0</v>
      </c>
      <c r="AT162" s="45">
        <f>IF(SUM($AA139:AT139)=0, 0, AT47)</f>
        <v>0</v>
      </c>
      <c r="AU162" s="45">
        <f>IF(SUM($AA139:AU139)=0, 0, AU47)</f>
        <v>0</v>
      </c>
      <c r="AV162" s="45">
        <f>IF(SUM($AA139:AV139)=0, 0, AV47)</f>
        <v>0</v>
      </c>
      <c r="AW162" s="45">
        <f>IF(SUM($AA139:AW139)=0, 0, AW47)</f>
        <v>0</v>
      </c>
      <c r="AX162" s="45">
        <f>IF(SUM($AA139:AX139)=0, 0, AX47)</f>
        <v>0</v>
      </c>
      <c r="AY162" s="45">
        <f>IF(SUM($AA139:AY139)=0, 0, AY47)</f>
        <v>0</v>
      </c>
      <c r="AZ162" s="45">
        <f>IF(SUM($AA139:AZ139)=0, 0, AZ47)</f>
        <v>0</v>
      </c>
      <c r="BA162" s="45">
        <f>IF(SUM($AA139:BA139)=0, 0, BA47)</f>
        <v>0</v>
      </c>
      <c r="BB162" s="45">
        <f>IF(SUM($AA139:BB139)=0, 0, BB47)</f>
        <v>0</v>
      </c>
      <c r="BC162" s="45">
        <f>IF(SUM($AA139:BC139)=0, 0, BC47)</f>
        <v>0</v>
      </c>
      <c r="BD162" s="45">
        <f>IF(SUM($AA139:BD139)=0, 0, BD47)</f>
        <v>0</v>
      </c>
      <c r="BE162" s="45">
        <f>IF(SUM($AA139:BE139)=0, 0, BE47)</f>
        <v>0</v>
      </c>
      <c r="BF162" s="45">
        <f>IF(SUM($AA139:BF139)=0, 0, BF47)</f>
        <v>0</v>
      </c>
      <c r="BG162" s="45">
        <f>IF(SUM($AA139:BG139)=0, 0, BG47)</f>
        <v>0</v>
      </c>
      <c r="BH162" s="45">
        <f>IF(SUM($AA139:BH139)=0, 0, BH47)</f>
        <v>0</v>
      </c>
      <c r="BI162" s="45">
        <f>IF(SUM($AA139:BI139)=0, 0, BI47)</f>
        <v>0</v>
      </c>
      <c r="BJ162" s="45">
        <f>IF(SUM($AA139:BJ139)=0, 0, BJ47)</f>
        <v>0</v>
      </c>
      <c r="BL162" s="136"/>
      <c r="BM162" s="136"/>
      <c r="BN162" s="136"/>
      <c r="BO162" s="136"/>
      <c r="BP162" s="45">
        <f>IF(SUM($BP139:BP139)=0, 0, BP47)</f>
        <v>0</v>
      </c>
      <c r="BQ162" s="45">
        <f>IF(SUM($BP139:BQ139)=0, 0, BQ47)</f>
        <v>0</v>
      </c>
      <c r="BR162" s="45">
        <f>IF(SUM($BP139:BR139)=0, 0, BR47)</f>
        <v>0</v>
      </c>
      <c r="BS162" s="45">
        <f>IF(SUM($BP139:BS139)=0, 0, BS47)</f>
        <v>0</v>
      </c>
      <c r="BT162" s="45">
        <f>IF(SUM($BP139:BT139)=0, 0, BT47)</f>
        <v>0</v>
      </c>
      <c r="BU162" s="45">
        <f>IF(SUM($BP139:BU139)=0, 0, BU47)</f>
        <v>0</v>
      </c>
      <c r="BV162" s="45">
        <f>IF(SUM($BP139:BV139)=0, 0, BV47)</f>
        <v>0</v>
      </c>
      <c r="BW162" s="45">
        <f>IF(SUM($BP139:BW139)=0, 0, BW47)</f>
        <v>0</v>
      </c>
      <c r="BY162" s="12"/>
      <c r="CA162" s="12"/>
      <c r="EX162" s="10" t="str">
        <f t="shared" si="123"/>
        <v/>
      </c>
    </row>
    <row r="163" spans="1:154" s="67" customFormat="1" x14ac:dyDescent="0.25">
      <c r="B163" s="67" t="str">
        <f ca="1">Loans!B$14</f>
        <v>Loan 2</v>
      </c>
      <c r="D163" s="62" t="str">
        <f>Loans!D$14</f>
        <v>NatWest</v>
      </c>
      <c r="E163" s="159" t="str">
        <f>IF(Loans!Q$14=0, "", Loans!Q$14)</f>
        <v/>
      </c>
      <c r="F163" s="10">
        <f>Loans!G$687</f>
        <v>0</v>
      </c>
      <c r="S163" s="279"/>
      <c r="T163" s="335"/>
      <c r="U163" s="335"/>
      <c r="V163" s="136"/>
      <c r="W163" s="136"/>
      <c r="X163" s="136"/>
      <c r="Y163" s="136"/>
      <c r="AA163" s="45">
        <f>IF(SUM($AA140:AA140)=0, 0, AA48)</f>
        <v>0</v>
      </c>
      <c r="AB163" s="45">
        <f>IF(SUM($AA140:AB140)=0, 0, AB48)</f>
        <v>0</v>
      </c>
      <c r="AC163" s="45">
        <f>IF(SUM($AA140:AC140)=0, 0, AC48)</f>
        <v>0</v>
      </c>
      <c r="AD163" s="45">
        <f>IF(SUM($AA140:AD140)=0, 0, AD48)</f>
        <v>0</v>
      </c>
      <c r="AE163" s="45">
        <f>IF(SUM($AA140:AE140)=0, 0, AE48)</f>
        <v>0</v>
      </c>
      <c r="AF163" s="45">
        <f>IF(SUM($AA140:AF140)=0, 0, AF48)</f>
        <v>0</v>
      </c>
      <c r="AG163" s="45">
        <f>IF(SUM($AA140:AG140)=0, 0, AG48)</f>
        <v>0</v>
      </c>
      <c r="AH163" s="45">
        <f>IF(SUM($AA140:AH140)=0, 0, AH48)</f>
        <v>0</v>
      </c>
      <c r="AI163" s="45">
        <f>IF(SUM($AA140:AI140)=0, 0, AI48)</f>
        <v>0</v>
      </c>
      <c r="AJ163" s="45">
        <f>IF(SUM($AA140:AJ140)=0, 0, AJ48)</f>
        <v>0</v>
      </c>
      <c r="AK163" s="45">
        <f>IF(SUM($AA140:AK140)=0, 0, AK48)</f>
        <v>0</v>
      </c>
      <c r="AL163" s="45">
        <f>IF(SUM($AA140:AL140)=0, 0, AL48)</f>
        <v>0</v>
      </c>
      <c r="AM163" s="45">
        <f>IF(SUM($AA140:AM140)=0, 0, AM48)</f>
        <v>0</v>
      </c>
      <c r="AN163" s="45">
        <f>IF(SUM($AA140:AN140)=0, 0, AN48)</f>
        <v>0</v>
      </c>
      <c r="AO163" s="45">
        <f>IF(SUM($AA140:AO140)=0, 0, AO48)</f>
        <v>0</v>
      </c>
      <c r="AP163" s="45">
        <f>IF(SUM($AA140:AP140)=0, 0, AP48)</f>
        <v>0</v>
      </c>
      <c r="AQ163" s="45">
        <f>IF(SUM($AA140:AQ140)=0, 0, AQ48)</f>
        <v>0</v>
      </c>
      <c r="AR163" s="45">
        <f>IF(SUM($AA140:AR140)=0, 0, AR48)</f>
        <v>0</v>
      </c>
      <c r="AS163" s="45">
        <f>IF(SUM($AA140:AS140)=0, 0, AS48)</f>
        <v>0</v>
      </c>
      <c r="AT163" s="45">
        <f>IF(SUM($AA140:AT140)=0, 0, AT48)</f>
        <v>0</v>
      </c>
      <c r="AU163" s="45">
        <f>IF(SUM($AA140:AU140)=0, 0, AU48)</f>
        <v>0</v>
      </c>
      <c r="AV163" s="45">
        <f>IF(SUM($AA140:AV140)=0, 0, AV48)</f>
        <v>0</v>
      </c>
      <c r="AW163" s="45">
        <f>IF(SUM($AA140:AW140)=0, 0, AW48)</f>
        <v>0</v>
      </c>
      <c r="AX163" s="45">
        <f>IF(SUM($AA140:AX140)=0, 0, AX48)</f>
        <v>0</v>
      </c>
      <c r="AY163" s="45">
        <f>IF(SUM($AA140:AY140)=0, 0, AY48)</f>
        <v>0</v>
      </c>
      <c r="AZ163" s="45">
        <f>IF(SUM($AA140:AZ140)=0, 0, AZ48)</f>
        <v>0</v>
      </c>
      <c r="BA163" s="45">
        <f>IF(SUM($AA140:BA140)=0, 0, BA48)</f>
        <v>0</v>
      </c>
      <c r="BB163" s="45">
        <f>IF(SUM($AA140:BB140)=0, 0, BB48)</f>
        <v>0</v>
      </c>
      <c r="BC163" s="45">
        <f>IF(SUM($AA140:BC140)=0, 0, BC48)</f>
        <v>0</v>
      </c>
      <c r="BD163" s="45">
        <f>IF(SUM($AA140:BD140)=0, 0, BD48)</f>
        <v>0</v>
      </c>
      <c r="BE163" s="45">
        <f>IF(SUM($AA140:BE140)=0, 0, BE48)</f>
        <v>0</v>
      </c>
      <c r="BF163" s="45">
        <f>IF(SUM($AA140:BF140)=0, 0, BF48)</f>
        <v>0</v>
      </c>
      <c r="BG163" s="45">
        <f>IF(SUM($AA140:BG140)=0, 0, BG48)</f>
        <v>0</v>
      </c>
      <c r="BH163" s="45">
        <f>IF(SUM($AA140:BH140)=0, 0, BH48)</f>
        <v>0</v>
      </c>
      <c r="BI163" s="45">
        <f>IF(SUM($AA140:BI140)=0, 0, BI48)</f>
        <v>0</v>
      </c>
      <c r="BJ163" s="45">
        <f>IF(SUM($AA140:BJ140)=0, 0, BJ48)</f>
        <v>0</v>
      </c>
      <c r="BL163" s="136"/>
      <c r="BM163" s="136"/>
      <c r="BN163" s="136"/>
      <c r="BO163" s="136"/>
      <c r="BP163" s="45">
        <f>IF(SUM($BP140:BP140)=0, 0, BP48)</f>
        <v>0</v>
      </c>
      <c r="BQ163" s="45">
        <f>IF(SUM($BP140:BQ140)=0, 0, BQ48)</f>
        <v>0</v>
      </c>
      <c r="BR163" s="45">
        <f>IF(SUM($BP140:BR140)=0, 0, BR48)</f>
        <v>0</v>
      </c>
      <c r="BS163" s="45">
        <f>IF(SUM($BP140:BS140)=0, 0, BS48)</f>
        <v>0</v>
      </c>
      <c r="BT163" s="45">
        <f>IF(SUM($BP140:BT140)=0, 0, BT48)</f>
        <v>0</v>
      </c>
      <c r="BU163" s="45">
        <f>IF(SUM($BP140:BU140)=0, 0, BU48)</f>
        <v>0</v>
      </c>
      <c r="BV163" s="45">
        <f>IF(SUM($BP140:BV140)=0, 0, BV48)</f>
        <v>0</v>
      </c>
      <c r="BW163" s="45">
        <f>IF(SUM($BP140:BW140)=0, 0, BW48)</f>
        <v>0</v>
      </c>
      <c r="BY163" s="12"/>
      <c r="CA163" s="12"/>
      <c r="EX163" s="10" t="str">
        <f t="shared" si="123"/>
        <v/>
      </c>
    </row>
    <row r="164" spans="1:154" s="67" customFormat="1" x14ac:dyDescent="0.25">
      <c r="B164" s="67" t="str">
        <f ca="1">Loans!B$15</f>
        <v>Loan 3</v>
      </c>
      <c r="D164" s="62" t="str">
        <f>Loans!D$15</f>
        <v>NatWest</v>
      </c>
      <c r="E164" s="159" t="str">
        <f>IF(Loans!Q$15=0, "", Loans!Q$15)</f>
        <v/>
      </c>
      <c r="F164" s="10">
        <f>Loans!G$688</f>
        <v>0</v>
      </c>
      <c r="S164" s="279"/>
      <c r="T164" s="335"/>
      <c r="U164" s="335"/>
      <c r="V164" s="136"/>
      <c r="W164" s="136"/>
      <c r="X164" s="136"/>
      <c r="Y164" s="136"/>
      <c r="AA164" s="45">
        <f>IF(SUM($AA141:AA141)=0, 0, AA49)</f>
        <v>0</v>
      </c>
      <c r="AB164" s="45">
        <f>IF(SUM($AA141:AB141)=0, 0, AB49)</f>
        <v>0</v>
      </c>
      <c r="AC164" s="45">
        <f>IF(SUM($AA141:AC141)=0, 0, AC49)</f>
        <v>0</v>
      </c>
      <c r="AD164" s="45">
        <f>IF(SUM($AA141:AD141)=0, 0, AD49)</f>
        <v>0</v>
      </c>
      <c r="AE164" s="45">
        <f>IF(SUM($AA141:AE141)=0, 0, AE49)</f>
        <v>0</v>
      </c>
      <c r="AF164" s="45">
        <f>IF(SUM($AA141:AF141)=0, 0, AF49)</f>
        <v>0</v>
      </c>
      <c r="AG164" s="45">
        <f>IF(SUM($AA141:AG141)=0, 0, AG49)</f>
        <v>0</v>
      </c>
      <c r="AH164" s="45">
        <f>IF(SUM($AA141:AH141)=0, 0, AH49)</f>
        <v>0</v>
      </c>
      <c r="AI164" s="45">
        <f>IF(SUM($AA141:AI141)=0, 0, AI49)</f>
        <v>0</v>
      </c>
      <c r="AJ164" s="45">
        <f>IF(SUM($AA141:AJ141)=0, 0, AJ49)</f>
        <v>0</v>
      </c>
      <c r="AK164" s="45">
        <f>IF(SUM($AA141:AK141)=0, 0, AK49)</f>
        <v>0</v>
      </c>
      <c r="AL164" s="45">
        <f>IF(SUM($AA141:AL141)=0, 0, AL49)</f>
        <v>0</v>
      </c>
      <c r="AM164" s="45">
        <f>IF(SUM($AA141:AM141)=0, 0, AM49)</f>
        <v>0</v>
      </c>
      <c r="AN164" s="45">
        <f>IF(SUM($AA141:AN141)=0, 0, AN49)</f>
        <v>0</v>
      </c>
      <c r="AO164" s="45">
        <f>IF(SUM($AA141:AO141)=0, 0, AO49)</f>
        <v>0</v>
      </c>
      <c r="AP164" s="45">
        <f>IF(SUM($AA141:AP141)=0, 0, AP49)</f>
        <v>0</v>
      </c>
      <c r="AQ164" s="45">
        <f>IF(SUM($AA141:AQ141)=0, 0, AQ49)</f>
        <v>0</v>
      </c>
      <c r="AR164" s="45">
        <f>IF(SUM($AA141:AR141)=0, 0, AR49)</f>
        <v>0</v>
      </c>
      <c r="AS164" s="45">
        <f>IF(SUM($AA141:AS141)=0, 0, AS49)</f>
        <v>0</v>
      </c>
      <c r="AT164" s="45">
        <f>IF(SUM($AA141:AT141)=0, 0, AT49)</f>
        <v>0</v>
      </c>
      <c r="AU164" s="45">
        <f>IF(SUM($AA141:AU141)=0, 0, AU49)</f>
        <v>0</v>
      </c>
      <c r="AV164" s="45">
        <f>IF(SUM($AA141:AV141)=0, 0, AV49)</f>
        <v>0</v>
      </c>
      <c r="AW164" s="45">
        <f>IF(SUM($AA141:AW141)=0, 0, AW49)</f>
        <v>0</v>
      </c>
      <c r="AX164" s="45">
        <f>IF(SUM($AA141:AX141)=0, 0, AX49)</f>
        <v>0</v>
      </c>
      <c r="AY164" s="45">
        <f>IF(SUM($AA141:AY141)=0, 0, AY49)</f>
        <v>0</v>
      </c>
      <c r="AZ164" s="45">
        <f>IF(SUM($AA141:AZ141)=0, 0, AZ49)</f>
        <v>0</v>
      </c>
      <c r="BA164" s="45">
        <f>IF(SUM($AA141:BA141)=0, 0, BA49)</f>
        <v>0</v>
      </c>
      <c r="BB164" s="45">
        <f>IF(SUM($AA141:BB141)=0, 0, BB49)</f>
        <v>0</v>
      </c>
      <c r="BC164" s="45">
        <f>IF(SUM($AA141:BC141)=0, 0, BC49)</f>
        <v>0</v>
      </c>
      <c r="BD164" s="45">
        <f>IF(SUM($AA141:BD141)=0, 0, BD49)</f>
        <v>0</v>
      </c>
      <c r="BE164" s="45">
        <f>IF(SUM($AA141:BE141)=0, 0, BE49)</f>
        <v>0</v>
      </c>
      <c r="BF164" s="45">
        <f>IF(SUM($AA141:BF141)=0, 0, BF49)</f>
        <v>0</v>
      </c>
      <c r="BG164" s="45">
        <f>IF(SUM($AA141:BG141)=0, 0, BG49)</f>
        <v>0</v>
      </c>
      <c r="BH164" s="45">
        <f>IF(SUM($AA141:BH141)=0, 0, BH49)</f>
        <v>0</v>
      </c>
      <c r="BI164" s="45">
        <f>IF(SUM($AA141:BI141)=0, 0, BI49)</f>
        <v>0</v>
      </c>
      <c r="BJ164" s="45">
        <f>IF(SUM($AA141:BJ141)=0, 0, BJ49)</f>
        <v>0</v>
      </c>
      <c r="BL164" s="136"/>
      <c r="BM164" s="136"/>
      <c r="BN164" s="136"/>
      <c r="BO164" s="136"/>
      <c r="BP164" s="45">
        <f>IF(SUM($BP141:BP141)=0, 0, BP49)</f>
        <v>0</v>
      </c>
      <c r="BQ164" s="45">
        <f>IF(SUM($BP141:BQ141)=0, 0, BQ49)</f>
        <v>0</v>
      </c>
      <c r="BR164" s="45">
        <f>IF(SUM($BP141:BR141)=0, 0, BR49)</f>
        <v>0</v>
      </c>
      <c r="BS164" s="45">
        <f>IF(SUM($BP141:BS141)=0, 0, BS49)</f>
        <v>0</v>
      </c>
      <c r="BT164" s="45">
        <f>IF(SUM($BP141:BT141)=0, 0, BT49)</f>
        <v>0</v>
      </c>
      <c r="BU164" s="45">
        <f>IF(SUM($BP141:BU141)=0, 0, BU49)</f>
        <v>0</v>
      </c>
      <c r="BV164" s="45">
        <f>IF(SUM($BP141:BV141)=0, 0, BV49)</f>
        <v>0</v>
      </c>
      <c r="BW164" s="45">
        <f>IF(SUM($BP141:BW141)=0, 0, BW49)</f>
        <v>0</v>
      </c>
      <c r="BY164" s="12"/>
      <c r="CA164" s="12"/>
      <c r="EX164" s="10" t="str">
        <f t="shared" si="123"/>
        <v/>
      </c>
    </row>
    <row r="165" spans="1:154" s="67" customFormat="1" x14ac:dyDescent="0.25">
      <c r="B165" s="67" t="str">
        <f ca="1">Loans!B$16</f>
        <v>Loan 4</v>
      </c>
      <c r="D165" s="62" t="str">
        <f>Loans!D$16</f>
        <v>NatWest</v>
      </c>
      <c r="E165" s="159" t="str">
        <f>IF(Loans!Q$16=0, "", Loans!Q$16)</f>
        <v/>
      </c>
      <c r="F165" s="10">
        <f>Loans!G$689</f>
        <v>0</v>
      </c>
      <c r="S165" s="279"/>
      <c r="T165" s="335"/>
      <c r="U165" s="335"/>
      <c r="V165" s="136"/>
      <c r="W165" s="136"/>
      <c r="X165" s="136"/>
      <c r="Y165" s="136"/>
      <c r="AA165" s="45">
        <f>IF(SUM($AA142:AA142)=0, 0, AA50)</f>
        <v>0</v>
      </c>
      <c r="AB165" s="45">
        <f>IF(SUM($AA142:AB142)=0, 0, AB50)</f>
        <v>0</v>
      </c>
      <c r="AC165" s="45">
        <f>IF(SUM($AA142:AC142)=0, 0, AC50)</f>
        <v>0</v>
      </c>
      <c r="AD165" s="45">
        <f>IF(SUM($AA142:AD142)=0, 0, AD50)</f>
        <v>0</v>
      </c>
      <c r="AE165" s="45">
        <f>IF(SUM($AA142:AE142)=0, 0, AE50)</f>
        <v>0</v>
      </c>
      <c r="AF165" s="45">
        <f>IF(SUM($AA142:AF142)=0, 0, AF50)</f>
        <v>0</v>
      </c>
      <c r="AG165" s="45">
        <f>IF(SUM($AA142:AG142)=0, 0, AG50)</f>
        <v>0</v>
      </c>
      <c r="AH165" s="45">
        <f>IF(SUM($AA142:AH142)=0, 0, AH50)</f>
        <v>0</v>
      </c>
      <c r="AI165" s="45">
        <f>IF(SUM($AA142:AI142)=0, 0, AI50)</f>
        <v>0</v>
      </c>
      <c r="AJ165" s="45">
        <f>IF(SUM($AA142:AJ142)=0, 0, AJ50)</f>
        <v>0</v>
      </c>
      <c r="AK165" s="45">
        <f>IF(SUM($AA142:AK142)=0, 0, AK50)</f>
        <v>0</v>
      </c>
      <c r="AL165" s="45">
        <f>IF(SUM($AA142:AL142)=0, 0, AL50)</f>
        <v>0</v>
      </c>
      <c r="AM165" s="45">
        <f>IF(SUM($AA142:AM142)=0, 0, AM50)</f>
        <v>0</v>
      </c>
      <c r="AN165" s="45">
        <f>IF(SUM($AA142:AN142)=0, 0, AN50)</f>
        <v>0</v>
      </c>
      <c r="AO165" s="45">
        <f>IF(SUM($AA142:AO142)=0, 0, AO50)</f>
        <v>0</v>
      </c>
      <c r="AP165" s="45">
        <f>IF(SUM($AA142:AP142)=0, 0, AP50)</f>
        <v>0</v>
      </c>
      <c r="AQ165" s="45">
        <f>IF(SUM($AA142:AQ142)=0, 0, AQ50)</f>
        <v>0</v>
      </c>
      <c r="AR165" s="45">
        <f>IF(SUM($AA142:AR142)=0, 0, AR50)</f>
        <v>0</v>
      </c>
      <c r="AS165" s="45">
        <f>IF(SUM($AA142:AS142)=0, 0, AS50)</f>
        <v>0</v>
      </c>
      <c r="AT165" s="45">
        <f>IF(SUM($AA142:AT142)=0, 0, AT50)</f>
        <v>0</v>
      </c>
      <c r="AU165" s="45">
        <f>IF(SUM($AA142:AU142)=0, 0, AU50)</f>
        <v>0</v>
      </c>
      <c r="AV165" s="45">
        <f>IF(SUM($AA142:AV142)=0, 0, AV50)</f>
        <v>0</v>
      </c>
      <c r="AW165" s="45">
        <f>IF(SUM($AA142:AW142)=0, 0, AW50)</f>
        <v>0</v>
      </c>
      <c r="AX165" s="45">
        <f>IF(SUM($AA142:AX142)=0, 0, AX50)</f>
        <v>0</v>
      </c>
      <c r="AY165" s="45">
        <f>IF(SUM($AA142:AY142)=0, 0, AY50)</f>
        <v>0</v>
      </c>
      <c r="AZ165" s="45">
        <f>IF(SUM($AA142:AZ142)=0, 0, AZ50)</f>
        <v>0</v>
      </c>
      <c r="BA165" s="45">
        <f>IF(SUM($AA142:BA142)=0, 0, BA50)</f>
        <v>0</v>
      </c>
      <c r="BB165" s="45">
        <f>IF(SUM($AA142:BB142)=0, 0, BB50)</f>
        <v>0</v>
      </c>
      <c r="BC165" s="45">
        <f>IF(SUM($AA142:BC142)=0, 0, BC50)</f>
        <v>0</v>
      </c>
      <c r="BD165" s="45">
        <f>IF(SUM($AA142:BD142)=0, 0, BD50)</f>
        <v>0</v>
      </c>
      <c r="BE165" s="45">
        <f>IF(SUM($AA142:BE142)=0, 0, BE50)</f>
        <v>0</v>
      </c>
      <c r="BF165" s="45">
        <f>IF(SUM($AA142:BF142)=0, 0, BF50)</f>
        <v>0</v>
      </c>
      <c r="BG165" s="45">
        <f>IF(SUM($AA142:BG142)=0, 0, BG50)</f>
        <v>0</v>
      </c>
      <c r="BH165" s="45">
        <f>IF(SUM($AA142:BH142)=0, 0, BH50)</f>
        <v>0</v>
      </c>
      <c r="BI165" s="45">
        <f>IF(SUM($AA142:BI142)=0, 0, BI50)</f>
        <v>0</v>
      </c>
      <c r="BJ165" s="45">
        <f>IF(SUM($AA142:BJ142)=0, 0, BJ50)</f>
        <v>0</v>
      </c>
      <c r="BL165" s="136"/>
      <c r="BM165" s="136"/>
      <c r="BN165" s="136"/>
      <c r="BO165" s="136"/>
      <c r="BP165" s="45">
        <f>IF(SUM($BP142:BP142)=0, 0, BP50)</f>
        <v>0</v>
      </c>
      <c r="BQ165" s="45">
        <f>IF(SUM($BP142:BQ142)=0, 0, BQ50)</f>
        <v>0</v>
      </c>
      <c r="BR165" s="45">
        <f>IF(SUM($BP142:BR142)=0, 0, BR50)</f>
        <v>0</v>
      </c>
      <c r="BS165" s="45">
        <f>IF(SUM($BP142:BS142)=0, 0, BS50)</f>
        <v>0</v>
      </c>
      <c r="BT165" s="45">
        <f>IF(SUM($BP142:BT142)=0, 0, BT50)</f>
        <v>0</v>
      </c>
      <c r="BU165" s="45">
        <f>IF(SUM($BP142:BU142)=0, 0, BU50)</f>
        <v>0</v>
      </c>
      <c r="BV165" s="45">
        <f>IF(SUM($BP142:BV142)=0, 0, BV50)</f>
        <v>0</v>
      </c>
      <c r="BW165" s="45">
        <f>IF(SUM($BP142:BW142)=0, 0, BW50)</f>
        <v>0</v>
      </c>
      <c r="BY165" s="12"/>
      <c r="CA165" s="12"/>
      <c r="EX165" s="10" t="str">
        <f t="shared" si="123"/>
        <v/>
      </c>
    </row>
    <row r="166" spans="1:154" s="67" customFormat="1" x14ac:dyDescent="0.25">
      <c r="B166" s="67" t="str">
        <f ca="1">Loans!B$17</f>
        <v>Loan 5</v>
      </c>
      <c r="D166" s="62" t="str">
        <f>Loans!D$17</f>
        <v>NatWest</v>
      </c>
      <c r="E166" s="159" t="str">
        <f>IF(Loans!Q$17=0, "", Loans!Q$17)</f>
        <v/>
      </c>
      <c r="F166" s="10">
        <f>Loans!G$690</f>
        <v>0</v>
      </c>
      <c r="S166" s="279"/>
      <c r="T166" s="335"/>
      <c r="U166" s="335"/>
      <c r="V166" s="136"/>
      <c r="W166" s="136"/>
      <c r="X166" s="136"/>
      <c r="Y166" s="136"/>
      <c r="AA166" s="45">
        <f>IF(SUM($AA143:AA143)=0, 0, AA51)</f>
        <v>0</v>
      </c>
      <c r="AB166" s="45">
        <f>IF(SUM($AA143:AB143)=0, 0, AB51)</f>
        <v>0</v>
      </c>
      <c r="AC166" s="45">
        <f>IF(SUM($AA143:AC143)=0, 0, AC51)</f>
        <v>0</v>
      </c>
      <c r="AD166" s="45">
        <f>IF(SUM($AA143:AD143)=0, 0, AD51)</f>
        <v>0</v>
      </c>
      <c r="AE166" s="45">
        <f>IF(SUM($AA143:AE143)=0, 0, AE51)</f>
        <v>0</v>
      </c>
      <c r="AF166" s="45">
        <f>IF(SUM($AA143:AF143)=0, 0, AF51)</f>
        <v>0</v>
      </c>
      <c r="AG166" s="45">
        <f>IF(SUM($AA143:AG143)=0, 0, AG51)</f>
        <v>0</v>
      </c>
      <c r="AH166" s="45">
        <f>IF(SUM($AA143:AH143)=0, 0, AH51)</f>
        <v>0</v>
      </c>
      <c r="AI166" s="45">
        <f>IF(SUM($AA143:AI143)=0, 0, AI51)</f>
        <v>0</v>
      </c>
      <c r="AJ166" s="45">
        <f>IF(SUM($AA143:AJ143)=0, 0, AJ51)</f>
        <v>0</v>
      </c>
      <c r="AK166" s="45">
        <f>IF(SUM($AA143:AK143)=0, 0, AK51)</f>
        <v>0</v>
      </c>
      <c r="AL166" s="45">
        <f>IF(SUM($AA143:AL143)=0, 0, AL51)</f>
        <v>0</v>
      </c>
      <c r="AM166" s="45">
        <f>IF(SUM($AA143:AM143)=0, 0, AM51)</f>
        <v>0</v>
      </c>
      <c r="AN166" s="45">
        <f>IF(SUM($AA143:AN143)=0, 0, AN51)</f>
        <v>0</v>
      </c>
      <c r="AO166" s="45">
        <f>IF(SUM($AA143:AO143)=0, 0, AO51)</f>
        <v>0</v>
      </c>
      <c r="AP166" s="45">
        <f>IF(SUM($AA143:AP143)=0, 0, AP51)</f>
        <v>0</v>
      </c>
      <c r="AQ166" s="45">
        <f>IF(SUM($AA143:AQ143)=0, 0, AQ51)</f>
        <v>0</v>
      </c>
      <c r="AR166" s="45">
        <f>IF(SUM($AA143:AR143)=0, 0, AR51)</f>
        <v>0</v>
      </c>
      <c r="AS166" s="45">
        <f>IF(SUM($AA143:AS143)=0, 0, AS51)</f>
        <v>0</v>
      </c>
      <c r="AT166" s="45">
        <f>IF(SUM($AA143:AT143)=0, 0, AT51)</f>
        <v>0</v>
      </c>
      <c r="AU166" s="45">
        <f>IF(SUM($AA143:AU143)=0, 0, AU51)</f>
        <v>0</v>
      </c>
      <c r="AV166" s="45">
        <f>IF(SUM($AA143:AV143)=0, 0, AV51)</f>
        <v>0</v>
      </c>
      <c r="AW166" s="45">
        <f>IF(SUM($AA143:AW143)=0, 0, AW51)</f>
        <v>0</v>
      </c>
      <c r="AX166" s="45">
        <f>IF(SUM($AA143:AX143)=0, 0, AX51)</f>
        <v>0</v>
      </c>
      <c r="AY166" s="45">
        <f>IF(SUM($AA143:AY143)=0, 0, AY51)</f>
        <v>0</v>
      </c>
      <c r="AZ166" s="45">
        <f>IF(SUM($AA143:AZ143)=0, 0, AZ51)</f>
        <v>0</v>
      </c>
      <c r="BA166" s="45">
        <f>IF(SUM($AA143:BA143)=0, 0, BA51)</f>
        <v>0</v>
      </c>
      <c r="BB166" s="45">
        <f>IF(SUM($AA143:BB143)=0, 0, BB51)</f>
        <v>0</v>
      </c>
      <c r="BC166" s="45">
        <f>IF(SUM($AA143:BC143)=0, 0, BC51)</f>
        <v>0</v>
      </c>
      <c r="BD166" s="45">
        <f>IF(SUM($AA143:BD143)=0, 0, BD51)</f>
        <v>0</v>
      </c>
      <c r="BE166" s="45">
        <f>IF(SUM($AA143:BE143)=0, 0, BE51)</f>
        <v>0</v>
      </c>
      <c r="BF166" s="45">
        <f>IF(SUM($AA143:BF143)=0, 0, BF51)</f>
        <v>0</v>
      </c>
      <c r="BG166" s="45">
        <f>IF(SUM($AA143:BG143)=0, 0, BG51)</f>
        <v>0</v>
      </c>
      <c r="BH166" s="45">
        <f>IF(SUM($AA143:BH143)=0, 0, BH51)</f>
        <v>0</v>
      </c>
      <c r="BI166" s="45">
        <f>IF(SUM($AA143:BI143)=0, 0, BI51)</f>
        <v>0</v>
      </c>
      <c r="BJ166" s="45">
        <f>IF(SUM($AA143:BJ143)=0, 0, BJ51)</f>
        <v>0</v>
      </c>
      <c r="BL166" s="136"/>
      <c r="BM166" s="136"/>
      <c r="BN166" s="136"/>
      <c r="BO166" s="136"/>
      <c r="BP166" s="45">
        <f>IF(SUM($BP143:BP143)=0, 0, BP51)</f>
        <v>0</v>
      </c>
      <c r="BQ166" s="45">
        <f>IF(SUM($BP143:BQ143)=0, 0, BQ51)</f>
        <v>0</v>
      </c>
      <c r="BR166" s="45">
        <f>IF(SUM($BP143:BR143)=0, 0, BR51)</f>
        <v>0</v>
      </c>
      <c r="BS166" s="45">
        <f>IF(SUM($BP143:BS143)=0, 0, BS51)</f>
        <v>0</v>
      </c>
      <c r="BT166" s="45">
        <f>IF(SUM($BP143:BT143)=0, 0, BT51)</f>
        <v>0</v>
      </c>
      <c r="BU166" s="45">
        <f>IF(SUM($BP143:BU143)=0, 0, BU51)</f>
        <v>0</v>
      </c>
      <c r="BV166" s="45">
        <f>IF(SUM($BP143:BV143)=0, 0, BV51)</f>
        <v>0</v>
      </c>
      <c r="BW166" s="45">
        <f>IF(SUM($BP143:BW143)=0, 0, BW51)</f>
        <v>0</v>
      </c>
      <c r="BY166" s="12"/>
      <c r="CA166" s="12"/>
      <c r="EX166" s="10" t="str">
        <f t="shared" si="123"/>
        <v/>
      </c>
    </row>
    <row r="167" spans="1:154" s="67" customFormat="1" x14ac:dyDescent="0.25">
      <c r="B167" s="67" t="str">
        <f ca="1">Loans!B$18</f>
        <v>Loan 6</v>
      </c>
      <c r="D167" s="62">
        <f>Loans!D$18</f>
        <v>0</v>
      </c>
      <c r="E167" s="159" t="str">
        <f>IF(Loans!Q$18=0, "", Loans!Q$18)</f>
        <v/>
      </c>
      <c r="F167" s="10">
        <f>Loans!G$691</f>
        <v>0</v>
      </c>
      <c r="S167" s="279"/>
      <c r="T167" s="335"/>
      <c r="U167" s="335"/>
      <c r="V167" s="136"/>
      <c r="W167" s="136"/>
      <c r="X167" s="136"/>
      <c r="Y167" s="136"/>
      <c r="AA167" s="45">
        <f>IF(SUM($AA144:AA144)=0, 0, AA52)</f>
        <v>0</v>
      </c>
      <c r="AB167" s="45">
        <f>IF(SUM($AA144:AB144)=0, 0, AB52)</f>
        <v>0</v>
      </c>
      <c r="AC167" s="45">
        <f>IF(SUM($AA144:AC144)=0, 0, AC52)</f>
        <v>0</v>
      </c>
      <c r="AD167" s="45">
        <f>IF(SUM($AA144:AD144)=0, 0, AD52)</f>
        <v>0</v>
      </c>
      <c r="AE167" s="45">
        <f>IF(SUM($AA144:AE144)=0, 0, AE52)</f>
        <v>0</v>
      </c>
      <c r="AF167" s="45">
        <f>IF(SUM($AA144:AF144)=0, 0, AF52)</f>
        <v>0</v>
      </c>
      <c r="AG167" s="45">
        <f>IF(SUM($AA144:AG144)=0, 0, AG52)</f>
        <v>0</v>
      </c>
      <c r="AH167" s="45">
        <f>IF(SUM($AA144:AH144)=0, 0, AH52)</f>
        <v>0</v>
      </c>
      <c r="AI167" s="45">
        <f>IF(SUM($AA144:AI144)=0, 0, AI52)</f>
        <v>0</v>
      </c>
      <c r="AJ167" s="45">
        <f>IF(SUM($AA144:AJ144)=0, 0, AJ52)</f>
        <v>0</v>
      </c>
      <c r="AK167" s="45">
        <f>IF(SUM($AA144:AK144)=0, 0, AK52)</f>
        <v>0</v>
      </c>
      <c r="AL167" s="45">
        <f>IF(SUM($AA144:AL144)=0, 0, AL52)</f>
        <v>0</v>
      </c>
      <c r="AM167" s="45">
        <f>IF(SUM($AA144:AM144)=0, 0, AM52)</f>
        <v>0</v>
      </c>
      <c r="AN167" s="45">
        <f>IF(SUM($AA144:AN144)=0, 0, AN52)</f>
        <v>0</v>
      </c>
      <c r="AO167" s="45">
        <f>IF(SUM($AA144:AO144)=0, 0, AO52)</f>
        <v>0</v>
      </c>
      <c r="AP167" s="45">
        <f>IF(SUM($AA144:AP144)=0, 0, AP52)</f>
        <v>0</v>
      </c>
      <c r="AQ167" s="45">
        <f>IF(SUM($AA144:AQ144)=0, 0, AQ52)</f>
        <v>0</v>
      </c>
      <c r="AR167" s="45">
        <f>IF(SUM($AA144:AR144)=0, 0, AR52)</f>
        <v>0</v>
      </c>
      <c r="AS167" s="45">
        <f>IF(SUM($AA144:AS144)=0, 0, AS52)</f>
        <v>0</v>
      </c>
      <c r="AT167" s="45">
        <f>IF(SUM($AA144:AT144)=0, 0, AT52)</f>
        <v>0</v>
      </c>
      <c r="AU167" s="45">
        <f>IF(SUM($AA144:AU144)=0, 0, AU52)</f>
        <v>0</v>
      </c>
      <c r="AV167" s="45">
        <f>IF(SUM($AA144:AV144)=0, 0, AV52)</f>
        <v>0</v>
      </c>
      <c r="AW167" s="45">
        <f>IF(SUM($AA144:AW144)=0, 0, AW52)</f>
        <v>0</v>
      </c>
      <c r="AX167" s="45">
        <f>IF(SUM($AA144:AX144)=0, 0, AX52)</f>
        <v>0</v>
      </c>
      <c r="AY167" s="45">
        <f>IF(SUM($AA144:AY144)=0, 0, AY52)</f>
        <v>0</v>
      </c>
      <c r="AZ167" s="45">
        <f>IF(SUM($AA144:AZ144)=0, 0, AZ52)</f>
        <v>0</v>
      </c>
      <c r="BA167" s="45">
        <f>IF(SUM($AA144:BA144)=0, 0, BA52)</f>
        <v>0</v>
      </c>
      <c r="BB167" s="45">
        <f>IF(SUM($AA144:BB144)=0, 0, BB52)</f>
        <v>0</v>
      </c>
      <c r="BC167" s="45">
        <f>IF(SUM($AA144:BC144)=0, 0, BC52)</f>
        <v>0</v>
      </c>
      <c r="BD167" s="45">
        <f>IF(SUM($AA144:BD144)=0, 0, BD52)</f>
        <v>0</v>
      </c>
      <c r="BE167" s="45">
        <f>IF(SUM($AA144:BE144)=0, 0, BE52)</f>
        <v>0</v>
      </c>
      <c r="BF167" s="45">
        <f>IF(SUM($AA144:BF144)=0, 0, BF52)</f>
        <v>0</v>
      </c>
      <c r="BG167" s="45">
        <f>IF(SUM($AA144:BG144)=0, 0, BG52)</f>
        <v>0</v>
      </c>
      <c r="BH167" s="45">
        <f>IF(SUM($AA144:BH144)=0, 0, BH52)</f>
        <v>0</v>
      </c>
      <c r="BI167" s="45">
        <f>IF(SUM($AA144:BI144)=0, 0, BI52)</f>
        <v>0</v>
      </c>
      <c r="BJ167" s="45">
        <f>IF(SUM($AA144:BJ144)=0, 0, BJ52)</f>
        <v>0</v>
      </c>
      <c r="BL167" s="136"/>
      <c r="BM167" s="136"/>
      <c r="BN167" s="136"/>
      <c r="BO167" s="136"/>
      <c r="BP167" s="45">
        <f>IF(SUM($BP144:BP144)=0, 0, BP52)</f>
        <v>0</v>
      </c>
      <c r="BQ167" s="45">
        <f>IF(SUM($BP144:BQ144)=0, 0, BQ52)</f>
        <v>0</v>
      </c>
      <c r="BR167" s="45">
        <f>IF(SUM($BP144:BR144)=0, 0, BR52)</f>
        <v>0</v>
      </c>
      <c r="BS167" s="45">
        <f>IF(SUM($BP144:BS144)=0, 0, BS52)</f>
        <v>0</v>
      </c>
      <c r="BT167" s="45">
        <f>IF(SUM($BP144:BT144)=0, 0, BT52)</f>
        <v>0</v>
      </c>
      <c r="BU167" s="45">
        <f>IF(SUM($BP144:BU144)=0, 0, BU52)</f>
        <v>0</v>
      </c>
      <c r="BV167" s="45">
        <f>IF(SUM($BP144:BV144)=0, 0, BV52)</f>
        <v>0</v>
      </c>
      <c r="BW167" s="45">
        <f>IF(SUM($BP144:BW144)=0, 0, BW52)</f>
        <v>0</v>
      </c>
      <c r="BY167" s="12"/>
      <c r="CA167" s="12"/>
      <c r="EX167" s="10" t="str">
        <f t="shared" si="123"/>
        <v/>
      </c>
    </row>
    <row r="168" spans="1:154" s="5" customFormat="1" x14ac:dyDescent="0.25">
      <c r="A168" s="67"/>
      <c r="B168" s="67" t="str">
        <f ca="1">Loans!B$19</f>
        <v>Loan 7</v>
      </c>
      <c r="D168" s="62">
        <f>Loans!D$19</f>
        <v>0</v>
      </c>
      <c r="E168" s="159" t="str">
        <f>IF(Loans!Q$19=0, "", Loans!Q$19)</f>
        <v/>
      </c>
      <c r="F168" s="10">
        <f>Loans!G$692</f>
        <v>0</v>
      </c>
      <c r="G168" s="67"/>
      <c r="H168" s="67"/>
      <c r="I168" s="67"/>
      <c r="J168" s="67"/>
      <c r="K168" s="67"/>
      <c r="M168" s="67"/>
      <c r="N168" s="67"/>
      <c r="O168" s="67"/>
      <c r="P168" s="67"/>
      <c r="Q168" s="67"/>
      <c r="S168" s="279"/>
      <c r="T168" s="335"/>
      <c r="U168" s="335"/>
      <c r="V168" s="136"/>
      <c r="W168" s="136"/>
      <c r="X168" s="136"/>
      <c r="Y168" s="136"/>
      <c r="Z168" s="67"/>
      <c r="AA168" s="45">
        <f>IF(SUM($AA145:AA145)=0, 0, AA53)</f>
        <v>0</v>
      </c>
      <c r="AB168" s="45">
        <f>IF(SUM($AA145:AB145)=0, 0, AB53)</f>
        <v>0</v>
      </c>
      <c r="AC168" s="45">
        <f>IF(SUM($AA145:AC145)=0, 0, AC53)</f>
        <v>0</v>
      </c>
      <c r="AD168" s="45">
        <f>IF(SUM($AA145:AD145)=0, 0, AD53)</f>
        <v>0</v>
      </c>
      <c r="AE168" s="45">
        <f>IF(SUM($AA145:AE145)=0, 0, AE53)</f>
        <v>0</v>
      </c>
      <c r="AF168" s="45">
        <f>IF(SUM($AA145:AF145)=0, 0, AF53)</f>
        <v>0</v>
      </c>
      <c r="AG168" s="45">
        <f>IF(SUM($AA145:AG145)=0, 0, AG53)</f>
        <v>0</v>
      </c>
      <c r="AH168" s="45">
        <f>IF(SUM($AA145:AH145)=0, 0, AH53)</f>
        <v>0</v>
      </c>
      <c r="AI168" s="45">
        <f>IF(SUM($AA145:AI145)=0, 0, AI53)</f>
        <v>0</v>
      </c>
      <c r="AJ168" s="45">
        <f>IF(SUM($AA145:AJ145)=0, 0, AJ53)</f>
        <v>0</v>
      </c>
      <c r="AK168" s="45">
        <f>IF(SUM($AA145:AK145)=0, 0, AK53)</f>
        <v>0</v>
      </c>
      <c r="AL168" s="45">
        <f>IF(SUM($AA145:AL145)=0, 0, AL53)</f>
        <v>0</v>
      </c>
      <c r="AM168" s="45">
        <f>IF(SUM($AA145:AM145)=0, 0, AM53)</f>
        <v>0</v>
      </c>
      <c r="AN168" s="45">
        <f>IF(SUM($AA145:AN145)=0, 0, AN53)</f>
        <v>0</v>
      </c>
      <c r="AO168" s="45">
        <f>IF(SUM($AA145:AO145)=0, 0, AO53)</f>
        <v>0</v>
      </c>
      <c r="AP168" s="45">
        <f>IF(SUM($AA145:AP145)=0, 0, AP53)</f>
        <v>0</v>
      </c>
      <c r="AQ168" s="45">
        <f>IF(SUM($AA145:AQ145)=0, 0, AQ53)</f>
        <v>0</v>
      </c>
      <c r="AR168" s="45">
        <f>IF(SUM($AA145:AR145)=0, 0, AR53)</f>
        <v>0</v>
      </c>
      <c r="AS168" s="45">
        <f>IF(SUM($AA145:AS145)=0, 0, AS53)</f>
        <v>0</v>
      </c>
      <c r="AT168" s="45">
        <f>IF(SUM($AA145:AT145)=0, 0, AT53)</f>
        <v>0</v>
      </c>
      <c r="AU168" s="45">
        <f>IF(SUM($AA145:AU145)=0, 0, AU53)</f>
        <v>0</v>
      </c>
      <c r="AV168" s="45">
        <f>IF(SUM($AA145:AV145)=0, 0, AV53)</f>
        <v>0</v>
      </c>
      <c r="AW168" s="45">
        <f>IF(SUM($AA145:AW145)=0, 0, AW53)</f>
        <v>0</v>
      </c>
      <c r="AX168" s="45">
        <f>IF(SUM($AA145:AX145)=0, 0, AX53)</f>
        <v>0</v>
      </c>
      <c r="AY168" s="45">
        <f>IF(SUM($AA145:AY145)=0, 0, AY53)</f>
        <v>0</v>
      </c>
      <c r="AZ168" s="45">
        <f>IF(SUM($AA145:AZ145)=0, 0, AZ53)</f>
        <v>0</v>
      </c>
      <c r="BA168" s="45">
        <f>IF(SUM($AA145:BA145)=0, 0, BA53)</f>
        <v>0</v>
      </c>
      <c r="BB168" s="45">
        <f>IF(SUM($AA145:BB145)=0, 0, BB53)</f>
        <v>0</v>
      </c>
      <c r="BC168" s="45">
        <f>IF(SUM($AA145:BC145)=0, 0, BC53)</f>
        <v>0</v>
      </c>
      <c r="BD168" s="45">
        <f>IF(SUM($AA145:BD145)=0, 0, BD53)</f>
        <v>0</v>
      </c>
      <c r="BE168" s="45">
        <f>IF(SUM($AA145:BE145)=0, 0, BE53)</f>
        <v>0</v>
      </c>
      <c r="BF168" s="45">
        <f>IF(SUM($AA145:BF145)=0, 0, BF53)</f>
        <v>0</v>
      </c>
      <c r="BG168" s="45">
        <f>IF(SUM($AA145:BG145)=0, 0, BG53)</f>
        <v>0</v>
      </c>
      <c r="BH168" s="45">
        <f>IF(SUM($AA145:BH145)=0, 0, BH53)</f>
        <v>0</v>
      </c>
      <c r="BI168" s="45">
        <f>IF(SUM($AA145:BI145)=0, 0, BI53)</f>
        <v>0</v>
      </c>
      <c r="BJ168" s="45">
        <f>IF(SUM($AA145:BJ145)=0, 0, BJ53)</f>
        <v>0</v>
      </c>
      <c r="BK168" s="67"/>
      <c r="BL168" s="136"/>
      <c r="BM168" s="136"/>
      <c r="BN168" s="136"/>
      <c r="BO168" s="136"/>
      <c r="BP168" s="45">
        <f>IF(SUM($BP145:BP145)=0, 0, BP53)</f>
        <v>0</v>
      </c>
      <c r="BQ168" s="45">
        <f>IF(SUM($BP145:BQ145)=0, 0, BQ53)</f>
        <v>0</v>
      </c>
      <c r="BR168" s="45">
        <f>IF(SUM($BP145:BR145)=0, 0, BR53)</f>
        <v>0</v>
      </c>
      <c r="BS168" s="45">
        <f>IF(SUM($BP145:BS145)=0, 0, BS53)</f>
        <v>0</v>
      </c>
      <c r="BT168" s="45">
        <f>IF(SUM($BP145:BT145)=0, 0, BT53)</f>
        <v>0</v>
      </c>
      <c r="BU168" s="45">
        <f>IF(SUM($BP145:BU145)=0, 0, BU53)</f>
        <v>0</v>
      </c>
      <c r="BV168" s="45">
        <f>IF(SUM($BP145:BV145)=0, 0, BV53)</f>
        <v>0</v>
      </c>
      <c r="BW168" s="45">
        <f>IF(SUM($BP145:BW145)=0, 0, BW53)</f>
        <v>0</v>
      </c>
      <c r="BX168" s="67"/>
      <c r="BY168" s="12"/>
      <c r="BZ168" s="67"/>
      <c r="CA168" s="12"/>
      <c r="EX168" s="10" t="str">
        <f t="shared" si="123"/>
        <v/>
      </c>
    </row>
    <row r="169" spans="1:154" s="67" customFormat="1" x14ac:dyDescent="0.25">
      <c r="B169" s="67" t="str">
        <f ca="1">Loans!B$20</f>
        <v>Loan 8</v>
      </c>
      <c r="D169" s="62">
        <f>Loans!D$20</f>
        <v>0</v>
      </c>
      <c r="E169" s="159" t="str">
        <f>IF(Loans!Q$20=0, "", Loans!Q$20)</f>
        <v/>
      </c>
      <c r="F169" s="10">
        <f>Loans!G$693</f>
        <v>0</v>
      </c>
      <c r="S169" s="279"/>
      <c r="T169" s="335"/>
      <c r="U169" s="335"/>
      <c r="V169" s="136"/>
      <c r="W169" s="136"/>
      <c r="X169" s="136"/>
      <c r="Y169" s="136"/>
      <c r="AA169" s="45">
        <f>IF(SUM($AA146:AA146)=0, 0, AA54)</f>
        <v>0</v>
      </c>
      <c r="AB169" s="45">
        <f>IF(SUM($AA146:AB146)=0, 0, AB54)</f>
        <v>0</v>
      </c>
      <c r="AC169" s="45">
        <f>IF(SUM($AA146:AC146)=0, 0, AC54)</f>
        <v>0</v>
      </c>
      <c r="AD169" s="45">
        <f>IF(SUM($AA146:AD146)=0, 0, AD54)</f>
        <v>0</v>
      </c>
      <c r="AE169" s="45">
        <f>IF(SUM($AA146:AE146)=0, 0, AE54)</f>
        <v>0</v>
      </c>
      <c r="AF169" s="45">
        <f>IF(SUM($AA146:AF146)=0, 0, AF54)</f>
        <v>0</v>
      </c>
      <c r="AG169" s="45">
        <f>IF(SUM($AA146:AG146)=0, 0, AG54)</f>
        <v>0</v>
      </c>
      <c r="AH169" s="45">
        <f>IF(SUM($AA146:AH146)=0, 0, AH54)</f>
        <v>0</v>
      </c>
      <c r="AI169" s="45">
        <f>IF(SUM($AA146:AI146)=0, 0, AI54)</f>
        <v>0</v>
      </c>
      <c r="AJ169" s="45">
        <f>IF(SUM($AA146:AJ146)=0, 0, AJ54)</f>
        <v>0</v>
      </c>
      <c r="AK169" s="45">
        <f>IF(SUM($AA146:AK146)=0, 0, AK54)</f>
        <v>0</v>
      </c>
      <c r="AL169" s="45">
        <f>IF(SUM($AA146:AL146)=0, 0, AL54)</f>
        <v>0</v>
      </c>
      <c r="AM169" s="45">
        <f>IF(SUM($AA146:AM146)=0, 0, AM54)</f>
        <v>0</v>
      </c>
      <c r="AN169" s="45">
        <f>IF(SUM($AA146:AN146)=0, 0, AN54)</f>
        <v>0</v>
      </c>
      <c r="AO169" s="45">
        <f>IF(SUM($AA146:AO146)=0, 0, AO54)</f>
        <v>0</v>
      </c>
      <c r="AP169" s="45">
        <f>IF(SUM($AA146:AP146)=0, 0, AP54)</f>
        <v>0</v>
      </c>
      <c r="AQ169" s="45">
        <f>IF(SUM($AA146:AQ146)=0, 0, AQ54)</f>
        <v>0</v>
      </c>
      <c r="AR169" s="45">
        <f>IF(SUM($AA146:AR146)=0, 0, AR54)</f>
        <v>0</v>
      </c>
      <c r="AS169" s="45">
        <f>IF(SUM($AA146:AS146)=0, 0, AS54)</f>
        <v>0</v>
      </c>
      <c r="AT169" s="45">
        <f>IF(SUM($AA146:AT146)=0, 0, AT54)</f>
        <v>0</v>
      </c>
      <c r="AU169" s="45">
        <f>IF(SUM($AA146:AU146)=0, 0, AU54)</f>
        <v>0</v>
      </c>
      <c r="AV169" s="45">
        <f>IF(SUM($AA146:AV146)=0, 0, AV54)</f>
        <v>0</v>
      </c>
      <c r="AW169" s="45">
        <f>IF(SUM($AA146:AW146)=0, 0, AW54)</f>
        <v>0</v>
      </c>
      <c r="AX169" s="45">
        <f>IF(SUM($AA146:AX146)=0, 0, AX54)</f>
        <v>0</v>
      </c>
      <c r="AY169" s="45">
        <f>IF(SUM($AA146:AY146)=0, 0, AY54)</f>
        <v>0</v>
      </c>
      <c r="AZ169" s="45">
        <f>IF(SUM($AA146:AZ146)=0, 0, AZ54)</f>
        <v>0</v>
      </c>
      <c r="BA169" s="45">
        <f>IF(SUM($AA146:BA146)=0, 0, BA54)</f>
        <v>0</v>
      </c>
      <c r="BB169" s="45">
        <f>IF(SUM($AA146:BB146)=0, 0, BB54)</f>
        <v>0</v>
      </c>
      <c r="BC169" s="45">
        <f>IF(SUM($AA146:BC146)=0, 0, BC54)</f>
        <v>0</v>
      </c>
      <c r="BD169" s="45">
        <f>IF(SUM($AA146:BD146)=0, 0, BD54)</f>
        <v>0</v>
      </c>
      <c r="BE169" s="45">
        <f>IF(SUM($AA146:BE146)=0, 0, BE54)</f>
        <v>0</v>
      </c>
      <c r="BF169" s="45">
        <f>IF(SUM($AA146:BF146)=0, 0, BF54)</f>
        <v>0</v>
      </c>
      <c r="BG169" s="45">
        <f>IF(SUM($AA146:BG146)=0, 0, BG54)</f>
        <v>0</v>
      </c>
      <c r="BH169" s="45">
        <f>IF(SUM($AA146:BH146)=0, 0, BH54)</f>
        <v>0</v>
      </c>
      <c r="BI169" s="45">
        <f>IF(SUM($AA146:BI146)=0, 0, BI54)</f>
        <v>0</v>
      </c>
      <c r="BJ169" s="45">
        <f>IF(SUM($AA146:BJ146)=0, 0, BJ54)</f>
        <v>0</v>
      </c>
      <c r="BL169" s="136"/>
      <c r="BM169" s="136"/>
      <c r="BN169" s="136"/>
      <c r="BO169" s="136"/>
      <c r="BP169" s="45">
        <f>IF(SUM($BP146:BP146)=0, 0, BP54)</f>
        <v>0</v>
      </c>
      <c r="BQ169" s="45">
        <f>IF(SUM($BP146:BQ146)=0, 0, BQ54)</f>
        <v>0</v>
      </c>
      <c r="BR169" s="45">
        <f>IF(SUM($BP146:BR146)=0, 0, BR54)</f>
        <v>0</v>
      </c>
      <c r="BS169" s="45">
        <f>IF(SUM($BP146:BS146)=0, 0, BS54)</f>
        <v>0</v>
      </c>
      <c r="BT169" s="45">
        <f>IF(SUM($BP146:BT146)=0, 0, BT54)</f>
        <v>0</v>
      </c>
      <c r="BU169" s="45">
        <f>IF(SUM($BP146:BU146)=0, 0, BU54)</f>
        <v>0</v>
      </c>
      <c r="BV169" s="45">
        <f>IF(SUM($BP146:BV146)=0, 0, BV54)</f>
        <v>0</v>
      </c>
      <c r="BW169" s="45">
        <f>IF(SUM($BP146:BW146)=0, 0, BW54)</f>
        <v>0</v>
      </c>
      <c r="BY169" s="12"/>
      <c r="CA169" s="12"/>
      <c r="EX169" s="10" t="str">
        <f t="shared" si="123"/>
        <v/>
      </c>
    </row>
    <row r="170" spans="1:154" s="67" customFormat="1" x14ac:dyDescent="0.25">
      <c r="B170" s="67" t="str">
        <f ca="1">Loans!B$21</f>
        <v>Loan 9</v>
      </c>
      <c r="D170" s="62">
        <f>Loans!D$21</f>
        <v>0</v>
      </c>
      <c r="E170" s="159" t="str">
        <f>IF(Loans!Q$21=0, "", Loans!Q$21)</f>
        <v/>
      </c>
      <c r="F170" s="10">
        <f>Loans!G$694</f>
        <v>0</v>
      </c>
      <c r="S170" s="279"/>
      <c r="T170" s="335"/>
      <c r="U170" s="335"/>
      <c r="V170" s="136"/>
      <c r="W170" s="136"/>
      <c r="X170" s="136"/>
      <c r="Y170" s="136"/>
      <c r="AA170" s="45">
        <f>IF(SUM($AA147:AA147)=0, 0, AA55)</f>
        <v>0</v>
      </c>
      <c r="AB170" s="45">
        <f>IF(SUM($AA147:AB147)=0, 0, AB55)</f>
        <v>0</v>
      </c>
      <c r="AC170" s="45">
        <f>IF(SUM($AA147:AC147)=0, 0, AC55)</f>
        <v>0</v>
      </c>
      <c r="AD170" s="45">
        <f>IF(SUM($AA147:AD147)=0, 0, AD55)</f>
        <v>0</v>
      </c>
      <c r="AE170" s="45">
        <f>IF(SUM($AA147:AE147)=0, 0, AE55)</f>
        <v>0</v>
      </c>
      <c r="AF170" s="45">
        <f>IF(SUM($AA147:AF147)=0, 0, AF55)</f>
        <v>0</v>
      </c>
      <c r="AG170" s="45">
        <f>IF(SUM($AA147:AG147)=0, 0, AG55)</f>
        <v>0</v>
      </c>
      <c r="AH170" s="45">
        <f>IF(SUM($AA147:AH147)=0, 0, AH55)</f>
        <v>0</v>
      </c>
      <c r="AI170" s="45">
        <f>IF(SUM($AA147:AI147)=0, 0, AI55)</f>
        <v>0</v>
      </c>
      <c r="AJ170" s="45">
        <f>IF(SUM($AA147:AJ147)=0, 0, AJ55)</f>
        <v>0</v>
      </c>
      <c r="AK170" s="45">
        <f>IF(SUM($AA147:AK147)=0, 0, AK55)</f>
        <v>0</v>
      </c>
      <c r="AL170" s="45">
        <f>IF(SUM($AA147:AL147)=0, 0, AL55)</f>
        <v>0</v>
      </c>
      <c r="AM170" s="45">
        <f>IF(SUM($AA147:AM147)=0, 0, AM55)</f>
        <v>0</v>
      </c>
      <c r="AN170" s="45">
        <f>IF(SUM($AA147:AN147)=0, 0, AN55)</f>
        <v>0</v>
      </c>
      <c r="AO170" s="45">
        <f>IF(SUM($AA147:AO147)=0, 0, AO55)</f>
        <v>0</v>
      </c>
      <c r="AP170" s="45">
        <f>IF(SUM($AA147:AP147)=0, 0, AP55)</f>
        <v>0</v>
      </c>
      <c r="AQ170" s="45">
        <f>IF(SUM($AA147:AQ147)=0, 0, AQ55)</f>
        <v>0</v>
      </c>
      <c r="AR170" s="45">
        <f>IF(SUM($AA147:AR147)=0, 0, AR55)</f>
        <v>0</v>
      </c>
      <c r="AS170" s="45">
        <f>IF(SUM($AA147:AS147)=0, 0, AS55)</f>
        <v>0</v>
      </c>
      <c r="AT170" s="45">
        <f>IF(SUM($AA147:AT147)=0, 0, AT55)</f>
        <v>0</v>
      </c>
      <c r="AU170" s="45">
        <f>IF(SUM($AA147:AU147)=0, 0, AU55)</f>
        <v>0</v>
      </c>
      <c r="AV170" s="45">
        <f>IF(SUM($AA147:AV147)=0, 0, AV55)</f>
        <v>0</v>
      </c>
      <c r="AW170" s="45">
        <f>IF(SUM($AA147:AW147)=0, 0, AW55)</f>
        <v>0</v>
      </c>
      <c r="AX170" s="45">
        <f>IF(SUM($AA147:AX147)=0, 0, AX55)</f>
        <v>0</v>
      </c>
      <c r="AY170" s="45">
        <f>IF(SUM($AA147:AY147)=0, 0, AY55)</f>
        <v>0</v>
      </c>
      <c r="AZ170" s="45">
        <f>IF(SUM($AA147:AZ147)=0, 0, AZ55)</f>
        <v>0</v>
      </c>
      <c r="BA170" s="45">
        <f>IF(SUM($AA147:BA147)=0, 0, BA55)</f>
        <v>0</v>
      </c>
      <c r="BB170" s="45">
        <f>IF(SUM($AA147:BB147)=0, 0, BB55)</f>
        <v>0</v>
      </c>
      <c r="BC170" s="45">
        <f>IF(SUM($AA147:BC147)=0, 0, BC55)</f>
        <v>0</v>
      </c>
      <c r="BD170" s="45">
        <f>IF(SUM($AA147:BD147)=0, 0, BD55)</f>
        <v>0</v>
      </c>
      <c r="BE170" s="45">
        <f>IF(SUM($AA147:BE147)=0, 0, BE55)</f>
        <v>0</v>
      </c>
      <c r="BF170" s="45">
        <f>IF(SUM($AA147:BF147)=0, 0, BF55)</f>
        <v>0</v>
      </c>
      <c r="BG170" s="45">
        <f>IF(SUM($AA147:BG147)=0, 0, BG55)</f>
        <v>0</v>
      </c>
      <c r="BH170" s="45">
        <f>IF(SUM($AA147:BH147)=0, 0, BH55)</f>
        <v>0</v>
      </c>
      <c r="BI170" s="45">
        <f>IF(SUM($AA147:BI147)=0, 0, BI55)</f>
        <v>0</v>
      </c>
      <c r="BJ170" s="45">
        <f>IF(SUM($AA147:BJ147)=0, 0, BJ55)</f>
        <v>0</v>
      </c>
      <c r="BL170" s="136"/>
      <c r="BM170" s="136"/>
      <c r="BN170" s="136"/>
      <c r="BO170" s="136"/>
      <c r="BP170" s="45">
        <f>IF(SUM($BP147:BP147)=0, 0, BP55)</f>
        <v>0</v>
      </c>
      <c r="BQ170" s="45">
        <f>IF(SUM($BP147:BQ147)=0, 0, BQ55)</f>
        <v>0</v>
      </c>
      <c r="BR170" s="45">
        <f>IF(SUM($BP147:BR147)=0, 0, BR55)</f>
        <v>0</v>
      </c>
      <c r="BS170" s="45">
        <f>IF(SUM($BP147:BS147)=0, 0, BS55)</f>
        <v>0</v>
      </c>
      <c r="BT170" s="45">
        <f>IF(SUM($BP147:BT147)=0, 0, BT55)</f>
        <v>0</v>
      </c>
      <c r="BU170" s="45">
        <f>IF(SUM($BP147:BU147)=0, 0, BU55)</f>
        <v>0</v>
      </c>
      <c r="BV170" s="45">
        <f>IF(SUM($BP147:BV147)=0, 0, BV55)</f>
        <v>0</v>
      </c>
      <c r="BW170" s="45">
        <f>IF(SUM($BP147:BW147)=0, 0, BW55)</f>
        <v>0</v>
      </c>
      <c r="BY170" s="12"/>
      <c r="CA170" s="12"/>
      <c r="EX170" s="10" t="str">
        <f t="shared" si="123"/>
        <v/>
      </c>
    </row>
    <row r="171" spans="1:154" s="67" customFormat="1" x14ac:dyDescent="0.25">
      <c r="B171" s="67" t="str">
        <f ca="1">Loans!B$22</f>
        <v>Loan 10</v>
      </c>
      <c r="D171" s="62">
        <f>Loans!D$22</f>
        <v>0</v>
      </c>
      <c r="E171" s="159" t="str">
        <f>IF(Loans!Q$22=0, "", Loans!Q$22)</f>
        <v/>
      </c>
      <c r="F171" s="10">
        <f>Loans!G$695</f>
        <v>0</v>
      </c>
      <c r="S171" s="279"/>
      <c r="T171" s="335"/>
      <c r="U171" s="335"/>
      <c r="V171" s="136"/>
      <c r="W171" s="136"/>
      <c r="X171" s="136"/>
      <c r="Y171" s="136"/>
      <c r="AA171" s="45">
        <f>IF(SUM($AA148:AA148)=0, 0, AA56)</f>
        <v>0</v>
      </c>
      <c r="AB171" s="45">
        <f>IF(SUM($AA148:AB148)=0, 0, AB56)</f>
        <v>0</v>
      </c>
      <c r="AC171" s="45">
        <f>IF(SUM($AA148:AC148)=0, 0, AC56)</f>
        <v>0</v>
      </c>
      <c r="AD171" s="45">
        <f>IF(SUM($AA148:AD148)=0, 0, AD56)</f>
        <v>0</v>
      </c>
      <c r="AE171" s="45">
        <f>IF(SUM($AA148:AE148)=0, 0, AE56)</f>
        <v>0</v>
      </c>
      <c r="AF171" s="45">
        <f>IF(SUM($AA148:AF148)=0, 0, AF56)</f>
        <v>0</v>
      </c>
      <c r="AG171" s="45">
        <f>IF(SUM($AA148:AG148)=0, 0, AG56)</f>
        <v>0</v>
      </c>
      <c r="AH171" s="45">
        <f>IF(SUM($AA148:AH148)=0, 0, AH56)</f>
        <v>0</v>
      </c>
      <c r="AI171" s="45">
        <f>IF(SUM($AA148:AI148)=0, 0, AI56)</f>
        <v>0</v>
      </c>
      <c r="AJ171" s="45">
        <f>IF(SUM($AA148:AJ148)=0, 0, AJ56)</f>
        <v>0</v>
      </c>
      <c r="AK171" s="45">
        <f>IF(SUM($AA148:AK148)=0, 0, AK56)</f>
        <v>0</v>
      </c>
      <c r="AL171" s="45">
        <f>IF(SUM($AA148:AL148)=0, 0, AL56)</f>
        <v>0</v>
      </c>
      <c r="AM171" s="45">
        <f>IF(SUM($AA148:AM148)=0, 0, AM56)</f>
        <v>0</v>
      </c>
      <c r="AN171" s="45">
        <f>IF(SUM($AA148:AN148)=0, 0, AN56)</f>
        <v>0</v>
      </c>
      <c r="AO171" s="45">
        <f>IF(SUM($AA148:AO148)=0, 0, AO56)</f>
        <v>0</v>
      </c>
      <c r="AP171" s="45">
        <f>IF(SUM($AA148:AP148)=0, 0, AP56)</f>
        <v>0</v>
      </c>
      <c r="AQ171" s="45">
        <f>IF(SUM($AA148:AQ148)=0, 0, AQ56)</f>
        <v>0</v>
      </c>
      <c r="AR171" s="45">
        <f>IF(SUM($AA148:AR148)=0, 0, AR56)</f>
        <v>0</v>
      </c>
      <c r="AS171" s="45">
        <f>IF(SUM($AA148:AS148)=0, 0, AS56)</f>
        <v>0</v>
      </c>
      <c r="AT171" s="45">
        <f>IF(SUM($AA148:AT148)=0, 0, AT56)</f>
        <v>0</v>
      </c>
      <c r="AU171" s="45">
        <f>IF(SUM($AA148:AU148)=0, 0, AU56)</f>
        <v>0</v>
      </c>
      <c r="AV171" s="45">
        <f>IF(SUM($AA148:AV148)=0, 0, AV56)</f>
        <v>0</v>
      </c>
      <c r="AW171" s="45">
        <f>IF(SUM($AA148:AW148)=0, 0, AW56)</f>
        <v>0</v>
      </c>
      <c r="AX171" s="45">
        <f>IF(SUM($AA148:AX148)=0, 0, AX56)</f>
        <v>0</v>
      </c>
      <c r="AY171" s="45">
        <f>IF(SUM($AA148:AY148)=0, 0, AY56)</f>
        <v>0</v>
      </c>
      <c r="AZ171" s="45">
        <f>IF(SUM($AA148:AZ148)=0, 0, AZ56)</f>
        <v>0</v>
      </c>
      <c r="BA171" s="45">
        <f>IF(SUM($AA148:BA148)=0, 0, BA56)</f>
        <v>0</v>
      </c>
      <c r="BB171" s="45">
        <f>IF(SUM($AA148:BB148)=0, 0, BB56)</f>
        <v>0</v>
      </c>
      <c r="BC171" s="45">
        <f>IF(SUM($AA148:BC148)=0, 0, BC56)</f>
        <v>0</v>
      </c>
      <c r="BD171" s="45">
        <f>IF(SUM($AA148:BD148)=0, 0, BD56)</f>
        <v>0</v>
      </c>
      <c r="BE171" s="45">
        <f>IF(SUM($AA148:BE148)=0, 0, BE56)</f>
        <v>0</v>
      </c>
      <c r="BF171" s="45">
        <f>IF(SUM($AA148:BF148)=0, 0, BF56)</f>
        <v>0</v>
      </c>
      <c r="BG171" s="45">
        <f>IF(SUM($AA148:BG148)=0, 0, BG56)</f>
        <v>0</v>
      </c>
      <c r="BH171" s="45">
        <f>IF(SUM($AA148:BH148)=0, 0, BH56)</f>
        <v>0</v>
      </c>
      <c r="BI171" s="45">
        <f>IF(SUM($AA148:BI148)=0, 0, BI56)</f>
        <v>0</v>
      </c>
      <c r="BJ171" s="45">
        <f>IF(SUM($AA148:BJ148)=0, 0, BJ56)</f>
        <v>0</v>
      </c>
      <c r="BL171" s="136"/>
      <c r="BM171" s="136"/>
      <c r="BN171" s="136"/>
      <c r="BO171" s="136"/>
      <c r="BP171" s="45">
        <f>IF(SUM($BP148:BP148)=0, 0, BP56)</f>
        <v>0</v>
      </c>
      <c r="BQ171" s="45">
        <f>IF(SUM($BP148:BQ148)=0, 0, BQ56)</f>
        <v>0</v>
      </c>
      <c r="BR171" s="45">
        <f>IF(SUM($BP148:BR148)=0, 0, BR56)</f>
        <v>0</v>
      </c>
      <c r="BS171" s="45">
        <f>IF(SUM($BP148:BS148)=0, 0, BS56)</f>
        <v>0</v>
      </c>
      <c r="BT171" s="45">
        <f>IF(SUM($BP148:BT148)=0, 0, BT56)</f>
        <v>0</v>
      </c>
      <c r="BU171" s="45">
        <f>IF(SUM($BP148:BU148)=0, 0, BU56)</f>
        <v>0</v>
      </c>
      <c r="BV171" s="45">
        <f>IF(SUM($BP148:BV148)=0, 0, BV56)</f>
        <v>0</v>
      </c>
      <c r="BW171" s="45">
        <f>IF(SUM($BP148:BW148)=0, 0, BW56)</f>
        <v>0</v>
      </c>
      <c r="BY171" s="12"/>
      <c r="CA171" s="12"/>
      <c r="EX171" s="10" t="str">
        <f t="shared" si="123"/>
        <v/>
      </c>
    </row>
    <row r="172" spans="1:154" s="67" customFormat="1" x14ac:dyDescent="0.25">
      <c r="B172" s="67" t="str">
        <f ca="1">Loans!B$23</f>
        <v>Loan 11</v>
      </c>
      <c r="D172" s="62">
        <f>Loans!D$23</f>
        <v>0</v>
      </c>
      <c r="E172" s="159" t="str">
        <f>IF(Loans!Q$23=0, "", Loans!Q$23)</f>
        <v/>
      </c>
      <c r="F172" s="10">
        <f>Loans!G$696</f>
        <v>0</v>
      </c>
      <c r="S172" s="279"/>
      <c r="T172" s="335"/>
      <c r="U172" s="335"/>
      <c r="V172" s="136"/>
      <c r="W172" s="136"/>
      <c r="X172" s="136"/>
      <c r="Y172" s="136"/>
      <c r="AA172" s="45">
        <f>IF(SUM($AA149:AA149)=0, 0, AA57)</f>
        <v>0</v>
      </c>
      <c r="AB172" s="45">
        <f>IF(SUM($AA149:AB149)=0, 0, AB57)</f>
        <v>0</v>
      </c>
      <c r="AC172" s="45">
        <f>IF(SUM($AA149:AC149)=0, 0, AC57)</f>
        <v>0</v>
      </c>
      <c r="AD172" s="45">
        <f>IF(SUM($AA149:AD149)=0, 0, AD57)</f>
        <v>0</v>
      </c>
      <c r="AE172" s="45">
        <f>IF(SUM($AA149:AE149)=0, 0, AE57)</f>
        <v>0</v>
      </c>
      <c r="AF172" s="45">
        <f>IF(SUM($AA149:AF149)=0, 0, AF57)</f>
        <v>0</v>
      </c>
      <c r="AG172" s="45">
        <f>IF(SUM($AA149:AG149)=0, 0, AG57)</f>
        <v>0</v>
      </c>
      <c r="AH172" s="45">
        <f>IF(SUM($AA149:AH149)=0, 0, AH57)</f>
        <v>0</v>
      </c>
      <c r="AI172" s="45">
        <f>IF(SUM($AA149:AI149)=0, 0, AI57)</f>
        <v>0</v>
      </c>
      <c r="AJ172" s="45">
        <f>IF(SUM($AA149:AJ149)=0, 0, AJ57)</f>
        <v>0</v>
      </c>
      <c r="AK172" s="45">
        <f>IF(SUM($AA149:AK149)=0, 0, AK57)</f>
        <v>0</v>
      </c>
      <c r="AL172" s="45">
        <f>IF(SUM($AA149:AL149)=0, 0, AL57)</f>
        <v>0</v>
      </c>
      <c r="AM172" s="45">
        <f>IF(SUM($AA149:AM149)=0, 0, AM57)</f>
        <v>0</v>
      </c>
      <c r="AN172" s="45">
        <f>IF(SUM($AA149:AN149)=0, 0, AN57)</f>
        <v>0</v>
      </c>
      <c r="AO172" s="45">
        <f>IF(SUM($AA149:AO149)=0, 0, AO57)</f>
        <v>0</v>
      </c>
      <c r="AP172" s="45">
        <f>IF(SUM($AA149:AP149)=0, 0, AP57)</f>
        <v>0</v>
      </c>
      <c r="AQ172" s="45">
        <f>IF(SUM($AA149:AQ149)=0, 0, AQ57)</f>
        <v>0</v>
      </c>
      <c r="AR172" s="45">
        <f>IF(SUM($AA149:AR149)=0, 0, AR57)</f>
        <v>0</v>
      </c>
      <c r="AS172" s="45">
        <f>IF(SUM($AA149:AS149)=0, 0, AS57)</f>
        <v>0</v>
      </c>
      <c r="AT172" s="45">
        <f>IF(SUM($AA149:AT149)=0, 0, AT57)</f>
        <v>0</v>
      </c>
      <c r="AU172" s="45">
        <f>IF(SUM($AA149:AU149)=0, 0, AU57)</f>
        <v>0</v>
      </c>
      <c r="AV172" s="45">
        <f>IF(SUM($AA149:AV149)=0, 0, AV57)</f>
        <v>0</v>
      </c>
      <c r="AW172" s="45">
        <f>IF(SUM($AA149:AW149)=0, 0, AW57)</f>
        <v>0</v>
      </c>
      <c r="AX172" s="45">
        <f>IF(SUM($AA149:AX149)=0, 0, AX57)</f>
        <v>0</v>
      </c>
      <c r="AY172" s="45">
        <f>IF(SUM($AA149:AY149)=0, 0, AY57)</f>
        <v>0</v>
      </c>
      <c r="AZ172" s="45">
        <f>IF(SUM($AA149:AZ149)=0, 0, AZ57)</f>
        <v>0</v>
      </c>
      <c r="BA172" s="45">
        <f>IF(SUM($AA149:BA149)=0, 0, BA57)</f>
        <v>0</v>
      </c>
      <c r="BB172" s="45">
        <f>IF(SUM($AA149:BB149)=0, 0, BB57)</f>
        <v>0</v>
      </c>
      <c r="BC172" s="45">
        <f>IF(SUM($AA149:BC149)=0, 0, BC57)</f>
        <v>0</v>
      </c>
      <c r="BD172" s="45">
        <f>IF(SUM($AA149:BD149)=0, 0, BD57)</f>
        <v>0</v>
      </c>
      <c r="BE172" s="45">
        <f>IF(SUM($AA149:BE149)=0, 0, BE57)</f>
        <v>0</v>
      </c>
      <c r="BF172" s="45">
        <f>IF(SUM($AA149:BF149)=0, 0, BF57)</f>
        <v>0</v>
      </c>
      <c r="BG172" s="45">
        <f>IF(SUM($AA149:BG149)=0, 0, BG57)</f>
        <v>0</v>
      </c>
      <c r="BH172" s="45">
        <f>IF(SUM($AA149:BH149)=0, 0, BH57)</f>
        <v>0</v>
      </c>
      <c r="BI172" s="45">
        <f>IF(SUM($AA149:BI149)=0, 0, BI57)</f>
        <v>0</v>
      </c>
      <c r="BJ172" s="45">
        <f>IF(SUM($AA149:BJ149)=0, 0, BJ57)</f>
        <v>0</v>
      </c>
      <c r="BL172" s="136"/>
      <c r="BM172" s="136"/>
      <c r="BN172" s="136"/>
      <c r="BO172" s="136"/>
      <c r="BP172" s="45">
        <f>IF(SUM($BP149:BP149)=0, 0, BP57)</f>
        <v>0</v>
      </c>
      <c r="BQ172" s="45">
        <f>IF(SUM($BP149:BQ149)=0, 0, BQ57)</f>
        <v>0</v>
      </c>
      <c r="BR172" s="45">
        <f>IF(SUM($BP149:BR149)=0, 0, BR57)</f>
        <v>0</v>
      </c>
      <c r="BS172" s="45">
        <f>IF(SUM($BP149:BS149)=0, 0, BS57)</f>
        <v>0</v>
      </c>
      <c r="BT172" s="45">
        <f>IF(SUM($BP149:BT149)=0, 0, BT57)</f>
        <v>0</v>
      </c>
      <c r="BU172" s="45">
        <f>IF(SUM($BP149:BU149)=0, 0, BU57)</f>
        <v>0</v>
      </c>
      <c r="BV172" s="45">
        <f>IF(SUM($BP149:BV149)=0, 0, BV57)</f>
        <v>0</v>
      </c>
      <c r="BW172" s="45">
        <f>IF(SUM($BP149:BW149)=0, 0, BW57)</f>
        <v>0</v>
      </c>
      <c r="BY172" s="12"/>
      <c r="CA172" s="12"/>
      <c r="EX172" s="10" t="str">
        <f t="shared" si="123"/>
        <v/>
      </c>
    </row>
    <row r="173" spans="1:154" s="67" customFormat="1" x14ac:dyDescent="0.25">
      <c r="B173" s="67" t="str">
        <f ca="1">Loans!B$24</f>
        <v>Loan 12</v>
      </c>
      <c r="D173" s="62">
        <f>Loans!D$24</f>
        <v>0</v>
      </c>
      <c r="E173" s="159" t="str">
        <f>IF(Loans!Q$24=0, "", Loans!Q$24)</f>
        <v/>
      </c>
      <c r="F173" s="10">
        <f>Loans!G$697</f>
        <v>0</v>
      </c>
      <c r="S173" s="279"/>
      <c r="T173" s="335"/>
      <c r="U173" s="335"/>
      <c r="V173" s="136"/>
      <c r="W173" s="136"/>
      <c r="X173" s="136"/>
      <c r="Y173" s="136"/>
      <c r="AA173" s="45">
        <f>IF(SUM($AA150:AA150)=0, 0, AA58)</f>
        <v>0</v>
      </c>
      <c r="AB173" s="45">
        <f>IF(SUM($AA150:AB150)=0, 0, AB58)</f>
        <v>0</v>
      </c>
      <c r="AC173" s="45">
        <f>IF(SUM($AA150:AC150)=0, 0, AC58)</f>
        <v>0</v>
      </c>
      <c r="AD173" s="45">
        <f>IF(SUM($AA150:AD150)=0, 0, AD58)</f>
        <v>0</v>
      </c>
      <c r="AE173" s="45">
        <f>IF(SUM($AA150:AE150)=0, 0, AE58)</f>
        <v>0</v>
      </c>
      <c r="AF173" s="45">
        <f>IF(SUM($AA150:AF150)=0, 0, AF58)</f>
        <v>0</v>
      </c>
      <c r="AG173" s="45">
        <f>IF(SUM($AA150:AG150)=0, 0, AG58)</f>
        <v>0</v>
      </c>
      <c r="AH173" s="45">
        <f>IF(SUM($AA150:AH150)=0, 0, AH58)</f>
        <v>0</v>
      </c>
      <c r="AI173" s="45">
        <f>IF(SUM($AA150:AI150)=0, 0, AI58)</f>
        <v>0</v>
      </c>
      <c r="AJ173" s="45">
        <f>IF(SUM($AA150:AJ150)=0, 0, AJ58)</f>
        <v>0</v>
      </c>
      <c r="AK173" s="45">
        <f>IF(SUM($AA150:AK150)=0, 0, AK58)</f>
        <v>0</v>
      </c>
      <c r="AL173" s="45">
        <f>IF(SUM($AA150:AL150)=0, 0, AL58)</f>
        <v>0</v>
      </c>
      <c r="AM173" s="45">
        <f>IF(SUM($AA150:AM150)=0, 0, AM58)</f>
        <v>0</v>
      </c>
      <c r="AN173" s="45">
        <f>IF(SUM($AA150:AN150)=0, 0, AN58)</f>
        <v>0</v>
      </c>
      <c r="AO173" s="45">
        <f>IF(SUM($AA150:AO150)=0, 0, AO58)</f>
        <v>0</v>
      </c>
      <c r="AP173" s="45">
        <f>IF(SUM($AA150:AP150)=0, 0, AP58)</f>
        <v>0</v>
      </c>
      <c r="AQ173" s="45">
        <f>IF(SUM($AA150:AQ150)=0, 0, AQ58)</f>
        <v>0</v>
      </c>
      <c r="AR173" s="45">
        <f>IF(SUM($AA150:AR150)=0, 0, AR58)</f>
        <v>0</v>
      </c>
      <c r="AS173" s="45">
        <f>IF(SUM($AA150:AS150)=0, 0, AS58)</f>
        <v>0</v>
      </c>
      <c r="AT173" s="45">
        <f>IF(SUM($AA150:AT150)=0, 0, AT58)</f>
        <v>0</v>
      </c>
      <c r="AU173" s="45">
        <f>IF(SUM($AA150:AU150)=0, 0, AU58)</f>
        <v>0</v>
      </c>
      <c r="AV173" s="45">
        <f>IF(SUM($AA150:AV150)=0, 0, AV58)</f>
        <v>0</v>
      </c>
      <c r="AW173" s="45">
        <f>IF(SUM($AA150:AW150)=0, 0, AW58)</f>
        <v>0</v>
      </c>
      <c r="AX173" s="45">
        <f>IF(SUM($AA150:AX150)=0, 0, AX58)</f>
        <v>0</v>
      </c>
      <c r="AY173" s="45">
        <f>IF(SUM($AA150:AY150)=0, 0, AY58)</f>
        <v>0</v>
      </c>
      <c r="AZ173" s="45">
        <f>IF(SUM($AA150:AZ150)=0, 0, AZ58)</f>
        <v>0</v>
      </c>
      <c r="BA173" s="45">
        <f>IF(SUM($AA150:BA150)=0, 0, BA58)</f>
        <v>0</v>
      </c>
      <c r="BB173" s="45">
        <f>IF(SUM($AA150:BB150)=0, 0, BB58)</f>
        <v>0</v>
      </c>
      <c r="BC173" s="45">
        <f>IF(SUM($AA150:BC150)=0, 0, BC58)</f>
        <v>0</v>
      </c>
      <c r="BD173" s="45">
        <f>IF(SUM($AA150:BD150)=0, 0, BD58)</f>
        <v>0</v>
      </c>
      <c r="BE173" s="45">
        <f>IF(SUM($AA150:BE150)=0, 0, BE58)</f>
        <v>0</v>
      </c>
      <c r="BF173" s="45">
        <f>IF(SUM($AA150:BF150)=0, 0, BF58)</f>
        <v>0</v>
      </c>
      <c r="BG173" s="45">
        <f>IF(SUM($AA150:BG150)=0, 0, BG58)</f>
        <v>0</v>
      </c>
      <c r="BH173" s="45">
        <f>IF(SUM($AA150:BH150)=0, 0, BH58)</f>
        <v>0</v>
      </c>
      <c r="BI173" s="45">
        <f>IF(SUM($AA150:BI150)=0, 0, BI58)</f>
        <v>0</v>
      </c>
      <c r="BJ173" s="45">
        <f>IF(SUM($AA150:BJ150)=0, 0, BJ58)</f>
        <v>0</v>
      </c>
      <c r="BL173" s="136"/>
      <c r="BM173" s="136"/>
      <c r="BN173" s="136"/>
      <c r="BO173" s="136"/>
      <c r="BP173" s="45">
        <f>IF(SUM($BP150:BP150)=0, 0, BP58)</f>
        <v>0</v>
      </c>
      <c r="BQ173" s="45">
        <f>IF(SUM($BP150:BQ150)=0, 0, BQ58)</f>
        <v>0</v>
      </c>
      <c r="BR173" s="45">
        <f>IF(SUM($BP150:BR150)=0, 0, BR58)</f>
        <v>0</v>
      </c>
      <c r="BS173" s="45">
        <f>IF(SUM($BP150:BS150)=0, 0, BS58)</f>
        <v>0</v>
      </c>
      <c r="BT173" s="45">
        <f>IF(SUM($BP150:BT150)=0, 0, BT58)</f>
        <v>0</v>
      </c>
      <c r="BU173" s="45">
        <f>IF(SUM($BP150:BU150)=0, 0, BU58)</f>
        <v>0</v>
      </c>
      <c r="BV173" s="45">
        <f>IF(SUM($BP150:BV150)=0, 0, BV58)</f>
        <v>0</v>
      </c>
      <c r="BW173" s="45">
        <f>IF(SUM($BP150:BW150)=0, 0, BW58)</f>
        <v>0</v>
      </c>
      <c r="BY173" s="12"/>
      <c r="CA173" s="12"/>
      <c r="EX173" s="10" t="str">
        <f t="shared" si="123"/>
        <v/>
      </c>
    </row>
    <row r="174" spans="1:154" s="67" customFormat="1" x14ac:dyDescent="0.25">
      <c r="B174" s="67" t="str">
        <f ca="1">Loans!B$25</f>
        <v>Loan 13</v>
      </c>
      <c r="D174" s="62">
        <f>Loans!D$25</f>
        <v>0</v>
      </c>
      <c r="E174" s="159" t="str">
        <f>IF(Loans!Q$25=0, "", Loans!Q$25)</f>
        <v/>
      </c>
      <c r="F174" s="10">
        <f>Loans!G$698</f>
        <v>0</v>
      </c>
      <c r="S174" s="279"/>
      <c r="T174" s="335"/>
      <c r="U174" s="335"/>
      <c r="V174" s="136"/>
      <c r="W174" s="136"/>
      <c r="X174" s="136"/>
      <c r="Y174" s="136"/>
      <c r="AA174" s="45">
        <f>IF(SUM($AA151:AA151)=0, 0, AA59)</f>
        <v>0</v>
      </c>
      <c r="AB174" s="45">
        <f>IF(SUM($AA151:AB151)=0, 0, AB59)</f>
        <v>0</v>
      </c>
      <c r="AC174" s="45">
        <f>IF(SUM($AA151:AC151)=0, 0, AC59)</f>
        <v>0</v>
      </c>
      <c r="AD174" s="45">
        <f>IF(SUM($AA151:AD151)=0, 0, AD59)</f>
        <v>0</v>
      </c>
      <c r="AE174" s="45">
        <f>IF(SUM($AA151:AE151)=0, 0, AE59)</f>
        <v>0</v>
      </c>
      <c r="AF174" s="45">
        <f>IF(SUM($AA151:AF151)=0, 0, AF59)</f>
        <v>0</v>
      </c>
      <c r="AG174" s="45">
        <f>IF(SUM($AA151:AG151)=0, 0, AG59)</f>
        <v>0</v>
      </c>
      <c r="AH174" s="45">
        <f>IF(SUM($AA151:AH151)=0, 0, AH59)</f>
        <v>0</v>
      </c>
      <c r="AI174" s="45">
        <f>IF(SUM($AA151:AI151)=0, 0, AI59)</f>
        <v>0</v>
      </c>
      <c r="AJ174" s="45">
        <f>IF(SUM($AA151:AJ151)=0, 0, AJ59)</f>
        <v>0</v>
      </c>
      <c r="AK174" s="45">
        <f>IF(SUM($AA151:AK151)=0, 0, AK59)</f>
        <v>0</v>
      </c>
      <c r="AL174" s="45">
        <f>IF(SUM($AA151:AL151)=0, 0, AL59)</f>
        <v>0</v>
      </c>
      <c r="AM174" s="45">
        <f>IF(SUM($AA151:AM151)=0, 0, AM59)</f>
        <v>0</v>
      </c>
      <c r="AN174" s="45">
        <f>IF(SUM($AA151:AN151)=0, 0, AN59)</f>
        <v>0</v>
      </c>
      <c r="AO174" s="45">
        <f>IF(SUM($AA151:AO151)=0, 0, AO59)</f>
        <v>0</v>
      </c>
      <c r="AP174" s="45">
        <f>IF(SUM($AA151:AP151)=0, 0, AP59)</f>
        <v>0</v>
      </c>
      <c r="AQ174" s="45">
        <f>IF(SUM($AA151:AQ151)=0, 0, AQ59)</f>
        <v>0</v>
      </c>
      <c r="AR174" s="45">
        <f>IF(SUM($AA151:AR151)=0, 0, AR59)</f>
        <v>0</v>
      </c>
      <c r="AS174" s="45">
        <f>IF(SUM($AA151:AS151)=0, 0, AS59)</f>
        <v>0</v>
      </c>
      <c r="AT174" s="45">
        <f>IF(SUM($AA151:AT151)=0, 0, AT59)</f>
        <v>0</v>
      </c>
      <c r="AU174" s="45">
        <f>IF(SUM($AA151:AU151)=0, 0, AU59)</f>
        <v>0</v>
      </c>
      <c r="AV174" s="45">
        <f>IF(SUM($AA151:AV151)=0, 0, AV59)</f>
        <v>0</v>
      </c>
      <c r="AW174" s="45">
        <f>IF(SUM($AA151:AW151)=0, 0, AW59)</f>
        <v>0</v>
      </c>
      <c r="AX174" s="45">
        <f>IF(SUM($AA151:AX151)=0, 0, AX59)</f>
        <v>0</v>
      </c>
      <c r="AY174" s="45">
        <f>IF(SUM($AA151:AY151)=0, 0, AY59)</f>
        <v>0</v>
      </c>
      <c r="AZ174" s="45">
        <f>IF(SUM($AA151:AZ151)=0, 0, AZ59)</f>
        <v>0</v>
      </c>
      <c r="BA174" s="45">
        <f>IF(SUM($AA151:BA151)=0, 0, BA59)</f>
        <v>0</v>
      </c>
      <c r="BB174" s="45">
        <f>IF(SUM($AA151:BB151)=0, 0, BB59)</f>
        <v>0</v>
      </c>
      <c r="BC174" s="45">
        <f>IF(SUM($AA151:BC151)=0, 0, BC59)</f>
        <v>0</v>
      </c>
      <c r="BD174" s="45">
        <f>IF(SUM($AA151:BD151)=0, 0, BD59)</f>
        <v>0</v>
      </c>
      <c r="BE174" s="45">
        <f>IF(SUM($AA151:BE151)=0, 0, BE59)</f>
        <v>0</v>
      </c>
      <c r="BF174" s="45">
        <f>IF(SUM($AA151:BF151)=0, 0, BF59)</f>
        <v>0</v>
      </c>
      <c r="BG174" s="45">
        <f>IF(SUM($AA151:BG151)=0, 0, BG59)</f>
        <v>0</v>
      </c>
      <c r="BH174" s="45">
        <f>IF(SUM($AA151:BH151)=0, 0, BH59)</f>
        <v>0</v>
      </c>
      <c r="BI174" s="45">
        <f>IF(SUM($AA151:BI151)=0, 0, BI59)</f>
        <v>0</v>
      </c>
      <c r="BJ174" s="45">
        <f>IF(SUM($AA151:BJ151)=0, 0, BJ59)</f>
        <v>0</v>
      </c>
      <c r="BL174" s="136"/>
      <c r="BM174" s="136"/>
      <c r="BN174" s="136"/>
      <c r="BO174" s="136"/>
      <c r="BP174" s="45">
        <f>IF(SUM($BP151:BP151)=0, 0, BP59)</f>
        <v>0</v>
      </c>
      <c r="BQ174" s="45">
        <f>IF(SUM($BP151:BQ151)=0, 0, BQ59)</f>
        <v>0</v>
      </c>
      <c r="BR174" s="45">
        <f>IF(SUM($BP151:BR151)=0, 0, BR59)</f>
        <v>0</v>
      </c>
      <c r="BS174" s="45">
        <f>IF(SUM($BP151:BS151)=0, 0, BS59)</f>
        <v>0</v>
      </c>
      <c r="BT174" s="45">
        <f>IF(SUM($BP151:BT151)=0, 0, BT59)</f>
        <v>0</v>
      </c>
      <c r="BU174" s="45">
        <f>IF(SUM($BP151:BU151)=0, 0, BU59)</f>
        <v>0</v>
      </c>
      <c r="BV174" s="45">
        <f>IF(SUM($BP151:BV151)=0, 0, BV59)</f>
        <v>0</v>
      </c>
      <c r="BW174" s="45">
        <f>IF(SUM($BP151:BW151)=0, 0, BW59)</f>
        <v>0</v>
      </c>
      <c r="BY174" s="12"/>
      <c r="CA174" s="12"/>
      <c r="EX174" s="10" t="str">
        <f t="shared" si="123"/>
        <v/>
      </c>
    </row>
    <row r="175" spans="1:154" s="67" customFormat="1" x14ac:dyDescent="0.25">
      <c r="B175" s="67" t="str">
        <f ca="1">Loans!B$26</f>
        <v>Loan 14</v>
      </c>
      <c r="D175" s="62">
        <f>Loans!D$26</f>
        <v>0</v>
      </c>
      <c r="E175" s="159" t="str">
        <f>IF(Loans!Q$26=0, "", Loans!Q$26)</f>
        <v/>
      </c>
      <c r="F175" s="10">
        <f>Loans!G$699</f>
        <v>0</v>
      </c>
      <c r="S175" s="279"/>
      <c r="T175" s="335"/>
      <c r="U175" s="335"/>
      <c r="V175" s="136"/>
      <c r="W175" s="136"/>
      <c r="X175" s="136"/>
      <c r="Y175" s="136"/>
      <c r="AA175" s="45">
        <f>IF(SUM($AA152:AA152)=0, 0, AA60)</f>
        <v>0</v>
      </c>
      <c r="AB175" s="45">
        <f>IF(SUM($AA152:AB152)=0, 0, AB60)</f>
        <v>0</v>
      </c>
      <c r="AC175" s="45">
        <f>IF(SUM($AA152:AC152)=0, 0, AC60)</f>
        <v>0</v>
      </c>
      <c r="AD175" s="45">
        <f>IF(SUM($AA152:AD152)=0, 0, AD60)</f>
        <v>0</v>
      </c>
      <c r="AE175" s="45">
        <f>IF(SUM($AA152:AE152)=0, 0, AE60)</f>
        <v>0</v>
      </c>
      <c r="AF175" s="45">
        <f>IF(SUM($AA152:AF152)=0, 0, AF60)</f>
        <v>0</v>
      </c>
      <c r="AG175" s="45">
        <f>IF(SUM($AA152:AG152)=0, 0, AG60)</f>
        <v>0</v>
      </c>
      <c r="AH175" s="45">
        <f>IF(SUM($AA152:AH152)=0, 0, AH60)</f>
        <v>0</v>
      </c>
      <c r="AI175" s="45">
        <f>IF(SUM($AA152:AI152)=0, 0, AI60)</f>
        <v>0</v>
      </c>
      <c r="AJ175" s="45">
        <f>IF(SUM($AA152:AJ152)=0, 0, AJ60)</f>
        <v>0</v>
      </c>
      <c r="AK175" s="45">
        <f>IF(SUM($AA152:AK152)=0, 0, AK60)</f>
        <v>0</v>
      </c>
      <c r="AL175" s="45">
        <f>IF(SUM($AA152:AL152)=0, 0, AL60)</f>
        <v>0</v>
      </c>
      <c r="AM175" s="45">
        <f>IF(SUM($AA152:AM152)=0, 0, AM60)</f>
        <v>0</v>
      </c>
      <c r="AN175" s="45">
        <f>IF(SUM($AA152:AN152)=0, 0, AN60)</f>
        <v>0</v>
      </c>
      <c r="AO175" s="45">
        <f>IF(SUM($AA152:AO152)=0, 0, AO60)</f>
        <v>0</v>
      </c>
      <c r="AP175" s="45">
        <f>IF(SUM($AA152:AP152)=0, 0, AP60)</f>
        <v>0</v>
      </c>
      <c r="AQ175" s="45">
        <f>IF(SUM($AA152:AQ152)=0, 0, AQ60)</f>
        <v>0</v>
      </c>
      <c r="AR175" s="45">
        <f>IF(SUM($AA152:AR152)=0, 0, AR60)</f>
        <v>0</v>
      </c>
      <c r="AS175" s="45">
        <f>IF(SUM($AA152:AS152)=0, 0, AS60)</f>
        <v>0</v>
      </c>
      <c r="AT175" s="45">
        <f>IF(SUM($AA152:AT152)=0, 0, AT60)</f>
        <v>0</v>
      </c>
      <c r="AU175" s="45">
        <f>IF(SUM($AA152:AU152)=0, 0, AU60)</f>
        <v>0</v>
      </c>
      <c r="AV175" s="45">
        <f>IF(SUM($AA152:AV152)=0, 0, AV60)</f>
        <v>0</v>
      </c>
      <c r="AW175" s="45">
        <f>IF(SUM($AA152:AW152)=0, 0, AW60)</f>
        <v>0</v>
      </c>
      <c r="AX175" s="45">
        <f>IF(SUM($AA152:AX152)=0, 0, AX60)</f>
        <v>0</v>
      </c>
      <c r="AY175" s="45">
        <f>IF(SUM($AA152:AY152)=0, 0, AY60)</f>
        <v>0</v>
      </c>
      <c r="AZ175" s="45">
        <f>IF(SUM($AA152:AZ152)=0, 0, AZ60)</f>
        <v>0</v>
      </c>
      <c r="BA175" s="45">
        <f>IF(SUM($AA152:BA152)=0, 0, BA60)</f>
        <v>0</v>
      </c>
      <c r="BB175" s="45">
        <f>IF(SUM($AA152:BB152)=0, 0, BB60)</f>
        <v>0</v>
      </c>
      <c r="BC175" s="45">
        <f>IF(SUM($AA152:BC152)=0, 0, BC60)</f>
        <v>0</v>
      </c>
      <c r="BD175" s="45">
        <f>IF(SUM($AA152:BD152)=0, 0, BD60)</f>
        <v>0</v>
      </c>
      <c r="BE175" s="45">
        <f>IF(SUM($AA152:BE152)=0, 0, BE60)</f>
        <v>0</v>
      </c>
      <c r="BF175" s="45">
        <f>IF(SUM($AA152:BF152)=0, 0, BF60)</f>
        <v>0</v>
      </c>
      <c r="BG175" s="45">
        <f>IF(SUM($AA152:BG152)=0, 0, BG60)</f>
        <v>0</v>
      </c>
      <c r="BH175" s="45">
        <f>IF(SUM($AA152:BH152)=0, 0, BH60)</f>
        <v>0</v>
      </c>
      <c r="BI175" s="45">
        <f>IF(SUM($AA152:BI152)=0, 0, BI60)</f>
        <v>0</v>
      </c>
      <c r="BJ175" s="45">
        <f>IF(SUM($AA152:BJ152)=0, 0, BJ60)</f>
        <v>0</v>
      </c>
      <c r="BL175" s="136"/>
      <c r="BM175" s="136"/>
      <c r="BN175" s="136"/>
      <c r="BO175" s="136"/>
      <c r="BP175" s="45">
        <f>IF(SUM($BP152:BP152)=0, 0, BP60)</f>
        <v>0</v>
      </c>
      <c r="BQ175" s="45">
        <f>IF(SUM($BP152:BQ152)=0, 0, BQ60)</f>
        <v>0</v>
      </c>
      <c r="BR175" s="45">
        <f>IF(SUM($BP152:BR152)=0, 0, BR60)</f>
        <v>0</v>
      </c>
      <c r="BS175" s="45">
        <f>IF(SUM($BP152:BS152)=0, 0, BS60)</f>
        <v>0</v>
      </c>
      <c r="BT175" s="45">
        <f>IF(SUM($BP152:BT152)=0, 0, BT60)</f>
        <v>0</v>
      </c>
      <c r="BU175" s="45">
        <f>IF(SUM($BP152:BU152)=0, 0, BU60)</f>
        <v>0</v>
      </c>
      <c r="BV175" s="45">
        <f>IF(SUM($BP152:BV152)=0, 0, BV60)</f>
        <v>0</v>
      </c>
      <c r="BW175" s="45">
        <f>IF(SUM($BP152:BW152)=0, 0, BW60)</f>
        <v>0</v>
      </c>
      <c r="BY175" s="12"/>
      <c r="CA175" s="12"/>
      <c r="EX175" s="10" t="str">
        <f t="shared" si="123"/>
        <v/>
      </c>
    </row>
    <row r="176" spans="1:154" s="67" customFormat="1" x14ac:dyDescent="0.25">
      <c r="B176" s="67" t="str">
        <f ca="1">Loans!B$27</f>
        <v>Loan 15</v>
      </c>
      <c r="D176" s="62">
        <f>Loans!D$27</f>
        <v>0</v>
      </c>
      <c r="E176" s="159" t="str">
        <f>IF(Loans!Q$27=0, "", Loans!Q$27)</f>
        <v/>
      </c>
      <c r="F176" s="10">
        <f>Loans!G$700</f>
        <v>0</v>
      </c>
      <c r="S176" s="279"/>
      <c r="T176" s="335"/>
      <c r="U176" s="335"/>
      <c r="V176" s="136"/>
      <c r="W176" s="136"/>
      <c r="X176" s="136"/>
      <c r="Y176" s="136"/>
      <c r="AA176" s="45">
        <f>IF(SUM($AA153:AA153)=0, 0, AA61)</f>
        <v>0</v>
      </c>
      <c r="AB176" s="45">
        <f>IF(SUM($AA153:AB153)=0, 0, AB61)</f>
        <v>0</v>
      </c>
      <c r="AC176" s="45">
        <f>IF(SUM($AA153:AC153)=0, 0, AC61)</f>
        <v>0</v>
      </c>
      <c r="AD176" s="45">
        <f>IF(SUM($AA153:AD153)=0, 0, AD61)</f>
        <v>0</v>
      </c>
      <c r="AE176" s="45">
        <f>IF(SUM($AA153:AE153)=0, 0, AE61)</f>
        <v>0</v>
      </c>
      <c r="AF176" s="45">
        <f>IF(SUM($AA153:AF153)=0, 0, AF61)</f>
        <v>0</v>
      </c>
      <c r="AG176" s="45">
        <f>IF(SUM($AA153:AG153)=0, 0, AG61)</f>
        <v>0</v>
      </c>
      <c r="AH176" s="45">
        <f>IF(SUM($AA153:AH153)=0, 0, AH61)</f>
        <v>0</v>
      </c>
      <c r="AI176" s="45">
        <f>IF(SUM($AA153:AI153)=0, 0, AI61)</f>
        <v>0</v>
      </c>
      <c r="AJ176" s="45">
        <f>IF(SUM($AA153:AJ153)=0, 0, AJ61)</f>
        <v>0</v>
      </c>
      <c r="AK176" s="45">
        <f>IF(SUM($AA153:AK153)=0, 0, AK61)</f>
        <v>0</v>
      </c>
      <c r="AL176" s="45">
        <f>IF(SUM($AA153:AL153)=0, 0, AL61)</f>
        <v>0</v>
      </c>
      <c r="AM176" s="45">
        <f>IF(SUM($AA153:AM153)=0, 0, AM61)</f>
        <v>0</v>
      </c>
      <c r="AN176" s="45">
        <f>IF(SUM($AA153:AN153)=0, 0, AN61)</f>
        <v>0</v>
      </c>
      <c r="AO176" s="45">
        <f>IF(SUM($AA153:AO153)=0, 0, AO61)</f>
        <v>0</v>
      </c>
      <c r="AP176" s="45">
        <f>IF(SUM($AA153:AP153)=0, 0, AP61)</f>
        <v>0</v>
      </c>
      <c r="AQ176" s="45">
        <f>IF(SUM($AA153:AQ153)=0, 0, AQ61)</f>
        <v>0</v>
      </c>
      <c r="AR176" s="45">
        <f>IF(SUM($AA153:AR153)=0, 0, AR61)</f>
        <v>0</v>
      </c>
      <c r="AS176" s="45">
        <f>IF(SUM($AA153:AS153)=0, 0, AS61)</f>
        <v>0</v>
      </c>
      <c r="AT176" s="45">
        <f>IF(SUM($AA153:AT153)=0, 0, AT61)</f>
        <v>0</v>
      </c>
      <c r="AU176" s="45">
        <f>IF(SUM($AA153:AU153)=0, 0, AU61)</f>
        <v>0</v>
      </c>
      <c r="AV176" s="45">
        <f>IF(SUM($AA153:AV153)=0, 0, AV61)</f>
        <v>0</v>
      </c>
      <c r="AW176" s="45">
        <f>IF(SUM($AA153:AW153)=0, 0, AW61)</f>
        <v>0</v>
      </c>
      <c r="AX176" s="45">
        <f>IF(SUM($AA153:AX153)=0, 0, AX61)</f>
        <v>0</v>
      </c>
      <c r="AY176" s="45">
        <f>IF(SUM($AA153:AY153)=0, 0, AY61)</f>
        <v>0</v>
      </c>
      <c r="AZ176" s="45">
        <f>IF(SUM($AA153:AZ153)=0, 0, AZ61)</f>
        <v>0</v>
      </c>
      <c r="BA176" s="45">
        <f>IF(SUM($AA153:BA153)=0, 0, BA61)</f>
        <v>0</v>
      </c>
      <c r="BB176" s="45">
        <f>IF(SUM($AA153:BB153)=0, 0, BB61)</f>
        <v>0</v>
      </c>
      <c r="BC176" s="45">
        <f>IF(SUM($AA153:BC153)=0, 0, BC61)</f>
        <v>0</v>
      </c>
      <c r="BD176" s="45">
        <f>IF(SUM($AA153:BD153)=0, 0, BD61)</f>
        <v>0</v>
      </c>
      <c r="BE176" s="45">
        <f>IF(SUM($AA153:BE153)=0, 0, BE61)</f>
        <v>0</v>
      </c>
      <c r="BF176" s="45">
        <f>IF(SUM($AA153:BF153)=0, 0, BF61)</f>
        <v>0</v>
      </c>
      <c r="BG176" s="45">
        <f>IF(SUM($AA153:BG153)=0, 0, BG61)</f>
        <v>0</v>
      </c>
      <c r="BH176" s="45">
        <f>IF(SUM($AA153:BH153)=0, 0, BH61)</f>
        <v>0</v>
      </c>
      <c r="BI176" s="45">
        <f>IF(SUM($AA153:BI153)=0, 0, BI61)</f>
        <v>0</v>
      </c>
      <c r="BJ176" s="45">
        <f>IF(SUM($AA153:BJ153)=0, 0, BJ61)</f>
        <v>0</v>
      </c>
      <c r="BL176" s="136"/>
      <c r="BM176" s="136"/>
      <c r="BN176" s="136"/>
      <c r="BO176" s="136"/>
      <c r="BP176" s="45">
        <f>IF(SUM($BP153:BP153)=0, 0, BP61)</f>
        <v>0</v>
      </c>
      <c r="BQ176" s="45">
        <f>IF(SUM($BP153:BQ153)=0, 0, BQ61)</f>
        <v>0</v>
      </c>
      <c r="BR176" s="45">
        <f>IF(SUM($BP153:BR153)=0, 0, BR61)</f>
        <v>0</v>
      </c>
      <c r="BS176" s="45">
        <f>IF(SUM($BP153:BS153)=0, 0, BS61)</f>
        <v>0</v>
      </c>
      <c r="BT176" s="45">
        <f>IF(SUM($BP153:BT153)=0, 0, BT61)</f>
        <v>0</v>
      </c>
      <c r="BU176" s="45">
        <f>IF(SUM($BP153:BU153)=0, 0, BU61)</f>
        <v>0</v>
      </c>
      <c r="BV176" s="45">
        <f>IF(SUM($BP153:BV153)=0, 0, BV61)</f>
        <v>0</v>
      </c>
      <c r="BW176" s="45">
        <f>IF(SUM($BP153:BW153)=0, 0, BW61)</f>
        <v>0</v>
      </c>
      <c r="BY176" s="12"/>
      <c r="CA176" s="12"/>
      <c r="EX176" s="10" t="str">
        <f t="shared" si="123"/>
        <v/>
      </c>
    </row>
    <row r="177" spans="1:154" s="67" customFormat="1" x14ac:dyDescent="0.25">
      <c r="B177" s="67" t="str">
        <f ca="1">Loans!B$28</f>
        <v>Loan 16</v>
      </c>
      <c r="D177" s="62">
        <f>Loans!D$28</f>
        <v>0</v>
      </c>
      <c r="E177" s="159" t="str">
        <f>IF(Loans!Q$28=0, "", Loans!Q$28)</f>
        <v/>
      </c>
      <c r="F177" s="10">
        <f>Loans!G$701</f>
        <v>0</v>
      </c>
      <c r="S177" s="279"/>
      <c r="T177" s="335"/>
      <c r="U177" s="335"/>
      <c r="V177" s="136"/>
      <c r="W177" s="136"/>
      <c r="X177" s="136"/>
      <c r="Y177" s="136"/>
      <c r="AA177" s="45">
        <f>IF(SUM($AA154:AA154)=0, 0, AA62)</f>
        <v>0</v>
      </c>
      <c r="AB177" s="45">
        <f>IF(SUM($AA154:AB154)=0, 0, AB62)</f>
        <v>0</v>
      </c>
      <c r="AC177" s="45">
        <f>IF(SUM($AA154:AC154)=0, 0, AC62)</f>
        <v>0</v>
      </c>
      <c r="AD177" s="45">
        <f>IF(SUM($AA154:AD154)=0, 0, AD62)</f>
        <v>0</v>
      </c>
      <c r="AE177" s="45">
        <f>IF(SUM($AA154:AE154)=0, 0, AE62)</f>
        <v>0</v>
      </c>
      <c r="AF177" s="45">
        <f>IF(SUM($AA154:AF154)=0, 0, AF62)</f>
        <v>0</v>
      </c>
      <c r="AG177" s="45">
        <f>IF(SUM($AA154:AG154)=0, 0, AG62)</f>
        <v>0</v>
      </c>
      <c r="AH177" s="45">
        <f>IF(SUM($AA154:AH154)=0, 0, AH62)</f>
        <v>0</v>
      </c>
      <c r="AI177" s="45">
        <f>IF(SUM($AA154:AI154)=0, 0, AI62)</f>
        <v>0</v>
      </c>
      <c r="AJ177" s="45">
        <f>IF(SUM($AA154:AJ154)=0, 0, AJ62)</f>
        <v>0</v>
      </c>
      <c r="AK177" s="45">
        <f>IF(SUM($AA154:AK154)=0, 0, AK62)</f>
        <v>0</v>
      </c>
      <c r="AL177" s="45">
        <f>IF(SUM($AA154:AL154)=0, 0, AL62)</f>
        <v>0</v>
      </c>
      <c r="AM177" s="45">
        <f>IF(SUM($AA154:AM154)=0, 0, AM62)</f>
        <v>0</v>
      </c>
      <c r="AN177" s="45">
        <f>IF(SUM($AA154:AN154)=0, 0, AN62)</f>
        <v>0</v>
      </c>
      <c r="AO177" s="45">
        <f>IF(SUM($AA154:AO154)=0, 0, AO62)</f>
        <v>0</v>
      </c>
      <c r="AP177" s="45">
        <f>IF(SUM($AA154:AP154)=0, 0, AP62)</f>
        <v>0</v>
      </c>
      <c r="AQ177" s="45">
        <f>IF(SUM($AA154:AQ154)=0, 0, AQ62)</f>
        <v>0</v>
      </c>
      <c r="AR177" s="45">
        <f>IF(SUM($AA154:AR154)=0, 0, AR62)</f>
        <v>0</v>
      </c>
      <c r="AS177" s="45">
        <f>IF(SUM($AA154:AS154)=0, 0, AS62)</f>
        <v>0</v>
      </c>
      <c r="AT177" s="45">
        <f>IF(SUM($AA154:AT154)=0, 0, AT62)</f>
        <v>0</v>
      </c>
      <c r="AU177" s="45">
        <f>IF(SUM($AA154:AU154)=0, 0, AU62)</f>
        <v>0</v>
      </c>
      <c r="AV177" s="45">
        <f>IF(SUM($AA154:AV154)=0, 0, AV62)</f>
        <v>0</v>
      </c>
      <c r="AW177" s="45">
        <f>IF(SUM($AA154:AW154)=0, 0, AW62)</f>
        <v>0</v>
      </c>
      <c r="AX177" s="45">
        <f>IF(SUM($AA154:AX154)=0, 0, AX62)</f>
        <v>0</v>
      </c>
      <c r="AY177" s="45">
        <f>IF(SUM($AA154:AY154)=0, 0, AY62)</f>
        <v>0</v>
      </c>
      <c r="AZ177" s="45">
        <f>IF(SUM($AA154:AZ154)=0, 0, AZ62)</f>
        <v>0</v>
      </c>
      <c r="BA177" s="45">
        <f>IF(SUM($AA154:BA154)=0, 0, BA62)</f>
        <v>0</v>
      </c>
      <c r="BB177" s="45">
        <f>IF(SUM($AA154:BB154)=0, 0, BB62)</f>
        <v>0</v>
      </c>
      <c r="BC177" s="45">
        <f>IF(SUM($AA154:BC154)=0, 0, BC62)</f>
        <v>0</v>
      </c>
      <c r="BD177" s="45">
        <f>IF(SUM($AA154:BD154)=0, 0, BD62)</f>
        <v>0</v>
      </c>
      <c r="BE177" s="45">
        <f>IF(SUM($AA154:BE154)=0, 0, BE62)</f>
        <v>0</v>
      </c>
      <c r="BF177" s="45">
        <f>IF(SUM($AA154:BF154)=0, 0, BF62)</f>
        <v>0</v>
      </c>
      <c r="BG177" s="45">
        <f>IF(SUM($AA154:BG154)=0, 0, BG62)</f>
        <v>0</v>
      </c>
      <c r="BH177" s="45">
        <f>IF(SUM($AA154:BH154)=0, 0, BH62)</f>
        <v>0</v>
      </c>
      <c r="BI177" s="45">
        <f>IF(SUM($AA154:BI154)=0, 0, BI62)</f>
        <v>0</v>
      </c>
      <c r="BJ177" s="45">
        <f>IF(SUM($AA154:BJ154)=0, 0, BJ62)</f>
        <v>0</v>
      </c>
      <c r="BL177" s="136"/>
      <c r="BM177" s="136"/>
      <c r="BN177" s="136"/>
      <c r="BO177" s="136"/>
      <c r="BP177" s="45">
        <f>IF(SUM($BP154:BP154)=0, 0, BP62)</f>
        <v>0</v>
      </c>
      <c r="BQ177" s="45">
        <f>IF(SUM($BP154:BQ154)=0, 0, BQ62)</f>
        <v>0</v>
      </c>
      <c r="BR177" s="45">
        <f>IF(SUM($BP154:BR154)=0, 0, BR62)</f>
        <v>0</v>
      </c>
      <c r="BS177" s="45">
        <f>IF(SUM($BP154:BS154)=0, 0, BS62)</f>
        <v>0</v>
      </c>
      <c r="BT177" s="45">
        <f>IF(SUM($BP154:BT154)=0, 0, BT62)</f>
        <v>0</v>
      </c>
      <c r="BU177" s="45">
        <f>IF(SUM($BP154:BU154)=0, 0, BU62)</f>
        <v>0</v>
      </c>
      <c r="BV177" s="45">
        <f>IF(SUM($BP154:BV154)=0, 0, BV62)</f>
        <v>0</v>
      </c>
      <c r="BW177" s="45">
        <f>IF(SUM($BP154:BW154)=0, 0, BW62)</f>
        <v>0</v>
      </c>
      <c r="BY177" s="12"/>
      <c r="CA177" s="12"/>
      <c r="EX177" s="10" t="str">
        <f t="shared" si="123"/>
        <v/>
      </c>
    </row>
    <row r="178" spans="1:154" s="67" customFormat="1" x14ac:dyDescent="0.25">
      <c r="B178" s="67" t="str">
        <f ca="1">Loans!B$29</f>
        <v>Loan 17</v>
      </c>
      <c r="D178" s="62">
        <f>Loans!D$29</f>
        <v>0</v>
      </c>
      <c r="E178" s="159" t="str">
        <f>IF(Loans!Q$29=0, "", Loans!Q$29)</f>
        <v/>
      </c>
      <c r="F178" s="10">
        <f>Loans!G$702</f>
        <v>0</v>
      </c>
      <c r="S178" s="279"/>
      <c r="T178" s="335"/>
      <c r="U178" s="335"/>
      <c r="V178" s="136"/>
      <c r="W178" s="136"/>
      <c r="X178" s="136"/>
      <c r="Y178" s="136"/>
      <c r="AA178" s="45">
        <f>IF(SUM($AA155:AA155)=0, 0, AA63)</f>
        <v>0</v>
      </c>
      <c r="AB178" s="45">
        <f>IF(SUM($AA155:AB155)=0, 0, AB63)</f>
        <v>0</v>
      </c>
      <c r="AC178" s="45">
        <f>IF(SUM($AA155:AC155)=0, 0, AC63)</f>
        <v>0</v>
      </c>
      <c r="AD178" s="45">
        <f>IF(SUM($AA155:AD155)=0, 0, AD63)</f>
        <v>0</v>
      </c>
      <c r="AE178" s="45">
        <f>IF(SUM($AA155:AE155)=0, 0, AE63)</f>
        <v>0</v>
      </c>
      <c r="AF178" s="45">
        <f>IF(SUM($AA155:AF155)=0, 0, AF63)</f>
        <v>0</v>
      </c>
      <c r="AG178" s="45">
        <f>IF(SUM($AA155:AG155)=0, 0, AG63)</f>
        <v>0</v>
      </c>
      <c r="AH178" s="45">
        <f>IF(SUM($AA155:AH155)=0, 0, AH63)</f>
        <v>0</v>
      </c>
      <c r="AI178" s="45">
        <f>IF(SUM($AA155:AI155)=0, 0, AI63)</f>
        <v>0</v>
      </c>
      <c r="AJ178" s="45">
        <f>IF(SUM($AA155:AJ155)=0, 0, AJ63)</f>
        <v>0</v>
      </c>
      <c r="AK178" s="45">
        <f>IF(SUM($AA155:AK155)=0, 0, AK63)</f>
        <v>0</v>
      </c>
      <c r="AL178" s="45">
        <f>IF(SUM($AA155:AL155)=0, 0, AL63)</f>
        <v>0</v>
      </c>
      <c r="AM178" s="45">
        <f>IF(SUM($AA155:AM155)=0, 0, AM63)</f>
        <v>0</v>
      </c>
      <c r="AN178" s="45">
        <f>IF(SUM($AA155:AN155)=0, 0, AN63)</f>
        <v>0</v>
      </c>
      <c r="AO178" s="45">
        <f>IF(SUM($AA155:AO155)=0, 0, AO63)</f>
        <v>0</v>
      </c>
      <c r="AP178" s="45">
        <f>IF(SUM($AA155:AP155)=0, 0, AP63)</f>
        <v>0</v>
      </c>
      <c r="AQ178" s="45">
        <f>IF(SUM($AA155:AQ155)=0, 0, AQ63)</f>
        <v>0</v>
      </c>
      <c r="AR178" s="45">
        <f>IF(SUM($AA155:AR155)=0, 0, AR63)</f>
        <v>0</v>
      </c>
      <c r="AS178" s="45">
        <f>IF(SUM($AA155:AS155)=0, 0, AS63)</f>
        <v>0</v>
      </c>
      <c r="AT178" s="45">
        <f>IF(SUM($AA155:AT155)=0, 0, AT63)</f>
        <v>0</v>
      </c>
      <c r="AU178" s="45">
        <f>IF(SUM($AA155:AU155)=0, 0, AU63)</f>
        <v>0</v>
      </c>
      <c r="AV178" s="45">
        <f>IF(SUM($AA155:AV155)=0, 0, AV63)</f>
        <v>0</v>
      </c>
      <c r="AW178" s="45">
        <f>IF(SUM($AA155:AW155)=0, 0, AW63)</f>
        <v>0</v>
      </c>
      <c r="AX178" s="45">
        <f>IF(SUM($AA155:AX155)=0, 0, AX63)</f>
        <v>0</v>
      </c>
      <c r="AY178" s="45">
        <f>IF(SUM($AA155:AY155)=0, 0, AY63)</f>
        <v>0</v>
      </c>
      <c r="AZ178" s="45">
        <f>IF(SUM($AA155:AZ155)=0, 0, AZ63)</f>
        <v>0</v>
      </c>
      <c r="BA178" s="45">
        <f>IF(SUM($AA155:BA155)=0, 0, BA63)</f>
        <v>0</v>
      </c>
      <c r="BB178" s="45">
        <f>IF(SUM($AA155:BB155)=0, 0, BB63)</f>
        <v>0</v>
      </c>
      <c r="BC178" s="45">
        <f>IF(SUM($AA155:BC155)=0, 0, BC63)</f>
        <v>0</v>
      </c>
      <c r="BD178" s="45">
        <f>IF(SUM($AA155:BD155)=0, 0, BD63)</f>
        <v>0</v>
      </c>
      <c r="BE178" s="45">
        <f>IF(SUM($AA155:BE155)=0, 0, BE63)</f>
        <v>0</v>
      </c>
      <c r="BF178" s="45">
        <f>IF(SUM($AA155:BF155)=0, 0, BF63)</f>
        <v>0</v>
      </c>
      <c r="BG178" s="45">
        <f>IF(SUM($AA155:BG155)=0, 0, BG63)</f>
        <v>0</v>
      </c>
      <c r="BH178" s="45">
        <f>IF(SUM($AA155:BH155)=0, 0, BH63)</f>
        <v>0</v>
      </c>
      <c r="BI178" s="45">
        <f>IF(SUM($AA155:BI155)=0, 0, BI63)</f>
        <v>0</v>
      </c>
      <c r="BJ178" s="45">
        <f>IF(SUM($AA155:BJ155)=0, 0, BJ63)</f>
        <v>0</v>
      </c>
      <c r="BL178" s="136"/>
      <c r="BM178" s="136"/>
      <c r="BN178" s="136"/>
      <c r="BO178" s="136"/>
      <c r="BP178" s="45">
        <f>IF(SUM($BP155:BP155)=0, 0, BP63)</f>
        <v>0</v>
      </c>
      <c r="BQ178" s="45">
        <f>IF(SUM($BP155:BQ155)=0, 0, BQ63)</f>
        <v>0</v>
      </c>
      <c r="BR178" s="45">
        <f>IF(SUM($BP155:BR155)=0, 0, BR63)</f>
        <v>0</v>
      </c>
      <c r="BS178" s="45">
        <f>IF(SUM($BP155:BS155)=0, 0, BS63)</f>
        <v>0</v>
      </c>
      <c r="BT178" s="45">
        <f>IF(SUM($BP155:BT155)=0, 0, BT63)</f>
        <v>0</v>
      </c>
      <c r="BU178" s="45">
        <f>IF(SUM($BP155:BU155)=0, 0, BU63)</f>
        <v>0</v>
      </c>
      <c r="BV178" s="45">
        <f>IF(SUM($BP155:BV155)=0, 0, BV63)</f>
        <v>0</v>
      </c>
      <c r="BW178" s="45">
        <f>IF(SUM($BP155:BW155)=0, 0, BW63)</f>
        <v>0</v>
      </c>
      <c r="BY178" s="12"/>
      <c r="CA178" s="12"/>
      <c r="EX178" s="10" t="str">
        <f t="shared" si="123"/>
        <v/>
      </c>
    </row>
    <row r="179" spans="1:154" s="67" customFormat="1" x14ac:dyDescent="0.25">
      <c r="B179" s="67" t="str">
        <f ca="1">Loans!B$30</f>
        <v>Loan 18</v>
      </c>
      <c r="D179" s="62">
        <f>Loans!D$30</f>
        <v>0</v>
      </c>
      <c r="E179" s="159" t="str">
        <f>IF(Loans!Q$30=0, "", Loans!Q$30)</f>
        <v/>
      </c>
      <c r="F179" s="10">
        <f>Loans!G$703</f>
        <v>0</v>
      </c>
      <c r="S179" s="279"/>
      <c r="T179" s="335"/>
      <c r="U179" s="335"/>
      <c r="V179" s="136"/>
      <c r="W179" s="136"/>
      <c r="X179" s="136"/>
      <c r="Y179" s="136"/>
      <c r="AA179" s="45">
        <f>IF(SUM($AA156:AA156)=0, 0, AA64)</f>
        <v>0</v>
      </c>
      <c r="AB179" s="45">
        <f>IF(SUM($AA156:AB156)=0, 0, AB64)</f>
        <v>0</v>
      </c>
      <c r="AC179" s="45">
        <f>IF(SUM($AA156:AC156)=0, 0, AC64)</f>
        <v>0</v>
      </c>
      <c r="AD179" s="45">
        <f>IF(SUM($AA156:AD156)=0, 0, AD64)</f>
        <v>0</v>
      </c>
      <c r="AE179" s="45">
        <f>IF(SUM($AA156:AE156)=0, 0, AE64)</f>
        <v>0</v>
      </c>
      <c r="AF179" s="45">
        <f>IF(SUM($AA156:AF156)=0, 0, AF64)</f>
        <v>0</v>
      </c>
      <c r="AG179" s="45">
        <f>IF(SUM($AA156:AG156)=0, 0, AG64)</f>
        <v>0</v>
      </c>
      <c r="AH179" s="45">
        <f>IF(SUM($AA156:AH156)=0, 0, AH64)</f>
        <v>0</v>
      </c>
      <c r="AI179" s="45">
        <f>IF(SUM($AA156:AI156)=0, 0, AI64)</f>
        <v>0</v>
      </c>
      <c r="AJ179" s="45">
        <f>IF(SUM($AA156:AJ156)=0, 0, AJ64)</f>
        <v>0</v>
      </c>
      <c r="AK179" s="45">
        <f>IF(SUM($AA156:AK156)=0, 0, AK64)</f>
        <v>0</v>
      </c>
      <c r="AL179" s="45">
        <f>IF(SUM($AA156:AL156)=0, 0, AL64)</f>
        <v>0</v>
      </c>
      <c r="AM179" s="45">
        <f>IF(SUM($AA156:AM156)=0, 0, AM64)</f>
        <v>0</v>
      </c>
      <c r="AN179" s="45">
        <f>IF(SUM($AA156:AN156)=0, 0, AN64)</f>
        <v>0</v>
      </c>
      <c r="AO179" s="45">
        <f>IF(SUM($AA156:AO156)=0, 0, AO64)</f>
        <v>0</v>
      </c>
      <c r="AP179" s="45">
        <f>IF(SUM($AA156:AP156)=0, 0, AP64)</f>
        <v>0</v>
      </c>
      <c r="AQ179" s="45">
        <f>IF(SUM($AA156:AQ156)=0, 0, AQ64)</f>
        <v>0</v>
      </c>
      <c r="AR179" s="45">
        <f>IF(SUM($AA156:AR156)=0, 0, AR64)</f>
        <v>0</v>
      </c>
      <c r="AS179" s="45">
        <f>IF(SUM($AA156:AS156)=0, 0, AS64)</f>
        <v>0</v>
      </c>
      <c r="AT179" s="45">
        <f>IF(SUM($AA156:AT156)=0, 0, AT64)</f>
        <v>0</v>
      </c>
      <c r="AU179" s="45">
        <f>IF(SUM($AA156:AU156)=0, 0, AU64)</f>
        <v>0</v>
      </c>
      <c r="AV179" s="45">
        <f>IF(SUM($AA156:AV156)=0, 0, AV64)</f>
        <v>0</v>
      </c>
      <c r="AW179" s="45">
        <f>IF(SUM($AA156:AW156)=0, 0, AW64)</f>
        <v>0</v>
      </c>
      <c r="AX179" s="45">
        <f>IF(SUM($AA156:AX156)=0, 0, AX64)</f>
        <v>0</v>
      </c>
      <c r="AY179" s="45">
        <f>IF(SUM($AA156:AY156)=0, 0, AY64)</f>
        <v>0</v>
      </c>
      <c r="AZ179" s="45">
        <f>IF(SUM($AA156:AZ156)=0, 0, AZ64)</f>
        <v>0</v>
      </c>
      <c r="BA179" s="45">
        <f>IF(SUM($AA156:BA156)=0, 0, BA64)</f>
        <v>0</v>
      </c>
      <c r="BB179" s="45">
        <f>IF(SUM($AA156:BB156)=0, 0, BB64)</f>
        <v>0</v>
      </c>
      <c r="BC179" s="45">
        <f>IF(SUM($AA156:BC156)=0, 0, BC64)</f>
        <v>0</v>
      </c>
      <c r="BD179" s="45">
        <f>IF(SUM($AA156:BD156)=0, 0, BD64)</f>
        <v>0</v>
      </c>
      <c r="BE179" s="45">
        <f>IF(SUM($AA156:BE156)=0, 0, BE64)</f>
        <v>0</v>
      </c>
      <c r="BF179" s="45">
        <f>IF(SUM($AA156:BF156)=0, 0, BF64)</f>
        <v>0</v>
      </c>
      <c r="BG179" s="45">
        <f>IF(SUM($AA156:BG156)=0, 0, BG64)</f>
        <v>0</v>
      </c>
      <c r="BH179" s="45">
        <f>IF(SUM($AA156:BH156)=0, 0, BH64)</f>
        <v>0</v>
      </c>
      <c r="BI179" s="45">
        <f>IF(SUM($AA156:BI156)=0, 0, BI64)</f>
        <v>0</v>
      </c>
      <c r="BJ179" s="45">
        <f>IF(SUM($AA156:BJ156)=0, 0, BJ64)</f>
        <v>0</v>
      </c>
      <c r="BL179" s="136"/>
      <c r="BM179" s="136"/>
      <c r="BN179" s="136"/>
      <c r="BO179" s="136"/>
      <c r="BP179" s="45">
        <f>IF(SUM($BP156:BP156)=0, 0, BP64)</f>
        <v>0</v>
      </c>
      <c r="BQ179" s="45">
        <f>IF(SUM($BP156:BQ156)=0, 0, BQ64)</f>
        <v>0</v>
      </c>
      <c r="BR179" s="45">
        <f>IF(SUM($BP156:BR156)=0, 0, BR64)</f>
        <v>0</v>
      </c>
      <c r="BS179" s="45">
        <f>IF(SUM($BP156:BS156)=0, 0, BS64)</f>
        <v>0</v>
      </c>
      <c r="BT179" s="45">
        <f>IF(SUM($BP156:BT156)=0, 0, BT64)</f>
        <v>0</v>
      </c>
      <c r="BU179" s="45">
        <f>IF(SUM($BP156:BU156)=0, 0, BU64)</f>
        <v>0</v>
      </c>
      <c r="BV179" s="45">
        <f>IF(SUM($BP156:BV156)=0, 0, BV64)</f>
        <v>0</v>
      </c>
      <c r="BW179" s="45">
        <f>IF(SUM($BP156:BW156)=0, 0, BW64)</f>
        <v>0</v>
      </c>
      <c r="BY179" s="12"/>
      <c r="CA179" s="12"/>
      <c r="EX179" s="10" t="str">
        <f t="shared" si="123"/>
        <v/>
      </c>
    </row>
    <row r="180" spans="1:154" s="67" customFormat="1" x14ac:dyDescent="0.25">
      <c r="B180" s="67" t="str">
        <f ca="1">Loans!B$31</f>
        <v>Loan 19</v>
      </c>
      <c r="D180" s="62">
        <f>Loans!D$31</f>
        <v>0</v>
      </c>
      <c r="E180" s="159" t="str">
        <f>IF(Loans!Q$31=0, "", Loans!Q$31)</f>
        <v/>
      </c>
      <c r="F180" s="10">
        <f>Loans!G$704</f>
        <v>0</v>
      </c>
      <c r="S180" s="279"/>
      <c r="T180" s="335"/>
      <c r="U180" s="335"/>
      <c r="V180" s="136"/>
      <c r="W180" s="136"/>
      <c r="X180" s="136"/>
      <c r="Y180" s="136"/>
      <c r="AA180" s="45">
        <f>IF(SUM($AA157:AA157)=0, 0, AA65)</f>
        <v>0</v>
      </c>
      <c r="AB180" s="45">
        <f>IF(SUM($AA157:AB157)=0, 0, AB65)</f>
        <v>0</v>
      </c>
      <c r="AC180" s="45">
        <f>IF(SUM($AA157:AC157)=0, 0, AC65)</f>
        <v>0</v>
      </c>
      <c r="AD180" s="45">
        <f>IF(SUM($AA157:AD157)=0, 0, AD65)</f>
        <v>0</v>
      </c>
      <c r="AE180" s="45">
        <f>IF(SUM($AA157:AE157)=0, 0, AE65)</f>
        <v>0</v>
      </c>
      <c r="AF180" s="45">
        <f>IF(SUM($AA157:AF157)=0, 0, AF65)</f>
        <v>0</v>
      </c>
      <c r="AG180" s="45">
        <f>IF(SUM($AA157:AG157)=0, 0, AG65)</f>
        <v>0</v>
      </c>
      <c r="AH180" s="45">
        <f>IF(SUM($AA157:AH157)=0, 0, AH65)</f>
        <v>0</v>
      </c>
      <c r="AI180" s="45">
        <f>IF(SUM($AA157:AI157)=0, 0, AI65)</f>
        <v>0</v>
      </c>
      <c r="AJ180" s="45">
        <f>IF(SUM($AA157:AJ157)=0, 0, AJ65)</f>
        <v>0</v>
      </c>
      <c r="AK180" s="45">
        <f>IF(SUM($AA157:AK157)=0, 0, AK65)</f>
        <v>0</v>
      </c>
      <c r="AL180" s="45">
        <f>IF(SUM($AA157:AL157)=0, 0, AL65)</f>
        <v>0</v>
      </c>
      <c r="AM180" s="45">
        <f>IF(SUM($AA157:AM157)=0, 0, AM65)</f>
        <v>0</v>
      </c>
      <c r="AN180" s="45">
        <f>IF(SUM($AA157:AN157)=0, 0, AN65)</f>
        <v>0</v>
      </c>
      <c r="AO180" s="45">
        <f>IF(SUM($AA157:AO157)=0, 0, AO65)</f>
        <v>0</v>
      </c>
      <c r="AP180" s="45">
        <f>IF(SUM($AA157:AP157)=0, 0, AP65)</f>
        <v>0</v>
      </c>
      <c r="AQ180" s="45">
        <f>IF(SUM($AA157:AQ157)=0, 0, AQ65)</f>
        <v>0</v>
      </c>
      <c r="AR180" s="45">
        <f>IF(SUM($AA157:AR157)=0, 0, AR65)</f>
        <v>0</v>
      </c>
      <c r="AS180" s="45">
        <f>IF(SUM($AA157:AS157)=0, 0, AS65)</f>
        <v>0</v>
      </c>
      <c r="AT180" s="45">
        <f>IF(SUM($AA157:AT157)=0, 0, AT65)</f>
        <v>0</v>
      </c>
      <c r="AU180" s="45">
        <f>IF(SUM($AA157:AU157)=0, 0, AU65)</f>
        <v>0</v>
      </c>
      <c r="AV180" s="45">
        <f>IF(SUM($AA157:AV157)=0, 0, AV65)</f>
        <v>0</v>
      </c>
      <c r="AW180" s="45">
        <f>IF(SUM($AA157:AW157)=0, 0, AW65)</f>
        <v>0</v>
      </c>
      <c r="AX180" s="45">
        <f>IF(SUM($AA157:AX157)=0, 0, AX65)</f>
        <v>0</v>
      </c>
      <c r="AY180" s="45">
        <f>IF(SUM($AA157:AY157)=0, 0, AY65)</f>
        <v>0</v>
      </c>
      <c r="AZ180" s="45">
        <f>IF(SUM($AA157:AZ157)=0, 0, AZ65)</f>
        <v>0</v>
      </c>
      <c r="BA180" s="45">
        <f>IF(SUM($AA157:BA157)=0, 0, BA65)</f>
        <v>0</v>
      </c>
      <c r="BB180" s="45">
        <f>IF(SUM($AA157:BB157)=0, 0, BB65)</f>
        <v>0</v>
      </c>
      <c r="BC180" s="45">
        <f>IF(SUM($AA157:BC157)=0, 0, BC65)</f>
        <v>0</v>
      </c>
      <c r="BD180" s="45">
        <f>IF(SUM($AA157:BD157)=0, 0, BD65)</f>
        <v>0</v>
      </c>
      <c r="BE180" s="45">
        <f>IF(SUM($AA157:BE157)=0, 0, BE65)</f>
        <v>0</v>
      </c>
      <c r="BF180" s="45">
        <f>IF(SUM($AA157:BF157)=0, 0, BF65)</f>
        <v>0</v>
      </c>
      <c r="BG180" s="45">
        <f>IF(SUM($AA157:BG157)=0, 0, BG65)</f>
        <v>0</v>
      </c>
      <c r="BH180" s="45">
        <f>IF(SUM($AA157:BH157)=0, 0, BH65)</f>
        <v>0</v>
      </c>
      <c r="BI180" s="45">
        <f>IF(SUM($AA157:BI157)=0, 0, BI65)</f>
        <v>0</v>
      </c>
      <c r="BJ180" s="45">
        <f>IF(SUM($AA157:BJ157)=0, 0, BJ65)</f>
        <v>0</v>
      </c>
      <c r="BL180" s="136"/>
      <c r="BM180" s="136"/>
      <c r="BN180" s="136"/>
      <c r="BO180" s="136"/>
      <c r="BP180" s="45">
        <f>IF(SUM($BP157:BP157)=0, 0, BP65)</f>
        <v>0</v>
      </c>
      <c r="BQ180" s="45">
        <f>IF(SUM($BP157:BQ157)=0, 0, BQ65)</f>
        <v>0</v>
      </c>
      <c r="BR180" s="45">
        <f>IF(SUM($BP157:BR157)=0, 0, BR65)</f>
        <v>0</v>
      </c>
      <c r="BS180" s="45">
        <f>IF(SUM($BP157:BS157)=0, 0, BS65)</f>
        <v>0</v>
      </c>
      <c r="BT180" s="45">
        <f>IF(SUM($BP157:BT157)=0, 0, BT65)</f>
        <v>0</v>
      </c>
      <c r="BU180" s="45">
        <f>IF(SUM($BP157:BU157)=0, 0, BU65)</f>
        <v>0</v>
      </c>
      <c r="BV180" s="45">
        <f>IF(SUM($BP157:BV157)=0, 0, BV65)</f>
        <v>0</v>
      </c>
      <c r="BW180" s="45">
        <f>IF(SUM($BP157:BW157)=0, 0, BW65)</f>
        <v>0</v>
      </c>
      <c r="BY180" s="12"/>
      <c r="CA180" s="12"/>
      <c r="EX180" s="10" t="str">
        <f t="shared" si="123"/>
        <v/>
      </c>
    </row>
    <row r="181" spans="1:154" s="67" customFormat="1" x14ac:dyDescent="0.25">
      <c r="B181" s="67" t="str">
        <f ca="1">Loans!B$32</f>
        <v>Loan 20</v>
      </c>
      <c r="D181" s="62">
        <f>Loans!D$32</f>
        <v>0</v>
      </c>
      <c r="E181" s="159" t="str">
        <f>IF(Loans!Q$32=0, "", Loans!Q$32)</f>
        <v/>
      </c>
      <c r="F181" s="10">
        <f>Loans!G$705</f>
        <v>0</v>
      </c>
      <c r="S181" s="279"/>
      <c r="T181" s="335"/>
      <c r="U181" s="335"/>
      <c r="V181" s="136"/>
      <c r="W181" s="136"/>
      <c r="X181" s="136"/>
      <c r="Y181" s="136"/>
      <c r="AA181" s="45">
        <f>IF(SUM($AA158:AA158)=0, 0, AA66)</f>
        <v>0</v>
      </c>
      <c r="AB181" s="45">
        <f>IF(SUM($AA158:AB158)=0, 0, AB66)</f>
        <v>0</v>
      </c>
      <c r="AC181" s="45">
        <f>IF(SUM($AA158:AC158)=0, 0, AC66)</f>
        <v>0</v>
      </c>
      <c r="AD181" s="45">
        <f>IF(SUM($AA158:AD158)=0, 0, AD66)</f>
        <v>0</v>
      </c>
      <c r="AE181" s="45">
        <f>IF(SUM($AA158:AE158)=0, 0, AE66)</f>
        <v>0</v>
      </c>
      <c r="AF181" s="45">
        <f>IF(SUM($AA158:AF158)=0, 0, AF66)</f>
        <v>0</v>
      </c>
      <c r="AG181" s="45">
        <f>IF(SUM($AA158:AG158)=0, 0, AG66)</f>
        <v>0</v>
      </c>
      <c r="AH181" s="45">
        <f>IF(SUM($AA158:AH158)=0, 0, AH66)</f>
        <v>0</v>
      </c>
      <c r="AI181" s="45">
        <f>IF(SUM($AA158:AI158)=0, 0, AI66)</f>
        <v>0</v>
      </c>
      <c r="AJ181" s="45">
        <f>IF(SUM($AA158:AJ158)=0, 0, AJ66)</f>
        <v>0</v>
      </c>
      <c r="AK181" s="45">
        <f>IF(SUM($AA158:AK158)=0, 0, AK66)</f>
        <v>0</v>
      </c>
      <c r="AL181" s="45">
        <f>IF(SUM($AA158:AL158)=0, 0, AL66)</f>
        <v>0</v>
      </c>
      <c r="AM181" s="45">
        <f>IF(SUM($AA158:AM158)=0, 0, AM66)</f>
        <v>0</v>
      </c>
      <c r="AN181" s="45">
        <f>IF(SUM($AA158:AN158)=0, 0, AN66)</f>
        <v>0</v>
      </c>
      <c r="AO181" s="45">
        <f>IF(SUM($AA158:AO158)=0, 0, AO66)</f>
        <v>0</v>
      </c>
      <c r="AP181" s="45">
        <f>IF(SUM($AA158:AP158)=0, 0, AP66)</f>
        <v>0</v>
      </c>
      <c r="AQ181" s="45">
        <f>IF(SUM($AA158:AQ158)=0, 0, AQ66)</f>
        <v>0</v>
      </c>
      <c r="AR181" s="45">
        <f>IF(SUM($AA158:AR158)=0, 0, AR66)</f>
        <v>0</v>
      </c>
      <c r="AS181" s="45">
        <f>IF(SUM($AA158:AS158)=0, 0, AS66)</f>
        <v>0</v>
      </c>
      <c r="AT181" s="45">
        <f>IF(SUM($AA158:AT158)=0, 0, AT66)</f>
        <v>0</v>
      </c>
      <c r="AU181" s="45">
        <f>IF(SUM($AA158:AU158)=0, 0, AU66)</f>
        <v>0</v>
      </c>
      <c r="AV181" s="45">
        <f>IF(SUM($AA158:AV158)=0, 0, AV66)</f>
        <v>0</v>
      </c>
      <c r="AW181" s="45">
        <f>IF(SUM($AA158:AW158)=0, 0, AW66)</f>
        <v>0</v>
      </c>
      <c r="AX181" s="45">
        <f>IF(SUM($AA158:AX158)=0, 0, AX66)</f>
        <v>0</v>
      </c>
      <c r="AY181" s="45">
        <f>IF(SUM($AA158:AY158)=0, 0, AY66)</f>
        <v>0</v>
      </c>
      <c r="AZ181" s="45">
        <f>IF(SUM($AA158:AZ158)=0, 0, AZ66)</f>
        <v>0</v>
      </c>
      <c r="BA181" s="45">
        <f>IF(SUM($AA158:BA158)=0, 0, BA66)</f>
        <v>0</v>
      </c>
      <c r="BB181" s="45">
        <f>IF(SUM($AA158:BB158)=0, 0, BB66)</f>
        <v>0</v>
      </c>
      <c r="BC181" s="45">
        <f>IF(SUM($AA158:BC158)=0, 0, BC66)</f>
        <v>0</v>
      </c>
      <c r="BD181" s="45">
        <f>IF(SUM($AA158:BD158)=0, 0, BD66)</f>
        <v>0</v>
      </c>
      <c r="BE181" s="45">
        <f>IF(SUM($AA158:BE158)=0, 0, BE66)</f>
        <v>0</v>
      </c>
      <c r="BF181" s="45">
        <f>IF(SUM($AA158:BF158)=0, 0, BF66)</f>
        <v>0</v>
      </c>
      <c r="BG181" s="45">
        <f>IF(SUM($AA158:BG158)=0, 0, BG66)</f>
        <v>0</v>
      </c>
      <c r="BH181" s="45">
        <f>IF(SUM($AA158:BH158)=0, 0, BH66)</f>
        <v>0</v>
      </c>
      <c r="BI181" s="45">
        <f>IF(SUM($AA158:BI158)=0, 0, BI66)</f>
        <v>0</v>
      </c>
      <c r="BJ181" s="45">
        <f>IF(SUM($AA158:BJ158)=0, 0, BJ66)</f>
        <v>0</v>
      </c>
      <c r="BL181" s="136"/>
      <c r="BM181" s="136"/>
      <c r="BN181" s="136"/>
      <c r="BO181" s="136"/>
      <c r="BP181" s="45">
        <f>IF(SUM($BP158:BP158)=0, 0, BP66)</f>
        <v>0</v>
      </c>
      <c r="BQ181" s="45">
        <f>IF(SUM($BP158:BQ158)=0, 0, BQ66)</f>
        <v>0</v>
      </c>
      <c r="BR181" s="45">
        <f>IF(SUM($BP158:BR158)=0, 0, BR66)</f>
        <v>0</v>
      </c>
      <c r="BS181" s="45">
        <f>IF(SUM($BP158:BS158)=0, 0, BS66)</f>
        <v>0</v>
      </c>
      <c r="BT181" s="45">
        <f>IF(SUM($BP158:BT158)=0, 0, BT66)</f>
        <v>0</v>
      </c>
      <c r="BU181" s="45">
        <f>IF(SUM($BP158:BU158)=0, 0, BU66)</f>
        <v>0</v>
      </c>
      <c r="BV181" s="45">
        <f>IF(SUM($BP158:BV158)=0, 0, BV66)</f>
        <v>0</v>
      </c>
      <c r="BW181" s="45">
        <f>IF(SUM($BP158:BW158)=0, 0, BW66)</f>
        <v>0</v>
      </c>
      <c r="BY181" s="12"/>
      <c r="CA181" s="12"/>
      <c r="EX181" s="10" t="str">
        <f t="shared" si="123"/>
        <v/>
      </c>
    </row>
    <row r="182" spans="1:154" s="67" customFormat="1" ht="6.6" customHeight="1" x14ac:dyDescent="0.25">
      <c r="D182" s="1"/>
      <c r="J182" s="279"/>
      <c r="K182" s="279"/>
      <c r="L182" s="279"/>
      <c r="M182" s="279"/>
      <c r="N182" s="279"/>
      <c r="O182" s="279"/>
      <c r="P182" s="279"/>
      <c r="Q182" s="279"/>
      <c r="R182" s="279"/>
      <c r="S182" s="279"/>
      <c r="T182" s="335"/>
      <c r="U182" s="335"/>
      <c r="V182" s="279"/>
      <c r="W182" s="279"/>
      <c r="X182" s="279"/>
      <c r="Y182" s="279"/>
      <c r="BM182" s="6"/>
      <c r="BY182" s="42"/>
      <c r="CA182" s="42"/>
      <c r="EX182" s="10" t="str">
        <f t="shared" si="123"/>
        <v/>
      </c>
    </row>
    <row r="183" spans="1:154" s="67" customFormat="1" x14ac:dyDescent="0.25">
      <c r="D183" s="5" t="s">
        <v>543</v>
      </c>
      <c r="T183" s="335"/>
      <c r="U183" s="335"/>
      <c r="BY183" s="12"/>
      <c r="CA183" s="12"/>
      <c r="EX183" s="10" t="str">
        <f t="shared" si="123"/>
        <v/>
      </c>
    </row>
    <row r="184" spans="1:154" s="67" customFormat="1" x14ac:dyDescent="0.25">
      <c r="B184" s="5"/>
      <c r="D184" s="5" t="str">
        <f>Loans!D$11</f>
        <v>Lender</v>
      </c>
      <c r="E184" s="5" t="s">
        <v>542</v>
      </c>
      <c r="F184" s="5" t="s">
        <v>537</v>
      </c>
      <c r="T184" s="335"/>
      <c r="U184" s="335"/>
      <c r="BY184" s="12"/>
      <c r="CA184" s="12"/>
      <c r="EX184" s="10" t="str">
        <f t="shared" si="123"/>
        <v/>
      </c>
    </row>
    <row r="185" spans="1:154" s="67" customFormat="1" x14ac:dyDescent="0.25">
      <c r="B185" s="67" t="str">
        <f ca="1">Loans!B$13</f>
        <v>Loan 1</v>
      </c>
      <c r="D185" s="62" t="str">
        <f>Loans!D$13</f>
        <v>NatWest</v>
      </c>
      <c r="E185" s="159" t="str">
        <f>IF(Loans!Q$13=0, "", Loans!Q$13)</f>
        <v/>
      </c>
      <c r="F185" s="10">
        <f>Loans!G$686</f>
        <v>0</v>
      </c>
      <c r="S185" s="279"/>
      <c r="T185" s="335"/>
      <c r="U185" s="335"/>
      <c r="V185" s="136"/>
      <c r="W185" s="136"/>
      <c r="X185" s="136"/>
      <c r="Y185" s="136"/>
      <c r="Z185" s="93"/>
      <c r="AA185" s="200">
        <f>IF(AA139=1, 1, Z185+AA162)*AA162</f>
        <v>0</v>
      </c>
      <c r="AB185" s="45">
        <f t="shared" ref="AB185:AF185" si="131">IF(AB139=1, 1, AA185+AB162)*AB162</f>
        <v>0</v>
      </c>
      <c r="AC185" s="45">
        <f t="shared" si="131"/>
        <v>0</v>
      </c>
      <c r="AD185" s="45">
        <f t="shared" si="131"/>
        <v>0</v>
      </c>
      <c r="AE185" s="45">
        <f t="shared" si="131"/>
        <v>0</v>
      </c>
      <c r="AF185" s="45">
        <f t="shared" si="131"/>
        <v>0</v>
      </c>
      <c r="AG185" s="45">
        <f t="shared" ref="AG185:BI185" si="132">IF(AG139=1, 1, AF185+AG162)*AG162</f>
        <v>0</v>
      </c>
      <c r="AH185" s="45">
        <f t="shared" si="132"/>
        <v>0</v>
      </c>
      <c r="AI185" s="45">
        <f t="shared" si="132"/>
        <v>0</v>
      </c>
      <c r="AJ185" s="45">
        <f t="shared" si="132"/>
        <v>0</v>
      </c>
      <c r="AK185" s="45">
        <f t="shared" si="132"/>
        <v>0</v>
      </c>
      <c r="AL185" s="45">
        <f t="shared" si="132"/>
        <v>0</v>
      </c>
      <c r="AM185" s="45">
        <f t="shared" si="132"/>
        <v>0</v>
      </c>
      <c r="AN185" s="45">
        <f t="shared" si="132"/>
        <v>0</v>
      </c>
      <c r="AO185" s="45">
        <f t="shared" si="132"/>
        <v>0</v>
      </c>
      <c r="AP185" s="45">
        <f t="shared" si="132"/>
        <v>0</v>
      </c>
      <c r="AQ185" s="45">
        <f t="shared" si="132"/>
        <v>0</v>
      </c>
      <c r="AR185" s="45">
        <f t="shared" si="132"/>
        <v>0</v>
      </c>
      <c r="AS185" s="45">
        <f t="shared" si="132"/>
        <v>0</v>
      </c>
      <c r="AT185" s="45">
        <f t="shared" si="132"/>
        <v>0</v>
      </c>
      <c r="AU185" s="45">
        <f t="shared" si="132"/>
        <v>0</v>
      </c>
      <c r="AV185" s="45">
        <f t="shared" si="132"/>
        <v>0</v>
      </c>
      <c r="AW185" s="45">
        <f t="shared" si="132"/>
        <v>0</v>
      </c>
      <c r="AX185" s="45">
        <f t="shared" si="132"/>
        <v>0</v>
      </c>
      <c r="AY185" s="45">
        <f t="shared" si="132"/>
        <v>0</v>
      </c>
      <c r="AZ185" s="45">
        <f t="shared" si="132"/>
        <v>0</v>
      </c>
      <c r="BA185" s="45">
        <f t="shared" si="132"/>
        <v>0</v>
      </c>
      <c r="BB185" s="45">
        <f t="shared" si="132"/>
        <v>0</v>
      </c>
      <c r="BC185" s="45">
        <f t="shared" si="132"/>
        <v>0</v>
      </c>
      <c r="BD185" s="45">
        <f t="shared" si="132"/>
        <v>0</v>
      </c>
      <c r="BE185" s="45">
        <f t="shared" si="132"/>
        <v>0</v>
      </c>
      <c r="BF185" s="45">
        <f t="shared" si="132"/>
        <v>0</v>
      </c>
      <c r="BG185" s="45">
        <f t="shared" si="132"/>
        <v>0</v>
      </c>
      <c r="BH185" s="45">
        <f t="shared" si="132"/>
        <v>0</v>
      </c>
      <c r="BI185" s="45">
        <f t="shared" si="132"/>
        <v>0</v>
      </c>
      <c r="BJ185" s="45">
        <f>IF(BJ139=1, 1, BI185+BJ162)*BJ162</f>
        <v>0</v>
      </c>
      <c r="BL185" s="136"/>
      <c r="BM185" s="136"/>
      <c r="BN185" s="136"/>
      <c r="BO185" s="136"/>
      <c r="BP185" s="136"/>
      <c r="BQ185" s="136"/>
      <c r="BR185" s="136"/>
      <c r="BS185" s="136"/>
      <c r="BT185" s="136"/>
      <c r="BU185" s="136"/>
      <c r="BV185" s="136"/>
      <c r="BW185" s="136"/>
      <c r="BY185" s="12"/>
      <c r="CA185" s="12"/>
      <c r="EX185" s="10" t="str">
        <f t="shared" si="123"/>
        <v/>
      </c>
    </row>
    <row r="186" spans="1:154" s="67" customFormat="1" x14ac:dyDescent="0.25">
      <c r="B186" s="67" t="str">
        <f ca="1">Loans!B$14</f>
        <v>Loan 2</v>
      </c>
      <c r="D186" s="62" t="str">
        <f>Loans!D$14</f>
        <v>NatWest</v>
      </c>
      <c r="E186" s="159" t="str">
        <f>IF(Loans!Q$14=0, "", Loans!Q$14)</f>
        <v/>
      </c>
      <c r="F186" s="10">
        <f>Loans!G$687</f>
        <v>0</v>
      </c>
      <c r="S186" s="279"/>
      <c r="T186" s="335"/>
      <c r="U186" s="335"/>
      <c r="V186" s="136"/>
      <c r="W186" s="136"/>
      <c r="X186" s="136"/>
      <c r="Y186" s="136"/>
      <c r="AA186" s="45">
        <f t="shared" ref="AA186:AE204" si="133">IF(AA140=1, 1, Z186+AA163)*AA163</f>
        <v>0</v>
      </c>
      <c r="AB186" s="45">
        <f t="shared" si="133"/>
        <v>0</v>
      </c>
      <c r="AC186" s="45">
        <f t="shared" si="133"/>
        <v>0</v>
      </c>
      <c r="AD186" s="45">
        <f t="shared" si="133"/>
        <v>0</v>
      </c>
      <c r="AE186" s="45">
        <f t="shared" si="133"/>
        <v>0</v>
      </c>
      <c r="AF186" s="45">
        <f t="shared" ref="AF186:BJ186" si="134">IF(AF140=1, 1, AE186+AF163)*AF163</f>
        <v>0</v>
      </c>
      <c r="AG186" s="45">
        <f t="shared" si="134"/>
        <v>0</v>
      </c>
      <c r="AH186" s="45">
        <f t="shared" si="134"/>
        <v>0</v>
      </c>
      <c r="AI186" s="45">
        <f t="shared" si="134"/>
        <v>0</v>
      </c>
      <c r="AJ186" s="45">
        <f t="shared" si="134"/>
        <v>0</v>
      </c>
      <c r="AK186" s="45">
        <f t="shared" si="134"/>
        <v>0</v>
      </c>
      <c r="AL186" s="45">
        <f t="shared" si="134"/>
        <v>0</v>
      </c>
      <c r="AM186" s="45">
        <f t="shared" si="134"/>
        <v>0</v>
      </c>
      <c r="AN186" s="45">
        <f t="shared" si="134"/>
        <v>0</v>
      </c>
      <c r="AO186" s="45">
        <f t="shared" si="134"/>
        <v>0</v>
      </c>
      <c r="AP186" s="45">
        <f t="shared" si="134"/>
        <v>0</v>
      </c>
      <c r="AQ186" s="45">
        <f t="shared" si="134"/>
        <v>0</v>
      </c>
      <c r="AR186" s="45">
        <f t="shared" si="134"/>
        <v>0</v>
      </c>
      <c r="AS186" s="45">
        <f t="shared" si="134"/>
        <v>0</v>
      </c>
      <c r="AT186" s="45">
        <f t="shared" si="134"/>
        <v>0</v>
      </c>
      <c r="AU186" s="45">
        <f t="shared" si="134"/>
        <v>0</v>
      </c>
      <c r="AV186" s="45">
        <f t="shared" si="134"/>
        <v>0</v>
      </c>
      <c r="AW186" s="45">
        <f t="shared" si="134"/>
        <v>0</v>
      </c>
      <c r="AX186" s="45">
        <f t="shared" si="134"/>
        <v>0</v>
      </c>
      <c r="AY186" s="45">
        <f t="shared" si="134"/>
        <v>0</v>
      </c>
      <c r="AZ186" s="45">
        <f t="shared" si="134"/>
        <v>0</v>
      </c>
      <c r="BA186" s="45">
        <f t="shared" si="134"/>
        <v>0</v>
      </c>
      <c r="BB186" s="45">
        <f t="shared" si="134"/>
        <v>0</v>
      </c>
      <c r="BC186" s="45">
        <f t="shared" si="134"/>
        <v>0</v>
      </c>
      <c r="BD186" s="45">
        <f t="shared" si="134"/>
        <v>0</v>
      </c>
      <c r="BE186" s="45">
        <f t="shared" si="134"/>
        <v>0</v>
      </c>
      <c r="BF186" s="45">
        <f t="shared" si="134"/>
        <v>0</v>
      </c>
      <c r="BG186" s="45">
        <f t="shared" si="134"/>
        <v>0</v>
      </c>
      <c r="BH186" s="45">
        <f t="shared" si="134"/>
        <v>0</v>
      </c>
      <c r="BI186" s="45">
        <f t="shared" si="134"/>
        <v>0</v>
      </c>
      <c r="BJ186" s="45">
        <f t="shared" si="134"/>
        <v>0</v>
      </c>
      <c r="BL186" s="136"/>
      <c r="BM186" s="136"/>
      <c r="BN186" s="136"/>
      <c r="BO186" s="136"/>
      <c r="BP186" s="136"/>
      <c r="BQ186" s="136"/>
      <c r="BR186" s="136"/>
      <c r="BS186" s="136"/>
      <c r="BT186" s="136"/>
      <c r="BU186" s="136"/>
      <c r="BV186" s="136"/>
      <c r="BW186" s="136"/>
      <c r="BY186" s="12"/>
      <c r="CA186" s="12"/>
      <c r="EX186" s="10" t="str">
        <f t="shared" si="123"/>
        <v/>
      </c>
    </row>
    <row r="187" spans="1:154" s="67" customFormat="1" x14ac:dyDescent="0.25">
      <c r="B187" s="67" t="str">
        <f ca="1">Loans!B$15</f>
        <v>Loan 3</v>
      </c>
      <c r="D187" s="62" t="str">
        <f>Loans!D$15</f>
        <v>NatWest</v>
      </c>
      <c r="E187" s="159" t="str">
        <f>IF(Loans!Q$15=0, "", Loans!Q$15)</f>
        <v/>
      </c>
      <c r="F187" s="10">
        <f>Loans!G$688</f>
        <v>0</v>
      </c>
      <c r="S187" s="279"/>
      <c r="T187" s="335"/>
      <c r="U187" s="335"/>
      <c r="V187" s="136"/>
      <c r="W187" s="136"/>
      <c r="X187" s="136"/>
      <c r="Y187" s="136"/>
      <c r="AA187" s="45">
        <f t="shared" si="133"/>
        <v>0</v>
      </c>
      <c r="AB187" s="45">
        <f t="shared" si="133"/>
        <v>0</v>
      </c>
      <c r="AC187" s="45">
        <f t="shared" si="133"/>
        <v>0</v>
      </c>
      <c r="AD187" s="45">
        <f t="shared" si="133"/>
        <v>0</v>
      </c>
      <c r="AE187" s="45">
        <f t="shared" si="133"/>
        <v>0</v>
      </c>
      <c r="AF187" s="45">
        <f t="shared" ref="AF187:BJ187" si="135">IF(AF141=1, 1, AE187+AF164)*AF164</f>
        <v>0</v>
      </c>
      <c r="AG187" s="45">
        <f t="shared" si="135"/>
        <v>0</v>
      </c>
      <c r="AH187" s="45">
        <f t="shared" si="135"/>
        <v>0</v>
      </c>
      <c r="AI187" s="45">
        <f t="shared" si="135"/>
        <v>0</v>
      </c>
      <c r="AJ187" s="45">
        <f t="shared" si="135"/>
        <v>0</v>
      </c>
      <c r="AK187" s="45">
        <f t="shared" si="135"/>
        <v>0</v>
      </c>
      <c r="AL187" s="45">
        <f t="shared" si="135"/>
        <v>0</v>
      </c>
      <c r="AM187" s="45">
        <f t="shared" si="135"/>
        <v>0</v>
      </c>
      <c r="AN187" s="45">
        <f t="shared" si="135"/>
        <v>0</v>
      </c>
      <c r="AO187" s="45">
        <f t="shared" si="135"/>
        <v>0</v>
      </c>
      <c r="AP187" s="45">
        <f t="shared" si="135"/>
        <v>0</v>
      </c>
      <c r="AQ187" s="45">
        <f t="shared" si="135"/>
        <v>0</v>
      </c>
      <c r="AR187" s="45">
        <f t="shared" si="135"/>
        <v>0</v>
      </c>
      <c r="AS187" s="45">
        <f t="shared" si="135"/>
        <v>0</v>
      </c>
      <c r="AT187" s="45">
        <f t="shared" si="135"/>
        <v>0</v>
      </c>
      <c r="AU187" s="45">
        <f t="shared" si="135"/>
        <v>0</v>
      </c>
      <c r="AV187" s="45">
        <f t="shared" si="135"/>
        <v>0</v>
      </c>
      <c r="AW187" s="45">
        <f t="shared" si="135"/>
        <v>0</v>
      </c>
      <c r="AX187" s="45">
        <f t="shared" si="135"/>
        <v>0</v>
      </c>
      <c r="AY187" s="45">
        <f t="shared" si="135"/>
        <v>0</v>
      </c>
      <c r="AZ187" s="45">
        <f t="shared" si="135"/>
        <v>0</v>
      </c>
      <c r="BA187" s="45">
        <f t="shared" si="135"/>
        <v>0</v>
      </c>
      <c r="BB187" s="45">
        <f t="shared" si="135"/>
        <v>0</v>
      </c>
      <c r="BC187" s="45">
        <f t="shared" si="135"/>
        <v>0</v>
      </c>
      <c r="BD187" s="45">
        <f t="shared" si="135"/>
        <v>0</v>
      </c>
      <c r="BE187" s="45">
        <f t="shared" si="135"/>
        <v>0</v>
      </c>
      <c r="BF187" s="45">
        <f t="shared" si="135"/>
        <v>0</v>
      </c>
      <c r="BG187" s="45">
        <f t="shared" si="135"/>
        <v>0</v>
      </c>
      <c r="BH187" s="45">
        <f t="shared" si="135"/>
        <v>0</v>
      </c>
      <c r="BI187" s="45">
        <f t="shared" si="135"/>
        <v>0</v>
      </c>
      <c r="BJ187" s="45">
        <f t="shared" si="135"/>
        <v>0</v>
      </c>
      <c r="BL187" s="136"/>
      <c r="BM187" s="136"/>
      <c r="BN187" s="136"/>
      <c r="BO187" s="136"/>
      <c r="BP187" s="136"/>
      <c r="BQ187" s="136"/>
      <c r="BR187" s="136"/>
      <c r="BS187" s="136"/>
      <c r="BT187" s="136"/>
      <c r="BU187" s="136"/>
      <c r="BV187" s="136"/>
      <c r="BW187" s="136"/>
      <c r="BY187" s="12"/>
      <c r="CA187" s="12"/>
      <c r="EX187" s="10" t="str">
        <f t="shared" si="123"/>
        <v/>
      </c>
    </row>
    <row r="188" spans="1:154" s="67" customFormat="1" x14ac:dyDescent="0.25">
      <c r="B188" s="67" t="str">
        <f ca="1">Loans!B$16</f>
        <v>Loan 4</v>
      </c>
      <c r="D188" s="62" t="str">
        <f>Loans!D$16</f>
        <v>NatWest</v>
      </c>
      <c r="E188" s="159" t="str">
        <f>IF(Loans!Q$16=0, "", Loans!Q$16)</f>
        <v/>
      </c>
      <c r="F188" s="10">
        <f>Loans!G$689</f>
        <v>0</v>
      </c>
      <c r="S188" s="279"/>
      <c r="T188" s="335"/>
      <c r="U188" s="335"/>
      <c r="V188" s="136"/>
      <c r="W188" s="136"/>
      <c r="X188" s="136"/>
      <c r="Y188" s="136"/>
      <c r="AA188" s="45">
        <f t="shared" si="133"/>
        <v>0</v>
      </c>
      <c r="AB188" s="45">
        <f t="shared" si="133"/>
        <v>0</v>
      </c>
      <c r="AC188" s="45">
        <f t="shared" si="133"/>
        <v>0</v>
      </c>
      <c r="AD188" s="45">
        <f t="shared" si="133"/>
        <v>0</v>
      </c>
      <c r="AE188" s="45">
        <f t="shared" si="133"/>
        <v>0</v>
      </c>
      <c r="AF188" s="45">
        <f t="shared" ref="AF188:BJ188" si="136">IF(AF142=1, 1, AE188+AF165)*AF165</f>
        <v>0</v>
      </c>
      <c r="AG188" s="45">
        <f t="shared" si="136"/>
        <v>0</v>
      </c>
      <c r="AH188" s="45">
        <f t="shared" si="136"/>
        <v>0</v>
      </c>
      <c r="AI188" s="45">
        <f t="shared" si="136"/>
        <v>0</v>
      </c>
      <c r="AJ188" s="45">
        <f t="shared" si="136"/>
        <v>0</v>
      </c>
      <c r="AK188" s="45">
        <f t="shared" si="136"/>
        <v>0</v>
      </c>
      <c r="AL188" s="45">
        <f t="shared" si="136"/>
        <v>0</v>
      </c>
      <c r="AM188" s="45">
        <f t="shared" si="136"/>
        <v>0</v>
      </c>
      <c r="AN188" s="45">
        <f t="shared" si="136"/>
        <v>0</v>
      </c>
      <c r="AO188" s="45">
        <f t="shared" si="136"/>
        <v>0</v>
      </c>
      <c r="AP188" s="45">
        <f t="shared" si="136"/>
        <v>0</v>
      </c>
      <c r="AQ188" s="45">
        <f t="shared" si="136"/>
        <v>0</v>
      </c>
      <c r="AR188" s="45">
        <f t="shared" si="136"/>
        <v>0</v>
      </c>
      <c r="AS188" s="45">
        <f t="shared" si="136"/>
        <v>0</v>
      </c>
      <c r="AT188" s="45">
        <f t="shared" si="136"/>
        <v>0</v>
      </c>
      <c r="AU188" s="45">
        <f t="shared" si="136"/>
        <v>0</v>
      </c>
      <c r="AV188" s="45">
        <f t="shared" si="136"/>
        <v>0</v>
      </c>
      <c r="AW188" s="45">
        <f t="shared" si="136"/>
        <v>0</v>
      </c>
      <c r="AX188" s="45">
        <f t="shared" si="136"/>
        <v>0</v>
      </c>
      <c r="AY188" s="45">
        <f t="shared" si="136"/>
        <v>0</v>
      </c>
      <c r="AZ188" s="45">
        <f t="shared" si="136"/>
        <v>0</v>
      </c>
      <c r="BA188" s="45">
        <f t="shared" si="136"/>
        <v>0</v>
      </c>
      <c r="BB188" s="45">
        <f t="shared" si="136"/>
        <v>0</v>
      </c>
      <c r="BC188" s="45">
        <f t="shared" si="136"/>
        <v>0</v>
      </c>
      <c r="BD188" s="45">
        <f t="shared" si="136"/>
        <v>0</v>
      </c>
      <c r="BE188" s="45">
        <f t="shared" si="136"/>
        <v>0</v>
      </c>
      <c r="BF188" s="45">
        <f t="shared" si="136"/>
        <v>0</v>
      </c>
      <c r="BG188" s="45">
        <f t="shared" si="136"/>
        <v>0</v>
      </c>
      <c r="BH188" s="45">
        <f t="shared" si="136"/>
        <v>0</v>
      </c>
      <c r="BI188" s="45">
        <f t="shared" si="136"/>
        <v>0</v>
      </c>
      <c r="BJ188" s="45">
        <f t="shared" si="136"/>
        <v>0</v>
      </c>
      <c r="BL188" s="136"/>
      <c r="BM188" s="136"/>
      <c r="BN188" s="136"/>
      <c r="BO188" s="136"/>
      <c r="BP188" s="136"/>
      <c r="BQ188" s="136"/>
      <c r="BR188" s="136"/>
      <c r="BS188" s="136"/>
      <c r="BT188" s="136"/>
      <c r="BU188" s="136"/>
      <c r="BV188" s="136"/>
      <c r="BW188" s="136"/>
      <c r="BY188" s="12"/>
      <c r="CA188" s="12"/>
      <c r="EX188" s="10" t="str">
        <f t="shared" si="123"/>
        <v/>
      </c>
    </row>
    <row r="189" spans="1:154" s="67" customFormat="1" x14ac:dyDescent="0.25">
      <c r="B189" s="67" t="str">
        <f ca="1">Loans!B$17</f>
        <v>Loan 5</v>
      </c>
      <c r="D189" s="62" t="str">
        <f>Loans!D$17</f>
        <v>NatWest</v>
      </c>
      <c r="E189" s="159" t="str">
        <f>IF(Loans!Q$17=0, "", Loans!Q$17)</f>
        <v/>
      </c>
      <c r="F189" s="10">
        <f>Loans!G$690</f>
        <v>0</v>
      </c>
      <c r="S189" s="279"/>
      <c r="T189" s="335"/>
      <c r="U189" s="335"/>
      <c r="V189" s="136"/>
      <c r="W189" s="136"/>
      <c r="X189" s="136"/>
      <c r="Y189" s="136"/>
      <c r="AA189" s="45">
        <f t="shared" si="133"/>
        <v>0</v>
      </c>
      <c r="AB189" s="45">
        <f t="shared" si="133"/>
        <v>0</v>
      </c>
      <c r="AC189" s="45">
        <f t="shared" si="133"/>
        <v>0</v>
      </c>
      <c r="AD189" s="45">
        <f t="shared" si="133"/>
        <v>0</v>
      </c>
      <c r="AE189" s="45">
        <f t="shared" si="133"/>
        <v>0</v>
      </c>
      <c r="AF189" s="45">
        <f t="shared" ref="AF189:BJ189" si="137">IF(AF143=1, 1, AE189+AF166)*AF166</f>
        <v>0</v>
      </c>
      <c r="AG189" s="45">
        <f t="shared" si="137"/>
        <v>0</v>
      </c>
      <c r="AH189" s="45">
        <f t="shared" si="137"/>
        <v>0</v>
      </c>
      <c r="AI189" s="45">
        <f t="shared" si="137"/>
        <v>0</v>
      </c>
      <c r="AJ189" s="45">
        <f t="shared" si="137"/>
        <v>0</v>
      </c>
      <c r="AK189" s="45">
        <f t="shared" si="137"/>
        <v>0</v>
      </c>
      <c r="AL189" s="45">
        <f t="shared" si="137"/>
        <v>0</v>
      </c>
      <c r="AM189" s="45">
        <f t="shared" si="137"/>
        <v>0</v>
      </c>
      <c r="AN189" s="45">
        <f t="shared" si="137"/>
        <v>0</v>
      </c>
      <c r="AO189" s="45">
        <f t="shared" si="137"/>
        <v>0</v>
      </c>
      <c r="AP189" s="45">
        <f t="shared" si="137"/>
        <v>0</v>
      </c>
      <c r="AQ189" s="45">
        <f t="shared" si="137"/>
        <v>0</v>
      </c>
      <c r="AR189" s="45">
        <f t="shared" si="137"/>
        <v>0</v>
      </c>
      <c r="AS189" s="45">
        <f t="shared" si="137"/>
        <v>0</v>
      </c>
      <c r="AT189" s="45">
        <f t="shared" si="137"/>
        <v>0</v>
      </c>
      <c r="AU189" s="45">
        <f t="shared" si="137"/>
        <v>0</v>
      </c>
      <c r="AV189" s="45">
        <f t="shared" si="137"/>
        <v>0</v>
      </c>
      <c r="AW189" s="45">
        <f t="shared" si="137"/>
        <v>0</v>
      </c>
      <c r="AX189" s="45">
        <f t="shared" si="137"/>
        <v>0</v>
      </c>
      <c r="AY189" s="45">
        <f t="shared" si="137"/>
        <v>0</v>
      </c>
      <c r="AZ189" s="45">
        <f t="shared" si="137"/>
        <v>0</v>
      </c>
      <c r="BA189" s="45">
        <f t="shared" si="137"/>
        <v>0</v>
      </c>
      <c r="BB189" s="45">
        <f t="shared" si="137"/>
        <v>0</v>
      </c>
      <c r="BC189" s="45">
        <f t="shared" si="137"/>
        <v>0</v>
      </c>
      <c r="BD189" s="45">
        <f t="shared" si="137"/>
        <v>0</v>
      </c>
      <c r="BE189" s="45">
        <f t="shared" si="137"/>
        <v>0</v>
      </c>
      <c r="BF189" s="45">
        <f t="shared" si="137"/>
        <v>0</v>
      </c>
      <c r="BG189" s="45">
        <f t="shared" si="137"/>
        <v>0</v>
      </c>
      <c r="BH189" s="45">
        <f t="shared" si="137"/>
        <v>0</v>
      </c>
      <c r="BI189" s="45">
        <f t="shared" si="137"/>
        <v>0</v>
      </c>
      <c r="BJ189" s="45">
        <f t="shared" si="137"/>
        <v>0</v>
      </c>
      <c r="BL189" s="136"/>
      <c r="BM189" s="136"/>
      <c r="BN189" s="136"/>
      <c r="BO189" s="136"/>
      <c r="BP189" s="136"/>
      <c r="BQ189" s="136"/>
      <c r="BR189" s="136"/>
      <c r="BS189" s="136"/>
      <c r="BT189" s="136"/>
      <c r="BU189" s="136"/>
      <c r="BV189" s="136"/>
      <c r="BW189" s="136"/>
      <c r="BY189" s="12"/>
      <c r="CA189" s="12"/>
      <c r="EX189" s="10" t="str">
        <f t="shared" si="123"/>
        <v/>
      </c>
    </row>
    <row r="190" spans="1:154" s="67" customFormat="1" x14ac:dyDescent="0.25">
      <c r="B190" s="67" t="str">
        <f ca="1">Loans!B$18</f>
        <v>Loan 6</v>
      </c>
      <c r="D190" s="62">
        <f>Loans!D$18</f>
        <v>0</v>
      </c>
      <c r="E190" s="159" t="str">
        <f>IF(Loans!Q$18=0, "", Loans!Q$18)</f>
        <v/>
      </c>
      <c r="F190" s="10">
        <f>Loans!G$691</f>
        <v>0</v>
      </c>
      <c r="S190" s="279"/>
      <c r="T190" s="335"/>
      <c r="U190" s="335"/>
      <c r="V190" s="136"/>
      <c r="W190" s="136"/>
      <c r="X190" s="136"/>
      <c r="Y190" s="136"/>
      <c r="AA190" s="45">
        <f t="shared" si="133"/>
        <v>0</v>
      </c>
      <c r="AB190" s="45">
        <f t="shared" si="133"/>
        <v>0</v>
      </c>
      <c r="AC190" s="45">
        <f t="shared" si="133"/>
        <v>0</v>
      </c>
      <c r="AD190" s="45">
        <f t="shared" si="133"/>
        <v>0</v>
      </c>
      <c r="AE190" s="45">
        <f t="shared" si="133"/>
        <v>0</v>
      </c>
      <c r="AF190" s="45">
        <f t="shared" ref="AF190:BJ190" si="138">IF(AF144=1, 1, AE190+AF167)*AF167</f>
        <v>0</v>
      </c>
      <c r="AG190" s="45">
        <f t="shared" si="138"/>
        <v>0</v>
      </c>
      <c r="AH190" s="45">
        <f t="shared" si="138"/>
        <v>0</v>
      </c>
      <c r="AI190" s="45">
        <f t="shared" si="138"/>
        <v>0</v>
      </c>
      <c r="AJ190" s="45">
        <f t="shared" si="138"/>
        <v>0</v>
      </c>
      <c r="AK190" s="45">
        <f t="shared" si="138"/>
        <v>0</v>
      </c>
      <c r="AL190" s="45">
        <f t="shared" si="138"/>
        <v>0</v>
      </c>
      <c r="AM190" s="45">
        <f t="shared" si="138"/>
        <v>0</v>
      </c>
      <c r="AN190" s="45">
        <f t="shared" si="138"/>
        <v>0</v>
      </c>
      <c r="AO190" s="45">
        <f t="shared" si="138"/>
        <v>0</v>
      </c>
      <c r="AP190" s="45">
        <f t="shared" si="138"/>
        <v>0</v>
      </c>
      <c r="AQ190" s="45">
        <f t="shared" si="138"/>
        <v>0</v>
      </c>
      <c r="AR190" s="45">
        <f t="shared" si="138"/>
        <v>0</v>
      </c>
      <c r="AS190" s="45">
        <f t="shared" si="138"/>
        <v>0</v>
      </c>
      <c r="AT190" s="45">
        <f t="shared" si="138"/>
        <v>0</v>
      </c>
      <c r="AU190" s="45">
        <f t="shared" si="138"/>
        <v>0</v>
      </c>
      <c r="AV190" s="45">
        <f t="shared" si="138"/>
        <v>0</v>
      </c>
      <c r="AW190" s="45">
        <f t="shared" si="138"/>
        <v>0</v>
      </c>
      <c r="AX190" s="45">
        <f t="shared" si="138"/>
        <v>0</v>
      </c>
      <c r="AY190" s="45">
        <f t="shared" si="138"/>
        <v>0</v>
      </c>
      <c r="AZ190" s="45">
        <f t="shared" si="138"/>
        <v>0</v>
      </c>
      <c r="BA190" s="45">
        <f t="shared" si="138"/>
        <v>0</v>
      </c>
      <c r="BB190" s="45">
        <f t="shared" si="138"/>
        <v>0</v>
      </c>
      <c r="BC190" s="45">
        <f t="shared" si="138"/>
        <v>0</v>
      </c>
      <c r="BD190" s="45">
        <f t="shared" si="138"/>
        <v>0</v>
      </c>
      <c r="BE190" s="45">
        <f t="shared" si="138"/>
        <v>0</v>
      </c>
      <c r="BF190" s="45">
        <f t="shared" si="138"/>
        <v>0</v>
      </c>
      <c r="BG190" s="45">
        <f t="shared" si="138"/>
        <v>0</v>
      </c>
      <c r="BH190" s="45">
        <f t="shared" si="138"/>
        <v>0</v>
      </c>
      <c r="BI190" s="45">
        <f t="shared" si="138"/>
        <v>0</v>
      </c>
      <c r="BJ190" s="45">
        <f t="shared" si="138"/>
        <v>0</v>
      </c>
      <c r="BL190" s="136"/>
      <c r="BM190" s="136"/>
      <c r="BN190" s="136"/>
      <c r="BO190" s="136"/>
      <c r="BP190" s="136"/>
      <c r="BQ190" s="136"/>
      <c r="BR190" s="136"/>
      <c r="BS190" s="136"/>
      <c r="BT190" s="136"/>
      <c r="BU190" s="136"/>
      <c r="BV190" s="136"/>
      <c r="BW190" s="136"/>
      <c r="BY190" s="12"/>
      <c r="CA190" s="12"/>
      <c r="EX190" s="10" t="str">
        <f t="shared" si="123"/>
        <v/>
      </c>
    </row>
    <row r="191" spans="1:154" s="5" customFormat="1" x14ac:dyDescent="0.25">
      <c r="A191" s="67"/>
      <c r="B191" s="67" t="str">
        <f ca="1">Loans!B$19</f>
        <v>Loan 7</v>
      </c>
      <c r="D191" s="62">
        <f>Loans!D$19</f>
        <v>0</v>
      </c>
      <c r="E191" s="159" t="str">
        <f>IF(Loans!Q$19=0, "", Loans!Q$19)</f>
        <v/>
      </c>
      <c r="F191" s="10">
        <f>Loans!G$692</f>
        <v>0</v>
      </c>
      <c r="G191" s="67"/>
      <c r="H191" s="67"/>
      <c r="I191" s="67"/>
      <c r="J191" s="67"/>
      <c r="K191" s="67"/>
      <c r="M191" s="67"/>
      <c r="N191" s="67"/>
      <c r="O191" s="67"/>
      <c r="P191" s="67"/>
      <c r="Q191" s="67"/>
      <c r="S191" s="279"/>
      <c r="T191" s="335"/>
      <c r="U191" s="335"/>
      <c r="V191" s="136"/>
      <c r="W191" s="136"/>
      <c r="X191" s="136"/>
      <c r="Y191" s="136"/>
      <c r="Z191" s="67"/>
      <c r="AA191" s="45">
        <f t="shared" si="133"/>
        <v>0</v>
      </c>
      <c r="AB191" s="45">
        <f t="shared" si="133"/>
        <v>0</v>
      </c>
      <c r="AC191" s="45">
        <f t="shared" si="133"/>
        <v>0</v>
      </c>
      <c r="AD191" s="45">
        <f t="shared" si="133"/>
        <v>0</v>
      </c>
      <c r="AE191" s="45">
        <f t="shared" si="133"/>
        <v>0</v>
      </c>
      <c r="AF191" s="45">
        <f t="shared" ref="AF191:BJ191" si="139">IF(AF145=1, 1, AE191+AF168)*AF168</f>
        <v>0</v>
      </c>
      <c r="AG191" s="45">
        <f t="shared" si="139"/>
        <v>0</v>
      </c>
      <c r="AH191" s="45">
        <f t="shared" si="139"/>
        <v>0</v>
      </c>
      <c r="AI191" s="45">
        <f t="shared" si="139"/>
        <v>0</v>
      </c>
      <c r="AJ191" s="45">
        <f t="shared" si="139"/>
        <v>0</v>
      </c>
      <c r="AK191" s="45">
        <f t="shared" si="139"/>
        <v>0</v>
      </c>
      <c r="AL191" s="45">
        <f t="shared" si="139"/>
        <v>0</v>
      </c>
      <c r="AM191" s="45">
        <f t="shared" si="139"/>
        <v>0</v>
      </c>
      <c r="AN191" s="45">
        <f t="shared" si="139"/>
        <v>0</v>
      </c>
      <c r="AO191" s="45">
        <f t="shared" si="139"/>
        <v>0</v>
      </c>
      <c r="AP191" s="45">
        <f t="shared" si="139"/>
        <v>0</v>
      </c>
      <c r="AQ191" s="45">
        <f t="shared" si="139"/>
        <v>0</v>
      </c>
      <c r="AR191" s="45">
        <f t="shared" si="139"/>
        <v>0</v>
      </c>
      <c r="AS191" s="45">
        <f t="shared" si="139"/>
        <v>0</v>
      </c>
      <c r="AT191" s="45">
        <f t="shared" si="139"/>
        <v>0</v>
      </c>
      <c r="AU191" s="45">
        <f t="shared" si="139"/>
        <v>0</v>
      </c>
      <c r="AV191" s="45">
        <f t="shared" si="139"/>
        <v>0</v>
      </c>
      <c r="AW191" s="45">
        <f t="shared" si="139"/>
        <v>0</v>
      </c>
      <c r="AX191" s="45">
        <f t="shared" si="139"/>
        <v>0</v>
      </c>
      <c r="AY191" s="45">
        <f t="shared" si="139"/>
        <v>0</v>
      </c>
      <c r="AZ191" s="45">
        <f t="shared" si="139"/>
        <v>0</v>
      </c>
      <c r="BA191" s="45">
        <f t="shared" si="139"/>
        <v>0</v>
      </c>
      <c r="BB191" s="45">
        <f t="shared" si="139"/>
        <v>0</v>
      </c>
      <c r="BC191" s="45">
        <f t="shared" si="139"/>
        <v>0</v>
      </c>
      <c r="BD191" s="45">
        <f t="shared" si="139"/>
        <v>0</v>
      </c>
      <c r="BE191" s="45">
        <f t="shared" si="139"/>
        <v>0</v>
      </c>
      <c r="BF191" s="45">
        <f t="shared" si="139"/>
        <v>0</v>
      </c>
      <c r="BG191" s="45">
        <f t="shared" si="139"/>
        <v>0</v>
      </c>
      <c r="BH191" s="45">
        <f t="shared" si="139"/>
        <v>0</v>
      </c>
      <c r="BI191" s="45">
        <f t="shared" si="139"/>
        <v>0</v>
      </c>
      <c r="BJ191" s="45">
        <f t="shared" si="139"/>
        <v>0</v>
      </c>
      <c r="BK191" s="67"/>
      <c r="BL191" s="136"/>
      <c r="BM191" s="136"/>
      <c r="BN191" s="136"/>
      <c r="BO191" s="136"/>
      <c r="BP191" s="136"/>
      <c r="BQ191" s="136"/>
      <c r="BR191" s="136"/>
      <c r="BS191" s="136"/>
      <c r="BT191" s="136"/>
      <c r="BU191" s="136"/>
      <c r="BV191" s="136"/>
      <c r="BW191" s="136"/>
      <c r="BX191" s="67"/>
      <c r="BY191" s="12"/>
      <c r="BZ191" s="67"/>
      <c r="CA191" s="12"/>
      <c r="EX191" s="10" t="str">
        <f t="shared" si="123"/>
        <v/>
      </c>
    </row>
    <row r="192" spans="1:154" s="67" customFormat="1" x14ac:dyDescent="0.25">
      <c r="B192" s="67" t="str">
        <f ca="1">Loans!B$20</f>
        <v>Loan 8</v>
      </c>
      <c r="D192" s="62">
        <f>Loans!D$20</f>
        <v>0</v>
      </c>
      <c r="E192" s="159" t="str">
        <f>IF(Loans!Q$20=0, "", Loans!Q$20)</f>
        <v/>
      </c>
      <c r="F192" s="10">
        <f>Loans!G$693</f>
        <v>0</v>
      </c>
      <c r="S192" s="279"/>
      <c r="T192" s="335"/>
      <c r="U192" s="335"/>
      <c r="V192" s="136"/>
      <c r="W192" s="136"/>
      <c r="X192" s="136"/>
      <c r="Y192" s="136"/>
      <c r="AA192" s="45">
        <f t="shared" si="133"/>
        <v>0</v>
      </c>
      <c r="AB192" s="45">
        <f t="shared" si="133"/>
        <v>0</v>
      </c>
      <c r="AC192" s="45">
        <f t="shared" si="133"/>
        <v>0</v>
      </c>
      <c r="AD192" s="45">
        <f t="shared" si="133"/>
        <v>0</v>
      </c>
      <c r="AE192" s="45">
        <f t="shared" si="133"/>
        <v>0</v>
      </c>
      <c r="AF192" s="45">
        <f t="shared" ref="AF192:BJ192" si="140">IF(AF146=1, 1, AE192+AF169)*AF169</f>
        <v>0</v>
      </c>
      <c r="AG192" s="45">
        <f t="shared" si="140"/>
        <v>0</v>
      </c>
      <c r="AH192" s="45">
        <f t="shared" si="140"/>
        <v>0</v>
      </c>
      <c r="AI192" s="45">
        <f t="shared" si="140"/>
        <v>0</v>
      </c>
      <c r="AJ192" s="45">
        <f t="shared" si="140"/>
        <v>0</v>
      </c>
      <c r="AK192" s="45">
        <f t="shared" si="140"/>
        <v>0</v>
      </c>
      <c r="AL192" s="45">
        <f t="shared" si="140"/>
        <v>0</v>
      </c>
      <c r="AM192" s="45">
        <f t="shared" si="140"/>
        <v>0</v>
      </c>
      <c r="AN192" s="45">
        <f t="shared" si="140"/>
        <v>0</v>
      </c>
      <c r="AO192" s="45">
        <f t="shared" si="140"/>
        <v>0</v>
      </c>
      <c r="AP192" s="45">
        <f t="shared" si="140"/>
        <v>0</v>
      </c>
      <c r="AQ192" s="45">
        <f t="shared" si="140"/>
        <v>0</v>
      </c>
      <c r="AR192" s="45">
        <f t="shared" si="140"/>
        <v>0</v>
      </c>
      <c r="AS192" s="45">
        <f t="shared" si="140"/>
        <v>0</v>
      </c>
      <c r="AT192" s="45">
        <f t="shared" si="140"/>
        <v>0</v>
      </c>
      <c r="AU192" s="45">
        <f t="shared" si="140"/>
        <v>0</v>
      </c>
      <c r="AV192" s="45">
        <f t="shared" si="140"/>
        <v>0</v>
      </c>
      <c r="AW192" s="45">
        <f t="shared" si="140"/>
        <v>0</v>
      </c>
      <c r="AX192" s="45">
        <f t="shared" si="140"/>
        <v>0</v>
      </c>
      <c r="AY192" s="45">
        <f t="shared" si="140"/>
        <v>0</v>
      </c>
      <c r="AZ192" s="45">
        <f t="shared" si="140"/>
        <v>0</v>
      </c>
      <c r="BA192" s="45">
        <f t="shared" si="140"/>
        <v>0</v>
      </c>
      <c r="BB192" s="45">
        <f t="shared" si="140"/>
        <v>0</v>
      </c>
      <c r="BC192" s="45">
        <f t="shared" si="140"/>
        <v>0</v>
      </c>
      <c r="BD192" s="45">
        <f t="shared" si="140"/>
        <v>0</v>
      </c>
      <c r="BE192" s="45">
        <f t="shared" si="140"/>
        <v>0</v>
      </c>
      <c r="BF192" s="45">
        <f t="shared" si="140"/>
        <v>0</v>
      </c>
      <c r="BG192" s="45">
        <f t="shared" si="140"/>
        <v>0</v>
      </c>
      <c r="BH192" s="45">
        <f t="shared" si="140"/>
        <v>0</v>
      </c>
      <c r="BI192" s="45">
        <f t="shared" si="140"/>
        <v>0</v>
      </c>
      <c r="BJ192" s="45">
        <f t="shared" si="140"/>
        <v>0</v>
      </c>
      <c r="BL192" s="136"/>
      <c r="BM192" s="136"/>
      <c r="BN192" s="136"/>
      <c r="BO192" s="136"/>
      <c r="BP192" s="136"/>
      <c r="BQ192" s="136"/>
      <c r="BR192" s="136"/>
      <c r="BS192" s="136"/>
      <c r="BT192" s="136"/>
      <c r="BU192" s="136"/>
      <c r="BV192" s="136"/>
      <c r="BW192" s="136"/>
      <c r="BY192" s="12"/>
      <c r="CA192" s="12"/>
      <c r="EX192" s="10" t="str">
        <f t="shared" si="123"/>
        <v/>
      </c>
    </row>
    <row r="193" spans="2:154" s="67" customFormat="1" x14ac:dyDescent="0.25">
      <c r="B193" s="67" t="str">
        <f ca="1">Loans!B$21</f>
        <v>Loan 9</v>
      </c>
      <c r="D193" s="62">
        <f>Loans!D$21</f>
        <v>0</v>
      </c>
      <c r="E193" s="159" t="str">
        <f>IF(Loans!Q$21=0, "", Loans!Q$21)</f>
        <v/>
      </c>
      <c r="F193" s="10">
        <f>Loans!G$694</f>
        <v>0</v>
      </c>
      <c r="S193" s="279"/>
      <c r="T193" s="335"/>
      <c r="U193" s="335"/>
      <c r="V193" s="136"/>
      <c r="W193" s="136"/>
      <c r="X193" s="136"/>
      <c r="Y193" s="136"/>
      <c r="AA193" s="45">
        <f t="shared" si="133"/>
        <v>0</v>
      </c>
      <c r="AB193" s="45">
        <f t="shared" si="133"/>
        <v>0</v>
      </c>
      <c r="AC193" s="45">
        <f t="shared" si="133"/>
        <v>0</v>
      </c>
      <c r="AD193" s="45">
        <f t="shared" si="133"/>
        <v>0</v>
      </c>
      <c r="AE193" s="45">
        <f t="shared" si="133"/>
        <v>0</v>
      </c>
      <c r="AF193" s="45">
        <f t="shared" ref="AF193:BJ193" si="141">IF(AF147=1, 1, AE193+AF170)*AF170</f>
        <v>0</v>
      </c>
      <c r="AG193" s="45">
        <f t="shared" si="141"/>
        <v>0</v>
      </c>
      <c r="AH193" s="45">
        <f t="shared" si="141"/>
        <v>0</v>
      </c>
      <c r="AI193" s="45">
        <f t="shared" si="141"/>
        <v>0</v>
      </c>
      <c r="AJ193" s="45">
        <f t="shared" si="141"/>
        <v>0</v>
      </c>
      <c r="AK193" s="45">
        <f t="shared" si="141"/>
        <v>0</v>
      </c>
      <c r="AL193" s="45">
        <f t="shared" si="141"/>
        <v>0</v>
      </c>
      <c r="AM193" s="45">
        <f t="shared" si="141"/>
        <v>0</v>
      </c>
      <c r="AN193" s="45">
        <f t="shared" si="141"/>
        <v>0</v>
      </c>
      <c r="AO193" s="45">
        <f t="shared" si="141"/>
        <v>0</v>
      </c>
      <c r="AP193" s="45">
        <f t="shared" si="141"/>
        <v>0</v>
      </c>
      <c r="AQ193" s="45">
        <f t="shared" si="141"/>
        <v>0</v>
      </c>
      <c r="AR193" s="45">
        <f t="shared" si="141"/>
        <v>0</v>
      </c>
      <c r="AS193" s="45">
        <f t="shared" si="141"/>
        <v>0</v>
      </c>
      <c r="AT193" s="45">
        <f t="shared" si="141"/>
        <v>0</v>
      </c>
      <c r="AU193" s="45">
        <f t="shared" si="141"/>
        <v>0</v>
      </c>
      <c r="AV193" s="45">
        <f t="shared" si="141"/>
        <v>0</v>
      </c>
      <c r="AW193" s="45">
        <f t="shared" si="141"/>
        <v>0</v>
      </c>
      <c r="AX193" s="45">
        <f t="shared" si="141"/>
        <v>0</v>
      </c>
      <c r="AY193" s="45">
        <f t="shared" si="141"/>
        <v>0</v>
      </c>
      <c r="AZ193" s="45">
        <f t="shared" si="141"/>
        <v>0</v>
      </c>
      <c r="BA193" s="45">
        <f t="shared" si="141"/>
        <v>0</v>
      </c>
      <c r="BB193" s="45">
        <f t="shared" si="141"/>
        <v>0</v>
      </c>
      <c r="BC193" s="45">
        <f t="shared" si="141"/>
        <v>0</v>
      </c>
      <c r="BD193" s="45">
        <f t="shared" si="141"/>
        <v>0</v>
      </c>
      <c r="BE193" s="45">
        <f t="shared" si="141"/>
        <v>0</v>
      </c>
      <c r="BF193" s="45">
        <f t="shared" si="141"/>
        <v>0</v>
      </c>
      <c r="BG193" s="45">
        <f t="shared" si="141"/>
        <v>0</v>
      </c>
      <c r="BH193" s="45">
        <f t="shared" si="141"/>
        <v>0</v>
      </c>
      <c r="BI193" s="45">
        <f t="shared" si="141"/>
        <v>0</v>
      </c>
      <c r="BJ193" s="45">
        <f t="shared" si="141"/>
        <v>0</v>
      </c>
      <c r="BL193" s="136"/>
      <c r="BM193" s="136"/>
      <c r="BN193" s="136"/>
      <c r="BO193" s="136"/>
      <c r="BP193" s="136"/>
      <c r="BQ193" s="136"/>
      <c r="BR193" s="136"/>
      <c r="BS193" s="136"/>
      <c r="BT193" s="136"/>
      <c r="BU193" s="136"/>
      <c r="BV193" s="136"/>
      <c r="BW193" s="136"/>
      <c r="BY193" s="12"/>
      <c r="CA193" s="12"/>
      <c r="EX193" s="10" t="str">
        <f t="shared" si="123"/>
        <v/>
      </c>
    </row>
    <row r="194" spans="2:154" s="67" customFormat="1" x14ac:dyDescent="0.25">
      <c r="B194" s="67" t="str">
        <f ca="1">Loans!B$22</f>
        <v>Loan 10</v>
      </c>
      <c r="D194" s="62">
        <f>Loans!D$22</f>
        <v>0</v>
      </c>
      <c r="E194" s="159" t="str">
        <f>IF(Loans!Q$22=0, "", Loans!Q$22)</f>
        <v/>
      </c>
      <c r="F194" s="10">
        <f>Loans!G$695</f>
        <v>0</v>
      </c>
      <c r="S194" s="279"/>
      <c r="T194" s="335"/>
      <c r="U194" s="335"/>
      <c r="V194" s="136"/>
      <c r="W194" s="136"/>
      <c r="X194" s="136"/>
      <c r="Y194" s="136"/>
      <c r="AA194" s="45">
        <f t="shared" si="133"/>
        <v>0</v>
      </c>
      <c r="AB194" s="45">
        <f t="shared" si="133"/>
        <v>0</v>
      </c>
      <c r="AC194" s="45">
        <f t="shared" si="133"/>
        <v>0</v>
      </c>
      <c r="AD194" s="45">
        <f t="shared" si="133"/>
        <v>0</v>
      </c>
      <c r="AE194" s="45">
        <f t="shared" si="133"/>
        <v>0</v>
      </c>
      <c r="AF194" s="45">
        <f t="shared" ref="AF194:BJ194" si="142">IF(AF148=1, 1, AE194+AF171)*AF171</f>
        <v>0</v>
      </c>
      <c r="AG194" s="45">
        <f t="shared" si="142"/>
        <v>0</v>
      </c>
      <c r="AH194" s="45">
        <f t="shared" si="142"/>
        <v>0</v>
      </c>
      <c r="AI194" s="45">
        <f t="shared" si="142"/>
        <v>0</v>
      </c>
      <c r="AJ194" s="45">
        <f t="shared" si="142"/>
        <v>0</v>
      </c>
      <c r="AK194" s="45">
        <f t="shared" si="142"/>
        <v>0</v>
      </c>
      <c r="AL194" s="45">
        <f t="shared" si="142"/>
        <v>0</v>
      </c>
      <c r="AM194" s="45">
        <f t="shared" si="142"/>
        <v>0</v>
      </c>
      <c r="AN194" s="45">
        <f t="shared" si="142"/>
        <v>0</v>
      </c>
      <c r="AO194" s="45">
        <f t="shared" si="142"/>
        <v>0</v>
      </c>
      <c r="AP194" s="45">
        <f t="shared" si="142"/>
        <v>0</v>
      </c>
      <c r="AQ194" s="45">
        <f t="shared" si="142"/>
        <v>0</v>
      </c>
      <c r="AR194" s="45">
        <f t="shared" si="142"/>
        <v>0</v>
      </c>
      <c r="AS194" s="45">
        <f t="shared" si="142"/>
        <v>0</v>
      </c>
      <c r="AT194" s="45">
        <f t="shared" si="142"/>
        <v>0</v>
      </c>
      <c r="AU194" s="45">
        <f t="shared" si="142"/>
        <v>0</v>
      </c>
      <c r="AV194" s="45">
        <f t="shared" si="142"/>
        <v>0</v>
      </c>
      <c r="AW194" s="45">
        <f t="shared" si="142"/>
        <v>0</v>
      </c>
      <c r="AX194" s="45">
        <f t="shared" si="142"/>
        <v>0</v>
      </c>
      <c r="AY194" s="45">
        <f t="shared" si="142"/>
        <v>0</v>
      </c>
      <c r="AZ194" s="45">
        <f t="shared" si="142"/>
        <v>0</v>
      </c>
      <c r="BA194" s="45">
        <f t="shared" si="142"/>
        <v>0</v>
      </c>
      <c r="BB194" s="45">
        <f t="shared" si="142"/>
        <v>0</v>
      </c>
      <c r="BC194" s="45">
        <f t="shared" si="142"/>
        <v>0</v>
      </c>
      <c r="BD194" s="45">
        <f t="shared" si="142"/>
        <v>0</v>
      </c>
      <c r="BE194" s="45">
        <f t="shared" si="142"/>
        <v>0</v>
      </c>
      <c r="BF194" s="45">
        <f t="shared" si="142"/>
        <v>0</v>
      </c>
      <c r="BG194" s="45">
        <f t="shared" si="142"/>
        <v>0</v>
      </c>
      <c r="BH194" s="45">
        <f t="shared" si="142"/>
        <v>0</v>
      </c>
      <c r="BI194" s="45">
        <f t="shared" si="142"/>
        <v>0</v>
      </c>
      <c r="BJ194" s="45">
        <f t="shared" si="142"/>
        <v>0</v>
      </c>
      <c r="BL194" s="136"/>
      <c r="BM194" s="136"/>
      <c r="BN194" s="136"/>
      <c r="BO194" s="136"/>
      <c r="BP194" s="136"/>
      <c r="BQ194" s="136"/>
      <c r="BR194" s="136"/>
      <c r="BS194" s="136"/>
      <c r="BT194" s="136"/>
      <c r="BU194" s="136"/>
      <c r="BV194" s="136"/>
      <c r="BW194" s="136"/>
      <c r="BY194" s="12"/>
      <c r="CA194" s="12"/>
      <c r="EX194" s="10" t="str">
        <f t="shared" si="123"/>
        <v/>
      </c>
    </row>
    <row r="195" spans="2:154" s="67" customFormat="1" x14ac:dyDescent="0.25">
      <c r="B195" s="67" t="str">
        <f ca="1">Loans!B$23</f>
        <v>Loan 11</v>
      </c>
      <c r="D195" s="62">
        <f>Loans!D$23</f>
        <v>0</v>
      </c>
      <c r="E195" s="159" t="str">
        <f>IF(Loans!Q$23=0, "", Loans!Q$23)</f>
        <v/>
      </c>
      <c r="F195" s="10">
        <f>Loans!G$696</f>
        <v>0</v>
      </c>
      <c r="S195" s="279"/>
      <c r="T195" s="335"/>
      <c r="U195" s="335"/>
      <c r="V195" s="136"/>
      <c r="W195" s="136"/>
      <c r="X195" s="136"/>
      <c r="Y195" s="136"/>
      <c r="AA195" s="45">
        <f t="shared" si="133"/>
        <v>0</v>
      </c>
      <c r="AB195" s="45">
        <f t="shared" si="133"/>
        <v>0</v>
      </c>
      <c r="AC195" s="45">
        <f t="shared" si="133"/>
        <v>0</v>
      </c>
      <c r="AD195" s="45">
        <f t="shared" si="133"/>
        <v>0</v>
      </c>
      <c r="AE195" s="45">
        <f t="shared" si="133"/>
        <v>0</v>
      </c>
      <c r="AF195" s="45">
        <f t="shared" ref="AF195:BJ195" si="143">IF(AF149=1, 1, AE195+AF172)*AF172</f>
        <v>0</v>
      </c>
      <c r="AG195" s="45">
        <f t="shared" si="143"/>
        <v>0</v>
      </c>
      <c r="AH195" s="45">
        <f t="shared" si="143"/>
        <v>0</v>
      </c>
      <c r="AI195" s="45">
        <f t="shared" si="143"/>
        <v>0</v>
      </c>
      <c r="AJ195" s="45">
        <f t="shared" si="143"/>
        <v>0</v>
      </c>
      <c r="AK195" s="45">
        <f t="shared" si="143"/>
        <v>0</v>
      </c>
      <c r="AL195" s="45">
        <f t="shared" si="143"/>
        <v>0</v>
      </c>
      <c r="AM195" s="45">
        <f t="shared" si="143"/>
        <v>0</v>
      </c>
      <c r="AN195" s="45">
        <f t="shared" si="143"/>
        <v>0</v>
      </c>
      <c r="AO195" s="45">
        <f t="shared" si="143"/>
        <v>0</v>
      </c>
      <c r="AP195" s="45">
        <f t="shared" si="143"/>
        <v>0</v>
      </c>
      <c r="AQ195" s="45">
        <f t="shared" si="143"/>
        <v>0</v>
      </c>
      <c r="AR195" s="45">
        <f t="shared" si="143"/>
        <v>0</v>
      </c>
      <c r="AS195" s="45">
        <f t="shared" si="143"/>
        <v>0</v>
      </c>
      <c r="AT195" s="45">
        <f t="shared" si="143"/>
        <v>0</v>
      </c>
      <c r="AU195" s="45">
        <f t="shared" si="143"/>
        <v>0</v>
      </c>
      <c r="AV195" s="45">
        <f t="shared" si="143"/>
        <v>0</v>
      </c>
      <c r="AW195" s="45">
        <f t="shared" si="143"/>
        <v>0</v>
      </c>
      <c r="AX195" s="45">
        <f t="shared" si="143"/>
        <v>0</v>
      </c>
      <c r="AY195" s="45">
        <f t="shared" si="143"/>
        <v>0</v>
      </c>
      <c r="AZ195" s="45">
        <f t="shared" si="143"/>
        <v>0</v>
      </c>
      <c r="BA195" s="45">
        <f t="shared" si="143"/>
        <v>0</v>
      </c>
      <c r="BB195" s="45">
        <f t="shared" si="143"/>
        <v>0</v>
      </c>
      <c r="BC195" s="45">
        <f t="shared" si="143"/>
        <v>0</v>
      </c>
      <c r="BD195" s="45">
        <f t="shared" si="143"/>
        <v>0</v>
      </c>
      <c r="BE195" s="45">
        <f t="shared" si="143"/>
        <v>0</v>
      </c>
      <c r="BF195" s="45">
        <f t="shared" si="143"/>
        <v>0</v>
      </c>
      <c r="BG195" s="45">
        <f t="shared" si="143"/>
        <v>0</v>
      </c>
      <c r="BH195" s="45">
        <f t="shared" si="143"/>
        <v>0</v>
      </c>
      <c r="BI195" s="45">
        <f t="shared" si="143"/>
        <v>0</v>
      </c>
      <c r="BJ195" s="45">
        <f t="shared" si="143"/>
        <v>0</v>
      </c>
      <c r="BL195" s="136"/>
      <c r="BM195" s="136"/>
      <c r="BN195" s="136"/>
      <c r="BO195" s="136"/>
      <c r="BP195" s="136"/>
      <c r="BQ195" s="136"/>
      <c r="BR195" s="136"/>
      <c r="BS195" s="136"/>
      <c r="BT195" s="136"/>
      <c r="BU195" s="136"/>
      <c r="BV195" s="136"/>
      <c r="BW195" s="136"/>
      <c r="BY195" s="12"/>
      <c r="CA195" s="12"/>
      <c r="EX195" s="10" t="str">
        <f t="shared" si="123"/>
        <v/>
      </c>
    </row>
    <row r="196" spans="2:154" s="67" customFormat="1" x14ac:dyDescent="0.25">
      <c r="B196" s="67" t="str">
        <f ca="1">Loans!B$24</f>
        <v>Loan 12</v>
      </c>
      <c r="D196" s="62">
        <f>Loans!D$24</f>
        <v>0</v>
      </c>
      <c r="E196" s="159" t="str">
        <f>IF(Loans!Q$24=0, "", Loans!Q$24)</f>
        <v/>
      </c>
      <c r="F196" s="10">
        <f>Loans!G$697</f>
        <v>0</v>
      </c>
      <c r="S196" s="279"/>
      <c r="T196" s="335"/>
      <c r="U196" s="335"/>
      <c r="V196" s="136"/>
      <c r="W196" s="136"/>
      <c r="X196" s="136"/>
      <c r="Y196" s="136"/>
      <c r="AA196" s="45">
        <f t="shared" si="133"/>
        <v>0</v>
      </c>
      <c r="AB196" s="45">
        <f t="shared" si="133"/>
        <v>0</v>
      </c>
      <c r="AC196" s="45">
        <f t="shared" si="133"/>
        <v>0</v>
      </c>
      <c r="AD196" s="45">
        <f t="shared" si="133"/>
        <v>0</v>
      </c>
      <c r="AE196" s="45">
        <f t="shared" si="133"/>
        <v>0</v>
      </c>
      <c r="AF196" s="45">
        <f t="shared" ref="AF196:BJ196" si="144">IF(AF150=1, 1, AE196+AF173)*AF173</f>
        <v>0</v>
      </c>
      <c r="AG196" s="45">
        <f t="shared" si="144"/>
        <v>0</v>
      </c>
      <c r="AH196" s="45">
        <f t="shared" si="144"/>
        <v>0</v>
      </c>
      <c r="AI196" s="45">
        <f t="shared" si="144"/>
        <v>0</v>
      </c>
      <c r="AJ196" s="45">
        <f t="shared" si="144"/>
        <v>0</v>
      </c>
      <c r="AK196" s="45">
        <f t="shared" si="144"/>
        <v>0</v>
      </c>
      <c r="AL196" s="45">
        <f t="shared" si="144"/>
        <v>0</v>
      </c>
      <c r="AM196" s="45">
        <f t="shared" si="144"/>
        <v>0</v>
      </c>
      <c r="AN196" s="45">
        <f t="shared" si="144"/>
        <v>0</v>
      </c>
      <c r="AO196" s="45">
        <f t="shared" si="144"/>
        <v>0</v>
      </c>
      <c r="AP196" s="45">
        <f t="shared" si="144"/>
        <v>0</v>
      </c>
      <c r="AQ196" s="45">
        <f t="shared" si="144"/>
        <v>0</v>
      </c>
      <c r="AR196" s="45">
        <f t="shared" si="144"/>
        <v>0</v>
      </c>
      <c r="AS196" s="45">
        <f t="shared" si="144"/>
        <v>0</v>
      </c>
      <c r="AT196" s="45">
        <f t="shared" si="144"/>
        <v>0</v>
      </c>
      <c r="AU196" s="45">
        <f t="shared" si="144"/>
        <v>0</v>
      </c>
      <c r="AV196" s="45">
        <f t="shared" si="144"/>
        <v>0</v>
      </c>
      <c r="AW196" s="45">
        <f t="shared" si="144"/>
        <v>0</v>
      </c>
      <c r="AX196" s="45">
        <f t="shared" si="144"/>
        <v>0</v>
      </c>
      <c r="AY196" s="45">
        <f t="shared" si="144"/>
        <v>0</v>
      </c>
      <c r="AZ196" s="45">
        <f t="shared" si="144"/>
        <v>0</v>
      </c>
      <c r="BA196" s="45">
        <f t="shared" si="144"/>
        <v>0</v>
      </c>
      <c r="BB196" s="45">
        <f t="shared" si="144"/>
        <v>0</v>
      </c>
      <c r="BC196" s="45">
        <f t="shared" si="144"/>
        <v>0</v>
      </c>
      <c r="BD196" s="45">
        <f t="shared" si="144"/>
        <v>0</v>
      </c>
      <c r="BE196" s="45">
        <f t="shared" si="144"/>
        <v>0</v>
      </c>
      <c r="BF196" s="45">
        <f t="shared" si="144"/>
        <v>0</v>
      </c>
      <c r="BG196" s="45">
        <f t="shared" si="144"/>
        <v>0</v>
      </c>
      <c r="BH196" s="45">
        <f t="shared" si="144"/>
        <v>0</v>
      </c>
      <c r="BI196" s="45">
        <f t="shared" si="144"/>
        <v>0</v>
      </c>
      <c r="BJ196" s="45">
        <f t="shared" si="144"/>
        <v>0</v>
      </c>
      <c r="BL196" s="136"/>
      <c r="BM196" s="136"/>
      <c r="BN196" s="136"/>
      <c r="BO196" s="136"/>
      <c r="BP196" s="136"/>
      <c r="BQ196" s="136"/>
      <c r="BR196" s="136"/>
      <c r="BS196" s="136"/>
      <c r="BT196" s="136"/>
      <c r="BU196" s="136"/>
      <c r="BV196" s="136"/>
      <c r="BW196" s="136"/>
      <c r="BY196" s="12"/>
      <c r="CA196" s="12"/>
      <c r="EX196" s="10" t="str">
        <f t="shared" si="123"/>
        <v/>
      </c>
    </row>
    <row r="197" spans="2:154" s="67" customFormat="1" x14ac:dyDescent="0.25">
      <c r="B197" s="67" t="str">
        <f ca="1">Loans!B$25</f>
        <v>Loan 13</v>
      </c>
      <c r="D197" s="62">
        <f>Loans!D$25</f>
        <v>0</v>
      </c>
      <c r="E197" s="159" t="str">
        <f>IF(Loans!Q$25=0, "", Loans!Q$25)</f>
        <v/>
      </c>
      <c r="F197" s="10">
        <f>Loans!G$698</f>
        <v>0</v>
      </c>
      <c r="S197" s="279"/>
      <c r="T197" s="335"/>
      <c r="U197" s="335"/>
      <c r="V197" s="136"/>
      <c r="W197" s="136"/>
      <c r="X197" s="136"/>
      <c r="Y197" s="136"/>
      <c r="AA197" s="45">
        <f t="shared" si="133"/>
        <v>0</v>
      </c>
      <c r="AB197" s="45">
        <f t="shared" si="133"/>
        <v>0</v>
      </c>
      <c r="AC197" s="45">
        <f t="shared" si="133"/>
        <v>0</v>
      </c>
      <c r="AD197" s="45">
        <f t="shared" si="133"/>
        <v>0</v>
      </c>
      <c r="AE197" s="45">
        <f t="shared" si="133"/>
        <v>0</v>
      </c>
      <c r="AF197" s="45">
        <f t="shared" ref="AF197:BJ197" si="145">IF(AF151=1, 1, AE197+AF174)*AF174</f>
        <v>0</v>
      </c>
      <c r="AG197" s="45">
        <f t="shared" si="145"/>
        <v>0</v>
      </c>
      <c r="AH197" s="45">
        <f t="shared" si="145"/>
        <v>0</v>
      </c>
      <c r="AI197" s="45">
        <f t="shared" si="145"/>
        <v>0</v>
      </c>
      <c r="AJ197" s="45">
        <f t="shared" si="145"/>
        <v>0</v>
      </c>
      <c r="AK197" s="45">
        <f t="shared" si="145"/>
        <v>0</v>
      </c>
      <c r="AL197" s="45">
        <f t="shared" si="145"/>
        <v>0</v>
      </c>
      <c r="AM197" s="45">
        <f t="shared" si="145"/>
        <v>0</v>
      </c>
      <c r="AN197" s="45">
        <f t="shared" si="145"/>
        <v>0</v>
      </c>
      <c r="AO197" s="45">
        <f t="shared" si="145"/>
        <v>0</v>
      </c>
      <c r="AP197" s="45">
        <f t="shared" si="145"/>
        <v>0</v>
      </c>
      <c r="AQ197" s="45">
        <f t="shared" si="145"/>
        <v>0</v>
      </c>
      <c r="AR197" s="45">
        <f t="shared" si="145"/>
        <v>0</v>
      </c>
      <c r="AS197" s="45">
        <f t="shared" si="145"/>
        <v>0</v>
      </c>
      <c r="AT197" s="45">
        <f t="shared" si="145"/>
        <v>0</v>
      </c>
      <c r="AU197" s="45">
        <f t="shared" si="145"/>
        <v>0</v>
      </c>
      <c r="AV197" s="45">
        <f t="shared" si="145"/>
        <v>0</v>
      </c>
      <c r="AW197" s="45">
        <f t="shared" si="145"/>
        <v>0</v>
      </c>
      <c r="AX197" s="45">
        <f t="shared" si="145"/>
        <v>0</v>
      </c>
      <c r="AY197" s="45">
        <f t="shared" si="145"/>
        <v>0</v>
      </c>
      <c r="AZ197" s="45">
        <f t="shared" si="145"/>
        <v>0</v>
      </c>
      <c r="BA197" s="45">
        <f t="shared" si="145"/>
        <v>0</v>
      </c>
      <c r="BB197" s="45">
        <f t="shared" si="145"/>
        <v>0</v>
      </c>
      <c r="BC197" s="45">
        <f t="shared" si="145"/>
        <v>0</v>
      </c>
      <c r="BD197" s="45">
        <f t="shared" si="145"/>
        <v>0</v>
      </c>
      <c r="BE197" s="45">
        <f t="shared" si="145"/>
        <v>0</v>
      </c>
      <c r="BF197" s="45">
        <f t="shared" si="145"/>
        <v>0</v>
      </c>
      <c r="BG197" s="45">
        <f t="shared" si="145"/>
        <v>0</v>
      </c>
      <c r="BH197" s="45">
        <f t="shared" si="145"/>
        <v>0</v>
      </c>
      <c r="BI197" s="45">
        <f t="shared" si="145"/>
        <v>0</v>
      </c>
      <c r="BJ197" s="45">
        <f t="shared" si="145"/>
        <v>0</v>
      </c>
      <c r="BL197" s="136"/>
      <c r="BM197" s="136"/>
      <c r="BN197" s="136"/>
      <c r="BO197" s="136"/>
      <c r="BP197" s="136"/>
      <c r="BQ197" s="136"/>
      <c r="BR197" s="136"/>
      <c r="BS197" s="136"/>
      <c r="BT197" s="136"/>
      <c r="BU197" s="136"/>
      <c r="BV197" s="136"/>
      <c r="BW197" s="136"/>
      <c r="BY197" s="12"/>
      <c r="CA197" s="12"/>
      <c r="EX197" s="10" t="str">
        <f t="shared" si="123"/>
        <v/>
      </c>
    </row>
    <row r="198" spans="2:154" s="67" customFormat="1" x14ac:dyDescent="0.25">
      <c r="B198" s="67" t="str">
        <f ca="1">Loans!B$26</f>
        <v>Loan 14</v>
      </c>
      <c r="D198" s="62">
        <f>Loans!D$26</f>
        <v>0</v>
      </c>
      <c r="E198" s="159" t="str">
        <f>IF(Loans!Q$26=0, "", Loans!Q$26)</f>
        <v/>
      </c>
      <c r="F198" s="10">
        <f>Loans!G$699</f>
        <v>0</v>
      </c>
      <c r="S198" s="279"/>
      <c r="T198" s="335"/>
      <c r="U198" s="335"/>
      <c r="V198" s="136"/>
      <c r="W198" s="136"/>
      <c r="X198" s="136"/>
      <c r="Y198" s="136"/>
      <c r="AA198" s="45">
        <f t="shared" si="133"/>
        <v>0</v>
      </c>
      <c r="AB198" s="45">
        <f t="shared" si="133"/>
        <v>0</v>
      </c>
      <c r="AC198" s="45">
        <f t="shared" si="133"/>
        <v>0</v>
      </c>
      <c r="AD198" s="45">
        <f t="shared" si="133"/>
        <v>0</v>
      </c>
      <c r="AE198" s="45">
        <f t="shared" si="133"/>
        <v>0</v>
      </c>
      <c r="AF198" s="45">
        <f t="shared" ref="AF198:BJ198" si="146">IF(AF152=1, 1, AE198+AF175)*AF175</f>
        <v>0</v>
      </c>
      <c r="AG198" s="45">
        <f t="shared" si="146"/>
        <v>0</v>
      </c>
      <c r="AH198" s="45">
        <f t="shared" si="146"/>
        <v>0</v>
      </c>
      <c r="AI198" s="45">
        <f t="shared" si="146"/>
        <v>0</v>
      </c>
      <c r="AJ198" s="45">
        <f t="shared" si="146"/>
        <v>0</v>
      </c>
      <c r="AK198" s="45">
        <f t="shared" si="146"/>
        <v>0</v>
      </c>
      <c r="AL198" s="45">
        <f t="shared" si="146"/>
        <v>0</v>
      </c>
      <c r="AM198" s="45">
        <f t="shared" si="146"/>
        <v>0</v>
      </c>
      <c r="AN198" s="45">
        <f t="shared" si="146"/>
        <v>0</v>
      </c>
      <c r="AO198" s="45">
        <f t="shared" si="146"/>
        <v>0</v>
      </c>
      <c r="AP198" s="45">
        <f t="shared" si="146"/>
        <v>0</v>
      </c>
      <c r="AQ198" s="45">
        <f t="shared" si="146"/>
        <v>0</v>
      </c>
      <c r="AR198" s="45">
        <f t="shared" si="146"/>
        <v>0</v>
      </c>
      <c r="AS198" s="45">
        <f t="shared" si="146"/>
        <v>0</v>
      </c>
      <c r="AT198" s="45">
        <f t="shared" si="146"/>
        <v>0</v>
      </c>
      <c r="AU198" s="45">
        <f t="shared" si="146"/>
        <v>0</v>
      </c>
      <c r="AV198" s="45">
        <f t="shared" si="146"/>
        <v>0</v>
      </c>
      <c r="AW198" s="45">
        <f t="shared" si="146"/>
        <v>0</v>
      </c>
      <c r="AX198" s="45">
        <f t="shared" si="146"/>
        <v>0</v>
      </c>
      <c r="AY198" s="45">
        <f t="shared" si="146"/>
        <v>0</v>
      </c>
      <c r="AZ198" s="45">
        <f t="shared" si="146"/>
        <v>0</v>
      </c>
      <c r="BA198" s="45">
        <f t="shared" si="146"/>
        <v>0</v>
      </c>
      <c r="BB198" s="45">
        <f t="shared" si="146"/>
        <v>0</v>
      </c>
      <c r="BC198" s="45">
        <f t="shared" si="146"/>
        <v>0</v>
      </c>
      <c r="BD198" s="45">
        <f t="shared" si="146"/>
        <v>0</v>
      </c>
      <c r="BE198" s="45">
        <f t="shared" si="146"/>
        <v>0</v>
      </c>
      <c r="BF198" s="45">
        <f t="shared" si="146"/>
        <v>0</v>
      </c>
      <c r="BG198" s="45">
        <f t="shared" si="146"/>
        <v>0</v>
      </c>
      <c r="BH198" s="45">
        <f t="shared" si="146"/>
        <v>0</v>
      </c>
      <c r="BI198" s="45">
        <f t="shared" si="146"/>
        <v>0</v>
      </c>
      <c r="BJ198" s="45">
        <f t="shared" si="146"/>
        <v>0</v>
      </c>
      <c r="BL198" s="136"/>
      <c r="BM198" s="136"/>
      <c r="BN198" s="136"/>
      <c r="BO198" s="136"/>
      <c r="BP198" s="136"/>
      <c r="BQ198" s="136"/>
      <c r="BR198" s="136"/>
      <c r="BS198" s="136"/>
      <c r="BT198" s="136"/>
      <c r="BU198" s="136"/>
      <c r="BV198" s="136"/>
      <c r="BW198" s="136"/>
      <c r="BY198" s="12"/>
      <c r="CA198" s="12"/>
      <c r="EX198" s="10" t="str">
        <f t="shared" si="123"/>
        <v/>
      </c>
    </row>
    <row r="199" spans="2:154" s="67" customFormat="1" x14ac:dyDescent="0.25">
      <c r="B199" s="67" t="str">
        <f ca="1">Loans!B$27</f>
        <v>Loan 15</v>
      </c>
      <c r="D199" s="62">
        <f>Loans!D$27</f>
        <v>0</v>
      </c>
      <c r="E199" s="159" t="str">
        <f>IF(Loans!Q$27=0, "", Loans!Q$27)</f>
        <v/>
      </c>
      <c r="F199" s="10">
        <f>Loans!G$700</f>
        <v>0</v>
      </c>
      <c r="S199" s="279"/>
      <c r="T199" s="335"/>
      <c r="U199" s="335"/>
      <c r="V199" s="136"/>
      <c r="W199" s="136"/>
      <c r="X199" s="136"/>
      <c r="Y199" s="136"/>
      <c r="AA199" s="45">
        <f t="shared" si="133"/>
        <v>0</v>
      </c>
      <c r="AB199" s="45">
        <f t="shared" si="133"/>
        <v>0</v>
      </c>
      <c r="AC199" s="45">
        <f t="shared" si="133"/>
        <v>0</v>
      </c>
      <c r="AD199" s="45">
        <f t="shared" si="133"/>
        <v>0</v>
      </c>
      <c r="AE199" s="45">
        <f t="shared" si="133"/>
        <v>0</v>
      </c>
      <c r="AF199" s="45">
        <f t="shared" ref="AF199:BJ199" si="147">IF(AF153=1, 1, AE199+AF176)*AF176</f>
        <v>0</v>
      </c>
      <c r="AG199" s="45">
        <f t="shared" si="147"/>
        <v>0</v>
      </c>
      <c r="AH199" s="45">
        <f t="shared" si="147"/>
        <v>0</v>
      </c>
      <c r="AI199" s="45">
        <f t="shared" si="147"/>
        <v>0</v>
      </c>
      <c r="AJ199" s="45">
        <f t="shared" si="147"/>
        <v>0</v>
      </c>
      <c r="AK199" s="45">
        <f t="shared" si="147"/>
        <v>0</v>
      </c>
      <c r="AL199" s="45">
        <f t="shared" si="147"/>
        <v>0</v>
      </c>
      <c r="AM199" s="45">
        <f t="shared" si="147"/>
        <v>0</v>
      </c>
      <c r="AN199" s="45">
        <f t="shared" si="147"/>
        <v>0</v>
      </c>
      <c r="AO199" s="45">
        <f t="shared" si="147"/>
        <v>0</v>
      </c>
      <c r="AP199" s="45">
        <f t="shared" si="147"/>
        <v>0</v>
      </c>
      <c r="AQ199" s="45">
        <f t="shared" si="147"/>
        <v>0</v>
      </c>
      <c r="AR199" s="45">
        <f t="shared" si="147"/>
        <v>0</v>
      </c>
      <c r="AS199" s="45">
        <f t="shared" si="147"/>
        <v>0</v>
      </c>
      <c r="AT199" s="45">
        <f t="shared" si="147"/>
        <v>0</v>
      </c>
      <c r="AU199" s="45">
        <f t="shared" si="147"/>
        <v>0</v>
      </c>
      <c r="AV199" s="45">
        <f t="shared" si="147"/>
        <v>0</v>
      </c>
      <c r="AW199" s="45">
        <f t="shared" si="147"/>
        <v>0</v>
      </c>
      <c r="AX199" s="45">
        <f t="shared" si="147"/>
        <v>0</v>
      </c>
      <c r="AY199" s="45">
        <f t="shared" si="147"/>
        <v>0</v>
      </c>
      <c r="AZ199" s="45">
        <f t="shared" si="147"/>
        <v>0</v>
      </c>
      <c r="BA199" s="45">
        <f t="shared" si="147"/>
        <v>0</v>
      </c>
      <c r="BB199" s="45">
        <f t="shared" si="147"/>
        <v>0</v>
      </c>
      <c r="BC199" s="45">
        <f t="shared" si="147"/>
        <v>0</v>
      </c>
      <c r="BD199" s="45">
        <f t="shared" si="147"/>
        <v>0</v>
      </c>
      <c r="BE199" s="45">
        <f t="shared" si="147"/>
        <v>0</v>
      </c>
      <c r="BF199" s="45">
        <f t="shared" si="147"/>
        <v>0</v>
      </c>
      <c r="BG199" s="45">
        <f t="shared" si="147"/>
        <v>0</v>
      </c>
      <c r="BH199" s="45">
        <f t="shared" si="147"/>
        <v>0</v>
      </c>
      <c r="BI199" s="45">
        <f t="shared" si="147"/>
        <v>0</v>
      </c>
      <c r="BJ199" s="45">
        <f t="shared" si="147"/>
        <v>0</v>
      </c>
      <c r="BL199" s="136"/>
      <c r="BM199" s="136"/>
      <c r="BN199" s="136"/>
      <c r="BO199" s="136"/>
      <c r="BP199" s="136"/>
      <c r="BQ199" s="136"/>
      <c r="BR199" s="136"/>
      <c r="BS199" s="136"/>
      <c r="BT199" s="136"/>
      <c r="BU199" s="136"/>
      <c r="BV199" s="136"/>
      <c r="BW199" s="136"/>
      <c r="BY199" s="12"/>
      <c r="CA199" s="12"/>
      <c r="EX199" s="10" t="str">
        <f t="shared" si="123"/>
        <v/>
      </c>
    </row>
    <row r="200" spans="2:154" s="67" customFormat="1" x14ac:dyDescent="0.25">
      <c r="B200" s="67" t="str">
        <f ca="1">Loans!B$28</f>
        <v>Loan 16</v>
      </c>
      <c r="D200" s="62">
        <f>Loans!D$28</f>
        <v>0</v>
      </c>
      <c r="E200" s="159" t="str">
        <f>IF(Loans!Q$28=0, "", Loans!Q$28)</f>
        <v/>
      </c>
      <c r="F200" s="10">
        <f>Loans!G$701</f>
        <v>0</v>
      </c>
      <c r="S200" s="279"/>
      <c r="T200" s="335"/>
      <c r="U200" s="335"/>
      <c r="V200" s="136"/>
      <c r="W200" s="136"/>
      <c r="X200" s="136"/>
      <c r="Y200" s="136"/>
      <c r="AA200" s="45">
        <f t="shared" si="133"/>
        <v>0</v>
      </c>
      <c r="AB200" s="45">
        <f t="shared" si="133"/>
        <v>0</v>
      </c>
      <c r="AC200" s="45">
        <f t="shared" si="133"/>
        <v>0</v>
      </c>
      <c r="AD200" s="45">
        <f t="shared" si="133"/>
        <v>0</v>
      </c>
      <c r="AE200" s="45">
        <f t="shared" si="133"/>
        <v>0</v>
      </c>
      <c r="AF200" s="45">
        <f t="shared" ref="AF200:BJ200" si="148">IF(AF154=1, 1, AE200+AF177)*AF177</f>
        <v>0</v>
      </c>
      <c r="AG200" s="45">
        <f t="shared" si="148"/>
        <v>0</v>
      </c>
      <c r="AH200" s="45">
        <f t="shared" si="148"/>
        <v>0</v>
      </c>
      <c r="AI200" s="45">
        <f t="shared" si="148"/>
        <v>0</v>
      </c>
      <c r="AJ200" s="45">
        <f t="shared" si="148"/>
        <v>0</v>
      </c>
      <c r="AK200" s="45">
        <f t="shared" si="148"/>
        <v>0</v>
      </c>
      <c r="AL200" s="45">
        <f t="shared" si="148"/>
        <v>0</v>
      </c>
      <c r="AM200" s="45">
        <f t="shared" si="148"/>
        <v>0</v>
      </c>
      <c r="AN200" s="45">
        <f t="shared" si="148"/>
        <v>0</v>
      </c>
      <c r="AO200" s="45">
        <f t="shared" si="148"/>
        <v>0</v>
      </c>
      <c r="AP200" s="45">
        <f t="shared" si="148"/>
        <v>0</v>
      </c>
      <c r="AQ200" s="45">
        <f t="shared" si="148"/>
        <v>0</v>
      </c>
      <c r="AR200" s="45">
        <f t="shared" si="148"/>
        <v>0</v>
      </c>
      <c r="AS200" s="45">
        <f t="shared" si="148"/>
        <v>0</v>
      </c>
      <c r="AT200" s="45">
        <f t="shared" si="148"/>
        <v>0</v>
      </c>
      <c r="AU200" s="45">
        <f t="shared" si="148"/>
        <v>0</v>
      </c>
      <c r="AV200" s="45">
        <f t="shared" si="148"/>
        <v>0</v>
      </c>
      <c r="AW200" s="45">
        <f t="shared" si="148"/>
        <v>0</v>
      </c>
      <c r="AX200" s="45">
        <f t="shared" si="148"/>
        <v>0</v>
      </c>
      <c r="AY200" s="45">
        <f t="shared" si="148"/>
        <v>0</v>
      </c>
      <c r="AZ200" s="45">
        <f t="shared" si="148"/>
        <v>0</v>
      </c>
      <c r="BA200" s="45">
        <f t="shared" si="148"/>
        <v>0</v>
      </c>
      <c r="BB200" s="45">
        <f t="shared" si="148"/>
        <v>0</v>
      </c>
      <c r="BC200" s="45">
        <f t="shared" si="148"/>
        <v>0</v>
      </c>
      <c r="BD200" s="45">
        <f t="shared" si="148"/>
        <v>0</v>
      </c>
      <c r="BE200" s="45">
        <f t="shared" si="148"/>
        <v>0</v>
      </c>
      <c r="BF200" s="45">
        <f t="shared" si="148"/>
        <v>0</v>
      </c>
      <c r="BG200" s="45">
        <f t="shared" si="148"/>
        <v>0</v>
      </c>
      <c r="BH200" s="45">
        <f t="shared" si="148"/>
        <v>0</v>
      </c>
      <c r="BI200" s="45">
        <f t="shared" si="148"/>
        <v>0</v>
      </c>
      <c r="BJ200" s="45">
        <f t="shared" si="148"/>
        <v>0</v>
      </c>
      <c r="BL200" s="136"/>
      <c r="BM200" s="136"/>
      <c r="BN200" s="136"/>
      <c r="BO200" s="136"/>
      <c r="BP200" s="136"/>
      <c r="BQ200" s="136"/>
      <c r="BR200" s="136"/>
      <c r="BS200" s="136"/>
      <c r="BT200" s="136"/>
      <c r="BU200" s="136"/>
      <c r="BV200" s="136"/>
      <c r="BW200" s="136"/>
      <c r="BY200" s="12"/>
      <c r="CA200" s="12"/>
      <c r="EX200" s="10" t="str">
        <f t="shared" si="123"/>
        <v/>
      </c>
    </row>
    <row r="201" spans="2:154" s="67" customFormat="1" x14ac:dyDescent="0.25">
      <c r="B201" s="67" t="str">
        <f ca="1">Loans!B$29</f>
        <v>Loan 17</v>
      </c>
      <c r="D201" s="62">
        <f>Loans!D$29</f>
        <v>0</v>
      </c>
      <c r="E201" s="159" t="str">
        <f>IF(Loans!Q$29=0, "", Loans!Q$29)</f>
        <v/>
      </c>
      <c r="F201" s="10">
        <f>Loans!G$702</f>
        <v>0</v>
      </c>
      <c r="S201" s="279"/>
      <c r="T201" s="335"/>
      <c r="U201" s="335"/>
      <c r="V201" s="136"/>
      <c r="W201" s="136"/>
      <c r="X201" s="136"/>
      <c r="Y201" s="136"/>
      <c r="AA201" s="45">
        <f t="shared" si="133"/>
        <v>0</v>
      </c>
      <c r="AB201" s="45">
        <f t="shared" si="133"/>
        <v>0</v>
      </c>
      <c r="AC201" s="45">
        <f t="shared" si="133"/>
        <v>0</v>
      </c>
      <c r="AD201" s="45">
        <f t="shared" si="133"/>
        <v>0</v>
      </c>
      <c r="AE201" s="45">
        <f t="shared" si="133"/>
        <v>0</v>
      </c>
      <c r="AF201" s="45">
        <f t="shared" ref="AF201:BJ201" si="149">IF(AF155=1, 1, AE201+AF178)*AF178</f>
        <v>0</v>
      </c>
      <c r="AG201" s="45">
        <f t="shared" si="149"/>
        <v>0</v>
      </c>
      <c r="AH201" s="45">
        <f t="shared" si="149"/>
        <v>0</v>
      </c>
      <c r="AI201" s="45">
        <f t="shared" si="149"/>
        <v>0</v>
      </c>
      <c r="AJ201" s="45">
        <f t="shared" si="149"/>
        <v>0</v>
      </c>
      <c r="AK201" s="45">
        <f t="shared" si="149"/>
        <v>0</v>
      </c>
      <c r="AL201" s="45">
        <f t="shared" si="149"/>
        <v>0</v>
      </c>
      <c r="AM201" s="45">
        <f t="shared" si="149"/>
        <v>0</v>
      </c>
      <c r="AN201" s="45">
        <f t="shared" si="149"/>
        <v>0</v>
      </c>
      <c r="AO201" s="45">
        <f t="shared" si="149"/>
        <v>0</v>
      </c>
      <c r="AP201" s="45">
        <f t="shared" si="149"/>
        <v>0</v>
      </c>
      <c r="AQ201" s="45">
        <f t="shared" si="149"/>
        <v>0</v>
      </c>
      <c r="AR201" s="45">
        <f t="shared" si="149"/>
        <v>0</v>
      </c>
      <c r="AS201" s="45">
        <f t="shared" si="149"/>
        <v>0</v>
      </c>
      <c r="AT201" s="45">
        <f t="shared" si="149"/>
        <v>0</v>
      </c>
      <c r="AU201" s="45">
        <f t="shared" si="149"/>
        <v>0</v>
      </c>
      <c r="AV201" s="45">
        <f t="shared" si="149"/>
        <v>0</v>
      </c>
      <c r="AW201" s="45">
        <f t="shared" si="149"/>
        <v>0</v>
      </c>
      <c r="AX201" s="45">
        <f t="shared" si="149"/>
        <v>0</v>
      </c>
      <c r="AY201" s="45">
        <f t="shared" si="149"/>
        <v>0</v>
      </c>
      <c r="AZ201" s="45">
        <f t="shared" si="149"/>
        <v>0</v>
      </c>
      <c r="BA201" s="45">
        <f t="shared" si="149"/>
        <v>0</v>
      </c>
      <c r="BB201" s="45">
        <f t="shared" si="149"/>
        <v>0</v>
      </c>
      <c r="BC201" s="45">
        <f t="shared" si="149"/>
        <v>0</v>
      </c>
      <c r="BD201" s="45">
        <f t="shared" si="149"/>
        <v>0</v>
      </c>
      <c r="BE201" s="45">
        <f t="shared" si="149"/>
        <v>0</v>
      </c>
      <c r="BF201" s="45">
        <f t="shared" si="149"/>
        <v>0</v>
      </c>
      <c r="BG201" s="45">
        <f t="shared" si="149"/>
        <v>0</v>
      </c>
      <c r="BH201" s="45">
        <f t="shared" si="149"/>
        <v>0</v>
      </c>
      <c r="BI201" s="45">
        <f t="shared" si="149"/>
        <v>0</v>
      </c>
      <c r="BJ201" s="45">
        <f t="shared" si="149"/>
        <v>0</v>
      </c>
      <c r="BL201" s="136"/>
      <c r="BM201" s="136"/>
      <c r="BN201" s="136"/>
      <c r="BO201" s="136"/>
      <c r="BP201" s="136"/>
      <c r="BQ201" s="136"/>
      <c r="BR201" s="136"/>
      <c r="BS201" s="136"/>
      <c r="BT201" s="136"/>
      <c r="BU201" s="136"/>
      <c r="BV201" s="136"/>
      <c r="BW201" s="136"/>
      <c r="BY201" s="12"/>
      <c r="CA201" s="12"/>
      <c r="EX201" s="10" t="str">
        <f t="shared" si="123"/>
        <v/>
      </c>
    </row>
    <row r="202" spans="2:154" s="67" customFormat="1" x14ac:dyDescent="0.25">
      <c r="B202" s="67" t="str">
        <f ca="1">Loans!B$30</f>
        <v>Loan 18</v>
      </c>
      <c r="D202" s="62">
        <f>Loans!D$30</f>
        <v>0</v>
      </c>
      <c r="E202" s="159" t="str">
        <f>IF(Loans!Q$30=0, "", Loans!Q$30)</f>
        <v/>
      </c>
      <c r="F202" s="10">
        <f>Loans!G$703</f>
        <v>0</v>
      </c>
      <c r="S202" s="279"/>
      <c r="T202" s="335"/>
      <c r="U202" s="335"/>
      <c r="V202" s="136"/>
      <c r="W202" s="136"/>
      <c r="X202" s="136"/>
      <c r="Y202" s="136"/>
      <c r="AA202" s="45">
        <f t="shared" si="133"/>
        <v>0</v>
      </c>
      <c r="AB202" s="45">
        <f t="shared" si="133"/>
        <v>0</v>
      </c>
      <c r="AC202" s="45">
        <f t="shared" si="133"/>
        <v>0</v>
      </c>
      <c r="AD202" s="45">
        <f t="shared" si="133"/>
        <v>0</v>
      </c>
      <c r="AE202" s="45">
        <f t="shared" si="133"/>
        <v>0</v>
      </c>
      <c r="AF202" s="45">
        <f t="shared" ref="AF202:BJ202" si="150">IF(AF156=1, 1, AE202+AF179)*AF179</f>
        <v>0</v>
      </c>
      <c r="AG202" s="45">
        <f t="shared" si="150"/>
        <v>0</v>
      </c>
      <c r="AH202" s="45">
        <f t="shared" si="150"/>
        <v>0</v>
      </c>
      <c r="AI202" s="45">
        <f t="shared" si="150"/>
        <v>0</v>
      </c>
      <c r="AJ202" s="45">
        <f t="shared" si="150"/>
        <v>0</v>
      </c>
      <c r="AK202" s="45">
        <f t="shared" si="150"/>
        <v>0</v>
      </c>
      <c r="AL202" s="45">
        <f t="shared" si="150"/>
        <v>0</v>
      </c>
      <c r="AM202" s="45">
        <f t="shared" si="150"/>
        <v>0</v>
      </c>
      <c r="AN202" s="45">
        <f t="shared" si="150"/>
        <v>0</v>
      </c>
      <c r="AO202" s="45">
        <f t="shared" si="150"/>
        <v>0</v>
      </c>
      <c r="AP202" s="45">
        <f t="shared" si="150"/>
        <v>0</v>
      </c>
      <c r="AQ202" s="45">
        <f t="shared" si="150"/>
        <v>0</v>
      </c>
      <c r="AR202" s="45">
        <f t="shared" si="150"/>
        <v>0</v>
      </c>
      <c r="AS202" s="45">
        <f t="shared" si="150"/>
        <v>0</v>
      </c>
      <c r="AT202" s="45">
        <f t="shared" si="150"/>
        <v>0</v>
      </c>
      <c r="AU202" s="45">
        <f t="shared" si="150"/>
        <v>0</v>
      </c>
      <c r="AV202" s="45">
        <f t="shared" si="150"/>
        <v>0</v>
      </c>
      <c r="AW202" s="45">
        <f t="shared" si="150"/>
        <v>0</v>
      </c>
      <c r="AX202" s="45">
        <f t="shared" si="150"/>
        <v>0</v>
      </c>
      <c r="AY202" s="45">
        <f t="shared" si="150"/>
        <v>0</v>
      </c>
      <c r="AZ202" s="45">
        <f t="shared" si="150"/>
        <v>0</v>
      </c>
      <c r="BA202" s="45">
        <f t="shared" si="150"/>
        <v>0</v>
      </c>
      <c r="BB202" s="45">
        <f t="shared" si="150"/>
        <v>0</v>
      </c>
      <c r="BC202" s="45">
        <f t="shared" si="150"/>
        <v>0</v>
      </c>
      <c r="BD202" s="45">
        <f t="shared" si="150"/>
        <v>0</v>
      </c>
      <c r="BE202" s="45">
        <f t="shared" si="150"/>
        <v>0</v>
      </c>
      <c r="BF202" s="45">
        <f t="shared" si="150"/>
        <v>0</v>
      </c>
      <c r="BG202" s="45">
        <f t="shared" si="150"/>
        <v>0</v>
      </c>
      <c r="BH202" s="45">
        <f t="shared" si="150"/>
        <v>0</v>
      </c>
      <c r="BI202" s="45">
        <f t="shared" si="150"/>
        <v>0</v>
      </c>
      <c r="BJ202" s="45">
        <f t="shared" si="150"/>
        <v>0</v>
      </c>
      <c r="BL202" s="136"/>
      <c r="BM202" s="136"/>
      <c r="BN202" s="136"/>
      <c r="BO202" s="136"/>
      <c r="BP202" s="136"/>
      <c r="BQ202" s="136"/>
      <c r="BR202" s="136"/>
      <c r="BS202" s="136"/>
      <c r="BT202" s="136"/>
      <c r="BU202" s="136"/>
      <c r="BV202" s="136"/>
      <c r="BW202" s="136"/>
      <c r="BY202" s="12"/>
      <c r="CA202" s="12"/>
      <c r="EX202" s="10" t="str">
        <f t="shared" ref="EX202:EX265" si="151">IF($C202="","",$D202)</f>
        <v/>
      </c>
    </row>
    <row r="203" spans="2:154" s="67" customFormat="1" x14ac:dyDescent="0.25">
      <c r="B203" s="67" t="str">
        <f ca="1">Loans!B$31</f>
        <v>Loan 19</v>
      </c>
      <c r="D203" s="62">
        <f>Loans!D$31</f>
        <v>0</v>
      </c>
      <c r="E203" s="159" t="str">
        <f>IF(Loans!Q$31=0, "", Loans!Q$31)</f>
        <v/>
      </c>
      <c r="F203" s="10">
        <f>Loans!G$704</f>
        <v>0</v>
      </c>
      <c r="S203" s="279"/>
      <c r="T203" s="335"/>
      <c r="U203" s="335"/>
      <c r="V203" s="136"/>
      <c r="W203" s="136"/>
      <c r="X203" s="136"/>
      <c r="Y203" s="136"/>
      <c r="AA203" s="45">
        <f t="shared" si="133"/>
        <v>0</v>
      </c>
      <c r="AB203" s="45">
        <f t="shared" si="133"/>
        <v>0</v>
      </c>
      <c r="AC203" s="45">
        <f t="shared" si="133"/>
        <v>0</v>
      </c>
      <c r="AD203" s="45">
        <f t="shared" si="133"/>
        <v>0</v>
      </c>
      <c r="AE203" s="45">
        <f t="shared" si="133"/>
        <v>0</v>
      </c>
      <c r="AF203" s="45">
        <f t="shared" ref="AF203:BJ203" si="152">IF(AF157=1, 1, AE203+AF180)*AF180</f>
        <v>0</v>
      </c>
      <c r="AG203" s="45">
        <f t="shared" si="152"/>
        <v>0</v>
      </c>
      <c r="AH203" s="45">
        <f t="shared" si="152"/>
        <v>0</v>
      </c>
      <c r="AI203" s="45">
        <f t="shared" si="152"/>
        <v>0</v>
      </c>
      <c r="AJ203" s="45">
        <f t="shared" si="152"/>
        <v>0</v>
      </c>
      <c r="AK203" s="45">
        <f t="shared" si="152"/>
        <v>0</v>
      </c>
      <c r="AL203" s="45">
        <f t="shared" si="152"/>
        <v>0</v>
      </c>
      <c r="AM203" s="45">
        <f t="shared" si="152"/>
        <v>0</v>
      </c>
      <c r="AN203" s="45">
        <f t="shared" si="152"/>
        <v>0</v>
      </c>
      <c r="AO203" s="45">
        <f t="shared" si="152"/>
        <v>0</v>
      </c>
      <c r="AP203" s="45">
        <f t="shared" si="152"/>
        <v>0</v>
      </c>
      <c r="AQ203" s="45">
        <f t="shared" si="152"/>
        <v>0</v>
      </c>
      <c r="AR203" s="45">
        <f t="shared" si="152"/>
        <v>0</v>
      </c>
      <c r="AS203" s="45">
        <f t="shared" si="152"/>
        <v>0</v>
      </c>
      <c r="AT203" s="45">
        <f t="shared" si="152"/>
        <v>0</v>
      </c>
      <c r="AU203" s="45">
        <f t="shared" si="152"/>
        <v>0</v>
      </c>
      <c r="AV203" s="45">
        <f t="shared" si="152"/>
        <v>0</v>
      </c>
      <c r="AW203" s="45">
        <f t="shared" si="152"/>
        <v>0</v>
      </c>
      <c r="AX203" s="45">
        <f t="shared" si="152"/>
        <v>0</v>
      </c>
      <c r="AY203" s="45">
        <f t="shared" si="152"/>
        <v>0</v>
      </c>
      <c r="AZ203" s="45">
        <f t="shared" si="152"/>
        <v>0</v>
      </c>
      <c r="BA203" s="45">
        <f t="shared" si="152"/>
        <v>0</v>
      </c>
      <c r="BB203" s="45">
        <f t="shared" si="152"/>
        <v>0</v>
      </c>
      <c r="BC203" s="45">
        <f t="shared" si="152"/>
        <v>0</v>
      </c>
      <c r="BD203" s="45">
        <f t="shared" si="152"/>
        <v>0</v>
      </c>
      <c r="BE203" s="45">
        <f t="shared" si="152"/>
        <v>0</v>
      </c>
      <c r="BF203" s="45">
        <f t="shared" si="152"/>
        <v>0</v>
      </c>
      <c r="BG203" s="45">
        <f t="shared" si="152"/>
        <v>0</v>
      </c>
      <c r="BH203" s="45">
        <f t="shared" si="152"/>
        <v>0</v>
      </c>
      <c r="BI203" s="45">
        <f t="shared" si="152"/>
        <v>0</v>
      </c>
      <c r="BJ203" s="45">
        <f t="shared" si="152"/>
        <v>0</v>
      </c>
      <c r="BL203" s="136"/>
      <c r="BM203" s="136"/>
      <c r="BN203" s="136"/>
      <c r="BO203" s="136"/>
      <c r="BP203" s="136"/>
      <c r="BQ203" s="136"/>
      <c r="BR203" s="136"/>
      <c r="BS203" s="136"/>
      <c r="BT203" s="136"/>
      <c r="BU203" s="136"/>
      <c r="BV203" s="136"/>
      <c r="BW203" s="136"/>
      <c r="BY203" s="12"/>
      <c r="CA203" s="12"/>
      <c r="EX203" s="10" t="str">
        <f t="shared" si="151"/>
        <v/>
      </c>
    </row>
    <row r="204" spans="2:154" s="67" customFormat="1" x14ac:dyDescent="0.25">
      <c r="B204" s="67" t="str">
        <f ca="1">Loans!B$32</f>
        <v>Loan 20</v>
      </c>
      <c r="D204" s="62">
        <f>Loans!D$32</f>
        <v>0</v>
      </c>
      <c r="E204" s="159" t="str">
        <f>IF(Loans!Q$32=0, "", Loans!Q$32)</f>
        <v/>
      </c>
      <c r="F204" s="10">
        <f>Loans!G$705</f>
        <v>0</v>
      </c>
      <c r="S204" s="279"/>
      <c r="T204" s="335"/>
      <c r="U204" s="335"/>
      <c r="V204" s="136"/>
      <c r="W204" s="136"/>
      <c r="X204" s="136"/>
      <c r="Y204" s="136"/>
      <c r="AA204" s="45">
        <f t="shared" si="133"/>
        <v>0</v>
      </c>
      <c r="AB204" s="45">
        <f t="shared" si="133"/>
        <v>0</v>
      </c>
      <c r="AC204" s="45">
        <f t="shared" si="133"/>
        <v>0</v>
      </c>
      <c r="AD204" s="45">
        <f t="shared" si="133"/>
        <v>0</v>
      </c>
      <c r="AE204" s="45">
        <f t="shared" si="133"/>
        <v>0</v>
      </c>
      <c r="AF204" s="45">
        <f t="shared" ref="AF204:BJ204" si="153">IF(AF158=1, 1, AE204+AF181)*AF181</f>
        <v>0</v>
      </c>
      <c r="AG204" s="45">
        <f t="shared" si="153"/>
        <v>0</v>
      </c>
      <c r="AH204" s="45">
        <f t="shared" si="153"/>
        <v>0</v>
      </c>
      <c r="AI204" s="45">
        <f t="shared" si="153"/>
        <v>0</v>
      </c>
      <c r="AJ204" s="45">
        <f t="shared" si="153"/>
        <v>0</v>
      </c>
      <c r="AK204" s="45">
        <f t="shared" si="153"/>
        <v>0</v>
      </c>
      <c r="AL204" s="45">
        <f t="shared" si="153"/>
        <v>0</v>
      </c>
      <c r="AM204" s="45">
        <f t="shared" si="153"/>
        <v>0</v>
      </c>
      <c r="AN204" s="45">
        <f t="shared" si="153"/>
        <v>0</v>
      </c>
      <c r="AO204" s="45">
        <f t="shared" si="153"/>
        <v>0</v>
      </c>
      <c r="AP204" s="45">
        <f t="shared" si="153"/>
        <v>0</v>
      </c>
      <c r="AQ204" s="45">
        <f t="shared" si="153"/>
        <v>0</v>
      </c>
      <c r="AR204" s="45">
        <f t="shared" si="153"/>
        <v>0</v>
      </c>
      <c r="AS204" s="45">
        <f t="shared" si="153"/>
        <v>0</v>
      </c>
      <c r="AT204" s="45">
        <f t="shared" si="153"/>
        <v>0</v>
      </c>
      <c r="AU204" s="45">
        <f t="shared" si="153"/>
        <v>0</v>
      </c>
      <c r="AV204" s="45">
        <f t="shared" si="153"/>
        <v>0</v>
      </c>
      <c r="AW204" s="45">
        <f t="shared" si="153"/>
        <v>0</v>
      </c>
      <c r="AX204" s="45">
        <f t="shared" si="153"/>
        <v>0</v>
      </c>
      <c r="AY204" s="45">
        <f t="shared" si="153"/>
        <v>0</v>
      </c>
      <c r="AZ204" s="45">
        <f t="shared" si="153"/>
        <v>0</v>
      </c>
      <c r="BA204" s="45">
        <f t="shared" si="153"/>
        <v>0</v>
      </c>
      <c r="BB204" s="45">
        <f t="shared" si="153"/>
        <v>0</v>
      </c>
      <c r="BC204" s="45">
        <f t="shared" si="153"/>
        <v>0</v>
      </c>
      <c r="BD204" s="45">
        <f t="shared" si="153"/>
        <v>0</v>
      </c>
      <c r="BE204" s="45">
        <f t="shared" si="153"/>
        <v>0</v>
      </c>
      <c r="BF204" s="45">
        <f t="shared" si="153"/>
        <v>0</v>
      </c>
      <c r="BG204" s="45">
        <f t="shared" si="153"/>
        <v>0</v>
      </c>
      <c r="BH204" s="45">
        <f t="shared" si="153"/>
        <v>0</v>
      </c>
      <c r="BI204" s="45">
        <f t="shared" si="153"/>
        <v>0</v>
      </c>
      <c r="BJ204" s="45">
        <f t="shared" si="153"/>
        <v>0</v>
      </c>
      <c r="BL204" s="136"/>
      <c r="BM204" s="136"/>
      <c r="BN204" s="136"/>
      <c r="BO204" s="136"/>
      <c r="BP204" s="136"/>
      <c r="BQ204" s="136"/>
      <c r="BR204" s="136"/>
      <c r="BS204" s="136"/>
      <c r="BT204" s="136"/>
      <c r="BU204" s="136"/>
      <c r="BV204" s="136"/>
      <c r="BW204" s="136"/>
      <c r="BY204" s="12"/>
      <c r="CA204" s="12"/>
      <c r="EX204" s="10" t="str">
        <f t="shared" si="151"/>
        <v/>
      </c>
    </row>
    <row r="205" spans="2:154" s="67" customFormat="1" ht="6.6" customHeight="1" x14ac:dyDescent="0.25">
      <c r="D205" s="1"/>
      <c r="T205" s="335"/>
      <c r="U205" s="335"/>
      <c r="BY205" s="42"/>
      <c r="CA205" s="42"/>
      <c r="EX205" s="10" t="str">
        <f t="shared" si="151"/>
        <v/>
      </c>
    </row>
    <row r="206" spans="2:154" s="67" customFormat="1" x14ac:dyDescent="0.25">
      <c r="D206" s="5" t="s">
        <v>540</v>
      </c>
      <c r="T206" s="335"/>
      <c r="U206" s="335"/>
      <c r="BY206" s="12"/>
      <c r="CA206" s="12"/>
      <c r="EX206" s="10" t="str">
        <f t="shared" si="151"/>
        <v/>
      </c>
    </row>
    <row r="207" spans="2:154" s="67" customFormat="1" x14ac:dyDescent="0.25">
      <c r="B207" s="5"/>
      <c r="D207" s="5" t="str">
        <f>Loans!D$11</f>
        <v>Lender</v>
      </c>
      <c r="E207" s="5" t="s">
        <v>542</v>
      </c>
      <c r="F207" s="5" t="s">
        <v>544</v>
      </c>
      <c r="T207" s="335"/>
      <c r="U207" s="335"/>
      <c r="BY207" s="12"/>
      <c r="CA207" s="12"/>
      <c r="EX207" s="10" t="str">
        <f t="shared" si="151"/>
        <v/>
      </c>
    </row>
    <row r="208" spans="2:154" s="67" customFormat="1" x14ac:dyDescent="0.25">
      <c r="B208" s="67" t="str">
        <f ca="1">Loans!B$13</f>
        <v>Loan 1</v>
      </c>
      <c r="D208" s="62" t="str">
        <f>Loans!D$13</f>
        <v>NatWest</v>
      </c>
      <c r="E208" s="159" t="str">
        <f>IF(Loans!Q$13=0, "", Loans!Q$13)</f>
        <v/>
      </c>
      <c r="F208" s="201">
        <f>_xlfn.IFNA(INDEX(Parameters!$F$73:$F$77, MATCH(Loans!R13, Parameters!$D$73:$D$77,0)), 0)</f>
        <v>0</v>
      </c>
      <c r="S208" s="279"/>
      <c r="T208" s="335"/>
      <c r="U208" s="335"/>
      <c r="V208" s="136"/>
      <c r="W208" s="136"/>
      <c r="X208" s="136"/>
      <c r="Y208" s="136"/>
      <c r="AA208" s="45">
        <f>IF(OR($F208=0,AA185=0), 0, IF(OR(AA185=1, $F208= Parameters!$F$73, MOD(AA185,$F208)=0, AA116=1), 1, 0))</f>
        <v>0</v>
      </c>
      <c r="AB208" s="45">
        <f>IF(OR($F208=0,AB185=0), 0, IF(OR(AB185=1, $F208= Parameters!$F$73, MOD(AB185,$F208)=0, AB116=1), 1, 0))</f>
        <v>0</v>
      </c>
      <c r="AC208" s="45">
        <f>IF(OR($F208=0,AC185=0), 0, IF(OR(AC185=1, $F208= Parameters!$F$73, MOD(AC185,$F208)=0, AC116=1), 1, 0))</f>
        <v>0</v>
      </c>
      <c r="AD208" s="45">
        <f>IF(OR($F208=0,AD185=0), 0, IF(OR(AD185=1, $F208= Parameters!$F$73, MOD(AD185,$F208)=0, AD116=1), 1, 0))</f>
        <v>0</v>
      </c>
      <c r="AE208" s="45">
        <f>IF(OR($F208=0,AE185=0), 0, IF(OR(AE185=1, $F208= Parameters!$F$73, MOD(AE185,$F208)=0, AE116=1), 1, 0))</f>
        <v>0</v>
      </c>
      <c r="AF208" s="45">
        <f>IF(OR($F208=0,AF185=0), 0, IF(OR(AF185=1, $F208= Parameters!$F$73, MOD(AF185,$F208)=0, AF116=1), 1, 0))</f>
        <v>0</v>
      </c>
      <c r="AG208" s="45">
        <f>IF(OR($F208=0,AG185=0), 0, IF(OR(AG185=1, $F208= Parameters!$F$73, MOD(AG185,$F208)=0, AG116=1), 1, 0))</f>
        <v>0</v>
      </c>
      <c r="AH208" s="45">
        <f>IF(OR($F208=0,AH185=0), 0, IF(OR(AH185=1, $F208= Parameters!$F$73, MOD(AH185,$F208)=0, AH116=1), 1, 0))</f>
        <v>0</v>
      </c>
      <c r="AI208" s="45">
        <f>IF(OR($F208=0,AI185=0), 0, IF(OR(AI185=1, $F208= Parameters!$F$73, MOD(AI185,$F208)=0, AI116=1), 1, 0))</f>
        <v>0</v>
      </c>
      <c r="AJ208" s="45">
        <f>IF(OR($F208=0,AJ185=0), 0, IF(OR(AJ185=1, $F208= Parameters!$F$73, MOD(AJ185,$F208)=0, AJ116=1), 1, 0))</f>
        <v>0</v>
      </c>
      <c r="AK208" s="45">
        <f>IF(OR($F208=0,AK185=0), 0, IF(OR(AK185=1, $F208= Parameters!$F$73, MOD(AK185,$F208)=0, AK116=1), 1, 0))</f>
        <v>0</v>
      </c>
      <c r="AL208" s="45">
        <f>IF(OR($F208=0,AL185=0), 0, IF(OR(AL185=1, $F208= Parameters!$F$73, MOD(AL185,$F208)=0, AL116=1), 1, 0))</f>
        <v>0</v>
      </c>
      <c r="AM208" s="45">
        <f>IF(OR($F208=0,AM185=0), 0, IF(OR(AM185=1, $F208= Parameters!$F$73, MOD(AM185,$F208)=0, AM116=1), 1, 0))</f>
        <v>0</v>
      </c>
      <c r="AN208" s="45">
        <f>IF(OR($F208=0,AN185=0), 0, IF(OR(AN185=1, $F208= Parameters!$F$73, MOD(AN185,$F208)=0, AN116=1), 1, 0))</f>
        <v>0</v>
      </c>
      <c r="AO208" s="45">
        <f>IF(OR($F208=0,AO185=0), 0, IF(OR(AO185=1, $F208= Parameters!$F$73, MOD(AO185,$F208)=0, AO116=1), 1, 0))</f>
        <v>0</v>
      </c>
      <c r="AP208" s="45">
        <f>IF(OR($F208=0,AP185=0), 0, IF(OR(AP185=1, $F208= Parameters!$F$73, MOD(AP185,$F208)=0, AP116=1), 1, 0))</f>
        <v>0</v>
      </c>
      <c r="AQ208" s="45">
        <f>IF(OR($F208=0,AQ185=0), 0, IF(OR(AQ185=1, $F208= Parameters!$F$73, MOD(AQ185,$F208)=0, AQ116=1), 1, 0))</f>
        <v>0</v>
      </c>
      <c r="AR208" s="45">
        <f>IF(OR($F208=0,AR185=0), 0, IF(OR(AR185=1, $F208= Parameters!$F$73, MOD(AR185,$F208)=0, AR116=1), 1, 0))</f>
        <v>0</v>
      </c>
      <c r="AS208" s="45">
        <f>IF(OR($F208=0,AS185=0), 0, IF(OR(AS185=1, $F208= Parameters!$F$73, MOD(AS185,$F208)=0, AS116=1), 1, 0))</f>
        <v>0</v>
      </c>
      <c r="AT208" s="45">
        <f>IF(OR($F208=0,AT185=0), 0, IF(OR(AT185=1, $F208= Parameters!$F$73, MOD(AT185,$F208)=0, AT116=1), 1, 0))</f>
        <v>0</v>
      </c>
      <c r="AU208" s="45">
        <f>IF(OR($F208=0,AU185=0), 0, IF(OR(AU185=1, $F208= Parameters!$F$73, MOD(AU185,$F208)=0, AU116=1), 1, 0))</f>
        <v>0</v>
      </c>
      <c r="AV208" s="45">
        <f>IF(OR($F208=0,AV185=0), 0, IF(OR(AV185=1, $F208= Parameters!$F$73, MOD(AV185,$F208)=0, AV116=1), 1, 0))</f>
        <v>0</v>
      </c>
      <c r="AW208" s="45">
        <f>IF(OR($F208=0,AW185=0), 0, IF(OR(AW185=1, $F208= Parameters!$F$73, MOD(AW185,$F208)=0, AW116=1), 1, 0))</f>
        <v>0</v>
      </c>
      <c r="AX208" s="45">
        <f>IF(OR($F208=0,AX185=0), 0, IF(OR(AX185=1, $F208= Parameters!$F$73, MOD(AX185,$F208)=0, AX116=1), 1, 0))</f>
        <v>0</v>
      </c>
      <c r="AY208" s="45">
        <f>IF(OR($F208=0,AY185=0), 0, IF(OR(AY185=1, $F208= Parameters!$F$73, MOD(AY185,$F208)=0, AY116=1), 1, 0))</f>
        <v>0</v>
      </c>
      <c r="AZ208" s="45">
        <f>IF(OR($F208=0,AZ185=0), 0, IF(OR(AZ185=1, $F208= Parameters!$F$73, MOD(AZ185,$F208)=0, AZ116=1), 1, 0))</f>
        <v>0</v>
      </c>
      <c r="BA208" s="45">
        <f>IF(OR($F208=0,BA185=0), 0, IF(OR(BA185=1, $F208= Parameters!$F$73, MOD(BA185,$F208)=0, BA116=1), 1, 0))</f>
        <v>0</v>
      </c>
      <c r="BB208" s="45">
        <f>IF(OR($F208=0,BB185=0), 0, IF(OR(BB185=1, $F208= Parameters!$F$73, MOD(BB185,$F208)=0, BB116=1), 1, 0))</f>
        <v>0</v>
      </c>
      <c r="BC208" s="45">
        <f>IF(OR($F208=0,BC185=0), 0, IF(OR(BC185=1, $F208= Parameters!$F$73, MOD(BC185,$F208)=0, BC116=1), 1, 0))</f>
        <v>0</v>
      </c>
      <c r="BD208" s="45">
        <f>IF(OR($F208=0,BD185=0), 0, IF(OR(BD185=1, $F208= Parameters!$F$73, MOD(BD185,$F208)=0, BD116=1), 1, 0))</f>
        <v>0</v>
      </c>
      <c r="BE208" s="45">
        <f>IF(OR($F208=0,BE185=0), 0, IF(OR(BE185=1, $F208= Parameters!$F$73, MOD(BE185,$F208)=0, BE116=1), 1, 0))</f>
        <v>0</v>
      </c>
      <c r="BF208" s="45">
        <f>IF(OR($F208=0,BF185=0), 0, IF(OR(BF185=1, $F208= Parameters!$F$73, MOD(BF185,$F208)=0, BF116=1), 1, 0))</f>
        <v>0</v>
      </c>
      <c r="BG208" s="45">
        <f>IF(OR($F208=0,BG185=0), 0, IF(OR(BG185=1, $F208= Parameters!$F$73, MOD(BG185,$F208)=0, BG116=1), 1, 0))</f>
        <v>0</v>
      </c>
      <c r="BH208" s="45">
        <f>IF(OR($F208=0,BH185=0), 0, IF(OR(BH185=1, $F208= Parameters!$F$73, MOD(BH185,$F208)=0, BH116=1), 1, 0))</f>
        <v>0</v>
      </c>
      <c r="BI208" s="45">
        <f>IF(OR($F208=0,BI185=0), 0, IF(OR(BI185=1, $F208= Parameters!$F$73, MOD(BI185,$F208)=0, BI116=1), 1, 0))</f>
        <v>0</v>
      </c>
      <c r="BJ208" s="45">
        <f>IF(OR($F208=0,BJ185=0), 0, IF(OR(BJ185=1, $F208= Parameters!$F$73, MOD(BJ185,$F208)=0, BJ116=1), 1, 0))</f>
        <v>0</v>
      </c>
      <c r="BL208" s="136"/>
      <c r="BM208" s="136"/>
      <c r="BN208" s="136"/>
      <c r="BO208" s="136"/>
      <c r="BP208" s="136"/>
      <c r="BQ208" s="136"/>
      <c r="BR208" s="136"/>
      <c r="BS208" s="136"/>
      <c r="BT208" s="136"/>
      <c r="BU208" s="136"/>
      <c r="BV208" s="136"/>
      <c r="BW208" s="136"/>
      <c r="BY208" s="12"/>
      <c r="CA208" s="12"/>
      <c r="EX208" s="10" t="str">
        <f t="shared" si="151"/>
        <v/>
      </c>
    </row>
    <row r="209" spans="1:154" s="67" customFormat="1" x14ac:dyDescent="0.25">
      <c r="B209" s="67" t="str">
        <f ca="1">Loans!B$14</f>
        <v>Loan 2</v>
      </c>
      <c r="D209" s="62" t="str">
        <f>Loans!D$14</f>
        <v>NatWest</v>
      </c>
      <c r="E209" s="159" t="str">
        <f>IF(Loans!Q$14=0, "", Loans!Q$14)</f>
        <v/>
      </c>
      <c r="F209" s="10">
        <f>_xlfn.IFNA(INDEX(Parameters!$F$73:$F$77, MATCH(Loans!R14, Parameters!$D$73:$D$77,0)), 0)</f>
        <v>0</v>
      </c>
      <c r="S209" s="279"/>
      <c r="T209" s="335"/>
      <c r="U209" s="335"/>
      <c r="V209" s="136"/>
      <c r="W209" s="136"/>
      <c r="X209" s="136"/>
      <c r="Y209" s="136"/>
      <c r="AA209" s="45">
        <f>IF(OR($F209=0,AA186=0), 0, IF(OR(AA186=1, $F209= Parameters!$F$73, MOD(AA186,$F209)=0, AA117=1), 1, 0))</f>
        <v>0</v>
      </c>
      <c r="AB209" s="45">
        <f>IF(OR($F209=0,AB186=0), 0, IF(OR(AB186=1, $F209= Parameters!$F$73, MOD(AB186,$F209)=0, AB117=1), 1, 0))</f>
        <v>0</v>
      </c>
      <c r="AC209" s="45">
        <f>IF(OR($F209=0,AC186=0), 0, IF(OR(AC186=1, $F209= Parameters!$F$73, MOD(AC186,$F209)=0, AC117=1), 1, 0))</f>
        <v>0</v>
      </c>
      <c r="AD209" s="45">
        <f>IF(OR($F209=0,AD186=0), 0, IF(OR(AD186=1, $F209= Parameters!$F$73, MOD(AD186,$F209)=0, AD117=1), 1, 0))</f>
        <v>0</v>
      </c>
      <c r="AE209" s="45">
        <f>IF(OR($F209=0,AE186=0), 0, IF(OR(AE186=1, $F209= Parameters!$F$73, MOD(AE186,$F209)=0, AE117=1), 1, 0))</f>
        <v>0</v>
      </c>
      <c r="AF209" s="45">
        <f>IF(OR($F209=0,AF186=0), 0, IF(OR(AF186=1, $F209= Parameters!$F$73, MOD(AF186,$F209)=0, AF117=1), 1, 0))</f>
        <v>0</v>
      </c>
      <c r="AG209" s="45">
        <f>IF(OR($F209=0,AG186=0), 0, IF(OR(AG186=1, $F209= Parameters!$F$73, MOD(AG186,$F209)=0, AG117=1), 1, 0))</f>
        <v>0</v>
      </c>
      <c r="AH209" s="45">
        <f>IF(OR($F209=0,AH186=0), 0, IF(OR(AH186=1, $F209= Parameters!$F$73, MOD(AH186,$F209)=0, AH117=1), 1, 0))</f>
        <v>0</v>
      </c>
      <c r="AI209" s="45">
        <f>IF(OR($F209=0,AI186=0), 0, IF(OR(AI186=1, $F209= Parameters!$F$73, MOD(AI186,$F209)=0, AI117=1), 1, 0))</f>
        <v>0</v>
      </c>
      <c r="AJ209" s="45">
        <f>IF(OR($F209=0,AJ186=0), 0, IF(OR(AJ186=1, $F209= Parameters!$F$73, MOD(AJ186,$F209)=0, AJ117=1), 1, 0))</f>
        <v>0</v>
      </c>
      <c r="AK209" s="45">
        <f>IF(OR($F209=0,AK186=0), 0, IF(OR(AK186=1, $F209= Parameters!$F$73, MOD(AK186,$F209)=0, AK117=1), 1, 0))</f>
        <v>0</v>
      </c>
      <c r="AL209" s="45">
        <f>IF(OR($F209=0,AL186=0), 0, IF(OR(AL186=1, $F209= Parameters!$F$73, MOD(AL186,$F209)=0, AL117=1), 1, 0))</f>
        <v>0</v>
      </c>
      <c r="AM209" s="45">
        <f>IF(OR($F209=0,AM186=0), 0, IF(OR(AM186=1, $F209= Parameters!$F$73, MOD(AM186,$F209)=0, AM117=1), 1, 0))</f>
        <v>0</v>
      </c>
      <c r="AN209" s="45">
        <f>IF(OR($F209=0,AN186=0), 0, IF(OR(AN186=1, $F209= Parameters!$F$73, MOD(AN186,$F209)=0, AN117=1), 1, 0))</f>
        <v>0</v>
      </c>
      <c r="AO209" s="45">
        <f>IF(OR($F209=0,AO186=0), 0, IF(OR(AO186=1, $F209= Parameters!$F$73, MOD(AO186,$F209)=0, AO117=1), 1, 0))</f>
        <v>0</v>
      </c>
      <c r="AP209" s="45">
        <f>IF(OR($F209=0,AP186=0), 0, IF(OR(AP186=1, $F209= Parameters!$F$73, MOD(AP186,$F209)=0, AP117=1), 1, 0))</f>
        <v>0</v>
      </c>
      <c r="AQ209" s="45">
        <f>IF(OR($F209=0,AQ186=0), 0, IF(OR(AQ186=1, $F209= Parameters!$F$73, MOD(AQ186,$F209)=0, AQ117=1), 1, 0))</f>
        <v>0</v>
      </c>
      <c r="AR209" s="45">
        <f>IF(OR($F209=0,AR186=0), 0, IF(OR(AR186=1, $F209= Parameters!$F$73, MOD(AR186,$F209)=0, AR117=1), 1, 0))</f>
        <v>0</v>
      </c>
      <c r="AS209" s="45">
        <f>IF(OR($F209=0,AS186=0), 0, IF(OR(AS186=1, $F209= Parameters!$F$73, MOD(AS186,$F209)=0, AS117=1), 1, 0))</f>
        <v>0</v>
      </c>
      <c r="AT209" s="45">
        <f>IF(OR($F209=0,AT186=0), 0, IF(OR(AT186=1, $F209= Parameters!$F$73, MOD(AT186,$F209)=0, AT117=1), 1, 0))</f>
        <v>0</v>
      </c>
      <c r="AU209" s="45">
        <f>IF(OR($F209=0,AU186=0), 0, IF(OR(AU186=1, $F209= Parameters!$F$73, MOD(AU186,$F209)=0, AU117=1), 1, 0))</f>
        <v>0</v>
      </c>
      <c r="AV209" s="45">
        <f>IF(OR($F209=0,AV186=0), 0, IF(OR(AV186=1, $F209= Parameters!$F$73, MOD(AV186,$F209)=0, AV117=1), 1, 0))</f>
        <v>0</v>
      </c>
      <c r="AW209" s="45">
        <f>IF(OR($F209=0,AW186=0), 0, IF(OR(AW186=1, $F209= Parameters!$F$73, MOD(AW186,$F209)=0, AW117=1), 1, 0))</f>
        <v>0</v>
      </c>
      <c r="AX209" s="45">
        <f>IF(OR($F209=0,AX186=0), 0, IF(OR(AX186=1, $F209= Parameters!$F$73, MOD(AX186,$F209)=0, AX117=1), 1, 0))</f>
        <v>0</v>
      </c>
      <c r="AY209" s="45">
        <f>IF(OR($F209=0,AY186=0), 0, IF(OR(AY186=1, $F209= Parameters!$F$73, MOD(AY186,$F209)=0, AY117=1), 1, 0))</f>
        <v>0</v>
      </c>
      <c r="AZ209" s="45">
        <f>IF(OR($F209=0,AZ186=0), 0, IF(OR(AZ186=1, $F209= Parameters!$F$73, MOD(AZ186,$F209)=0, AZ117=1), 1, 0))</f>
        <v>0</v>
      </c>
      <c r="BA209" s="45">
        <f>IF(OR($F209=0,BA186=0), 0, IF(OR(BA186=1, $F209= Parameters!$F$73, MOD(BA186,$F209)=0, BA117=1), 1, 0))</f>
        <v>0</v>
      </c>
      <c r="BB209" s="45">
        <f>IF(OR($F209=0,BB186=0), 0, IF(OR(BB186=1, $F209= Parameters!$F$73, MOD(BB186,$F209)=0, BB117=1), 1, 0))</f>
        <v>0</v>
      </c>
      <c r="BC209" s="45">
        <f>IF(OR($F209=0,BC186=0), 0, IF(OR(BC186=1, $F209= Parameters!$F$73, MOD(BC186,$F209)=0, BC117=1), 1, 0))</f>
        <v>0</v>
      </c>
      <c r="BD209" s="45">
        <f>IF(OR($F209=0,BD186=0), 0, IF(OR(BD186=1, $F209= Parameters!$F$73, MOD(BD186,$F209)=0, BD117=1), 1, 0))</f>
        <v>0</v>
      </c>
      <c r="BE209" s="45">
        <f>IF(OR($F209=0,BE186=0), 0, IF(OR(BE186=1, $F209= Parameters!$F$73, MOD(BE186,$F209)=0, BE117=1), 1, 0))</f>
        <v>0</v>
      </c>
      <c r="BF209" s="45">
        <f>IF(OR($F209=0,BF186=0), 0, IF(OR(BF186=1, $F209= Parameters!$F$73, MOD(BF186,$F209)=0, BF117=1), 1, 0))</f>
        <v>0</v>
      </c>
      <c r="BG209" s="45">
        <f>IF(OR($F209=0,BG186=0), 0, IF(OR(BG186=1, $F209= Parameters!$F$73, MOD(BG186,$F209)=0, BG117=1), 1, 0))</f>
        <v>0</v>
      </c>
      <c r="BH209" s="45">
        <f>IF(OR($F209=0,BH186=0), 0, IF(OR(BH186=1, $F209= Parameters!$F$73, MOD(BH186,$F209)=0, BH117=1), 1, 0))</f>
        <v>0</v>
      </c>
      <c r="BI209" s="45">
        <f>IF(OR($F209=0,BI186=0), 0, IF(OR(BI186=1, $F209= Parameters!$F$73, MOD(BI186,$F209)=0, BI117=1), 1, 0))</f>
        <v>0</v>
      </c>
      <c r="BJ209" s="45">
        <f>IF(OR($F209=0,BJ186=0), 0, IF(OR(BJ186=1, $F209= Parameters!$F$73, MOD(BJ186,$F209)=0, BJ117=1), 1, 0))</f>
        <v>0</v>
      </c>
      <c r="BL209" s="136"/>
      <c r="BM209" s="136"/>
      <c r="BN209" s="136"/>
      <c r="BO209" s="136"/>
      <c r="BP209" s="136"/>
      <c r="BQ209" s="136"/>
      <c r="BR209" s="136"/>
      <c r="BS209" s="136"/>
      <c r="BT209" s="136"/>
      <c r="BU209" s="136"/>
      <c r="BV209" s="136"/>
      <c r="BW209" s="136"/>
      <c r="BY209" s="12"/>
      <c r="CA209" s="12"/>
      <c r="EX209" s="10" t="str">
        <f t="shared" si="151"/>
        <v/>
      </c>
    </row>
    <row r="210" spans="1:154" s="67" customFormat="1" x14ac:dyDescent="0.25">
      <c r="B210" s="67" t="str">
        <f ca="1">Loans!B$15</f>
        <v>Loan 3</v>
      </c>
      <c r="D210" s="62" t="str">
        <f>Loans!D$15</f>
        <v>NatWest</v>
      </c>
      <c r="E210" s="159" t="str">
        <f>IF(Loans!Q$15=0, "", Loans!Q$15)</f>
        <v/>
      </c>
      <c r="F210" s="10">
        <f>_xlfn.IFNA(INDEX(Parameters!$F$73:$F$77, MATCH(Loans!R15, Parameters!$D$73:$D$77,0)), 0)</f>
        <v>0</v>
      </c>
      <c r="S210" s="279"/>
      <c r="T210" s="335"/>
      <c r="U210" s="335"/>
      <c r="V210" s="136"/>
      <c r="W210" s="136"/>
      <c r="X210" s="136"/>
      <c r="Y210" s="136"/>
      <c r="AA210" s="45">
        <f>IF(OR($F210=0,AA187=0), 0, IF(OR(AA187=1, $F210= Parameters!$F$73, MOD(AA187,$F210)=0, AA118=1), 1, 0))</f>
        <v>0</v>
      </c>
      <c r="AB210" s="45">
        <f>IF(OR($F210=0,AB187=0), 0, IF(OR(AB187=1, $F210= Parameters!$F$73, MOD(AB187,$F210)=0, AB118=1), 1, 0))</f>
        <v>0</v>
      </c>
      <c r="AC210" s="45">
        <f>IF(OR($F210=0,AC187=0), 0, IF(OR(AC187=1, $F210= Parameters!$F$73, MOD(AC187,$F210)=0, AC118=1), 1, 0))</f>
        <v>0</v>
      </c>
      <c r="AD210" s="45">
        <f>IF(OR($F210=0,AD187=0), 0, IF(OR(AD187=1, $F210= Parameters!$F$73, MOD(AD187,$F210)=0, AD118=1), 1, 0))</f>
        <v>0</v>
      </c>
      <c r="AE210" s="45">
        <f>IF(OR($F210=0,AE187=0), 0, IF(OR(AE187=1, $F210= Parameters!$F$73, MOD(AE187,$F210)=0, AE118=1), 1, 0))</f>
        <v>0</v>
      </c>
      <c r="AF210" s="45">
        <f>IF(OR($F210=0,AF187=0), 0, IF(OR(AF187=1, $F210= Parameters!$F$73, MOD(AF187,$F210)=0, AF118=1), 1, 0))</f>
        <v>0</v>
      </c>
      <c r="AG210" s="45">
        <f>IF(OR($F210=0,AG187=0), 0, IF(OR(AG187=1, $F210= Parameters!$F$73, MOD(AG187,$F210)=0, AG118=1), 1, 0))</f>
        <v>0</v>
      </c>
      <c r="AH210" s="45">
        <f>IF(OR($F210=0,AH187=0), 0, IF(OR(AH187=1, $F210= Parameters!$F$73, MOD(AH187,$F210)=0, AH118=1), 1, 0))</f>
        <v>0</v>
      </c>
      <c r="AI210" s="45">
        <f>IF(OR($F210=0,AI187=0), 0, IF(OR(AI187=1, $F210= Parameters!$F$73, MOD(AI187,$F210)=0, AI118=1), 1, 0))</f>
        <v>0</v>
      </c>
      <c r="AJ210" s="45">
        <f>IF(OR($F210=0,AJ187=0), 0, IF(OR(AJ187=1, $F210= Parameters!$F$73, MOD(AJ187,$F210)=0, AJ118=1), 1, 0))</f>
        <v>0</v>
      </c>
      <c r="AK210" s="45">
        <f>IF(OR($F210=0,AK187=0), 0, IF(OR(AK187=1, $F210= Parameters!$F$73, MOD(AK187,$F210)=0, AK118=1), 1, 0))</f>
        <v>0</v>
      </c>
      <c r="AL210" s="45">
        <f>IF(OR($F210=0,AL187=0), 0, IF(OR(AL187=1, $F210= Parameters!$F$73, MOD(AL187,$F210)=0, AL118=1), 1, 0))</f>
        <v>0</v>
      </c>
      <c r="AM210" s="45">
        <f>IF(OR($F210=0,AM187=0), 0, IF(OR(AM187=1, $F210= Parameters!$F$73, MOD(AM187,$F210)=0, AM118=1), 1, 0))</f>
        <v>0</v>
      </c>
      <c r="AN210" s="45">
        <f>IF(OR($F210=0,AN187=0), 0, IF(OR(AN187=1, $F210= Parameters!$F$73, MOD(AN187,$F210)=0, AN118=1), 1, 0))</f>
        <v>0</v>
      </c>
      <c r="AO210" s="45">
        <f>IF(OR($F210=0,AO187=0), 0, IF(OR(AO187=1, $F210= Parameters!$F$73, MOD(AO187,$F210)=0, AO118=1), 1, 0))</f>
        <v>0</v>
      </c>
      <c r="AP210" s="45">
        <f>IF(OR($F210=0,AP187=0), 0, IF(OR(AP187=1, $F210= Parameters!$F$73, MOD(AP187,$F210)=0, AP118=1), 1, 0))</f>
        <v>0</v>
      </c>
      <c r="AQ210" s="45">
        <f>IF(OR($F210=0,AQ187=0), 0, IF(OR(AQ187=1, $F210= Parameters!$F$73, MOD(AQ187,$F210)=0, AQ118=1), 1, 0))</f>
        <v>0</v>
      </c>
      <c r="AR210" s="45">
        <f>IF(OR($F210=0,AR187=0), 0, IF(OR(AR187=1, $F210= Parameters!$F$73, MOD(AR187,$F210)=0, AR118=1), 1, 0))</f>
        <v>0</v>
      </c>
      <c r="AS210" s="45">
        <f>IF(OR($F210=0,AS187=0), 0, IF(OR(AS187=1, $F210= Parameters!$F$73, MOD(AS187,$F210)=0, AS118=1), 1, 0))</f>
        <v>0</v>
      </c>
      <c r="AT210" s="45">
        <f>IF(OR($F210=0,AT187=0), 0, IF(OR(AT187=1, $F210= Parameters!$F$73, MOD(AT187,$F210)=0, AT118=1), 1, 0))</f>
        <v>0</v>
      </c>
      <c r="AU210" s="45">
        <f>IF(OR($F210=0,AU187=0), 0, IF(OR(AU187=1, $F210= Parameters!$F$73, MOD(AU187,$F210)=0, AU118=1), 1, 0))</f>
        <v>0</v>
      </c>
      <c r="AV210" s="45">
        <f>IF(OR($F210=0,AV187=0), 0, IF(OR(AV187=1, $F210= Parameters!$F$73, MOD(AV187,$F210)=0, AV118=1), 1, 0))</f>
        <v>0</v>
      </c>
      <c r="AW210" s="45">
        <f>IF(OR($F210=0,AW187=0), 0, IF(OR(AW187=1, $F210= Parameters!$F$73, MOD(AW187,$F210)=0, AW118=1), 1, 0))</f>
        <v>0</v>
      </c>
      <c r="AX210" s="45">
        <f>IF(OR($F210=0,AX187=0), 0, IF(OR(AX187=1, $F210= Parameters!$F$73, MOD(AX187,$F210)=0, AX118=1), 1, 0))</f>
        <v>0</v>
      </c>
      <c r="AY210" s="45">
        <f>IF(OR($F210=0,AY187=0), 0, IF(OR(AY187=1, $F210= Parameters!$F$73, MOD(AY187,$F210)=0, AY118=1), 1, 0))</f>
        <v>0</v>
      </c>
      <c r="AZ210" s="45">
        <f>IF(OR($F210=0,AZ187=0), 0, IF(OR(AZ187=1, $F210= Parameters!$F$73, MOD(AZ187,$F210)=0, AZ118=1), 1, 0))</f>
        <v>0</v>
      </c>
      <c r="BA210" s="45">
        <f>IF(OR($F210=0,BA187=0), 0, IF(OR(BA187=1, $F210= Parameters!$F$73, MOD(BA187,$F210)=0, BA118=1), 1, 0))</f>
        <v>0</v>
      </c>
      <c r="BB210" s="45">
        <f>IF(OR($F210=0,BB187=0), 0, IF(OR(BB187=1, $F210= Parameters!$F$73, MOD(BB187,$F210)=0, BB118=1), 1, 0))</f>
        <v>0</v>
      </c>
      <c r="BC210" s="45">
        <f>IF(OR($F210=0,BC187=0), 0, IF(OR(BC187=1, $F210= Parameters!$F$73, MOD(BC187,$F210)=0, BC118=1), 1, 0))</f>
        <v>0</v>
      </c>
      <c r="BD210" s="45">
        <f>IF(OR($F210=0,BD187=0), 0, IF(OR(BD187=1, $F210= Parameters!$F$73, MOD(BD187,$F210)=0, BD118=1), 1, 0))</f>
        <v>0</v>
      </c>
      <c r="BE210" s="45">
        <f>IF(OR($F210=0,BE187=0), 0, IF(OR(BE187=1, $F210= Parameters!$F$73, MOD(BE187,$F210)=0, BE118=1), 1, 0))</f>
        <v>0</v>
      </c>
      <c r="BF210" s="45">
        <f>IF(OR($F210=0,BF187=0), 0, IF(OR(BF187=1, $F210= Parameters!$F$73, MOD(BF187,$F210)=0, BF118=1), 1, 0))</f>
        <v>0</v>
      </c>
      <c r="BG210" s="45">
        <f>IF(OR($F210=0,BG187=0), 0, IF(OR(BG187=1, $F210= Parameters!$F$73, MOD(BG187,$F210)=0, BG118=1), 1, 0))</f>
        <v>0</v>
      </c>
      <c r="BH210" s="45">
        <f>IF(OR($F210=0,BH187=0), 0, IF(OR(BH187=1, $F210= Parameters!$F$73, MOD(BH187,$F210)=0, BH118=1), 1, 0))</f>
        <v>0</v>
      </c>
      <c r="BI210" s="45">
        <f>IF(OR($F210=0,BI187=0), 0, IF(OR(BI187=1, $F210= Parameters!$F$73, MOD(BI187,$F210)=0, BI118=1), 1, 0))</f>
        <v>0</v>
      </c>
      <c r="BJ210" s="45">
        <f>IF(OR($F210=0,BJ187=0), 0, IF(OR(BJ187=1, $F210= Parameters!$F$73, MOD(BJ187,$F210)=0, BJ118=1), 1, 0))</f>
        <v>0</v>
      </c>
      <c r="BL210" s="136"/>
      <c r="BM210" s="136"/>
      <c r="BN210" s="136"/>
      <c r="BO210" s="136"/>
      <c r="BP210" s="136"/>
      <c r="BQ210" s="136"/>
      <c r="BR210" s="136"/>
      <c r="BS210" s="136"/>
      <c r="BT210" s="136"/>
      <c r="BU210" s="136"/>
      <c r="BV210" s="136"/>
      <c r="BW210" s="136"/>
      <c r="BY210" s="12"/>
      <c r="CA210" s="12"/>
      <c r="EX210" s="10" t="str">
        <f t="shared" si="151"/>
        <v/>
      </c>
    </row>
    <row r="211" spans="1:154" s="67" customFormat="1" x14ac:dyDescent="0.25">
      <c r="B211" s="67" t="str">
        <f ca="1">Loans!B$16</f>
        <v>Loan 4</v>
      </c>
      <c r="D211" s="62" t="str">
        <f>Loans!D$16</f>
        <v>NatWest</v>
      </c>
      <c r="E211" s="159" t="str">
        <f>IF(Loans!Q$16=0, "", Loans!Q$16)</f>
        <v/>
      </c>
      <c r="F211" s="10">
        <f>_xlfn.IFNA(INDEX(Parameters!$F$73:$F$77, MATCH(Loans!R16, Parameters!$D$73:$D$77,0)), 0)</f>
        <v>0</v>
      </c>
      <c r="S211" s="279"/>
      <c r="T211" s="335"/>
      <c r="U211" s="335"/>
      <c r="V211" s="136"/>
      <c r="W211" s="136"/>
      <c r="X211" s="136"/>
      <c r="Y211" s="136"/>
      <c r="AA211" s="45">
        <f>IF(OR($F211=0,AA188=0), 0, IF(OR(AA188=1, $F211= Parameters!$F$73, MOD(AA188,$F211)=0, AA119=1), 1, 0))</f>
        <v>0</v>
      </c>
      <c r="AB211" s="45">
        <f>IF(OR($F211=0,AB188=0), 0, IF(OR(AB188=1, $F211= Parameters!$F$73, MOD(AB188,$F211)=0, AB119=1), 1, 0))</f>
        <v>0</v>
      </c>
      <c r="AC211" s="45">
        <f>IF(OR($F211=0,AC188=0), 0, IF(OR(AC188=1, $F211= Parameters!$F$73, MOD(AC188,$F211)=0, AC119=1), 1, 0))</f>
        <v>0</v>
      </c>
      <c r="AD211" s="45">
        <f>IF(OR($F211=0,AD188=0), 0, IF(OR(AD188=1, $F211= Parameters!$F$73, MOD(AD188,$F211)=0, AD119=1), 1, 0))</f>
        <v>0</v>
      </c>
      <c r="AE211" s="45">
        <f>IF(OR($F211=0,AE188=0), 0, IF(OR(AE188=1, $F211= Parameters!$F$73, MOD(AE188,$F211)=0, AE119=1), 1, 0))</f>
        <v>0</v>
      </c>
      <c r="AF211" s="45">
        <f>IF(OR($F211=0,AF188=0), 0, IF(OR(AF188=1, $F211= Parameters!$F$73, MOD(AF188,$F211)=0, AF119=1), 1, 0))</f>
        <v>0</v>
      </c>
      <c r="AG211" s="45">
        <f>IF(OR($F211=0,AG188=0), 0, IF(OR(AG188=1, $F211= Parameters!$F$73, MOD(AG188,$F211)=0, AG119=1), 1, 0))</f>
        <v>0</v>
      </c>
      <c r="AH211" s="45">
        <f>IF(OR($F211=0,AH188=0), 0, IF(OR(AH188=1, $F211= Parameters!$F$73, MOD(AH188,$F211)=0, AH119=1), 1, 0))</f>
        <v>0</v>
      </c>
      <c r="AI211" s="45">
        <f>IF(OR($F211=0,AI188=0), 0, IF(OR(AI188=1, $F211= Parameters!$F$73, MOD(AI188,$F211)=0, AI119=1), 1, 0))</f>
        <v>0</v>
      </c>
      <c r="AJ211" s="45">
        <f>IF(OR($F211=0,AJ188=0), 0, IF(OR(AJ188=1, $F211= Parameters!$F$73, MOD(AJ188,$F211)=0, AJ119=1), 1, 0))</f>
        <v>0</v>
      </c>
      <c r="AK211" s="45">
        <f>IF(OR($F211=0,AK188=0), 0, IF(OR(AK188=1, $F211= Parameters!$F$73, MOD(AK188,$F211)=0, AK119=1), 1, 0))</f>
        <v>0</v>
      </c>
      <c r="AL211" s="45">
        <f>IF(OR($F211=0,AL188=0), 0, IF(OR(AL188=1, $F211= Parameters!$F$73, MOD(AL188,$F211)=0, AL119=1), 1, 0))</f>
        <v>0</v>
      </c>
      <c r="AM211" s="45">
        <f>IF(OR($F211=0,AM188=0), 0, IF(OR(AM188=1, $F211= Parameters!$F$73, MOD(AM188,$F211)=0, AM119=1), 1, 0))</f>
        <v>0</v>
      </c>
      <c r="AN211" s="45">
        <f>IF(OR($F211=0,AN188=0), 0, IF(OR(AN188=1, $F211= Parameters!$F$73, MOD(AN188,$F211)=0, AN119=1), 1, 0))</f>
        <v>0</v>
      </c>
      <c r="AO211" s="45">
        <f>IF(OR($F211=0,AO188=0), 0, IF(OR(AO188=1, $F211= Parameters!$F$73, MOD(AO188,$F211)=0, AO119=1), 1, 0))</f>
        <v>0</v>
      </c>
      <c r="AP211" s="45">
        <f>IF(OR($F211=0,AP188=0), 0, IF(OR(AP188=1, $F211= Parameters!$F$73, MOD(AP188,$F211)=0, AP119=1), 1, 0))</f>
        <v>0</v>
      </c>
      <c r="AQ211" s="45">
        <f>IF(OR($F211=0,AQ188=0), 0, IF(OR(AQ188=1, $F211= Parameters!$F$73, MOD(AQ188,$F211)=0, AQ119=1), 1, 0))</f>
        <v>0</v>
      </c>
      <c r="AR211" s="45">
        <f>IF(OR($F211=0,AR188=0), 0, IF(OR(AR188=1, $F211= Parameters!$F$73, MOD(AR188,$F211)=0, AR119=1), 1, 0))</f>
        <v>0</v>
      </c>
      <c r="AS211" s="45">
        <f>IF(OR($F211=0,AS188=0), 0, IF(OR(AS188=1, $F211= Parameters!$F$73, MOD(AS188,$F211)=0, AS119=1), 1, 0))</f>
        <v>0</v>
      </c>
      <c r="AT211" s="45">
        <f>IF(OR($F211=0,AT188=0), 0, IF(OR(AT188=1, $F211= Parameters!$F$73, MOD(AT188,$F211)=0, AT119=1), 1, 0))</f>
        <v>0</v>
      </c>
      <c r="AU211" s="45">
        <f>IF(OR($F211=0,AU188=0), 0, IF(OR(AU188=1, $F211= Parameters!$F$73, MOD(AU188,$F211)=0, AU119=1), 1, 0))</f>
        <v>0</v>
      </c>
      <c r="AV211" s="45">
        <f>IF(OR($F211=0,AV188=0), 0, IF(OR(AV188=1, $F211= Parameters!$F$73, MOD(AV188,$F211)=0, AV119=1), 1, 0))</f>
        <v>0</v>
      </c>
      <c r="AW211" s="45">
        <f>IF(OR($F211=0,AW188=0), 0, IF(OR(AW188=1, $F211= Parameters!$F$73, MOD(AW188,$F211)=0, AW119=1), 1, 0))</f>
        <v>0</v>
      </c>
      <c r="AX211" s="45">
        <f>IF(OR($F211=0,AX188=0), 0, IF(OR(AX188=1, $F211= Parameters!$F$73, MOD(AX188,$F211)=0, AX119=1), 1, 0))</f>
        <v>0</v>
      </c>
      <c r="AY211" s="45">
        <f>IF(OR($F211=0,AY188=0), 0, IF(OR(AY188=1, $F211= Parameters!$F$73, MOD(AY188,$F211)=0, AY119=1), 1, 0))</f>
        <v>0</v>
      </c>
      <c r="AZ211" s="45">
        <f>IF(OR($F211=0,AZ188=0), 0, IF(OR(AZ188=1, $F211= Parameters!$F$73, MOD(AZ188,$F211)=0, AZ119=1), 1, 0))</f>
        <v>0</v>
      </c>
      <c r="BA211" s="45">
        <f>IF(OR($F211=0,BA188=0), 0, IF(OR(BA188=1, $F211= Parameters!$F$73, MOD(BA188,$F211)=0, BA119=1), 1, 0))</f>
        <v>0</v>
      </c>
      <c r="BB211" s="45">
        <f>IF(OR($F211=0,BB188=0), 0, IF(OR(BB188=1, $F211= Parameters!$F$73, MOD(BB188,$F211)=0, BB119=1), 1, 0))</f>
        <v>0</v>
      </c>
      <c r="BC211" s="45">
        <f>IF(OR($F211=0,BC188=0), 0, IF(OR(BC188=1, $F211= Parameters!$F$73, MOD(BC188,$F211)=0, BC119=1), 1, 0))</f>
        <v>0</v>
      </c>
      <c r="BD211" s="45">
        <f>IF(OR($F211=0,BD188=0), 0, IF(OR(BD188=1, $F211= Parameters!$F$73, MOD(BD188,$F211)=0, BD119=1), 1, 0))</f>
        <v>0</v>
      </c>
      <c r="BE211" s="45">
        <f>IF(OR($F211=0,BE188=0), 0, IF(OR(BE188=1, $F211= Parameters!$F$73, MOD(BE188,$F211)=0, BE119=1), 1, 0))</f>
        <v>0</v>
      </c>
      <c r="BF211" s="45">
        <f>IF(OR($F211=0,BF188=0), 0, IF(OR(BF188=1, $F211= Parameters!$F$73, MOD(BF188,$F211)=0, BF119=1), 1, 0))</f>
        <v>0</v>
      </c>
      <c r="BG211" s="45">
        <f>IF(OR($F211=0,BG188=0), 0, IF(OR(BG188=1, $F211= Parameters!$F$73, MOD(BG188,$F211)=0, BG119=1), 1, 0))</f>
        <v>0</v>
      </c>
      <c r="BH211" s="45">
        <f>IF(OR($F211=0,BH188=0), 0, IF(OR(BH188=1, $F211= Parameters!$F$73, MOD(BH188,$F211)=0, BH119=1), 1, 0))</f>
        <v>0</v>
      </c>
      <c r="BI211" s="45">
        <f>IF(OR($F211=0,BI188=0), 0, IF(OR(BI188=1, $F211= Parameters!$F$73, MOD(BI188,$F211)=0, BI119=1), 1, 0))</f>
        <v>0</v>
      </c>
      <c r="BJ211" s="45">
        <f>IF(OR($F211=0,BJ188=0), 0, IF(OR(BJ188=1, $F211= Parameters!$F$73, MOD(BJ188,$F211)=0, BJ119=1), 1, 0))</f>
        <v>0</v>
      </c>
      <c r="BL211" s="136"/>
      <c r="BM211" s="136"/>
      <c r="BN211" s="136"/>
      <c r="BO211" s="136"/>
      <c r="BP211" s="136"/>
      <c r="BQ211" s="136"/>
      <c r="BR211" s="136"/>
      <c r="BS211" s="136"/>
      <c r="BT211" s="136"/>
      <c r="BU211" s="136"/>
      <c r="BV211" s="136"/>
      <c r="BW211" s="136"/>
      <c r="BY211" s="12"/>
      <c r="CA211" s="12"/>
      <c r="EX211" s="10" t="str">
        <f t="shared" si="151"/>
        <v/>
      </c>
    </row>
    <row r="212" spans="1:154" s="67" customFormat="1" x14ac:dyDescent="0.25">
      <c r="B212" s="67" t="str">
        <f ca="1">Loans!B$17</f>
        <v>Loan 5</v>
      </c>
      <c r="D212" s="62" t="str">
        <f>Loans!D$17</f>
        <v>NatWest</v>
      </c>
      <c r="E212" s="159" t="str">
        <f>IF(Loans!Q$17=0, "", Loans!Q$17)</f>
        <v/>
      </c>
      <c r="F212" s="10">
        <f>_xlfn.IFNA(INDEX(Parameters!$F$73:$F$77, MATCH(Loans!R17, Parameters!$D$73:$D$77,0)), 0)</f>
        <v>0</v>
      </c>
      <c r="S212" s="279"/>
      <c r="T212" s="335"/>
      <c r="U212" s="335"/>
      <c r="V212" s="136"/>
      <c r="W212" s="136"/>
      <c r="X212" s="136"/>
      <c r="Y212" s="136"/>
      <c r="AA212" s="45">
        <f>IF(OR($F212=0,AA189=0), 0, IF(OR(AA189=1, $F212= Parameters!$F$73, MOD(AA189,$F212)=0, AA120=1), 1, 0))</f>
        <v>0</v>
      </c>
      <c r="AB212" s="45">
        <f>IF(OR($F212=0,AB189=0), 0, IF(OR(AB189=1, $F212= Parameters!$F$73, MOD(AB189,$F212)=0, AB120=1), 1, 0))</f>
        <v>0</v>
      </c>
      <c r="AC212" s="45">
        <f>IF(OR($F212=0,AC189=0), 0, IF(OR(AC189=1, $F212= Parameters!$F$73, MOD(AC189,$F212)=0, AC120=1), 1, 0))</f>
        <v>0</v>
      </c>
      <c r="AD212" s="45">
        <f>IF(OR($F212=0,AD189=0), 0, IF(OR(AD189=1, $F212= Parameters!$F$73, MOD(AD189,$F212)=0, AD120=1), 1, 0))</f>
        <v>0</v>
      </c>
      <c r="AE212" s="45">
        <f>IF(OR($F212=0,AE189=0), 0, IF(OR(AE189=1, $F212= Parameters!$F$73, MOD(AE189,$F212)=0, AE120=1), 1, 0))</f>
        <v>0</v>
      </c>
      <c r="AF212" s="45">
        <f>IF(OR($F212=0,AF189=0), 0, IF(OR(AF189=1, $F212= Parameters!$F$73, MOD(AF189,$F212)=0, AF120=1), 1, 0))</f>
        <v>0</v>
      </c>
      <c r="AG212" s="45">
        <f>IF(OR($F212=0,AG189=0), 0, IF(OR(AG189=1, $F212= Parameters!$F$73, MOD(AG189,$F212)=0, AG120=1), 1, 0))</f>
        <v>0</v>
      </c>
      <c r="AH212" s="45">
        <f>IF(OR($F212=0,AH189=0), 0, IF(OR(AH189=1, $F212= Parameters!$F$73, MOD(AH189,$F212)=0, AH120=1), 1, 0))</f>
        <v>0</v>
      </c>
      <c r="AI212" s="45">
        <f>IF(OR($F212=0,AI189=0), 0, IF(OR(AI189=1, $F212= Parameters!$F$73, MOD(AI189,$F212)=0, AI120=1), 1, 0))</f>
        <v>0</v>
      </c>
      <c r="AJ212" s="45">
        <f>IF(OR($F212=0,AJ189=0), 0, IF(OR(AJ189=1, $F212= Parameters!$F$73, MOD(AJ189,$F212)=0, AJ120=1), 1, 0))</f>
        <v>0</v>
      </c>
      <c r="AK212" s="45">
        <f>IF(OR($F212=0,AK189=0), 0, IF(OR(AK189=1, $F212= Parameters!$F$73, MOD(AK189,$F212)=0, AK120=1), 1, 0))</f>
        <v>0</v>
      </c>
      <c r="AL212" s="45">
        <f>IF(OR($F212=0,AL189=0), 0, IF(OR(AL189=1, $F212= Parameters!$F$73, MOD(AL189,$F212)=0, AL120=1), 1, 0))</f>
        <v>0</v>
      </c>
      <c r="AM212" s="45">
        <f>IF(OR($F212=0,AM189=0), 0, IF(OR(AM189=1, $F212= Parameters!$F$73, MOD(AM189,$F212)=0, AM120=1), 1, 0))</f>
        <v>0</v>
      </c>
      <c r="AN212" s="45">
        <f>IF(OR($F212=0,AN189=0), 0, IF(OR(AN189=1, $F212= Parameters!$F$73, MOD(AN189,$F212)=0, AN120=1), 1, 0))</f>
        <v>0</v>
      </c>
      <c r="AO212" s="45">
        <f>IF(OR($F212=0,AO189=0), 0, IF(OR(AO189=1, $F212= Parameters!$F$73, MOD(AO189,$F212)=0, AO120=1), 1, 0))</f>
        <v>0</v>
      </c>
      <c r="AP212" s="45">
        <f>IF(OR($F212=0,AP189=0), 0, IF(OR(AP189=1, $F212= Parameters!$F$73, MOD(AP189,$F212)=0, AP120=1), 1, 0))</f>
        <v>0</v>
      </c>
      <c r="AQ212" s="45">
        <f>IF(OR($F212=0,AQ189=0), 0, IF(OR(AQ189=1, $F212= Parameters!$F$73, MOD(AQ189,$F212)=0, AQ120=1), 1, 0))</f>
        <v>0</v>
      </c>
      <c r="AR212" s="45">
        <f>IF(OR($F212=0,AR189=0), 0, IF(OR(AR189=1, $F212= Parameters!$F$73, MOD(AR189,$F212)=0, AR120=1), 1, 0))</f>
        <v>0</v>
      </c>
      <c r="AS212" s="45">
        <f>IF(OR($F212=0,AS189=0), 0, IF(OR(AS189=1, $F212= Parameters!$F$73, MOD(AS189,$F212)=0, AS120=1), 1, 0))</f>
        <v>0</v>
      </c>
      <c r="AT212" s="45">
        <f>IF(OR($F212=0,AT189=0), 0, IF(OR(AT189=1, $F212= Parameters!$F$73, MOD(AT189,$F212)=0, AT120=1), 1, 0))</f>
        <v>0</v>
      </c>
      <c r="AU212" s="45">
        <f>IF(OR($F212=0,AU189=0), 0, IF(OR(AU189=1, $F212= Parameters!$F$73, MOD(AU189,$F212)=0, AU120=1), 1, 0))</f>
        <v>0</v>
      </c>
      <c r="AV212" s="45">
        <f>IF(OR($F212=0,AV189=0), 0, IF(OR(AV189=1, $F212= Parameters!$F$73, MOD(AV189,$F212)=0, AV120=1), 1, 0))</f>
        <v>0</v>
      </c>
      <c r="AW212" s="45">
        <f>IF(OR($F212=0,AW189=0), 0, IF(OR(AW189=1, $F212= Parameters!$F$73, MOD(AW189,$F212)=0, AW120=1), 1, 0))</f>
        <v>0</v>
      </c>
      <c r="AX212" s="45">
        <f>IF(OR($F212=0,AX189=0), 0, IF(OR(AX189=1, $F212= Parameters!$F$73, MOD(AX189,$F212)=0, AX120=1), 1, 0))</f>
        <v>0</v>
      </c>
      <c r="AY212" s="45">
        <f>IF(OR($F212=0,AY189=0), 0, IF(OR(AY189=1, $F212= Parameters!$F$73, MOD(AY189,$F212)=0, AY120=1), 1, 0))</f>
        <v>0</v>
      </c>
      <c r="AZ212" s="45">
        <f>IF(OR($F212=0,AZ189=0), 0, IF(OR(AZ189=1, $F212= Parameters!$F$73, MOD(AZ189,$F212)=0, AZ120=1), 1, 0))</f>
        <v>0</v>
      </c>
      <c r="BA212" s="45">
        <f>IF(OR($F212=0,BA189=0), 0, IF(OR(BA189=1, $F212= Parameters!$F$73, MOD(BA189,$F212)=0, BA120=1), 1, 0))</f>
        <v>0</v>
      </c>
      <c r="BB212" s="45">
        <f>IF(OR($F212=0,BB189=0), 0, IF(OR(BB189=1, $F212= Parameters!$F$73, MOD(BB189,$F212)=0, BB120=1), 1, 0))</f>
        <v>0</v>
      </c>
      <c r="BC212" s="45">
        <f>IF(OR($F212=0,BC189=0), 0, IF(OR(BC189=1, $F212= Parameters!$F$73, MOD(BC189,$F212)=0, BC120=1), 1, 0))</f>
        <v>0</v>
      </c>
      <c r="BD212" s="45">
        <f>IF(OR($F212=0,BD189=0), 0, IF(OR(BD189=1, $F212= Parameters!$F$73, MOD(BD189,$F212)=0, BD120=1), 1, 0))</f>
        <v>0</v>
      </c>
      <c r="BE212" s="45">
        <f>IF(OR($F212=0,BE189=0), 0, IF(OR(BE189=1, $F212= Parameters!$F$73, MOD(BE189,$F212)=0, BE120=1), 1, 0))</f>
        <v>0</v>
      </c>
      <c r="BF212" s="45">
        <f>IF(OR($F212=0,BF189=0), 0, IF(OR(BF189=1, $F212= Parameters!$F$73, MOD(BF189,$F212)=0, BF120=1), 1, 0))</f>
        <v>0</v>
      </c>
      <c r="BG212" s="45">
        <f>IF(OR($F212=0,BG189=0), 0, IF(OR(BG189=1, $F212= Parameters!$F$73, MOD(BG189,$F212)=0, BG120=1), 1, 0))</f>
        <v>0</v>
      </c>
      <c r="BH212" s="45">
        <f>IF(OR($F212=0,BH189=0), 0, IF(OR(BH189=1, $F212= Parameters!$F$73, MOD(BH189,$F212)=0, BH120=1), 1, 0))</f>
        <v>0</v>
      </c>
      <c r="BI212" s="45">
        <f>IF(OR($F212=0,BI189=0), 0, IF(OR(BI189=1, $F212= Parameters!$F$73, MOD(BI189,$F212)=0, BI120=1), 1, 0))</f>
        <v>0</v>
      </c>
      <c r="BJ212" s="45">
        <f>IF(OR($F212=0,BJ189=0), 0, IF(OR(BJ189=1, $F212= Parameters!$F$73, MOD(BJ189,$F212)=0, BJ120=1), 1, 0))</f>
        <v>0</v>
      </c>
      <c r="BL212" s="136"/>
      <c r="BM212" s="136"/>
      <c r="BN212" s="136"/>
      <c r="BO212" s="136"/>
      <c r="BP212" s="136"/>
      <c r="BQ212" s="136"/>
      <c r="BR212" s="136"/>
      <c r="BS212" s="136"/>
      <c r="BT212" s="136"/>
      <c r="BU212" s="136"/>
      <c r="BV212" s="136"/>
      <c r="BW212" s="136"/>
      <c r="BY212" s="12"/>
      <c r="CA212" s="12"/>
      <c r="EX212" s="10" t="str">
        <f t="shared" si="151"/>
        <v/>
      </c>
    </row>
    <row r="213" spans="1:154" s="67" customFormat="1" x14ac:dyDescent="0.25">
      <c r="B213" s="67" t="str">
        <f ca="1">Loans!B$18</f>
        <v>Loan 6</v>
      </c>
      <c r="D213" s="62">
        <f>Loans!D$18</f>
        <v>0</v>
      </c>
      <c r="E213" s="159" t="str">
        <f>IF(Loans!Q$18=0, "", Loans!Q$18)</f>
        <v/>
      </c>
      <c r="F213" s="10">
        <f>_xlfn.IFNA(INDEX(Parameters!$F$73:$F$77, MATCH(Loans!R18, Parameters!$D$73:$D$77,0)), 0)</f>
        <v>0</v>
      </c>
      <c r="S213" s="279"/>
      <c r="T213" s="335"/>
      <c r="U213" s="335"/>
      <c r="V213" s="136"/>
      <c r="W213" s="136"/>
      <c r="X213" s="136"/>
      <c r="Y213" s="136"/>
      <c r="AA213" s="45">
        <f>IF(OR($F213=0,AA190=0), 0, IF(OR(AA190=1, $F213= Parameters!$F$73, MOD(AA190,$F213)=0, AA121=1), 1, 0))</f>
        <v>0</v>
      </c>
      <c r="AB213" s="45">
        <f>IF(OR($F213=0,AB190=0), 0, IF(OR(AB190=1, $F213= Parameters!$F$73, MOD(AB190,$F213)=0, AB121=1), 1, 0))</f>
        <v>0</v>
      </c>
      <c r="AC213" s="45">
        <f>IF(OR($F213=0,AC190=0), 0, IF(OR(AC190=1, $F213= Parameters!$F$73, MOD(AC190,$F213)=0, AC121=1), 1, 0))</f>
        <v>0</v>
      </c>
      <c r="AD213" s="45">
        <f>IF(OR($F213=0,AD190=0), 0, IF(OR(AD190=1, $F213= Parameters!$F$73, MOD(AD190,$F213)=0, AD121=1), 1, 0))</f>
        <v>0</v>
      </c>
      <c r="AE213" s="45">
        <f>IF(OR($F213=0,AE190=0), 0, IF(OR(AE190=1, $F213= Parameters!$F$73, MOD(AE190,$F213)=0, AE121=1), 1, 0))</f>
        <v>0</v>
      </c>
      <c r="AF213" s="45">
        <f>IF(OR($F213=0,AF190=0), 0, IF(OR(AF190=1, $F213= Parameters!$F$73, MOD(AF190,$F213)=0, AF121=1), 1, 0))</f>
        <v>0</v>
      </c>
      <c r="AG213" s="45">
        <f>IF(OR($F213=0,AG190=0), 0, IF(OR(AG190=1, $F213= Parameters!$F$73, MOD(AG190,$F213)=0, AG121=1), 1, 0))</f>
        <v>0</v>
      </c>
      <c r="AH213" s="45">
        <f>IF(OR($F213=0,AH190=0), 0, IF(OR(AH190=1, $F213= Parameters!$F$73, MOD(AH190,$F213)=0, AH121=1), 1, 0))</f>
        <v>0</v>
      </c>
      <c r="AI213" s="45">
        <f>IF(OR($F213=0,AI190=0), 0, IF(OR(AI190=1, $F213= Parameters!$F$73, MOD(AI190,$F213)=0, AI121=1), 1, 0))</f>
        <v>0</v>
      </c>
      <c r="AJ213" s="45">
        <f>IF(OR($F213=0,AJ190=0), 0, IF(OR(AJ190=1, $F213= Parameters!$F$73, MOD(AJ190,$F213)=0, AJ121=1), 1, 0))</f>
        <v>0</v>
      </c>
      <c r="AK213" s="45">
        <f>IF(OR($F213=0,AK190=0), 0, IF(OR(AK190=1, $F213= Parameters!$F$73, MOD(AK190,$F213)=0, AK121=1), 1, 0))</f>
        <v>0</v>
      </c>
      <c r="AL213" s="45">
        <f>IF(OR($F213=0,AL190=0), 0, IF(OR(AL190=1, $F213= Parameters!$F$73, MOD(AL190,$F213)=0, AL121=1), 1, 0))</f>
        <v>0</v>
      </c>
      <c r="AM213" s="45">
        <f>IF(OR($F213=0,AM190=0), 0, IF(OR(AM190=1, $F213= Parameters!$F$73, MOD(AM190,$F213)=0, AM121=1), 1, 0))</f>
        <v>0</v>
      </c>
      <c r="AN213" s="45">
        <f>IF(OR($F213=0,AN190=0), 0, IF(OR(AN190=1, $F213= Parameters!$F$73, MOD(AN190,$F213)=0, AN121=1), 1, 0))</f>
        <v>0</v>
      </c>
      <c r="AO213" s="45">
        <f>IF(OR($F213=0,AO190=0), 0, IF(OR(AO190=1, $F213= Parameters!$F$73, MOD(AO190,$F213)=0, AO121=1), 1, 0))</f>
        <v>0</v>
      </c>
      <c r="AP213" s="45">
        <f>IF(OR($F213=0,AP190=0), 0, IF(OR(AP190=1, $F213= Parameters!$F$73, MOD(AP190,$F213)=0, AP121=1), 1, 0))</f>
        <v>0</v>
      </c>
      <c r="AQ213" s="45">
        <f>IF(OR($F213=0,AQ190=0), 0, IF(OR(AQ190=1, $F213= Parameters!$F$73, MOD(AQ190,$F213)=0, AQ121=1), 1, 0))</f>
        <v>0</v>
      </c>
      <c r="AR213" s="45">
        <f>IF(OR($F213=0,AR190=0), 0, IF(OR(AR190=1, $F213= Parameters!$F$73, MOD(AR190,$F213)=0, AR121=1), 1, 0))</f>
        <v>0</v>
      </c>
      <c r="AS213" s="45">
        <f>IF(OR($F213=0,AS190=0), 0, IF(OR(AS190=1, $F213= Parameters!$F$73, MOD(AS190,$F213)=0, AS121=1), 1, 0))</f>
        <v>0</v>
      </c>
      <c r="AT213" s="45">
        <f>IF(OR($F213=0,AT190=0), 0, IF(OR(AT190=1, $F213= Parameters!$F$73, MOD(AT190,$F213)=0, AT121=1), 1, 0))</f>
        <v>0</v>
      </c>
      <c r="AU213" s="45">
        <f>IF(OR($F213=0,AU190=0), 0, IF(OR(AU190=1, $F213= Parameters!$F$73, MOD(AU190,$F213)=0, AU121=1), 1, 0))</f>
        <v>0</v>
      </c>
      <c r="AV213" s="45">
        <f>IF(OR($F213=0,AV190=0), 0, IF(OR(AV190=1, $F213= Parameters!$F$73, MOD(AV190,$F213)=0, AV121=1), 1, 0))</f>
        <v>0</v>
      </c>
      <c r="AW213" s="45">
        <f>IF(OR($F213=0,AW190=0), 0, IF(OR(AW190=1, $F213= Parameters!$F$73, MOD(AW190,$F213)=0, AW121=1), 1, 0))</f>
        <v>0</v>
      </c>
      <c r="AX213" s="45">
        <f>IF(OR($F213=0,AX190=0), 0, IF(OR(AX190=1, $F213= Parameters!$F$73, MOD(AX190,$F213)=0, AX121=1), 1, 0))</f>
        <v>0</v>
      </c>
      <c r="AY213" s="45">
        <f>IF(OR($F213=0,AY190=0), 0, IF(OR(AY190=1, $F213= Parameters!$F$73, MOD(AY190,$F213)=0, AY121=1), 1, 0))</f>
        <v>0</v>
      </c>
      <c r="AZ213" s="45">
        <f>IF(OR($F213=0,AZ190=0), 0, IF(OR(AZ190=1, $F213= Parameters!$F$73, MOD(AZ190,$F213)=0, AZ121=1), 1, 0))</f>
        <v>0</v>
      </c>
      <c r="BA213" s="45">
        <f>IF(OR($F213=0,BA190=0), 0, IF(OR(BA190=1, $F213= Parameters!$F$73, MOD(BA190,$F213)=0, BA121=1), 1, 0))</f>
        <v>0</v>
      </c>
      <c r="BB213" s="45">
        <f>IF(OR($F213=0,BB190=0), 0, IF(OR(BB190=1, $F213= Parameters!$F$73, MOD(BB190,$F213)=0, BB121=1), 1, 0))</f>
        <v>0</v>
      </c>
      <c r="BC213" s="45">
        <f>IF(OR($F213=0,BC190=0), 0, IF(OR(BC190=1, $F213= Parameters!$F$73, MOD(BC190,$F213)=0, BC121=1), 1, 0))</f>
        <v>0</v>
      </c>
      <c r="BD213" s="45">
        <f>IF(OR($F213=0,BD190=0), 0, IF(OR(BD190=1, $F213= Parameters!$F$73, MOD(BD190,$F213)=0, BD121=1), 1, 0))</f>
        <v>0</v>
      </c>
      <c r="BE213" s="45">
        <f>IF(OR($F213=0,BE190=0), 0, IF(OR(BE190=1, $F213= Parameters!$F$73, MOD(BE190,$F213)=0, BE121=1), 1, 0))</f>
        <v>0</v>
      </c>
      <c r="BF213" s="45">
        <f>IF(OR($F213=0,BF190=0), 0, IF(OR(BF190=1, $F213= Parameters!$F$73, MOD(BF190,$F213)=0, BF121=1), 1, 0))</f>
        <v>0</v>
      </c>
      <c r="BG213" s="45">
        <f>IF(OR($F213=0,BG190=0), 0, IF(OR(BG190=1, $F213= Parameters!$F$73, MOD(BG190,$F213)=0, BG121=1), 1, 0))</f>
        <v>0</v>
      </c>
      <c r="BH213" s="45">
        <f>IF(OR($F213=0,BH190=0), 0, IF(OR(BH190=1, $F213= Parameters!$F$73, MOD(BH190,$F213)=0, BH121=1), 1, 0))</f>
        <v>0</v>
      </c>
      <c r="BI213" s="45">
        <f>IF(OR($F213=0,BI190=0), 0, IF(OR(BI190=1, $F213= Parameters!$F$73, MOD(BI190,$F213)=0, BI121=1), 1, 0))</f>
        <v>0</v>
      </c>
      <c r="BJ213" s="45">
        <f>IF(OR($F213=0,BJ190=0), 0, IF(OR(BJ190=1, $F213= Parameters!$F$73, MOD(BJ190,$F213)=0, BJ121=1), 1, 0))</f>
        <v>0</v>
      </c>
      <c r="BL213" s="136"/>
      <c r="BM213" s="136"/>
      <c r="BN213" s="136"/>
      <c r="BO213" s="136"/>
      <c r="BP213" s="136"/>
      <c r="BQ213" s="136"/>
      <c r="BR213" s="136"/>
      <c r="BS213" s="136"/>
      <c r="BT213" s="136"/>
      <c r="BU213" s="136"/>
      <c r="BV213" s="136"/>
      <c r="BW213" s="136"/>
      <c r="BY213" s="12"/>
      <c r="CA213" s="12"/>
      <c r="EX213" s="10" t="str">
        <f t="shared" si="151"/>
        <v/>
      </c>
    </row>
    <row r="214" spans="1:154" s="5" customFormat="1" x14ac:dyDescent="0.25">
      <c r="A214" s="67"/>
      <c r="B214" s="67" t="str">
        <f ca="1">Loans!B$19</f>
        <v>Loan 7</v>
      </c>
      <c r="D214" s="62">
        <f>Loans!D$19</f>
        <v>0</v>
      </c>
      <c r="E214" s="159" t="str">
        <f>IF(Loans!Q$19=0, "", Loans!Q$19)</f>
        <v/>
      </c>
      <c r="F214" s="10">
        <f>_xlfn.IFNA(INDEX(Parameters!$F$73:$F$77, MATCH(Loans!R19, Parameters!$D$73:$D$77,0)), 0)</f>
        <v>0</v>
      </c>
      <c r="G214" s="67"/>
      <c r="H214" s="67"/>
      <c r="I214" s="67"/>
      <c r="J214" s="67"/>
      <c r="K214" s="67"/>
      <c r="M214" s="67"/>
      <c r="N214" s="67"/>
      <c r="O214" s="67"/>
      <c r="P214" s="67"/>
      <c r="Q214" s="67"/>
      <c r="S214" s="279"/>
      <c r="T214" s="335"/>
      <c r="U214" s="335"/>
      <c r="V214" s="136"/>
      <c r="W214" s="136"/>
      <c r="X214" s="136"/>
      <c r="Y214" s="136"/>
      <c r="Z214" s="67"/>
      <c r="AA214" s="45">
        <f>IF(OR($F214=0,AA191=0), 0, IF(OR(AA191=1, $F214= Parameters!$F$73, MOD(AA191,$F214)=0, AA122=1), 1, 0))</f>
        <v>0</v>
      </c>
      <c r="AB214" s="45">
        <f>IF(OR($F214=0,AB191=0), 0, IF(OR(AB191=1, $F214= Parameters!$F$73, MOD(AB191,$F214)=0, AB122=1), 1, 0))</f>
        <v>0</v>
      </c>
      <c r="AC214" s="45">
        <f>IF(OR($F214=0,AC191=0), 0, IF(OR(AC191=1, $F214= Parameters!$F$73, MOD(AC191,$F214)=0, AC122=1), 1, 0))</f>
        <v>0</v>
      </c>
      <c r="AD214" s="45">
        <f>IF(OR($F214=0,AD191=0), 0, IF(OR(AD191=1, $F214= Parameters!$F$73, MOD(AD191,$F214)=0, AD122=1), 1, 0))</f>
        <v>0</v>
      </c>
      <c r="AE214" s="45">
        <f>IF(OR($F214=0,AE191=0), 0, IF(OR(AE191=1, $F214= Parameters!$F$73, MOD(AE191,$F214)=0, AE122=1), 1, 0))</f>
        <v>0</v>
      </c>
      <c r="AF214" s="45">
        <f>IF(OR($F214=0,AF191=0), 0, IF(OR(AF191=1, $F214= Parameters!$F$73, MOD(AF191,$F214)=0, AF122=1), 1, 0))</f>
        <v>0</v>
      </c>
      <c r="AG214" s="45">
        <f>IF(OR($F214=0,AG191=0), 0, IF(OR(AG191=1, $F214= Parameters!$F$73, MOD(AG191,$F214)=0, AG122=1), 1, 0))</f>
        <v>0</v>
      </c>
      <c r="AH214" s="45">
        <f>IF(OR($F214=0,AH191=0), 0, IF(OR(AH191=1, $F214= Parameters!$F$73, MOD(AH191,$F214)=0, AH122=1), 1, 0))</f>
        <v>0</v>
      </c>
      <c r="AI214" s="45">
        <f>IF(OR($F214=0,AI191=0), 0, IF(OR(AI191=1, $F214= Parameters!$F$73, MOD(AI191,$F214)=0, AI122=1), 1, 0))</f>
        <v>0</v>
      </c>
      <c r="AJ214" s="45">
        <f>IF(OR($F214=0,AJ191=0), 0, IF(OR(AJ191=1, $F214= Parameters!$F$73, MOD(AJ191,$F214)=0, AJ122=1), 1, 0))</f>
        <v>0</v>
      </c>
      <c r="AK214" s="45">
        <f>IF(OR($F214=0,AK191=0), 0, IF(OR(AK191=1, $F214= Parameters!$F$73, MOD(AK191,$F214)=0, AK122=1), 1, 0))</f>
        <v>0</v>
      </c>
      <c r="AL214" s="45">
        <f>IF(OR($F214=0,AL191=0), 0, IF(OR(AL191=1, $F214= Parameters!$F$73, MOD(AL191,$F214)=0, AL122=1), 1, 0))</f>
        <v>0</v>
      </c>
      <c r="AM214" s="45">
        <f>IF(OR($F214=0,AM191=0), 0, IF(OR(AM191=1, $F214= Parameters!$F$73, MOD(AM191,$F214)=0, AM122=1), 1, 0))</f>
        <v>0</v>
      </c>
      <c r="AN214" s="45">
        <f>IF(OR($F214=0,AN191=0), 0, IF(OR(AN191=1, $F214= Parameters!$F$73, MOD(AN191,$F214)=0, AN122=1), 1, 0))</f>
        <v>0</v>
      </c>
      <c r="AO214" s="45">
        <f>IF(OR($F214=0,AO191=0), 0, IF(OR(AO191=1, $F214= Parameters!$F$73, MOD(AO191,$F214)=0, AO122=1), 1, 0))</f>
        <v>0</v>
      </c>
      <c r="AP214" s="45">
        <f>IF(OR($F214=0,AP191=0), 0, IF(OR(AP191=1, $F214= Parameters!$F$73, MOD(AP191,$F214)=0, AP122=1), 1, 0))</f>
        <v>0</v>
      </c>
      <c r="AQ214" s="45">
        <f>IF(OR($F214=0,AQ191=0), 0, IF(OR(AQ191=1, $F214= Parameters!$F$73, MOD(AQ191,$F214)=0, AQ122=1), 1, 0))</f>
        <v>0</v>
      </c>
      <c r="AR214" s="45">
        <f>IF(OR($F214=0,AR191=0), 0, IF(OR(AR191=1, $F214= Parameters!$F$73, MOD(AR191,$F214)=0, AR122=1), 1, 0))</f>
        <v>0</v>
      </c>
      <c r="AS214" s="45">
        <f>IF(OR($F214=0,AS191=0), 0, IF(OR(AS191=1, $F214= Parameters!$F$73, MOD(AS191,$F214)=0, AS122=1), 1, 0))</f>
        <v>0</v>
      </c>
      <c r="AT214" s="45">
        <f>IF(OR($F214=0,AT191=0), 0, IF(OR(AT191=1, $F214= Parameters!$F$73, MOD(AT191,$F214)=0, AT122=1), 1, 0))</f>
        <v>0</v>
      </c>
      <c r="AU214" s="45">
        <f>IF(OR($F214=0,AU191=0), 0, IF(OR(AU191=1, $F214= Parameters!$F$73, MOD(AU191,$F214)=0, AU122=1), 1, 0))</f>
        <v>0</v>
      </c>
      <c r="AV214" s="45">
        <f>IF(OR($F214=0,AV191=0), 0, IF(OR(AV191=1, $F214= Parameters!$F$73, MOD(AV191,$F214)=0, AV122=1), 1, 0))</f>
        <v>0</v>
      </c>
      <c r="AW214" s="45">
        <f>IF(OR($F214=0,AW191=0), 0, IF(OR(AW191=1, $F214= Parameters!$F$73, MOD(AW191,$F214)=0, AW122=1), 1, 0))</f>
        <v>0</v>
      </c>
      <c r="AX214" s="45">
        <f>IF(OR($F214=0,AX191=0), 0, IF(OR(AX191=1, $F214= Parameters!$F$73, MOD(AX191,$F214)=0, AX122=1), 1, 0))</f>
        <v>0</v>
      </c>
      <c r="AY214" s="45">
        <f>IF(OR($F214=0,AY191=0), 0, IF(OR(AY191=1, $F214= Parameters!$F$73, MOD(AY191,$F214)=0, AY122=1), 1, 0))</f>
        <v>0</v>
      </c>
      <c r="AZ214" s="45">
        <f>IF(OR($F214=0,AZ191=0), 0, IF(OR(AZ191=1, $F214= Parameters!$F$73, MOD(AZ191,$F214)=0, AZ122=1), 1, 0))</f>
        <v>0</v>
      </c>
      <c r="BA214" s="45">
        <f>IF(OR($F214=0,BA191=0), 0, IF(OR(BA191=1, $F214= Parameters!$F$73, MOD(BA191,$F214)=0, BA122=1), 1, 0))</f>
        <v>0</v>
      </c>
      <c r="BB214" s="45">
        <f>IF(OR($F214=0,BB191=0), 0, IF(OR(BB191=1, $F214= Parameters!$F$73, MOD(BB191,$F214)=0, BB122=1), 1, 0))</f>
        <v>0</v>
      </c>
      <c r="BC214" s="45">
        <f>IF(OR($F214=0,BC191=0), 0, IF(OR(BC191=1, $F214= Parameters!$F$73, MOD(BC191,$F214)=0, BC122=1), 1, 0))</f>
        <v>0</v>
      </c>
      <c r="BD214" s="45">
        <f>IF(OR($F214=0,BD191=0), 0, IF(OR(BD191=1, $F214= Parameters!$F$73, MOD(BD191,$F214)=0, BD122=1), 1, 0))</f>
        <v>0</v>
      </c>
      <c r="BE214" s="45">
        <f>IF(OR($F214=0,BE191=0), 0, IF(OR(BE191=1, $F214= Parameters!$F$73, MOD(BE191,$F214)=0, BE122=1), 1, 0))</f>
        <v>0</v>
      </c>
      <c r="BF214" s="45">
        <f>IF(OR($F214=0,BF191=0), 0, IF(OR(BF191=1, $F214= Parameters!$F$73, MOD(BF191,$F214)=0, BF122=1), 1, 0))</f>
        <v>0</v>
      </c>
      <c r="BG214" s="45">
        <f>IF(OR($F214=0,BG191=0), 0, IF(OR(BG191=1, $F214= Parameters!$F$73, MOD(BG191,$F214)=0, BG122=1), 1, 0))</f>
        <v>0</v>
      </c>
      <c r="BH214" s="45">
        <f>IF(OR($F214=0,BH191=0), 0, IF(OR(BH191=1, $F214= Parameters!$F$73, MOD(BH191,$F214)=0, BH122=1), 1, 0))</f>
        <v>0</v>
      </c>
      <c r="BI214" s="45">
        <f>IF(OR($F214=0,BI191=0), 0, IF(OR(BI191=1, $F214= Parameters!$F$73, MOD(BI191,$F214)=0, BI122=1), 1, 0))</f>
        <v>0</v>
      </c>
      <c r="BJ214" s="45">
        <f>IF(OR($F214=0,BJ191=0), 0, IF(OR(BJ191=1, $F214= Parameters!$F$73, MOD(BJ191,$F214)=0, BJ122=1), 1, 0))</f>
        <v>0</v>
      </c>
      <c r="BK214" s="67"/>
      <c r="BL214" s="136"/>
      <c r="BM214" s="136"/>
      <c r="BN214" s="136"/>
      <c r="BO214" s="136"/>
      <c r="BP214" s="136"/>
      <c r="BQ214" s="136"/>
      <c r="BR214" s="136"/>
      <c r="BS214" s="136"/>
      <c r="BT214" s="136"/>
      <c r="BU214" s="136"/>
      <c r="BV214" s="136"/>
      <c r="BW214" s="136"/>
      <c r="BX214" s="67"/>
      <c r="BY214" s="12"/>
      <c r="BZ214" s="67"/>
      <c r="CA214" s="12"/>
      <c r="EX214" s="10" t="str">
        <f t="shared" si="151"/>
        <v/>
      </c>
    </row>
    <row r="215" spans="1:154" s="67" customFormat="1" x14ac:dyDescent="0.25">
      <c r="B215" s="67" t="str">
        <f ca="1">Loans!B$20</f>
        <v>Loan 8</v>
      </c>
      <c r="D215" s="62">
        <f>Loans!D$20</f>
        <v>0</v>
      </c>
      <c r="E215" s="159" t="str">
        <f>IF(Loans!Q$20=0, "", Loans!Q$20)</f>
        <v/>
      </c>
      <c r="F215" s="10">
        <f>_xlfn.IFNA(INDEX(Parameters!$F$73:$F$77, MATCH(Loans!R20, Parameters!$D$73:$D$77,0)), 0)</f>
        <v>0</v>
      </c>
      <c r="S215" s="279"/>
      <c r="T215" s="335"/>
      <c r="U215" s="335"/>
      <c r="V215" s="136"/>
      <c r="W215" s="136"/>
      <c r="X215" s="136"/>
      <c r="Y215" s="136"/>
      <c r="AA215" s="45">
        <f>IF(OR($F215=0,AA192=0), 0, IF(OR(AA192=1, $F215= Parameters!$F$73, MOD(AA192,$F215)=0, AA123=1), 1, 0))</f>
        <v>0</v>
      </c>
      <c r="AB215" s="45">
        <f>IF(OR($F215=0,AB192=0), 0, IF(OR(AB192=1, $F215= Parameters!$F$73, MOD(AB192,$F215)=0, AB123=1), 1, 0))</f>
        <v>0</v>
      </c>
      <c r="AC215" s="45">
        <f>IF(OR($F215=0,AC192=0), 0, IF(OR(AC192=1, $F215= Parameters!$F$73, MOD(AC192,$F215)=0, AC123=1), 1, 0))</f>
        <v>0</v>
      </c>
      <c r="AD215" s="45">
        <f>IF(OR($F215=0,AD192=0), 0, IF(OR(AD192=1, $F215= Parameters!$F$73, MOD(AD192,$F215)=0, AD123=1), 1, 0))</f>
        <v>0</v>
      </c>
      <c r="AE215" s="45">
        <f>IF(OR($F215=0,AE192=0), 0, IF(OR(AE192=1, $F215= Parameters!$F$73, MOD(AE192,$F215)=0, AE123=1), 1, 0))</f>
        <v>0</v>
      </c>
      <c r="AF215" s="45">
        <f>IF(OR($F215=0,AF192=0), 0, IF(OR(AF192=1, $F215= Parameters!$F$73, MOD(AF192,$F215)=0, AF123=1), 1, 0))</f>
        <v>0</v>
      </c>
      <c r="AG215" s="45">
        <f>IF(OR($F215=0,AG192=0), 0, IF(OR(AG192=1, $F215= Parameters!$F$73, MOD(AG192,$F215)=0, AG123=1), 1, 0))</f>
        <v>0</v>
      </c>
      <c r="AH215" s="45">
        <f>IF(OR($F215=0,AH192=0), 0, IF(OR(AH192=1, $F215= Parameters!$F$73, MOD(AH192,$F215)=0, AH123=1), 1, 0))</f>
        <v>0</v>
      </c>
      <c r="AI215" s="45">
        <f>IF(OR($F215=0,AI192=0), 0, IF(OR(AI192=1, $F215= Parameters!$F$73, MOD(AI192,$F215)=0, AI123=1), 1, 0))</f>
        <v>0</v>
      </c>
      <c r="AJ215" s="45">
        <f>IF(OR($F215=0,AJ192=0), 0, IF(OR(AJ192=1, $F215= Parameters!$F$73, MOD(AJ192,$F215)=0, AJ123=1), 1, 0))</f>
        <v>0</v>
      </c>
      <c r="AK215" s="45">
        <f>IF(OR($F215=0,AK192=0), 0, IF(OR(AK192=1, $F215= Parameters!$F$73, MOD(AK192,$F215)=0, AK123=1), 1, 0))</f>
        <v>0</v>
      </c>
      <c r="AL215" s="45">
        <f>IF(OR($F215=0,AL192=0), 0, IF(OR(AL192=1, $F215= Parameters!$F$73, MOD(AL192,$F215)=0, AL123=1), 1, 0))</f>
        <v>0</v>
      </c>
      <c r="AM215" s="45">
        <f>IF(OR($F215=0,AM192=0), 0, IF(OR(AM192=1, $F215= Parameters!$F$73, MOD(AM192,$F215)=0, AM123=1), 1, 0))</f>
        <v>0</v>
      </c>
      <c r="AN215" s="45">
        <f>IF(OR($F215=0,AN192=0), 0, IF(OR(AN192=1, $F215= Parameters!$F$73, MOD(AN192,$F215)=0, AN123=1), 1, 0))</f>
        <v>0</v>
      </c>
      <c r="AO215" s="45">
        <f>IF(OR($F215=0,AO192=0), 0, IF(OR(AO192=1, $F215= Parameters!$F$73, MOD(AO192,$F215)=0, AO123=1), 1, 0))</f>
        <v>0</v>
      </c>
      <c r="AP215" s="45">
        <f>IF(OR($F215=0,AP192=0), 0, IF(OR(AP192=1, $F215= Parameters!$F$73, MOD(AP192,$F215)=0, AP123=1), 1, 0))</f>
        <v>0</v>
      </c>
      <c r="AQ215" s="45">
        <f>IF(OR($F215=0,AQ192=0), 0, IF(OR(AQ192=1, $F215= Parameters!$F$73, MOD(AQ192,$F215)=0, AQ123=1), 1, 0))</f>
        <v>0</v>
      </c>
      <c r="AR215" s="45">
        <f>IF(OR($F215=0,AR192=0), 0, IF(OR(AR192=1, $F215= Parameters!$F$73, MOD(AR192,$F215)=0, AR123=1), 1, 0))</f>
        <v>0</v>
      </c>
      <c r="AS215" s="45">
        <f>IF(OR($F215=0,AS192=0), 0, IF(OR(AS192=1, $F215= Parameters!$F$73, MOD(AS192,$F215)=0, AS123=1), 1, 0))</f>
        <v>0</v>
      </c>
      <c r="AT215" s="45">
        <f>IF(OR($F215=0,AT192=0), 0, IF(OR(AT192=1, $F215= Parameters!$F$73, MOD(AT192,$F215)=0, AT123=1), 1, 0))</f>
        <v>0</v>
      </c>
      <c r="AU215" s="45">
        <f>IF(OR($F215=0,AU192=0), 0, IF(OR(AU192=1, $F215= Parameters!$F$73, MOD(AU192,$F215)=0, AU123=1), 1, 0))</f>
        <v>0</v>
      </c>
      <c r="AV215" s="45">
        <f>IF(OR($F215=0,AV192=0), 0, IF(OR(AV192=1, $F215= Parameters!$F$73, MOD(AV192,$F215)=0, AV123=1), 1, 0))</f>
        <v>0</v>
      </c>
      <c r="AW215" s="45">
        <f>IF(OR($F215=0,AW192=0), 0, IF(OR(AW192=1, $F215= Parameters!$F$73, MOD(AW192,$F215)=0, AW123=1), 1, 0))</f>
        <v>0</v>
      </c>
      <c r="AX215" s="45">
        <f>IF(OR($F215=0,AX192=0), 0, IF(OR(AX192=1, $F215= Parameters!$F$73, MOD(AX192,$F215)=0, AX123=1), 1, 0))</f>
        <v>0</v>
      </c>
      <c r="AY215" s="45">
        <f>IF(OR($F215=0,AY192=0), 0, IF(OR(AY192=1, $F215= Parameters!$F$73, MOD(AY192,$F215)=0, AY123=1), 1, 0))</f>
        <v>0</v>
      </c>
      <c r="AZ215" s="45">
        <f>IF(OR($F215=0,AZ192=0), 0, IF(OR(AZ192=1, $F215= Parameters!$F$73, MOD(AZ192,$F215)=0, AZ123=1), 1, 0))</f>
        <v>0</v>
      </c>
      <c r="BA215" s="45">
        <f>IF(OR($F215=0,BA192=0), 0, IF(OR(BA192=1, $F215= Parameters!$F$73, MOD(BA192,$F215)=0, BA123=1), 1, 0))</f>
        <v>0</v>
      </c>
      <c r="BB215" s="45">
        <f>IF(OR($F215=0,BB192=0), 0, IF(OR(BB192=1, $F215= Parameters!$F$73, MOD(BB192,$F215)=0, BB123=1), 1, 0))</f>
        <v>0</v>
      </c>
      <c r="BC215" s="45">
        <f>IF(OR($F215=0,BC192=0), 0, IF(OR(BC192=1, $F215= Parameters!$F$73, MOD(BC192,$F215)=0, BC123=1), 1, 0))</f>
        <v>0</v>
      </c>
      <c r="BD215" s="45">
        <f>IF(OR($F215=0,BD192=0), 0, IF(OR(BD192=1, $F215= Parameters!$F$73, MOD(BD192,$F215)=0, BD123=1), 1, 0))</f>
        <v>0</v>
      </c>
      <c r="BE215" s="45">
        <f>IF(OR($F215=0,BE192=0), 0, IF(OR(BE192=1, $F215= Parameters!$F$73, MOD(BE192,$F215)=0, BE123=1), 1, 0))</f>
        <v>0</v>
      </c>
      <c r="BF215" s="45">
        <f>IF(OR($F215=0,BF192=0), 0, IF(OR(BF192=1, $F215= Parameters!$F$73, MOD(BF192,$F215)=0, BF123=1), 1, 0))</f>
        <v>0</v>
      </c>
      <c r="BG215" s="45">
        <f>IF(OR($F215=0,BG192=0), 0, IF(OR(BG192=1, $F215= Parameters!$F$73, MOD(BG192,$F215)=0, BG123=1), 1, 0))</f>
        <v>0</v>
      </c>
      <c r="BH215" s="45">
        <f>IF(OR($F215=0,BH192=0), 0, IF(OR(BH192=1, $F215= Parameters!$F$73, MOD(BH192,$F215)=0, BH123=1), 1, 0))</f>
        <v>0</v>
      </c>
      <c r="BI215" s="45">
        <f>IF(OR($F215=0,BI192=0), 0, IF(OR(BI192=1, $F215= Parameters!$F$73, MOD(BI192,$F215)=0, BI123=1), 1, 0))</f>
        <v>0</v>
      </c>
      <c r="BJ215" s="45">
        <f>IF(OR($F215=0,BJ192=0), 0, IF(OR(BJ192=1, $F215= Parameters!$F$73, MOD(BJ192,$F215)=0, BJ123=1), 1, 0))</f>
        <v>0</v>
      </c>
      <c r="BL215" s="136"/>
      <c r="BM215" s="136"/>
      <c r="BN215" s="136"/>
      <c r="BO215" s="136"/>
      <c r="BP215" s="136"/>
      <c r="BQ215" s="136"/>
      <c r="BR215" s="136"/>
      <c r="BS215" s="136"/>
      <c r="BT215" s="136"/>
      <c r="BU215" s="136"/>
      <c r="BV215" s="136"/>
      <c r="BW215" s="136"/>
      <c r="BY215" s="12"/>
      <c r="CA215" s="12"/>
      <c r="EX215" s="10" t="str">
        <f t="shared" si="151"/>
        <v/>
      </c>
    </row>
    <row r="216" spans="1:154" s="67" customFormat="1" x14ac:dyDescent="0.25">
      <c r="B216" s="67" t="str">
        <f ca="1">Loans!B$21</f>
        <v>Loan 9</v>
      </c>
      <c r="D216" s="62">
        <f>Loans!D$21</f>
        <v>0</v>
      </c>
      <c r="E216" s="159" t="str">
        <f>IF(Loans!Q$21=0, "", Loans!Q$21)</f>
        <v/>
      </c>
      <c r="F216" s="10">
        <f>_xlfn.IFNA(INDEX(Parameters!$F$73:$F$77, MATCH(Loans!R21, Parameters!$D$73:$D$77,0)), 0)</f>
        <v>0</v>
      </c>
      <c r="S216" s="279"/>
      <c r="T216" s="335"/>
      <c r="U216" s="335"/>
      <c r="V216" s="136"/>
      <c r="W216" s="136"/>
      <c r="X216" s="136"/>
      <c r="Y216" s="136"/>
      <c r="AA216" s="45">
        <f>IF(OR($F216=0,AA193=0), 0, IF(OR(AA193=1, $F216= Parameters!$F$73, MOD(AA193,$F216)=0, AA124=1), 1, 0))</f>
        <v>0</v>
      </c>
      <c r="AB216" s="45">
        <f>IF(OR($F216=0,AB193=0), 0, IF(OR(AB193=1, $F216= Parameters!$F$73, MOD(AB193,$F216)=0, AB124=1), 1, 0))</f>
        <v>0</v>
      </c>
      <c r="AC216" s="45">
        <f>IF(OR($F216=0,AC193=0), 0, IF(OR(AC193=1, $F216= Parameters!$F$73, MOD(AC193,$F216)=0, AC124=1), 1, 0))</f>
        <v>0</v>
      </c>
      <c r="AD216" s="45">
        <f>IF(OR($F216=0,AD193=0), 0, IF(OR(AD193=1, $F216= Parameters!$F$73, MOD(AD193,$F216)=0, AD124=1), 1, 0))</f>
        <v>0</v>
      </c>
      <c r="AE216" s="45">
        <f>IF(OR($F216=0,AE193=0), 0, IF(OR(AE193=1, $F216= Parameters!$F$73, MOD(AE193,$F216)=0, AE124=1), 1, 0))</f>
        <v>0</v>
      </c>
      <c r="AF216" s="45">
        <f>IF(OR($F216=0,AF193=0), 0, IF(OR(AF193=1, $F216= Parameters!$F$73, MOD(AF193,$F216)=0, AF124=1), 1, 0))</f>
        <v>0</v>
      </c>
      <c r="AG216" s="45">
        <f>IF(OR($F216=0,AG193=0), 0, IF(OR(AG193=1, $F216= Parameters!$F$73, MOD(AG193,$F216)=0, AG124=1), 1, 0))</f>
        <v>0</v>
      </c>
      <c r="AH216" s="45">
        <f>IF(OR($F216=0,AH193=0), 0, IF(OR(AH193=1, $F216= Parameters!$F$73, MOD(AH193,$F216)=0, AH124=1), 1, 0))</f>
        <v>0</v>
      </c>
      <c r="AI216" s="45">
        <f>IF(OR($F216=0,AI193=0), 0, IF(OR(AI193=1, $F216= Parameters!$F$73, MOD(AI193,$F216)=0, AI124=1), 1, 0))</f>
        <v>0</v>
      </c>
      <c r="AJ216" s="45">
        <f>IF(OR($F216=0,AJ193=0), 0, IF(OR(AJ193=1, $F216= Parameters!$F$73, MOD(AJ193,$F216)=0, AJ124=1), 1, 0))</f>
        <v>0</v>
      </c>
      <c r="AK216" s="45">
        <f>IF(OR($F216=0,AK193=0), 0, IF(OR(AK193=1, $F216= Parameters!$F$73, MOD(AK193,$F216)=0, AK124=1), 1, 0))</f>
        <v>0</v>
      </c>
      <c r="AL216" s="45">
        <f>IF(OR($F216=0,AL193=0), 0, IF(OR(AL193=1, $F216= Parameters!$F$73, MOD(AL193,$F216)=0, AL124=1), 1, 0))</f>
        <v>0</v>
      </c>
      <c r="AM216" s="45">
        <f>IF(OR($F216=0,AM193=0), 0, IF(OR(AM193=1, $F216= Parameters!$F$73, MOD(AM193,$F216)=0, AM124=1), 1, 0))</f>
        <v>0</v>
      </c>
      <c r="AN216" s="45">
        <f>IF(OR($F216=0,AN193=0), 0, IF(OR(AN193=1, $F216= Parameters!$F$73, MOD(AN193,$F216)=0, AN124=1), 1, 0))</f>
        <v>0</v>
      </c>
      <c r="AO216" s="45">
        <f>IF(OR($F216=0,AO193=0), 0, IF(OR(AO193=1, $F216= Parameters!$F$73, MOD(AO193,$F216)=0, AO124=1), 1, 0))</f>
        <v>0</v>
      </c>
      <c r="AP216" s="45">
        <f>IF(OR($F216=0,AP193=0), 0, IF(OR(AP193=1, $F216= Parameters!$F$73, MOD(AP193,$F216)=0, AP124=1), 1, 0))</f>
        <v>0</v>
      </c>
      <c r="AQ216" s="45">
        <f>IF(OR($F216=0,AQ193=0), 0, IF(OR(AQ193=1, $F216= Parameters!$F$73, MOD(AQ193,$F216)=0, AQ124=1), 1, 0))</f>
        <v>0</v>
      </c>
      <c r="AR216" s="45">
        <f>IF(OR($F216=0,AR193=0), 0, IF(OR(AR193=1, $F216= Parameters!$F$73, MOD(AR193,$F216)=0, AR124=1), 1, 0))</f>
        <v>0</v>
      </c>
      <c r="AS216" s="45">
        <f>IF(OR($F216=0,AS193=0), 0, IF(OR(AS193=1, $F216= Parameters!$F$73, MOD(AS193,$F216)=0, AS124=1), 1, 0))</f>
        <v>0</v>
      </c>
      <c r="AT216" s="45">
        <f>IF(OR($F216=0,AT193=0), 0, IF(OR(AT193=1, $F216= Parameters!$F$73, MOD(AT193,$F216)=0, AT124=1), 1, 0))</f>
        <v>0</v>
      </c>
      <c r="AU216" s="45">
        <f>IF(OR($F216=0,AU193=0), 0, IF(OR(AU193=1, $F216= Parameters!$F$73, MOD(AU193,$F216)=0, AU124=1), 1, 0))</f>
        <v>0</v>
      </c>
      <c r="AV216" s="45">
        <f>IF(OR($F216=0,AV193=0), 0, IF(OR(AV193=1, $F216= Parameters!$F$73, MOD(AV193,$F216)=0, AV124=1), 1, 0))</f>
        <v>0</v>
      </c>
      <c r="AW216" s="45">
        <f>IF(OR($F216=0,AW193=0), 0, IF(OR(AW193=1, $F216= Parameters!$F$73, MOD(AW193,$F216)=0, AW124=1), 1, 0))</f>
        <v>0</v>
      </c>
      <c r="AX216" s="45">
        <f>IF(OR($F216=0,AX193=0), 0, IF(OR(AX193=1, $F216= Parameters!$F$73, MOD(AX193,$F216)=0, AX124=1), 1, 0))</f>
        <v>0</v>
      </c>
      <c r="AY216" s="45">
        <f>IF(OR($F216=0,AY193=0), 0, IF(OR(AY193=1, $F216= Parameters!$F$73, MOD(AY193,$F216)=0, AY124=1), 1, 0))</f>
        <v>0</v>
      </c>
      <c r="AZ216" s="45">
        <f>IF(OR($F216=0,AZ193=0), 0, IF(OR(AZ193=1, $F216= Parameters!$F$73, MOD(AZ193,$F216)=0, AZ124=1), 1, 0))</f>
        <v>0</v>
      </c>
      <c r="BA216" s="45">
        <f>IF(OR($F216=0,BA193=0), 0, IF(OR(BA193=1, $F216= Parameters!$F$73, MOD(BA193,$F216)=0, BA124=1), 1, 0))</f>
        <v>0</v>
      </c>
      <c r="BB216" s="45">
        <f>IF(OR($F216=0,BB193=0), 0, IF(OR(BB193=1, $F216= Parameters!$F$73, MOD(BB193,$F216)=0, BB124=1), 1, 0))</f>
        <v>0</v>
      </c>
      <c r="BC216" s="45">
        <f>IF(OR($F216=0,BC193=0), 0, IF(OR(BC193=1, $F216= Parameters!$F$73, MOD(BC193,$F216)=0, BC124=1), 1, 0))</f>
        <v>0</v>
      </c>
      <c r="BD216" s="45">
        <f>IF(OR($F216=0,BD193=0), 0, IF(OR(BD193=1, $F216= Parameters!$F$73, MOD(BD193,$F216)=0, BD124=1), 1, 0))</f>
        <v>0</v>
      </c>
      <c r="BE216" s="45">
        <f>IF(OR($F216=0,BE193=0), 0, IF(OR(BE193=1, $F216= Parameters!$F$73, MOD(BE193,$F216)=0, BE124=1), 1, 0))</f>
        <v>0</v>
      </c>
      <c r="BF216" s="45">
        <f>IF(OR($F216=0,BF193=0), 0, IF(OR(BF193=1, $F216= Parameters!$F$73, MOD(BF193,$F216)=0, BF124=1), 1, 0))</f>
        <v>0</v>
      </c>
      <c r="BG216" s="45">
        <f>IF(OR($F216=0,BG193=0), 0, IF(OR(BG193=1, $F216= Parameters!$F$73, MOD(BG193,$F216)=0, BG124=1), 1, 0))</f>
        <v>0</v>
      </c>
      <c r="BH216" s="45">
        <f>IF(OR($F216=0,BH193=0), 0, IF(OR(BH193=1, $F216= Parameters!$F$73, MOD(BH193,$F216)=0, BH124=1), 1, 0))</f>
        <v>0</v>
      </c>
      <c r="BI216" s="45">
        <f>IF(OR($F216=0,BI193=0), 0, IF(OR(BI193=1, $F216= Parameters!$F$73, MOD(BI193,$F216)=0, BI124=1), 1, 0))</f>
        <v>0</v>
      </c>
      <c r="BJ216" s="45">
        <f>IF(OR($F216=0,BJ193=0), 0, IF(OR(BJ193=1, $F216= Parameters!$F$73, MOD(BJ193,$F216)=0, BJ124=1), 1, 0))</f>
        <v>0</v>
      </c>
      <c r="BL216" s="136"/>
      <c r="BM216" s="136"/>
      <c r="BN216" s="136"/>
      <c r="BO216" s="136"/>
      <c r="BP216" s="136"/>
      <c r="BQ216" s="136"/>
      <c r="BR216" s="136"/>
      <c r="BS216" s="136"/>
      <c r="BT216" s="136"/>
      <c r="BU216" s="136"/>
      <c r="BV216" s="136"/>
      <c r="BW216" s="136"/>
      <c r="BY216" s="12"/>
      <c r="CA216" s="12"/>
      <c r="EX216" s="10" t="str">
        <f t="shared" si="151"/>
        <v/>
      </c>
    </row>
    <row r="217" spans="1:154" s="67" customFormat="1" x14ac:dyDescent="0.25">
      <c r="B217" s="67" t="str">
        <f ca="1">Loans!B$22</f>
        <v>Loan 10</v>
      </c>
      <c r="D217" s="62">
        <f>Loans!D$22</f>
        <v>0</v>
      </c>
      <c r="E217" s="159" t="str">
        <f>IF(Loans!Q$22=0, "", Loans!Q$22)</f>
        <v/>
      </c>
      <c r="F217" s="10">
        <f>_xlfn.IFNA(INDEX(Parameters!$F$73:$F$77, MATCH(Loans!R22, Parameters!$D$73:$D$77,0)), 0)</f>
        <v>0</v>
      </c>
      <c r="S217" s="279"/>
      <c r="T217" s="335"/>
      <c r="U217" s="335"/>
      <c r="V217" s="136"/>
      <c r="W217" s="136"/>
      <c r="X217" s="136"/>
      <c r="Y217" s="136"/>
      <c r="AA217" s="45">
        <f>IF(OR($F217=0,AA194=0), 0, IF(OR(AA194=1, $F217= Parameters!$F$73, MOD(AA194,$F217)=0, AA125=1), 1, 0))</f>
        <v>0</v>
      </c>
      <c r="AB217" s="45">
        <f>IF(OR($F217=0,AB194=0), 0, IF(OR(AB194=1, $F217= Parameters!$F$73, MOD(AB194,$F217)=0, AB125=1), 1, 0))</f>
        <v>0</v>
      </c>
      <c r="AC217" s="45">
        <f>IF(OR($F217=0,AC194=0), 0, IF(OR(AC194=1, $F217= Parameters!$F$73, MOD(AC194,$F217)=0, AC125=1), 1, 0))</f>
        <v>0</v>
      </c>
      <c r="AD217" s="45">
        <f>IF(OR($F217=0,AD194=0), 0, IF(OR(AD194=1, $F217= Parameters!$F$73, MOD(AD194,$F217)=0, AD125=1), 1, 0))</f>
        <v>0</v>
      </c>
      <c r="AE217" s="45">
        <f>IF(OR($F217=0,AE194=0), 0, IF(OR(AE194=1, $F217= Parameters!$F$73, MOD(AE194,$F217)=0, AE125=1), 1, 0))</f>
        <v>0</v>
      </c>
      <c r="AF217" s="45">
        <f>IF(OR($F217=0,AF194=0), 0, IF(OR(AF194=1, $F217= Parameters!$F$73, MOD(AF194,$F217)=0, AF125=1), 1, 0))</f>
        <v>0</v>
      </c>
      <c r="AG217" s="45">
        <f>IF(OR($F217=0,AG194=0), 0, IF(OR(AG194=1, $F217= Parameters!$F$73, MOD(AG194,$F217)=0, AG125=1), 1, 0))</f>
        <v>0</v>
      </c>
      <c r="AH217" s="45">
        <f>IF(OR($F217=0,AH194=0), 0, IF(OR(AH194=1, $F217= Parameters!$F$73, MOD(AH194,$F217)=0, AH125=1), 1, 0))</f>
        <v>0</v>
      </c>
      <c r="AI217" s="45">
        <f>IF(OR($F217=0,AI194=0), 0, IF(OR(AI194=1, $F217= Parameters!$F$73, MOD(AI194,$F217)=0, AI125=1), 1, 0))</f>
        <v>0</v>
      </c>
      <c r="AJ217" s="45">
        <f>IF(OR($F217=0,AJ194=0), 0, IF(OR(AJ194=1, $F217= Parameters!$F$73, MOD(AJ194,$F217)=0, AJ125=1), 1, 0))</f>
        <v>0</v>
      </c>
      <c r="AK217" s="45">
        <f>IF(OR($F217=0,AK194=0), 0, IF(OR(AK194=1, $F217= Parameters!$F$73, MOD(AK194,$F217)=0, AK125=1), 1, 0))</f>
        <v>0</v>
      </c>
      <c r="AL217" s="45">
        <f>IF(OR($F217=0,AL194=0), 0, IF(OR(AL194=1, $F217= Parameters!$F$73, MOD(AL194,$F217)=0, AL125=1), 1, 0))</f>
        <v>0</v>
      </c>
      <c r="AM217" s="45">
        <f>IF(OR($F217=0,AM194=0), 0, IF(OR(AM194=1, $F217= Parameters!$F$73, MOD(AM194,$F217)=0, AM125=1), 1, 0))</f>
        <v>0</v>
      </c>
      <c r="AN217" s="45">
        <f>IF(OR($F217=0,AN194=0), 0, IF(OR(AN194=1, $F217= Parameters!$F$73, MOD(AN194,$F217)=0, AN125=1), 1, 0))</f>
        <v>0</v>
      </c>
      <c r="AO217" s="45">
        <f>IF(OR($F217=0,AO194=0), 0, IF(OR(AO194=1, $F217= Parameters!$F$73, MOD(AO194,$F217)=0, AO125=1), 1, 0))</f>
        <v>0</v>
      </c>
      <c r="AP217" s="45">
        <f>IF(OR($F217=0,AP194=0), 0, IF(OR(AP194=1, $F217= Parameters!$F$73, MOD(AP194,$F217)=0, AP125=1), 1, 0))</f>
        <v>0</v>
      </c>
      <c r="AQ217" s="45">
        <f>IF(OR($F217=0,AQ194=0), 0, IF(OR(AQ194=1, $F217= Parameters!$F$73, MOD(AQ194,$F217)=0, AQ125=1), 1, 0))</f>
        <v>0</v>
      </c>
      <c r="AR217" s="45">
        <f>IF(OR($F217=0,AR194=0), 0, IF(OR(AR194=1, $F217= Parameters!$F$73, MOD(AR194,$F217)=0, AR125=1), 1, 0))</f>
        <v>0</v>
      </c>
      <c r="AS217" s="45">
        <f>IF(OR($F217=0,AS194=0), 0, IF(OR(AS194=1, $F217= Parameters!$F$73, MOD(AS194,$F217)=0, AS125=1), 1, 0))</f>
        <v>0</v>
      </c>
      <c r="AT217" s="45">
        <f>IF(OR($F217=0,AT194=0), 0, IF(OR(AT194=1, $F217= Parameters!$F$73, MOD(AT194,$F217)=0, AT125=1), 1, 0))</f>
        <v>0</v>
      </c>
      <c r="AU217" s="45">
        <f>IF(OR($F217=0,AU194=0), 0, IF(OR(AU194=1, $F217= Parameters!$F$73, MOD(AU194,$F217)=0, AU125=1), 1, 0))</f>
        <v>0</v>
      </c>
      <c r="AV217" s="45">
        <f>IF(OR($F217=0,AV194=0), 0, IF(OR(AV194=1, $F217= Parameters!$F$73, MOD(AV194,$F217)=0, AV125=1), 1, 0))</f>
        <v>0</v>
      </c>
      <c r="AW217" s="45">
        <f>IF(OR($F217=0,AW194=0), 0, IF(OR(AW194=1, $F217= Parameters!$F$73, MOD(AW194,$F217)=0, AW125=1), 1, 0))</f>
        <v>0</v>
      </c>
      <c r="AX217" s="45">
        <f>IF(OR($F217=0,AX194=0), 0, IF(OR(AX194=1, $F217= Parameters!$F$73, MOD(AX194,$F217)=0, AX125=1), 1, 0))</f>
        <v>0</v>
      </c>
      <c r="AY217" s="45">
        <f>IF(OR($F217=0,AY194=0), 0, IF(OR(AY194=1, $F217= Parameters!$F$73, MOD(AY194,$F217)=0, AY125=1), 1, 0))</f>
        <v>0</v>
      </c>
      <c r="AZ217" s="45">
        <f>IF(OR($F217=0,AZ194=0), 0, IF(OR(AZ194=1, $F217= Parameters!$F$73, MOD(AZ194,$F217)=0, AZ125=1), 1, 0))</f>
        <v>0</v>
      </c>
      <c r="BA217" s="45">
        <f>IF(OR($F217=0,BA194=0), 0, IF(OR(BA194=1, $F217= Parameters!$F$73, MOD(BA194,$F217)=0, BA125=1), 1, 0))</f>
        <v>0</v>
      </c>
      <c r="BB217" s="45">
        <f>IF(OR($F217=0,BB194=0), 0, IF(OR(BB194=1, $F217= Parameters!$F$73, MOD(BB194,$F217)=0, BB125=1), 1, 0))</f>
        <v>0</v>
      </c>
      <c r="BC217" s="45">
        <f>IF(OR($F217=0,BC194=0), 0, IF(OR(BC194=1, $F217= Parameters!$F$73, MOD(BC194,$F217)=0, BC125=1), 1, 0))</f>
        <v>0</v>
      </c>
      <c r="BD217" s="45">
        <f>IF(OR($F217=0,BD194=0), 0, IF(OR(BD194=1, $F217= Parameters!$F$73, MOD(BD194,$F217)=0, BD125=1), 1, 0))</f>
        <v>0</v>
      </c>
      <c r="BE217" s="45">
        <f>IF(OR($F217=0,BE194=0), 0, IF(OR(BE194=1, $F217= Parameters!$F$73, MOD(BE194,$F217)=0, BE125=1), 1, 0))</f>
        <v>0</v>
      </c>
      <c r="BF217" s="45">
        <f>IF(OR($F217=0,BF194=0), 0, IF(OR(BF194=1, $F217= Parameters!$F$73, MOD(BF194,$F217)=0, BF125=1), 1, 0))</f>
        <v>0</v>
      </c>
      <c r="BG217" s="45">
        <f>IF(OR($F217=0,BG194=0), 0, IF(OR(BG194=1, $F217= Parameters!$F$73, MOD(BG194,$F217)=0, BG125=1), 1, 0))</f>
        <v>0</v>
      </c>
      <c r="BH217" s="45">
        <f>IF(OR($F217=0,BH194=0), 0, IF(OR(BH194=1, $F217= Parameters!$F$73, MOD(BH194,$F217)=0, BH125=1), 1, 0))</f>
        <v>0</v>
      </c>
      <c r="BI217" s="45">
        <f>IF(OR($F217=0,BI194=0), 0, IF(OR(BI194=1, $F217= Parameters!$F$73, MOD(BI194,$F217)=0, BI125=1), 1, 0))</f>
        <v>0</v>
      </c>
      <c r="BJ217" s="45">
        <f>IF(OR($F217=0,BJ194=0), 0, IF(OR(BJ194=1, $F217= Parameters!$F$73, MOD(BJ194,$F217)=0, BJ125=1), 1, 0))</f>
        <v>0</v>
      </c>
      <c r="BL217" s="136"/>
      <c r="BM217" s="136"/>
      <c r="BN217" s="136"/>
      <c r="BO217" s="136"/>
      <c r="BP217" s="136"/>
      <c r="BQ217" s="136"/>
      <c r="BR217" s="136"/>
      <c r="BS217" s="136"/>
      <c r="BT217" s="136"/>
      <c r="BU217" s="136"/>
      <c r="BV217" s="136"/>
      <c r="BW217" s="136"/>
      <c r="BY217" s="12"/>
      <c r="CA217" s="12"/>
      <c r="EX217" s="10" t="str">
        <f t="shared" si="151"/>
        <v/>
      </c>
    </row>
    <row r="218" spans="1:154" s="67" customFormat="1" x14ac:dyDescent="0.25">
      <c r="B218" s="67" t="str">
        <f ca="1">Loans!B$23</f>
        <v>Loan 11</v>
      </c>
      <c r="D218" s="62">
        <f>Loans!D$23</f>
        <v>0</v>
      </c>
      <c r="E218" s="159" t="str">
        <f>IF(Loans!Q$23=0, "", Loans!Q$23)</f>
        <v/>
      </c>
      <c r="F218" s="10">
        <f>_xlfn.IFNA(INDEX(Parameters!$F$73:$F$77, MATCH(Loans!R23, Parameters!$D$73:$D$77,0)), 0)</f>
        <v>0</v>
      </c>
      <c r="S218" s="279"/>
      <c r="T218" s="335"/>
      <c r="U218" s="335"/>
      <c r="V218" s="136"/>
      <c r="W218" s="136"/>
      <c r="X218" s="136"/>
      <c r="Y218" s="136"/>
      <c r="AA218" s="45">
        <f>IF(OR($F218=0,AA195=0), 0, IF(OR(AA195=1, $F218= Parameters!$F$73, MOD(AA195,$F218)=0, AA126=1), 1, 0))</f>
        <v>0</v>
      </c>
      <c r="AB218" s="45">
        <f>IF(OR($F218=0,AB195=0), 0, IF(OR(AB195=1, $F218= Parameters!$F$73, MOD(AB195,$F218)=0, AB126=1), 1, 0))</f>
        <v>0</v>
      </c>
      <c r="AC218" s="45">
        <f>IF(OR($F218=0,AC195=0), 0, IF(OR(AC195=1, $F218= Parameters!$F$73, MOD(AC195,$F218)=0, AC126=1), 1, 0))</f>
        <v>0</v>
      </c>
      <c r="AD218" s="45">
        <f>IF(OR($F218=0,AD195=0), 0, IF(OR(AD195=1, $F218= Parameters!$F$73, MOD(AD195,$F218)=0, AD126=1), 1, 0))</f>
        <v>0</v>
      </c>
      <c r="AE218" s="45">
        <f>IF(OR($F218=0,AE195=0), 0, IF(OR(AE195=1, $F218= Parameters!$F$73, MOD(AE195,$F218)=0, AE126=1), 1, 0))</f>
        <v>0</v>
      </c>
      <c r="AF218" s="45">
        <f>IF(OR($F218=0,AF195=0), 0, IF(OR(AF195=1, $F218= Parameters!$F$73, MOD(AF195,$F218)=0, AF126=1), 1, 0))</f>
        <v>0</v>
      </c>
      <c r="AG218" s="45">
        <f>IF(OR($F218=0,AG195=0), 0, IF(OR(AG195=1, $F218= Parameters!$F$73, MOD(AG195,$F218)=0, AG126=1), 1, 0))</f>
        <v>0</v>
      </c>
      <c r="AH218" s="45">
        <f>IF(OR($F218=0,AH195=0), 0, IF(OR(AH195=1, $F218= Parameters!$F$73, MOD(AH195,$F218)=0, AH126=1), 1, 0))</f>
        <v>0</v>
      </c>
      <c r="AI218" s="45">
        <f>IF(OR($F218=0,AI195=0), 0, IF(OR(AI195=1, $F218= Parameters!$F$73, MOD(AI195,$F218)=0, AI126=1), 1, 0))</f>
        <v>0</v>
      </c>
      <c r="AJ218" s="45">
        <f>IF(OR($F218=0,AJ195=0), 0, IF(OR(AJ195=1, $F218= Parameters!$F$73, MOD(AJ195,$F218)=0, AJ126=1), 1, 0))</f>
        <v>0</v>
      </c>
      <c r="AK218" s="45">
        <f>IF(OR($F218=0,AK195=0), 0, IF(OR(AK195=1, $F218= Parameters!$F$73, MOD(AK195,$F218)=0, AK126=1), 1, 0))</f>
        <v>0</v>
      </c>
      <c r="AL218" s="45">
        <f>IF(OR($F218=0,AL195=0), 0, IF(OR(AL195=1, $F218= Parameters!$F$73, MOD(AL195,$F218)=0, AL126=1), 1, 0))</f>
        <v>0</v>
      </c>
      <c r="AM218" s="45">
        <f>IF(OR($F218=0,AM195=0), 0, IF(OR(AM195=1, $F218= Parameters!$F$73, MOD(AM195,$F218)=0, AM126=1), 1, 0))</f>
        <v>0</v>
      </c>
      <c r="AN218" s="45">
        <f>IF(OR($F218=0,AN195=0), 0, IF(OR(AN195=1, $F218= Parameters!$F$73, MOD(AN195,$F218)=0, AN126=1), 1, 0))</f>
        <v>0</v>
      </c>
      <c r="AO218" s="45">
        <f>IF(OR($F218=0,AO195=0), 0, IF(OR(AO195=1, $F218= Parameters!$F$73, MOD(AO195,$F218)=0, AO126=1), 1, 0))</f>
        <v>0</v>
      </c>
      <c r="AP218" s="45">
        <f>IF(OR($F218=0,AP195=0), 0, IF(OR(AP195=1, $F218= Parameters!$F$73, MOD(AP195,$F218)=0, AP126=1), 1, 0))</f>
        <v>0</v>
      </c>
      <c r="AQ218" s="45">
        <f>IF(OR($F218=0,AQ195=0), 0, IF(OR(AQ195=1, $F218= Parameters!$F$73, MOD(AQ195,$F218)=0, AQ126=1), 1, 0))</f>
        <v>0</v>
      </c>
      <c r="AR218" s="45">
        <f>IF(OR($F218=0,AR195=0), 0, IF(OR(AR195=1, $F218= Parameters!$F$73, MOD(AR195,$F218)=0, AR126=1), 1, 0))</f>
        <v>0</v>
      </c>
      <c r="AS218" s="45">
        <f>IF(OR($F218=0,AS195=0), 0, IF(OR(AS195=1, $F218= Parameters!$F$73, MOD(AS195,$F218)=0, AS126=1), 1, 0))</f>
        <v>0</v>
      </c>
      <c r="AT218" s="45">
        <f>IF(OR($F218=0,AT195=0), 0, IF(OR(AT195=1, $F218= Parameters!$F$73, MOD(AT195,$F218)=0, AT126=1), 1, 0))</f>
        <v>0</v>
      </c>
      <c r="AU218" s="45">
        <f>IF(OR($F218=0,AU195=0), 0, IF(OR(AU195=1, $F218= Parameters!$F$73, MOD(AU195,$F218)=0, AU126=1), 1, 0))</f>
        <v>0</v>
      </c>
      <c r="AV218" s="45">
        <f>IF(OR($F218=0,AV195=0), 0, IF(OR(AV195=1, $F218= Parameters!$F$73, MOD(AV195,$F218)=0, AV126=1), 1, 0))</f>
        <v>0</v>
      </c>
      <c r="AW218" s="45">
        <f>IF(OR($F218=0,AW195=0), 0, IF(OR(AW195=1, $F218= Parameters!$F$73, MOD(AW195,$F218)=0, AW126=1), 1, 0))</f>
        <v>0</v>
      </c>
      <c r="AX218" s="45">
        <f>IF(OR($F218=0,AX195=0), 0, IF(OR(AX195=1, $F218= Parameters!$F$73, MOD(AX195,$F218)=0, AX126=1), 1, 0))</f>
        <v>0</v>
      </c>
      <c r="AY218" s="45">
        <f>IF(OR($F218=0,AY195=0), 0, IF(OR(AY195=1, $F218= Parameters!$F$73, MOD(AY195,$F218)=0, AY126=1), 1, 0))</f>
        <v>0</v>
      </c>
      <c r="AZ218" s="45">
        <f>IF(OR($F218=0,AZ195=0), 0, IF(OR(AZ195=1, $F218= Parameters!$F$73, MOD(AZ195,$F218)=0, AZ126=1), 1, 0))</f>
        <v>0</v>
      </c>
      <c r="BA218" s="45">
        <f>IF(OR($F218=0,BA195=0), 0, IF(OR(BA195=1, $F218= Parameters!$F$73, MOD(BA195,$F218)=0, BA126=1), 1, 0))</f>
        <v>0</v>
      </c>
      <c r="BB218" s="45">
        <f>IF(OR($F218=0,BB195=0), 0, IF(OR(BB195=1, $F218= Parameters!$F$73, MOD(BB195,$F218)=0, BB126=1), 1, 0))</f>
        <v>0</v>
      </c>
      <c r="BC218" s="45">
        <f>IF(OR($F218=0,BC195=0), 0, IF(OR(BC195=1, $F218= Parameters!$F$73, MOD(BC195,$F218)=0, BC126=1), 1, 0))</f>
        <v>0</v>
      </c>
      <c r="BD218" s="45">
        <f>IF(OR($F218=0,BD195=0), 0, IF(OR(BD195=1, $F218= Parameters!$F$73, MOD(BD195,$F218)=0, BD126=1), 1, 0))</f>
        <v>0</v>
      </c>
      <c r="BE218" s="45">
        <f>IF(OR($F218=0,BE195=0), 0, IF(OR(BE195=1, $F218= Parameters!$F$73, MOD(BE195,$F218)=0, BE126=1), 1, 0))</f>
        <v>0</v>
      </c>
      <c r="BF218" s="45">
        <f>IF(OR($F218=0,BF195=0), 0, IF(OR(BF195=1, $F218= Parameters!$F$73, MOD(BF195,$F218)=0, BF126=1), 1, 0))</f>
        <v>0</v>
      </c>
      <c r="BG218" s="45">
        <f>IF(OR($F218=0,BG195=0), 0, IF(OR(BG195=1, $F218= Parameters!$F$73, MOD(BG195,$F218)=0, BG126=1), 1, 0))</f>
        <v>0</v>
      </c>
      <c r="BH218" s="45">
        <f>IF(OR($F218=0,BH195=0), 0, IF(OR(BH195=1, $F218= Parameters!$F$73, MOD(BH195,$F218)=0, BH126=1), 1, 0))</f>
        <v>0</v>
      </c>
      <c r="BI218" s="45">
        <f>IF(OR($F218=0,BI195=0), 0, IF(OR(BI195=1, $F218= Parameters!$F$73, MOD(BI195,$F218)=0, BI126=1), 1, 0))</f>
        <v>0</v>
      </c>
      <c r="BJ218" s="45">
        <f>IF(OR($F218=0,BJ195=0), 0, IF(OR(BJ195=1, $F218= Parameters!$F$73, MOD(BJ195,$F218)=0, BJ126=1), 1, 0))</f>
        <v>0</v>
      </c>
      <c r="BL218" s="136"/>
      <c r="BM218" s="136"/>
      <c r="BN218" s="136"/>
      <c r="BO218" s="136"/>
      <c r="BP218" s="136"/>
      <c r="BQ218" s="136"/>
      <c r="BR218" s="136"/>
      <c r="BS218" s="136"/>
      <c r="BT218" s="136"/>
      <c r="BU218" s="136"/>
      <c r="BV218" s="136"/>
      <c r="BW218" s="136"/>
      <c r="BY218" s="12"/>
      <c r="CA218" s="12"/>
      <c r="EX218" s="10" t="str">
        <f t="shared" si="151"/>
        <v/>
      </c>
    </row>
    <row r="219" spans="1:154" s="67" customFormat="1" x14ac:dyDescent="0.25">
      <c r="B219" s="67" t="str">
        <f ca="1">Loans!B$24</f>
        <v>Loan 12</v>
      </c>
      <c r="D219" s="62">
        <f>Loans!D$24</f>
        <v>0</v>
      </c>
      <c r="E219" s="159" t="str">
        <f>IF(Loans!Q$24=0, "", Loans!Q$24)</f>
        <v/>
      </c>
      <c r="F219" s="10">
        <f>_xlfn.IFNA(INDEX(Parameters!$F$73:$F$77, MATCH(Loans!R24, Parameters!$D$73:$D$77,0)), 0)</f>
        <v>0</v>
      </c>
      <c r="S219" s="279"/>
      <c r="T219" s="335"/>
      <c r="U219" s="335"/>
      <c r="V219" s="136"/>
      <c r="W219" s="136"/>
      <c r="X219" s="136"/>
      <c r="Y219" s="136"/>
      <c r="AA219" s="45">
        <f>IF(OR($F219=0,AA196=0), 0, IF(OR(AA196=1, $F219= Parameters!$F$73, MOD(AA196,$F219)=0, AA127=1), 1, 0))</f>
        <v>0</v>
      </c>
      <c r="AB219" s="45">
        <f>IF(OR($F219=0,AB196=0), 0, IF(OR(AB196=1, $F219= Parameters!$F$73, MOD(AB196,$F219)=0, AB127=1), 1, 0))</f>
        <v>0</v>
      </c>
      <c r="AC219" s="45">
        <f>IF(OR($F219=0,AC196=0), 0, IF(OR(AC196=1, $F219= Parameters!$F$73, MOD(AC196,$F219)=0, AC127=1), 1, 0))</f>
        <v>0</v>
      </c>
      <c r="AD219" s="45">
        <f>IF(OR($F219=0,AD196=0), 0, IF(OR(AD196=1, $F219= Parameters!$F$73, MOD(AD196,$F219)=0, AD127=1), 1, 0))</f>
        <v>0</v>
      </c>
      <c r="AE219" s="45">
        <f>IF(OR($F219=0,AE196=0), 0, IF(OR(AE196=1, $F219= Parameters!$F$73, MOD(AE196,$F219)=0, AE127=1), 1, 0))</f>
        <v>0</v>
      </c>
      <c r="AF219" s="45">
        <f>IF(OR($F219=0,AF196=0), 0, IF(OR(AF196=1, $F219= Parameters!$F$73, MOD(AF196,$F219)=0, AF127=1), 1, 0))</f>
        <v>0</v>
      </c>
      <c r="AG219" s="45">
        <f>IF(OR($F219=0,AG196=0), 0, IF(OR(AG196=1, $F219= Parameters!$F$73, MOD(AG196,$F219)=0, AG127=1), 1, 0))</f>
        <v>0</v>
      </c>
      <c r="AH219" s="45">
        <f>IF(OR($F219=0,AH196=0), 0, IF(OR(AH196=1, $F219= Parameters!$F$73, MOD(AH196,$F219)=0, AH127=1), 1, 0))</f>
        <v>0</v>
      </c>
      <c r="AI219" s="45">
        <f>IF(OR($F219=0,AI196=0), 0, IF(OR(AI196=1, $F219= Parameters!$F$73, MOD(AI196,$F219)=0, AI127=1), 1, 0))</f>
        <v>0</v>
      </c>
      <c r="AJ219" s="45">
        <f>IF(OR($F219=0,AJ196=0), 0, IF(OR(AJ196=1, $F219= Parameters!$F$73, MOD(AJ196,$F219)=0, AJ127=1), 1, 0))</f>
        <v>0</v>
      </c>
      <c r="AK219" s="45">
        <f>IF(OR($F219=0,AK196=0), 0, IF(OR(AK196=1, $F219= Parameters!$F$73, MOD(AK196,$F219)=0, AK127=1), 1, 0))</f>
        <v>0</v>
      </c>
      <c r="AL219" s="45">
        <f>IF(OR($F219=0,AL196=0), 0, IF(OR(AL196=1, $F219= Parameters!$F$73, MOD(AL196,$F219)=0, AL127=1), 1, 0))</f>
        <v>0</v>
      </c>
      <c r="AM219" s="45">
        <f>IF(OR($F219=0,AM196=0), 0, IF(OR(AM196=1, $F219= Parameters!$F$73, MOD(AM196,$F219)=0, AM127=1), 1, 0))</f>
        <v>0</v>
      </c>
      <c r="AN219" s="45">
        <f>IF(OR($F219=0,AN196=0), 0, IF(OR(AN196=1, $F219= Parameters!$F$73, MOD(AN196,$F219)=0, AN127=1), 1, 0))</f>
        <v>0</v>
      </c>
      <c r="AO219" s="45">
        <f>IF(OR($F219=0,AO196=0), 0, IF(OR(AO196=1, $F219= Parameters!$F$73, MOD(AO196,$F219)=0, AO127=1), 1, 0))</f>
        <v>0</v>
      </c>
      <c r="AP219" s="45">
        <f>IF(OR($F219=0,AP196=0), 0, IF(OR(AP196=1, $F219= Parameters!$F$73, MOD(AP196,$F219)=0, AP127=1), 1, 0))</f>
        <v>0</v>
      </c>
      <c r="AQ219" s="45">
        <f>IF(OR($F219=0,AQ196=0), 0, IF(OR(AQ196=1, $F219= Parameters!$F$73, MOD(AQ196,$F219)=0, AQ127=1), 1, 0))</f>
        <v>0</v>
      </c>
      <c r="AR219" s="45">
        <f>IF(OR($F219=0,AR196=0), 0, IF(OR(AR196=1, $F219= Parameters!$F$73, MOD(AR196,$F219)=0, AR127=1), 1, 0))</f>
        <v>0</v>
      </c>
      <c r="AS219" s="45">
        <f>IF(OR($F219=0,AS196=0), 0, IF(OR(AS196=1, $F219= Parameters!$F$73, MOD(AS196,$F219)=0, AS127=1), 1, 0))</f>
        <v>0</v>
      </c>
      <c r="AT219" s="45">
        <f>IF(OR($F219=0,AT196=0), 0, IF(OR(AT196=1, $F219= Parameters!$F$73, MOD(AT196,$F219)=0, AT127=1), 1, 0))</f>
        <v>0</v>
      </c>
      <c r="AU219" s="45">
        <f>IF(OR($F219=0,AU196=0), 0, IF(OR(AU196=1, $F219= Parameters!$F$73, MOD(AU196,$F219)=0, AU127=1), 1, 0))</f>
        <v>0</v>
      </c>
      <c r="AV219" s="45">
        <f>IF(OR($F219=0,AV196=0), 0, IF(OR(AV196=1, $F219= Parameters!$F$73, MOD(AV196,$F219)=0, AV127=1), 1, 0))</f>
        <v>0</v>
      </c>
      <c r="AW219" s="45">
        <f>IF(OR($F219=0,AW196=0), 0, IF(OR(AW196=1, $F219= Parameters!$F$73, MOD(AW196,$F219)=0, AW127=1), 1, 0))</f>
        <v>0</v>
      </c>
      <c r="AX219" s="45">
        <f>IF(OR($F219=0,AX196=0), 0, IF(OR(AX196=1, $F219= Parameters!$F$73, MOD(AX196,$F219)=0, AX127=1), 1, 0))</f>
        <v>0</v>
      </c>
      <c r="AY219" s="45">
        <f>IF(OR($F219=0,AY196=0), 0, IF(OR(AY196=1, $F219= Parameters!$F$73, MOD(AY196,$F219)=0, AY127=1), 1, 0))</f>
        <v>0</v>
      </c>
      <c r="AZ219" s="45">
        <f>IF(OR($F219=0,AZ196=0), 0, IF(OR(AZ196=1, $F219= Parameters!$F$73, MOD(AZ196,$F219)=0, AZ127=1), 1, 0))</f>
        <v>0</v>
      </c>
      <c r="BA219" s="45">
        <f>IF(OR($F219=0,BA196=0), 0, IF(OR(BA196=1, $F219= Parameters!$F$73, MOD(BA196,$F219)=0, BA127=1), 1, 0))</f>
        <v>0</v>
      </c>
      <c r="BB219" s="45">
        <f>IF(OR($F219=0,BB196=0), 0, IF(OR(BB196=1, $F219= Parameters!$F$73, MOD(BB196,$F219)=0, BB127=1), 1, 0))</f>
        <v>0</v>
      </c>
      <c r="BC219" s="45">
        <f>IF(OR($F219=0,BC196=0), 0, IF(OR(BC196=1, $F219= Parameters!$F$73, MOD(BC196,$F219)=0, BC127=1), 1, 0))</f>
        <v>0</v>
      </c>
      <c r="BD219" s="45">
        <f>IF(OR($F219=0,BD196=0), 0, IF(OR(BD196=1, $F219= Parameters!$F$73, MOD(BD196,$F219)=0, BD127=1), 1, 0))</f>
        <v>0</v>
      </c>
      <c r="BE219" s="45">
        <f>IF(OR($F219=0,BE196=0), 0, IF(OR(BE196=1, $F219= Parameters!$F$73, MOD(BE196,$F219)=0, BE127=1), 1, 0))</f>
        <v>0</v>
      </c>
      <c r="BF219" s="45">
        <f>IF(OR($F219=0,BF196=0), 0, IF(OR(BF196=1, $F219= Parameters!$F$73, MOD(BF196,$F219)=0, BF127=1), 1, 0))</f>
        <v>0</v>
      </c>
      <c r="BG219" s="45">
        <f>IF(OR($F219=0,BG196=0), 0, IF(OR(BG196=1, $F219= Parameters!$F$73, MOD(BG196,$F219)=0, BG127=1), 1, 0))</f>
        <v>0</v>
      </c>
      <c r="BH219" s="45">
        <f>IF(OR($F219=0,BH196=0), 0, IF(OR(BH196=1, $F219= Parameters!$F$73, MOD(BH196,$F219)=0, BH127=1), 1, 0))</f>
        <v>0</v>
      </c>
      <c r="BI219" s="45">
        <f>IF(OR($F219=0,BI196=0), 0, IF(OR(BI196=1, $F219= Parameters!$F$73, MOD(BI196,$F219)=0, BI127=1), 1, 0))</f>
        <v>0</v>
      </c>
      <c r="BJ219" s="45">
        <f>IF(OR($F219=0,BJ196=0), 0, IF(OR(BJ196=1, $F219= Parameters!$F$73, MOD(BJ196,$F219)=0, BJ127=1), 1, 0))</f>
        <v>0</v>
      </c>
      <c r="BL219" s="136"/>
      <c r="BM219" s="136"/>
      <c r="BN219" s="136"/>
      <c r="BO219" s="136"/>
      <c r="BP219" s="136"/>
      <c r="BQ219" s="136"/>
      <c r="BR219" s="136"/>
      <c r="BS219" s="136"/>
      <c r="BT219" s="136"/>
      <c r="BU219" s="136"/>
      <c r="BV219" s="136"/>
      <c r="BW219" s="136"/>
      <c r="BY219" s="12"/>
      <c r="CA219" s="12"/>
      <c r="EX219" s="10" t="str">
        <f t="shared" si="151"/>
        <v/>
      </c>
    </row>
    <row r="220" spans="1:154" s="67" customFormat="1" x14ac:dyDescent="0.25">
      <c r="B220" s="67" t="str">
        <f ca="1">Loans!B$25</f>
        <v>Loan 13</v>
      </c>
      <c r="D220" s="62">
        <f>Loans!D$25</f>
        <v>0</v>
      </c>
      <c r="E220" s="159" t="str">
        <f>IF(Loans!Q$25=0, "", Loans!Q$25)</f>
        <v/>
      </c>
      <c r="F220" s="10">
        <f>_xlfn.IFNA(INDEX(Parameters!$F$73:$F$77, MATCH(Loans!R25, Parameters!$D$73:$D$77,0)), 0)</f>
        <v>0</v>
      </c>
      <c r="S220" s="279"/>
      <c r="T220" s="335"/>
      <c r="U220" s="335"/>
      <c r="V220" s="136"/>
      <c r="W220" s="136"/>
      <c r="X220" s="136"/>
      <c r="Y220" s="136"/>
      <c r="AA220" s="45">
        <f>IF(OR($F220=0,AA197=0), 0, IF(OR(AA197=1, $F220= Parameters!$F$73, MOD(AA197,$F220)=0, AA128=1), 1, 0))</f>
        <v>0</v>
      </c>
      <c r="AB220" s="45">
        <f>IF(OR($F220=0,AB197=0), 0, IF(OR(AB197=1, $F220= Parameters!$F$73, MOD(AB197,$F220)=0, AB128=1), 1, 0))</f>
        <v>0</v>
      </c>
      <c r="AC220" s="45">
        <f>IF(OR($F220=0,AC197=0), 0, IF(OR(AC197=1, $F220= Parameters!$F$73, MOD(AC197,$F220)=0, AC128=1), 1, 0))</f>
        <v>0</v>
      </c>
      <c r="AD220" s="45">
        <f>IF(OR($F220=0,AD197=0), 0, IF(OR(AD197=1, $F220= Parameters!$F$73, MOD(AD197,$F220)=0, AD128=1), 1, 0))</f>
        <v>0</v>
      </c>
      <c r="AE220" s="45">
        <f>IF(OR($F220=0,AE197=0), 0, IF(OR(AE197=1, $F220= Parameters!$F$73, MOD(AE197,$F220)=0, AE128=1), 1, 0))</f>
        <v>0</v>
      </c>
      <c r="AF220" s="45">
        <f>IF(OR($F220=0,AF197=0), 0, IF(OR(AF197=1, $F220= Parameters!$F$73, MOD(AF197,$F220)=0, AF128=1), 1, 0))</f>
        <v>0</v>
      </c>
      <c r="AG220" s="45">
        <f>IF(OR($F220=0,AG197=0), 0, IF(OR(AG197=1, $F220= Parameters!$F$73, MOD(AG197,$F220)=0, AG128=1), 1, 0))</f>
        <v>0</v>
      </c>
      <c r="AH220" s="45">
        <f>IF(OR($F220=0,AH197=0), 0, IF(OR(AH197=1, $F220= Parameters!$F$73, MOD(AH197,$F220)=0, AH128=1), 1, 0))</f>
        <v>0</v>
      </c>
      <c r="AI220" s="45">
        <f>IF(OR($F220=0,AI197=0), 0, IF(OR(AI197=1, $F220= Parameters!$F$73, MOD(AI197,$F220)=0, AI128=1), 1, 0))</f>
        <v>0</v>
      </c>
      <c r="AJ220" s="45">
        <f>IF(OR($F220=0,AJ197=0), 0, IF(OR(AJ197=1, $F220= Parameters!$F$73, MOD(AJ197,$F220)=0, AJ128=1), 1, 0))</f>
        <v>0</v>
      </c>
      <c r="AK220" s="45">
        <f>IF(OR($F220=0,AK197=0), 0, IF(OR(AK197=1, $F220= Parameters!$F$73, MOD(AK197,$F220)=0, AK128=1), 1, 0))</f>
        <v>0</v>
      </c>
      <c r="AL220" s="45">
        <f>IF(OR($F220=0,AL197=0), 0, IF(OR(AL197=1, $F220= Parameters!$F$73, MOD(AL197,$F220)=0, AL128=1), 1, 0))</f>
        <v>0</v>
      </c>
      <c r="AM220" s="45">
        <f>IF(OR($F220=0,AM197=0), 0, IF(OR(AM197=1, $F220= Parameters!$F$73, MOD(AM197,$F220)=0, AM128=1), 1, 0))</f>
        <v>0</v>
      </c>
      <c r="AN220" s="45">
        <f>IF(OR($F220=0,AN197=0), 0, IF(OR(AN197=1, $F220= Parameters!$F$73, MOD(AN197,$F220)=0, AN128=1), 1, 0))</f>
        <v>0</v>
      </c>
      <c r="AO220" s="45">
        <f>IF(OR($F220=0,AO197=0), 0, IF(OR(AO197=1, $F220= Parameters!$F$73, MOD(AO197,$F220)=0, AO128=1), 1, 0))</f>
        <v>0</v>
      </c>
      <c r="AP220" s="45">
        <f>IF(OR($F220=0,AP197=0), 0, IF(OR(AP197=1, $F220= Parameters!$F$73, MOD(AP197,$F220)=0, AP128=1), 1, 0))</f>
        <v>0</v>
      </c>
      <c r="AQ220" s="45">
        <f>IF(OR($F220=0,AQ197=0), 0, IF(OR(AQ197=1, $F220= Parameters!$F$73, MOD(AQ197,$F220)=0, AQ128=1), 1, 0))</f>
        <v>0</v>
      </c>
      <c r="AR220" s="45">
        <f>IF(OR($F220=0,AR197=0), 0, IF(OR(AR197=1, $F220= Parameters!$F$73, MOD(AR197,$F220)=0, AR128=1), 1, 0))</f>
        <v>0</v>
      </c>
      <c r="AS220" s="45">
        <f>IF(OR($F220=0,AS197=0), 0, IF(OR(AS197=1, $F220= Parameters!$F$73, MOD(AS197,$F220)=0, AS128=1), 1, 0))</f>
        <v>0</v>
      </c>
      <c r="AT220" s="45">
        <f>IF(OR($F220=0,AT197=0), 0, IF(OR(AT197=1, $F220= Parameters!$F$73, MOD(AT197,$F220)=0, AT128=1), 1, 0))</f>
        <v>0</v>
      </c>
      <c r="AU220" s="45">
        <f>IF(OR($F220=0,AU197=0), 0, IF(OR(AU197=1, $F220= Parameters!$F$73, MOD(AU197,$F220)=0, AU128=1), 1, 0))</f>
        <v>0</v>
      </c>
      <c r="AV220" s="45">
        <f>IF(OR($F220=0,AV197=0), 0, IF(OR(AV197=1, $F220= Parameters!$F$73, MOD(AV197,$F220)=0, AV128=1), 1, 0))</f>
        <v>0</v>
      </c>
      <c r="AW220" s="45">
        <f>IF(OR($F220=0,AW197=0), 0, IF(OR(AW197=1, $F220= Parameters!$F$73, MOD(AW197,$F220)=0, AW128=1), 1, 0))</f>
        <v>0</v>
      </c>
      <c r="AX220" s="45">
        <f>IF(OR($F220=0,AX197=0), 0, IF(OR(AX197=1, $F220= Parameters!$F$73, MOD(AX197,$F220)=0, AX128=1), 1, 0))</f>
        <v>0</v>
      </c>
      <c r="AY220" s="45">
        <f>IF(OR($F220=0,AY197=0), 0, IF(OR(AY197=1, $F220= Parameters!$F$73, MOD(AY197,$F220)=0, AY128=1), 1, 0))</f>
        <v>0</v>
      </c>
      <c r="AZ220" s="45">
        <f>IF(OR($F220=0,AZ197=0), 0, IF(OR(AZ197=1, $F220= Parameters!$F$73, MOD(AZ197,$F220)=0, AZ128=1), 1, 0))</f>
        <v>0</v>
      </c>
      <c r="BA220" s="45">
        <f>IF(OR($F220=0,BA197=0), 0, IF(OR(BA197=1, $F220= Parameters!$F$73, MOD(BA197,$F220)=0, BA128=1), 1, 0))</f>
        <v>0</v>
      </c>
      <c r="BB220" s="45">
        <f>IF(OR($F220=0,BB197=0), 0, IF(OR(BB197=1, $F220= Parameters!$F$73, MOD(BB197,$F220)=0, BB128=1), 1, 0))</f>
        <v>0</v>
      </c>
      <c r="BC220" s="45">
        <f>IF(OR($F220=0,BC197=0), 0, IF(OR(BC197=1, $F220= Parameters!$F$73, MOD(BC197,$F220)=0, BC128=1), 1, 0))</f>
        <v>0</v>
      </c>
      <c r="BD220" s="45">
        <f>IF(OR($F220=0,BD197=0), 0, IF(OR(BD197=1, $F220= Parameters!$F$73, MOD(BD197,$F220)=0, BD128=1), 1, 0))</f>
        <v>0</v>
      </c>
      <c r="BE220" s="45">
        <f>IF(OR($F220=0,BE197=0), 0, IF(OR(BE197=1, $F220= Parameters!$F$73, MOD(BE197,$F220)=0, BE128=1), 1, 0))</f>
        <v>0</v>
      </c>
      <c r="BF220" s="45">
        <f>IF(OR($F220=0,BF197=0), 0, IF(OR(BF197=1, $F220= Parameters!$F$73, MOD(BF197,$F220)=0, BF128=1), 1, 0))</f>
        <v>0</v>
      </c>
      <c r="BG220" s="45">
        <f>IF(OR($F220=0,BG197=0), 0, IF(OR(BG197=1, $F220= Parameters!$F$73, MOD(BG197,$F220)=0, BG128=1), 1, 0))</f>
        <v>0</v>
      </c>
      <c r="BH220" s="45">
        <f>IF(OR($F220=0,BH197=0), 0, IF(OR(BH197=1, $F220= Parameters!$F$73, MOD(BH197,$F220)=0, BH128=1), 1, 0))</f>
        <v>0</v>
      </c>
      <c r="BI220" s="45">
        <f>IF(OR($F220=0,BI197=0), 0, IF(OR(BI197=1, $F220= Parameters!$F$73, MOD(BI197,$F220)=0, BI128=1), 1, 0))</f>
        <v>0</v>
      </c>
      <c r="BJ220" s="45">
        <f>IF(OR($F220=0,BJ197=0), 0, IF(OR(BJ197=1, $F220= Parameters!$F$73, MOD(BJ197,$F220)=0, BJ128=1), 1, 0))</f>
        <v>0</v>
      </c>
      <c r="BL220" s="136"/>
      <c r="BM220" s="136"/>
      <c r="BN220" s="136"/>
      <c r="BO220" s="136"/>
      <c r="BP220" s="136"/>
      <c r="BQ220" s="136"/>
      <c r="BR220" s="136"/>
      <c r="BS220" s="136"/>
      <c r="BT220" s="136"/>
      <c r="BU220" s="136"/>
      <c r="BV220" s="136"/>
      <c r="BW220" s="136"/>
      <c r="BY220" s="12"/>
      <c r="CA220" s="12"/>
      <c r="EX220" s="10" t="str">
        <f t="shared" si="151"/>
        <v/>
      </c>
    </row>
    <row r="221" spans="1:154" s="67" customFormat="1" x14ac:dyDescent="0.25">
      <c r="B221" s="67" t="str">
        <f ca="1">Loans!B$26</f>
        <v>Loan 14</v>
      </c>
      <c r="D221" s="62">
        <f>Loans!D$26</f>
        <v>0</v>
      </c>
      <c r="E221" s="159" t="str">
        <f>IF(Loans!Q$26=0, "", Loans!Q$26)</f>
        <v/>
      </c>
      <c r="F221" s="10">
        <f>_xlfn.IFNA(INDEX(Parameters!$F$73:$F$77, MATCH(Loans!R26, Parameters!$D$73:$D$77,0)), 0)</f>
        <v>0</v>
      </c>
      <c r="S221" s="279"/>
      <c r="T221" s="335"/>
      <c r="U221" s="335"/>
      <c r="V221" s="136"/>
      <c r="W221" s="136"/>
      <c r="X221" s="136"/>
      <c r="Y221" s="136"/>
      <c r="AA221" s="45">
        <f>IF(OR($F221=0,AA198=0), 0, IF(OR(AA198=1, $F221= Parameters!$F$73, MOD(AA198,$F221)=0, AA129=1), 1, 0))</f>
        <v>0</v>
      </c>
      <c r="AB221" s="45">
        <f>IF(OR($F221=0,AB198=0), 0, IF(OR(AB198=1, $F221= Parameters!$F$73, MOD(AB198,$F221)=0, AB129=1), 1, 0))</f>
        <v>0</v>
      </c>
      <c r="AC221" s="45">
        <f>IF(OR($F221=0,AC198=0), 0, IF(OR(AC198=1, $F221= Parameters!$F$73, MOD(AC198,$F221)=0, AC129=1), 1, 0))</f>
        <v>0</v>
      </c>
      <c r="AD221" s="45">
        <f>IF(OR($F221=0,AD198=0), 0, IF(OR(AD198=1, $F221= Parameters!$F$73, MOD(AD198,$F221)=0, AD129=1), 1, 0))</f>
        <v>0</v>
      </c>
      <c r="AE221" s="45">
        <f>IF(OR($F221=0,AE198=0), 0, IF(OR(AE198=1, $F221= Parameters!$F$73, MOD(AE198,$F221)=0, AE129=1), 1, 0))</f>
        <v>0</v>
      </c>
      <c r="AF221" s="45">
        <f>IF(OR($F221=0,AF198=0), 0, IF(OR(AF198=1, $F221= Parameters!$F$73, MOD(AF198,$F221)=0, AF129=1), 1, 0))</f>
        <v>0</v>
      </c>
      <c r="AG221" s="45">
        <f>IF(OR($F221=0,AG198=0), 0, IF(OR(AG198=1, $F221= Parameters!$F$73, MOD(AG198,$F221)=0, AG129=1), 1, 0))</f>
        <v>0</v>
      </c>
      <c r="AH221" s="45">
        <f>IF(OR($F221=0,AH198=0), 0, IF(OR(AH198=1, $F221= Parameters!$F$73, MOD(AH198,$F221)=0, AH129=1), 1, 0))</f>
        <v>0</v>
      </c>
      <c r="AI221" s="45">
        <f>IF(OR($F221=0,AI198=0), 0, IF(OR(AI198=1, $F221= Parameters!$F$73, MOD(AI198,$F221)=0, AI129=1), 1, 0))</f>
        <v>0</v>
      </c>
      <c r="AJ221" s="45">
        <f>IF(OR($F221=0,AJ198=0), 0, IF(OR(AJ198=1, $F221= Parameters!$F$73, MOD(AJ198,$F221)=0, AJ129=1), 1, 0))</f>
        <v>0</v>
      </c>
      <c r="AK221" s="45">
        <f>IF(OR($F221=0,AK198=0), 0, IF(OR(AK198=1, $F221= Parameters!$F$73, MOD(AK198,$F221)=0, AK129=1), 1, 0))</f>
        <v>0</v>
      </c>
      <c r="AL221" s="45">
        <f>IF(OR($F221=0,AL198=0), 0, IF(OR(AL198=1, $F221= Parameters!$F$73, MOD(AL198,$F221)=0, AL129=1), 1, 0))</f>
        <v>0</v>
      </c>
      <c r="AM221" s="45">
        <f>IF(OR($F221=0,AM198=0), 0, IF(OR(AM198=1, $F221= Parameters!$F$73, MOD(AM198,$F221)=0, AM129=1), 1, 0))</f>
        <v>0</v>
      </c>
      <c r="AN221" s="45">
        <f>IF(OR($F221=0,AN198=0), 0, IF(OR(AN198=1, $F221= Parameters!$F$73, MOD(AN198,$F221)=0, AN129=1), 1, 0))</f>
        <v>0</v>
      </c>
      <c r="AO221" s="45">
        <f>IF(OR($F221=0,AO198=0), 0, IF(OR(AO198=1, $F221= Parameters!$F$73, MOD(AO198,$F221)=0, AO129=1), 1, 0))</f>
        <v>0</v>
      </c>
      <c r="AP221" s="45">
        <f>IF(OR($F221=0,AP198=0), 0, IF(OR(AP198=1, $F221= Parameters!$F$73, MOD(AP198,$F221)=0, AP129=1), 1, 0))</f>
        <v>0</v>
      </c>
      <c r="AQ221" s="45">
        <f>IF(OR($F221=0,AQ198=0), 0, IF(OR(AQ198=1, $F221= Parameters!$F$73, MOD(AQ198,$F221)=0, AQ129=1), 1, 0))</f>
        <v>0</v>
      </c>
      <c r="AR221" s="45">
        <f>IF(OR($F221=0,AR198=0), 0, IF(OR(AR198=1, $F221= Parameters!$F$73, MOD(AR198,$F221)=0, AR129=1), 1, 0))</f>
        <v>0</v>
      </c>
      <c r="AS221" s="45">
        <f>IF(OR($F221=0,AS198=0), 0, IF(OR(AS198=1, $F221= Parameters!$F$73, MOD(AS198,$F221)=0, AS129=1), 1, 0))</f>
        <v>0</v>
      </c>
      <c r="AT221" s="45">
        <f>IF(OR($F221=0,AT198=0), 0, IF(OR(AT198=1, $F221= Parameters!$F$73, MOD(AT198,$F221)=0, AT129=1), 1, 0))</f>
        <v>0</v>
      </c>
      <c r="AU221" s="45">
        <f>IF(OR($F221=0,AU198=0), 0, IF(OR(AU198=1, $F221= Parameters!$F$73, MOD(AU198,$F221)=0, AU129=1), 1, 0))</f>
        <v>0</v>
      </c>
      <c r="AV221" s="45">
        <f>IF(OR($F221=0,AV198=0), 0, IF(OR(AV198=1, $F221= Parameters!$F$73, MOD(AV198,$F221)=0, AV129=1), 1, 0))</f>
        <v>0</v>
      </c>
      <c r="AW221" s="45">
        <f>IF(OR($F221=0,AW198=0), 0, IF(OR(AW198=1, $F221= Parameters!$F$73, MOD(AW198,$F221)=0, AW129=1), 1, 0))</f>
        <v>0</v>
      </c>
      <c r="AX221" s="45">
        <f>IF(OR($F221=0,AX198=0), 0, IF(OR(AX198=1, $F221= Parameters!$F$73, MOD(AX198,$F221)=0, AX129=1), 1, 0))</f>
        <v>0</v>
      </c>
      <c r="AY221" s="45">
        <f>IF(OR($F221=0,AY198=0), 0, IF(OR(AY198=1, $F221= Parameters!$F$73, MOD(AY198,$F221)=0, AY129=1), 1, 0))</f>
        <v>0</v>
      </c>
      <c r="AZ221" s="45">
        <f>IF(OR($F221=0,AZ198=0), 0, IF(OR(AZ198=1, $F221= Parameters!$F$73, MOD(AZ198,$F221)=0, AZ129=1), 1, 0))</f>
        <v>0</v>
      </c>
      <c r="BA221" s="45">
        <f>IF(OR($F221=0,BA198=0), 0, IF(OR(BA198=1, $F221= Parameters!$F$73, MOD(BA198,$F221)=0, BA129=1), 1, 0))</f>
        <v>0</v>
      </c>
      <c r="BB221" s="45">
        <f>IF(OR($F221=0,BB198=0), 0, IF(OR(BB198=1, $F221= Parameters!$F$73, MOD(BB198,$F221)=0, BB129=1), 1, 0))</f>
        <v>0</v>
      </c>
      <c r="BC221" s="45">
        <f>IF(OR($F221=0,BC198=0), 0, IF(OR(BC198=1, $F221= Parameters!$F$73, MOD(BC198,$F221)=0, BC129=1), 1, 0))</f>
        <v>0</v>
      </c>
      <c r="BD221" s="45">
        <f>IF(OR($F221=0,BD198=0), 0, IF(OR(BD198=1, $F221= Parameters!$F$73, MOD(BD198,$F221)=0, BD129=1), 1, 0))</f>
        <v>0</v>
      </c>
      <c r="BE221" s="45">
        <f>IF(OR($F221=0,BE198=0), 0, IF(OR(BE198=1, $F221= Parameters!$F$73, MOD(BE198,$F221)=0, BE129=1), 1, 0))</f>
        <v>0</v>
      </c>
      <c r="BF221" s="45">
        <f>IF(OR($F221=0,BF198=0), 0, IF(OR(BF198=1, $F221= Parameters!$F$73, MOD(BF198,$F221)=0, BF129=1), 1, 0))</f>
        <v>0</v>
      </c>
      <c r="BG221" s="45">
        <f>IF(OR($F221=0,BG198=0), 0, IF(OR(BG198=1, $F221= Parameters!$F$73, MOD(BG198,$F221)=0, BG129=1), 1, 0))</f>
        <v>0</v>
      </c>
      <c r="BH221" s="45">
        <f>IF(OR($F221=0,BH198=0), 0, IF(OR(BH198=1, $F221= Parameters!$F$73, MOD(BH198,$F221)=0, BH129=1), 1, 0))</f>
        <v>0</v>
      </c>
      <c r="BI221" s="45">
        <f>IF(OR($F221=0,BI198=0), 0, IF(OR(BI198=1, $F221= Parameters!$F$73, MOD(BI198,$F221)=0, BI129=1), 1, 0))</f>
        <v>0</v>
      </c>
      <c r="BJ221" s="45">
        <f>IF(OR($F221=0,BJ198=0), 0, IF(OR(BJ198=1, $F221= Parameters!$F$73, MOD(BJ198,$F221)=0, BJ129=1), 1, 0))</f>
        <v>0</v>
      </c>
      <c r="BL221" s="136"/>
      <c r="BM221" s="136"/>
      <c r="BN221" s="136"/>
      <c r="BO221" s="136"/>
      <c r="BP221" s="136"/>
      <c r="BQ221" s="136"/>
      <c r="BR221" s="136"/>
      <c r="BS221" s="136"/>
      <c r="BT221" s="136"/>
      <c r="BU221" s="136"/>
      <c r="BV221" s="136"/>
      <c r="BW221" s="136"/>
      <c r="BY221" s="12"/>
      <c r="CA221" s="12"/>
      <c r="EX221" s="10" t="str">
        <f t="shared" si="151"/>
        <v/>
      </c>
    </row>
    <row r="222" spans="1:154" s="67" customFormat="1" x14ac:dyDescent="0.25">
      <c r="B222" s="67" t="str">
        <f ca="1">Loans!B$27</f>
        <v>Loan 15</v>
      </c>
      <c r="D222" s="62">
        <f>Loans!D$27</f>
        <v>0</v>
      </c>
      <c r="E222" s="159" t="str">
        <f>IF(Loans!Q$27=0, "", Loans!Q$27)</f>
        <v/>
      </c>
      <c r="F222" s="10">
        <f>_xlfn.IFNA(INDEX(Parameters!$F$73:$F$77, MATCH(Loans!R27, Parameters!$D$73:$D$77,0)), 0)</f>
        <v>0</v>
      </c>
      <c r="S222" s="279"/>
      <c r="T222" s="335"/>
      <c r="U222" s="335"/>
      <c r="V222" s="136"/>
      <c r="W222" s="136"/>
      <c r="X222" s="136"/>
      <c r="Y222" s="136"/>
      <c r="AA222" s="45">
        <f>IF(OR($F222=0,AA199=0), 0, IF(OR(AA199=1, $F222= Parameters!$F$73, MOD(AA199,$F222)=0, AA130=1), 1, 0))</f>
        <v>0</v>
      </c>
      <c r="AB222" s="45">
        <f>IF(OR($F222=0,AB199=0), 0, IF(OR(AB199=1, $F222= Parameters!$F$73, MOD(AB199,$F222)=0, AB130=1), 1, 0))</f>
        <v>0</v>
      </c>
      <c r="AC222" s="45">
        <f>IF(OR($F222=0,AC199=0), 0, IF(OR(AC199=1, $F222= Parameters!$F$73, MOD(AC199,$F222)=0, AC130=1), 1, 0))</f>
        <v>0</v>
      </c>
      <c r="AD222" s="45">
        <f>IF(OR($F222=0,AD199=0), 0, IF(OR(AD199=1, $F222= Parameters!$F$73, MOD(AD199,$F222)=0, AD130=1), 1, 0))</f>
        <v>0</v>
      </c>
      <c r="AE222" s="45">
        <f>IF(OR($F222=0,AE199=0), 0, IF(OR(AE199=1, $F222= Parameters!$F$73, MOD(AE199,$F222)=0, AE130=1), 1, 0))</f>
        <v>0</v>
      </c>
      <c r="AF222" s="45">
        <f>IF(OR($F222=0,AF199=0), 0, IF(OR(AF199=1, $F222= Parameters!$F$73, MOD(AF199,$F222)=0, AF130=1), 1, 0))</f>
        <v>0</v>
      </c>
      <c r="AG222" s="45">
        <f>IF(OR($F222=0,AG199=0), 0, IF(OR(AG199=1, $F222= Parameters!$F$73, MOD(AG199,$F222)=0, AG130=1), 1, 0))</f>
        <v>0</v>
      </c>
      <c r="AH222" s="45">
        <f>IF(OR($F222=0,AH199=0), 0, IF(OR(AH199=1, $F222= Parameters!$F$73, MOD(AH199,$F222)=0, AH130=1), 1, 0))</f>
        <v>0</v>
      </c>
      <c r="AI222" s="45">
        <f>IF(OR($F222=0,AI199=0), 0, IF(OR(AI199=1, $F222= Parameters!$F$73, MOD(AI199,$F222)=0, AI130=1), 1, 0))</f>
        <v>0</v>
      </c>
      <c r="AJ222" s="45">
        <f>IF(OR($F222=0,AJ199=0), 0, IF(OR(AJ199=1, $F222= Parameters!$F$73, MOD(AJ199,$F222)=0, AJ130=1), 1, 0))</f>
        <v>0</v>
      </c>
      <c r="AK222" s="45">
        <f>IF(OR($F222=0,AK199=0), 0, IF(OR(AK199=1, $F222= Parameters!$F$73, MOD(AK199,$F222)=0, AK130=1), 1, 0))</f>
        <v>0</v>
      </c>
      <c r="AL222" s="45">
        <f>IF(OR($F222=0,AL199=0), 0, IF(OR(AL199=1, $F222= Parameters!$F$73, MOD(AL199,$F222)=0, AL130=1), 1, 0))</f>
        <v>0</v>
      </c>
      <c r="AM222" s="45">
        <f>IF(OR($F222=0,AM199=0), 0, IF(OR(AM199=1, $F222= Parameters!$F$73, MOD(AM199,$F222)=0, AM130=1), 1, 0))</f>
        <v>0</v>
      </c>
      <c r="AN222" s="45">
        <f>IF(OR($F222=0,AN199=0), 0, IF(OR(AN199=1, $F222= Parameters!$F$73, MOD(AN199,$F222)=0, AN130=1), 1, 0))</f>
        <v>0</v>
      </c>
      <c r="AO222" s="45">
        <f>IF(OR($F222=0,AO199=0), 0, IF(OR(AO199=1, $F222= Parameters!$F$73, MOD(AO199,$F222)=0, AO130=1), 1, 0))</f>
        <v>0</v>
      </c>
      <c r="AP222" s="45">
        <f>IF(OR($F222=0,AP199=0), 0, IF(OR(AP199=1, $F222= Parameters!$F$73, MOD(AP199,$F222)=0, AP130=1), 1, 0))</f>
        <v>0</v>
      </c>
      <c r="AQ222" s="45">
        <f>IF(OR($F222=0,AQ199=0), 0, IF(OR(AQ199=1, $F222= Parameters!$F$73, MOD(AQ199,$F222)=0, AQ130=1), 1, 0))</f>
        <v>0</v>
      </c>
      <c r="AR222" s="45">
        <f>IF(OR($F222=0,AR199=0), 0, IF(OR(AR199=1, $F222= Parameters!$F$73, MOD(AR199,$F222)=0, AR130=1), 1, 0))</f>
        <v>0</v>
      </c>
      <c r="AS222" s="45">
        <f>IF(OR($F222=0,AS199=0), 0, IF(OR(AS199=1, $F222= Parameters!$F$73, MOD(AS199,$F222)=0, AS130=1), 1, 0))</f>
        <v>0</v>
      </c>
      <c r="AT222" s="45">
        <f>IF(OR($F222=0,AT199=0), 0, IF(OR(AT199=1, $F222= Parameters!$F$73, MOD(AT199,$F222)=0, AT130=1), 1, 0))</f>
        <v>0</v>
      </c>
      <c r="AU222" s="45">
        <f>IF(OR($F222=0,AU199=0), 0, IF(OR(AU199=1, $F222= Parameters!$F$73, MOD(AU199,$F222)=0, AU130=1), 1, 0))</f>
        <v>0</v>
      </c>
      <c r="AV222" s="45">
        <f>IF(OR($F222=0,AV199=0), 0, IF(OR(AV199=1, $F222= Parameters!$F$73, MOD(AV199,$F222)=0, AV130=1), 1, 0))</f>
        <v>0</v>
      </c>
      <c r="AW222" s="45">
        <f>IF(OR($F222=0,AW199=0), 0, IF(OR(AW199=1, $F222= Parameters!$F$73, MOD(AW199,$F222)=0, AW130=1), 1, 0))</f>
        <v>0</v>
      </c>
      <c r="AX222" s="45">
        <f>IF(OR($F222=0,AX199=0), 0, IF(OR(AX199=1, $F222= Parameters!$F$73, MOD(AX199,$F222)=0, AX130=1), 1, 0))</f>
        <v>0</v>
      </c>
      <c r="AY222" s="45">
        <f>IF(OR($F222=0,AY199=0), 0, IF(OR(AY199=1, $F222= Parameters!$F$73, MOD(AY199,$F222)=0, AY130=1), 1, 0))</f>
        <v>0</v>
      </c>
      <c r="AZ222" s="45">
        <f>IF(OR($F222=0,AZ199=0), 0, IF(OR(AZ199=1, $F222= Parameters!$F$73, MOD(AZ199,$F222)=0, AZ130=1), 1, 0))</f>
        <v>0</v>
      </c>
      <c r="BA222" s="45">
        <f>IF(OR($F222=0,BA199=0), 0, IF(OR(BA199=1, $F222= Parameters!$F$73, MOD(BA199,$F222)=0, BA130=1), 1, 0))</f>
        <v>0</v>
      </c>
      <c r="BB222" s="45">
        <f>IF(OR($F222=0,BB199=0), 0, IF(OR(BB199=1, $F222= Parameters!$F$73, MOD(BB199,$F222)=0, BB130=1), 1, 0))</f>
        <v>0</v>
      </c>
      <c r="BC222" s="45">
        <f>IF(OR($F222=0,BC199=0), 0, IF(OR(BC199=1, $F222= Parameters!$F$73, MOD(BC199,$F222)=0, BC130=1), 1, 0))</f>
        <v>0</v>
      </c>
      <c r="BD222" s="45">
        <f>IF(OR($F222=0,BD199=0), 0, IF(OR(BD199=1, $F222= Parameters!$F$73, MOD(BD199,$F222)=0, BD130=1), 1, 0))</f>
        <v>0</v>
      </c>
      <c r="BE222" s="45">
        <f>IF(OR($F222=0,BE199=0), 0, IF(OR(BE199=1, $F222= Parameters!$F$73, MOD(BE199,$F222)=0, BE130=1), 1, 0))</f>
        <v>0</v>
      </c>
      <c r="BF222" s="45">
        <f>IF(OR($F222=0,BF199=0), 0, IF(OR(BF199=1, $F222= Parameters!$F$73, MOD(BF199,$F222)=0, BF130=1), 1, 0))</f>
        <v>0</v>
      </c>
      <c r="BG222" s="45">
        <f>IF(OR($F222=0,BG199=0), 0, IF(OR(BG199=1, $F222= Parameters!$F$73, MOD(BG199,$F222)=0, BG130=1), 1, 0))</f>
        <v>0</v>
      </c>
      <c r="BH222" s="45">
        <f>IF(OR($F222=0,BH199=0), 0, IF(OR(BH199=1, $F222= Parameters!$F$73, MOD(BH199,$F222)=0, BH130=1), 1, 0))</f>
        <v>0</v>
      </c>
      <c r="BI222" s="45">
        <f>IF(OR($F222=0,BI199=0), 0, IF(OR(BI199=1, $F222= Parameters!$F$73, MOD(BI199,$F222)=0, BI130=1), 1, 0))</f>
        <v>0</v>
      </c>
      <c r="BJ222" s="45">
        <f>IF(OR($F222=0,BJ199=0), 0, IF(OR(BJ199=1, $F222= Parameters!$F$73, MOD(BJ199,$F222)=0, BJ130=1), 1, 0))</f>
        <v>0</v>
      </c>
      <c r="BL222" s="136"/>
      <c r="BM222" s="136"/>
      <c r="BN222" s="136"/>
      <c r="BO222" s="136"/>
      <c r="BP222" s="136"/>
      <c r="BQ222" s="136"/>
      <c r="BR222" s="136"/>
      <c r="BS222" s="136"/>
      <c r="BT222" s="136"/>
      <c r="BU222" s="136"/>
      <c r="BV222" s="136"/>
      <c r="BW222" s="136"/>
      <c r="BY222" s="12"/>
      <c r="CA222" s="12"/>
      <c r="EX222" s="10" t="str">
        <f t="shared" si="151"/>
        <v/>
      </c>
    </row>
    <row r="223" spans="1:154" s="67" customFormat="1" x14ac:dyDescent="0.25">
      <c r="B223" s="67" t="str">
        <f ca="1">Loans!B$28</f>
        <v>Loan 16</v>
      </c>
      <c r="D223" s="62">
        <f>Loans!D$28</f>
        <v>0</v>
      </c>
      <c r="E223" s="159" t="str">
        <f>IF(Loans!Q$28=0, "", Loans!Q$28)</f>
        <v/>
      </c>
      <c r="F223" s="10">
        <f>_xlfn.IFNA(INDEX(Parameters!$F$73:$F$77, MATCH(Loans!R28, Parameters!$D$73:$D$77,0)), 0)</f>
        <v>0</v>
      </c>
      <c r="S223" s="279"/>
      <c r="T223" s="335"/>
      <c r="U223" s="335"/>
      <c r="V223" s="136"/>
      <c r="W223" s="136"/>
      <c r="X223" s="136"/>
      <c r="Y223" s="136"/>
      <c r="AA223" s="45">
        <f>IF(OR($F223=0,AA200=0), 0, IF(OR(AA200=1, $F223= Parameters!$F$73, MOD(AA200,$F223)=0, AA131=1), 1, 0))</f>
        <v>0</v>
      </c>
      <c r="AB223" s="45">
        <f>IF(OR($F223=0,AB200=0), 0, IF(OR(AB200=1, $F223= Parameters!$F$73, MOD(AB200,$F223)=0, AB131=1), 1, 0))</f>
        <v>0</v>
      </c>
      <c r="AC223" s="45">
        <f>IF(OR($F223=0,AC200=0), 0, IF(OR(AC200=1, $F223= Parameters!$F$73, MOD(AC200,$F223)=0, AC131=1), 1, 0))</f>
        <v>0</v>
      </c>
      <c r="AD223" s="45">
        <f>IF(OR($F223=0,AD200=0), 0, IF(OR(AD200=1, $F223= Parameters!$F$73, MOD(AD200,$F223)=0, AD131=1), 1, 0))</f>
        <v>0</v>
      </c>
      <c r="AE223" s="45">
        <f>IF(OR($F223=0,AE200=0), 0, IF(OR(AE200=1, $F223= Parameters!$F$73, MOD(AE200,$F223)=0, AE131=1), 1, 0))</f>
        <v>0</v>
      </c>
      <c r="AF223" s="45">
        <f>IF(OR($F223=0,AF200=0), 0, IF(OR(AF200=1, $F223= Parameters!$F$73, MOD(AF200,$F223)=0, AF131=1), 1, 0))</f>
        <v>0</v>
      </c>
      <c r="AG223" s="45">
        <f>IF(OR($F223=0,AG200=0), 0, IF(OR(AG200=1, $F223= Parameters!$F$73, MOD(AG200,$F223)=0, AG131=1), 1, 0))</f>
        <v>0</v>
      </c>
      <c r="AH223" s="45">
        <f>IF(OR($F223=0,AH200=0), 0, IF(OR(AH200=1, $F223= Parameters!$F$73, MOD(AH200,$F223)=0, AH131=1), 1, 0))</f>
        <v>0</v>
      </c>
      <c r="AI223" s="45">
        <f>IF(OR($F223=0,AI200=0), 0, IF(OR(AI200=1, $F223= Parameters!$F$73, MOD(AI200,$F223)=0, AI131=1), 1, 0))</f>
        <v>0</v>
      </c>
      <c r="AJ223" s="45">
        <f>IF(OR($F223=0,AJ200=0), 0, IF(OR(AJ200=1, $F223= Parameters!$F$73, MOD(AJ200,$F223)=0, AJ131=1), 1, 0))</f>
        <v>0</v>
      </c>
      <c r="AK223" s="45">
        <f>IF(OR($F223=0,AK200=0), 0, IF(OR(AK200=1, $F223= Parameters!$F$73, MOD(AK200,$F223)=0, AK131=1), 1, 0))</f>
        <v>0</v>
      </c>
      <c r="AL223" s="45">
        <f>IF(OR($F223=0,AL200=0), 0, IF(OR(AL200=1, $F223= Parameters!$F$73, MOD(AL200,$F223)=0, AL131=1), 1, 0))</f>
        <v>0</v>
      </c>
      <c r="AM223" s="45">
        <f>IF(OR($F223=0,AM200=0), 0, IF(OR(AM200=1, $F223= Parameters!$F$73, MOD(AM200,$F223)=0, AM131=1), 1, 0))</f>
        <v>0</v>
      </c>
      <c r="AN223" s="45">
        <f>IF(OR($F223=0,AN200=0), 0, IF(OR(AN200=1, $F223= Parameters!$F$73, MOD(AN200,$F223)=0, AN131=1), 1, 0))</f>
        <v>0</v>
      </c>
      <c r="AO223" s="45">
        <f>IF(OR($F223=0,AO200=0), 0, IF(OR(AO200=1, $F223= Parameters!$F$73, MOD(AO200,$F223)=0, AO131=1), 1, 0))</f>
        <v>0</v>
      </c>
      <c r="AP223" s="45">
        <f>IF(OR($F223=0,AP200=0), 0, IF(OR(AP200=1, $F223= Parameters!$F$73, MOD(AP200,$F223)=0, AP131=1), 1, 0))</f>
        <v>0</v>
      </c>
      <c r="AQ223" s="45">
        <f>IF(OR($F223=0,AQ200=0), 0, IF(OR(AQ200=1, $F223= Parameters!$F$73, MOD(AQ200,$F223)=0, AQ131=1), 1, 0))</f>
        <v>0</v>
      </c>
      <c r="AR223" s="45">
        <f>IF(OR($F223=0,AR200=0), 0, IF(OR(AR200=1, $F223= Parameters!$F$73, MOD(AR200,$F223)=0, AR131=1), 1, 0))</f>
        <v>0</v>
      </c>
      <c r="AS223" s="45">
        <f>IF(OR($F223=0,AS200=0), 0, IF(OR(AS200=1, $F223= Parameters!$F$73, MOD(AS200,$F223)=0, AS131=1), 1, 0))</f>
        <v>0</v>
      </c>
      <c r="AT223" s="45">
        <f>IF(OR($F223=0,AT200=0), 0, IF(OR(AT200=1, $F223= Parameters!$F$73, MOD(AT200,$F223)=0, AT131=1), 1, 0))</f>
        <v>0</v>
      </c>
      <c r="AU223" s="45">
        <f>IF(OR($F223=0,AU200=0), 0, IF(OR(AU200=1, $F223= Parameters!$F$73, MOD(AU200,$F223)=0, AU131=1), 1, 0))</f>
        <v>0</v>
      </c>
      <c r="AV223" s="45">
        <f>IF(OR($F223=0,AV200=0), 0, IF(OR(AV200=1, $F223= Parameters!$F$73, MOD(AV200,$F223)=0, AV131=1), 1, 0))</f>
        <v>0</v>
      </c>
      <c r="AW223" s="45">
        <f>IF(OR($F223=0,AW200=0), 0, IF(OR(AW200=1, $F223= Parameters!$F$73, MOD(AW200,$F223)=0, AW131=1), 1, 0))</f>
        <v>0</v>
      </c>
      <c r="AX223" s="45">
        <f>IF(OR($F223=0,AX200=0), 0, IF(OR(AX200=1, $F223= Parameters!$F$73, MOD(AX200,$F223)=0, AX131=1), 1, 0))</f>
        <v>0</v>
      </c>
      <c r="AY223" s="45">
        <f>IF(OR($F223=0,AY200=0), 0, IF(OR(AY200=1, $F223= Parameters!$F$73, MOD(AY200,$F223)=0, AY131=1), 1, 0))</f>
        <v>0</v>
      </c>
      <c r="AZ223" s="45">
        <f>IF(OR($F223=0,AZ200=0), 0, IF(OR(AZ200=1, $F223= Parameters!$F$73, MOD(AZ200,$F223)=0, AZ131=1), 1, 0))</f>
        <v>0</v>
      </c>
      <c r="BA223" s="45">
        <f>IF(OR($F223=0,BA200=0), 0, IF(OR(BA200=1, $F223= Parameters!$F$73, MOD(BA200,$F223)=0, BA131=1), 1, 0))</f>
        <v>0</v>
      </c>
      <c r="BB223" s="45">
        <f>IF(OR($F223=0,BB200=0), 0, IF(OR(BB200=1, $F223= Parameters!$F$73, MOD(BB200,$F223)=0, BB131=1), 1, 0))</f>
        <v>0</v>
      </c>
      <c r="BC223" s="45">
        <f>IF(OR($F223=0,BC200=0), 0, IF(OR(BC200=1, $F223= Parameters!$F$73, MOD(BC200,$F223)=0, BC131=1), 1, 0))</f>
        <v>0</v>
      </c>
      <c r="BD223" s="45">
        <f>IF(OR($F223=0,BD200=0), 0, IF(OR(BD200=1, $F223= Parameters!$F$73, MOD(BD200,$F223)=0, BD131=1), 1, 0))</f>
        <v>0</v>
      </c>
      <c r="BE223" s="45">
        <f>IF(OR($F223=0,BE200=0), 0, IF(OR(BE200=1, $F223= Parameters!$F$73, MOD(BE200,$F223)=0, BE131=1), 1, 0))</f>
        <v>0</v>
      </c>
      <c r="BF223" s="45">
        <f>IF(OR($F223=0,BF200=0), 0, IF(OR(BF200=1, $F223= Parameters!$F$73, MOD(BF200,$F223)=0, BF131=1), 1, 0))</f>
        <v>0</v>
      </c>
      <c r="BG223" s="45">
        <f>IF(OR($F223=0,BG200=0), 0, IF(OR(BG200=1, $F223= Parameters!$F$73, MOD(BG200,$F223)=0, BG131=1), 1, 0))</f>
        <v>0</v>
      </c>
      <c r="BH223" s="45">
        <f>IF(OR($F223=0,BH200=0), 0, IF(OR(BH200=1, $F223= Parameters!$F$73, MOD(BH200,$F223)=0, BH131=1), 1, 0))</f>
        <v>0</v>
      </c>
      <c r="BI223" s="45">
        <f>IF(OR($F223=0,BI200=0), 0, IF(OR(BI200=1, $F223= Parameters!$F$73, MOD(BI200,$F223)=0, BI131=1), 1, 0))</f>
        <v>0</v>
      </c>
      <c r="BJ223" s="45">
        <f>IF(OR($F223=0,BJ200=0), 0, IF(OR(BJ200=1, $F223= Parameters!$F$73, MOD(BJ200,$F223)=0, BJ131=1), 1, 0))</f>
        <v>0</v>
      </c>
      <c r="BL223" s="136"/>
      <c r="BM223" s="136"/>
      <c r="BN223" s="136"/>
      <c r="BO223" s="136"/>
      <c r="BP223" s="136"/>
      <c r="BQ223" s="136"/>
      <c r="BR223" s="136"/>
      <c r="BS223" s="136"/>
      <c r="BT223" s="136"/>
      <c r="BU223" s="136"/>
      <c r="BV223" s="136"/>
      <c r="BW223" s="136"/>
      <c r="BY223" s="12"/>
      <c r="CA223" s="12"/>
      <c r="EX223" s="10" t="str">
        <f t="shared" si="151"/>
        <v/>
      </c>
    </row>
    <row r="224" spans="1:154" s="67" customFormat="1" x14ac:dyDescent="0.25">
      <c r="B224" s="67" t="str">
        <f ca="1">Loans!B$29</f>
        <v>Loan 17</v>
      </c>
      <c r="D224" s="62">
        <f>Loans!D$29</f>
        <v>0</v>
      </c>
      <c r="E224" s="159" t="str">
        <f>IF(Loans!Q$29=0, "", Loans!Q$29)</f>
        <v/>
      </c>
      <c r="F224" s="10">
        <f>_xlfn.IFNA(INDEX(Parameters!$F$73:$F$77, MATCH(Loans!R29, Parameters!$D$73:$D$77,0)), 0)</f>
        <v>0</v>
      </c>
      <c r="S224" s="279"/>
      <c r="T224" s="335"/>
      <c r="U224" s="335"/>
      <c r="V224" s="136"/>
      <c r="W224" s="136"/>
      <c r="X224" s="136"/>
      <c r="Y224" s="136"/>
      <c r="AA224" s="45">
        <f>IF(OR($F224=0,AA201=0), 0, IF(OR(AA201=1, $F224= Parameters!$F$73, MOD(AA201,$F224)=0, AA132=1), 1, 0))</f>
        <v>0</v>
      </c>
      <c r="AB224" s="45">
        <f>IF(OR($F224=0,AB201=0), 0, IF(OR(AB201=1, $F224= Parameters!$F$73, MOD(AB201,$F224)=0, AB132=1), 1, 0))</f>
        <v>0</v>
      </c>
      <c r="AC224" s="45">
        <f>IF(OR($F224=0,AC201=0), 0, IF(OR(AC201=1, $F224= Parameters!$F$73, MOD(AC201,$F224)=0, AC132=1), 1, 0))</f>
        <v>0</v>
      </c>
      <c r="AD224" s="45">
        <f>IF(OR($F224=0,AD201=0), 0, IF(OR(AD201=1, $F224= Parameters!$F$73, MOD(AD201,$F224)=0, AD132=1), 1, 0))</f>
        <v>0</v>
      </c>
      <c r="AE224" s="45">
        <f>IF(OR($F224=0,AE201=0), 0, IF(OR(AE201=1, $F224= Parameters!$F$73, MOD(AE201,$F224)=0, AE132=1), 1, 0))</f>
        <v>0</v>
      </c>
      <c r="AF224" s="45">
        <f>IF(OR($F224=0,AF201=0), 0, IF(OR(AF201=1, $F224= Parameters!$F$73, MOD(AF201,$F224)=0, AF132=1), 1, 0))</f>
        <v>0</v>
      </c>
      <c r="AG224" s="45">
        <f>IF(OR($F224=0,AG201=0), 0, IF(OR(AG201=1, $F224= Parameters!$F$73, MOD(AG201,$F224)=0, AG132=1), 1, 0))</f>
        <v>0</v>
      </c>
      <c r="AH224" s="45">
        <f>IF(OR($F224=0,AH201=0), 0, IF(OR(AH201=1, $F224= Parameters!$F$73, MOD(AH201,$F224)=0, AH132=1), 1, 0))</f>
        <v>0</v>
      </c>
      <c r="AI224" s="45">
        <f>IF(OR($F224=0,AI201=0), 0, IF(OR(AI201=1, $F224= Parameters!$F$73, MOD(AI201,$F224)=0, AI132=1), 1, 0))</f>
        <v>0</v>
      </c>
      <c r="AJ224" s="45">
        <f>IF(OR($F224=0,AJ201=0), 0, IF(OR(AJ201=1, $F224= Parameters!$F$73, MOD(AJ201,$F224)=0, AJ132=1), 1, 0))</f>
        <v>0</v>
      </c>
      <c r="AK224" s="45">
        <f>IF(OR($F224=0,AK201=0), 0, IF(OR(AK201=1, $F224= Parameters!$F$73, MOD(AK201,$F224)=0, AK132=1), 1, 0))</f>
        <v>0</v>
      </c>
      <c r="AL224" s="45">
        <f>IF(OR($F224=0,AL201=0), 0, IF(OR(AL201=1, $F224= Parameters!$F$73, MOD(AL201,$F224)=0, AL132=1), 1, 0))</f>
        <v>0</v>
      </c>
      <c r="AM224" s="45">
        <f>IF(OR($F224=0,AM201=0), 0, IF(OR(AM201=1, $F224= Parameters!$F$73, MOD(AM201,$F224)=0, AM132=1), 1, 0))</f>
        <v>0</v>
      </c>
      <c r="AN224" s="45">
        <f>IF(OR($F224=0,AN201=0), 0, IF(OR(AN201=1, $F224= Parameters!$F$73, MOD(AN201,$F224)=0, AN132=1), 1, 0))</f>
        <v>0</v>
      </c>
      <c r="AO224" s="45">
        <f>IF(OR($F224=0,AO201=0), 0, IF(OR(AO201=1, $F224= Parameters!$F$73, MOD(AO201,$F224)=0, AO132=1), 1, 0))</f>
        <v>0</v>
      </c>
      <c r="AP224" s="45">
        <f>IF(OR($F224=0,AP201=0), 0, IF(OR(AP201=1, $F224= Parameters!$F$73, MOD(AP201,$F224)=0, AP132=1), 1, 0))</f>
        <v>0</v>
      </c>
      <c r="AQ224" s="45">
        <f>IF(OR($F224=0,AQ201=0), 0, IF(OR(AQ201=1, $F224= Parameters!$F$73, MOD(AQ201,$F224)=0, AQ132=1), 1, 0))</f>
        <v>0</v>
      </c>
      <c r="AR224" s="45">
        <f>IF(OR($F224=0,AR201=0), 0, IF(OR(AR201=1, $F224= Parameters!$F$73, MOD(AR201,$F224)=0, AR132=1), 1, 0))</f>
        <v>0</v>
      </c>
      <c r="AS224" s="45">
        <f>IF(OR($F224=0,AS201=0), 0, IF(OR(AS201=1, $F224= Parameters!$F$73, MOD(AS201,$F224)=0, AS132=1), 1, 0))</f>
        <v>0</v>
      </c>
      <c r="AT224" s="45">
        <f>IF(OR($F224=0,AT201=0), 0, IF(OR(AT201=1, $F224= Parameters!$F$73, MOD(AT201,$F224)=0, AT132=1), 1, 0))</f>
        <v>0</v>
      </c>
      <c r="AU224" s="45">
        <f>IF(OR($F224=0,AU201=0), 0, IF(OR(AU201=1, $F224= Parameters!$F$73, MOD(AU201,$F224)=0, AU132=1), 1, 0))</f>
        <v>0</v>
      </c>
      <c r="AV224" s="45">
        <f>IF(OR($F224=0,AV201=0), 0, IF(OR(AV201=1, $F224= Parameters!$F$73, MOD(AV201,$F224)=0, AV132=1), 1, 0))</f>
        <v>0</v>
      </c>
      <c r="AW224" s="45">
        <f>IF(OR($F224=0,AW201=0), 0, IF(OR(AW201=1, $F224= Parameters!$F$73, MOD(AW201,$F224)=0, AW132=1), 1, 0))</f>
        <v>0</v>
      </c>
      <c r="AX224" s="45">
        <f>IF(OR($F224=0,AX201=0), 0, IF(OR(AX201=1, $F224= Parameters!$F$73, MOD(AX201,$F224)=0, AX132=1), 1, 0))</f>
        <v>0</v>
      </c>
      <c r="AY224" s="45">
        <f>IF(OR($F224=0,AY201=0), 0, IF(OR(AY201=1, $F224= Parameters!$F$73, MOD(AY201,$F224)=0, AY132=1), 1, 0))</f>
        <v>0</v>
      </c>
      <c r="AZ224" s="45">
        <f>IF(OR($F224=0,AZ201=0), 0, IF(OR(AZ201=1, $F224= Parameters!$F$73, MOD(AZ201,$F224)=0, AZ132=1), 1, 0))</f>
        <v>0</v>
      </c>
      <c r="BA224" s="45">
        <f>IF(OR($F224=0,BA201=0), 0, IF(OR(BA201=1, $F224= Parameters!$F$73, MOD(BA201,$F224)=0, BA132=1), 1, 0))</f>
        <v>0</v>
      </c>
      <c r="BB224" s="45">
        <f>IF(OR($F224=0,BB201=0), 0, IF(OR(BB201=1, $F224= Parameters!$F$73, MOD(BB201,$F224)=0, BB132=1), 1, 0))</f>
        <v>0</v>
      </c>
      <c r="BC224" s="45">
        <f>IF(OR($F224=0,BC201=0), 0, IF(OR(BC201=1, $F224= Parameters!$F$73, MOD(BC201,$F224)=0, BC132=1), 1, 0))</f>
        <v>0</v>
      </c>
      <c r="BD224" s="45">
        <f>IF(OR($F224=0,BD201=0), 0, IF(OR(BD201=1, $F224= Parameters!$F$73, MOD(BD201,$F224)=0, BD132=1), 1, 0))</f>
        <v>0</v>
      </c>
      <c r="BE224" s="45">
        <f>IF(OR($F224=0,BE201=0), 0, IF(OR(BE201=1, $F224= Parameters!$F$73, MOD(BE201,$F224)=0, BE132=1), 1, 0))</f>
        <v>0</v>
      </c>
      <c r="BF224" s="45">
        <f>IF(OR($F224=0,BF201=0), 0, IF(OR(BF201=1, $F224= Parameters!$F$73, MOD(BF201,$F224)=0, BF132=1), 1, 0))</f>
        <v>0</v>
      </c>
      <c r="BG224" s="45">
        <f>IF(OR($F224=0,BG201=0), 0, IF(OR(BG201=1, $F224= Parameters!$F$73, MOD(BG201,$F224)=0, BG132=1), 1, 0))</f>
        <v>0</v>
      </c>
      <c r="BH224" s="45">
        <f>IF(OR($F224=0,BH201=0), 0, IF(OR(BH201=1, $F224= Parameters!$F$73, MOD(BH201,$F224)=0, BH132=1), 1, 0))</f>
        <v>0</v>
      </c>
      <c r="BI224" s="45">
        <f>IF(OR($F224=0,BI201=0), 0, IF(OR(BI201=1, $F224= Parameters!$F$73, MOD(BI201,$F224)=0, BI132=1), 1, 0))</f>
        <v>0</v>
      </c>
      <c r="BJ224" s="45">
        <f>IF(OR($F224=0,BJ201=0), 0, IF(OR(BJ201=1, $F224= Parameters!$F$73, MOD(BJ201,$F224)=0, BJ132=1), 1, 0))</f>
        <v>0</v>
      </c>
      <c r="BL224" s="136"/>
      <c r="BM224" s="136"/>
      <c r="BN224" s="136"/>
      <c r="BO224" s="136"/>
      <c r="BP224" s="136"/>
      <c r="BQ224" s="136"/>
      <c r="BR224" s="136"/>
      <c r="BS224" s="136"/>
      <c r="BT224" s="136"/>
      <c r="BU224" s="136"/>
      <c r="BV224" s="136"/>
      <c r="BW224" s="136"/>
      <c r="BY224" s="12"/>
      <c r="CA224" s="12"/>
      <c r="EX224" s="10" t="str">
        <f t="shared" si="151"/>
        <v/>
      </c>
    </row>
    <row r="225" spans="1:154" s="67" customFormat="1" x14ac:dyDescent="0.25">
      <c r="B225" s="67" t="str">
        <f ca="1">Loans!B$30</f>
        <v>Loan 18</v>
      </c>
      <c r="D225" s="62">
        <f>Loans!D$30</f>
        <v>0</v>
      </c>
      <c r="E225" s="159" t="str">
        <f>IF(Loans!Q$30=0, "", Loans!Q$30)</f>
        <v/>
      </c>
      <c r="F225" s="10">
        <f>_xlfn.IFNA(INDEX(Parameters!$F$73:$F$77, MATCH(Loans!R30, Parameters!$D$73:$D$77,0)), 0)</f>
        <v>0</v>
      </c>
      <c r="S225" s="279"/>
      <c r="T225" s="335"/>
      <c r="U225" s="335"/>
      <c r="V225" s="136"/>
      <c r="W225" s="136"/>
      <c r="X225" s="136"/>
      <c r="Y225" s="136"/>
      <c r="AA225" s="45">
        <f>IF(OR($F225=0,AA202=0), 0, IF(OR(AA202=1, $F225= Parameters!$F$73, MOD(AA202,$F225)=0, AA133=1), 1, 0))</f>
        <v>0</v>
      </c>
      <c r="AB225" s="45">
        <f>IF(OR($F225=0,AB202=0), 0, IF(OR(AB202=1, $F225= Parameters!$F$73, MOD(AB202,$F225)=0, AB133=1), 1, 0))</f>
        <v>0</v>
      </c>
      <c r="AC225" s="45">
        <f>IF(OR($F225=0,AC202=0), 0, IF(OR(AC202=1, $F225= Parameters!$F$73, MOD(AC202,$F225)=0, AC133=1), 1, 0))</f>
        <v>0</v>
      </c>
      <c r="AD225" s="45">
        <f>IF(OR($F225=0,AD202=0), 0, IF(OR(AD202=1, $F225= Parameters!$F$73, MOD(AD202,$F225)=0, AD133=1), 1, 0))</f>
        <v>0</v>
      </c>
      <c r="AE225" s="45">
        <f>IF(OR($F225=0,AE202=0), 0, IF(OR(AE202=1, $F225= Parameters!$F$73, MOD(AE202,$F225)=0, AE133=1), 1, 0))</f>
        <v>0</v>
      </c>
      <c r="AF225" s="45">
        <f>IF(OR($F225=0,AF202=0), 0, IF(OR(AF202=1, $F225= Parameters!$F$73, MOD(AF202,$F225)=0, AF133=1), 1, 0))</f>
        <v>0</v>
      </c>
      <c r="AG225" s="45">
        <f>IF(OR($F225=0,AG202=0), 0, IF(OR(AG202=1, $F225= Parameters!$F$73, MOD(AG202,$F225)=0, AG133=1), 1, 0))</f>
        <v>0</v>
      </c>
      <c r="AH225" s="45">
        <f>IF(OR($F225=0,AH202=0), 0, IF(OR(AH202=1, $F225= Parameters!$F$73, MOD(AH202,$F225)=0, AH133=1), 1, 0))</f>
        <v>0</v>
      </c>
      <c r="AI225" s="45">
        <f>IF(OR($F225=0,AI202=0), 0, IF(OR(AI202=1, $F225= Parameters!$F$73, MOD(AI202,$F225)=0, AI133=1), 1, 0))</f>
        <v>0</v>
      </c>
      <c r="AJ225" s="45">
        <f>IF(OR($F225=0,AJ202=0), 0, IF(OR(AJ202=1, $F225= Parameters!$F$73, MOD(AJ202,$F225)=0, AJ133=1), 1, 0))</f>
        <v>0</v>
      </c>
      <c r="AK225" s="45">
        <f>IF(OR($F225=0,AK202=0), 0, IF(OR(AK202=1, $F225= Parameters!$F$73, MOD(AK202,$F225)=0, AK133=1), 1, 0))</f>
        <v>0</v>
      </c>
      <c r="AL225" s="45">
        <f>IF(OR($F225=0,AL202=0), 0, IF(OR(AL202=1, $F225= Parameters!$F$73, MOD(AL202,$F225)=0, AL133=1), 1, 0))</f>
        <v>0</v>
      </c>
      <c r="AM225" s="45">
        <f>IF(OR($F225=0,AM202=0), 0, IF(OR(AM202=1, $F225= Parameters!$F$73, MOD(AM202,$F225)=0, AM133=1), 1, 0))</f>
        <v>0</v>
      </c>
      <c r="AN225" s="45">
        <f>IF(OR($F225=0,AN202=0), 0, IF(OR(AN202=1, $F225= Parameters!$F$73, MOD(AN202,$F225)=0, AN133=1), 1, 0))</f>
        <v>0</v>
      </c>
      <c r="AO225" s="45">
        <f>IF(OR($F225=0,AO202=0), 0, IF(OR(AO202=1, $F225= Parameters!$F$73, MOD(AO202,$F225)=0, AO133=1), 1, 0))</f>
        <v>0</v>
      </c>
      <c r="AP225" s="45">
        <f>IF(OR($F225=0,AP202=0), 0, IF(OR(AP202=1, $F225= Parameters!$F$73, MOD(AP202,$F225)=0, AP133=1), 1, 0))</f>
        <v>0</v>
      </c>
      <c r="AQ225" s="45">
        <f>IF(OR($F225=0,AQ202=0), 0, IF(OR(AQ202=1, $F225= Parameters!$F$73, MOD(AQ202,$F225)=0, AQ133=1), 1, 0))</f>
        <v>0</v>
      </c>
      <c r="AR225" s="45">
        <f>IF(OR($F225=0,AR202=0), 0, IF(OR(AR202=1, $F225= Parameters!$F$73, MOD(AR202,$F225)=0, AR133=1), 1, 0))</f>
        <v>0</v>
      </c>
      <c r="AS225" s="45">
        <f>IF(OR($F225=0,AS202=0), 0, IF(OR(AS202=1, $F225= Parameters!$F$73, MOD(AS202,$F225)=0, AS133=1), 1, 0))</f>
        <v>0</v>
      </c>
      <c r="AT225" s="45">
        <f>IF(OR($F225=0,AT202=0), 0, IF(OR(AT202=1, $F225= Parameters!$F$73, MOD(AT202,$F225)=0, AT133=1), 1, 0))</f>
        <v>0</v>
      </c>
      <c r="AU225" s="45">
        <f>IF(OR($F225=0,AU202=0), 0, IF(OR(AU202=1, $F225= Parameters!$F$73, MOD(AU202,$F225)=0, AU133=1), 1, 0))</f>
        <v>0</v>
      </c>
      <c r="AV225" s="45">
        <f>IF(OR($F225=0,AV202=0), 0, IF(OR(AV202=1, $F225= Parameters!$F$73, MOD(AV202,$F225)=0, AV133=1), 1, 0))</f>
        <v>0</v>
      </c>
      <c r="AW225" s="45">
        <f>IF(OR($F225=0,AW202=0), 0, IF(OR(AW202=1, $F225= Parameters!$F$73, MOD(AW202,$F225)=0, AW133=1), 1, 0))</f>
        <v>0</v>
      </c>
      <c r="AX225" s="45">
        <f>IF(OR($F225=0,AX202=0), 0, IF(OR(AX202=1, $F225= Parameters!$F$73, MOD(AX202,$F225)=0, AX133=1), 1, 0))</f>
        <v>0</v>
      </c>
      <c r="AY225" s="45">
        <f>IF(OR($F225=0,AY202=0), 0, IF(OR(AY202=1, $F225= Parameters!$F$73, MOD(AY202,$F225)=0, AY133=1), 1, 0))</f>
        <v>0</v>
      </c>
      <c r="AZ225" s="45">
        <f>IF(OR($F225=0,AZ202=0), 0, IF(OR(AZ202=1, $F225= Parameters!$F$73, MOD(AZ202,$F225)=0, AZ133=1), 1, 0))</f>
        <v>0</v>
      </c>
      <c r="BA225" s="45">
        <f>IF(OR($F225=0,BA202=0), 0, IF(OR(BA202=1, $F225= Parameters!$F$73, MOD(BA202,$F225)=0, BA133=1), 1, 0))</f>
        <v>0</v>
      </c>
      <c r="BB225" s="45">
        <f>IF(OR($F225=0,BB202=0), 0, IF(OR(BB202=1, $F225= Parameters!$F$73, MOD(BB202,$F225)=0, BB133=1), 1, 0))</f>
        <v>0</v>
      </c>
      <c r="BC225" s="45">
        <f>IF(OR($F225=0,BC202=0), 0, IF(OR(BC202=1, $F225= Parameters!$F$73, MOD(BC202,$F225)=0, BC133=1), 1, 0))</f>
        <v>0</v>
      </c>
      <c r="BD225" s="45">
        <f>IF(OR($F225=0,BD202=0), 0, IF(OR(BD202=1, $F225= Parameters!$F$73, MOD(BD202,$F225)=0, BD133=1), 1, 0))</f>
        <v>0</v>
      </c>
      <c r="BE225" s="45">
        <f>IF(OR($F225=0,BE202=0), 0, IF(OR(BE202=1, $F225= Parameters!$F$73, MOD(BE202,$F225)=0, BE133=1), 1, 0))</f>
        <v>0</v>
      </c>
      <c r="BF225" s="45">
        <f>IF(OR($F225=0,BF202=0), 0, IF(OR(BF202=1, $F225= Parameters!$F$73, MOD(BF202,$F225)=0, BF133=1), 1, 0))</f>
        <v>0</v>
      </c>
      <c r="BG225" s="45">
        <f>IF(OR($F225=0,BG202=0), 0, IF(OR(BG202=1, $F225= Parameters!$F$73, MOD(BG202,$F225)=0, BG133=1), 1, 0))</f>
        <v>0</v>
      </c>
      <c r="BH225" s="45">
        <f>IF(OR($F225=0,BH202=0), 0, IF(OR(BH202=1, $F225= Parameters!$F$73, MOD(BH202,$F225)=0, BH133=1), 1, 0))</f>
        <v>0</v>
      </c>
      <c r="BI225" s="45">
        <f>IF(OR($F225=0,BI202=0), 0, IF(OR(BI202=1, $F225= Parameters!$F$73, MOD(BI202,$F225)=0, BI133=1), 1, 0))</f>
        <v>0</v>
      </c>
      <c r="BJ225" s="45">
        <f>IF(OR($F225=0,BJ202=0), 0, IF(OR(BJ202=1, $F225= Parameters!$F$73, MOD(BJ202,$F225)=0, BJ133=1), 1, 0))</f>
        <v>0</v>
      </c>
      <c r="BL225" s="136"/>
      <c r="BM225" s="136"/>
      <c r="BN225" s="136"/>
      <c r="BO225" s="136"/>
      <c r="BP225" s="136"/>
      <c r="BQ225" s="136"/>
      <c r="BR225" s="136"/>
      <c r="BS225" s="136"/>
      <c r="BT225" s="136"/>
      <c r="BU225" s="136"/>
      <c r="BV225" s="136"/>
      <c r="BW225" s="136"/>
      <c r="BY225" s="12"/>
      <c r="CA225" s="12"/>
      <c r="EX225" s="10" t="str">
        <f t="shared" si="151"/>
        <v/>
      </c>
    </row>
    <row r="226" spans="1:154" s="67" customFormat="1" x14ac:dyDescent="0.25">
      <c r="B226" s="67" t="str">
        <f ca="1">Loans!B$31</f>
        <v>Loan 19</v>
      </c>
      <c r="D226" s="62">
        <f>Loans!D$31</f>
        <v>0</v>
      </c>
      <c r="E226" s="159" t="str">
        <f>IF(Loans!Q$31=0, "", Loans!Q$31)</f>
        <v/>
      </c>
      <c r="F226" s="10">
        <f>_xlfn.IFNA(INDEX(Parameters!$F$73:$F$77, MATCH(Loans!R31, Parameters!$D$73:$D$77,0)), 0)</f>
        <v>0</v>
      </c>
      <c r="S226" s="279"/>
      <c r="T226" s="335"/>
      <c r="U226" s="335"/>
      <c r="V226" s="136"/>
      <c r="W226" s="136"/>
      <c r="X226" s="136"/>
      <c r="Y226" s="136"/>
      <c r="AA226" s="45">
        <f>IF(OR($F226=0,AA203=0), 0, IF(OR(AA203=1, $F226= Parameters!$F$73, MOD(AA203,$F226)=0, AA134=1), 1, 0))</f>
        <v>0</v>
      </c>
      <c r="AB226" s="45">
        <f>IF(OR($F226=0,AB203=0), 0, IF(OR(AB203=1, $F226= Parameters!$F$73, MOD(AB203,$F226)=0, AB134=1), 1, 0))</f>
        <v>0</v>
      </c>
      <c r="AC226" s="45">
        <f>IF(OR($F226=0,AC203=0), 0, IF(OR(AC203=1, $F226= Parameters!$F$73, MOD(AC203,$F226)=0, AC134=1), 1, 0))</f>
        <v>0</v>
      </c>
      <c r="AD226" s="45">
        <f>IF(OR($F226=0,AD203=0), 0, IF(OR(AD203=1, $F226= Parameters!$F$73, MOD(AD203,$F226)=0, AD134=1), 1, 0))</f>
        <v>0</v>
      </c>
      <c r="AE226" s="45">
        <f>IF(OR($F226=0,AE203=0), 0, IF(OR(AE203=1, $F226= Parameters!$F$73, MOD(AE203,$F226)=0, AE134=1), 1, 0))</f>
        <v>0</v>
      </c>
      <c r="AF226" s="45">
        <f>IF(OR($F226=0,AF203=0), 0, IF(OR(AF203=1, $F226= Parameters!$F$73, MOD(AF203,$F226)=0, AF134=1), 1, 0))</f>
        <v>0</v>
      </c>
      <c r="AG226" s="45">
        <f>IF(OR($F226=0,AG203=0), 0, IF(OR(AG203=1, $F226= Parameters!$F$73, MOD(AG203,$F226)=0, AG134=1), 1, 0))</f>
        <v>0</v>
      </c>
      <c r="AH226" s="45">
        <f>IF(OR($F226=0,AH203=0), 0, IF(OR(AH203=1, $F226= Parameters!$F$73, MOD(AH203,$F226)=0, AH134=1), 1, 0))</f>
        <v>0</v>
      </c>
      <c r="AI226" s="45">
        <f>IF(OR($F226=0,AI203=0), 0, IF(OR(AI203=1, $F226= Parameters!$F$73, MOD(AI203,$F226)=0, AI134=1), 1, 0))</f>
        <v>0</v>
      </c>
      <c r="AJ226" s="45">
        <f>IF(OR($F226=0,AJ203=0), 0, IF(OR(AJ203=1, $F226= Parameters!$F$73, MOD(AJ203,$F226)=0, AJ134=1), 1, 0))</f>
        <v>0</v>
      </c>
      <c r="AK226" s="45">
        <f>IF(OR($F226=0,AK203=0), 0, IF(OR(AK203=1, $F226= Parameters!$F$73, MOD(AK203,$F226)=0, AK134=1), 1, 0))</f>
        <v>0</v>
      </c>
      <c r="AL226" s="45">
        <f>IF(OR($F226=0,AL203=0), 0, IF(OR(AL203=1, $F226= Parameters!$F$73, MOD(AL203,$F226)=0, AL134=1), 1, 0))</f>
        <v>0</v>
      </c>
      <c r="AM226" s="45">
        <f>IF(OR($F226=0,AM203=0), 0, IF(OR(AM203=1, $F226= Parameters!$F$73, MOD(AM203,$F226)=0, AM134=1), 1, 0))</f>
        <v>0</v>
      </c>
      <c r="AN226" s="45">
        <f>IF(OR($F226=0,AN203=0), 0, IF(OR(AN203=1, $F226= Parameters!$F$73, MOD(AN203,$F226)=0, AN134=1), 1, 0))</f>
        <v>0</v>
      </c>
      <c r="AO226" s="45">
        <f>IF(OR($F226=0,AO203=0), 0, IF(OR(AO203=1, $F226= Parameters!$F$73, MOD(AO203,$F226)=0, AO134=1), 1, 0))</f>
        <v>0</v>
      </c>
      <c r="AP226" s="45">
        <f>IF(OR($F226=0,AP203=0), 0, IF(OR(AP203=1, $F226= Parameters!$F$73, MOD(AP203,$F226)=0, AP134=1), 1, 0))</f>
        <v>0</v>
      </c>
      <c r="AQ226" s="45">
        <f>IF(OR($F226=0,AQ203=0), 0, IF(OR(AQ203=1, $F226= Parameters!$F$73, MOD(AQ203,$F226)=0, AQ134=1), 1, 0))</f>
        <v>0</v>
      </c>
      <c r="AR226" s="45">
        <f>IF(OR($F226=0,AR203=0), 0, IF(OR(AR203=1, $F226= Parameters!$F$73, MOD(AR203,$F226)=0, AR134=1), 1, 0))</f>
        <v>0</v>
      </c>
      <c r="AS226" s="45">
        <f>IF(OR($F226=0,AS203=0), 0, IF(OR(AS203=1, $F226= Parameters!$F$73, MOD(AS203,$F226)=0, AS134=1), 1, 0))</f>
        <v>0</v>
      </c>
      <c r="AT226" s="45">
        <f>IF(OR($F226=0,AT203=0), 0, IF(OR(AT203=1, $F226= Parameters!$F$73, MOD(AT203,$F226)=0, AT134=1), 1, 0))</f>
        <v>0</v>
      </c>
      <c r="AU226" s="45">
        <f>IF(OR($F226=0,AU203=0), 0, IF(OR(AU203=1, $F226= Parameters!$F$73, MOD(AU203,$F226)=0, AU134=1), 1, 0))</f>
        <v>0</v>
      </c>
      <c r="AV226" s="45">
        <f>IF(OR($F226=0,AV203=0), 0, IF(OR(AV203=1, $F226= Parameters!$F$73, MOD(AV203,$F226)=0, AV134=1), 1, 0))</f>
        <v>0</v>
      </c>
      <c r="AW226" s="45">
        <f>IF(OR($F226=0,AW203=0), 0, IF(OR(AW203=1, $F226= Parameters!$F$73, MOD(AW203,$F226)=0, AW134=1), 1, 0))</f>
        <v>0</v>
      </c>
      <c r="AX226" s="45">
        <f>IF(OR($F226=0,AX203=0), 0, IF(OR(AX203=1, $F226= Parameters!$F$73, MOD(AX203,$F226)=0, AX134=1), 1, 0))</f>
        <v>0</v>
      </c>
      <c r="AY226" s="45">
        <f>IF(OR($F226=0,AY203=0), 0, IF(OR(AY203=1, $F226= Parameters!$F$73, MOD(AY203,$F226)=0, AY134=1), 1, 0))</f>
        <v>0</v>
      </c>
      <c r="AZ226" s="45">
        <f>IF(OR($F226=0,AZ203=0), 0, IF(OR(AZ203=1, $F226= Parameters!$F$73, MOD(AZ203,$F226)=0, AZ134=1), 1, 0))</f>
        <v>0</v>
      </c>
      <c r="BA226" s="45">
        <f>IF(OR($F226=0,BA203=0), 0, IF(OR(BA203=1, $F226= Parameters!$F$73, MOD(BA203,$F226)=0, BA134=1), 1, 0))</f>
        <v>0</v>
      </c>
      <c r="BB226" s="45">
        <f>IF(OR($F226=0,BB203=0), 0, IF(OR(BB203=1, $F226= Parameters!$F$73, MOD(BB203,$F226)=0, BB134=1), 1, 0))</f>
        <v>0</v>
      </c>
      <c r="BC226" s="45">
        <f>IF(OR($F226=0,BC203=0), 0, IF(OR(BC203=1, $F226= Parameters!$F$73, MOD(BC203,$F226)=0, BC134=1), 1, 0))</f>
        <v>0</v>
      </c>
      <c r="BD226" s="45">
        <f>IF(OR($F226=0,BD203=0), 0, IF(OR(BD203=1, $F226= Parameters!$F$73, MOD(BD203,$F226)=0, BD134=1), 1, 0))</f>
        <v>0</v>
      </c>
      <c r="BE226" s="45">
        <f>IF(OR($F226=0,BE203=0), 0, IF(OR(BE203=1, $F226= Parameters!$F$73, MOD(BE203,$F226)=0, BE134=1), 1, 0))</f>
        <v>0</v>
      </c>
      <c r="BF226" s="45">
        <f>IF(OR($F226=0,BF203=0), 0, IF(OR(BF203=1, $F226= Parameters!$F$73, MOD(BF203,$F226)=0, BF134=1), 1, 0))</f>
        <v>0</v>
      </c>
      <c r="BG226" s="45">
        <f>IF(OR($F226=0,BG203=0), 0, IF(OR(BG203=1, $F226= Parameters!$F$73, MOD(BG203,$F226)=0, BG134=1), 1, 0))</f>
        <v>0</v>
      </c>
      <c r="BH226" s="45">
        <f>IF(OR($F226=0,BH203=0), 0, IF(OR(BH203=1, $F226= Parameters!$F$73, MOD(BH203,$F226)=0, BH134=1), 1, 0))</f>
        <v>0</v>
      </c>
      <c r="BI226" s="45">
        <f>IF(OR($F226=0,BI203=0), 0, IF(OR(BI203=1, $F226= Parameters!$F$73, MOD(BI203,$F226)=0, BI134=1), 1, 0))</f>
        <v>0</v>
      </c>
      <c r="BJ226" s="45">
        <f>IF(OR($F226=0,BJ203=0), 0, IF(OR(BJ203=1, $F226= Parameters!$F$73, MOD(BJ203,$F226)=0, BJ134=1), 1, 0))</f>
        <v>0</v>
      </c>
      <c r="BL226" s="136"/>
      <c r="BM226" s="136"/>
      <c r="BN226" s="136"/>
      <c r="BO226" s="136"/>
      <c r="BP226" s="136"/>
      <c r="BQ226" s="136"/>
      <c r="BR226" s="136"/>
      <c r="BS226" s="136"/>
      <c r="BT226" s="136"/>
      <c r="BU226" s="136"/>
      <c r="BV226" s="136"/>
      <c r="BW226" s="136"/>
      <c r="BY226" s="12"/>
      <c r="CA226" s="12"/>
      <c r="EX226" s="10" t="str">
        <f t="shared" si="151"/>
        <v/>
      </c>
    </row>
    <row r="227" spans="1:154" s="67" customFormat="1" x14ac:dyDescent="0.25">
      <c r="B227" s="67" t="str">
        <f ca="1">Loans!B$32</f>
        <v>Loan 20</v>
      </c>
      <c r="D227" s="62">
        <f>Loans!D$32</f>
        <v>0</v>
      </c>
      <c r="E227" s="159" t="str">
        <f>IF(Loans!Q$32=0, "", Loans!Q$32)</f>
        <v/>
      </c>
      <c r="F227" s="10">
        <f>_xlfn.IFNA(INDEX(Parameters!$F$73:$F$77, MATCH(Loans!R32, Parameters!$D$73:$D$77,0)), 0)</f>
        <v>0</v>
      </c>
      <c r="S227" s="279"/>
      <c r="T227" s="335"/>
      <c r="U227" s="335"/>
      <c r="V227" s="136"/>
      <c r="W227" s="136"/>
      <c r="X227" s="136"/>
      <c r="Y227" s="136"/>
      <c r="AA227" s="45">
        <f>IF(OR($F227=0,AA204=0), 0, IF(OR(AA204=1, $F227= Parameters!$F$73, MOD(AA204,$F227)=0, AA135=1), 1, 0))</f>
        <v>0</v>
      </c>
      <c r="AB227" s="45">
        <f>IF(OR($F227=0,AB204=0), 0, IF(OR(AB204=1, $F227= Parameters!$F$73, MOD(AB204,$F227)=0, AB135=1), 1, 0))</f>
        <v>0</v>
      </c>
      <c r="AC227" s="45">
        <f>IF(OR($F227=0,AC204=0), 0, IF(OR(AC204=1, $F227= Parameters!$F$73, MOD(AC204,$F227)=0, AC135=1), 1, 0))</f>
        <v>0</v>
      </c>
      <c r="AD227" s="45">
        <f>IF(OR($F227=0,AD204=0), 0, IF(OR(AD204=1, $F227= Parameters!$F$73, MOD(AD204,$F227)=0, AD135=1), 1, 0))</f>
        <v>0</v>
      </c>
      <c r="AE227" s="45">
        <f>IF(OR($F227=0,AE204=0), 0, IF(OR(AE204=1, $F227= Parameters!$F$73, MOD(AE204,$F227)=0, AE135=1), 1, 0))</f>
        <v>0</v>
      </c>
      <c r="AF227" s="45">
        <f>IF(OR($F227=0,AF204=0), 0, IF(OR(AF204=1, $F227= Parameters!$F$73, MOD(AF204,$F227)=0, AF135=1), 1, 0))</f>
        <v>0</v>
      </c>
      <c r="AG227" s="45">
        <f>IF(OR($F227=0,AG204=0), 0, IF(OR(AG204=1, $F227= Parameters!$F$73, MOD(AG204,$F227)=0, AG135=1), 1, 0))</f>
        <v>0</v>
      </c>
      <c r="AH227" s="45">
        <f>IF(OR($F227=0,AH204=0), 0, IF(OR(AH204=1, $F227= Parameters!$F$73, MOD(AH204,$F227)=0, AH135=1), 1, 0))</f>
        <v>0</v>
      </c>
      <c r="AI227" s="45">
        <f>IF(OR($F227=0,AI204=0), 0, IF(OR(AI204=1, $F227= Parameters!$F$73, MOD(AI204,$F227)=0, AI135=1), 1, 0))</f>
        <v>0</v>
      </c>
      <c r="AJ227" s="45">
        <f>IF(OR($F227=0,AJ204=0), 0, IF(OR(AJ204=1, $F227= Parameters!$F$73, MOD(AJ204,$F227)=0, AJ135=1), 1, 0))</f>
        <v>0</v>
      </c>
      <c r="AK227" s="45">
        <f>IF(OR($F227=0,AK204=0), 0, IF(OR(AK204=1, $F227= Parameters!$F$73, MOD(AK204,$F227)=0, AK135=1), 1, 0))</f>
        <v>0</v>
      </c>
      <c r="AL227" s="45">
        <f>IF(OR($F227=0,AL204=0), 0, IF(OR(AL204=1, $F227= Parameters!$F$73, MOD(AL204,$F227)=0, AL135=1), 1, 0))</f>
        <v>0</v>
      </c>
      <c r="AM227" s="45">
        <f>IF(OR($F227=0,AM204=0), 0, IF(OR(AM204=1, $F227= Parameters!$F$73, MOD(AM204,$F227)=0, AM135=1), 1, 0))</f>
        <v>0</v>
      </c>
      <c r="AN227" s="45">
        <f>IF(OR($F227=0,AN204=0), 0, IF(OR(AN204=1, $F227= Parameters!$F$73, MOD(AN204,$F227)=0, AN135=1), 1, 0))</f>
        <v>0</v>
      </c>
      <c r="AO227" s="45">
        <f>IF(OR($F227=0,AO204=0), 0, IF(OR(AO204=1, $F227= Parameters!$F$73, MOD(AO204,$F227)=0, AO135=1), 1, 0))</f>
        <v>0</v>
      </c>
      <c r="AP227" s="45">
        <f>IF(OR($F227=0,AP204=0), 0, IF(OR(AP204=1, $F227= Parameters!$F$73, MOD(AP204,$F227)=0, AP135=1), 1, 0))</f>
        <v>0</v>
      </c>
      <c r="AQ227" s="45">
        <f>IF(OR($F227=0,AQ204=0), 0, IF(OR(AQ204=1, $F227= Parameters!$F$73, MOD(AQ204,$F227)=0, AQ135=1), 1, 0))</f>
        <v>0</v>
      </c>
      <c r="AR227" s="45">
        <f>IF(OR($F227=0,AR204=0), 0, IF(OR(AR204=1, $F227= Parameters!$F$73, MOD(AR204,$F227)=0, AR135=1), 1, 0))</f>
        <v>0</v>
      </c>
      <c r="AS227" s="45">
        <f>IF(OR($F227=0,AS204=0), 0, IF(OR(AS204=1, $F227= Parameters!$F$73, MOD(AS204,$F227)=0, AS135=1), 1, 0))</f>
        <v>0</v>
      </c>
      <c r="AT227" s="45">
        <f>IF(OR($F227=0,AT204=0), 0, IF(OR(AT204=1, $F227= Parameters!$F$73, MOD(AT204,$F227)=0, AT135=1), 1, 0))</f>
        <v>0</v>
      </c>
      <c r="AU227" s="45">
        <f>IF(OR($F227=0,AU204=0), 0, IF(OR(AU204=1, $F227= Parameters!$F$73, MOD(AU204,$F227)=0, AU135=1), 1, 0))</f>
        <v>0</v>
      </c>
      <c r="AV227" s="45">
        <f>IF(OR($F227=0,AV204=0), 0, IF(OR(AV204=1, $F227= Parameters!$F$73, MOD(AV204,$F227)=0, AV135=1), 1, 0))</f>
        <v>0</v>
      </c>
      <c r="AW227" s="45">
        <f>IF(OR($F227=0,AW204=0), 0, IF(OR(AW204=1, $F227= Parameters!$F$73, MOD(AW204,$F227)=0, AW135=1), 1, 0))</f>
        <v>0</v>
      </c>
      <c r="AX227" s="45">
        <f>IF(OR($F227=0,AX204=0), 0, IF(OR(AX204=1, $F227= Parameters!$F$73, MOD(AX204,$F227)=0, AX135=1), 1, 0))</f>
        <v>0</v>
      </c>
      <c r="AY227" s="45">
        <f>IF(OR($F227=0,AY204=0), 0, IF(OR(AY204=1, $F227= Parameters!$F$73, MOD(AY204,$F227)=0, AY135=1), 1, 0))</f>
        <v>0</v>
      </c>
      <c r="AZ227" s="45">
        <f>IF(OR($F227=0,AZ204=0), 0, IF(OR(AZ204=1, $F227= Parameters!$F$73, MOD(AZ204,$F227)=0, AZ135=1), 1, 0))</f>
        <v>0</v>
      </c>
      <c r="BA227" s="45">
        <f>IF(OR($F227=0,BA204=0), 0, IF(OR(BA204=1, $F227= Parameters!$F$73, MOD(BA204,$F227)=0, BA135=1), 1, 0))</f>
        <v>0</v>
      </c>
      <c r="BB227" s="45">
        <f>IF(OR($F227=0,BB204=0), 0, IF(OR(BB204=1, $F227= Parameters!$F$73, MOD(BB204,$F227)=0, BB135=1), 1, 0))</f>
        <v>0</v>
      </c>
      <c r="BC227" s="45">
        <f>IF(OR($F227=0,BC204=0), 0, IF(OR(BC204=1, $F227= Parameters!$F$73, MOD(BC204,$F227)=0, BC135=1), 1, 0))</f>
        <v>0</v>
      </c>
      <c r="BD227" s="45">
        <f>IF(OR($F227=0,BD204=0), 0, IF(OR(BD204=1, $F227= Parameters!$F$73, MOD(BD204,$F227)=0, BD135=1), 1, 0))</f>
        <v>0</v>
      </c>
      <c r="BE227" s="45">
        <f>IF(OR($F227=0,BE204=0), 0, IF(OR(BE204=1, $F227= Parameters!$F$73, MOD(BE204,$F227)=0, BE135=1), 1, 0))</f>
        <v>0</v>
      </c>
      <c r="BF227" s="45">
        <f>IF(OR($F227=0,BF204=0), 0, IF(OR(BF204=1, $F227= Parameters!$F$73, MOD(BF204,$F227)=0, BF135=1), 1, 0))</f>
        <v>0</v>
      </c>
      <c r="BG227" s="45">
        <f>IF(OR($F227=0,BG204=0), 0, IF(OR(BG204=1, $F227= Parameters!$F$73, MOD(BG204,$F227)=0, BG135=1), 1, 0))</f>
        <v>0</v>
      </c>
      <c r="BH227" s="45">
        <f>IF(OR($F227=0,BH204=0), 0, IF(OR(BH204=1, $F227= Parameters!$F$73, MOD(BH204,$F227)=0, BH135=1), 1, 0))</f>
        <v>0</v>
      </c>
      <c r="BI227" s="45">
        <f>IF(OR($F227=0,BI204=0), 0, IF(OR(BI204=1, $F227= Parameters!$F$73, MOD(BI204,$F227)=0, BI135=1), 1, 0))</f>
        <v>0</v>
      </c>
      <c r="BJ227" s="45">
        <f>IF(OR($F227=0,BJ204=0), 0, IF(OR(BJ204=1, $F227= Parameters!$F$73, MOD(BJ204,$F227)=0, BJ135=1), 1, 0))</f>
        <v>0</v>
      </c>
      <c r="BL227" s="136"/>
      <c r="BM227" s="136"/>
      <c r="BN227" s="136"/>
      <c r="BO227" s="136"/>
      <c r="BP227" s="136"/>
      <c r="BQ227" s="136"/>
      <c r="BR227" s="136"/>
      <c r="BS227" s="136"/>
      <c r="BT227" s="136"/>
      <c r="BU227" s="136"/>
      <c r="BV227" s="136"/>
      <c r="BW227" s="136"/>
      <c r="BY227" s="12"/>
      <c r="CA227" s="12"/>
      <c r="EX227" s="10" t="str">
        <f t="shared" si="151"/>
        <v/>
      </c>
    </row>
    <row r="228" spans="1:154" s="67" customFormat="1" ht="6.6" customHeight="1" x14ac:dyDescent="0.25">
      <c r="D228" s="1"/>
      <c r="T228" s="335"/>
      <c r="U228" s="335"/>
      <c r="BM228" s="6"/>
      <c r="BY228" s="42"/>
      <c r="CA228" s="42"/>
      <c r="EX228" s="10" t="str">
        <f t="shared" si="151"/>
        <v/>
      </c>
    </row>
    <row r="229" spans="1:154" s="67" customFormat="1" x14ac:dyDescent="0.25">
      <c r="D229" s="5" t="s">
        <v>549</v>
      </c>
      <c r="T229" s="335"/>
      <c r="U229" s="335"/>
      <c r="BY229" s="12"/>
      <c r="CA229" s="12"/>
      <c r="EX229" s="10" t="str">
        <f t="shared" si="151"/>
        <v/>
      </c>
    </row>
    <row r="230" spans="1:154" s="67" customFormat="1" x14ac:dyDescent="0.25">
      <c r="B230" s="5"/>
      <c r="D230" s="5" t="str">
        <f>Loans!D$11</f>
        <v>Lender</v>
      </c>
      <c r="T230" s="335"/>
      <c r="U230" s="335"/>
      <c r="BY230" s="12"/>
      <c r="CA230" s="12"/>
      <c r="EX230" s="10" t="str">
        <f t="shared" si="151"/>
        <v/>
      </c>
    </row>
    <row r="231" spans="1:154" s="67" customFormat="1" x14ac:dyDescent="0.25">
      <c r="B231" s="67" t="str">
        <f ca="1">Loans!B$13</f>
        <v>Loan 1</v>
      </c>
      <c r="D231" s="62" t="str">
        <f>Loans!D$13</f>
        <v>NatWest</v>
      </c>
      <c r="S231" s="279"/>
      <c r="T231" s="335"/>
      <c r="U231" s="335"/>
      <c r="V231" s="136"/>
      <c r="W231" s="136"/>
      <c r="X231" s="136"/>
      <c r="Y231" s="136"/>
      <c r="AA231" s="200">
        <f>SUM($AA208:AA208)*AA208</f>
        <v>0</v>
      </c>
      <c r="AB231" s="45">
        <f>SUM($AA208:AB208)*AB208</f>
        <v>0</v>
      </c>
      <c r="AC231" s="45">
        <f>SUM($AA208:AC208)*AC208</f>
        <v>0</v>
      </c>
      <c r="AD231" s="45">
        <f>SUM($AA208:AD208)*AD208</f>
        <v>0</v>
      </c>
      <c r="AE231" s="45">
        <f>SUM($AA208:AE208)*AE208</f>
        <v>0</v>
      </c>
      <c r="AF231" s="45">
        <f>SUM($AA208:AF208)*AF208</f>
        <v>0</v>
      </c>
      <c r="AG231" s="45">
        <f>SUM($AA208:AG208)*AG208</f>
        <v>0</v>
      </c>
      <c r="AH231" s="45">
        <f>SUM($AA208:AH208)*AH208</f>
        <v>0</v>
      </c>
      <c r="AI231" s="45">
        <f>SUM($AA208:AI208)*AI208</f>
        <v>0</v>
      </c>
      <c r="AJ231" s="45">
        <f>SUM($AA208:AJ208)*AJ208</f>
        <v>0</v>
      </c>
      <c r="AK231" s="45">
        <f>SUM($AA208:AK208)*AK208</f>
        <v>0</v>
      </c>
      <c r="AL231" s="45">
        <f>SUM($AA208:AL208)*AL208</f>
        <v>0</v>
      </c>
      <c r="AM231" s="45">
        <f>SUM($AA208:AM208)*AM208</f>
        <v>0</v>
      </c>
      <c r="AN231" s="45">
        <f>SUM($AA208:AN208)*AN208</f>
        <v>0</v>
      </c>
      <c r="AO231" s="45">
        <f>SUM($AA208:AO208)*AO208</f>
        <v>0</v>
      </c>
      <c r="AP231" s="45">
        <f>SUM($AA208:AP208)*AP208</f>
        <v>0</v>
      </c>
      <c r="AQ231" s="45">
        <f>SUM($AA208:AQ208)*AQ208</f>
        <v>0</v>
      </c>
      <c r="AR231" s="45">
        <f>SUM($AA208:AR208)*AR208</f>
        <v>0</v>
      </c>
      <c r="AS231" s="45">
        <f>SUM($AA208:AS208)*AS208</f>
        <v>0</v>
      </c>
      <c r="AT231" s="45">
        <f>SUM($AA208:AT208)*AT208</f>
        <v>0</v>
      </c>
      <c r="AU231" s="45">
        <f>SUM($AA208:AU208)*AU208</f>
        <v>0</v>
      </c>
      <c r="AV231" s="45">
        <f>SUM($AA208:AV208)*AV208</f>
        <v>0</v>
      </c>
      <c r="AW231" s="45">
        <f>SUM($AA208:AW208)*AW208</f>
        <v>0</v>
      </c>
      <c r="AX231" s="45">
        <f>SUM($AA208:AX208)*AX208</f>
        <v>0</v>
      </c>
      <c r="AY231" s="45">
        <f>SUM($AA208:AY208)*AY208</f>
        <v>0</v>
      </c>
      <c r="AZ231" s="45">
        <f>SUM($AA208:AZ208)*AZ208</f>
        <v>0</v>
      </c>
      <c r="BA231" s="45">
        <f>SUM($AA208:BA208)*BA208</f>
        <v>0</v>
      </c>
      <c r="BB231" s="45">
        <f>SUM($AA208:BB208)*BB208</f>
        <v>0</v>
      </c>
      <c r="BC231" s="45">
        <f>SUM($AA208:BC208)*BC208</f>
        <v>0</v>
      </c>
      <c r="BD231" s="45">
        <f>SUM($AA208:BD208)*BD208</f>
        <v>0</v>
      </c>
      <c r="BE231" s="45">
        <f>SUM($AA208:BE208)*BE208</f>
        <v>0</v>
      </c>
      <c r="BF231" s="45">
        <f>SUM($AA208:BF208)*BF208</f>
        <v>0</v>
      </c>
      <c r="BG231" s="45">
        <f>SUM($AA208:BG208)*BG208</f>
        <v>0</v>
      </c>
      <c r="BH231" s="45">
        <f>SUM($AA208:BH208)*BH208</f>
        <v>0</v>
      </c>
      <c r="BI231" s="45">
        <f>SUM($AA208:BI208)*BI208</f>
        <v>0</v>
      </c>
      <c r="BJ231" s="45">
        <f>SUM($AA208:BJ208)*BJ208</f>
        <v>0</v>
      </c>
      <c r="BL231" s="136"/>
      <c r="BM231" s="136"/>
      <c r="BN231" s="136"/>
      <c r="BO231" s="136"/>
      <c r="BP231" s="136"/>
      <c r="BQ231" s="136"/>
      <c r="BR231" s="136"/>
      <c r="BS231" s="136"/>
      <c r="BT231" s="136"/>
      <c r="BU231" s="136"/>
      <c r="BV231" s="136"/>
      <c r="BW231" s="136"/>
      <c r="BY231" s="12"/>
      <c r="CA231" s="12"/>
      <c r="EX231" s="10" t="str">
        <f t="shared" si="151"/>
        <v/>
      </c>
    </row>
    <row r="232" spans="1:154" s="67" customFormat="1" x14ac:dyDescent="0.25">
      <c r="B232" s="67" t="str">
        <f ca="1">Loans!B$14</f>
        <v>Loan 2</v>
      </c>
      <c r="D232" s="62" t="str">
        <f>Loans!D$14</f>
        <v>NatWest</v>
      </c>
      <c r="S232" s="279"/>
      <c r="T232" s="335"/>
      <c r="U232" s="335"/>
      <c r="V232" s="136"/>
      <c r="W232" s="136"/>
      <c r="X232" s="136"/>
      <c r="Y232" s="136"/>
      <c r="AA232" s="45">
        <f>SUM($AA209:AA209)*AA209</f>
        <v>0</v>
      </c>
      <c r="AB232" s="45">
        <f>SUM($AA209:AB209)*AB209</f>
        <v>0</v>
      </c>
      <c r="AC232" s="45">
        <f>SUM($AA209:AC209)*AC209</f>
        <v>0</v>
      </c>
      <c r="AD232" s="45">
        <f>SUM($AA209:AD209)*AD209</f>
        <v>0</v>
      </c>
      <c r="AE232" s="45">
        <f>SUM($AA209:AE209)*AE209</f>
        <v>0</v>
      </c>
      <c r="AF232" s="45">
        <f>SUM($AA209:AF209)*AF209</f>
        <v>0</v>
      </c>
      <c r="AG232" s="45">
        <f>SUM($AA209:AG209)*AG209</f>
        <v>0</v>
      </c>
      <c r="AH232" s="45">
        <f>SUM($AA209:AH209)*AH209</f>
        <v>0</v>
      </c>
      <c r="AI232" s="45">
        <f>SUM($AA209:AI209)*AI209</f>
        <v>0</v>
      </c>
      <c r="AJ232" s="45">
        <f>SUM($AA209:AJ209)*AJ209</f>
        <v>0</v>
      </c>
      <c r="AK232" s="45">
        <f>SUM($AA209:AK209)*AK209</f>
        <v>0</v>
      </c>
      <c r="AL232" s="45">
        <f>SUM($AA209:AL209)*AL209</f>
        <v>0</v>
      </c>
      <c r="AM232" s="45">
        <f>SUM($AA209:AM209)*AM209</f>
        <v>0</v>
      </c>
      <c r="AN232" s="45">
        <f>SUM($AA209:AN209)*AN209</f>
        <v>0</v>
      </c>
      <c r="AO232" s="45">
        <f>SUM($AA209:AO209)*AO209</f>
        <v>0</v>
      </c>
      <c r="AP232" s="45">
        <f>SUM($AA209:AP209)*AP209</f>
        <v>0</v>
      </c>
      <c r="AQ232" s="45">
        <f>SUM($AA209:AQ209)*AQ209</f>
        <v>0</v>
      </c>
      <c r="AR232" s="45">
        <f>SUM($AA209:AR209)*AR209</f>
        <v>0</v>
      </c>
      <c r="AS232" s="45">
        <f>SUM($AA209:AS209)*AS209</f>
        <v>0</v>
      </c>
      <c r="AT232" s="45">
        <f>SUM($AA209:AT209)*AT209</f>
        <v>0</v>
      </c>
      <c r="AU232" s="45">
        <f>SUM($AA209:AU209)*AU209</f>
        <v>0</v>
      </c>
      <c r="AV232" s="45">
        <f>SUM($AA209:AV209)*AV209</f>
        <v>0</v>
      </c>
      <c r="AW232" s="45">
        <f>SUM($AA209:AW209)*AW209</f>
        <v>0</v>
      </c>
      <c r="AX232" s="45">
        <f>SUM($AA209:AX209)*AX209</f>
        <v>0</v>
      </c>
      <c r="AY232" s="45">
        <f>SUM($AA209:AY209)*AY209</f>
        <v>0</v>
      </c>
      <c r="AZ232" s="45">
        <f>SUM($AA209:AZ209)*AZ209</f>
        <v>0</v>
      </c>
      <c r="BA232" s="45">
        <f>SUM($AA209:BA209)*BA209</f>
        <v>0</v>
      </c>
      <c r="BB232" s="45">
        <f>SUM($AA209:BB209)*BB209</f>
        <v>0</v>
      </c>
      <c r="BC232" s="45">
        <f>SUM($AA209:BC209)*BC209</f>
        <v>0</v>
      </c>
      <c r="BD232" s="45">
        <f>SUM($AA209:BD209)*BD209</f>
        <v>0</v>
      </c>
      <c r="BE232" s="45">
        <f>SUM($AA209:BE209)*BE209</f>
        <v>0</v>
      </c>
      <c r="BF232" s="45">
        <f>SUM($AA209:BF209)*BF209</f>
        <v>0</v>
      </c>
      <c r="BG232" s="45">
        <f>SUM($AA209:BG209)*BG209</f>
        <v>0</v>
      </c>
      <c r="BH232" s="45">
        <f>SUM($AA209:BH209)*BH209</f>
        <v>0</v>
      </c>
      <c r="BI232" s="45">
        <f>SUM($AA209:BI209)*BI209</f>
        <v>0</v>
      </c>
      <c r="BJ232" s="45">
        <f>SUM($AA209:BJ209)*BJ209</f>
        <v>0</v>
      </c>
      <c r="BL232" s="136"/>
      <c r="BM232" s="136"/>
      <c r="BN232" s="136"/>
      <c r="BO232" s="136"/>
      <c r="BP232" s="136"/>
      <c r="BQ232" s="136"/>
      <c r="BR232" s="136"/>
      <c r="BS232" s="136"/>
      <c r="BT232" s="136"/>
      <c r="BU232" s="136"/>
      <c r="BV232" s="136"/>
      <c r="BW232" s="136"/>
      <c r="BY232" s="12"/>
      <c r="CA232" s="12"/>
      <c r="EX232" s="10" t="str">
        <f t="shared" si="151"/>
        <v/>
      </c>
    </row>
    <row r="233" spans="1:154" s="67" customFormat="1" x14ac:dyDescent="0.25">
      <c r="B233" s="67" t="str">
        <f ca="1">Loans!B$15</f>
        <v>Loan 3</v>
      </c>
      <c r="D233" s="62" t="str">
        <f>Loans!D$15</f>
        <v>NatWest</v>
      </c>
      <c r="S233" s="279"/>
      <c r="T233" s="335"/>
      <c r="U233" s="335"/>
      <c r="V233" s="136"/>
      <c r="W233" s="136"/>
      <c r="X233" s="136"/>
      <c r="Y233" s="136"/>
      <c r="AA233" s="45">
        <f>SUM($AA210:AA210)*AA210</f>
        <v>0</v>
      </c>
      <c r="AB233" s="45">
        <f>SUM($AA210:AB210)*AB210</f>
        <v>0</v>
      </c>
      <c r="AC233" s="45">
        <f>SUM($AA210:AC210)*AC210</f>
        <v>0</v>
      </c>
      <c r="AD233" s="45">
        <f>SUM($AA210:AD210)*AD210</f>
        <v>0</v>
      </c>
      <c r="AE233" s="45">
        <f>SUM($AA210:AE210)*AE210</f>
        <v>0</v>
      </c>
      <c r="AF233" s="45">
        <f>SUM($AA210:AF210)*AF210</f>
        <v>0</v>
      </c>
      <c r="AG233" s="45">
        <f>SUM($AA210:AG210)*AG210</f>
        <v>0</v>
      </c>
      <c r="AH233" s="45">
        <f>SUM($AA210:AH210)*AH210</f>
        <v>0</v>
      </c>
      <c r="AI233" s="45">
        <f>SUM($AA210:AI210)*AI210</f>
        <v>0</v>
      </c>
      <c r="AJ233" s="45">
        <f>SUM($AA210:AJ210)*AJ210</f>
        <v>0</v>
      </c>
      <c r="AK233" s="45">
        <f>SUM($AA210:AK210)*AK210</f>
        <v>0</v>
      </c>
      <c r="AL233" s="45">
        <f>SUM($AA210:AL210)*AL210</f>
        <v>0</v>
      </c>
      <c r="AM233" s="45">
        <f>SUM($AA210:AM210)*AM210</f>
        <v>0</v>
      </c>
      <c r="AN233" s="45">
        <f>SUM($AA210:AN210)*AN210</f>
        <v>0</v>
      </c>
      <c r="AO233" s="45">
        <f>SUM($AA210:AO210)*AO210</f>
        <v>0</v>
      </c>
      <c r="AP233" s="45">
        <f>SUM($AA210:AP210)*AP210</f>
        <v>0</v>
      </c>
      <c r="AQ233" s="45">
        <f>SUM($AA210:AQ210)*AQ210</f>
        <v>0</v>
      </c>
      <c r="AR233" s="45">
        <f>SUM($AA210:AR210)*AR210</f>
        <v>0</v>
      </c>
      <c r="AS233" s="45">
        <f>SUM($AA210:AS210)*AS210</f>
        <v>0</v>
      </c>
      <c r="AT233" s="45">
        <f>SUM($AA210:AT210)*AT210</f>
        <v>0</v>
      </c>
      <c r="AU233" s="45">
        <f>SUM($AA210:AU210)*AU210</f>
        <v>0</v>
      </c>
      <c r="AV233" s="45">
        <f>SUM($AA210:AV210)*AV210</f>
        <v>0</v>
      </c>
      <c r="AW233" s="45">
        <f>SUM($AA210:AW210)*AW210</f>
        <v>0</v>
      </c>
      <c r="AX233" s="45">
        <f>SUM($AA210:AX210)*AX210</f>
        <v>0</v>
      </c>
      <c r="AY233" s="45">
        <f>SUM($AA210:AY210)*AY210</f>
        <v>0</v>
      </c>
      <c r="AZ233" s="45">
        <f>SUM($AA210:AZ210)*AZ210</f>
        <v>0</v>
      </c>
      <c r="BA233" s="45">
        <f>SUM($AA210:BA210)*BA210</f>
        <v>0</v>
      </c>
      <c r="BB233" s="45">
        <f>SUM($AA210:BB210)*BB210</f>
        <v>0</v>
      </c>
      <c r="BC233" s="45">
        <f>SUM($AA210:BC210)*BC210</f>
        <v>0</v>
      </c>
      <c r="BD233" s="45">
        <f>SUM($AA210:BD210)*BD210</f>
        <v>0</v>
      </c>
      <c r="BE233" s="45">
        <f>SUM($AA210:BE210)*BE210</f>
        <v>0</v>
      </c>
      <c r="BF233" s="45">
        <f>SUM($AA210:BF210)*BF210</f>
        <v>0</v>
      </c>
      <c r="BG233" s="45">
        <f>SUM($AA210:BG210)*BG210</f>
        <v>0</v>
      </c>
      <c r="BH233" s="45">
        <f>SUM($AA210:BH210)*BH210</f>
        <v>0</v>
      </c>
      <c r="BI233" s="45">
        <f>SUM($AA210:BI210)*BI210</f>
        <v>0</v>
      </c>
      <c r="BJ233" s="45">
        <f>SUM($AA210:BJ210)*BJ210</f>
        <v>0</v>
      </c>
      <c r="BL233" s="136"/>
      <c r="BM233" s="136"/>
      <c r="BN233" s="136"/>
      <c r="BO233" s="136"/>
      <c r="BP233" s="136"/>
      <c r="BQ233" s="136"/>
      <c r="BR233" s="136"/>
      <c r="BS233" s="136"/>
      <c r="BT233" s="136"/>
      <c r="BU233" s="136"/>
      <c r="BV233" s="136"/>
      <c r="BW233" s="136"/>
      <c r="BY233" s="12"/>
      <c r="CA233" s="12"/>
      <c r="EX233" s="10" t="str">
        <f t="shared" si="151"/>
        <v/>
      </c>
    </row>
    <row r="234" spans="1:154" s="67" customFormat="1" x14ac:dyDescent="0.25">
      <c r="B234" s="67" t="str">
        <f ca="1">Loans!B$16</f>
        <v>Loan 4</v>
      </c>
      <c r="D234" s="62" t="str">
        <f>Loans!D$16</f>
        <v>NatWest</v>
      </c>
      <c r="S234" s="279"/>
      <c r="T234" s="335"/>
      <c r="U234" s="335"/>
      <c r="V234" s="136"/>
      <c r="W234" s="136"/>
      <c r="X234" s="136"/>
      <c r="Y234" s="136"/>
      <c r="AA234" s="45">
        <f>SUM($AA211:AA211)*AA211</f>
        <v>0</v>
      </c>
      <c r="AB234" s="45">
        <f>SUM($AA211:AB211)*AB211</f>
        <v>0</v>
      </c>
      <c r="AC234" s="45">
        <f>SUM($AA211:AC211)*AC211</f>
        <v>0</v>
      </c>
      <c r="AD234" s="45">
        <f>SUM($AA211:AD211)*AD211</f>
        <v>0</v>
      </c>
      <c r="AE234" s="45">
        <f>SUM($AA211:AE211)*AE211</f>
        <v>0</v>
      </c>
      <c r="AF234" s="45">
        <f>SUM($AA211:AF211)*AF211</f>
        <v>0</v>
      </c>
      <c r="AG234" s="45">
        <f>SUM($AA211:AG211)*AG211</f>
        <v>0</v>
      </c>
      <c r="AH234" s="45">
        <f>SUM($AA211:AH211)*AH211</f>
        <v>0</v>
      </c>
      <c r="AI234" s="45">
        <f>SUM($AA211:AI211)*AI211</f>
        <v>0</v>
      </c>
      <c r="AJ234" s="45">
        <f>SUM($AA211:AJ211)*AJ211</f>
        <v>0</v>
      </c>
      <c r="AK234" s="45">
        <f>SUM($AA211:AK211)*AK211</f>
        <v>0</v>
      </c>
      <c r="AL234" s="45">
        <f>SUM($AA211:AL211)*AL211</f>
        <v>0</v>
      </c>
      <c r="AM234" s="45">
        <f>SUM($AA211:AM211)*AM211</f>
        <v>0</v>
      </c>
      <c r="AN234" s="45">
        <f>SUM($AA211:AN211)*AN211</f>
        <v>0</v>
      </c>
      <c r="AO234" s="45">
        <f>SUM($AA211:AO211)*AO211</f>
        <v>0</v>
      </c>
      <c r="AP234" s="45">
        <f>SUM($AA211:AP211)*AP211</f>
        <v>0</v>
      </c>
      <c r="AQ234" s="45">
        <f>SUM($AA211:AQ211)*AQ211</f>
        <v>0</v>
      </c>
      <c r="AR234" s="45">
        <f>SUM($AA211:AR211)*AR211</f>
        <v>0</v>
      </c>
      <c r="AS234" s="45">
        <f>SUM($AA211:AS211)*AS211</f>
        <v>0</v>
      </c>
      <c r="AT234" s="45">
        <f>SUM($AA211:AT211)*AT211</f>
        <v>0</v>
      </c>
      <c r="AU234" s="45">
        <f>SUM($AA211:AU211)*AU211</f>
        <v>0</v>
      </c>
      <c r="AV234" s="45">
        <f>SUM($AA211:AV211)*AV211</f>
        <v>0</v>
      </c>
      <c r="AW234" s="45">
        <f>SUM($AA211:AW211)*AW211</f>
        <v>0</v>
      </c>
      <c r="AX234" s="45">
        <f>SUM($AA211:AX211)*AX211</f>
        <v>0</v>
      </c>
      <c r="AY234" s="45">
        <f>SUM($AA211:AY211)*AY211</f>
        <v>0</v>
      </c>
      <c r="AZ234" s="45">
        <f>SUM($AA211:AZ211)*AZ211</f>
        <v>0</v>
      </c>
      <c r="BA234" s="45">
        <f>SUM($AA211:BA211)*BA211</f>
        <v>0</v>
      </c>
      <c r="BB234" s="45">
        <f>SUM($AA211:BB211)*BB211</f>
        <v>0</v>
      </c>
      <c r="BC234" s="45">
        <f>SUM($AA211:BC211)*BC211</f>
        <v>0</v>
      </c>
      <c r="BD234" s="45">
        <f>SUM($AA211:BD211)*BD211</f>
        <v>0</v>
      </c>
      <c r="BE234" s="45">
        <f>SUM($AA211:BE211)*BE211</f>
        <v>0</v>
      </c>
      <c r="BF234" s="45">
        <f>SUM($AA211:BF211)*BF211</f>
        <v>0</v>
      </c>
      <c r="BG234" s="45">
        <f>SUM($AA211:BG211)*BG211</f>
        <v>0</v>
      </c>
      <c r="BH234" s="45">
        <f>SUM($AA211:BH211)*BH211</f>
        <v>0</v>
      </c>
      <c r="BI234" s="45">
        <f>SUM($AA211:BI211)*BI211</f>
        <v>0</v>
      </c>
      <c r="BJ234" s="45">
        <f>SUM($AA211:BJ211)*BJ211</f>
        <v>0</v>
      </c>
      <c r="BL234" s="136"/>
      <c r="BM234" s="136"/>
      <c r="BN234" s="136"/>
      <c r="BO234" s="136"/>
      <c r="BP234" s="136"/>
      <c r="BQ234" s="136"/>
      <c r="BR234" s="136"/>
      <c r="BS234" s="136"/>
      <c r="BT234" s="136"/>
      <c r="BU234" s="136"/>
      <c r="BV234" s="136"/>
      <c r="BW234" s="136"/>
      <c r="BY234" s="12"/>
      <c r="CA234" s="12"/>
      <c r="EX234" s="10" t="str">
        <f t="shared" si="151"/>
        <v/>
      </c>
    </row>
    <row r="235" spans="1:154" s="67" customFormat="1" x14ac:dyDescent="0.25">
      <c r="B235" s="67" t="str">
        <f ca="1">Loans!B$17</f>
        <v>Loan 5</v>
      </c>
      <c r="D235" s="62" t="str">
        <f>Loans!D$17</f>
        <v>NatWest</v>
      </c>
      <c r="S235" s="279"/>
      <c r="T235" s="335"/>
      <c r="U235" s="335"/>
      <c r="V235" s="136"/>
      <c r="W235" s="136"/>
      <c r="X235" s="136"/>
      <c r="Y235" s="136"/>
      <c r="AA235" s="45">
        <f>SUM($AA212:AA212)*AA212</f>
        <v>0</v>
      </c>
      <c r="AB235" s="45">
        <f>SUM($AA212:AB212)*AB212</f>
        <v>0</v>
      </c>
      <c r="AC235" s="45">
        <f>SUM($AA212:AC212)*AC212</f>
        <v>0</v>
      </c>
      <c r="AD235" s="45">
        <f>SUM($AA212:AD212)*AD212</f>
        <v>0</v>
      </c>
      <c r="AE235" s="45">
        <f>SUM($AA212:AE212)*AE212</f>
        <v>0</v>
      </c>
      <c r="AF235" s="45">
        <f>SUM($AA212:AF212)*AF212</f>
        <v>0</v>
      </c>
      <c r="AG235" s="45">
        <f>SUM($AA212:AG212)*AG212</f>
        <v>0</v>
      </c>
      <c r="AH235" s="45">
        <f>SUM($AA212:AH212)*AH212</f>
        <v>0</v>
      </c>
      <c r="AI235" s="45">
        <f>SUM($AA212:AI212)*AI212</f>
        <v>0</v>
      </c>
      <c r="AJ235" s="45">
        <f>SUM($AA212:AJ212)*AJ212</f>
        <v>0</v>
      </c>
      <c r="AK235" s="45">
        <f>SUM($AA212:AK212)*AK212</f>
        <v>0</v>
      </c>
      <c r="AL235" s="45">
        <f>SUM($AA212:AL212)*AL212</f>
        <v>0</v>
      </c>
      <c r="AM235" s="45">
        <f>SUM($AA212:AM212)*AM212</f>
        <v>0</v>
      </c>
      <c r="AN235" s="45">
        <f>SUM($AA212:AN212)*AN212</f>
        <v>0</v>
      </c>
      <c r="AO235" s="45">
        <f>SUM($AA212:AO212)*AO212</f>
        <v>0</v>
      </c>
      <c r="AP235" s="45">
        <f>SUM($AA212:AP212)*AP212</f>
        <v>0</v>
      </c>
      <c r="AQ235" s="45">
        <f>SUM($AA212:AQ212)*AQ212</f>
        <v>0</v>
      </c>
      <c r="AR235" s="45">
        <f>SUM($AA212:AR212)*AR212</f>
        <v>0</v>
      </c>
      <c r="AS235" s="45">
        <f>SUM($AA212:AS212)*AS212</f>
        <v>0</v>
      </c>
      <c r="AT235" s="45">
        <f>SUM($AA212:AT212)*AT212</f>
        <v>0</v>
      </c>
      <c r="AU235" s="45">
        <f>SUM($AA212:AU212)*AU212</f>
        <v>0</v>
      </c>
      <c r="AV235" s="45">
        <f>SUM($AA212:AV212)*AV212</f>
        <v>0</v>
      </c>
      <c r="AW235" s="45">
        <f>SUM($AA212:AW212)*AW212</f>
        <v>0</v>
      </c>
      <c r="AX235" s="45">
        <f>SUM($AA212:AX212)*AX212</f>
        <v>0</v>
      </c>
      <c r="AY235" s="45">
        <f>SUM($AA212:AY212)*AY212</f>
        <v>0</v>
      </c>
      <c r="AZ235" s="45">
        <f>SUM($AA212:AZ212)*AZ212</f>
        <v>0</v>
      </c>
      <c r="BA235" s="45">
        <f>SUM($AA212:BA212)*BA212</f>
        <v>0</v>
      </c>
      <c r="BB235" s="45">
        <f>SUM($AA212:BB212)*BB212</f>
        <v>0</v>
      </c>
      <c r="BC235" s="45">
        <f>SUM($AA212:BC212)*BC212</f>
        <v>0</v>
      </c>
      <c r="BD235" s="45">
        <f>SUM($AA212:BD212)*BD212</f>
        <v>0</v>
      </c>
      <c r="BE235" s="45">
        <f>SUM($AA212:BE212)*BE212</f>
        <v>0</v>
      </c>
      <c r="BF235" s="45">
        <f>SUM($AA212:BF212)*BF212</f>
        <v>0</v>
      </c>
      <c r="BG235" s="45">
        <f>SUM($AA212:BG212)*BG212</f>
        <v>0</v>
      </c>
      <c r="BH235" s="45">
        <f>SUM($AA212:BH212)*BH212</f>
        <v>0</v>
      </c>
      <c r="BI235" s="45">
        <f>SUM($AA212:BI212)*BI212</f>
        <v>0</v>
      </c>
      <c r="BJ235" s="45">
        <f>SUM($AA212:BJ212)*BJ212</f>
        <v>0</v>
      </c>
      <c r="BL235" s="136"/>
      <c r="BM235" s="136"/>
      <c r="BN235" s="136"/>
      <c r="BO235" s="136"/>
      <c r="BP235" s="136"/>
      <c r="BQ235" s="136"/>
      <c r="BR235" s="136"/>
      <c r="BS235" s="136"/>
      <c r="BT235" s="136"/>
      <c r="BU235" s="136"/>
      <c r="BV235" s="136"/>
      <c r="BW235" s="136"/>
      <c r="BY235" s="12"/>
      <c r="CA235" s="12"/>
      <c r="EX235" s="10" t="str">
        <f t="shared" si="151"/>
        <v/>
      </c>
    </row>
    <row r="236" spans="1:154" s="67" customFormat="1" x14ac:dyDescent="0.25">
      <c r="B236" s="67" t="str">
        <f ca="1">Loans!B$18</f>
        <v>Loan 6</v>
      </c>
      <c r="D236" s="62">
        <f>Loans!D$18</f>
        <v>0</v>
      </c>
      <c r="S236" s="279"/>
      <c r="T236" s="335"/>
      <c r="U236" s="335"/>
      <c r="V236" s="136"/>
      <c r="W236" s="136"/>
      <c r="X236" s="136"/>
      <c r="Y236" s="136"/>
      <c r="AA236" s="45">
        <f>SUM($AA213:AA213)*AA213</f>
        <v>0</v>
      </c>
      <c r="AB236" s="45">
        <f>SUM($AA213:AB213)*AB213</f>
        <v>0</v>
      </c>
      <c r="AC236" s="45">
        <f>SUM($AA213:AC213)*AC213</f>
        <v>0</v>
      </c>
      <c r="AD236" s="45">
        <f>SUM($AA213:AD213)*AD213</f>
        <v>0</v>
      </c>
      <c r="AE236" s="45">
        <f>SUM($AA213:AE213)*AE213</f>
        <v>0</v>
      </c>
      <c r="AF236" s="45">
        <f>SUM($AA213:AF213)*AF213</f>
        <v>0</v>
      </c>
      <c r="AG236" s="45">
        <f>SUM($AA213:AG213)*AG213</f>
        <v>0</v>
      </c>
      <c r="AH236" s="45">
        <f>SUM($AA213:AH213)*AH213</f>
        <v>0</v>
      </c>
      <c r="AI236" s="45">
        <f>SUM($AA213:AI213)*AI213</f>
        <v>0</v>
      </c>
      <c r="AJ236" s="45">
        <f>SUM($AA213:AJ213)*AJ213</f>
        <v>0</v>
      </c>
      <c r="AK236" s="45">
        <f>SUM($AA213:AK213)*AK213</f>
        <v>0</v>
      </c>
      <c r="AL236" s="45">
        <f>SUM($AA213:AL213)*AL213</f>
        <v>0</v>
      </c>
      <c r="AM236" s="45">
        <f>SUM($AA213:AM213)*AM213</f>
        <v>0</v>
      </c>
      <c r="AN236" s="45">
        <f>SUM($AA213:AN213)*AN213</f>
        <v>0</v>
      </c>
      <c r="AO236" s="45">
        <f>SUM($AA213:AO213)*AO213</f>
        <v>0</v>
      </c>
      <c r="AP236" s="45">
        <f>SUM($AA213:AP213)*AP213</f>
        <v>0</v>
      </c>
      <c r="AQ236" s="45">
        <f>SUM($AA213:AQ213)*AQ213</f>
        <v>0</v>
      </c>
      <c r="AR236" s="45">
        <f>SUM($AA213:AR213)*AR213</f>
        <v>0</v>
      </c>
      <c r="AS236" s="45">
        <f>SUM($AA213:AS213)*AS213</f>
        <v>0</v>
      </c>
      <c r="AT236" s="45">
        <f>SUM($AA213:AT213)*AT213</f>
        <v>0</v>
      </c>
      <c r="AU236" s="45">
        <f>SUM($AA213:AU213)*AU213</f>
        <v>0</v>
      </c>
      <c r="AV236" s="45">
        <f>SUM($AA213:AV213)*AV213</f>
        <v>0</v>
      </c>
      <c r="AW236" s="45">
        <f>SUM($AA213:AW213)*AW213</f>
        <v>0</v>
      </c>
      <c r="AX236" s="45">
        <f>SUM($AA213:AX213)*AX213</f>
        <v>0</v>
      </c>
      <c r="AY236" s="45">
        <f>SUM($AA213:AY213)*AY213</f>
        <v>0</v>
      </c>
      <c r="AZ236" s="45">
        <f>SUM($AA213:AZ213)*AZ213</f>
        <v>0</v>
      </c>
      <c r="BA236" s="45">
        <f>SUM($AA213:BA213)*BA213</f>
        <v>0</v>
      </c>
      <c r="BB236" s="45">
        <f>SUM($AA213:BB213)*BB213</f>
        <v>0</v>
      </c>
      <c r="BC236" s="45">
        <f>SUM($AA213:BC213)*BC213</f>
        <v>0</v>
      </c>
      <c r="BD236" s="45">
        <f>SUM($AA213:BD213)*BD213</f>
        <v>0</v>
      </c>
      <c r="BE236" s="45">
        <f>SUM($AA213:BE213)*BE213</f>
        <v>0</v>
      </c>
      <c r="BF236" s="45">
        <f>SUM($AA213:BF213)*BF213</f>
        <v>0</v>
      </c>
      <c r="BG236" s="45">
        <f>SUM($AA213:BG213)*BG213</f>
        <v>0</v>
      </c>
      <c r="BH236" s="45">
        <f>SUM($AA213:BH213)*BH213</f>
        <v>0</v>
      </c>
      <c r="BI236" s="45">
        <f>SUM($AA213:BI213)*BI213</f>
        <v>0</v>
      </c>
      <c r="BJ236" s="45">
        <f>SUM($AA213:BJ213)*BJ213</f>
        <v>0</v>
      </c>
      <c r="BL236" s="136"/>
      <c r="BM236" s="136"/>
      <c r="BN236" s="136"/>
      <c r="BO236" s="136"/>
      <c r="BP236" s="136"/>
      <c r="BQ236" s="136"/>
      <c r="BR236" s="136"/>
      <c r="BS236" s="136"/>
      <c r="BT236" s="136"/>
      <c r="BU236" s="136"/>
      <c r="BV236" s="136"/>
      <c r="BW236" s="136"/>
      <c r="BY236" s="12"/>
      <c r="CA236" s="12"/>
      <c r="EX236" s="10" t="str">
        <f t="shared" si="151"/>
        <v/>
      </c>
    </row>
    <row r="237" spans="1:154" s="5" customFormat="1" x14ac:dyDescent="0.25">
      <c r="A237" s="67"/>
      <c r="B237" s="67" t="str">
        <f ca="1">Loans!B$19</f>
        <v>Loan 7</v>
      </c>
      <c r="D237" s="62">
        <f>Loans!D$19</f>
        <v>0</v>
      </c>
      <c r="E237" s="67"/>
      <c r="F237" s="67"/>
      <c r="G237" s="67"/>
      <c r="H237" s="67"/>
      <c r="I237" s="67"/>
      <c r="J237" s="67"/>
      <c r="K237" s="67"/>
      <c r="M237" s="67"/>
      <c r="N237" s="67"/>
      <c r="O237" s="67"/>
      <c r="P237" s="67"/>
      <c r="Q237" s="67"/>
      <c r="S237" s="279"/>
      <c r="T237" s="335"/>
      <c r="U237" s="335"/>
      <c r="V237" s="136"/>
      <c r="W237" s="136"/>
      <c r="X237" s="136"/>
      <c r="Y237" s="136"/>
      <c r="Z237" s="67"/>
      <c r="AA237" s="45">
        <f>SUM($AA214:AA214)*AA214</f>
        <v>0</v>
      </c>
      <c r="AB237" s="45">
        <f>SUM($AA214:AB214)*AB214</f>
        <v>0</v>
      </c>
      <c r="AC237" s="45">
        <f>SUM($AA214:AC214)*AC214</f>
        <v>0</v>
      </c>
      <c r="AD237" s="45">
        <f>SUM($AA214:AD214)*AD214</f>
        <v>0</v>
      </c>
      <c r="AE237" s="45">
        <f>SUM($AA214:AE214)*AE214</f>
        <v>0</v>
      </c>
      <c r="AF237" s="45">
        <f>SUM($AA214:AF214)*AF214</f>
        <v>0</v>
      </c>
      <c r="AG237" s="45">
        <f>SUM($AA214:AG214)*AG214</f>
        <v>0</v>
      </c>
      <c r="AH237" s="45">
        <f>SUM($AA214:AH214)*AH214</f>
        <v>0</v>
      </c>
      <c r="AI237" s="45">
        <f>SUM($AA214:AI214)*AI214</f>
        <v>0</v>
      </c>
      <c r="AJ237" s="45">
        <f>SUM($AA214:AJ214)*AJ214</f>
        <v>0</v>
      </c>
      <c r="AK237" s="45">
        <f>SUM($AA214:AK214)*AK214</f>
        <v>0</v>
      </c>
      <c r="AL237" s="45">
        <f>SUM($AA214:AL214)*AL214</f>
        <v>0</v>
      </c>
      <c r="AM237" s="45">
        <f>SUM($AA214:AM214)*AM214</f>
        <v>0</v>
      </c>
      <c r="AN237" s="45">
        <f>SUM($AA214:AN214)*AN214</f>
        <v>0</v>
      </c>
      <c r="AO237" s="45">
        <f>SUM($AA214:AO214)*AO214</f>
        <v>0</v>
      </c>
      <c r="AP237" s="45">
        <f>SUM($AA214:AP214)*AP214</f>
        <v>0</v>
      </c>
      <c r="AQ237" s="45">
        <f>SUM($AA214:AQ214)*AQ214</f>
        <v>0</v>
      </c>
      <c r="AR237" s="45">
        <f>SUM($AA214:AR214)*AR214</f>
        <v>0</v>
      </c>
      <c r="AS237" s="45">
        <f>SUM($AA214:AS214)*AS214</f>
        <v>0</v>
      </c>
      <c r="AT237" s="45">
        <f>SUM($AA214:AT214)*AT214</f>
        <v>0</v>
      </c>
      <c r="AU237" s="45">
        <f>SUM($AA214:AU214)*AU214</f>
        <v>0</v>
      </c>
      <c r="AV237" s="45">
        <f>SUM($AA214:AV214)*AV214</f>
        <v>0</v>
      </c>
      <c r="AW237" s="45">
        <f>SUM($AA214:AW214)*AW214</f>
        <v>0</v>
      </c>
      <c r="AX237" s="45">
        <f>SUM($AA214:AX214)*AX214</f>
        <v>0</v>
      </c>
      <c r="AY237" s="45">
        <f>SUM($AA214:AY214)*AY214</f>
        <v>0</v>
      </c>
      <c r="AZ237" s="45">
        <f>SUM($AA214:AZ214)*AZ214</f>
        <v>0</v>
      </c>
      <c r="BA237" s="45">
        <f>SUM($AA214:BA214)*BA214</f>
        <v>0</v>
      </c>
      <c r="BB237" s="45">
        <f>SUM($AA214:BB214)*BB214</f>
        <v>0</v>
      </c>
      <c r="BC237" s="45">
        <f>SUM($AA214:BC214)*BC214</f>
        <v>0</v>
      </c>
      <c r="BD237" s="45">
        <f>SUM($AA214:BD214)*BD214</f>
        <v>0</v>
      </c>
      <c r="BE237" s="45">
        <f>SUM($AA214:BE214)*BE214</f>
        <v>0</v>
      </c>
      <c r="BF237" s="45">
        <f>SUM($AA214:BF214)*BF214</f>
        <v>0</v>
      </c>
      <c r="BG237" s="45">
        <f>SUM($AA214:BG214)*BG214</f>
        <v>0</v>
      </c>
      <c r="BH237" s="45">
        <f>SUM($AA214:BH214)*BH214</f>
        <v>0</v>
      </c>
      <c r="BI237" s="45">
        <f>SUM($AA214:BI214)*BI214</f>
        <v>0</v>
      </c>
      <c r="BJ237" s="45">
        <f>SUM($AA214:BJ214)*BJ214</f>
        <v>0</v>
      </c>
      <c r="BK237" s="67"/>
      <c r="BL237" s="136"/>
      <c r="BM237" s="136"/>
      <c r="BN237" s="136"/>
      <c r="BO237" s="136"/>
      <c r="BP237" s="136"/>
      <c r="BQ237" s="136"/>
      <c r="BR237" s="136"/>
      <c r="BS237" s="136"/>
      <c r="BT237" s="136"/>
      <c r="BU237" s="136"/>
      <c r="BV237" s="136"/>
      <c r="BW237" s="136"/>
      <c r="BX237" s="67"/>
      <c r="BY237" s="12"/>
      <c r="BZ237" s="67"/>
      <c r="CA237" s="12"/>
      <c r="EX237" s="10" t="str">
        <f t="shared" si="151"/>
        <v/>
      </c>
    </row>
    <row r="238" spans="1:154" s="67" customFormat="1" x14ac:dyDescent="0.25">
      <c r="B238" s="67" t="str">
        <f ca="1">Loans!B$20</f>
        <v>Loan 8</v>
      </c>
      <c r="D238" s="62">
        <f>Loans!D$20</f>
        <v>0</v>
      </c>
      <c r="S238" s="279"/>
      <c r="T238" s="335"/>
      <c r="U238" s="335"/>
      <c r="V238" s="136"/>
      <c r="W238" s="136"/>
      <c r="X238" s="136"/>
      <c r="Y238" s="136"/>
      <c r="AA238" s="45">
        <f>SUM($AA215:AA215)*AA215</f>
        <v>0</v>
      </c>
      <c r="AB238" s="45">
        <f>SUM($AA215:AB215)*AB215</f>
        <v>0</v>
      </c>
      <c r="AC238" s="45">
        <f>SUM($AA215:AC215)*AC215</f>
        <v>0</v>
      </c>
      <c r="AD238" s="45">
        <f>SUM($AA215:AD215)*AD215</f>
        <v>0</v>
      </c>
      <c r="AE238" s="45">
        <f>SUM($AA215:AE215)*AE215</f>
        <v>0</v>
      </c>
      <c r="AF238" s="45">
        <f>SUM($AA215:AF215)*AF215</f>
        <v>0</v>
      </c>
      <c r="AG238" s="45">
        <f>SUM($AA215:AG215)*AG215</f>
        <v>0</v>
      </c>
      <c r="AH238" s="45">
        <f>SUM($AA215:AH215)*AH215</f>
        <v>0</v>
      </c>
      <c r="AI238" s="45">
        <f>SUM($AA215:AI215)*AI215</f>
        <v>0</v>
      </c>
      <c r="AJ238" s="45">
        <f>SUM($AA215:AJ215)*AJ215</f>
        <v>0</v>
      </c>
      <c r="AK238" s="45">
        <f>SUM($AA215:AK215)*AK215</f>
        <v>0</v>
      </c>
      <c r="AL238" s="45">
        <f>SUM($AA215:AL215)*AL215</f>
        <v>0</v>
      </c>
      <c r="AM238" s="45">
        <f>SUM($AA215:AM215)*AM215</f>
        <v>0</v>
      </c>
      <c r="AN238" s="45">
        <f>SUM($AA215:AN215)*AN215</f>
        <v>0</v>
      </c>
      <c r="AO238" s="45">
        <f>SUM($AA215:AO215)*AO215</f>
        <v>0</v>
      </c>
      <c r="AP238" s="45">
        <f>SUM($AA215:AP215)*AP215</f>
        <v>0</v>
      </c>
      <c r="AQ238" s="45">
        <f>SUM($AA215:AQ215)*AQ215</f>
        <v>0</v>
      </c>
      <c r="AR238" s="45">
        <f>SUM($AA215:AR215)*AR215</f>
        <v>0</v>
      </c>
      <c r="AS238" s="45">
        <f>SUM($AA215:AS215)*AS215</f>
        <v>0</v>
      </c>
      <c r="AT238" s="45">
        <f>SUM($AA215:AT215)*AT215</f>
        <v>0</v>
      </c>
      <c r="AU238" s="45">
        <f>SUM($AA215:AU215)*AU215</f>
        <v>0</v>
      </c>
      <c r="AV238" s="45">
        <f>SUM($AA215:AV215)*AV215</f>
        <v>0</v>
      </c>
      <c r="AW238" s="45">
        <f>SUM($AA215:AW215)*AW215</f>
        <v>0</v>
      </c>
      <c r="AX238" s="45">
        <f>SUM($AA215:AX215)*AX215</f>
        <v>0</v>
      </c>
      <c r="AY238" s="45">
        <f>SUM($AA215:AY215)*AY215</f>
        <v>0</v>
      </c>
      <c r="AZ238" s="45">
        <f>SUM($AA215:AZ215)*AZ215</f>
        <v>0</v>
      </c>
      <c r="BA238" s="45">
        <f>SUM($AA215:BA215)*BA215</f>
        <v>0</v>
      </c>
      <c r="BB238" s="45">
        <f>SUM($AA215:BB215)*BB215</f>
        <v>0</v>
      </c>
      <c r="BC238" s="45">
        <f>SUM($AA215:BC215)*BC215</f>
        <v>0</v>
      </c>
      <c r="BD238" s="45">
        <f>SUM($AA215:BD215)*BD215</f>
        <v>0</v>
      </c>
      <c r="BE238" s="45">
        <f>SUM($AA215:BE215)*BE215</f>
        <v>0</v>
      </c>
      <c r="BF238" s="45">
        <f>SUM($AA215:BF215)*BF215</f>
        <v>0</v>
      </c>
      <c r="BG238" s="45">
        <f>SUM($AA215:BG215)*BG215</f>
        <v>0</v>
      </c>
      <c r="BH238" s="45">
        <f>SUM($AA215:BH215)*BH215</f>
        <v>0</v>
      </c>
      <c r="BI238" s="45">
        <f>SUM($AA215:BI215)*BI215</f>
        <v>0</v>
      </c>
      <c r="BJ238" s="45">
        <f>SUM($AA215:BJ215)*BJ215</f>
        <v>0</v>
      </c>
      <c r="BL238" s="136"/>
      <c r="BM238" s="136"/>
      <c r="BN238" s="136"/>
      <c r="BO238" s="136"/>
      <c r="BP238" s="136"/>
      <c r="BQ238" s="136"/>
      <c r="BR238" s="136"/>
      <c r="BS238" s="136"/>
      <c r="BT238" s="136"/>
      <c r="BU238" s="136"/>
      <c r="BV238" s="136"/>
      <c r="BW238" s="136"/>
      <c r="BY238" s="12"/>
      <c r="CA238" s="12"/>
      <c r="EX238" s="10" t="str">
        <f t="shared" si="151"/>
        <v/>
      </c>
    </row>
    <row r="239" spans="1:154" s="67" customFormat="1" x14ac:dyDescent="0.25">
      <c r="B239" s="67" t="str">
        <f ca="1">Loans!B$21</f>
        <v>Loan 9</v>
      </c>
      <c r="D239" s="62">
        <f>Loans!D$21</f>
        <v>0</v>
      </c>
      <c r="S239" s="279"/>
      <c r="T239" s="335"/>
      <c r="U239" s="335"/>
      <c r="V239" s="136"/>
      <c r="W239" s="136"/>
      <c r="X239" s="136"/>
      <c r="Y239" s="136"/>
      <c r="AA239" s="45">
        <f>SUM($AA216:AA216)*AA216</f>
        <v>0</v>
      </c>
      <c r="AB239" s="45">
        <f>SUM($AA216:AB216)*AB216</f>
        <v>0</v>
      </c>
      <c r="AC239" s="45">
        <f>SUM($AA216:AC216)*AC216</f>
        <v>0</v>
      </c>
      <c r="AD239" s="45">
        <f>SUM($AA216:AD216)*AD216</f>
        <v>0</v>
      </c>
      <c r="AE239" s="45">
        <f>SUM($AA216:AE216)*AE216</f>
        <v>0</v>
      </c>
      <c r="AF239" s="45">
        <f>SUM($AA216:AF216)*AF216</f>
        <v>0</v>
      </c>
      <c r="AG239" s="45">
        <f>SUM($AA216:AG216)*AG216</f>
        <v>0</v>
      </c>
      <c r="AH239" s="45">
        <f>SUM($AA216:AH216)*AH216</f>
        <v>0</v>
      </c>
      <c r="AI239" s="45">
        <f>SUM($AA216:AI216)*AI216</f>
        <v>0</v>
      </c>
      <c r="AJ239" s="45">
        <f>SUM($AA216:AJ216)*AJ216</f>
        <v>0</v>
      </c>
      <c r="AK239" s="45">
        <f>SUM($AA216:AK216)*AK216</f>
        <v>0</v>
      </c>
      <c r="AL239" s="45">
        <f>SUM($AA216:AL216)*AL216</f>
        <v>0</v>
      </c>
      <c r="AM239" s="45">
        <f>SUM($AA216:AM216)*AM216</f>
        <v>0</v>
      </c>
      <c r="AN239" s="45">
        <f>SUM($AA216:AN216)*AN216</f>
        <v>0</v>
      </c>
      <c r="AO239" s="45">
        <f>SUM($AA216:AO216)*AO216</f>
        <v>0</v>
      </c>
      <c r="AP239" s="45">
        <f>SUM($AA216:AP216)*AP216</f>
        <v>0</v>
      </c>
      <c r="AQ239" s="45">
        <f>SUM($AA216:AQ216)*AQ216</f>
        <v>0</v>
      </c>
      <c r="AR239" s="45">
        <f>SUM($AA216:AR216)*AR216</f>
        <v>0</v>
      </c>
      <c r="AS239" s="45">
        <f>SUM($AA216:AS216)*AS216</f>
        <v>0</v>
      </c>
      <c r="AT239" s="45">
        <f>SUM($AA216:AT216)*AT216</f>
        <v>0</v>
      </c>
      <c r="AU239" s="45">
        <f>SUM($AA216:AU216)*AU216</f>
        <v>0</v>
      </c>
      <c r="AV239" s="45">
        <f>SUM($AA216:AV216)*AV216</f>
        <v>0</v>
      </c>
      <c r="AW239" s="45">
        <f>SUM($AA216:AW216)*AW216</f>
        <v>0</v>
      </c>
      <c r="AX239" s="45">
        <f>SUM($AA216:AX216)*AX216</f>
        <v>0</v>
      </c>
      <c r="AY239" s="45">
        <f>SUM($AA216:AY216)*AY216</f>
        <v>0</v>
      </c>
      <c r="AZ239" s="45">
        <f>SUM($AA216:AZ216)*AZ216</f>
        <v>0</v>
      </c>
      <c r="BA239" s="45">
        <f>SUM($AA216:BA216)*BA216</f>
        <v>0</v>
      </c>
      <c r="BB239" s="45">
        <f>SUM($AA216:BB216)*BB216</f>
        <v>0</v>
      </c>
      <c r="BC239" s="45">
        <f>SUM($AA216:BC216)*BC216</f>
        <v>0</v>
      </c>
      <c r="BD239" s="45">
        <f>SUM($AA216:BD216)*BD216</f>
        <v>0</v>
      </c>
      <c r="BE239" s="45">
        <f>SUM($AA216:BE216)*BE216</f>
        <v>0</v>
      </c>
      <c r="BF239" s="45">
        <f>SUM($AA216:BF216)*BF216</f>
        <v>0</v>
      </c>
      <c r="BG239" s="45">
        <f>SUM($AA216:BG216)*BG216</f>
        <v>0</v>
      </c>
      <c r="BH239" s="45">
        <f>SUM($AA216:BH216)*BH216</f>
        <v>0</v>
      </c>
      <c r="BI239" s="45">
        <f>SUM($AA216:BI216)*BI216</f>
        <v>0</v>
      </c>
      <c r="BJ239" s="45">
        <f>SUM($AA216:BJ216)*BJ216</f>
        <v>0</v>
      </c>
      <c r="BL239" s="136"/>
      <c r="BM239" s="136"/>
      <c r="BN239" s="136"/>
      <c r="BO239" s="136"/>
      <c r="BP239" s="136"/>
      <c r="BQ239" s="136"/>
      <c r="BR239" s="136"/>
      <c r="BS239" s="136"/>
      <c r="BT239" s="136"/>
      <c r="BU239" s="136"/>
      <c r="BV239" s="136"/>
      <c r="BW239" s="136"/>
      <c r="BY239" s="12"/>
      <c r="CA239" s="12"/>
      <c r="EX239" s="10" t="str">
        <f t="shared" si="151"/>
        <v/>
      </c>
    </row>
    <row r="240" spans="1:154" s="67" customFormat="1" x14ac:dyDescent="0.25">
      <c r="B240" s="67" t="str">
        <f ca="1">Loans!B$22</f>
        <v>Loan 10</v>
      </c>
      <c r="D240" s="62">
        <f>Loans!D$22</f>
        <v>0</v>
      </c>
      <c r="S240" s="279"/>
      <c r="T240" s="335"/>
      <c r="U240" s="335"/>
      <c r="V240" s="136"/>
      <c r="W240" s="136"/>
      <c r="X240" s="136"/>
      <c r="Y240" s="136"/>
      <c r="AA240" s="45">
        <f>SUM($AA217:AA217)*AA217</f>
        <v>0</v>
      </c>
      <c r="AB240" s="45">
        <f>SUM($AA217:AB217)*AB217</f>
        <v>0</v>
      </c>
      <c r="AC240" s="45">
        <f>SUM($AA217:AC217)*AC217</f>
        <v>0</v>
      </c>
      <c r="AD240" s="45">
        <f>SUM($AA217:AD217)*AD217</f>
        <v>0</v>
      </c>
      <c r="AE240" s="45">
        <f>SUM($AA217:AE217)*AE217</f>
        <v>0</v>
      </c>
      <c r="AF240" s="45">
        <f>SUM($AA217:AF217)*AF217</f>
        <v>0</v>
      </c>
      <c r="AG240" s="45">
        <f>SUM($AA217:AG217)*AG217</f>
        <v>0</v>
      </c>
      <c r="AH240" s="45">
        <f>SUM($AA217:AH217)*AH217</f>
        <v>0</v>
      </c>
      <c r="AI240" s="45">
        <f>SUM($AA217:AI217)*AI217</f>
        <v>0</v>
      </c>
      <c r="AJ240" s="45">
        <f>SUM($AA217:AJ217)*AJ217</f>
        <v>0</v>
      </c>
      <c r="AK240" s="45">
        <f>SUM($AA217:AK217)*AK217</f>
        <v>0</v>
      </c>
      <c r="AL240" s="45">
        <f>SUM($AA217:AL217)*AL217</f>
        <v>0</v>
      </c>
      <c r="AM240" s="45">
        <f>SUM($AA217:AM217)*AM217</f>
        <v>0</v>
      </c>
      <c r="AN240" s="45">
        <f>SUM($AA217:AN217)*AN217</f>
        <v>0</v>
      </c>
      <c r="AO240" s="45">
        <f>SUM($AA217:AO217)*AO217</f>
        <v>0</v>
      </c>
      <c r="AP240" s="45">
        <f>SUM($AA217:AP217)*AP217</f>
        <v>0</v>
      </c>
      <c r="AQ240" s="45">
        <f>SUM($AA217:AQ217)*AQ217</f>
        <v>0</v>
      </c>
      <c r="AR240" s="45">
        <f>SUM($AA217:AR217)*AR217</f>
        <v>0</v>
      </c>
      <c r="AS240" s="45">
        <f>SUM($AA217:AS217)*AS217</f>
        <v>0</v>
      </c>
      <c r="AT240" s="45">
        <f>SUM($AA217:AT217)*AT217</f>
        <v>0</v>
      </c>
      <c r="AU240" s="45">
        <f>SUM($AA217:AU217)*AU217</f>
        <v>0</v>
      </c>
      <c r="AV240" s="45">
        <f>SUM($AA217:AV217)*AV217</f>
        <v>0</v>
      </c>
      <c r="AW240" s="45">
        <f>SUM($AA217:AW217)*AW217</f>
        <v>0</v>
      </c>
      <c r="AX240" s="45">
        <f>SUM($AA217:AX217)*AX217</f>
        <v>0</v>
      </c>
      <c r="AY240" s="45">
        <f>SUM($AA217:AY217)*AY217</f>
        <v>0</v>
      </c>
      <c r="AZ240" s="45">
        <f>SUM($AA217:AZ217)*AZ217</f>
        <v>0</v>
      </c>
      <c r="BA240" s="45">
        <f>SUM($AA217:BA217)*BA217</f>
        <v>0</v>
      </c>
      <c r="BB240" s="45">
        <f>SUM($AA217:BB217)*BB217</f>
        <v>0</v>
      </c>
      <c r="BC240" s="45">
        <f>SUM($AA217:BC217)*BC217</f>
        <v>0</v>
      </c>
      <c r="BD240" s="45">
        <f>SUM($AA217:BD217)*BD217</f>
        <v>0</v>
      </c>
      <c r="BE240" s="45">
        <f>SUM($AA217:BE217)*BE217</f>
        <v>0</v>
      </c>
      <c r="BF240" s="45">
        <f>SUM($AA217:BF217)*BF217</f>
        <v>0</v>
      </c>
      <c r="BG240" s="45">
        <f>SUM($AA217:BG217)*BG217</f>
        <v>0</v>
      </c>
      <c r="BH240" s="45">
        <f>SUM($AA217:BH217)*BH217</f>
        <v>0</v>
      </c>
      <c r="BI240" s="45">
        <f>SUM($AA217:BI217)*BI217</f>
        <v>0</v>
      </c>
      <c r="BJ240" s="45">
        <f>SUM($AA217:BJ217)*BJ217</f>
        <v>0</v>
      </c>
      <c r="BL240" s="136"/>
      <c r="BM240" s="136"/>
      <c r="BN240" s="136"/>
      <c r="BO240" s="136"/>
      <c r="BP240" s="136"/>
      <c r="BQ240" s="136"/>
      <c r="BR240" s="136"/>
      <c r="BS240" s="136"/>
      <c r="BT240" s="136"/>
      <c r="BU240" s="136"/>
      <c r="BV240" s="136"/>
      <c r="BW240" s="136"/>
      <c r="BY240" s="12"/>
      <c r="CA240" s="12"/>
      <c r="EX240" s="10" t="str">
        <f t="shared" si="151"/>
        <v/>
      </c>
    </row>
    <row r="241" spans="2:154" s="67" customFormat="1" x14ac:dyDescent="0.25">
      <c r="B241" s="67" t="str">
        <f ca="1">Loans!B$23</f>
        <v>Loan 11</v>
      </c>
      <c r="D241" s="62">
        <f>Loans!D$23</f>
        <v>0</v>
      </c>
      <c r="S241" s="279"/>
      <c r="T241" s="335"/>
      <c r="U241" s="335"/>
      <c r="V241" s="136"/>
      <c r="W241" s="136"/>
      <c r="X241" s="136"/>
      <c r="Y241" s="136"/>
      <c r="AA241" s="45">
        <f>SUM($AA218:AA218)*AA218</f>
        <v>0</v>
      </c>
      <c r="AB241" s="45">
        <f>SUM($AA218:AB218)*AB218</f>
        <v>0</v>
      </c>
      <c r="AC241" s="45">
        <f>SUM($AA218:AC218)*AC218</f>
        <v>0</v>
      </c>
      <c r="AD241" s="45">
        <f>SUM($AA218:AD218)*AD218</f>
        <v>0</v>
      </c>
      <c r="AE241" s="45">
        <f>SUM($AA218:AE218)*AE218</f>
        <v>0</v>
      </c>
      <c r="AF241" s="45">
        <f>SUM($AA218:AF218)*AF218</f>
        <v>0</v>
      </c>
      <c r="AG241" s="45">
        <f>SUM($AA218:AG218)*AG218</f>
        <v>0</v>
      </c>
      <c r="AH241" s="45">
        <f>SUM($AA218:AH218)*AH218</f>
        <v>0</v>
      </c>
      <c r="AI241" s="45">
        <f>SUM($AA218:AI218)*AI218</f>
        <v>0</v>
      </c>
      <c r="AJ241" s="45">
        <f>SUM($AA218:AJ218)*AJ218</f>
        <v>0</v>
      </c>
      <c r="AK241" s="45">
        <f>SUM($AA218:AK218)*AK218</f>
        <v>0</v>
      </c>
      <c r="AL241" s="45">
        <f>SUM($AA218:AL218)*AL218</f>
        <v>0</v>
      </c>
      <c r="AM241" s="45">
        <f>SUM($AA218:AM218)*AM218</f>
        <v>0</v>
      </c>
      <c r="AN241" s="45">
        <f>SUM($AA218:AN218)*AN218</f>
        <v>0</v>
      </c>
      <c r="AO241" s="45">
        <f>SUM($AA218:AO218)*AO218</f>
        <v>0</v>
      </c>
      <c r="AP241" s="45">
        <f>SUM($AA218:AP218)*AP218</f>
        <v>0</v>
      </c>
      <c r="AQ241" s="45">
        <f>SUM($AA218:AQ218)*AQ218</f>
        <v>0</v>
      </c>
      <c r="AR241" s="45">
        <f>SUM($AA218:AR218)*AR218</f>
        <v>0</v>
      </c>
      <c r="AS241" s="45">
        <f>SUM($AA218:AS218)*AS218</f>
        <v>0</v>
      </c>
      <c r="AT241" s="45">
        <f>SUM($AA218:AT218)*AT218</f>
        <v>0</v>
      </c>
      <c r="AU241" s="45">
        <f>SUM($AA218:AU218)*AU218</f>
        <v>0</v>
      </c>
      <c r="AV241" s="45">
        <f>SUM($AA218:AV218)*AV218</f>
        <v>0</v>
      </c>
      <c r="AW241" s="45">
        <f>SUM($AA218:AW218)*AW218</f>
        <v>0</v>
      </c>
      <c r="AX241" s="45">
        <f>SUM($AA218:AX218)*AX218</f>
        <v>0</v>
      </c>
      <c r="AY241" s="45">
        <f>SUM($AA218:AY218)*AY218</f>
        <v>0</v>
      </c>
      <c r="AZ241" s="45">
        <f>SUM($AA218:AZ218)*AZ218</f>
        <v>0</v>
      </c>
      <c r="BA241" s="45">
        <f>SUM($AA218:BA218)*BA218</f>
        <v>0</v>
      </c>
      <c r="BB241" s="45">
        <f>SUM($AA218:BB218)*BB218</f>
        <v>0</v>
      </c>
      <c r="BC241" s="45">
        <f>SUM($AA218:BC218)*BC218</f>
        <v>0</v>
      </c>
      <c r="BD241" s="45">
        <f>SUM($AA218:BD218)*BD218</f>
        <v>0</v>
      </c>
      <c r="BE241" s="45">
        <f>SUM($AA218:BE218)*BE218</f>
        <v>0</v>
      </c>
      <c r="BF241" s="45">
        <f>SUM($AA218:BF218)*BF218</f>
        <v>0</v>
      </c>
      <c r="BG241" s="45">
        <f>SUM($AA218:BG218)*BG218</f>
        <v>0</v>
      </c>
      <c r="BH241" s="45">
        <f>SUM($AA218:BH218)*BH218</f>
        <v>0</v>
      </c>
      <c r="BI241" s="45">
        <f>SUM($AA218:BI218)*BI218</f>
        <v>0</v>
      </c>
      <c r="BJ241" s="45">
        <f>SUM($AA218:BJ218)*BJ218</f>
        <v>0</v>
      </c>
      <c r="BL241" s="136"/>
      <c r="BM241" s="136"/>
      <c r="BN241" s="136"/>
      <c r="BO241" s="136"/>
      <c r="BP241" s="136"/>
      <c r="BQ241" s="136"/>
      <c r="BR241" s="136"/>
      <c r="BS241" s="136"/>
      <c r="BT241" s="136"/>
      <c r="BU241" s="136"/>
      <c r="BV241" s="136"/>
      <c r="BW241" s="136"/>
      <c r="BY241" s="12"/>
      <c r="CA241" s="12"/>
      <c r="EX241" s="10" t="str">
        <f t="shared" si="151"/>
        <v/>
      </c>
    </row>
    <row r="242" spans="2:154" s="67" customFormat="1" x14ac:dyDescent="0.25">
      <c r="B242" s="67" t="str">
        <f ca="1">Loans!B$24</f>
        <v>Loan 12</v>
      </c>
      <c r="D242" s="62">
        <f>Loans!D$24</f>
        <v>0</v>
      </c>
      <c r="S242" s="279"/>
      <c r="T242" s="335"/>
      <c r="U242" s="335"/>
      <c r="V242" s="136"/>
      <c r="W242" s="136"/>
      <c r="X242" s="136"/>
      <c r="Y242" s="136"/>
      <c r="AA242" s="45">
        <f>SUM($AA219:AA219)*AA219</f>
        <v>0</v>
      </c>
      <c r="AB242" s="45">
        <f>SUM($AA219:AB219)*AB219</f>
        <v>0</v>
      </c>
      <c r="AC242" s="45">
        <f>SUM($AA219:AC219)*AC219</f>
        <v>0</v>
      </c>
      <c r="AD242" s="45">
        <f>SUM($AA219:AD219)*AD219</f>
        <v>0</v>
      </c>
      <c r="AE242" s="45">
        <f>SUM($AA219:AE219)*AE219</f>
        <v>0</v>
      </c>
      <c r="AF242" s="45">
        <f>SUM($AA219:AF219)*AF219</f>
        <v>0</v>
      </c>
      <c r="AG242" s="45">
        <f>SUM($AA219:AG219)*AG219</f>
        <v>0</v>
      </c>
      <c r="AH242" s="45">
        <f>SUM($AA219:AH219)*AH219</f>
        <v>0</v>
      </c>
      <c r="AI242" s="45">
        <f>SUM($AA219:AI219)*AI219</f>
        <v>0</v>
      </c>
      <c r="AJ242" s="45">
        <f>SUM($AA219:AJ219)*AJ219</f>
        <v>0</v>
      </c>
      <c r="AK242" s="45">
        <f>SUM($AA219:AK219)*AK219</f>
        <v>0</v>
      </c>
      <c r="AL242" s="45">
        <f>SUM($AA219:AL219)*AL219</f>
        <v>0</v>
      </c>
      <c r="AM242" s="45">
        <f>SUM($AA219:AM219)*AM219</f>
        <v>0</v>
      </c>
      <c r="AN242" s="45">
        <f>SUM($AA219:AN219)*AN219</f>
        <v>0</v>
      </c>
      <c r="AO242" s="45">
        <f>SUM($AA219:AO219)*AO219</f>
        <v>0</v>
      </c>
      <c r="AP242" s="45">
        <f>SUM($AA219:AP219)*AP219</f>
        <v>0</v>
      </c>
      <c r="AQ242" s="45">
        <f>SUM($AA219:AQ219)*AQ219</f>
        <v>0</v>
      </c>
      <c r="AR242" s="45">
        <f>SUM($AA219:AR219)*AR219</f>
        <v>0</v>
      </c>
      <c r="AS242" s="45">
        <f>SUM($AA219:AS219)*AS219</f>
        <v>0</v>
      </c>
      <c r="AT242" s="45">
        <f>SUM($AA219:AT219)*AT219</f>
        <v>0</v>
      </c>
      <c r="AU242" s="45">
        <f>SUM($AA219:AU219)*AU219</f>
        <v>0</v>
      </c>
      <c r="AV242" s="45">
        <f>SUM($AA219:AV219)*AV219</f>
        <v>0</v>
      </c>
      <c r="AW242" s="45">
        <f>SUM($AA219:AW219)*AW219</f>
        <v>0</v>
      </c>
      <c r="AX242" s="45">
        <f>SUM($AA219:AX219)*AX219</f>
        <v>0</v>
      </c>
      <c r="AY242" s="45">
        <f>SUM($AA219:AY219)*AY219</f>
        <v>0</v>
      </c>
      <c r="AZ242" s="45">
        <f>SUM($AA219:AZ219)*AZ219</f>
        <v>0</v>
      </c>
      <c r="BA242" s="45">
        <f>SUM($AA219:BA219)*BA219</f>
        <v>0</v>
      </c>
      <c r="BB242" s="45">
        <f>SUM($AA219:BB219)*BB219</f>
        <v>0</v>
      </c>
      <c r="BC242" s="45">
        <f>SUM($AA219:BC219)*BC219</f>
        <v>0</v>
      </c>
      <c r="BD242" s="45">
        <f>SUM($AA219:BD219)*BD219</f>
        <v>0</v>
      </c>
      <c r="BE242" s="45">
        <f>SUM($AA219:BE219)*BE219</f>
        <v>0</v>
      </c>
      <c r="BF242" s="45">
        <f>SUM($AA219:BF219)*BF219</f>
        <v>0</v>
      </c>
      <c r="BG242" s="45">
        <f>SUM($AA219:BG219)*BG219</f>
        <v>0</v>
      </c>
      <c r="BH242" s="45">
        <f>SUM($AA219:BH219)*BH219</f>
        <v>0</v>
      </c>
      <c r="BI242" s="45">
        <f>SUM($AA219:BI219)*BI219</f>
        <v>0</v>
      </c>
      <c r="BJ242" s="45">
        <f>SUM($AA219:BJ219)*BJ219</f>
        <v>0</v>
      </c>
      <c r="BL242" s="136"/>
      <c r="BM242" s="136"/>
      <c r="BN242" s="136"/>
      <c r="BO242" s="136"/>
      <c r="BP242" s="136"/>
      <c r="BQ242" s="136"/>
      <c r="BR242" s="136"/>
      <c r="BS242" s="136"/>
      <c r="BT242" s="136"/>
      <c r="BU242" s="136"/>
      <c r="BV242" s="136"/>
      <c r="BW242" s="136"/>
      <c r="BY242" s="12"/>
      <c r="CA242" s="12"/>
      <c r="EX242" s="10" t="str">
        <f t="shared" si="151"/>
        <v/>
      </c>
    </row>
    <row r="243" spans="2:154" s="67" customFormat="1" x14ac:dyDescent="0.25">
      <c r="B243" s="67" t="str">
        <f ca="1">Loans!B$25</f>
        <v>Loan 13</v>
      </c>
      <c r="D243" s="62">
        <f>Loans!D$25</f>
        <v>0</v>
      </c>
      <c r="S243" s="279"/>
      <c r="T243" s="335"/>
      <c r="U243" s="335"/>
      <c r="V243" s="136"/>
      <c r="W243" s="136"/>
      <c r="X243" s="136"/>
      <c r="Y243" s="136"/>
      <c r="AA243" s="45">
        <f>SUM($AA220:AA220)*AA220</f>
        <v>0</v>
      </c>
      <c r="AB243" s="45">
        <f>SUM($AA220:AB220)*AB220</f>
        <v>0</v>
      </c>
      <c r="AC243" s="45">
        <f>SUM($AA220:AC220)*AC220</f>
        <v>0</v>
      </c>
      <c r="AD243" s="45">
        <f>SUM($AA220:AD220)*AD220</f>
        <v>0</v>
      </c>
      <c r="AE243" s="45">
        <f>SUM($AA220:AE220)*AE220</f>
        <v>0</v>
      </c>
      <c r="AF243" s="45">
        <f>SUM($AA220:AF220)*AF220</f>
        <v>0</v>
      </c>
      <c r="AG243" s="45">
        <f>SUM($AA220:AG220)*AG220</f>
        <v>0</v>
      </c>
      <c r="AH243" s="45">
        <f>SUM($AA220:AH220)*AH220</f>
        <v>0</v>
      </c>
      <c r="AI243" s="45">
        <f>SUM($AA220:AI220)*AI220</f>
        <v>0</v>
      </c>
      <c r="AJ243" s="45">
        <f>SUM($AA220:AJ220)*AJ220</f>
        <v>0</v>
      </c>
      <c r="AK243" s="45">
        <f>SUM($AA220:AK220)*AK220</f>
        <v>0</v>
      </c>
      <c r="AL243" s="45">
        <f>SUM($AA220:AL220)*AL220</f>
        <v>0</v>
      </c>
      <c r="AM243" s="45">
        <f>SUM($AA220:AM220)*AM220</f>
        <v>0</v>
      </c>
      <c r="AN243" s="45">
        <f>SUM($AA220:AN220)*AN220</f>
        <v>0</v>
      </c>
      <c r="AO243" s="45">
        <f>SUM($AA220:AO220)*AO220</f>
        <v>0</v>
      </c>
      <c r="AP243" s="45">
        <f>SUM($AA220:AP220)*AP220</f>
        <v>0</v>
      </c>
      <c r="AQ243" s="45">
        <f>SUM($AA220:AQ220)*AQ220</f>
        <v>0</v>
      </c>
      <c r="AR243" s="45">
        <f>SUM($AA220:AR220)*AR220</f>
        <v>0</v>
      </c>
      <c r="AS243" s="45">
        <f>SUM($AA220:AS220)*AS220</f>
        <v>0</v>
      </c>
      <c r="AT243" s="45">
        <f>SUM($AA220:AT220)*AT220</f>
        <v>0</v>
      </c>
      <c r="AU243" s="45">
        <f>SUM($AA220:AU220)*AU220</f>
        <v>0</v>
      </c>
      <c r="AV243" s="45">
        <f>SUM($AA220:AV220)*AV220</f>
        <v>0</v>
      </c>
      <c r="AW243" s="45">
        <f>SUM($AA220:AW220)*AW220</f>
        <v>0</v>
      </c>
      <c r="AX243" s="45">
        <f>SUM($AA220:AX220)*AX220</f>
        <v>0</v>
      </c>
      <c r="AY243" s="45">
        <f>SUM($AA220:AY220)*AY220</f>
        <v>0</v>
      </c>
      <c r="AZ243" s="45">
        <f>SUM($AA220:AZ220)*AZ220</f>
        <v>0</v>
      </c>
      <c r="BA243" s="45">
        <f>SUM($AA220:BA220)*BA220</f>
        <v>0</v>
      </c>
      <c r="BB243" s="45">
        <f>SUM($AA220:BB220)*BB220</f>
        <v>0</v>
      </c>
      <c r="BC243" s="45">
        <f>SUM($AA220:BC220)*BC220</f>
        <v>0</v>
      </c>
      <c r="BD243" s="45">
        <f>SUM($AA220:BD220)*BD220</f>
        <v>0</v>
      </c>
      <c r="BE243" s="45">
        <f>SUM($AA220:BE220)*BE220</f>
        <v>0</v>
      </c>
      <c r="BF243" s="45">
        <f>SUM($AA220:BF220)*BF220</f>
        <v>0</v>
      </c>
      <c r="BG243" s="45">
        <f>SUM($AA220:BG220)*BG220</f>
        <v>0</v>
      </c>
      <c r="BH243" s="45">
        <f>SUM($AA220:BH220)*BH220</f>
        <v>0</v>
      </c>
      <c r="BI243" s="45">
        <f>SUM($AA220:BI220)*BI220</f>
        <v>0</v>
      </c>
      <c r="BJ243" s="45">
        <f>SUM($AA220:BJ220)*BJ220</f>
        <v>0</v>
      </c>
      <c r="BL243" s="136"/>
      <c r="BM243" s="136"/>
      <c r="BN243" s="136"/>
      <c r="BO243" s="136"/>
      <c r="BP243" s="136"/>
      <c r="BQ243" s="136"/>
      <c r="BR243" s="136"/>
      <c r="BS243" s="136"/>
      <c r="BT243" s="136"/>
      <c r="BU243" s="136"/>
      <c r="BV243" s="136"/>
      <c r="BW243" s="136"/>
      <c r="BY243" s="12"/>
      <c r="CA243" s="12"/>
      <c r="EX243" s="10" t="str">
        <f t="shared" si="151"/>
        <v/>
      </c>
    </row>
    <row r="244" spans="2:154" s="67" customFormat="1" x14ac:dyDescent="0.25">
      <c r="B244" s="67" t="str">
        <f ca="1">Loans!B$26</f>
        <v>Loan 14</v>
      </c>
      <c r="D244" s="62">
        <f>Loans!D$26</f>
        <v>0</v>
      </c>
      <c r="S244" s="279"/>
      <c r="T244" s="335"/>
      <c r="U244" s="335"/>
      <c r="V244" s="136"/>
      <c r="W244" s="136"/>
      <c r="X244" s="136"/>
      <c r="Y244" s="136"/>
      <c r="AA244" s="45">
        <f>SUM($AA221:AA221)*AA221</f>
        <v>0</v>
      </c>
      <c r="AB244" s="45">
        <f>SUM($AA221:AB221)*AB221</f>
        <v>0</v>
      </c>
      <c r="AC244" s="45">
        <f>SUM($AA221:AC221)*AC221</f>
        <v>0</v>
      </c>
      <c r="AD244" s="45">
        <f>SUM($AA221:AD221)*AD221</f>
        <v>0</v>
      </c>
      <c r="AE244" s="45">
        <f>SUM($AA221:AE221)*AE221</f>
        <v>0</v>
      </c>
      <c r="AF244" s="45">
        <f>SUM($AA221:AF221)*AF221</f>
        <v>0</v>
      </c>
      <c r="AG244" s="45">
        <f>SUM($AA221:AG221)*AG221</f>
        <v>0</v>
      </c>
      <c r="AH244" s="45">
        <f>SUM($AA221:AH221)*AH221</f>
        <v>0</v>
      </c>
      <c r="AI244" s="45">
        <f>SUM($AA221:AI221)*AI221</f>
        <v>0</v>
      </c>
      <c r="AJ244" s="45">
        <f>SUM($AA221:AJ221)*AJ221</f>
        <v>0</v>
      </c>
      <c r="AK244" s="45">
        <f>SUM($AA221:AK221)*AK221</f>
        <v>0</v>
      </c>
      <c r="AL244" s="45">
        <f>SUM($AA221:AL221)*AL221</f>
        <v>0</v>
      </c>
      <c r="AM244" s="45">
        <f>SUM($AA221:AM221)*AM221</f>
        <v>0</v>
      </c>
      <c r="AN244" s="45">
        <f>SUM($AA221:AN221)*AN221</f>
        <v>0</v>
      </c>
      <c r="AO244" s="45">
        <f>SUM($AA221:AO221)*AO221</f>
        <v>0</v>
      </c>
      <c r="AP244" s="45">
        <f>SUM($AA221:AP221)*AP221</f>
        <v>0</v>
      </c>
      <c r="AQ244" s="45">
        <f>SUM($AA221:AQ221)*AQ221</f>
        <v>0</v>
      </c>
      <c r="AR244" s="45">
        <f>SUM($AA221:AR221)*AR221</f>
        <v>0</v>
      </c>
      <c r="AS244" s="45">
        <f>SUM($AA221:AS221)*AS221</f>
        <v>0</v>
      </c>
      <c r="AT244" s="45">
        <f>SUM($AA221:AT221)*AT221</f>
        <v>0</v>
      </c>
      <c r="AU244" s="45">
        <f>SUM($AA221:AU221)*AU221</f>
        <v>0</v>
      </c>
      <c r="AV244" s="45">
        <f>SUM($AA221:AV221)*AV221</f>
        <v>0</v>
      </c>
      <c r="AW244" s="45">
        <f>SUM($AA221:AW221)*AW221</f>
        <v>0</v>
      </c>
      <c r="AX244" s="45">
        <f>SUM($AA221:AX221)*AX221</f>
        <v>0</v>
      </c>
      <c r="AY244" s="45">
        <f>SUM($AA221:AY221)*AY221</f>
        <v>0</v>
      </c>
      <c r="AZ244" s="45">
        <f>SUM($AA221:AZ221)*AZ221</f>
        <v>0</v>
      </c>
      <c r="BA244" s="45">
        <f>SUM($AA221:BA221)*BA221</f>
        <v>0</v>
      </c>
      <c r="BB244" s="45">
        <f>SUM($AA221:BB221)*BB221</f>
        <v>0</v>
      </c>
      <c r="BC244" s="45">
        <f>SUM($AA221:BC221)*BC221</f>
        <v>0</v>
      </c>
      <c r="BD244" s="45">
        <f>SUM($AA221:BD221)*BD221</f>
        <v>0</v>
      </c>
      <c r="BE244" s="45">
        <f>SUM($AA221:BE221)*BE221</f>
        <v>0</v>
      </c>
      <c r="BF244" s="45">
        <f>SUM($AA221:BF221)*BF221</f>
        <v>0</v>
      </c>
      <c r="BG244" s="45">
        <f>SUM($AA221:BG221)*BG221</f>
        <v>0</v>
      </c>
      <c r="BH244" s="45">
        <f>SUM($AA221:BH221)*BH221</f>
        <v>0</v>
      </c>
      <c r="BI244" s="45">
        <f>SUM($AA221:BI221)*BI221</f>
        <v>0</v>
      </c>
      <c r="BJ244" s="45">
        <f>SUM($AA221:BJ221)*BJ221</f>
        <v>0</v>
      </c>
      <c r="BL244" s="136"/>
      <c r="BM244" s="136"/>
      <c r="BN244" s="136"/>
      <c r="BO244" s="136"/>
      <c r="BP244" s="136"/>
      <c r="BQ244" s="136"/>
      <c r="BR244" s="136"/>
      <c r="BS244" s="136"/>
      <c r="BT244" s="136"/>
      <c r="BU244" s="136"/>
      <c r="BV244" s="136"/>
      <c r="BW244" s="136"/>
      <c r="BY244" s="12"/>
      <c r="CA244" s="12"/>
      <c r="EX244" s="10" t="str">
        <f t="shared" si="151"/>
        <v/>
      </c>
    </row>
    <row r="245" spans="2:154" s="67" customFormat="1" x14ac:dyDescent="0.25">
      <c r="B245" s="67" t="str">
        <f ca="1">Loans!B$27</f>
        <v>Loan 15</v>
      </c>
      <c r="D245" s="62">
        <f>Loans!D$27</f>
        <v>0</v>
      </c>
      <c r="S245" s="279"/>
      <c r="T245" s="335"/>
      <c r="U245" s="335"/>
      <c r="V245" s="136"/>
      <c r="W245" s="136"/>
      <c r="X245" s="136"/>
      <c r="Y245" s="136"/>
      <c r="AA245" s="45">
        <f>SUM($AA222:AA222)*AA222</f>
        <v>0</v>
      </c>
      <c r="AB245" s="45">
        <f>SUM($AA222:AB222)*AB222</f>
        <v>0</v>
      </c>
      <c r="AC245" s="45">
        <f>SUM($AA222:AC222)*AC222</f>
        <v>0</v>
      </c>
      <c r="AD245" s="45">
        <f>SUM($AA222:AD222)*AD222</f>
        <v>0</v>
      </c>
      <c r="AE245" s="45">
        <f>SUM($AA222:AE222)*AE222</f>
        <v>0</v>
      </c>
      <c r="AF245" s="45">
        <f>SUM($AA222:AF222)*AF222</f>
        <v>0</v>
      </c>
      <c r="AG245" s="45">
        <f>SUM($AA222:AG222)*AG222</f>
        <v>0</v>
      </c>
      <c r="AH245" s="45">
        <f>SUM($AA222:AH222)*AH222</f>
        <v>0</v>
      </c>
      <c r="AI245" s="45">
        <f>SUM($AA222:AI222)*AI222</f>
        <v>0</v>
      </c>
      <c r="AJ245" s="45">
        <f>SUM($AA222:AJ222)*AJ222</f>
        <v>0</v>
      </c>
      <c r="AK245" s="45">
        <f>SUM($AA222:AK222)*AK222</f>
        <v>0</v>
      </c>
      <c r="AL245" s="45">
        <f>SUM($AA222:AL222)*AL222</f>
        <v>0</v>
      </c>
      <c r="AM245" s="45">
        <f>SUM($AA222:AM222)*AM222</f>
        <v>0</v>
      </c>
      <c r="AN245" s="45">
        <f>SUM($AA222:AN222)*AN222</f>
        <v>0</v>
      </c>
      <c r="AO245" s="45">
        <f>SUM($AA222:AO222)*AO222</f>
        <v>0</v>
      </c>
      <c r="AP245" s="45">
        <f>SUM($AA222:AP222)*AP222</f>
        <v>0</v>
      </c>
      <c r="AQ245" s="45">
        <f>SUM($AA222:AQ222)*AQ222</f>
        <v>0</v>
      </c>
      <c r="AR245" s="45">
        <f>SUM($AA222:AR222)*AR222</f>
        <v>0</v>
      </c>
      <c r="AS245" s="45">
        <f>SUM($AA222:AS222)*AS222</f>
        <v>0</v>
      </c>
      <c r="AT245" s="45">
        <f>SUM($AA222:AT222)*AT222</f>
        <v>0</v>
      </c>
      <c r="AU245" s="45">
        <f>SUM($AA222:AU222)*AU222</f>
        <v>0</v>
      </c>
      <c r="AV245" s="45">
        <f>SUM($AA222:AV222)*AV222</f>
        <v>0</v>
      </c>
      <c r="AW245" s="45">
        <f>SUM($AA222:AW222)*AW222</f>
        <v>0</v>
      </c>
      <c r="AX245" s="45">
        <f>SUM($AA222:AX222)*AX222</f>
        <v>0</v>
      </c>
      <c r="AY245" s="45">
        <f>SUM($AA222:AY222)*AY222</f>
        <v>0</v>
      </c>
      <c r="AZ245" s="45">
        <f>SUM($AA222:AZ222)*AZ222</f>
        <v>0</v>
      </c>
      <c r="BA245" s="45">
        <f>SUM($AA222:BA222)*BA222</f>
        <v>0</v>
      </c>
      <c r="BB245" s="45">
        <f>SUM($AA222:BB222)*BB222</f>
        <v>0</v>
      </c>
      <c r="BC245" s="45">
        <f>SUM($AA222:BC222)*BC222</f>
        <v>0</v>
      </c>
      <c r="BD245" s="45">
        <f>SUM($AA222:BD222)*BD222</f>
        <v>0</v>
      </c>
      <c r="BE245" s="45">
        <f>SUM($AA222:BE222)*BE222</f>
        <v>0</v>
      </c>
      <c r="BF245" s="45">
        <f>SUM($AA222:BF222)*BF222</f>
        <v>0</v>
      </c>
      <c r="BG245" s="45">
        <f>SUM($AA222:BG222)*BG222</f>
        <v>0</v>
      </c>
      <c r="BH245" s="45">
        <f>SUM($AA222:BH222)*BH222</f>
        <v>0</v>
      </c>
      <c r="BI245" s="45">
        <f>SUM($AA222:BI222)*BI222</f>
        <v>0</v>
      </c>
      <c r="BJ245" s="45">
        <f>SUM($AA222:BJ222)*BJ222</f>
        <v>0</v>
      </c>
      <c r="BL245" s="136"/>
      <c r="BM245" s="136"/>
      <c r="BN245" s="136"/>
      <c r="BO245" s="136"/>
      <c r="BP245" s="136"/>
      <c r="BQ245" s="136"/>
      <c r="BR245" s="136"/>
      <c r="BS245" s="136"/>
      <c r="BT245" s="136"/>
      <c r="BU245" s="136"/>
      <c r="BV245" s="136"/>
      <c r="BW245" s="136"/>
      <c r="BY245" s="12"/>
      <c r="CA245" s="12"/>
      <c r="EX245" s="10" t="str">
        <f t="shared" si="151"/>
        <v/>
      </c>
    </row>
    <row r="246" spans="2:154" s="67" customFormat="1" x14ac:dyDescent="0.25">
      <c r="B246" s="67" t="str">
        <f ca="1">Loans!B$28</f>
        <v>Loan 16</v>
      </c>
      <c r="D246" s="62">
        <f>Loans!D$28</f>
        <v>0</v>
      </c>
      <c r="S246" s="279"/>
      <c r="T246" s="335"/>
      <c r="U246" s="335"/>
      <c r="V246" s="136"/>
      <c r="W246" s="136"/>
      <c r="X246" s="136"/>
      <c r="Y246" s="136"/>
      <c r="AA246" s="45">
        <f>SUM($AA223:AA223)*AA223</f>
        <v>0</v>
      </c>
      <c r="AB246" s="45">
        <f>SUM($AA223:AB223)*AB223</f>
        <v>0</v>
      </c>
      <c r="AC246" s="45">
        <f>SUM($AA223:AC223)*AC223</f>
        <v>0</v>
      </c>
      <c r="AD246" s="45">
        <f>SUM($AA223:AD223)*AD223</f>
        <v>0</v>
      </c>
      <c r="AE246" s="45">
        <f>SUM($AA223:AE223)*AE223</f>
        <v>0</v>
      </c>
      <c r="AF246" s="45">
        <f>SUM($AA223:AF223)*AF223</f>
        <v>0</v>
      </c>
      <c r="AG246" s="45">
        <f>SUM($AA223:AG223)*AG223</f>
        <v>0</v>
      </c>
      <c r="AH246" s="45">
        <f>SUM($AA223:AH223)*AH223</f>
        <v>0</v>
      </c>
      <c r="AI246" s="45">
        <f>SUM($AA223:AI223)*AI223</f>
        <v>0</v>
      </c>
      <c r="AJ246" s="45">
        <f>SUM($AA223:AJ223)*AJ223</f>
        <v>0</v>
      </c>
      <c r="AK246" s="45">
        <f>SUM($AA223:AK223)*AK223</f>
        <v>0</v>
      </c>
      <c r="AL246" s="45">
        <f>SUM($AA223:AL223)*AL223</f>
        <v>0</v>
      </c>
      <c r="AM246" s="45">
        <f>SUM($AA223:AM223)*AM223</f>
        <v>0</v>
      </c>
      <c r="AN246" s="45">
        <f>SUM($AA223:AN223)*AN223</f>
        <v>0</v>
      </c>
      <c r="AO246" s="45">
        <f>SUM($AA223:AO223)*AO223</f>
        <v>0</v>
      </c>
      <c r="AP246" s="45">
        <f>SUM($AA223:AP223)*AP223</f>
        <v>0</v>
      </c>
      <c r="AQ246" s="45">
        <f>SUM($AA223:AQ223)*AQ223</f>
        <v>0</v>
      </c>
      <c r="AR246" s="45">
        <f>SUM($AA223:AR223)*AR223</f>
        <v>0</v>
      </c>
      <c r="AS246" s="45">
        <f>SUM($AA223:AS223)*AS223</f>
        <v>0</v>
      </c>
      <c r="AT246" s="45">
        <f>SUM($AA223:AT223)*AT223</f>
        <v>0</v>
      </c>
      <c r="AU246" s="45">
        <f>SUM($AA223:AU223)*AU223</f>
        <v>0</v>
      </c>
      <c r="AV246" s="45">
        <f>SUM($AA223:AV223)*AV223</f>
        <v>0</v>
      </c>
      <c r="AW246" s="45">
        <f>SUM($AA223:AW223)*AW223</f>
        <v>0</v>
      </c>
      <c r="AX246" s="45">
        <f>SUM($AA223:AX223)*AX223</f>
        <v>0</v>
      </c>
      <c r="AY246" s="45">
        <f>SUM($AA223:AY223)*AY223</f>
        <v>0</v>
      </c>
      <c r="AZ246" s="45">
        <f>SUM($AA223:AZ223)*AZ223</f>
        <v>0</v>
      </c>
      <c r="BA246" s="45">
        <f>SUM($AA223:BA223)*BA223</f>
        <v>0</v>
      </c>
      <c r="BB246" s="45">
        <f>SUM($AA223:BB223)*BB223</f>
        <v>0</v>
      </c>
      <c r="BC246" s="45">
        <f>SUM($AA223:BC223)*BC223</f>
        <v>0</v>
      </c>
      <c r="BD246" s="45">
        <f>SUM($AA223:BD223)*BD223</f>
        <v>0</v>
      </c>
      <c r="BE246" s="45">
        <f>SUM($AA223:BE223)*BE223</f>
        <v>0</v>
      </c>
      <c r="BF246" s="45">
        <f>SUM($AA223:BF223)*BF223</f>
        <v>0</v>
      </c>
      <c r="BG246" s="45">
        <f>SUM($AA223:BG223)*BG223</f>
        <v>0</v>
      </c>
      <c r="BH246" s="45">
        <f>SUM($AA223:BH223)*BH223</f>
        <v>0</v>
      </c>
      <c r="BI246" s="45">
        <f>SUM($AA223:BI223)*BI223</f>
        <v>0</v>
      </c>
      <c r="BJ246" s="45">
        <f>SUM($AA223:BJ223)*BJ223</f>
        <v>0</v>
      </c>
      <c r="BL246" s="136"/>
      <c r="BM246" s="136"/>
      <c r="BN246" s="136"/>
      <c r="BO246" s="136"/>
      <c r="BP246" s="136"/>
      <c r="BQ246" s="136"/>
      <c r="BR246" s="136"/>
      <c r="BS246" s="136"/>
      <c r="BT246" s="136"/>
      <c r="BU246" s="136"/>
      <c r="BV246" s="136"/>
      <c r="BW246" s="136"/>
      <c r="BY246" s="12"/>
      <c r="CA246" s="12"/>
      <c r="EX246" s="10" t="str">
        <f t="shared" si="151"/>
        <v/>
      </c>
    </row>
    <row r="247" spans="2:154" s="67" customFormat="1" x14ac:dyDescent="0.25">
      <c r="B247" s="67" t="str">
        <f ca="1">Loans!B$29</f>
        <v>Loan 17</v>
      </c>
      <c r="D247" s="62">
        <f>Loans!D$29</f>
        <v>0</v>
      </c>
      <c r="S247" s="279"/>
      <c r="T247" s="335"/>
      <c r="U247" s="335"/>
      <c r="V247" s="136"/>
      <c r="W247" s="136"/>
      <c r="X247" s="136"/>
      <c r="Y247" s="136"/>
      <c r="AA247" s="45">
        <f>SUM($AA224:AA224)*AA224</f>
        <v>0</v>
      </c>
      <c r="AB247" s="45">
        <f>SUM($AA224:AB224)*AB224</f>
        <v>0</v>
      </c>
      <c r="AC247" s="45">
        <f>SUM($AA224:AC224)*AC224</f>
        <v>0</v>
      </c>
      <c r="AD247" s="45">
        <f>SUM($AA224:AD224)*AD224</f>
        <v>0</v>
      </c>
      <c r="AE247" s="45">
        <f>SUM($AA224:AE224)*AE224</f>
        <v>0</v>
      </c>
      <c r="AF247" s="45">
        <f>SUM($AA224:AF224)*AF224</f>
        <v>0</v>
      </c>
      <c r="AG247" s="45">
        <f>SUM($AA224:AG224)*AG224</f>
        <v>0</v>
      </c>
      <c r="AH247" s="45">
        <f>SUM($AA224:AH224)*AH224</f>
        <v>0</v>
      </c>
      <c r="AI247" s="45">
        <f>SUM($AA224:AI224)*AI224</f>
        <v>0</v>
      </c>
      <c r="AJ247" s="45">
        <f>SUM($AA224:AJ224)*AJ224</f>
        <v>0</v>
      </c>
      <c r="AK247" s="45">
        <f>SUM($AA224:AK224)*AK224</f>
        <v>0</v>
      </c>
      <c r="AL247" s="45">
        <f>SUM($AA224:AL224)*AL224</f>
        <v>0</v>
      </c>
      <c r="AM247" s="45">
        <f>SUM($AA224:AM224)*AM224</f>
        <v>0</v>
      </c>
      <c r="AN247" s="45">
        <f>SUM($AA224:AN224)*AN224</f>
        <v>0</v>
      </c>
      <c r="AO247" s="45">
        <f>SUM($AA224:AO224)*AO224</f>
        <v>0</v>
      </c>
      <c r="AP247" s="45">
        <f>SUM($AA224:AP224)*AP224</f>
        <v>0</v>
      </c>
      <c r="AQ247" s="45">
        <f>SUM($AA224:AQ224)*AQ224</f>
        <v>0</v>
      </c>
      <c r="AR247" s="45">
        <f>SUM($AA224:AR224)*AR224</f>
        <v>0</v>
      </c>
      <c r="AS247" s="45">
        <f>SUM($AA224:AS224)*AS224</f>
        <v>0</v>
      </c>
      <c r="AT247" s="45">
        <f>SUM($AA224:AT224)*AT224</f>
        <v>0</v>
      </c>
      <c r="AU247" s="45">
        <f>SUM($AA224:AU224)*AU224</f>
        <v>0</v>
      </c>
      <c r="AV247" s="45">
        <f>SUM($AA224:AV224)*AV224</f>
        <v>0</v>
      </c>
      <c r="AW247" s="45">
        <f>SUM($AA224:AW224)*AW224</f>
        <v>0</v>
      </c>
      <c r="AX247" s="45">
        <f>SUM($AA224:AX224)*AX224</f>
        <v>0</v>
      </c>
      <c r="AY247" s="45">
        <f>SUM($AA224:AY224)*AY224</f>
        <v>0</v>
      </c>
      <c r="AZ247" s="45">
        <f>SUM($AA224:AZ224)*AZ224</f>
        <v>0</v>
      </c>
      <c r="BA247" s="45">
        <f>SUM($AA224:BA224)*BA224</f>
        <v>0</v>
      </c>
      <c r="BB247" s="45">
        <f>SUM($AA224:BB224)*BB224</f>
        <v>0</v>
      </c>
      <c r="BC247" s="45">
        <f>SUM($AA224:BC224)*BC224</f>
        <v>0</v>
      </c>
      <c r="BD247" s="45">
        <f>SUM($AA224:BD224)*BD224</f>
        <v>0</v>
      </c>
      <c r="BE247" s="45">
        <f>SUM($AA224:BE224)*BE224</f>
        <v>0</v>
      </c>
      <c r="BF247" s="45">
        <f>SUM($AA224:BF224)*BF224</f>
        <v>0</v>
      </c>
      <c r="BG247" s="45">
        <f>SUM($AA224:BG224)*BG224</f>
        <v>0</v>
      </c>
      <c r="BH247" s="45">
        <f>SUM($AA224:BH224)*BH224</f>
        <v>0</v>
      </c>
      <c r="BI247" s="45">
        <f>SUM($AA224:BI224)*BI224</f>
        <v>0</v>
      </c>
      <c r="BJ247" s="45">
        <f>SUM($AA224:BJ224)*BJ224</f>
        <v>0</v>
      </c>
      <c r="BL247" s="136"/>
      <c r="BM247" s="136"/>
      <c r="BN247" s="136"/>
      <c r="BO247" s="136"/>
      <c r="BP247" s="136"/>
      <c r="BQ247" s="136"/>
      <c r="BR247" s="136"/>
      <c r="BS247" s="136"/>
      <c r="BT247" s="136"/>
      <c r="BU247" s="136"/>
      <c r="BV247" s="136"/>
      <c r="BW247" s="136"/>
      <c r="BY247" s="12"/>
      <c r="CA247" s="12"/>
      <c r="EX247" s="10" t="str">
        <f t="shared" si="151"/>
        <v/>
      </c>
    </row>
    <row r="248" spans="2:154" s="67" customFormat="1" x14ac:dyDescent="0.25">
      <c r="B248" s="67" t="str">
        <f ca="1">Loans!B$30</f>
        <v>Loan 18</v>
      </c>
      <c r="D248" s="62">
        <f>Loans!D$30</f>
        <v>0</v>
      </c>
      <c r="S248" s="279"/>
      <c r="T248" s="335"/>
      <c r="U248" s="335"/>
      <c r="V248" s="136"/>
      <c r="W248" s="136"/>
      <c r="X248" s="136"/>
      <c r="Y248" s="136"/>
      <c r="AA248" s="45">
        <f>SUM($AA225:AA225)*AA225</f>
        <v>0</v>
      </c>
      <c r="AB248" s="45">
        <f>SUM($AA225:AB225)*AB225</f>
        <v>0</v>
      </c>
      <c r="AC248" s="45">
        <f>SUM($AA225:AC225)*AC225</f>
        <v>0</v>
      </c>
      <c r="AD248" s="45">
        <f>SUM($AA225:AD225)*AD225</f>
        <v>0</v>
      </c>
      <c r="AE248" s="45">
        <f>SUM($AA225:AE225)*AE225</f>
        <v>0</v>
      </c>
      <c r="AF248" s="45">
        <f>SUM($AA225:AF225)*AF225</f>
        <v>0</v>
      </c>
      <c r="AG248" s="45">
        <f>SUM($AA225:AG225)*AG225</f>
        <v>0</v>
      </c>
      <c r="AH248" s="45">
        <f>SUM($AA225:AH225)*AH225</f>
        <v>0</v>
      </c>
      <c r="AI248" s="45">
        <f>SUM($AA225:AI225)*AI225</f>
        <v>0</v>
      </c>
      <c r="AJ248" s="45">
        <f>SUM($AA225:AJ225)*AJ225</f>
        <v>0</v>
      </c>
      <c r="AK248" s="45">
        <f>SUM($AA225:AK225)*AK225</f>
        <v>0</v>
      </c>
      <c r="AL248" s="45">
        <f>SUM($AA225:AL225)*AL225</f>
        <v>0</v>
      </c>
      <c r="AM248" s="45">
        <f>SUM($AA225:AM225)*AM225</f>
        <v>0</v>
      </c>
      <c r="AN248" s="45">
        <f>SUM($AA225:AN225)*AN225</f>
        <v>0</v>
      </c>
      <c r="AO248" s="45">
        <f>SUM($AA225:AO225)*AO225</f>
        <v>0</v>
      </c>
      <c r="AP248" s="45">
        <f>SUM($AA225:AP225)*AP225</f>
        <v>0</v>
      </c>
      <c r="AQ248" s="45">
        <f>SUM($AA225:AQ225)*AQ225</f>
        <v>0</v>
      </c>
      <c r="AR248" s="45">
        <f>SUM($AA225:AR225)*AR225</f>
        <v>0</v>
      </c>
      <c r="AS248" s="45">
        <f>SUM($AA225:AS225)*AS225</f>
        <v>0</v>
      </c>
      <c r="AT248" s="45">
        <f>SUM($AA225:AT225)*AT225</f>
        <v>0</v>
      </c>
      <c r="AU248" s="45">
        <f>SUM($AA225:AU225)*AU225</f>
        <v>0</v>
      </c>
      <c r="AV248" s="45">
        <f>SUM($AA225:AV225)*AV225</f>
        <v>0</v>
      </c>
      <c r="AW248" s="45">
        <f>SUM($AA225:AW225)*AW225</f>
        <v>0</v>
      </c>
      <c r="AX248" s="45">
        <f>SUM($AA225:AX225)*AX225</f>
        <v>0</v>
      </c>
      <c r="AY248" s="45">
        <f>SUM($AA225:AY225)*AY225</f>
        <v>0</v>
      </c>
      <c r="AZ248" s="45">
        <f>SUM($AA225:AZ225)*AZ225</f>
        <v>0</v>
      </c>
      <c r="BA248" s="45">
        <f>SUM($AA225:BA225)*BA225</f>
        <v>0</v>
      </c>
      <c r="BB248" s="45">
        <f>SUM($AA225:BB225)*BB225</f>
        <v>0</v>
      </c>
      <c r="BC248" s="45">
        <f>SUM($AA225:BC225)*BC225</f>
        <v>0</v>
      </c>
      <c r="BD248" s="45">
        <f>SUM($AA225:BD225)*BD225</f>
        <v>0</v>
      </c>
      <c r="BE248" s="45">
        <f>SUM($AA225:BE225)*BE225</f>
        <v>0</v>
      </c>
      <c r="BF248" s="45">
        <f>SUM($AA225:BF225)*BF225</f>
        <v>0</v>
      </c>
      <c r="BG248" s="45">
        <f>SUM($AA225:BG225)*BG225</f>
        <v>0</v>
      </c>
      <c r="BH248" s="45">
        <f>SUM($AA225:BH225)*BH225</f>
        <v>0</v>
      </c>
      <c r="BI248" s="45">
        <f>SUM($AA225:BI225)*BI225</f>
        <v>0</v>
      </c>
      <c r="BJ248" s="45">
        <f>SUM($AA225:BJ225)*BJ225</f>
        <v>0</v>
      </c>
      <c r="BL248" s="136"/>
      <c r="BM248" s="136"/>
      <c r="BN248" s="136"/>
      <c r="BO248" s="136"/>
      <c r="BP248" s="136"/>
      <c r="BQ248" s="136"/>
      <c r="BR248" s="136"/>
      <c r="BS248" s="136"/>
      <c r="BT248" s="136"/>
      <c r="BU248" s="136"/>
      <c r="BV248" s="136"/>
      <c r="BW248" s="136"/>
      <c r="BY248" s="12"/>
      <c r="CA248" s="12"/>
      <c r="EX248" s="10" t="str">
        <f t="shared" si="151"/>
        <v/>
      </c>
    </row>
    <row r="249" spans="2:154" s="67" customFormat="1" x14ac:dyDescent="0.25">
      <c r="B249" s="67" t="str">
        <f ca="1">Loans!B$31</f>
        <v>Loan 19</v>
      </c>
      <c r="D249" s="62">
        <f>Loans!D$31</f>
        <v>0</v>
      </c>
      <c r="S249" s="279"/>
      <c r="T249" s="335"/>
      <c r="U249" s="335"/>
      <c r="V249" s="136"/>
      <c r="W249" s="136"/>
      <c r="X249" s="136"/>
      <c r="Y249" s="136"/>
      <c r="AA249" s="45">
        <f>SUM($AA226:AA226)*AA226</f>
        <v>0</v>
      </c>
      <c r="AB249" s="45">
        <f>SUM($AA226:AB226)*AB226</f>
        <v>0</v>
      </c>
      <c r="AC249" s="45">
        <f>SUM($AA226:AC226)*AC226</f>
        <v>0</v>
      </c>
      <c r="AD249" s="45">
        <f>SUM($AA226:AD226)*AD226</f>
        <v>0</v>
      </c>
      <c r="AE249" s="45">
        <f>SUM($AA226:AE226)*AE226</f>
        <v>0</v>
      </c>
      <c r="AF249" s="45">
        <f>SUM($AA226:AF226)*AF226</f>
        <v>0</v>
      </c>
      <c r="AG249" s="45">
        <f>SUM($AA226:AG226)*AG226</f>
        <v>0</v>
      </c>
      <c r="AH249" s="45">
        <f>SUM($AA226:AH226)*AH226</f>
        <v>0</v>
      </c>
      <c r="AI249" s="45">
        <f>SUM($AA226:AI226)*AI226</f>
        <v>0</v>
      </c>
      <c r="AJ249" s="45">
        <f>SUM($AA226:AJ226)*AJ226</f>
        <v>0</v>
      </c>
      <c r="AK249" s="45">
        <f>SUM($AA226:AK226)*AK226</f>
        <v>0</v>
      </c>
      <c r="AL249" s="45">
        <f>SUM($AA226:AL226)*AL226</f>
        <v>0</v>
      </c>
      <c r="AM249" s="45">
        <f>SUM($AA226:AM226)*AM226</f>
        <v>0</v>
      </c>
      <c r="AN249" s="45">
        <f>SUM($AA226:AN226)*AN226</f>
        <v>0</v>
      </c>
      <c r="AO249" s="45">
        <f>SUM($AA226:AO226)*AO226</f>
        <v>0</v>
      </c>
      <c r="AP249" s="45">
        <f>SUM($AA226:AP226)*AP226</f>
        <v>0</v>
      </c>
      <c r="AQ249" s="45">
        <f>SUM($AA226:AQ226)*AQ226</f>
        <v>0</v>
      </c>
      <c r="AR249" s="45">
        <f>SUM($AA226:AR226)*AR226</f>
        <v>0</v>
      </c>
      <c r="AS249" s="45">
        <f>SUM($AA226:AS226)*AS226</f>
        <v>0</v>
      </c>
      <c r="AT249" s="45">
        <f>SUM($AA226:AT226)*AT226</f>
        <v>0</v>
      </c>
      <c r="AU249" s="45">
        <f>SUM($AA226:AU226)*AU226</f>
        <v>0</v>
      </c>
      <c r="AV249" s="45">
        <f>SUM($AA226:AV226)*AV226</f>
        <v>0</v>
      </c>
      <c r="AW249" s="45">
        <f>SUM($AA226:AW226)*AW226</f>
        <v>0</v>
      </c>
      <c r="AX249" s="45">
        <f>SUM($AA226:AX226)*AX226</f>
        <v>0</v>
      </c>
      <c r="AY249" s="45">
        <f>SUM($AA226:AY226)*AY226</f>
        <v>0</v>
      </c>
      <c r="AZ249" s="45">
        <f>SUM($AA226:AZ226)*AZ226</f>
        <v>0</v>
      </c>
      <c r="BA249" s="45">
        <f>SUM($AA226:BA226)*BA226</f>
        <v>0</v>
      </c>
      <c r="BB249" s="45">
        <f>SUM($AA226:BB226)*BB226</f>
        <v>0</v>
      </c>
      <c r="BC249" s="45">
        <f>SUM($AA226:BC226)*BC226</f>
        <v>0</v>
      </c>
      <c r="BD249" s="45">
        <f>SUM($AA226:BD226)*BD226</f>
        <v>0</v>
      </c>
      <c r="BE249" s="45">
        <f>SUM($AA226:BE226)*BE226</f>
        <v>0</v>
      </c>
      <c r="BF249" s="45">
        <f>SUM($AA226:BF226)*BF226</f>
        <v>0</v>
      </c>
      <c r="BG249" s="45">
        <f>SUM($AA226:BG226)*BG226</f>
        <v>0</v>
      </c>
      <c r="BH249" s="45">
        <f>SUM($AA226:BH226)*BH226</f>
        <v>0</v>
      </c>
      <c r="BI249" s="45">
        <f>SUM($AA226:BI226)*BI226</f>
        <v>0</v>
      </c>
      <c r="BJ249" s="45">
        <f>SUM($AA226:BJ226)*BJ226</f>
        <v>0</v>
      </c>
      <c r="BL249" s="136"/>
      <c r="BM249" s="136"/>
      <c r="BN249" s="136"/>
      <c r="BO249" s="136"/>
      <c r="BP249" s="136"/>
      <c r="BQ249" s="136"/>
      <c r="BR249" s="136"/>
      <c r="BS249" s="136"/>
      <c r="BT249" s="136"/>
      <c r="BU249" s="136"/>
      <c r="BV249" s="136"/>
      <c r="BW249" s="136"/>
      <c r="BY249" s="12"/>
      <c r="CA249" s="12"/>
      <c r="EX249" s="10" t="str">
        <f t="shared" si="151"/>
        <v/>
      </c>
    </row>
    <row r="250" spans="2:154" s="67" customFormat="1" x14ac:dyDescent="0.25">
      <c r="B250" s="67" t="str">
        <f ca="1">Loans!B$32</f>
        <v>Loan 20</v>
      </c>
      <c r="D250" s="62">
        <f>Loans!D$32</f>
        <v>0</v>
      </c>
      <c r="S250" s="279"/>
      <c r="T250" s="335"/>
      <c r="U250" s="335"/>
      <c r="V250" s="136"/>
      <c r="W250" s="136"/>
      <c r="X250" s="136"/>
      <c r="Y250" s="136"/>
      <c r="AA250" s="45">
        <f>SUM($AA227:AA227)*AA227</f>
        <v>0</v>
      </c>
      <c r="AB250" s="45">
        <f>SUM($AA227:AB227)*AB227</f>
        <v>0</v>
      </c>
      <c r="AC250" s="45">
        <f>SUM($AA227:AC227)*AC227</f>
        <v>0</v>
      </c>
      <c r="AD250" s="45">
        <f>SUM($AA227:AD227)*AD227</f>
        <v>0</v>
      </c>
      <c r="AE250" s="45">
        <f>SUM($AA227:AE227)*AE227</f>
        <v>0</v>
      </c>
      <c r="AF250" s="45">
        <f>SUM($AA227:AF227)*AF227</f>
        <v>0</v>
      </c>
      <c r="AG250" s="45">
        <f>SUM($AA227:AG227)*AG227</f>
        <v>0</v>
      </c>
      <c r="AH250" s="45">
        <f>SUM($AA227:AH227)*AH227</f>
        <v>0</v>
      </c>
      <c r="AI250" s="45">
        <f>SUM($AA227:AI227)*AI227</f>
        <v>0</v>
      </c>
      <c r="AJ250" s="45">
        <f>SUM($AA227:AJ227)*AJ227</f>
        <v>0</v>
      </c>
      <c r="AK250" s="45">
        <f>SUM($AA227:AK227)*AK227</f>
        <v>0</v>
      </c>
      <c r="AL250" s="45">
        <f>SUM($AA227:AL227)*AL227</f>
        <v>0</v>
      </c>
      <c r="AM250" s="45">
        <f>SUM($AA227:AM227)*AM227</f>
        <v>0</v>
      </c>
      <c r="AN250" s="45">
        <f>SUM($AA227:AN227)*AN227</f>
        <v>0</v>
      </c>
      <c r="AO250" s="45">
        <f>SUM($AA227:AO227)*AO227</f>
        <v>0</v>
      </c>
      <c r="AP250" s="45">
        <f>SUM($AA227:AP227)*AP227</f>
        <v>0</v>
      </c>
      <c r="AQ250" s="45">
        <f>SUM($AA227:AQ227)*AQ227</f>
        <v>0</v>
      </c>
      <c r="AR250" s="45">
        <f>SUM($AA227:AR227)*AR227</f>
        <v>0</v>
      </c>
      <c r="AS250" s="45">
        <f>SUM($AA227:AS227)*AS227</f>
        <v>0</v>
      </c>
      <c r="AT250" s="45">
        <f>SUM($AA227:AT227)*AT227</f>
        <v>0</v>
      </c>
      <c r="AU250" s="45">
        <f>SUM($AA227:AU227)*AU227</f>
        <v>0</v>
      </c>
      <c r="AV250" s="45">
        <f>SUM($AA227:AV227)*AV227</f>
        <v>0</v>
      </c>
      <c r="AW250" s="45">
        <f>SUM($AA227:AW227)*AW227</f>
        <v>0</v>
      </c>
      <c r="AX250" s="45">
        <f>SUM($AA227:AX227)*AX227</f>
        <v>0</v>
      </c>
      <c r="AY250" s="45">
        <f>SUM($AA227:AY227)*AY227</f>
        <v>0</v>
      </c>
      <c r="AZ250" s="45">
        <f>SUM($AA227:AZ227)*AZ227</f>
        <v>0</v>
      </c>
      <c r="BA250" s="45">
        <f>SUM($AA227:BA227)*BA227</f>
        <v>0</v>
      </c>
      <c r="BB250" s="45">
        <f>SUM($AA227:BB227)*BB227</f>
        <v>0</v>
      </c>
      <c r="BC250" s="45">
        <f>SUM($AA227:BC227)*BC227</f>
        <v>0</v>
      </c>
      <c r="BD250" s="45">
        <f>SUM($AA227:BD227)*BD227</f>
        <v>0</v>
      </c>
      <c r="BE250" s="45">
        <f>SUM($AA227:BE227)*BE227</f>
        <v>0</v>
      </c>
      <c r="BF250" s="45">
        <f>SUM($AA227:BF227)*BF227</f>
        <v>0</v>
      </c>
      <c r="BG250" s="45">
        <f>SUM($AA227:BG227)*BG227</f>
        <v>0</v>
      </c>
      <c r="BH250" s="45">
        <f>SUM($AA227:BH227)*BH227</f>
        <v>0</v>
      </c>
      <c r="BI250" s="45">
        <f>SUM($AA227:BI227)*BI227</f>
        <v>0</v>
      </c>
      <c r="BJ250" s="45">
        <f>SUM($AA227:BJ227)*BJ227</f>
        <v>0</v>
      </c>
      <c r="BL250" s="136"/>
      <c r="BM250" s="136"/>
      <c r="BN250" s="136"/>
      <c r="BO250" s="136"/>
      <c r="BP250" s="136"/>
      <c r="BQ250" s="136"/>
      <c r="BR250" s="136"/>
      <c r="BS250" s="136"/>
      <c r="BT250" s="136"/>
      <c r="BU250" s="136"/>
      <c r="BV250" s="136"/>
      <c r="BW250" s="136"/>
      <c r="BY250" s="12"/>
      <c r="CA250" s="12"/>
      <c r="EX250" s="10" t="str">
        <f t="shared" si="151"/>
        <v/>
      </c>
    </row>
    <row r="251" spans="2:154" s="67" customFormat="1" ht="6.6" customHeight="1" x14ac:dyDescent="0.25">
      <c r="D251" s="1"/>
      <c r="T251" s="335"/>
      <c r="U251" s="335"/>
      <c r="BM251" s="6"/>
      <c r="BY251" s="42"/>
      <c r="CA251" s="42"/>
      <c r="EX251" s="10" t="str">
        <f t="shared" si="151"/>
        <v/>
      </c>
    </row>
    <row r="252" spans="2:154" s="67" customFormat="1" x14ac:dyDescent="0.25">
      <c r="D252" s="5" t="s">
        <v>558</v>
      </c>
      <c r="T252" s="335"/>
      <c r="U252" s="335"/>
      <c r="BY252" s="12"/>
      <c r="CA252" s="12"/>
      <c r="EX252" s="10" t="str">
        <f t="shared" si="151"/>
        <v/>
      </c>
    </row>
    <row r="253" spans="2:154" s="67" customFormat="1" x14ac:dyDescent="0.25">
      <c r="B253" s="5"/>
      <c r="D253" s="5" t="str">
        <f>Loans!D$11</f>
        <v>Lender</v>
      </c>
      <c r="E253" s="5" t="s">
        <v>542</v>
      </c>
      <c r="F253" s="5" t="s">
        <v>544</v>
      </c>
      <c r="T253" s="335"/>
      <c r="U253" s="335"/>
      <c r="BY253" s="12"/>
      <c r="CA253" s="12"/>
      <c r="EX253" s="10" t="str">
        <f t="shared" si="151"/>
        <v/>
      </c>
    </row>
    <row r="254" spans="2:154" s="67" customFormat="1" x14ac:dyDescent="0.25">
      <c r="B254" s="67" t="str">
        <f ca="1">Loans!B$13</f>
        <v>Loan 1</v>
      </c>
      <c r="D254" s="62" t="str">
        <f>Loans!D$13</f>
        <v>NatWest</v>
      </c>
      <c r="E254" s="159" t="str">
        <f>IF(Loans!Q$13=0, "", Loans!Q$13)</f>
        <v/>
      </c>
      <c r="F254" s="10">
        <f>_xlfn.IFNA(INDEX(Parameters!$F$80:$F$83, MATCH(Loans!S13, Parameters!$D$80:$D$83,0)), 0)</f>
        <v>0</v>
      </c>
      <c r="S254" s="279"/>
      <c r="T254" s="335"/>
      <c r="U254" s="335"/>
      <c r="V254" s="136"/>
      <c r="W254" s="136"/>
      <c r="X254" s="136"/>
      <c r="Y254" s="136"/>
      <c r="AA254" s="200">
        <f>IF(OR($F254=0,AA185=0), 0, IF(OR(AA185=1,  MOD(AA185,$F254)=0, AA116=1), 1, 0))</f>
        <v>0</v>
      </c>
      <c r="AB254" s="200">
        <f t="shared" ref="AB254:BJ254" si="154">IF(OR($F254=0,AB185=0), 0, IF(OR(AB185=1,  MOD(AB185,$F254)=0, AB116=1), 1, 0))</f>
        <v>0</v>
      </c>
      <c r="AC254" s="200">
        <f t="shared" si="154"/>
        <v>0</v>
      </c>
      <c r="AD254" s="200">
        <f t="shared" si="154"/>
        <v>0</v>
      </c>
      <c r="AE254" s="200">
        <f t="shared" si="154"/>
        <v>0</v>
      </c>
      <c r="AF254" s="200">
        <f t="shared" si="154"/>
        <v>0</v>
      </c>
      <c r="AG254" s="200">
        <f t="shared" si="154"/>
        <v>0</v>
      </c>
      <c r="AH254" s="200">
        <f>IF(OR($F254=0,AH185=0), 0, IF(OR(AH185=1,  MOD(AH185,$F254)=0, AH116=1), 1, 0))</f>
        <v>0</v>
      </c>
      <c r="AI254" s="200">
        <f t="shared" si="154"/>
        <v>0</v>
      </c>
      <c r="AJ254" s="200">
        <f>IF(OR($F254=0,AJ185=0), 0, IF(OR(AJ185=1,  MOD(AJ185,$F254)=0, AJ116=1), 1, 0))</f>
        <v>0</v>
      </c>
      <c r="AK254" s="200">
        <f t="shared" si="154"/>
        <v>0</v>
      </c>
      <c r="AL254" s="200">
        <f t="shared" si="154"/>
        <v>0</v>
      </c>
      <c r="AM254" s="200">
        <f t="shared" si="154"/>
        <v>0</v>
      </c>
      <c r="AN254" s="200">
        <f t="shared" si="154"/>
        <v>0</v>
      </c>
      <c r="AO254" s="200">
        <f t="shared" si="154"/>
        <v>0</v>
      </c>
      <c r="AP254" s="200">
        <f t="shared" si="154"/>
        <v>0</v>
      </c>
      <c r="AQ254" s="200">
        <f t="shared" si="154"/>
        <v>0</v>
      </c>
      <c r="AR254" s="200">
        <f t="shared" si="154"/>
        <v>0</v>
      </c>
      <c r="AS254" s="200">
        <f t="shared" si="154"/>
        <v>0</v>
      </c>
      <c r="AT254" s="200">
        <f t="shared" si="154"/>
        <v>0</v>
      </c>
      <c r="AU254" s="200">
        <f t="shared" si="154"/>
        <v>0</v>
      </c>
      <c r="AV254" s="200">
        <f t="shared" si="154"/>
        <v>0</v>
      </c>
      <c r="AW254" s="200">
        <f t="shared" si="154"/>
        <v>0</v>
      </c>
      <c r="AX254" s="200">
        <f t="shared" si="154"/>
        <v>0</v>
      </c>
      <c r="AY254" s="200">
        <f t="shared" si="154"/>
        <v>0</v>
      </c>
      <c r="AZ254" s="200">
        <f t="shared" si="154"/>
        <v>0</v>
      </c>
      <c r="BA254" s="200">
        <f t="shared" si="154"/>
        <v>0</v>
      </c>
      <c r="BB254" s="200">
        <f t="shared" si="154"/>
        <v>0</v>
      </c>
      <c r="BC254" s="200">
        <f t="shared" si="154"/>
        <v>0</v>
      </c>
      <c r="BD254" s="200">
        <f t="shared" si="154"/>
        <v>0</v>
      </c>
      <c r="BE254" s="200">
        <f t="shared" si="154"/>
        <v>0</v>
      </c>
      <c r="BF254" s="200">
        <f t="shared" si="154"/>
        <v>0</v>
      </c>
      <c r="BG254" s="200">
        <f t="shared" si="154"/>
        <v>0</v>
      </c>
      <c r="BH254" s="200">
        <f t="shared" si="154"/>
        <v>0</v>
      </c>
      <c r="BI254" s="200">
        <f t="shared" si="154"/>
        <v>0</v>
      </c>
      <c r="BJ254" s="200">
        <f t="shared" si="154"/>
        <v>0</v>
      </c>
      <c r="BL254" s="136"/>
      <c r="BM254" s="136"/>
      <c r="BN254" s="136"/>
      <c r="BO254" s="136"/>
      <c r="BP254" s="136"/>
      <c r="BQ254" s="136"/>
      <c r="BR254" s="136"/>
      <c r="BS254" s="136"/>
      <c r="BT254" s="136"/>
      <c r="BU254" s="136"/>
      <c r="BV254" s="136"/>
      <c r="BW254" s="136"/>
      <c r="BY254" s="12"/>
      <c r="CA254" s="12"/>
      <c r="EX254" s="10" t="str">
        <f t="shared" si="151"/>
        <v/>
      </c>
    </row>
    <row r="255" spans="2:154" s="67" customFormat="1" x14ac:dyDescent="0.25">
      <c r="B255" s="67" t="str">
        <f ca="1">Loans!B$14</f>
        <v>Loan 2</v>
      </c>
      <c r="D255" s="62" t="str">
        <f>Loans!D$14</f>
        <v>NatWest</v>
      </c>
      <c r="E255" s="159" t="str">
        <f>IF(Loans!Q$14=0, "", Loans!Q$14)</f>
        <v/>
      </c>
      <c r="F255" s="10">
        <f>_xlfn.IFNA(INDEX(Parameters!$F$80:$F$83, MATCH(Loans!S14, Parameters!$D$80:$D$83,0)), 0)</f>
        <v>0</v>
      </c>
      <c r="S255" s="279"/>
      <c r="T255" s="335"/>
      <c r="U255" s="335"/>
      <c r="V255" s="136"/>
      <c r="W255" s="136"/>
      <c r="X255" s="136"/>
      <c r="Y255" s="136"/>
      <c r="AA255" s="200">
        <f t="shared" ref="AA255:BJ255" si="155">IF(OR($F255=0,AA186=0), 0, IF(OR(AA186=1,  MOD(AA186,$F255)=0, AA117=1), 1, 0))</f>
        <v>0</v>
      </c>
      <c r="AB255" s="200">
        <f t="shared" si="155"/>
        <v>0</v>
      </c>
      <c r="AC255" s="200">
        <f t="shared" si="155"/>
        <v>0</v>
      </c>
      <c r="AD255" s="200">
        <f t="shared" si="155"/>
        <v>0</v>
      </c>
      <c r="AE255" s="200">
        <f t="shared" si="155"/>
        <v>0</v>
      </c>
      <c r="AF255" s="200">
        <f t="shared" si="155"/>
        <v>0</v>
      </c>
      <c r="AG255" s="200">
        <f t="shared" si="155"/>
        <v>0</v>
      </c>
      <c r="AH255" s="200">
        <f t="shared" si="155"/>
        <v>0</v>
      </c>
      <c r="AI255" s="200">
        <f t="shared" si="155"/>
        <v>0</v>
      </c>
      <c r="AJ255" s="200">
        <f t="shared" si="155"/>
        <v>0</v>
      </c>
      <c r="AK255" s="200">
        <f t="shared" si="155"/>
        <v>0</v>
      </c>
      <c r="AL255" s="200">
        <f t="shared" si="155"/>
        <v>0</v>
      </c>
      <c r="AM255" s="200">
        <f t="shared" si="155"/>
        <v>0</v>
      </c>
      <c r="AN255" s="200">
        <f t="shared" si="155"/>
        <v>0</v>
      </c>
      <c r="AO255" s="200">
        <f t="shared" si="155"/>
        <v>0</v>
      </c>
      <c r="AP255" s="200">
        <f t="shared" si="155"/>
        <v>0</v>
      </c>
      <c r="AQ255" s="200">
        <f t="shared" si="155"/>
        <v>0</v>
      </c>
      <c r="AR255" s="200">
        <f t="shared" si="155"/>
        <v>0</v>
      </c>
      <c r="AS255" s="200">
        <f t="shared" si="155"/>
        <v>0</v>
      </c>
      <c r="AT255" s="200">
        <f t="shared" si="155"/>
        <v>0</v>
      </c>
      <c r="AU255" s="200">
        <f t="shared" si="155"/>
        <v>0</v>
      </c>
      <c r="AV255" s="200">
        <f t="shared" si="155"/>
        <v>0</v>
      </c>
      <c r="AW255" s="200">
        <f t="shared" si="155"/>
        <v>0</v>
      </c>
      <c r="AX255" s="200">
        <f t="shared" si="155"/>
        <v>0</v>
      </c>
      <c r="AY255" s="200">
        <f t="shared" si="155"/>
        <v>0</v>
      </c>
      <c r="AZ255" s="200">
        <f t="shared" si="155"/>
        <v>0</v>
      </c>
      <c r="BA255" s="200">
        <f t="shared" si="155"/>
        <v>0</v>
      </c>
      <c r="BB255" s="200">
        <f t="shared" si="155"/>
        <v>0</v>
      </c>
      <c r="BC255" s="200">
        <f t="shared" si="155"/>
        <v>0</v>
      </c>
      <c r="BD255" s="200">
        <f t="shared" si="155"/>
        <v>0</v>
      </c>
      <c r="BE255" s="200">
        <f t="shared" si="155"/>
        <v>0</v>
      </c>
      <c r="BF255" s="200">
        <f t="shared" si="155"/>
        <v>0</v>
      </c>
      <c r="BG255" s="200">
        <f t="shared" si="155"/>
        <v>0</v>
      </c>
      <c r="BH255" s="200">
        <f t="shared" si="155"/>
        <v>0</v>
      </c>
      <c r="BI255" s="200">
        <f t="shared" si="155"/>
        <v>0</v>
      </c>
      <c r="BJ255" s="200">
        <f t="shared" si="155"/>
        <v>0</v>
      </c>
      <c r="BL255" s="136"/>
      <c r="BM255" s="136"/>
      <c r="BN255" s="136"/>
      <c r="BO255" s="136"/>
      <c r="BP255" s="136"/>
      <c r="BQ255" s="136"/>
      <c r="BR255" s="136"/>
      <c r="BS255" s="136"/>
      <c r="BT255" s="136"/>
      <c r="BU255" s="136"/>
      <c r="BV255" s="136"/>
      <c r="BW255" s="136"/>
      <c r="BY255" s="12"/>
      <c r="CA255" s="12"/>
      <c r="EX255" s="10" t="str">
        <f t="shared" si="151"/>
        <v/>
      </c>
    </row>
    <row r="256" spans="2:154" s="67" customFormat="1" x14ac:dyDescent="0.25">
      <c r="B256" s="67" t="str">
        <f ca="1">Loans!B$15</f>
        <v>Loan 3</v>
      </c>
      <c r="D256" s="62" t="str">
        <f>Loans!D$15</f>
        <v>NatWest</v>
      </c>
      <c r="E256" s="159" t="str">
        <f>IF(Loans!Q$15=0, "", Loans!Q$15)</f>
        <v/>
      </c>
      <c r="F256" s="10">
        <f>_xlfn.IFNA(INDEX(Parameters!$F$80:$F$83, MATCH(Loans!S15, Parameters!$D$80:$D$83,0)), 0)</f>
        <v>0</v>
      </c>
      <c r="S256" s="279"/>
      <c r="T256" s="335"/>
      <c r="U256" s="335"/>
      <c r="V256" s="136"/>
      <c r="W256" s="136"/>
      <c r="X256" s="136"/>
      <c r="Y256" s="136"/>
      <c r="AA256" s="200">
        <f t="shared" ref="AA256:BJ256" si="156">IF(OR($F256=0,AA187=0), 0, IF(OR(AA187=1,  MOD(AA187,$F256)=0, AA118=1), 1, 0))</f>
        <v>0</v>
      </c>
      <c r="AB256" s="200">
        <f t="shared" si="156"/>
        <v>0</v>
      </c>
      <c r="AC256" s="200">
        <f t="shared" si="156"/>
        <v>0</v>
      </c>
      <c r="AD256" s="200">
        <f t="shared" si="156"/>
        <v>0</v>
      </c>
      <c r="AE256" s="200">
        <f t="shared" si="156"/>
        <v>0</v>
      </c>
      <c r="AF256" s="200">
        <f t="shared" si="156"/>
        <v>0</v>
      </c>
      <c r="AG256" s="200">
        <f t="shared" si="156"/>
        <v>0</v>
      </c>
      <c r="AH256" s="200">
        <f t="shared" si="156"/>
        <v>0</v>
      </c>
      <c r="AI256" s="200">
        <f t="shared" si="156"/>
        <v>0</v>
      </c>
      <c r="AJ256" s="200">
        <f t="shared" si="156"/>
        <v>0</v>
      </c>
      <c r="AK256" s="200">
        <f t="shared" si="156"/>
        <v>0</v>
      </c>
      <c r="AL256" s="200">
        <f t="shared" si="156"/>
        <v>0</v>
      </c>
      <c r="AM256" s="200">
        <f t="shared" si="156"/>
        <v>0</v>
      </c>
      <c r="AN256" s="200">
        <f t="shared" si="156"/>
        <v>0</v>
      </c>
      <c r="AO256" s="200">
        <f t="shared" si="156"/>
        <v>0</v>
      </c>
      <c r="AP256" s="200">
        <f t="shared" si="156"/>
        <v>0</v>
      </c>
      <c r="AQ256" s="200">
        <f t="shared" si="156"/>
        <v>0</v>
      </c>
      <c r="AR256" s="200">
        <f t="shared" si="156"/>
        <v>0</v>
      </c>
      <c r="AS256" s="200">
        <f t="shared" si="156"/>
        <v>0</v>
      </c>
      <c r="AT256" s="200">
        <f t="shared" si="156"/>
        <v>0</v>
      </c>
      <c r="AU256" s="200">
        <f t="shared" si="156"/>
        <v>0</v>
      </c>
      <c r="AV256" s="200">
        <f t="shared" si="156"/>
        <v>0</v>
      </c>
      <c r="AW256" s="200">
        <f t="shared" si="156"/>
        <v>0</v>
      </c>
      <c r="AX256" s="200">
        <f t="shared" si="156"/>
        <v>0</v>
      </c>
      <c r="AY256" s="200">
        <f t="shared" si="156"/>
        <v>0</v>
      </c>
      <c r="AZ256" s="200">
        <f t="shared" si="156"/>
        <v>0</v>
      </c>
      <c r="BA256" s="200">
        <f t="shared" si="156"/>
        <v>0</v>
      </c>
      <c r="BB256" s="200">
        <f t="shared" si="156"/>
        <v>0</v>
      </c>
      <c r="BC256" s="200">
        <f t="shared" si="156"/>
        <v>0</v>
      </c>
      <c r="BD256" s="200">
        <f t="shared" si="156"/>
        <v>0</v>
      </c>
      <c r="BE256" s="200">
        <f t="shared" si="156"/>
        <v>0</v>
      </c>
      <c r="BF256" s="200">
        <f t="shared" si="156"/>
        <v>0</v>
      </c>
      <c r="BG256" s="200">
        <f t="shared" si="156"/>
        <v>0</v>
      </c>
      <c r="BH256" s="200">
        <f t="shared" si="156"/>
        <v>0</v>
      </c>
      <c r="BI256" s="200">
        <f t="shared" si="156"/>
        <v>0</v>
      </c>
      <c r="BJ256" s="200">
        <f t="shared" si="156"/>
        <v>0</v>
      </c>
      <c r="BL256" s="136"/>
      <c r="BM256" s="136"/>
      <c r="BN256" s="136"/>
      <c r="BO256" s="136"/>
      <c r="BP256" s="136"/>
      <c r="BQ256" s="136"/>
      <c r="BR256" s="136"/>
      <c r="BS256" s="136"/>
      <c r="BT256" s="136"/>
      <c r="BU256" s="136"/>
      <c r="BV256" s="136"/>
      <c r="BW256" s="136"/>
      <c r="BY256" s="12"/>
      <c r="CA256" s="12"/>
      <c r="EX256" s="10" t="str">
        <f t="shared" si="151"/>
        <v/>
      </c>
    </row>
    <row r="257" spans="1:154" s="67" customFormat="1" x14ac:dyDescent="0.25">
      <c r="B257" s="67" t="str">
        <f ca="1">Loans!B$16</f>
        <v>Loan 4</v>
      </c>
      <c r="D257" s="62" t="str">
        <f>Loans!D$16</f>
        <v>NatWest</v>
      </c>
      <c r="E257" s="159" t="str">
        <f>IF(Loans!Q$16=0, "", Loans!Q$16)</f>
        <v/>
      </c>
      <c r="F257" s="10">
        <f>_xlfn.IFNA(INDEX(Parameters!$F$80:$F$83, MATCH(Loans!S16, Parameters!$D$80:$D$83,0)), 0)</f>
        <v>0</v>
      </c>
      <c r="S257" s="279"/>
      <c r="T257" s="335"/>
      <c r="U257" s="335"/>
      <c r="V257" s="136"/>
      <c r="W257" s="136"/>
      <c r="X257" s="136"/>
      <c r="Y257" s="136"/>
      <c r="AA257" s="200">
        <f t="shared" ref="AA257:BJ257" si="157">IF(OR($F257=0,AA188=0), 0, IF(OR(AA188=1,  MOD(AA188,$F257)=0, AA119=1), 1, 0))</f>
        <v>0</v>
      </c>
      <c r="AB257" s="200">
        <f t="shared" si="157"/>
        <v>0</v>
      </c>
      <c r="AC257" s="200">
        <f t="shared" si="157"/>
        <v>0</v>
      </c>
      <c r="AD257" s="200">
        <f t="shared" si="157"/>
        <v>0</v>
      </c>
      <c r="AE257" s="200">
        <f t="shared" si="157"/>
        <v>0</v>
      </c>
      <c r="AF257" s="200">
        <f t="shared" si="157"/>
        <v>0</v>
      </c>
      <c r="AG257" s="200">
        <f t="shared" si="157"/>
        <v>0</v>
      </c>
      <c r="AH257" s="200">
        <f t="shared" si="157"/>
        <v>0</v>
      </c>
      <c r="AI257" s="200">
        <f t="shared" si="157"/>
        <v>0</v>
      </c>
      <c r="AJ257" s="200">
        <f t="shared" si="157"/>
        <v>0</v>
      </c>
      <c r="AK257" s="200">
        <f t="shared" si="157"/>
        <v>0</v>
      </c>
      <c r="AL257" s="200">
        <f t="shared" si="157"/>
        <v>0</v>
      </c>
      <c r="AM257" s="200">
        <f t="shared" si="157"/>
        <v>0</v>
      </c>
      <c r="AN257" s="200">
        <f t="shared" si="157"/>
        <v>0</v>
      </c>
      <c r="AO257" s="200">
        <f t="shared" si="157"/>
        <v>0</v>
      </c>
      <c r="AP257" s="200">
        <f t="shared" si="157"/>
        <v>0</v>
      </c>
      <c r="AQ257" s="200">
        <f t="shared" si="157"/>
        <v>0</v>
      </c>
      <c r="AR257" s="200">
        <f t="shared" si="157"/>
        <v>0</v>
      </c>
      <c r="AS257" s="200">
        <f t="shared" si="157"/>
        <v>0</v>
      </c>
      <c r="AT257" s="200">
        <f t="shared" si="157"/>
        <v>0</v>
      </c>
      <c r="AU257" s="200">
        <f t="shared" si="157"/>
        <v>0</v>
      </c>
      <c r="AV257" s="200">
        <f t="shared" si="157"/>
        <v>0</v>
      </c>
      <c r="AW257" s="200">
        <f t="shared" si="157"/>
        <v>0</v>
      </c>
      <c r="AX257" s="200">
        <f t="shared" si="157"/>
        <v>0</v>
      </c>
      <c r="AY257" s="200">
        <f t="shared" si="157"/>
        <v>0</v>
      </c>
      <c r="AZ257" s="200">
        <f t="shared" si="157"/>
        <v>0</v>
      </c>
      <c r="BA257" s="200">
        <f t="shared" si="157"/>
        <v>0</v>
      </c>
      <c r="BB257" s="200">
        <f t="shared" si="157"/>
        <v>0</v>
      </c>
      <c r="BC257" s="200">
        <f t="shared" si="157"/>
        <v>0</v>
      </c>
      <c r="BD257" s="200">
        <f t="shared" si="157"/>
        <v>0</v>
      </c>
      <c r="BE257" s="200">
        <f t="shared" si="157"/>
        <v>0</v>
      </c>
      <c r="BF257" s="200">
        <f t="shared" si="157"/>
        <v>0</v>
      </c>
      <c r="BG257" s="200">
        <f t="shared" si="157"/>
        <v>0</v>
      </c>
      <c r="BH257" s="200">
        <f t="shared" si="157"/>
        <v>0</v>
      </c>
      <c r="BI257" s="200">
        <f t="shared" si="157"/>
        <v>0</v>
      </c>
      <c r="BJ257" s="200">
        <f t="shared" si="157"/>
        <v>0</v>
      </c>
      <c r="BL257" s="136"/>
      <c r="BM257" s="136"/>
      <c r="BN257" s="136"/>
      <c r="BO257" s="136"/>
      <c r="BP257" s="136"/>
      <c r="BQ257" s="136"/>
      <c r="BR257" s="136"/>
      <c r="BS257" s="136"/>
      <c r="BT257" s="136"/>
      <c r="BU257" s="136"/>
      <c r="BV257" s="136"/>
      <c r="BW257" s="136"/>
      <c r="BY257" s="12"/>
      <c r="CA257" s="12"/>
      <c r="EX257" s="10" t="str">
        <f t="shared" si="151"/>
        <v/>
      </c>
    </row>
    <row r="258" spans="1:154" s="67" customFormat="1" x14ac:dyDescent="0.25">
      <c r="B258" s="67" t="str">
        <f ca="1">Loans!B$17</f>
        <v>Loan 5</v>
      </c>
      <c r="D258" s="62" t="str">
        <f>Loans!D$17</f>
        <v>NatWest</v>
      </c>
      <c r="E258" s="159" t="str">
        <f>IF(Loans!Q$17=0, "", Loans!Q$17)</f>
        <v/>
      </c>
      <c r="F258" s="10">
        <f>_xlfn.IFNA(INDEX(Parameters!$F$80:$F$83, MATCH(Loans!S17, Parameters!$D$80:$D$83,0)), 0)</f>
        <v>0</v>
      </c>
      <c r="S258" s="279"/>
      <c r="T258" s="335"/>
      <c r="U258" s="335"/>
      <c r="V258" s="136"/>
      <c r="W258" s="136"/>
      <c r="X258" s="136"/>
      <c r="Y258" s="136"/>
      <c r="AA258" s="200">
        <f t="shared" ref="AA258:BJ258" si="158">IF(OR($F258=0,AA189=0), 0, IF(OR(AA189=1,  MOD(AA189,$F258)=0, AA120=1), 1, 0))</f>
        <v>0</v>
      </c>
      <c r="AB258" s="200">
        <f t="shared" si="158"/>
        <v>0</v>
      </c>
      <c r="AC258" s="200">
        <f t="shared" si="158"/>
        <v>0</v>
      </c>
      <c r="AD258" s="200">
        <f t="shared" si="158"/>
        <v>0</v>
      </c>
      <c r="AE258" s="200">
        <f t="shared" si="158"/>
        <v>0</v>
      </c>
      <c r="AF258" s="200">
        <f t="shared" si="158"/>
        <v>0</v>
      </c>
      <c r="AG258" s="200">
        <f t="shared" si="158"/>
        <v>0</v>
      </c>
      <c r="AH258" s="200">
        <f t="shared" si="158"/>
        <v>0</v>
      </c>
      <c r="AI258" s="200">
        <f t="shared" si="158"/>
        <v>0</v>
      </c>
      <c r="AJ258" s="200">
        <f t="shared" si="158"/>
        <v>0</v>
      </c>
      <c r="AK258" s="200">
        <f t="shared" si="158"/>
        <v>0</v>
      </c>
      <c r="AL258" s="200">
        <f t="shared" si="158"/>
        <v>0</v>
      </c>
      <c r="AM258" s="200">
        <f t="shared" si="158"/>
        <v>0</v>
      </c>
      <c r="AN258" s="200">
        <f t="shared" si="158"/>
        <v>0</v>
      </c>
      <c r="AO258" s="200">
        <f t="shared" si="158"/>
        <v>0</v>
      </c>
      <c r="AP258" s="200">
        <f t="shared" si="158"/>
        <v>0</v>
      </c>
      <c r="AQ258" s="200">
        <f t="shared" si="158"/>
        <v>0</v>
      </c>
      <c r="AR258" s="200">
        <f t="shared" si="158"/>
        <v>0</v>
      </c>
      <c r="AS258" s="200">
        <f t="shared" si="158"/>
        <v>0</v>
      </c>
      <c r="AT258" s="200">
        <f t="shared" si="158"/>
        <v>0</v>
      </c>
      <c r="AU258" s="200">
        <f t="shared" si="158"/>
        <v>0</v>
      </c>
      <c r="AV258" s="200">
        <f t="shared" si="158"/>
        <v>0</v>
      </c>
      <c r="AW258" s="200">
        <f t="shared" si="158"/>
        <v>0</v>
      </c>
      <c r="AX258" s="200">
        <f t="shared" si="158"/>
        <v>0</v>
      </c>
      <c r="AY258" s="200">
        <f t="shared" si="158"/>
        <v>0</v>
      </c>
      <c r="AZ258" s="200">
        <f t="shared" si="158"/>
        <v>0</v>
      </c>
      <c r="BA258" s="200">
        <f t="shared" si="158"/>
        <v>0</v>
      </c>
      <c r="BB258" s="200">
        <f t="shared" si="158"/>
        <v>0</v>
      </c>
      <c r="BC258" s="200">
        <f t="shared" si="158"/>
        <v>0</v>
      </c>
      <c r="BD258" s="200">
        <f t="shared" si="158"/>
        <v>0</v>
      </c>
      <c r="BE258" s="200">
        <f t="shared" si="158"/>
        <v>0</v>
      </c>
      <c r="BF258" s="200">
        <f t="shared" si="158"/>
        <v>0</v>
      </c>
      <c r="BG258" s="200">
        <f t="shared" si="158"/>
        <v>0</v>
      </c>
      <c r="BH258" s="200">
        <f t="shared" si="158"/>
        <v>0</v>
      </c>
      <c r="BI258" s="200">
        <f t="shared" si="158"/>
        <v>0</v>
      </c>
      <c r="BJ258" s="200">
        <f t="shared" si="158"/>
        <v>0</v>
      </c>
      <c r="BL258" s="136"/>
      <c r="BM258" s="136"/>
      <c r="BN258" s="136"/>
      <c r="BO258" s="136"/>
      <c r="BP258" s="136"/>
      <c r="BQ258" s="136"/>
      <c r="BR258" s="136"/>
      <c r="BS258" s="136"/>
      <c r="BT258" s="136"/>
      <c r="BU258" s="136"/>
      <c r="BV258" s="136"/>
      <c r="BW258" s="136"/>
      <c r="BY258" s="12"/>
      <c r="CA258" s="12"/>
      <c r="EX258" s="10" t="str">
        <f t="shared" si="151"/>
        <v/>
      </c>
    </row>
    <row r="259" spans="1:154" s="67" customFormat="1" x14ac:dyDescent="0.25">
      <c r="B259" s="67" t="str">
        <f ca="1">Loans!B$18</f>
        <v>Loan 6</v>
      </c>
      <c r="D259" s="62">
        <f>Loans!D$18</f>
        <v>0</v>
      </c>
      <c r="E259" s="159" t="str">
        <f>IF(Loans!Q$18=0, "", Loans!Q$18)</f>
        <v/>
      </c>
      <c r="F259" s="10">
        <f>_xlfn.IFNA(INDEX(Parameters!$F$80:$F$83, MATCH(Loans!S18, Parameters!$D$80:$D$83,0)), 0)</f>
        <v>0</v>
      </c>
      <c r="S259" s="279"/>
      <c r="T259" s="335"/>
      <c r="U259" s="335"/>
      <c r="V259" s="136"/>
      <c r="W259" s="136"/>
      <c r="X259" s="136"/>
      <c r="Y259" s="136"/>
      <c r="AA259" s="200">
        <f t="shared" ref="AA259:BJ259" si="159">IF(OR($F259=0,AA190=0), 0, IF(OR(AA190=1,  MOD(AA190,$F259)=0, AA121=1), 1, 0))</f>
        <v>0</v>
      </c>
      <c r="AB259" s="200">
        <f t="shared" si="159"/>
        <v>0</v>
      </c>
      <c r="AC259" s="200">
        <f t="shared" si="159"/>
        <v>0</v>
      </c>
      <c r="AD259" s="200">
        <f t="shared" si="159"/>
        <v>0</v>
      </c>
      <c r="AE259" s="200">
        <f t="shared" si="159"/>
        <v>0</v>
      </c>
      <c r="AF259" s="200">
        <f t="shared" si="159"/>
        <v>0</v>
      </c>
      <c r="AG259" s="200">
        <f t="shared" si="159"/>
        <v>0</v>
      </c>
      <c r="AH259" s="200">
        <f t="shared" si="159"/>
        <v>0</v>
      </c>
      <c r="AI259" s="200">
        <f t="shared" si="159"/>
        <v>0</v>
      </c>
      <c r="AJ259" s="200">
        <f t="shared" si="159"/>
        <v>0</v>
      </c>
      <c r="AK259" s="200">
        <f t="shared" si="159"/>
        <v>0</v>
      </c>
      <c r="AL259" s="200">
        <f t="shared" si="159"/>
        <v>0</v>
      </c>
      <c r="AM259" s="200">
        <f t="shared" si="159"/>
        <v>0</v>
      </c>
      <c r="AN259" s="200">
        <f t="shared" si="159"/>
        <v>0</v>
      </c>
      <c r="AO259" s="200">
        <f t="shared" si="159"/>
        <v>0</v>
      </c>
      <c r="AP259" s="200">
        <f t="shared" si="159"/>
        <v>0</v>
      </c>
      <c r="AQ259" s="200">
        <f t="shared" si="159"/>
        <v>0</v>
      </c>
      <c r="AR259" s="200">
        <f t="shared" si="159"/>
        <v>0</v>
      </c>
      <c r="AS259" s="200">
        <f t="shared" si="159"/>
        <v>0</v>
      </c>
      <c r="AT259" s="200">
        <f t="shared" si="159"/>
        <v>0</v>
      </c>
      <c r="AU259" s="200">
        <f t="shared" si="159"/>
        <v>0</v>
      </c>
      <c r="AV259" s="200">
        <f t="shared" si="159"/>
        <v>0</v>
      </c>
      <c r="AW259" s="200">
        <f t="shared" si="159"/>
        <v>0</v>
      </c>
      <c r="AX259" s="200">
        <f t="shared" si="159"/>
        <v>0</v>
      </c>
      <c r="AY259" s="200">
        <f t="shared" si="159"/>
        <v>0</v>
      </c>
      <c r="AZ259" s="200">
        <f t="shared" si="159"/>
        <v>0</v>
      </c>
      <c r="BA259" s="200">
        <f t="shared" si="159"/>
        <v>0</v>
      </c>
      <c r="BB259" s="200">
        <f t="shared" si="159"/>
        <v>0</v>
      </c>
      <c r="BC259" s="200">
        <f t="shared" si="159"/>
        <v>0</v>
      </c>
      <c r="BD259" s="200">
        <f t="shared" si="159"/>
        <v>0</v>
      </c>
      <c r="BE259" s="200">
        <f t="shared" si="159"/>
        <v>0</v>
      </c>
      <c r="BF259" s="200">
        <f t="shared" si="159"/>
        <v>0</v>
      </c>
      <c r="BG259" s="200">
        <f t="shared" si="159"/>
        <v>0</v>
      </c>
      <c r="BH259" s="200">
        <f t="shared" si="159"/>
        <v>0</v>
      </c>
      <c r="BI259" s="200">
        <f t="shared" si="159"/>
        <v>0</v>
      </c>
      <c r="BJ259" s="200">
        <f t="shared" si="159"/>
        <v>0</v>
      </c>
      <c r="BL259" s="136"/>
      <c r="BM259" s="136"/>
      <c r="BN259" s="136"/>
      <c r="BO259" s="136"/>
      <c r="BP259" s="136"/>
      <c r="BQ259" s="136"/>
      <c r="BR259" s="136"/>
      <c r="BS259" s="136"/>
      <c r="BT259" s="136"/>
      <c r="BU259" s="136"/>
      <c r="BV259" s="136"/>
      <c r="BW259" s="136"/>
      <c r="BY259" s="12"/>
      <c r="CA259" s="12"/>
      <c r="EX259" s="10" t="str">
        <f t="shared" si="151"/>
        <v/>
      </c>
    </row>
    <row r="260" spans="1:154" s="5" customFormat="1" x14ac:dyDescent="0.25">
      <c r="A260" s="67"/>
      <c r="B260" s="67" t="str">
        <f ca="1">Loans!B$19</f>
        <v>Loan 7</v>
      </c>
      <c r="D260" s="62">
        <f>Loans!D$19</f>
        <v>0</v>
      </c>
      <c r="E260" s="159" t="str">
        <f>IF(Loans!Q$19=0, "", Loans!Q$19)</f>
        <v/>
      </c>
      <c r="F260" s="10">
        <f>_xlfn.IFNA(INDEX(Parameters!$F$80:$F$83, MATCH(Loans!S19, Parameters!$D$80:$D$83,0)), 0)</f>
        <v>0</v>
      </c>
      <c r="G260" s="67"/>
      <c r="H260" s="67"/>
      <c r="I260" s="67"/>
      <c r="J260" s="67"/>
      <c r="K260" s="67"/>
      <c r="M260" s="67"/>
      <c r="N260" s="67"/>
      <c r="O260" s="67"/>
      <c r="P260" s="67"/>
      <c r="Q260" s="67"/>
      <c r="S260" s="279"/>
      <c r="T260" s="335"/>
      <c r="U260" s="335"/>
      <c r="V260" s="136"/>
      <c r="W260" s="136"/>
      <c r="X260" s="136"/>
      <c r="Y260" s="136"/>
      <c r="Z260" s="67"/>
      <c r="AA260" s="200">
        <f t="shared" ref="AA260:BJ260" si="160">IF(OR($F260=0,AA191=0), 0, IF(OR(AA191=1,  MOD(AA191,$F260)=0, AA122=1), 1, 0))</f>
        <v>0</v>
      </c>
      <c r="AB260" s="200">
        <f t="shared" si="160"/>
        <v>0</v>
      </c>
      <c r="AC260" s="200">
        <f t="shared" si="160"/>
        <v>0</v>
      </c>
      <c r="AD260" s="200">
        <f t="shared" si="160"/>
        <v>0</v>
      </c>
      <c r="AE260" s="200">
        <f t="shared" si="160"/>
        <v>0</v>
      </c>
      <c r="AF260" s="200">
        <f t="shared" si="160"/>
        <v>0</v>
      </c>
      <c r="AG260" s="200">
        <f t="shared" si="160"/>
        <v>0</v>
      </c>
      <c r="AH260" s="200">
        <f t="shared" si="160"/>
        <v>0</v>
      </c>
      <c r="AI260" s="200">
        <f t="shared" si="160"/>
        <v>0</v>
      </c>
      <c r="AJ260" s="200">
        <f t="shared" si="160"/>
        <v>0</v>
      </c>
      <c r="AK260" s="200">
        <f t="shared" si="160"/>
        <v>0</v>
      </c>
      <c r="AL260" s="200">
        <f t="shared" si="160"/>
        <v>0</v>
      </c>
      <c r="AM260" s="200">
        <f t="shared" si="160"/>
        <v>0</v>
      </c>
      <c r="AN260" s="200">
        <f t="shared" si="160"/>
        <v>0</v>
      </c>
      <c r="AO260" s="200">
        <f t="shared" si="160"/>
        <v>0</v>
      </c>
      <c r="AP260" s="200">
        <f t="shared" si="160"/>
        <v>0</v>
      </c>
      <c r="AQ260" s="200">
        <f t="shared" si="160"/>
        <v>0</v>
      </c>
      <c r="AR260" s="200">
        <f t="shared" si="160"/>
        <v>0</v>
      </c>
      <c r="AS260" s="200">
        <f t="shared" si="160"/>
        <v>0</v>
      </c>
      <c r="AT260" s="200">
        <f t="shared" si="160"/>
        <v>0</v>
      </c>
      <c r="AU260" s="200">
        <f t="shared" si="160"/>
        <v>0</v>
      </c>
      <c r="AV260" s="200">
        <f t="shared" si="160"/>
        <v>0</v>
      </c>
      <c r="AW260" s="200">
        <f t="shared" si="160"/>
        <v>0</v>
      </c>
      <c r="AX260" s="200">
        <f t="shared" si="160"/>
        <v>0</v>
      </c>
      <c r="AY260" s="200">
        <f t="shared" si="160"/>
        <v>0</v>
      </c>
      <c r="AZ260" s="200">
        <f t="shared" si="160"/>
        <v>0</v>
      </c>
      <c r="BA260" s="200">
        <f t="shared" si="160"/>
        <v>0</v>
      </c>
      <c r="BB260" s="200">
        <f t="shared" si="160"/>
        <v>0</v>
      </c>
      <c r="BC260" s="200">
        <f t="shared" si="160"/>
        <v>0</v>
      </c>
      <c r="BD260" s="200">
        <f t="shared" si="160"/>
        <v>0</v>
      </c>
      <c r="BE260" s="200">
        <f t="shared" si="160"/>
        <v>0</v>
      </c>
      <c r="BF260" s="200">
        <f t="shared" si="160"/>
        <v>0</v>
      </c>
      <c r="BG260" s="200">
        <f t="shared" si="160"/>
        <v>0</v>
      </c>
      <c r="BH260" s="200">
        <f t="shared" si="160"/>
        <v>0</v>
      </c>
      <c r="BI260" s="200">
        <f t="shared" si="160"/>
        <v>0</v>
      </c>
      <c r="BJ260" s="200">
        <f t="shared" si="160"/>
        <v>0</v>
      </c>
      <c r="BK260" s="67"/>
      <c r="BL260" s="136"/>
      <c r="BM260" s="136"/>
      <c r="BN260" s="136"/>
      <c r="BO260" s="136"/>
      <c r="BP260" s="136"/>
      <c r="BQ260" s="136"/>
      <c r="BR260" s="136"/>
      <c r="BS260" s="136"/>
      <c r="BT260" s="136"/>
      <c r="BU260" s="136"/>
      <c r="BV260" s="136"/>
      <c r="BW260" s="136"/>
      <c r="BX260" s="67"/>
      <c r="BY260" s="12"/>
      <c r="BZ260" s="67"/>
      <c r="CA260" s="12"/>
      <c r="EX260" s="10" t="str">
        <f t="shared" si="151"/>
        <v/>
      </c>
    </row>
    <row r="261" spans="1:154" s="67" customFormat="1" x14ac:dyDescent="0.25">
      <c r="B261" s="67" t="str">
        <f ca="1">Loans!B$20</f>
        <v>Loan 8</v>
      </c>
      <c r="D261" s="62">
        <f>Loans!D$20</f>
        <v>0</v>
      </c>
      <c r="E261" s="159" t="str">
        <f>IF(Loans!Q$20=0, "", Loans!Q$20)</f>
        <v/>
      </c>
      <c r="F261" s="10">
        <f>_xlfn.IFNA(INDEX(Parameters!$F$80:$F$83, MATCH(Loans!S20, Parameters!$D$80:$D$83,0)), 0)</f>
        <v>0</v>
      </c>
      <c r="S261" s="279"/>
      <c r="T261" s="335"/>
      <c r="U261" s="335"/>
      <c r="V261" s="136"/>
      <c r="W261" s="136"/>
      <c r="X261" s="136"/>
      <c r="Y261" s="136"/>
      <c r="AA261" s="200">
        <f t="shared" ref="AA261:BJ261" si="161">IF(OR($F261=0,AA192=0), 0, IF(OR(AA192=1,  MOD(AA192,$F261)=0, AA123=1), 1, 0))</f>
        <v>0</v>
      </c>
      <c r="AB261" s="200">
        <f t="shared" si="161"/>
        <v>0</v>
      </c>
      <c r="AC261" s="200">
        <f t="shared" si="161"/>
        <v>0</v>
      </c>
      <c r="AD261" s="200">
        <f t="shared" si="161"/>
        <v>0</v>
      </c>
      <c r="AE261" s="200">
        <f t="shared" si="161"/>
        <v>0</v>
      </c>
      <c r="AF261" s="200">
        <f t="shared" si="161"/>
        <v>0</v>
      </c>
      <c r="AG261" s="200">
        <f t="shared" si="161"/>
        <v>0</v>
      </c>
      <c r="AH261" s="200">
        <f t="shared" si="161"/>
        <v>0</v>
      </c>
      <c r="AI261" s="200">
        <f t="shared" si="161"/>
        <v>0</v>
      </c>
      <c r="AJ261" s="200">
        <f t="shared" si="161"/>
        <v>0</v>
      </c>
      <c r="AK261" s="200">
        <f t="shared" si="161"/>
        <v>0</v>
      </c>
      <c r="AL261" s="200">
        <f t="shared" si="161"/>
        <v>0</v>
      </c>
      <c r="AM261" s="200">
        <f t="shared" si="161"/>
        <v>0</v>
      </c>
      <c r="AN261" s="200">
        <f t="shared" si="161"/>
        <v>0</v>
      </c>
      <c r="AO261" s="200">
        <f t="shared" si="161"/>
        <v>0</v>
      </c>
      <c r="AP261" s="200">
        <f t="shared" si="161"/>
        <v>0</v>
      </c>
      <c r="AQ261" s="200">
        <f t="shared" si="161"/>
        <v>0</v>
      </c>
      <c r="AR261" s="200">
        <f t="shared" si="161"/>
        <v>0</v>
      </c>
      <c r="AS261" s="200">
        <f t="shared" si="161"/>
        <v>0</v>
      </c>
      <c r="AT261" s="200">
        <f t="shared" si="161"/>
        <v>0</v>
      </c>
      <c r="AU261" s="200">
        <f t="shared" si="161"/>
        <v>0</v>
      </c>
      <c r="AV261" s="200">
        <f t="shared" si="161"/>
        <v>0</v>
      </c>
      <c r="AW261" s="200">
        <f t="shared" si="161"/>
        <v>0</v>
      </c>
      <c r="AX261" s="200">
        <f t="shared" si="161"/>
        <v>0</v>
      </c>
      <c r="AY261" s="200">
        <f t="shared" si="161"/>
        <v>0</v>
      </c>
      <c r="AZ261" s="200">
        <f t="shared" si="161"/>
        <v>0</v>
      </c>
      <c r="BA261" s="200">
        <f t="shared" si="161"/>
        <v>0</v>
      </c>
      <c r="BB261" s="200">
        <f t="shared" si="161"/>
        <v>0</v>
      </c>
      <c r="BC261" s="200">
        <f t="shared" si="161"/>
        <v>0</v>
      </c>
      <c r="BD261" s="200">
        <f t="shared" si="161"/>
        <v>0</v>
      </c>
      <c r="BE261" s="200">
        <f t="shared" si="161"/>
        <v>0</v>
      </c>
      <c r="BF261" s="200">
        <f t="shared" si="161"/>
        <v>0</v>
      </c>
      <c r="BG261" s="200">
        <f t="shared" si="161"/>
        <v>0</v>
      </c>
      <c r="BH261" s="200">
        <f t="shared" si="161"/>
        <v>0</v>
      </c>
      <c r="BI261" s="200">
        <f t="shared" si="161"/>
        <v>0</v>
      </c>
      <c r="BJ261" s="200">
        <f t="shared" si="161"/>
        <v>0</v>
      </c>
      <c r="BL261" s="136"/>
      <c r="BM261" s="136"/>
      <c r="BN261" s="136"/>
      <c r="BO261" s="136"/>
      <c r="BP261" s="136"/>
      <c r="BQ261" s="136"/>
      <c r="BR261" s="136"/>
      <c r="BS261" s="136"/>
      <c r="BT261" s="136"/>
      <c r="BU261" s="136"/>
      <c r="BV261" s="136"/>
      <c r="BW261" s="136"/>
      <c r="BY261" s="12"/>
      <c r="CA261" s="12"/>
      <c r="EX261" s="10" t="str">
        <f t="shared" si="151"/>
        <v/>
      </c>
    </row>
    <row r="262" spans="1:154" s="67" customFormat="1" x14ac:dyDescent="0.25">
      <c r="B262" s="67" t="str">
        <f ca="1">Loans!B$21</f>
        <v>Loan 9</v>
      </c>
      <c r="D262" s="62">
        <f>Loans!D$21</f>
        <v>0</v>
      </c>
      <c r="E262" s="159" t="str">
        <f>IF(Loans!Q$21=0, "", Loans!Q$21)</f>
        <v/>
      </c>
      <c r="F262" s="10">
        <f>_xlfn.IFNA(INDEX(Parameters!$F$80:$F$83, MATCH(Loans!S21, Parameters!$D$80:$D$83,0)), 0)</f>
        <v>0</v>
      </c>
      <c r="S262" s="279"/>
      <c r="T262" s="335"/>
      <c r="U262" s="335"/>
      <c r="V262" s="136"/>
      <c r="W262" s="136"/>
      <c r="X262" s="136"/>
      <c r="Y262" s="136"/>
      <c r="AA262" s="200">
        <f t="shared" ref="AA262:BJ262" si="162">IF(OR($F262=0,AA193=0), 0, IF(OR(AA193=1,  MOD(AA193,$F262)=0, AA124=1), 1, 0))</f>
        <v>0</v>
      </c>
      <c r="AB262" s="200">
        <f t="shared" si="162"/>
        <v>0</v>
      </c>
      <c r="AC262" s="200">
        <f t="shared" si="162"/>
        <v>0</v>
      </c>
      <c r="AD262" s="200">
        <f t="shared" si="162"/>
        <v>0</v>
      </c>
      <c r="AE262" s="200">
        <f t="shared" si="162"/>
        <v>0</v>
      </c>
      <c r="AF262" s="200">
        <f t="shared" si="162"/>
        <v>0</v>
      </c>
      <c r="AG262" s="200">
        <f t="shared" si="162"/>
        <v>0</v>
      </c>
      <c r="AH262" s="200">
        <f t="shared" si="162"/>
        <v>0</v>
      </c>
      <c r="AI262" s="200">
        <f t="shared" si="162"/>
        <v>0</v>
      </c>
      <c r="AJ262" s="200">
        <f t="shared" si="162"/>
        <v>0</v>
      </c>
      <c r="AK262" s="200">
        <f t="shared" si="162"/>
        <v>0</v>
      </c>
      <c r="AL262" s="200">
        <f t="shared" si="162"/>
        <v>0</v>
      </c>
      <c r="AM262" s="200">
        <f t="shared" si="162"/>
        <v>0</v>
      </c>
      <c r="AN262" s="200">
        <f t="shared" si="162"/>
        <v>0</v>
      </c>
      <c r="AO262" s="200">
        <f t="shared" si="162"/>
        <v>0</v>
      </c>
      <c r="AP262" s="200">
        <f t="shared" si="162"/>
        <v>0</v>
      </c>
      <c r="AQ262" s="200">
        <f t="shared" si="162"/>
        <v>0</v>
      </c>
      <c r="AR262" s="200">
        <f t="shared" si="162"/>
        <v>0</v>
      </c>
      <c r="AS262" s="200">
        <f t="shared" si="162"/>
        <v>0</v>
      </c>
      <c r="AT262" s="200">
        <f t="shared" si="162"/>
        <v>0</v>
      </c>
      <c r="AU262" s="200">
        <f t="shared" si="162"/>
        <v>0</v>
      </c>
      <c r="AV262" s="200">
        <f t="shared" si="162"/>
        <v>0</v>
      </c>
      <c r="AW262" s="200">
        <f t="shared" si="162"/>
        <v>0</v>
      </c>
      <c r="AX262" s="200">
        <f t="shared" si="162"/>
        <v>0</v>
      </c>
      <c r="AY262" s="200">
        <f t="shared" si="162"/>
        <v>0</v>
      </c>
      <c r="AZ262" s="200">
        <f t="shared" si="162"/>
        <v>0</v>
      </c>
      <c r="BA262" s="200">
        <f t="shared" si="162"/>
        <v>0</v>
      </c>
      <c r="BB262" s="200">
        <f t="shared" si="162"/>
        <v>0</v>
      </c>
      <c r="BC262" s="200">
        <f t="shared" si="162"/>
        <v>0</v>
      </c>
      <c r="BD262" s="200">
        <f t="shared" si="162"/>
        <v>0</v>
      </c>
      <c r="BE262" s="200">
        <f t="shared" si="162"/>
        <v>0</v>
      </c>
      <c r="BF262" s="200">
        <f t="shared" si="162"/>
        <v>0</v>
      </c>
      <c r="BG262" s="200">
        <f t="shared" si="162"/>
        <v>0</v>
      </c>
      <c r="BH262" s="200">
        <f t="shared" si="162"/>
        <v>0</v>
      </c>
      <c r="BI262" s="200">
        <f t="shared" si="162"/>
        <v>0</v>
      </c>
      <c r="BJ262" s="200">
        <f t="shared" si="162"/>
        <v>0</v>
      </c>
      <c r="BL262" s="136"/>
      <c r="BM262" s="136"/>
      <c r="BN262" s="136"/>
      <c r="BO262" s="136"/>
      <c r="BP262" s="136"/>
      <c r="BQ262" s="136"/>
      <c r="BR262" s="136"/>
      <c r="BS262" s="136"/>
      <c r="BT262" s="136"/>
      <c r="BU262" s="136"/>
      <c r="BV262" s="136"/>
      <c r="BW262" s="136"/>
      <c r="BY262" s="12"/>
      <c r="CA262" s="12"/>
      <c r="EX262" s="10" t="str">
        <f t="shared" si="151"/>
        <v/>
      </c>
    </row>
    <row r="263" spans="1:154" s="67" customFormat="1" x14ac:dyDescent="0.25">
      <c r="B263" s="67" t="str">
        <f ca="1">Loans!B$22</f>
        <v>Loan 10</v>
      </c>
      <c r="D263" s="62">
        <f>Loans!D$22</f>
        <v>0</v>
      </c>
      <c r="E263" s="159" t="str">
        <f>IF(Loans!Q$22=0, "", Loans!Q$22)</f>
        <v/>
      </c>
      <c r="F263" s="10">
        <f>_xlfn.IFNA(INDEX(Parameters!$F$80:$F$83, MATCH(Loans!S22, Parameters!$D$80:$D$83,0)), 0)</f>
        <v>0</v>
      </c>
      <c r="S263" s="279"/>
      <c r="T263" s="335"/>
      <c r="U263" s="335"/>
      <c r="V263" s="136"/>
      <c r="W263" s="136"/>
      <c r="X263" s="136"/>
      <c r="Y263" s="136"/>
      <c r="AA263" s="200">
        <f t="shared" ref="AA263:BJ263" si="163">IF(OR($F263=0,AA194=0), 0, IF(OR(AA194=1,  MOD(AA194,$F263)=0, AA125=1), 1, 0))</f>
        <v>0</v>
      </c>
      <c r="AB263" s="200">
        <f t="shared" si="163"/>
        <v>0</v>
      </c>
      <c r="AC263" s="200">
        <f t="shared" si="163"/>
        <v>0</v>
      </c>
      <c r="AD263" s="200">
        <f t="shared" si="163"/>
        <v>0</v>
      </c>
      <c r="AE263" s="200">
        <f t="shared" si="163"/>
        <v>0</v>
      </c>
      <c r="AF263" s="200">
        <f t="shared" si="163"/>
        <v>0</v>
      </c>
      <c r="AG263" s="200">
        <f t="shared" si="163"/>
        <v>0</v>
      </c>
      <c r="AH263" s="200">
        <f t="shared" si="163"/>
        <v>0</v>
      </c>
      <c r="AI263" s="200">
        <f t="shared" si="163"/>
        <v>0</v>
      </c>
      <c r="AJ263" s="200">
        <f t="shared" si="163"/>
        <v>0</v>
      </c>
      <c r="AK263" s="200">
        <f t="shared" si="163"/>
        <v>0</v>
      </c>
      <c r="AL263" s="200">
        <f t="shared" si="163"/>
        <v>0</v>
      </c>
      <c r="AM263" s="200">
        <f t="shared" si="163"/>
        <v>0</v>
      </c>
      <c r="AN263" s="200">
        <f t="shared" si="163"/>
        <v>0</v>
      </c>
      <c r="AO263" s="200">
        <f t="shared" si="163"/>
        <v>0</v>
      </c>
      <c r="AP263" s="200">
        <f t="shared" si="163"/>
        <v>0</v>
      </c>
      <c r="AQ263" s="200">
        <f t="shared" si="163"/>
        <v>0</v>
      </c>
      <c r="AR263" s="200">
        <f t="shared" si="163"/>
        <v>0</v>
      </c>
      <c r="AS263" s="200">
        <f t="shared" si="163"/>
        <v>0</v>
      </c>
      <c r="AT263" s="200">
        <f t="shared" si="163"/>
        <v>0</v>
      </c>
      <c r="AU263" s="200">
        <f t="shared" si="163"/>
        <v>0</v>
      </c>
      <c r="AV263" s="200">
        <f t="shared" si="163"/>
        <v>0</v>
      </c>
      <c r="AW263" s="200">
        <f t="shared" si="163"/>
        <v>0</v>
      </c>
      <c r="AX263" s="200">
        <f t="shared" si="163"/>
        <v>0</v>
      </c>
      <c r="AY263" s="200">
        <f t="shared" si="163"/>
        <v>0</v>
      </c>
      <c r="AZ263" s="200">
        <f t="shared" si="163"/>
        <v>0</v>
      </c>
      <c r="BA263" s="200">
        <f t="shared" si="163"/>
        <v>0</v>
      </c>
      <c r="BB263" s="200">
        <f t="shared" si="163"/>
        <v>0</v>
      </c>
      <c r="BC263" s="200">
        <f t="shared" si="163"/>
        <v>0</v>
      </c>
      <c r="BD263" s="200">
        <f t="shared" si="163"/>
        <v>0</v>
      </c>
      <c r="BE263" s="200">
        <f t="shared" si="163"/>
        <v>0</v>
      </c>
      <c r="BF263" s="200">
        <f t="shared" si="163"/>
        <v>0</v>
      </c>
      <c r="BG263" s="200">
        <f t="shared" si="163"/>
        <v>0</v>
      </c>
      <c r="BH263" s="200">
        <f t="shared" si="163"/>
        <v>0</v>
      </c>
      <c r="BI263" s="200">
        <f t="shared" si="163"/>
        <v>0</v>
      </c>
      <c r="BJ263" s="200">
        <f t="shared" si="163"/>
        <v>0</v>
      </c>
      <c r="BL263" s="136"/>
      <c r="BM263" s="136"/>
      <c r="BN263" s="136"/>
      <c r="BO263" s="136"/>
      <c r="BP263" s="136"/>
      <c r="BQ263" s="136"/>
      <c r="BR263" s="136"/>
      <c r="BS263" s="136"/>
      <c r="BT263" s="136"/>
      <c r="BU263" s="136"/>
      <c r="BV263" s="136"/>
      <c r="BW263" s="136"/>
      <c r="BY263" s="12"/>
      <c r="CA263" s="12"/>
      <c r="EX263" s="10" t="str">
        <f t="shared" si="151"/>
        <v/>
      </c>
    </row>
    <row r="264" spans="1:154" s="67" customFormat="1" x14ac:dyDescent="0.25">
      <c r="B264" s="67" t="str">
        <f ca="1">Loans!B$23</f>
        <v>Loan 11</v>
      </c>
      <c r="D264" s="62">
        <f>Loans!D$23</f>
        <v>0</v>
      </c>
      <c r="E264" s="159" t="str">
        <f>IF(Loans!Q$23=0, "", Loans!Q$23)</f>
        <v/>
      </c>
      <c r="F264" s="10">
        <f>_xlfn.IFNA(INDEX(Parameters!$F$80:$F$83, MATCH(Loans!S23, Parameters!$D$80:$D$83,0)), 0)</f>
        <v>0</v>
      </c>
      <c r="S264" s="279"/>
      <c r="T264" s="335"/>
      <c r="U264" s="335"/>
      <c r="V264" s="136"/>
      <c r="W264" s="136"/>
      <c r="X264" s="136"/>
      <c r="Y264" s="136"/>
      <c r="AA264" s="200">
        <f t="shared" ref="AA264:BJ264" si="164">IF(OR($F264=0,AA195=0), 0, IF(OR(AA195=1,  MOD(AA195,$F264)=0, AA126=1), 1, 0))</f>
        <v>0</v>
      </c>
      <c r="AB264" s="200">
        <f t="shared" si="164"/>
        <v>0</v>
      </c>
      <c r="AC264" s="200">
        <f t="shared" si="164"/>
        <v>0</v>
      </c>
      <c r="AD264" s="200">
        <f t="shared" si="164"/>
        <v>0</v>
      </c>
      <c r="AE264" s="200">
        <f t="shared" si="164"/>
        <v>0</v>
      </c>
      <c r="AF264" s="200">
        <f t="shared" si="164"/>
        <v>0</v>
      </c>
      <c r="AG264" s="200">
        <f t="shared" si="164"/>
        <v>0</v>
      </c>
      <c r="AH264" s="200">
        <f t="shared" si="164"/>
        <v>0</v>
      </c>
      <c r="AI264" s="200">
        <f t="shared" si="164"/>
        <v>0</v>
      </c>
      <c r="AJ264" s="200">
        <f t="shared" si="164"/>
        <v>0</v>
      </c>
      <c r="AK264" s="200">
        <f t="shared" si="164"/>
        <v>0</v>
      </c>
      <c r="AL264" s="200">
        <f t="shared" si="164"/>
        <v>0</v>
      </c>
      <c r="AM264" s="200">
        <f t="shared" si="164"/>
        <v>0</v>
      </c>
      <c r="AN264" s="200">
        <f t="shared" si="164"/>
        <v>0</v>
      </c>
      <c r="AO264" s="200">
        <f t="shared" si="164"/>
        <v>0</v>
      </c>
      <c r="AP264" s="200">
        <f t="shared" si="164"/>
        <v>0</v>
      </c>
      <c r="AQ264" s="200">
        <f t="shared" si="164"/>
        <v>0</v>
      </c>
      <c r="AR264" s="200">
        <f t="shared" si="164"/>
        <v>0</v>
      </c>
      <c r="AS264" s="200">
        <f t="shared" si="164"/>
        <v>0</v>
      </c>
      <c r="AT264" s="200">
        <f t="shared" si="164"/>
        <v>0</v>
      </c>
      <c r="AU264" s="200">
        <f t="shared" si="164"/>
        <v>0</v>
      </c>
      <c r="AV264" s="200">
        <f t="shared" si="164"/>
        <v>0</v>
      </c>
      <c r="AW264" s="200">
        <f t="shared" si="164"/>
        <v>0</v>
      </c>
      <c r="AX264" s="200">
        <f t="shared" si="164"/>
        <v>0</v>
      </c>
      <c r="AY264" s="200">
        <f t="shared" si="164"/>
        <v>0</v>
      </c>
      <c r="AZ264" s="200">
        <f t="shared" si="164"/>
        <v>0</v>
      </c>
      <c r="BA264" s="200">
        <f t="shared" si="164"/>
        <v>0</v>
      </c>
      <c r="BB264" s="200">
        <f t="shared" si="164"/>
        <v>0</v>
      </c>
      <c r="BC264" s="200">
        <f t="shared" si="164"/>
        <v>0</v>
      </c>
      <c r="BD264" s="200">
        <f t="shared" si="164"/>
        <v>0</v>
      </c>
      <c r="BE264" s="200">
        <f t="shared" si="164"/>
        <v>0</v>
      </c>
      <c r="BF264" s="200">
        <f t="shared" si="164"/>
        <v>0</v>
      </c>
      <c r="BG264" s="200">
        <f t="shared" si="164"/>
        <v>0</v>
      </c>
      <c r="BH264" s="200">
        <f t="shared" si="164"/>
        <v>0</v>
      </c>
      <c r="BI264" s="200">
        <f t="shared" si="164"/>
        <v>0</v>
      </c>
      <c r="BJ264" s="200">
        <f t="shared" si="164"/>
        <v>0</v>
      </c>
      <c r="BL264" s="136"/>
      <c r="BM264" s="136"/>
      <c r="BN264" s="136"/>
      <c r="BO264" s="136"/>
      <c r="BP264" s="136"/>
      <c r="BQ264" s="136"/>
      <c r="BR264" s="136"/>
      <c r="BS264" s="136"/>
      <c r="BT264" s="136"/>
      <c r="BU264" s="136"/>
      <c r="BV264" s="136"/>
      <c r="BW264" s="136"/>
      <c r="BY264" s="12"/>
      <c r="CA264" s="12"/>
      <c r="EX264" s="10" t="str">
        <f t="shared" si="151"/>
        <v/>
      </c>
    </row>
    <row r="265" spans="1:154" s="67" customFormat="1" x14ac:dyDescent="0.25">
      <c r="B265" s="67" t="str">
        <f ca="1">Loans!B$24</f>
        <v>Loan 12</v>
      </c>
      <c r="D265" s="62">
        <f>Loans!D$24</f>
        <v>0</v>
      </c>
      <c r="E265" s="159" t="str">
        <f>IF(Loans!Q$24=0, "", Loans!Q$24)</f>
        <v/>
      </c>
      <c r="F265" s="10">
        <f>_xlfn.IFNA(INDEX(Parameters!$F$80:$F$83, MATCH(Loans!S24, Parameters!$D$80:$D$83,0)), 0)</f>
        <v>0</v>
      </c>
      <c r="S265" s="279"/>
      <c r="T265" s="335"/>
      <c r="U265" s="335"/>
      <c r="V265" s="136"/>
      <c r="W265" s="136"/>
      <c r="X265" s="136"/>
      <c r="Y265" s="136"/>
      <c r="AA265" s="200">
        <f t="shared" ref="AA265:BJ265" si="165">IF(OR($F265=0,AA196=0), 0, IF(OR(AA196=1,  MOD(AA196,$F265)=0, AA127=1), 1, 0))</f>
        <v>0</v>
      </c>
      <c r="AB265" s="200">
        <f t="shared" si="165"/>
        <v>0</v>
      </c>
      <c r="AC265" s="200">
        <f t="shared" si="165"/>
        <v>0</v>
      </c>
      <c r="AD265" s="200">
        <f t="shared" si="165"/>
        <v>0</v>
      </c>
      <c r="AE265" s="200">
        <f t="shared" si="165"/>
        <v>0</v>
      </c>
      <c r="AF265" s="200">
        <f t="shared" si="165"/>
        <v>0</v>
      </c>
      <c r="AG265" s="200">
        <f t="shared" si="165"/>
        <v>0</v>
      </c>
      <c r="AH265" s="200">
        <f t="shared" si="165"/>
        <v>0</v>
      </c>
      <c r="AI265" s="200">
        <f t="shared" si="165"/>
        <v>0</v>
      </c>
      <c r="AJ265" s="200">
        <f t="shared" si="165"/>
        <v>0</v>
      </c>
      <c r="AK265" s="200">
        <f t="shared" si="165"/>
        <v>0</v>
      </c>
      <c r="AL265" s="200">
        <f t="shared" si="165"/>
        <v>0</v>
      </c>
      <c r="AM265" s="200">
        <f t="shared" si="165"/>
        <v>0</v>
      </c>
      <c r="AN265" s="200">
        <f t="shared" si="165"/>
        <v>0</v>
      </c>
      <c r="AO265" s="200">
        <f t="shared" si="165"/>
        <v>0</v>
      </c>
      <c r="AP265" s="200">
        <f t="shared" si="165"/>
        <v>0</v>
      </c>
      <c r="AQ265" s="200">
        <f t="shared" si="165"/>
        <v>0</v>
      </c>
      <c r="AR265" s="200">
        <f t="shared" si="165"/>
        <v>0</v>
      </c>
      <c r="AS265" s="200">
        <f t="shared" si="165"/>
        <v>0</v>
      </c>
      <c r="AT265" s="200">
        <f t="shared" si="165"/>
        <v>0</v>
      </c>
      <c r="AU265" s="200">
        <f t="shared" si="165"/>
        <v>0</v>
      </c>
      <c r="AV265" s="200">
        <f t="shared" si="165"/>
        <v>0</v>
      </c>
      <c r="AW265" s="200">
        <f t="shared" si="165"/>
        <v>0</v>
      </c>
      <c r="AX265" s="200">
        <f t="shared" si="165"/>
        <v>0</v>
      </c>
      <c r="AY265" s="200">
        <f t="shared" si="165"/>
        <v>0</v>
      </c>
      <c r="AZ265" s="200">
        <f t="shared" si="165"/>
        <v>0</v>
      </c>
      <c r="BA265" s="200">
        <f t="shared" si="165"/>
        <v>0</v>
      </c>
      <c r="BB265" s="200">
        <f t="shared" si="165"/>
        <v>0</v>
      </c>
      <c r="BC265" s="200">
        <f t="shared" si="165"/>
        <v>0</v>
      </c>
      <c r="BD265" s="200">
        <f t="shared" si="165"/>
        <v>0</v>
      </c>
      <c r="BE265" s="200">
        <f t="shared" si="165"/>
        <v>0</v>
      </c>
      <c r="BF265" s="200">
        <f t="shared" si="165"/>
        <v>0</v>
      </c>
      <c r="BG265" s="200">
        <f t="shared" si="165"/>
        <v>0</v>
      </c>
      <c r="BH265" s="200">
        <f t="shared" si="165"/>
        <v>0</v>
      </c>
      <c r="BI265" s="200">
        <f t="shared" si="165"/>
        <v>0</v>
      </c>
      <c r="BJ265" s="200">
        <f t="shared" si="165"/>
        <v>0</v>
      </c>
      <c r="BL265" s="136"/>
      <c r="BM265" s="136"/>
      <c r="BN265" s="136"/>
      <c r="BO265" s="136"/>
      <c r="BP265" s="136"/>
      <c r="BQ265" s="136"/>
      <c r="BR265" s="136"/>
      <c r="BS265" s="136"/>
      <c r="BT265" s="136"/>
      <c r="BU265" s="136"/>
      <c r="BV265" s="136"/>
      <c r="BW265" s="136"/>
      <c r="BY265" s="12"/>
      <c r="CA265" s="12"/>
      <c r="EX265" s="10" t="str">
        <f t="shared" si="151"/>
        <v/>
      </c>
    </row>
    <row r="266" spans="1:154" s="67" customFormat="1" x14ac:dyDescent="0.25">
      <c r="B266" s="67" t="str">
        <f ca="1">Loans!B$25</f>
        <v>Loan 13</v>
      </c>
      <c r="D266" s="62">
        <f>Loans!D$25</f>
        <v>0</v>
      </c>
      <c r="E266" s="159" t="str">
        <f>IF(Loans!Q$25=0, "", Loans!Q$25)</f>
        <v/>
      </c>
      <c r="F266" s="10">
        <f>_xlfn.IFNA(INDEX(Parameters!$F$80:$F$83, MATCH(Loans!S25, Parameters!$D$80:$D$83,0)), 0)</f>
        <v>0</v>
      </c>
      <c r="S266" s="279"/>
      <c r="T266" s="335"/>
      <c r="U266" s="335"/>
      <c r="V266" s="136"/>
      <c r="W266" s="136"/>
      <c r="X266" s="136"/>
      <c r="Y266" s="136"/>
      <c r="AA266" s="200">
        <f t="shared" ref="AA266:BJ266" si="166">IF(OR($F266=0,AA197=0), 0, IF(OR(AA197=1,  MOD(AA197,$F266)=0, AA128=1), 1, 0))</f>
        <v>0</v>
      </c>
      <c r="AB266" s="200">
        <f t="shared" si="166"/>
        <v>0</v>
      </c>
      <c r="AC266" s="200">
        <f t="shared" si="166"/>
        <v>0</v>
      </c>
      <c r="AD266" s="200">
        <f t="shared" si="166"/>
        <v>0</v>
      </c>
      <c r="AE266" s="200">
        <f t="shared" si="166"/>
        <v>0</v>
      </c>
      <c r="AF266" s="200">
        <f t="shared" si="166"/>
        <v>0</v>
      </c>
      <c r="AG266" s="200">
        <f t="shared" si="166"/>
        <v>0</v>
      </c>
      <c r="AH266" s="200">
        <f t="shared" si="166"/>
        <v>0</v>
      </c>
      <c r="AI266" s="200">
        <f t="shared" si="166"/>
        <v>0</v>
      </c>
      <c r="AJ266" s="200">
        <f t="shared" si="166"/>
        <v>0</v>
      </c>
      <c r="AK266" s="200">
        <f t="shared" si="166"/>
        <v>0</v>
      </c>
      <c r="AL266" s="200">
        <f t="shared" si="166"/>
        <v>0</v>
      </c>
      <c r="AM266" s="200">
        <f t="shared" si="166"/>
        <v>0</v>
      </c>
      <c r="AN266" s="200">
        <f t="shared" si="166"/>
        <v>0</v>
      </c>
      <c r="AO266" s="200">
        <f t="shared" si="166"/>
        <v>0</v>
      </c>
      <c r="AP266" s="200">
        <f t="shared" si="166"/>
        <v>0</v>
      </c>
      <c r="AQ266" s="200">
        <f t="shared" si="166"/>
        <v>0</v>
      </c>
      <c r="AR266" s="200">
        <f t="shared" si="166"/>
        <v>0</v>
      </c>
      <c r="AS266" s="200">
        <f t="shared" si="166"/>
        <v>0</v>
      </c>
      <c r="AT266" s="200">
        <f t="shared" si="166"/>
        <v>0</v>
      </c>
      <c r="AU266" s="200">
        <f t="shared" si="166"/>
        <v>0</v>
      </c>
      <c r="AV266" s="200">
        <f t="shared" si="166"/>
        <v>0</v>
      </c>
      <c r="AW266" s="200">
        <f t="shared" si="166"/>
        <v>0</v>
      </c>
      <c r="AX266" s="200">
        <f t="shared" si="166"/>
        <v>0</v>
      </c>
      <c r="AY266" s="200">
        <f t="shared" si="166"/>
        <v>0</v>
      </c>
      <c r="AZ266" s="200">
        <f t="shared" si="166"/>
        <v>0</v>
      </c>
      <c r="BA266" s="200">
        <f t="shared" si="166"/>
        <v>0</v>
      </c>
      <c r="BB266" s="200">
        <f t="shared" si="166"/>
        <v>0</v>
      </c>
      <c r="BC266" s="200">
        <f t="shared" si="166"/>
        <v>0</v>
      </c>
      <c r="BD266" s="200">
        <f t="shared" si="166"/>
        <v>0</v>
      </c>
      <c r="BE266" s="200">
        <f t="shared" si="166"/>
        <v>0</v>
      </c>
      <c r="BF266" s="200">
        <f t="shared" si="166"/>
        <v>0</v>
      </c>
      <c r="BG266" s="200">
        <f t="shared" si="166"/>
        <v>0</v>
      </c>
      <c r="BH266" s="200">
        <f t="shared" si="166"/>
        <v>0</v>
      </c>
      <c r="BI266" s="200">
        <f t="shared" si="166"/>
        <v>0</v>
      </c>
      <c r="BJ266" s="200">
        <f t="shared" si="166"/>
        <v>0</v>
      </c>
      <c r="BL266" s="136"/>
      <c r="BM266" s="136"/>
      <c r="BN266" s="136"/>
      <c r="BO266" s="136"/>
      <c r="BP266" s="136"/>
      <c r="BQ266" s="136"/>
      <c r="BR266" s="136"/>
      <c r="BS266" s="136"/>
      <c r="BT266" s="136"/>
      <c r="BU266" s="136"/>
      <c r="BV266" s="136"/>
      <c r="BW266" s="136"/>
      <c r="BY266" s="12"/>
      <c r="CA266" s="12"/>
      <c r="EX266" s="10" t="str">
        <f t="shared" ref="EX266:EX329" si="167">IF($C266="","",$D266)</f>
        <v/>
      </c>
    </row>
    <row r="267" spans="1:154" s="67" customFormat="1" x14ac:dyDescent="0.25">
      <c r="B267" s="67" t="str">
        <f ca="1">Loans!B$26</f>
        <v>Loan 14</v>
      </c>
      <c r="D267" s="62">
        <f>Loans!D$26</f>
        <v>0</v>
      </c>
      <c r="E267" s="159" t="str">
        <f>IF(Loans!Q$26=0, "", Loans!Q$26)</f>
        <v/>
      </c>
      <c r="F267" s="10">
        <f>_xlfn.IFNA(INDEX(Parameters!$F$80:$F$83, MATCH(Loans!S26, Parameters!$D$80:$D$83,0)), 0)</f>
        <v>0</v>
      </c>
      <c r="S267" s="279"/>
      <c r="T267" s="335"/>
      <c r="U267" s="335"/>
      <c r="V267" s="136"/>
      <c r="W267" s="136"/>
      <c r="X267" s="136"/>
      <c r="Y267" s="136"/>
      <c r="AA267" s="200">
        <f t="shared" ref="AA267:BJ267" si="168">IF(OR($F267=0,AA198=0), 0, IF(OR(AA198=1,  MOD(AA198,$F267)=0, AA129=1), 1, 0))</f>
        <v>0</v>
      </c>
      <c r="AB267" s="200">
        <f t="shared" si="168"/>
        <v>0</v>
      </c>
      <c r="AC267" s="200">
        <f t="shared" si="168"/>
        <v>0</v>
      </c>
      <c r="AD267" s="200">
        <f t="shared" si="168"/>
        <v>0</v>
      </c>
      <c r="AE267" s="200">
        <f t="shared" si="168"/>
        <v>0</v>
      </c>
      <c r="AF267" s="200">
        <f t="shared" si="168"/>
        <v>0</v>
      </c>
      <c r="AG267" s="200">
        <f t="shared" si="168"/>
        <v>0</v>
      </c>
      <c r="AH267" s="200">
        <f t="shared" si="168"/>
        <v>0</v>
      </c>
      <c r="AI267" s="200">
        <f t="shared" si="168"/>
        <v>0</v>
      </c>
      <c r="AJ267" s="200">
        <f t="shared" si="168"/>
        <v>0</v>
      </c>
      <c r="AK267" s="200">
        <f t="shared" si="168"/>
        <v>0</v>
      </c>
      <c r="AL267" s="200">
        <f t="shared" si="168"/>
        <v>0</v>
      </c>
      <c r="AM267" s="200">
        <f t="shared" si="168"/>
        <v>0</v>
      </c>
      <c r="AN267" s="200">
        <f t="shared" si="168"/>
        <v>0</v>
      </c>
      <c r="AO267" s="200">
        <f t="shared" si="168"/>
        <v>0</v>
      </c>
      <c r="AP267" s="200">
        <f t="shared" si="168"/>
        <v>0</v>
      </c>
      <c r="AQ267" s="200">
        <f t="shared" si="168"/>
        <v>0</v>
      </c>
      <c r="AR267" s="200">
        <f t="shared" si="168"/>
        <v>0</v>
      </c>
      <c r="AS267" s="200">
        <f t="shared" si="168"/>
        <v>0</v>
      </c>
      <c r="AT267" s="200">
        <f t="shared" si="168"/>
        <v>0</v>
      </c>
      <c r="AU267" s="200">
        <f t="shared" si="168"/>
        <v>0</v>
      </c>
      <c r="AV267" s="200">
        <f t="shared" si="168"/>
        <v>0</v>
      </c>
      <c r="AW267" s="200">
        <f t="shared" si="168"/>
        <v>0</v>
      </c>
      <c r="AX267" s="200">
        <f t="shared" si="168"/>
        <v>0</v>
      </c>
      <c r="AY267" s="200">
        <f t="shared" si="168"/>
        <v>0</v>
      </c>
      <c r="AZ267" s="200">
        <f t="shared" si="168"/>
        <v>0</v>
      </c>
      <c r="BA267" s="200">
        <f t="shared" si="168"/>
        <v>0</v>
      </c>
      <c r="BB267" s="200">
        <f t="shared" si="168"/>
        <v>0</v>
      </c>
      <c r="BC267" s="200">
        <f t="shared" si="168"/>
        <v>0</v>
      </c>
      <c r="BD267" s="200">
        <f t="shared" si="168"/>
        <v>0</v>
      </c>
      <c r="BE267" s="200">
        <f t="shared" si="168"/>
        <v>0</v>
      </c>
      <c r="BF267" s="200">
        <f t="shared" si="168"/>
        <v>0</v>
      </c>
      <c r="BG267" s="200">
        <f t="shared" si="168"/>
        <v>0</v>
      </c>
      <c r="BH267" s="200">
        <f t="shared" si="168"/>
        <v>0</v>
      </c>
      <c r="BI267" s="200">
        <f t="shared" si="168"/>
        <v>0</v>
      </c>
      <c r="BJ267" s="200">
        <f t="shared" si="168"/>
        <v>0</v>
      </c>
      <c r="BL267" s="136"/>
      <c r="BM267" s="136"/>
      <c r="BN267" s="136"/>
      <c r="BO267" s="136"/>
      <c r="BP267" s="136"/>
      <c r="BQ267" s="136"/>
      <c r="BR267" s="136"/>
      <c r="BS267" s="136"/>
      <c r="BT267" s="136"/>
      <c r="BU267" s="136"/>
      <c r="BV267" s="136"/>
      <c r="BW267" s="136"/>
      <c r="BY267" s="12"/>
      <c r="CA267" s="12"/>
      <c r="EX267" s="10" t="str">
        <f t="shared" si="167"/>
        <v/>
      </c>
    </row>
    <row r="268" spans="1:154" s="67" customFormat="1" x14ac:dyDescent="0.25">
      <c r="B268" s="67" t="str">
        <f ca="1">Loans!B$27</f>
        <v>Loan 15</v>
      </c>
      <c r="D268" s="62">
        <f>Loans!D$27</f>
        <v>0</v>
      </c>
      <c r="E268" s="159" t="str">
        <f>IF(Loans!Q$27=0, "", Loans!Q$27)</f>
        <v/>
      </c>
      <c r="F268" s="10">
        <f>_xlfn.IFNA(INDEX(Parameters!$F$80:$F$83, MATCH(Loans!S27, Parameters!$D$80:$D$83,0)), 0)</f>
        <v>0</v>
      </c>
      <c r="S268" s="279"/>
      <c r="T268" s="335"/>
      <c r="U268" s="335"/>
      <c r="V268" s="136"/>
      <c r="W268" s="136"/>
      <c r="X268" s="136"/>
      <c r="Y268" s="136"/>
      <c r="AA268" s="200">
        <f t="shared" ref="AA268:BJ268" si="169">IF(OR($F268=0,AA199=0), 0, IF(OR(AA199=1,  MOD(AA199,$F268)=0, AA130=1), 1, 0))</f>
        <v>0</v>
      </c>
      <c r="AB268" s="200">
        <f t="shared" si="169"/>
        <v>0</v>
      </c>
      <c r="AC268" s="200">
        <f t="shared" si="169"/>
        <v>0</v>
      </c>
      <c r="AD268" s="200">
        <f t="shared" si="169"/>
        <v>0</v>
      </c>
      <c r="AE268" s="200">
        <f t="shared" si="169"/>
        <v>0</v>
      </c>
      <c r="AF268" s="200">
        <f t="shared" si="169"/>
        <v>0</v>
      </c>
      <c r="AG268" s="200">
        <f t="shared" si="169"/>
        <v>0</v>
      </c>
      <c r="AH268" s="200">
        <f t="shared" si="169"/>
        <v>0</v>
      </c>
      <c r="AI268" s="200">
        <f t="shared" si="169"/>
        <v>0</v>
      </c>
      <c r="AJ268" s="200">
        <f t="shared" si="169"/>
        <v>0</v>
      </c>
      <c r="AK268" s="200">
        <f t="shared" si="169"/>
        <v>0</v>
      </c>
      <c r="AL268" s="200">
        <f t="shared" si="169"/>
        <v>0</v>
      </c>
      <c r="AM268" s="200">
        <f t="shared" si="169"/>
        <v>0</v>
      </c>
      <c r="AN268" s="200">
        <f t="shared" si="169"/>
        <v>0</v>
      </c>
      <c r="AO268" s="200">
        <f t="shared" si="169"/>
        <v>0</v>
      </c>
      <c r="AP268" s="200">
        <f t="shared" si="169"/>
        <v>0</v>
      </c>
      <c r="AQ268" s="200">
        <f t="shared" si="169"/>
        <v>0</v>
      </c>
      <c r="AR268" s="200">
        <f t="shared" si="169"/>
        <v>0</v>
      </c>
      <c r="AS268" s="200">
        <f t="shared" si="169"/>
        <v>0</v>
      </c>
      <c r="AT268" s="200">
        <f t="shared" si="169"/>
        <v>0</v>
      </c>
      <c r="AU268" s="200">
        <f t="shared" si="169"/>
        <v>0</v>
      </c>
      <c r="AV268" s="200">
        <f t="shared" si="169"/>
        <v>0</v>
      </c>
      <c r="AW268" s="200">
        <f t="shared" si="169"/>
        <v>0</v>
      </c>
      <c r="AX268" s="200">
        <f t="shared" si="169"/>
        <v>0</v>
      </c>
      <c r="AY268" s="200">
        <f t="shared" si="169"/>
        <v>0</v>
      </c>
      <c r="AZ268" s="200">
        <f t="shared" si="169"/>
        <v>0</v>
      </c>
      <c r="BA268" s="200">
        <f t="shared" si="169"/>
        <v>0</v>
      </c>
      <c r="BB268" s="200">
        <f t="shared" si="169"/>
        <v>0</v>
      </c>
      <c r="BC268" s="200">
        <f t="shared" si="169"/>
        <v>0</v>
      </c>
      <c r="BD268" s="200">
        <f t="shared" si="169"/>
        <v>0</v>
      </c>
      <c r="BE268" s="200">
        <f t="shared" si="169"/>
        <v>0</v>
      </c>
      <c r="BF268" s="200">
        <f t="shared" si="169"/>
        <v>0</v>
      </c>
      <c r="BG268" s="200">
        <f t="shared" si="169"/>
        <v>0</v>
      </c>
      <c r="BH268" s="200">
        <f t="shared" si="169"/>
        <v>0</v>
      </c>
      <c r="BI268" s="200">
        <f t="shared" si="169"/>
        <v>0</v>
      </c>
      <c r="BJ268" s="200">
        <f t="shared" si="169"/>
        <v>0</v>
      </c>
      <c r="BL268" s="136"/>
      <c r="BM268" s="136"/>
      <c r="BN268" s="136"/>
      <c r="BO268" s="136"/>
      <c r="BP268" s="136"/>
      <c r="BQ268" s="136"/>
      <c r="BR268" s="136"/>
      <c r="BS268" s="136"/>
      <c r="BT268" s="136"/>
      <c r="BU268" s="136"/>
      <c r="BV268" s="136"/>
      <c r="BW268" s="136"/>
      <c r="BY268" s="12"/>
      <c r="CA268" s="12"/>
      <c r="EX268" s="10" t="str">
        <f t="shared" si="167"/>
        <v/>
      </c>
    </row>
    <row r="269" spans="1:154" s="67" customFormat="1" x14ac:dyDescent="0.25">
      <c r="B269" s="67" t="str">
        <f ca="1">Loans!B$28</f>
        <v>Loan 16</v>
      </c>
      <c r="D269" s="62">
        <f>Loans!D$28</f>
        <v>0</v>
      </c>
      <c r="E269" s="159" t="str">
        <f>IF(Loans!Q$28=0, "", Loans!Q$28)</f>
        <v/>
      </c>
      <c r="F269" s="10">
        <f>_xlfn.IFNA(INDEX(Parameters!$F$80:$F$83, MATCH(Loans!S28, Parameters!$D$80:$D$83,0)), 0)</f>
        <v>0</v>
      </c>
      <c r="S269" s="279"/>
      <c r="T269" s="335"/>
      <c r="U269" s="335"/>
      <c r="V269" s="136"/>
      <c r="W269" s="136"/>
      <c r="X269" s="136"/>
      <c r="Y269" s="136"/>
      <c r="AA269" s="200">
        <f t="shared" ref="AA269:BJ269" si="170">IF(OR($F269=0,AA200=0), 0, IF(OR(AA200=1,  MOD(AA200,$F269)=0, AA131=1), 1, 0))</f>
        <v>0</v>
      </c>
      <c r="AB269" s="200">
        <f t="shared" si="170"/>
        <v>0</v>
      </c>
      <c r="AC269" s="200">
        <f t="shared" si="170"/>
        <v>0</v>
      </c>
      <c r="AD269" s="200">
        <f t="shared" si="170"/>
        <v>0</v>
      </c>
      <c r="AE269" s="200">
        <f t="shared" si="170"/>
        <v>0</v>
      </c>
      <c r="AF269" s="200">
        <f t="shared" si="170"/>
        <v>0</v>
      </c>
      <c r="AG269" s="200">
        <f t="shared" si="170"/>
        <v>0</v>
      </c>
      <c r="AH269" s="200">
        <f t="shared" si="170"/>
        <v>0</v>
      </c>
      <c r="AI269" s="200">
        <f t="shared" si="170"/>
        <v>0</v>
      </c>
      <c r="AJ269" s="200">
        <f t="shared" si="170"/>
        <v>0</v>
      </c>
      <c r="AK269" s="200">
        <f t="shared" si="170"/>
        <v>0</v>
      </c>
      <c r="AL269" s="200">
        <f t="shared" si="170"/>
        <v>0</v>
      </c>
      <c r="AM269" s="200">
        <f t="shared" si="170"/>
        <v>0</v>
      </c>
      <c r="AN269" s="200">
        <f t="shared" si="170"/>
        <v>0</v>
      </c>
      <c r="AO269" s="200">
        <f t="shared" si="170"/>
        <v>0</v>
      </c>
      <c r="AP269" s="200">
        <f t="shared" si="170"/>
        <v>0</v>
      </c>
      <c r="AQ269" s="200">
        <f t="shared" si="170"/>
        <v>0</v>
      </c>
      <c r="AR269" s="200">
        <f t="shared" si="170"/>
        <v>0</v>
      </c>
      <c r="AS269" s="200">
        <f t="shared" si="170"/>
        <v>0</v>
      </c>
      <c r="AT269" s="200">
        <f t="shared" si="170"/>
        <v>0</v>
      </c>
      <c r="AU269" s="200">
        <f t="shared" si="170"/>
        <v>0</v>
      </c>
      <c r="AV269" s="200">
        <f t="shared" si="170"/>
        <v>0</v>
      </c>
      <c r="AW269" s="200">
        <f t="shared" si="170"/>
        <v>0</v>
      </c>
      <c r="AX269" s="200">
        <f t="shared" si="170"/>
        <v>0</v>
      </c>
      <c r="AY269" s="200">
        <f t="shared" si="170"/>
        <v>0</v>
      </c>
      <c r="AZ269" s="200">
        <f t="shared" si="170"/>
        <v>0</v>
      </c>
      <c r="BA269" s="200">
        <f t="shared" si="170"/>
        <v>0</v>
      </c>
      <c r="BB269" s="200">
        <f t="shared" si="170"/>
        <v>0</v>
      </c>
      <c r="BC269" s="200">
        <f t="shared" si="170"/>
        <v>0</v>
      </c>
      <c r="BD269" s="200">
        <f t="shared" si="170"/>
        <v>0</v>
      </c>
      <c r="BE269" s="200">
        <f t="shared" si="170"/>
        <v>0</v>
      </c>
      <c r="BF269" s="200">
        <f t="shared" si="170"/>
        <v>0</v>
      </c>
      <c r="BG269" s="200">
        <f t="shared" si="170"/>
        <v>0</v>
      </c>
      <c r="BH269" s="200">
        <f t="shared" si="170"/>
        <v>0</v>
      </c>
      <c r="BI269" s="200">
        <f t="shared" si="170"/>
        <v>0</v>
      </c>
      <c r="BJ269" s="200">
        <f t="shared" si="170"/>
        <v>0</v>
      </c>
      <c r="BL269" s="136"/>
      <c r="BM269" s="136"/>
      <c r="BN269" s="136"/>
      <c r="BO269" s="136"/>
      <c r="BP269" s="136"/>
      <c r="BQ269" s="136"/>
      <c r="BR269" s="136"/>
      <c r="BS269" s="136"/>
      <c r="BT269" s="136"/>
      <c r="BU269" s="136"/>
      <c r="BV269" s="136"/>
      <c r="BW269" s="136"/>
      <c r="BY269" s="12"/>
      <c r="CA269" s="12"/>
      <c r="EX269" s="10" t="str">
        <f t="shared" si="167"/>
        <v/>
      </c>
    </row>
    <row r="270" spans="1:154" s="67" customFormat="1" x14ac:dyDescent="0.25">
      <c r="B270" s="67" t="str">
        <f ca="1">Loans!B$29</f>
        <v>Loan 17</v>
      </c>
      <c r="D270" s="62">
        <f>Loans!D$29</f>
        <v>0</v>
      </c>
      <c r="E270" s="159" t="str">
        <f>IF(Loans!Q$29=0, "", Loans!Q$29)</f>
        <v/>
      </c>
      <c r="F270" s="10">
        <f>_xlfn.IFNA(INDEX(Parameters!$F$80:$F$83, MATCH(Loans!S29, Parameters!$D$80:$D$83,0)), 0)</f>
        <v>0</v>
      </c>
      <c r="S270" s="279"/>
      <c r="T270" s="335"/>
      <c r="U270" s="335"/>
      <c r="V270" s="136"/>
      <c r="W270" s="136"/>
      <c r="X270" s="136"/>
      <c r="Y270" s="136"/>
      <c r="AA270" s="200">
        <f t="shared" ref="AA270:BJ270" si="171">IF(OR($F270=0,AA201=0), 0, IF(OR(AA201=1,  MOD(AA201,$F270)=0, AA132=1), 1, 0))</f>
        <v>0</v>
      </c>
      <c r="AB270" s="200">
        <f t="shared" si="171"/>
        <v>0</v>
      </c>
      <c r="AC270" s="200">
        <f t="shared" si="171"/>
        <v>0</v>
      </c>
      <c r="AD270" s="200">
        <f t="shared" si="171"/>
        <v>0</v>
      </c>
      <c r="AE270" s="200">
        <f t="shared" si="171"/>
        <v>0</v>
      </c>
      <c r="AF270" s="200">
        <f t="shared" si="171"/>
        <v>0</v>
      </c>
      <c r="AG270" s="200">
        <f t="shared" si="171"/>
        <v>0</v>
      </c>
      <c r="AH270" s="200">
        <f t="shared" si="171"/>
        <v>0</v>
      </c>
      <c r="AI270" s="200">
        <f t="shared" si="171"/>
        <v>0</v>
      </c>
      <c r="AJ270" s="200">
        <f t="shared" si="171"/>
        <v>0</v>
      </c>
      <c r="AK270" s="200">
        <f t="shared" si="171"/>
        <v>0</v>
      </c>
      <c r="AL270" s="200">
        <f t="shared" si="171"/>
        <v>0</v>
      </c>
      <c r="AM270" s="200">
        <f t="shared" si="171"/>
        <v>0</v>
      </c>
      <c r="AN270" s="200">
        <f t="shared" si="171"/>
        <v>0</v>
      </c>
      <c r="AO270" s="200">
        <f t="shared" si="171"/>
        <v>0</v>
      </c>
      <c r="AP270" s="200">
        <f t="shared" si="171"/>
        <v>0</v>
      </c>
      <c r="AQ270" s="200">
        <f t="shared" si="171"/>
        <v>0</v>
      </c>
      <c r="AR270" s="200">
        <f t="shared" si="171"/>
        <v>0</v>
      </c>
      <c r="AS270" s="200">
        <f t="shared" si="171"/>
        <v>0</v>
      </c>
      <c r="AT270" s="200">
        <f t="shared" si="171"/>
        <v>0</v>
      </c>
      <c r="AU270" s="200">
        <f t="shared" si="171"/>
        <v>0</v>
      </c>
      <c r="AV270" s="200">
        <f t="shared" si="171"/>
        <v>0</v>
      </c>
      <c r="AW270" s="200">
        <f t="shared" si="171"/>
        <v>0</v>
      </c>
      <c r="AX270" s="200">
        <f t="shared" si="171"/>
        <v>0</v>
      </c>
      <c r="AY270" s="200">
        <f t="shared" si="171"/>
        <v>0</v>
      </c>
      <c r="AZ270" s="200">
        <f t="shared" si="171"/>
        <v>0</v>
      </c>
      <c r="BA270" s="200">
        <f t="shared" si="171"/>
        <v>0</v>
      </c>
      <c r="BB270" s="200">
        <f t="shared" si="171"/>
        <v>0</v>
      </c>
      <c r="BC270" s="200">
        <f t="shared" si="171"/>
        <v>0</v>
      </c>
      <c r="BD270" s="200">
        <f t="shared" si="171"/>
        <v>0</v>
      </c>
      <c r="BE270" s="200">
        <f t="shared" si="171"/>
        <v>0</v>
      </c>
      <c r="BF270" s="200">
        <f t="shared" si="171"/>
        <v>0</v>
      </c>
      <c r="BG270" s="200">
        <f t="shared" si="171"/>
        <v>0</v>
      </c>
      <c r="BH270" s="200">
        <f t="shared" si="171"/>
        <v>0</v>
      </c>
      <c r="BI270" s="200">
        <f t="shared" si="171"/>
        <v>0</v>
      </c>
      <c r="BJ270" s="200">
        <f t="shared" si="171"/>
        <v>0</v>
      </c>
      <c r="BL270" s="136"/>
      <c r="BM270" s="136"/>
      <c r="BN270" s="136"/>
      <c r="BO270" s="136"/>
      <c r="BP270" s="136"/>
      <c r="BQ270" s="136"/>
      <c r="BR270" s="136"/>
      <c r="BS270" s="136"/>
      <c r="BT270" s="136"/>
      <c r="BU270" s="136"/>
      <c r="BV270" s="136"/>
      <c r="BW270" s="136"/>
      <c r="BY270" s="12"/>
      <c r="CA270" s="12"/>
      <c r="EX270" s="10" t="str">
        <f t="shared" si="167"/>
        <v/>
      </c>
    </row>
    <row r="271" spans="1:154" s="67" customFormat="1" x14ac:dyDescent="0.25">
      <c r="B271" s="67" t="str">
        <f ca="1">Loans!B$30</f>
        <v>Loan 18</v>
      </c>
      <c r="D271" s="62">
        <f>Loans!D$30</f>
        <v>0</v>
      </c>
      <c r="E271" s="159" t="str">
        <f>IF(Loans!Q$30=0, "", Loans!Q$30)</f>
        <v/>
      </c>
      <c r="F271" s="10">
        <f>_xlfn.IFNA(INDEX(Parameters!$F$80:$F$83, MATCH(Loans!S30, Parameters!$D$80:$D$83,0)), 0)</f>
        <v>0</v>
      </c>
      <c r="S271" s="279"/>
      <c r="T271" s="335"/>
      <c r="U271" s="335"/>
      <c r="V271" s="136"/>
      <c r="W271" s="136"/>
      <c r="X271" s="136"/>
      <c r="Y271" s="136"/>
      <c r="AA271" s="200">
        <f t="shared" ref="AA271:BJ271" si="172">IF(OR($F271=0,AA202=0), 0, IF(OR(AA202=1,  MOD(AA202,$F271)=0, AA133=1), 1, 0))</f>
        <v>0</v>
      </c>
      <c r="AB271" s="200">
        <f t="shared" si="172"/>
        <v>0</v>
      </c>
      <c r="AC271" s="200">
        <f t="shared" si="172"/>
        <v>0</v>
      </c>
      <c r="AD271" s="200">
        <f t="shared" si="172"/>
        <v>0</v>
      </c>
      <c r="AE271" s="200">
        <f t="shared" si="172"/>
        <v>0</v>
      </c>
      <c r="AF271" s="200">
        <f t="shared" si="172"/>
        <v>0</v>
      </c>
      <c r="AG271" s="200">
        <f t="shared" si="172"/>
        <v>0</v>
      </c>
      <c r="AH271" s="200">
        <f t="shared" si="172"/>
        <v>0</v>
      </c>
      <c r="AI271" s="200">
        <f t="shared" si="172"/>
        <v>0</v>
      </c>
      <c r="AJ271" s="200">
        <f t="shared" si="172"/>
        <v>0</v>
      </c>
      <c r="AK271" s="200">
        <f t="shared" si="172"/>
        <v>0</v>
      </c>
      <c r="AL271" s="200">
        <f t="shared" si="172"/>
        <v>0</v>
      </c>
      <c r="AM271" s="200">
        <f t="shared" si="172"/>
        <v>0</v>
      </c>
      <c r="AN271" s="200">
        <f t="shared" si="172"/>
        <v>0</v>
      </c>
      <c r="AO271" s="200">
        <f t="shared" si="172"/>
        <v>0</v>
      </c>
      <c r="AP271" s="200">
        <f t="shared" si="172"/>
        <v>0</v>
      </c>
      <c r="AQ271" s="200">
        <f t="shared" si="172"/>
        <v>0</v>
      </c>
      <c r="AR271" s="200">
        <f t="shared" si="172"/>
        <v>0</v>
      </c>
      <c r="AS271" s="200">
        <f t="shared" si="172"/>
        <v>0</v>
      </c>
      <c r="AT271" s="200">
        <f t="shared" si="172"/>
        <v>0</v>
      </c>
      <c r="AU271" s="200">
        <f t="shared" si="172"/>
        <v>0</v>
      </c>
      <c r="AV271" s="200">
        <f t="shared" si="172"/>
        <v>0</v>
      </c>
      <c r="AW271" s="200">
        <f t="shared" si="172"/>
        <v>0</v>
      </c>
      <c r="AX271" s="200">
        <f t="shared" si="172"/>
        <v>0</v>
      </c>
      <c r="AY271" s="200">
        <f t="shared" si="172"/>
        <v>0</v>
      </c>
      <c r="AZ271" s="200">
        <f t="shared" si="172"/>
        <v>0</v>
      </c>
      <c r="BA271" s="200">
        <f t="shared" si="172"/>
        <v>0</v>
      </c>
      <c r="BB271" s="200">
        <f t="shared" si="172"/>
        <v>0</v>
      </c>
      <c r="BC271" s="200">
        <f t="shared" si="172"/>
        <v>0</v>
      </c>
      <c r="BD271" s="200">
        <f t="shared" si="172"/>
        <v>0</v>
      </c>
      <c r="BE271" s="200">
        <f t="shared" si="172"/>
        <v>0</v>
      </c>
      <c r="BF271" s="200">
        <f t="shared" si="172"/>
        <v>0</v>
      </c>
      <c r="BG271" s="200">
        <f t="shared" si="172"/>
        <v>0</v>
      </c>
      <c r="BH271" s="200">
        <f t="shared" si="172"/>
        <v>0</v>
      </c>
      <c r="BI271" s="200">
        <f t="shared" si="172"/>
        <v>0</v>
      </c>
      <c r="BJ271" s="200">
        <f t="shared" si="172"/>
        <v>0</v>
      </c>
      <c r="BL271" s="136"/>
      <c r="BM271" s="136"/>
      <c r="BN271" s="136"/>
      <c r="BO271" s="136"/>
      <c r="BP271" s="136"/>
      <c r="BQ271" s="136"/>
      <c r="BR271" s="136"/>
      <c r="BS271" s="136"/>
      <c r="BT271" s="136"/>
      <c r="BU271" s="136"/>
      <c r="BV271" s="136"/>
      <c r="BW271" s="136"/>
      <c r="BY271" s="12"/>
      <c r="CA271" s="12"/>
      <c r="EX271" s="10" t="str">
        <f t="shared" si="167"/>
        <v/>
      </c>
    </row>
    <row r="272" spans="1:154" s="67" customFormat="1" x14ac:dyDescent="0.25">
      <c r="B272" s="67" t="str">
        <f ca="1">Loans!B$31</f>
        <v>Loan 19</v>
      </c>
      <c r="D272" s="62">
        <f>Loans!D$31</f>
        <v>0</v>
      </c>
      <c r="E272" s="159" t="str">
        <f>IF(Loans!Q$31=0, "", Loans!Q$31)</f>
        <v/>
      </c>
      <c r="F272" s="10">
        <f>_xlfn.IFNA(INDEX(Parameters!$F$80:$F$83, MATCH(Loans!S31, Parameters!$D$80:$D$83,0)), 0)</f>
        <v>0</v>
      </c>
      <c r="S272" s="279"/>
      <c r="T272" s="335"/>
      <c r="U272" s="335"/>
      <c r="V272" s="136"/>
      <c r="W272" s="136"/>
      <c r="X272" s="136"/>
      <c r="Y272" s="136"/>
      <c r="AA272" s="200">
        <f t="shared" ref="AA272:BJ272" si="173">IF(OR($F272=0,AA203=0), 0, IF(OR(AA203=1,  MOD(AA203,$F272)=0, AA134=1), 1, 0))</f>
        <v>0</v>
      </c>
      <c r="AB272" s="200">
        <f t="shared" si="173"/>
        <v>0</v>
      </c>
      <c r="AC272" s="200">
        <f t="shared" si="173"/>
        <v>0</v>
      </c>
      <c r="AD272" s="200">
        <f t="shared" si="173"/>
        <v>0</v>
      </c>
      <c r="AE272" s="200">
        <f t="shared" si="173"/>
        <v>0</v>
      </c>
      <c r="AF272" s="200">
        <f t="shared" si="173"/>
        <v>0</v>
      </c>
      <c r="AG272" s="200">
        <f t="shared" si="173"/>
        <v>0</v>
      </c>
      <c r="AH272" s="200">
        <f t="shared" si="173"/>
        <v>0</v>
      </c>
      <c r="AI272" s="200">
        <f t="shared" si="173"/>
        <v>0</v>
      </c>
      <c r="AJ272" s="200">
        <f t="shared" si="173"/>
        <v>0</v>
      </c>
      <c r="AK272" s="200">
        <f t="shared" si="173"/>
        <v>0</v>
      </c>
      <c r="AL272" s="200">
        <f t="shared" si="173"/>
        <v>0</v>
      </c>
      <c r="AM272" s="200">
        <f t="shared" si="173"/>
        <v>0</v>
      </c>
      <c r="AN272" s="200">
        <f t="shared" si="173"/>
        <v>0</v>
      </c>
      <c r="AO272" s="200">
        <f t="shared" si="173"/>
        <v>0</v>
      </c>
      <c r="AP272" s="200">
        <f t="shared" si="173"/>
        <v>0</v>
      </c>
      <c r="AQ272" s="200">
        <f t="shared" si="173"/>
        <v>0</v>
      </c>
      <c r="AR272" s="200">
        <f t="shared" si="173"/>
        <v>0</v>
      </c>
      <c r="AS272" s="200">
        <f t="shared" si="173"/>
        <v>0</v>
      </c>
      <c r="AT272" s="200">
        <f t="shared" si="173"/>
        <v>0</v>
      </c>
      <c r="AU272" s="200">
        <f t="shared" si="173"/>
        <v>0</v>
      </c>
      <c r="AV272" s="200">
        <f t="shared" si="173"/>
        <v>0</v>
      </c>
      <c r="AW272" s="200">
        <f t="shared" si="173"/>
        <v>0</v>
      </c>
      <c r="AX272" s="200">
        <f t="shared" si="173"/>
        <v>0</v>
      </c>
      <c r="AY272" s="200">
        <f t="shared" si="173"/>
        <v>0</v>
      </c>
      <c r="AZ272" s="200">
        <f t="shared" si="173"/>
        <v>0</v>
      </c>
      <c r="BA272" s="200">
        <f t="shared" si="173"/>
        <v>0</v>
      </c>
      <c r="BB272" s="200">
        <f t="shared" si="173"/>
        <v>0</v>
      </c>
      <c r="BC272" s="200">
        <f t="shared" si="173"/>
        <v>0</v>
      </c>
      <c r="BD272" s="200">
        <f t="shared" si="173"/>
        <v>0</v>
      </c>
      <c r="BE272" s="200">
        <f t="shared" si="173"/>
        <v>0</v>
      </c>
      <c r="BF272" s="200">
        <f t="shared" si="173"/>
        <v>0</v>
      </c>
      <c r="BG272" s="200">
        <f t="shared" si="173"/>
        <v>0</v>
      </c>
      <c r="BH272" s="200">
        <f t="shared" si="173"/>
        <v>0</v>
      </c>
      <c r="BI272" s="200">
        <f t="shared" si="173"/>
        <v>0</v>
      </c>
      <c r="BJ272" s="200">
        <f t="shared" si="173"/>
        <v>0</v>
      </c>
      <c r="BL272" s="136"/>
      <c r="BM272" s="136"/>
      <c r="BN272" s="136"/>
      <c r="BO272" s="136"/>
      <c r="BP272" s="136"/>
      <c r="BQ272" s="136"/>
      <c r="BR272" s="136"/>
      <c r="BS272" s="136"/>
      <c r="BT272" s="136"/>
      <c r="BU272" s="136"/>
      <c r="BV272" s="136"/>
      <c r="BW272" s="136"/>
      <c r="BY272" s="12"/>
      <c r="CA272" s="12"/>
      <c r="EX272" s="10" t="str">
        <f t="shared" si="167"/>
        <v/>
      </c>
    </row>
    <row r="273" spans="1:154" s="67" customFormat="1" x14ac:dyDescent="0.25">
      <c r="B273" s="67" t="str">
        <f ca="1">Loans!B$32</f>
        <v>Loan 20</v>
      </c>
      <c r="D273" s="62">
        <f>Loans!D$32</f>
        <v>0</v>
      </c>
      <c r="E273" s="159" t="str">
        <f>IF(Loans!Q$32=0, "", Loans!Q$32)</f>
        <v/>
      </c>
      <c r="F273" s="10">
        <f>_xlfn.IFNA(INDEX(Parameters!$F$80:$F$83, MATCH(Loans!S32, Parameters!$D$80:$D$83,0)), 0)</f>
        <v>0</v>
      </c>
      <c r="S273" s="279"/>
      <c r="T273" s="335"/>
      <c r="U273" s="335"/>
      <c r="V273" s="136"/>
      <c r="W273" s="136"/>
      <c r="X273" s="136"/>
      <c r="Y273" s="136"/>
      <c r="AA273" s="200">
        <f t="shared" ref="AA273:BJ273" si="174">IF(OR($F273=0,AA204=0), 0, IF(OR(AA204=1,  MOD(AA204,$F273)=0, AA135=1), 1, 0))</f>
        <v>0</v>
      </c>
      <c r="AB273" s="200">
        <f t="shared" si="174"/>
        <v>0</v>
      </c>
      <c r="AC273" s="200">
        <f t="shared" si="174"/>
        <v>0</v>
      </c>
      <c r="AD273" s="200">
        <f t="shared" si="174"/>
        <v>0</v>
      </c>
      <c r="AE273" s="200">
        <f t="shared" si="174"/>
        <v>0</v>
      </c>
      <c r="AF273" s="200">
        <f t="shared" si="174"/>
        <v>0</v>
      </c>
      <c r="AG273" s="200">
        <f t="shared" si="174"/>
        <v>0</v>
      </c>
      <c r="AH273" s="200">
        <f t="shared" si="174"/>
        <v>0</v>
      </c>
      <c r="AI273" s="200">
        <f t="shared" si="174"/>
        <v>0</v>
      </c>
      <c r="AJ273" s="200">
        <f t="shared" si="174"/>
        <v>0</v>
      </c>
      <c r="AK273" s="200">
        <f t="shared" si="174"/>
        <v>0</v>
      </c>
      <c r="AL273" s="200">
        <f t="shared" si="174"/>
        <v>0</v>
      </c>
      <c r="AM273" s="200">
        <f t="shared" si="174"/>
        <v>0</v>
      </c>
      <c r="AN273" s="200">
        <f t="shared" si="174"/>
        <v>0</v>
      </c>
      <c r="AO273" s="200">
        <f t="shared" si="174"/>
        <v>0</v>
      </c>
      <c r="AP273" s="200">
        <f t="shared" si="174"/>
        <v>0</v>
      </c>
      <c r="AQ273" s="200">
        <f t="shared" si="174"/>
        <v>0</v>
      </c>
      <c r="AR273" s="200">
        <f t="shared" si="174"/>
        <v>0</v>
      </c>
      <c r="AS273" s="200">
        <f t="shared" si="174"/>
        <v>0</v>
      </c>
      <c r="AT273" s="200">
        <f t="shared" si="174"/>
        <v>0</v>
      </c>
      <c r="AU273" s="200">
        <f t="shared" si="174"/>
        <v>0</v>
      </c>
      <c r="AV273" s="200">
        <f t="shared" si="174"/>
        <v>0</v>
      </c>
      <c r="AW273" s="200">
        <f t="shared" si="174"/>
        <v>0</v>
      </c>
      <c r="AX273" s="200">
        <f t="shared" si="174"/>
        <v>0</v>
      </c>
      <c r="AY273" s="200">
        <f t="shared" si="174"/>
        <v>0</v>
      </c>
      <c r="AZ273" s="200">
        <f t="shared" si="174"/>
        <v>0</v>
      </c>
      <c r="BA273" s="200">
        <f t="shared" si="174"/>
        <v>0</v>
      </c>
      <c r="BB273" s="200">
        <f t="shared" si="174"/>
        <v>0</v>
      </c>
      <c r="BC273" s="200">
        <f t="shared" si="174"/>
        <v>0</v>
      </c>
      <c r="BD273" s="200">
        <f t="shared" si="174"/>
        <v>0</v>
      </c>
      <c r="BE273" s="200">
        <f t="shared" si="174"/>
        <v>0</v>
      </c>
      <c r="BF273" s="200">
        <f t="shared" si="174"/>
        <v>0</v>
      </c>
      <c r="BG273" s="200">
        <f t="shared" si="174"/>
        <v>0</v>
      </c>
      <c r="BH273" s="200">
        <f t="shared" si="174"/>
        <v>0</v>
      </c>
      <c r="BI273" s="200">
        <f t="shared" si="174"/>
        <v>0</v>
      </c>
      <c r="BJ273" s="200">
        <f t="shared" si="174"/>
        <v>0</v>
      </c>
      <c r="BL273" s="136"/>
      <c r="BM273" s="136"/>
      <c r="BN273" s="136"/>
      <c r="BO273" s="136"/>
      <c r="BP273" s="136"/>
      <c r="BQ273" s="136"/>
      <c r="BR273" s="136"/>
      <c r="BS273" s="136"/>
      <c r="BT273" s="136"/>
      <c r="BU273" s="136"/>
      <c r="BV273" s="136"/>
      <c r="BW273" s="136"/>
      <c r="BY273" s="12"/>
      <c r="CA273" s="12"/>
      <c r="EX273" s="10" t="str">
        <f t="shared" si="167"/>
        <v/>
      </c>
    </row>
    <row r="274" spans="1:154" s="67" customFormat="1" ht="6.6" customHeight="1" x14ac:dyDescent="0.25">
      <c r="D274" s="1"/>
      <c r="T274" s="335"/>
      <c r="U274" s="335"/>
      <c r="BM274" s="6"/>
      <c r="BY274" s="42"/>
      <c r="CA274" s="42"/>
      <c r="EX274" s="10" t="str">
        <f t="shared" si="167"/>
        <v/>
      </c>
    </row>
    <row r="275" spans="1:154" s="67" customFormat="1" x14ac:dyDescent="0.25">
      <c r="D275" s="5" t="s">
        <v>549</v>
      </c>
      <c r="T275" s="335"/>
      <c r="U275" s="335"/>
      <c r="BY275" s="12"/>
      <c r="CA275" s="12"/>
      <c r="EX275" s="10" t="str">
        <f t="shared" si="167"/>
        <v/>
      </c>
    </row>
    <row r="276" spans="1:154" s="67" customFormat="1" x14ac:dyDescent="0.25">
      <c r="B276" s="5"/>
      <c r="D276" s="5" t="str">
        <f>Loans!D$11</f>
        <v>Lender</v>
      </c>
      <c r="T276" s="335"/>
      <c r="U276" s="335"/>
      <c r="BY276" s="12"/>
      <c r="CA276" s="12"/>
      <c r="EX276" s="10" t="str">
        <f t="shared" si="167"/>
        <v/>
      </c>
    </row>
    <row r="277" spans="1:154" s="67" customFormat="1" x14ac:dyDescent="0.25">
      <c r="B277" s="67" t="str">
        <f ca="1">Loans!B$13</f>
        <v>Loan 1</v>
      </c>
      <c r="D277" s="62" t="str">
        <f>Loans!D$13</f>
        <v>NatWest</v>
      </c>
      <c r="S277" s="279"/>
      <c r="T277" s="335"/>
      <c r="U277" s="335"/>
      <c r="V277" s="136"/>
      <c r="W277" s="136"/>
      <c r="X277" s="136"/>
      <c r="Y277" s="136"/>
      <c r="AA277" s="45">
        <f>SUM($AA254:AA254)*AA254</f>
        <v>0</v>
      </c>
      <c r="AB277" s="45">
        <f>SUM($AA254:AB254)*AB254</f>
        <v>0</v>
      </c>
      <c r="AC277" s="45">
        <f>SUM($AA254:AC254)*AC254</f>
        <v>0</v>
      </c>
      <c r="AD277" s="45">
        <f>SUM($AA254:AD254)*AD254</f>
        <v>0</v>
      </c>
      <c r="AE277" s="45">
        <f>SUM($AA254:AE254)*AE254</f>
        <v>0</v>
      </c>
      <c r="AF277" s="45">
        <f>SUM($AA254:AF254)*AF254</f>
        <v>0</v>
      </c>
      <c r="AG277" s="45">
        <f>SUM($AA254:AG254)*AG254</f>
        <v>0</v>
      </c>
      <c r="AH277" s="45">
        <f>SUM($AA254:AH254)*AH254</f>
        <v>0</v>
      </c>
      <c r="AI277" s="45">
        <f>SUM($AA254:AI254)*AI254</f>
        <v>0</v>
      </c>
      <c r="AJ277" s="45">
        <f>SUM($AA254:AJ254)*AJ254</f>
        <v>0</v>
      </c>
      <c r="AK277" s="45">
        <f>SUM($AA254:AK254)*AK254</f>
        <v>0</v>
      </c>
      <c r="AL277" s="45">
        <f>SUM($AA254:AL254)*AL254</f>
        <v>0</v>
      </c>
      <c r="AM277" s="45">
        <f>SUM($AA254:AM254)*AM254</f>
        <v>0</v>
      </c>
      <c r="AN277" s="45">
        <f>SUM($AA254:AN254)*AN254</f>
        <v>0</v>
      </c>
      <c r="AO277" s="45">
        <f>SUM($AA254:AO254)*AO254</f>
        <v>0</v>
      </c>
      <c r="AP277" s="45">
        <f>SUM($AA254:AP254)*AP254</f>
        <v>0</v>
      </c>
      <c r="AQ277" s="45">
        <f>SUM($AA254:AQ254)*AQ254</f>
        <v>0</v>
      </c>
      <c r="AR277" s="45">
        <f>SUM($AA254:AR254)*AR254</f>
        <v>0</v>
      </c>
      <c r="AS277" s="45">
        <f>SUM($AA254:AS254)*AS254</f>
        <v>0</v>
      </c>
      <c r="AT277" s="45">
        <f>SUM($AA254:AT254)*AT254</f>
        <v>0</v>
      </c>
      <c r="AU277" s="45">
        <f>SUM($AA254:AU254)*AU254</f>
        <v>0</v>
      </c>
      <c r="AV277" s="45">
        <f>SUM($AA254:AV254)*AV254</f>
        <v>0</v>
      </c>
      <c r="AW277" s="45">
        <f>SUM($AA254:AW254)*AW254</f>
        <v>0</v>
      </c>
      <c r="AX277" s="45">
        <f>SUM($AA254:AX254)*AX254</f>
        <v>0</v>
      </c>
      <c r="AY277" s="45">
        <f>SUM($AA254:AY254)*AY254</f>
        <v>0</v>
      </c>
      <c r="AZ277" s="45">
        <f>SUM($AA254:AZ254)*AZ254</f>
        <v>0</v>
      </c>
      <c r="BA277" s="45">
        <f>SUM($AA254:BA254)*BA254</f>
        <v>0</v>
      </c>
      <c r="BB277" s="45">
        <f>SUM($AA254:BB254)*BB254</f>
        <v>0</v>
      </c>
      <c r="BC277" s="45">
        <f>SUM($AA254:BC254)*BC254</f>
        <v>0</v>
      </c>
      <c r="BD277" s="45">
        <f>SUM($AA254:BD254)*BD254</f>
        <v>0</v>
      </c>
      <c r="BE277" s="45">
        <f>SUM($AA254:BE254)*BE254</f>
        <v>0</v>
      </c>
      <c r="BF277" s="45">
        <f>SUM($AA254:BF254)*BF254</f>
        <v>0</v>
      </c>
      <c r="BG277" s="45">
        <f>SUM($AA254:BG254)*BG254</f>
        <v>0</v>
      </c>
      <c r="BH277" s="45">
        <f>SUM($AA254:BH254)*BH254</f>
        <v>0</v>
      </c>
      <c r="BI277" s="45">
        <f>SUM($AA254:BI254)*BI254</f>
        <v>0</v>
      </c>
      <c r="BJ277" s="45">
        <f>SUM($AA254:BJ254)*BJ254</f>
        <v>0</v>
      </c>
      <c r="BL277" s="136"/>
      <c r="BM277" s="136"/>
      <c r="BN277" s="136"/>
      <c r="BO277" s="136"/>
      <c r="BP277" s="136"/>
      <c r="BQ277" s="136"/>
      <c r="BR277" s="136"/>
      <c r="BS277" s="136"/>
      <c r="BT277" s="136"/>
      <c r="BU277" s="136"/>
      <c r="BV277" s="136"/>
      <c r="BW277" s="136"/>
      <c r="BY277" s="12"/>
      <c r="CA277" s="12"/>
      <c r="EX277" s="10" t="str">
        <f t="shared" si="167"/>
        <v/>
      </c>
    </row>
    <row r="278" spans="1:154" s="67" customFormat="1" x14ac:dyDescent="0.25">
      <c r="B278" s="67" t="str">
        <f ca="1">Loans!B$14</f>
        <v>Loan 2</v>
      </c>
      <c r="D278" s="62" t="str">
        <f>Loans!D$14</f>
        <v>NatWest</v>
      </c>
      <c r="S278" s="279"/>
      <c r="T278" s="335"/>
      <c r="U278" s="335"/>
      <c r="V278" s="136"/>
      <c r="W278" s="136"/>
      <c r="X278" s="136"/>
      <c r="Y278" s="136"/>
      <c r="AA278" s="45">
        <f>SUM($AA255:AA255)*AA255</f>
        <v>0</v>
      </c>
      <c r="AB278" s="45">
        <f>SUM($AA255:AB255)*AB255</f>
        <v>0</v>
      </c>
      <c r="AC278" s="45">
        <f>SUM($AA255:AC255)*AC255</f>
        <v>0</v>
      </c>
      <c r="AD278" s="45">
        <f>SUM($AA255:AD255)*AD255</f>
        <v>0</v>
      </c>
      <c r="AE278" s="45">
        <f>SUM($AA255:AE255)*AE255</f>
        <v>0</v>
      </c>
      <c r="AF278" s="45">
        <f>SUM($AA255:AF255)*AF255</f>
        <v>0</v>
      </c>
      <c r="AG278" s="45">
        <f>SUM($AA255:AG255)*AG255</f>
        <v>0</v>
      </c>
      <c r="AH278" s="45">
        <f>SUM($AA255:AH255)*AH255</f>
        <v>0</v>
      </c>
      <c r="AI278" s="45">
        <f>SUM($AA255:AI255)*AI255</f>
        <v>0</v>
      </c>
      <c r="AJ278" s="45">
        <f>SUM($AA255:AJ255)*AJ255</f>
        <v>0</v>
      </c>
      <c r="AK278" s="45">
        <f>SUM($AA255:AK255)*AK255</f>
        <v>0</v>
      </c>
      <c r="AL278" s="45">
        <f>SUM($AA255:AL255)*AL255</f>
        <v>0</v>
      </c>
      <c r="AM278" s="45">
        <f>SUM($AA255:AM255)*AM255</f>
        <v>0</v>
      </c>
      <c r="AN278" s="45">
        <f>SUM($AA255:AN255)*AN255</f>
        <v>0</v>
      </c>
      <c r="AO278" s="45">
        <f>SUM($AA255:AO255)*AO255</f>
        <v>0</v>
      </c>
      <c r="AP278" s="45">
        <f>SUM($AA255:AP255)*AP255</f>
        <v>0</v>
      </c>
      <c r="AQ278" s="45">
        <f>SUM($AA255:AQ255)*AQ255</f>
        <v>0</v>
      </c>
      <c r="AR278" s="45">
        <f>SUM($AA255:AR255)*AR255</f>
        <v>0</v>
      </c>
      <c r="AS278" s="45">
        <f>SUM($AA255:AS255)*AS255</f>
        <v>0</v>
      </c>
      <c r="AT278" s="45">
        <f>SUM($AA255:AT255)*AT255</f>
        <v>0</v>
      </c>
      <c r="AU278" s="45">
        <f>SUM($AA255:AU255)*AU255</f>
        <v>0</v>
      </c>
      <c r="AV278" s="45">
        <f>SUM($AA255:AV255)*AV255</f>
        <v>0</v>
      </c>
      <c r="AW278" s="45">
        <f>SUM($AA255:AW255)*AW255</f>
        <v>0</v>
      </c>
      <c r="AX278" s="45">
        <f>SUM($AA255:AX255)*AX255</f>
        <v>0</v>
      </c>
      <c r="AY278" s="45">
        <f>SUM($AA255:AY255)*AY255</f>
        <v>0</v>
      </c>
      <c r="AZ278" s="45">
        <f>SUM($AA255:AZ255)*AZ255</f>
        <v>0</v>
      </c>
      <c r="BA278" s="45">
        <f>SUM($AA255:BA255)*BA255</f>
        <v>0</v>
      </c>
      <c r="BB278" s="45">
        <f>SUM($AA255:BB255)*BB255</f>
        <v>0</v>
      </c>
      <c r="BC278" s="45">
        <f>SUM($AA255:BC255)*BC255</f>
        <v>0</v>
      </c>
      <c r="BD278" s="45">
        <f>SUM($AA255:BD255)*BD255</f>
        <v>0</v>
      </c>
      <c r="BE278" s="45">
        <f>SUM($AA255:BE255)*BE255</f>
        <v>0</v>
      </c>
      <c r="BF278" s="45">
        <f>SUM($AA255:BF255)*BF255</f>
        <v>0</v>
      </c>
      <c r="BG278" s="45">
        <f>SUM($AA255:BG255)*BG255</f>
        <v>0</v>
      </c>
      <c r="BH278" s="45">
        <f>SUM($AA255:BH255)*BH255</f>
        <v>0</v>
      </c>
      <c r="BI278" s="45">
        <f>SUM($AA255:BI255)*BI255</f>
        <v>0</v>
      </c>
      <c r="BJ278" s="45">
        <f>SUM($AA255:BJ255)*BJ255</f>
        <v>0</v>
      </c>
      <c r="BL278" s="136"/>
      <c r="BM278" s="136"/>
      <c r="BN278" s="136"/>
      <c r="BO278" s="136"/>
      <c r="BP278" s="136"/>
      <c r="BQ278" s="136"/>
      <c r="BR278" s="136"/>
      <c r="BS278" s="136"/>
      <c r="BT278" s="136"/>
      <c r="BU278" s="136"/>
      <c r="BV278" s="136"/>
      <c r="BW278" s="136"/>
      <c r="BY278" s="12"/>
      <c r="CA278" s="12"/>
      <c r="EX278" s="10" t="str">
        <f t="shared" si="167"/>
        <v/>
      </c>
    </row>
    <row r="279" spans="1:154" s="67" customFormat="1" x14ac:dyDescent="0.25">
      <c r="B279" s="67" t="str">
        <f ca="1">Loans!B$15</f>
        <v>Loan 3</v>
      </c>
      <c r="D279" s="62" t="str">
        <f>Loans!D$15</f>
        <v>NatWest</v>
      </c>
      <c r="S279" s="279"/>
      <c r="T279" s="335"/>
      <c r="U279" s="335"/>
      <c r="V279" s="136"/>
      <c r="W279" s="136"/>
      <c r="X279" s="136"/>
      <c r="Y279" s="136"/>
      <c r="AA279" s="45">
        <f>SUM($AA256:AA256)*AA256</f>
        <v>0</v>
      </c>
      <c r="AB279" s="45">
        <f>SUM($AA256:AB256)*AB256</f>
        <v>0</v>
      </c>
      <c r="AC279" s="45">
        <f>SUM($AA256:AC256)*AC256</f>
        <v>0</v>
      </c>
      <c r="AD279" s="45">
        <f>SUM($AA256:AD256)*AD256</f>
        <v>0</v>
      </c>
      <c r="AE279" s="45">
        <f>SUM($AA256:AE256)*AE256</f>
        <v>0</v>
      </c>
      <c r="AF279" s="45">
        <f>SUM($AA256:AF256)*AF256</f>
        <v>0</v>
      </c>
      <c r="AG279" s="45">
        <f>SUM($AA256:AG256)*AG256</f>
        <v>0</v>
      </c>
      <c r="AH279" s="45">
        <f>SUM($AA256:AH256)*AH256</f>
        <v>0</v>
      </c>
      <c r="AI279" s="45">
        <f>SUM($AA256:AI256)*AI256</f>
        <v>0</v>
      </c>
      <c r="AJ279" s="45">
        <f>SUM($AA256:AJ256)*AJ256</f>
        <v>0</v>
      </c>
      <c r="AK279" s="45">
        <f>SUM($AA256:AK256)*AK256</f>
        <v>0</v>
      </c>
      <c r="AL279" s="45">
        <f>SUM($AA256:AL256)*AL256</f>
        <v>0</v>
      </c>
      <c r="AM279" s="45">
        <f>SUM($AA256:AM256)*AM256</f>
        <v>0</v>
      </c>
      <c r="AN279" s="45">
        <f>SUM($AA256:AN256)*AN256</f>
        <v>0</v>
      </c>
      <c r="AO279" s="45">
        <f>SUM($AA256:AO256)*AO256</f>
        <v>0</v>
      </c>
      <c r="AP279" s="45">
        <f>SUM($AA256:AP256)*AP256</f>
        <v>0</v>
      </c>
      <c r="AQ279" s="45">
        <f>SUM($AA256:AQ256)*AQ256</f>
        <v>0</v>
      </c>
      <c r="AR279" s="45">
        <f>SUM($AA256:AR256)*AR256</f>
        <v>0</v>
      </c>
      <c r="AS279" s="45">
        <f>SUM($AA256:AS256)*AS256</f>
        <v>0</v>
      </c>
      <c r="AT279" s="45">
        <f>SUM($AA256:AT256)*AT256</f>
        <v>0</v>
      </c>
      <c r="AU279" s="45">
        <f>SUM($AA256:AU256)*AU256</f>
        <v>0</v>
      </c>
      <c r="AV279" s="45">
        <f>SUM($AA256:AV256)*AV256</f>
        <v>0</v>
      </c>
      <c r="AW279" s="45">
        <f>SUM($AA256:AW256)*AW256</f>
        <v>0</v>
      </c>
      <c r="AX279" s="45">
        <f>SUM($AA256:AX256)*AX256</f>
        <v>0</v>
      </c>
      <c r="AY279" s="45">
        <f>SUM($AA256:AY256)*AY256</f>
        <v>0</v>
      </c>
      <c r="AZ279" s="45">
        <f>SUM($AA256:AZ256)*AZ256</f>
        <v>0</v>
      </c>
      <c r="BA279" s="45">
        <f>SUM($AA256:BA256)*BA256</f>
        <v>0</v>
      </c>
      <c r="BB279" s="45">
        <f>SUM($AA256:BB256)*BB256</f>
        <v>0</v>
      </c>
      <c r="BC279" s="45">
        <f>SUM($AA256:BC256)*BC256</f>
        <v>0</v>
      </c>
      <c r="BD279" s="45">
        <f>SUM($AA256:BD256)*BD256</f>
        <v>0</v>
      </c>
      <c r="BE279" s="45">
        <f>SUM($AA256:BE256)*BE256</f>
        <v>0</v>
      </c>
      <c r="BF279" s="45">
        <f>SUM($AA256:BF256)*BF256</f>
        <v>0</v>
      </c>
      <c r="BG279" s="45">
        <f>SUM($AA256:BG256)*BG256</f>
        <v>0</v>
      </c>
      <c r="BH279" s="45">
        <f>SUM($AA256:BH256)*BH256</f>
        <v>0</v>
      </c>
      <c r="BI279" s="45">
        <f>SUM($AA256:BI256)*BI256</f>
        <v>0</v>
      </c>
      <c r="BJ279" s="45">
        <f>SUM($AA256:BJ256)*BJ256</f>
        <v>0</v>
      </c>
      <c r="BL279" s="136"/>
      <c r="BM279" s="136"/>
      <c r="BN279" s="136"/>
      <c r="BO279" s="136"/>
      <c r="BP279" s="136"/>
      <c r="BQ279" s="136"/>
      <c r="BR279" s="136"/>
      <c r="BS279" s="136"/>
      <c r="BT279" s="136"/>
      <c r="BU279" s="136"/>
      <c r="BV279" s="136"/>
      <c r="BW279" s="136"/>
      <c r="BY279" s="12"/>
      <c r="CA279" s="12"/>
      <c r="EX279" s="10" t="str">
        <f t="shared" si="167"/>
        <v/>
      </c>
    </row>
    <row r="280" spans="1:154" s="67" customFormat="1" x14ac:dyDescent="0.25">
      <c r="B280" s="67" t="str">
        <f ca="1">Loans!B$16</f>
        <v>Loan 4</v>
      </c>
      <c r="D280" s="62" t="str">
        <f>Loans!D$16</f>
        <v>NatWest</v>
      </c>
      <c r="S280" s="279"/>
      <c r="T280" s="335"/>
      <c r="U280" s="335"/>
      <c r="V280" s="136"/>
      <c r="W280" s="136"/>
      <c r="X280" s="136"/>
      <c r="Y280" s="136"/>
      <c r="AA280" s="45">
        <f>SUM($AA257:AA257)*AA257</f>
        <v>0</v>
      </c>
      <c r="AB280" s="45">
        <f>SUM($AA257:AB257)*AB257</f>
        <v>0</v>
      </c>
      <c r="AC280" s="45">
        <f>SUM($AA257:AC257)*AC257</f>
        <v>0</v>
      </c>
      <c r="AD280" s="45">
        <f>SUM($AA257:AD257)*AD257</f>
        <v>0</v>
      </c>
      <c r="AE280" s="45">
        <f>SUM($AA257:AE257)*AE257</f>
        <v>0</v>
      </c>
      <c r="AF280" s="45">
        <f>SUM($AA257:AF257)*AF257</f>
        <v>0</v>
      </c>
      <c r="AG280" s="45">
        <f>SUM($AA257:AG257)*AG257</f>
        <v>0</v>
      </c>
      <c r="AH280" s="45">
        <f>SUM($AA257:AH257)*AH257</f>
        <v>0</v>
      </c>
      <c r="AI280" s="45">
        <f>SUM($AA257:AI257)*AI257</f>
        <v>0</v>
      </c>
      <c r="AJ280" s="45">
        <f>SUM($AA257:AJ257)*AJ257</f>
        <v>0</v>
      </c>
      <c r="AK280" s="45">
        <f>SUM($AA257:AK257)*AK257</f>
        <v>0</v>
      </c>
      <c r="AL280" s="45">
        <f>SUM($AA257:AL257)*AL257</f>
        <v>0</v>
      </c>
      <c r="AM280" s="45">
        <f>SUM($AA257:AM257)*AM257</f>
        <v>0</v>
      </c>
      <c r="AN280" s="45">
        <f>SUM($AA257:AN257)*AN257</f>
        <v>0</v>
      </c>
      <c r="AO280" s="45">
        <f>SUM($AA257:AO257)*AO257</f>
        <v>0</v>
      </c>
      <c r="AP280" s="45">
        <f>SUM($AA257:AP257)*AP257</f>
        <v>0</v>
      </c>
      <c r="AQ280" s="45">
        <f>SUM($AA257:AQ257)*AQ257</f>
        <v>0</v>
      </c>
      <c r="AR280" s="45">
        <f>SUM($AA257:AR257)*AR257</f>
        <v>0</v>
      </c>
      <c r="AS280" s="45">
        <f>SUM($AA257:AS257)*AS257</f>
        <v>0</v>
      </c>
      <c r="AT280" s="45">
        <f>SUM($AA257:AT257)*AT257</f>
        <v>0</v>
      </c>
      <c r="AU280" s="45">
        <f>SUM($AA257:AU257)*AU257</f>
        <v>0</v>
      </c>
      <c r="AV280" s="45">
        <f>SUM($AA257:AV257)*AV257</f>
        <v>0</v>
      </c>
      <c r="AW280" s="45">
        <f>SUM($AA257:AW257)*AW257</f>
        <v>0</v>
      </c>
      <c r="AX280" s="45">
        <f>SUM($AA257:AX257)*AX257</f>
        <v>0</v>
      </c>
      <c r="AY280" s="45">
        <f>SUM($AA257:AY257)*AY257</f>
        <v>0</v>
      </c>
      <c r="AZ280" s="45">
        <f>SUM($AA257:AZ257)*AZ257</f>
        <v>0</v>
      </c>
      <c r="BA280" s="45">
        <f>SUM($AA257:BA257)*BA257</f>
        <v>0</v>
      </c>
      <c r="BB280" s="45">
        <f>SUM($AA257:BB257)*BB257</f>
        <v>0</v>
      </c>
      <c r="BC280" s="45">
        <f>SUM($AA257:BC257)*BC257</f>
        <v>0</v>
      </c>
      <c r="BD280" s="45">
        <f>SUM($AA257:BD257)*BD257</f>
        <v>0</v>
      </c>
      <c r="BE280" s="45">
        <f>SUM($AA257:BE257)*BE257</f>
        <v>0</v>
      </c>
      <c r="BF280" s="45">
        <f>SUM($AA257:BF257)*BF257</f>
        <v>0</v>
      </c>
      <c r="BG280" s="45">
        <f>SUM($AA257:BG257)*BG257</f>
        <v>0</v>
      </c>
      <c r="BH280" s="45">
        <f>SUM($AA257:BH257)*BH257</f>
        <v>0</v>
      </c>
      <c r="BI280" s="45">
        <f>SUM($AA257:BI257)*BI257</f>
        <v>0</v>
      </c>
      <c r="BJ280" s="45">
        <f>SUM($AA257:BJ257)*BJ257</f>
        <v>0</v>
      </c>
      <c r="BL280" s="136"/>
      <c r="BM280" s="136"/>
      <c r="BN280" s="136"/>
      <c r="BO280" s="136"/>
      <c r="BP280" s="136"/>
      <c r="BQ280" s="136"/>
      <c r="BR280" s="136"/>
      <c r="BS280" s="136"/>
      <c r="BT280" s="136"/>
      <c r="BU280" s="136"/>
      <c r="BV280" s="136"/>
      <c r="BW280" s="136"/>
      <c r="BY280" s="12"/>
      <c r="CA280" s="12"/>
      <c r="EX280" s="10" t="str">
        <f t="shared" si="167"/>
        <v/>
      </c>
    </row>
    <row r="281" spans="1:154" s="67" customFormat="1" x14ac:dyDescent="0.25">
      <c r="B281" s="67" t="str">
        <f ca="1">Loans!B$17</f>
        <v>Loan 5</v>
      </c>
      <c r="D281" s="62" t="str">
        <f>Loans!D$17</f>
        <v>NatWest</v>
      </c>
      <c r="S281" s="279"/>
      <c r="T281" s="335"/>
      <c r="U281" s="335"/>
      <c r="V281" s="136"/>
      <c r="W281" s="136"/>
      <c r="X281" s="136"/>
      <c r="Y281" s="136"/>
      <c r="AA281" s="45">
        <f>SUM($AA258:AA258)*AA258</f>
        <v>0</v>
      </c>
      <c r="AB281" s="45">
        <f>SUM($AA258:AB258)*AB258</f>
        <v>0</v>
      </c>
      <c r="AC281" s="45">
        <f>SUM($AA258:AC258)*AC258</f>
        <v>0</v>
      </c>
      <c r="AD281" s="45">
        <f>SUM($AA258:AD258)*AD258</f>
        <v>0</v>
      </c>
      <c r="AE281" s="45">
        <f>SUM($AA258:AE258)*AE258</f>
        <v>0</v>
      </c>
      <c r="AF281" s="45">
        <f>SUM($AA258:AF258)*AF258</f>
        <v>0</v>
      </c>
      <c r="AG281" s="45">
        <f>SUM($AA258:AG258)*AG258</f>
        <v>0</v>
      </c>
      <c r="AH281" s="45">
        <f>SUM($AA258:AH258)*AH258</f>
        <v>0</v>
      </c>
      <c r="AI281" s="45">
        <f>SUM($AA258:AI258)*AI258</f>
        <v>0</v>
      </c>
      <c r="AJ281" s="45">
        <f>SUM($AA258:AJ258)*AJ258</f>
        <v>0</v>
      </c>
      <c r="AK281" s="45">
        <f>SUM($AA258:AK258)*AK258</f>
        <v>0</v>
      </c>
      <c r="AL281" s="45">
        <f>SUM($AA258:AL258)*AL258</f>
        <v>0</v>
      </c>
      <c r="AM281" s="45">
        <f>SUM($AA258:AM258)*AM258</f>
        <v>0</v>
      </c>
      <c r="AN281" s="45">
        <f>SUM($AA258:AN258)*AN258</f>
        <v>0</v>
      </c>
      <c r="AO281" s="45">
        <f>SUM($AA258:AO258)*AO258</f>
        <v>0</v>
      </c>
      <c r="AP281" s="45">
        <f>SUM($AA258:AP258)*AP258</f>
        <v>0</v>
      </c>
      <c r="AQ281" s="45">
        <f>SUM($AA258:AQ258)*AQ258</f>
        <v>0</v>
      </c>
      <c r="AR281" s="45">
        <f>SUM($AA258:AR258)*AR258</f>
        <v>0</v>
      </c>
      <c r="AS281" s="45">
        <f>SUM($AA258:AS258)*AS258</f>
        <v>0</v>
      </c>
      <c r="AT281" s="45">
        <f>SUM($AA258:AT258)*AT258</f>
        <v>0</v>
      </c>
      <c r="AU281" s="45">
        <f>SUM($AA258:AU258)*AU258</f>
        <v>0</v>
      </c>
      <c r="AV281" s="45">
        <f>SUM($AA258:AV258)*AV258</f>
        <v>0</v>
      </c>
      <c r="AW281" s="45">
        <f>SUM($AA258:AW258)*AW258</f>
        <v>0</v>
      </c>
      <c r="AX281" s="45">
        <f>SUM($AA258:AX258)*AX258</f>
        <v>0</v>
      </c>
      <c r="AY281" s="45">
        <f>SUM($AA258:AY258)*AY258</f>
        <v>0</v>
      </c>
      <c r="AZ281" s="45">
        <f>SUM($AA258:AZ258)*AZ258</f>
        <v>0</v>
      </c>
      <c r="BA281" s="45">
        <f>SUM($AA258:BA258)*BA258</f>
        <v>0</v>
      </c>
      <c r="BB281" s="45">
        <f>SUM($AA258:BB258)*BB258</f>
        <v>0</v>
      </c>
      <c r="BC281" s="45">
        <f>SUM($AA258:BC258)*BC258</f>
        <v>0</v>
      </c>
      <c r="BD281" s="45">
        <f>SUM($AA258:BD258)*BD258</f>
        <v>0</v>
      </c>
      <c r="BE281" s="45">
        <f>SUM($AA258:BE258)*BE258</f>
        <v>0</v>
      </c>
      <c r="BF281" s="45">
        <f>SUM($AA258:BF258)*BF258</f>
        <v>0</v>
      </c>
      <c r="BG281" s="45">
        <f>SUM($AA258:BG258)*BG258</f>
        <v>0</v>
      </c>
      <c r="BH281" s="45">
        <f>SUM($AA258:BH258)*BH258</f>
        <v>0</v>
      </c>
      <c r="BI281" s="45">
        <f>SUM($AA258:BI258)*BI258</f>
        <v>0</v>
      </c>
      <c r="BJ281" s="45">
        <f>SUM($AA258:BJ258)*BJ258</f>
        <v>0</v>
      </c>
      <c r="BL281" s="136"/>
      <c r="BM281" s="136"/>
      <c r="BN281" s="136"/>
      <c r="BO281" s="136"/>
      <c r="BP281" s="136"/>
      <c r="BQ281" s="136"/>
      <c r="BR281" s="136"/>
      <c r="BS281" s="136"/>
      <c r="BT281" s="136"/>
      <c r="BU281" s="136"/>
      <c r="BV281" s="136"/>
      <c r="BW281" s="136"/>
      <c r="BY281" s="12"/>
      <c r="CA281" s="12"/>
      <c r="EX281" s="10" t="str">
        <f t="shared" si="167"/>
        <v/>
      </c>
    </row>
    <row r="282" spans="1:154" s="67" customFormat="1" x14ac:dyDescent="0.25">
      <c r="B282" s="67" t="str">
        <f ca="1">Loans!B$18</f>
        <v>Loan 6</v>
      </c>
      <c r="D282" s="62">
        <f>Loans!D$18</f>
        <v>0</v>
      </c>
      <c r="S282" s="279"/>
      <c r="T282" s="335"/>
      <c r="U282" s="335"/>
      <c r="V282" s="136"/>
      <c r="W282" s="136"/>
      <c r="X282" s="136"/>
      <c r="Y282" s="136"/>
      <c r="AA282" s="45">
        <f>SUM($AA259:AA259)*AA259</f>
        <v>0</v>
      </c>
      <c r="AB282" s="45">
        <f>SUM($AA259:AB259)*AB259</f>
        <v>0</v>
      </c>
      <c r="AC282" s="45">
        <f>SUM($AA259:AC259)*AC259</f>
        <v>0</v>
      </c>
      <c r="AD282" s="45">
        <f>SUM($AA259:AD259)*AD259</f>
        <v>0</v>
      </c>
      <c r="AE282" s="45">
        <f>SUM($AA259:AE259)*AE259</f>
        <v>0</v>
      </c>
      <c r="AF282" s="45">
        <f>SUM($AA259:AF259)*AF259</f>
        <v>0</v>
      </c>
      <c r="AG282" s="45">
        <f>SUM($AA259:AG259)*AG259</f>
        <v>0</v>
      </c>
      <c r="AH282" s="45">
        <f>SUM($AA259:AH259)*AH259</f>
        <v>0</v>
      </c>
      <c r="AI282" s="45">
        <f>SUM($AA259:AI259)*AI259</f>
        <v>0</v>
      </c>
      <c r="AJ282" s="45">
        <f>SUM($AA259:AJ259)*AJ259</f>
        <v>0</v>
      </c>
      <c r="AK282" s="45">
        <f>SUM($AA259:AK259)*AK259</f>
        <v>0</v>
      </c>
      <c r="AL282" s="45">
        <f>SUM($AA259:AL259)*AL259</f>
        <v>0</v>
      </c>
      <c r="AM282" s="45">
        <f>SUM($AA259:AM259)*AM259</f>
        <v>0</v>
      </c>
      <c r="AN282" s="45">
        <f>SUM($AA259:AN259)*AN259</f>
        <v>0</v>
      </c>
      <c r="AO282" s="45">
        <f>SUM($AA259:AO259)*AO259</f>
        <v>0</v>
      </c>
      <c r="AP282" s="45">
        <f>SUM($AA259:AP259)*AP259</f>
        <v>0</v>
      </c>
      <c r="AQ282" s="45">
        <f>SUM($AA259:AQ259)*AQ259</f>
        <v>0</v>
      </c>
      <c r="AR282" s="45">
        <f>SUM($AA259:AR259)*AR259</f>
        <v>0</v>
      </c>
      <c r="AS282" s="45">
        <f>SUM($AA259:AS259)*AS259</f>
        <v>0</v>
      </c>
      <c r="AT282" s="45">
        <f>SUM($AA259:AT259)*AT259</f>
        <v>0</v>
      </c>
      <c r="AU282" s="45">
        <f>SUM($AA259:AU259)*AU259</f>
        <v>0</v>
      </c>
      <c r="AV282" s="45">
        <f>SUM($AA259:AV259)*AV259</f>
        <v>0</v>
      </c>
      <c r="AW282" s="45">
        <f>SUM($AA259:AW259)*AW259</f>
        <v>0</v>
      </c>
      <c r="AX282" s="45">
        <f>SUM($AA259:AX259)*AX259</f>
        <v>0</v>
      </c>
      <c r="AY282" s="45">
        <f>SUM($AA259:AY259)*AY259</f>
        <v>0</v>
      </c>
      <c r="AZ282" s="45">
        <f>SUM($AA259:AZ259)*AZ259</f>
        <v>0</v>
      </c>
      <c r="BA282" s="45">
        <f>SUM($AA259:BA259)*BA259</f>
        <v>0</v>
      </c>
      <c r="BB282" s="45">
        <f>SUM($AA259:BB259)*BB259</f>
        <v>0</v>
      </c>
      <c r="BC282" s="45">
        <f>SUM($AA259:BC259)*BC259</f>
        <v>0</v>
      </c>
      <c r="BD282" s="45">
        <f>SUM($AA259:BD259)*BD259</f>
        <v>0</v>
      </c>
      <c r="BE282" s="45">
        <f>SUM($AA259:BE259)*BE259</f>
        <v>0</v>
      </c>
      <c r="BF282" s="45">
        <f>SUM($AA259:BF259)*BF259</f>
        <v>0</v>
      </c>
      <c r="BG282" s="45">
        <f>SUM($AA259:BG259)*BG259</f>
        <v>0</v>
      </c>
      <c r="BH282" s="45">
        <f>SUM($AA259:BH259)*BH259</f>
        <v>0</v>
      </c>
      <c r="BI282" s="45">
        <f>SUM($AA259:BI259)*BI259</f>
        <v>0</v>
      </c>
      <c r="BJ282" s="45">
        <f>SUM($AA259:BJ259)*BJ259</f>
        <v>0</v>
      </c>
      <c r="BL282" s="136"/>
      <c r="BM282" s="136"/>
      <c r="BN282" s="136"/>
      <c r="BO282" s="136"/>
      <c r="BP282" s="136"/>
      <c r="BQ282" s="136"/>
      <c r="BR282" s="136"/>
      <c r="BS282" s="136"/>
      <c r="BT282" s="136"/>
      <c r="BU282" s="136"/>
      <c r="BV282" s="136"/>
      <c r="BW282" s="136"/>
      <c r="BY282" s="12"/>
      <c r="CA282" s="12"/>
      <c r="EX282" s="10" t="str">
        <f t="shared" si="167"/>
        <v/>
      </c>
    </row>
    <row r="283" spans="1:154" s="5" customFormat="1" x14ac:dyDescent="0.25">
      <c r="A283" s="67"/>
      <c r="B283" s="67" t="str">
        <f ca="1">Loans!B$19</f>
        <v>Loan 7</v>
      </c>
      <c r="D283" s="62">
        <f>Loans!D$19</f>
        <v>0</v>
      </c>
      <c r="E283" s="67"/>
      <c r="F283" s="67"/>
      <c r="G283" s="67"/>
      <c r="H283" s="67"/>
      <c r="I283" s="67"/>
      <c r="J283" s="67"/>
      <c r="K283" s="67"/>
      <c r="M283" s="67"/>
      <c r="N283" s="67"/>
      <c r="O283" s="67"/>
      <c r="P283" s="67"/>
      <c r="Q283" s="67"/>
      <c r="S283" s="279"/>
      <c r="T283" s="335"/>
      <c r="U283" s="335"/>
      <c r="V283" s="136"/>
      <c r="W283" s="136"/>
      <c r="X283" s="136"/>
      <c r="Y283" s="136"/>
      <c r="Z283" s="67"/>
      <c r="AA283" s="45">
        <f>SUM($AA260:AA260)*AA260</f>
        <v>0</v>
      </c>
      <c r="AB283" s="45">
        <f>SUM($AA260:AB260)*AB260</f>
        <v>0</v>
      </c>
      <c r="AC283" s="45">
        <f>SUM($AA260:AC260)*AC260</f>
        <v>0</v>
      </c>
      <c r="AD283" s="45">
        <f>SUM($AA260:AD260)*AD260</f>
        <v>0</v>
      </c>
      <c r="AE283" s="45">
        <f>SUM($AA260:AE260)*AE260</f>
        <v>0</v>
      </c>
      <c r="AF283" s="45">
        <f>SUM($AA260:AF260)*AF260</f>
        <v>0</v>
      </c>
      <c r="AG283" s="45">
        <f>SUM($AA260:AG260)*AG260</f>
        <v>0</v>
      </c>
      <c r="AH283" s="45">
        <f>SUM($AA260:AH260)*AH260</f>
        <v>0</v>
      </c>
      <c r="AI283" s="45">
        <f>SUM($AA260:AI260)*AI260</f>
        <v>0</v>
      </c>
      <c r="AJ283" s="45">
        <f>SUM($AA260:AJ260)*AJ260</f>
        <v>0</v>
      </c>
      <c r="AK283" s="45">
        <f>SUM($AA260:AK260)*AK260</f>
        <v>0</v>
      </c>
      <c r="AL283" s="45">
        <f>SUM($AA260:AL260)*AL260</f>
        <v>0</v>
      </c>
      <c r="AM283" s="45">
        <f>SUM($AA260:AM260)*AM260</f>
        <v>0</v>
      </c>
      <c r="AN283" s="45">
        <f>SUM($AA260:AN260)*AN260</f>
        <v>0</v>
      </c>
      <c r="AO283" s="45">
        <f>SUM($AA260:AO260)*AO260</f>
        <v>0</v>
      </c>
      <c r="AP283" s="45">
        <f>SUM($AA260:AP260)*AP260</f>
        <v>0</v>
      </c>
      <c r="AQ283" s="45">
        <f>SUM($AA260:AQ260)*AQ260</f>
        <v>0</v>
      </c>
      <c r="AR283" s="45">
        <f>SUM($AA260:AR260)*AR260</f>
        <v>0</v>
      </c>
      <c r="AS283" s="45">
        <f>SUM($AA260:AS260)*AS260</f>
        <v>0</v>
      </c>
      <c r="AT283" s="45">
        <f>SUM($AA260:AT260)*AT260</f>
        <v>0</v>
      </c>
      <c r="AU283" s="45">
        <f>SUM($AA260:AU260)*AU260</f>
        <v>0</v>
      </c>
      <c r="AV283" s="45">
        <f>SUM($AA260:AV260)*AV260</f>
        <v>0</v>
      </c>
      <c r="AW283" s="45">
        <f>SUM($AA260:AW260)*AW260</f>
        <v>0</v>
      </c>
      <c r="AX283" s="45">
        <f>SUM($AA260:AX260)*AX260</f>
        <v>0</v>
      </c>
      <c r="AY283" s="45">
        <f>SUM($AA260:AY260)*AY260</f>
        <v>0</v>
      </c>
      <c r="AZ283" s="45">
        <f>SUM($AA260:AZ260)*AZ260</f>
        <v>0</v>
      </c>
      <c r="BA283" s="45">
        <f>SUM($AA260:BA260)*BA260</f>
        <v>0</v>
      </c>
      <c r="BB283" s="45">
        <f>SUM($AA260:BB260)*BB260</f>
        <v>0</v>
      </c>
      <c r="BC283" s="45">
        <f>SUM($AA260:BC260)*BC260</f>
        <v>0</v>
      </c>
      <c r="BD283" s="45">
        <f>SUM($AA260:BD260)*BD260</f>
        <v>0</v>
      </c>
      <c r="BE283" s="45">
        <f>SUM($AA260:BE260)*BE260</f>
        <v>0</v>
      </c>
      <c r="BF283" s="45">
        <f>SUM($AA260:BF260)*BF260</f>
        <v>0</v>
      </c>
      <c r="BG283" s="45">
        <f>SUM($AA260:BG260)*BG260</f>
        <v>0</v>
      </c>
      <c r="BH283" s="45">
        <f>SUM($AA260:BH260)*BH260</f>
        <v>0</v>
      </c>
      <c r="BI283" s="45">
        <f>SUM($AA260:BI260)*BI260</f>
        <v>0</v>
      </c>
      <c r="BJ283" s="45">
        <f>SUM($AA260:BJ260)*BJ260</f>
        <v>0</v>
      </c>
      <c r="BK283" s="67"/>
      <c r="BL283" s="136"/>
      <c r="BM283" s="136"/>
      <c r="BN283" s="136"/>
      <c r="BO283" s="136"/>
      <c r="BP283" s="136"/>
      <c r="BQ283" s="136"/>
      <c r="BR283" s="136"/>
      <c r="BS283" s="136"/>
      <c r="BT283" s="136"/>
      <c r="BU283" s="136"/>
      <c r="BV283" s="136"/>
      <c r="BW283" s="136"/>
      <c r="BX283" s="67"/>
      <c r="BY283" s="12"/>
      <c r="BZ283" s="67"/>
      <c r="CA283" s="12"/>
      <c r="EX283" s="10" t="str">
        <f t="shared" si="167"/>
        <v/>
      </c>
    </row>
    <row r="284" spans="1:154" s="67" customFormat="1" x14ac:dyDescent="0.25">
      <c r="B284" s="67" t="str">
        <f ca="1">Loans!B$20</f>
        <v>Loan 8</v>
      </c>
      <c r="D284" s="62">
        <f>Loans!D$20</f>
        <v>0</v>
      </c>
      <c r="S284" s="279"/>
      <c r="T284" s="335"/>
      <c r="U284" s="335"/>
      <c r="V284" s="136"/>
      <c r="W284" s="136"/>
      <c r="X284" s="136"/>
      <c r="Y284" s="136"/>
      <c r="AA284" s="45">
        <f>SUM($AA261:AA261)*AA261</f>
        <v>0</v>
      </c>
      <c r="AB284" s="45">
        <f>SUM($AA261:AB261)*AB261</f>
        <v>0</v>
      </c>
      <c r="AC284" s="45">
        <f>SUM($AA261:AC261)*AC261</f>
        <v>0</v>
      </c>
      <c r="AD284" s="45">
        <f>SUM($AA261:AD261)*AD261</f>
        <v>0</v>
      </c>
      <c r="AE284" s="45">
        <f>SUM($AA261:AE261)*AE261</f>
        <v>0</v>
      </c>
      <c r="AF284" s="45">
        <f>SUM($AA261:AF261)*AF261</f>
        <v>0</v>
      </c>
      <c r="AG284" s="45">
        <f>SUM($AA261:AG261)*AG261</f>
        <v>0</v>
      </c>
      <c r="AH284" s="45">
        <f>SUM($AA261:AH261)*AH261</f>
        <v>0</v>
      </c>
      <c r="AI284" s="45">
        <f>SUM($AA261:AI261)*AI261</f>
        <v>0</v>
      </c>
      <c r="AJ284" s="45">
        <f>SUM($AA261:AJ261)*AJ261</f>
        <v>0</v>
      </c>
      <c r="AK284" s="45">
        <f>SUM($AA261:AK261)*AK261</f>
        <v>0</v>
      </c>
      <c r="AL284" s="45">
        <f>SUM($AA261:AL261)*AL261</f>
        <v>0</v>
      </c>
      <c r="AM284" s="45">
        <f>SUM($AA261:AM261)*AM261</f>
        <v>0</v>
      </c>
      <c r="AN284" s="45">
        <f>SUM($AA261:AN261)*AN261</f>
        <v>0</v>
      </c>
      <c r="AO284" s="45">
        <f>SUM($AA261:AO261)*AO261</f>
        <v>0</v>
      </c>
      <c r="AP284" s="45">
        <f>SUM($AA261:AP261)*AP261</f>
        <v>0</v>
      </c>
      <c r="AQ284" s="45">
        <f>SUM($AA261:AQ261)*AQ261</f>
        <v>0</v>
      </c>
      <c r="AR284" s="45">
        <f>SUM($AA261:AR261)*AR261</f>
        <v>0</v>
      </c>
      <c r="AS284" s="45">
        <f>SUM($AA261:AS261)*AS261</f>
        <v>0</v>
      </c>
      <c r="AT284" s="45">
        <f>SUM($AA261:AT261)*AT261</f>
        <v>0</v>
      </c>
      <c r="AU284" s="45">
        <f>SUM($AA261:AU261)*AU261</f>
        <v>0</v>
      </c>
      <c r="AV284" s="45">
        <f>SUM($AA261:AV261)*AV261</f>
        <v>0</v>
      </c>
      <c r="AW284" s="45">
        <f>SUM($AA261:AW261)*AW261</f>
        <v>0</v>
      </c>
      <c r="AX284" s="45">
        <f>SUM($AA261:AX261)*AX261</f>
        <v>0</v>
      </c>
      <c r="AY284" s="45">
        <f>SUM($AA261:AY261)*AY261</f>
        <v>0</v>
      </c>
      <c r="AZ284" s="45">
        <f>SUM($AA261:AZ261)*AZ261</f>
        <v>0</v>
      </c>
      <c r="BA284" s="45">
        <f>SUM($AA261:BA261)*BA261</f>
        <v>0</v>
      </c>
      <c r="BB284" s="45">
        <f>SUM($AA261:BB261)*BB261</f>
        <v>0</v>
      </c>
      <c r="BC284" s="45">
        <f>SUM($AA261:BC261)*BC261</f>
        <v>0</v>
      </c>
      <c r="BD284" s="45">
        <f>SUM($AA261:BD261)*BD261</f>
        <v>0</v>
      </c>
      <c r="BE284" s="45">
        <f>SUM($AA261:BE261)*BE261</f>
        <v>0</v>
      </c>
      <c r="BF284" s="45">
        <f>SUM($AA261:BF261)*BF261</f>
        <v>0</v>
      </c>
      <c r="BG284" s="45">
        <f>SUM($AA261:BG261)*BG261</f>
        <v>0</v>
      </c>
      <c r="BH284" s="45">
        <f>SUM($AA261:BH261)*BH261</f>
        <v>0</v>
      </c>
      <c r="BI284" s="45">
        <f>SUM($AA261:BI261)*BI261</f>
        <v>0</v>
      </c>
      <c r="BJ284" s="45">
        <f>SUM($AA261:BJ261)*BJ261</f>
        <v>0</v>
      </c>
      <c r="BL284" s="136"/>
      <c r="BM284" s="136"/>
      <c r="BN284" s="136"/>
      <c r="BO284" s="136"/>
      <c r="BP284" s="136"/>
      <c r="BQ284" s="136"/>
      <c r="BR284" s="136"/>
      <c r="BS284" s="136"/>
      <c r="BT284" s="136"/>
      <c r="BU284" s="136"/>
      <c r="BV284" s="136"/>
      <c r="BW284" s="136"/>
      <c r="BY284" s="12"/>
      <c r="CA284" s="12"/>
      <c r="EX284" s="10" t="str">
        <f t="shared" si="167"/>
        <v/>
      </c>
    </row>
    <row r="285" spans="1:154" s="67" customFormat="1" x14ac:dyDescent="0.25">
      <c r="B285" s="67" t="str">
        <f ca="1">Loans!B$21</f>
        <v>Loan 9</v>
      </c>
      <c r="D285" s="62">
        <f>Loans!D$21</f>
        <v>0</v>
      </c>
      <c r="S285" s="279"/>
      <c r="T285" s="335"/>
      <c r="U285" s="335"/>
      <c r="V285" s="136"/>
      <c r="W285" s="136"/>
      <c r="X285" s="136"/>
      <c r="Y285" s="136"/>
      <c r="AA285" s="45">
        <f>SUM($AA262:AA262)*AA262</f>
        <v>0</v>
      </c>
      <c r="AB285" s="45">
        <f>SUM($AA262:AB262)*AB262</f>
        <v>0</v>
      </c>
      <c r="AC285" s="45">
        <f>SUM($AA262:AC262)*AC262</f>
        <v>0</v>
      </c>
      <c r="AD285" s="45">
        <f>SUM($AA262:AD262)*AD262</f>
        <v>0</v>
      </c>
      <c r="AE285" s="45">
        <f>SUM($AA262:AE262)*AE262</f>
        <v>0</v>
      </c>
      <c r="AF285" s="45">
        <f>SUM($AA262:AF262)*AF262</f>
        <v>0</v>
      </c>
      <c r="AG285" s="45">
        <f>SUM($AA262:AG262)*AG262</f>
        <v>0</v>
      </c>
      <c r="AH285" s="45">
        <f>SUM($AA262:AH262)*AH262</f>
        <v>0</v>
      </c>
      <c r="AI285" s="45">
        <f>SUM($AA262:AI262)*AI262</f>
        <v>0</v>
      </c>
      <c r="AJ285" s="45">
        <f>SUM($AA262:AJ262)*AJ262</f>
        <v>0</v>
      </c>
      <c r="AK285" s="45">
        <f>SUM($AA262:AK262)*AK262</f>
        <v>0</v>
      </c>
      <c r="AL285" s="45">
        <f>SUM($AA262:AL262)*AL262</f>
        <v>0</v>
      </c>
      <c r="AM285" s="45">
        <f>SUM($AA262:AM262)*AM262</f>
        <v>0</v>
      </c>
      <c r="AN285" s="45">
        <f>SUM($AA262:AN262)*AN262</f>
        <v>0</v>
      </c>
      <c r="AO285" s="45">
        <f>SUM($AA262:AO262)*AO262</f>
        <v>0</v>
      </c>
      <c r="AP285" s="45">
        <f>SUM($AA262:AP262)*AP262</f>
        <v>0</v>
      </c>
      <c r="AQ285" s="45">
        <f>SUM($AA262:AQ262)*AQ262</f>
        <v>0</v>
      </c>
      <c r="AR285" s="45">
        <f>SUM($AA262:AR262)*AR262</f>
        <v>0</v>
      </c>
      <c r="AS285" s="45">
        <f>SUM($AA262:AS262)*AS262</f>
        <v>0</v>
      </c>
      <c r="AT285" s="45">
        <f>SUM($AA262:AT262)*AT262</f>
        <v>0</v>
      </c>
      <c r="AU285" s="45">
        <f>SUM($AA262:AU262)*AU262</f>
        <v>0</v>
      </c>
      <c r="AV285" s="45">
        <f>SUM($AA262:AV262)*AV262</f>
        <v>0</v>
      </c>
      <c r="AW285" s="45">
        <f>SUM($AA262:AW262)*AW262</f>
        <v>0</v>
      </c>
      <c r="AX285" s="45">
        <f>SUM($AA262:AX262)*AX262</f>
        <v>0</v>
      </c>
      <c r="AY285" s="45">
        <f>SUM($AA262:AY262)*AY262</f>
        <v>0</v>
      </c>
      <c r="AZ285" s="45">
        <f>SUM($AA262:AZ262)*AZ262</f>
        <v>0</v>
      </c>
      <c r="BA285" s="45">
        <f>SUM($AA262:BA262)*BA262</f>
        <v>0</v>
      </c>
      <c r="BB285" s="45">
        <f>SUM($AA262:BB262)*BB262</f>
        <v>0</v>
      </c>
      <c r="BC285" s="45">
        <f>SUM($AA262:BC262)*BC262</f>
        <v>0</v>
      </c>
      <c r="BD285" s="45">
        <f>SUM($AA262:BD262)*BD262</f>
        <v>0</v>
      </c>
      <c r="BE285" s="45">
        <f>SUM($AA262:BE262)*BE262</f>
        <v>0</v>
      </c>
      <c r="BF285" s="45">
        <f>SUM($AA262:BF262)*BF262</f>
        <v>0</v>
      </c>
      <c r="BG285" s="45">
        <f>SUM($AA262:BG262)*BG262</f>
        <v>0</v>
      </c>
      <c r="BH285" s="45">
        <f>SUM($AA262:BH262)*BH262</f>
        <v>0</v>
      </c>
      <c r="BI285" s="45">
        <f>SUM($AA262:BI262)*BI262</f>
        <v>0</v>
      </c>
      <c r="BJ285" s="45">
        <f>SUM($AA262:BJ262)*BJ262</f>
        <v>0</v>
      </c>
      <c r="BL285" s="136"/>
      <c r="BM285" s="136"/>
      <c r="BN285" s="136"/>
      <c r="BO285" s="136"/>
      <c r="BP285" s="136"/>
      <c r="BQ285" s="136"/>
      <c r="BR285" s="136"/>
      <c r="BS285" s="136"/>
      <c r="BT285" s="136"/>
      <c r="BU285" s="136"/>
      <c r="BV285" s="136"/>
      <c r="BW285" s="136"/>
      <c r="BY285" s="12"/>
      <c r="CA285" s="12"/>
      <c r="EX285" s="10" t="str">
        <f t="shared" si="167"/>
        <v/>
      </c>
    </row>
    <row r="286" spans="1:154" s="67" customFormat="1" x14ac:dyDescent="0.25">
      <c r="B286" s="67" t="str">
        <f ca="1">Loans!B$22</f>
        <v>Loan 10</v>
      </c>
      <c r="D286" s="62">
        <f>Loans!D$22</f>
        <v>0</v>
      </c>
      <c r="S286" s="279"/>
      <c r="T286" s="335"/>
      <c r="U286" s="335"/>
      <c r="V286" s="136"/>
      <c r="W286" s="136"/>
      <c r="X286" s="136"/>
      <c r="Y286" s="136"/>
      <c r="AA286" s="45">
        <f>SUM($AA263:AA263)*AA263</f>
        <v>0</v>
      </c>
      <c r="AB286" s="45">
        <f>SUM($AA263:AB263)*AB263</f>
        <v>0</v>
      </c>
      <c r="AC286" s="45">
        <f>SUM($AA263:AC263)*AC263</f>
        <v>0</v>
      </c>
      <c r="AD286" s="45">
        <f>SUM($AA263:AD263)*AD263</f>
        <v>0</v>
      </c>
      <c r="AE286" s="45">
        <f>SUM($AA263:AE263)*AE263</f>
        <v>0</v>
      </c>
      <c r="AF286" s="45">
        <f>SUM($AA263:AF263)*AF263</f>
        <v>0</v>
      </c>
      <c r="AG286" s="45">
        <f>SUM($AA263:AG263)*AG263</f>
        <v>0</v>
      </c>
      <c r="AH286" s="45">
        <f>SUM($AA263:AH263)*AH263</f>
        <v>0</v>
      </c>
      <c r="AI286" s="45">
        <f>SUM($AA263:AI263)*AI263</f>
        <v>0</v>
      </c>
      <c r="AJ286" s="45">
        <f>SUM($AA263:AJ263)*AJ263</f>
        <v>0</v>
      </c>
      <c r="AK286" s="45">
        <f>SUM($AA263:AK263)*AK263</f>
        <v>0</v>
      </c>
      <c r="AL286" s="45">
        <f>SUM($AA263:AL263)*AL263</f>
        <v>0</v>
      </c>
      <c r="AM286" s="45">
        <f>SUM($AA263:AM263)*AM263</f>
        <v>0</v>
      </c>
      <c r="AN286" s="45">
        <f>SUM($AA263:AN263)*AN263</f>
        <v>0</v>
      </c>
      <c r="AO286" s="45">
        <f>SUM($AA263:AO263)*AO263</f>
        <v>0</v>
      </c>
      <c r="AP286" s="45">
        <f>SUM($AA263:AP263)*AP263</f>
        <v>0</v>
      </c>
      <c r="AQ286" s="45">
        <f>SUM($AA263:AQ263)*AQ263</f>
        <v>0</v>
      </c>
      <c r="AR286" s="45">
        <f>SUM($AA263:AR263)*AR263</f>
        <v>0</v>
      </c>
      <c r="AS286" s="45">
        <f>SUM($AA263:AS263)*AS263</f>
        <v>0</v>
      </c>
      <c r="AT286" s="45">
        <f>SUM($AA263:AT263)*AT263</f>
        <v>0</v>
      </c>
      <c r="AU286" s="45">
        <f>SUM($AA263:AU263)*AU263</f>
        <v>0</v>
      </c>
      <c r="AV286" s="45">
        <f>SUM($AA263:AV263)*AV263</f>
        <v>0</v>
      </c>
      <c r="AW286" s="45">
        <f>SUM($AA263:AW263)*AW263</f>
        <v>0</v>
      </c>
      <c r="AX286" s="45">
        <f>SUM($AA263:AX263)*AX263</f>
        <v>0</v>
      </c>
      <c r="AY286" s="45">
        <f>SUM($AA263:AY263)*AY263</f>
        <v>0</v>
      </c>
      <c r="AZ286" s="45">
        <f>SUM($AA263:AZ263)*AZ263</f>
        <v>0</v>
      </c>
      <c r="BA286" s="45">
        <f>SUM($AA263:BA263)*BA263</f>
        <v>0</v>
      </c>
      <c r="BB286" s="45">
        <f>SUM($AA263:BB263)*BB263</f>
        <v>0</v>
      </c>
      <c r="BC286" s="45">
        <f>SUM($AA263:BC263)*BC263</f>
        <v>0</v>
      </c>
      <c r="BD286" s="45">
        <f>SUM($AA263:BD263)*BD263</f>
        <v>0</v>
      </c>
      <c r="BE286" s="45">
        <f>SUM($AA263:BE263)*BE263</f>
        <v>0</v>
      </c>
      <c r="BF286" s="45">
        <f>SUM($AA263:BF263)*BF263</f>
        <v>0</v>
      </c>
      <c r="BG286" s="45">
        <f>SUM($AA263:BG263)*BG263</f>
        <v>0</v>
      </c>
      <c r="BH286" s="45">
        <f>SUM($AA263:BH263)*BH263</f>
        <v>0</v>
      </c>
      <c r="BI286" s="45">
        <f>SUM($AA263:BI263)*BI263</f>
        <v>0</v>
      </c>
      <c r="BJ286" s="45">
        <f>SUM($AA263:BJ263)*BJ263</f>
        <v>0</v>
      </c>
      <c r="BL286" s="136"/>
      <c r="BM286" s="136"/>
      <c r="BN286" s="136"/>
      <c r="BO286" s="136"/>
      <c r="BP286" s="136"/>
      <c r="BQ286" s="136"/>
      <c r="BR286" s="136"/>
      <c r="BS286" s="136"/>
      <c r="BT286" s="136"/>
      <c r="BU286" s="136"/>
      <c r="BV286" s="136"/>
      <c r="BW286" s="136"/>
      <c r="BY286" s="12"/>
      <c r="CA286" s="12"/>
      <c r="EX286" s="10" t="str">
        <f t="shared" si="167"/>
        <v/>
      </c>
    </row>
    <row r="287" spans="1:154" s="67" customFormat="1" x14ac:dyDescent="0.25">
      <c r="B287" s="67" t="str">
        <f ca="1">Loans!B$23</f>
        <v>Loan 11</v>
      </c>
      <c r="D287" s="62">
        <f>Loans!D$23</f>
        <v>0</v>
      </c>
      <c r="S287" s="279"/>
      <c r="T287" s="335"/>
      <c r="U287" s="335"/>
      <c r="V287" s="136"/>
      <c r="W287" s="136"/>
      <c r="X287" s="136"/>
      <c r="Y287" s="136"/>
      <c r="AA287" s="45">
        <f>SUM($AA264:AA264)*AA264</f>
        <v>0</v>
      </c>
      <c r="AB287" s="45">
        <f>SUM($AA264:AB264)*AB264</f>
        <v>0</v>
      </c>
      <c r="AC287" s="45">
        <f>SUM($AA264:AC264)*AC264</f>
        <v>0</v>
      </c>
      <c r="AD287" s="45">
        <f>SUM($AA264:AD264)*AD264</f>
        <v>0</v>
      </c>
      <c r="AE287" s="45">
        <f>SUM($AA264:AE264)*AE264</f>
        <v>0</v>
      </c>
      <c r="AF287" s="45">
        <f>SUM($AA264:AF264)*AF264</f>
        <v>0</v>
      </c>
      <c r="AG287" s="45">
        <f>SUM($AA264:AG264)*AG264</f>
        <v>0</v>
      </c>
      <c r="AH287" s="45">
        <f>SUM($AA264:AH264)*AH264</f>
        <v>0</v>
      </c>
      <c r="AI287" s="45">
        <f>SUM($AA264:AI264)*AI264</f>
        <v>0</v>
      </c>
      <c r="AJ287" s="45">
        <f>SUM($AA264:AJ264)*AJ264</f>
        <v>0</v>
      </c>
      <c r="AK287" s="45">
        <f>SUM($AA264:AK264)*AK264</f>
        <v>0</v>
      </c>
      <c r="AL287" s="45">
        <f>SUM($AA264:AL264)*AL264</f>
        <v>0</v>
      </c>
      <c r="AM287" s="45">
        <f>SUM($AA264:AM264)*AM264</f>
        <v>0</v>
      </c>
      <c r="AN287" s="45">
        <f>SUM($AA264:AN264)*AN264</f>
        <v>0</v>
      </c>
      <c r="AO287" s="45">
        <f>SUM($AA264:AO264)*AO264</f>
        <v>0</v>
      </c>
      <c r="AP287" s="45">
        <f>SUM($AA264:AP264)*AP264</f>
        <v>0</v>
      </c>
      <c r="AQ287" s="45">
        <f>SUM($AA264:AQ264)*AQ264</f>
        <v>0</v>
      </c>
      <c r="AR287" s="45">
        <f>SUM($AA264:AR264)*AR264</f>
        <v>0</v>
      </c>
      <c r="AS287" s="45">
        <f>SUM($AA264:AS264)*AS264</f>
        <v>0</v>
      </c>
      <c r="AT287" s="45">
        <f>SUM($AA264:AT264)*AT264</f>
        <v>0</v>
      </c>
      <c r="AU287" s="45">
        <f>SUM($AA264:AU264)*AU264</f>
        <v>0</v>
      </c>
      <c r="AV287" s="45">
        <f>SUM($AA264:AV264)*AV264</f>
        <v>0</v>
      </c>
      <c r="AW287" s="45">
        <f>SUM($AA264:AW264)*AW264</f>
        <v>0</v>
      </c>
      <c r="AX287" s="45">
        <f>SUM($AA264:AX264)*AX264</f>
        <v>0</v>
      </c>
      <c r="AY287" s="45">
        <f>SUM($AA264:AY264)*AY264</f>
        <v>0</v>
      </c>
      <c r="AZ287" s="45">
        <f>SUM($AA264:AZ264)*AZ264</f>
        <v>0</v>
      </c>
      <c r="BA287" s="45">
        <f>SUM($AA264:BA264)*BA264</f>
        <v>0</v>
      </c>
      <c r="BB287" s="45">
        <f>SUM($AA264:BB264)*BB264</f>
        <v>0</v>
      </c>
      <c r="BC287" s="45">
        <f>SUM($AA264:BC264)*BC264</f>
        <v>0</v>
      </c>
      <c r="BD287" s="45">
        <f>SUM($AA264:BD264)*BD264</f>
        <v>0</v>
      </c>
      <c r="BE287" s="45">
        <f>SUM($AA264:BE264)*BE264</f>
        <v>0</v>
      </c>
      <c r="BF287" s="45">
        <f>SUM($AA264:BF264)*BF264</f>
        <v>0</v>
      </c>
      <c r="BG287" s="45">
        <f>SUM($AA264:BG264)*BG264</f>
        <v>0</v>
      </c>
      <c r="BH287" s="45">
        <f>SUM($AA264:BH264)*BH264</f>
        <v>0</v>
      </c>
      <c r="BI287" s="45">
        <f>SUM($AA264:BI264)*BI264</f>
        <v>0</v>
      </c>
      <c r="BJ287" s="45">
        <f>SUM($AA264:BJ264)*BJ264</f>
        <v>0</v>
      </c>
      <c r="BL287" s="136"/>
      <c r="BM287" s="136"/>
      <c r="BN287" s="136"/>
      <c r="BO287" s="136"/>
      <c r="BP287" s="136"/>
      <c r="BQ287" s="136"/>
      <c r="BR287" s="136"/>
      <c r="BS287" s="136"/>
      <c r="BT287" s="136"/>
      <c r="BU287" s="136"/>
      <c r="BV287" s="136"/>
      <c r="BW287" s="136"/>
      <c r="BY287" s="12"/>
      <c r="CA287" s="12"/>
      <c r="EX287" s="10" t="str">
        <f t="shared" si="167"/>
        <v/>
      </c>
    </row>
    <row r="288" spans="1:154" s="67" customFormat="1" x14ac:dyDescent="0.25">
      <c r="B288" s="67" t="str">
        <f ca="1">Loans!B$24</f>
        <v>Loan 12</v>
      </c>
      <c r="D288" s="62">
        <f>Loans!D$24</f>
        <v>0</v>
      </c>
      <c r="S288" s="279"/>
      <c r="T288" s="335"/>
      <c r="U288" s="335"/>
      <c r="V288" s="136"/>
      <c r="W288" s="136"/>
      <c r="X288" s="136"/>
      <c r="Y288" s="136"/>
      <c r="AA288" s="45">
        <f>SUM($AA265:AA265)*AA265</f>
        <v>0</v>
      </c>
      <c r="AB288" s="45">
        <f>SUM($AA265:AB265)*AB265</f>
        <v>0</v>
      </c>
      <c r="AC288" s="45">
        <f>SUM($AA265:AC265)*AC265</f>
        <v>0</v>
      </c>
      <c r="AD288" s="45">
        <f>SUM($AA265:AD265)*AD265</f>
        <v>0</v>
      </c>
      <c r="AE288" s="45">
        <f>SUM($AA265:AE265)*AE265</f>
        <v>0</v>
      </c>
      <c r="AF288" s="45">
        <f>SUM($AA265:AF265)*AF265</f>
        <v>0</v>
      </c>
      <c r="AG288" s="45">
        <f>SUM($AA265:AG265)*AG265</f>
        <v>0</v>
      </c>
      <c r="AH288" s="45">
        <f>SUM($AA265:AH265)*AH265</f>
        <v>0</v>
      </c>
      <c r="AI288" s="45">
        <f>SUM($AA265:AI265)*AI265</f>
        <v>0</v>
      </c>
      <c r="AJ288" s="45">
        <f>SUM($AA265:AJ265)*AJ265</f>
        <v>0</v>
      </c>
      <c r="AK288" s="45">
        <f>SUM($AA265:AK265)*AK265</f>
        <v>0</v>
      </c>
      <c r="AL288" s="45">
        <f>SUM($AA265:AL265)*AL265</f>
        <v>0</v>
      </c>
      <c r="AM288" s="45">
        <f>SUM($AA265:AM265)*AM265</f>
        <v>0</v>
      </c>
      <c r="AN288" s="45">
        <f>SUM($AA265:AN265)*AN265</f>
        <v>0</v>
      </c>
      <c r="AO288" s="45">
        <f>SUM($AA265:AO265)*AO265</f>
        <v>0</v>
      </c>
      <c r="AP288" s="45">
        <f>SUM($AA265:AP265)*AP265</f>
        <v>0</v>
      </c>
      <c r="AQ288" s="45">
        <f>SUM($AA265:AQ265)*AQ265</f>
        <v>0</v>
      </c>
      <c r="AR288" s="45">
        <f>SUM($AA265:AR265)*AR265</f>
        <v>0</v>
      </c>
      <c r="AS288" s="45">
        <f>SUM($AA265:AS265)*AS265</f>
        <v>0</v>
      </c>
      <c r="AT288" s="45">
        <f>SUM($AA265:AT265)*AT265</f>
        <v>0</v>
      </c>
      <c r="AU288" s="45">
        <f>SUM($AA265:AU265)*AU265</f>
        <v>0</v>
      </c>
      <c r="AV288" s="45">
        <f>SUM($AA265:AV265)*AV265</f>
        <v>0</v>
      </c>
      <c r="AW288" s="45">
        <f>SUM($AA265:AW265)*AW265</f>
        <v>0</v>
      </c>
      <c r="AX288" s="45">
        <f>SUM($AA265:AX265)*AX265</f>
        <v>0</v>
      </c>
      <c r="AY288" s="45">
        <f>SUM($AA265:AY265)*AY265</f>
        <v>0</v>
      </c>
      <c r="AZ288" s="45">
        <f>SUM($AA265:AZ265)*AZ265</f>
        <v>0</v>
      </c>
      <c r="BA288" s="45">
        <f>SUM($AA265:BA265)*BA265</f>
        <v>0</v>
      </c>
      <c r="BB288" s="45">
        <f>SUM($AA265:BB265)*BB265</f>
        <v>0</v>
      </c>
      <c r="BC288" s="45">
        <f>SUM($AA265:BC265)*BC265</f>
        <v>0</v>
      </c>
      <c r="BD288" s="45">
        <f>SUM($AA265:BD265)*BD265</f>
        <v>0</v>
      </c>
      <c r="BE288" s="45">
        <f>SUM($AA265:BE265)*BE265</f>
        <v>0</v>
      </c>
      <c r="BF288" s="45">
        <f>SUM($AA265:BF265)*BF265</f>
        <v>0</v>
      </c>
      <c r="BG288" s="45">
        <f>SUM($AA265:BG265)*BG265</f>
        <v>0</v>
      </c>
      <c r="BH288" s="45">
        <f>SUM($AA265:BH265)*BH265</f>
        <v>0</v>
      </c>
      <c r="BI288" s="45">
        <f>SUM($AA265:BI265)*BI265</f>
        <v>0</v>
      </c>
      <c r="BJ288" s="45">
        <f>SUM($AA265:BJ265)*BJ265</f>
        <v>0</v>
      </c>
      <c r="BL288" s="136"/>
      <c r="BM288" s="136"/>
      <c r="BN288" s="136"/>
      <c r="BO288" s="136"/>
      <c r="BP288" s="136"/>
      <c r="BQ288" s="136"/>
      <c r="BR288" s="136"/>
      <c r="BS288" s="136"/>
      <c r="BT288" s="136"/>
      <c r="BU288" s="136"/>
      <c r="BV288" s="136"/>
      <c r="BW288" s="136"/>
      <c r="BY288" s="12"/>
      <c r="CA288" s="12"/>
      <c r="EX288" s="10" t="str">
        <f t="shared" si="167"/>
        <v/>
      </c>
    </row>
    <row r="289" spans="2:154" s="67" customFormat="1" x14ac:dyDescent="0.25">
      <c r="B289" s="67" t="str">
        <f ca="1">Loans!B$25</f>
        <v>Loan 13</v>
      </c>
      <c r="D289" s="62">
        <f>Loans!D$25</f>
        <v>0</v>
      </c>
      <c r="S289" s="279"/>
      <c r="T289" s="335"/>
      <c r="U289" s="335"/>
      <c r="V289" s="136"/>
      <c r="W289" s="136"/>
      <c r="X289" s="136"/>
      <c r="Y289" s="136"/>
      <c r="AA289" s="45">
        <f>SUM($AA266:AA266)*AA266</f>
        <v>0</v>
      </c>
      <c r="AB289" s="45">
        <f>SUM($AA266:AB266)*AB266</f>
        <v>0</v>
      </c>
      <c r="AC289" s="45">
        <f>SUM($AA266:AC266)*AC266</f>
        <v>0</v>
      </c>
      <c r="AD289" s="45">
        <f>SUM($AA266:AD266)*AD266</f>
        <v>0</v>
      </c>
      <c r="AE289" s="45">
        <f>SUM($AA266:AE266)*AE266</f>
        <v>0</v>
      </c>
      <c r="AF289" s="45">
        <f>SUM($AA266:AF266)*AF266</f>
        <v>0</v>
      </c>
      <c r="AG289" s="45">
        <f>SUM($AA266:AG266)*AG266</f>
        <v>0</v>
      </c>
      <c r="AH289" s="45">
        <f>SUM($AA266:AH266)*AH266</f>
        <v>0</v>
      </c>
      <c r="AI289" s="45">
        <f>SUM($AA266:AI266)*AI266</f>
        <v>0</v>
      </c>
      <c r="AJ289" s="45">
        <f>SUM($AA266:AJ266)*AJ266</f>
        <v>0</v>
      </c>
      <c r="AK289" s="45">
        <f>SUM($AA266:AK266)*AK266</f>
        <v>0</v>
      </c>
      <c r="AL289" s="45">
        <f>SUM($AA266:AL266)*AL266</f>
        <v>0</v>
      </c>
      <c r="AM289" s="45">
        <f>SUM($AA266:AM266)*AM266</f>
        <v>0</v>
      </c>
      <c r="AN289" s="45">
        <f>SUM($AA266:AN266)*AN266</f>
        <v>0</v>
      </c>
      <c r="AO289" s="45">
        <f>SUM($AA266:AO266)*AO266</f>
        <v>0</v>
      </c>
      <c r="AP289" s="45">
        <f>SUM($AA266:AP266)*AP266</f>
        <v>0</v>
      </c>
      <c r="AQ289" s="45">
        <f>SUM($AA266:AQ266)*AQ266</f>
        <v>0</v>
      </c>
      <c r="AR289" s="45">
        <f>SUM($AA266:AR266)*AR266</f>
        <v>0</v>
      </c>
      <c r="AS289" s="45">
        <f>SUM($AA266:AS266)*AS266</f>
        <v>0</v>
      </c>
      <c r="AT289" s="45">
        <f>SUM($AA266:AT266)*AT266</f>
        <v>0</v>
      </c>
      <c r="AU289" s="45">
        <f>SUM($AA266:AU266)*AU266</f>
        <v>0</v>
      </c>
      <c r="AV289" s="45">
        <f>SUM($AA266:AV266)*AV266</f>
        <v>0</v>
      </c>
      <c r="AW289" s="45">
        <f>SUM($AA266:AW266)*AW266</f>
        <v>0</v>
      </c>
      <c r="AX289" s="45">
        <f>SUM($AA266:AX266)*AX266</f>
        <v>0</v>
      </c>
      <c r="AY289" s="45">
        <f>SUM($AA266:AY266)*AY266</f>
        <v>0</v>
      </c>
      <c r="AZ289" s="45">
        <f>SUM($AA266:AZ266)*AZ266</f>
        <v>0</v>
      </c>
      <c r="BA289" s="45">
        <f>SUM($AA266:BA266)*BA266</f>
        <v>0</v>
      </c>
      <c r="BB289" s="45">
        <f>SUM($AA266:BB266)*BB266</f>
        <v>0</v>
      </c>
      <c r="BC289" s="45">
        <f>SUM($AA266:BC266)*BC266</f>
        <v>0</v>
      </c>
      <c r="BD289" s="45">
        <f>SUM($AA266:BD266)*BD266</f>
        <v>0</v>
      </c>
      <c r="BE289" s="45">
        <f>SUM($AA266:BE266)*BE266</f>
        <v>0</v>
      </c>
      <c r="BF289" s="45">
        <f>SUM($AA266:BF266)*BF266</f>
        <v>0</v>
      </c>
      <c r="BG289" s="45">
        <f>SUM($AA266:BG266)*BG266</f>
        <v>0</v>
      </c>
      <c r="BH289" s="45">
        <f>SUM($AA266:BH266)*BH266</f>
        <v>0</v>
      </c>
      <c r="BI289" s="45">
        <f>SUM($AA266:BI266)*BI266</f>
        <v>0</v>
      </c>
      <c r="BJ289" s="45">
        <f>SUM($AA266:BJ266)*BJ266</f>
        <v>0</v>
      </c>
      <c r="BL289" s="136"/>
      <c r="BM289" s="136"/>
      <c r="BN289" s="136"/>
      <c r="BO289" s="136"/>
      <c r="BP289" s="136"/>
      <c r="BQ289" s="136"/>
      <c r="BR289" s="136"/>
      <c r="BS289" s="136"/>
      <c r="BT289" s="136"/>
      <c r="BU289" s="136"/>
      <c r="BV289" s="136"/>
      <c r="BW289" s="136"/>
      <c r="BY289" s="12"/>
      <c r="CA289" s="12"/>
      <c r="EX289" s="10" t="str">
        <f t="shared" si="167"/>
        <v/>
      </c>
    </row>
    <row r="290" spans="2:154" s="67" customFormat="1" x14ac:dyDescent="0.25">
      <c r="B290" s="67" t="str">
        <f ca="1">Loans!B$26</f>
        <v>Loan 14</v>
      </c>
      <c r="D290" s="62">
        <f>Loans!D$26</f>
        <v>0</v>
      </c>
      <c r="S290" s="279"/>
      <c r="T290" s="335"/>
      <c r="U290" s="335"/>
      <c r="V290" s="136"/>
      <c r="W290" s="136"/>
      <c r="X290" s="136"/>
      <c r="Y290" s="136"/>
      <c r="AA290" s="45">
        <f>SUM($AA267:AA267)*AA267</f>
        <v>0</v>
      </c>
      <c r="AB290" s="45">
        <f>SUM($AA267:AB267)*AB267</f>
        <v>0</v>
      </c>
      <c r="AC290" s="45">
        <f>SUM($AA267:AC267)*AC267</f>
        <v>0</v>
      </c>
      <c r="AD290" s="45">
        <f>SUM($AA267:AD267)*AD267</f>
        <v>0</v>
      </c>
      <c r="AE290" s="45">
        <f>SUM($AA267:AE267)*AE267</f>
        <v>0</v>
      </c>
      <c r="AF290" s="45">
        <f>SUM($AA267:AF267)*AF267</f>
        <v>0</v>
      </c>
      <c r="AG290" s="45">
        <f>SUM($AA267:AG267)*AG267</f>
        <v>0</v>
      </c>
      <c r="AH290" s="45">
        <f>SUM($AA267:AH267)*AH267</f>
        <v>0</v>
      </c>
      <c r="AI290" s="45">
        <f>SUM($AA267:AI267)*AI267</f>
        <v>0</v>
      </c>
      <c r="AJ290" s="45">
        <f>SUM($AA267:AJ267)*AJ267</f>
        <v>0</v>
      </c>
      <c r="AK290" s="45">
        <f>SUM($AA267:AK267)*AK267</f>
        <v>0</v>
      </c>
      <c r="AL290" s="45">
        <f>SUM($AA267:AL267)*AL267</f>
        <v>0</v>
      </c>
      <c r="AM290" s="45">
        <f>SUM($AA267:AM267)*AM267</f>
        <v>0</v>
      </c>
      <c r="AN290" s="45">
        <f>SUM($AA267:AN267)*AN267</f>
        <v>0</v>
      </c>
      <c r="AO290" s="45">
        <f>SUM($AA267:AO267)*AO267</f>
        <v>0</v>
      </c>
      <c r="AP290" s="45">
        <f>SUM($AA267:AP267)*AP267</f>
        <v>0</v>
      </c>
      <c r="AQ290" s="45">
        <f>SUM($AA267:AQ267)*AQ267</f>
        <v>0</v>
      </c>
      <c r="AR290" s="45">
        <f>SUM($AA267:AR267)*AR267</f>
        <v>0</v>
      </c>
      <c r="AS290" s="45">
        <f>SUM($AA267:AS267)*AS267</f>
        <v>0</v>
      </c>
      <c r="AT290" s="45">
        <f>SUM($AA267:AT267)*AT267</f>
        <v>0</v>
      </c>
      <c r="AU290" s="45">
        <f>SUM($AA267:AU267)*AU267</f>
        <v>0</v>
      </c>
      <c r="AV290" s="45">
        <f>SUM($AA267:AV267)*AV267</f>
        <v>0</v>
      </c>
      <c r="AW290" s="45">
        <f>SUM($AA267:AW267)*AW267</f>
        <v>0</v>
      </c>
      <c r="AX290" s="45">
        <f>SUM($AA267:AX267)*AX267</f>
        <v>0</v>
      </c>
      <c r="AY290" s="45">
        <f>SUM($AA267:AY267)*AY267</f>
        <v>0</v>
      </c>
      <c r="AZ290" s="45">
        <f>SUM($AA267:AZ267)*AZ267</f>
        <v>0</v>
      </c>
      <c r="BA290" s="45">
        <f>SUM($AA267:BA267)*BA267</f>
        <v>0</v>
      </c>
      <c r="BB290" s="45">
        <f>SUM($AA267:BB267)*BB267</f>
        <v>0</v>
      </c>
      <c r="BC290" s="45">
        <f>SUM($AA267:BC267)*BC267</f>
        <v>0</v>
      </c>
      <c r="BD290" s="45">
        <f>SUM($AA267:BD267)*BD267</f>
        <v>0</v>
      </c>
      <c r="BE290" s="45">
        <f>SUM($AA267:BE267)*BE267</f>
        <v>0</v>
      </c>
      <c r="BF290" s="45">
        <f>SUM($AA267:BF267)*BF267</f>
        <v>0</v>
      </c>
      <c r="BG290" s="45">
        <f>SUM($AA267:BG267)*BG267</f>
        <v>0</v>
      </c>
      <c r="BH290" s="45">
        <f>SUM($AA267:BH267)*BH267</f>
        <v>0</v>
      </c>
      <c r="BI290" s="45">
        <f>SUM($AA267:BI267)*BI267</f>
        <v>0</v>
      </c>
      <c r="BJ290" s="45">
        <f>SUM($AA267:BJ267)*BJ267</f>
        <v>0</v>
      </c>
      <c r="BL290" s="136"/>
      <c r="BM290" s="136"/>
      <c r="BN290" s="136"/>
      <c r="BO290" s="136"/>
      <c r="BP290" s="136"/>
      <c r="BQ290" s="136"/>
      <c r="BR290" s="136"/>
      <c r="BS290" s="136"/>
      <c r="BT290" s="136"/>
      <c r="BU290" s="136"/>
      <c r="BV290" s="136"/>
      <c r="BW290" s="136"/>
      <c r="BY290" s="12"/>
      <c r="CA290" s="12"/>
      <c r="EX290" s="10" t="str">
        <f t="shared" si="167"/>
        <v/>
      </c>
    </row>
    <row r="291" spans="2:154" s="67" customFormat="1" x14ac:dyDescent="0.25">
      <c r="B291" s="67" t="str">
        <f ca="1">Loans!B$27</f>
        <v>Loan 15</v>
      </c>
      <c r="D291" s="62">
        <f>Loans!D$27</f>
        <v>0</v>
      </c>
      <c r="S291" s="279"/>
      <c r="T291" s="335"/>
      <c r="U291" s="335"/>
      <c r="V291" s="136"/>
      <c r="W291" s="136"/>
      <c r="X291" s="136"/>
      <c r="Y291" s="136"/>
      <c r="AA291" s="45">
        <f>SUM($AA268:AA268)*AA268</f>
        <v>0</v>
      </c>
      <c r="AB291" s="45">
        <f>SUM($AA268:AB268)*AB268</f>
        <v>0</v>
      </c>
      <c r="AC291" s="45">
        <f>SUM($AA268:AC268)*AC268</f>
        <v>0</v>
      </c>
      <c r="AD291" s="45">
        <f>SUM($AA268:AD268)*AD268</f>
        <v>0</v>
      </c>
      <c r="AE291" s="45">
        <f>SUM($AA268:AE268)*AE268</f>
        <v>0</v>
      </c>
      <c r="AF291" s="45">
        <f>SUM($AA268:AF268)*AF268</f>
        <v>0</v>
      </c>
      <c r="AG291" s="45">
        <f>SUM($AA268:AG268)*AG268</f>
        <v>0</v>
      </c>
      <c r="AH291" s="45">
        <f>SUM($AA268:AH268)*AH268</f>
        <v>0</v>
      </c>
      <c r="AI291" s="45">
        <f>SUM($AA268:AI268)*AI268</f>
        <v>0</v>
      </c>
      <c r="AJ291" s="45">
        <f>SUM($AA268:AJ268)*AJ268</f>
        <v>0</v>
      </c>
      <c r="AK291" s="45">
        <f>SUM($AA268:AK268)*AK268</f>
        <v>0</v>
      </c>
      <c r="AL291" s="45">
        <f>SUM($AA268:AL268)*AL268</f>
        <v>0</v>
      </c>
      <c r="AM291" s="45">
        <f>SUM($AA268:AM268)*AM268</f>
        <v>0</v>
      </c>
      <c r="AN291" s="45">
        <f>SUM($AA268:AN268)*AN268</f>
        <v>0</v>
      </c>
      <c r="AO291" s="45">
        <f>SUM($AA268:AO268)*AO268</f>
        <v>0</v>
      </c>
      <c r="AP291" s="45">
        <f>SUM($AA268:AP268)*AP268</f>
        <v>0</v>
      </c>
      <c r="AQ291" s="45">
        <f>SUM($AA268:AQ268)*AQ268</f>
        <v>0</v>
      </c>
      <c r="AR291" s="45">
        <f>SUM($AA268:AR268)*AR268</f>
        <v>0</v>
      </c>
      <c r="AS291" s="45">
        <f>SUM($AA268:AS268)*AS268</f>
        <v>0</v>
      </c>
      <c r="AT291" s="45">
        <f>SUM($AA268:AT268)*AT268</f>
        <v>0</v>
      </c>
      <c r="AU291" s="45">
        <f>SUM($AA268:AU268)*AU268</f>
        <v>0</v>
      </c>
      <c r="AV291" s="45">
        <f>SUM($AA268:AV268)*AV268</f>
        <v>0</v>
      </c>
      <c r="AW291" s="45">
        <f>SUM($AA268:AW268)*AW268</f>
        <v>0</v>
      </c>
      <c r="AX291" s="45">
        <f>SUM($AA268:AX268)*AX268</f>
        <v>0</v>
      </c>
      <c r="AY291" s="45">
        <f>SUM($AA268:AY268)*AY268</f>
        <v>0</v>
      </c>
      <c r="AZ291" s="45">
        <f>SUM($AA268:AZ268)*AZ268</f>
        <v>0</v>
      </c>
      <c r="BA291" s="45">
        <f>SUM($AA268:BA268)*BA268</f>
        <v>0</v>
      </c>
      <c r="BB291" s="45">
        <f>SUM($AA268:BB268)*BB268</f>
        <v>0</v>
      </c>
      <c r="BC291" s="45">
        <f>SUM($AA268:BC268)*BC268</f>
        <v>0</v>
      </c>
      <c r="BD291" s="45">
        <f>SUM($AA268:BD268)*BD268</f>
        <v>0</v>
      </c>
      <c r="BE291" s="45">
        <f>SUM($AA268:BE268)*BE268</f>
        <v>0</v>
      </c>
      <c r="BF291" s="45">
        <f>SUM($AA268:BF268)*BF268</f>
        <v>0</v>
      </c>
      <c r="BG291" s="45">
        <f>SUM($AA268:BG268)*BG268</f>
        <v>0</v>
      </c>
      <c r="BH291" s="45">
        <f>SUM($AA268:BH268)*BH268</f>
        <v>0</v>
      </c>
      <c r="BI291" s="45">
        <f>SUM($AA268:BI268)*BI268</f>
        <v>0</v>
      </c>
      <c r="BJ291" s="45">
        <f>SUM($AA268:BJ268)*BJ268</f>
        <v>0</v>
      </c>
      <c r="BL291" s="136"/>
      <c r="BM291" s="136"/>
      <c r="BN291" s="136"/>
      <c r="BO291" s="136"/>
      <c r="BP291" s="136"/>
      <c r="BQ291" s="136"/>
      <c r="BR291" s="136"/>
      <c r="BS291" s="136"/>
      <c r="BT291" s="136"/>
      <c r="BU291" s="136"/>
      <c r="BV291" s="136"/>
      <c r="BW291" s="136"/>
      <c r="BY291" s="12"/>
      <c r="CA291" s="12"/>
      <c r="EX291" s="10" t="str">
        <f t="shared" si="167"/>
        <v/>
      </c>
    </row>
    <row r="292" spans="2:154" s="67" customFormat="1" x14ac:dyDescent="0.25">
      <c r="B292" s="67" t="str">
        <f ca="1">Loans!B$28</f>
        <v>Loan 16</v>
      </c>
      <c r="D292" s="62">
        <f>Loans!D$28</f>
        <v>0</v>
      </c>
      <c r="S292" s="279"/>
      <c r="T292" s="335"/>
      <c r="U292" s="335"/>
      <c r="V292" s="136"/>
      <c r="W292" s="136"/>
      <c r="X292" s="136"/>
      <c r="Y292" s="136"/>
      <c r="AA292" s="45">
        <f>SUM($AA269:AA269)*AA269</f>
        <v>0</v>
      </c>
      <c r="AB292" s="45">
        <f>SUM($AA269:AB269)*AB269</f>
        <v>0</v>
      </c>
      <c r="AC292" s="45">
        <f>SUM($AA269:AC269)*AC269</f>
        <v>0</v>
      </c>
      <c r="AD292" s="45">
        <f>SUM($AA269:AD269)*AD269</f>
        <v>0</v>
      </c>
      <c r="AE292" s="45">
        <f>SUM($AA269:AE269)*AE269</f>
        <v>0</v>
      </c>
      <c r="AF292" s="45">
        <f>SUM($AA269:AF269)*AF269</f>
        <v>0</v>
      </c>
      <c r="AG292" s="45">
        <f>SUM($AA269:AG269)*AG269</f>
        <v>0</v>
      </c>
      <c r="AH292" s="45">
        <f>SUM($AA269:AH269)*AH269</f>
        <v>0</v>
      </c>
      <c r="AI292" s="45">
        <f>SUM($AA269:AI269)*AI269</f>
        <v>0</v>
      </c>
      <c r="AJ292" s="45">
        <f>SUM($AA269:AJ269)*AJ269</f>
        <v>0</v>
      </c>
      <c r="AK292" s="45">
        <f>SUM($AA269:AK269)*AK269</f>
        <v>0</v>
      </c>
      <c r="AL292" s="45">
        <f>SUM($AA269:AL269)*AL269</f>
        <v>0</v>
      </c>
      <c r="AM292" s="45">
        <f>SUM($AA269:AM269)*AM269</f>
        <v>0</v>
      </c>
      <c r="AN292" s="45">
        <f>SUM($AA269:AN269)*AN269</f>
        <v>0</v>
      </c>
      <c r="AO292" s="45">
        <f>SUM($AA269:AO269)*AO269</f>
        <v>0</v>
      </c>
      <c r="AP292" s="45">
        <f>SUM($AA269:AP269)*AP269</f>
        <v>0</v>
      </c>
      <c r="AQ292" s="45">
        <f>SUM($AA269:AQ269)*AQ269</f>
        <v>0</v>
      </c>
      <c r="AR292" s="45">
        <f>SUM($AA269:AR269)*AR269</f>
        <v>0</v>
      </c>
      <c r="AS292" s="45">
        <f>SUM($AA269:AS269)*AS269</f>
        <v>0</v>
      </c>
      <c r="AT292" s="45">
        <f>SUM($AA269:AT269)*AT269</f>
        <v>0</v>
      </c>
      <c r="AU292" s="45">
        <f>SUM($AA269:AU269)*AU269</f>
        <v>0</v>
      </c>
      <c r="AV292" s="45">
        <f>SUM($AA269:AV269)*AV269</f>
        <v>0</v>
      </c>
      <c r="AW292" s="45">
        <f>SUM($AA269:AW269)*AW269</f>
        <v>0</v>
      </c>
      <c r="AX292" s="45">
        <f>SUM($AA269:AX269)*AX269</f>
        <v>0</v>
      </c>
      <c r="AY292" s="45">
        <f>SUM($AA269:AY269)*AY269</f>
        <v>0</v>
      </c>
      <c r="AZ292" s="45">
        <f>SUM($AA269:AZ269)*AZ269</f>
        <v>0</v>
      </c>
      <c r="BA292" s="45">
        <f>SUM($AA269:BA269)*BA269</f>
        <v>0</v>
      </c>
      <c r="BB292" s="45">
        <f>SUM($AA269:BB269)*BB269</f>
        <v>0</v>
      </c>
      <c r="BC292" s="45">
        <f>SUM($AA269:BC269)*BC269</f>
        <v>0</v>
      </c>
      <c r="BD292" s="45">
        <f>SUM($AA269:BD269)*BD269</f>
        <v>0</v>
      </c>
      <c r="BE292" s="45">
        <f>SUM($AA269:BE269)*BE269</f>
        <v>0</v>
      </c>
      <c r="BF292" s="45">
        <f>SUM($AA269:BF269)*BF269</f>
        <v>0</v>
      </c>
      <c r="BG292" s="45">
        <f>SUM($AA269:BG269)*BG269</f>
        <v>0</v>
      </c>
      <c r="BH292" s="45">
        <f>SUM($AA269:BH269)*BH269</f>
        <v>0</v>
      </c>
      <c r="BI292" s="45">
        <f>SUM($AA269:BI269)*BI269</f>
        <v>0</v>
      </c>
      <c r="BJ292" s="45">
        <f>SUM($AA269:BJ269)*BJ269</f>
        <v>0</v>
      </c>
      <c r="BL292" s="136"/>
      <c r="BM292" s="136"/>
      <c r="BN292" s="136"/>
      <c r="BO292" s="136"/>
      <c r="BP292" s="136"/>
      <c r="BQ292" s="136"/>
      <c r="BR292" s="136"/>
      <c r="BS292" s="136"/>
      <c r="BT292" s="136"/>
      <c r="BU292" s="136"/>
      <c r="BV292" s="136"/>
      <c r="BW292" s="136"/>
      <c r="BY292" s="12"/>
      <c r="CA292" s="12"/>
      <c r="EX292" s="10" t="str">
        <f t="shared" si="167"/>
        <v/>
      </c>
    </row>
    <row r="293" spans="2:154" s="67" customFormat="1" x14ac:dyDescent="0.25">
      <c r="B293" s="67" t="str">
        <f ca="1">Loans!B$29</f>
        <v>Loan 17</v>
      </c>
      <c r="D293" s="62">
        <f>Loans!D$29</f>
        <v>0</v>
      </c>
      <c r="S293" s="279"/>
      <c r="T293" s="335"/>
      <c r="U293" s="335"/>
      <c r="V293" s="136"/>
      <c r="W293" s="136"/>
      <c r="X293" s="136"/>
      <c r="Y293" s="136"/>
      <c r="AA293" s="45">
        <f>SUM($AA270:AA270)*AA270</f>
        <v>0</v>
      </c>
      <c r="AB293" s="45">
        <f>SUM($AA270:AB270)*AB270</f>
        <v>0</v>
      </c>
      <c r="AC293" s="45">
        <f>SUM($AA270:AC270)*AC270</f>
        <v>0</v>
      </c>
      <c r="AD293" s="45">
        <f>SUM($AA270:AD270)*AD270</f>
        <v>0</v>
      </c>
      <c r="AE293" s="45">
        <f>SUM($AA270:AE270)*AE270</f>
        <v>0</v>
      </c>
      <c r="AF293" s="45">
        <f>SUM($AA270:AF270)*AF270</f>
        <v>0</v>
      </c>
      <c r="AG293" s="45">
        <f>SUM($AA270:AG270)*AG270</f>
        <v>0</v>
      </c>
      <c r="AH293" s="45">
        <f>SUM($AA270:AH270)*AH270</f>
        <v>0</v>
      </c>
      <c r="AI293" s="45">
        <f>SUM($AA270:AI270)*AI270</f>
        <v>0</v>
      </c>
      <c r="AJ293" s="45">
        <f>SUM($AA270:AJ270)*AJ270</f>
        <v>0</v>
      </c>
      <c r="AK293" s="45">
        <f>SUM($AA270:AK270)*AK270</f>
        <v>0</v>
      </c>
      <c r="AL293" s="45">
        <f>SUM($AA270:AL270)*AL270</f>
        <v>0</v>
      </c>
      <c r="AM293" s="45">
        <f>SUM($AA270:AM270)*AM270</f>
        <v>0</v>
      </c>
      <c r="AN293" s="45">
        <f>SUM($AA270:AN270)*AN270</f>
        <v>0</v>
      </c>
      <c r="AO293" s="45">
        <f>SUM($AA270:AO270)*AO270</f>
        <v>0</v>
      </c>
      <c r="AP293" s="45">
        <f>SUM($AA270:AP270)*AP270</f>
        <v>0</v>
      </c>
      <c r="AQ293" s="45">
        <f>SUM($AA270:AQ270)*AQ270</f>
        <v>0</v>
      </c>
      <c r="AR293" s="45">
        <f>SUM($AA270:AR270)*AR270</f>
        <v>0</v>
      </c>
      <c r="AS293" s="45">
        <f>SUM($AA270:AS270)*AS270</f>
        <v>0</v>
      </c>
      <c r="AT293" s="45">
        <f>SUM($AA270:AT270)*AT270</f>
        <v>0</v>
      </c>
      <c r="AU293" s="45">
        <f>SUM($AA270:AU270)*AU270</f>
        <v>0</v>
      </c>
      <c r="AV293" s="45">
        <f>SUM($AA270:AV270)*AV270</f>
        <v>0</v>
      </c>
      <c r="AW293" s="45">
        <f>SUM($AA270:AW270)*AW270</f>
        <v>0</v>
      </c>
      <c r="AX293" s="45">
        <f>SUM($AA270:AX270)*AX270</f>
        <v>0</v>
      </c>
      <c r="AY293" s="45">
        <f>SUM($AA270:AY270)*AY270</f>
        <v>0</v>
      </c>
      <c r="AZ293" s="45">
        <f>SUM($AA270:AZ270)*AZ270</f>
        <v>0</v>
      </c>
      <c r="BA293" s="45">
        <f>SUM($AA270:BA270)*BA270</f>
        <v>0</v>
      </c>
      <c r="BB293" s="45">
        <f>SUM($AA270:BB270)*BB270</f>
        <v>0</v>
      </c>
      <c r="BC293" s="45">
        <f>SUM($AA270:BC270)*BC270</f>
        <v>0</v>
      </c>
      <c r="BD293" s="45">
        <f>SUM($AA270:BD270)*BD270</f>
        <v>0</v>
      </c>
      <c r="BE293" s="45">
        <f>SUM($AA270:BE270)*BE270</f>
        <v>0</v>
      </c>
      <c r="BF293" s="45">
        <f>SUM($AA270:BF270)*BF270</f>
        <v>0</v>
      </c>
      <c r="BG293" s="45">
        <f>SUM($AA270:BG270)*BG270</f>
        <v>0</v>
      </c>
      <c r="BH293" s="45">
        <f>SUM($AA270:BH270)*BH270</f>
        <v>0</v>
      </c>
      <c r="BI293" s="45">
        <f>SUM($AA270:BI270)*BI270</f>
        <v>0</v>
      </c>
      <c r="BJ293" s="45">
        <f>SUM($AA270:BJ270)*BJ270</f>
        <v>0</v>
      </c>
      <c r="BL293" s="136"/>
      <c r="BM293" s="136"/>
      <c r="BN293" s="136"/>
      <c r="BO293" s="136"/>
      <c r="BP293" s="136"/>
      <c r="BQ293" s="136"/>
      <c r="BR293" s="136"/>
      <c r="BS293" s="136"/>
      <c r="BT293" s="136"/>
      <c r="BU293" s="136"/>
      <c r="BV293" s="136"/>
      <c r="BW293" s="136"/>
      <c r="BY293" s="12"/>
      <c r="CA293" s="12"/>
      <c r="EX293" s="10" t="str">
        <f t="shared" si="167"/>
        <v/>
      </c>
    </row>
    <row r="294" spans="2:154" s="67" customFormat="1" x14ac:dyDescent="0.25">
      <c r="B294" s="67" t="str">
        <f ca="1">Loans!B$30</f>
        <v>Loan 18</v>
      </c>
      <c r="D294" s="62">
        <f>Loans!D$30</f>
        <v>0</v>
      </c>
      <c r="S294" s="279"/>
      <c r="T294" s="335"/>
      <c r="U294" s="335"/>
      <c r="V294" s="136"/>
      <c r="W294" s="136"/>
      <c r="X294" s="136"/>
      <c r="Y294" s="136"/>
      <c r="AA294" s="45">
        <f>SUM($AA271:AA271)*AA271</f>
        <v>0</v>
      </c>
      <c r="AB294" s="45">
        <f>SUM($AA271:AB271)*AB271</f>
        <v>0</v>
      </c>
      <c r="AC294" s="45">
        <f>SUM($AA271:AC271)*AC271</f>
        <v>0</v>
      </c>
      <c r="AD294" s="45">
        <f>SUM($AA271:AD271)*AD271</f>
        <v>0</v>
      </c>
      <c r="AE294" s="45">
        <f>SUM($AA271:AE271)*AE271</f>
        <v>0</v>
      </c>
      <c r="AF294" s="45">
        <f>SUM($AA271:AF271)*AF271</f>
        <v>0</v>
      </c>
      <c r="AG294" s="45">
        <f>SUM($AA271:AG271)*AG271</f>
        <v>0</v>
      </c>
      <c r="AH294" s="45">
        <f>SUM($AA271:AH271)*AH271</f>
        <v>0</v>
      </c>
      <c r="AI294" s="45">
        <f>SUM($AA271:AI271)*AI271</f>
        <v>0</v>
      </c>
      <c r="AJ294" s="45">
        <f>SUM($AA271:AJ271)*AJ271</f>
        <v>0</v>
      </c>
      <c r="AK294" s="45">
        <f>SUM($AA271:AK271)*AK271</f>
        <v>0</v>
      </c>
      <c r="AL294" s="45">
        <f>SUM($AA271:AL271)*AL271</f>
        <v>0</v>
      </c>
      <c r="AM294" s="45">
        <f>SUM($AA271:AM271)*AM271</f>
        <v>0</v>
      </c>
      <c r="AN294" s="45">
        <f>SUM($AA271:AN271)*AN271</f>
        <v>0</v>
      </c>
      <c r="AO294" s="45">
        <f>SUM($AA271:AO271)*AO271</f>
        <v>0</v>
      </c>
      <c r="AP294" s="45">
        <f>SUM($AA271:AP271)*AP271</f>
        <v>0</v>
      </c>
      <c r="AQ294" s="45">
        <f>SUM($AA271:AQ271)*AQ271</f>
        <v>0</v>
      </c>
      <c r="AR294" s="45">
        <f>SUM($AA271:AR271)*AR271</f>
        <v>0</v>
      </c>
      <c r="AS294" s="45">
        <f>SUM($AA271:AS271)*AS271</f>
        <v>0</v>
      </c>
      <c r="AT294" s="45">
        <f>SUM($AA271:AT271)*AT271</f>
        <v>0</v>
      </c>
      <c r="AU294" s="45">
        <f>SUM($AA271:AU271)*AU271</f>
        <v>0</v>
      </c>
      <c r="AV294" s="45">
        <f>SUM($AA271:AV271)*AV271</f>
        <v>0</v>
      </c>
      <c r="AW294" s="45">
        <f>SUM($AA271:AW271)*AW271</f>
        <v>0</v>
      </c>
      <c r="AX294" s="45">
        <f>SUM($AA271:AX271)*AX271</f>
        <v>0</v>
      </c>
      <c r="AY294" s="45">
        <f>SUM($AA271:AY271)*AY271</f>
        <v>0</v>
      </c>
      <c r="AZ294" s="45">
        <f>SUM($AA271:AZ271)*AZ271</f>
        <v>0</v>
      </c>
      <c r="BA294" s="45">
        <f>SUM($AA271:BA271)*BA271</f>
        <v>0</v>
      </c>
      <c r="BB294" s="45">
        <f>SUM($AA271:BB271)*BB271</f>
        <v>0</v>
      </c>
      <c r="BC294" s="45">
        <f>SUM($AA271:BC271)*BC271</f>
        <v>0</v>
      </c>
      <c r="BD294" s="45">
        <f>SUM($AA271:BD271)*BD271</f>
        <v>0</v>
      </c>
      <c r="BE294" s="45">
        <f>SUM($AA271:BE271)*BE271</f>
        <v>0</v>
      </c>
      <c r="BF294" s="45">
        <f>SUM($AA271:BF271)*BF271</f>
        <v>0</v>
      </c>
      <c r="BG294" s="45">
        <f>SUM($AA271:BG271)*BG271</f>
        <v>0</v>
      </c>
      <c r="BH294" s="45">
        <f>SUM($AA271:BH271)*BH271</f>
        <v>0</v>
      </c>
      <c r="BI294" s="45">
        <f>SUM($AA271:BI271)*BI271</f>
        <v>0</v>
      </c>
      <c r="BJ294" s="45">
        <f>SUM($AA271:BJ271)*BJ271</f>
        <v>0</v>
      </c>
      <c r="BL294" s="136"/>
      <c r="BM294" s="136"/>
      <c r="BN294" s="136"/>
      <c r="BO294" s="136"/>
      <c r="BP294" s="136"/>
      <c r="BQ294" s="136"/>
      <c r="BR294" s="136"/>
      <c r="BS294" s="136"/>
      <c r="BT294" s="136"/>
      <c r="BU294" s="136"/>
      <c r="BV294" s="136"/>
      <c r="BW294" s="136"/>
      <c r="BY294" s="12"/>
      <c r="CA294" s="12"/>
      <c r="EX294" s="10" t="str">
        <f t="shared" si="167"/>
        <v/>
      </c>
    </row>
    <row r="295" spans="2:154" s="67" customFormat="1" x14ac:dyDescent="0.25">
      <c r="B295" s="67" t="str">
        <f ca="1">Loans!B$31</f>
        <v>Loan 19</v>
      </c>
      <c r="D295" s="62">
        <f>Loans!D$31</f>
        <v>0</v>
      </c>
      <c r="S295" s="279"/>
      <c r="T295" s="335"/>
      <c r="U295" s="335"/>
      <c r="V295" s="136"/>
      <c r="W295" s="136"/>
      <c r="X295" s="136"/>
      <c r="Y295" s="136"/>
      <c r="AA295" s="45">
        <f>SUM($AA272:AA272)*AA272</f>
        <v>0</v>
      </c>
      <c r="AB295" s="45">
        <f>SUM($AA272:AB272)*AB272</f>
        <v>0</v>
      </c>
      <c r="AC295" s="45">
        <f>SUM($AA272:AC272)*AC272</f>
        <v>0</v>
      </c>
      <c r="AD295" s="45">
        <f>SUM($AA272:AD272)*AD272</f>
        <v>0</v>
      </c>
      <c r="AE295" s="45">
        <f>SUM($AA272:AE272)*AE272</f>
        <v>0</v>
      </c>
      <c r="AF295" s="45">
        <f>SUM($AA272:AF272)*AF272</f>
        <v>0</v>
      </c>
      <c r="AG295" s="45">
        <f>SUM($AA272:AG272)*AG272</f>
        <v>0</v>
      </c>
      <c r="AH295" s="45">
        <f>SUM($AA272:AH272)*AH272</f>
        <v>0</v>
      </c>
      <c r="AI295" s="45">
        <f>SUM($AA272:AI272)*AI272</f>
        <v>0</v>
      </c>
      <c r="AJ295" s="45">
        <f>SUM($AA272:AJ272)*AJ272</f>
        <v>0</v>
      </c>
      <c r="AK295" s="45">
        <f>SUM($AA272:AK272)*AK272</f>
        <v>0</v>
      </c>
      <c r="AL295" s="45">
        <f>SUM($AA272:AL272)*AL272</f>
        <v>0</v>
      </c>
      <c r="AM295" s="45">
        <f>SUM($AA272:AM272)*AM272</f>
        <v>0</v>
      </c>
      <c r="AN295" s="45">
        <f>SUM($AA272:AN272)*AN272</f>
        <v>0</v>
      </c>
      <c r="AO295" s="45">
        <f>SUM($AA272:AO272)*AO272</f>
        <v>0</v>
      </c>
      <c r="AP295" s="45">
        <f>SUM($AA272:AP272)*AP272</f>
        <v>0</v>
      </c>
      <c r="AQ295" s="45">
        <f>SUM($AA272:AQ272)*AQ272</f>
        <v>0</v>
      </c>
      <c r="AR295" s="45">
        <f>SUM($AA272:AR272)*AR272</f>
        <v>0</v>
      </c>
      <c r="AS295" s="45">
        <f>SUM($AA272:AS272)*AS272</f>
        <v>0</v>
      </c>
      <c r="AT295" s="45">
        <f>SUM($AA272:AT272)*AT272</f>
        <v>0</v>
      </c>
      <c r="AU295" s="45">
        <f>SUM($AA272:AU272)*AU272</f>
        <v>0</v>
      </c>
      <c r="AV295" s="45">
        <f>SUM($AA272:AV272)*AV272</f>
        <v>0</v>
      </c>
      <c r="AW295" s="45">
        <f>SUM($AA272:AW272)*AW272</f>
        <v>0</v>
      </c>
      <c r="AX295" s="45">
        <f>SUM($AA272:AX272)*AX272</f>
        <v>0</v>
      </c>
      <c r="AY295" s="45">
        <f>SUM($AA272:AY272)*AY272</f>
        <v>0</v>
      </c>
      <c r="AZ295" s="45">
        <f>SUM($AA272:AZ272)*AZ272</f>
        <v>0</v>
      </c>
      <c r="BA295" s="45">
        <f>SUM($AA272:BA272)*BA272</f>
        <v>0</v>
      </c>
      <c r="BB295" s="45">
        <f>SUM($AA272:BB272)*BB272</f>
        <v>0</v>
      </c>
      <c r="BC295" s="45">
        <f>SUM($AA272:BC272)*BC272</f>
        <v>0</v>
      </c>
      <c r="BD295" s="45">
        <f>SUM($AA272:BD272)*BD272</f>
        <v>0</v>
      </c>
      <c r="BE295" s="45">
        <f>SUM($AA272:BE272)*BE272</f>
        <v>0</v>
      </c>
      <c r="BF295" s="45">
        <f>SUM($AA272:BF272)*BF272</f>
        <v>0</v>
      </c>
      <c r="BG295" s="45">
        <f>SUM($AA272:BG272)*BG272</f>
        <v>0</v>
      </c>
      <c r="BH295" s="45">
        <f>SUM($AA272:BH272)*BH272</f>
        <v>0</v>
      </c>
      <c r="BI295" s="45">
        <f>SUM($AA272:BI272)*BI272</f>
        <v>0</v>
      </c>
      <c r="BJ295" s="45">
        <f>SUM($AA272:BJ272)*BJ272</f>
        <v>0</v>
      </c>
      <c r="BL295" s="136"/>
      <c r="BM295" s="136"/>
      <c r="BN295" s="136"/>
      <c r="BO295" s="136"/>
      <c r="BP295" s="136"/>
      <c r="BQ295" s="136"/>
      <c r="BR295" s="136"/>
      <c r="BS295" s="136"/>
      <c r="BT295" s="136"/>
      <c r="BU295" s="136"/>
      <c r="BV295" s="136"/>
      <c r="BW295" s="136"/>
      <c r="BY295" s="12"/>
      <c r="CA295" s="12"/>
      <c r="EX295" s="10" t="str">
        <f t="shared" si="167"/>
        <v/>
      </c>
    </row>
    <row r="296" spans="2:154" s="67" customFormat="1" x14ac:dyDescent="0.25">
      <c r="B296" s="67" t="str">
        <f ca="1">Loans!B$32</f>
        <v>Loan 20</v>
      </c>
      <c r="D296" s="62">
        <f>Loans!D$32</f>
        <v>0</v>
      </c>
      <c r="S296" s="279"/>
      <c r="T296" s="335"/>
      <c r="U296" s="335"/>
      <c r="V296" s="136"/>
      <c r="W296" s="136"/>
      <c r="X296" s="136"/>
      <c r="Y296" s="136"/>
      <c r="AA296" s="45">
        <f>SUM($AA273:AA273)*AA273</f>
        <v>0</v>
      </c>
      <c r="AB296" s="45">
        <f>SUM($AA273:AB273)*AB273</f>
        <v>0</v>
      </c>
      <c r="AC296" s="45">
        <f>SUM($AA273:AC273)*AC273</f>
        <v>0</v>
      </c>
      <c r="AD296" s="45">
        <f>SUM($AA273:AD273)*AD273</f>
        <v>0</v>
      </c>
      <c r="AE296" s="45">
        <f>SUM($AA273:AE273)*AE273</f>
        <v>0</v>
      </c>
      <c r="AF296" s="45">
        <f>SUM($AA273:AF273)*AF273</f>
        <v>0</v>
      </c>
      <c r="AG296" s="45">
        <f>SUM($AA273:AG273)*AG273</f>
        <v>0</v>
      </c>
      <c r="AH296" s="45">
        <f>SUM($AA273:AH273)*AH273</f>
        <v>0</v>
      </c>
      <c r="AI296" s="45">
        <f>SUM($AA273:AI273)*AI273</f>
        <v>0</v>
      </c>
      <c r="AJ296" s="45">
        <f>SUM($AA273:AJ273)*AJ273</f>
        <v>0</v>
      </c>
      <c r="AK296" s="45">
        <f>SUM($AA273:AK273)*AK273</f>
        <v>0</v>
      </c>
      <c r="AL296" s="45">
        <f>SUM($AA273:AL273)*AL273</f>
        <v>0</v>
      </c>
      <c r="AM296" s="45">
        <f>SUM($AA273:AM273)*AM273</f>
        <v>0</v>
      </c>
      <c r="AN296" s="45">
        <f>SUM($AA273:AN273)*AN273</f>
        <v>0</v>
      </c>
      <c r="AO296" s="45">
        <f>SUM($AA273:AO273)*AO273</f>
        <v>0</v>
      </c>
      <c r="AP296" s="45">
        <f>SUM($AA273:AP273)*AP273</f>
        <v>0</v>
      </c>
      <c r="AQ296" s="45">
        <f>SUM($AA273:AQ273)*AQ273</f>
        <v>0</v>
      </c>
      <c r="AR296" s="45">
        <f>SUM($AA273:AR273)*AR273</f>
        <v>0</v>
      </c>
      <c r="AS296" s="45">
        <f>SUM($AA273:AS273)*AS273</f>
        <v>0</v>
      </c>
      <c r="AT296" s="45">
        <f>SUM($AA273:AT273)*AT273</f>
        <v>0</v>
      </c>
      <c r="AU296" s="45">
        <f>SUM($AA273:AU273)*AU273</f>
        <v>0</v>
      </c>
      <c r="AV296" s="45">
        <f>SUM($AA273:AV273)*AV273</f>
        <v>0</v>
      </c>
      <c r="AW296" s="45">
        <f>SUM($AA273:AW273)*AW273</f>
        <v>0</v>
      </c>
      <c r="AX296" s="45">
        <f>SUM($AA273:AX273)*AX273</f>
        <v>0</v>
      </c>
      <c r="AY296" s="45">
        <f>SUM($AA273:AY273)*AY273</f>
        <v>0</v>
      </c>
      <c r="AZ296" s="45">
        <f>SUM($AA273:AZ273)*AZ273</f>
        <v>0</v>
      </c>
      <c r="BA296" s="45">
        <f>SUM($AA273:BA273)*BA273</f>
        <v>0</v>
      </c>
      <c r="BB296" s="45">
        <f>SUM($AA273:BB273)*BB273</f>
        <v>0</v>
      </c>
      <c r="BC296" s="45">
        <f>SUM($AA273:BC273)*BC273</f>
        <v>0</v>
      </c>
      <c r="BD296" s="45">
        <f>SUM($AA273:BD273)*BD273</f>
        <v>0</v>
      </c>
      <c r="BE296" s="45">
        <f>SUM($AA273:BE273)*BE273</f>
        <v>0</v>
      </c>
      <c r="BF296" s="45">
        <f>SUM($AA273:BF273)*BF273</f>
        <v>0</v>
      </c>
      <c r="BG296" s="45">
        <f>SUM($AA273:BG273)*BG273</f>
        <v>0</v>
      </c>
      <c r="BH296" s="45">
        <f>SUM($AA273:BH273)*BH273</f>
        <v>0</v>
      </c>
      <c r="BI296" s="45">
        <f>SUM($AA273:BI273)*BI273</f>
        <v>0</v>
      </c>
      <c r="BJ296" s="45">
        <f>SUM($AA273:BJ273)*BJ273</f>
        <v>0</v>
      </c>
      <c r="BL296" s="136"/>
      <c r="BM296" s="136"/>
      <c r="BN296" s="136"/>
      <c r="BO296" s="136"/>
      <c r="BP296" s="136"/>
      <c r="BQ296" s="136"/>
      <c r="BR296" s="136"/>
      <c r="BS296" s="136"/>
      <c r="BT296" s="136"/>
      <c r="BU296" s="136"/>
      <c r="BV296" s="136"/>
      <c r="BW296" s="136"/>
      <c r="BY296" s="12"/>
      <c r="CA296" s="12"/>
      <c r="EX296" s="10" t="str">
        <f t="shared" si="167"/>
        <v/>
      </c>
    </row>
    <row r="297" spans="2:154" s="67" customFormat="1" ht="6.6" customHeight="1" x14ac:dyDescent="0.25">
      <c r="D297" s="1"/>
      <c r="T297" s="335"/>
      <c r="U297" s="335"/>
      <c r="BM297" s="6"/>
      <c r="BY297" s="42"/>
      <c r="CA297" s="42"/>
      <c r="EX297" s="10" t="str">
        <f t="shared" si="167"/>
        <v/>
      </c>
    </row>
    <row r="298" spans="2:154" s="67" customFormat="1" x14ac:dyDescent="0.25">
      <c r="D298" s="5" t="s">
        <v>766</v>
      </c>
      <c r="T298" s="335"/>
      <c r="U298" s="335"/>
      <c r="BY298" s="12"/>
      <c r="CA298" s="12"/>
      <c r="EX298" s="10" t="str">
        <f t="shared" si="167"/>
        <v/>
      </c>
    </row>
    <row r="299" spans="2:154" s="67" customFormat="1" ht="30" x14ac:dyDescent="0.25">
      <c r="B299" s="5"/>
      <c r="D299" s="5" t="str">
        <f>Loans!D$11</f>
        <v>Lender</v>
      </c>
      <c r="E299" s="27" t="s">
        <v>765</v>
      </c>
      <c r="T299" s="335"/>
      <c r="U299" s="335"/>
      <c r="BY299" s="12"/>
      <c r="CA299" s="12"/>
      <c r="EX299" s="10" t="str">
        <f t="shared" si="167"/>
        <v/>
      </c>
    </row>
    <row r="300" spans="2:154" s="67" customFormat="1" x14ac:dyDescent="0.25">
      <c r="B300" s="67" t="str">
        <f ca="1">Loans!B$13</f>
        <v>Loan 1</v>
      </c>
      <c r="D300" s="62" t="str">
        <f>Loans!D$13</f>
        <v>NatWest</v>
      </c>
      <c r="E300" s="10">
        <f>Loans!N13</f>
        <v>0</v>
      </c>
      <c r="T300" s="335"/>
      <c r="U300" s="335"/>
      <c r="V300" s="136"/>
      <c r="W300" s="136"/>
      <c r="X300" s="136"/>
      <c r="Y300" s="136"/>
      <c r="AA300" s="45">
        <f>IF('Fin Stat'!AA$209&lt;$E300, 1, 0)</f>
        <v>0</v>
      </c>
      <c r="AB300" s="45">
        <f>IF('Fin Stat'!AB$209&lt;$E300, 1, 0)</f>
        <v>0</v>
      </c>
      <c r="AC300" s="45">
        <f>IF('Fin Stat'!AC$209&lt;$E300, 1, 0)</f>
        <v>0</v>
      </c>
      <c r="AD300" s="45">
        <f>IF('Fin Stat'!AD$209&lt;$E300, 1, 0)</f>
        <v>0</v>
      </c>
      <c r="AE300" s="45">
        <f>IF('Fin Stat'!AE$209&lt;$E300, 1, 0)</f>
        <v>0</v>
      </c>
      <c r="AF300" s="45">
        <f>IF('Fin Stat'!AF$209&lt;$E300, 1, 0)</f>
        <v>0</v>
      </c>
      <c r="AG300" s="45">
        <f>IF('Fin Stat'!AG$209&lt;$E300, 1, 0)</f>
        <v>0</v>
      </c>
      <c r="AH300" s="45">
        <f>IF('Fin Stat'!AH$209&lt;$E300, 1, 0)</f>
        <v>0</v>
      </c>
      <c r="AI300" s="45">
        <f>IF('Fin Stat'!AI$209&lt;$E300, 1, 0)</f>
        <v>0</v>
      </c>
      <c r="AJ300" s="45">
        <f>IF('Fin Stat'!AJ$209&lt;$E300, 1, 0)</f>
        <v>0</v>
      </c>
      <c r="AK300" s="45">
        <f>IF('Fin Stat'!AK$209&lt;$E300, 1, 0)</f>
        <v>0</v>
      </c>
      <c r="AL300" s="45">
        <f>IF('Fin Stat'!AL$209&lt;$E300, 1, 0)</f>
        <v>0</v>
      </c>
      <c r="AM300" s="45">
        <f>IF('Fin Stat'!AM$209&lt;$E300, 1, 0)</f>
        <v>0</v>
      </c>
      <c r="AN300" s="45">
        <f>IF('Fin Stat'!AN$209&lt;$E300, 1, 0)</f>
        <v>0</v>
      </c>
      <c r="AO300" s="45">
        <f>IF('Fin Stat'!AO$209&lt;$E300, 1, 0)</f>
        <v>0</v>
      </c>
      <c r="AP300" s="45">
        <f>IF('Fin Stat'!AP$209&lt;$E300, 1, 0)</f>
        <v>0</v>
      </c>
      <c r="AQ300" s="45">
        <f>IF('Fin Stat'!AQ$209&lt;$E300, 1, 0)</f>
        <v>0</v>
      </c>
      <c r="AR300" s="45">
        <f>IF('Fin Stat'!AR$209&lt;$E300, 1, 0)</f>
        <v>0</v>
      </c>
      <c r="AS300" s="45">
        <f>IF('Fin Stat'!AS$209&lt;$E300, 1, 0)</f>
        <v>0</v>
      </c>
      <c r="AT300" s="45">
        <f>IF('Fin Stat'!AT$209&lt;$E300, 1, 0)</f>
        <v>0</v>
      </c>
      <c r="AU300" s="45">
        <f>IF('Fin Stat'!AU$209&lt;$E300, 1, 0)</f>
        <v>0</v>
      </c>
      <c r="AV300" s="45">
        <f>IF('Fin Stat'!AV$209&lt;$E300, 1, 0)</f>
        <v>0</v>
      </c>
      <c r="AW300" s="45">
        <f>IF('Fin Stat'!AW$209&lt;$E300, 1, 0)</f>
        <v>0</v>
      </c>
      <c r="AX300" s="45">
        <f>IF('Fin Stat'!AX$209&lt;$E300, 1, 0)</f>
        <v>0</v>
      </c>
      <c r="AY300" s="45">
        <f>IF('Fin Stat'!AY$209&lt;$E300, 1, 0)</f>
        <v>0</v>
      </c>
      <c r="AZ300" s="45">
        <f>IF('Fin Stat'!AZ$209&lt;$E300, 1, 0)</f>
        <v>0</v>
      </c>
      <c r="BA300" s="45">
        <f>IF('Fin Stat'!BA$209&lt;$E300, 1, 0)</f>
        <v>0</v>
      </c>
      <c r="BB300" s="45">
        <f>IF('Fin Stat'!BB$209&lt;$E300, 1, 0)</f>
        <v>0</v>
      </c>
      <c r="BC300" s="45">
        <f>IF('Fin Stat'!BC$209&lt;$E300, 1, 0)</f>
        <v>0</v>
      </c>
      <c r="BD300" s="45">
        <f>IF('Fin Stat'!BD$209&lt;$E300, 1, 0)</f>
        <v>0</v>
      </c>
      <c r="BE300" s="45">
        <f>IF('Fin Stat'!BE$209&lt;$E300, 1, 0)</f>
        <v>0</v>
      </c>
      <c r="BF300" s="45">
        <f>IF('Fin Stat'!BF$209&lt;$E300, 1, 0)</f>
        <v>0</v>
      </c>
      <c r="BG300" s="45">
        <f>IF('Fin Stat'!BG$209&lt;$E300, 1, 0)</f>
        <v>0</v>
      </c>
      <c r="BH300" s="45">
        <f>IF('Fin Stat'!BH$209&lt;$E300, 1, 0)</f>
        <v>0</v>
      </c>
      <c r="BI300" s="45">
        <f>IF('Fin Stat'!BI$209&lt;$E300, 1, 0)</f>
        <v>0</v>
      </c>
      <c r="BJ300" s="45">
        <f>IF('Fin Stat'!BJ$209&lt;$E300, 1, 0)</f>
        <v>0</v>
      </c>
      <c r="BL300" s="136"/>
      <c r="BM300" s="136"/>
      <c r="BN300" s="136"/>
      <c r="BO300" s="136"/>
      <c r="BP300" s="45">
        <f>IF('Fin Stat'!BP$209&lt;$E300, 1, 0)</f>
        <v>0</v>
      </c>
      <c r="BQ300" s="45">
        <f>IF('Fin Stat'!BQ$209&lt;$E300, 1, 0)</f>
        <v>0</v>
      </c>
      <c r="BR300" s="45">
        <f>IF('Fin Stat'!BR$209&lt;$E300, 1, 0)</f>
        <v>0</v>
      </c>
      <c r="BS300" s="45">
        <f>IF('Fin Stat'!BS$209&lt;$E300, 1, 0)</f>
        <v>0</v>
      </c>
      <c r="BT300" s="45">
        <f>IF('Fin Stat'!BT$209&lt;$E300, 1, 0)</f>
        <v>0</v>
      </c>
      <c r="BU300" s="45">
        <f>IF('Fin Stat'!BU$209&lt;$E300, 1, 0)</f>
        <v>0</v>
      </c>
      <c r="BV300" s="45">
        <f>IF('Fin Stat'!BV$209&lt;$E300, 1, 0)</f>
        <v>0</v>
      </c>
      <c r="BW300" s="45">
        <f>IF('Fin Stat'!BW$209&lt;$E300, 1, 0)</f>
        <v>0</v>
      </c>
      <c r="BY300" s="12"/>
      <c r="CA300" s="12"/>
      <c r="EX300" s="10" t="str">
        <f t="shared" si="167"/>
        <v/>
      </c>
    </row>
    <row r="301" spans="2:154" s="67" customFormat="1" x14ac:dyDescent="0.25">
      <c r="B301" s="67" t="str">
        <f ca="1">Loans!B$14</f>
        <v>Loan 2</v>
      </c>
      <c r="D301" s="62" t="str">
        <f>Loans!D$14</f>
        <v>NatWest</v>
      </c>
      <c r="E301" s="10">
        <f>Loans!N14</f>
        <v>0</v>
      </c>
      <c r="T301" s="335"/>
      <c r="U301" s="335"/>
      <c r="V301" s="136"/>
      <c r="W301" s="136"/>
      <c r="X301" s="136"/>
      <c r="Y301" s="136"/>
      <c r="AA301" s="45">
        <f>IF('Fin Stat'!AA$209&lt;$E301, 1, 0)</f>
        <v>0</v>
      </c>
      <c r="AB301" s="45">
        <f>IF('Fin Stat'!AB$209&lt;$E301, 1, 0)</f>
        <v>0</v>
      </c>
      <c r="AC301" s="45">
        <f>IF('Fin Stat'!AC$209&lt;$E301, 1, 0)</f>
        <v>0</v>
      </c>
      <c r="AD301" s="45">
        <f>IF('Fin Stat'!AD$209&lt;$E301, 1, 0)</f>
        <v>0</v>
      </c>
      <c r="AE301" s="45">
        <f>IF('Fin Stat'!AE$209&lt;$E301, 1, 0)</f>
        <v>0</v>
      </c>
      <c r="AF301" s="45">
        <f>IF('Fin Stat'!AF$209&lt;$E301, 1, 0)</f>
        <v>0</v>
      </c>
      <c r="AG301" s="45">
        <f>IF('Fin Stat'!AG$209&lt;$E301, 1, 0)</f>
        <v>0</v>
      </c>
      <c r="AH301" s="45">
        <f>IF('Fin Stat'!AH$209&lt;$E301, 1, 0)</f>
        <v>0</v>
      </c>
      <c r="AI301" s="45">
        <f>IF('Fin Stat'!AI$209&lt;$E301, 1, 0)</f>
        <v>0</v>
      </c>
      <c r="AJ301" s="45">
        <f>IF('Fin Stat'!AJ$209&lt;$E301, 1, 0)</f>
        <v>0</v>
      </c>
      <c r="AK301" s="45">
        <f>IF('Fin Stat'!AK$209&lt;$E301, 1, 0)</f>
        <v>0</v>
      </c>
      <c r="AL301" s="45">
        <f>IF('Fin Stat'!AL$209&lt;$E301, 1, 0)</f>
        <v>0</v>
      </c>
      <c r="AM301" s="45">
        <f>IF('Fin Stat'!AM$209&lt;$E301, 1, 0)</f>
        <v>0</v>
      </c>
      <c r="AN301" s="45">
        <f>IF('Fin Stat'!AN$209&lt;$E301, 1, 0)</f>
        <v>0</v>
      </c>
      <c r="AO301" s="45">
        <f>IF('Fin Stat'!AO$209&lt;$E301, 1, 0)</f>
        <v>0</v>
      </c>
      <c r="AP301" s="45">
        <f>IF('Fin Stat'!AP$209&lt;$E301, 1, 0)</f>
        <v>0</v>
      </c>
      <c r="AQ301" s="45">
        <f>IF('Fin Stat'!AQ$209&lt;$E301, 1, 0)</f>
        <v>0</v>
      </c>
      <c r="AR301" s="45">
        <f>IF('Fin Stat'!AR$209&lt;$E301, 1, 0)</f>
        <v>0</v>
      </c>
      <c r="AS301" s="45">
        <f>IF('Fin Stat'!AS$209&lt;$E301, 1, 0)</f>
        <v>0</v>
      </c>
      <c r="AT301" s="45">
        <f>IF('Fin Stat'!AT$209&lt;$E301, 1, 0)</f>
        <v>0</v>
      </c>
      <c r="AU301" s="45">
        <f>IF('Fin Stat'!AU$209&lt;$E301, 1, 0)</f>
        <v>0</v>
      </c>
      <c r="AV301" s="45">
        <f>IF('Fin Stat'!AV$209&lt;$E301, 1, 0)</f>
        <v>0</v>
      </c>
      <c r="AW301" s="45">
        <f>IF('Fin Stat'!AW$209&lt;$E301, 1, 0)</f>
        <v>0</v>
      </c>
      <c r="AX301" s="45">
        <f>IF('Fin Stat'!AX$209&lt;$E301, 1, 0)</f>
        <v>0</v>
      </c>
      <c r="AY301" s="45">
        <f>IF('Fin Stat'!AY$209&lt;$E301, 1, 0)</f>
        <v>0</v>
      </c>
      <c r="AZ301" s="45">
        <f>IF('Fin Stat'!AZ$209&lt;$E301, 1, 0)</f>
        <v>0</v>
      </c>
      <c r="BA301" s="45">
        <f>IF('Fin Stat'!BA$209&lt;$E301, 1, 0)</f>
        <v>0</v>
      </c>
      <c r="BB301" s="45">
        <f>IF('Fin Stat'!BB$209&lt;$E301, 1, 0)</f>
        <v>0</v>
      </c>
      <c r="BC301" s="45">
        <f>IF('Fin Stat'!BC$209&lt;$E301, 1, 0)</f>
        <v>0</v>
      </c>
      <c r="BD301" s="45">
        <f>IF('Fin Stat'!BD$209&lt;$E301, 1, 0)</f>
        <v>0</v>
      </c>
      <c r="BE301" s="45">
        <f>IF('Fin Stat'!BE$209&lt;$E301, 1, 0)</f>
        <v>0</v>
      </c>
      <c r="BF301" s="45">
        <f>IF('Fin Stat'!BF$209&lt;$E301, 1, 0)</f>
        <v>0</v>
      </c>
      <c r="BG301" s="45">
        <f>IF('Fin Stat'!BG$209&lt;$E301, 1, 0)</f>
        <v>0</v>
      </c>
      <c r="BH301" s="45">
        <f>IF('Fin Stat'!BH$209&lt;$E301, 1, 0)</f>
        <v>0</v>
      </c>
      <c r="BI301" s="45">
        <f>IF('Fin Stat'!BI$209&lt;$E301, 1, 0)</f>
        <v>0</v>
      </c>
      <c r="BJ301" s="45">
        <f>IF('Fin Stat'!BJ$209&lt;$E301, 1, 0)</f>
        <v>0</v>
      </c>
      <c r="BL301" s="136"/>
      <c r="BM301" s="136"/>
      <c r="BN301" s="136"/>
      <c r="BO301" s="136"/>
      <c r="BP301" s="45">
        <f>IF('Fin Stat'!BP$209&lt;$E301, 1, 0)</f>
        <v>0</v>
      </c>
      <c r="BQ301" s="45">
        <f>IF('Fin Stat'!BQ$209&lt;$E301, 1, 0)</f>
        <v>0</v>
      </c>
      <c r="BR301" s="45">
        <f>IF('Fin Stat'!BR$209&lt;$E301, 1, 0)</f>
        <v>0</v>
      </c>
      <c r="BS301" s="45">
        <f>IF('Fin Stat'!BS$209&lt;$E301, 1, 0)</f>
        <v>0</v>
      </c>
      <c r="BT301" s="45">
        <f>IF('Fin Stat'!BT$209&lt;$E301, 1, 0)</f>
        <v>0</v>
      </c>
      <c r="BU301" s="45">
        <f>IF('Fin Stat'!BU$209&lt;$E301, 1, 0)</f>
        <v>0</v>
      </c>
      <c r="BV301" s="45">
        <f>IF('Fin Stat'!BV$209&lt;$E301, 1, 0)</f>
        <v>0</v>
      </c>
      <c r="BW301" s="45">
        <f>IF('Fin Stat'!BW$209&lt;$E301, 1, 0)</f>
        <v>0</v>
      </c>
      <c r="BY301" s="12"/>
      <c r="CA301" s="12"/>
      <c r="EX301" s="10" t="str">
        <f t="shared" si="167"/>
        <v/>
      </c>
    </row>
    <row r="302" spans="2:154" s="67" customFormat="1" x14ac:dyDescent="0.25">
      <c r="B302" s="67" t="str">
        <f ca="1">Loans!B$15</f>
        <v>Loan 3</v>
      </c>
      <c r="D302" s="62" t="str">
        <f>Loans!D$15</f>
        <v>NatWest</v>
      </c>
      <c r="E302" s="10">
        <f>Loans!N15</f>
        <v>0</v>
      </c>
      <c r="T302" s="335"/>
      <c r="U302" s="335"/>
      <c r="V302" s="136"/>
      <c r="W302" s="136"/>
      <c r="X302" s="136"/>
      <c r="Y302" s="136"/>
      <c r="AA302" s="45">
        <f>IF('Fin Stat'!AA$209&lt;$E302, 1, 0)</f>
        <v>0</v>
      </c>
      <c r="AB302" s="45">
        <f>IF('Fin Stat'!AB$209&lt;$E302, 1, 0)</f>
        <v>0</v>
      </c>
      <c r="AC302" s="45">
        <f>IF('Fin Stat'!AC$209&lt;$E302, 1, 0)</f>
        <v>0</v>
      </c>
      <c r="AD302" s="45">
        <f>IF('Fin Stat'!AD$209&lt;$E302, 1, 0)</f>
        <v>0</v>
      </c>
      <c r="AE302" s="45">
        <f>IF('Fin Stat'!AE$209&lt;$E302, 1, 0)</f>
        <v>0</v>
      </c>
      <c r="AF302" s="45">
        <f>IF('Fin Stat'!AF$209&lt;$E302, 1, 0)</f>
        <v>0</v>
      </c>
      <c r="AG302" s="45">
        <f>IF('Fin Stat'!AG$209&lt;$E302, 1, 0)</f>
        <v>0</v>
      </c>
      <c r="AH302" s="45">
        <f>IF('Fin Stat'!AH$209&lt;$E302, 1, 0)</f>
        <v>0</v>
      </c>
      <c r="AI302" s="45">
        <f>IF('Fin Stat'!AI$209&lt;$E302, 1, 0)</f>
        <v>0</v>
      </c>
      <c r="AJ302" s="45">
        <f>IF('Fin Stat'!AJ$209&lt;$E302, 1, 0)</f>
        <v>0</v>
      </c>
      <c r="AK302" s="45">
        <f>IF('Fin Stat'!AK$209&lt;$E302, 1, 0)</f>
        <v>0</v>
      </c>
      <c r="AL302" s="45">
        <f>IF('Fin Stat'!AL$209&lt;$E302, 1, 0)</f>
        <v>0</v>
      </c>
      <c r="AM302" s="45">
        <f>IF('Fin Stat'!AM$209&lt;$E302, 1, 0)</f>
        <v>0</v>
      </c>
      <c r="AN302" s="45">
        <f>IF('Fin Stat'!AN$209&lt;$E302, 1, 0)</f>
        <v>0</v>
      </c>
      <c r="AO302" s="45">
        <f>IF('Fin Stat'!AO$209&lt;$E302, 1, 0)</f>
        <v>0</v>
      </c>
      <c r="AP302" s="45">
        <f>IF('Fin Stat'!AP$209&lt;$E302, 1, 0)</f>
        <v>0</v>
      </c>
      <c r="AQ302" s="45">
        <f>IF('Fin Stat'!AQ$209&lt;$E302, 1, 0)</f>
        <v>0</v>
      </c>
      <c r="AR302" s="45">
        <f>IF('Fin Stat'!AR$209&lt;$E302, 1, 0)</f>
        <v>0</v>
      </c>
      <c r="AS302" s="45">
        <f>IF('Fin Stat'!AS$209&lt;$E302, 1, 0)</f>
        <v>0</v>
      </c>
      <c r="AT302" s="45">
        <f>IF('Fin Stat'!AT$209&lt;$E302, 1, 0)</f>
        <v>0</v>
      </c>
      <c r="AU302" s="45">
        <f>IF('Fin Stat'!AU$209&lt;$E302, 1, 0)</f>
        <v>0</v>
      </c>
      <c r="AV302" s="45">
        <f>IF('Fin Stat'!AV$209&lt;$E302, 1, 0)</f>
        <v>0</v>
      </c>
      <c r="AW302" s="45">
        <f>IF('Fin Stat'!AW$209&lt;$E302, 1, 0)</f>
        <v>0</v>
      </c>
      <c r="AX302" s="45">
        <f>IF('Fin Stat'!AX$209&lt;$E302, 1, 0)</f>
        <v>0</v>
      </c>
      <c r="AY302" s="45">
        <f>IF('Fin Stat'!AY$209&lt;$E302, 1, 0)</f>
        <v>0</v>
      </c>
      <c r="AZ302" s="45">
        <f>IF('Fin Stat'!AZ$209&lt;$E302, 1, 0)</f>
        <v>0</v>
      </c>
      <c r="BA302" s="45">
        <f>IF('Fin Stat'!BA$209&lt;$E302, 1, 0)</f>
        <v>0</v>
      </c>
      <c r="BB302" s="45">
        <f>IF('Fin Stat'!BB$209&lt;$E302, 1, 0)</f>
        <v>0</v>
      </c>
      <c r="BC302" s="45">
        <f>IF('Fin Stat'!BC$209&lt;$E302, 1, 0)</f>
        <v>0</v>
      </c>
      <c r="BD302" s="45">
        <f>IF('Fin Stat'!BD$209&lt;$E302, 1, 0)</f>
        <v>0</v>
      </c>
      <c r="BE302" s="45">
        <f>IF('Fin Stat'!BE$209&lt;$E302, 1, 0)</f>
        <v>0</v>
      </c>
      <c r="BF302" s="45">
        <f>IF('Fin Stat'!BF$209&lt;$E302, 1, 0)</f>
        <v>0</v>
      </c>
      <c r="BG302" s="45">
        <f>IF('Fin Stat'!BG$209&lt;$E302, 1, 0)</f>
        <v>0</v>
      </c>
      <c r="BH302" s="45">
        <f>IF('Fin Stat'!BH$209&lt;$E302, 1, 0)</f>
        <v>0</v>
      </c>
      <c r="BI302" s="45">
        <f>IF('Fin Stat'!BI$209&lt;$E302, 1, 0)</f>
        <v>0</v>
      </c>
      <c r="BJ302" s="45">
        <f>IF('Fin Stat'!BJ$209&lt;$E302, 1, 0)</f>
        <v>0</v>
      </c>
      <c r="BL302" s="136"/>
      <c r="BM302" s="136"/>
      <c r="BN302" s="136"/>
      <c r="BO302" s="136"/>
      <c r="BP302" s="45">
        <f>IF('Fin Stat'!BP$209&lt;$E302, 1, 0)</f>
        <v>0</v>
      </c>
      <c r="BQ302" s="45">
        <f>IF('Fin Stat'!BQ$209&lt;$E302, 1, 0)</f>
        <v>0</v>
      </c>
      <c r="BR302" s="45">
        <f>IF('Fin Stat'!BR$209&lt;$E302, 1, 0)</f>
        <v>0</v>
      </c>
      <c r="BS302" s="45">
        <f>IF('Fin Stat'!BS$209&lt;$E302, 1, 0)</f>
        <v>0</v>
      </c>
      <c r="BT302" s="45">
        <f>IF('Fin Stat'!BT$209&lt;$E302, 1, 0)</f>
        <v>0</v>
      </c>
      <c r="BU302" s="45">
        <f>IF('Fin Stat'!BU$209&lt;$E302, 1, 0)</f>
        <v>0</v>
      </c>
      <c r="BV302" s="45">
        <f>IF('Fin Stat'!BV$209&lt;$E302, 1, 0)</f>
        <v>0</v>
      </c>
      <c r="BW302" s="45">
        <f>IF('Fin Stat'!BW$209&lt;$E302, 1, 0)</f>
        <v>0</v>
      </c>
      <c r="BY302" s="12"/>
      <c r="CA302" s="12"/>
      <c r="EX302" s="10" t="str">
        <f t="shared" si="167"/>
        <v/>
      </c>
    </row>
    <row r="303" spans="2:154" s="67" customFormat="1" x14ac:dyDescent="0.25">
      <c r="B303" s="67" t="str">
        <f ca="1">Loans!B$16</f>
        <v>Loan 4</v>
      </c>
      <c r="D303" s="62" t="str">
        <f>Loans!D$16</f>
        <v>NatWest</v>
      </c>
      <c r="E303" s="10">
        <f>Loans!N16</f>
        <v>0</v>
      </c>
      <c r="T303" s="335"/>
      <c r="U303" s="335"/>
      <c r="V303" s="136"/>
      <c r="W303" s="136"/>
      <c r="X303" s="136"/>
      <c r="Y303" s="136"/>
      <c r="AA303" s="45">
        <f>IF('Fin Stat'!AA$209&lt;$E303, 1, 0)</f>
        <v>0</v>
      </c>
      <c r="AB303" s="45">
        <f>IF('Fin Stat'!AB$209&lt;$E303, 1, 0)</f>
        <v>0</v>
      </c>
      <c r="AC303" s="45">
        <f>IF('Fin Stat'!AC$209&lt;$E303, 1, 0)</f>
        <v>0</v>
      </c>
      <c r="AD303" s="45">
        <f>IF('Fin Stat'!AD$209&lt;$E303, 1, 0)</f>
        <v>0</v>
      </c>
      <c r="AE303" s="45">
        <f>IF('Fin Stat'!AE$209&lt;$E303, 1, 0)</f>
        <v>0</v>
      </c>
      <c r="AF303" s="45">
        <f>IF('Fin Stat'!AF$209&lt;$E303, 1, 0)</f>
        <v>0</v>
      </c>
      <c r="AG303" s="45">
        <f>IF('Fin Stat'!AG$209&lt;$E303, 1, 0)</f>
        <v>0</v>
      </c>
      <c r="AH303" s="45">
        <f>IF('Fin Stat'!AH$209&lt;$E303, 1, 0)</f>
        <v>0</v>
      </c>
      <c r="AI303" s="45">
        <f>IF('Fin Stat'!AI$209&lt;$E303, 1, 0)</f>
        <v>0</v>
      </c>
      <c r="AJ303" s="45">
        <f>IF('Fin Stat'!AJ$209&lt;$E303, 1, 0)</f>
        <v>0</v>
      </c>
      <c r="AK303" s="45">
        <f>IF('Fin Stat'!AK$209&lt;$E303, 1, 0)</f>
        <v>0</v>
      </c>
      <c r="AL303" s="45">
        <f>IF('Fin Stat'!AL$209&lt;$E303, 1, 0)</f>
        <v>0</v>
      </c>
      <c r="AM303" s="45">
        <f>IF('Fin Stat'!AM$209&lt;$E303, 1, 0)</f>
        <v>0</v>
      </c>
      <c r="AN303" s="45">
        <f>IF('Fin Stat'!AN$209&lt;$E303, 1, 0)</f>
        <v>0</v>
      </c>
      <c r="AO303" s="45">
        <f>IF('Fin Stat'!AO$209&lt;$E303, 1, 0)</f>
        <v>0</v>
      </c>
      <c r="AP303" s="45">
        <f>IF('Fin Stat'!AP$209&lt;$E303, 1, 0)</f>
        <v>0</v>
      </c>
      <c r="AQ303" s="45">
        <f>IF('Fin Stat'!AQ$209&lt;$E303, 1, 0)</f>
        <v>0</v>
      </c>
      <c r="AR303" s="45">
        <f>IF('Fin Stat'!AR$209&lt;$E303, 1, 0)</f>
        <v>0</v>
      </c>
      <c r="AS303" s="45">
        <f>IF('Fin Stat'!AS$209&lt;$E303, 1, 0)</f>
        <v>0</v>
      </c>
      <c r="AT303" s="45">
        <f>IF('Fin Stat'!AT$209&lt;$E303, 1, 0)</f>
        <v>0</v>
      </c>
      <c r="AU303" s="45">
        <f>IF('Fin Stat'!AU$209&lt;$E303, 1, 0)</f>
        <v>0</v>
      </c>
      <c r="AV303" s="45">
        <f>IF('Fin Stat'!AV$209&lt;$E303, 1, 0)</f>
        <v>0</v>
      </c>
      <c r="AW303" s="45">
        <f>IF('Fin Stat'!AW$209&lt;$E303, 1, 0)</f>
        <v>0</v>
      </c>
      <c r="AX303" s="45">
        <f>IF('Fin Stat'!AX$209&lt;$E303, 1, 0)</f>
        <v>0</v>
      </c>
      <c r="AY303" s="45">
        <f>IF('Fin Stat'!AY$209&lt;$E303, 1, 0)</f>
        <v>0</v>
      </c>
      <c r="AZ303" s="45">
        <f>IF('Fin Stat'!AZ$209&lt;$E303, 1, 0)</f>
        <v>0</v>
      </c>
      <c r="BA303" s="45">
        <f>IF('Fin Stat'!BA$209&lt;$E303, 1, 0)</f>
        <v>0</v>
      </c>
      <c r="BB303" s="45">
        <f>IF('Fin Stat'!BB$209&lt;$E303, 1, 0)</f>
        <v>0</v>
      </c>
      <c r="BC303" s="45">
        <f>IF('Fin Stat'!BC$209&lt;$E303, 1, 0)</f>
        <v>0</v>
      </c>
      <c r="BD303" s="45">
        <f>IF('Fin Stat'!BD$209&lt;$E303, 1, 0)</f>
        <v>0</v>
      </c>
      <c r="BE303" s="45">
        <f>IF('Fin Stat'!BE$209&lt;$E303, 1, 0)</f>
        <v>0</v>
      </c>
      <c r="BF303" s="45">
        <f>IF('Fin Stat'!BF$209&lt;$E303, 1, 0)</f>
        <v>0</v>
      </c>
      <c r="BG303" s="45">
        <f>IF('Fin Stat'!BG$209&lt;$E303, 1, 0)</f>
        <v>0</v>
      </c>
      <c r="BH303" s="45">
        <f>IF('Fin Stat'!BH$209&lt;$E303, 1, 0)</f>
        <v>0</v>
      </c>
      <c r="BI303" s="45">
        <f>IF('Fin Stat'!BI$209&lt;$E303, 1, 0)</f>
        <v>0</v>
      </c>
      <c r="BJ303" s="45">
        <f>IF('Fin Stat'!BJ$209&lt;$E303, 1, 0)</f>
        <v>0</v>
      </c>
      <c r="BL303" s="136"/>
      <c r="BM303" s="136"/>
      <c r="BN303" s="136"/>
      <c r="BO303" s="136"/>
      <c r="BP303" s="45">
        <f>IF('Fin Stat'!BP$209&lt;$E303, 1, 0)</f>
        <v>0</v>
      </c>
      <c r="BQ303" s="45">
        <f>IF('Fin Stat'!BQ$209&lt;$E303, 1, 0)</f>
        <v>0</v>
      </c>
      <c r="BR303" s="45">
        <f>IF('Fin Stat'!BR$209&lt;$E303, 1, 0)</f>
        <v>0</v>
      </c>
      <c r="BS303" s="45">
        <f>IF('Fin Stat'!BS$209&lt;$E303, 1, 0)</f>
        <v>0</v>
      </c>
      <c r="BT303" s="45">
        <f>IF('Fin Stat'!BT$209&lt;$E303, 1, 0)</f>
        <v>0</v>
      </c>
      <c r="BU303" s="45">
        <f>IF('Fin Stat'!BU$209&lt;$E303, 1, 0)</f>
        <v>0</v>
      </c>
      <c r="BV303" s="45">
        <f>IF('Fin Stat'!BV$209&lt;$E303, 1, 0)</f>
        <v>0</v>
      </c>
      <c r="BW303" s="45">
        <f>IF('Fin Stat'!BW$209&lt;$E303, 1, 0)</f>
        <v>0</v>
      </c>
      <c r="BY303" s="12"/>
      <c r="CA303" s="12"/>
      <c r="EX303" s="10" t="str">
        <f t="shared" si="167"/>
        <v/>
      </c>
    </row>
    <row r="304" spans="2:154" s="67" customFormat="1" x14ac:dyDescent="0.25">
      <c r="B304" s="67" t="str">
        <f ca="1">Loans!B$17</f>
        <v>Loan 5</v>
      </c>
      <c r="D304" s="62" t="str">
        <f>Loans!D$17</f>
        <v>NatWest</v>
      </c>
      <c r="E304" s="10">
        <f>Loans!N17</f>
        <v>0</v>
      </c>
      <c r="T304" s="335"/>
      <c r="U304" s="335"/>
      <c r="V304" s="136"/>
      <c r="W304" s="136"/>
      <c r="X304" s="136"/>
      <c r="Y304" s="136"/>
      <c r="AA304" s="45">
        <f>IF('Fin Stat'!AA$209&lt;$E304, 1, 0)</f>
        <v>0</v>
      </c>
      <c r="AB304" s="45">
        <f>IF('Fin Stat'!AB$209&lt;$E304, 1, 0)</f>
        <v>0</v>
      </c>
      <c r="AC304" s="45">
        <f>IF('Fin Stat'!AC$209&lt;$E304, 1, 0)</f>
        <v>0</v>
      </c>
      <c r="AD304" s="45">
        <f>IF('Fin Stat'!AD$209&lt;$E304, 1, 0)</f>
        <v>0</v>
      </c>
      <c r="AE304" s="45">
        <f>IF('Fin Stat'!AE$209&lt;$E304, 1, 0)</f>
        <v>0</v>
      </c>
      <c r="AF304" s="45">
        <f>IF('Fin Stat'!AF$209&lt;$E304, 1, 0)</f>
        <v>0</v>
      </c>
      <c r="AG304" s="45">
        <f>IF('Fin Stat'!AG$209&lt;$E304, 1, 0)</f>
        <v>0</v>
      </c>
      <c r="AH304" s="45">
        <f>IF('Fin Stat'!AH$209&lt;$E304, 1, 0)</f>
        <v>0</v>
      </c>
      <c r="AI304" s="45">
        <f>IF('Fin Stat'!AI$209&lt;$E304, 1, 0)</f>
        <v>0</v>
      </c>
      <c r="AJ304" s="45">
        <f>IF('Fin Stat'!AJ$209&lt;$E304, 1, 0)</f>
        <v>0</v>
      </c>
      <c r="AK304" s="45">
        <f>IF('Fin Stat'!AK$209&lt;$E304, 1, 0)</f>
        <v>0</v>
      </c>
      <c r="AL304" s="45">
        <f>IF('Fin Stat'!AL$209&lt;$E304, 1, 0)</f>
        <v>0</v>
      </c>
      <c r="AM304" s="45">
        <f>IF('Fin Stat'!AM$209&lt;$E304, 1, 0)</f>
        <v>0</v>
      </c>
      <c r="AN304" s="45">
        <f>IF('Fin Stat'!AN$209&lt;$E304, 1, 0)</f>
        <v>0</v>
      </c>
      <c r="AO304" s="45">
        <f>IF('Fin Stat'!AO$209&lt;$E304, 1, 0)</f>
        <v>0</v>
      </c>
      <c r="AP304" s="45">
        <f>IF('Fin Stat'!AP$209&lt;$E304, 1, 0)</f>
        <v>0</v>
      </c>
      <c r="AQ304" s="45">
        <f>IF('Fin Stat'!AQ$209&lt;$E304, 1, 0)</f>
        <v>0</v>
      </c>
      <c r="AR304" s="45">
        <f>IF('Fin Stat'!AR$209&lt;$E304, 1, 0)</f>
        <v>0</v>
      </c>
      <c r="AS304" s="45">
        <f>IF('Fin Stat'!AS$209&lt;$E304, 1, 0)</f>
        <v>0</v>
      </c>
      <c r="AT304" s="45">
        <f>IF('Fin Stat'!AT$209&lt;$E304, 1, 0)</f>
        <v>0</v>
      </c>
      <c r="AU304" s="45">
        <f>IF('Fin Stat'!AU$209&lt;$E304, 1, 0)</f>
        <v>0</v>
      </c>
      <c r="AV304" s="45">
        <f>IF('Fin Stat'!AV$209&lt;$E304, 1, 0)</f>
        <v>0</v>
      </c>
      <c r="AW304" s="45">
        <f>IF('Fin Stat'!AW$209&lt;$E304, 1, 0)</f>
        <v>0</v>
      </c>
      <c r="AX304" s="45">
        <f>IF('Fin Stat'!AX$209&lt;$E304, 1, 0)</f>
        <v>0</v>
      </c>
      <c r="AY304" s="45">
        <f>IF('Fin Stat'!AY$209&lt;$E304, 1, 0)</f>
        <v>0</v>
      </c>
      <c r="AZ304" s="45">
        <f>IF('Fin Stat'!AZ$209&lt;$E304, 1, 0)</f>
        <v>0</v>
      </c>
      <c r="BA304" s="45">
        <f>IF('Fin Stat'!BA$209&lt;$E304, 1, 0)</f>
        <v>0</v>
      </c>
      <c r="BB304" s="45">
        <f>IF('Fin Stat'!BB$209&lt;$E304, 1, 0)</f>
        <v>0</v>
      </c>
      <c r="BC304" s="45">
        <f>IF('Fin Stat'!BC$209&lt;$E304, 1, 0)</f>
        <v>0</v>
      </c>
      <c r="BD304" s="45">
        <f>IF('Fin Stat'!BD$209&lt;$E304, 1, 0)</f>
        <v>0</v>
      </c>
      <c r="BE304" s="45">
        <f>IF('Fin Stat'!BE$209&lt;$E304, 1, 0)</f>
        <v>0</v>
      </c>
      <c r="BF304" s="45">
        <f>IF('Fin Stat'!BF$209&lt;$E304, 1, 0)</f>
        <v>0</v>
      </c>
      <c r="BG304" s="45">
        <f>IF('Fin Stat'!BG$209&lt;$E304, 1, 0)</f>
        <v>0</v>
      </c>
      <c r="BH304" s="45">
        <f>IF('Fin Stat'!BH$209&lt;$E304, 1, 0)</f>
        <v>0</v>
      </c>
      <c r="BI304" s="45">
        <f>IF('Fin Stat'!BI$209&lt;$E304, 1, 0)</f>
        <v>0</v>
      </c>
      <c r="BJ304" s="45">
        <f>IF('Fin Stat'!BJ$209&lt;$E304, 1, 0)</f>
        <v>0</v>
      </c>
      <c r="BL304" s="136"/>
      <c r="BM304" s="136"/>
      <c r="BN304" s="136"/>
      <c r="BO304" s="136"/>
      <c r="BP304" s="45">
        <f>IF('Fin Stat'!BP$209&lt;$E304, 1, 0)</f>
        <v>0</v>
      </c>
      <c r="BQ304" s="45">
        <f>IF('Fin Stat'!BQ$209&lt;$E304, 1, 0)</f>
        <v>0</v>
      </c>
      <c r="BR304" s="45">
        <f>IF('Fin Stat'!BR$209&lt;$E304, 1, 0)</f>
        <v>0</v>
      </c>
      <c r="BS304" s="45">
        <f>IF('Fin Stat'!BS$209&lt;$E304, 1, 0)</f>
        <v>0</v>
      </c>
      <c r="BT304" s="45">
        <f>IF('Fin Stat'!BT$209&lt;$E304, 1, 0)</f>
        <v>0</v>
      </c>
      <c r="BU304" s="45">
        <f>IF('Fin Stat'!BU$209&lt;$E304, 1, 0)</f>
        <v>0</v>
      </c>
      <c r="BV304" s="45">
        <f>IF('Fin Stat'!BV$209&lt;$E304, 1, 0)</f>
        <v>0</v>
      </c>
      <c r="BW304" s="45">
        <f>IF('Fin Stat'!BW$209&lt;$E304, 1, 0)</f>
        <v>0</v>
      </c>
      <c r="BY304" s="12"/>
      <c r="CA304" s="12"/>
      <c r="EX304" s="10" t="str">
        <f t="shared" si="167"/>
        <v/>
      </c>
    </row>
    <row r="305" spans="1:154" s="67" customFormat="1" x14ac:dyDescent="0.25">
      <c r="B305" s="67" t="str">
        <f ca="1">Loans!B$18</f>
        <v>Loan 6</v>
      </c>
      <c r="D305" s="62">
        <f>Loans!D$18</f>
        <v>0</v>
      </c>
      <c r="E305" s="10">
        <f>Loans!N18</f>
        <v>0</v>
      </c>
      <c r="T305" s="335"/>
      <c r="U305" s="335"/>
      <c r="V305" s="136"/>
      <c r="W305" s="136"/>
      <c r="X305" s="136"/>
      <c r="Y305" s="136"/>
      <c r="AA305" s="45">
        <f>IF('Fin Stat'!AA$209&lt;$E305, 1, 0)</f>
        <v>0</v>
      </c>
      <c r="AB305" s="45">
        <f>IF('Fin Stat'!AB$209&lt;$E305, 1, 0)</f>
        <v>0</v>
      </c>
      <c r="AC305" s="45">
        <f>IF('Fin Stat'!AC$209&lt;$E305, 1, 0)</f>
        <v>0</v>
      </c>
      <c r="AD305" s="45">
        <f>IF('Fin Stat'!AD$209&lt;$E305, 1, 0)</f>
        <v>0</v>
      </c>
      <c r="AE305" s="45">
        <f>IF('Fin Stat'!AE$209&lt;$E305, 1, 0)</f>
        <v>0</v>
      </c>
      <c r="AF305" s="45">
        <f>IF('Fin Stat'!AF$209&lt;$E305, 1, 0)</f>
        <v>0</v>
      </c>
      <c r="AG305" s="45">
        <f>IF('Fin Stat'!AG$209&lt;$E305, 1, 0)</f>
        <v>0</v>
      </c>
      <c r="AH305" s="45">
        <f>IF('Fin Stat'!AH$209&lt;$E305, 1, 0)</f>
        <v>0</v>
      </c>
      <c r="AI305" s="45">
        <f>IF('Fin Stat'!AI$209&lt;$E305, 1, 0)</f>
        <v>0</v>
      </c>
      <c r="AJ305" s="45">
        <f>IF('Fin Stat'!AJ$209&lt;$E305, 1, 0)</f>
        <v>0</v>
      </c>
      <c r="AK305" s="45">
        <f>IF('Fin Stat'!AK$209&lt;$E305, 1, 0)</f>
        <v>0</v>
      </c>
      <c r="AL305" s="45">
        <f>IF('Fin Stat'!AL$209&lt;$E305, 1, 0)</f>
        <v>0</v>
      </c>
      <c r="AM305" s="45">
        <f>IF('Fin Stat'!AM$209&lt;$E305, 1, 0)</f>
        <v>0</v>
      </c>
      <c r="AN305" s="45">
        <f>IF('Fin Stat'!AN$209&lt;$E305, 1, 0)</f>
        <v>0</v>
      </c>
      <c r="AO305" s="45">
        <f>IF('Fin Stat'!AO$209&lt;$E305, 1, 0)</f>
        <v>0</v>
      </c>
      <c r="AP305" s="45">
        <f>IF('Fin Stat'!AP$209&lt;$E305, 1, 0)</f>
        <v>0</v>
      </c>
      <c r="AQ305" s="45">
        <f>IF('Fin Stat'!AQ$209&lt;$E305, 1, 0)</f>
        <v>0</v>
      </c>
      <c r="AR305" s="45">
        <f>IF('Fin Stat'!AR$209&lt;$E305, 1, 0)</f>
        <v>0</v>
      </c>
      <c r="AS305" s="45">
        <f>IF('Fin Stat'!AS$209&lt;$E305, 1, 0)</f>
        <v>0</v>
      </c>
      <c r="AT305" s="45">
        <f>IF('Fin Stat'!AT$209&lt;$E305, 1, 0)</f>
        <v>0</v>
      </c>
      <c r="AU305" s="45">
        <f>IF('Fin Stat'!AU$209&lt;$E305, 1, 0)</f>
        <v>0</v>
      </c>
      <c r="AV305" s="45">
        <f>IF('Fin Stat'!AV$209&lt;$E305, 1, 0)</f>
        <v>0</v>
      </c>
      <c r="AW305" s="45">
        <f>IF('Fin Stat'!AW$209&lt;$E305, 1, 0)</f>
        <v>0</v>
      </c>
      <c r="AX305" s="45">
        <f>IF('Fin Stat'!AX$209&lt;$E305, 1, 0)</f>
        <v>0</v>
      </c>
      <c r="AY305" s="45">
        <f>IF('Fin Stat'!AY$209&lt;$E305, 1, 0)</f>
        <v>0</v>
      </c>
      <c r="AZ305" s="45">
        <f>IF('Fin Stat'!AZ$209&lt;$E305, 1, 0)</f>
        <v>0</v>
      </c>
      <c r="BA305" s="45">
        <f>IF('Fin Stat'!BA$209&lt;$E305, 1, 0)</f>
        <v>0</v>
      </c>
      <c r="BB305" s="45">
        <f>IF('Fin Stat'!BB$209&lt;$E305, 1, 0)</f>
        <v>0</v>
      </c>
      <c r="BC305" s="45">
        <f>IF('Fin Stat'!BC$209&lt;$E305, 1, 0)</f>
        <v>0</v>
      </c>
      <c r="BD305" s="45">
        <f>IF('Fin Stat'!BD$209&lt;$E305, 1, 0)</f>
        <v>0</v>
      </c>
      <c r="BE305" s="45">
        <f>IF('Fin Stat'!BE$209&lt;$E305, 1, 0)</f>
        <v>0</v>
      </c>
      <c r="BF305" s="45">
        <f>IF('Fin Stat'!BF$209&lt;$E305, 1, 0)</f>
        <v>0</v>
      </c>
      <c r="BG305" s="45">
        <f>IF('Fin Stat'!BG$209&lt;$E305, 1, 0)</f>
        <v>0</v>
      </c>
      <c r="BH305" s="45">
        <f>IF('Fin Stat'!BH$209&lt;$E305, 1, 0)</f>
        <v>0</v>
      </c>
      <c r="BI305" s="45">
        <f>IF('Fin Stat'!BI$209&lt;$E305, 1, 0)</f>
        <v>0</v>
      </c>
      <c r="BJ305" s="45">
        <f>IF('Fin Stat'!BJ$209&lt;$E305, 1, 0)</f>
        <v>0</v>
      </c>
      <c r="BL305" s="136"/>
      <c r="BM305" s="136"/>
      <c r="BN305" s="136"/>
      <c r="BO305" s="136"/>
      <c r="BP305" s="45">
        <f>IF('Fin Stat'!BP$209&lt;$E305, 1, 0)</f>
        <v>0</v>
      </c>
      <c r="BQ305" s="45">
        <f>IF('Fin Stat'!BQ$209&lt;$E305, 1, 0)</f>
        <v>0</v>
      </c>
      <c r="BR305" s="45">
        <f>IF('Fin Stat'!BR$209&lt;$E305, 1, 0)</f>
        <v>0</v>
      </c>
      <c r="BS305" s="45">
        <f>IF('Fin Stat'!BS$209&lt;$E305, 1, 0)</f>
        <v>0</v>
      </c>
      <c r="BT305" s="45">
        <f>IF('Fin Stat'!BT$209&lt;$E305, 1, 0)</f>
        <v>0</v>
      </c>
      <c r="BU305" s="45">
        <f>IF('Fin Stat'!BU$209&lt;$E305, 1, 0)</f>
        <v>0</v>
      </c>
      <c r="BV305" s="45">
        <f>IF('Fin Stat'!BV$209&lt;$E305, 1, 0)</f>
        <v>0</v>
      </c>
      <c r="BW305" s="45">
        <f>IF('Fin Stat'!BW$209&lt;$E305, 1, 0)</f>
        <v>0</v>
      </c>
      <c r="BY305" s="12"/>
      <c r="CA305" s="12"/>
      <c r="EX305" s="10" t="str">
        <f t="shared" si="167"/>
        <v/>
      </c>
    </row>
    <row r="306" spans="1:154" s="5" customFormat="1" x14ac:dyDescent="0.25">
      <c r="A306" s="67"/>
      <c r="B306" s="67" t="str">
        <f ca="1">Loans!B$19</f>
        <v>Loan 7</v>
      </c>
      <c r="D306" s="62">
        <f>Loans!D$19</f>
        <v>0</v>
      </c>
      <c r="E306" s="10">
        <f>Loans!N19</f>
        <v>0</v>
      </c>
      <c r="F306" s="67"/>
      <c r="G306" s="67"/>
      <c r="H306" s="67"/>
      <c r="I306" s="67"/>
      <c r="J306" s="67"/>
      <c r="K306" s="67"/>
      <c r="M306" s="67"/>
      <c r="N306" s="67"/>
      <c r="O306" s="67"/>
      <c r="P306" s="67"/>
      <c r="Q306" s="67"/>
      <c r="S306" s="67"/>
      <c r="T306" s="335"/>
      <c r="U306" s="335"/>
      <c r="V306" s="136"/>
      <c r="W306" s="136"/>
      <c r="X306" s="136"/>
      <c r="Y306" s="136"/>
      <c r="Z306" s="67"/>
      <c r="AA306" s="45">
        <f>IF('Fin Stat'!AA$209&lt;$E306, 1, 0)</f>
        <v>0</v>
      </c>
      <c r="AB306" s="45">
        <f>IF('Fin Stat'!AB$209&lt;$E306, 1, 0)</f>
        <v>0</v>
      </c>
      <c r="AC306" s="45">
        <f>IF('Fin Stat'!AC$209&lt;$E306, 1, 0)</f>
        <v>0</v>
      </c>
      <c r="AD306" s="45">
        <f>IF('Fin Stat'!AD$209&lt;$E306, 1, 0)</f>
        <v>0</v>
      </c>
      <c r="AE306" s="45">
        <f>IF('Fin Stat'!AE$209&lt;$E306, 1, 0)</f>
        <v>0</v>
      </c>
      <c r="AF306" s="45">
        <f>IF('Fin Stat'!AF$209&lt;$E306, 1, 0)</f>
        <v>0</v>
      </c>
      <c r="AG306" s="45">
        <f>IF('Fin Stat'!AG$209&lt;$E306, 1, 0)</f>
        <v>0</v>
      </c>
      <c r="AH306" s="45">
        <f>IF('Fin Stat'!AH$209&lt;$E306, 1, 0)</f>
        <v>0</v>
      </c>
      <c r="AI306" s="45">
        <f>IF('Fin Stat'!AI$209&lt;$E306, 1, 0)</f>
        <v>0</v>
      </c>
      <c r="AJ306" s="45">
        <f>IF('Fin Stat'!AJ$209&lt;$E306, 1, 0)</f>
        <v>0</v>
      </c>
      <c r="AK306" s="45">
        <f>IF('Fin Stat'!AK$209&lt;$E306, 1, 0)</f>
        <v>0</v>
      </c>
      <c r="AL306" s="45">
        <f>IF('Fin Stat'!AL$209&lt;$E306, 1, 0)</f>
        <v>0</v>
      </c>
      <c r="AM306" s="45">
        <f>IF('Fin Stat'!AM$209&lt;$E306, 1, 0)</f>
        <v>0</v>
      </c>
      <c r="AN306" s="45">
        <f>IF('Fin Stat'!AN$209&lt;$E306, 1, 0)</f>
        <v>0</v>
      </c>
      <c r="AO306" s="45">
        <f>IF('Fin Stat'!AO$209&lt;$E306, 1, 0)</f>
        <v>0</v>
      </c>
      <c r="AP306" s="45">
        <f>IF('Fin Stat'!AP$209&lt;$E306, 1, 0)</f>
        <v>0</v>
      </c>
      <c r="AQ306" s="45">
        <f>IF('Fin Stat'!AQ$209&lt;$E306, 1, 0)</f>
        <v>0</v>
      </c>
      <c r="AR306" s="45">
        <f>IF('Fin Stat'!AR$209&lt;$E306, 1, 0)</f>
        <v>0</v>
      </c>
      <c r="AS306" s="45">
        <f>IF('Fin Stat'!AS$209&lt;$E306, 1, 0)</f>
        <v>0</v>
      </c>
      <c r="AT306" s="45">
        <f>IF('Fin Stat'!AT$209&lt;$E306, 1, 0)</f>
        <v>0</v>
      </c>
      <c r="AU306" s="45">
        <f>IF('Fin Stat'!AU$209&lt;$E306, 1, 0)</f>
        <v>0</v>
      </c>
      <c r="AV306" s="45">
        <f>IF('Fin Stat'!AV$209&lt;$E306, 1, 0)</f>
        <v>0</v>
      </c>
      <c r="AW306" s="45">
        <f>IF('Fin Stat'!AW$209&lt;$E306, 1, 0)</f>
        <v>0</v>
      </c>
      <c r="AX306" s="45">
        <f>IF('Fin Stat'!AX$209&lt;$E306, 1, 0)</f>
        <v>0</v>
      </c>
      <c r="AY306" s="45">
        <f>IF('Fin Stat'!AY$209&lt;$E306, 1, 0)</f>
        <v>0</v>
      </c>
      <c r="AZ306" s="45">
        <f>IF('Fin Stat'!AZ$209&lt;$E306, 1, 0)</f>
        <v>0</v>
      </c>
      <c r="BA306" s="45">
        <f>IF('Fin Stat'!BA$209&lt;$E306, 1, 0)</f>
        <v>0</v>
      </c>
      <c r="BB306" s="45">
        <f>IF('Fin Stat'!BB$209&lt;$E306, 1, 0)</f>
        <v>0</v>
      </c>
      <c r="BC306" s="45">
        <f>IF('Fin Stat'!BC$209&lt;$E306, 1, 0)</f>
        <v>0</v>
      </c>
      <c r="BD306" s="45">
        <f>IF('Fin Stat'!BD$209&lt;$E306, 1, 0)</f>
        <v>0</v>
      </c>
      <c r="BE306" s="45">
        <f>IF('Fin Stat'!BE$209&lt;$E306, 1, 0)</f>
        <v>0</v>
      </c>
      <c r="BF306" s="45">
        <f>IF('Fin Stat'!BF$209&lt;$E306, 1, 0)</f>
        <v>0</v>
      </c>
      <c r="BG306" s="45">
        <f>IF('Fin Stat'!BG$209&lt;$E306, 1, 0)</f>
        <v>0</v>
      </c>
      <c r="BH306" s="45">
        <f>IF('Fin Stat'!BH$209&lt;$E306, 1, 0)</f>
        <v>0</v>
      </c>
      <c r="BI306" s="45">
        <f>IF('Fin Stat'!BI$209&lt;$E306, 1, 0)</f>
        <v>0</v>
      </c>
      <c r="BJ306" s="45">
        <f>IF('Fin Stat'!BJ$209&lt;$E306, 1, 0)</f>
        <v>0</v>
      </c>
      <c r="BK306" s="67"/>
      <c r="BL306" s="136"/>
      <c r="BM306" s="136"/>
      <c r="BN306" s="136"/>
      <c r="BO306" s="136"/>
      <c r="BP306" s="45">
        <f>IF('Fin Stat'!BP$209&lt;$E306, 1, 0)</f>
        <v>0</v>
      </c>
      <c r="BQ306" s="45">
        <f>IF('Fin Stat'!BQ$209&lt;$E306, 1, 0)</f>
        <v>0</v>
      </c>
      <c r="BR306" s="45">
        <f>IF('Fin Stat'!BR$209&lt;$E306, 1, 0)</f>
        <v>0</v>
      </c>
      <c r="BS306" s="45">
        <f>IF('Fin Stat'!BS$209&lt;$E306, 1, 0)</f>
        <v>0</v>
      </c>
      <c r="BT306" s="45">
        <f>IF('Fin Stat'!BT$209&lt;$E306, 1, 0)</f>
        <v>0</v>
      </c>
      <c r="BU306" s="45">
        <f>IF('Fin Stat'!BU$209&lt;$E306, 1, 0)</f>
        <v>0</v>
      </c>
      <c r="BV306" s="45">
        <f>IF('Fin Stat'!BV$209&lt;$E306, 1, 0)</f>
        <v>0</v>
      </c>
      <c r="BW306" s="45">
        <f>IF('Fin Stat'!BW$209&lt;$E306, 1, 0)</f>
        <v>0</v>
      </c>
      <c r="BX306" s="67"/>
      <c r="BY306" s="12"/>
      <c r="BZ306" s="67"/>
      <c r="CA306" s="12"/>
      <c r="EX306" s="10" t="str">
        <f t="shared" si="167"/>
        <v/>
      </c>
    </row>
    <row r="307" spans="1:154" s="67" customFormat="1" x14ac:dyDescent="0.25">
      <c r="B307" s="67" t="str">
        <f ca="1">Loans!B$20</f>
        <v>Loan 8</v>
      </c>
      <c r="D307" s="62">
        <f>Loans!D$20</f>
        <v>0</v>
      </c>
      <c r="E307" s="10">
        <f>Loans!N20</f>
        <v>0</v>
      </c>
      <c r="T307" s="335"/>
      <c r="U307" s="335"/>
      <c r="V307" s="136"/>
      <c r="W307" s="136"/>
      <c r="X307" s="136"/>
      <c r="Y307" s="136"/>
      <c r="AA307" s="45">
        <f>IF('Fin Stat'!AA$209&lt;$E307, 1, 0)</f>
        <v>0</v>
      </c>
      <c r="AB307" s="45">
        <f>IF('Fin Stat'!AB$209&lt;$E307, 1, 0)</f>
        <v>0</v>
      </c>
      <c r="AC307" s="45">
        <f>IF('Fin Stat'!AC$209&lt;$E307, 1, 0)</f>
        <v>0</v>
      </c>
      <c r="AD307" s="45">
        <f>IF('Fin Stat'!AD$209&lt;$E307, 1, 0)</f>
        <v>0</v>
      </c>
      <c r="AE307" s="45">
        <f>IF('Fin Stat'!AE$209&lt;$E307, 1, 0)</f>
        <v>0</v>
      </c>
      <c r="AF307" s="45">
        <f>IF('Fin Stat'!AF$209&lt;$E307, 1, 0)</f>
        <v>0</v>
      </c>
      <c r="AG307" s="45">
        <f>IF('Fin Stat'!AG$209&lt;$E307, 1, 0)</f>
        <v>0</v>
      </c>
      <c r="AH307" s="45">
        <f>IF('Fin Stat'!AH$209&lt;$E307, 1, 0)</f>
        <v>0</v>
      </c>
      <c r="AI307" s="45">
        <f>IF('Fin Stat'!AI$209&lt;$E307, 1, 0)</f>
        <v>0</v>
      </c>
      <c r="AJ307" s="45">
        <f>IF('Fin Stat'!AJ$209&lt;$E307, 1, 0)</f>
        <v>0</v>
      </c>
      <c r="AK307" s="45">
        <f>IF('Fin Stat'!AK$209&lt;$E307, 1, 0)</f>
        <v>0</v>
      </c>
      <c r="AL307" s="45">
        <f>IF('Fin Stat'!AL$209&lt;$E307, 1, 0)</f>
        <v>0</v>
      </c>
      <c r="AM307" s="45">
        <f>IF('Fin Stat'!AM$209&lt;$E307, 1, 0)</f>
        <v>0</v>
      </c>
      <c r="AN307" s="45">
        <f>IF('Fin Stat'!AN$209&lt;$E307, 1, 0)</f>
        <v>0</v>
      </c>
      <c r="AO307" s="45">
        <f>IF('Fin Stat'!AO$209&lt;$E307, 1, 0)</f>
        <v>0</v>
      </c>
      <c r="AP307" s="45">
        <f>IF('Fin Stat'!AP$209&lt;$E307, 1, 0)</f>
        <v>0</v>
      </c>
      <c r="AQ307" s="45">
        <f>IF('Fin Stat'!AQ$209&lt;$E307, 1, 0)</f>
        <v>0</v>
      </c>
      <c r="AR307" s="45">
        <f>IF('Fin Stat'!AR$209&lt;$E307, 1, 0)</f>
        <v>0</v>
      </c>
      <c r="AS307" s="45">
        <f>IF('Fin Stat'!AS$209&lt;$E307, 1, 0)</f>
        <v>0</v>
      </c>
      <c r="AT307" s="45">
        <f>IF('Fin Stat'!AT$209&lt;$E307, 1, 0)</f>
        <v>0</v>
      </c>
      <c r="AU307" s="45">
        <f>IF('Fin Stat'!AU$209&lt;$E307, 1, 0)</f>
        <v>0</v>
      </c>
      <c r="AV307" s="45">
        <f>IF('Fin Stat'!AV$209&lt;$E307, 1, 0)</f>
        <v>0</v>
      </c>
      <c r="AW307" s="45">
        <f>IF('Fin Stat'!AW$209&lt;$E307, 1, 0)</f>
        <v>0</v>
      </c>
      <c r="AX307" s="45">
        <f>IF('Fin Stat'!AX$209&lt;$E307, 1, 0)</f>
        <v>0</v>
      </c>
      <c r="AY307" s="45">
        <f>IF('Fin Stat'!AY$209&lt;$E307, 1, 0)</f>
        <v>0</v>
      </c>
      <c r="AZ307" s="45">
        <f>IF('Fin Stat'!AZ$209&lt;$E307, 1, 0)</f>
        <v>0</v>
      </c>
      <c r="BA307" s="45">
        <f>IF('Fin Stat'!BA$209&lt;$E307, 1, 0)</f>
        <v>0</v>
      </c>
      <c r="BB307" s="45">
        <f>IF('Fin Stat'!BB$209&lt;$E307, 1, 0)</f>
        <v>0</v>
      </c>
      <c r="BC307" s="45">
        <f>IF('Fin Stat'!BC$209&lt;$E307, 1, 0)</f>
        <v>0</v>
      </c>
      <c r="BD307" s="45">
        <f>IF('Fin Stat'!BD$209&lt;$E307, 1, 0)</f>
        <v>0</v>
      </c>
      <c r="BE307" s="45">
        <f>IF('Fin Stat'!BE$209&lt;$E307, 1, 0)</f>
        <v>0</v>
      </c>
      <c r="BF307" s="45">
        <f>IF('Fin Stat'!BF$209&lt;$E307, 1, 0)</f>
        <v>0</v>
      </c>
      <c r="BG307" s="45">
        <f>IF('Fin Stat'!BG$209&lt;$E307, 1, 0)</f>
        <v>0</v>
      </c>
      <c r="BH307" s="45">
        <f>IF('Fin Stat'!BH$209&lt;$E307, 1, 0)</f>
        <v>0</v>
      </c>
      <c r="BI307" s="45">
        <f>IF('Fin Stat'!BI$209&lt;$E307, 1, 0)</f>
        <v>0</v>
      </c>
      <c r="BJ307" s="45">
        <f>IF('Fin Stat'!BJ$209&lt;$E307, 1, 0)</f>
        <v>0</v>
      </c>
      <c r="BL307" s="136"/>
      <c r="BM307" s="136"/>
      <c r="BN307" s="136"/>
      <c r="BO307" s="136"/>
      <c r="BP307" s="45">
        <f>IF('Fin Stat'!BP$209&lt;$E307, 1, 0)</f>
        <v>0</v>
      </c>
      <c r="BQ307" s="45">
        <f>IF('Fin Stat'!BQ$209&lt;$E307, 1, 0)</f>
        <v>0</v>
      </c>
      <c r="BR307" s="45">
        <f>IF('Fin Stat'!BR$209&lt;$E307, 1, 0)</f>
        <v>0</v>
      </c>
      <c r="BS307" s="45">
        <f>IF('Fin Stat'!BS$209&lt;$E307, 1, 0)</f>
        <v>0</v>
      </c>
      <c r="BT307" s="45">
        <f>IF('Fin Stat'!BT$209&lt;$E307, 1, 0)</f>
        <v>0</v>
      </c>
      <c r="BU307" s="45">
        <f>IF('Fin Stat'!BU$209&lt;$E307, 1, 0)</f>
        <v>0</v>
      </c>
      <c r="BV307" s="45">
        <f>IF('Fin Stat'!BV$209&lt;$E307, 1, 0)</f>
        <v>0</v>
      </c>
      <c r="BW307" s="45">
        <f>IF('Fin Stat'!BW$209&lt;$E307, 1, 0)</f>
        <v>0</v>
      </c>
      <c r="BY307" s="12"/>
      <c r="CA307" s="12"/>
      <c r="EX307" s="10" t="str">
        <f t="shared" si="167"/>
        <v/>
      </c>
    </row>
    <row r="308" spans="1:154" s="67" customFormat="1" x14ac:dyDescent="0.25">
      <c r="B308" s="67" t="str">
        <f ca="1">Loans!B$21</f>
        <v>Loan 9</v>
      </c>
      <c r="D308" s="62">
        <f>Loans!D$21</f>
        <v>0</v>
      </c>
      <c r="E308" s="10">
        <f>Loans!N21</f>
        <v>0</v>
      </c>
      <c r="T308" s="335"/>
      <c r="U308" s="335"/>
      <c r="V308" s="136"/>
      <c r="W308" s="136"/>
      <c r="X308" s="136"/>
      <c r="Y308" s="136"/>
      <c r="AA308" s="45">
        <f>IF('Fin Stat'!AA$209&lt;$E308, 1, 0)</f>
        <v>0</v>
      </c>
      <c r="AB308" s="45">
        <f>IF('Fin Stat'!AB$209&lt;$E308, 1, 0)</f>
        <v>0</v>
      </c>
      <c r="AC308" s="45">
        <f>IF('Fin Stat'!AC$209&lt;$E308, 1, 0)</f>
        <v>0</v>
      </c>
      <c r="AD308" s="45">
        <f>IF('Fin Stat'!AD$209&lt;$E308, 1, 0)</f>
        <v>0</v>
      </c>
      <c r="AE308" s="45">
        <f>IF('Fin Stat'!AE$209&lt;$E308, 1, 0)</f>
        <v>0</v>
      </c>
      <c r="AF308" s="45">
        <f>IF('Fin Stat'!AF$209&lt;$E308, 1, 0)</f>
        <v>0</v>
      </c>
      <c r="AG308" s="45">
        <f>IF('Fin Stat'!AG$209&lt;$E308, 1, 0)</f>
        <v>0</v>
      </c>
      <c r="AH308" s="45">
        <f>IF('Fin Stat'!AH$209&lt;$E308, 1, 0)</f>
        <v>0</v>
      </c>
      <c r="AI308" s="45">
        <f>IF('Fin Stat'!AI$209&lt;$E308, 1, 0)</f>
        <v>0</v>
      </c>
      <c r="AJ308" s="45">
        <f>IF('Fin Stat'!AJ$209&lt;$E308, 1, 0)</f>
        <v>0</v>
      </c>
      <c r="AK308" s="45">
        <f>IF('Fin Stat'!AK$209&lt;$E308, 1, 0)</f>
        <v>0</v>
      </c>
      <c r="AL308" s="45">
        <f>IF('Fin Stat'!AL$209&lt;$E308, 1, 0)</f>
        <v>0</v>
      </c>
      <c r="AM308" s="45">
        <f>IF('Fin Stat'!AM$209&lt;$E308, 1, 0)</f>
        <v>0</v>
      </c>
      <c r="AN308" s="45">
        <f>IF('Fin Stat'!AN$209&lt;$E308, 1, 0)</f>
        <v>0</v>
      </c>
      <c r="AO308" s="45">
        <f>IF('Fin Stat'!AO$209&lt;$E308, 1, 0)</f>
        <v>0</v>
      </c>
      <c r="AP308" s="45">
        <f>IF('Fin Stat'!AP$209&lt;$E308, 1, 0)</f>
        <v>0</v>
      </c>
      <c r="AQ308" s="45">
        <f>IF('Fin Stat'!AQ$209&lt;$E308, 1, 0)</f>
        <v>0</v>
      </c>
      <c r="AR308" s="45">
        <f>IF('Fin Stat'!AR$209&lt;$E308, 1, 0)</f>
        <v>0</v>
      </c>
      <c r="AS308" s="45">
        <f>IF('Fin Stat'!AS$209&lt;$E308, 1, 0)</f>
        <v>0</v>
      </c>
      <c r="AT308" s="45">
        <f>IF('Fin Stat'!AT$209&lt;$E308, 1, 0)</f>
        <v>0</v>
      </c>
      <c r="AU308" s="45">
        <f>IF('Fin Stat'!AU$209&lt;$E308, 1, 0)</f>
        <v>0</v>
      </c>
      <c r="AV308" s="45">
        <f>IF('Fin Stat'!AV$209&lt;$E308, 1, 0)</f>
        <v>0</v>
      </c>
      <c r="AW308" s="45">
        <f>IF('Fin Stat'!AW$209&lt;$E308, 1, 0)</f>
        <v>0</v>
      </c>
      <c r="AX308" s="45">
        <f>IF('Fin Stat'!AX$209&lt;$E308, 1, 0)</f>
        <v>0</v>
      </c>
      <c r="AY308" s="45">
        <f>IF('Fin Stat'!AY$209&lt;$E308, 1, 0)</f>
        <v>0</v>
      </c>
      <c r="AZ308" s="45">
        <f>IF('Fin Stat'!AZ$209&lt;$E308, 1, 0)</f>
        <v>0</v>
      </c>
      <c r="BA308" s="45">
        <f>IF('Fin Stat'!BA$209&lt;$E308, 1, 0)</f>
        <v>0</v>
      </c>
      <c r="BB308" s="45">
        <f>IF('Fin Stat'!BB$209&lt;$E308, 1, 0)</f>
        <v>0</v>
      </c>
      <c r="BC308" s="45">
        <f>IF('Fin Stat'!BC$209&lt;$E308, 1, 0)</f>
        <v>0</v>
      </c>
      <c r="BD308" s="45">
        <f>IF('Fin Stat'!BD$209&lt;$E308, 1, 0)</f>
        <v>0</v>
      </c>
      <c r="BE308" s="45">
        <f>IF('Fin Stat'!BE$209&lt;$E308, 1, 0)</f>
        <v>0</v>
      </c>
      <c r="BF308" s="45">
        <f>IF('Fin Stat'!BF$209&lt;$E308, 1, 0)</f>
        <v>0</v>
      </c>
      <c r="BG308" s="45">
        <f>IF('Fin Stat'!BG$209&lt;$E308, 1, 0)</f>
        <v>0</v>
      </c>
      <c r="BH308" s="45">
        <f>IF('Fin Stat'!BH$209&lt;$E308, 1, 0)</f>
        <v>0</v>
      </c>
      <c r="BI308" s="45">
        <f>IF('Fin Stat'!BI$209&lt;$E308, 1, 0)</f>
        <v>0</v>
      </c>
      <c r="BJ308" s="45">
        <f>IF('Fin Stat'!BJ$209&lt;$E308, 1, 0)</f>
        <v>0</v>
      </c>
      <c r="BL308" s="136"/>
      <c r="BM308" s="136"/>
      <c r="BN308" s="136"/>
      <c r="BO308" s="136"/>
      <c r="BP308" s="45">
        <f>IF('Fin Stat'!BP$209&lt;$E308, 1, 0)</f>
        <v>0</v>
      </c>
      <c r="BQ308" s="45">
        <f>IF('Fin Stat'!BQ$209&lt;$E308, 1, 0)</f>
        <v>0</v>
      </c>
      <c r="BR308" s="45">
        <f>IF('Fin Stat'!BR$209&lt;$E308, 1, 0)</f>
        <v>0</v>
      </c>
      <c r="BS308" s="45">
        <f>IF('Fin Stat'!BS$209&lt;$E308, 1, 0)</f>
        <v>0</v>
      </c>
      <c r="BT308" s="45">
        <f>IF('Fin Stat'!BT$209&lt;$E308, 1, 0)</f>
        <v>0</v>
      </c>
      <c r="BU308" s="45">
        <f>IF('Fin Stat'!BU$209&lt;$E308, 1, 0)</f>
        <v>0</v>
      </c>
      <c r="BV308" s="45">
        <f>IF('Fin Stat'!BV$209&lt;$E308, 1, 0)</f>
        <v>0</v>
      </c>
      <c r="BW308" s="45">
        <f>IF('Fin Stat'!BW$209&lt;$E308, 1, 0)</f>
        <v>0</v>
      </c>
      <c r="BY308" s="12"/>
      <c r="CA308" s="12"/>
      <c r="EX308" s="10" t="str">
        <f t="shared" si="167"/>
        <v/>
      </c>
    </row>
    <row r="309" spans="1:154" s="67" customFormat="1" x14ac:dyDescent="0.25">
      <c r="B309" s="67" t="str">
        <f ca="1">Loans!B$22</f>
        <v>Loan 10</v>
      </c>
      <c r="D309" s="62">
        <f>Loans!D$22</f>
        <v>0</v>
      </c>
      <c r="E309" s="10">
        <f>Loans!N22</f>
        <v>0</v>
      </c>
      <c r="T309" s="335"/>
      <c r="U309" s="335"/>
      <c r="V309" s="136"/>
      <c r="W309" s="136"/>
      <c r="X309" s="136"/>
      <c r="Y309" s="136"/>
      <c r="AA309" s="45">
        <f>IF('Fin Stat'!AA$209&lt;$E309, 1, 0)</f>
        <v>0</v>
      </c>
      <c r="AB309" s="45">
        <f>IF('Fin Stat'!AB$209&lt;$E309, 1, 0)</f>
        <v>0</v>
      </c>
      <c r="AC309" s="45">
        <f>IF('Fin Stat'!AC$209&lt;$E309, 1, 0)</f>
        <v>0</v>
      </c>
      <c r="AD309" s="45">
        <f>IF('Fin Stat'!AD$209&lt;$E309, 1, 0)</f>
        <v>0</v>
      </c>
      <c r="AE309" s="45">
        <f>IF('Fin Stat'!AE$209&lt;$E309, 1, 0)</f>
        <v>0</v>
      </c>
      <c r="AF309" s="45">
        <f>IF('Fin Stat'!AF$209&lt;$E309, 1, 0)</f>
        <v>0</v>
      </c>
      <c r="AG309" s="45">
        <f>IF('Fin Stat'!AG$209&lt;$E309, 1, 0)</f>
        <v>0</v>
      </c>
      <c r="AH309" s="45">
        <f>IF('Fin Stat'!AH$209&lt;$E309, 1, 0)</f>
        <v>0</v>
      </c>
      <c r="AI309" s="45">
        <f>IF('Fin Stat'!AI$209&lt;$E309, 1, 0)</f>
        <v>0</v>
      </c>
      <c r="AJ309" s="45">
        <f>IF('Fin Stat'!AJ$209&lt;$E309, 1, 0)</f>
        <v>0</v>
      </c>
      <c r="AK309" s="45">
        <f>IF('Fin Stat'!AK$209&lt;$E309, 1, 0)</f>
        <v>0</v>
      </c>
      <c r="AL309" s="45">
        <f>IF('Fin Stat'!AL$209&lt;$E309, 1, 0)</f>
        <v>0</v>
      </c>
      <c r="AM309" s="45">
        <f>IF('Fin Stat'!AM$209&lt;$E309, 1, 0)</f>
        <v>0</v>
      </c>
      <c r="AN309" s="45">
        <f>IF('Fin Stat'!AN$209&lt;$E309, 1, 0)</f>
        <v>0</v>
      </c>
      <c r="AO309" s="45">
        <f>IF('Fin Stat'!AO$209&lt;$E309, 1, 0)</f>
        <v>0</v>
      </c>
      <c r="AP309" s="45">
        <f>IF('Fin Stat'!AP$209&lt;$E309, 1, 0)</f>
        <v>0</v>
      </c>
      <c r="AQ309" s="45">
        <f>IF('Fin Stat'!AQ$209&lt;$E309, 1, 0)</f>
        <v>0</v>
      </c>
      <c r="AR309" s="45">
        <f>IF('Fin Stat'!AR$209&lt;$E309, 1, 0)</f>
        <v>0</v>
      </c>
      <c r="AS309" s="45">
        <f>IF('Fin Stat'!AS$209&lt;$E309, 1, 0)</f>
        <v>0</v>
      </c>
      <c r="AT309" s="45">
        <f>IF('Fin Stat'!AT$209&lt;$E309, 1, 0)</f>
        <v>0</v>
      </c>
      <c r="AU309" s="45">
        <f>IF('Fin Stat'!AU$209&lt;$E309, 1, 0)</f>
        <v>0</v>
      </c>
      <c r="AV309" s="45">
        <f>IF('Fin Stat'!AV$209&lt;$E309, 1, 0)</f>
        <v>0</v>
      </c>
      <c r="AW309" s="45">
        <f>IF('Fin Stat'!AW$209&lt;$E309, 1, 0)</f>
        <v>0</v>
      </c>
      <c r="AX309" s="45">
        <f>IF('Fin Stat'!AX$209&lt;$E309, 1, 0)</f>
        <v>0</v>
      </c>
      <c r="AY309" s="45">
        <f>IF('Fin Stat'!AY$209&lt;$E309, 1, 0)</f>
        <v>0</v>
      </c>
      <c r="AZ309" s="45">
        <f>IF('Fin Stat'!AZ$209&lt;$E309, 1, 0)</f>
        <v>0</v>
      </c>
      <c r="BA309" s="45">
        <f>IF('Fin Stat'!BA$209&lt;$E309, 1, 0)</f>
        <v>0</v>
      </c>
      <c r="BB309" s="45">
        <f>IF('Fin Stat'!BB$209&lt;$E309, 1, 0)</f>
        <v>0</v>
      </c>
      <c r="BC309" s="45">
        <f>IF('Fin Stat'!BC$209&lt;$E309, 1, 0)</f>
        <v>0</v>
      </c>
      <c r="BD309" s="45">
        <f>IF('Fin Stat'!BD$209&lt;$E309, 1, 0)</f>
        <v>0</v>
      </c>
      <c r="BE309" s="45">
        <f>IF('Fin Stat'!BE$209&lt;$E309, 1, 0)</f>
        <v>0</v>
      </c>
      <c r="BF309" s="45">
        <f>IF('Fin Stat'!BF$209&lt;$E309, 1, 0)</f>
        <v>0</v>
      </c>
      <c r="BG309" s="45">
        <f>IF('Fin Stat'!BG$209&lt;$E309, 1, 0)</f>
        <v>0</v>
      </c>
      <c r="BH309" s="45">
        <f>IF('Fin Stat'!BH$209&lt;$E309, 1, 0)</f>
        <v>0</v>
      </c>
      <c r="BI309" s="45">
        <f>IF('Fin Stat'!BI$209&lt;$E309, 1, 0)</f>
        <v>0</v>
      </c>
      <c r="BJ309" s="45">
        <f>IF('Fin Stat'!BJ$209&lt;$E309, 1, 0)</f>
        <v>0</v>
      </c>
      <c r="BL309" s="136"/>
      <c r="BM309" s="136"/>
      <c r="BN309" s="136"/>
      <c r="BO309" s="136"/>
      <c r="BP309" s="45">
        <f>IF('Fin Stat'!BP$209&lt;$E309, 1, 0)</f>
        <v>0</v>
      </c>
      <c r="BQ309" s="45">
        <f>IF('Fin Stat'!BQ$209&lt;$E309, 1, 0)</f>
        <v>0</v>
      </c>
      <c r="BR309" s="45">
        <f>IF('Fin Stat'!BR$209&lt;$E309, 1, 0)</f>
        <v>0</v>
      </c>
      <c r="BS309" s="45">
        <f>IF('Fin Stat'!BS$209&lt;$E309, 1, 0)</f>
        <v>0</v>
      </c>
      <c r="BT309" s="45">
        <f>IF('Fin Stat'!BT$209&lt;$E309, 1, 0)</f>
        <v>0</v>
      </c>
      <c r="BU309" s="45">
        <f>IF('Fin Stat'!BU$209&lt;$E309, 1, 0)</f>
        <v>0</v>
      </c>
      <c r="BV309" s="45">
        <f>IF('Fin Stat'!BV$209&lt;$E309, 1, 0)</f>
        <v>0</v>
      </c>
      <c r="BW309" s="45">
        <f>IF('Fin Stat'!BW$209&lt;$E309, 1, 0)</f>
        <v>0</v>
      </c>
      <c r="BY309" s="12"/>
      <c r="CA309" s="12"/>
      <c r="EX309" s="10" t="str">
        <f t="shared" si="167"/>
        <v/>
      </c>
    </row>
    <row r="310" spans="1:154" s="67" customFormat="1" x14ac:dyDescent="0.25">
      <c r="B310" s="67" t="str">
        <f ca="1">Loans!B$23</f>
        <v>Loan 11</v>
      </c>
      <c r="D310" s="62">
        <f>Loans!D$23</f>
        <v>0</v>
      </c>
      <c r="E310" s="10">
        <f>Loans!N23</f>
        <v>0</v>
      </c>
      <c r="T310" s="335"/>
      <c r="U310" s="335"/>
      <c r="V310" s="136"/>
      <c r="W310" s="136"/>
      <c r="X310" s="136"/>
      <c r="Y310" s="136"/>
      <c r="AA310" s="45">
        <f>IF('Fin Stat'!AA$209&lt;$E310, 1, 0)</f>
        <v>0</v>
      </c>
      <c r="AB310" s="45">
        <f>IF('Fin Stat'!AB$209&lt;$E310, 1, 0)</f>
        <v>0</v>
      </c>
      <c r="AC310" s="45">
        <f>IF('Fin Stat'!AC$209&lt;$E310, 1, 0)</f>
        <v>0</v>
      </c>
      <c r="AD310" s="45">
        <f>IF('Fin Stat'!AD$209&lt;$E310, 1, 0)</f>
        <v>0</v>
      </c>
      <c r="AE310" s="45">
        <f>IF('Fin Stat'!AE$209&lt;$E310, 1, 0)</f>
        <v>0</v>
      </c>
      <c r="AF310" s="45">
        <f>IF('Fin Stat'!AF$209&lt;$E310, 1, 0)</f>
        <v>0</v>
      </c>
      <c r="AG310" s="45">
        <f>IF('Fin Stat'!AG$209&lt;$E310, 1, 0)</f>
        <v>0</v>
      </c>
      <c r="AH310" s="45">
        <f>IF('Fin Stat'!AH$209&lt;$E310, 1, 0)</f>
        <v>0</v>
      </c>
      <c r="AI310" s="45">
        <f>IF('Fin Stat'!AI$209&lt;$E310, 1, 0)</f>
        <v>0</v>
      </c>
      <c r="AJ310" s="45">
        <f>IF('Fin Stat'!AJ$209&lt;$E310, 1, 0)</f>
        <v>0</v>
      </c>
      <c r="AK310" s="45">
        <f>IF('Fin Stat'!AK$209&lt;$E310, 1, 0)</f>
        <v>0</v>
      </c>
      <c r="AL310" s="45">
        <f>IF('Fin Stat'!AL$209&lt;$E310, 1, 0)</f>
        <v>0</v>
      </c>
      <c r="AM310" s="45">
        <f>IF('Fin Stat'!AM$209&lt;$E310, 1, 0)</f>
        <v>0</v>
      </c>
      <c r="AN310" s="45">
        <f>IF('Fin Stat'!AN$209&lt;$E310, 1, 0)</f>
        <v>0</v>
      </c>
      <c r="AO310" s="45">
        <f>IF('Fin Stat'!AO$209&lt;$E310, 1, 0)</f>
        <v>0</v>
      </c>
      <c r="AP310" s="45">
        <f>IF('Fin Stat'!AP$209&lt;$E310, 1, 0)</f>
        <v>0</v>
      </c>
      <c r="AQ310" s="45">
        <f>IF('Fin Stat'!AQ$209&lt;$E310, 1, 0)</f>
        <v>0</v>
      </c>
      <c r="AR310" s="45">
        <f>IF('Fin Stat'!AR$209&lt;$E310, 1, 0)</f>
        <v>0</v>
      </c>
      <c r="AS310" s="45">
        <f>IF('Fin Stat'!AS$209&lt;$E310, 1, 0)</f>
        <v>0</v>
      </c>
      <c r="AT310" s="45">
        <f>IF('Fin Stat'!AT$209&lt;$E310, 1, 0)</f>
        <v>0</v>
      </c>
      <c r="AU310" s="45">
        <f>IF('Fin Stat'!AU$209&lt;$E310, 1, 0)</f>
        <v>0</v>
      </c>
      <c r="AV310" s="45">
        <f>IF('Fin Stat'!AV$209&lt;$E310, 1, 0)</f>
        <v>0</v>
      </c>
      <c r="AW310" s="45">
        <f>IF('Fin Stat'!AW$209&lt;$E310, 1, 0)</f>
        <v>0</v>
      </c>
      <c r="AX310" s="45">
        <f>IF('Fin Stat'!AX$209&lt;$E310, 1, 0)</f>
        <v>0</v>
      </c>
      <c r="AY310" s="45">
        <f>IF('Fin Stat'!AY$209&lt;$E310, 1, 0)</f>
        <v>0</v>
      </c>
      <c r="AZ310" s="45">
        <f>IF('Fin Stat'!AZ$209&lt;$E310, 1, 0)</f>
        <v>0</v>
      </c>
      <c r="BA310" s="45">
        <f>IF('Fin Stat'!BA$209&lt;$E310, 1, 0)</f>
        <v>0</v>
      </c>
      <c r="BB310" s="45">
        <f>IF('Fin Stat'!BB$209&lt;$E310, 1, 0)</f>
        <v>0</v>
      </c>
      <c r="BC310" s="45">
        <f>IF('Fin Stat'!BC$209&lt;$E310, 1, 0)</f>
        <v>0</v>
      </c>
      <c r="BD310" s="45">
        <f>IF('Fin Stat'!BD$209&lt;$E310, 1, 0)</f>
        <v>0</v>
      </c>
      <c r="BE310" s="45">
        <f>IF('Fin Stat'!BE$209&lt;$E310, 1, 0)</f>
        <v>0</v>
      </c>
      <c r="BF310" s="45">
        <f>IF('Fin Stat'!BF$209&lt;$E310, 1, 0)</f>
        <v>0</v>
      </c>
      <c r="BG310" s="45">
        <f>IF('Fin Stat'!BG$209&lt;$E310, 1, 0)</f>
        <v>0</v>
      </c>
      <c r="BH310" s="45">
        <f>IF('Fin Stat'!BH$209&lt;$E310, 1, 0)</f>
        <v>0</v>
      </c>
      <c r="BI310" s="45">
        <f>IF('Fin Stat'!BI$209&lt;$E310, 1, 0)</f>
        <v>0</v>
      </c>
      <c r="BJ310" s="45">
        <f>IF('Fin Stat'!BJ$209&lt;$E310, 1, 0)</f>
        <v>0</v>
      </c>
      <c r="BL310" s="136"/>
      <c r="BM310" s="136"/>
      <c r="BN310" s="136"/>
      <c r="BO310" s="136"/>
      <c r="BP310" s="45">
        <f>IF('Fin Stat'!BP$209&lt;$E310, 1, 0)</f>
        <v>0</v>
      </c>
      <c r="BQ310" s="45">
        <f>IF('Fin Stat'!BQ$209&lt;$E310, 1, 0)</f>
        <v>0</v>
      </c>
      <c r="BR310" s="45">
        <f>IF('Fin Stat'!BR$209&lt;$E310, 1, 0)</f>
        <v>0</v>
      </c>
      <c r="BS310" s="45">
        <f>IF('Fin Stat'!BS$209&lt;$E310, 1, 0)</f>
        <v>0</v>
      </c>
      <c r="BT310" s="45">
        <f>IF('Fin Stat'!BT$209&lt;$E310, 1, 0)</f>
        <v>0</v>
      </c>
      <c r="BU310" s="45">
        <f>IF('Fin Stat'!BU$209&lt;$E310, 1, 0)</f>
        <v>0</v>
      </c>
      <c r="BV310" s="45">
        <f>IF('Fin Stat'!BV$209&lt;$E310, 1, 0)</f>
        <v>0</v>
      </c>
      <c r="BW310" s="45">
        <f>IF('Fin Stat'!BW$209&lt;$E310, 1, 0)</f>
        <v>0</v>
      </c>
      <c r="BY310" s="12"/>
      <c r="CA310" s="12"/>
      <c r="EX310" s="10" t="str">
        <f t="shared" si="167"/>
        <v/>
      </c>
    </row>
    <row r="311" spans="1:154" s="67" customFormat="1" x14ac:dyDescent="0.25">
      <c r="B311" s="67" t="str">
        <f ca="1">Loans!B$24</f>
        <v>Loan 12</v>
      </c>
      <c r="D311" s="62">
        <f>Loans!D$24</f>
        <v>0</v>
      </c>
      <c r="E311" s="10">
        <f>Loans!N24</f>
        <v>0</v>
      </c>
      <c r="T311" s="335"/>
      <c r="U311" s="335"/>
      <c r="V311" s="136"/>
      <c r="W311" s="136"/>
      <c r="X311" s="136"/>
      <c r="Y311" s="136"/>
      <c r="AA311" s="45">
        <f>IF('Fin Stat'!AA$209&lt;$E311, 1, 0)</f>
        <v>0</v>
      </c>
      <c r="AB311" s="45">
        <f>IF('Fin Stat'!AB$209&lt;$E311, 1, 0)</f>
        <v>0</v>
      </c>
      <c r="AC311" s="45">
        <f>IF('Fin Stat'!AC$209&lt;$E311, 1, 0)</f>
        <v>0</v>
      </c>
      <c r="AD311" s="45">
        <f>IF('Fin Stat'!AD$209&lt;$E311, 1, 0)</f>
        <v>0</v>
      </c>
      <c r="AE311" s="45">
        <f>IF('Fin Stat'!AE$209&lt;$E311, 1, 0)</f>
        <v>0</v>
      </c>
      <c r="AF311" s="45">
        <f>IF('Fin Stat'!AF$209&lt;$E311, 1, 0)</f>
        <v>0</v>
      </c>
      <c r="AG311" s="45">
        <f>IF('Fin Stat'!AG$209&lt;$E311, 1, 0)</f>
        <v>0</v>
      </c>
      <c r="AH311" s="45">
        <f>IF('Fin Stat'!AH$209&lt;$E311, 1, 0)</f>
        <v>0</v>
      </c>
      <c r="AI311" s="45">
        <f>IF('Fin Stat'!AI$209&lt;$E311, 1, 0)</f>
        <v>0</v>
      </c>
      <c r="AJ311" s="45">
        <f>IF('Fin Stat'!AJ$209&lt;$E311, 1, 0)</f>
        <v>0</v>
      </c>
      <c r="AK311" s="45">
        <f>IF('Fin Stat'!AK$209&lt;$E311, 1, 0)</f>
        <v>0</v>
      </c>
      <c r="AL311" s="45">
        <f>IF('Fin Stat'!AL$209&lt;$E311, 1, 0)</f>
        <v>0</v>
      </c>
      <c r="AM311" s="45">
        <f>IF('Fin Stat'!AM$209&lt;$E311, 1, 0)</f>
        <v>0</v>
      </c>
      <c r="AN311" s="45">
        <f>IF('Fin Stat'!AN$209&lt;$E311, 1, 0)</f>
        <v>0</v>
      </c>
      <c r="AO311" s="45">
        <f>IF('Fin Stat'!AO$209&lt;$E311, 1, 0)</f>
        <v>0</v>
      </c>
      <c r="AP311" s="45">
        <f>IF('Fin Stat'!AP$209&lt;$E311, 1, 0)</f>
        <v>0</v>
      </c>
      <c r="AQ311" s="45">
        <f>IF('Fin Stat'!AQ$209&lt;$E311, 1, 0)</f>
        <v>0</v>
      </c>
      <c r="AR311" s="45">
        <f>IF('Fin Stat'!AR$209&lt;$E311, 1, 0)</f>
        <v>0</v>
      </c>
      <c r="AS311" s="45">
        <f>IF('Fin Stat'!AS$209&lt;$E311, 1, 0)</f>
        <v>0</v>
      </c>
      <c r="AT311" s="45">
        <f>IF('Fin Stat'!AT$209&lt;$E311, 1, 0)</f>
        <v>0</v>
      </c>
      <c r="AU311" s="45">
        <f>IF('Fin Stat'!AU$209&lt;$E311, 1, 0)</f>
        <v>0</v>
      </c>
      <c r="AV311" s="45">
        <f>IF('Fin Stat'!AV$209&lt;$E311, 1, 0)</f>
        <v>0</v>
      </c>
      <c r="AW311" s="45">
        <f>IF('Fin Stat'!AW$209&lt;$E311, 1, 0)</f>
        <v>0</v>
      </c>
      <c r="AX311" s="45">
        <f>IF('Fin Stat'!AX$209&lt;$E311, 1, 0)</f>
        <v>0</v>
      </c>
      <c r="AY311" s="45">
        <f>IF('Fin Stat'!AY$209&lt;$E311, 1, 0)</f>
        <v>0</v>
      </c>
      <c r="AZ311" s="45">
        <f>IF('Fin Stat'!AZ$209&lt;$E311, 1, 0)</f>
        <v>0</v>
      </c>
      <c r="BA311" s="45">
        <f>IF('Fin Stat'!BA$209&lt;$E311, 1, 0)</f>
        <v>0</v>
      </c>
      <c r="BB311" s="45">
        <f>IF('Fin Stat'!BB$209&lt;$E311, 1, 0)</f>
        <v>0</v>
      </c>
      <c r="BC311" s="45">
        <f>IF('Fin Stat'!BC$209&lt;$E311, 1, 0)</f>
        <v>0</v>
      </c>
      <c r="BD311" s="45">
        <f>IF('Fin Stat'!BD$209&lt;$E311, 1, 0)</f>
        <v>0</v>
      </c>
      <c r="BE311" s="45">
        <f>IF('Fin Stat'!BE$209&lt;$E311, 1, 0)</f>
        <v>0</v>
      </c>
      <c r="BF311" s="45">
        <f>IF('Fin Stat'!BF$209&lt;$E311, 1, 0)</f>
        <v>0</v>
      </c>
      <c r="BG311" s="45">
        <f>IF('Fin Stat'!BG$209&lt;$E311, 1, 0)</f>
        <v>0</v>
      </c>
      <c r="BH311" s="45">
        <f>IF('Fin Stat'!BH$209&lt;$E311, 1, 0)</f>
        <v>0</v>
      </c>
      <c r="BI311" s="45">
        <f>IF('Fin Stat'!BI$209&lt;$E311, 1, 0)</f>
        <v>0</v>
      </c>
      <c r="BJ311" s="45">
        <f>IF('Fin Stat'!BJ$209&lt;$E311, 1, 0)</f>
        <v>0</v>
      </c>
      <c r="BL311" s="136"/>
      <c r="BM311" s="136"/>
      <c r="BN311" s="136"/>
      <c r="BO311" s="136"/>
      <c r="BP311" s="45">
        <f>IF('Fin Stat'!BP$209&lt;$E311, 1, 0)</f>
        <v>0</v>
      </c>
      <c r="BQ311" s="45">
        <f>IF('Fin Stat'!BQ$209&lt;$E311, 1, 0)</f>
        <v>0</v>
      </c>
      <c r="BR311" s="45">
        <f>IF('Fin Stat'!BR$209&lt;$E311, 1, 0)</f>
        <v>0</v>
      </c>
      <c r="BS311" s="45">
        <f>IF('Fin Stat'!BS$209&lt;$E311, 1, 0)</f>
        <v>0</v>
      </c>
      <c r="BT311" s="45">
        <f>IF('Fin Stat'!BT$209&lt;$E311, 1, 0)</f>
        <v>0</v>
      </c>
      <c r="BU311" s="45">
        <f>IF('Fin Stat'!BU$209&lt;$E311, 1, 0)</f>
        <v>0</v>
      </c>
      <c r="BV311" s="45">
        <f>IF('Fin Stat'!BV$209&lt;$E311, 1, 0)</f>
        <v>0</v>
      </c>
      <c r="BW311" s="45">
        <f>IF('Fin Stat'!BW$209&lt;$E311, 1, 0)</f>
        <v>0</v>
      </c>
      <c r="BY311" s="12"/>
      <c r="CA311" s="12"/>
      <c r="EX311" s="10" t="str">
        <f t="shared" si="167"/>
        <v/>
      </c>
    </row>
    <row r="312" spans="1:154" s="67" customFormat="1" x14ac:dyDescent="0.25">
      <c r="B312" s="67" t="str">
        <f ca="1">Loans!B$25</f>
        <v>Loan 13</v>
      </c>
      <c r="D312" s="62">
        <f>Loans!D$25</f>
        <v>0</v>
      </c>
      <c r="E312" s="10">
        <f>Loans!N25</f>
        <v>0</v>
      </c>
      <c r="T312" s="335"/>
      <c r="U312" s="335"/>
      <c r="V312" s="136"/>
      <c r="W312" s="136"/>
      <c r="X312" s="136"/>
      <c r="Y312" s="136"/>
      <c r="AA312" s="45">
        <f>IF('Fin Stat'!AA$209&lt;$E312, 1, 0)</f>
        <v>0</v>
      </c>
      <c r="AB312" s="45">
        <f>IF('Fin Stat'!AB$209&lt;$E312, 1, 0)</f>
        <v>0</v>
      </c>
      <c r="AC312" s="45">
        <f>IF('Fin Stat'!AC$209&lt;$E312, 1, 0)</f>
        <v>0</v>
      </c>
      <c r="AD312" s="45">
        <f>IF('Fin Stat'!AD$209&lt;$E312, 1, 0)</f>
        <v>0</v>
      </c>
      <c r="AE312" s="45">
        <f>IF('Fin Stat'!AE$209&lt;$E312, 1, 0)</f>
        <v>0</v>
      </c>
      <c r="AF312" s="45">
        <f>IF('Fin Stat'!AF$209&lt;$E312, 1, 0)</f>
        <v>0</v>
      </c>
      <c r="AG312" s="45">
        <f>IF('Fin Stat'!AG$209&lt;$E312, 1, 0)</f>
        <v>0</v>
      </c>
      <c r="AH312" s="45">
        <f>IF('Fin Stat'!AH$209&lt;$E312, 1, 0)</f>
        <v>0</v>
      </c>
      <c r="AI312" s="45">
        <f>IF('Fin Stat'!AI$209&lt;$E312, 1, 0)</f>
        <v>0</v>
      </c>
      <c r="AJ312" s="45">
        <f>IF('Fin Stat'!AJ$209&lt;$E312, 1, 0)</f>
        <v>0</v>
      </c>
      <c r="AK312" s="45">
        <f>IF('Fin Stat'!AK$209&lt;$E312, 1, 0)</f>
        <v>0</v>
      </c>
      <c r="AL312" s="45">
        <f>IF('Fin Stat'!AL$209&lt;$E312, 1, 0)</f>
        <v>0</v>
      </c>
      <c r="AM312" s="45">
        <f>IF('Fin Stat'!AM$209&lt;$E312, 1, 0)</f>
        <v>0</v>
      </c>
      <c r="AN312" s="45">
        <f>IF('Fin Stat'!AN$209&lt;$E312, 1, 0)</f>
        <v>0</v>
      </c>
      <c r="AO312" s="45">
        <f>IF('Fin Stat'!AO$209&lt;$E312, 1, 0)</f>
        <v>0</v>
      </c>
      <c r="AP312" s="45">
        <f>IF('Fin Stat'!AP$209&lt;$E312, 1, 0)</f>
        <v>0</v>
      </c>
      <c r="AQ312" s="45">
        <f>IF('Fin Stat'!AQ$209&lt;$E312, 1, 0)</f>
        <v>0</v>
      </c>
      <c r="AR312" s="45">
        <f>IF('Fin Stat'!AR$209&lt;$E312, 1, 0)</f>
        <v>0</v>
      </c>
      <c r="AS312" s="45">
        <f>IF('Fin Stat'!AS$209&lt;$E312, 1, 0)</f>
        <v>0</v>
      </c>
      <c r="AT312" s="45">
        <f>IF('Fin Stat'!AT$209&lt;$E312, 1, 0)</f>
        <v>0</v>
      </c>
      <c r="AU312" s="45">
        <f>IF('Fin Stat'!AU$209&lt;$E312, 1, 0)</f>
        <v>0</v>
      </c>
      <c r="AV312" s="45">
        <f>IF('Fin Stat'!AV$209&lt;$E312, 1, 0)</f>
        <v>0</v>
      </c>
      <c r="AW312" s="45">
        <f>IF('Fin Stat'!AW$209&lt;$E312, 1, 0)</f>
        <v>0</v>
      </c>
      <c r="AX312" s="45">
        <f>IF('Fin Stat'!AX$209&lt;$E312, 1, 0)</f>
        <v>0</v>
      </c>
      <c r="AY312" s="45">
        <f>IF('Fin Stat'!AY$209&lt;$E312, 1, 0)</f>
        <v>0</v>
      </c>
      <c r="AZ312" s="45">
        <f>IF('Fin Stat'!AZ$209&lt;$E312, 1, 0)</f>
        <v>0</v>
      </c>
      <c r="BA312" s="45">
        <f>IF('Fin Stat'!BA$209&lt;$E312, 1, 0)</f>
        <v>0</v>
      </c>
      <c r="BB312" s="45">
        <f>IF('Fin Stat'!BB$209&lt;$E312, 1, 0)</f>
        <v>0</v>
      </c>
      <c r="BC312" s="45">
        <f>IF('Fin Stat'!BC$209&lt;$E312, 1, 0)</f>
        <v>0</v>
      </c>
      <c r="BD312" s="45">
        <f>IF('Fin Stat'!BD$209&lt;$E312, 1, 0)</f>
        <v>0</v>
      </c>
      <c r="BE312" s="45">
        <f>IF('Fin Stat'!BE$209&lt;$E312, 1, 0)</f>
        <v>0</v>
      </c>
      <c r="BF312" s="45">
        <f>IF('Fin Stat'!BF$209&lt;$E312, 1, 0)</f>
        <v>0</v>
      </c>
      <c r="BG312" s="45">
        <f>IF('Fin Stat'!BG$209&lt;$E312, 1, 0)</f>
        <v>0</v>
      </c>
      <c r="BH312" s="45">
        <f>IF('Fin Stat'!BH$209&lt;$E312, 1, 0)</f>
        <v>0</v>
      </c>
      <c r="BI312" s="45">
        <f>IF('Fin Stat'!BI$209&lt;$E312, 1, 0)</f>
        <v>0</v>
      </c>
      <c r="BJ312" s="45">
        <f>IF('Fin Stat'!BJ$209&lt;$E312, 1, 0)</f>
        <v>0</v>
      </c>
      <c r="BL312" s="136"/>
      <c r="BM312" s="136"/>
      <c r="BN312" s="136"/>
      <c r="BO312" s="136"/>
      <c r="BP312" s="45">
        <f>IF('Fin Stat'!BP$209&lt;$E312, 1, 0)</f>
        <v>0</v>
      </c>
      <c r="BQ312" s="45">
        <f>IF('Fin Stat'!BQ$209&lt;$E312, 1, 0)</f>
        <v>0</v>
      </c>
      <c r="BR312" s="45">
        <f>IF('Fin Stat'!BR$209&lt;$E312, 1, 0)</f>
        <v>0</v>
      </c>
      <c r="BS312" s="45">
        <f>IF('Fin Stat'!BS$209&lt;$E312, 1, 0)</f>
        <v>0</v>
      </c>
      <c r="BT312" s="45">
        <f>IF('Fin Stat'!BT$209&lt;$E312, 1, 0)</f>
        <v>0</v>
      </c>
      <c r="BU312" s="45">
        <f>IF('Fin Stat'!BU$209&lt;$E312, 1, 0)</f>
        <v>0</v>
      </c>
      <c r="BV312" s="45">
        <f>IF('Fin Stat'!BV$209&lt;$E312, 1, 0)</f>
        <v>0</v>
      </c>
      <c r="BW312" s="45">
        <f>IF('Fin Stat'!BW$209&lt;$E312, 1, 0)</f>
        <v>0</v>
      </c>
      <c r="BY312" s="12"/>
      <c r="CA312" s="12"/>
      <c r="EX312" s="10" t="str">
        <f t="shared" si="167"/>
        <v/>
      </c>
    </row>
    <row r="313" spans="1:154" s="67" customFormat="1" x14ac:dyDescent="0.25">
      <c r="B313" s="67" t="str">
        <f ca="1">Loans!B$26</f>
        <v>Loan 14</v>
      </c>
      <c r="D313" s="62">
        <f>Loans!D$26</f>
        <v>0</v>
      </c>
      <c r="E313" s="10">
        <f>Loans!N26</f>
        <v>0</v>
      </c>
      <c r="T313" s="335"/>
      <c r="U313" s="335"/>
      <c r="V313" s="136"/>
      <c r="W313" s="136"/>
      <c r="X313" s="136"/>
      <c r="Y313" s="136"/>
      <c r="AA313" s="45">
        <f>IF('Fin Stat'!AA$209&lt;$E313, 1, 0)</f>
        <v>0</v>
      </c>
      <c r="AB313" s="45">
        <f>IF('Fin Stat'!AB$209&lt;$E313, 1, 0)</f>
        <v>0</v>
      </c>
      <c r="AC313" s="45">
        <f>IF('Fin Stat'!AC$209&lt;$E313, 1, 0)</f>
        <v>0</v>
      </c>
      <c r="AD313" s="45">
        <f>IF('Fin Stat'!AD$209&lt;$E313, 1, 0)</f>
        <v>0</v>
      </c>
      <c r="AE313" s="45">
        <f>IF('Fin Stat'!AE$209&lt;$E313, 1, 0)</f>
        <v>0</v>
      </c>
      <c r="AF313" s="45">
        <f>IF('Fin Stat'!AF$209&lt;$E313, 1, 0)</f>
        <v>0</v>
      </c>
      <c r="AG313" s="45">
        <f>IF('Fin Stat'!AG$209&lt;$E313, 1, 0)</f>
        <v>0</v>
      </c>
      <c r="AH313" s="45">
        <f>IF('Fin Stat'!AH$209&lt;$E313, 1, 0)</f>
        <v>0</v>
      </c>
      <c r="AI313" s="45">
        <f>IF('Fin Stat'!AI$209&lt;$E313, 1, 0)</f>
        <v>0</v>
      </c>
      <c r="AJ313" s="45">
        <f>IF('Fin Stat'!AJ$209&lt;$E313, 1, 0)</f>
        <v>0</v>
      </c>
      <c r="AK313" s="45">
        <f>IF('Fin Stat'!AK$209&lt;$E313, 1, 0)</f>
        <v>0</v>
      </c>
      <c r="AL313" s="45">
        <f>IF('Fin Stat'!AL$209&lt;$E313, 1, 0)</f>
        <v>0</v>
      </c>
      <c r="AM313" s="45">
        <f>IF('Fin Stat'!AM$209&lt;$E313, 1, 0)</f>
        <v>0</v>
      </c>
      <c r="AN313" s="45">
        <f>IF('Fin Stat'!AN$209&lt;$E313, 1, 0)</f>
        <v>0</v>
      </c>
      <c r="AO313" s="45">
        <f>IF('Fin Stat'!AO$209&lt;$E313, 1, 0)</f>
        <v>0</v>
      </c>
      <c r="AP313" s="45">
        <f>IF('Fin Stat'!AP$209&lt;$E313, 1, 0)</f>
        <v>0</v>
      </c>
      <c r="AQ313" s="45">
        <f>IF('Fin Stat'!AQ$209&lt;$E313, 1, 0)</f>
        <v>0</v>
      </c>
      <c r="AR313" s="45">
        <f>IF('Fin Stat'!AR$209&lt;$E313, 1, 0)</f>
        <v>0</v>
      </c>
      <c r="AS313" s="45">
        <f>IF('Fin Stat'!AS$209&lt;$E313, 1, 0)</f>
        <v>0</v>
      </c>
      <c r="AT313" s="45">
        <f>IF('Fin Stat'!AT$209&lt;$E313, 1, 0)</f>
        <v>0</v>
      </c>
      <c r="AU313" s="45">
        <f>IF('Fin Stat'!AU$209&lt;$E313, 1, 0)</f>
        <v>0</v>
      </c>
      <c r="AV313" s="45">
        <f>IF('Fin Stat'!AV$209&lt;$E313, 1, 0)</f>
        <v>0</v>
      </c>
      <c r="AW313" s="45">
        <f>IF('Fin Stat'!AW$209&lt;$E313, 1, 0)</f>
        <v>0</v>
      </c>
      <c r="AX313" s="45">
        <f>IF('Fin Stat'!AX$209&lt;$E313, 1, 0)</f>
        <v>0</v>
      </c>
      <c r="AY313" s="45">
        <f>IF('Fin Stat'!AY$209&lt;$E313, 1, 0)</f>
        <v>0</v>
      </c>
      <c r="AZ313" s="45">
        <f>IF('Fin Stat'!AZ$209&lt;$E313, 1, 0)</f>
        <v>0</v>
      </c>
      <c r="BA313" s="45">
        <f>IF('Fin Stat'!BA$209&lt;$E313, 1, 0)</f>
        <v>0</v>
      </c>
      <c r="BB313" s="45">
        <f>IF('Fin Stat'!BB$209&lt;$E313, 1, 0)</f>
        <v>0</v>
      </c>
      <c r="BC313" s="45">
        <f>IF('Fin Stat'!BC$209&lt;$E313, 1, 0)</f>
        <v>0</v>
      </c>
      <c r="BD313" s="45">
        <f>IF('Fin Stat'!BD$209&lt;$E313, 1, 0)</f>
        <v>0</v>
      </c>
      <c r="BE313" s="45">
        <f>IF('Fin Stat'!BE$209&lt;$E313, 1, 0)</f>
        <v>0</v>
      </c>
      <c r="BF313" s="45">
        <f>IF('Fin Stat'!BF$209&lt;$E313, 1, 0)</f>
        <v>0</v>
      </c>
      <c r="BG313" s="45">
        <f>IF('Fin Stat'!BG$209&lt;$E313, 1, 0)</f>
        <v>0</v>
      </c>
      <c r="BH313" s="45">
        <f>IF('Fin Stat'!BH$209&lt;$E313, 1, 0)</f>
        <v>0</v>
      </c>
      <c r="BI313" s="45">
        <f>IF('Fin Stat'!BI$209&lt;$E313, 1, 0)</f>
        <v>0</v>
      </c>
      <c r="BJ313" s="45">
        <f>IF('Fin Stat'!BJ$209&lt;$E313, 1, 0)</f>
        <v>0</v>
      </c>
      <c r="BL313" s="136"/>
      <c r="BM313" s="136"/>
      <c r="BN313" s="136"/>
      <c r="BO313" s="136"/>
      <c r="BP313" s="45">
        <f>IF('Fin Stat'!BP$209&lt;$E313, 1, 0)</f>
        <v>0</v>
      </c>
      <c r="BQ313" s="45">
        <f>IF('Fin Stat'!BQ$209&lt;$E313, 1, 0)</f>
        <v>0</v>
      </c>
      <c r="BR313" s="45">
        <f>IF('Fin Stat'!BR$209&lt;$E313, 1, 0)</f>
        <v>0</v>
      </c>
      <c r="BS313" s="45">
        <f>IF('Fin Stat'!BS$209&lt;$E313, 1, 0)</f>
        <v>0</v>
      </c>
      <c r="BT313" s="45">
        <f>IF('Fin Stat'!BT$209&lt;$E313, 1, 0)</f>
        <v>0</v>
      </c>
      <c r="BU313" s="45">
        <f>IF('Fin Stat'!BU$209&lt;$E313, 1, 0)</f>
        <v>0</v>
      </c>
      <c r="BV313" s="45">
        <f>IF('Fin Stat'!BV$209&lt;$E313, 1, 0)</f>
        <v>0</v>
      </c>
      <c r="BW313" s="45">
        <f>IF('Fin Stat'!BW$209&lt;$E313, 1, 0)</f>
        <v>0</v>
      </c>
      <c r="BY313" s="12"/>
      <c r="CA313" s="12"/>
      <c r="EX313" s="10" t="str">
        <f t="shared" si="167"/>
        <v/>
      </c>
    </row>
    <row r="314" spans="1:154" s="67" customFormat="1" x14ac:dyDescent="0.25">
      <c r="B314" s="67" t="str">
        <f ca="1">Loans!B$27</f>
        <v>Loan 15</v>
      </c>
      <c r="D314" s="62">
        <f>Loans!D$27</f>
        <v>0</v>
      </c>
      <c r="E314" s="10">
        <f>Loans!N27</f>
        <v>0</v>
      </c>
      <c r="T314" s="335"/>
      <c r="U314" s="335"/>
      <c r="V314" s="136"/>
      <c r="W314" s="136"/>
      <c r="X314" s="136"/>
      <c r="Y314" s="136"/>
      <c r="AA314" s="45">
        <f>IF('Fin Stat'!AA$209&lt;$E314, 1, 0)</f>
        <v>0</v>
      </c>
      <c r="AB314" s="45">
        <f>IF('Fin Stat'!AB$209&lt;$E314, 1, 0)</f>
        <v>0</v>
      </c>
      <c r="AC314" s="45">
        <f>IF('Fin Stat'!AC$209&lt;$E314, 1, 0)</f>
        <v>0</v>
      </c>
      <c r="AD314" s="45">
        <f>IF('Fin Stat'!AD$209&lt;$E314, 1, 0)</f>
        <v>0</v>
      </c>
      <c r="AE314" s="45">
        <f>IF('Fin Stat'!AE$209&lt;$E314, 1, 0)</f>
        <v>0</v>
      </c>
      <c r="AF314" s="45">
        <f>IF('Fin Stat'!AF$209&lt;$E314, 1, 0)</f>
        <v>0</v>
      </c>
      <c r="AG314" s="45">
        <f>IF('Fin Stat'!AG$209&lt;$E314, 1, 0)</f>
        <v>0</v>
      </c>
      <c r="AH314" s="45">
        <f>IF('Fin Stat'!AH$209&lt;$E314, 1, 0)</f>
        <v>0</v>
      </c>
      <c r="AI314" s="45">
        <f>IF('Fin Stat'!AI$209&lt;$E314, 1, 0)</f>
        <v>0</v>
      </c>
      <c r="AJ314" s="45">
        <f>IF('Fin Stat'!AJ$209&lt;$E314, 1, 0)</f>
        <v>0</v>
      </c>
      <c r="AK314" s="45">
        <f>IF('Fin Stat'!AK$209&lt;$E314, 1, 0)</f>
        <v>0</v>
      </c>
      <c r="AL314" s="45">
        <f>IF('Fin Stat'!AL$209&lt;$E314, 1, 0)</f>
        <v>0</v>
      </c>
      <c r="AM314" s="45">
        <f>IF('Fin Stat'!AM$209&lt;$E314, 1, 0)</f>
        <v>0</v>
      </c>
      <c r="AN314" s="45">
        <f>IF('Fin Stat'!AN$209&lt;$E314, 1, 0)</f>
        <v>0</v>
      </c>
      <c r="AO314" s="45">
        <f>IF('Fin Stat'!AO$209&lt;$E314, 1, 0)</f>
        <v>0</v>
      </c>
      <c r="AP314" s="45">
        <f>IF('Fin Stat'!AP$209&lt;$E314, 1, 0)</f>
        <v>0</v>
      </c>
      <c r="AQ314" s="45">
        <f>IF('Fin Stat'!AQ$209&lt;$E314, 1, 0)</f>
        <v>0</v>
      </c>
      <c r="AR314" s="45">
        <f>IF('Fin Stat'!AR$209&lt;$E314, 1, 0)</f>
        <v>0</v>
      </c>
      <c r="AS314" s="45">
        <f>IF('Fin Stat'!AS$209&lt;$E314, 1, 0)</f>
        <v>0</v>
      </c>
      <c r="AT314" s="45">
        <f>IF('Fin Stat'!AT$209&lt;$E314, 1, 0)</f>
        <v>0</v>
      </c>
      <c r="AU314" s="45">
        <f>IF('Fin Stat'!AU$209&lt;$E314, 1, 0)</f>
        <v>0</v>
      </c>
      <c r="AV314" s="45">
        <f>IF('Fin Stat'!AV$209&lt;$E314, 1, 0)</f>
        <v>0</v>
      </c>
      <c r="AW314" s="45">
        <f>IF('Fin Stat'!AW$209&lt;$E314, 1, 0)</f>
        <v>0</v>
      </c>
      <c r="AX314" s="45">
        <f>IF('Fin Stat'!AX$209&lt;$E314, 1, 0)</f>
        <v>0</v>
      </c>
      <c r="AY314" s="45">
        <f>IF('Fin Stat'!AY$209&lt;$E314, 1, 0)</f>
        <v>0</v>
      </c>
      <c r="AZ314" s="45">
        <f>IF('Fin Stat'!AZ$209&lt;$E314, 1, 0)</f>
        <v>0</v>
      </c>
      <c r="BA314" s="45">
        <f>IF('Fin Stat'!BA$209&lt;$E314, 1, 0)</f>
        <v>0</v>
      </c>
      <c r="BB314" s="45">
        <f>IF('Fin Stat'!BB$209&lt;$E314, 1, 0)</f>
        <v>0</v>
      </c>
      <c r="BC314" s="45">
        <f>IF('Fin Stat'!BC$209&lt;$E314, 1, 0)</f>
        <v>0</v>
      </c>
      <c r="BD314" s="45">
        <f>IF('Fin Stat'!BD$209&lt;$E314, 1, 0)</f>
        <v>0</v>
      </c>
      <c r="BE314" s="45">
        <f>IF('Fin Stat'!BE$209&lt;$E314, 1, 0)</f>
        <v>0</v>
      </c>
      <c r="BF314" s="45">
        <f>IF('Fin Stat'!BF$209&lt;$E314, 1, 0)</f>
        <v>0</v>
      </c>
      <c r="BG314" s="45">
        <f>IF('Fin Stat'!BG$209&lt;$E314, 1, 0)</f>
        <v>0</v>
      </c>
      <c r="BH314" s="45">
        <f>IF('Fin Stat'!BH$209&lt;$E314, 1, 0)</f>
        <v>0</v>
      </c>
      <c r="BI314" s="45">
        <f>IF('Fin Stat'!BI$209&lt;$E314, 1, 0)</f>
        <v>0</v>
      </c>
      <c r="BJ314" s="45">
        <f>IF('Fin Stat'!BJ$209&lt;$E314, 1, 0)</f>
        <v>0</v>
      </c>
      <c r="BL314" s="136"/>
      <c r="BM314" s="136"/>
      <c r="BN314" s="136"/>
      <c r="BO314" s="136"/>
      <c r="BP314" s="45">
        <f>IF('Fin Stat'!BP$209&lt;$E314, 1, 0)</f>
        <v>0</v>
      </c>
      <c r="BQ314" s="45">
        <f>IF('Fin Stat'!BQ$209&lt;$E314, 1, 0)</f>
        <v>0</v>
      </c>
      <c r="BR314" s="45">
        <f>IF('Fin Stat'!BR$209&lt;$E314, 1, 0)</f>
        <v>0</v>
      </c>
      <c r="BS314" s="45">
        <f>IF('Fin Stat'!BS$209&lt;$E314, 1, 0)</f>
        <v>0</v>
      </c>
      <c r="BT314" s="45">
        <f>IF('Fin Stat'!BT$209&lt;$E314, 1, 0)</f>
        <v>0</v>
      </c>
      <c r="BU314" s="45">
        <f>IF('Fin Stat'!BU$209&lt;$E314, 1, 0)</f>
        <v>0</v>
      </c>
      <c r="BV314" s="45">
        <f>IF('Fin Stat'!BV$209&lt;$E314, 1, 0)</f>
        <v>0</v>
      </c>
      <c r="BW314" s="45">
        <f>IF('Fin Stat'!BW$209&lt;$E314, 1, 0)</f>
        <v>0</v>
      </c>
      <c r="BY314" s="12"/>
      <c r="CA314" s="12"/>
      <c r="EX314" s="10" t="str">
        <f t="shared" si="167"/>
        <v/>
      </c>
    </row>
    <row r="315" spans="1:154" s="67" customFormat="1" x14ac:dyDescent="0.25">
      <c r="B315" s="67" t="str">
        <f ca="1">Loans!B$28</f>
        <v>Loan 16</v>
      </c>
      <c r="D315" s="62">
        <f>Loans!D$28</f>
        <v>0</v>
      </c>
      <c r="E315" s="10">
        <f>Loans!N28</f>
        <v>0</v>
      </c>
      <c r="T315" s="335"/>
      <c r="U315" s="335"/>
      <c r="V315" s="136"/>
      <c r="W315" s="136"/>
      <c r="X315" s="136"/>
      <c r="Y315" s="136"/>
      <c r="AA315" s="45">
        <f>IF('Fin Stat'!AA$209&lt;$E315, 1, 0)</f>
        <v>0</v>
      </c>
      <c r="AB315" s="45">
        <f>IF('Fin Stat'!AB$209&lt;$E315, 1, 0)</f>
        <v>0</v>
      </c>
      <c r="AC315" s="45">
        <f>IF('Fin Stat'!AC$209&lt;$E315, 1, 0)</f>
        <v>0</v>
      </c>
      <c r="AD315" s="45">
        <f>IF('Fin Stat'!AD$209&lt;$E315, 1, 0)</f>
        <v>0</v>
      </c>
      <c r="AE315" s="45">
        <f>IF('Fin Stat'!AE$209&lt;$E315, 1, 0)</f>
        <v>0</v>
      </c>
      <c r="AF315" s="45">
        <f>IF('Fin Stat'!AF$209&lt;$E315, 1, 0)</f>
        <v>0</v>
      </c>
      <c r="AG315" s="45">
        <f>IF('Fin Stat'!AG$209&lt;$E315, 1, 0)</f>
        <v>0</v>
      </c>
      <c r="AH315" s="45">
        <f>IF('Fin Stat'!AH$209&lt;$E315, 1, 0)</f>
        <v>0</v>
      </c>
      <c r="AI315" s="45">
        <f>IF('Fin Stat'!AI$209&lt;$E315, 1, 0)</f>
        <v>0</v>
      </c>
      <c r="AJ315" s="45">
        <f>IF('Fin Stat'!AJ$209&lt;$E315, 1, 0)</f>
        <v>0</v>
      </c>
      <c r="AK315" s="45">
        <f>IF('Fin Stat'!AK$209&lt;$E315, 1, 0)</f>
        <v>0</v>
      </c>
      <c r="AL315" s="45">
        <f>IF('Fin Stat'!AL$209&lt;$E315, 1, 0)</f>
        <v>0</v>
      </c>
      <c r="AM315" s="45">
        <f>IF('Fin Stat'!AM$209&lt;$E315, 1, 0)</f>
        <v>0</v>
      </c>
      <c r="AN315" s="45">
        <f>IF('Fin Stat'!AN$209&lt;$E315, 1, 0)</f>
        <v>0</v>
      </c>
      <c r="AO315" s="45">
        <f>IF('Fin Stat'!AO$209&lt;$E315, 1, 0)</f>
        <v>0</v>
      </c>
      <c r="AP315" s="45">
        <f>IF('Fin Stat'!AP$209&lt;$E315, 1, 0)</f>
        <v>0</v>
      </c>
      <c r="AQ315" s="45">
        <f>IF('Fin Stat'!AQ$209&lt;$E315, 1, 0)</f>
        <v>0</v>
      </c>
      <c r="AR315" s="45">
        <f>IF('Fin Stat'!AR$209&lt;$E315, 1, 0)</f>
        <v>0</v>
      </c>
      <c r="AS315" s="45">
        <f>IF('Fin Stat'!AS$209&lt;$E315, 1, 0)</f>
        <v>0</v>
      </c>
      <c r="AT315" s="45">
        <f>IF('Fin Stat'!AT$209&lt;$E315, 1, 0)</f>
        <v>0</v>
      </c>
      <c r="AU315" s="45">
        <f>IF('Fin Stat'!AU$209&lt;$E315, 1, 0)</f>
        <v>0</v>
      </c>
      <c r="AV315" s="45">
        <f>IF('Fin Stat'!AV$209&lt;$E315, 1, 0)</f>
        <v>0</v>
      </c>
      <c r="AW315" s="45">
        <f>IF('Fin Stat'!AW$209&lt;$E315, 1, 0)</f>
        <v>0</v>
      </c>
      <c r="AX315" s="45">
        <f>IF('Fin Stat'!AX$209&lt;$E315, 1, 0)</f>
        <v>0</v>
      </c>
      <c r="AY315" s="45">
        <f>IF('Fin Stat'!AY$209&lt;$E315, 1, 0)</f>
        <v>0</v>
      </c>
      <c r="AZ315" s="45">
        <f>IF('Fin Stat'!AZ$209&lt;$E315, 1, 0)</f>
        <v>0</v>
      </c>
      <c r="BA315" s="45">
        <f>IF('Fin Stat'!BA$209&lt;$E315, 1, 0)</f>
        <v>0</v>
      </c>
      <c r="BB315" s="45">
        <f>IF('Fin Stat'!BB$209&lt;$E315, 1, 0)</f>
        <v>0</v>
      </c>
      <c r="BC315" s="45">
        <f>IF('Fin Stat'!BC$209&lt;$E315, 1, 0)</f>
        <v>0</v>
      </c>
      <c r="BD315" s="45">
        <f>IF('Fin Stat'!BD$209&lt;$E315, 1, 0)</f>
        <v>0</v>
      </c>
      <c r="BE315" s="45">
        <f>IF('Fin Stat'!BE$209&lt;$E315, 1, 0)</f>
        <v>0</v>
      </c>
      <c r="BF315" s="45">
        <f>IF('Fin Stat'!BF$209&lt;$E315, 1, 0)</f>
        <v>0</v>
      </c>
      <c r="BG315" s="45">
        <f>IF('Fin Stat'!BG$209&lt;$E315, 1, 0)</f>
        <v>0</v>
      </c>
      <c r="BH315" s="45">
        <f>IF('Fin Stat'!BH$209&lt;$E315, 1, 0)</f>
        <v>0</v>
      </c>
      <c r="BI315" s="45">
        <f>IF('Fin Stat'!BI$209&lt;$E315, 1, 0)</f>
        <v>0</v>
      </c>
      <c r="BJ315" s="45">
        <f>IF('Fin Stat'!BJ$209&lt;$E315, 1, 0)</f>
        <v>0</v>
      </c>
      <c r="BL315" s="136"/>
      <c r="BM315" s="136"/>
      <c r="BN315" s="136"/>
      <c r="BO315" s="136"/>
      <c r="BP315" s="45">
        <f>IF('Fin Stat'!BP$209&lt;$E315, 1, 0)</f>
        <v>0</v>
      </c>
      <c r="BQ315" s="45">
        <f>IF('Fin Stat'!BQ$209&lt;$E315, 1, 0)</f>
        <v>0</v>
      </c>
      <c r="BR315" s="45">
        <f>IF('Fin Stat'!BR$209&lt;$E315, 1, 0)</f>
        <v>0</v>
      </c>
      <c r="BS315" s="45">
        <f>IF('Fin Stat'!BS$209&lt;$E315, 1, 0)</f>
        <v>0</v>
      </c>
      <c r="BT315" s="45">
        <f>IF('Fin Stat'!BT$209&lt;$E315, 1, 0)</f>
        <v>0</v>
      </c>
      <c r="BU315" s="45">
        <f>IF('Fin Stat'!BU$209&lt;$E315, 1, 0)</f>
        <v>0</v>
      </c>
      <c r="BV315" s="45">
        <f>IF('Fin Stat'!BV$209&lt;$E315, 1, 0)</f>
        <v>0</v>
      </c>
      <c r="BW315" s="45">
        <f>IF('Fin Stat'!BW$209&lt;$E315, 1, 0)</f>
        <v>0</v>
      </c>
      <c r="BY315" s="12"/>
      <c r="CA315" s="12"/>
      <c r="EX315" s="10" t="str">
        <f t="shared" si="167"/>
        <v/>
      </c>
    </row>
    <row r="316" spans="1:154" s="67" customFormat="1" x14ac:dyDescent="0.25">
      <c r="B316" s="67" t="str">
        <f ca="1">Loans!B$29</f>
        <v>Loan 17</v>
      </c>
      <c r="D316" s="62">
        <f>Loans!D$29</f>
        <v>0</v>
      </c>
      <c r="E316" s="10">
        <f>Loans!N29</f>
        <v>0</v>
      </c>
      <c r="T316" s="335"/>
      <c r="U316" s="335"/>
      <c r="V316" s="136"/>
      <c r="W316" s="136"/>
      <c r="X316" s="136"/>
      <c r="Y316" s="136"/>
      <c r="AA316" s="45">
        <f>IF('Fin Stat'!AA$209&lt;$E316, 1, 0)</f>
        <v>0</v>
      </c>
      <c r="AB316" s="45">
        <f>IF('Fin Stat'!AB$209&lt;$E316, 1, 0)</f>
        <v>0</v>
      </c>
      <c r="AC316" s="45">
        <f>IF('Fin Stat'!AC$209&lt;$E316, 1, 0)</f>
        <v>0</v>
      </c>
      <c r="AD316" s="45">
        <f>IF('Fin Stat'!AD$209&lt;$E316, 1, 0)</f>
        <v>0</v>
      </c>
      <c r="AE316" s="45">
        <f>IF('Fin Stat'!AE$209&lt;$E316, 1, 0)</f>
        <v>0</v>
      </c>
      <c r="AF316" s="45">
        <f>IF('Fin Stat'!AF$209&lt;$E316, 1, 0)</f>
        <v>0</v>
      </c>
      <c r="AG316" s="45">
        <f>IF('Fin Stat'!AG$209&lt;$E316, 1, 0)</f>
        <v>0</v>
      </c>
      <c r="AH316" s="45">
        <f>IF('Fin Stat'!AH$209&lt;$E316, 1, 0)</f>
        <v>0</v>
      </c>
      <c r="AI316" s="45">
        <f>IF('Fin Stat'!AI$209&lt;$E316, 1, 0)</f>
        <v>0</v>
      </c>
      <c r="AJ316" s="45">
        <f>IF('Fin Stat'!AJ$209&lt;$E316, 1, 0)</f>
        <v>0</v>
      </c>
      <c r="AK316" s="45">
        <f>IF('Fin Stat'!AK$209&lt;$E316, 1, 0)</f>
        <v>0</v>
      </c>
      <c r="AL316" s="45">
        <f>IF('Fin Stat'!AL$209&lt;$E316, 1, 0)</f>
        <v>0</v>
      </c>
      <c r="AM316" s="45">
        <f>IF('Fin Stat'!AM$209&lt;$E316, 1, 0)</f>
        <v>0</v>
      </c>
      <c r="AN316" s="45">
        <f>IF('Fin Stat'!AN$209&lt;$E316, 1, 0)</f>
        <v>0</v>
      </c>
      <c r="AO316" s="45">
        <f>IF('Fin Stat'!AO$209&lt;$E316, 1, 0)</f>
        <v>0</v>
      </c>
      <c r="AP316" s="45">
        <f>IF('Fin Stat'!AP$209&lt;$E316, 1, 0)</f>
        <v>0</v>
      </c>
      <c r="AQ316" s="45">
        <f>IF('Fin Stat'!AQ$209&lt;$E316, 1, 0)</f>
        <v>0</v>
      </c>
      <c r="AR316" s="45">
        <f>IF('Fin Stat'!AR$209&lt;$E316, 1, 0)</f>
        <v>0</v>
      </c>
      <c r="AS316" s="45">
        <f>IF('Fin Stat'!AS$209&lt;$E316, 1, 0)</f>
        <v>0</v>
      </c>
      <c r="AT316" s="45">
        <f>IF('Fin Stat'!AT$209&lt;$E316, 1, 0)</f>
        <v>0</v>
      </c>
      <c r="AU316" s="45">
        <f>IF('Fin Stat'!AU$209&lt;$E316, 1, 0)</f>
        <v>0</v>
      </c>
      <c r="AV316" s="45">
        <f>IF('Fin Stat'!AV$209&lt;$E316, 1, 0)</f>
        <v>0</v>
      </c>
      <c r="AW316" s="45">
        <f>IF('Fin Stat'!AW$209&lt;$E316, 1, 0)</f>
        <v>0</v>
      </c>
      <c r="AX316" s="45">
        <f>IF('Fin Stat'!AX$209&lt;$E316, 1, 0)</f>
        <v>0</v>
      </c>
      <c r="AY316" s="45">
        <f>IF('Fin Stat'!AY$209&lt;$E316, 1, 0)</f>
        <v>0</v>
      </c>
      <c r="AZ316" s="45">
        <f>IF('Fin Stat'!AZ$209&lt;$E316, 1, 0)</f>
        <v>0</v>
      </c>
      <c r="BA316" s="45">
        <f>IF('Fin Stat'!BA$209&lt;$E316, 1, 0)</f>
        <v>0</v>
      </c>
      <c r="BB316" s="45">
        <f>IF('Fin Stat'!BB$209&lt;$E316, 1, 0)</f>
        <v>0</v>
      </c>
      <c r="BC316" s="45">
        <f>IF('Fin Stat'!BC$209&lt;$E316, 1, 0)</f>
        <v>0</v>
      </c>
      <c r="BD316" s="45">
        <f>IF('Fin Stat'!BD$209&lt;$E316, 1, 0)</f>
        <v>0</v>
      </c>
      <c r="BE316" s="45">
        <f>IF('Fin Stat'!BE$209&lt;$E316, 1, 0)</f>
        <v>0</v>
      </c>
      <c r="BF316" s="45">
        <f>IF('Fin Stat'!BF$209&lt;$E316, 1, 0)</f>
        <v>0</v>
      </c>
      <c r="BG316" s="45">
        <f>IF('Fin Stat'!BG$209&lt;$E316, 1, 0)</f>
        <v>0</v>
      </c>
      <c r="BH316" s="45">
        <f>IF('Fin Stat'!BH$209&lt;$E316, 1, 0)</f>
        <v>0</v>
      </c>
      <c r="BI316" s="45">
        <f>IF('Fin Stat'!BI$209&lt;$E316, 1, 0)</f>
        <v>0</v>
      </c>
      <c r="BJ316" s="45">
        <f>IF('Fin Stat'!BJ$209&lt;$E316, 1, 0)</f>
        <v>0</v>
      </c>
      <c r="BL316" s="136"/>
      <c r="BM316" s="136"/>
      <c r="BN316" s="136"/>
      <c r="BO316" s="136"/>
      <c r="BP316" s="45">
        <f>IF('Fin Stat'!BP$209&lt;$E316, 1, 0)</f>
        <v>0</v>
      </c>
      <c r="BQ316" s="45">
        <f>IF('Fin Stat'!BQ$209&lt;$E316, 1, 0)</f>
        <v>0</v>
      </c>
      <c r="BR316" s="45">
        <f>IF('Fin Stat'!BR$209&lt;$E316, 1, 0)</f>
        <v>0</v>
      </c>
      <c r="BS316" s="45">
        <f>IF('Fin Stat'!BS$209&lt;$E316, 1, 0)</f>
        <v>0</v>
      </c>
      <c r="BT316" s="45">
        <f>IF('Fin Stat'!BT$209&lt;$E316, 1, 0)</f>
        <v>0</v>
      </c>
      <c r="BU316" s="45">
        <f>IF('Fin Stat'!BU$209&lt;$E316, 1, 0)</f>
        <v>0</v>
      </c>
      <c r="BV316" s="45">
        <f>IF('Fin Stat'!BV$209&lt;$E316, 1, 0)</f>
        <v>0</v>
      </c>
      <c r="BW316" s="45">
        <f>IF('Fin Stat'!BW$209&lt;$E316, 1, 0)</f>
        <v>0</v>
      </c>
      <c r="BY316" s="12"/>
      <c r="CA316" s="12"/>
      <c r="EX316" s="10" t="str">
        <f t="shared" si="167"/>
        <v/>
      </c>
    </row>
    <row r="317" spans="1:154" s="67" customFormat="1" x14ac:dyDescent="0.25">
      <c r="B317" s="67" t="str">
        <f ca="1">Loans!B$30</f>
        <v>Loan 18</v>
      </c>
      <c r="D317" s="62">
        <f>Loans!D$30</f>
        <v>0</v>
      </c>
      <c r="E317" s="10">
        <f>Loans!N30</f>
        <v>0</v>
      </c>
      <c r="T317" s="335"/>
      <c r="U317" s="335"/>
      <c r="V317" s="136"/>
      <c r="W317" s="136"/>
      <c r="X317" s="136"/>
      <c r="Y317" s="136"/>
      <c r="AA317" s="45">
        <f>IF('Fin Stat'!AA$209&lt;$E317, 1, 0)</f>
        <v>0</v>
      </c>
      <c r="AB317" s="45">
        <f>IF('Fin Stat'!AB$209&lt;$E317, 1, 0)</f>
        <v>0</v>
      </c>
      <c r="AC317" s="45">
        <f>IF('Fin Stat'!AC$209&lt;$E317, 1, 0)</f>
        <v>0</v>
      </c>
      <c r="AD317" s="45">
        <f>IF('Fin Stat'!AD$209&lt;$E317, 1, 0)</f>
        <v>0</v>
      </c>
      <c r="AE317" s="45">
        <f>IF('Fin Stat'!AE$209&lt;$E317, 1, 0)</f>
        <v>0</v>
      </c>
      <c r="AF317" s="45">
        <f>IF('Fin Stat'!AF$209&lt;$E317, 1, 0)</f>
        <v>0</v>
      </c>
      <c r="AG317" s="45">
        <f>IF('Fin Stat'!AG$209&lt;$E317, 1, 0)</f>
        <v>0</v>
      </c>
      <c r="AH317" s="45">
        <f>IF('Fin Stat'!AH$209&lt;$E317, 1, 0)</f>
        <v>0</v>
      </c>
      <c r="AI317" s="45">
        <f>IF('Fin Stat'!AI$209&lt;$E317, 1, 0)</f>
        <v>0</v>
      </c>
      <c r="AJ317" s="45">
        <f>IF('Fin Stat'!AJ$209&lt;$E317, 1, 0)</f>
        <v>0</v>
      </c>
      <c r="AK317" s="45">
        <f>IF('Fin Stat'!AK$209&lt;$E317, 1, 0)</f>
        <v>0</v>
      </c>
      <c r="AL317" s="45">
        <f>IF('Fin Stat'!AL$209&lt;$E317, 1, 0)</f>
        <v>0</v>
      </c>
      <c r="AM317" s="45">
        <f>IF('Fin Stat'!AM$209&lt;$E317, 1, 0)</f>
        <v>0</v>
      </c>
      <c r="AN317" s="45">
        <f>IF('Fin Stat'!AN$209&lt;$E317, 1, 0)</f>
        <v>0</v>
      </c>
      <c r="AO317" s="45">
        <f>IF('Fin Stat'!AO$209&lt;$E317, 1, 0)</f>
        <v>0</v>
      </c>
      <c r="AP317" s="45">
        <f>IF('Fin Stat'!AP$209&lt;$E317, 1, 0)</f>
        <v>0</v>
      </c>
      <c r="AQ317" s="45">
        <f>IF('Fin Stat'!AQ$209&lt;$E317, 1, 0)</f>
        <v>0</v>
      </c>
      <c r="AR317" s="45">
        <f>IF('Fin Stat'!AR$209&lt;$E317, 1, 0)</f>
        <v>0</v>
      </c>
      <c r="AS317" s="45">
        <f>IF('Fin Stat'!AS$209&lt;$E317, 1, 0)</f>
        <v>0</v>
      </c>
      <c r="AT317" s="45">
        <f>IF('Fin Stat'!AT$209&lt;$E317, 1, 0)</f>
        <v>0</v>
      </c>
      <c r="AU317" s="45">
        <f>IF('Fin Stat'!AU$209&lt;$E317, 1, 0)</f>
        <v>0</v>
      </c>
      <c r="AV317" s="45">
        <f>IF('Fin Stat'!AV$209&lt;$E317, 1, 0)</f>
        <v>0</v>
      </c>
      <c r="AW317" s="45">
        <f>IF('Fin Stat'!AW$209&lt;$E317, 1, 0)</f>
        <v>0</v>
      </c>
      <c r="AX317" s="45">
        <f>IF('Fin Stat'!AX$209&lt;$E317, 1, 0)</f>
        <v>0</v>
      </c>
      <c r="AY317" s="45">
        <f>IF('Fin Stat'!AY$209&lt;$E317, 1, 0)</f>
        <v>0</v>
      </c>
      <c r="AZ317" s="45">
        <f>IF('Fin Stat'!AZ$209&lt;$E317, 1, 0)</f>
        <v>0</v>
      </c>
      <c r="BA317" s="45">
        <f>IF('Fin Stat'!BA$209&lt;$E317, 1, 0)</f>
        <v>0</v>
      </c>
      <c r="BB317" s="45">
        <f>IF('Fin Stat'!BB$209&lt;$E317, 1, 0)</f>
        <v>0</v>
      </c>
      <c r="BC317" s="45">
        <f>IF('Fin Stat'!BC$209&lt;$E317, 1, 0)</f>
        <v>0</v>
      </c>
      <c r="BD317" s="45">
        <f>IF('Fin Stat'!BD$209&lt;$E317, 1, 0)</f>
        <v>0</v>
      </c>
      <c r="BE317" s="45">
        <f>IF('Fin Stat'!BE$209&lt;$E317, 1, 0)</f>
        <v>0</v>
      </c>
      <c r="BF317" s="45">
        <f>IF('Fin Stat'!BF$209&lt;$E317, 1, 0)</f>
        <v>0</v>
      </c>
      <c r="BG317" s="45">
        <f>IF('Fin Stat'!BG$209&lt;$E317, 1, 0)</f>
        <v>0</v>
      </c>
      <c r="BH317" s="45">
        <f>IF('Fin Stat'!BH$209&lt;$E317, 1, 0)</f>
        <v>0</v>
      </c>
      <c r="BI317" s="45">
        <f>IF('Fin Stat'!BI$209&lt;$E317, 1, 0)</f>
        <v>0</v>
      </c>
      <c r="BJ317" s="45">
        <f>IF('Fin Stat'!BJ$209&lt;$E317, 1, 0)</f>
        <v>0</v>
      </c>
      <c r="BL317" s="136"/>
      <c r="BM317" s="136"/>
      <c r="BN317" s="136"/>
      <c r="BO317" s="136"/>
      <c r="BP317" s="45">
        <f>IF('Fin Stat'!BP$209&lt;$E317, 1, 0)</f>
        <v>0</v>
      </c>
      <c r="BQ317" s="45">
        <f>IF('Fin Stat'!BQ$209&lt;$E317, 1, 0)</f>
        <v>0</v>
      </c>
      <c r="BR317" s="45">
        <f>IF('Fin Stat'!BR$209&lt;$E317, 1, 0)</f>
        <v>0</v>
      </c>
      <c r="BS317" s="45">
        <f>IF('Fin Stat'!BS$209&lt;$E317, 1, 0)</f>
        <v>0</v>
      </c>
      <c r="BT317" s="45">
        <f>IF('Fin Stat'!BT$209&lt;$E317, 1, 0)</f>
        <v>0</v>
      </c>
      <c r="BU317" s="45">
        <f>IF('Fin Stat'!BU$209&lt;$E317, 1, 0)</f>
        <v>0</v>
      </c>
      <c r="BV317" s="45">
        <f>IF('Fin Stat'!BV$209&lt;$E317, 1, 0)</f>
        <v>0</v>
      </c>
      <c r="BW317" s="45">
        <f>IF('Fin Stat'!BW$209&lt;$E317, 1, 0)</f>
        <v>0</v>
      </c>
      <c r="BY317" s="12"/>
      <c r="CA317" s="12"/>
      <c r="EX317" s="10" t="str">
        <f t="shared" si="167"/>
        <v/>
      </c>
    </row>
    <row r="318" spans="1:154" s="67" customFormat="1" x14ac:dyDescent="0.25">
      <c r="B318" s="67" t="str">
        <f ca="1">Loans!B$31</f>
        <v>Loan 19</v>
      </c>
      <c r="D318" s="62">
        <f>Loans!D$31</f>
        <v>0</v>
      </c>
      <c r="E318" s="10">
        <f>Loans!N31</f>
        <v>0</v>
      </c>
      <c r="T318" s="335"/>
      <c r="U318" s="335"/>
      <c r="V318" s="136"/>
      <c r="W318" s="136"/>
      <c r="X318" s="136"/>
      <c r="Y318" s="136"/>
      <c r="AA318" s="45">
        <f>IF('Fin Stat'!AA$209&lt;$E318, 1, 0)</f>
        <v>0</v>
      </c>
      <c r="AB318" s="45">
        <f>IF('Fin Stat'!AB$209&lt;$E318, 1, 0)</f>
        <v>0</v>
      </c>
      <c r="AC318" s="45">
        <f>IF('Fin Stat'!AC$209&lt;$E318, 1, 0)</f>
        <v>0</v>
      </c>
      <c r="AD318" s="45">
        <f>IF('Fin Stat'!AD$209&lt;$E318, 1, 0)</f>
        <v>0</v>
      </c>
      <c r="AE318" s="45">
        <f>IF('Fin Stat'!AE$209&lt;$E318, 1, 0)</f>
        <v>0</v>
      </c>
      <c r="AF318" s="45">
        <f>IF('Fin Stat'!AF$209&lt;$E318, 1, 0)</f>
        <v>0</v>
      </c>
      <c r="AG318" s="45">
        <f>IF('Fin Stat'!AG$209&lt;$E318, 1, 0)</f>
        <v>0</v>
      </c>
      <c r="AH318" s="45">
        <f>IF('Fin Stat'!AH$209&lt;$E318, 1, 0)</f>
        <v>0</v>
      </c>
      <c r="AI318" s="45">
        <f>IF('Fin Stat'!AI$209&lt;$E318, 1, 0)</f>
        <v>0</v>
      </c>
      <c r="AJ318" s="45">
        <f>IF('Fin Stat'!AJ$209&lt;$E318, 1, 0)</f>
        <v>0</v>
      </c>
      <c r="AK318" s="45">
        <f>IF('Fin Stat'!AK$209&lt;$E318, 1, 0)</f>
        <v>0</v>
      </c>
      <c r="AL318" s="45">
        <f>IF('Fin Stat'!AL$209&lt;$E318, 1, 0)</f>
        <v>0</v>
      </c>
      <c r="AM318" s="45">
        <f>IF('Fin Stat'!AM$209&lt;$E318, 1, 0)</f>
        <v>0</v>
      </c>
      <c r="AN318" s="45">
        <f>IF('Fin Stat'!AN$209&lt;$E318, 1, 0)</f>
        <v>0</v>
      </c>
      <c r="AO318" s="45">
        <f>IF('Fin Stat'!AO$209&lt;$E318, 1, 0)</f>
        <v>0</v>
      </c>
      <c r="AP318" s="45">
        <f>IF('Fin Stat'!AP$209&lt;$E318, 1, 0)</f>
        <v>0</v>
      </c>
      <c r="AQ318" s="45">
        <f>IF('Fin Stat'!AQ$209&lt;$E318, 1, 0)</f>
        <v>0</v>
      </c>
      <c r="AR318" s="45">
        <f>IF('Fin Stat'!AR$209&lt;$E318, 1, 0)</f>
        <v>0</v>
      </c>
      <c r="AS318" s="45">
        <f>IF('Fin Stat'!AS$209&lt;$E318, 1, 0)</f>
        <v>0</v>
      </c>
      <c r="AT318" s="45">
        <f>IF('Fin Stat'!AT$209&lt;$E318, 1, 0)</f>
        <v>0</v>
      </c>
      <c r="AU318" s="45">
        <f>IF('Fin Stat'!AU$209&lt;$E318, 1, 0)</f>
        <v>0</v>
      </c>
      <c r="AV318" s="45">
        <f>IF('Fin Stat'!AV$209&lt;$E318, 1, 0)</f>
        <v>0</v>
      </c>
      <c r="AW318" s="45">
        <f>IF('Fin Stat'!AW$209&lt;$E318, 1, 0)</f>
        <v>0</v>
      </c>
      <c r="AX318" s="45">
        <f>IF('Fin Stat'!AX$209&lt;$E318, 1, 0)</f>
        <v>0</v>
      </c>
      <c r="AY318" s="45">
        <f>IF('Fin Stat'!AY$209&lt;$E318, 1, 0)</f>
        <v>0</v>
      </c>
      <c r="AZ318" s="45">
        <f>IF('Fin Stat'!AZ$209&lt;$E318, 1, 0)</f>
        <v>0</v>
      </c>
      <c r="BA318" s="45">
        <f>IF('Fin Stat'!BA$209&lt;$E318, 1, 0)</f>
        <v>0</v>
      </c>
      <c r="BB318" s="45">
        <f>IF('Fin Stat'!BB$209&lt;$E318, 1, 0)</f>
        <v>0</v>
      </c>
      <c r="BC318" s="45">
        <f>IF('Fin Stat'!BC$209&lt;$E318, 1, 0)</f>
        <v>0</v>
      </c>
      <c r="BD318" s="45">
        <f>IF('Fin Stat'!BD$209&lt;$E318, 1, 0)</f>
        <v>0</v>
      </c>
      <c r="BE318" s="45">
        <f>IF('Fin Stat'!BE$209&lt;$E318, 1, 0)</f>
        <v>0</v>
      </c>
      <c r="BF318" s="45">
        <f>IF('Fin Stat'!BF$209&lt;$E318, 1, 0)</f>
        <v>0</v>
      </c>
      <c r="BG318" s="45">
        <f>IF('Fin Stat'!BG$209&lt;$E318, 1, 0)</f>
        <v>0</v>
      </c>
      <c r="BH318" s="45">
        <f>IF('Fin Stat'!BH$209&lt;$E318, 1, 0)</f>
        <v>0</v>
      </c>
      <c r="BI318" s="45">
        <f>IF('Fin Stat'!BI$209&lt;$E318, 1, 0)</f>
        <v>0</v>
      </c>
      <c r="BJ318" s="45">
        <f>IF('Fin Stat'!BJ$209&lt;$E318, 1, 0)</f>
        <v>0</v>
      </c>
      <c r="BL318" s="136"/>
      <c r="BM318" s="136"/>
      <c r="BN318" s="136"/>
      <c r="BO318" s="136"/>
      <c r="BP318" s="45">
        <f>IF('Fin Stat'!BP$209&lt;$E318, 1, 0)</f>
        <v>0</v>
      </c>
      <c r="BQ318" s="45">
        <f>IF('Fin Stat'!BQ$209&lt;$E318, 1, 0)</f>
        <v>0</v>
      </c>
      <c r="BR318" s="45">
        <f>IF('Fin Stat'!BR$209&lt;$E318, 1, 0)</f>
        <v>0</v>
      </c>
      <c r="BS318" s="45">
        <f>IF('Fin Stat'!BS$209&lt;$E318, 1, 0)</f>
        <v>0</v>
      </c>
      <c r="BT318" s="45">
        <f>IF('Fin Stat'!BT$209&lt;$E318, 1, 0)</f>
        <v>0</v>
      </c>
      <c r="BU318" s="45">
        <f>IF('Fin Stat'!BU$209&lt;$E318, 1, 0)</f>
        <v>0</v>
      </c>
      <c r="BV318" s="45">
        <f>IF('Fin Stat'!BV$209&lt;$E318, 1, 0)</f>
        <v>0</v>
      </c>
      <c r="BW318" s="45">
        <f>IF('Fin Stat'!BW$209&lt;$E318, 1, 0)</f>
        <v>0</v>
      </c>
      <c r="BY318" s="12"/>
      <c r="CA318" s="12"/>
      <c r="EX318" s="10" t="str">
        <f t="shared" si="167"/>
        <v/>
      </c>
    </row>
    <row r="319" spans="1:154" s="67" customFormat="1" x14ac:dyDescent="0.25">
      <c r="B319" s="67" t="str">
        <f ca="1">Loans!B$32</f>
        <v>Loan 20</v>
      </c>
      <c r="D319" s="62">
        <f>Loans!D$32</f>
        <v>0</v>
      </c>
      <c r="E319" s="10">
        <f>Loans!N32</f>
        <v>0</v>
      </c>
      <c r="T319" s="335"/>
      <c r="U319" s="335"/>
      <c r="V319" s="136"/>
      <c r="W319" s="136"/>
      <c r="X319" s="136"/>
      <c r="Y319" s="136"/>
      <c r="AA319" s="45">
        <f>IF('Fin Stat'!AA$209&lt;$E319, 1, 0)</f>
        <v>0</v>
      </c>
      <c r="AB319" s="45">
        <f>IF('Fin Stat'!AB$209&lt;$E319, 1, 0)</f>
        <v>0</v>
      </c>
      <c r="AC319" s="45">
        <f>IF('Fin Stat'!AC$209&lt;$E319, 1, 0)</f>
        <v>0</v>
      </c>
      <c r="AD319" s="45">
        <f>IF('Fin Stat'!AD$209&lt;$E319, 1, 0)</f>
        <v>0</v>
      </c>
      <c r="AE319" s="45">
        <f>IF('Fin Stat'!AE$209&lt;$E319, 1, 0)</f>
        <v>0</v>
      </c>
      <c r="AF319" s="45">
        <f>IF('Fin Stat'!AF$209&lt;$E319, 1, 0)</f>
        <v>0</v>
      </c>
      <c r="AG319" s="45">
        <f>IF('Fin Stat'!AG$209&lt;$E319, 1, 0)</f>
        <v>0</v>
      </c>
      <c r="AH319" s="45">
        <f>IF('Fin Stat'!AH$209&lt;$E319, 1, 0)</f>
        <v>0</v>
      </c>
      <c r="AI319" s="45">
        <f>IF('Fin Stat'!AI$209&lt;$E319, 1, 0)</f>
        <v>0</v>
      </c>
      <c r="AJ319" s="45">
        <f>IF('Fin Stat'!AJ$209&lt;$E319, 1, 0)</f>
        <v>0</v>
      </c>
      <c r="AK319" s="45">
        <f>IF('Fin Stat'!AK$209&lt;$E319, 1, 0)</f>
        <v>0</v>
      </c>
      <c r="AL319" s="45">
        <f>IF('Fin Stat'!AL$209&lt;$E319, 1, 0)</f>
        <v>0</v>
      </c>
      <c r="AM319" s="45">
        <f>IF('Fin Stat'!AM$209&lt;$E319, 1, 0)</f>
        <v>0</v>
      </c>
      <c r="AN319" s="45">
        <f>IF('Fin Stat'!AN$209&lt;$E319, 1, 0)</f>
        <v>0</v>
      </c>
      <c r="AO319" s="45">
        <f>IF('Fin Stat'!AO$209&lt;$E319, 1, 0)</f>
        <v>0</v>
      </c>
      <c r="AP319" s="45">
        <f>IF('Fin Stat'!AP$209&lt;$E319, 1, 0)</f>
        <v>0</v>
      </c>
      <c r="AQ319" s="45">
        <f>IF('Fin Stat'!AQ$209&lt;$E319, 1, 0)</f>
        <v>0</v>
      </c>
      <c r="AR319" s="45">
        <f>IF('Fin Stat'!AR$209&lt;$E319, 1, 0)</f>
        <v>0</v>
      </c>
      <c r="AS319" s="45">
        <f>IF('Fin Stat'!AS$209&lt;$E319, 1, 0)</f>
        <v>0</v>
      </c>
      <c r="AT319" s="45">
        <f>IF('Fin Stat'!AT$209&lt;$E319, 1, 0)</f>
        <v>0</v>
      </c>
      <c r="AU319" s="45">
        <f>IF('Fin Stat'!AU$209&lt;$E319, 1, 0)</f>
        <v>0</v>
      </c>
      <c r="AV319" s="45">
        <f>IF('Fin Stat'!AV$209&lt;$E319, 1, 0)</f>
        <v>0</v>
      </c>
      <c r="AW319" s="45">
        <f>IF('Fin Stat'!AW$209&lt;$E319, 1, 0)</f>
        <v>0</v>
      </c>
      <c r="AX319" s="45">
        <f>IF('Fin Stat'!AX$209&lt;$E319, 1, 0)</f>
        <v>0</v>
      </c>
      <c r="AY319" s="45">
        <f>IF('Fin Stat'!AY$209&lt;$E319, 1, 0)</f>
        <v>0</v>
      </c>
      <c r="AZ319" s="45">
        <f>IF('Fin Stat'!AZ$209&lt;$E319, 1, 0)</f>
        <v>0</v>
      </c>
      <c r="BA319" s="45">
        <f>IF('Fin Stat'!BA$209&lt;$E319, 1, 0)</f>
        <v>0</v>
      </c>
      <c r="BB319" s="45">
        <f>IF('Fin Stat'!BB$209&lt;$E319, 1, 0)</f>
        <v>0</v>
      </c>
      <c r="BC319" s="45">
        <f>IF('Fin Stat'!BC$209&lt;$E319, 1, 0)</f>
        <v>0</v>
      </c>
      <c r="BD319" s="45">
        <f>IF('Fin Stat'!BD$209&lt;$E319, 1, 0)</f>
        <v>0</v>
      </c>
      <c r="BE319" s="45">
        <f>IF('Fin Stat'!BE$209&lt;$E319, 1, 0)</f>
        <v>0</v>
      </c>
      <c r="BF319" s="45">
        <f>IF('Fin Stat'!BF$209&lt;$E319, 1, 0)</f>
        <v>0</v>
      </c>
      <c r="BG319" s="45">
        <f>IF('Fin Stat'!BG$209&lt;$E319, 1, 0)</f>
        <v>0</v>
      </c>
      <c r="BH319" s="45">
        <f>IF('Fin Stat'!BH$209&lt;$E319, 1, 0)</f>
        <v>0</v>
      </c>
      <c r="BI319" s="45">
        <f>IF('Fin Stat'!BI$209&lt;$E319, 1, 0)</f>
        <v>0</v>
      </c>
      <c r="BJ319" s="45">
        <f>IF('Fin Stat'!BJ$209&lt;$E319, 1, 0)</f>
        <v>0</v>
      </c>
      <c r="BL319" s="136"/>
      <c r="BM319" s="136"/>
      <c r="BN319" s="136"/>
      <c r="BO319" s="136"/>
      <c r="BP319" s="45">
        <f>IF('Fin Stat'!BP$209&lt;$E319, 1, 0)</f>
        <v>0</v>
      </c>
      <c r="BQ319" s="45">
        <f>IF('Fin Stat'!BQ$209&lt;$E319, 1, 0)</f>
        <v>0</v>
      </c>
      <c r="BR319" s="45">
        <f>IF('Fin Stat'!BR$209&lt;$E319, 1, 0)</f>
        <v>0</v>
      </c>
      <c r="BS319" s="45">
        <f>IF('Fin Stat'!BS$209&lt;$E319, 1, 0)</f>
        <v>0</v>
      </c>
      <c r="BT319" s="45">
        <f>IF('Fin Stat'!BT$209&lt;$E319, 1, 0)</f>
        <v>0</v>
      </c>
      <c r="BU319" s="45">
        <f>IF('Fin Stat'!BU$209&lt;$E319, 1, 0)</f>
        <v>0</v>
      </c>
      <c r="BV319" s="45">
        <f>IF('Fin Stat'!BV$209&lt;$E319, 1, 0)</f>
        <v>0</v>
      </c>
      <c r="BW319" s="45">
        <f>IF('Fin Stat'!BW$209&lt;$E319, 1, 0)</f>
        <v>0</v>
      </c>
      <c r="BY319" s="12"/>
      <c r="CA319" s="12"/>
      <c r="EX319" s="10" t="str">
        <f t="shared" si="167"/>
        <v/>
      </c>
    </row>
    <row r="320" spans="1:154" s="67" customFormat="1" ht="6.6" customHeight="1" x14ac:dyDescent="0.25">
      <c r="D320" s="1"/>
      <c r="T320" s="335"/>
      <c r="U320" s="335"/>
      <c r="BM320" s="6"/>
      <c r="BY320" s="42"/>
      <c r="CA320" s="42"/>
      <c r="EX320" s="10" t="str">
        <f t="shared" si="167"/>
        <v/>
      </c>
    </row>
    <row r="321" spans="1:154" s="67" customFormat="1" x14ac:dyDescent="0.25">
      <c r="D321" s="5" t="s">
        <v>768</v>
      </c>
      <c r="T321" s="335"/>
      <c r="U321" s="335"/>
      <c r="BY321" s="12"/>
      <c r="CA321" s="12"/>
      <c r="EX321" s="10" t="str">
        <f t="shared" si="167"/>
        <v/>
      </c>
    </row>
    <row r="322" spans="1:154" s="67" customFormat="1" x14ac:dyDescent="0.25">
      <c r="B322" s="5"/>
      <c r="D322" s="5" t="str">
        <f>Loans!D$11</f>
        <v>Lender</v>
      </c>
      <c r="E322" s="138" t="s">
        <v>767</v>
      </c>
      <c r="T322" s="335"/>
      <c r="U322" s="335"/>
      <c r="BY322" s="12"/>
      <c r="CA322" s="12"/>
      <c r="EX322" s="10" t="str">
        <f t="shared" si="167"/>
        <v/>
      </c>
    </row>
    <row r="323" spans="1:154" s="67" customFormat="1" x14ac:dyDescent="0.25">
      <c r="B323" s="67" t="str">
        <f ca="1">Loans!B$13</f>
        <v>Loan 1</v>
      </c>
      <c r="D323" s="62" t="str">
        <f>Loans!D$13</f>
        <v>NatWest</v>
      </c>
      <c r="E323" s="10">
        <f>Loans!N$13</f>
        <v>0</v>
      </c>
      <c r="T323" s="335"/>
      <c r="U323" s="335"/>
      <c r="V323" s="136"/>
      <c r="W323" s="136"/>
      <c r="X323" s="136"/>
      <c r="Y323" s="136"/>
      <c r="AA323" s="45">
        <f>IF(Ratios!AA$31&lt;$E323, 1, 0)</f>
        <v>0</v>
      </c>
      <c r="AB323" s="45">
        <f>IF(Ratios!AB$31&lt;$E323, 1, 0)</f>
        <v>0</v>
      </c>
      <c r="AC323" s="45">
        <f>IF(Ratios!AC$31&lt;$E323, 1, 0)</f>
        <v>0</v>
      </c>
      <c r="AD323" s="45">
        <f>IF(Ratios!AD$31&lt;$E323, 1, 0)</f>
        <v>0</v>
      </c>
      <c r="AE323" s="45">
        <f>IF(Ratios!AE$31&lt;$E323, 1, 0)</f>
        <v>0</v>
      </c>
      <c r="AF323" s="45">
        <f>IF(Ratios!AF$31&lt;$E323, 1, 0)</f>
        <v>0</v>
      </c>
      <c r="AG323" s="45">
        <f>IF(Ratios!AG$31&lt;$E323, 1, 0)</f>
        <v>0</v>
      </c>
      <c r="AH323" s="45">
        <f>IF(Ratios!AH$31&lt;$E323, 1, 0)</f>
        <v>0</v>
      </c>
      <c r="AI323" s="45">
        <f>IF(Ratios!AI$31&lt;$E323, 1, 0)</f>
        <v>0</v>
      </c>
      <c r="AJ323" s="45">
        <f>IF(Ratios!AJ$31&lt;$E323, 1, 0)</f>
        <v>0</v>
      </c>
      <c r="AK323" s="45">
        <f>IF(Ratios!AK$31&lt;$E323, 1, 0)</f>
        <v>0</v>
      </c>
      <c r="AL323" s="45">
        <f>IF(Ratios!AL$31&lt;$E323, 1, 0)</f>
        <v>0</v>
      </c>
      <c r="AM323" s="45">
        <f>IF(Ratios!AM$31&lt;$E323, 1, 0)</f>
        <v>0</v>
      </c>
      <c r="AN323" s="45">
        <f>IF(Ratios!AN$31&lt;$E323, 1, 0)</f>
        <v>0</v>
      </c>
      <c r="AO323" s="45">
        <f>IF(Ratios!AO$31&lt;$E323, 1, 0)</f>
        <v>0</v>
      </c>
      <c r="AP323" s="45">
        <f>IF(Ratios!AP$31&lt;$E323, 1, 0)</f>
        <v>0</v>
      </c>
      <c r="AQ323" s="45">
        <f>IF(Ratios!AQ$31&lt;$E323, 1, 0)</f>
        <v>0</v>
      </c>
      <c r="AR323" s="45">
        <f>IF(Ratios!AR$31&lt;$E323, 1, 0)</f>
        <v>0</v>
      </c>
      <c r="AS323" s="45">
        <f>IF(Ratios!AS$31&lt;$E323, 1, 0)</f>
        <v>0</v>
      </c>
      <c r="AT323" s="45">
        <f>IF(Ratios!AT$31&lt;$E323, 1, 0)</f>
        <v>0</v>
      </c>
      <c r="AU323" s="45">
        <f>IF(Ratios!AU$31&lt;$E323, 1, 0)</f>
        <v>0</v>
      </c>
      <c r="AV323" s="45">
        <f>IF(Ratios!AV$31&lt;$E323, 1, 0)</f>
        <v>0</v>
      </c>
      <c r="AW323" s="45">
        <f>IF(Ratios!AW$31&lt;$E323, 1, 0)</f>
        <v>0</v>
      </c>
      <c r="AX323" s="45">
        <f>IF(Ratios!AX$31&lt;$E323, 1, 0)</f>
        <v>0</v>
      </c>
      <c r="AY323" s="45">
        <f>IF(Ratios!AY$31&lt;$E323, 1, 0)</f>
        <v>0</v>
      </c>
      <c r="AZ323" s="45">
        <f>IF(Ratios!AZ$31&lt;$E323, 1, 0)</f>
        <v>0</v>
      </c>
      <c r="BA323" s="45">
        <f>IF(Ratios!BA$31&lt;$E323, 1, 0)</f>
        <v>0</v>
      </c>
      <c r="BB323" s="45">
        <f>IF(Ratios!BB$31&lt;$E323, 1, 0)</f>
        <v>0</v>
      </c>
      <c r="BC323" s="45">
        <f>IF(Ratios!BC$31&lt;$E323, 1, 0)</f>
        <v>0</v>
      </c>
      <c r="BD323" s="45">
        <f>IF(Ratios!BD$31&lt;$E323, 1, 0)</f>
        <v>0</v>
      </c>
      <c r="BE323" s="45">
        <f>IF(Ratios!BE$31&lt;$E323, 1, 0)</f>
        <v>0</v>
      </c>
      <c r="BF323" s="45">
        <f>IF(Ratios!BF$31&lt;$E323, 1, 0)</f>
        <v>0</v>
      </c>
      <c r="BG323" s="45">
        <f>IF(Ratios!BG$31&lt;$E323, 1, 0)</f>
        <v>0</v>
      </c>
      <c r="BH323" s="45">
        <f>IF(Ratios!BH$31&lt;$E323, 1, 0)</f>
        <v>0</v>
      </c>
      <c r="BI323" s="45">
        <f>IF(Ratios!BI$31&lt;$E323, 1, 0)</f>
        <v>0</v>
      </c>
      <c r="BJ323" s="45">
        <f>IF(Ratios!BJ$31&lt;$E323, 1, 0)</f>
        <v>0</v>
      </c>
      <c r="BL323" s="136"/>
      <c r="BM323" s="136"/>
      <c r="BN323" s="136"/>
      <c r="BO323" s="136"/>
      <c r="BP323" s="45">
        <f>IF(Ratios!BP$31&lt;$E323, 1, 0)</f>
        <v>0</v>
      </c>
      <c r="BQ323" s="45">
        <f>IF(Ratios!BQ$31&lt;$E323, 1, 0)</f>
        <v>0</v>
      </c>
      <c r="BR323" s="45">
        <f>IF(Ratios!BR$31&lt;$E323, 1, 0)</f>
        <v>0</v>
      </c>
      <c r="BS323" s="45">
        <f>IF(Ratios!BS$31&lt;$E323, 1, 0)</f>
        <v>0</v>
      </c>
      <c r="BT323" s="45">
        <f>IF(Ratios!BT$31&lt;$E323, 1, 0)</f>
        <v>0</v>
      </c>
      <c r="BU323" s="45">
        <f>IF(Ratios!BU$31&lt;$E323, 1, 0)</f>
        <v>0</v>
      </c>
      <c r="BV323" s="45">
        <f>IF(Ratios!BV$31&lt;$E323, 1, 0)</f>
        <v>0</v>
      </c>
      <c r="BW323" s="45">
        <f>IF(Ratios!BW$31&lt;$E323, 1, 0)</f>
        <v>0</v>
      </c>
      <c r="BY323" s="12"/>
      <c r="CA323" s="12"/>
      <c r="EX323" s="10" t="str">
        <f t="shared" si="167"/>
        <v/>
      </c>
    </row>
    <row r="324" spans="1:154" s="67" customFormat="1" x14ac:dyDescent="0.25">
      <c r="B324" s="67" t="str">
        <f ca="1">Loans!B$14</f>
        <v>Loan 2</v>
      </c>
      <c r="D324" s="62" t="str">
        <f>Loans!D$14</f>
        <v>NatWest</v>
      </c>
      <c r="E324" s="10">
        <f>Loans!N$14</f>
        <v>0</v>
      </c>
      <c r="T324" s="335"/>
      <c r="U324" s="335"/>
      <c r="V324" s="136"/>
      <c r="W324" s="136"/>
      <c r="X324" s="136"/>
      <c r="Y324" s="136"/>
      <c r="AA324" s="45">
        <f>IF(Ratios!AA$31&lt;$E324, 1, 0)</f>
        <v>0</v>
      </c>
      <c r="AB324" s="45">
        <f>IF(Ratios!AB$31&lt;$E324, 1, 0)</f>
        <v>0</v>
      </c>
      <c r="AC324" s="45">
        <f>IF(Ratios!AC$31&lt;$E324, 1, 0)</f>
        <v>0</v>
      </c>
      <c r="AD324" s="45">
        <f>IF(Ratios!AD$31&lt;$E324, 1, 0)</f>
        <v>0</v>
      </c>
      <c r="AE324" s="45">
        <f>IF(Ratios!AE$31&lt;$E324, 1, 0)</f>
        <v>0</v>
      </c>
      <c r="AF324" s="45">
        <f>IF(Ratios!AF$31&lt;$E324, 1, 0)</f>
        <v>0</v>
      </c>
      <c r="AG324" s="45">
        <f>IF(Ratios!AG$31&lt;$E324, 1, 0)</f>
        <v>0</v>
      </c>
      <c r="AH324" s="45">
        <f>IF(Ratios!AH$31&lt;$E324, 1, 0)</f>
        <v>0</v>
      </c>
      <c r="AI324" s="45">
        <f>IF(Ratios!AI$31&lt;$E324, 1, 0)</f>
        <v>0</v>
      </c>
      <c r="AJ324" s="45">
        <f>IF(Ratios!AJ$31&lt;$E324, 1, 0)</f>
        <v>0</v>
      </c>
      <c r="AK324" s="45">
        <f>IF(Ratios!AK$31&lt;$E324, 1, 0)</f>
        <v>0</v>
      </c>
      <c r="AL324" s="45">
        <f>IF(Ratios!AL$31&lt;$E324, 1, 0)</f>
        <v>0</v>
      </c>
      <c r="AM324" s="45">
        <f>IF(Ratios!AM$31&lt;$E324, 1, 0)</f>
        <v>0</v>
      </c>
      <c r="AN324" s="45">
        <f>IF(Ratios!AN$31&lt;$E324, 1, 0)</f>
        <v>0</v>
      </c>
      <c r="AO324" s="45">
        <f>IF(Ratios!AO$31&lt;$E324, 1, 0)</f>
        <v>0</v>
      </c>
      <c r="AP324" s="45">
        <f>IF(Ratios!AP$31&lt;$E324, 1, 0)</f>
        <v>0</v>
      </c>
      <c r="AQ324" s="45">
        <f>IF(Ratios!AQ$31&lt;$E324, 1, 0)</f>
        <v>0</v>
      </c>
      <c r="AR324" s="45">
        <f>IF(Ratios!AR$31&lt;$E324, 1, 0)</f>
        <v>0</v>
      </c>
      <c r="AS324" s="45">
        <f>IF(Ratios!AS$31&lt;$E324, 1, 0)</f>
        <v>0</v>
      </c>
      <c r="AT324" s="45">
        <f>IF(Ratios!AT$31&lt;$E324, 1, 0)</f>
        <v>0</v>
      </c>
      <c r="AU324" s="45">
        <f>IF(Ratios!AU$31&lt;$E324, 1, 0)</f>
        <v>0</v>
      </c>
      <c r="AV324" s="45">
        <f>IF(Ratios!AV$31&lt;$E324, 1, 0)</f>
        <v>0</v>
      </c>
      <c r="AW324" s="45">
        <f>IF(Ratios!AW$31&lt;$E324, 1, 0)</f>
        <v>0</v>
      </c>
      <c r="AX324" s="45">
        <f>IF(Ratios!AX$31&lt;$E324, 1, 0)</f>
        <v>0</v>
      </c>
      <c r="AY324" s="45">
        <f>IF(Ratios!AY$31&lt;$E324, 1, 0)</f>
        <v>0</v>
      </c>
      <c r="AZ324" s="45">
        <f>IF(Ratios!AZ$31&lt;$E324, 1, 0)</f>
        <v>0</v>
      </c>
      <c r="BA324" s="45">
        <f>IF(Ratios!BA$31&lt;$E324, 1, 0)</f>
        <v>0</v>
      </c>
      <c r="BB324" s="45">
        <f>IF(Ratios!BB$31&lt;$E324, 1, 0)</f>
        <v>0</v>
      </c>
      <c r="BC324" s="45">
        <f>IF(Ratios!BC$31&lt;$E324, 1, 0)</f>
        <v>0</v>
      </c>
      <c r="BD324" s="45">
        <f>IF(Ratios!BD$31&lt;$E324, 1, 0)</f>
        <v>0</v>
      </c>
      <c r="BE324" s="45">
        <f>IF(Ratios!BE$31&lt;$E324, 1, 0)</f>
        <v>0</v>
      </c>
      <c r="BF324" s="45">
        <f>IF(Ratios!BF$31&lt;$E324, 1, 0)</f>
        <v>0</v>
      </c>
      <c r="BG324" s="45">
        <f>IF(Ratios!BG$31&lt;$E324, 1, 0)</f>
        <v>0</v>
      </c>
      <c r="BH324" s="45">
        <f>IF(Ratios!BH$31&lt;$E324, 1, 0)</f>
        <v>0</v>
      </c>
      <c r="BI324" s="45">
        <f>IF(Ratios!BI$31&lt;$E324, 1, 0)</f>
        <v>0</v>
      </c>
      <c r="BJ324" s="45">
        <f>IF(Ratios!BJ$31&lt;$E324, 1, 0)</f>
        <v>0</v>
      </c>
      <c r="BL324" s="136"/>
      <c r="BM324" s="136"/>
      <c r="BN324" s="136"/>
      <c r="BO324" s="136"/>
      <c r="BP324" s="45">
        <f>IF(Ratios!BP$31&lt;$E324, 1, 0)</f>
        <v>0</v>
      </c>
      <c r="BQ324" s="45">
        <f>IF(Ratios!BQ$31&lt;$E324, 1, 0)</f>
        <v>0</v>
      </c>
      <c r="BR324" s="45">
        <f>IF(Ratios!BR$31&lt;$E324, 1, 0)</f>
        <v>0</v>
      </c>
      <c r="BS324" s="45">
        <f>IF(Ratios!BS$31&lt;$E324, 1, 0)</f>
        <v>0</v>
      </c>
      <c r="BT324" s="45">
        <f>IF(Ratios!BT$31&lt;$E324, 1, 0)</f>
        <v>0</v>
      </c>
      <c r="BU324" s="45">
        <f>IF(Ratios!BU$31&lt;$E324, 1, 0)</f>
        <v>0</v>
      </c>
      <c r="BV324" s="45">
        <f>IF(Ratios!BV$31&lt;$E324, 1, 0)</f>
        <v>0</v>
      </c>
      <c r="BW324" s="45">
        <f>IF(Ratios!BW$31&lt;$E324, 1, 0)</f>
        <v>0</v>
      </c>
      <c r="BY324" s="12"/>
      <c r="CA324" s="12"/>
      <c r="EX324" s="10" t="str">
        <f t="shared" si="167"/>
        <v/>
      </c>
    </row>
    <row r="325" spans="1:154" s="67" customFormat="1" x14ac:dyDescent="0.25">
      <c r="B325" s="67" t="str">
        <f ca="1">Loans!B$15</f>
        <v>Loan 3</v>
      </c>
      <c r="D325" s="62" t="str">
        <f>Loans!D$15</f>
        <v>NatWest</v>
      </c>
      <c r="E325" s="10">
        <f>Loans!N$15</f>
        <v>0</v>
      </c>
      <c r="T325" s="335"/>
      <c r="U325" s="335"/>
      <c r="V325" s="136"/>
      <c r="W325" s="136"/>
      <c r="X325" s="136"/>
      <c r="Y325" s="136"/>
      <c r="AA325" s="45">
        <f>IF(Ratios!AA$31&lt;$E325, 1, 0)</f>
        <v>0</v>
      </c>
      <c r="AB325" s="45">
        <f>IF(Ratios!AB$31&lt;$E325, 1, 0)</f>
        <v>0</v>
      </c>
      <c r="AC325" s="45">
        <f>IF(Ratios!AC$31&lt;$E325, 1, 0)</f>
        <v>0</v>
      </c>
      <c r="AD325" s="45">
        <f>IF(Ratios!AD$31&lt;$E325, 1, 0)</f>
        <v>0</v>
      </c>
      <c r="AE325" s="45">
        <f>IF(Ratios!AE$31&lt;$E325, 1, 0)</f>
        <v>0</v>
      </c>
      <c r="AF325" s="45">
        <f>IF(Ratios!AF$31&lt;$E325, 1, 0)</f>
        <v>0</v>
      </c>
      <c r="AG325" s="45">
        <f>IF(Ratios!AG$31&lt;$E325, 1, 0)</f>
        <v>0</v>
      </c>
      <c r="AH325" s="45">
        <f>IF(Ratios!AH$31&lt;$E325, 1, 0)</f>
        <v>0</v>
      </c>
      <c r="AI325" s="45">
        <f>IF(Ratios!AI$31&lt;$E325, 1, 0)</f>
        <v>0</v>
      </c>
      <c r="AJ325" s="45">
        <f>IF(Ratios!AJ$31&lt;$E325, 1, 0)</f>
        <v>0</v>
      </c>
      <c r="AK325" s="45">
        <f>IF(Ratios!AK$31&lt;$E325, 1, 0)</f>
        <v>0</v>
      </c>
      <c r="AL325" s="45">
        <f>IF(Ratios!AL$31&lt;$E325, 1, 0)</f>
        <v>0</v>
      </c>
      <c r="AM325" s="45">
        <f>IF(Ratios!AM$31&lt;$E325, 1, 0)</f>
        <v>0</v>
      </c>
      <c r="AN325" s="45">
        <f>IF(Ratios!AN$31&lt;$E325, 1, 0)</f>
        <v>0</v>
      </c>
      <c r="AO325" s="45">
        <f>IF(Ratios!AO$31&lt;$E325, 1, 0)</f>
        <v>0</v>
      </c>
      <c r="AP325" s="45">
        <f>IF(Ratios!AP$31&lt;$E325, 1, 0)</f>
        <v>0</v>
      </c>
      <c r="AQ325" s="45">
        <f>IF(Ratios!AQ$31&lt;$E325, 1, 0)</f>
        <v>0</v>
      </c>
      <c r="AR325" s="45">
        <f>IF(Ratios!AR$31&lt;$E325, 1, 0)</f>
        <v>0</v>
      </c>
      <c r="AS325" s="45">
        <f>IF(Ratios!AS$31&lt;$E325, 1, 0)</f>
        <v>0</v>
      </c>
      <c r="AT325" s="45">
        <f>IF(Ratios!AT$31&lt;$E325, 1, 0)</f>
        <v>0</v>
      </c>
      <c r="AU325" s="45">
        <f>IF(Ratios!AU$31&lt;$E325, 1, 0)</f>
        <v>0</v>
      </c>
      <c r="AV325" s="45">
        <f>IF(Ratios!AV$31&lt;$E325, 1, 0)</f>
        <v>0</v>
      </c>
      <c r="AW325" s="45">
        <f>IF(Ratios!AW$31&lt;$E325, 1, 0)</f>
        <v>0</v>
      </c>
      <c r="AX325" s="45">
        <f>IF(Ratios!AX$31&lt;$E325, 1, 0)</f>
        <v>0</v>
      </c>
      <c r="AY325" s="45">
        <f>IF(Ratios!AY$31&lt;$E325, 1, 0)</f>
        <v>0</v>
      </c>
      <c r="AZ325" s="45">
        <f>IF(Ratios!AZ$31&lt;$E325, 1, 0)</f>
        <v>0</v>
      </c>
      <c r="BA325" s="45">
        <f>IF(Ratios!BA$31&lt;$E325, 1, 0)</f>
        <v>0</v>
      </c>
      <c r="BB325" s="45">
        <f>IF(Ratios!BB$31&lt;$E325, 1, 0)</f>
        <v>0</v>
      </c>
      <c r="BC325" s="45">
        <f>IF(Ratios!BC$31&lt;$E325, 1, 0)</f>
        <v>0</v>
      </c>
      <c r="BD325" s="45">
        <f>IF(Ratios!BD$31&lt;$E325, 1, 0)</f>
        <v>0</v>
      </c>
      <c r="BE325" s="45">
        <f>IF(Ratios!BE$31&lt;$E325, 1, 0)</f>
        <v>0</v>
      </c>
      <c r="BF325" s="45">
        <f>IF(Ratios!BF$31&lt;$E325, 1, 0)</f>
        <v>0</v>
      </c>
      <c r="BG325" s="45">
        <f>IF(Ratios!BG$31&lt;$E325, 1, 0)</f>
        <v>0</v>
      </c>
      <c r="BH325" s="45">
        <f>IF(Ratios!BH$31&lt;$E325, 1, 0)</f>
        <v>0</v>
      </c>
      <c r="BI325" s="45">
        <f>IF(Ratios!BI$31&lt;$E325, 1, 0)</f>
        <v>0</v>
      </c>
      <c r="BJ325" s="45">
        <f>IF(Ratios!BJ$31&lt;$E325, 1, 0)</f>
        <v>0</v>
      </c>
      <c r="BL325" s="136"/>
      <c r="BM325" s="136"/>
      <c r="BN325" s="136"/>
      <c r="BO325" s="136"/>
      <c r="BP325" s="45">
        <f>IF(Ratios!BP$31&lt;$E325, 1, 0)</f>
        <v>0</v>
      </c>
      <c r="BQ325" s="45">
        <f>IF(Ratios!BQ$31&lt;$E325, 1, 0)</f>
        <v>0</v>
      </c>
      <c r="BR325" s="45">
        <f>IF(Ratios!BR$31&lt;$E325, 1, 0)</f>
        <v>0</v>
      </c>
      <c r="BS325" s="45">
        <f>IF(Ratios!BS$31&lt;$E325, 1, 0)</f>
        <v>0</v>
      </c>
      <c r="BT325" s="45">
        <f>IF(Ratios!BT$31&lt;$E325, 1, 0)</f>
        <v>0</v>
      </c>
      <c r="BU325" s="45">
        <f>IF(Ratios!BU$31&lt;$E325, 1, 0)</f>
        <v>0</v>
      </c>
      <c r="BV325" s="45">
        <f>IF(Ratios!BV$31&lt;$E325, 1, 0)</f>
        <v>0</v>
      </c>
      <c r="BW325" s="45">
        <f>IF(Ratios!BW$31&lt;$E325, 1, 0)</f>
        <v>0</v>
      </c>
      <c r="BY325" s="12"/>
      <c r="CA325" s="12"/>
      <c r="EX325" s="10" t="str">
        <f t="shared" si="167"/>
        <v/>
      </c>
    </row>
    <row r="326" spans="1:154" s="67" customFormat="1" x14ac:dyDescent="0.25">
      <c r="B326" s="67" t="str">
        <f ca="1">Loans!B$16</f>
        <v>Loan 4</v>
      </c>
      <c r="D326" s="62" t="str">
        <f>Loans!D$16</f>
        <v>NatWest</v>
      </c>
      <c r="E326" s="10">
        <f>Loans!N$16</f>
        <v>0</v>
      </c>
      <c r="T326" s="335"/>
      <c r="U326" s="335"/>
      <c r="V326" s="136"/>
      <c r="W326" s="136"/>
      <c r="X326" s="136"/>
      <c r="Y326" s="136"/>
      <c r="AA326" s="45">
        <f>IF(Ratios!AA$31&lt;$E326, 1, 0)</f>
        <v>0</v>
      </c>
      <c r="AB326" s="45">
        <f>IF(Ratios!AB$31&lt;$E326, 1, 0)</f>
        <v>0</v>
      </c>
      <c r="AC326" s="45">
        <f>IF(Ratios!AC$31&lt;$E326, 1, 0)</f>
        <v>0</v>
      </c>
      <c r="AD326" s="45">
        <f>IF(Ratios!AD$31&lt;$E326, 1, 0)</f>
        <v>0</v>
      </c>
      <c r="AE326" s="45">
        <f>IF(Ratios!AE$31&lt;$E326, 1, 0)</f>
        <v>0</v>
      </c>
      <c r="AF326" s="45">
        <f>IF(Ratios!AF$31&lt;$E326, 1, 0)</f>
        <v>0</v>
      </c>
      <c r="AG326" s="45">
        <f>IF(Ratios!AG$31&lt;$E326, 1, 0)</f>
        <v>0</v>
      </c>
      <c r="AH326" s="45">
        <f>IF(Ratios!AH$31&lt;$E326, 1, 0)</f>
        <v>0</v>
      </c>
      <c r="AI326" s="45">
        <f>IF(Ratios!AI$31&lt;$E326, 1, 0)</f>
        <v>0</v>
      </c>
      <c r="AJ326" s="45">
        <f>IF(Ratios!AJ$31&lt;$E326, 1, 0)</f>
        <v>0</v>
      </c>
      <c r="AK326" s="45">
        <f>IF(Ratios!AK$31&lt;$E326, 1, 0)</f>
        <v>0</v>
      </c>
      <c r="AL326" s="45">
        <f>IF(Ratios!AL$31&lt;$E326, 1, 0)</f>
        <v>0</v>
      </c>
      <c r="AM326" s="45">
        <f>IF(Ratios!AM$31&lt;$E326, 1, 0)</f>
        <v>0</v>
      </c>
      <c r="AN326" s="45">
        <f>IF(Ratios!AN$31&lt;$E326, 1, 0)</f>
        <v>0</v>
      </c>
      <c r="AO326" s="45">
        <f>IF(Ratios!AO$31&lt;$E326, 1, 0)</f>
        <v>0</v>
      </c>
      <c r="AP326" s="45">
        <f>IF(Ratios!AP$31&lt;$E326, 1, 0)</f>
        <v>0</v>
      </c>
      <c r="AQ326" s="45">
        <f>IF(Ratios!AQ$31&lt;$E326, 1, 0)</f>
        <v>0</v>
      </c>
      <c r="AR326" s="45">
        <f>IF(Ratios!AR$31&lt;$E326, 1, 0)</f>
        <v>0</v>
      </c>
      <c r="AS326" s="45">
        <f>IF(Ratios!AS$31&lt;$E326, 1, 0)</f>
        <v>0</v>
      </c>
      <c r="AT326" s="45">
        <f>IF(Ratios!AT$31&lt;$E326, 1, 0)</f>
        <v>0</v>
      </c>
      <c r="AU326" s="45">
        <f>IF(Ratios!AU$31&lt;$E326, 1, 0)</f>
        <v>0</v>
      </c>
      <c r="AV326" s="45">
        <f>IF(Ratios!AV$31&lt;$E326, 1, 0)</f>
        <v>0</v>
      </c>
      <c r="AW326" s="45">
        <f>IF(Ratios!AW$31&lt;$E326, 1, 0)</f>
        <v>0</v>
      </c>
      <c r="AX326" s="45">
        <f>IF(Ratios!AX$31&lt;$E326, 1, 0)</f>
        <v>0</v>
      </c>
      <c r="AY326" s="45">
        <f>IF(Ratios!AY$31&lt;$E326, 1, 0)</f>
        <v>0</v>
      </c>
      <c r="AZ326" s="45">
        <f>IF(Ratios!AZ$31&lt;$E326, 1, 0)</f>
        <v>0</v>
      </c>
      <c r="BA326" s="45">
        <f>IF(Ratios!BA$31&lt;$E326, 1, 0)</f>
        <v>0</v>
      </c>
      <c r="BB326" s="45">
        <f>IF(Ratios!BB$31&lt;$E326, 1, 0)</f>
        <v>0</v>
      </c>
      <c r="BC326" s="45">
        <f>IF(Ratios!BC$31&lt;$E326, 1, 0)</f>
        <v>0</v>
      </c>
      <c r="BD326" s="45">
        <f>IF(Ratios!BD$31&lt;$E326, 1, 0)</f>
        <v>0</v>
      </c>
      <c r="BE326" s="45">
        <f>IF(Ratios!BE$31&lt;$E326, 1, 0)</f>
        <v>0</v>
      </c>
      <c r="BF326" s="45">
        <f>IF(Ratios!BF$31&lt;$E326, 1, 0)</f>
        <v>0</v>
      </c>
      <c r="BG326" s="45">
        <f>IF(Ratios!BG$31&lt;$E326, 1, 0)</f>
        <v>0</v>
      </c>
      <c r="BH326" s="45">
        <f>IF(Ratios!BH$31&lt;$E326, 1, 0)</f>
        <v>0</v>
      </c>
      <c r="BI326" s="45">
        <f>IF(Ratios!BI$31&lt;$E326, 1, 0)</f>
        <v>0</v>
      </c>
      <c r="BJ326" s="45">
        <f>IF(Ratios!BJ$31&lt;$E326, 1, 0)</f>
        <v>0</v>
      </c>
      <c r="BL326" s="136"/>
      <c r="BM326" s="136"/>
      <c r="BN326" s="136"/>
      <c r="BO326" s="136"/>
      <c r="BP326" s="45">
        <f>IF(Ratios!BP$31&lt;$E326, 1, 0)</f>
        <v>0</v>
      </c>
      <c r="BQ326" s="45">
        <f>IF(Ratios!BQ$31&lt;$E326, 1, 0)</f>
        <v>0</v>
      </c>
      <c r="BR326" s="45">
        <f>IF(Ratios!BR$31&lt;$E326, 1, 0)</f>
        <v>0</v>
      </c>
      <c r="BS326" s="45">
        <f>IF(Ratios!BS$31&lt;$E326, 1, 0)</f>
        <v>0</v>
      </c>
      <c r="BT326" s="45">
        <f>IF(Ratios!BT$31&lt;$E326, 1, 0)</f>
        <v>0</v>
      </c>
      <c r="BU326" s="45">
        <f>IF(Ratios!BU$31&lt;$E326, 1, 0)</f>
        <v>0</v>
      </c>
      <c r="BV326" s="45">
        <f>IF(Ratios!BV$31&lt;$E326, 1, 0)</f>
        <v>0</v>
      </c>
      <c r="BW326" s="45">
        <f>IF(Ratios!BW$31&lt;$E326, 1, 0)</f>
        <v>0</v>
      </c>
      <c r="BY326" s="12"/>
      <c r="CA326" s="12"/>
      <c r="EX326" s="10" t="str">
        <f t="shared" si="167"/>
        <v/>
      </c>
    </row>
    <row r="327" spans="1:154" s="67" customFormat="1" x14ac:dyDescent="0.25">
      <c r="B327" s="67" t="str">
        <f ca="1">Loans!B$17</f>
        <v>Loan 5</v>
      </c>
      <c r="D327" s="62" t="str">
        <f>Loans!D$17</f>
        <v>NatWest</v>
      </c>
      <c r="E327" s="10">
        <f>Loans!N$17</f>
        <v>0</v>
      </c>
      <c r="T327" s="335"/>
      <c r="U327" s="335"/>
      <c r="V327" s="136"/>
      <c r="W327" s="136"/>
      <c r="X327" s="136"/>
      <c r="Y327" s="136"/>
      <c r="AA327" s="45">
        <f>IF(Ratios!AA$31&lt;$E327, 1, 0)</f>
        <v>0</v>
      </c>
      <c r="AB327" s="45">
        <f>IF(Ratios!AB$31&lt;$E327, 1, 0)</f>
        <v>0</v>
      </c>
      <c r="AC327" s="45">
        <f>IF(Ratios!AC$31&lt;$E327, 1, 0)</f>
        <v>0</v>
      </c>
      <c r="AD327" s="45">
        <f>IF(Ratios!AD$31&lt;$E327, 1, 0)</f>
        <v>0</v>
      </c>
      <c r="AE327" s="45">
        <f>IF(Ratios!AE$31&lt;$E327, 1, 0)</f>
        <v>0</v>
      </c>
      <c r="AF327" s="45">
        <f>IF(Ratios!AF$31&lt;$E327, 1, 0)</f>
        <v>0</v>
      </c>
      <c r="AG327" s="45">
        <f>IF(Ratios!AG$31&lt;$E327, 1, 0)</f>
        <v>0</v>
      </c>
      <c r="AH327" s="45">
        <f>IF(Ratios!AH$31&lt;$E327, 1, 0)</f>
        <v>0</v>
      </c>
      <c r="AI327" s="45">
        <f>IF(Ratios!AI$31&lt;$E327, 1, 0)</f>
        <v>0</v>
      </c>
      <c r="AJ327" s="45">
        <f>IF(Ratios!AJ$31&lt;$E327, 1, 0)</f>
        <v>0</v>
      </c>
      <c r="AK327" s="45">
        <f>IF(Ratios!AK$31&lt;$E327, 1, 0)</f>
        <v>0</v>
      </c>
      <c r="AL327" s="45">
        <f>IF(Ratios!AL$31&lt;$E327, 1, 0)</f>
        <v>0</v>
      </c>
      <c r="AM327" s="45">
        <f>IF(Ratios!AM$31&lt;$E327, 1, 0)</f>
        <v>0</v>
      </c>
      <c r="AN327" s="45">
        <f>IF(Ratios!AN$31&lt;$E327, 1, 0)</f>
        <v>0</v>
      </c>
      <c r="AO327" s="45">
        <f>IF(Ratios!AO$31&lt;$E327, 1, 0)</f>
        <v>0</v>
      </c>
      <c r="AP327" s="45">
        <f>IF(Ratios!AP$31&lt;$E327, 1, 0)</f>
        <v>0</v>
      </c>
      <c r="AQ327" s="45">
        <f>IF(Ratios!AQ$31&lt;$E327, 1, 0)</f>
        <v>0</v>
      </c>
      <c r="AR327" s="45">
        <f>IF(Ratios!AR$31&lt;$E327, 1, 0)</f>
        <v>0</v>
      </c>
      <c r="AS327" s="45">
        <f>IF(Ratios!AS$31&lt;$E327, 1, 0)</f>
        <v>0</v>
      </c>
      <c r="AT327" s="45">
        <f>IF(Ratios!AT$31&lt;$E327, 1, 0)</f>
        <v>0</v>
      </c>
      <c r="AU327" s="45">
        <f>IF(Ratios!AU$31&lt;$E327, 1, 0)</f>
        <v>0</v>
      </c>
      <c r="AV327" s="45">
        <f>IF(Ratios!AV$31&lt;$E327, 1, 0)</f>
        <v>0</v>
      </c>
      <c r="AW327" s="45">
        <f>IF(Ratios!AW$31&lt;$E327, 1, 0)</f>
        <v>0</v>
      </c>
      <c r="AX327" s="45">
        <f>IF(Ratios!AX$31&lt;$E327, 1, 0)</f>
        <v>0</v>
      </c>
      <c r="AY327" s="45">
        <f>IF(Ratios!AY$31&lt;$E327, 1, 0)</f>
        <v>0</v>
      </c>
      <c r="AZ327" s="45">
        <f>IF(Ratios!AZ$31&lt;$E327, 1, 0)</f>
        <v>0</v>
      </c>
      <c r="BA327" s="45">
        <f>IF(Ratios!BA$31&lt;$E327, 1, 0)</f>
        <v>0</v>
      </c>
      <c r="BB327" s="45">
        <f>IF(Ratios!BB$31&lt;$E327, 1, 0)</f>
        <v>0</v>
      </c>
      <c r="BC327" s="45">
        <f>IF(Ratios!BC$31&lt;$E327, 1, 0)</f>
        <v>0</v>
      </c>
      <c r="BD327" s="45">
        <f>IF(Ratios!BD$31&lt;$E327, 1, 0)</f>
        <v>0</v>
      </c>
      <c r="BE327" s="45">
        <f>IF(Ratios!BE$31&lt;$E327, 1, 0)</f>
        <v>0</v>
      </c>
      <c r="BF327" s="45">
        <f>IF(Ratios!BF$31&lt;$E327, 1, 0)</f>
        <v>0</v>
      </c>
      <c r="BG327" s="45">
        <f>IF(Ratios!BG$31&lt;$E327, 1, 0)</f>
        <v>0</v>
      </c>
      <c r="BH327" s="45">
        <f>IF(Ratios!BH$31&lt;$E327, 1, 0)</f>
        <v>0</v>
      </c>
      <c r="BI327" s="45">
        <f>IF(Ratios!BI$31&lt;$E327, 1, 0)</f>
        <v>0</v>
      </c>
      <c r="BJ327" s="45">
        <f>IF(Ratios!BJ$31&lt;$E327, 1, 0)</f>
        <v>0</v>
      </c>
      <c r="BL327" s="136"/>
      <c r="BM327" s="136"/>
      <c r="BN327" s="136"/>
      <c r="BO327" s="136"/>
      <c r="BP327" s="45">
        <f>IF(Ratios!BP$31&lt;$E327, 1, 0)</f>
        <v>0</v>
      </c>
      <c r="BQ327" s="45">
        <f>IF(Ratios!BQ$31&lt;$E327, 1, 0)</f>
        <v>0</v>
      </c>
      <c r="BR327" s="45">
        <f>IF(Ratios!BR$31&lt;$E327, 1, 0)</f>
        <v>0</v>
      </c>
      <c r="BS327" s="45">
        <f>IF(Ratios!BS$31&lt;$E327, 1, 0)</f>
        <v>0</v>
      </c>
      <c r="BT327" s="45">
        <f>IF(Ratios!BT$31&lt;$E327, 1, 0)</f>
        <v>0</v>
      </c>
      <c r="BU327" s="45">
        <f>IF(Ratios!BU$31&lt;$E327, 1, 0)</f>
        <v>0</v>
      </c>
      <c r="BV327" s="45">
        <f>IF(Ratios!BV$31&lt;$E327, 1, 0)</f>
        <v>0</v>
      </c>
      <c r="BW327" s="45">
        <f>IF(Ratios!BW$31&lt;$E327, 1, 0)</f>
        <v>0</v>
      </c>
      <c r="BY327" s="12"/>
      <c r="CA327" s="12"/>
      <c r="EX327" s="10" t="str">
        <f t="shared" si="167"/>
        <v/>
      </c>
    </row>
    <row r="328" spans="1:154" s="67" customFormat="1" x14ac:dyDescent="0.25">
      <c r="B328" s="67" t="str">
        <f ca="1">Loans!B$18</f>
        <v>Loan 6</v>
      </c>
      <c r="D328" s="62">
        <f>Loans!D$18</f>
        <v>0</v>
      </c>
      <c r="E328" s="10">
        <f>Loans!N$18</f>
        <v>0</v>
      </c>
      <c r="T328" s="335"/>
      <c r="U328" s="335"/>
      <c r="V328" s="136"/>
      <c r="W328" s="136"/>
      <c r="X328" s="136"/>
      <c r="Y328" s="136"/>
      <c r="AA328" s="45">
        <f>IF(Ratios!AA$31&lt;$E328, 1, 0)</f>
        <v>0</v>
      </c>
      <c r="AB328" s="45">
        <f>IF(Ratios!AB$31&lt;$E328, 1, 0)</f>
        <v>0</v>
      </c>
      <c r="AC328" s="45">
        <f>IF(Ratios!AC$31&lt;$E328, 1, 0)</f>
        <v>0</v>
      </c>
      <c r="AD328" s="45">
        <f>IF(Ratios!AD$31&lt;$E328, 1, 0)</f>
        <v>0</v>
      </c>
      <c r="AE328" s="45">
        <f>IF(Ratios!AE$31&lt;$E328, 1, 0)</f>
        <v>0</v>
      </c>
      <c r="AF328" s="45">
        <f>IF(Ratios!AF$31&lt;$E328, 1, 0)</f>
        <v>0</v>
      </c>
      <c r="AG328" s="45">
        <f>IF(Ratios!AG$31&lt;$E328, 1, 0)</f>
        <v>0</v>
      </c>
      <c r="AH328" s="45">
        <f>IF(Ratios!AH$31&lt;$E328, 1, 0)</f>
        <v>0</v>
      </c>
      <c r="AI328" s="45">
        <f>IF(Ratios!AI$31&lt;$E328, 1, 0)</f>
        <v>0</v>
      </c>
      <c r="AJ328" s="45">
        <f>IF(Ratios!AJ$31&lt;$E328, 1, 0)</f>
        <v>0</v>
      </c>
      <c r="AK328" s="45">
        <f>IF(Ratios!AK$31&lt;$E328, 1, 0)</f>
        <v>0</v>
      </c>
      <c r="AL328" s="45">
        <f>IF(Ratios!AL$31&lt;$E328, 1, 0)</f>
        <v>0</v>
      </c>
      <c r="AM328" s="45">
        <f>IF(Ratios!AM$31&lt;$E328, 1, 0)</f>
        <v>0</v>
      </c>
      <c r="AN328" s="45">
        <f>IF(Ratios!AN$31&lt;$E328, 1, 0)</f>
        <v>0</v>
      </c>
      <c r="AO328" s="45">
        <f>IF(Ratios!AO$31&lt;$E328, 1, 0)</f>
        <v>0</v>
      </c>
      <c r="AP328" s="45">
        <f>IF(Ratios!AP$31&lt;$E328, 1, 0)</f>
        <v>0</v>
      </c>
      <c r="AQ328" s="45">
        <f>IF(Ratios!AQ$31&lt;$E328, 1, 0)</f>
        <v>0</v>
      </c>
      <c r="AR328" s="45">
        <f>IF(Ratios!AR$31&lt;$E328, 1, 0)</f>
        <v>0</v>
      </c>
      <c r="AS328" s="45">
        <f>IF(Ratios!AS$31&lt;$E328, 1, 0)</f>
        <v>0</v>
      </c>
      <c r="AT328" s="45">
        <f>IF(Ratios!AT$31&lt;$E328, 1, 0)</f>
        <v>0</v>
      </c>
      <c r="AU328" s="45">
        <f>IF(Ratios!AU$31&lt;$E328, 1, 0)</f>
        <v>0</v>
      </c>
      <c r="AV328" s="45">
        <f>IF(Ratios!AV$31&lt;$E328, 1, 0)</f>
        <v>0</v>
      </c>
      <c r="AW328" s="45">
        <f>IF(Ratios!AW$31&lt;$E328, 1, 0)</f>
        <v>0</v>
      </c>
      <c r="AX328" s="45">
        <f>IF(Ratios!AX$31&lt;$E328, 1, 0)</f>
        <v>0</v>
      </c>
      <c r="AY328" s="45">
        <f>IF(Ratios!AY$31&lt;$E328, 1, 0)</f>
        <v>0</v>
      </c>
      <c r="AZ328" s="45">
        <f>IF(Ratios!AZ$31&lt;$E328, 1, 0)</f>
        <v>0</v>
      </c>
      <c r="BA328" s="45">
        <f>IF(Ratios!BA$31&lt;$E328, 1, 0)</f>
        <v>0</v>
      </c>
      <c r="BB328" s="45">
        <f>IF(Ratios!BB$31&lt;$E328, 1, 0)</f>
        <v>0</v>
      </c>
      <c r="BC328" s="45">
        <f>IF(Ratios!BC$31&lt;$E328, 1, 0)</f>
        <v>0</v>
      </c>
      <c r="BD328" s="45">
        <f>IF(Ratios!BD$31&lt;$E328, 1, 0)</f>
        <v>0</v>
      </c>
      <c r="BE328" s="45">
        <f>IF(Ratios!BE$31&lt;$E328, 1, 0)</f>
        <v>0</v>
      </c>
      <c r="BF328" s="45">
        <f>IF(Ratios!BF$31&lt;$E328, 1, 0)</f>
        <v>0</v>
      </c>
      <c r="BG328" s="45">
        <f>IF(Ratios!BG$31&lt;$E328, 1, 0)</f>
        <v>0</v>
      </c>
      <c r="BH328" s="45">
        <f>IF(Ratios!BH$31&lt;$E328, 1, 0)</f>
        <v>0</v>
      </c>
      <c r="BI328" s="45">
        <f>IF(Ratios!BI$31&lt;$E328, 1, 0)</f>
        <v>0</v>
      </c>
      <c r="BJ328" s="45">
        <f>IF(Ratios!BJ$31&lt;$E328, 1, 0)</f>
        <v>0</v>
      </c>
      <c r="BL328" s="136"/>
      <c r="BM328" s="136"/>
      <c r="BN328" s="136"/>
      <c r="BO328" s="136"/>
      <c r="BP328" s="45">
        <f>IF(Ratios!BP$31&lt;$E328, 1, 0)</f>
        <v>0</v>
      </c>
      <c r="BQ328" s="45">
        <f>IF(Ratios!BQ$31&lt;$E328, 1, 0)</f>
        <v>0</v>
      </c>
      <c r="BR328" s="45">
        <f>IF(Ratios!BR$31&lt;$E328, 1, 0)</f>
        <v>0</v>
      </c>
      <c r="BS328" s="45">
        <f>IF(Ratios!BS$31&lt;$E328, 1, 0)</f>
        <v>0</v>
      </c>
      <c r="BT328" s="45">
        <f>IF(Ratios!BT$31&lt;$E328, 1, 0)</f>
        <v>0</v>
      </c>
      <c r="BU328" s="45">
        <f>IF(Ratios!BU$31&lt;$E328, 1, 0)</f>
        <v>0</v>
      </c>
      <c r="BV328" s="45">
        <f>IF(Ratios!BV$31&lt;$E328, 1, 0)</f>
        <v>0</v>
      </c>
      <c r="BW328" s="45">
        <f>IF(Ratios!BW$31&lt;$E328, 1, 0)</f>
        <v>0</v>
      </c>
      <c r="BY328" s="12"/>
      <c r="CA328" s="12"/>
      <c r="EX328" s="10" t="str">
        <f t="shared" si="167"/>
        <v/>
      </c>
    </row>
    <row r="329" spans="1:154" s="5" customFormat="1" x14ac:dyDescent="0.25">
      <c r="A329" s="67"/>
      <c r="B329" s="67" t="str">
        <f ca="1">Loans!B$19</f>
        <v>Loan 7</v>
      </c>
      <c r="D329" s="62">
        <f>Loans!D$19</f>
        <v>0</v>
      </c>
      <c r="E329" s="10">
        <f>Loans!N$19</f>
        <v>0</v>
      </c>
      <c r="F329" s="67"/>
      <c r="G329" s="67"/>
      <c r="H329" s="67"/>
      <c r="I329" s="67"/>
      <c r="J329" s="67"/>
      <c r="K329" s="67"/>
      <c r="M329" s="67"/>
      <c r="N329" s="67"/>
      <c r="O329" s="67"/>
      <c r="P329" s="67"/>
      <c r="Q329" s="67"/>
      <c r="S329" s="67"/>
      <c r="T329" s="335"/>
      <c r="U329" s="335"/>
      <c r="V329" s="136"/>
      <c r="W329" s="136"/>
      <c r="X329" s="136"/>
      <c r="Y329" s="136"/>
      <c r="Z329" s="67"/>
      <c r="AA329" s="45">
        <f>IF(Ratios!AA$31&lt;$E329, 1, 0)</f>
        <v>0</v>
      </c>
      <c r="AB329" s="45">
        <f>IF(Ratios!AB$31&lt;$E329, 1, 0)</f>
        <v>0</v>
      </c>
      <c r="AC329" s="45">
        <f>IF(Ratios!AC$31&lt;$E329, 1, 0)</f>
        <v>0</v>
      </c>
      <c r="AD329" s="45">
        <f>IF(Ratios!AD$31&lt;$E329, 1, 0)</f>
        <v>0</v>
      </c>
      <c r="AE329" s="45">
        <f>IF(Ratios!AE$31&lt;$E329, 1, 0)</f>
        <v>0</v>
      </c>
      <c r="AF329" s="45">
        <f>IF(Ratios!AF$31&lt;$E329, 1, 0)</f>
        <v>0</v>
      </c>
      <c r="AG329" s="45">
        <f>IF(Ratios!AG$31&lt;$E329, 1, 0)</f>
        <v>0</v>
      </c>
      <c r="AH329" s="45">
        <f>IF(Ratios!AH$31&lt;$E329, 1, 0)</f>
        <v>0</v>
      </c>
      <c r="AI329" s="45">
        <f>IF(Ratios!AI$31&lt;$E329, 1, 0)</f>
        <v>0</v>
      </c>
      <c r="AJ329" s="45">
        <f>IF(Ratios!AJ$31&lt;$E329, 1, 0)</f>
        <v>0</v>
      </c>
      <c r="AK329" s="45">
        <f>IF(Ratios!AK$31&lt;$E329, 1, 0)</f>
        <v>0</v>
      </c>
      <c r="AL329" s="45">
        <f>IF(Ratios!AL$31&lt;$E329, 1, 0)</f>
        <v>0</v>
      </c>
      <c r="AM329" s="45">
        <f>IF(Ratios!AM$31&lt;$E329, 1, 0)</f>
        <v>0</v>
      </c>
      <c r="AN329" s="45">
        <f>IF(Ratios!AN$31&lt;$E329, 1, 0)</f>
        <v>0</v>
      </c>
      <c r="AO329" s="45">
        <f>IF(Ratios!AO$31&lt;$E329, 1, 0)</f>
        <v>0</v>
      </c>
      <c r="AP329" s="45">
        <f>IF(Ratios!AP$31&lt;$E329, 1, 0)</f>
        <v>0</v>
      </c>
      <c r="AQ329" s="45">
        <f>IF(Ratios!AQ$31&lt;$E329, 1, 0)</f>
        <v>0</v>
      </c>
      <c r="AR329" s="45">
        <f>IF(Ratios!AR$31&lt;$E329, 1, 0)</f>
        <v>0</v>
      </c>
      <c r="AS329" s="45">
        <f>IF(Ratios!AS$31&lt;$E329, 1, 0)</f>
        <v>0</v>
      </c>
      <c r="AT329" s="45">
        <f>IF(Ratios!AT$31&lt;$E329, 1, 0)</f>
        <v>0</v>
      </c>
      <c r="AU329" s="45">
        <f>IF(Ratios!AU$31&lt;$E329, 1, 0)</f>
        <v>0</v>
      </c>
      <c r="AV329" s="45">
        <f>IF(Ratios!AV$31&lt;$E329, 1, 0)</f>
        <v>0</v>
      </c>
      <c r="AW329" s="45">
        <f>IF(Ratios!AW$31&lt;$E329, 1, 0)</f>
        <v>0</v>
      </c>
      <c r="AX329" s="45">
        <f>IF(Ratios!AX$31&lt;$E329, 1, 0)</f>
        <v>0</v>
      </c>
      <c r="AY329" s="45">
        <f>IF(Ratios!AY$31&lt;$E329, 1, 0)</f>
        <v>0</v>
      </c>
      <c r="AZ329" s="45">
        <f>IF(Ratios!AZ$31&lt;$E329, 1, 0)</f>
        <v>0</v>
      </c>
      <c r="BA329" s="45">
        <f>IF(Ratios!BA$31&lt;$E329, 1, 0)</f>
        <v>0</v>
      </c>
      <c r="BB329" s="45">
        <f>IF(Ratios!BB$31&lt;$E329, 1, 0)</f>
        <v>0</v>
      </c>
      <c r="BC329" s="45">
        <f>IF(Ratios!BC$31&lt;$E329, 1, 0)</f>
        <v>0</v>
      </c>
      <c r="BD329" s="45">
        <f>IF(Ratios!BD$31&lt;$E329, 1, 0)</f>
        <v>0</v>
      </c>
      <c r="BE329" s="45">
        <f>IF(Ratios!BE$31&lt;$E329, 1, 0)</f>
        <v>0</v>
      </c>
      <c r="BF329" s="45">
        <f>IF(Ratios!BF$31&lt;$E329, 1, 0)</f>
        <v>0</v>
      </c>
      <c r="BG329" s="45">
        <f>IF(Ratios!BG$31&lt;$E329, 1, 0)</f>
        <v>0</v>
      </c>
      <c r="BH329" s="45">
        <f>IF(Ratios!BH$31&lt;$E329, 1, 0)</f>
        <v>0</v>
      </c>
      <c r="BI329" s="45">
        <f>IF(Ratios!BI$31&lt;$E329, 1, 0)</f>
        <v>0</v>
      </c>
      <c r="BJ329" s="45">
        <f>IF(Ratios!BJ$31&lt;$E329, 1, 0)</f>
        <v>0</v>
      </c>
      <c r="BK329" s="67"/>
      <c r="BL329" s="136"/>
      <c r="BM329" s="136"/>
      <c r="BN329" s="136"/>
      <c r="BO329" s="136"/>
      <c r="BP329" s="45">
        <f>IF(Ratios!BP$31&lt;$E329, 1, 0)</f>
        <v>0</v>
      </c>
      <c r="BQ329" s="45">
        <f>IF(Ratios!BQ$31&lt;$E329, 1, 0)</f>
        <v>0</v>
      </c>
      <c r="BR329" s="45">
        <f>IF(Ratios!BR$31&lt;$E329, 1, 0)</f>
        <v>0</v>
      </c>
      <c r="BS329" s="45">
        <f>IF(Ratios!BS$31&lt;$E329, 1, 0)</f>
        <v>0</v>
      </c>
      <c r="BT329" s="45">
        <f>IF(Ratios!BT$31&lt;$E329, 1, 0)</f>
        <v>0</v>
      </c>
      <c r="BU329" s="45">
        <f>IF(Ratios!BU$31&lt;$E329, 1, 0)</f>
        <v>0</v>
      </c>
      <c r="BV329" s="45">
        <f>IF(Ratios!BV$31&lt;$E329, 1, 0)</f>
        <v>0</v>
      </c>
      <c r="BW329" s="45">
        <f>IF(Ratios!BW$31&lt;$E329, 1, 0)</f>
        <v>0</v>
      </c>
      <c r="BX329" s="67"/>
      <c r="BY329" s="12"/>
      <c r="BZ329" s="67"/>
      <c r="CA329" s="12"/>
      <c r="EX329" s="10" t="str">
        <f t="shared" si="167"/>
        <v/>
      </c>
    </row>
    <row r="330" spans="1:154" s="67" customFormat="1" x14ac:dyDescent="0.25">
      <c r="B330" s="67" t="str">
        <f ca="1">Loans!B$20</f>
        <v>Loan 8</v>
      </c>
      <c r="D330" s="62">
        <f>Loans!D$20</f>
        <v>0</v>
      </c>
      <c r="E330" s="10">
        <f>Loans!N$20</f>
        <v>0</v>
      </c>
      <c r="T330" s="335"/>
      <c r="U330" s="335"/>
      <c r="V330" s="136"/>
      <c r="W330" s="136"/>
      <c r="X330" s="136"/>
      <c r="Y330" s="136"/>
      <c r="AA330" s="45">
        <f>IF(Ratios!AA$31&lt;$E330, 1, 0)</f>
        <v>0</v>
      </c>
      <c r="AB330" s="45">
        <f>IF(Ratios!AB$31&lt;$E330, 1, 0)</f>
        <v>0</v>
      </c>
      <c r="AC330" s="45">
        <f>IF(Ratios!AC$31&lt;$E330, 1, 0)</f>
        <v>0</v>
      </c>
      <c r="AD330" s="45">
        <f>IF(Ratios!AD$31&lt;$E330, 1, 0)</f>
        <v>0</v>
      </c>
      <c r="AE330" s="45">
        <f>IF(Ratios!AE$31&lt;$E330, 1, 0)</f>
        <v>0</v>
      </c>
      <c r="AF330" s="45">
        <f>IF(Ratios!AF$31&lt;$E330, 1, 0)</f>
        <v>0</v>
      </c>
      <c r="AG330" s="45">
        <f>IF(Ratios!AG$31&lt;$E330, 1, 0)</f>
        <v>0</v>
      </c>
      <c r="AH330" s="45">
        <f>IF(Ratios!AH$31&lt;$E330, 1, 0)</f>
        <v>0</v>
      </c>
      <c r="AI330" s="45">
        <f>IF(Ratios!AI$31&lt;$E330, 1, 0)</f>
        <v>0</v>
      </c>
      <c r="AJ330" s="45">
        <f>IF(Ratios!AJ$31&lt;$E330, 1, 0)</f>
        <v>0</v>
      </c>
      <c r="AK330" s="45">
        <f>IF(Ratios!AK$31&lt;$E330, 1, 0)</f>
        <v>0</v>
      </c>
      <c r="AL330" s="45">
        <f>IF(Ratios!AL$31&lt;$E330, 1, 0)</f>
        <v>0</v>
      </c>
      <c r="AM330" s="45">
        <f>IF(Ratios!AM$31&lt;$E330, 1, 0)</f>
        <v>0</v>
      </c>
      <c r="AN330" s="45">
        <f>IF(Ratios!AN$31&lt;$E330, 1, 0)</f>
        <v>0</v>
      </c>
      <c r="AO330" s="45">
        <f>IF(Ratios!AO$31&lt;$E330, 1, 0)</f>
        <v>0</v>
      </c>
      <c r="AP330" s="45">
        <f>IF(Ratios!AP$31&lt;$E330, 1, 0)</f>
        <v>0</v>
      </c>
      <c r="AQ330" s="45">
        <f>IF(Ratios!AQ$31&lt;$E330, 1, 0)</f>
        <v>0</v>
      </c>
      <c r="AR330" s="45">
        <f>IF(Ratios!AR$31&lt;$E330, 1, 0)</f>
        <v>0</v>
      </c>
      <c r="AS330" s="45">
        <f>IF(Ratios!AS$31&lt;$E330, 1, 0)</f>
        <v>0</v>
      </c>
      <c r="AT330" s="45">
        <f>IF(Ratios!AT$31&lt;$E330, 1, 0)</f>
        <v>0</v>
      </c>
      <c r="AU330" s="45">
        <f>IF(Ratios!AU$31&lt;$E330, 1, 0)</f>
        <v>0</v>
      </c>
      <c r="AV330" s="45">
        <f>IF(Ratios!AV$31&lt;$E330, 1, 0)</f>
        <v>0</v>
      </c>
      <c r="AW330" s="45">
        <f>IF(Ratios!AW$31&lt;$E330, 1, 0)</f>
        <v>0</v>
      </c>
      <c r="AX330" s="45">
        <f>IF(Ratios!AX$31&lt;$E330, 1, 0)</f>
        <v>0</v>
      </c>
      <c r="AY330" s="45">
        <f>IF(Ratios!AY$31&lt;$E330, 1, 0)</f>
        <v>0</v>
      </c>
      <c r="AZ330" s="45">
        <f>IF(Ratios!AZ$31&lt;$E330, 1, 0)</f>
        <v>0</v>
      </c>
      <c r="BA330" s="45">
        <f>IF(Ratios!BA$31&lt;$E330, 1, 0)</f>
        <v>0</v>
      </c>
      <c r="BB330" s="45">
        <f>IF(Ratios!BB$31&lt;$E330, 1, 0)</f>
        <v>0</v>
      </c>
      <c r="BC330" s="45">
        <f>IF(Ratios!BC$31&lt;$E330, 1, 0)</f>
        <v>0</v>
      </c>
      <c r="BD330" s="45">
        <f>IF(Ratios!BD$31&lt;$E330, 1, 0)</f>
        <v>0</v>
      </c>
      <c r="BE330" s="45">
        <f>IF(Ratios!BE$31&lt;$E330, 1, 0)</f>
        <v>0</v>
      </c>
      <c r="BF330" s="45">
        <f>IF(Ratios!BF$31&lt;$E330, 1, 0)</f>
        <v>0</v>
      </c>
      <c r="BG330" s="45">
        <f>IF(Ratios!BG$31&lt;$E330, 1, 0)</f>
        <v>0</v>
      </c>
      <c r="BH330" s="45">
        <f>IF(Ratios!BH$31&lt;$E330, 1, 0)</f>
        <v>0</v>
      </c>
      <c r="BI330" s="45">
        <f>IF(Ratios!BI$31&lt;$E330, 1, 0)</f>
        <v>0</v>
      </c>
      <c r="BJ330" s="45">
        <f>IF(Ratios!BJ$31&lt;$E330, 1, 0)</f>
        <v>0</v>
      </c>
      <c r="BL330" s="136"/>
      <c r="BM330" s="136"/>
      <c r="BN330" s="136"/>
      <c r="BO330" s="136"/>
      <c r="BP330" s="45">
        <f>IF(Ratios!BP$31&lt;$E330, 1, 0)</f>
        <v>0</v>
      </c>
      <c r="BQ330" s="45">
        <f>IF(Ratios!BQ$31&lt;$E330, 1, 0)</f>
        <v>0</v>
      </c>
      <c r="BR330" s="45">
        <f>IF(Ratios!BR$31&lt;$E330, 1, 0)</f>
        <v>0</v>
      </c>
      <c r="BS330" s="45">
        <f>IF(Ratios!BS$31&lt;$E330, 1, 0)</f>
        <v>0</v>
      </c>
      <c r="BT330" s="45">
        <f>IF(Ratios!BT$31&lt;$E330, 1, 0)</f>
        <v>0</v>
      </c>
      <c r="BU330" s="45">
        <f>IF(Ratios!BU$31&lt;$E330, 1, 0)</f>
        <v>0</v>
      </c>
      <c r="BV330" s="45">
        <f>IF(Ratios!BV$31&lt;$E330, 1, 0)</f>
        <v>0</v>
      </c>
      <c r="BW330" s="45">
        <f>IF(Ratios!BW$31&lt;$E330, 1, 0)</f>
        <v>0</v>
      </c>
      <c r="BY330" s="12"/>
      <c r="CA330" s="12"/>
      <c r="EX330" s="10" t="str">
        <f t="shared" ref="EX330:EX390" si="175">IF($C330="","",$D330)</f>
        <v/>
      </c>
    </row>
    <row r="331" spans="1:154" s="67" customFormat="1" x14ac:dyDescent="0.25">
      <c r="B331" s="67" t="str">
        <f ca="1">Loans!B$21</f>
        <v>Loan 9</v>
      </c>
      <c r="D331" s="62">
        <f>Loans!D$21</f>
        <v>0</v>
      </c>
      <c r="E331" s="10">
        <f>Loans!N$21</f>
        <v>0</v>
      </c>
      <c r="T331" s="335"/>
      <c r="U331" s="335"/>
      <c r="V331" s="136"/>
      <c r="W331" s="136"/>
      <c r="X331" s="136"/>
      <c r="Y331" s="136"/>
      <c r="AA331" s="45">
        <f>IF(Ratios!AA$31&lt;$E331, 1, 0)</f>
        <v>0</v>
      </c>
      <c r="AB331" s="45">
        <f>IF(Ratios!AB$31&lt;$E331, 1, 0)</f>
        <v>0</v>
      </c>
      <c r="AC331" s="45">
        <f>IF(Ratios!AC$31&lt;$E331, 1, 0)</f>
        <v>0</v>
      </c>
      <c r="AD331" s="45">
        <f>IF(Ratios!AD$31&lt;$E331, 1, 0)</f>
        <v>0</v>
      </c>
      <c r="AE331" s="45">
        <f>IF(Ratios!AE$31&lt;$E331, 1, 0)</f>
        <v>0</v>
      </c>
      <c r="AF331" s="45">
        <f>IF(Ratios!AF$31&lt;$E331, 1, 0)</f>
        <v>0</v>
      </c>
      <c r="AG331" s="45">
        <f>IF(Ratios!AG$31&lt;$E331, 1, 0)</f>
        <v>0</v>
      </c>
      <c r="AH331" s="45">
        <f>IF(Ratios!AH$31&lt;$E331, 1, 0)</f>
        <v>0</v>
      </c>
      <c r="AI331" s="45">
        <f>IF(Ratios!AI$31&lt;$E331, 1, 0)</f>
        <v>0</v>
      </c>
      <c r="AJ331" s="45">
        <f>IF(Ratios!AJ$31&lt;$E331, 1, 0)</f>
        <v>0</v>
      </c>
      <c r="AK331" s="45">
        <f>IF(Ratios!AK$31&lt;$E331, 1, 0)</f>
        <v>0</v>
      </c>
      <c r="AL331" s="45">
        <f>IF(Ratios!AL$31&lt;$E331, 1, 0)</f>
        <v>0</v>
      </c>
      <c r="AM331" s="45">
        <f>IF(Ratios!AM$31&lt;$E331, 1, 0)</f>
        <v>0</v>
      </c>
      <c r="AN331" s="45">
        <f>IF(Ratios!AN$31&lt;$E331, 1, 0)</f>
        <v>0</v>
      </c>
      <c r="AO331" s="45">
        <f>IF(Ratios!AO$31&lt;$E331, 1, 0)</f>
        <v>0</v>
      </c>
      <c r="AP331" s="45">
        <f>IF(Ratios!AP$31&lt;$E331, 1, 0)</f>
        <v>0</v>
      </c>
      <c r="AQ331" s="45">
        <f>IF(Ratios!AQ$31&lt;$E331, 1, 0)</f>
        <v>0</v>
      </c>
      <c r="AR331" s="45">
        <f>IF(Ratios!AR$31&lt;$E331, 1, 0)</f>
        <v>0</v>
      </c>
      <c r="AS331" s="45">
        <f>IF(Ratios!AS$31&lt;$E331, 1, 0)</f>
        <v>0</v>
      </c>
      <c r="AT331" s="45">
        <f>IF(Ratios!AT$31&lt;$E331, 1, 0)</f>
        <v>0</v>
      </c>
      <c r="AU331" s="45">
        <f>IF(Ratios!AU$31&lt;$E331, 1, 0)</f>
        <v>0</v>
      </c>
      <c r="AV331" s="45">
        <f>IF(Ratios!AV$31&lt;$E331, 1, 0)</f>
        <v>0</v>
      </c>
      <c r="AW331" s="45">
        <f>IF(Ratios!AW$31&lt;$E331, 1, 0)</f>
        <v>0</v>
      </c>
      <c r="AX331" s="45">
        <f>IF(Ratios!AX$31&lt;$E331, 1, 0)</f>
        <v>0</v>
      </c>
      <c r="AY331" s="45">
        <f>IF(Ratios!AY$31&lt;$E331, 1, 0)</f>
        <v>0</v>
      </c>
      <c r="AZ331" s="45">
        <f>IF(Ratios!AZ$31&lt;$E331, 1, 0)</f>
        <v>0</v>
      </c>
      <c r="BA331" s="45">
        <f>IF(Ratios!BA$31&lt;$E331, 1, 0)</f>
        <v>0</v>
      </c>
      <c r="BB331" s="45">
        <f>IF(Ratios!BB$31&lt;$E331, 1, 0)</f>
        <v>0</v>
      </c>
      <c r="BC331" s="45">
        <f>IF(Ratios!BC$31&lt;$E331, 1, 0)</f>
        <v>0</v>
      </c>
      <c r="BD331" s="45">
        <f>IF(Ratios!BD$31&lt;$E331, 1, 0)</f>
        <v>0</v>
      </c>
      <c r="BE331" s="45">
        <f>IF(Ratios!BE$31&lt;$E331, 1, 0)</f>
        <v>0</v>
      </c>
      <c r="BF331" s="45">
        <f>IF(Ratios!BF$31&lt;$E331, 1, 0)</f>
        <v>0</v>
      </c>
      <c r="BG331" s="45">
        <f>IF(Ratios!BG$31&lt;$E331, 1, 0)</f>
        <v>0</v>
      </c>
      <c r="BH331" s="45">
        <f>IF(Ratios!BH$31&lt;$E331, 1, 0)</f>
        <v>0</v>
      </c>
      <c r="BI331" s="45">
        <f>IF(Ratios!BI$31&lt;$E331, 1, 0)</f>
        <v>0</v>
      </c>
      <c r="BJ331" s="45">
        <f>IF(Ratios!BJ$31&lt;$E331, 1, 0)</f>
        <v>0</v>
      </c>
      <c r="BL331" s="136"/>
      <c r="BM331" s="136"/>
      <c r="BN331" s="136"/>
      <c r="BO331" s="136"/>
      <c r="BP331" s="45">
        <f>IF(Ratios!BP$31&lt;$E331, 1, 0)</f>
        <v>0</v>
      </c>
      <c r="BQ331" s="45">
        <f>IF(Ratios!BQ$31&lt;$E331, 1, 0)</f>
        <v>0</v>
      </c>
      <c r="BR331" s="45">
        <f>IF(Ratios!BR$31&lt;$E331, 1, 0)</f>
        <v>0</v>
      </c>
      <c r="BS331" s="45">
        <f>IF(Ratios!BS$31&lt;$E331, 1, 0)</f>
        <v>0</v>
      </c>
      <c r="BT331" s="45">
        <f>IF(Ratios!BT$31&lt;$E331, 1, 0)</f>
        <v>0</v>
      </c>
      <c r="BU331" s="45">
        <f>IF(Ratios!BU$31&lt;$E331, 1, 0)</f>
        <v>0</v>
      </c>
      <c r="BV331" s="45">
        <f>IF(Ratios!BV$31&lt;$E331, 1, 0)</f>
        <v>0</v>
      </c>
      <c r="BW331" s="45">
        <f>IF(Ratios!BW$31&lt;$E331, 1, 0)</f>
        <v>0</v>
      </c>
      <c r="BY331" s="12"/>
      <c r="CA331" s="12"/>
      <c r="EX331" s="10" t="str">
        <f t="shared" si="175"/>
        <v/>
      </c>
    </row>
    <row r="332" spans="1:154" s="67" customFormat="1" x14ac:dyDescent="0.25">
      <c r="B332" s="67" t="str">
        <f ca="1">Loans!B$22</f>
        <v>Loan 10</v>
      </c>
      <c r="D332" s="62">
        <f>Loans!D$22</f>
        <v>0</v>
      </c>
      <c r="E332" s="10">
        <f>Loans!N$22</f>
        <v>0</v>
      </c>
      <c r="T332" s="335"/>
      <c r="U332" s="335"/>
      <c r="V332" s="136"/>
      <c r="W332" s="136"/>
      <c r="X332" s="136"/>
      <c r="Y332" s="136"/>
      <c r="AA332" s="45">
        <f>IF(Ratios!AA$31&lt;$E332, 1, 0)</f>
        <v>0</v>
      </c>
      <c r="AB332" s="45">
        <f>IF(Ratios!AB$31&lt;$E332, 1, 0)</f>
        <v>0</v>
      </c>
      <c r="AC332" s="45">
        <f>IF(Ratios!AC$31&lt;$E332, 1, 0)</f>
        <v>0</v>
      </c>
      <c r="AD332" s="45">
        <f>IF(Ratios!AD$31&lt;$E332, 1, 0)</f>
        <v>0</v>
      </c>
      <c r="AE332" s="45">
        <f>IF(Ratios!AE$31&lt;$E332, 1, 0)</f>
        <v>0</v>
      </c>
      <c r="AF332" s="45">
        <f>IF(Ratios!AF$31&lt;$E332, 1, 0)</f>
        <v>0</v>
      </c>
      <c r="AG332" s="45">
        <f>IF(Ratios!AG$31&lt;$E332, 1, 0)</f>
        <v>0</v>
      </c>
      <c r="AH332" s="45">
        <f>IF(Ratios!AH$31&lt;$E332, 1, 0)</f>
        <v>0</v>
      </c>
      <c r="AI332" s="45">
        <f>IF(Ratios!AI$31&lt;$E332, 1, 0)</f>
        <v>0</v>
      </c>
      <c r="AJ332" s="45">
        <f>IF(Ratios!AJ$31&lt;$E332, 1, 0)</f>
        <v>0</v>
      </c>
      <c r="AK332" s="45">
        <f>IF(Ratios!AK$31&lt;$E332, 1, 0)</f>
        <v>0</v>
      </c>
      <c r="AL332" s="45">
        <f>IF(Ratios!AL$31&lt;$E332, 1, 0)</f>
        <v>0</v>
      </c>
      <c r="AM332" s="45">
        <f>IF(Ratios!AM$31&lt;$E332, 1, 0)</f>
        <v>0</v>
      </c>
      <c r="AN332" s="45">
        <f>IF(Ratios!AN$31&lt;$E332, 1, 0)</f>
        <v>0</v>
      </c>
      <c r="AO332" s="45">
        <f>IF(Ratios!AO$31&lt;$E332, 1, 0)</f>
        <v>0</v>
      </c>
      <c r="AP332" s="45">
        <f>IF(Ratios!AP$31&lt;$E332, 1, 0)</f>
        <v>0</v>
      </c>
      <c r="AQ332" s="45">
        <f>IF(Ratios!AQ$31&lt;$E332, 1, 0)</f>
        <v>0</v>
      </c>
      <c r="AR332" s="45">
        <f>IF(Ratios!AR$31&lt;$E332, 1, 0)</f>
        <v>0</v>
      </c>
      <c r="AS332" s="45">
        <f>IF(Ratios!AS$31&lt;$E332, 1, 0)</f>
        <v>0</v>
      </c>
      <c r="AT332" s="45">
        <f>IF(Ratios!AT$31&lt;$E332, 1, 0)</f>
        <v>0</v>
      </c>
      <c r="AU332" s="45">
        <f>IF(Ratios!AU$31&lt;$E332, 1, 0)</f>
        <v>0</v>
      </c>
      <c r="AV332" s="45">
        <f>IF(Ratios!AV$31&lt;$E332, 1, 0)</f>
        <v>0</v>
      </c>
      <c r="AW332" s="45">
        <f>IF(Ratios!AW$31&lt;$E332, 1, 0)</f>
        <v>0</v>
      </c>
      <c r="AX332" s="45">
        <f>IF(Ratios!AX$31&lt;$E332, 1, 0)</f>
        <v>0</v>
      </c>
      <c r="AY332" s="45">
        <f>IF(Ratios!AY$31&lt;$E332, 1, 0)</f>
        <v>0</v>
      </c>
      <c r="AZ332" s="45">
        <f>IF(Ratios!AZ$31&lt;$E332, 1, 0)</f>
        <v>0</v>
      </c>
      <c r="BA332" s="45">
        <f>IF(Ratios!BA$31&lt;$E332, 1, 0)</f>
        <v>0</v>
      </c>
      <c r="BB332" s="45">
        <f>IF(Ratios!BB$31&lt;$E332, 1, 0)</f>
        <v>0</v>
      </c>
      <c r="BC332" s="45">
        <f>IF(Ratios!BC$31&lt;$E332, 1, 0)</f>
        <v>0</v>
      </c>
      <c r="BD332" s="45">
        <f>IF(Ratios!BD$31&lt;$E332, 1, 0)</f>
        <v>0</v>
      </c>
      <c r="BE332" s="45">
        <f>IF(Ratios!BE$31&lt;$E332, 1, 0)</f>
        <v>0</v>
      </c>
      <c r="BF332" s="45">
        <f>IF(Ratios!BF$31&lt;$E332, 1, 0)</f>
        <v>0</v>
      </c>
      <c r="BG332" s="45">
        <f>IF(Ratios!BG$31&lt;$E332, 1, 0)</f>
        <v>0</v>
      </c>
      <c r="BH332" s="45">
        <f>IF(Ratios!BH$31&lt;$E332, 1, 0)</f>
        <v>0</v>
      </c>
      <c r="BI332" s="45">
        <f>IF(Ratios!BI$31&lt;$E332, 1, 0)</f>
        <v>0</v>
      </c>
      <c r="BJ332" s="45">
        <f>IF(Ratios!BJ$31&lt;$E332, 1, 0)</f>
        <v>0</v>
      </c>
      <c r="BL332" s="136"/>
      <c r="BM332" s="136"/>
      <c r="BN332" s="136"/>
      <c r="BO332" s="136"/>
      <c r="BP332" s="45">
        <f>IF(Ratios!BP$31&lt;$E332, 1, 0)</f>
        <v>0</v>
      </c>
      <c r="BQ332" s="45">
        <f>IF(Ratios!BQ$31&lt;$E332, 1, 0)</f>
        <v>0</v>
      </c>
      <c r="BR332" s="45">
        <f>IF(Ratios!BR$31&lt;$E332, 1, 0)</f>
        <v>0</v>
      </c>
      <c r="BS332" s="45">
        <f>IF(Ratios!BS$31&lt;$E332, 1, 0)</f>
        <v>0</v>
      </c>
      <c r="BT332" s="45">
        <f>IF(Ratios!BT$31&lt;$E332, 1, 0)</f>
        <v>0</v>
      </c>
      <c r="BU332" s="45">
        <f>IF(Ratios!BU$31&lt;$E332, 1, 0)</f>
        <v>0</v>
      </c>
      <c r="BV332" s="45">
        <f>IF(Ratios!BV$31&lt;$E332, 1, 0)</f>
        <v>0</v>
      </c>
      <c r="BW332" s="45">
        <f>IF(Ratios!BW$31&lt;$E332, 1, 0)</f>
        <v>0</v>
      </c>
      <c r="BY332" s="12"/>
      <c r="CA332" s="12"/>
      <c r="EX332" s="10" t="str">
        <f t="shared" si="175"/>
        <v/>
      </c>
    </row>
    <row r="333" spans="1:154" s="67" customFormat="1" x14ac:dyDescent="0.25">
      <c r="B333" s="67" t="str">
        <f ca="1">Loans!B$23</f>
        <v>Loan 11</v>
      </c>
      <c r="D333" s="62">
        <f>Loans!D$23</f>
        <v>0</v>
      </c>
      <c r="E333" s="10">
        <f>Loans!N$23</f>
        <v>0</v>
      </c>
      <c r="T333" s="335"/>
      <c r="U333" s="335"/>
      <c r="V333" s="136"/>
      <c r="W333" s="136"/>
      <c r="X333" s="136"/>
      <c r="Y333" s="136"/>
      <c r="AA333" s="45">
        <f>IF(Ratios!AA$31&lt;$E333, 1, 0)</f>
        <v>0</v>
      </c>
      <c r="AB333" s="45">
        <f>IF(Ratios!AB$31&lt;$E333, 1, 0)</f>
        <v>0</v>
      </c>
      <c r="AC333" s="45">
        <f>IF(Ratios!AC$31&lt;$E333, 1, 0)</f>
        <v>0</v>
      </c>
      <c r="AD333" s="45">
        <f>IF(Ratios!AD$31&lt;$E333, 1, 0)</f>
        <v>0</v>
      </c>
      <c r="AE333" s="45">
        <f>IF(Ratios!AE$31&lt;$E333, 1, 0)</f>
        <v>0</v>
      </c>
      <c r="AF333" s="45">
        <f>IF(Ratios!AF$31&lt;$E333, 1, 0)</f>
        <v>0</v>
      </c>
      <c r="AG333" s="45">
        <f>IF(Ratios!AG$31&lt;$E333, 1, 0)</f>
        <v>0</v>
      </c>
      <c r="AH333" s="45">
        <f>IF(Ratios!AH$31&lt;$E333, 1, 0)</f>
        <v>0</v>
      </c>
      <c r="AI333" s="45">
        <f>IF(Ratios!AI$31&lt;$E333, 1, 0)</f>
        <v>0</v>
      </c>
      <c r="AJ333" s="45">
        <f>IF(Ratios!AJ$31&lt;$E333, 1, 0)</f>
        <v>0</v>
      </c>
      <c r="AK333" s="45">
        <f>IF(Ratios!AK$31&lt;$E333, 1, 0)</f>
        <v>0</v>
      </c>
      <c r="AL333" s="45">
        <f>IF(Ratios!AL$31&lt;$E333, 1, 0)</f>
        <v>0</v>
      </c>
      <c r="AM333" s="45">
        <f>IF(Ratios!AM$31&lt;$E333, 1, 0)</f>
        <v>0</v>
      </c>
      <c r="AN333" s="45">
        <f>IF(Ratios!AN$31&lt;$E333, 1, 0)</f>
        <v>0</v>
      </c>
      <c r="AO333" s="45">
        <f>IF(Ratios!AO$31&lt;$E333, 1, 0)</f>
        <v>0</v>
      </c>
      <c r="AP333" s="45">
        <f>IF(Ratios!AP$31&lt;$E333, 1, 0)</f>
        <v>0</v>
      </c>
      <c r="AQ333" s="45">
        <f>IF(Ratios!AQ$31&lt;$E333, 1, 0)</f>
        <v>0</v>
      </c>
      <c r="AR333" s="45">
        <f>IF(Ratios!AR$31&lt;$E333, 1, 0)</f>
        <v>0</v>
      </c>
      <c r="AS333" s="45">
        <f>IF(Ratios!AS$31&lt;$E333, 1, 0)</f>
        <v>0</v>
      </c>
      <c r="AT333" s="45">
        <f>IF(Ratios!AT$31&lt;$E333, 1, 0)</f>
        <v>0</v>
      </c>
      <c r="AU333" s="45">
        <f>IF(Ratios!AU$31&lt;$E333, 1, 0)</f>
        <v>0</v>
      </c>
      <c r="AV333" s="45">
        <f>IF(Ratios!AV$31&lt;$E333, 1, 0)</f>
        <v>0</v>
      </c>
      <c r="AW333" s="45">
        <f>IF(Ratios!AW$31&lt;$E333, 1, 0)</f>
        <v>0</v>
      </c>
      <c r="AX333" s="45">
        <f>IF(Ratios!AX$31&lt;$E333, 1, 0)</f>
        <v>0</v>
      </c>
      <c r="AY333" s="45">
        <f>IF(Ratios!AY$31&lt;$E333, 1, 0)</f>
        <v>0</v>
      </c>
      <c r="AZ333" s="45">
        <f>IF(Ratios!AZ$31&lt;$E333, 1, 0)</f>
        <v>0</v>
      </c>
      <c r="BA333" s="45">
        <f>IF(Ratios!BA$31&lt;$E333, 1, 0)</f>
        <v>0</v>
      </c>
      <c r="BB333" s="45">
        <f>IF(Ratios!BB$31&lt;$E333, 1, 0)</f>
        <v>0</v>
      </c>
      <c r="BC333" s="45">
        <f>IF(Ratios!BC$31&lt;$E333, 1, 0)</f>
        <v>0</v>
      </c>
      <c r="BD333" s="45">
        <f>IF(Ratios!BD$31&lt;$E333, 1, 0)</f>
        <v>0</v>
      </c>
      <c r="BE333" s="45">
        <f>IF(Ratios!BE$31&lt;$E333, 1, 0)</f>
        <v>0</v>
      </c>
      <c r="BF333" s="45">
        <f>IF(Ratios!BF$31&lt;$E333, 1, 0)</f>
        <v>0</v>
      </c>
      <c r="BG333" s="45">
        <f>IF(Ratios!BG$31&lt;$E333, 1, 0)</f>
        <v>0</v>
      </c>
      <c r="BH333" s="45">
        <f>IF(Ratios!BH$31&lt;$E333, 1, 0)</f>
        <v>0</v>
      </c>
      <c r="BI333" s="45">
        <f>IF(Ratios!BI$31&lt;$E333, 1, 0)</f>
        <v>0</v>
      </c>
      <c r="BJ333" s="45">
        <f>IF(Ratios!BJ$31&lt;$E333, 1, 0)</f>
        <v>0</v>
      </c>
      <c r="BL333" s="136"/>
      <c r="BM333" s="136"/>
      <c r="BN333" s="136"/>
      <c r="BO333" s="136"/>
      <c r="BP333" s="45">
        <f>IF(Ratios!BP$31&lt;$E333, 1, 0)</f>
        <v>0</v>
      </c>
      <c r="BQ333" s="45">
        <f>IF(Ratios!BQ$31&lt;$E333, 1, 0)</f>
        <v>0</v>
      </c>
      <c r="BR333" s="45">
        <f>IF(Ratios!BR$31&lt;$E333, 1, 0)</f>
        <v>0</v>
      </c>
      <c r="BS333" s="45">
        <f>IF(Ratios!BS$31&lt;$E333, 1, 0)</f>
        <v>0</v>
      </c>
      <c r="BT333" s="45">
        <f>IF(Ratios!BT$31&lt;$E333, 1, 0)</f>
        <v>0</v>
      </c>
      <c r="BU333" s="45">
        <f>IF(Ratios!BU$31&lt;$E333, 1, 0)</f>
        <v>0</v>
      </c>
      <c r="BV333" s="45">
        <f>IF(Ratios!BV$31&lt;$E333, 1, 0)</f>
        <v>0</v>
      </c>
      <c r="BW333" s="45">
        <f>IF(Ratios!BW$31&lt;$E333, 1, 0)</f>
        <v>0</v>
      </c>
      <c r="BY333" s="12"/>
      <c r="CA333" s="12"/>
      <c r="EX333" s="10" t="str">
        <f t="shared" si="175"/>
        <v/>
      </c>
    </row>
    <row r="334" spans="1:154" s="67" customFormat="1" x14ac:dyDescent="0.25">
      <c r="B334" s="67" t="str">
        <f ca="1">Loans!B$24</f>
        <v>Loan 12</v>
      </c>
      <c r="D334" s="62">
        <f>Loans!D$24</f>
        <v>0</v>
      </c>
      <c r="E334" s="10">
        <f>Loans!N$24</f>
        <v>0</v>
      </c>
      <c r="T334" s="335"/>
      <c r="U334" s="335"/>
      <c r="V334" s="136"/>
      <c r="W334" s="136"/>
      <c r="X334" s="136"/>
      <c r="Y334" s="136"/>
      <c r="AA334" s="45">
        <f>IF(Ratios!AA$31&lt;$E334, 1, 0)</f>
        <v>0</v>
      </c>
      <c r="AB334" s="45">
        <f>IF(Ratios!AB$31&lt;$E334, 1, 0)</f>
        <v>0</v>
      </c>
      <c r="AC334" s="45">
        <f>IF(Ratios!AC$31&lt;$E334, 1, 0)</f>
        <v>0</v>
      </c>
      <c r="AD334" s="45">
        <f>IF(Ratios!AD$31&lt;$E334, 1, 0)</f>
        <v>0</v>
      </c>
      <c r="AE334" s="45">
        <f>IF(Ratios!AE$31&lt;$E334, 1, 0)</f>
        <v>0</v>
      </c>
      <c r="AF334" s="45">
        <f>IF(Ratios!AF$31&lt;$E334, 1, 0)</f>
        <v>0</v>
      </c>
      <c r="AG334" s="45">
        <f>IF(Ratios!AG$31&lt;$E334, 1, 0)</f>
        <v>0</v>
      </c>
      <c r="AH334" s="45">
        <f>IF(Ratios!AH$31&lt;$E334, 1, 0)</f>
        <v>0</v>
      </c>
      <c r="AI334" s="45">
        <f>IF(Ratios!AI$31&lt;$E334, 1, 0)</f>
        <v>0</v>
      </c>
      <c r="AJ334" s="45">
        <f>IF(Ratios!AJ$31&lt;$E334, 1, 0)</f>
        <v>0</v>
      </c>
      <c r="AK334" s="45">
        <f>IF(Ratios!AK$31&lt;$E334, 1, 0)</f>
        <v>0</v>
      </c>
      <c r="AL334" s="45">
        <f>IF(Ratios!AL$31&lt;$E334, 1, 0)</f>
        <v>0</v>
      </c>
      <c r="AM334" s="45">
        <f>IF(Ratios!AM$31&lt;$E334, 1, 0)</f>
        <v>0</v>
      </c>
      <c r="AN334" s="45">
        <f>IF(Ratios!AN$31&lt;$E334, 1, 0)</f>
        <v>0</v>
      </c>
      <c r="AO334" s="45">
        <f>IF(Ratios!AO$31&lt;$E334, 1, 0)</f>
        <v>0</v>
      </c>
      <c r="AP334" s="45">
        <f>IF(Ratios!AP$31&lt;$E334, 1, 0)</f>
        <v>0</v>
      </c>
      <c r="AQ334" s="45">
        <f>IF(Ratios!AQ$31&lt;$E334, 1, 0)</f>
        <v>0</v>
      </c>
      <c r="AR334" s="45">
        <f>IF(Ratios!AR$31&lt;$E334, 1, 0)</f>
        <v>0</v>
      </c>
      <c r="AS334" s="45">
        <f>IF(Ratios!AS$31&lt;$E334, 1, 0)</f>
        <v>0</v>
      </c>
      <c r="AT334" s="45">
        <f>IF(Ratios!AT$31&lt;$E334, 1, 0)</f>
        <v>0</v>
      </c>
      <c r="AU334" s="45">
        <f>IF(Ratios!AU$31&lt;$E334, 1, 0)</f>
        <v>0</v>
      </c>
      <c r="AV334" s="45">
        <f>IF(Ratios!AV$31&lt;$E334, 1, 0)</f>
        <v>0</v>
      </c>
      <c r="AW334" s="45">
        <f>IF(Ratios!AW$31&lt;$E334, 1, 0)</f>
        <v>0</v>
      </c>
      <c r="AX334" s="45">
        <f>IF(Ratios!AX$31&lt;$E334, 1, 0)</f>
        <v>0</v>
      </c>
      <c r="AY334" s="45">
        <f>IF(Ratios!AY$31&lt;$E334, 1, 0)</f>
        <v>0</v>
      </c>
      <c r="AZ334" s="45">
        <f>IF(Ratios!AZ$31&lt;$E334, 1, 0)</f>
        <v>0</v>
      </c>
      <c r="BA334" s="45">
        <f>IF(Ratios!BA$31&lt;$E334, 1, 0)</f>
        <v>0</v>
      </c>
      <c r="BB334" s="45">
        <f>IF(Ratios!BB$31&lt;$E334, 1, 0)</f>
        <v>0</v>
      </c>
      <c r="BC334" s="45">
        <f>IF(Ratios!BC$31&lt;$E334, 1, 0)</f>
        <v>0</v>
      </c>
      <c r="BD334" s="45">
        <f>IF(Ratios!BD$31&lt;$E334, 1, 0)</f>
        <v>0</v>
      </c>
      <c r="BE334" s="45">
        <f>IF(Ratios!BE$31&lt;$E334, 1, 0)</f>
        <v>0</v>
      </c>
      <c r="BF334" s="45">
        <f>IF(Ratios!BF$31&lt;$E334, 1, 0)</f>
        <v>0</v>
      </c>
      <c r="BG334" s="45">
        <f>IF(Ratios!BG$31&lt;$E334, 1, 0)</f>
        <v>0</v>
      </c>
      <c r="BH334" s="45">
        <f>IF(Ratios!BH$31&lt;$E334, 1, 0)</f>
        <v>0</v>
      </c>
      <c r="BI334" s="45">
        <f>IF(Ratios!BI$31&lt;$E334, 1, 0)</f>
        <v>0</v>
      </c>
      <c r="BJ334" s="45">
        <f>IF(Ratios!BJ$31&lt;$E334, 1, 0)</f>
        <v>0</v>
      </c>
      <c r="BL334" s="136"/>
      <c r="BM334" s="136"/>
      <c r="BN334" s="136"/>
      <c r="BO334" s="136"/>
      <c r="BP334" s="45">
        <f>IF(Ratios!BP$31&lt;$E334, 1, 0)</f>
        <v>0</v>
      </c>
      <c r="BQ334" s="45">
        <f>IF(Ratios!BQ$31&lt;$E334, 1, 0)</f>
        <v>0</v>
      </c>
      <c r="BR334" s="45">
        <f>IF(Ratios!BR$31&lt;$E334, 1, 0)</f>
        <v>0</v>
      </c>
      <c r="BS334" s="45">
        <f>IF(Ratios!BS$31&lt;$E334, 1, 0)</f>
        <v>0</v>
      </c>
      <c r="BT334" s="45">
        <f>IF(Ratios!BT$31&lt;$E334, 1, 0)</f>
        <v>0</v>
      </c>
      <c r="BU334" s="45">
        <f>IF(Ratios!BU$31&lt;$E334, 1, 0)</f>
        <v>0</v>
      </c>
      <c r="BV334" s="45">
        <f>IF(Ratios!BV$31&lt;$E334, 1, 0)</f>
        <v>0</v>
      </c>
      <c r="BW334" s="45">
        <f>IF(Ratios!BW$31&lt;$E334, 1, 0)</f>
        <v>0</v>
      </c>
      <c r="BY334" s="12"/>
      <c r="CA334" s="12"/>
      <c r="EX334" s="10" t="str">
        <f t="shared" si="175"/>
        <v/>
      </c>
    </row>
    <row r="335" spans="1:154" s="67" customFormat="1" x14ac:dyDescent="0.25">
      <c r="B335" s="67" t="str">
        <f ca="1">Loans!B$25</f>
        <v>Loan 13</v>
      </c>
      <c r="D335" s="62">
        <f>Loans!D$25</f>
        <v>0</v>
      </c>
      <c r="E335" s="10">
        <f>Loans!N$25</f>
        <v>0</v>
      </c>
      <c r="T335" s="335"/>
      <c r="U335" s="335"/>
      <c r="V335" s="136"/>
      <c r="W335" s="136"/>
      <c r="X335" s="136"/>
      <c r="Y335" s="136"/>
      <c r="AA335" s="45">
        <f>IF(Ratios!AA$31&lt;$E335, 1, 0)</f>
        <v>0</v>
      </c>
      <c r="AB335" s="45">
        <f>IF(Ratios!AB$31&lt;$E335, 1, 0)</f>
        <v>0</v>
      </c>
      <c r="AC335" s="45">
        <f>IF(Ratios!AC$31&lt;$E335, 1, 0)</f>
        <v>0</v>
      </c>
      <c r="AD335" s="45">
        <f>IF(Ratios!AD$31&lt;$E335, 1, 0)</f>
        <v>0</v>
      </c>
      <c r="AE335" s="45">
        <f>IF(Ratios!AE$31&lt;$E335, 1, 0)</f>
        <v>0</v>
      </c>
      <c r="AF335" s="45">
        <f>IF(Ratios!AF$31&lt;$E335, 1, 0)</f>
        <v>0</v>
      </c>
      <c r="AG335" s="45">
        <f>IF(Ratios!AG$31&lt;$E335, 1, 0)</f>
        <v>0</v>
      </c>
      <c r="AH335" s="45">
        <f>IF(Ratios!AH$31&lt;$E335, 1, 0)</f>
        <v>0</v>
      </c>
      <c r="AI335" s="45">
        <f>IF(Ratios!AI$31&lt;$E335, 1, 0)</f>
        <v>0</v>
      </c>
      <c r="AJ335" s="45">
        <f>IF(Ratios!AJ$31&lt;$E335, 1, 0)</f>
        <v>0</v>
      </c>
      <c r="AK335" s="45">
        <f>IF(Ratios!AK$31&lt;$E335, 1, 0)</f>
        <v>0</v>
      </c>
      <c r="AL335" s="45">
        <f>IF(Ratios!AL$31&lt;$E335, 1, 0)</f>
        <v>0</v>
      </c>
      <c r="AM335" s="45">
        <f>IF(Ratios!AM$31&lt;$E335, 1, 0)</f>
        <v>0</v>
      </c>
      <c r="AN335" s="45">
        <f>IF(Ratios!AN$31&lt;$E335, 1, 0)</f>
        <v>0</v>
      </c>
      <c r="AO335" s="45">
        <f>IF(Ratios!AO$31&lt;$E335, 1, 0)</f>
        <v>0</v>
      </c>
      <c r="AP335" s="45">
        <f>IF(Ratios!AP$31&lt;$E335, 1, 0)</f>
        <v>0</v>
      </c>
      <c r="AQ335" s="45">
        <f>IF(Ratios!AQ$31&lt;$E335, 1, 0)</f>
        <v>0</v>
      </c>
      <c r="AR335" s="45">
        <f>IF(Ratios!AR$31&lt;$E335, 1, 0)</f>
        <v>0</v>
      </c>
      <c r="AS335" s="45">
        <f>IF(Ratios!AS$31&lt;$E335, 1, 0)</f>
        <v>0</v>
      </c>
      <c r="AT335" s="45">
        <f>IF(Ratios!AT$31&lt;$E335, 1, 0)</f>
        <v>0</v>
      </c>
      <c r="AU335" s="45">
        <f>IF(Ratios!AU$31&lt;$E335, 1, 0)</f>
        <v>0</v>
      </c>
      <c r="AV335" s="45">
        <f>IF(Ratios!AV$31&lt;$E335, 1, 0)</f>
        <v>0</v>
      </c>
      <c r="AW335" s="45">
        <f>IF(Ratios!AW$31&lt;$E335, 1, 0)</f>
        <v>0</v>
      </c>
      <c r="AX335" s="45">
        <f>IF(Ratios!AX$31&lt;$E335, 1, 0)</f>
        <v>0</v>
      </c>
      <c r="AY335" s="45">
        <f>IF(Ratios!AY$31&lt;$E335, 1, 0)</f>
        <v>0</v>
      </c>
      <c r="AZ335" s="45">
        <f>IF(Ratios!AZ$31&lt;$E335, 1, 0)</f>
        <v>0</v>
      </c>
      <c r="BA335" s="45">
        <f>IF(Ratios!BA$31&lt;$E335, 1, 0)</f>
        <v>0</v>
      </c>
      <c r="BB335" s="45">
        <f>IF(Ratios!BB$31&lt;$E335, 1, 0)</f>
        <v>0</v>
      </c>
      <c r="BC335" s="45">
        <f>IF(Ratios!BC$31&lt;$E335, 1, 0)</f>
        <v>0</v>
      </c>
      <c r="BD335" s="45">
        <f>IF(Ratios!BD$31&lt;$E335, 1, 0)</f>
        <v>0</v>
      </c>
      <c r="BE335" s="45">
        <f>IF(Ratios!BE$31&lt;$E335, 1, 0)</f>
        <v>0</v>
      </c>
      <c r="BF335" s="45">
        <f>IF(Ratios!BF$31&lt;$E335, 1, 0)</f>
        <v>0</v>
      </c>
      <c r="BG335" s="45">
        <f>IF(Ratios!BG$31&lt;$E335, 1, 0)</f>
        <v>0</v>
      </c>
      <c r="BH335" s="45">
        <f>IF(Ratios!BH$31&lt;$E335, 1, 0)</f>
        <v>0</v>
      </c>
      <c r="BI335" s="45">
        <f>IF(Ratios!BI$31&lt;$E335, 1, 0)</f>
        <v>0</v>
      </c>
      <c r="BJ335" s="45">
        <f>IF(Ratios!BJ$31&lt;$E335, 1, 0)</f>
        <v>0</v>
      </c>
      <c r="BL335" s="136"/>
      <c r="BM335" s="136"/>
      <c r="BN335" s="136"/>
      <c r="BO335" s="136"/>
      <c r="BP335" s="45">
        <f>IF(Ratios!BP$31&lt;$E335, 1, 0)</f>
        <v>0</v>
      </c>
      <c r="BQ335" s="45">
        <f>IF(Ratios!BQ$31&lt;$E335, 1, 0)</f>
        <v>0</v>
      </c>
      <c r="BR335" s="45">
        <f>IF(Ratios!BR$31&lt;$E335, 1, 0)</f>
        <v>0</v>
      </c>
      <c r="BS335" s="45">
        <f>IF(Ratios!BS$31&lt;$E335, 1, 0)</f>
        <v>0</v>
      </c>
      <c r="BT335" s="45">
        <f>IF(Ratios!BT$31&lt;$E335, 1, 0)</f>
        <v>0</v>
      </c>
      <c r="BU335" s="45">
        <f>IF(Ratios!BU$31&lt;$E335, 1, 0)</f>
        <v>0</v>
      </c>
      <c r="BV335" s="45">
        <f>IF(Ratios!BV$31&lt;$E335, 1, 0)</f>
        <v>0</v>
      </c>
      <c r="BW335" s="45">
        <f>IF(Ratios!BW$31&lt;$E335, 1, 0)</f>
        <v>0</v>
      </c>
      <c r="BY335" s="12"/>
      <c r="CA335" s="12"/>
      <c r="EX335" s="10" t="str">
        <f t="shared" si="175"/>
        <v/>
      </c>
    </row>
    <row r="336" spans="1:154" s="67" customFormat="1" x14ac:dyDescent="0.25">
      <c r="B336" s="67" t="str">
        <f ca="1">Loans!B$26</f>
        <v>Loan 14</v>
      </c>
      <c r="D336" s="62">
        <f>Loans!D$26</f>
        <v>0</v>
      </c>
      <c r="E336" s="10">
        <f>Loans!N$26</f>
        <v>0</v>
      </c>
      <c r="T336" s="335"/>
      <c r="U336" s="335"/>
      <c r="V336" s="136"/>
      <c r="W336" s="136"/>
      <c r="X336" s="136"/>
      <c r="Y336" s="136"/>
      <c r="AA336" s="45">
        <f>IF(Ratios!AA$31&lt;$E336, 1, 0)</f>
        <v>0</v>
      </c>
      <c r="AB336" s="45">
        <f>IF(Ratios!AB$31&lt;$E336, 1, 0)</f>
        <v>0</v>
      </c>
      <c r="AC336" s="45">
        <f>IF(Ratios!AC$31&lt;$E336, 1, 0)</f>
        <v>0</v>
      </c>
      <c r="AD336" s="45">
        <f>IF(Ratios!AD$31&lt;$E336, 1, 0)</f>
        <v>0</v>
      </c>
      <c r="AE336" s="45">
        <f>IF(Ratios!AE$31&lt;$E336, 1, 0)</f>
        <v>0</v>
      </c>
      <c r="AF336" s="45">
        <f>IF(Ratios!AF$31&lt;$E336, 1, 0)</f>
        <v>0</v>
      </c>
      <c r="AG336" s="45">
        <f>IF(Ratios!AG$31&lt;$E336, 1, 0)</f>
        <v>0</v>
      </c>
      <c r="AH336" s="45">
        <f>IF(Ratios!AH$31&lt;$E336, 1, 0)</f>
        <v>0</v>
      </c>
      <c r="AI336" s="45">
        <f>IF(Ratios!AI$31&lt;$E336, 1, 0)</f>
        <v>0</v>
      </c>
      <c r="AJ336" s="45">
        <f>IF(Ratios!AJ$31&lt;$E336, 1, 0)</f>
        <v>0</v>
      </c>
      <c r="AK336" s="45">
        <f>IF(Ratios!AK$31&lt;$E336, 1, 0)</f>
        <v>0</v>
      </c>
      <c r="AL336" s="45">
        <f>IF(Ratios!AL$31&lt;$E336, 1, 0)</f>
        <v>0</v>
      </c>
      <c r="AM336" s="45">
        <f>IF(Ratios!AM$31&lt;$E336, 1, 0)</f>
        <v>0</v>
      </c>
      <c r="AN336" s="45">
        <f>IF(Ratios!AN$31&lt;$E336, 1, 0)</f>
        <v>0</v>
      </c>
      <c r="AO336" s="45">
        <f>IF(Ratios!AO$31&lt;$E336, 1, 0)</f>
        <v>0</v>
      </c>
      <c r="AP336" s="45">
        <f>IF(Ratios!AP$31&lt;$E336, 1, 0)</f>
        <v>0</v>
      </c>
      <c r="AQ336" s="45">
        <f>IF(Ratios!AQ$31&lt;$E336, 1, 0)</f>
        <v>0</v>
      </c>
      <c r="AR336" s="45">
        <f>IF(Ratios!AR$31&lt;$E336, 1, 0)</f>
        <v>0</v>
      </c>
      <c r="AS336" s="45">
        <f>IF(Ratios!AS$31&lt;$E336, 1, 0)</f>
        <v>0</v>
      </c>
      <c r="AT336" s="45">
        <f>IF(Ratios!AT$31&lt;$E336, 1, 0)</f>
        <v>0</v>
      </c>
      <c r="AU336" s="45">
        <f>IF(Ratios!AU$31&lt;$E336, 1, 0)</f>
        <v>0</v>
      </c>
      <c r="AV336" s="45">
        <f>IF(Ratios!AV$31&lt;$E336, 1, 0)</f>
        <v>0</v>
      </c>
      <c r="AW336" s="45">
        <f>IF(Ratios!AW$31&lt;$E336, 1, 0)</f>
        <v>0</v>
      </c>
      <c r="AX336" s="45">
        <f>IF(Ratios!AX$31&lt;$E336, 1, 0)</f>
        <v>0</v>
      </c>
      <c r="AY336" s="45">
        <f>IF(Ratios!AY$31&lt;$E336, 1, 0)</f>
        <v>0</v>
      </c>
      <c r="AZ336" s="45">
        <f>IF(Ratios!AZ$31&lt;$E336, 1, 0)</f>
        <v>0</v>
      </c>
      <c r="BA336" s="45">
        <f>IF(Ratios!BA$31&lt;$E336, 1, 0)</f>
        <v>0</v>
      </c>
      <c r="BB336" s="45">
        <f>IF(Ratios!BB$31&lt;$E336, 1, 0)</f>
        <v>0</v>
      </c>
      <c r="BC336" s="45">
        <f>IF(Ratios!BC$31&lt;$E336, 1, 0)</f>
        <v>0</v>
      </c>
      <c r="BD336" s="45">
        <f>IF(Ratios!BD$31&lt;$E336, 1, 0)</f>
        <v>0</v>
      </c>
      <c r="BE336" s="45">
        <f>IF(Ratios!BE$31&lt;$E336, 1, 0)</f>
        <v>0</v>
      </c>
      <c r="BF336" s="45">
        <f>IF(Ratios!BF$31&lt;$E336, 1, 0)</f>
        <v>0</v>
      </c>
      <c r="BG336" s="45">
        <f>IF(Ratios!BG$31&lt;$E336, 1, 0)</f>
        <v>0</v>
      </c>
      <c r="BH336" s="45">
        <f>IF(Ratios!BH$31&lt;$E336, 1, 0)</f>
        <v>0</v>
      </c>
      <c r="BI336" s="45">
        <f>IF(Ratios!BI$31&lt;$E336, 1, 0)</f>
        <v>0</v>
      </c>
      <c r="BJ336" s="45">
        <f>IF(Ratios!BJ$31&lt;$E336, 1, 0)</f>
        <v>0</v>
      </c>
      <c r="BL336" s="136"/>
      <c r="BM336" s="136"/>
      <c r="BN336" s="136"/>
      <c r="BO336" s="136"/>
      <c r="BP336" s="45">
        <f>IF(Ratios!BP$31&lt;$E336, 1, 0)</f>
        <v>0</v>
      </c>
      <c r="BQ336" s="45">
        <f>IF(Ratios!BQ$31&lt;$E336, 1, 0)</f>
        <v>0</v>
      </c>
      <c r="BR336" s="45">
        <f>IF(Ratios!BR$31&lt;$E336, 1, 0)</f>
        <v>0</v>
      </c>
      <c r="BS336" s="45">
        <f>IF(Ratios!BS$31&lt;$E336, 1, 0)</f>
        <v>0</v>
      </c>
      <c r="BT336" s="45">
        <f>IF(Ratios!BT$31&lt;$E336, 1, 0)</f>
        <v>0</v>
      </c>
      <c r="BU336" s="45">
        <f>IF(Ratios!BU$31&lt;$E336, 1, 0)</f>
        <v>0</v>
      </c>
      <c r="BV336" s="45">
        <f>IF(Ratios!BV$31&lt;$E336, 1, 0)</f>
        <v>0</v>
      </c>
      <c r="BW336" s="45">
        <f>IF(Ratios!BW$31&lt;$E336, 1, 0)</f>
        <v>0</v>
      </c>
      <c r="BY336" s="12"/>
      <c r="CA336" s="12"/>
      <c r="EX336" s="10" t="str">
        <f t="shared" si="175"/>
        <v/>
      </c>
    </row>
    <row r="337" spans="1:154" s="67" customFormat="1" x14ac:dyDescent="0.25">
      <c r="B337" s="67" t="str">
        <f ca="1">Loans!B$27</f>
        <v>Loan 15</v>
      </c>
      <c r="D337" s="62">
        <f>Loans!D$27</f>
        <v>0</v>
      </c>
      <c r="E337" s="10">
        <f>Loans!N$27</f>
        <v>0</v>
      </c>
      <c r="T337" s="335"/>
      <c r="U337" s="335"/>
      <c r="V337" s="136"/>
      <c r="W337" s="136"/>
      <c r="X337" s="136"/>
      <c r="Y337" s="136"/>
      <c r="AA337" s="45">
        <f>IF(Ratios!AA$31&lt;$E337, 1, 0)</f>
        <v>0</v>
      </c>
      <c r="AB337" s="45">
        <f>IF(Ratios!AB$31&lt;$E337, 1, 0)</f>
        <v>0</v>
      </c>
      <c r="AC337" s="45">
        <f>IF(Ratios!AC$31&lt;$E337, 1, 0)</f>
        <v>0</v>
      </c>
      <c r="AD337" s="45">
        <f>IF(Ratios!AD$31&lt;$E337, 1, 0)</f>
        <v>0</v>
      </c>
      <c r="AE337" s="45">
        <f>IF(Ratios!AE$31&lt;$E337, 1, 0)</f>
        <v>0</v>
      </c>
      <c r="AF337" s="45">
        <f>IF(Ratios!AF$31&lt;$E337, 1, 0)</f>
        <v>0</v>
      </c>
      <c r="AG337" s="45">
        <f>IF(Ratios!AG$31&lt;$E337, 1, 0)</f>
        <v>0</v>
      </c>
      <c r="AH337" s="45">
        <f>IF(Ratios!AH$31&lt;$E337, 1, 0)</f>
        <v>0</v>
      </c>
      <c r="AI337" s="45">
        <f>IF(Ratios!AI$31&lt;$E337, 1, 0)</f>
        <v>0</v>
      </c>
      <c r="AJ337" s="45">
        <f>IF(Ratios!AJ$31&lt;$E337, 1, 0)</f>
        <v>0</v>
      </c>
      <c r="AK337" s="45">
        <f>IF(Ratios!AK$31&lt;$E337, 1, 0)</f>
        <v>0</v>
      </c>
      <c r="AL337" s="45">
        <f>IF(Ratios!AL$31&lt;$E337, 1, 0)</f>
        <v>0</v>
      </c>
      <c r="AM337" s="45">
        <f>IF(Ratios!AM$31&lt;$E337, 1, 0)</f>
        <v>0</v>
      </c>
      <c r="AN337" s="45">
        <f>IF(Ratios!AN$31&lt;$E337, 1, 0)</f>
        <v>0</v>
      </c>
      <c r="AO337" s="45">
        <f>IF(Ratios!AO$31&lt;$E337, 1, 0)</f>
        <v>0</v>
      </c>
      <c r="AP337" s="45">
        <f>IF(Ratios!AP$31&lt;$E337, 1, 0)</f>
        <v>0</v>
      </c>
      <c r="AQ337" s="45">
        <f>IF(Ratios!AQ$31&lt;$E337, 1, 0)</f>
        <v>0</v>
      </c>
      <c r="AR337" s="45">
        <f>IF(Ratios!AR$31&lt;$E337, 1, 0)</f>
        <v>0</v>
      </c>
      <c r="AS337" s="45">
        <f>IF(Ratios!AS$31&lt;$E337, 1, 0)</f>
        <v>0</v>
      </c>
      <c r="AT337" s="45">
        <f>IF(Ratios!AT$31&lt;$E337, 1, 0)</f>
        <v>0</v>
      </c>
      <c r="AU337" s="45">
        <f>IF(Ratios!AU$31&lt;$E337, 1, 0)</f>
        <v>0</v>
      </c>
      <c r="AV337" s="45">
        <f>IF(Ratios!AV$31&lt;$E337, 1, 0)</f>
        <v>0</v>
      </c>
      <c r="AW337" s="45">
        <f>IF(Ratios!AW$31&lt;$E337, 1, 0)</f>
        <v>0</v>
      </c>
      <c r="AX337" s="45">
        <f>IF(Ratios!AX$31&lt;$E337, 1, 0)</f>
        <v>0</v>
      </c>
      <c r="AY337" s="45">
        <f>IF(Ratios!AY$31&lt;$E337, 1, 0)</f>
        <v>0</v>
      </c>
      <c r="AZ337" s="45">
        <f>IF(Ratios!AZ$31&lt;$E337, 1, 0)</f>
        <v>0</v>
      </c>
      <c r="BA337" s="45">
        <f>IF(Ratios!BA$31&lt;$E337, 1, 0)</f>
        <v>0</v>
      </c>
      <c r="BB337" s="45">
        <f>IF(Ratios!BB$31&lt;$E337, 1, 0)</f>
        <v>0</v>
      </c>
      <c r="BC337" s="45">
        <f>IF(Ratios!BC$31&lt;$E337, 1, 0)</f>
        <v>0</v>
      </c>
      <c r="BD337" s="45">
        <f>IF(Ratios!BD$31&lt;$E337, 1, 0)</f>
        <v>0</v>
      </c>
      <c r="BE337" s="45">
        <f>IF(Ratios!BE$31&lt;$E337, 1, 0)</f>
        <v>0</v>
      </c>
      <c r="BF337" s="45">
        <f>IF(Ratios!BF$31&lt;$E337, 1, 0)</f>
        <v>0</v>
      </c>
      <c r="BG337" s="45">
        <f>IF(Ratios!BG$31&lt;$E337, 1, 0)</f>
        <v>0</v>
      </c>
      <c r="BH337" s="45">
        <f>IF(Ratios!BH$31&lt;$E337, 1, 0)</f>
        <v>0</v>
      </c>
      <c r="BI337" s="45">
        <f>IF(Ratios!BI$31&lt;$E337, 1, 0)</f>
        <v>0</v>
      </c>
      <c r="BJ337" s="45">
        <f>IF(Ratios!BJ$31&lt;$E337, 1, 0)</f>
        <v>0</v>
      </c>
      <c r="BL337" s="136"/>
      <c r="BM337" s="136"/>
      <c r="BN337" s="136"/>
      <c r="BO337" s="136"/>
      <c r="BP337" s="45">
        <f>IF(Ratios!BP$31&lt;$E337, 1, 0)</f>
        <v>0</v>
      </c>
      <c r="BQ337" s="45">
        <f>IF(Ratios!BQ$31&lt;$E337, 1, 0)</f>
        <v>0</v>
      </c>
      <c r="BR337" s="45">
        <f>IF(Ratios!BR$31&lt;$E337, 1, 0)</f>
        <v>0</v>
      </c>
      <c r="BS337" s="45">
        <f>IF(Ratios!BS$31&lt;$E337, 1, 0)</f>
        <v>0</v>
      </c>
      <c r="BT337" s="45">
        <f>IF(Ratios!BT$31&lt;$E337, 1, 0)</f>
        <v>0</v>
      </c>
      <c r="BU337" s="45">
        <f>IF(Ratios!BU$31&lt;$E337, 1, 0)</f>
        <v>0</v>
      </c>
      <c r="BV337" s="45">
        <f>IF(Ratios!BV$31&lt;$E337, 1, 0)</f>
        <v>0</v>
      </c>
      <c r="BW337" s="45">
        <f>IF(Ratios!BW$31&lt;$E337, 1, 0)</f>
        <v>0</v>
      </c>
      <c r="BY337" s="12"/>
      <c r="CA337" s="12"/>
      <c r="EX337" s="10" t="str">
        <f t="shared" si="175"/>
        <v/>
      </c>
    </row>
    <row r="338" spans="1:154" s="67" customFormat="1" x14ac:dyDescent="0.25">
      <c r="B338" s="67" t="str">
        <f ca="1">Loans!B$28</f>
        <v>Loan 16</v>
      </c>
      <c r="D338" s="62">
        <f>Loans!D$28</f>
        <v>0</v>
      </c>
      <c r="E338" s="10">
        <f>Loans!N$28</f>
        <v>0</v>
      </c>
      <c r="T338" s="335"/>
      <c r="U338" s="335"/>
      <c r="V338" s="136"/>
      <c r="W338" s="136"/>
      <c r="X338" s="136"/>
      <c r="Y338" s="136"/>
      <c r="AA338" s="45">
        <f>IF(Ratios!AA$31&lt;$E338, 1, 0)</f>
        <v>0</v>
      </c>
      <c r="AB338" s="45">
        <f>IF(Ratios!AB$31&lt;$E338, 1, 0)</f>
        <v>0</v>
      </c>
      <c r="AC338" s="45">
        <f>IF(Ratios!AC$31&lt;$E338, 1, 0)</f>
        <v>0</v>
      </c>
      <c r="AD338" s="45">
        <f>IF(Ratios!AD$31&lt;$E338, 1, 0)</f>
        <v>0</v>
      </c>
      <c r="AE338" s="45">
        <f>IF(Ratios!AE$31&lt;$E338, 1, 0)</f>
        <v>0</v>
      </c>
      <c r="AF338" s="45">
        <f>IF(Ratios!AF$31&lt;$E338, 1, 0)</f>
        <v>0</v>
      </c>
      <c r="AG338" s="45">
        <f>IF(Ratios!AG$31&lt;$E338, 1, 0)</f>
        <v>0</v>
      </c>
      <c r="AH338" s="45">
        <f>IF(Ratios!AH$31&lt;$E338, 1, 0)</f>
        <v>0</v>
      </c>
      <c r="AI338" s="45">
        <f>IF(Ratios!AI$31&lt;$E338, 1, 0)</f>
        <v>0</v>
      </c>
      <c r="AJ338" s="45">
        <f>IF(Ratios!AJ$31&lt;$E338, 1, 0)</f>
        <v>0</v>
      </c>
      <c r="AK338" s="45">
        <f>IF(Ratios!AK$31&lt;$E338, 1, 0)</f>
        <v>0</v>
      </c>
      <c r="AL338" s="45">
        <f>IF(Ratios!AL$31&lt;$E338, 1, 0)</f>
        <v>0</v>
      </c>
      <c r="AM338" s="45">
        <f>IF(Ratios!AM$31&lt;$E338, 1, 0)</f>
        <v>0</v>
      </c>
      <c r="AN338" s="45">
        <f>IF(Ratios!AN$31&lt;$E338, 1, 0)</f>
        <v>0</v>
      </c>
      <c r="AO338" s="45">
        <f>IF(Ratios!AO$31&lt;$E338, 1, 0)</f>
        <v>0</v>
      </c>
      <c r="AP338" s="45">
        <f>IF(Ratios!AP$31&lt;$E338, 1, 0)</f>
        <v>0</v>
      </c>
      <c r="AQ338" s="45">
        <f>IF(Ratios!AQ$31&lt;$E338, 1, 0)</f>
        <v>0</v>
      </c>
      <c r="AR338" s="45">
        <f>IF(Ratios!AR$31&lt;$E338, 1, 0)</f>
        <v>0</v>
      </c>
      <c r="AS338" s="45">
        <f>IF(Ratios!AS$31&lt;$E338, 1, 0)</f>
        <v>0</v>
      </c>
      <c r="AT338" s="45">
        <f>IF(Ratios!AT$31&lt;$E338, 1, 0)</f>
        <v>0</v>
      </c>
      <c r="AU338" s="45">
        <f>IF(Ratios!AU$31&lt;$E338, 1, 0)</f>
        <v>0</v>
      </c>
      <c r="AV338" s="45">
        <f>IF(Ratios!AV$31&lt;$E338, 1, 0)</f>
        <v>0</v>
      </c>
      <c r="AW338" s="45">
        <f>IF(Ratios!AW$31&lt;$E338, 1, 0)</f>
        <v>0</v>
      </c>
      <c r="AX338" s="45">
        <f>IF(Ratios!AX$31&lt;$E338, 1, 0)</f>
        <v>0</v>
      </c>
      <c r="AY338" s="45">
        <f>IF(Ratios!AY$31&lt;$E338, 1, 0)</f>
        <v>0</v>
      </c>
      <c r="AZ338" s="45">
        <f>IF(Ratios!AZ$31&lt;$E338, 1, 0)</f>
        <v>0</v>
      </c>
      <c r="BA338" s="45">
        <f>IF(Ratios!BA$31&lt;$E338, 1, 0)</f>
        <v>0</v>
      </c>
      <c r="BB338" s="45">
        <f>IF(Ratios!BB$31&lt;$E338, 1, 0)</f>
        <v>0</v>
      </c>
      <c r="BC338" s="45">
        <f>IF(Ratios!BC$31&lt;$E338, 1, 0)</f>
        <v>0</v>
      </c>
      <c r="BD338" s="45">
        <f>IF(Ratios!BD$31&lt;$E338, 1, 0)</f>
        <v>0</v>
      </c>
      <c r="BE338" s="45">
        <f>IF(Ratios!BE$31&lt;$E338, 1, 0)</f>
        <v>0</v>
      </c>
      <c r="BF338" s="45">
        <f>IF(Ratios!BF$31&lt;$E338, 1, 0)</f>
        <v>0</v>
      </c>
      <c r="BG338" s="45">
        <f>IF(Ratios!BG$31&lt;$E338, 1, 0)</f>
        <v>0</v>
      </c>
      <c r="BH338" s="45">
        <f>IF(Ratios!BH$31&lt;$E338, 1, 0)</f>
        <v>0</v>
      </c>
      <c r="BI338" s="45">
        <f>IF(Ratios!BI$31&lt;$E338, 1, 0)</f>
        <v>0</v>
      </c>
      <c r="BJ338" s="45">
        <f>IF(Ratios!BJ$31&lt;$E338, 1, 0)</f>
        <v>0</v>
      </c>
      <c r="BL338" s="136"/>
      <c r="BM338" s="136"/>
      <c r="BN338" s="136"/>
      <c r="BO338" s="136"/>
      <c r="BP338" s="45">
        <f>IF(Ratios!BP$31&lt;$E338, 1, 0)</f>
        <v>0</v>
      </c>
      <c r="BQ338" s="45">
        <f>IF(Ratios!BQ$31&lt;$E338, 1, 0)</f>
        <v>0</v>
      </c>
      <c r="BR338" s="45">
        <f>IF(Ratios!BR$31&lt;$E338, 1, 0)</f>
        <v>0</v>
      </c>
      <c r="BS338" s="45">
        <f>IF(Ratios!BS$31&lt;$E338, 1, 0)</f>
        <v>0</v>
      </c>
      <c r="BT338" s="45">
        <f>IF(Ratios!BT$31&lt;$E338, 1, 0)</f>
        <v>0</v>
      </c>
      <c r="BU338" s="45">
        <f>IF(Ratios!BU$31&lt;$E338, 1, 0)</f>
        <v>0</v>
      </c>
      <c r="BV338" s="45">
        <f>IF(Ratios!BV$31&lt;$E338, 1, 0)</f>
        <v>0</v>
      </c>
      <c r="BW338" s="45">
        <f>IF(Ratios!BW$31&lt;$E338, 1, 0)</f>
        <v>0</v>
      </c>
      <c r="BY338" s="12"/>
      <c r="CA338" s="12"/>
      <c r="EX338" s="10" t="str">
        <f t="shared" si="175"/>
        <v/>
      </c>
    </row>
    <row r="339" spans="1:154" s="67" customFormat="1" x14ac:dyDescent="0.25">
      <c r="B339" s="67" t="str">
        <f ca="1">Loans!B$29</f>
        <v>Loan 17</v>
      </c>
      <c r="D339" s="62">
        <f>Loans!D$29</f>
        <v>0</v>
      </c>
      <c r="E339" s="10">
        <f>Loans!N$29</f>
        <v>0</v>
      </c>
      <c r="T339" s="335"/>
      <c r="U339" s="335"/>
      <c r="V339" s="136"/>
      <c r="W339" s="136"/>
      <c r="X339" s="136"/>
      <c r="Y339" s="136"/>
      <c r="AA339" s="45">
        <f>IF(Ratios!AA$31&lt;$E339, 1, 0)</f>
        <v>0</v>
      </c>
      <c r="AB339" s="45">
        <f>IF(Ratios!AB$31&lt;$E339, 1, 0)</f>
        <v>0</v>
      </c>
      <c r="AC339" s="45">
        <f>IF(Ratios!AC$31&lt;$E339, 1, 0)</f>
        <v>0</v>
      </c>
      <c r="AD339" s="45">
        <f>IF(Ratios!AD$31&lt;$E339, 1, 0)</f>
        <v>0</v>
      </c>
      <c r="AE339" s="45">
        <f>IF(Ratios!AE$31&lt;$E339, 1, 0)</f>
        <v>0</v>
      </c>
      <c r="AF339" s="45">
        <f>IF(Ratios!AF$31&lt;$E339, 1, 0)</f>
        <v>0</v>
      </c>
      <c r="AG339" s="45">
        <f>IF(Ratios!AG$31&lt;$E339, 1, 0)</f>
        <v>0</v>
      </c>
      <c r="AH339" s="45">
        <f>IF(Ratios!AH$31&lt;$E339, 1, 0)</f>
        <v>0</v>
      </c>
      <c r="AI339" s="45">
        <f>IF(Ratios!AI$31&lt;$E339, 1, 0)</f>
        <v>0</v>
      </c>
      <c r="AJ339" s="45">
        <f>IF(Ratios!AJ$31&lt;$E339, 1, 0)</f>
        <v>0</v>
      </c>
      <c r="AK339" s="45">
        <f>IF(Ratios!AK$31&lt;$E339, 1, 0)</f>
        <v>0</v>
      </c>
      <c r="AL339" s="45">
        <f>IF(Ratios!AL$31&lt;$E339, 1, 0)</f>
        <v>0</v>
      </c>
      <c r="AM339" s="45">
        <f>IF(Ratios!AM$31&lt;$E339, 1, 0)</f>
        <v>0</v>
      </c>
      <c r="AN339" s="45">
        <f>IF(Ratios!AN$31&lt;$E339, 1, 0)</f>
        <v>0</v>
      </c>
      <c r="AO339" s="45">
        <f>IF(Ratios!AO$31&lt;$E339, 1, 0)</f>
        <v>0</v>
      </c>
      <c r="AP339" s="45">
        <f>IF(Ratios!AP$31&lt;$E339, 1, 0)</f>
        <v>0</v>
      </c>
      <c r="AQ339" s="45">
        <f>IF(Ratios!AQ$31&lt;$E339, 1, 0)</f>
        <v>0</v>
      </c>
      <c r="AR339" s="45">
        <f>IF(Ratios!AR$31&lt;$E339, 1, 0)</f>
        <v>0</v>
      </c>
      <c r="AS339" s="45">
        <f>IF(Ratios!AS$31&lt;$E339, 1, 0)</f>
        <v>0</v>
      </c>
      <c r="AT339" s="45">
        <f>IF(Ratios!AT$31&lt;$E339, 1, 0)</f>
        <v>0</v>
      </c>
      <c r="AU339" s="45">
        <f>IF(Ratios!AU$31&lt;$E339, 1, 0)</f>
        <v>0</v>
      </c>
      <c r="AV339" s="45">
        <f>IF(Ratios!AV$31&lt;$E339, 1, 0)</f>
        <v>0</v>
      </c>
      <c r="AW339" s="45">
        <f>IF(Ratios!AW$31&lt;$E339, 1, 0)</f>
        <v>0</v>
      </c>
      <c r="AX339" s="45">
        <f>IF(Ratios!AX$31&lt;$E339, 1, 0)</f>
        <v>0</v>
      </c>
      <c r="AY339" s="45">
        <f>IF(Ratios!AY$31&lt;$E339, 1, 0)</f>
        <v>0</v>
      </c>
      <c r="AZ339" s="45">
        <f>IF(Ratios!AZ$31&lt;$E339, 1, 0)</f>
        <v>0</v>
      </c>
      <c r="BA339" s="45">
        <f>IF(Ratios!BA$31&lt;$E339, 1, 0)</f>
        <v>0</v>
      </c>
      <c r="BB339" s="45">
        <f>IF(Ratios!BB$31&lt;$E339, 1, 0)</f>
        <v>0</v>
      </c>
      <c r="BC339" s="45">
        <f>IF(Ratios!BC$31&lt;$E339, 1, 0)</f>
        <v>0</v>
      </c>
      <c r="BD339" s="45">
        <f>IF(Ratios!BD$31&lt;$E339, 1, 0)</f>
        <v>0</v>
      </c>
      <c r="BE339" s="45">
        <f>IF(Ratios!BE$31&lt;$E339, 1, 0)</f>
        <v>0</v>
      </c>
      <c r="BF339" s="45">
        <f>IF(Ratios!BF$31&lt;$E339, 1, 0)</f>
        <v>0</v>
      </c>
      <c r="BG339" s="45">
        <f>IF(Ratios!BG$31&lt;$E339, 1, 0)</f>
        <v>0</v>
      </c>
      <c r="BH339" s="45">
        <f>IF(Ratios!BH$31&lt;$E339, 1, 0)</f>
        <v>0</v>
      </c>
      <c r="BI339" s="45">
        <f>IF(Ratios!BI$31&lt;$E339, 1, 0)</f>
        <v>0</v>
      </c>
      <c r="BJ339" s="45">
        <f>IF(Ratios!BJ$31&lt;$E339, 1, 0)</f>
        <v>0</v>
      </c>
      <c r="BL339" s="136"/>
      <c r="BM339" s="136"/>
      <c r="BN339" s="136"/>
      <c r="BO339" s="136"/>
      <c r="BP339" s="45">
        <f>IF(Ratios!BP$31&lt;$E339, 1, 0)</f>
        <v>0</v>
      </c>
      <c r="BQ339" s="45">
        <f>IF(Ratios!BQ$31&lt;$E339, 1, 0)</f>
        <v>0</v>
      </c>
      <c r="BR339" s="45">
        <f>IF(Ratios!BR$31&lt;$E339, 1, 0)</f>
        <v>0</v>
      </c>
      <c r="BS339" s="45">
        <f>IF(Ratios!BS$31&lt;$E339, 1, 0)</f>
        <v>0</v>
      </c>
      <c r="BT339" s="45">
        <f>IF(Ratios!BT$31&lt;$E339, 1, 0)</f>
        <v>0</v>
      </c>
      <c r="BU339" s="45">
        <f>IF(Ratios!BU$31&lt;$E339, 1, 0)</f>
        <v>0</v>
      </c>
      <c r="BV339" s="45">
        <f>IF(Ratios!BV$31&lt;$E339, 1, 0)</f>
        <v>0</v>
      </c>
      <c r="BW339" s="45">
        <f>IF(Ratios!BW$31&lt;$E339, 1, 0)</f>
        <v>0</v>
      </c>
      <c r="BY339" s="12"/>
      <c r="CA339" s="12"/>
      <c r="EX339" s="10" t="str">
        <f t="shared" si="175"/>
        <v/>
      </c>
    </row>
    <row r="340" spans="1:154" s="67" customFormat="1" x14ac:dyDescent="0.25">
      <c r="B340" s="67" t="str">
        <f ca="1">Loans!B$30</f>
        <v>Loan 18</v>
      </c>
      <c r="D340" s="62">
        <f>Loans!D$30</f>
        <v>0</v>
      </c>
      <c r="E340" s="10">
        <f>Loans!N$30</f>
        <v>0</v>
      </c>
      <c r="T340" s="335"/>
      <c r="U340" s="335"/>
      <c r="V340" s="136"/>
      <c r="W340" s="136"/>
      <c r="X340" s="136"/>
      <c r="Y340" s="136"/>
      <c r="AA340" s="45">
        <f>IF(Ratios!AA$31&lt;$E340, 1, 0)</f>
        <v>0</v>
      </c>
      <c r="AB340" s="45">
        <f>IF(Ratios!AB$31&lt;$E340, 1, 0)</f>
        <v>0</v>
      </c>
      <c r="AC340" s="45">
        <f>IF(Ratios!AC$31&lt;$E340, 1, 0)</f>
        <v>0</v>
      </c>
      <c r="AD340" s="45">
        <f>IF(Ratios!AD$31&lt;$E340, 1, 0)</f>
        <v>0</v>
      </c>
      <c r="AE340" s="45">
        <f>IF(Ratios!AE$31&lt;$E340, 1, 0)</f>
        <v>0</v>
      </c>
      <c r="AF340" s="45">
        <f>IF(Ratios!AF$31&lt;$E340, 1, 0)</f>
        <v>0</v>
      </c>
      <c r="AG340" s="45">
        <f>IF(Ratios!AG$31&lt;$E340, 1, 0)</f>
        <v>0</v>
      </c>
      <c r="AH340" s="45">
        <f>IF(Ratios!AH$31&lt;$E340, 1, 0)</f>
        <v>0</v>
      </c>
      <c r="AI340" s="45">
        <f>IF(Ratios!AI$31&lt;$E340, 1, 0)</f>
        <v>0</v>
      </c>
      <c r="AJ340" s="45">
        <f>IF(Ratios!AJ$31&lt;$E340, 1, 0)</f>
        <v>0</v>
      </c>
      <c r="AK340" s="45">
        <f>IF(Ratios!AK$31&lt;$E340, 1, 0)</f>
        <v>0</v>
      </c>
      <c r="AL340" s="45">
        <f>IF(Ratios!AL$31&lt;$E340, 1, 0)</f>
        <v>0</v>
      </c>
      <c r="AM340" s="45">
        <f>IF(Ratios!AM$31&lt;$E340, 1, 0)</f>
        <v>0</v>
      </c>
      <c r="AN340" s="45">
        <f>IF(Ratios!AN$31&lt;$E340, 1, 0)</f>
        <v>0</v>
      </c>
      <c r="AO340" s="45">
        <f>IF(Ratios!AO$31&lt;$E340, 1, 0)</f>
        <v>0</v>
      </c>
      <c r="AP340" s="45">
        <f>IF(Ratios!AP$31&lt;$E340, 1, 0)</f>
        <v>0</v>
      </c>
      <c r="AQ340" s="45">
        <f>IF(Ratios!AQ$31&lt;$E340, 1, 0)</f>
        <v>0</v>
      </c>
      <c r="AR340" s="45">
        <f>IF(Ratios!AR$31&lt;$E340, 1, 0)</f>
        <v>0</v>
      </c>
      <c r="AS340" s="45">
        <f>IF(Ratios!AS$31&lt;$E340, 1, 0)</f>
        <v>0</v>
      </c>
      <c r="AT340" s="45">
        <f>IF(Ratios!AT$31&lt;$E340, 1, 0)</f>
        <v>0</v>
      </c>
      <c r="AU340" s="45">
        <f>IF(Ratios!AU$31&lt;$E340, 1, 0)</f>
        <v>0</v>
      </c>
      <c r="AV340" s="45">
        <f>IF(Ratios!AV$31&lt;$E340, 1, 0)</f>
        <v>0</v>
      </c>
      <c r="AW340" s="45">
        <f>IF(Ratios!AW$31&lt;$E340, 1, 0)</f>
        <v>0</v>
      </c>
      <c r="AX340" s="45">
        <f>IF(Ratios!AX$31&lt;$E340, 1, 0)</f>
        <v>0</v>
      </c>
      <c r="AY340" s="45">
        <f>IF(Ratios!AY$31&lt;$E340, 1, 0)</f>
        <v>0</v>
      </c>
      <c r="AZ340" s="45">
        <f>IF(Ratios!AZ$31&lt;$E340, 1, 0)</f>
        <v>0</v>
      </c>
      <c r="BA340" s="45">
        <f>IF(Ratios!BA$31&lt;$E340, 1, 0)</f>
        <v>0</v>
      </c>
      <c r="BB340" s="45">
        <f>IF(Ratios!BB$31&lt;$E340, 1, 0)</f>
        <v>0</v>
      </c>
      <c r="BC340" s="45">
        <f>IF(Ratios!BC$31&lt;$E340, 1, 0)</f>
        <v>0</v>
      </c>
      <c r="BD340" s="45">
        <f>IF(Ratios!BD$31&lt;$E340, 1, 0)</f>
        <v>0</v>
      </c>
      <c r="BE340" s="45">
        <f>IF(Ratios!BE$31&lt;$E340, 1, 0)</f>
        <v>0</v>
      </c>
      <c r="BF340" s="45">
        <f>IF(Ratios!BF$31&lt;$E340, 1, 0)</f>
        <v>0</v>
      </c>
      <c r="BG340" s="45">
        <f>IF(Ratios!BG$31&lt;$E340, 1, 0)</f>
        <v>0</v>
      </c>
      <c r="BH340" s="45">
        <f>IF(Ratios!BH$31&lt;$E340, 1, 0)</f>
        <v>0</v>
      </c>
      <c r="BI340" s="45">
        <f>IF(Ratios!BI$31&lt;$E340, 1, 0)</f>
        <v>0</v>
      </c>
      <c r="BJ340" s="45">
        <f>IF(Ratios!BJ$31&lt;$E340, 1, 0)</f>
        <v>0</v>
      </c>
      <c r="BL340" s="136"/>
      <c r="BM340" s="136"/>
      <c r="BN340" s="136"/>
      <c r="BO340" s="136"/>
      <c r="BP340" s="45">
        <f>IF(Ratios!BP$31&lt;$E340, 1, 0)</f>
        <v>0</v>
      </c>
      <c r="BQ340" s="45">
        <f>IF(Ratios!BQ$31&lt;$E340, 1, 0)</f>
        <v>0</v>
      </c>
      <c r="BR340" s="45">
        <f>IF(Ratios!BR$31&lt;$E340, 1, 0)</f>
        <v>0</v>
      </c>
      <c r="BS340" s="45">
        <f>IF(Ratios!BS$31&lt;$E340, 1, 0)</f>
        <v>0</v>
      </c>
      <c r="BT340" s="45">
        <f>IF(Ratios!BT$31&lt;$E340, 1, 0)</f>
        <v>0</v>
      </c>
      <c r="BU340" s="45">
        <f>IF(Ratios!BU$31&lt;$E340, 1, 0)</f>
        <v>0</v>
      </c>
      <c r="BV340" s="45">
        <f>IF(Ratios!BV$31&lt;$E340, 1, 0)</f>
        <v>0</v>
      </c>
      <c r="BW340" s="45">
        <f>IF(Ratios!BW$31&lt;$E340, 1, 0)</f>
        <v>0</v>
      </c>
      <c r="BY340" s="12"/>
      <c r="CA340" s="12"/>
      <c r="EX340" s="10" t="str">
        <f t="shared" si="175"/>
        <v/>
      </c>
    </row>
    <row r="341" spans="1:154" s="67" customFormat="1" x14ac:dyDescent="0.25">
      <c r="B341" s="67" t="str">
        <f ca="1">Loans!B$31</f>
        <v>Loan 19</v>
      </c>
      <c r="D341" s="62">
        <f>Loans!D$31</f>
        <v>0</v>
      </c>
      <c r="E341" s="10">
        <f>Loans!N$31</f>
        <v>0</v>
      </c>
      <c r="T341" s="335"/>
      <c r="U341" s="335"/>
      <c r="V341" s="136"/>
      <c r="W341" s="136"/>
      <c r="X341" s="136"/>
      <c r="Y341" s="136"/>
      <c r="AA341" s="45">
        <f>IF(Ratios!AA$31&lt;$E341, 1, 0)</f>
        <v>0</v>
      </c>
      <c r="AB341" s="45">
        <f>IF(Ratios!AB$31&lt;$E341, 1, 0)</f>
        <v>0</v>
      </c>
      <c r="AC341" s="45">
        <f>IF(Ratios!AC$31&lt;$E341, 1, 0)</f>
        <v>0</v>
      </c>
      <c r="AD341" s="45">
        <f>IF(Ratios!AD$31&lt;$E341, 1, 0)</f>
        <v>0</v>
      </c>
      <c r="AE341" s="45">
        <f>IF(Ratios!AE$31&lt;$E341, 1, 0)</f>
        <v>0</v>
      </c>
      <c r="AF341" s="45">
        <f>IF(Ratios!AF$31&lt;$E341, 1, 0)</f>
        <v>0</v>
      </c>
      <c r="AG341" s="45">
        <f>IF(Ratios!AG$31&lt;$E341, 1, 0)</f>
        <v>0</v>
      </c>
      <c r="AH341" s="45">
        <f>IF(Ratios!AH$31&lt;$E341, 1, 0)</f>
        <v>0</v>
      </c>
      <c r="AI341" s="45">
        <f>IF(Ratios!AI$31&lt;$E341, 1, 0)</f>
        <v>0</v>
      </c>
      <c r="AJ341" s="45">
        <f>IF(Ratios!AJ$31&lt;$E341, 1, 0)</f>
        <v>0</v>
      </c>
      <c r="AK341" s="45">
        <f>IF(Ratios!AK$31&lt;$E341, 1, 0)</f>
        <v>0</v>
      </c>
      <c r="AL341" s="45">
        <f>IF(Ratios!AL$31&lt;$E341, 1, 0)</f>
        <v>0</v>
      </c>
      <c r="AM341" s="45">
        <f>IF(Ratios!AM$31&lt;$E341, 1, 0)</f>
        <v>0</v>
      </c>
      <c r="AN341" s="45">
        <f>IF(Ratios!AN$31&lt;$E341, 1, 0)</f>
        <v>0</v>
      </c>
      <c r="AO341" s="45">
        <f>IF(Ratios!AO$31&lt;$E341, 1, 0)</f>
        <v>0</v>
      </c>
      <c r="AP341" s="45">
        <f>IF(Ratios!AP$31&lt;$E341, 1, 0)</f>
        <v>0</v>
      </c>
      <c r="AQ341" s="45">
        <f>IF(Ratios!AQ$31&lt;$E341, 1, 0)</f>
        <v>0</v>
      </c>
      <c r="AR341" s="45">
        <f>IF(Ratios!AR$31&lt;$E341, 1, 0)</f>
        <v>0</v>
      </c>
      <c r="AS341" s="45">
        <f>IF(Ratios!AS$31&lt;$E341, 1, 0)</f>
        <v>0</v>
      </c>
      <c r="AT341" s="45">
        <f>IF(Ratios!AT$31&lt;$E341, 1, 0)</f>
        <v>0</v>
      </c>
      <c r="AU341" s="45">
        <f>IF(Ratios!AU$31&lt;$E341, 1, 0)</f>
        <v>0</v>
      </c>
      <c r="AV341" s="45">
        <f>IF(Ratios!AV$31&lt;$E341, 1, 0)</f>
        <v>0</v>
      </c>
      <c r="AW341" s="45">
        <f>IF(Ratios!AW$31&lt;$E341, 1, 0)</f>
        <v>0</v>
      </c>
      <c r="AX341" s="45">
        <f>IF(Ratios!AX$31&lt;$E341, 1, 0)</f>
        <v>0</v>
      </c>
      <c r="AY341" s="45">
        <f>IF(Ratios!AY$31&lt;$E341, 1, 0)</f>
        <v>0</v>
      </c>
      <c r="AZ341" s="45">
        <f>IF(Ratios!AZ$31&lt;$E341, 1, 0)</f>
        <v>0</v>
      </c>
      <c r="BA341" s="45">
        <f>IF(Ratios!BA$31&lt;$E341, 1, 0)</f>
        <v>0</v>
      </c>
      <c r="BB341" s="45">
        <f>IF(Ratios!BB$31&lt;$E341, 1, 0)</f>
        <v>0</v>
      </c>
      <c r="BC341" s="45">
        <f>IF(Ratios!BC$31&lt;$E341, 1, 0)</f>
        <v>0</v>
      </c>
      <c r="BD341" s="45">
        <f>IF(Ratios!BD$31&lt;$E341, 1, 0)</f>
        <v>0</v>
      </c>
      <c r="BE341" s="45">
        <f>IF(Ratios!BE$31&lt;$E341, 1, 0)</f>
        <v>0</v>
      </c>
      <c r="BF341" s="45">
        <f>IF(Ratios!BF$31&lt;$E341, 1, 0)</f>
        <v>0</v>
      </c>
      <c r="BG341" s="45">
        <f>IF(Ratios!BG$31&lt;$E341, 1, 0)</f>
        <v>0</v>
      </c>
      <c r="BH341" s="45">
        <f>IF(Ratios!BH$31&lt;$E341, 1, 0)</f>
        <v>0</v>
      </c>
      <c r="BI341" s="45">
        <f>IF(Ratios!BI$31&lt;$E341, 1, 0)</f>
        <v>0</v>
      </c>
      <c r="BJ341" s="45">
        <f>IF(Ratios!BJ$31&lt;$E341, 1, 0)</f>
        <v>0</v>
      </c>
      <c r="BL341" s="136"/>
      <c r="BM341" s="136"/>
      <c r="BN341" s="136"/>
      <c r="BO341" s="136"/>
      <c r="BP341" s="45">
        <f>IF(Ratios!BP$31&lt;$E341, 1, 0)</f>
        <v>0</v>
      </c>
      <c r="BQ341" s="45">
        <f>IF(Ratios!BQ$31&lt;$E341, 1, 0)</f>
        <v>0</v>
      </c>
      <c r="BR341" s="45">
        <f>IF(Ratios!BR$31&lt;$E341, 1, 0)</f>
        <v>0</v>
      </c>
      <c r="BS341" s="45">
        <f>IF(Ratios!BS$31&lt;$E341, 1, 0)</f>
        <v>0</v>
      </c>
      <c r="BT341" s="45">
        <f>IF(Ratios!BT$31&lt;$E341, 1, 0)</f>
        <v>0</v>
      </c>
      <c r="BU341" s="45">
        <f>IF(Ratios!BU$31&lt;$E341, 1, 0)</f>
        <v>0</v>
      </c>
      <c r="BV341" s="45">
        <f>IF(Ratios!BV$31&lt;$E341, 1, 0)</f>
        <v>0</v>
      </c>
      <c r="BW341" s="45">
        <f>IF(Ratios!BW$31&lt;$E341, 1, 0)</f>
        <v>0</v>
      </c>
      <c r="BY341" s="12"/>
      <c r="CA341" s="12"/>
      <c r="EX341" s="10" t="str">
        <f t="shared" si="175"/>
        <v/>
      </c>
    </row>
    <row r="342" spans="1:154" s="67" customFormat="1" x14ac:dyDescent="0.25">
      <c r="B342" s="67" t="str">
        <f ca="1">Loans!B$32</f>
        <v>Loan 20</v>
      </c>
      <c r="D342" s="62">
        <f>Loans!D$32</f>
        <v>0</v>
      </c>
      <c r="E342" s="10">
        <f>Loans!N$32</f>
        <v>0</v>
      </c>
      <c r="T342" s="335"/>
      <c r="U342" s="335"/>
      <c r="V342" s="136"/>
      <c r="W342" s="136"/>
      <c r="X342" s="136"/>
      <c r="Y342" s="136"/>
      <c r="AA342" s="45">
        <f>IF(Ratios!AA$31&lt;$E342, 1, 0)</f>
        <v>0</v>
      </c>
      <c r="AB342" s="45">
        <f>IF(Ratios!AB$31&lt;$E342, 1, 0)</f>
        <v>0</v>
      </c>
      <c r="AC342" s="45">
        <f>IF(Ratios!AC$31&lt;$E342, 1, 0)</f>
        <v>0</v>
      </c>
      <c r="AD342" s="45">
        <f>IF(Ratios!AD$31&lt;$E342, 1, 0)</f>
        <v>0</v>
      </c>
      <c r="AE342" s="45">
        <f>IF(Ratios!AE$31&lt;$E342, 1, 0)</f>
        <v>0</v>
      </c>
      <c r="AF342" s="45">
        <f>IF(Ratios!AF$31&lt;$E342, 1, 0)</f>
        <v>0</v>
      </c>
      <c r="AG342" s="45">
        <f>IF(Ratios!AG$31&lt;$E342, 1, 0)</f>
        <v>0</v>
      </c>
      <c r="AH342" s="45">
        <f>IF(Ratios!AH$31&lt;$E342, 1, 0)</f>
        <v>0</v>
      </c>
      <c r="AI342" s="45">
        <f>IF(Ratios!AI$31&lt;$E342, 1, 0)</f>
        <v>0</v>
      </c>
      <c r="AJ342" s="45">
        <f>IF(Ratios!AJ$31&lt;$E342, 1, 0)</f>
        <v>0</v>
      </c>
      <c r="AK342" s="45">
        <f>IF(Ratios!AK$31&lt;$E342, 1, 0)</f>
        <v>0</v>
      </c>
      <c r="AL342" s="45">
        <f>IF(Ratios!AL$31&lt;$E342, 1, 0)</f>
        <v>0</v>
      </c>
      <c r="AM342" s="45">
        <f>IF(Ratios!AM$31&lt;$E342, 1, 0)</f>
        <v>0</v>
      </c>
      <c r="AN342" s="45">
        <f>IF(Ratios!AN$31&lt;$E342, 1, 0)</f>
        <v>0</v>
      </c>
      <c r="AO342" s="45">
        <f>IF(Ratios!AO$31&lt;$E342, 1, 0)</f>
        <v>0</v>
      </c>
      <c r="AP342" s="45">
        <f>IF(Ratios!AP$31&lt;$E342, 1, 0)</f>
        <v>0</v>
      </c>
      <c r="AQ342" s="45">
        <f>IF(Ratios!AQ$31&lt;$E342, 1, 0)</f>
        <v>0</v>
      </c>
      <c r="AR342" s="45">
        <f>IF(Ratios!AR$31&lt;$E342, 1, 0)</f>
        <v>0</v>
      </c>
      <c r="AS342" s="45">
        <f>IF(Ratios!AS$31&lt;$E342, 1, 0)</f>
        <v>0</v>
      </c>
      <c r="AT342" s="45">
        <f>IF(Ratios!AT$31&lt;$E342, 1, 0)</f>
        <v>0</v>
      </c>
      <c r="AU342" s="45">
        <f>IF(Ratios!AU$31&lt;$E342, 1, 0)</f>
        <v>0</v>
      </c>
      <c r="AV342" s="45">
        <f>IF(Ratios!AV$31&lt;$E342, 1, 0)</f>
        <v>0</v>
      </c>
      <c r="AW342" s="45">
        <f>IF(Ratios!AW$31&lt;$E342, 1, 0)</f>
        <v>0</v>
      </c>
      <c r="AX342" s="45">
        <f>IF(Ratios!AX$31&lt;$E342, 1, 0)</f>
        <v>0</v>
      </c>
      <c r="AY342" s="45">
        <f>IF(Ratios!AY$31&lt;$E342, 1, 0)</f>
        <v>0</v>
      </c>
      <c r="AZ342" s="45">
        <f>IF(Ratios!AZ$31&lt;$E342, 1, 0)</f>
        <v>0</v>
      </c>
      <c r="BA342" s="45">
        <f>IF(Ratios!BA$31&lt;$E342, 1, 0)</f>
        <v>0</v>
      </c>
      <c r="BB342" s="45">
        <f>IF(Ratios!BB$31&lt;$E342, 1, 0)</f>
        <v>0</v>
      </c>
      <c r="BC342" s="45">
        <f>IF(Ratios!BC$31&lt;$E342, 1, 0)</f>
        <v>0</v>
      </c>
      <c r="BD342" s="45">
        <f>IF(Ratios!BD$31&lt;$E342, 1, 0)</f>
        <v>0</v>
      </c>
      <c r="BE342" s="45">
        <f>IF(Ratios!BE$31&lt;$E342, 1, 0)</f>
        <v>0</v>
      </c>
      <c r="BF342" s="45">
        <f>IF(Ratios!BF$31&lt;$E342, 1, 0)</f>
        <v>0</v>
      </c>
      <c r="BG342" s="45">
        <f>IF(Ratios!BG$31&lt;$E342, 1, 0)</f>
        <v>0</v>
      </c>
      <c r="BH342" s="45">
        <f>IF(Ratios!BH$31&lt;$E342, 1, 0)</f>
        <v>0</v>
      </c>
      <c r="BI342" s="45">
        <f>IF(Ratios!BI$31&lt;$E342, 1, 0)</f>
        <v>0</v>
      </c>
      <c r="BJ342" s="45">
        <f>IF(Ratios!BJ$31&lt;$E342, 1, 0)</f>
        <v>0</v>
      </c>
      <c r="BL342" s="136"/>
      <c r="BM342" s="136"/>
      <c r="BN342" s="136"/>
      <c r="BO342" s="136"/>
      <c r="BP342" s="45">
        <f>IF(Ratios!BP$31&lt;$E342, 1, 0)</f>
        <v>0</v>
      </c>
      <c r="BQ342" s="45">
        <f>IF(Ratios!BQ$31&lt;$E342, 1, 0)</f>
        <v>0</v>
      </c>
      <c r="BR342" s="45">
        <f>IF(Ratios!BR$31&lt;$E342, 1, 0)</f>
        <v>0</v>
      </c>
      <c r="BS342" s="45">
        <f>IF(Ratios!BS$31&lt;$E342, 1, 0)</f>
        <v>0</v>
      </c>
      <c r="BT342" s="45">
        <f>IF(Ratios!BT$31&lt;$E342, 1, 0)</f>
        <v>0</v>
      </c>
      <c r="BU342" s="45">
        <f>IF(Ratios!BU$31&lt;$E342, 1, 0)</f>
        <v>0</v>
      </c>
      <c r="BV342" s="45">
        <f>IF(Ratios!BV$31&lt;$E342, 1, 0)</f>
        <v>0</v>
      </c>
      <c r="BW342" s="45">
        <f>IF(Ratios!BW$31&lt;$E342, 1, 0)</f>
        <v>0</v>
      </c>
      <c r="BY342" s="12"/>
      <c r="CA342" s="12"/>
      <c r="EX342" s="10" t="str">
        <f t="shared" si="175"/>
        <v/>
      </c>
    </row>
    <row r="343" spans="1:154" s="67" customFormat="1" ht="6.6" customHeight="1" x14ac:dyDescent="0.25">
      <c r="D343" s="1"/>
      <c r="T343" s="335"/>
      <c r="U343" s="335"/>
      <c r="BM343" s="6"/>
      <c r="BY343" s="42"/>
      <c r="CA343" s="42"/>
      <c r="EX343" s="10" t="str">
        <f t="shared" si="175"/>
        <v/>
      </c>
    </row>
    <row r="344" spans="1:154" s="335" customFormat="1" x14ac:dyDescent="0.25">
      <c r="D344" s="5" t="s">
        <v>1607</v>
      </c>
      <c r="BY344" s="12"/>
      <c r="CA344" s="12"/>
      <c r="EX344" s="10" t="str">
        <f t="shared" si="175"/>
        <v/>
      </c>
    </row>
    <row r="345" spans="1:154" s="335" customFormat="1" ht="45" x14ac:dyDescent="0.25">
      <c r="B345" s="5"/>
      <c r="D345" s="138" t="str">
        <f>Loans!D$11</f>
        <v>Lender</v>
      </c>
      <c r="E345" s="405" t="s">
        <v>1599</v>
      </c>
      <c r="BY345" s="12"/>
      <c r="CA345" s="12"/>
      <c r="EX345" s="10" t="str">
        <f t="shared" si="175"/>
        <v/>
      </c>
    </row>
    <row r="346" spans="1:154" s="335" customFormat="1" x14ac:dyDescent="0.25">
      <c r="B346" s="335" t="str">
        <f ca="1">Loans!B$13</f>
        <v>Loan 1</v>
      </c>
      <c r="D346" s="62" t="str">
        <f>Loans!D$13</f>
        <v>NatWest</v>
      </c>
      <c r="E346" s="38" t="str">
        <f>IF(Loans!M13="", "", Loans!M13)</f>
        <v/>
      </c>
      <c r="V346" s="136"/>
      <c r="W346" s="136"/>
      <c r="X346" s="136"/>
      <c r="Y346" s="136"/>
      <c r="AA346" s="45">
        <f>IF($E346="", 0, IF(AND($E346&gt;=AA$8, $E346&lt;=AA$5), 1, 0))</f>
        <v>0</v>
      </c>
      <c r="AB346" s="45">
        <f t="shared" ref="AB346:BJ353" si="176">IF($E346="", 0, IF(AND($E346&gt;=AB$8, $E346&lt;=AB$5), 1, 0))</f>
        <v>0</v>
      </c>
      <c r="AC346" s="45">
        <f t="shared" si="176"/>
        <v>0</v>
      </c>
      <c r="AD346" s="45">
        <f t="shared" si="176"/>
        <v>0</v>
      </c>
      <c r="AE346" s="45">
        <f t="shared" si="176"/>
        <v>0</v>
      </c>
      <c r="AF346" s="45">
        <f t="shared" si="176"/>
        <v>0</v>
      </c>
      <c r="AG346" s="45">
        <f t="shared" si="176"/>
        <v>0</v>
      </c>
      <c r="AH346" s="45">
        <f t="shared" si="176"/>
        <v>0</v>
      </c>
      <c r="AI346" s="45">
        <f t="shared" si="176"/>
        <v>0</v>
      </c>
      <c r="AJ346" s="45">
        <f t="shared" si="176"/>
        <v>0</v>
      </c>
      <c r="AK346" s="45">
        <f t="shared" si="176"/>
        <v>0</v>
      </c>
      <c r="AL346" s="45">
        <f t="shared" si="176"/>
        <v>0</v>
      </c>
      <c r="AM346" s="45">
        <f t="shared" si="176"/>
        <v>0</v>
      </c>
      <c r="AN346" s="45">
        <f t="shared" si="176"/>
        <v>0</v>
      </c>
      <c r="AO346" s="45">
        <f t="shared" si="176"/>
        <v>0</v>
      </c>
      <c r="AP346" s="45">
        <f t="shared" si="176"/>
        <v>0</v>
      </c>
      <c r="AQ346" s="45">
        <f t="shared" si="176"/>
        <v>0</v>
      </c>
      <c r="AR346" s="45">
        <f t="shared" si="176"/>
        <v>0</v>
      </c>
      <c r="AS346" s="45">
        <f t="shared" si="176"/>
        <v>0</v>
      </c>
      <c r="AT346" s="45">
        <f t="shared" si="176"/>
        <v>0</v>
      </c>
      <c r="AU346" s="45">
        <f t="shared" si="176"/>
        <v>0</v>
      </c>
      <c r="AV346" s="45">
        <f t="shared" si="176"/>
        <v>0</v>
      </c>
      <c r="AW346" s="45">
        <f t="shared" si="176"/>
        <v>0</v>
      </c>
      <c r="AX346" s="45">
        <f t="shared" si="176"/>
        <v>0</v>
      </c>
      <c r="AY346" s="45">
        <f t="shared" si="176"/>
        <v>0</v>
      </c>
      <c r="AZ346" s="45">
        <f t="shared" si="176"/>
        <v>0</v>
      </c>
      <c r="BA346" s="45">
        <f t="shared" si="176"/>
        <v>0</v>
      </c>
      <c r="BB346" s="45">
        <f t="shared" si="176"/>
        <v>0</v>
      </c>
      <c r="BC346" s="45">
        <f t="shared" si="176"/>
        <v>0</v>
      </c>
      <c r="BD346" s="45">
        <f t="shared" si="176"/>
        <v>0</v>
      </c>
      <c r="BE346" s="45">
        <f t="shared" si="176"/>
        <v>0</v>
      </c>
      <c r="BF346" s="45">
        <f t="shared" si="176"/>
        <v>0</v>
      </c>
      <c r="BG346" s="45">
        <f t="shared" si="176"/>
        <v>0</v>
      </c>
      <c r="BH346" s="45">
        <f t="shared" si="176"/>
        <v>0</v>
      </c>
      <c r="BI346" s="45">
        <f t="shared" si="176"/>
        <v>0</v>
      </c>
      <c r="BJ346" s="45">
        <f t="shared" si="176"/>
        <v>0</v>
      </c>
      <c r="BL346" s="136"/>
      <c r="BM346" s="136"/>
      <c r="BN346" s="136"/>
      <c r="BO346" s="136"/>
      <c r="BP346" s="45">
        <f>IF('Fin Stat'!BP$209&lt;$E346, 1, 0)</f>
        <v>1</v>
      </c>
      <c r="BQ346" s="45">
        <f>IF('Fin Stat'!BQ$209&lt;$E346, 1, 0)</f>
        <v>1</v>
      </c>
      <c r="BR346" s="45">
        <f>IF('Fin Stat'!BR$209&lt;$E346, 1, 0)</f>
        <v>1</v>
      </c>
      <c r="BS346" s="45">
        <f>IF('Fin Stat'!BS$209&lt;$E346, 1, 0)</f>
        <v>1</v>
      </c>
      <c r="BT346" s="45">
        <f>IF('Fin Stat'!BT$209&lt;$E346, 1, 0)</f>
        <v>1</v>
      </c>
      <c r="BU346" s="45">
        <f>IF('Fin Stat'!BU$209&lt;$E346, 1, 0)</f>
        <v>1</v>
      </c>
      <c r="BV346" s="45">
        <f>IF('Fin Stat'!BV$209&lt;$E346, 1, 0)</f>
        <v>1</v>
      </c>
      <c r="BW346" s="45">
        <f>IF('Fin Stat'!BW$209&lt;$E346, 1, 0)</f>
        <v>1</v>
      </c>
      <c r="BY346" s="12"/>
      <c r="CA346" s="12"/>
      <c r="EX346" s="10" t="str">
        <f t="shared" si="175"/>
        <v/>
      </c>
    </row>
    <row r="347" spans="1:154" s="335" customFormat="1" x14ac:dyDescent="0.25">
      <c r="B347" s="335" t="str">
        <f ca="1">Loans!B$14</f>
        <v>Loan 2</v>
      </c>
      <c r="D347" s="62" t="str">
        <f>Loans!D$14</f>
        <v>NatWest</v>
      </c>
      <c r="E347" s="38" t="str">
        <f>IF(Loans!M14="", "", Loans!M14)</f>
        <v/>
      </c>
      <c r="V347" s="136"/>
      <c r="W347" s="136"/>
      <c r="X347" s="136"/>
      <c r="Y347" s="136"/>
      <c r="AA347" s="45">
        <f>IF($E347="", 0, IF(AND($E347&gt;=AA$8, $E347&lt;=AA$5), 1, 0))</f>
        <v>0</v>
      </c>
      <c r="AB347" s="45">
        <f t="shared" si="176"/>
        <v>0</v>
      </c>
      <c r="AC347" s="45">
        <f t="shared" si="176"/>
        <v>0</v>
      </c>
      <c r="AD347" s="45">
        <f t="shared" si="176"/>
        <v>0</v>
      </c>
      <c r="AE347" s="45">
        <f t="shared" si="176"/>
        <v>0</v>
      </c>
      <c r="AF347" s="45">
        <f t="shared" si="176"/>
        <v>0</v>
      </c>
      <c r="AG347" s="45">
        <f t="shared" si="176"/>
        <v>0</v>
      </c>
      <c r="AH347" s="45">
        <f t="shared" si="176"/>
        <v>0</v>
      </c>
      <c r="AI347" s="45">
        <f t="shared" si="176"/>
        <v>0</v>
      </c>
      <c r="AJ347" s="45">
        <f t="shared" si="176"/>
        <v>0</v>
      </c>
      <c r="AK347" s="45">
        <f t="shared" si="176"/>
        <v>0</v>
      </c>
      <c r="AL347" s="45">
        <f t="shared" si="176"/>
        <v>0</v>
      </c>
      <c r="AM347" s="45">
        <f t="shared" si="176"/>
        <v>0</v>
      </c>
      <c r="AN347" s="45">
        <f t="shared" si="176"/>
        <v>0</v>
      </c>
      <c r="AO347" s="45">
        <f t="shared" si="176"/>
        <v>0</v>
      </c>
      <c r="AP347" s="45">
        <f t="shared" si="176"/>
        <v>0</v>
      </c>
      <c r="AQ347" s="45">
        <f t="shared" si="176"/>
        <v>0</v>
      </c>
      <c r="AR347" s="45">
        <f t="shared" si="176"/>
        <v>0</v>
      </c>
      <c r="AS347" s="45">
        <f t="shared" si="176"/>
        <v>0</v>
      </c>
      <c r="AT347" s="45">
        <f t="shared" si="176"/>
        <v>0</v>
      </c>
      <c r="AU347" s="45">
        <f t="shared" si="176"/>
        <v>0</v>
      </c>
      <c r="AV347" s="45">
        <f t="shared" si="176"/>
        <v>0</v>
      </c>
      <c r="AW347" s="45">
        <f t="shared" si="176"/>
        <v>0</v>
      </c>
      <c r="AX347" s="45">
        <f t="shared" si="176"/>
        <v>0</v>
      </c>
      <c r="AY347" s="45">
        <f t="shared" si="176"/>
        <v>0</v>
      </c>
      <c r="AZ347" s="45">
        <f t="shared" si="176"/>
        <v>0</v>
      </c>
      <c r="BA347" s="45">
        <f t="shared" si="176"/>
        <v>0</v>
      </c>
      <c r="BB347" s="45">
        <f t="shared" si="176"/>
        <v>0</v>
      </c>
      <c r="BC347" s="45">
        <f t="shared" si="176"/>
        <v>0</v>
      </c>
      <c r="BD347" s="45">
        <f t="shared" si="176"/>
        <v>0</v>
      </c>
      <c r="BE347" s="45">
        <f t="shared" si="176"/>
        <v>0</v>
      </c>
      <c r="BF347" s="45">
        <f t="shared" si="176"/>
        <v>0</v>
      </c>
      <c r="BG347" s="45">
        <f t="shared" si="176"/>
        <v>0</v>
      </c>
      <c r="BH347" s="45">
        <f t="shared" si="176"/>
        <v>0</v>
      </c>
      <c r="BI347" s="45">
        <f t="shared" si="176"/>
        <v>0</v>
      </c>
      <c r="BJ347" s="45">
        <f t="shared" si="176"/>
        <v>0</v>
      </c>
      <c r="BL347" s="136"/>
      <c r="BM347" s="136"/>
      <c r="BN347" s="136"/>
      <c r="BO347" s="136"/>
      <c r="BP347" s="45">
        <f>IF('Fin Stat'!BP$209&lt;$E347, 1, 0)</f>
        <v>1</v>
      </c>
      <c r="BQ347" s="45">
        <f>IF('Fin Stat'!BQ$209&lt;$E347, 1, 0)</f>
        <v>1</v>
      </c>
      <c r="BR347" s="45">
        <f>IF('Fin Stat'!BR$209&lt;$E347, 1, 0)</f>
        <v>1</v>
      </c>
      <c r="BS347" s="45">
        <f>IF('Fin Stat'!BS$209&lt;$E347, 1, 0)</f>
        <v>1</v>
      </c>
      <c r="BT347" s="45">
        <f>IF('Fin Stat'!BT$209&lt;$E347, 1, 0)</f>
        <v>1</v>
      </c>
      <c r="BU347" s="45">
        <f>IF('Fin Stat'!BU$209&lt;$E347, 1, 0)</f>
        <v>1</v>
      </c>
      <c r="BV347" s="45">
        <f>IF('Fin Stat'!BV$209&lt;$E347, 1, 0)</f>
        <v>1</v>
      </c>
      <c r="BW347" s="45">
        <f>IF('Fin Stat'!BW$209&lt;$E347, 1, 0)</f>
        <v>1</v>
      </c>
      <c r="BY347" s="12"/>
      <c r="CA347" s="12"/>
      <c r="EX347" s="10" t="str">
        <f t="shared" si="175"/>
        <v/>
      </c>
    </row>
    <row r="348" spans="1:154" s="335" customFormat="1" x14ac:dyDescent="0.25">
      <c r="B348" s="335" t="str">
        <f ca="1">Loans!B$15</f>
        <v>Loan 3</v>
      </c>
      <c r="D348" s="62" t="str">
        <f>Loans!D$15</f>
        <v>NatWest</v>
      </c>
      <c r="E348" s="38" t="str">
        <f>IF(Loans!M15="", "", Loans!M15)</f>
        <v/>
      </c>
      <c r="V348" s="136"/>
      <c r="W348" s="136"/>
      <c r="X348" s="136"/>
      <c r="Y348" s="136"/>
      <c r="AA348" s="45">
        <f t="shared" ref="AA348:AP365" si="177">IF($E348="", 0, IF(AND($E348&gt;=AA$8, $E348&lt;=AA$5), 1, 0))</f>
        <v>0</v>
      </c>
      <c r="AB348" s="45">
        <f t="shared" si="177"/>
        <v>0</v>
      </c>
      <c r="AC348" s="45">
        <f t="shared" si="177"/>
        <v>0</v>
      </c>
      <c r="AD348" s="45">
        <f t="shared" si="177"/>
        <v>0</v>
      </c>
      <c r="AE348" s="45">
        <f t="shared" si="177"/>
        <v>0</v>
      </c>
      <c r="AF348" s="45">
        <f t="shared" si="177"/>
        <v>0</v>
      </c>
      <c r="AG348" s="45">
        <f t="shared" si="177"/>
        <v>0</v>
      </c>
      <c r="AH348" s="45">
        <f t="shared" si="177"/>
        <v>0</v>
      </c>
      <c r="AI348" s="45">
        <f t="shared" si="177"/>
        <v>0</v>
      </c>
      <c r="AJ348" s="45">
        <f t="shared" si="177"/>
        <v>0</v>
      </c>
      <c r="AK348" s="45">
        <f t="shared" si="177"/>
        <v>0</v>
      </c>
      <c r="AL348" s="45">
        <f t="shared" si="177"/>
        <v>0</v>
      </c>
      <c r="AM348" s="45">
        <f t="shared" si="177"/>
        <v>0</v>
      </c>
      <c r="AN348" s="45">
        <f t="shared" si="177"/>
        <v>0</v>
      </c>
      <c r="AO348" s="45">
        <f t="shared" si="177"/>
        <v>0</v>
      </c>
      <c r="AP348" s="45">
        <f t="shared" si="177"/>
        <v>0</v>
      </c>
      <c r="AQ348" s="45">
        <f t="shared" si="176"/>
        <v>0</v>
      </c>
      <c r="AR348" s="45">
        <f t="shared" si="176"/>
        <v>0</v>
      </c>
      <c r="AS348" s="45">
        <f t="shared" si="176"/>
        <v>0</v>
      </c>
      <c r="AT348" s="45">
        <f t="shared" si="176"/>
        <v>0</v>
      </c>
      <c r="AU348" s="45">
        <f t="shared" si="176"/>
        <v>0</v>
      </c>
      <c r="AV348" s="45">
        <f t="shared" si="176"/>
        <v>0</v>
      </c>
      <c r="AW348" s="45">
        <f t="shared" si="176"/>
        <v>0</v>
      </c>
      <c r="AX348" s="45">
        <f t="shared" si="176"/>
        <v>0</v>
      </c>
      <c r="AY348" s="45">
        <f t="shared" si="176"/>
        <v>0</v>
      </c>
      <c r="AZ348" s="45">
        <f t="shared" si="176"/>
        <v>0</v>
      </c>
      <c r="BA348" s="45">
        <f t="shared" si="176"/>
        <v>0</v>
      </c>
      <c r="BB348" s="45">
        <f t="shared" si="176"/>
        <v>0</v>
      </c>
      <c r="BC348" s="45">
        <f t="shared" si="176"/>
        <v>0</v>
      </c>
      <c r="BD348" s="45">
        <f t="shared" si="176"/>
        <v>0</v>
      </c>
      <c r="BE348" s="45">
        <f t="shared" si="176"/>
        <v>0</v>
      </c>
      <c r="BF348" s="45">
        <f t="shared" si="176"/>
        <v>0</v>
      </c>
      <c r="BG348" s="45">
        <f t="shared" si="176"/>
        <v>0</v>
      </c>
      <c r="BH348" s="45">
        <f t="shared" si="176"/>
        <v>0</v>
      </c>
      <c r="BI348" s="45">
        <f t="shared" si="176"/>
        <v>0</v>
      </c>
      <c r="BJ348" s="45">
        <f t="shared" si="176"/>
        <v>0</v>
      </c>
      <c r="BL348" s="136"/>
      <c r="BM348" s="136"/>
      <c r="BN348" s="136"/>
      <c r="BO348" s="136"/>
      <c r="BP348" s="45">
        <f>IF('Fin Stat'!BP$209&lt;$E348, 1, 0)</f>
        <v>1</v>
      </c>
      <c r="BQ348" s="45">
        <f>IF('Fin Stat'!BQ$209&lt;$E348, 1, 0)</f>
        <v>1</v>
      </c>
      <c r="BR348" s="45">
        <f>IF('Fin Stat'!BR$209&lt;$E348, 1, 0)</f>
        <v>1</v>
      </c>
      <c r="BS348" s="45">
        <f>IF('Fin Stat'!BS$209&lt;$E348, 1, 0)</f>
        <v>1</v>
      </c>
      <c r="BT348" s="45">
        <f>IF('Fin Stat'!BT$209&lt;$E348, 1, 0)</f>
        <v>1</v>
      </c>
      <c r="BU348" s="45">
        <f>IF('Fin Stat'!BU$209&lt;$E348, 1, 0)</f>
        <v>1</v>
      </c>
      <c r="BV348" s="45">
        <f>IF('Fin Stat'!BV$209&lt;$E348, 1, 0)</f>
        <v>1</v>
      </c>
      <c r="BW348" s="45">
        <f>IF('Fin Stat'!BW$209&lt;$E348, 1, 0)</f>
        <v>1</v>
      </c>
      <c r="BY348" s="12"/>
      <c r="CA348" s="12"/>
      <c r="EX348" s="10" t="str">
        <f t="shared" si="175"/>
        <v/>
      </c>
    </row>
    <row r="349" spans="1:154" s="335" customFormat="1" x14ac:dyDescent="0.25">
      <c r="B349" s="335" t="str">
        <f ca="1">Loans!B$16</f>
        <v>Loan 4</v>
      </c>
      <c r="D349" s="62" t="str">
        <f>Loans!D$16</f>
        <v>NatWest</v>
      </c>
      <c r="E349" s="38" t="str">
        <f>IF(Loans!M16="", "", Loans!M16)</f>
        <v/>
      </c>
      <c r="V349" s="136"/>
      <c r="W349" s="136"/>
      <c r="X349" s="136"/>
      <c r="Y349" s="136"/>
      <c r="AA349" s="45">
        <f t="shared" si="177"/>
        <v>0</v>
      </c>
      <c r="AB349" s="45">
        <f t="shared" si="176"/>
        <v>0</v>
      </c>
      <c r="AC349" s="45">
        <f t="shared" si="176"/>
        <v>0</v>
      </c>
      <c r="AD349" s="45">
        <f t="shared" si="176"/>
        <v>0</v>
      </c>
      <c r="AE349" s="45">
        <f t="shared" si="176"/>
        <v>0</v>
      </c>
      <c r="AF349" s="45">
        <f t="shared" si="176"/>
        <v>0</v>
      </c>
      <c r="AG349" s="45">
        <f t="shared" si="176"/>
        <v>0</v>
      </c>
      <c r="AH349" s="45">
        <f t="shared" si="176"/>
        <v>0</v>
      </c>
      <c r="AI349" s="45">
        <f t="shared" si="176"/>
        <v>0</v>
      </c>
      <c r="AJ349" s="45">
        <f t="shared" si="176"/>
        <v>0</v>
      </c>
      <c r="AK349" s="45">
        <f t="shared" si="176"/>
        <v>0</v>
      </c>
      <c r="AL349" s="45">
        <f t="shared" si="176"/>
        <v>0</v>
      </c>
      <c r="AM349" s="45">
        <f t="shared" si="176"/>
        <v>0</v>
      </c>
      <c r="AN349" s="45">
        <f t="shared" si="176"/>
        <v>0</v>
      </c>
      <c r="AO349" s="45">
        <f t="shared" si="176"/>
        <v>0</v>
      </c>
      <c r="AP349" s="45">
        <f t="shared" si="176"/>
        <v>0</v>
      </c>
      <c r="AQ349" s="45">
        <f t="shared" si="176"/>
        <v>0</v>
      </c>
      <c r="AR349" s="45">
        <f t="shared" si="176"/>
        <v>0</v>
      </c>
      <c r="AS349" s="45">
        <f t="shared" si="176"/>
        <v>0</v>
      </c>
      <c r="AT349" s="45">
        <f t="shared" si="176"/>
        <v>0</v>
      </c>
      <c r="AU349" s="45">
        <f t="shared" si="176"/>
        <v>0</v>
      </c>
      <c r="AV349" s="45">
        <f t="shared" si="176"/>
        <v>0</v>
      </c>
      <c r="AW349" s="45">
        <f t="shared" si="176"/>
        <v>0</v>
      </c>
      <c r="AX349" s="45">
        <f t="shared" si="176"/>
        <v>0</v>
      </c>
      <c r="AY349" s="45">
        <f t="shared" si="176"/>
        <v>0</v>
      </c>
      <c r="AZ349" s="45">
        <f t="shared" si="176"/>
        <v>0</v>
      </c>
      <c r="BA349" s="45">
        <f t="shared" si="176"/>
        <v>0</v>
      </c>
      <c r="BB349" s="45">
        <f t="shared" si="176"/>
        <v>0</v>
      </c>
      <c r="BC349" s="45">
        <f t="shared" si="176"/>
        <v>0</v>
      </c>
      <c r="BD349" s="45">
        <f t="shared" si="176"/>
        <v>0</v>
      </c>
      <c r="BE349" s="45">
        <f t="shared" si="176"/>
        <v>0</v>
      </c>
      <c r="BF349" s="45">
        <f t="shared" si="176"/>
        <v>0</v>
      </c>
      <c r="BG349" s="45">
        <f t="shared" si="176"/>
        <v>0</v>
      </c>
      <c r="BH349" s="45">
        <f t="shared" si="176"/>
        <v>0</v>
      </c>
      <c r="BI349" s="45">
        <f t="shared" si="176"/>
        <v>0</v>
      </c>
      <c r="BJ349" s="45">
        <f t="shared" si="176"/>
        <v>0</v>
      </c>
      <c r="BL349" s="136"/>
      <c r="BM349" s="136"/>
      <c r="BN349" s="136"/>
      <c r="BO349" s="136"/>
      <c r="BP349" s="45">
        <f>IF('Fin Stat'!BP$209&lt;$E349, 1, 0)</f>
        <v>1</v>
      </c>
      <c r="BQ349" s="45">
        <f>IF('Fin Stat'!BQ$209&lt;$E349, 1, 0)</f>
        <v>1</v>
      </c>
      <c r="BR349" s="45">
        <f>IF('Fin Stat'!BR$209&lt;$E349, 1, 0)</f>
        <v>1</v>
      </c>
      <c r="BS349" s="45">
        <f>IF('Fin Stat'!BS$209&lt;$E349, 1, 0)</f>
        <v>1</v>
      </c>
      <c r="BT349" s="45">
        <f>IF('Fin Stat'!BT$209&lt;$E349, 1, 0)</f>
        <v>1</v>
      </c>
      <c r="BU349" s="45">
        <f>IF('Fin Stat'!BU$209&lt;$E349, 1, 0)</f>
        <v>1</v>
      </c>
      <c r="BV349" s="45">
        <f>IF('Fin Stat'!BV$209&lt;$E349, 1, 0)</f>
        <v>1</v>
      </c>
      <c r="BW349" s="45">
        <f>IF('Fin Stat'!BW$209&lt;$E349, 1, 0)</f>
        <v>1</v>
      </c>
      <c r="BY349" s="12"/>
      <c r="CA349" s="12"/>
      <c r="EX349" s="10" t="str">
        <f t="shared" si="175"/>
        <v/>
      </c>
    </row>
    <row r="350" spans="1:154" s="335" customFormat="1" x14ac:dyDescent="0.25">
      <c r="B350" s="335" t="str">
        <f ca="1">Loans!B$17</f>
        <v>Loan 5</v>
      </c>
      <c r="D350" s="62" t="str">
        <f>Loans!D$17</f>
        <v>NatWest</v>
      </c>
      <c r="E350" s="38" t="str">
        <f>IF(Loans!M17="", "", Loans!M17)</f>
        <v/>
      </c>
      <c r="V350" s="136"/>
      <c r="W350" s="136"/>
      <c r="X350" s="136"/>
      <c r="Y350" s="136"/>
      <c r="AA350" s="45">
        <f t="shared" si="177"/>
        <v>0</v>
      </c>
      <c r="AB350" s="45">
        <f t="shared" si="176"/>
        <v>0</v>
      </c>
      <c r="AC350" s="45">
        <f t="shared" si="176"/>
        <v>0</v>
      </c>
      <c r="AD350" s="45">
        <f t="shared" si="176"/>
        <v>0</v>
      </c>
      <c r="AE350" s="45">
        <f t="shared" si="176"/>
        <v>0</v>
      </c>
      <c r="AF350" s="45">
        <f t="shared" si="176"/>
        <v>0</v>
      </c>
      <c r="AG350" s="45">
        <f t="shared" si="176"/>
        <v>0</v>
      </c>
      <c r="AH350" s="45">
        <f t="shared" si="176"/>
        <v>0</v>
      </c>
      <c r="AI350" s="45">
        <f t="shared" si="176"/>
        <v>0</v>
      </c>
      <c r="AJ350" s="45">
        <f t="shared" si="176"/>
        <v>0</v>
      </c>
      <c r="AK350" s="45">
        <f t="shared" si="176"/>
        <v>0</v>
      </c>
      <c r="AL350" s="45">
        <f t="shared" si="176"/>
        <v>0</v>
      </c>
      <c r="AM350" s="45">
        <f t="shared" si="176"/>
        <v>0</v>
      </c>
      <c r="AN350" s="45">
        <f t="shared" si="176"/>
        <v>0</v>
      </c>
      <c r="AO350" s="45">
        <f t="shared" si="176"/>
        <v>0</v>
      </c>
      <c r="AP350" s="45">
        <f t="shared" si="176"/>
        <v>0</v>
      </c>
      <c r="AQ350" s="45">
        <f t="shared" si="176"/>
        <v>0</v>
      </c>
      <c r="AR350" s="45">
        <f t="shared" si="176"/>
        <v>0</v>
      </c>
      <c r="AS350" s="45">
        <f t="shared" si="176"/>
        <v>0</v>
      </c>
      <c r="AT350" s="45">
        <f t="shared" si="176"/>
        <v>0</v>
      </c>
      <c r="AU350" s="45">
        <f t="shared" si="176"/>
        <v>0</v>
      </c>
      <c r="AV350" s="45">
        <f t="shared" si="176"/>
        <v>0</v>
      </c>
      <c r="AW350" s="45">
        <f t="shared" si="176"/>
        <v>0</v>
      </c>
      <c r="AX350" s="45">
        <f t="shared" si="176"/>
        <v>0</v>
      </c>
      <c r="AY350" s="45">
        <f t="shared" si="176"/>
        <v>0</v>
      </c>
      <c r="AZ350" s="45">
        <f t="shared" si="176"/>
        <v>0</v>
      </c>
      <c r="BA350" s="45">
        <f t="shared" si="176"/>
        <v>0</v>
      </c>
      <c r="BB350" s="45">
        <f t="shared" si="176"/>
        <v>0</v>
      </c>
      <c r="BC350" s="45">
        <f t="shared" si="176"/>
        <v>0</v>
      </c>
      <c r="BD350" s="45">
        <f t="shared" si="176"/>
        <v>0</v>
      </c>
      <c r="BE350" s="45">
        <f t="shared" si="176"/>
        <v>0</v>
      </c>
      <c r="BF350" s="45">
        <f t="shared" si="176"/>
        <v>0</v>
      </c>
      <c r="BG350" s="45">
        <f t="shared" si="176"/>
        <v>0</v>
      </c>
      <c r="BH350" s="45">
        <f t="shared" si="176"/>
        <v>0</v>
      </c>
      <c r="BI350" s="45">
        <f t="shared" si="176"/>
        <v>0</v>
      </c>
      <c r="BJ350" s="45">
        <f t="shared" si="176"/>
        <v>0</v>
      </c>
      <c r="BL350" s="136"/>
      <c r="BM350" s="136"/>
      <c r="BN350" s="136"/>
      <c r="BO350" s="136"/>
      <c r="BP350" s="45">
        <f>IF('Fin Stat'!BP$209&lt;$E350, 1, 0)</f>
        <v>1</v>
      </c>
      <c r="BQ350" s="45">
        <f>IF('Fin Stat'!BQ$209&lt;$E350, 1, 0)</f>
        <v>1</v>
      </c>
      <c r="BR350" s="45">
        <f>IF('Fin Stat'!BR$209&lt;$E350, 1, 0)</f>
        <v>1</v>
      </c>
      <c r="BS350" s="45">
        <f>IF('Fin Stat'!BS$209&lt;$E350, 1, 0)</f>
        <v>1</v>
      </c>
      <c r="BT350" s="45">
        <f>IF('Fin Stat'!BT$209&lt;$E350, 1, 0)</f>
        <v>1</v>
      </c>
      <c r="BU350" s="45">
        <f>IF('Fin Stat'!BU$209&lt;$E350, 1, 0)</f>
        <v>1</v>
      </c>
      <c r="BV350" s="45">
        <f>IF('Fin Stat'!BV$209&lt;$E350, 1, 0)</f>
        <v>1</v>
      </c>
      <c r="BW350" s="45">
        <f>IF('Fin Stat'!BW$209&lt;$E350, 1, 0)</f>
        <v>1</v>
      </c>
      <c r="BY350" s="12"/>
      <c r="CA350" s="12"/>
      <c r="EX350" s="10" t="str">
        <f t="shared" si="175"/>
        <v/>
      </c>
    </row>
    <row r="351" spans="1:154" s="335" customFormat="1" x14ac:dyDescent="0.25">
      <c r="B351" s="335" t="str">
        <f ca="1">Loans!B$18</f>
        <v>Loan 6</v>
      </c>
      <c r="D351" s="62">
        <f>Loans!D$18</f>
        <v>0</v>
      </c>
      <c r="E351" s="38" t="str">
        <f>IF(Loans!M18="", "", Loans!M18)</f>
        <v/>
      </c>
      <c r="V351" s="136"/>
      <c r="W351" s="136"/>
      <c r="X351" s="136"/>
      <c r="Y351" s="136"/>
      <c r="AA351" s="45">
        <f t="shared" si="177"/>
        <v>0</v>
      </c>
      <c r="AB351" s="45">
        <f t="shared" si="176"/>
        <v>0</v>
      </c>
      <c r="AC351" s="45">
        <f t="shared" si="176"/>
        <v>0</v>
      </c>
      <c r="AD351" s="45">
        <f t="shared" si="176"/>
        <v>0</v>
      </c>
      <c r="AE351" s="45">
        <f t="shared" si="176"/>
        <v>0</v>
      </c>
      <c r="AF351" s="45">
        <f t="shared" si="176"/>
        <v>0</v>
      </c>
      <c r="AG351" s="45">
        <f t="shared" si="176"/>
        <v>0</v>
      </c>
      <c r="AH351" s="45">
        <f t="shared" si="176"/>
        <v>0</v>
      </c>
      <c r="AI351" s="45">
        <f t="shared" si="176"/>
        <v>0</v>
      </c>
      <c r="AJ351" s="45">
        <f t="shared" si="176"/>
        <v>0</v>
      </c>
      <c r="AK351" s="45">
        <f t="shared" si="176"/>
        <v>0</v>
      </c>
      <c r="AL351" s="45">
        <f t="shared" si="176"/>
        <v>0</v>
      </c>
      <c r="AM351" s="45">
        <f t="shared" si="176"/>
        <v>0</v>
      </c>
      <c r="AN351" s="45">
        <f t="shared" si="176"/>
        <v>0</v>
      </c>
      <c r="AO351" s="45">
        <f t="shared" si="176"/>
        <v>0</v>
      </c>
      <c r="AP351" s="45">
        <f t="shared" si="176"/>
        <v>0</v>
      </c>
      <c r="AQ351" s="45">
        <f t="shared" si="176"/>
        <v>0</v>
      </c>
      <c r="AR351" s="45">
        <f t="shared" si="176"/>
        <v>0</v>
      </c>
      <c r="AS351" s="45">
        <f t="shared" si="176"/>
        <v>0</v>
      </c>
      <c r="AT351" s="45">
        <f t="shared" si="176"/>
        <v>0</v>
      </c>
      <c r="AU351" s="45">
        <f t="shared" si="176"/>
        <v>0</v>
      </c>
      <c r="AV351" s="45">
        <f t="shared" si="176"/>
        <v>0</v>
      </c>
      <c r="AW351" s="45">
        <f t="shared" si="176"/>
        <v>0</v>
      </c>
      <c r="AX351" s="45">
        <f t="shared" si="176"/>
        <v>0</v>
      </c>
      <c r="AY351" s="45">
        <f t="shared" si="176"/>
        <v>0</v>
      </c>
      <c r="AZ351" s="45">
        <f t="shared" si="176"/>
        <v>0</v>
      </c>
      <c r="BA351" s="45">
        <f t="shared" si="176"/>
        <v>0</v>
      </c>
      <c r="BB351" s="45">
        <f t="shared" si="176"/>
        <v>0</v>
      </c>
      <c r="BC351" s="45">
        <f t="shared" si="176"/>
        <v>0</v>
      </c>
      <c r="BD351" s="45">
        <f t="shared" si="176"/>
        <v>0</v>
      </c>
      <c r="BE351" s="45">
        <f t="shared" si="176"/>
        <v>0</v>
      </c>
      <c r="BF351" s="45">
        <f t="shared" si="176"/>
        <v>0</v>
      </c>
      <c r="BG351" s="45">
        <f t="shared" si="176"/>
        <v>0</v>
      </c>
      <c r="BH351" s="45">
        <f t="shared" si="176"/>
        <v>0</v>
      </c>
      <c r="BI351" s="45">
        <f t="shared" si="176"/>
        <v>0</v>
      </c>
      <c r="BJ351" s="45">
        <f t="shared" si="176"/>
        <v>0</v>
      </c>
      <c r="BL351" s="136"/>
      <c r="BM351" s="136"/>
      <c r="BN351" s="136"/>
      <c r="BO351" s="136"/>
      <c r="BP351" s="45">
        <f>IF('Fin Stat'!BP$209&lt;$E351, 1, 0)</f>
        <v>1</v>
      </c>
      <c r="BQ351" s="45">
        <f>IF('Fin Stat'!BQ$209&lt;$E351, 1, 0)</f>
        <v>1</v>
      </c>
      <c r="BR351" s="45">
        <f>IF('Fin Stat'!BR$209&lt;$E351, 1, 0)</f>
        <v>1</v>
      </c>
      <c r="BS351" s="45">
        <f>IF('Fin Stat'!BS$209&lt;$E351, 1, 0)</f>
        <v>1</v>
      </c>
      <c r="BT351" s="45">
        <f>IF('Fin Stat'!BT$209&lt;$E351, 1, 0)</f>
        <v>1</v>
      </c>
      <c r="BU351" s="45">
        <f>IF('Fin Stat'!BU$209&lt;$E351, 1, 0)</f>
        <v>1</v>
      </c>
      <c r="BV351" s="45">
        <f>IF('Fin Stat'!BV$209&lt;$E351, 1, 0)</f>
        <v>1</v>
      </c>
      <c r="BW351" s="45">
        <f>IF('Fin Stat'!BW$209&lt;$E351, 1, 0)</f>
        <v>1</v>
      </c>
      <c r="BY351" s="12"/>
      <c r="CA351" s="12"/>
      <c r="EX351" s="10" t="str">
        <f t="shared" si="175"/>
        <v/>
      </c>
    </row>
    <row r="352" spans="1:154" s="5" customFormat="1" x14ac:dyDescent="0.25">
      <c r="A352" s="335"/>
      <c r="B352" s="335" t="str">
        <f ca="1">Loans!B$19</f>
        <v>Loan 7</v>
      </c>
      <c r="D352" s="62">
        <f>Loans!D$19</f>
        <v>0</v>
      </c>
      <c r="E352" s="38" t="str">
        <f>IF(Loans!M19="", "", Loans!M19)</f>
        <v/>
      </c>
      <c r="F352" s="335"/>
      <c r="G352" s="335"/>
      <c r="H352" s="335"/>
      <c r="I352" s="335"/>
      <c r="J352" s="335"/>
      <c r="K352" s="335"/>
      <c r="M352" s="335"/>
      <c r="N352" s="335"/>
      <c r="O352" s="335"/>
      <c r="P352" s="335"/>
      <c r="Q352" s="335"/>
      <c r="S352" s="335"/>
      <c r="T352" s="335"/>
      <c r="U352" s="335"/>
      <c r="V352" s="136"/>
      <c r="W352" s="136"/>
      <c r="X352" s="136"/>
      <c r="Y352" s="136"/>
      <c r="Z352" s="335"/>
      <c r="AA352" s="45">
        <f t="shared" si="177"/>
        <v>0</v>
      </c>
      <c r="AB352" s="45">
        <f t="shared" si="176"/>
        <v>0</v>
      </c>
      <c r="AC352" s="45">
        <f t="shared" si="176"/>
        <v>0</v>
      </c>
      <c r="AD352" s="45">
        <f t="shared" si="176"/>
        <v>0</v>
      </c>
      <c r="AE352" s="45">
        <f t="shared" si="176"/>
        <v>0</v>
      </c>
      <c r="AF352" s="45">
        <f t="shared" si="176"/>
        <v>0</v>
      </c>
      <c r="AG352" s="45">
        <f t="shared" si="176"/>
        <v>0</v>
      </c>
      <c r="AH352" s="45">
        <f t="shared" si="176"/>
        <v>0</v>
      </c>
      <c r="AI352" s="45">
        <f t="shared" si="176"/>
        <v>0</v>
      </c>
      <c r="AJ352" s="45">
        <f t="shared" si="176"/>
        <v>0</v>
      </c>
      <c r="AK352" s="45">
        <f t="shared" si="176"/>
        <v>0</v>
      </c>
      <c r="AL352" s="45">
        <f t="shared" si="176"/>
        <v>0</v>
      </c>
      <c r="AM352" s="45">
        <f t="shared" si="176"/>
        <v>0</v>
      </c>
      <c r="AN352" s="45">
        <f t="shared" si="176"/>
        <v>0</v>
      </c>
      <c r="AO352" s="45">
        <f t="shared" si="176"/>
        <v>0</v>
      </c>
      <c r="AP352" s="45">
        <f t="shared" si="176"/>
        <v>0</v>
      </c>
      <c r="AQ352" s="45">
        <f t="shared" si="176"/>
        <v>0</v>
      </c>
      <c r="AR352" s="45">
        <f t="shared" si="176"/>
        <v>0</v>
      </c>
      <c r="AS352" s="45">
        <f t="shared" si="176"/>
        <v>0</v>
      </c>
      <c r="AT352" s="45">
        <f t="shared" si="176"/>
        <v>0</v>
      </c>
      <c r="AU352" s="45">
        <f t="shared" si="176"/>
        <v>0</v>
      </c>
      <c r="AV352" s="45">
        <f t="shared" si="176"/>
        <v>0</v>
      </c>
      <c r="AW352" s="45">
        <f t="shared" si="176"/>
        <v>0</v>
      </c>
      <c r="AX352" s="45">
        <f t="shared" si="176"/>
        <v>0</v>
      </c>
      <c r="AY352" s="45">
        <f t="shared" si="176"/>
        <v>0</v>
      </c>
      <c r="AZ352" s="45">
        <f t="shared" si="176"/>
        <v>0</v>
      </c>
      <c r="BA352" s="45">
        <f t="shared" si="176"/>
        <v>0</v>
      </c>
      <c r="BB352" s="45">
        <f t="shared" si="176"/>
        <v>0</v>
      </c>
      <c r="BC352" s="45">
        <f t="shared" si="176"/>
        <v>0</v>
      </c>
      <c r="BD352" s="45">
        <f t="shared" si="176"/>
        <v>0</v>
      </c>
      <c r="BE352" s="45">
        <f t="shared" si="176"/>
        <v>0</v>
      </c>
      <c r="BF352" s="45">
        <f t="shared" si="176"/>
        <v>0</v>
      </c>
      <c r="BG352" s="45">
        <f t="shared" si="176"/>
        <v>0</v>
      </c>
      <c r="BH352" s="45">
        <f t="shared" si="176"/>
        <v>0</v>
      </c>
      <c r="BI352" s="45">
        <f t="shared" si="176"/>
        <v>0</v>
      </c>
      <c r="BJ352" s="45">
        <f t="shared" si="176"/>
        <v>0</v>
      </c>
      <c r="BK352" s="335"/>
      <c r="BL352" s="136"/>
      <c r="BM352" s="136"/>
      <c r="BN352" s="136"/>
      <c r="BO352" s="136"/>
      <c r="BP352" s="45">
        <f>IF('Fin Stat'!BP$209&lt;$E352, 1, 0)</f>
        <v>1</v>
      </c>
      <c r="BQ352" s="45">
        <f>IF('Fin Stat'!BQ$209&lt;$E352, 1, 0)</f>
        <v>1</v>
      </c>
      <c r="BR352" s="45">
        <f>IF('Fin Stat'!BR$209&lt;$E352, 1, 0)</f>
        <v>1</v>
      </c>
      <c r="BS352" s="45">
        <f>IF('Fin Stat'!BS$209&lt;$E352, 1, 0)</f>
        <v>1</v>
      </c>
      <c r="BT352" s="45">
        <f>IF('Fin Stat'!BT$209&lt;$E352, 1, 0)</f>
        <v>1</v>
      </c>
      <c r="BU352" s="45">
        <f>IF('Fin Stat'!BU$209&lt;$E352, 1, 0)</f>
        <v>1</v>
      </c>
      <c r="BV352" s="45">
        <f>IF('Fin Stat'!BV$209&lt;$E352, 1, 0)</f>
        <v>1</v>
      </c>
      <c r="BW352" s="45">
        <f>IF('Fin Stat'!BW$209&lt;$E352, 1, 0)</f>
        <v>1</v>
      </c>
      <c r="BX352" s="335"/>
      <c r="BY352" s="12"/>
      <c r="BZ352" s="335"/>
      <c r="CA352" s="12"/>
      <c r="EX352" s="10" t="str">
        <f t="shared" si="175"/>
        <v/>
      </c>
    </row>
    <row r="353" spans="2:154" s="335" customFormat="1" x14ac:dyDescent="0.25">
      <c r="B353" s="335" t="str">
        <f ca="1">Loans!B$20</f>
        <v>Loan 8</v>
      </c>
      <c r="D353" s="62">
        <f>Loans!D$20</f>
        <v>0</v>
      </c>
      <c r="E353" s="38" t="str">
        <f>IF(Loans!M20="", "", Loans!M20)</f>
        <v/>
      </c>
      <c r="V353" s="136"/>
      <c r="W353" s="136"/>
      <c r="X353" s="136"/>
      <c r="Y353" s="136"/>
      <c r="AA353" s="45">
        <f t="shared" si="177"/>
        <v>0</v>
      </c>
      <c r="AB353" s="45">
        <f t="shared" si="176"/>
        <v>0</v>
      </c>
      <c r="AC353" s="45">
        <f t="shared" si="176"/>
        <v>0</v>
      </c>
      <c r="AD353" s="45">
        <f t="shared" si="176"/>
        <v>0</v>
      </c>
      <c r="AE353" s="45">
        <f t="shared" si="176"/>
        <v>0</v>
      </c>
      <c r="AF353" s="45">
        <f t="shared" si="176"/>
        <v>0</v>
      </c>
      <c r="AG353" s="45">
        <f t="shared" si="176"/>
        <v>0</v>
      </c>
      <c r="AH353" s="45">
        <f t="shared" si="176"/>
        <v>0</v>
      </c>
      <c r="AI353" s="45">
        <f t="shared" si="176"/>
        <v>0</v>
      </c>
      <c r="AJ353" s="45">
        <f t="shared" si="176"/>
        <v>0</v>
      </c>
      <c r="AK353" s="45">
        <f t="shared" si="176"/>
        <v>0</v>
      </c>
      <c r="AL353" s="45">
        <f t="shared" si="176"/>
        <v>0</v>
      </c>
      <c r="AM353" s="45">
        <f t="shared" si="176"/>
        <v>0</v>
      </c>
      <c r="AN353" s="45">
        <f t="shared" si="176"/>
        <v>0</v>
      </c>
      <c r="AO353" s="45">
        <f t="shared" si="176"/>
        <v>0</v>
      </c>
      <c r="AP353" s="45">
        <f t="shared" si="176"/>
        <v>0</v>
      </c>
      <c r="AQ353" s="45">
        <f t="shared" si="176"/>
        <v>0</v>
      </c>
      <c r="AR353" s="45">
        <f t="shared" si="176"/>
        <v>0</v>
      </c>
      <c r="AS353" s="45">
        <f t="shared" si="176"/>
        <v>0</v>
      </c>
      <c r="AT353" s="45">
        <f t="shared" si="176"/>
        <v>0</v>
      </c>
      <c r="AU353" s="45">
        <f t="shared" si="176"/>
        <v>0</v>
      </c>
      <c r="AV353" s="45">
        <f t="shared" si="176"/>
        <v>0</v>
      </c>
      <c r="AW353" s="45">
        <f t="shared" si="176"/>
        <v>0</v>
      </c>
      <c r="AX353" s="45">
        <f t="shared" si="176"/>
        <v>0</v>
      </c>
      <c r="AY353" s="45">
        <f t="shared" si="176"/>
        <v>0</v>
      </c>
      <c r="AZ353" s="45">
        <f t="shared" si="176"/>
        <v>0</v>
      </c>
      <c r="BA353" s="45">
        <f t="shared" ref="AB353:BJ360" si="178">IF($E353="", 0, IF(AND($E353&gt;=BA$8, $E353&lt;=BA$5), 1, 0))</f>
        <v>0</v>
      </c>
      <c r="BB353" s="45">
        <f t="shared" si="178"/>
        <v>0</v>
      </c>
      <c r="BC353" s="45">
        <f t="shared" si="178"/>
        <v>0</v>
      </c>
      <c r="BD353" s="45">
        <f t="shared" si="178"/>
        <v>0</v>
      </c>
      <c r="BE353" s="45">
        <f t="shared" si="178"/>
        <v>0</v>
      </c>
      <c r="BF353" s="45">
        <f t="shared" si="178"/>
        <v>0</v>
      </c>
      <c r="BG353" s="45">
        <f t="shared" si="178"/>
        <v>0</v>
      </c>
      <c r="BH353" s="45">
        <f t="shared" si="178"/>
        <v>0</v>
      </c>
      <c r="BI353" s="45">
        <f t="shared" si="178"/>
        <v>0</v>
      </c>
      <c r="BJ353" s="45">
        <f t="shared" si="178"/>
        <v>0</v>
      </c>
      <c r="BL353" s="136"/>
      <c r="BM353" s="136"/>
      <c r="BN353" s="136"/>
      <c r="BO353" s="136"/>
      <c r="BP353" s="45">
        <f>IF('Fin Stat'!BP$209&lt;$E353, 1, 0)</f>
        <v>1</v>
      </c>
      <c r="BQ353" s="45">
        <f>IF('Fin Stat'!BQ$209&lt;$E353, 1, 0)</f>
        <v>1</v>
      </c>
      <c r="BR353" s="45">
        <f>IF('Fin Stat'!BR$209&lt;$E353, 1, 0)</f>
        <v>1</v>
      </c>
      <c r="BS353" s="45">
        <f>IF('Fin Stat'!BS$209&lt;$E353, 1, 0)</f>
        <v>1</v>
      </c>
      <c r="BT353" s="45">
        <f>IF('Fin Stat'!BT$209&lt;$E353, 1, 0)</f>
        <v>1</v>
      </c>
      <c r="BU353" s="45">
        <f>IF('Fin Stat'!BU$209&lt;$E353, 1, 0)</f>
        <v>1</v>
      </c>
      <c r="BV353" s="45">
        <f>IF('Fin Stat'!BV$209&lt;$E353, 1, 0)</f>
        <v>1</v>
      </c>
      <c r="BW353" s="45">
        <f>IF('Fin Stat'!BW$209&lt;$E353, 1, 0)</f>
        <v>1</v>
      </c>
      <c r="BY353" s="12"/>
      <c r="CA353" s="12"/>
      <c r="EX353" s="10" t="str">
        <f t="shared" si="175"/>
        <v/>
      </c>
    </row>
    <row r="354" spans="2:154" s="335" customFormat="1" x14ac:dyDescent="0.25">
      <c r="B354" s="335" t="str">
        <f ca="1">Loans!B$21</f>
        <v>Loan 9</v>
      </c>
      <c r="D354" s="62">
        <f>Loans!D$21</f>
        <v>0</v>
      </c>
      <c r="E354" s="38" t="str">
        <f>IF(Loans!M21="", "", Loans!M21)</f>
        <v/>
      </c>
      <c r="V354" s="136"/>
      <c r="W354" s="136"/>
      <c r="X354" s="136"/>
      <c r="Y354" s="136"/>
      <c r="AA354" s="45">
        <f t="shared" si="177"/>
        <v>0</v>
      </c>
      <c r="AB354" s="45">
        <f t="shared" si="178"/>
        <v>0</v>
      </c>
      <c r="AC354" s="45">
        <f t="shared" si="178"/>
        <v>0</v>
      </c>
      <c r="AD354" s="45">
        <f t="shared" si="178"/>
        <v>0</v>
      </c>
      <c r="AE354" s="45">
        <f t="shared" si="178"/>
        <v>0</v>
      </c>
      <c r="AF354" s="45">
        <f t="shared" si="178"/>
        <v>0</v>
      </c>
      <c r="AG354" s="45">
        <f t="shared" si="178"/>
        <v>0</v>
      </c>
      <c r="AH354" s="45">
        <f t="shared" si="178"/>
        <v>0</v>
      </c>
      <c r="AI354" s="45">
        <f t="shared" si="178"/>
        <v>0</v>
      </c>
      <c r="AJ354" s="45">
        <f t="shared" si="178"/>
        <v>0</v>
      </c>
      <c r="AK354" s="45">
        <f t="shared" si="178"/>
        <v>0</v>
      </c>
      <c r="AL354" s="45">
        <f t="shared" si="178"/>
        <v>0</v>
      </c>
      <c r="AM354" s="45">
        <f t="shared" si="178"/>
        <v>0</v>
      </c>
      <c r="AN354" s="45">
        <f t="shared" si="178"/>
        <v>0</v>
      </c>
      <c r="AO354" s="45">
        <f t="shared" si="178"/>
        <v>0</v>
      </c>
      <c r="AP354" s="45">
        <f t="shared" si="178"/>
        <v>0</v>
      </c>
      <c r="AQ354" s="45">
        <f t="shared" si="178"/>
        <v>0</v>
      </c>
      <c r="AR354" s="45">
        <f t="shared" si="178"/>
        <v>0</v>
      </c>
      <c r="AS354" s="45">
        <f t="shared" si="178"/>
        <v>0</v>
      </c>
      <c r="AT354" s="45">
        <f t="shared" si="178"/>
        <v>0</v>
      </c>
      <c r="AU354" s="45">
        <f t="shared" si="178"/>
        <v>0</v>
      </c>
      <c r="AV354" s="45">
        <f t="shared" si="178"/>
        <v>0</v>
      </c>
      <c r="AW354" s="45">
        <f t="shared" si="178"/>
        <v>0</v>
      </c>
      <c r="AX354" s="45">
        <f t="shared" si="178"/>
        <v>0</v>
      </c>
      <c r="AY354" s="45">
        <f t="shared" si="178"/>
        <v>0</v>
      </c>
      <c r="AZ354" s="45">
        <f t="shared" si="178"/>
        <v>0</v>
      </c>
      <c r="BA354" s="45">
        <f t="shared" si="178"/>
        <v>0</v>
      </c>
      <c r="BB354" s="45">
        <f t="shared" si="178"/>
        <v>0</v>
      </c>
      <c r="BC354" s="45">
        <f t="shared" si="178"/>
        <v>0</v>
      </c>
      <c r="BD354" s="45">
        <f t="shared" si="178"/>
        <v>0</v>
      </c>
      <c r="BE354" s="45">
        <f t="shared" si="178"/>
        <v>0</v>
      </c>
      <c r="BF354" s="45">
        <f t="shared" si="178"/>
        <v>0</v>
      </c>
      <c r="BG354" s="45">
        <f t="shared" si="178"/>
        <v>0</v>
      </c>
      <c r="BH354" s="45">
        <f t="shared" si="178"/>
        <v>0</v>
      </c>
      <c r="BI354" s="45">
        <f t="shared" si="178"/>
        <v>0</v>
      </c>
      <c r="BJ354" s="45">
        <f t="shared" si="178"/>
        <v>0</v>
      </c>
      <c r="BL354" s="136"/>
      <c r="BM354" s="136"/>
      <c r="BN354" s="136"/>
      <c r="BO354" s="136"/>
      <c r="BP354" s="45">
        <f>IF('Fin Stat'!BP$209&lt;$E354, 1, 0)</f>
        <v>1</v>
      </c>
      <c r="BQ354" s="45">
        <f>IF('Fin Stat'!BQ$209&lt;$E354, 1, 0)</f>
        <v>1</v>
      </c>
      <c r="BR354" s="45">
        <f>IF('Fin Stat'!BR$209&lt;$E354, 1, 0)</f>
        <v>1</v>
      </c>
      <c r="BS354" s="45">
        <f>IF('Fin Stat'!BS$209&lt;$E354, 1, 0)</f>
        <v>1</v>
      </c>
      <c r="BT354" s="45">
        <f>IF('Fin Stat'!BT$209&lt;$E354, 1, 0)</f>
        <v>1</v>
      </c>
      <c r="BU354" s="45">
        <f>IF('Fin Stat'!BU$209&lt;$E354, 1, 0)</f>
        <v>1</v>
      </c>
      <c r="BV354" s="45">
        <f>IF('Fin Stat'!BV$209&lt;$E354, 1, 0)</f>
        <v>1</v>
      </c>
      <c r="BW354" s="45">
        <f>IF('Fin Stat'!BW$209&lt;$E354, 1, 0)</f>
        <v>1</v>
      </c>
      <c r="BY354" s="12"/>
      <c r="CA354" s="12"/>
      <c r="EX354" s="10" t="str">
        <f t="shared" si="175"/>
        <v/>
      </c>
    </row>
    <row r="355" spans="2:154" s="335" customFormat="1" x14ac:dyDescent="0.25">
      <c r="B355" s="335" t="str">
        <f ca="1">Loans!B$22</f>
        <v>Loan 10</v>
      </c>
      <c r="D355" s="62">
        <f>Loans!D$22</f>
        <v>0</v>
      </c>
      <c r="E355" s="38" t="str">
        <f>IF(Loans!M22="", "", Loans!M22)</f>
        <v/>
      </c>
      <c r="V355" s="136"/>
      <c r="W355" s="136"/>
      <c r="X355" s="136"/>
      <c r="Y355" s="136"/>
      <c r="AA355" s="45">
        <f t="shared" si="177"/>
        <v>0</v>
      </c>
      <c r="AB355" s="45">
        <f t="shared" si="178"/>
        <v>0</v>
      </c>
      <c r="AC355" s="45">
        <f t="shared" si="178"/>
        <v>0</v>
      </c>
      <c r="AD355" s="45">
        <f t="shared" si="178"/>
        <v>0</v>
      </c>
      <c r="AE355" s="45">
        <f t="shared" si="178"/>
        <v>0</v>
      </c>
      <c r="AF355" s="45">
        <f t="shared" si="178"/>
        <v>0</v>
      </c>
      <c r="AG355" s="45">
        <f t="shared" si="178"/>
        <v>0</v>
      </c>
      <c r="AH355" s="45">
        <f t="shared" si="178"/>
        <v>0</v>
      </c>
      <c r="AI355" s="45">
        <f t="shared" si="178"/>
        <v>0</v>
      </c>
      <c r="AJ355" s="45">
        <f t="shared" si="178"/>
        <v>0</v>
      </c>
      <c r="AK355" s="45">
        <f t="shared" si="178"/>
        <v>0</v>
      </c>
      <c r="AL355" s="45">
        <f t="shared" si="178"/>
        <v>0</v>
      </c>
      <c r="AM355" s="45">
        <f t="shared" si="178"/>
        <v>0</v>
      </c>
      <c r="AN355" s="45">
        <f t="shared" si="178"/>
        <v>0</v>
      </c>
      <c r="AO355" s="45">
        <f t="shared" si="178"/>
        <v>0</v>
      </c>
      <c r="AP355" s="45">
        <f t="shared" si="178"/>
        <v>0</v>
      </c>
      <c r="AQ355" s="45">
        <f t="shared" si="178"/>
        <v>0</v>
      </c>
      <c r="AR355" s="45">
        <f t="shared" si="178"/>
        <v>0</v>
      </c>
      <c r="AS355" s="45">
        <f t="shared" si="178"/>
        <v>0</v>
      </c>
      <c r="AT355" s="45">
        <f t="shared" si="178"/>
        <v>0</v>
      </c>
      <c r="AU355" s="45">
        <f t="shared" si="178"/>
        <v>0</v>
      </c>
      <c r="AV355" s="45">
        <f t="shared" si="178"/>
        <v>0</v>
      </c>
      <c r="AW355" s="45">
        <f t="shared" si="178"/>
        <v>0</v>
      </c>
      <c r="AX355" s="45">
        <f t="shared" si="178"/>
        <v>0</v>
      </c>
      <c r="AY355" s="45">
        <f t="shared" si="178"/>
        <v>0</v>
      </c>
      <c r="AZ355" s="45">
        <f t="shared" si="178"/>
        <v>0</v>
      </c>
      <c r="BA355" s="45">
        <f t="shared" si="178"/>
        <v>0</v>
      </c>
      <c r="BB355" s="45">
        <f t="shared" si="178"/>
        <v>0</v>
      </c>
      <c r="BC355" s="45">
        <f t="shared" si="178"/>
        <v>0</v>
      </c>
      <c r="BD355" s="45">
        <f t="shared" si="178"/>
        <v>0</v>
      </c>
      <c r="BE355" s="45">
        <f t="shared" si="178"/>
        <v>0</v>
      </c>
      <c r="BF355" s="45">
        <f t="shared" si="178"/>
        <v>0</v>
      </c>
      <c r="BG355" s="45">
        <f t="shared" si="178"/>
        <v>0</v>
      </c>
      <c r="BH355" s="45">
        <f t="shared" si="178"/>
        <v>0</v>
      </c>
      <c r="BI355" s="45">
        <f t="shared" si="178"/>
        <v>0</v>
      </c>
      <c r="BJ355" s="45">
        <f t="shared" si="178"/>
        <v>0</v>
      </c>
      <c r="BL355" s="136"/>
      <c r="BM355" s="136"/>
      <c r="BN355" s="136"/>
      <c r="BO355" s="136"/>
      <c r="BP355" s="45">
        <f>IF('Fin Stat'!BP$209&lt;$E355, 1, 0)</f>
        <v>1</v>
      </c>
      <c r="BQ355" s="45">
        <f>IF('Fin Stat'!BQ$209&lt;$E355, 1, 0)</f>
        <v>1</v>
      </c>
      <c r="BR355" s="45">
        <f>IF('Fin Stat'!BR$209&lt;$E355, 1, 0)</f>
        <v>1</v>
      </c>
      <c r="BS355" s="45">
        <f>IF('Fin Stat'!BS$209&lt;$E355, 1, 0)</f>
        <v>1</v>
      </c>
      <c r="BT355" s="45">
        <f>IF('Fin Stat'!BT$209&lt;$E355, 1, 0)</f>
        <v>1</v>
      </c>
      <c r="BU355" s="45">
        <f>IF('Fin Stat'!BU$209&lt;$E355, 1, 0)</f>
        <v>1</v>
      </c>
      <c r="BV355" s="45">
        <f>IF('Fin Stat'!BV$209&lt;$E355, 1, 0)</f>
        <v>1</v>
      </c>
      <c r="BW355" s="45">
        <f>IF('Fin Stat'!BW$209&lt;$E355, 1, 0)</f>
        <v>1</v>
      </c>
      <c r="BY355" s="12"/>
      <c r="CA355" s="12"/>
      <c r="EX355" s="10" t="str">
        <f t="shared" si="175"/>
        <v/>
      </c>
    </row>
    <row r="356" spans="2:154" s="335" customFormat="1" x14ac:dyDescent="0.25">
      <c r="B356" s="335" t="str">
        <f ca="1">Loans!B$23</f>
        <v>Loan 11</v>
      </c>
      <c r="D356" s="62">
        <f>Loans!D$23</f>
        <v>0</v>
      </c>
      <c r="E356" s="38" t="str">
        <f>IF(Loans!M23="", "", Loans!M23)</f>
        <v/>
      </c>
      <c r="V356" s="136"/>
      <c r="W356" s="136"/>
      <c r="X356" s="136"/>
      <c r="Y356" s="136"/>
      <c r="AA356" s="45">
        <f t="shared" si="177"/>
        <v>0</v>
      </c>
      <c r="AB356" s="45">
        <f t="shared" si="178"/>
        <v>0</v>
      </c>
      <c r="AC356" s="45">
        <f t="shared" si="178"/>
        <v>0</v>
      </c>
      <c r="AD356" s="45">
        <f t="shared" si="178"/>
        <v>0</v>
      </c>
      <c r="AE356" s="45">
        <f t="shared" si="178"/>
        <v>0</v>
      </c>
      <c r="AF356" s="45">
        <f t="shared" si="178"/>
        <v>0</v>
      </c>
      <c r="AG356" s="45">
        <f t="shared" si="178"/>
        <v>0</v>
      </c>
      <c r="AH356" s="45">
        <f t="shared" si="178"/>
        <v>0</v>
      </c>
      <c r="AI356" s="45">
        <f t="shared" si="178"/>
        <v>0</v>
      </c>
      <c r="AJ356" s="45">
        <f t="shared" si="178"/>
        <v>0</v>
      </c>
      <c r="AK356" s="45">
        <f t="shared" si="178"/>
        <v>0</v>
      </c>
      <c r="AL356" s="45">
        <f t="shared" si="178"/>
        <v>0</v>
      </c>
      <c r="AM356" s="45">
        <f t="shared" si="178"/>
        <v>0</v>
      </c>
      <c r="AN356" s="45">
        <f t="shared" si="178"/>
        <v>0</v>
      </c>
      <c r="AO356" s="45">
        <f t="shared" si="178"/>
        <v>0</v>
      </c>
      <c r="AP356" s="45">
        <f t="shared" si="178"/>
        <v>0</v>
      </c>
      <c r="AQ356" s="45">
        <f t="shared" si="178"/>
        <v>0</v>
      </c>
      <c r="AR356" s="45">
        <f t="shared" si="178"/>
        <v>0</v>
      </c>
      <c r="AS356" s="45">
        <f t="shared" si="178"/>
        <v>0</v>
      </c>
      <c r="AT356" s="45">
        <f t="shared" si="178"/>
        <v>0</v>
      </c>
      <c r="AU356" s="45">
        <f t="shared" si="178"/>
        <v>0</v>
      </c>
      <c r="AV356" s="45">
        <f t="shared" si="178"/>
        <v>0</v>
      </c>
      <c r="AW356" s="45">
        <f t="shared" si="178"/>
        <v>0</v>
      </c>
      <c r="AX356" s="45">
        <f t="shared" si="178"/>
        <v>0</v>
      </c>
      <c r="AY356" s="45">
        <f t="shared" si="178"/>
        <v>0</v>
      </c>
      <c r="AZ356" s="45">
        <f t="shared" si="178"/>
        <v>0</v>
      </c>
      <c r="BA356" s="45">
        <f t="shared" si="178"/>
        <v>0</v>
      </c>
      <c r="BB356" s="45">
        <f t="shared" si="178"/>
        <v>0</v>
      </c>
      <c r="BC356" s="45">
        <f t="shared" si="178"/>
        <v>0</v>
      </c>
      <c r="BD356" s="45">
        <f t="shared" si="178"/>
        <v>0</v>
      </c>
      <c r="BE356" s="45">
        <f t="shared" si="178"/>
        <v>0</v>
      </c>
      <c r="BF356" s="45">
        <f t="shared" si="178"/>
        <v>0</v>
      </c>
      <c r="BG356" s="45">
        <f t="shared" si="178"/>
        <v>0</v>
      </c>
      <c r="BH356" s="45">
        <f t="shared" si="178"/>
        <v>0</v>
      </c>
      <c r="BI356" s="45">
        <f t="shared" si="178"/>
        <v>0</v>
      </c>
      <c r="BJ356" s="45">
        <f t="shared" si="178"/>
        <v>0</v>
      </c>
      <c r="BL356" s="136"/>
      <c r="BM356" s="136"/>
      <c r="BN356" s="136"/>
      <c r="BO356" s="136"/>
      <c r="BP356" s="45">
        <f>IF('Fin Stat'!BP$209&lt;$E356, 1, 0)</f>
        <v>1</v>
      </c>
      <c r="BQ356" s="45">
        <f>IF('Fin Stat'!BQ$209&lt;$E356, 1, 0)</f>
        <v>1</v>
      </c>
      <c r="BR356" s="45">
        <f>IF('Fin Stat'!BR$209&lt;$E356, 1, 0)</f>
        <v>1</v>
      </c>
      <c r="BS356" s="45">
        <f>IF('Fin Stat'!BS$209&lt;$E356, 1, 0)</f>
        <v>1</v>
      </c>
      <c r="BT356" s="45">
        <f>IF('Fin Stat'!BT$209&lt;$E356, 1, 0)</f>
        <v>1</v>
      </c>
      <c r="BU356" s="45">
        <f>IF('Fin Stat'!BU$209&lt;$E356, 1, 0)</f>
        <v>1</v>
      </c>
      <c r="BV356" s="45">
        <f>IF('Fin Stat'!BV$209&lt;$E356, 1, 0)</f>
        <v>1</v>
      </c>
      <c r="BW356" s="45">
        <f>IF('Fin Stat'!BW$209&lt;$E356, 1, 0)</f>
        <v>1</v>
      </c>
      <c r="BY356" s="12"/>
      <c r="CA356" s="12"/>
      <c r="EX356" s="10" t="str">
        <f t="shared" si="175"/>
        <v/>
      </c>
    </row>
    <row r="357" spans="2:154" s="335" customFormat="1" x14ac:dyDescent="0.25">
      <c r="B357" s="335" t="str">
        <f ca="1">Loans!B$24</f>
        <v>Loan 12</v>
      </c>
      <c r="D357" s="62">
        <f>Loans!D$24</f>
        <v>0</v>
      </c>
      <c r="E357" s="38" t="str">
        <f>IF(Loans!M24="", "", Loans!M24)</f>
        <v/>
      </c>
      <c r="V357" s="136"/>
      <c r="W357" s="136"/>
      <c r="X357" s="136"/>
      <c r="Y357" s="136"/>
      <c r="AA357" s="45">
        <f t="shared" si="177"/>
        <v>0</v>
      </c>
      <c r="AB357" s="45">
        <f t="shared" si="178"/>
        <v>0</v>
      </c>
      <c r="AC357" s="45">
        <f t="shared" si="178"/>
        <v>0</v>
      </c>
      <c r="AD357" s="45">
        <f t="shared" si="178"/>
        <v>0</v>
      </c>
      <c r="AE357" s="45">
        <f t="shared" si="178"/>
        <v>0</v>
      </c>
      <c r="AF357" s="45">
        <f t="shared" si="178"/>
        <v>0</v>
      </c>
      <c r="AG357" s="45">
        <f t="shared" si="178"/>
        <v>0</v>
      </c>
      <c r="AH357" s="45">
        <f t="shared" si="178"/>
        <v>0</v>
      </c>
      <c r="AI357" s="45">
        <f t="shared" si="178"/>
        <v>0</v>
      </c>
      <c r="AJ357" s="45">
        <f t="shared" si="178"/>
        <v>0</v>
      </c>
      <c r="AK357" s="45">
        <f t="shared" si="178"/>
        <v>0</v>
      </c>
      <c r="AL357" s="45">
        <f t="shared" si="178"/>
        <v>0</v>
      </c>
      <c r="AM357" s="45">
        <f t="shared" si="178"/>
        <v>0</v>
      </c>
      <c r="AN357" s="45">
        <f t="shared" si="178"/>
        <v>0</v>
      </c>
      <c r="AO357" s="45">
        <f t="shared" si="178"/>
        <v>0</v>
      </c>
      <c r="AP357" s="45">
        <f t="shared" si="178"/>
        <v>0</v>
      </c>
      <c r="AQ357" s="45">
        <f t="shared" si="178"/>
        <v>0</v>
      </c>
      <c r="AR357" s="45">
        <f t="shared" si="178"/>
        <v>0</v>
      </c>
      <c r="AS357" s="45">
        <f t="shared" si="178"/>
        <v>0</v>
      </c>
      <c r="AT357" s="45">
        <f t="shared" si="178"/>
        <v>0</v>
      </c>
      <c r="AU357" s="45">
        <f t="shared" si="178"/>
        <v>0</v>
      </c>
      <c r="AV357" s="45">
        <f t="shared" si="178"/>
        <v>0</v>
      </c>
      <c r="AW357" s="45">
        <f t="shared" si="178"/>
        <v>0</v>
      </c>
      <c r="AX357" s="45">
        <f t="shared" si="178"/>
        <v>0</v>
      </c>
      <c r="AY357" s="45">
        <f t="shared" si="178"/>
        <v>0</v>
      </c>
      <c r="AZ357" s="45">
        <f t="shared" si="178"/>
        <v>0</v>
      </c>
      <c r="BA357" s="45">
        <f t="shared" si="178"/>
        <v>0</v>
      </c>
      <c r="BB357" s="45">
        <f t="shared" si="178"/>
        <v>0</v>
      </c>
      <c r="BC357" s="45">
        <f t="shared" si="178"/>
        <v>0</v>
      </c>
      <c r="BD357" s="45">
        <f t="shared" si="178"/>
        <v>0</v>
      </c>
      <c r="BE357" s="45">
        <f t="shared" si="178"/>
        <v>0</v>
      </c>
      <c r="BF357" s="45">
        <f t="shared" si="178"/>
        <v>0</v>
      </c>
      <c r="BG357" s="45">
        <f t="shared" si="178"/>
        <v>0</v>
      </c>
      <c r="BH357" s="45">
        <f t="shared" si="178"/>
        <v>0</v>
      </c>
      <c r="BI357" s="45">
        <f t="shared" si="178"/>
        <v>0</v>
      </c>
      <c r="BJ357" s="45">
        <f t="shared" si="178"/>
        <v>0</v>
      </c>
      <c r="BL357" s="136"/>
      <c r="BM357" s="136"/>
      <c r="BN357" s="136"/>
      <c r="BO357" s="136"/>
      <c r="BP357" s="45">
        <f>IF('Fin Stat'!BP$209&lt;$E357, 1, 0)</f>
        <v>1</v>
      </c>
      <c r="BQ357" s="45">
        <f>IF('Fin Stat'!BQ$209&lt;$E357, 1, 0)</f>
        <v>1</v>
      </c>
      <c r="BR357" s="45">
        <f>IF('Fin Stat'!BR$209&lt;$E357, 1, 0)</f>
        <v>1</v>
      </c>
      <c r="BS357" s="45">
        <f>IF('Fin Stat'!BS$209&lt;$E357, 1, 0)</f>
        <v>1</v>
      </c>
      <c r="BT357" s="45">
        <f>IF('Fin Stat'!BT$209&lt;$E357, 1, 0)</f>
        <v>1</v>
      </c>
      <c r="BU357" s="45">
        <f>IF('Fin Stat'!BU$209&lt;$E357, 1, 0)</f>
        <v>1</v>
      </c>
      <c r="BV357" s="45">
        <f>IF('Fin Stat'!BV$209&lt;$E357, 1, 0)</f>
        <v>1</v>
      </c>
      <c r="BW357" s="45">
        <f>IF('Fin Stat'!BW$209&lt;$E357, 1, 0)</f>
        <v>1</v>
      </c>
      <c r="BY357" s="12"/>
      <c r="CA357" s="12"/>
      <c r="EX357" s="10" t="str">
        <f t="shared" si="175"/>
        <v/>
      </c>
    </row>
    <row r="358" spans="2:154" s="335" customFormat="1" x14ac:dyDescent="0.25">
      <c r="B358" s="335" t="str">
        <f ca="1">Loans!B$25</f>
        <v>Loan 13</v>
      </c>
      <c r="D358" s="62">
        <f>Loans!D$25</f>
        <v>0</v>
      </c>
      <c r="E358" s="38" t="str">
        <f>IF(Loans!M25="", "", Loans!M25)</f>
        <v/>
      </c>
      <c r="V358" s="136"/>
      <c r="W358" s="136"/>
      <c r="X358" s="136"/>
      <c r="Y358" s="136"/>
      <c r="AA358" s="45">
        <f t="shared" si="177"/>
        <v>0</v>
      </c>
      <c r="AB358" s="45">
        <f t="shared" si="178"/>
        <v>0</v>
      </c>
      <c r="AC358" s="45">
        <f t="shared" si="178"/>
        <v>0</v>
      </c>
      <c r="AD358" s="45">
        <f t="shared" si="178"/>
        <v>0</v>
      </c>
      <c r="AE358" s="45">
        <f t="shared" si="178"/>
        <v>0</v>
      </c>
      <c r="AF358" s="45">
        <f t="shared" si="178"/>
        <v>0</v>
      </c>
      <c r="AG358" s="45">
        <f t="shared" si="178"/>
        <v>0</v>
      </c>
      <c r="AH358" s="45">
        <f t="shared" si="178"/>
        <v>0</v>
      </c>
      <c r="AI358" s="45">
        <f t="shared" si="178"/>
        <v>0</v>
      </c>
      <c r="AJ358" s="45">
        <f t="shared" si="178"/>
        <v>0</v>
      </c>
      <c r="AK358" s="45">
        <f t="shared" si="178"/>
        <v>0</v>
      </c>
      <c r="AL358" s="45">
        <f t="shared" si="178"/>
        <v>0</v>
      </c>
      <c r="AM358" s="45">
        <f t="shared" si="178"/>
        <v>0</v>
      </c>
      <c r="AN358" s="45">
        <f t="shared" si="178"/>
        <v>0</v>
      </c>
      <c r="AO358" s="45">
        <f t="shared" si="178"/>
        <v>0</v>
      </c>
      <c r="AP358" s="45">
        <f t="shared" si="178"/>
        <v>0</v>
      </c>
      <c r="AQ358" s="45">
        <f t="shared" si="178"/>
        <v>0</v>
      </c>
      <c r="AR358" s="45">
        <f t="shared" si="178"/>
        <v>0</v>
      </c>
      <c r="AS358" s="45">
        <f t="shared" si="178"/>
        <v>0</v>
      </c>
      <c r="AT358" s="45">
        <f t="shared" si="178"/>
        <v>0</v>
      </c>
      <c r="AU358" s="45">
        <f t="shared" si="178"/>
        <v>0</v>
      </c>
      <c r="AV358" s="45">
        <f t="shared" si="178"/>
        <v>0</v>
      </c>
      <c r="AW358" s="45">
        <f t="shared" si="178"/>
        <v>0</v>
      </c>
      <c r="AX358" s="45">
        <f t="shared" si="178"/>
        <v>0</v>
      </c>
      <c r="AY358" s="45">
        <f t="shared" si="178"/>
        <v>0</v>
      </c>
      <c r="AZ358" s="45">
        <f t="shared" si="178"/>
        <v>0</v>
      </c>
      <c r="BA358" s="45">
        <f t="shared" si="178"/>
        <v>0</v>
      </c>
      <c r="BB358" s="45">
        <f t="shared" si="178"/>
        <v>0</v>
      </c>
      <c r="BC358" s="45">
        <f t="shared" si="178"/>
        <v>0</v>
      </c>
      <c r="BD358" s="45">
        <f t="shared" si="178"/>
        <v>0</v>
      </c>
      <c r="BE358" s="45">
        <f t="shared" si="178"/>
        <v>0</v>
      </c>
      <c r="BF358" s="45">
        <f t="shared" si="178"/>
        <v>0</v>
      </c>
      <c r="BG358" s="45">
        <f t="shared" si="178"/>
        <v>0</v>
      </c>
      <c r="BH358" s="45">
        <f t="shared" si="178"/>
        <v>0</v>
      </c>
      <c r="BI358" s="45">
        <f t="shared" si="178"/>
        <v>0</v>
      </c>
      <c r="BJ358" s="45">
        <f t="shared" si="178"/>
        <v>0</v>
      </c>
      <c r="BL358" s="136"/>
      <c r="BM358" s="136"/>
      <c r="BN358" s="136"/>
      <c r="BO358" s="136"/>
      <c r="BP358" s="45">
        <f>IF('Fin Stat'!BP$209&lt;$E358, 1, 0)</f>
        <v>1</v>
      </c>
      <c r="BQ358" s="45">
        <f>IF('Fin Stat'!BQ$209&lt;$E358, 1, 0)</f>
        <v>1</v>
      </c>
      <c r="BR358" s="45">
        <f>IF('Fin Stat'!BR$209&lt;$E358, 1, 0)</f>
        <v>1</v>
      </c>
      <c r="BS358" s="45">
        <f>IF('Fin Stat'!BS$209&lt;$E358, 1, 0)</f>
        <v>1</v>
      </c>
      <c r="BT358" s="45">
        <f>IF('Fin Stat'!BT$209&lt;$E358, 1, 0)</f>
        <v>1</v>
      </c>
      <c r="BU358" s="45">
        <f>IF('Fin Stat'!BU$209&lt;$E358, 1, 0)</f>
        <v>1</v>
      </c>
      <c r="BV358" s="45">
        <f>IF('Fin Stat'!BV$209&lt;$E358, 1, 0)</f>
        <v>1</v>
      </c>
      <c r="BW358" s="45">
        <f>IF('Fin Stat'!BW$209&lt;$E358, 1, 0)</f>
        <v>1</v>
      </c>
      <c r="BY358" s="12"/>
      <c r="CA358" s="12"/>
      <c r="EX358" s="10" t="str">
        <f t="shared" si="175"/>
        <v/>
      </c>
    </row>
    <row r="359" spans="2:154" s="335" customFormat="1" x14ac:dyDescent="0.25">
      <c r="B359" s="335" t="str">
        <f ca="1">Loans!B$26</f>
        <v>Loan 14</v>
      </c>
      <c r="D359" s="62">
        <f>Loans!D$26</f>
        <v>0</v>
      </c>
      <c r="E359" s="38" t="str">
        <f>IF(Loans!M26="", "", Loans!M26)</f>
        <v/>
      </c>
      <c r="V359" s="136"/>
      <c r="W359" s="136"/>
      <c r="X359" s="136"/>
      <c r="Y359" s="136"/>
      <c r="AA359" s="45">
        <f t="shared" si="177"/>
        <v>0</v>
      </c>
      <c r="AB359" s="45">
        <f t="shared" si="178"/>
        <v>0</v>
      </c>
      <c r="AC359" s="45">
        <f t="shared" si="178"/>
        <v>0</v>
      </c>
      <c r="AD359" s="45">
        <f t="shared" si="178"/>
        <v>0</v>
      </c>
      <c r="AE359" s="45">
        <f t="shared" si="178"/>
        <v>0</v>
      </c>
      <c r="AF359" s="45">
        <f t="shared" si="178"/>
        <v>0</v>
      </c>
      <c r="AG359" s="45">
        <f t="shared" si="178"/>
        <v>0</v>
      </c>
      <c r="AH359" s="45">
        <f t="shared" si="178"/>
        <v>0</v>
      </c>
      <c r="AI359" s="45">
        <f t="shared" si="178"/>
        <v>0</v>
      </c>
      <c r="AJ359" s="45">
        <f t="shared" si="178"/>
        <v>0</v>
      </c>
      <c r="AK359" s="45">
        <f t="shared" si="178"/>
        <v>0</v>
      </c>
      <c r="AL359" s="45">
        <f t="shared" si="178"/>
        <v>0</v>
      </c>
      <c r="AM359" s="45">
        <f t="shared" si="178"/>
        <v>0</v>
      </c>
      <c r="AN359" s="45">
        <f t="shared" si="178"/>
        <v>0</v>
      </c>
      <c r="AO359" s="45">
        <f t="shared" si="178"/>
        <v>0</v>
      </c>
      <c r="AP359" s="45">
        <f t="shared" si="178"/>
        <v>0</v>
      </c>
      <c r="AQ359" s="45">
        <f t="shared" si="178"/>
        <v>0</v>
      </c>
      <c r="AR359" s="45">
        <f t="shared" si="178"/>
        <v>0</v>
      </c>
      <c r="AS359" s="45">
        <f t="shared" si="178"/>
        <v>0</v>
      </c>
      <c r="AT359" s="45">
        <f t="shared" si="178"/>
        <v>0</v>
      </c>
      <c r="AU359" s="45">
        <f t="shared" si="178"/>
        <v>0</v>
      </c>
      <c r="AV359" s="45">
        <f t="shared" si="178"/>
        <v>0</v>
      </c>
      <c r="AW359" s="45">
        <f t="shared" si="178"/>
        <v>0</v>
      </c>
      <c r="AX359" s="45">
        <f t="shared" si="178"/>
        <v>0</v>
      </c>
      <c r="AY359" s="45">
        <f t="shared" si="178"/>
        <v>0</v>
      </c>
      <c r="AZ359" s="45">
        <f t="shared" si="178"/>
        <v>0</v>
      </c>
      <c r="BA359" s="45">
        <f t="shared" si="178"/>
        <v>0</v>
      </c>
      <c r="BB359" s="45">
        <f t="shared" si="178"/>
        <v>0</v>
      </c>
      <c r="BC359" s="45">
        <f t="shared" si="178"/>
        <v>0</v>
      </c>
      <c r="BD359" s="45">
        <f t="shared" si="178"/>
        <v>0</v>
      </c>
      <c r="BE359" s="45">
        <f t="shared" si="178"/>
        <v>0</v>
      </c>
      <c r="BF359" s="45">
        <f t="shared" si="178"/>
        <v>0</v>
      </c>
      <c r="BG359" s="45">
        <f t="shared" si="178"/>
        <v>0</v>
      </c>
      <c r="BH359" s="45">
        <f t="shared" si="178"/>
        <v>0</v>
      </c>
      <c r="BI359" s="45">
        <f t="shared" si="178"/>
        <v>0</v>
      </c>
      <c r="BJ359" s="45">
        <f t="shared" si="178"/>
        <v>0</v>
      </c>
      <c r="BL359" s="136"/>
      <c r="BM359" s="136"/>
      <c r="BN359" s="136"/>
      <c r="BO359" s="136"/>
      <c r="BP359" s="45">
        <f>IF('Fin Stat'!BP$209&lt;$E359, 1, 0)</f>
        <v>1</v>
      </c>
      <c r="BQ359" s="45">
        <f>IF('Fin Stat'!BQ$209&lt;$E359, 1, 0)</f>
        <v>1</v>
      </c>
      <c r="BR359" s="45">
        <f>IF('Fin Stat'!BR$209&lt;$E359, 1, 0)</f>
        <v>1</v>
      </c>
      <c r="BS359" s="45">
        <f>IF('Fin Stat'!BS$209&lt;$E359, 1, 0)</f>
        <v>1</v>
      </c>
      <c r="BT359" s="45">
        <f>IF('Fin Stat'!BT$209&lt;$E359, 1, 0)</f>
        <v>1</v>
      </c>
      <c r="BU359" s="45">
        <f>IF('Fin Stat'!BU$209&lt;$E359, 1, 0)</f>
        <v>1</v>
      </c>
      <c r="BV359" s="45">
        <f>IF('Fin Stat'!BV$209&lt;$E359, 1, 0)</f>
        <v>1</v>
      </c>
      <c r="BW359" s="45">
        <f>IF('Fin Stat'!BW$209&lt;$E359, 1, 0)</f>
        <v>1</v>
      </c>
      <c r="BY359" s="12"/>
      <c r="CA359" s="12"/>
      <c r="EX359" s="10" t="str">
        <f t="shared" si="175"/>
        <v/>
      </c>
    </row>
    <row r="360" spans="2:154" s="335" customFormat="1" x14ac:dyDescent="0.25">
      <c r="B360" s="335" t="str">
        <f ca="1">Loans!B$27</f>
        <v>Loan 15</v>
      </c>
      <c r="D360" s="62">
        <f>Loans!D$27</f>
        <v>0</v>
      </c>
      <c r="E360" s="38" t="str">
        <f>IF(Loans!M27="", "", Loans!M27)</f>
        <v/>
      </c>
      <c r="V360" s="136"/>
      <c r="W360" s="136"/>
      <c r="X360" s="136"/>
      <c r="Y360" s="136"/>
      <c r="AA360" s="45">
        <f t="shared" si="177"/>
        <v>0</v>
      </c>
      <c r="AB360" s="45">
        <f t="shared" si="178"/>
        <v>0</v>
      </c>
      <c r="AC360" s="45">
        <f t="shared" si="178"/>
        <v>0</v>
      </c>
      <c r="AD360" s="45">
        <f t="shared" si="178"/>
        <v>0</v>
      </c>
      <c r="AE360" s="45">
        <f t="shared" si="178"/>
        <v>0</v>
      </c>
      <c r="AF360" s="45">
        <f t="shared" si="178"/>
        <v>0</v>
      </c>
      <c r="AG360" s="45">
        <f t="shared" si="178"/>
        <v>0</v>
      </c>
      <c r="AH360" s="45">
        <f t="shared" si="178"/>
        <v>0</v>
      </c>
      <c r="AI360" s="45">
        <f t="shared" si="178"/>
        <v>0</v>
      </c>
      <c r="AJ360" s="45">
        <f t="shared" si="178"/>
        <v>0</v>
      </c>
      <c r="AK360" s="45">
        <f t="shared" si="178"/>
        <v>0</v>
      </c>
      <c r="AL360" s="45">
        <f t="shared" si="178"/>
        <v>0</v>
      </c>
      <c r="AM360" s="45">
        <f t="shared" si="178"/>
        <v>0</v>
      </c>
      <c r="AN360" s="45">
        <f t="shared" si="178"/>
        <v>0</v>
      </c>
      <c r="AO360" s="45">
        <f t="shared" si="178"/>
        <v>0</v>
      </c>
      <c r="AP360" s="45">
        <f t="shared" si="178"/>
        <v>0</v>
      </c>
      <c r="AQ360" s="45">
        <f t="shared" si="178"/>
        <v>0</v>
      </c>
      <c r="AR360" s="45">
        <f t="shared" si="178"/>
        <v>0</v>
      </c>
      <c r="AS360" s="45">
        <f t="shared" si="178"/>
        <v>0</v>
      </c>
      <c r="AT360" s="45">
        <f t="shared" si="178"/>
        <v>0</v>
      </c>
      <c r="AU360" s="45">
        <f t="shared" si="178"/>
        <v>0</v>
      </c>
      <c r="AV360" s="45">
        <f t="shared" si="178"/>
        <v>0</v>
      </c>
      <c r="AW360" s="45">
        <f t="shared" si="178"/>
        <v>0</v>
      </c>
      <c r="AX360" s="45">
        <f t="shared" si="178"/>
        <v>0</v>
      </c>
      <c r="AY360" s="45">
        <f t="shared" si="178"/>
        <v>0</v>
      </c>
      <c r="AZ360" s="45">
        <f t="shared" si="178"/>
        <v>0</v>
      </c>
      <c r="BA360" s="45">
        <f t="shared" si="178"/>
        <v>0</v>
      </c>
      <c r="BB360" s="45">
        <f t="shared" si="178"/>
        <v>0</v>
      </c>
      <c r="BC360" s="45">
        <f t="shared" si="178"/>
        <v>0</v>
      </c>
      <c r="BD360" s="45">
        <f t="shared" si="178"/>
        <v>0</v>
      </c>
      <c r="BE360" s="45">
        <f t="shared" si="178"/>
        <v>0</v>
      </c>
      <c r="BF360" s="45">
        <f t="shared" si="178"/>
        <v>0</v>
      </c>
      <c r="BG360" s="45">
        <f t="shared" si="178"/>
        <v>0</v>
      </c>
      <c r="BH360" s="45">
        <f t="shared" si="178"/>
        <v>0</v>
      </c>
      <c r="BI360" s="45">
        <f t="shared" si="178"/>
        <v>0</v>
      </c>
      <c r="BJ360" s="45">
        <f t="shared" si="178"/>
        <v>0</v>
      </c>
      <c r="BL360" s="136"/>
      <c r="BM360" s="136"/>
      <c r="BN360" s="136"/>
      <c r="BO360" s="136"/>
      <c r="BP360" s="45">
        <f>IF('Fin Stat'!BP$209&lt;$E360, 1, 0)</f>
        <v>1</v>
      </c>
      <c r="BQ360" s="45">
        <f>IF('Fin Stat'!BQ$209&lt;$E360, 1, 0)</f>
        <v>1</v>
      </c>
      <c r="BR360" s="45">
        <f>IF('Fin Stat'!BR$209&lt;$E360, 1, 0)</f>
        <v>1</v>
      </c>
      <c r="BS360" s="45">
        <f>IF('Fin Stat'!BS$209&lt;$E360, 1, 0)</f>
        <v>1</v>
      </c>
      <c r="BT360" s="45">
        <f>IF('Fin Stat'!BT$209&lt;$E360, 1, 0)</f>
        <v>1</v>
      </c>
      <c r="BU360" s="45">
        <f>IF('Fin Stat'!BU$209&lt;$E360, 1, 0)</f>
        <v>1</v>
      </c>
      <c r="BV360" s="45">
        <f>IF('Fin Stat'!BV$209&lt;$E360, 1, 0)</f>
        <v>1</v>
      </c>
      <c r="BW360" s="45">
        <f>IF('Fin Stat'!BW$209&lt;$E360, 1, 0)</f>
        <v>1</v>
      </c>
      <c r="BY360" s="12"/>
      <c r="CA360" s="12"/>
      <c r="EX360" s="10" t="str">
        <f t="shared" si="175"/>
        <v/>
      </c>
    </row>
    <row r="361" spans="2:154" s="335" customFormat="1" x14ac:dyDescent="0.25">
      <c r="B361" s="335" t="str">
        <f ca="1">Loans!B$28</f>
        <v>Loan 16</v>
      </c>
      <c r="D361" s="62">
        <f>Loans!D$28</f>
        <v>0</v>
      </c>
      <c r="E361" s="38" t="str">
        <f>IF(Loans!M28="", "", Loans!M28)</f>
        <v/>
      </c>
      <c r="V361" s="136"/>
      <c r="W361" s="136"/>
      <c r="X361" s="136"/>
      <c r="Y361" s="136"/>
      <c r="AA361" s="45">
        <f t="shared" si="177"/>
        <v>0</v>
      </c>
      <c r="AB361" s="45">
        <f t="shared" ref="AB361:BJ365" si="179">IF($E361="", 0, IF(AND($E361&gt;=AB$8, $E361&lt;=AB$5), 1, 0))</f>
        <v>0</v>
      </c>
      <c r="AC361" s="45">
        <f t="shared" si="179"/>
        <v>0</v>
      </c>
      <c r="AD361" s="45">
        <f t="shared" si="179"/>
        <v>0</v>
      </c>
      <c r="AE361" s="45">
        <f t="shared" si="179"/>
        <v>0</v>
      </c>
      <c r="AF361" s="45">
        <f t="shared" si="179"/>
        <v>0</v>
      </c>
      <c r="AG361" s="45">
        <f t="shared" si="179"/>
        <v>0</v>
      </c>
      <c r="AH361" s="45">
        <f t="shared" si="179"/>
        <v>0</v>
      </c>
      <c r="AI361" s="45">
        <f t="shared" si="179"/>
        <v>0</v>
      </c>
      <c r="AJ361" s="45">
        <f t="shared" si="179"/>
        <v>0</v>
      </c>
      <c r="AK361" s="45">
        <f t="shared" si="179"/>
        <v>0</v>
      </c>
      <c r="AL361" s="45">
        <f t="shared" si="179"/>
        <v>0</v>
      </c>
      <c r="AM361" s="45">
        <f t="shared" si="179"/>
        <v>0</v>
      </c>
      <c r="AN361" s="45">
        <f t="shared" si="179"/>
        <v>0</v>
      </c>
      <c r="AO361" s="45">
        <f t="shared" si="179"/>
        <v>0</v>
      </c>
      <c r="AP361" s="45">
        <f t="shared" si="179"/>
        <v>0</v>
      </c>
      <c r="AQ361" s="45">
        <f t="shared" si="179"/>
        <v>0</v>
      </c>
      <c r="AR361" s="45">
        <f t="shared" si="179"/>
        <v>0</v>
      </c>
      <c r="AS361" s="45">
        <f t="shared" si="179"/>
        <v>0</v>
      </c>
      <c r="AT361" s="45">
        <f t="shared" si="179"/>
        <v>0</v>
      </c>
      <c r="AU361" s="45">
        <f t="shared" si="179"/>
        <v>0</v>
      </c>
      <c r="AV361" s="45">
        <f t="shared" si="179"/>
        <v>0</v>
      </c>
      <c r="AW361" s="45">
        <f t="shared" si="179"/>
        <v>0</v>
      </c>
      <c r="AX361" s="45">
        <f t="shared" si="179"/>
        <v>0</v>
      </c>
      <c r="AY361" s="45">
        <f t="shared" si="179"/>
        <v>0</v>
      </c>
      <c r="AZ361" s="45">
        <f t="shared" si="179"/>
        <v>0</v>
      </c>
      <c r="BA361" s="45">
        <f t="shared" si="179"/>
        <v>0</v>
      </c>
      <c r="BB361" s="45">
        <f t="shared" si="179"/>
        <v>0</v>
      </c>
      <c r="BC361" s="45">
        <f t="shared" si="179"/>
        <v>0</v>
      </c>
      <c r="BD361" s="45">
        <f t="shared" si="179"/>
        <v>0</v>
      </c>
      <c r="BE361" s="45">
        <f t="shared" si="179"/>
        <v>0</v>
      </c>
      <c r="BF361" s="45">
        <f t="shared" si="179"/>
        <v>0</v>
      </c>
      <c r="BG361" s="45">
        <f t="shared" si="179"/>
        <v>0</v>
      </c>
      <c r="BH361" s="45">
        <f t="shared" si="179"/>
        <v>0</v>
      </c>
      <c r="BI361" s="45">
        <f t="shared" si="179"/>
        <v>0</v>
      </c>
      <c r="BJ361" s="45">
        <f t="shared" si="179"/>
        <v>0</v>
      </c>
      <c r="BL361" s="136"/>
      <c r="BM361" s="136"/>
      <c r="BN361" s="136"/>
      <c r="BO361" s="136"/>
      <c r="BP361" s="45">
        <f>IF('Fin Stat'!BP$209&lt;$E361, 1, 0)</f>
        <v>1</v>
      </c>
      <c r="BQ361" s="45">
        <f>IF('Fin Stat'!BQ$209&lt;$E361, 1, 0)</f>
        <v>1</v>
      </c>
      <c r="BR361" s="45">
        <f>IF('Fin Stat'!BR$209&lt;$E361, 1, 0)</f>
        <v>1</v>
      </c>
      <c r="BS361" s="45">
        <f>IF('Fin Stat'!BS$209&lt;$E361, 1, 0)</f>
        <v>1</v>
      </c>
      <c r="BT361" s="45">
        <f>IF('Fin Stat'!BT$209&lt;$E361, 1, 0)</f>
        <v>1</v>
      </c>
      <c r="BU361" s="45">
        <f>IF('Fin Stat'!BU$209&lt;$E361, 1, 0)</f>
        <v>1</v>
      </c>
      <c r="BV361" s="45">
        <f>IF('Fin Stat'!BV$209&lt;$E361, 1, 0)</f>
        <v>1</v>
      </c>
      <c r="BW361" s="45">
        <f>IF('Fin Stat'!BW$209&lt;$E361, 1, 0)</f>
        <v>1</v>
      </c>
      <c r="BY361" s="12"/>
      <c r="CA361" s="12"/>
      <c r="EX361" s="10" t="str">
        <f t="shared" si="175"/>
        <v/>
      </c>
    </row>
    <row r="362" spans="2:154" s="335" customFormat="1" x14ac:dyDescent="0.25">
      <c r="B362" s="335" t="str">
        <f ca="1">Loans!B$29</f>
        <v>Loan 17</v>
      </c>
      <c r="D362" s="62">
        <f>Loans!D$29</f>
        <v>0</v>
      </c>
      <c r="E362" s="38" t="str">
        <f>IF(Loans!M29="", "", Loans!M29)</f>
        <v/>
      </c>
      <c r="V362" s="136"/>
      <c r="W362" s="136"/>
      <c r="X362" s="136"/>
      <c r="Y362" s="136"/>
      <c r="AA362" s="45">
        <f t="shared" si="177"/>
        <v>0</v>
      </c>
      <c r="AB362" s="45">
        <f t="shared" si="179"/>
        <v>0</v>
      </c>
      <c r="AC362" s="45">
        <f t="shared" si="179"/>
        <v>0</v>
      </c>
      <c r="AD362" s="45">
        <f t="shared" si="179"/>
        <v>0</v>
      </c>
      <c r="AE362" s="45">
        <f t="shared" si="179"/>
        <v>0</v>
      </c>
      <c r="AF362" s="45">
        <f t="shared" si="179"/>
        <v>0</v>
      </c>
      <c r="AG362" s="45">
        <f t="shared" si="179"/>
        <v>0</v>
      </c>
      <c r="AH362" s="45">
        <f t="shared" si="179"/>
        <v>0</v>
      </c>
      <c r="AI362" s="45">
        <f t="shared" si="179"/>
        <v>0</v>
      </c>
      <c r="AJ362" s="45">
        <f t="shared" si="179"/>
        <v>0</v>
      </c>
      <c r="AK362" s="45">
        <f t="shared" si="179"/>
        <v>0</v>
      </c>
      <c r="AL362" s="45">
        <f t="shared" si="179"/>
        <v>0</v>
      </c>
      <c r="AM362" s="45">
        <f t="shared" si="179"/>
        <v>0</v>
      </c>
      <c r="AN362" s="45">
        <f t="shared" si="179"/>
        <v>0</v>
      </c>
      <c r="AO362" s="45">
        <f t="shared" si="179"/>
        <v>0</v>
      </c>
      <c r="AP362" s="45">
        <f t="shared" si="179"/>
        <v>0</v>
      </c>
      <c r="AQ362" s="45">
        <f t="shared" si="179"/>
        <v>0</v>
      </c>
      <c r="AR362" s="45">
        <f t="shared" si="179"/>
        <v>0</v>
      </c>
      <c r="AS362" s="45">
        <f t="shared" si="179"/>
        <v>0</v>
      </c>
      <c r="AT362" s="45">
        <f t="shared" si="179"/>
        <v>0</v>
      </c>
      <c r="AU362" s="45">
        <f t="shared" si="179"/>
        <v>0</v>
      </c>
      <c r="AV362" s="45">
        <f t="shared" si="179"/>
        <v>0</v>
      </c>
      <c r="AW362" s="45">
        <f t="shared" si="179"/>
        <v>0</v>
      </c>
      <c r="AX362" s="45">
        <f t="shared" si="179"/>
        <v>0</v>
      </c>
      <c r="AY362" s="45">
        <f t="shared" si="179"/>
        <v>0</v>
      </c>
      <c r="AZ362" s="45">
        <f t="shared" si="179"/>
        <v>0</v>
      </c>
      <c r="BA362" s="45">
        <f t="shared" si="179"/>
        <v>0</v>
      </c>
      <c r="BB362" s="45">
        <f t="shared" si="179"/>
        <v>0</v>
      </c>
      <c r="BC362" s="45">
        <f t="shared" si="179"/>
        <v>0</v>
      </c>
      <c r="BD362" s="45">
        <f t="shared" si="179"/>
        <v>0</v>
      </c>
      <c r="BE362" s="45">
        <f t="shared" si="179"/>
        <v>0</v>
      </c>
      <c r="BF362" s="45">
        <f t="shared" si="179"/>
        <v>0</v>
      </c>
      <c r="BG362" s="45">
        <f t="shared" si="179"/>
        <v>0</v>
      </c>
      <c r="BH362" s="45">
        <f t="shared" si="179"/>
        <v>0</v>
      </c>
      <c r="BI362" s="45">
        <f t="shared" si="179"/>
        <v>0</v>
      </c>
      <c r="BJ362" s="45">
        <f t="shared" si="179"/>
        <v>0</v>
      </c>
      <c r="BL362" s="136"/>
      <c r="BM362" s="136"/>
      <c r="BN362" s="136"/>
      <c r="BO362" s="136"/>
      <c r="BP362" s="45">
        <f>IF('Fin Stat'!BP$209&lt;$E362, 1, 0)</f>
        <v>1</v>
      </c>
      <c r="BQ362" s="45">
        <f>IF('Fin Stat'!BQ$209&lt;$E362, 1, 0)</f>
        <v>1</v>
      </c>
      <c r="BR362" s="45">
        <f>IF('Fin Stat'!BR$209&lt;$E362, 1, 0)</f>
        <v>1</v>
      </c>
      <c r="BS362" s="45">
        <f>IF('Fin Stat'!BS$209&lt;$E362, 1, 0)</f>
        <v>1</v>
      </c>
      <c r="BT362" s="45">
        <f>IF('Fin Stat'!BT$209&lt;$E362, 1, 0)</f>
        <v>1</v>
      </c>
      <c r="BU362" s="45">
        <f>IF('Fin Stat'!BU$209&lt;$E362, 1, 0)</f>
        <v>1</v>
      </c>
      <c r="BV362" s="45">
        <f>IF('Fin Stat'!BV$209&lt;$E362, 1, 0)</f>
        <v>1</v>
      </c>
      <c r="BW362" s="45">
        <f>IF('Fin Stat'!BW$209&lt;$E362, 1, 0)</f>
        <v>1</v>
      </c>
      <c r="BY362" s="12"/>
      <c r="CA362" s="12"/>
      <c r="EX362" s="10" t="str">
        <f t="shared" si="175"/>
        <v/>
      </c>
    </row>
    <row r="363" spans="2:154" s="335" customFormat="1" x14ac:dyDescent="0.25">
      <c r="B363" s="335" t="str">
        <f ca="1">Loans!B$30</f>
        <v>Loan 18</v>
      </c>
      <c r="D363" s="62">
        <f>Loans!D$30</f>
        <v>0</v>
      </c>
      <c r="E363" s="38" t="str">
        <f>IF(Loans!M30="", "", Loans!M30)</f>
        <v/>
      </c>
      <c r="V363" s="136"/>
      <c r="W363" s="136"/>
      <c r="X363" s="136"/>
      <c r="Y363" s="136"/>
      <c r="AA363" s="45">
        <f t="shared" si="177"/>
        <v>0</v>
      </c>
      <c r="AB363" s="45">
        <f t="shared" si="179"/>
        <v>0</v>
      </c>
      <c r="AC363" s="45">
        <f t="shared" si="179"/>
        <v>0</v>
      </c>
      <c r="AD363" s="45">
        <f t="shared" si="179"/>
        <v>0</v>
      </c>
      <c r="AE363" s="45">
        <f t="shared" si="179"/>
        <v>0</v>
      </c>
      <c r="AF363" s="45">
        <f t="shared" si="179"/>
        <v>0</v>
      </c>
      <c r="AG363" s="45">
        <f t="shared" si="179"/>
        <v>0</v>
      </c>
      <c r="AH363" s="45">
        <f t="shared" si="179"/>
        <v>0</v>
      </c>
      <c r="AI363" s="45">
        <f t="shared" si="179"/>
        <v>0</v>
      </c>
      <c r="AJ363" s="45">
        <f t="shared" si="179"/>
        <v>0</v>
      </c>
      <c r="AK363" s="45">
        <f t="shared" si="179"/>
        <v>0</v>
      </c>
      <c r="AL363" s="45">
        <f t="shared" si="179"/>
        <v>0</v>
      </c>
      <c r="AM363" s="45">
        <f t="shared" si="179"/>
        <v>0</v>
      </c>
      <c r="AN363" s="45">
        <f t="shared" si="179"/>
        <v>0</v>
      </c>
      <c r="AO363" s="45">
        <f t="shared" si="179"/>
        <v>0</v>
      </c>
      <c r="AP363" s="45">
        <f t="shared" si="179"/>
        <v>0</v>
      </c>
      <c r="AQ363" s="45">
        <f t="shared" si="179"/>
        <v>0</v>
      </c>
      <c r="AR363" s="45">
        <f t="shared" si="179"/>
        <v>0</v>
      </c>
      <c r="AS363" s="45">
        <f t="shared" si="179"/>
        <v>0</v>
      </c>
      <c r="AT363" s="45">
        <f t="shared" si="179"/>
        <v>0</v>
      </c>
      <c r="AU363" s="45">
        <f t="shared" si="179"/>
        <v>0</v>
      </c>
      <c r="AV363" s="45">
        <f t="shared" si="179"/>
        <v>0</v>
      </c>
      <c r="AW363" s="45">
        <f t="shared" si="179"/>
        <v>0</v>
      </c>
      <c r="AX363" s="45">
        <f t="shared" si="179"/>
        <v>0</v>
      </c>
      <c r="AY363" s="45">
        <f t="shared" si="179"/>
        <v>0</v>
      </c>
      <c r="AZ363" s="45">
        <f t="shared" si="179"/>
        <v>0</v>
      </c>
      <c r="BA363" s="45">
        <f t="shared" si="179"/>
        <v>0</v>
      </c>
      <c r="BB363" s="45">
        <f t="shared" si="179"/>
        <v>0</v>
      </c>
      <c r="BC363" s="45">
        <f t="shared" si="179"/>
        <v>0</v>
      </c>
      <c r="BD363" s="45">
        <f t="shared" si="179"/>
        <v>0</v>
      </c>
      <c r="BE363" s="45">
        <f t="shared" si="179"/>
        <v>0</v>
      </c>
      <c r="BF363" s="45">
        <f t="shared" si="179"/>
        <v>0</v>
      </c>
      <c r="BG363" s="45">
        <f t="shared" si="179"/>
        <v>0</v>
      </c>
      <c r="BH363" s="45">
        <f t="shared" si="179"/>
        <v>0</v>
      </c>
      <c r="BI363" s="45">
        <f t="shared" si="179"/>
        <v>0</v>
      </c>
      <c r="BJ363" s="45">
        <f t="shared" si="179"/>
        <v>0</v>
      </c>
      <c r="BL363" s="136"/>
      <c r="BM363" s="136"/>
      <c r="BN363" s="136"/>
      <c r="BO363" s="136"/>
      <c r="BP363" s="45">
        <f>IF('Fin Stat'!BP$209&lt;$E363, 1, 0)</f>
        <v>1</v>
      </c>
      <c r="BQ363" s="45">
        <f>IF('Fin Stat'!BQ$209&lt;$E363, 1, 0)</f>
        <v>1</v>
      </c>
      <c r="BR363" s="45">
        <f>IF('Fin Stat'!BR$209&lt;$E363, 1, 0)</f>
        <v>1</v>
      </c>
      <c r="BS363" s="45">
        <f>IF('Fin Stat'!BS$209&lt;$E363, 1, 0)</f>
        <v>1</v>
      </c>
      <c r="BT363" s="45">
        <f>IF('Fin Stat'!BT$209&lt;$E363, 1, 0)</f>
        <v>1</v>
      </c>
      <c r="BU363" s="45">
        <f>IF('Fin Stat'!BU$209&lt;$E363, 1, 0)</f>
        <v>1</v>
      </c>
      <c r="BV363" s="45">
        <f>IF('Fin Stat'!BV$209&lt;$E363, 1, 0)</f>
        <v>1</v>
      </c>
      <c r="BW363" s="45">
        <f>IF('Fin Stat'!BW$209&lt;$E363, 1, 0)</f>
        <v>1</v>
      </c>
      <c r="BY363" s="12"/>
      <c r="CA363" s="12"/>
      <c r="EX363" s="10" t="str">
        <f t="shared" si="175"/>
        <v/>
      </c>
    </row>
    <row r="364" spans="2:154" s="335" customFormat="1" x14ac:dyDescent="0.25">
      <c r="B364" s="335" t="str">
        <f ca="1">Loans!B$31</f>
        <v>Loan 19</v>
      </c>
      <c r="D364" s="62">
        <f>Loans!D$31</f>
        <v>0</v>
      </c>
      <c r="E364" s="38" t="str">
        <f>IF(Loans!M31="", "", Loans!M31)</f>
        <v/>
      </c>
      <c r="V364" s="136"/>
      <c r="W364" s="136"/>
      <c r="X364" s="136"/>
      <c r="Y364" s="136"/>
      <c r="AA364" s="45">
        <f t="shared" si="177"/>
        <v>0</v>
      </c>
      <c r="AB364" s="45">
        <f t="shared" si="179"/>
        <v>0</v>
      </c>
      <c r="AC364" s="45">
        <f t="shared" si="179"/>
        <v>0</v>
      </c>
      <c r="AD364" s="45">
        <f t="shared" si="179"/>
        <v>0</v>
      </c>
      <c r="AE364" s="45">
        <f t="shared" si="179"/>
        <v>0</v>
      </c>
      <c r="AF364" s="45">
        <f t="shared" si="179"/>
        <v>0</v>
      </c>
      <c r="AG364" s="45">
        <f t="shared" si="179"/>
        <v>0</v>
      </c>
      <c r="AH364" s="45">
        <f t="shared" si="179"/>
        <v>0</v>
      </c>
      <c r="AI364" s="45">
        <f t="shared" si="179"/>
        <v>0</v>
      </c>
      <c r="AJ364" s="45">
        <f t="shared" si="179"/>
        <v>0</v>
      </c>
      <c r="AK364" s="45">
        <f t="shared" si="179"/>
        <v>0</v>
      </c>
      <c r="AL364" s="45">
        <f t="shared" si="179"/>
        <v>0</v>
      </c>
      <c r="AM364" s="45">
        <f t="shared" si="179"/>
        <v>0</v>
      </c>
      <c r="AN364" s="45">
        <f t="shared" si="179"/>
        <v>0</v>
      </c>
      <c r="AO364" s="45">
        <f t="shared" si="179"/>
        <v>0</v>
      </c>
      <c r="AP364" s="45">
        <f t="shared" si="179"/>
        <v>0</v>
      </c>
      <c r="AQ364" s="45">
        <f t="shared" si="179"/>
        <v>0</v>
      </c>
      <c r="AR364" s="45">
        <f t="shared" si="179"/>
        <v>0</v>
      </c>
      <c r="AS364" s="45">
        <f t="shared" si="179"/>
        <v>0</v>
      </c>
      <c r="AT364" s="45">
        <f t="shared" si="179"/>
        <v>0</v>
      </c>
      <c r="AU364" s="45">
        <f t="shared" si="179"/>
        <v>0</v>
      </c>
      <c r="AV364" s="45">
        <f t="shared" si="179"/>
        <v>0</v>
      </c>
      <c r="AW364" s="45">
        <f t="shared" si="179"/>
        <v>0</v>
      </c>
      <c r="AX364" s="45">
        <f t="shared" si="179"/>
        <v>0</v>
      </c>
      <c r="AY364" s="45">
        <f t="shared" si="179"/>
        <v>0</v>
      </c>
      <c r="AZ364" s="45">
        <f t="shared" si="179"/>
        <v>0</v>
      </c>
      <c r="BA364" s="45">
        <f t="shared" si="179"/>
        <v>0</v>
      </c>
      <c r="BB364" s="45">
        <f t="shared" si="179"/>
        <v>0</v>
      </c>
      <c r="BC364" s="45">
        <f t="shared" si="179"/>
        <v>0</v>
      </c>
      <c r="BD364" s="45">
        <f t="shared" si="179"/>
        <v>0</v>
      </c>
      <c r="BE364" s="45">
        <f t="shared" si="179"/>
        <v>0</v>
      </c>
      <c r="BF364" s="45">
        <f t="shared" si="179"/>
        <v>0</v>
      </c>
      <c r="BG364" s="45">
        <f t="shared" si="179"/>
        <v>0</v>
      </c>
      <c r="BH364" s="45">
        <f t="shared" si="179"/>
        <v>0</v>
      </c>
      <c r="BI364" s="45">
        <f t="shared" si="179"/>
        <v>0</v>
      </c>
      <c r="BJ364" s="45">
        <f t="shared" si="179"/>
        <v>0</v>
      </c>
      <c r="BL364" s="136"/>
      <c r="BM364" s="136"/>
      <c r="BN364" s="136"/>
      <c r="BO364" s="136"/>
      <c r="BP364" s="45">
        <f>IF('Fin Stat'!BP$209&lt;$E364, 1, 0)</f>
        <v>1</v>
      </c>
      <c r="BQ364" s="45">
        <f>IF('Fin Stat'!BQ$209&lt;$E364, 1, 0)</f>
        <v>1</v>
      </c>
      <c r="BR364" s="45">
        <f>IF('Fin Stat'!BR$209&lt;$E364, 1, 0)</f>
        <v>1</v>
      </c>
      <c r="BS364" s="45">
        <f>IF('Fin Stat'!BS$209&lt;$E364, 1, 0)</f>
        <v>1</v>
      </c>
      <c r="BT364" s="45">
        <f>IF('Fin Stat'!BT$209&lt;$E364, 1, 0)</f>
        <v>1</v>
      </c>
      <c r="BU364" s="45">
        <f>IF('Fin Stat'!BU$209&lt;$E364, 1, 0)</f>
        <v>1</v>
      </c>
      <c r="BV364" s="45">
        <f>IF('Fin Stat'!BV$209&lt;$E364, 1, 0)</f>
        <v>1</v>
      </c>
      <c r="BW364" s="45">
        <f>IF('Fin Stat'!BW$209&lt;$E364, 1, 0)</f>
        <v>1</v>
      </c>
      <c r="BY364" s="12"/>
      <c r="CA364" s="12"/>
      <c r="EX364" s="10" t="str">
        <f t="shared" si="175"/>
        <v/>
      </c>
    </row>
    <row r="365" spans="2:154" s="335" customFormat="1" x14ac:dyDescent="0.25">
      <c r="B365" s="335" t="str">
        <f ca="1">Loans!B$32</f>
        <v>Loan 20</v>
      </c>
      <c r="D365" s="62">
        <f>Loans!D$32</f>
        <v>0</v>
      </c>
      <c r="E365" s="38" t="str">
        <f>IF(Loans!M32="", "", Loans!M32)</f>
        <v/>
      </c>
      <c r="V365" s="136"/>
      <c r="W365" s="136"/>
      <c r="X365" s="136"/>
      <c r="Y365" s="136"/>
      <c r="AA365" s="45">
        <f t="shared" si="177"/>
        <v>0</v>
      </c>
      <c r="AB365" s="45">
        <f t="shared" si="179"/>
        <v>0</v>
      </c>
      <c r="AC365" s="45">
        <f t="shared" si="179"/>
        <v>0</v>
      </c>
      <c r="AD365" s="45">
        <f t="shared" si="179"/>
        <v>0</v>
      </c>
      <c r="AE365" s="45">
        <f t="shared" si="179"/>
        <v>0</v>
      </c>
      <c r="AF365" s="45">
        <f t="shared" si="179"/>
        <v>0</v>
      </c>
      <c r="AG365" s="45">
        <f t="shared" si="179"/>
        <v>0</v>
      </c>
      <c r="AH365" s="45">
        <f t="shared" si="179"/>
        <v>0</v>
      </c>
      <c r="AI365" s="45">
        <f t="shared" si="179"/>
        <v>0</v>
      </c>
      <c r="AJ365" s="45">
        <f t="shared" si="179"/>
        <v>0</v>
      </c>
      <c r="AK365" s="45">
        <f t="shared" si="179"/>
        <v>0</v>
      </c>
      <c r="AL365" s="45">
        <f t="shared" si="179"/>
        <v>0</v>
      </c>
      <c r="AM365" s="45">
        <f t="shared" si="179"/>
        <v>0</v>
      </c>
      <c r="AN365" s="45">
        <f t="shared" si="179"/>
        <v>0</v>
      </c>
      <c r="AO365" s="45">
        <f t="shared" si="179"/>
        <v>0</v>
      </c>
      <c r="AP365" s="45">
        <f t="shared" si="179"/>
        <v>0</v>
      </c>
      <c r="AQ365" s="45">
        <f t="shared" si="179"/>
        <v>0</v>
      </c>
      <c r="AR365" s="45">
        <f t="shared" si="179"/>
        <v>0</v>
      </c>
      <c r="AS365" s="45">
        <f t="shared" si="179"/>
        <v>0</v>
      </c>
      <c r="AT365" s="45">
        <f t="shared" si="179"/>
        <v>0</v>
      </c>
      <c r="AU365" s="45">
        <f t="shared" si="179"/>
        <v>0</v>
      </c>
      <c r="AV365" s="45">
        <f t="shared" si="179"/>
        <v>0</v>
      </c>
      <c r="AW365" s="45">
        <f t="shared" si="179"/>
        <v>0</v>
      </c>
      <c r="AX365" s="45">
        <f t="shared" si="179"/>
        <v>0</v>
      </c>
      <c r="AY365" s="45">
        <f t="shared" si="179"/>
        <v>0</v>
      </c>
      <c r="AZ365" s="45">
        <f t="shared" si="179"/>
        <v>0</v>
      </c>
      <c r="BA365" s="45">
        <f t="shared" si="179"/>
        <v>0</v>
      </c>
      <c r="BB365" s="45">
        <f t="shared" si="179"/>
        <v>0</v>
      </c>
      <c r="BC365" s="45">
        <f t="shared" si="179"/>
        <v>0</v>
      </c>
      <c r="BD365" s="45">
        <f t="shared" si="179"/>
        <v>0</v>
      </c>
      <c r="BE365" s="45">
        <f t="shared" si="179"/>
        <v>0</v>
      </c>
      <c r="BF365" s="45">
        <f t="shared" si="179"/>
        <v>0</v>
      </c>
      <c r="BG365" s="45">
        <f t="shared" si="179"/>
        <v>0</v>
      </c>
      <c r="BH365" s="45">
        <f t="shared" si="179"/>
        <v>0</v>
      </c>
      <c r="BI365" s="45">
        <f t="shared" si="179"/>
        <v>0</v>
      </c>
      <c r="BJ365" s="45">
        <f t="shared" si="179"/>
        <v>0</v>
      </c>
      <c r="BL365" s="136"/>
      <c r="BM365" s="136"/>
      <c r="BN365" s="136"/>
      <c r="BO365" s="136"/>
      <c r="BP365" s="45">
        <f>IF('Fin Stat'!BP$209&lt;$E365, 1, 0)</f>
        <v>1</v>
      </c>
      <c r="BQ365" s="45">
        <f>IF('Fin Stat'!BQ$209&lt;$E365, 1, 0)</f>
        <v>1</v>
      </c>
      <c r="BR365" s="45">
        <f>IF('Fin Stat'!BR$209&lt;$E365, 1, 0)</f>
        <v>1</v>
      </c>
      <c r="BS365" s="45">
        <f>IF('Fin Stat'!BS$209&lt;$E365, 1, 0)</f>
        <v>1</v>
      </c>
      <c r="BT365" s="45">
        <f>IF('Fin Stat'!BT$209&lt;$E365, 1, 0)</f>
        <v>1</v>
      </c>
      <c r="BU365" s="45">
        <f>IF('Fin Stat'!BU$209&lt;$E365, 1, 0)</f>
        <v>1</v>
      </c>
      <c r="BV365" s="45">
        <f>IF('Fin Stat'!BV$209&lt;$E365, 1, 0)</f>
        <v>1</v>
      </c>
      <c r="BW365" s="45">
        <f>IF('Fin Stat'!BW$209&lt;$E365, 1, 0)</f>
        <v>1</v>
      </c>
      <c r="BY365" s="12"/>
      <c r="CA365" s="12"/>
      <c r="EX365" s="10" t="str">
        <f t="shared" si="175"/>
        <v/>
      </c>
    </row>
    <row r="366" spans="2:154" s="335" customFormat="1" ht="6.6" customHeight="1" x14ac:dyDescent="0.25">
      <c r="D366" s="1"/>
      <c r="BM366" s="6"/>
      <c r="BY366" s="42"/>
      <c r="CA366" s="42"/>
      <c r="EX366" s="10" t="str">
        <f t="shared" si="175"/>
        <v/>
      </c>
    </row>
    <row r="367" spans="2:154" s="67" customFormat="1" x14ac:dyDescent="0.25">
      <c r="D367" s="5" t="s">
        <v>769</v>
      </c>
      <c r="T367" s="335"/>
      <c r="U367" s="335"/>
      <c r="BY367" s="12"/>
      <c r="CA367" s="12"/>
      <c r="EX367" s="10" t="str">
        <f t="shared" si="175"/>
        <v/>
      </c>
    </row>
    <row r="368" spans="2:154" s="67" customFormat="1" x14ac:dyDescent="0.25">
      <c r="B368" s="5"/>
      <c r="D368" s="5" t="str">
        <f>Loans!D$11</f>
        <v>Lender</v>
      </c>
      <c r="E368" s="138" t="s">
        <v>181</v>
      </c>
      <c r="T368" s="335"/>
      <c r="U368" s="335"/>
      <c r="BY368" s="12"/>
      <c r="CA368" s="12"/>
      <c r="EX368" s="10" t="str">
        <f t="shared" si="175"/>
        <v/>
      </c>
    </row>
    <row r="369" spans="1:154" s="67" customFormat="1" x14ac:dyDescent="0.25">
      <c r="B369" s="67" t="str">
        <f ca="1">Loans!B$13</f>
        <v>Loan 1</v>
      </c>
      <c r="D369" s="62" t="str">
        <f>Loans!D$13</f>
        <v>NatWest</v>
      </c>
      <c r="E369" s="62" t="str">
        <f>Loans!E$13</f>
        <v xml:space="preserve">Commercial </v>
      </c>
      <c r="T369" s="335"/>
      <c r="U369" s="335"/>
      <c r="V369" s="136"/>
      <c r="W369" s="136"/>
      <c r="X369" s="136"/>
      <c r="Y369" s="136"/>
      <c r="AA369" s="45">
        <f>IF($E369= Parameters!$D$68, 0, IF(OR(AA323=1, AA300=1, AA346=1), 1,0 ))</f>
        <v>0</v>
      </c>
      <c r="AB369" s="45">
        <f>IF($E369= Parameters!$D$68, 0, IF(OR(AB323=1, AB300=1, AB346=1), 1,0 ))</f>
        <v>0</v>
      </c>
      <c r="AC369" s="45">
        <f>IF($E369= Parameters!$D$68, 0, IF(OR(AC323=1, AC300=1, AC346=1), 1,0 ))</f>
        <v>0</v>
      </c>
      <c r="AD369" s="45">
        <f>IF($E369= Parameters!$D$68, 0, IF(OR(AD323=1, AD300=1, AD346=1), 1,0 ))</f>
        <v>0</v>
      </c>
      <c r="AE369" s="45">
        <f>IF($E369= Parameters!$D$68, 0, IF(OR(AE323=1, AE300=1, AE346=1), 1,0 ))</f>
        <v>0</v>
      </c>
      <c r="AF369" s="45">
        <f>IF($E369= Parameters!$D$68, 0, IF(OR(AF323=1, AF300=1, AF346=1), 1,0 ))</f>
        <v>0</v>
      </c>
      <c r="AG369" s="45">
        <f>IF($E369= Parameters!$D$68, 0, IF(OR(AG323=1, AG300=1, AG346=1), 1,0 ))</f>
        <v>0</v>
      </c>
      <c r="AH369" s="45">
        <f>IF($E369= Parameters!$D$68, 0, IF(OR(AH323=1, AH300=1, AH346=1), 1,0 ))</f>
        <v>0</v>
      </c>
      <c r="AI369" s="45">
        <f>IF($E369= Parameters!$D$68, 0, IF(OR(AI323=1, AI300=1, AI346=1), 1,0 ))</f>
        <v>0</v>
      </c>
      <c r="AJ369" s="45">
        <f>IF($E369= Parameters!$D$68, 0, IF(OR(AJ323=1, AJ300=1, AJ346=1), 1,0 ))</f>
        <v>0</v>
      </c>
      <c r="AK369" s="45">
        <f>IF($E369= Parameters!$D$68, 0, IF(OR(AK323=1, AK300=1, AK346=1), 1,0 ))</f>
        <v>0</v>
      </c>
      <c r="AL369" s="45">
        <f>IF($E369= Parameters!$D$68, 0, IF(OR(AL323=1, AL300=1, AL346=1), 1,0 ))</f>
        <v>0</v>
      </c>
      <c r="AM369" s="45">
        <f>IF($E369= Parameters!$D$68, 0, IF(OR(AM323=1, AM300=1, AM346=1), 1,0 ))</f>
        <v>0</v>
      </c>
      <c r="AN369" s="45">
        <f>IF($E369= Parameters!$D$68, 0, IF(OR(AN323=1, AN300=1, AN346=1), 1,0 ))</f>
        <v>0</v>
      </c>
      <c r="AO369" s="45">
        <f>IF($E369= Parameters!$D$68, 0, IF(OR(AO323=1, AO300=1, AO346=1), 1,0 ))</f>
        <v>0</v>
      </c>
      <c r="AP369" s="45">
        <f>IF($E369= Parameters!$D$68, 0, IF(OR(AP323=1, AP300=1, AP346=1), 1,0 ))</f>
        <v>0</v>
      </c>
      <c r="AQ369" s="45">
        <f>IF($E369= Parameters!$D$68, 0, IF(OR(AQ323=1, AQ300=1, AQ346=1), 1,0 ))</f>
        <v>0</v>
      </c>
      <c r="AR369" s="45">
        <f>IF($E369= Parameters!$D$68, 0, IF(OR(AR323=1, AR300=1, AR346=1), 1,0 ))</f>
        <v>0</v>
      </c>
      <c r="AS369" s="45">
        <f>IF($E369= Parameters!$D$68, 0, IF(OR(AS323=1, AS300=1, AS346=1), 1,0 ))</f>
        <v>0</v>
      </c>
      <c r="AT369" s="45">
        <f>IF($E369= Parameters!$D$68, 0, IF(OR(AT323=1, AT300=1, AT346=1), 1,0 ))</f>
        <v>0</v>
      </c>
      <c r="AU369" s="45">
        <f>IF($E369= Parameters!$D$68, 0, IF(OR(AU323=1, AU300=1, AU346=1), 1,0 ))</f>
        <v>0</v>
      </c>
      <c r="AV369" s="45">
        <f>IF($E369= Parameters!$D$68, 0, IF(OR(AV323=1, AV300=1, AV346=1), 1,0 ))</f>
        <v>0</v>
      </c>
      <c r="AW369" s="45">
        <f>IF($E369= Parameters!$D$68, 0, IF(OR(AW323=1, AW300=1, AW346=1), 1,0 ))</f>
        <v>0</v>
      </c>
      <c r="AX369" s="45">
        <f>IF($E369= Parameters!$D$68, 0, IF(OR(AX323=1, AX300=1, AX346=1), 1,0 ))</f>
        <v>0</v>
      </c>
      <c r="AY369" s="45">
        <f>IF($E369= Parameters!$D$68, 0, IF(OR(AY323=1, AY300=1, AY346=1), 1,0 ))</f>
        <v>0</v>
      </c>
      <c r="AZ369" s="45">
        <f>IF($E369= Parameters!$D$68, 0, IF(OR(AZ323=1, AZ300=1, AZ346=1), 1,0 ))</f>
        <v>0</v>
      </c>
      <c r="BA369" s="45">
        <f>IF($E369= Parameters!$D$68, 0, IF(OR(BA323=1, BA300=1, BA346=1), 1,0 ))</f>
        <v>0</v>
      </c>
      <c r="BB369" s="45">
        <f>IF($E369= Parameters!$D$68, 0, IF(OR(BB323=1, BB300=1, BB346=1), 1,0 ))</f>
        <v>0</v>
      </c>
      <c r="BC369" s="45">
        <f>IF($E369= Parameters!$D$68, 0, IF(OR(BC323=1, BC300=1, BC346=1), 1,0 ))</f>
        <v>0</v>
      </c>
      <c r="BD369" s="45">
        <f>IF($E369= Parameters!$D$68, 0, IF(OR(BD323=1, BD300=1, BD346=1), 1,0 ))</f>
        <v>0</v>
      </c>
      <c r="BE369" s="45">
        <f>IF($E369= Parameters!$D$68, 0, IF(OR(BE323=1, BE300=1, BE346=1), 1,0 ))</f>
        <v>0</v>
      </c>
      <c r="BF369" s="45">
        <f>IF($E369= Parameters!$D$68, 0, IF(OR(BF323=1, BF300=1, BF346=1), 1,0 ))</f>
        <v>0</v>
      </c>
      <c r="BG369" s="45">
        <f>IF($E369= Parameters!$D$68, 0, IF(OR(BG323=1, BG300=1, BG346=1), 1,0 ))</f>
        <v>0</v>
      </c>
      <c r="BH369" s="45">
        <f>IF($E369= Parameters!$D$68, 0, IF(OR(BH323=1, BH300=1, BH346=1), 1,0 ))</f>
        <v>0</v>
      </c>
      <c r="BI369" s="45">
        <f>IF($E369= Parameters!$D$68, 0, IF(OR(BI323=1, BI300=1, BI346=1), 1,0 ))</f>
        <v>0</v>
      </c>
      <c r="BJ369" s="45">
        <f>IF($E369= Parameters!$D$68, 0, IF(OR(BJ323=1, BJ300=1, BJ346=1), 1,0 ))</f>
        <v>0</v>
      </c>
      <c r="BL369" s="136"/>
      <c r="BM369" s="136"/>
      <c r="BN369" s="136"/>
      <c r="BO369" s="136"/>
      <c r="BP369" s="45">
        <f t="shared" ref="BP369:BW383" si="180">IF(OR(BP323=1, BP300=1), 1,0 )</f>
        <v>0</v>
      </c>
      <c r="BQ369" s="45">
        <f t="shared" si="180"/>
        <v>0</v>
      </c>
      <c r="BR369" s="45">
        <f t="shared" si="180"/>
        <v>0</v>
      </c>
      <c r="BS369" s="45">
        <f t="shared" si="180"/>
        <v>0</v>
      </c>
      <c r="BT369" s="45">
        <f t="shared" si="180"/>
        <v>0</v>
      </c>
      <c r="BU369" s="45">
        <f t="shared" si="180"/>
        <v>0</v>
      </c>
      <c r="BV369" s="45">
        <f t="shared" si="180"/>
        <v>0</v>
      </c>
      <c r="BW369" s="45">
        <f t="shared" si="180"/>
        <v>0</v>
      </c>
      <c r="BY369" s="12"/>
      <c r="CA369" s="12"/>
      <c r="EX369" s="10" t="str">
        <f t="shared" si="175"/>
        <v/>
      </c>
    </row>
    <row r="370" spans="1:154" s="67" customFormat="1" x14ac:dyDescent="0.25">
      <c r="B370" s="67" t="str">
        <f ca="1">Loans!B$14</f>
        <v>Loan 2</v>
      </c>
      <c r="D370" s="62" t="str">
        <f>Loans!D$14</f>
        <v>NatWest</v>
      </c>
      <c r="E370" s="62" t="str">
        <f>Loans!E$14</f>
        <v xml:space="preserve">Commercial </v>
      </c>
      <c r="T370" s="335"/>
      <c r="U370" s="335"/>
      <c r="V370" s="136"/>
      <c r="W370" s="136"/>
      <c r="X370" s="136"/>
      <c r="Y370" s="136"/>
      <c r="AA370" s="45">
        <f>IF($E370= Parameters!$D$68, 0, IF(OR(AA324=1, AA301=1, AA347=1), 1,0 ))</f>
        <v>0</v>
      </c>
      <c r="AB370" s="45">
        <f>IF($E370= Parameters!$D$68, 0, IF(OR(AB324=1, AB301=1, AB347=1), 1,0 ))</f>
        <v>0</v>
      </c>
      <c r="AC370" s="45">
        <f>IF($E370= Parameters!$D$68, 0, IF(OR(AC324=1, AC301=1, AC347=1), 1,0 ))</f>
        <v>0</v>
      </c>
      <c r="AD370" s="45">
        <f>IF($E370= Parameters!$D$68, 0, IF(OR(AD324=1, AD301=1, AD347=1), 1,0 ))</f>
        <v>0</v>
      </c>
      <c r="AE370" s="45">
        <f>IF($E370= Parameters!$D$68, 0, IF(OR(AE324=1, AE301=1, AE347=1), 1,0 ))</f>
        <v>0</v>
      </c>
      <c r="AF370" s="45">
        <f>IF($E370= Parameters!$D$68, 0, IF(OR(AF324=1, AF301=1, AF347=1), 1,0 ))</f>
        <v>0</v>
      </c>
      <c r="AG370" s="45">
        <f>IF($E370= Parameters!$D$68, 0, IF(OR(AG324=1, AG301=1, AG347=1), 1,0 ))</f>
        <v>0</v>
      </c>
      <c r="AH370" s="45">
        <f>IF($E370= Parameters!$D$68, 0, IF(OR(AH324=1, AH301=1, AH347=1), 1,0 ))</f>
        <v>0</v>
      </c>
      <c r="AI370" s="45">
        <f>IF($E370= Parameters!$D$68, 0, IF(OR(AI324=1, AI301=1, AI347=1), 1,0 ))</f>
        <v>0</v>
      </c>
      <c r="AJ370" s="45">
        <f>IF($E370= Parameters!$D$68, 0, IF(OR(AJ324=1, AJ301=1, AJ347=1), 1,0 ))</f>
        <v>0</v>
      </c>
      <c r="AK370" s="45">
        <f>IF($E370= Parameters!$D$68, 0, IF(OR(AK324=1, AK301=1, AK347=1), 1,0 ))</f>
        <v>0</v>
      </c>
      <c r="AL370" s="45">
        <f>IF($E370= Parameters!$D$68, 0, IF(OR(AL324=1, AL301=1, AL347=1), 1,0 ))</f>
        <v>0</v>
      </c>
      <c r="AM370" s="45">
        <f>IF($E370= Parameters!$D$68, 0, IF(OR(AM324=1, AM301=1, AM347=1), 1,0 ))</f>
        <v>0</v>
      </c>
      <c r="AN370" s="45">
        <f>IF($E370= Parameters!$D$68, 0, IF(OR(AN324=1, AN301=1, AN347=1), 1,0 ))</f>
        <v>0</v>
      </c>
      <c r="AO370" s="45">
        <f>IF($E370= Parameters!$D$68, 0, IF(OR(AO324=1, AO301=1, AO347=1), 1,0 ))</f>
        <v>0</v>
      </c>
      <c r="AP370" s="45">
        <f>IF($E370= Parameters!$D$68, 0, IF(OR(AP324=1, AP301=1, AP347=1), 1,0 ))</f>
        <v>0</v>
      </c>
      <c r="AQ370" s="45">
        <f>IF($E370= Parameters!$D$68, 0, IF(OR(AQ324=1, AQ301=1, AQ347=1), 1,0 ))</f>
        <v>0</v>
      </c>
      <c r="AR370" s="45">
        <f>IF($E370= Parameters!$D$68, 0, IF(OR(AR324=1, AR301=1, AR347=1), 1,0 ))</f>
        <v>0</v>
      </c>
      <c r="AS370" s="45">
        <f>IF($E370= Parameters!$D$68, 0, IF(OR(AS324=1, AS301=1, AS347=1), 1,0 ))</f>
        <v>0</v>
      </c>
      <c r="AT370" s="45">
        <f>IF($E370= Parameters!$D$68, 0, IF(OR(AT324=1, AT301=1, AT347=1), 1,0 ))</f>
        <v>0</v>
      </c>
      <c r="AU370" s="45">
        <f>IF($E370= Parameters!$D$68, 0, IF(OR(AU324=1, AU301=1, AU347=1), 1,0 ))</f>
        <v>0</v>
      </c>
      <c r="AV370" s="45">
        <f>IF($E370= Parameters!$D$68, 0, IF(OR(AV324=1, AV301=1, AV347=1), 1,0 ))</f>
        <v>0</v>
      </c>
      <c r="AW370" s="45">
        <f>IF($E370= Parameters!$D$68, 0, IF(OR(AW324=1, AW301=1, AW347=1), 1,0 ))</f>
        <v>0</v>
      </c>
      <c r="AX370" s="45">
        <f>IF($E370= Parameters!$D$68, 0, IF(OR(AX324=1, AX301=1, AX347=1), 1,0 ))</f>
        <v>0</v>
      </c>
      <c r="AY370" s="45">
        <f>IF($E370= Parameters!$D$68, 0, IF(OR(AY324=1, AY301=1, AY347=1), 1,0 ))</f>
        <v>0</v>
      </c>
      <c r="AZ370" s="45">
        <f>IF($E370= Parameters!$D$68, 0, IF(OR(AZ324=1, AZ301=1, AZ347=1), 1,0 ))</f>
        <v>0</v>
      </c>
      <c r="BA370" s="45">
        <f>IF($E370= Parameters!$D$68, 0, IF(OR(BA324=1, BA301=1, BA347=1), 1,0 ))</f>
        <v>0</v>
      </c>
      <c r="BB370" s="45">
        <f>IF($E370= Parameters!$D$68, 0, IF(OR(BB324=1, BB301=1, BB347=1), 1,0 ))</f>
        <v>0</v>
      </c>
      <c r="BC370" s="45">
        <f>IF($E370= Parameters!$D$68, 0, IF(OR(BC324=1, BC301=1, BC347=1), 1,0 ))</f>
        <v>0</v>
      </c>
      <c r="BD370" s="45">
        <f>IF($E370= Parameters!$D$68, 0, IF(OR(BD324=1, BD301=1, BD347=1), 1,0 ))</f>
        <v>0</v>
      </c>
      <c r="BE370" s="45">
        <f>IF($E370= Parameters!$D$68, 0, IF(OR(BE324=1, BE301=1, BE347=1), 1,0 ))</f>
        <v>0</v>
      </c>
      <c r="BF370" s="45">
        <f>IF($E370= Parameters!$D$68, 0, IF(OR(BF324=1, BF301=1, BF347=1), 1,0 ))</f>
        <v>0</v>
      </c>
      <c r="BG370" s="45">
        <f>IF($E370= Parameters!$D$68, 0, IF(OR(BG324=1, BG301=1, BG347=1), 1,0 ))</f>
        <v>0</v>
      </c>
      <c r="BH370" s="45">
        <f>IF($E370= Parameters!$D$68, 0, IF(OR(BH324=1, BH301=1, BH347=1), 1,0 ))</f>
        <v>0</v>
      </c>
      <c r="BI370" s="45">
        <f>IF($E370= Parameters!$D$68, 0, IF(OR(BI324=1, BI301=1, BI347=1), 1,0 ))</f>
        <v>0</v>
      </c>
      <c r="BJ370" s="45">
        <f>IF($E370= Parameters!$D$68, 0, IF(OR(BJ324=1, BJ301=1, BJ347=1), 1,0 ))</f>
        <v>0</v>
      </c>
      <c r="BL370" s="136"/>
      <c r="BM370" s="136"/>
      <c r="BN370" s="136"/>
      <c r="BO370" s="136"/>
      <c r="BP370" s="45">
        <f t="shared" si="180"/>
        <v>0</v>
      </c>
      <c r="BQ370" s="45">
        <f t="shared" si="180"/>
        <v>0</v>
      </c>
      <c r="BR370" s="45">
        <f t="shared" si="180"/>
        <v>0</v>
      </c>
      <c r="BS370" s="45">
        <f t="shared" si="180"/>
        <v>0</v>
      </c>
      <c r="BT370" s="45">
        <f t="shared" si="180"/>
        <v>0</v>
      </c>
      <c r="BU370" s="45">
        <f t="shared" si="180"/>
        <v>0</v>
      </c>
      <c r="BV370" s="45">
        <f t="shared" si="180"/>
        <v>0</v>
      </c>
      <c r="BW370" s="45">
        <f t="shared" si="180"/>
        <v>0</v>
      </c>
      <c r="BY370" s="12"/>
      <c r="CA370" s="12"/>
      <c r="EX370" s="10" t="str">
        <f t="shared" si="175"/>
        <v/>
      </c>
    </row>
    <row r="371" spans="1:154" s="67" customFormat="1" x14ac:dyDescent="0.25">
      <c r="B371" s="67" t="str">
        <f ca="1">Loans!B$15</f>
        <v>Loan 3</v>
      </c>
      <c r="D371" s="62" t="str">
        <f>Loans!D$15</f>
        <v>NatWest</v>
      </c>
      <c r="E371" s="62" t="str">
        <f>Loans!E$15</f>
        <v xml:space="preserve">Commercial </v>
      </c>
      <c r="T371" s="335"/>
      <c r="U371" s="335"/>
      <c r="V371" s="136"/>
      <c r="W371" s="136"/>
      <c r="X371" s="136"/>
      <c r="Y371" s="136"/>
      <c r="AA371" s="45">
        <f>IF($E371= Parameters!$D$68, 0, IF(OR(AA325=1, AA302=1, AA348=1), 1,0 ))</f>
        <v>0</v>
      </c>
      <c r="AB371" s="45">
        <f>IF($E371= Parameters!$D$68, 0, IF(OR(AB325=1, AB302=1, AB348=1), 1,0 ))</f>
        <v>0</v>
      </c>
      <c r="AC371" s="45">
        <f>IF($E371= Parameters!$D$68, 0, IF(OR(AC325=1, AC302=1, AC348=1), 1,0 ))</f>
        <v>0</v>
      </c>
      <c r="AD371" s="45">
        <f>IF($E371= Parameters!$D$68, 0, IF(OR(AD325=1, AD302=1, AD348=1), 1,0 ))</f>
        <v>0</v>
      </c>
      <c r="AE371" s="45">
        <f>IF($E371= Parameters!$D$68, 0, IF(OR(AE325=1, AE302=1, AE348=1), 1,0 ))</f>
        <v>0</v>
      </c>
      <c r="AF371" s="45">
        <f>IF($E371= Parameters!$D$68, 0, IF(OR(AF325=1, AF302=1, AF348=1), 1,0 ))</f>
        <v>0</v>
      </c>
      <c r="AG371" s="45">
        <f>IF($E371= Parameters!$D$68, 0, IF(OR(AG325=1, AG302=1, AG348=1), 1,0 ))</f>
        <v>0</v>
      </c>
      <c r="AH371" s="45">
        <f>IF($E371= Parameters!$D$68, 0, IF(OR(AH325=1, AH302=1, AH348=1), 1,0 ))</f>
        <v>0</v>
      </c>
      <c r="AI371" s="45">
        <f>IF($E371= Parameters!$D$68, 0, IF(OR(AI325=1, AI302=1, AI348=1), 1,0 ))</f>
        <v>0</v>
      </c>
      <c r="AJ371" s="45">
        <f>IF($E371= Parameters!$D$68, 0, IF(OR(AJ325=1, AJ302=1, AJ348=1), 1,0 ))</f>
        <v>0</v>
      </c>
      <c r="AK371" s="45">
        <f>IF($E371= Parameters!$D$68, 0, IF(OR(AK325=1, AK302=1, AK348=1), 1,0 ))</f>
        <v>0</v>
      </c>
      <c r="AL371" s="45">
        <f>IF($E371= Parameters!$D$68, 0, IF(OR(AL325=1, AL302=1, AL348=1), 1,0 ))</f>
        <v>0</v>
      </c>
      <c r="AM371" s="45">
        <f>IF($E371= Parameters!$D$68, 0, IF(OR(AM325=1, AM302=1, AM348=1), 1,0 ))</f>
        <v>0</v>
      </c>
      <c r="AN371" s="45">
        <f>IF($E371= Parameters!$D$68, 0, IF(OR(AN325=1, AN302=1, AN348=1), 1,0 ))</f>
        <v>0</v>
      </c>
      <c r="AO371" s="45">
        <f>IF($E371= Parameters!$D$68, 0, IF(OR(AO325=1, AO302=1, AO348=1), 1,0 ))</f>
        <v>0</v>
      </c>
      <c r="AP371" s="45">
        <f>IF($E371= Parameters!$D$68, 0, IF(OR(AP325=1, AP302=1, AP348=1), 1,0 ))</f>
        <v>0</v>
      </c>
      <c r="AQ371" s="45">
        <f>IF($E371= Parameters!$D$68, 0, IF(OR(AQ325=1, AQ302=1, AQ348=1), 1,0 ))</f>
        <v>0</v>
      </c>
      <c r="AR371" s="45">
        <f>IF($E371= Parameters!$D$68, 0, IF(OR(AR325=1, AR302=1, AR348=1), 1,0 ))</f>
        <v>0</v>
      </c>
      <c r="AS371" s="45">
        <f>IF($E371= Parameters!$D$68, 0, IF(OR(AS325=1, AS302=1, AS348=1), 1,0 ))</f>
        <v>0</v>
      </c>
      <c r="AT371" s="45">
        <f>IF($E371= Parameters!$D$68, 0, IF(OR(AT325=1, AT302=1, AT348=1), 1,0 ))</f>
        <v>0</v>
      </c>
      <c r="AU371" s="45">
        <f>IF($E371= Parameters!$D$68, 0, IF(OR(AU325=1, AU302=1, AU348=1), 1,0 ))</f>
        <v>0</v>
      </c>
      <c r="AV371" s="45">
        <f>IF($E371= Parameters!$D$68, 0, IF(OR(AV325=1, AV302=1, AV348=1), 1,0 ))</f>
        <v>0</v>
      </c>
      <c r="AW371" s="45">
        <f>IF($E371= Parameters!$D$68, 0, IF(OR(AW325=1, AW302=1, AW348=1), 1,0 ))</f>
        <v>0</v>
      </c>
      <c r="AX371" s="45">
        <f>IF($E371= Parameters!$D$68, 0, IF(OR(AX325=1, AX302=1, AX348=1), 1,0 ))</f>
        <v>0</v>
      </c>
      <c r="AY371" s="45">
        <f>IF($E371= Parameters!$D$68, 0, IF(OR(AY325=1, AY302=1, AY348=1), 1,0 ))</f>
        <v>0</v>
      </c>
      <c r="AZ371" s="45">
        <f>IF($E371= Parameters!$D$68, 0, IF(OR(AZ325=1, AZ302=1, AZ348=1), 1,0 ))</f>
        <v>0</v>
      </c>
      <c r="BA371" s="45">
        <f>IF($E371= Parameters!$D$68, 0, IF(OR(BA325=1, BA302=1, BA348=1), 1,0 ))</f>
        <v>0</v>
      </c>
      <c r="BB371" s="45">
        <f>IF($E371= Parameters!$D$68, 0, IF(OR(BB325=1, BB302=1, BB348=1), 1,0 ))</f>
        <v>0</v>
      </c>
      <c r="BC371" s="45">
        <f>IF($E371= Parameters!$D$68, 0, IF(OR(BC325=1, BC302=1, BC348=1), 1,0 ))</f>
        <v>0</v>
      </c>
      <c r="BD371" s="45">
        <f>IF($E371= Parameters!$D$68, 0, IF(OR(BD325=1, BD302=1, BD348=1), 1,0 ))</f>
        <v>0</v>
      </c>
      <c r="BE371" s="45">
        <f>IF($E371= Parameters!$D$68, 0, IF(OR(BE325=1, BE302=1, BE348=1), 1,0 ))</f>
        <v>0</v>
      </c>
      <c r="BF371" s="45">
        <f>IF($E371= Parameters!$D$68, 0, IF(OR(BF325=1, BF302=1, BF348=1), 1,0 ))</f>
        <v>0</v>
      </c>
      <c r="BG371" s="45">
        <f>IF($E371= Parameters!$D$68, 0, IF(OR(BG325=1, BG302=1, BG348=1), 1,0 ))</f>
        <v>0</v>
      </c>
      <c r="BH371" s="45">
        <f>IF($E371= Parameters!$D$68, 0, IF(OR(BH325=1, BH302=1, BH348=1), 1,0 ))</f>
        <v>0</v>
      </c>
      <c r="BI371" s="45">
        <f>IF($E371= Parameters!$D$68, 0, IF(OR(BI325=1, BI302=1, BI348=1), 1,0 ))</f>
        <v>0</v>
      </c>
      <c r="BJ371" s="45">
        <f>IF($E371= Parameters!$D$68, 0, IF(OR(BJ325=1, BJ302=1, BJ348=1), 1,0 ))</f>
        <v>0</v>
      </c>
      <c r="BL371" s="136"/>
      <c r="BM371" s="136"/>
      <c r="BN371" s="136"/>
      <c r="BO371" s="136"/>
      <c r="BP371" s="45">
        <f t="shared" si="180"/>
        <v>0</v>
      </c>
      <c r="BQ371" s="45">
        <f t="shared" si="180"/>
        <v>0</v>
      </c>
      <c r="BR371" s="45">
        <f t="shared" si="180"/>
        <v>0</v>
      </c>
      <c r="BS371" s="45">
        <f t="shared" si="180"/>
        <v>0</v>
      </c>
      <c r="BT371" s="45">
        <f t="shared" si="180"/>
        <v>0</v>
      </c>
      <c r="BU371" s="45">
        <f t="shared" si="180"/>
        <v>0</v>
      </c>
      <c r="BV371" s="45">
        <f t="shared" si="180"/>
        <v>0</v>
      </c>
      <c r="BW371" s="45">
        <f t="shared" si="180"/>
        <v>0</v>
      </c>
      <c r="BY371" s="12"/>
      <c r="CA371" s="12"/>
      <c r="EX371" s="10" t="str">
        <f t="shared" si="175"/>
        <v/>
      </c>
    </row>
    <row r="372" spans="1:154" s="67" customFormat="1" x14ac:dyDescent="0.25">
      <c r="B372" s="67" t="str">
        <f ca="1">Loans!B$16</f>
        <v>Loan 4</v>
      </c>
      <c r="D372" s="62" t="str">
        <f>Loans!D$16</f>
        <v>NatWest</v>
      </c>
      <c r="E372" s="62" t="str">
        <f>Loans!E$16</f>
        <v xml:space="preserve">Commercial </v>
      </c>
      <c r="T372" s="335"/>
      <c r="U372" s="335"/>
      <c r="V372" s="136"/>
      <c r="W372" s="136"/>
      <c r="X372" s="136"/>
      <c r="Y372" s="136"/>
      <c r="AA372" s="45">
        <f>IF($E372= Parameters!$D$68, 0, IF(OR(AA326=1, AA303=1, AA349=1), 1,0 ))</f>
        <v>0</v>
      </c>
      <c r="AB372" s="45">
        <f>IF($E372= Parameters!$D$68, 0, IF(OR(AB326=1, AB303=1, AB349=1), 1,0 ))</f>
        <v>0</v>
      </c>
      <c r="AC372" s="45">
        <f>IF($E372= Parameters!$D$68, 0, IF(OR(AC326=1, AC303=1, AC349=1), 1,0 ))</f>
        <v>0</v>
      </c>
      <c r="AD372" s="45">
        <f>IF($E372= Parameters!$D$68, 0, IF(OR(AD326=1, AD303=1, AD349=1), 1,0 ))</f>
        <v>0</v>
      </c>
      <c r="AE372" s="45">
        <f>IF($E372= Parameters!$D$68, 0, IF(OR(AE326=1, AE303=1, AE349=1), 1,0 ))</f>
        <v>0</v>
      </c>
      <c r="AF372" s="45">
        <f>IF($E372= Parameters!$D$68, 0, IF(OR(AF326=1, AF303=1, AF349=1), 1,0 ))</f>
        <v>0</v>
      </c>
      <c r="AG372" s="45">
        <f>IF($E372= Parameters!$D$68, 0, IF(OR(AG326=1, AG303=1, AG349=1), 1,0 ))</f>
        <v>0</v>
      </c>
      <c r="AH372" s="45">
        <f>IF($E372= Parameters!$D$68, 0, IF(OR(AH326=1, AH303=1, AH349=1), 1,0 ))</f>
        <v>0</v>
      </c>
      <c r="AI372" s="45">
        <f>IF($E372= Parameters!$D$68, 0, IF(OR(AI326=1, AI303=1, AI349=1), 1,0 ))</f>
        <v>0</v>
      </c>
      <c r="AJ372" s="45">
        <f>IF($E372= Parameters!$D$68, 0, IF(OR(AJ326=1, AJ303=1, AJ349=1), 1,0 ))</f>
        <v>0</v>
      </c>
      <c r="AK372" s="45">
        <f>IF($E372= Parameters!$D$68, 0, IF(OR(AK326=1, AK303=1, AK349=1), 1,0 ))</f>
        <v>0</v>
      </c>
      <c r="AL372" s="45">
        <f>IF($E372= Parameters!$D$68, 0, IF(OR(AL326=1, AL303=1, AL349=1), 1,0 ))</f>
        <v>0</v>
      </c>
      <c r="AM372" s="45">
        <f>IF($E372= Parameters!$D$68, 0, IF(OR(AM326=1, AM303=1, AM349=1), 1,0 ))</f>
        <v>0</v>
      </c>
      <c r="AN372" s="45">
        <f>IF($E372= Parameters!$D$68, 0, IF(OR(AN326=1, AN303=1, AN349=1), 1,0 ))</f>
        <v>0</v>
      </c>
      <c r="AO372" s="45">
        <f>IF($E372= Parameters!$D$68, 0, IF(OR(AO326=1, AO303=1, AO349=1), 1,0 ))</f>
        <v>0</v>
      </c>
      <c r="AP372" s="45">
        <f>IF($E372= Parameters!$D$68, 0, IF(OR(AP326=1, AP303=1, AP349=1), 1,0 ))</f>
        <v>0</v>
      </c>
      <c r="AQ372" s="45">
        <f>IF($E372= Parameters!$D$68, 0, IF(OR(AQ326=1, AQ303=1, AQ349=1), 1,0 ))</f>
        <v>0</v>
      </c>
      <c r="AR372" s="45">
        <f>IF($E372= Parameters!$D$68, 0, IF(OR(AR326=1, AR303=1, AR349=1), 1,0 ))</f>
        <v>0</v>
      </c>
      <c r="AS372" s="45">
        <f>IF($E372= Parameters!$D$68, 0, IF(OR(AS326=1, AS303=1, AS349=1), 1,0 ))</f>
        <v>0</v>
      </c>
      <c r="AT372" s="45">
        <f>IF($E372= Parameters!$D$68, 0, IF(OR(AT326=1, AT303=1, AT349=1), 1,0 ))</f>
        <v>0</v>
      </c>
      <c r="AU372" s="45">
        <f>IF($E372= Parameters!$D$68, 0, IF(OR(AU326=1, AU303=1, AU349=1), 1,0 ))</f>
        <v>0</v>
      </c>
      <c r="AV372" s="45">
        <f>IF($E372= Parameters!$D$68, 0, IF(OR(AV326=1, AV303=1, AV349=1), 1,0 ))</f>
        <v>0</v>
      </c>
      <c r="AW372" s="45">
        <f>IF($E372= Parameters!$D$68, 0, IF(OR(AW326=1, AW303=1, AW349=1), 1,0 ))</f>
        <v>0</v>
      </c>
      <c r="AX372" s="45">
        <f>IF($E372= Parameters!$D$68, 0, IF(OR(AX326=1, AX303=1, AX349=1), 1,0 ))</f>
        <v>0</v>
      </c>
      <c r="AY372" s="45">
        <f>IF($E372= Parameters!$D$68, 0, IF(OR(AY326=1, AY303=1, AY349=1), 1,0 ))</f>
        <v>0</v>
      </c>
      <c r="AZ372" s="45">
        <f>IF($E372= Parameters!$D$68, 0, IF(OR(AZ326=1, AZ303=1, AZ349=1), 1,0 ))</f>
        <v>0</v>
      </c>
      <c r="BA372" s="45">
        <f>IF($E372= Parameters!$D$68, 0, IF(OR(BA326=1, BA303=1, BA349=1), 1,0 ))</f>
        <v>0</v>
      </c>
      <c r="BB372" s="45">
        <f>IF($E372= Parameters!$D$68, 0, IF(OR(BB326=1, BB303=1, BB349=1), 1,0 ))</f>
        <v>0</v>
      </c>
      <c r="BC372" s="45">
        <f>IF($E372= Parameters!$D$68, 0, IF(OR(BC326=1, BC303=1, BC349=1), 1,0 ))</f>
        <v>0</v>
      </c>
      <c r="BD372" s="45">
        <f>IF($E372= Parameters!$D$68, 0, IF(OR(BD326=1, BD303=1, BD349=1), 1,0 ))</f>
        <v>0</v>
      </c>
      <c r="BE372" s="45">
        <f>IF($E372= Parameters!$D$68, 0, IF(OR(BE326=1, BE303=1, BE349=1), 1,0 ))</f>
        <v>0</v>
      </c>
      <c r="BF372" s="45">
        <f>IF($E372= Parameters!$D$68, 0, IF(OR(BF326=1, BF303=1, BF349=1), 1,0 ))</f>
        <v>0</v>
      </c>
      <c r="BG372" s="45">
        <f>IF($E372= Parameters!$D$68, 0, IF(OR(BG326=1, BG303=1, BG349=1), 1,0 ))</f>
        <v>0</v>
      </c>
      <c r="BH372" s="45">
        <f>IF($E372= Parameters!$D$68, 0, IF(OR(BH326=1, BH303=1, BH349=1), 1,0 ))</f>
        <v>0</v>
      </c>
      <c r="BI372" s="45">
        <f>IF($E372= Parameters!$D$68, 0, IF(OR(BI326=1, BI303=1, BI349=1), 1,0 ))</f>
        <v>0</v>
      </c>
      <c r="BJ372" s="45">
        <f>IF($E372= Parameters!$D$68, 0, IF(OR(BJ326=1, BJ303=1, BJ349=1), 1,0 ))</f>
        <v>0</v>
      </c>
      <c r="BL372" s="136"/>
      <c r="BM372" s="136"/>
      <c r="BN372" s="136"/>
      <c r="BO372" s="136"/>
      <c r="BP372" s="45">
        <f t="shared" si="180"/>
        <v>0</v>
      </c>
      <c r="BQ372" s="45">
        <f t="shared" si="180"/>
        <v>0</v>
      </c>
      <c r="BR372" s="45">
        <f t="shared" si="180"/>
        <v>0</v>
      </c>
      <c r="BS372" s="45">
        <f t="shared" si="180"/>
        <v>0</v>
      </c>
      <c r="BT372" s="45">
        <f t="shared" si="180"/>
        <v>0</v>
      </c>
      <c r="BU372" s="45">
        <f t="shared" si="180"/>
        <v>0</v>
      </c>
      <c r="BV372" s="45">
        <f t="shared" si="180"/>
        <v>0</v>
      </c>
      <c r="BW372" s="45">
        <f t="shared" si="180"/>
        <v>0</v>
      </c>
      <c r="BY372" s="12"/>
      <c r="CA372" s="12"/>
      <c r="EX372" s="10" t="str">
        <f t="shared" si="175"/>
        <v/>
      </c>
    </row>
    <row r="373" spans="1:154" s="67" customFormat="1" x14ac:dyDescent="0.25">
      <c r="B373" s="67" t="str">
        <f ca="1">Loans!B$17</f>
        <v>Loan 5</v>
      </c>
      <c r="D373" s="62" t="str">
        <f>Loans!D$17</f>
        <v>NatWest</v>
      </c>
      <c r="E373" s="62" t="str">
        <f>Loans!E$17</f>
        <v xml:space="preserve">Commercial </v>
      </c>
      <c r="T373" s="335"/>
      <c r="U373" s="335"/>
      <c r="V373" s="136"/>
      <c r="W373" s="136"/>
      <c r="X373" s="136"/>
      <c r="Y373" s="136"/>
      <c r="AA373" s="45">
        <f>IF($E373= Parameters!$D$68, 0, IF(OR(AA327=1, AA304=1, AA350=1), 1,0 ))</f>
        <v>0</v>
      </c>
      <c r="AB373" s="45">
        <f>IF($E373= Parameters!$D$68, 0, IF(OR(AB327=1, AB304=1, AB350=1), 1,0 ))</f>
        <v>0</v>
      </c>
      <c r="AC373" s="45">
        <f>IF($E373= Parameters!$D$68, 0, IF(OR(AC327=1, AC304=1, AC350=1), 1,0 ))</f>
        <v>0</v>
      </c>
      <c r="AD373" s="45">
        <f>IF($E373= Parameters!$D$68, 0, IF(OR(AD327=1, AD304=1, AD350=1), 1,0 ))</f>
        <v>0</v>
      </c>
      <c r="AE373" s="45">
        <f>IF($E373= Parameters!$D$68, 0, IF(OR(AE327=1, AE304=1, AE350=1), 1,0 ))</f>
        <v>0</v>
      </c>
      <c r="AF373" s="45">
        <f>IF($E373= Parameters!$D$68, 0, IF(OR(AF327=1, AF304=1, AF350=1), 1,0 ))</f>
        <v>0</v>
      </c>
      <c r="AG373" s="45">
        <f>IF($E373= Parameters!$D$68, 0, IF(OR(AG327=1, AG304=1, AG350=1), 1,0 ))</f>
        <v>0</v>
      </c>
      <c r="AH373" s="45">
        <f>IF($E373= Parameters!$D$68, 0, IF(OR(AH327=1, AH304=1, AH350=1), 1,0 ))</f>
        <v>0</v>
      </c>
      <c r="AI373" s="45">
        <f>IF($E373= Parameters!$D$68, 0, IF(OR(AI327=1, AI304=1, AI350=1), 1,0 ))</f>
        <v>0</v>
      </c>
      <c r="AJ373" s="45">
        <f>IF($E373= Parameters!$D$68, 0, IF(OR(AJ327=1, AJ304=1, AJ350=1), 1,0 ))</f>
        <v>0</v>
      </c>
      <c r="AK373" s="45">
        <f>IF($E373= Parameters!$D$68, 0, IF(OR(AK327=1, AK304=1, AK350=1), 1,0 ))</f>
        <v>0</v>
      </c>
      <c r="AL373" s="45">
        <f>IF($E373= Parameters!$D$68, 0, IF(OR(AL327=1, AL304=1, AL350=1), 1,0 ))</f>
        <v>0</v>
      </c>
      <c r="AM373" s="45">
        <f>IF($E373= Parameters!$D$68, 0, IF(OR(AM327=1, AM304=1, AM350=1), 1,0 ))</f>
        <v>0</v>
      </c>
      <c r="AN373" s="45">
        <f>IF($E373= Parameters!$D$68, 0, IF(OR(AN327=1, AN304=1, AN350=1), 1,0 ))</f>
        <v>0</v>
      </c>
      <c r="AO373" s="45">
        <f>IF($E373= Parameters!$D$68, 0, IF(OR(AO327=1, AO304=1, AO350=1), 1,0 ))</f>
        <v>0</v>
      </c>
      <c r="AP373" s="45">
        <f>IF($E373= Parameters!$D$68, 0, IF(OR(AP327=1, AP304=1, AP350=1), 1,0 ))</f>
        <v>0</v>
      </c>
      <c r="AQ373" s="45">
        <f>IF($E373= Parameters!$D$68, 0, IF(OR(AQ327=1, AQ304=1, AQ350=1), 1,0 ))</f>
        <v>0</v>
      </c>
      <c r="AR373" s="45">
        <f>IF($E373= Parameters!$D$68, 0, IF(OR(AR327=1, AR304=1, AR350=1), 1,0 ))</f>
        <v>0</v>
      </c>
      <c r="AS373" s="45">
        <f>IF($E373= Parameters!$D$68, 0, IF(OR(AS327=1, AS304=1, AS350=1), 1,0 ))</f>
        <v>0</v>
      </c>
      <c r="AT373" s="45">
        <f>IF($E373= Parameters!$D$68, 0, IF(OR(AT327=1, AT304=1, AT350=1), 1,0 ))</f>
        <v>0</v>
      </c>
      <c r="AU373" s="45">
        <f>IF($E373= Parameters!$D$68, 0, IF(OR(AU327=1, AU304=1, AU350=1), 1,0 ))</f>
        <v>0</v>
      </c>
      <c r="AV373" s="45">
        <f>IF($E373= Parameters!$D$68, 0, IF(OR(AV327=1, AV304=1, AV350=1), 1,0 ))</f>
        <v>0</v>
      </c>
      <c r="AW373" s="45">
        <f>IF($E373= Parameters!$D$68, 0, IF(OR(AW327=1, AW304=1, AW350=1), 1,0 ))</f>
        <v>0</v>
      </c>
      <c r="AX373" s="45">
        <f>IF($E373= Parameters!$D$68, 0, IF(OR(AX327=1, AX304=1, AX350=1), 1,0 ))</f>
        <v>0</v>
      </c>
      <c r="AY373" s="45">
        <f>IF($E373= Parameters!$D$68, 0, IF(OR(AY327=1, AY304=1, AY350=1), 1,0 ))</f>
        <v>0</v>
      </c>
      <c r="AZ373" s="45">
        <f>IF($E373= Parameters!$D$68, 0, IF(OR(AZ327=1, AZ304=1, AZ350=1), 1,0 ))</f>
        <v>0</v>
      </c>
      <c r="BA373" s="45">
        <f>IF($E373= Parameters!$D$68, 0, IF(OR(BA327=1, BA304=1, BA350=1), 1,0 ))</f>
        <v>0</v>
      </c>
      <c r="BB373" s="45">
        <f>IF($E373= Parameters!$D$68, 0, IF(OR(BB327=1, BB304=1, BB350=1), 1,0 ))</f>
        <v>0</v>
      </c>
      <c r="BC373" s="45">
        <f>IF($E373= Parameters!$D$68, 0, IF(OR(BC327=1, BC304=1, BC350=1), 1,0 ))</f>
        <v>0</v>
      </c>
      <c r="BD373" s="45">
        <f>IF($E373= Parameters!$D$68, 0, IF(OR(BD327=1, BD304=1, BD350=1), 1,0 ))</f>
        <v>0</v>
      </c>
      <c r="BE373" s="45">
        <f>IF($E373= Parameters!$D$68, 0, IF(OR(BE327=1, BE304=1, BE350=1), 1,0 ))</f>
        <v>0</v>
      </c>
      <c r="BF373" s="45">
        <f>IF($E373= Parameters!$D$68, 0, IF(OR(BF327=1, BF304=1, BF350=1), 1,0 ))</f>
        <v>0</v>
      </c>
      <c r="BG373" s="45">
        <f>IF($E373= Parameters!$D$68, 0, IF(OR(BG327=1, BG304=1, BG350=1), 1,0 ))</f>
        <v>0</v>
      </c>
      <c r="BH373" s="45">
        <f>IF($E373= Parameters!$D$68, 0, IF(OR(BH327=1, BH304=1, BH350=1), 1,0 ))</f>
        <v>0</v>
      </c>
      <c r="BI373" s="45">
        <f>IF($E373= Parameters!$D$68, 0, IF(OR(BI327=1, BI304=1, BI350=1), 1,0 ))</f>
        <v>0</v>
      </c>
      <c r="BJ373" s="45">
        <f>IF($E373= Parameters!$D$68, 0, IF(OR(BJ327=1, BJ304=1, BJ350=1), 1,0 ))</f>
        <v>0</v>
      </c>
      <c r="BL373" s="136"/>
      <c r="BM373" s="136"/>
      <c r="BN373" s="136"/>
      <c r="BO373" s="136"/>
      <c r="BP373" s="45">
        <f t="shared" si="180"/>
        <v>0</v>
      </c>
      <c r="BQ373" s="45">
        <f t="shared" si="180"/>
        <v>0</v>
      </c>
      <c r="BR373" s="45">
        <f t="shared" si="180"/>
        <v>0</v>
      </c>
      <c r="BS373" s="45">
        <f t="shared" si="180"/>
        <v>0</v>
      </c>
      <c r="BT373" s="45">
        <f t="shared" si="180"/>
        <v>0</v>
      </c>
      <c r="BU373" s="45">
        <f t="shared" si="180"/>
        <v>0</v>
      </c>
      <c r="BV373" s="45">
        <f t="shared" si="180"/>
        <v>0</v>
      </c>
      <c r="BW373" s="45">
        <f t="shared" si="180"/>
        <v>0</v>
      </c>
      <c r="BY373" s="12"/>
      <c r="CA373" s="12"/>
      <c r="EX373" s="10" t="str">
        <f t="shared" si="175"/>
        <v/>
      </c>
    </row>
    <row r="374" spans="1:154" s="67" customFormat="1" x14ac:dyDescent="0.25">
      <c r="B374" s="67" t="str">
        <f ca="1">Loans!B$18</f>
        <v>Loan 6</v>
      </c>
      <c r="D374" s="62">
        <f>Loans!D$18</f>
        <v>0</v>
      </c>
      <c r="E374" s="62">
        <f>Loans!E$18</f>
        <v>0</v>
      </c>
      <c r="T374" s="335"/>
      <c r="U374" s="335"/>
      <c r="V374" s="136"/>
      <c r="W374" s="136"/>
      <c r="X374" s="136"/>
      <c r="Y374" s="136"/>
      <c r="AA374" s="45">
        <f>IF($E374= Parameters!$D$68, 0, IF(OR(AA328=1, AA305=1, AA351=1), 1,0 ))</f>
        <v>0</v>
      </c>
      <c r="AB374" s="45">
        <f>IF($E374= Parameters!$D$68, 0, IF(OR(AB328=1, AB305=1, AB351=1), 1,0 ))</f>
        <v>0</v>
      </c>
      <c r="AC374" s="45">
        <f>IF($E374= Parameters!$D$68, 0, IF(OR(AC328=1, AC305=1, AC351=1), 1,0 ))</f>
        <v>0</v>
      </c>
      <c r="AD374" s="45">
        <f>IF($E374= Parameters!$D$68, 0, IF(OR(AD328=1, AD305=1, AD351=1), 1,0 ))</f>
        <v>0</v>
      </c>
      <c r="AE374" s="45">
        <f>IF($E374= Parameters!$D$68, 0, IF(OR(AE328=1, AE305=1, AE351=1), 1,0 ))</f>
        <v>0</v>
      </c>
      <c r="AF374" s="45">
        <f>IF($E374= Parameters!$D$68, 0, IF(OR(AF328=1, AF305=1, AF351=1), 1,0 ))</f>
        <v>0</v>
      </c>
      <c r="AG374" s="45">
        <f>IF($E374= Parameters!$D$68, 0, IF(OR(AG328=1, AG305=1, AG351=1), 1,0 ))</f>
        <v>0</v>
      </c>
      <c r="AH374" s="45">
        <f>IF($E374= Parameters!$D$68, 0, IF(OR(AH328=1, AH305=1, AH351=1), 1,0 ))</f>
        <v>0</v>
      </c>
      <c r="AI374" s="45">
        <f>IF($E374= Parameters!$D$68, 0, IF(OR(AI328=1, AI305=1, AI351=1), 1,0 ))</f>
        <v>0</v>
      </c>
      <c r="AJ374" s="45">
        <f>IF($E374= Parameters!$D$68, 0, IF(OR(AJ328=1, AJ305=1, AJ351=1), 1,0 ))</f>
        <v>0</v>
      </c>
      <c r="AK374" s="45">
        <f>IF($E374= Parameters!$D$68, 0, IF(OR(AK328=1, AK305=1, AK351=1), 1,0 ))</f>
        <v>0</v>
      </c>
      <c r="AL374" s="45">
        <f>IF($E374= Parameters!$D$68, 0, IF(OR(AL328=1, AL305=1, AL351=1), 1,0 ))</f>
        <v>0</v>
      </c>
      <c r="AM374" s="45">
        <f>IF($E374= Parameters!$D$68, 0, IF(OR(AM328=1, AM305=1, AM351=1), 1,0 ))</f>
        <v>0</v>
      </c>
      <c r="AN374" s="45">
        <f>IF($E374= Parameters!$D$68, 0, IF(OR(AN328=1, AN305=1, AN351=1), 1,0 ))</f>
        <v>0</v>
      </c>
      <c r="AO374" s="45">
        <f>IF($E374= Parameters!$D$68, 0, IF(OR(AO328=1, AO305=1, AO351=1), 1,0 ))</f>
        <v>0</v>
      </c>
      <c r="AP374" s="45">
        <f>IF($E374= Parameters!$D$68, 0, IF(OR(AP328=1, AP305=1, AP351=1), 1,0 ))</f>
        <v>0</v>
      </c>
      <c r="AQ374" s="45">
        <f>IF($E374= Parameters!$D$68, 0, IF(OR(AQ328=1, AQ305=1, AQ351=1), 1,0 ))</f>
        <v>0</v>
      </c>
      <c r="AR374" s="45">
        <f>IF($E374= Parameters!$D$68, 0, IF(OR(AR328=1, AR305=1, AR351=1), 1,0 ))</f>
        <v>0</v>
      </c>
      <c r="AS374" s="45">
        <f>IF($E374= Parameters!$D$68, 0, IF(OR(AS328=1, AS305=1, AS351=1), 1,0 ))</f>
        <v>0</v>
      </c>
      <c r="AT374" s="45">
        <f>IF($E374= Parameters!$D$68, 0, IF(OR(AT328=1, AT305=1, AT351=1), 1,0 ))</f>
        <v>0</v>
      </c>
      <c r="AU374" s="45">
        <f>IF($E374= Parameters!$D$68, 0, IF(OR(AU328=1, AU305=1, AU351=1), 1,0 ))</f>
        <v>0</v>
      </c>
      <c r="AV374" s="45">
        <f>IF($E374= Parameters!$D$68, 0, IF(OR(AV328=1, AV305=1, AV351=1), 1,0 ))</f>
        <v>0</v>
      </c>
      <c r="AW374" s="45">
        <f>IF($E374= Parameters!$D$68, 0, IF(OR(AW328=1, AW305=1, AW351=1), 1,0 ))</f>
        <v>0</v>
      </c>
      <c r="AX374" s="45">
        <f>IF($E374= Parameters!$D$68, 0, IF(OR(AX328=1, AX305=1, AX351=1), 1,0 ))</f>
        <v>0</v>
      </c>
      <c r="AY374" s="45">
        <f>IF($E374= Parameters!$D$68, 0, IF(OR(AY328=1, AY305=1, AY351=1), 1,0 ))</f>
        <v>0</v>
      </c>
      <c r="AZ374" s="45">
        <f>IF($E374= Parameters!$D$68, 0, IF(OR(AZ328=1, AZ305=1, AZ351=1), 1,0 ))</f>
        <v>0</v>
      </c>
      <c r="BA374" s="45">
        <f>IF($E374= Parameters!$D$68, 0, IF(OR(BA328=1, BA305=1, BA351=1), 1,0 ))</f>
        <v>0</v>
      </c>
      <c r="BB374" s="45">
        <f>IF($E374= Parameters!$D$68, 0, IF(OR(BB328=1, BB305=1, BB351=1), 1,0 ))</f>
        <v>0</v>
      </c>
      <c r="BC374" s="45">
        <f>IF($E374= Parameters!$D$68, 0, IF(OR(BC328=1, BC305=1, BC351=1), 1,0 ))</f>
        <v>0</v>
      </c>
      <c r="BD374" s="45">
        <f>IF($E374= Parameters!$D$68, 0, IF(OR(BD328=1, BD305=1, BD351=1), 1,0 ))</f>
        <v>0</v>
      </c>
      <c r="BE374" s="45">
        <f>IF($E374= Parameters!$D$68, 0, IF(OR(BE328=1, BE305=1, BE351=1), 1,0 ))</f>
        <v>0</v>
      </c>
      <c r="BF374" s="45">
        <f>IF($E374= Parameters!$D$68, 0, IF(OR(BF328=1, BF305=1, BF351=1), 1,0 ))</f>
        <v>0</v>
      </c>
      <c r="BG374" s="45">
        <f>IF($E374= Parameters!$D$68, 0, IF(OR(BG328=1, BG305=1, BG351=1), 1,0 ))</f>
        <v>0</v>
      </c>
      <c r="BH374" s="45">
        <f>IF($E374= Parameters!$D$68, 0, IF(OR(BH328=1, BH305=1, BH351=1), 1,0 ))</f>
        <v>0</v>
      </c>
      <c r="BI374" s="45">
        <f>IF($E374= Parameters!$D$68, 0, IF(OR(BI328=1, BI305=1, BI351=1), 1,0 ))</f>
        <v>0</v>
      </c>
      <c r="BJ374" s="45">
        <f>IF($E374= Parameters!$D$68, 0, IF(OR(BJ328=1, BJ305=1, BJ351=1), 1,0 ))</f>
        <v>0</v>
      </c>
      <c r="BL374" s="136"/>
      <c r="BM374" s="136"/>
      <c r="BN374" s="136"/>
      <c r="BO374" s="136"/>
      <c r="BP374" s="45">
        <f t="shared" si="180"/>
        <v>0</v>
      </c>
      <c r="BQ374" s="45">
        <f t="shared" si="180"/>
        <v>0</v>
      </c>
      <c r="BR374" s="45">
        <f t="shared" si="180"/>
        <v>0</v>
      </c>
      <c r="BS374" s="45">
        <f t="shared" si="180"/>
        <v>0</v>
      </c>
      <c r="BT374" s="45">
        <f t="shared" si="180"/>
        <v>0</v>
      </c>
      <c r="BU374" s="45">
        <f t="shared" si="180"/>
        <v>0</v>
      </c>
      <c r="BV374" s="45">
        <f t="shared" si="180"/>
        <v>0</v>
      </c>
      <c r="BW374" s="45">
        <f t="shared" si="180"/>
        <v>0</v>
      </c>
      <c r="BY374" s="12"/>
      <c r="CA374" s="12"/>
      <c r="EX374" s="10" t="str">
        <f t="shared" si="175"/>
        <v/>
      </c>
    </row>
    <row r="375" spans="1:154" s="5" customFormat="1" x14ac:dyDescent="0.25">
      <c r="A375" s="67"/>
      <c r="B375" s="67" t="str">
        <f ca="1">Loans!B$19</f>
        <v>Loan 7</v>
      </c>
      <c r="D375" s="62">
        <f>Loans!D$19</f>
        <v>0</v>
      </c>
      <c r="E375" s="62">
        <f>Loans!E$19</f>
        <v>0</v>
      </c>
      <c r="F375" s="67"/>
      <c r="G375" s="67"/>
      <c r="H375" s="67"/>
      <c r="I375" s="67"/>
      <c r="J375" s="67"/>
      <c r="K375" s="67"/>
      <c r="M375" s="67"/>
      <c r="N375" s="67"/>
      <c r="O375" s="67"/>
      <c r="P375" s="67"/>
      <c r="Q375" s="67"/>
      <c r="S375" s="67"/>
      <c r="T375" s="335"/>
      <c r="U375" s="335"/>
      <c r="V375" s="136"/>
      <c r="W375" s="136"/>
      <c r="X375" s="136"/>
      <c r="Y375" s="136"/>
      <c r="Z375" s="67"/>
      <c r="AA375" s="45">
        <f>IF($E375= Parameters!$D$68, 0, IF(OR(AA329=1, AA306=1, AA352=1), 1,0 ))</f>
        <v>0</v>
      </c>
      <c r="AB375" s="45">
        <f>IF($E375= Parameters!$D$68, 0, IF(OR(AB329=1, AB306=1, AB352=1), 1,0 ))</f>
        <v>0</v>
      </c>
      <c r="AC375" s="45">
        <f>IF($E375= Parameters!$D$68, 0, IF(OR(AC329=1, AC306=1, AC352=1), 1,0 ))</f>
        <v>0</v>
      </c>
      <c r="AD375" s="45">
        <f>IF($E375= Parameters!$D$68, 0, IF(OR(AD329=1, AD306=1, AD352=1), 1,0 ))</f>
        <v>0</v>
      </c>
      <c r="AE375" s="45">
        <f>IF($E375= Parameters!$D$68, 0, IF(OR(AE329=1, AE306=1, AE352=1), 1,0 ))</f>
        <v>0</v>
      </c>
      <c r="AF375" s="45">
        <f>IF($E375= Parameters!$D$68, 0, IF(OR(AF329=1, AF306=1, AF352=1), 1,0 ))</f>
        <v>0</v>
      </c>
      <c r="AG375" s="45">
        <f>IF($E375= Parameters!$D$68, 0, IF(OR(AG329=1, AG306=1, AG352=1), 1,0 ))</f>
        <v>0</v>
      </c>
      <c r="AH375" s="45">
        <f>IF($E375= Parameters!$D$68, 0, IF(OR(AH329=1, AH306=1, AH352=1), 1,0 ))</f>
        <v>0</v>
      </c>
      <c r="AI375" s="45">
        <f>IF($E375= Parameters!$D$68, 0, IF(OR(AI329=1, AI306=1, AI352=1), 1,0 ))</f>
        <v>0</v>
      </c>
      <c r="AJ375" s="45">
        <f>IF($E375= Parameters!$D$68, 0, IF(OR(AJ329=1, AJ306=1, AJ352=1), 1,0 ))</f>
        <v>0</v>
      </c>
      <c r="AK375" s="45">
        <f>IF($E375= Parameters!$D$68, 0, IF(OR(AK329=1, AK306=1, AK352=1), 1,0 ))</f>
        <v>0</v>
      </c>
      <c r="AL375" s="45">
        <f>IF($E375= Parameters!$D$68, 0, IF(OR(AL329=1, AL306=1, AL352=1), 1,0 ))</f>
        <v>0</v>
      </c>
      <c r="AM375" s="45">
        <f>IF($E375= Parameters!$D$68, 0, IF(OR(AM329=1, AM306=1, AM352=1), 1,0 ))</f>
        <v>0</v>
      </c>
      <c r="AN375" s="45">
        <f>IF($E375= Parameters!$D$68, 0, IF(OR(AN329=1, AN306=1, AN352=1), 1,0 ))</f>
        <v>0</v>
      </c>
      <c r="AO375" s="45">
        <f>IF($E375= Parameters!$D$68, 0, IF(OR(AO329=1, AO306=1, AO352=1), 1,0 ))</f>
        <v>0</v>
      </c>
      <c r="AP375" s="45">
        <f>IF($E375= Parameters!$D$68, 0, IF(OR(AP329=1, AP306=1, AP352=1), 1,0 ))</f>
        <v>0</v>
      </c>
      <c r="AQ375" s="45">
        <f>IF($E375= Parameters!$D$68, 0, IF(OR(AQ329=1, AQ306=1, AQ352=1), 1,0 ))</f>
        <v>0</v>
      </c>
      <c r="AR375" s="45">
        <f>IF($E375= Parameters!$D$68, 0, IF(OR(AR329=1, AR306=1, AR352=1), 1,0 ))</f>
        <v>0</v>
      </c>
      <c r="AS375" s="45">
        <f>IF($E375= Parameters!$D$68, 0, IF(OR(AS329=1, AS306=1, AS352=1), 1,0 ))</f>
        <v>0</v>
      </c>
      <c r="AT375" s="45">
        <f>IF($E375= Parameters!$D$68, 0, IF(OR(AT329=1, AT306=1, AT352=1), 1,0 ))</f>
        <v>0</v>
      </c>
      <c r="AU375" s="45">
        <f>IF($E375= Parameters!$D$68, 0, IF(OR(AU329=1, AU306=1, AU352=1), 1,0 ))</f>
        <v>0</v>
      </c>
      <c r="AV375" s="45">
        <f>IF($E375= Parameters!$D$68, 0, IF(OR(AV329=1, AV306=1, AV352=1), 1,0 ))</f>
        <v>0</v>
      </c>
      <c r="AW375" s="45">
        <f>IF($E375= Parameters!$D$68, 0, IF(OR(AW329=1, AW306=1, AW352=1), 1,0 ))</f>
        <v>0</v>
      </c>
      <c r="AX375" s="45">
        <f>IF($E375= Parameters!$D$68, 0, IF(OR(AX329=1, AX306=1, AX352=1), 1,0 ))</f>
        <v>0</v>
      </c>
      <c r="AY375" s="45">
        <f>IF($E375= Parameters!$D$68, 0, IF(OR(AY329=1, AY306=1, AY352=1), 1,0 ))</f>
        <v>0</v>
      </c>
      <c r="AZ375" s="45">
        <f>IF($E375= Parameters!$D$68, 0, IF(OR(AZ329=1, AZ306=1, AZ352=1), 1,0 ))</f>
        <v>0</v>
      </c>
      <c r="BA375" s="45">
        <f>IF($E375= Parameters!$D$68, 0, IF(OR(BA329=1, BA306=1, BA352=1), 1,0 ))</f>
        <v>0</v>
      </c>
      <c r="BB375" s="45">
        <f>IF($E375= Parameters!$D$68, 0, IF(OR(BB329=1, BB306=1, BB352=1), 1,0 ))</f>
        <v>0</v>
      </c>
      <c r="BC375" s="45">
        <f>IF($E375= Parameters!$D$68, 0, IF(OR(BC329=1, BC306=1, BC352=1), 1,0 ))</f>
        <v>0</v>
      </c>
      <c r="BD375" s="45">
        <f>IF($E375= Parameters!$D$68, 0, IF(OR(BD329=1, BD306=1, BD352=1), 1,0 ))</f>
        <v>0</v>
      </c>
      <c r="BE375" s="45">
        <f>IF($E375= Parameters!$D$68, 0, IF(OR(BE329=1, BE306=1, BE352=1), 1,0 ))</f>
        <v>0</v>
      </c>
      <c r="BF375" s="45">
        <f>IF($E375= Parameters!$D$68, 0, IF(OR(BF329=1, BF306=1, BF352=1), 1,0 ))</f>
        <v>0</v>
      </c>
      <c r="BG375" s="45">
        <f>IF($E375= Parameters!$D$68, 0, IF(OR(BG329=1, BG306=1, BG352=1), 1,0 ))</f>
        <v>0</v>
      </c>
      <c r="BH375" s="45">
        <f>IF($E375= Parameters!$D$68, 0, IF(OR(BH329=1, BH306=1, BH352=1), 1,0 ))</f>
        <v>0</v>
      </c>
      <c r="BI375" s="45">
        <f>IF($E375= Parameters!$D$68, 0, IF(OR(BI329=1, BI306=1, BI352=1), 1,0 ))</f>
        <v>0</v>
      </c>
      <c r="BJ375" s="45">
        <f>IF($E375= Parameters!$D$68, 0, IF(OR(BJ329=1, BJ306=1, BJ352=1), 1,0 ))</f>
        <v>0</v>
      </c>
      <c r="BK375" s="67"/>
      <c r="BL375" s="136"/>
      <c r="BM375" s="136"/>
      <c r="BN375" s="136"/>
      <c r="BO375" s="136"/>
      <c r="BP375" s="45">
        <f t="shared" si="180"/>
        <v>0</v>
      </c>
      <c r="BQ375" s="45">
        <f t="shared" si="180"/>
        <v>0</v>
      </c>
      <c r="BR375" s="45">
        <f t="shared" si="180"/>
        <v>0</v>
      </c>
      <c r="BS375" s="45">
        <f t="shared" si="180"/>
        <v>0</v>
      </c>
      <c r="BT375" s="45">
        <f t="shared" si="180"/>
        <v>0</v>
      </c>
      <c r="BU375" s="45">
        <f t="shared" si="180"/>
        <v>0</v>
      </c>
      <c r="BV375" s="45">
        <f t="shared" si="180"/>
        <v>0</v>
      </c>
      <c r="BW375" s="45">
        <f t="shared" si="180"/>
        <v>0</v>
      </c>
      <c r="BX375" s="67"/>
      <c r="BY375" s="12"/>
      <c r="BZ375" s="67"/>
      <c r="CA375" s="12"/>
      <c r="EX375" s="10" t="str">
        <f t="shared" si="175"/>
        <v/>
      </c>
    </row>
    <row r="376" spans="1:154" s="67" customFormat="1" x14ac:dyDescent="0.25">
      <c r="B376" s="67" t="str">
        <f ca="1">Loans!B$20</f>
        <v>Loan 8</v>
      </c>
      <c r="D376" s="62">
        <f>Loans!D$20</f>
        <v>0</v>
      </c>
      <c r="E376" s="62">
        <f>Loans!E$20</f>
        <v>0</v>
      </c>
      <c r="T376" s="335"/>
      <c r="U376" s="335"/>
      <c r="V376" s="136"/>
      <c r="W376" s="136"/>
      <c r="X376" s="136"/>
      <c r="Y376" s="136"/>
      <c r="AA376" s="45">
        <f>IF($E376= Parameters!$D$68, 0, IF(OR(AA330=1, AA307=1, AA353=1), 1,0 ))</f>
        <v>0</v>
      </c>
      <c r="AB376" s="45">
        <f>IF($E376= Parameters!$D$68, 0, IF(OR(AB330=1, AB307=1, AB353=1), 1,0 ))</f>
        <v>0</v>
      </c>
      <c r="AC376" s="45">
        <f>IF($E376= Parameters!$D$68, 0, IF(OR(AC330=1, AC307=1, AC353=1), 1,0 ))</f>
        <v>0</v>
      </c>
      <c r="AD376" s="45">
        <f>IF($E376= Parameters!$D$68, 0, IF(OR(AD330=1, AD307=1, AD353=1), 1,0 ))</f>
        <v>0</v>
      </c>
      <c r="AE376" s="45">
        <f>IF($E376= Parameters!$D$68, 0, IF(OR(AE330=1, AE307=1, AE353=1), 1,0 ))</f>
        <v>0</v>
      </c>
      <c r="AF376" s="45">
        <f>IF($E376= Parameters!$D$68, 0, IF(OR(AF330=1, AF307=1, AF353=1), 1,0 ))</f>
        <v>0</v>
      </c>
      <c r="AG376" s="45">
        <f>IF($E376= Parameters!$D$68, 0, IF(OR(AG330=1, AG307=1, AG353=1), 1,0 ))</f>
        <v>0</v>
      </c>
      <c r="AH376" s="45">
        <f>IF($E376= Parameters!$D$68, 0, IF(OR(AH330=1, AH307=1, AH353=1), 1,0 ))</f>
        <v>0</v>
      </c>
      <c r="AI376" s="45">
        <f>IF($E376= Parameters!$D$68, 0, IF(OR(AI330=1, AI307=1, AI353=1), 1,0 ))</f>
        <v>0</v>
      </c>
      <c r="AJ376" s="45">
        <f>IF($E376= Parameters!$D$68, 0, IF(OR(AJ330=1, AJ307=1, AJ353=1), 1,0 ))</f>
        <v>0</v>
      </c>
      <c r="AK376" s="45">
        <f>IF($E376= Parameters!$D$68, 0, IF(OR(AK330=1, AK307=1, AK353=1), 1,0 ))</f>
        <v>0</v>
      </c>
      <c r="AL376" s="45">
        <f>IF($E376= Parameters!$D$68, 0, IF(OR(AL330=1, AL307=1, AL353=1), 1,0 ))</f>
        <v>0</v>
      </c>
      <c r="AM376" s="45">
        <f>IF($E376= Parameters!$D$68, 0, IF(OR(AM330=1, AM307=1, AM353=1), 1,0 ))</f>
        <v>0</v>
      </c>
      <c r="AN376" s="45">
        <f>IF($E376= Parameters!$D$68, 0, IF(OR(AN330=1, AN307=1, AN353=1), 1,0 ))</f>
        <v>0</v>
      </c>
      <c r="AO376" s="45">
        <f>IF($E376= Parameters!$D$68, 0, IF(OR(AO330=1, AO307=1, AO353=1), 1,0 ))</f>
        <v>0</v>
      </c>
      <c r="AP376" s="45">
        <f>IF($E376= Parameters!$D$68, 0, IF(OR(AP330=1, AP307=1, AP353=1), 1,0 ))</f>
        <v>0</v>
      </c>
      <c r="AQ376" s="45">
        <f>IF($E376= Parameters!$D$68, 0, IF(OR(AQ330=1, AQ307=1, AQ353=1), 1,0 ))</f>
        <v>0</v>
      </c>
      <c r="AR376" s="45">
        <f>IF($E376= Parameters!$D$68, 0, IF(OR(AR330=1, AR307=1, AR353=1), 1,0 ))</f>
        <v>0</v>
      </c>
      <c r="AS376" s="45">
        <f>IF($E376= Parameters!$D$68, 0, IF(OR(AS330=1, AS307=1, AS353=1), 1,0 ))</f>
        <v>0</v>
      </c>
      <c r="AT376" s="45">
        <f>IF($E376= Parameters!$D$68, 0, IF(OR(AT330=1, AT307=1, AT353=1), 1,0 ))</f>
        <v>0</v>
      </c>
      <c r="AU376" s="45">
        <f>IF($E376= Parameters!$D$68, 0, IF(OR(AU330=1, AU307=1, AU353=1), 1,0 ))</f>
        <v>0</v>
      </c>
      <c r="AV376" s="45">
        <f>IF($E376= Parameters!$D$68, 0, IF(OR(AV330=1, AV307=1, AV353=1), 1,0 ))</f>
        <v>0</v>
      </c>
      <c r="AW376" s="45">
        <f>IF($E376= Parameters!$D$68, 0, IF(OR(AW330=1, AW307=1, AW353=1), 1,0 ))</f>
        <v>0</v>
      </c>
      <c r="AX376" s="45">
        <f>IF($E376= Parameters!$D$68, 0, IF(OR(AX330=1, AX307=1, AX353=1), 1,0 ))</f>
        <v>0</v>
      </c>
      <c r="AY376" s="45">
        <f>IF($E376= Parameters!$D$68, 0, IF(OR(AY330=1, AY307=1, AY353=1), 1,0 ))</f>
        <v>0</v>
      </c>
      <c r="AZ376" s="45">
        <f>IF($E376= Parameters!$D$68, 0, IF(OR(AZ330=1, AZ307=1, AZ353=1), 1,0 ))</f>
        <v>0</v>
      </c>
      <c r="BA376" s="45">
        <f>IF($E376= Parameters!$D$68, 0, IF(OR(BA330=1, BA307=1, BA353=1), 1,0 ))</f>
        <v>0</v>
      </c>
      <c r="BB376" s="45">
        <f>IF($E376= Parameters!$D$68, 0, IF(OR(BB330=1, BB307=1, BB353=1), 1,0 ))</f>
        <v>0</v>
      </c>
      <c r="BC376" s="45">
        <f>IF($E376= Parameters!$D$68, 0, IF(OR(BC330=1, BC307=1, BC353=1), 1,0 ))</f>
        <v>0</v>
      </c>
      <c r="BD376" s="45">
        <f>IF($E376= Parameters!$D$68, 0, IF(OR(BD330=1, BD307=1, BD353=1), 1,0 ))</f>
        <v>0</v>
      </c>
      <c r="BE376" s="45">
        <f>IF($E376= Parameters!$D$68, 0, IF(OR(BE330=1, BE307=1, BE353=1), 1,0 ))</f>
        <v>0</v>
      </c>
      <c r="BF376" s="45">
        <f>IF($E376= Parameters!$D$68, 0, IF(OR(BF330=1, BF307=1, BF353=1), 1,0 ))</f>
        <v>0</v>
      </c>
      <c r="BG376" s="45">
        <f>IF($E376= Parameters!$D$68, 0, IF(OR(BG330=1, BG307=1, BG353=1), 1,0 ))</f>
        <v>0</v>
      </c>
      <c r="BH376" s="45">
        <f>IF($E376= Parameters!$D$68, 0, IF(OR(BH330=1, BH307=1, BH353=1), 1,0 ))</f>
        <v>0</v>
      </c>
      <c r="BI376" s="45">
        <f>IF($E376= Parameters!$D$68, 0, IF(OR(BI330=1, BI307=1, BI353=1), 1,0 ))</f>
        <v>0</v>
      </c>
      <c r="BJ376" s="45">
        <f>IF($E376= Parameters!$D$68, 0, IF(OR(BJ330=1, BJ307=1, BJ353=1), 1,0 ))</f>
        <v>0</v>
      </c>
      <c r="BL376" s="136"/>
      <c r="BM376" s="136"/>
      <c r="BN376" s="136"/>
      <c r="BO376" s="136"/>
      <c r="BP376" s="45">
        <f t="shared" si="180"/>
        <v>0</v>
      </c>
      <c r="BQ376" s="45">
        <f t="shared" si="180"/>
        <v>0</v>
      </c>
      <c r="BR376" s="45">
        <f t="shared" si="180"/>
        <v>0</v>
      </c>
      <c r="BS376" s="45">
        <f t="shared" si="180"/>
        <v>0</v>
      </c>
      <c r="BT376" s="45">
        <f t="shared" si="180"/>
        <v>0</v>
      </c>
      <c r="BU376" s="45">
        <f t="shared" si="180"/>
        <v>0</v>
      </c>
      <c r="BV376" s="45">
        <f t="shared" si="180"/>
        <v>0</v>
      </c>
      <c r="BW376" s="45">
        <f t="shared" si="180"/>
        <v>0</v>
      </c>
      <c r="BY376" s="12"/>
      <c r="CA376" s="12"/>
      <c r="EX376" s="10" t="str">
        <f t="shared" si="175"/>
        <v/>
      </c>
    </row>
    <row r="377" spans="1:154" s="67" customFormat="1" x14ac:dyDescent="0.25">
      <c r="B377" s="67" t="str">
        <f ca="1">Loans!B$21</f>
        <v>Loan 9</v>
      </c>
      <c r="D377" s="62">
        <f>Loans!D$21</f>
        <v>0</v>
      </c>
      <c r="E377" s="62">
        <f>Loans!E$21</f>
        <v>0</v>
      </c>
      <c r="T377" s="335"/>
      <c r="U377" s="335"/>
      <c r="V377" s="136"/>
      <c r="W377" s="136"/>
      <c r="X377" s="136"/>
      <c r="Y377" s="136"/>
      <c r="AA377" s="45">
        <f>IF($E377= Parameters!$D$68, 0, IF(OR(AA331=1, AA308=1, AA354=1), 1,0 ))</f>
        <v>0</v>
      </c>
      <c r="AB377" s="45">
        <f>IF($E377= Parameters!$D$68, 0, IF(OR(AB331=1, AB308=1, AB354=1), 1,0 ))</f>
        <v>0</v>
      </c>
      <c r="AC377" s="45">
        <f>IF($E377= Parameters!$D$68, 0, IF(OR(AC331=1, AC308=1, AC354=1), 1,0 ))</f>
        <v>0</v>
      </c>
      <c r="AD377" s="45">
        <f>IF($E377= Parameters!$D$68, 0, IF(OR(AD331=1, AD308=1, AD354=1), 1,0 ))</f>
        <v>0</v>
      </c>
      <c r="AE377" s="45">
        <f>IF($E377= Parameters!$D$68, 0, IF(OR(AE331=1, AE308=1, AE354=1), 1,0 ))</f>
        <v>0</v>
      </c>
      <c r="AF377" s="45">
        <f>IF($E377= Parameters!$D$68, 0, IF(OR(AF331=1, AF308=1, AF354=1), 1,0 ))</f>
        <v>0</v>
      </c>
      <c r="AG377" s="45">
        <f>IF($E377= Parameters!$D$68, 0, IF(OR(AG331=1, AG308=1, AG354=1), 1,0 ))</f>
        <v>0</v>
      </c>
      <c r="AH377" s="45">
        <f>IF($E377= Parameters!$D$68, 0, IF(OR(AH331=1, AH308=1, AH354=1), 1,0 ))</f>
        <v>0</v>
      </c>
      <c r="AI377" s="45">
        <f>IF($E377= Parameters!$D$68, 0, IF(OR(AI331=1, AI308=1, AI354=1), 1,0 ))</f>
        <v>0</v>
      </c>
      <c r="AJ377" s="45">
        <f>IF($E377= Parameters!$D$68, 0, IF(OR(AJ331=1, AJ308=1, AJ354=1), 1,0 ))</f>
        <v>0</v>
      </c>
      <c r="AK377" s="45">
        <f>IF($E377= Parameters!$D$68, 0, IF(OR(AK331=1, AK308=1, AK354=1), 1,0 ))</f>
        <v>0</v>
      </c>
      <c r="AL377" s="45">
        <f>IF($E377= Parameters!$D$68, 0, IF(OR(AL331=1, AL308=1, AL354=1), 1,0 ))</f>
        <v>0</v>
      </c>
      <c r="AM377" s="45">
        <f>IF($E377= Parameters!$D$68, 0, IF(OR(AM331=1, AM308=1, AM354=1), 1,0 ))</f>
        <v>0</v>
      </c>
      <c r="AN377" s="45">
        <f>IF($E377= Parameters!$D$68, 0, IF(OR(AN331=1, AN308=1, AN354=1), 1,0 ))</f>
        <v>0</v>
      </c>
      <c r="AO377" s="45">
        <f>IF($E377= Parameters!$D$68, 0, IF(OR(AO331=1, AO308=1, AO354=1), 1,0 ))</f>
        <v>0</v>
      </c>
      <c r="AP377" s="45">
        <f>IF($E377= Parameters!$D$68, 0, IF(OR(AP331=1, AP308=1, AP354=1), 1,0 ))</f>
        <v>0</v>
      </c>
      <c r="AQ377" s="45">
        <f>IF($E377= Parameters!$D$68, 0, IF(OR(AQ331=1, AQ308=1, AQ354=1), 1,0 ))</f>
        <v>0</v>
      </c>
      <c r="AR377" s="45">
        <f>IF($E377= Parameters!$D$68, 0, IF(OR(AR331=1, AR308=1, AR354=1), 1,0 ))</f>
        <v>0</v>
      </c>
      <c r="AS377" s="45">
        <f>IF($E377= Parameters!$D$68, 0, IF(OR(AS331=1, AS308=1, AS354=1), 1,0 ))</f>
        <v>0</v>
      </c>
      <c r="AT377" s="45">
        <f>IF($E377= Parameters!$D$68, 0, IF(OR(AT331=1, AT308=1, AT354=1), 1,0 ))</f>
        <v>0</v>
      </c>
      <c r="AU377" s="45">
        <f>IF($E377= Parameters!$D$68, 0, IF(OR(AU331=1, AU308=1, AU354=1), 1,0 ))</f>
        <v>0</v>
      </c>
      <c r="AV377" s="45">
        <f>IF($E377= Parameters!$D$68, 0, IF(OR(AV331=1, AV308=1, AV354=1), 1,0 ))</f>
        <v>0</v>
      </c>
      <c r="AW377" s="45">
        <f>IF($E377= Parameters!$D$68, 0, IF(OR(AW331=1, AW308=1, AW354=1), 1,0 ))</f>
        <v>0</v>
      </c>
      <c r="AX377" s="45">
        <f>IF($E377= Parameters!$D$68, 0, IF(OR(AX331=1, AX308=1, AX354=1), 1,0 ))</f>
        <v>0</v>
      </c>
      <c r="AY377" s="45">
        <f>IF($E377= Parameters!$D$68, 0, IF(OR(AY331=1, AY308=1, AY354=1), 1,0 ))</f>
        <v>0</v>
      </c>
      <c r="AZ377" s="45">
        <f>IF($E377= Parameters!$D$68, 0, IF(OR(AZ331=1, AZ308=1, AZ354=1), 1,0 ))</f>
        <v>0</v>
      </c>
      <c r="BA377" s="45">
        <f>IF($E377= Parameters!$D$68, 0, IF(OR(BA331=1, BA308=1, BA354=1), 1,0 ))</f>
        <v>0</v>
      </c>
      <c r="BB377" s="45">
        <f>IF($E377= Parameters!$D$68, 0, IF(OR(BB331=1, BB308=1, BB354=1), 1,0 ))</f>
        <v>0</v>
      </c>
      <c r="BC377" s="45">
        <f>IF($E377= Parameters!$D$68, 0, IF(OR(BC331=1, BC308=1, BC354=1), 1,0 ))</f>
        <v>0</v>
      </c>
      <c r="BD377" s="45">
        <f>IF($E377= Parameters!$D$68, 0, IF(OR(BD331=1, BD308=1, BD354=1), 1,0 ))</f>
        <v>0</v>
      </c>
      <c r="BE377" s="45">
        <f>IF($E377= Parameters!$D$68, 0, IF(OR(BE331=1, BE308=1, BE354=1), 1,0 ))</f>
        <v>0</v>
      </c>
      <c r="BF377" s="45">
        <f>IF($E377= Parameters!$D$68, 0, IF(OR(BF331=1, BF308=1, BF354=1), 1,0 ))</f>
        <v>0</v>
      </c>
      <c r="BG377" s="45">
        <f>IF($E377= Parameters!$D$68, 0, IF(OR(BG331=1, BG308=1, BG354=1), 1,0 ))</f>
        <v>0</v>
      </c>
      <c r="BH377" s="45">
        <f>IF($E377= Parameters!$D$68, 0, IF(OR(BH331=1, BH308=1, BH354=1), 1,0 ))</f>
        <v>0</v>
      </c>
      <c r="BI377" s="45">
        <f>IF($E377= Parameters!$D$68, 0, IF(OR(BI331=1, BI308=1, BI354=1), 1,0 ))</f>
        <v>0</v>
      </c>
      <c r="BJ377" s="45">
        <f>IF($E377= Parameters!$D$68, 0, IF(OR(BJ331=1, BJ308=1, BJ354=1), 1,0 ))</f>
        <v>0</v>
      </c>
      <c r="BL377" s="136"/>
      <c r="BM377" s="136"/>
      <c r="BN377" s="136"/>
      <c r="BO377" s="136"/>
      <c r="BP377" s="45">
        <f t="shared" si="180"/>
        <v>0</v>
      </c>
      <c r="BQ377" s="45">
        <f t="shared" si="180"/>
        <v>0</v>
      </c>
      <c r="BR377" s="45">
        <f t="shared" si="180"/>
        <v>0</v>
      </c>
      <c r="BS377" s="45">
        <f t="shared" si="180"/>
        <v>0</v>
      </c>
      <c r="BT377" s="45">
        <f t="shared" si="180"/>
        <v>0</v>
      </c>
      <c r="BU377" s="45">
        <f t="shared" si="180"/>
        <v>0</v>
      </c>
      <c r="BV377" s="45">
        <f t="shared" si="180"/>
        <v>0</v>
      </c>
      <c r="BW377" s="45">
        <f t="shared" si="180"/>
        <v>0</v>
      </c>
      <c r="BY377" s="12"/>
      <c r="CA377" s="12"/>
      <c r="EX377" s="10" t="str">
        <f t="shared" si="175"/>
        <v/>
      </c>
    </row>
    <row r="378" spans="1:154" s="67" customFormat="1" x14ac:dyDescent="0.25">
      <c r="B378" s="67" t="str">
        <f ca="1">Loans!B$22</f>
        <v>Loan 10</v>
      </c>
      <c r="D378" s="62">
        <f>Loans!D$22</f>
        <v>0</v>
      </c>
      <c r="E378" s="62">
        <f>Loans!E$22</f>
        <v>0</v>
      </c>
      <c r="T378" s="335"/>
      <c r="U378" s="335"/>
      <c r="V378" s="136"/>
      <c r="W378" s="136"/>
      <c r="X378" s="136"/>
      <c r="Y378" s="136"/>
      <c r="AA378" s="45">
        <f>IF($E378= Parameters!$D$68, 0, IF(OR(AA332=1, AA309=1, AA355=1), 1,0 ))</f>
        <v>0</v>
      </c>
      <c r="AB378" s="45">
        <f>IF($E378= Parameters!$D$68, 0, IF(OR(AB332=1, AB309=1, AB355=1), 1,0 ))</f>
        <v>0</v>
      </c>
      <c r="AC378" s="45">
        <f>IF($E378= Parameters!$D$68, 0, IF(OR(AC332=1, AC309=1, AC355=1), 1,0 ))</f>
        <v>0</v>
      </c>
      <c r="AD378" s="45">
        <f>IF($E378= Parameters!$D$68, 0, IF(OR(AD332=1, AD309=1, AD355=1), 1,0 ))</f>
        <v>0</v>
      </c>
      <c r="AE378" s="45">
        <f>IF($E378= Parameters!$D$68, 0, IF(OR(AE332=1, AE309=1, AE355=1), 1,0 ))</f>
        <v>0</v>
      </c>
      <c r="AF378" s="45">
        <f>IF($E378= Parameters!$D$68, 0, IF(OR(AF332=1, AF309=1, AF355=1), 1,0 ))</f>
        <v>0</v>
      </c>
      <c r="AG378" s="45">
        <f>IF($E378= Parameters!$D$68, 0, IF(OR(AG332=1, AG309=1, AG355=1), 1,0 ))</f>
        <v>0</v>
      </c>
      <c r="AH378" s="45">
        <f>IF($E378= Parameters!$D$68, 0, IF(OR(AH332=1, AH309=1, AH355=1), 1,0 ))</f>
        <v>0</v>
      </c>
      <c r="AI378" s="45">
        <f>IF($E378= Parameters!$D$68, 0, IF(OR(AI332=1, AI309=1, AI355=1), 1,0 ))</f>
        <v>0</v>
      </c>
      <c r="AJ378" s="45">
        <f>IF($E378= Parameters!$D$68, 0, IF(OR(AJ332=1, AJ309=1, AJ355=1), 1,0 ))</f>
        <v>0</v>
      </c>
      <c r="AK378" s="45">
        <f>IF($E378= Parameters!$D$68, 0, IF(OR(AK332=1, AK309=1, AK355=1), 1,0 ))</f>
        <v>0</v>
      </c>
      <c r="AL378" s="45">
        <f>IF($E378= Parameters!$D$68, 0, IF(OR(AL332=1, AL309=1, AL355=1), 1,0 ))</f>
        <v>0</v>
      </c>
      <c r="AM378" s="45">
        <f>IF($E378= Parameters!$D$68, 0, IF(OR(AM332=1, AM309=1, AM355=1), 1,0 ))</f>
        <v>0</v>
      </c>
      <c r="AN378" s="45">
        <f>IF($E378= Parameters!$D$68, 0, IF(OR(AN332=1, AN309=1, AN355=1), 1,0 ))</f>
        <v>0</v>
      </c>
      <c r="AO378" s="45">
        <f>IF($E378= Parameters!$D$68, 0, IF(OR(AO332=1, AO309=1, AO355=1), 1,0 ))</f>
        <v>0</v>
      </c>
      <c r="AP378" s="45">
        <f>IF($E378= Parameters!$D$68, 0, IF(OR(AP332=1, AP309=1, AP355=1), 1,0 ))</f>
        <v>0</v>
      </c>
      <c r="AQ378" s="45">
        <f>IF($E378= Parameters!$D$68, 0, IF(OR(AQ332=1, AQ309=1, AQ355=1), 1,0 ))</f>
        <v>0</v>
      </c>
      <c r="AR378" s="45">
        <f>IF($E378= Parameters!$D$68, 0, IF(OR(AR332=1, AR309=1, AR355=1), 1,0 ))</f>
        <v>0</v>
      </c>
      <c r="AS378" s="45">
        <f>IF($E378= Parameters!$D$68, 0, IF(OR(AS332=1, AS309=1, AS355=1), 1,0 ))</f>
        <v>0</v>
      </c>
      <c r="AT378" s="45">
        <f>IF($E378= Parameters!$D$68, 0, IF(OR(AT332=1, AT309=1, AT355=1), 1,0 ))</f>
        <v>0</v>
      </c>
      <c r="AU378" s="45">
        <f>IF($E378= Parameters!$D$68, 0, IF(OR(AU332=1, AU309=1, AU355=1), 1,0 ))</f>
        <v>0</v>
      </c>
      <c r="AV378" s="45">
        <f>IF($E378= Parameters!$D$68, 0, IF(OR(AV332=1, AV309=1, AV355=1), 1,0 ))</f>
        <v>0</v>
      </c>
      <c r="AW378" s="45">
        <f>IF($E378= Parameters!$D$68, 0, IF(OR(AW332=1, AW309=1, AW355=1), 1,0 ))</f>
        <v>0</v>
      </c>
      <c r="AX378" s="45">
        <f>IF($E378= Parameters!$D$68, 0, IF(OR(AX332=1, AX309=1, AX355=1), 1,0 ))</f>
        <v>0</v>
      </c>
      <c r="AY378" s="45">
        <f>IF($E378= Parameters!$D$68, 0, IF(OR(AY332=1, AY309=1, AY355=1), 1,0 ))</f>
        <v>0</v>
      </c>
      <c r="AZ378" s="45">
        <f>IF($E378= Parameters!$D$68, 0, IF(OR(AZ332=1, AZ309=1, AZ355=1), 1,0 ))</f>
        <v>0</v>
      </c>
      <c r="BA378" s="45">
        <f>IF($E378= Parameters!$D$68, 0, IF(OR(BA332=1, BA309=1, BA355=1), 1,0 ))</f>
        <v>0</v>
      </c>
      <c r="BB378" s="45">
        <f>IF($E378= Parameters!$D$68, 0, IF(OR(BB332=1, BB309=1, BB355=1), 1,0 ))</f>
        <v>0</v>
      </c>
      <c r="BC378" s="45">
        <f>IF($E378= Parameters!$D$68, 0, IF(OR(BC332=1, BC309=1, BC355=1), 1,0 ))</f>
        <v>0</v>
      </c>
      <c r="BD378" s="45">
        <f>IF($E378= Parameters!$D$68, 0, IF(OR(BD332=1, BD309=1, BD355=1), 1,0 ))</f>
        <v>0</v>
      </c>
      <c r="BE378" s="45">
        <f>IF($E378= Parameters!$D$68, 0, IF(OR(BE332=1, BE309=1, BE355=1), 1,0 ))</f>
        <v>0</v>
      </c>
      <c r="BF378" s="45">
        <f>IF($E378= Parameters!$D$68, 0, IF(OR(BF332=1, BF309=1, BF355=1), 1,0 ))</f>
        <v>0</v>
      </c>
      <c r="BG378" s="45">
        <f>IF($E378= Parameters!$D$68, 0, IF(OR(BG332=1, BG309=1, BG355=1), 1,0 ))</f>
        <v>0</v>
      </c>
      <c r="BH378" s="45">
        <f>IF($E378= Parameters!$D$68, 0, IF(OR(BH332=1, BH309=1, BH355=1), 1,0 ))</f>
        <v>0</v>
      </c>
      <c r="BI378" s="45">
        <f>IF($E378= Parameters!$D$68, 0, IF(OR(BI332=1, BI309=1, BI355=1), 1,0 ))</f>
        <v>0</v>
      </c>
      <c r="BJ378" s="45">
        <f>IF($E378= Parameters!$D$68, 0, IF(OR(BJ332=1, BJ309=1, BJ355=1), 1,0 ))</f>
        <v>0</v>
      </c>
      <c r="BL378" s="136"/>
      <c r="BM378" s="136"/>
      <c r="BN378" s="136"/>
      <c r="BO378" s="136"/>
      <c r="BP378" s="45">
        <f t="shared" si="180"/>
        <v>0</v>
      </c>
      <c r="BQ378" s="45">
        <f t="shared" si="180"/>
        <v>0</v>
      </c>
      <c r="BR378" s="45">
        <f t="shared" si="180"/>
        <v>0</v>
      </c>
      <c r="BS378" s="45">
        <f t="shared" si="180"/>
        <v>0</v>
      </c>
      <c r="BT378" s="45">
        <f t="shared" si="180"/>
        <v>0</v>
      </c>
      <c r="BU378" s="45">
        <f t="shared" si="180"/>
        <v>0</v>
      </c>
      <c r="BV378" s="45">
        <f t="shared" si="180"/>
        <v>0</v>
      </c>
      <c r="BW378" s="45">
        <f t="shared" si="180"/>
        <v>0</v>
      </c>
      <c r="BY378" s="12"/>
      <c r="CA378" s="12"/>
      <c r="EX378" s="10" t="str">
        <f t="shared" si="175"/>
        <v/>
      </c>
    </row>
    <row r="379" spans="1:154" s="67" customFormat="1" x14ac:dyDescent="0.25">
      <c r="B379" s="67" t="str">
        <f ca="1">Loans!B$23</f>
        <v>Loan 11</v>
      </c>
      <c r="D379" s="62">
        <f>Loans!D$23</f>
        <v>0</v>
      </c>
      <c r="E379" s="62">
        <f>Loans!E$23</f>
        <v>0</v>
      </c>
      <c r="T379" s="335"/>
      <c r="U379" s="335"/>
      <c r="V379" s="136"/>
      <c r="W379" s="136"/>
      <c r="X379" s="136"/>
      <c r="Y379" s="136"/>
      <c r="AA379" s="45">
        <f>IF($E379= Parameters!$D$68, 0, IF(OR(AA333=1, AA310=1, AA356=1), 1,0 ))</f>
        <v>0</v>
      </c>
      <c r="AB379" s="45">
        <f>IF($E379= Parameters!$D$68, 0, IF(OR(AB333=1, AB310=1, AB356=1), 1,0 ))</f>
        <v>0</v>
      </c>
      <c r="AC379" s="45">
        <f>IF($E379= Parameters!$D$68, 0, IF(OR(AC333=1, AC310=1, AC356=1), 1,0 ))</f>
        <v>0</v>
      </c>
      <c r="AD379" s="45">
        <f>IF($E379= Parameters!$D$68, 0, IF(OR(AD333=1, AD310=1, AD356=1), 1,0 ))</f>
        <v>0</v>
      </c>
      <c r="AE379" s="45">
        <f>IF($E379= Parameters!$D$68, 0, IF(OR(AE333=1, AE310=1, AE356=1), 1,0 ))</f>
        <v>0</v>
      </c>
      <c r="AF379" s="45">
        <f>IF($E379= Parameters!$D$68, 0, IF(OR(AF333=1, AF310=1, AF356=1), 1,0 ))</f>
        <v>0</v>
      </c>
      <c r="AG379" s="45">
        <f>IF($E379= Parameters!$D$68, 0, IF(OR(AG333=1, AG310=1, AG356=1), 1,0 ))</f>
        <v>0</v>
      </c>
      <c r="AH379" s="45">
        <f>IF($E379= Parameters!$D$68, 0, IF(OR(AH333=1, AH310=1, AH356=1), 1,0 ))</f>
        <v>0</v>
      </c>
      <c r="AI379" s="45">
        <f>IF($E379= Parameters!$D$68, 0, IF(OR(AI333=1, AI310=1, AI356=1), 1,0 ))</f>
        <v>0</v>
      </c>
      <c r="AJ379" s="45">
        <f>IF($E379= Parameters!$D$68, 0, IF(OR(AJ333=1, AJ310=1, AJ356=1), 1,0 ))</f>
        <v>0</v>
      </c>
      <c r="AK379" s="45">
        <f>IF($E379= Parameters!$D$68, 0, IF(OR(AK333=1, AK310=1, AK356=1), 1,0 ))</f>
        <v>0</v>
      </c>
      <c r="AL379" s="45">
        <f>IF($E379= Parameters!$D$68, 0, IF(OR(AL333=1, AL310=1, AL356=1), 1,0 ))</f>
        <v>0</v>
      </c>
      <c r="AM379" s="45">
        <f>IF($E379= Parameters!$D$68, 0, IF(OR(AM333=1, AM310=1, AM356=1), 1,0 ))</f>
        <v>0</v>
      </c>
      <c r="AN379" s="45">
        <f>IF($E379= Parameters!$D$68, 0, IF(OR(AN333=1, AN310=1, AN356=1), 1,0 ))</f>
        <v>0</v>
      </c>
      <c r="AO379" s="45">
        <f>IF($E379= Parameters!$D$68, 0, IF(OR(AO333=1, AO310=1, AO356=1), 1,0 ))</f>
        <v>0</v>
      </c>
      <c r="AP379" s="45">
        <f>IF($E379= Parameters!$D$68, 0, IF(OR(AP333=1, AP310=1, AP356=1), 1,0 ))</f>
        <v>0</v>
      </c>
      <c r="AQ379" s="45">
        <f>IF($E379= Parameters!$D$68, 0, IF(OR(AQ333=1, AQ310=1, AQ356=1), 1,0 ))</f>
        <v>0</v>
      </c>
      <c r="AR379" s="45">
        <f>IF($E379= Parameters!$D$68, 0, IF(OR(AR333=1, AR310=1, AR356=1), 1,0 ))</f>
        <v>0</v>
      </c>
      <c r="AS379" s="45">
        <f>IF($E379= Parameters!$D$68, 0, IF(OR(AS333=1, AS310=1, AS356=1), 1,0 ))</f>
        <v>0</v>
      </c>
      <c r="AT379" s="45">
        <f>IF($E379= Parameters!$D$68, 0, IF(OR(AT333=1, AT310=1, AT356=1), 1,0 ))</f>
        <v>0</v>
      </c>
      <c r="AU379" s="45">
        <f>IF($E379= Parameters!$D$68, 0, IF(OR(AU333=1, AU310=1, AU356=1), 1,0 ))</f>
        <v>0</v>
      </c>
      <c r="AV379" s="45">
        <f>IF($E379= Parameters!$D$68, 0, IF(OR(AV333=1, AV310=1, AV356=1), 1,0 ))</f>
        <v>0</v>
      </c>
      <c r="AW379" s="45">
        <f>IF($E379= Parameters!$D$68, 0, IF(OR(AW333=1, AW310=1, AW356=1), 1,0 ))</f>
        <v>0</v>
      </c>
      <c r="AX379" s="45">
        <f>IF($E379= Parameters!$D$68, 0, IF(OR(AX333=1, AX310=1, AX356=1), 1,0 ))</f>
        <v>0</v>
      </c>
      <c r="AY379" s="45">
        <f>IF($E379= Parameters!$D$68, 0, IF(OR(AY333=1, AY310=1, AY356=1), 1,0 ))</f>
        <v>0</v>
      </c>
      <c r="AZ379" s="45">
        <f>IF($E379= Parameters!$D$68, 0, IF(OR(AZ333=1, AZ310=1, AZ356=1), 1,0 ))</f>
        <v>0</v>
      </c>
      <c r="BA379" s="45">
        <f>IF($E379= Parameters!$D$68, 0, IF(OR(BA333=1, BA310=1, BA356=1), 1,0 ))</f>
        <v>0</v>
      </c>
      <c r="BB379" s="45">
        <f>IF($E379= Parameters!$D$68, 0, IF(OR(BB333=1, BB310=1, BB356=1), 1,0 ))</f>
        <v>0</v>
      </c>
      <c r="BC379" s="45">
        <f>IF($E379= Parameters!$D$68, 0, IF(OR(BC333=1, BC310=1, BC356=1), 1,0 ))</f>
        <v>0</v>
      </c>
      <c r="BD379" s="45">
        <f>IF($E379= Parameters!$D$68, 0, IF(OR(BD333=1, BD310=1, BD356=1), 1,0 ))</f>
        <v>0</v>
      </c>
      <c r="BE379" s="45">
        <f>IF($E379= Parameters!$D$68, 0, IF(OR(BE333=1, BE310=1, BE356=1), 1,0 ))</f>
        <v>0</v>
      </c>
      <c r="BF379" s="45">
        <f>IF($E379= Parameters!$D$68, 0, IF(OR(BF333=1, BF310=1, BF356=1), 1,0 ))</f>
        <v>0</v>
      </c>
      <c r="BG379" s="45">
        <f>IF($E379= Parameters!$D$68, 0, IF(OR(BG333=1, BG310=1, BG356=1), 1,0 ))</f>
        <v>0</v>
      </c>
      <c r="BH379" s="45">
        <f>IF($E379= Parameters!$D$68, 0, IF(OR(BH333=1, BH310=1, BH356=1), 1,0 ))</f>
        <v>0</v>
      </c>
      <c r="BI379" s="45">
        <f>IF($E379= Parameters!$D$68, 0, IF(OR(BI333=1, BI310=1, BI356=1), 1,0 ))</f>
        <v>0</v>
      </c>
      <c r="BJ379" s="45">
        <f>IF($E379= Parameters!$D$68, 0, IF(OR(BJ333=1, BJ310=1, BJ356=1), 1,0 ))</f>
        <v>0</v>
      </c>
      <c r="BL379" s="136"/>
      <c r="BM379" s="136"/>
      <c r="BN379" s="136"/>
      <c r="BO379" s="136"/>
      <c r="BP379" s="45">
        <f t="shared" si="180"/>
        <v>0</v>
      </c>
      <c r="BQ379" s="45">
        <f t="shared" si="180"/>
        <v>0</v>
      </c>
      <c r="BR379" s="45">
        <f t="shared" si="180"/>
        <v>0</v>
      </c>
      <c r="BS379" s="45">
        <f t="shared" si="180"/>
        <v>0</v>
      </c>
      <c r="BT379" s="45">
        <f t="shared" si="180"/>
        <v>0</v>
      </c>
      <c r="BU379" s="45">
        <f t="shared" si="180"/>
        <v>0</v>
      </c>
      <c r="BV379" s="45">
        <f t="shared" si="180"/>
        <v>0</v>
      </c>
      <c r="BW379" s="45">
        <f t="shared" si="180"/>
        <v>0</v>
      </c>
      <c r="BY379" s="12"/>
      <c r="CA379" s="12"/>
      <c r="EX379" s="10" t="str">
        <f t="shared" si="175"/>
        <v/>
      </c>
    </row>
    <row r="380" spans="1:154" s="67" customFormat="1" x14ac:dyDescent="0.25">
      <c r="B380" s="67" t="str">
        <f ca="1">Loans!B$24</f>
        <v>Loan 12</v>
      </c>
      <c r="D380" s="62">
        <f>Loans!D$24</f>
        <v>0</v>
      </c>
      <c r="E380" s="62">
        <f>Loans!E$24</f>
        <v>0</v>
      </c>
      <c r="T380" s="335"/>
      <c r="U380" s="335"/>
      <c r="V380" s="136"/>
      <c r="W380" s="136"/>
      <c r="X380" s="136"/>
      <c r="Y380" s="136"/>
      <c r="AA380" s="45">
        <f>IF($E380= Parameters!$D$68, 0, IF(OR(AA334=1, AA311=1, AA357=1), 1,0 ))</f>
        <v>0</v>
      </c>
      <c r="AB380" s="45">
        <f>IF($E380= Parameters!$D$68, 0, IF(OR(AB334=1, AB311=1, AB357=1), 1,0 ))</f>
        <v>0</v>
      </c>
      <c r="AC380" s="45">
        <f>IF($E380= Parameters!$D$68, 0, IF(OR(AC334=1, AC311=1, AC357=1), 1,0 ))</f>
        <v>0</v>
      </c>
      <c r="AD380" s="45">
        <f>IF($E380= Parameters!$D$68, 0, IF(OR(AD334=1, AD311=1, AD357=1), 1,0 ))</f>
        <v>0</v>
      </c>
      <c r="AE380" s="45">
        <f>IF($E380= Parameters!$D$68, 0, IF(OR(AE334=1, AE311=1, AE357=1), 1,0 ))</f>
        <v>0</v>
      </c>
      <c r="AF380" s="45">
        <f>IF($E380= Parameters!$D$68, 0, IF(OR(AF334=1, AF311=1, AF357=1), 1,0 ))</f>
        <v>0</v>
      </c>
      <c r="AG380" s="45">
        <f>IF($E380= Parameters!$D$68, 0, IF(OR(AG334=1, AG311=1, AG357=1), 1,0 ))</f>
        <v>0</v>
      </c>
      <c r="AH380" s="45">
        <f>IF($E380= Parameters!$D$68, 0, IF(OR(AH334=1, AH311=1, AH357=1), 1,0 ))</f>
        <v>0</v>
      </c>
      <c r="AI380" s="45">
        <f>IF($E380= Parameters!$D$68, 0, IF(OR(AI334=1, AI311=1, AI357=1), 1,0 ))</f>
        <v>0</v>
      </c>
      <c r="AJ380" s="45">
        <f>IF($E380= Parameters!$D$68, 0, IF(OR(AJ334=1, AJ311=1, AJ357=1), 1,0 ))</f>
        <v>0</v>
      </c>
      <c r="AK380" s="45">
        <f>IF($E380= Parameters!$D$68, 0, IF(OR(AK334=1, AK311=1, AK357=1), 1,0 ))</f>
        <v>0</v>
      </c>
      <c r="AL380" s="45">
        <f>IF($E380= Parameters!$D$68, 0, IF(OR(AL334=1, AL311=1, AL357=1), 1,0 ))</f>
        <v>0</v>
      </c>
      <c r="AM380" s="45">
        <f>IF($E380= Parameters!$D$68, 0, IF(OR(AM334=1, AM311=1, AM357=1), 1,0 ))</f>
        <v>0</v>
      </c>
      <c r="AN380" s="45">
        <f>IF($E380= Parameters!$D$68, 0, IF(OR(AN334=1, AN311=1, AN357=1), 1,0 ))</f>
        <v>0</v>
      </c>
      <c r="AO380" s="45">
        <f>IF($E380= Parameters!$D$68, 0, IF(OR(AO334=1, AO311=1, AO357=1), 1,0 ))</f>
        <v>0</v>
      </c>
      <c r="AP380" s="45">
        <f>IF($E380= Parameters!$D$68, 0, IF(OR(AP334=1, AP311=1, AP357=1), 1,0 ))</f>
        <v>0</v>
      </c>
      <c r="AQ380" s="45">
        <f>IF($E380= Parameters!$D$68, 0, IF(OR(AQ334=1, AQ311=1, AQ357=1), 1,0 ))</f>
        <v>0</v>
      </c>
      <c r="AR380" s="45">
        <f>IF($E380= Parameters!$D$68, 0, IF(OR(AR334=1, AR311=1, AR357=1), 1,0 ))</f>
        <v>0</v>
      </c>
      <c r="AS380" s="45">
        <f>IF($E380= Parameters!$D$68, 0, IF(OR(AS334=1, AS311=1, AS357=1), 1,0 ))</f>
        <v>0</v>
      </c>
      <c r="AT380" s="45">
        <f>IF($E380= Parameters!$D$68, 0, IF(OR(AT334=1, AT311=1, AT357=1), 1,0 ))</f>
        <v>0</v>
      </c>
      <c r="AU380" s="45">
        <f>IF($E380= Parameters!$D$68, 0, IF(OR(AU334=1, AU311=1, AU357=1), 1,0 ))</f>
        <v>0</v>
      </c>
      <c r="AV380" s="45">
        <f>IF($E380= Parameters!$D$68, 0, IF(OR(AV334=1, AV311=1, AV357=1), 1,0 ))</f>
        <v>0</v>
      </c>
      <c r="AW380" s="45">
        <f>IF($E380= Parameters!$D$68, 0, IF(OR(AW334=1, AW311=1, AW357=1), 1,0 ))</f>
        <v>0</v>
      </c>
      <c r="AX380" s="45">
        <f>IF($E380= Parameters!$D$68, 0, IF(OR(AX334=1, AX311=1, AX357=1), 1,0 ))</f>
        <v>0</v>
      </c>
      <c r="AY380" s="45">
        <f>IF($E380= Parameters!$D$68, 0, IF(OR(AY334=1, AY311=1, AY357=1), 1,0 ))</f>
        <v>0</v>
      </c>
      <c r="AZ380" s="45">
        <f>IF($E380= Parameters!$D$68, 0, IF(OR(AZ334=1, AZ311=1, AZ357=1), 1,0 ))</f>
        <v>0</v>
      </c>
      <c r="BA380" s="45">
        <f>IF($E380= Parameters!$D$68, 0, IF(OR(BA334=1, BA311=1, BA357=1), 1,0 ))</f>
        <v>0</v>
      </c>
      <c r="BB380" s="45">
        <f>IF($E380= Parameters!$D$68, 0, IF(OR(BB334=1, BB311=1, BB357=1), 1,0 ))</f>
        <v>0</v>
      </c>
      <c r="BC380" s="45">
        <f>IF($E380= Parameters!$D$68, 0, IF(OR(BC334=1, BC311=1, BC357=1), 1,0 ))</f>
        <v>0</v>
      </c>
      <c r="BD380" s="45">
        <f>IF($E380= Parameters!$D$68, 0, IF(OR(BD334=1, BD311=1, BD357=1), 1,0 ))</f>
        <v>0</v>
      </c>
      <c r="BE380" s="45">
        <f>IF($E380= Parameters!$D$68, 0, IF(OR(BE334=1, BE311=1, BE357=1), 1,0 ))</f>
        <v>0</v>
      </c>
      <c r="BF380" s="45">
        <f>IF($E380= Parameters!$D$68, 0, IF(OR(BF334=1, BF311=1, BF357=1), 1,0 ))</f>
        <v>0</v>
      </c>
      <c r="BG380" s="45">
        <f>IF($E380= Parameters!$D$68, 0, IF(OR(BG334=1, BG311=1, BG357=1), 1,0 ))</f>
        <v>0</v>
      </c>
      <c r="BH380" s="45">
        <f>IF($E380= Parameters!$D$68, 0, IF(OR(BH334=1, BH311=1, BH357=1), 1,0 ))</f>
        <v>0</v>
      </c>
      <c r="BI380" s="45">
        <f>IF($E380= Parameters!$D$68, 0, IF(OR(BI334=1, BI311=1, BI357=1), 1,0 ))</f>
        <v>0</v>
      </c>
      <c r="BJ380" s="45">
        <f>IF($E380= Parameters!$D$68, 0, IF(OR(BJ334=1, BJ311=1, BJ357=1), 1,0 ))</f>
        <v>0</v>
      </c>
      <c r="BL380" s="136"/>
      <c r="BM380" s="136"/>
      <c r="BN380" s="136"/>
      <c r="BO380" s="136"/>
      <c r="BP380" s="45">
        <f t="shared" si="180"/>
        <v>0</v>
      </c>
      <c r="BQ380" s="45">
        <f t="shared" si="180"/>
        <v>0</v>
      </c>
      <c r="BR380" s="45">
        <f t="shared" si="180"/>
        <v>0</v>
      </c>
      <c r="BS380" s="45">
        <f t="shared" si="180"/>
        <v>0</v>
      </c>
      <c r="BT380" s="45">
        <f t="shared" si="180"/>
        <v>0</v>
      </c>
      <c r="BU380" s="45">
        <f t="shared" si="180"/>
        <v>0</v>
      </c>
      <c r="BV380" s="45">
        <f t="shared" si="180"/>
        <v>0</v>
      </c>
      <c r="BW380" s="45">
        <f t="shared" si="180"/>
        <v>0</v>
      </c>
      <c r="BY380" s="12"/>
      <c r="CA380" s="12"/>
      <c r="EX380" s="10" t="str">
        <f t="shared" si="175"/>
        <v/>
      </c>
    </row>
    <row r="381" spans="1:154" s="67" customFormat="1" x14ac:dyDescent="0.25">
      <c r="B381" s="67" t="str">
        <f ca="1">Loans!B$25</f>
        <v>Loan 13</v>
      </c>
      <c r="D381" s="62">
        <f>Loans!D$25</f>
        <v>0</v>
      </c>
      <c r="E381" s="62">
        <f>Loans!E$25</f>
        <v>0</v>
      </c>
      <c r="T381" s="335"/>
      <c r="U381" s="335"/>
      <c r="V381" s="136"/>
      <c r="W381" s="136"/>
      <c r="X381" s="136"/>
      <c r="Y381" s="136"/>
      <c r="AA381" s="45">
        <f>IF($E381= Parameters!$D$68, 0, IF(OR(AA335=1, AA312=1, AA358=1), 1,0 ))</f>
        <v>0</v>
      </c>
      <c r="AB381" s="45">
        <f>IF($E381= Parameters!$D$68, 0, IF(OR(AB335=1, AB312=1, AB358=1), 1,0 ))</f>
        <v>0</v>
      </c>
      <c r="AC381" s="45">
        <f>IF($E381= Parameters!$D$68, 0, IF(OR(AC335=1, AC312=1, AC358=1), 1,0 ))</f>
        <v>0</v>
      </c>
      <c r="AD381" s="45">
        <f>IF($E381= Parameters!$D$68, 0, IF(OR(AD335=1, AD312=1, AD358=1), 1,0 ))</f>
        <v>0</v>
      </c>
      <c r="AE381" s="45">
        <f>IF($E381= Parameters!$D$68, 0, IF(OR(AE335=1, AE312=1, AE358=1), 1,0 ))</f>
        <v>0</v>
      </c>
      <c r="AF381" s="45">
        <f>IF($E381= Parameters!$D$68, 0, IF(OR(AF335=1, AF312=1, AF358=1), 1,0 ))</f>
        <v>0</v>
      </c>
      <c r="AG381" s="45">
        <f>IF($E381= Parameters!$D$68, 0, IF(OR(AG335=1, AG312=1, AG358=1), 1,0 ))</f>
        <v>0</v>
      </c>
      <c r="AH381" s="45">
        <f>IF($E381= Parameters!$D$68, 0, IF(OR(AH335=1, AH312=1, AH358=1), 1,0 ))</f>
        <v>0</v>
      </c>
      <c r="AI381" s="45">
        <f>IF($E381= Parameters!$D$68, 0, IF(OR(AI335=1, AI312=1, AI358=1), 1,0 ))</f>
        <v>0</v>
      </c>
      <c r="AJ381" s="45">
        <f>IF($E381= Parameters!$D$68, 0, IF(OR(AJ335=1, AJ312=1, AJ358=1), 1,0 ))</f>
        <v>0</v>
      </c>
      <c r="AK381" s="45">
        <f>IF($E381= Parameters!$D$68, 0, IF(OR(AK335=1, AK312=1, AK358=1), 1,0 ))</f>
        <v>0</v>
      </c>
      <c r="AL381" s="45">
        <f>IF($E381= Parameters!$D$68, 0, IF(OR(AL335=1, AL312=1, AL358=1), 1,0 ))</f>
        <v>0</v>
      </c>
      <c r="AM381" s="45">
        <f>IF($E381= Parameters!$D$68, 0, IF(OR(AM335=1, AM312=1, AM358=1), 1,0 ))</f>
        <v>0</v>
      </c>
      <c r="AN381" s="45">
        <f>IF($E381= Parameters!$D$68, 0, IF(OR(AN335=1, AN312=1, AN358=1), 1,0 ))</f>
        <v>0</v>
      </c>
      <c r="AO381" s="45">
        <f>IF($E381= Parameters!$D$68, 0, IF(OR(AO335=1, AO312=1, AO358=1), 1,0 ))</f>
        <v>0</v>
      </c>
      <c r="AP381" s="45">
        <f>IF($E381= Parameters!$D$68, 0, IF(OR(AP335=1, AP312=1, AP358=1), 1,0 ))</f>
        <v>0</v>
      </c>
      <c r="AQ381" s="45">
        <f>IF($E381= Parameters!$D$68, 0, IF(OR(AQ335=1, AQ312=1, AQ358=1), 1,0 ))</f>
        <v>0</v>
      </c>
      <c r="AR381" s="45">
        <f>IF($E381= Parameters!$D$68, 0, IF(OR(AR335=1, AR312=1, AR358=1), 1,0 ))</f>
        <v>0</v>
      </c>
      <c r="AS381" s="45">
        <f>IF($E381= Parameters!$D$68, 0, IF(OR(AS335=1, AS312=1, AS358=1), 1,0 ))</f>
        <v>0</v>
      </c>
      <c r="AT381" s="45">
        <f>IF($E381= Parameters!$D$68, 0, IF(OR(AT335=1, AT312=1, AT358=1), 1,0 ))</f>
        <v>0</v>
      </c>
      <c r="AU381" s="45">
        <f>IF($E381= Parameters!$D$68, 0, IF(OR(AU335=1, AU312=1, AU358=1), 1,0 ))</f>
        <v>0</v>
      </c>
      <c r="AV381" s="45">
        <f>IF($E381= Parameters!$D$68, 0, IF(OR(AV335=1, AV312=1, AV358=1), 1,0 ))</f>
        <v>0</v>
      </c>
      <c r="AW381" s="45">
        <f>IF($E381= Parameters!$D$68, 0, IF(OR(AW335=1, AW312=1, AW358=1), 1,0 ))</f>
        <v>0</v>
      </c>
      <c r="AX381" s="45">
        <f>IF($E381= Parameters!$D$68, 0, IF(OR(AX335=1, AX312=1, AX358=1), 1,0 ))</f>
        <v>0</v>
      </c>
      <c r="AY381" s="45">
        <f>IF($E381= Parameters!$D$68, 0, IF(OR(AY335=1, AY312=1, AY358=1), 1,0 ))</f>
        <v>0</v>
      </c>
      <c r="AZ381" s="45">
        <f>IF($E381= Parameters!$D$68, 0, IF(OR(AZ335=1, AZ312=1, AZ358=1), 1,0 ))</f>
        <v>0</v>
      </c>
      <c r="BA381" s="45">
        <f>IF($E381= Parameters!$D$68, 0, IF(OR(BA335=1, BA312=1, BA358=1), 1,0 ))</f>
        <v>0</v>
      </c>
      <c r="BB381" s="45">
        <f>IF($E381= Parameters!$D$68, 0, IF(OR(BB335=1, BB312=1, BB358=1), 1,0 ))</f>
        <v>0</v>
      </c>
      <c r="BC381" s="45">
        <f>IF($E381= Parameters!$D$68, 0, IF(OR(BC335=1, BC312=1, BC358=1), 1,0 ))</f>
        <v>0</v>
      </c>
      <c r="BD381" s="45">
        <f>IF($E381= Parameters!$D$68, 0, IF(OR(BD335=1, BD312=1, BD358=1), 1,0 ))</f>
        <v>0</v>
      </c>
      <c r="BE381" s="45">
        <f>IF($E381= Parameters!$D$68, 0, IF(OR(BE335=1, BE312=1, BE358=1), 1,0 ))</f>
        <v>0</v>
      </c>
      <c r="BF381" s="45">
        <f>IF($E381= Parameters!$D$68, 0, IF(OR(BF335=1, BF312=1, BF358=1), 1,0 ))</f>
        <v>0</v>
      </c>
      <c r="BG381" s="45">
        <f>IF($E381= Parameters!$D$68, 0, IF(OR(BG335=1, BG312=1, BG358=1), 1,0 ))</f>
        <v>0</v>
      </c>
      <c r="BH381" s="45">
        <f>IF($E381= Parameters!$D$68, 0, IF(OR(BH335=1, BH312=1, BH358=1), 1,0 ))</f>
        <v>0</v>
      </c>
      <c r="BI381" s="45">
        <f>IF($E381= Parameters!$D$68, 0, IF(OR(BI335=1, BI312=1, BI358=1), 1,0 ))</f>
        <v>0</v>
      </c>
      <c r="BJ381" s="45">
        <f>IF($E381= Parameters!$D$68, 0, IF(OR(BJ335=1, BJ312=1, BJ358=1), 1,0 ))</f>
        <v>0</v>
      </c>
      <c r="BL381" s="136"/>
      <c r="BM381" s="136"/>
      <c r="BN381" s="136"/>
      <c r="BO381" s="136"/>
      <c r="BP381" s="45">
        <f t="shared" si="180"/>
        <v>0</v>
      </c>
      <c r="BQ381" s="45">
        <f t="shared" si="180"/>
        <v>0</v>
      </c>
      <c r="BR381" s="45">
        <f t="shared" si="180"/>
        <v>0</v>
      </c>
      <c r="BS381" s="45">
        <f t="shared" si="180"/>
        <v>0</v>
      </c>
      <c r="BT381" s="45">
        <f t="shared" si="180"/>
        <v>0</v>
      </c>
      <c r="BU381" s="45">
        <f t="shared" si="180"/>
        <v>0</v>
      </c>
      <c r="BV381" s="45">
        <f t="shared" si="180"/>
        <v>0</v>
      </c>
      <c r="BW381" s="45">
        <f t="shared" si="180"/>
        <v>0</v>
      </c>
      <c r="BY381" s="12"/>
      <c r="CA381" s="12"/>
      <c r="EX381" s="10" t="str">
        <f t="shared" si="175"/>
        <v/>
      </c>
    </row>
    <row r="382" spans="1:154" s="67" customFormat="1" x14ac:dyDescent="0.25">
      <c r="B382" s="67" t="str">
        <f ca="1">Loans!B$26</f>
        <v>Loan 14</v>
      </c>
      <c r="D382" s="62">
        <f>Loans!D$26</f>
        <v>0</v>
      </c>
      <c r="E382" s="62">
        <f>Loans!E$26</f>
        <v>0</v>
      </c>
      <c r="T382" s="335"/>
      <c r="U382" s="335"/>
      <c r="V382" s="136"/>
      <c r="W382" s="136"/>
      <c r="X382" s="136"/>
      <c r="Y382" s="136"/>
      <c r="AA382" s="45">
        <f>IF($E382= Parameters!$D$68, 0, IF(OR(AA336=1, AA313=1, AA359=1), 1,0 ))</f>
        <v>0</v>
      </c>
      <c r="AB382" s="45">
        <f>IF($E382= Parameters!$D$68, 0, IF(OR(AB336=1, AB313=1, AB359=1), 1,0 ))</f>
        <v>0</v>
      </c>
      <c r="AC382" s="45">
        <f>IF($E382= Parameters!$D$68, 0, IF(OR(AC336=1, AC313=1, AC359=1), 1,0 ))</f>
        <v>0</v>
      </c>
      <c r="AD382" s="45">
        <f>IF($E382= Parameters!$D$68, 0, IF(OR(AD336=1, AD313=1, AD359=1), 1,0 ))</f>
        <v>0</v>
      </c>
      <c r="AE382" s="45">
        <f>IF($E382= Parameters!$D$68, 0, IF(OR(AE336=1, AE313=1, AE359=1), 1,0 ))</f>
        <v>0</v>
      </c>
      <c r="AF382" s="45">
        <f>IF($E382= Parameters!$D$68, 0, IF(OR(AF336=1, AF313=1, AF359=1), 1,0 ))</f>
        <v>0</v>
      </c>
      <c r="AG382" s="45">
        <f>IF($E382= Parameters!$D$68, 0, IF(OR(AG336=1, AG313=1, AG359=1), 1,0 ))</f>
        <v>0</v>
      </c>
      <c r="AH382" s="45">
        <f>IF($E382= Parameters!$D$68, 0, IF(OR(AH336=1, AH313=1, AH359=1), 1,0 ))</f>
        <v>0</v>
      </c>
      <c r="AI382" s="45">
        <f>IF($E382= Parameters!$D$68, 0, IF(OR(AI336=1, AI313=1, AI359=1), 1,0 ))</f>
        <v>0</v>
      </c>
      <c r="AJ382" s="45">
        <f>IF($E382= Parameters!$D$68, 0, IF(OR(AJ336=1, AJ313=1, AJ359=1), 1,0 ))</f>
        <v>0</v>
      </c>
      <c r="AK382" s="45">
        <f>IF($E382= Parameters!$D$68, 0, IF(OR(AK336=1, AK313=1, AK359=1), 1,0 ))</f>
        <v>0</v>
      </c>
      <c r="AL382" s="45">
        <f>IF($E382= Parameters!$D$68, 0, IF(OR(AL336=1, AL313=1, AL359=1), 1,0 ))</f>
        <v>0</v>
      </c>
      <c r="AM382" s="45">
        <f>IF($E382= Parameters!$D$68, 0, IF(OR(AM336=1, AM313=1, AM359=1), 1,0 ))</f>
        <v>0</v>
      </c>
      <c r="AN382" s="45">
        <f>IF($E382= Parameters!$D$68, 0, IF(OR(AN336=1, AN313=1, AN359=1), 1,0 ))</f>
        <v>0</v>
      </c>
      <c r="AO382" s="45">
        <f>IF($E382= Parameters!$D$68, 0, IF(OR(AO336=1, AO313=1, AO359=1), 1,0 ))</f>
        <v>0</v>
      </c>
      <c r="AP382" s="45">
        <f>IF($E382= Parameters!$D$68, 0, IF(OR(AP336=1, AP313=1, AP359=1), 1,0 ))</f>
        <v>0</v>
      </c>
      <c r="AQ382" s="45">
        <f>IF($E382= Parameters!$D$68, 0, IF(OR(AQ336=1, AQ313=1, AQ359=1), 1,0 ))</f>
        <v>0</v>
      </c>
      <c r="AR382" s="45">
        <f>IF($E382= Parameters!$D$68, 0, IF(OR(AR336=1, AR313=1, AR359=1), 1,0 ))</f>
        <v>0</v>
      </c>
      <c r="AS382" s="45">
        <f>IF($E382= Parameters!$D$68, 0, IF(OR(AS336=1, AS313=1, AS359=1), 1,0 ))</f>
        <v>0</v>
      </c>
      <c r="AT382" s="45">
        <f>IF($E382= Parameters!$D$68, 0, IF(OR(AT336=1, AT313=1, AT359=1), 1,0 ))</f>
        <v>0</v>
      </c>
      <c r="AU382" s="45">
        <f>IF($E382= Parameters!$D$68, 0, IF(OR(AU336=1, AU313=1, AU359=1), 1,0 ))</f>
        <v>0</v>
      </c>
      <c r="AV382" s="45">
        <f>IF($E382= Parameters!$D$68, 0, IF(OR(AV336=1, AV313=1, AV359=1), 1,0 ))</f>
        <v>0</v>
      </c>
      <c r="AW382" s="45">
        <f>IF($E382= Parameters!$D$68, 0, IF(OR(AW336=1, AW313=1, AW359=1), 1,0 ))</f>
        <v>0</v>
      </c>
      <c r="AX382" s="45">
        <f>IF($E382= Parameters!$D$68, 0, IF(OR(AX336=1, AX313=1, AX359=1), 1,0 ))</f>
        <v>0</v>
      </c>
      <c r="AY382" s="45">
        <f>IF($E382= Parameters!$D$68, 0, IF(OR(AY336=1, AY313=1, AY359=1), 1,0 ))</f>
        <v>0</v>
      </c>
      <c r="AZ382" s="45">
        <f>IF($E382= Parameters!$D$68, 0, IF(OR(AZ336=1, AZ313=1, AZ359=1), 1,0 ))</f>
        <v>0</v>
      </c>
      <c r="BA382" s="45">
        <f>IF($E382= Parameters!$D$68, 0, IF(OR(BA336=1, BA313=1, BA359=1), 1,0 ))</f>
        <v>0</v>
      </c>
      <c r="BB382" s="45">
        <f>IF($E382= Parameters!$D$68, 0, IF(OR(BB336=1, BB313=1, BB359=1), 1,0 ))</f>
        <v>0</v>
      </c>
      <c r="BC382" s="45">
        <f>IF($E382= Parameters!$D$68, 0, IF(OR(BC336=1, BC313=1, BC359=1), 1,0 ))</f>
        <v>0</v>
      </c>
      <c r="BD382" s="45">
        <f>IF($E382= Parameters!$D$68, 0, IF(OR(BD336=1, BD313=1, BD359=1), 1,0 ))</f>
        <v>0</v>
      </c>
      <c r="BE382" s="45">
        <f>IF($E382= Parameters!$D$68, 0, IF(OR(BE336=1, BE313=1, BE359=1), 1,0 ))</f>
        <v>0</v>
      </c>
      <c r="BF382" s="45">
        <f>IF($E382= Parameters!$D$68, 0, IF(OR(BF336=1, BF313=1, BF359=1), 1,0 ))</f>
        <v>0</v>
      </c>
      <c r="BG382" s="45">
        <f>IF($E382= Parameters!$D$68, 0, IF(OR(BG336=1, BG313=1, BG359=1), 1,0 ))</f>
        <v>0</v>
      </c>
      <c r="BH382" s="45">
        <f>IF($E382= Parameters!$D$68, 0, IF(OR(BH336=1, BH313=1, BH359=1), 1,0 ))</f>
        <v>0</v>
      </c>
      <c r="BI382" s="45">
        <f>IF($E382= Parameters!$D$68, 0, IF(OR(BI336=1, BI313=1, BI359=1), 1,0 ))</f>
        <v>0</v>
      </c>
      <c r="BJ382" s="45">
        <f>IF($E382= Parameters!$D$68, 0, IF(OR(BJ336=1, BJ313=1, BJ359=1), 1,0 ))</f>
        <v>0</v>
      </c>
      <c r="BL382" s="136"/>
      <c r="BM382" s="136"/>
      <c r="BN382" s="136"/>
      <c r="BO382" s="136"/>
      <c r="BP382" s="45">
        <f t="shared" si="180"/>
        <v>0</v>
      </c>
      <c r="BQ382" s="45">
        <f t="shared" si="180"/>
        <v>0</v>
      </c>
      <c r="BR382" s="45">
        <f t="shared" si="180"/>
        <v>0</v>
      </c>
      <c r="BS382" s="45">
        <f t="shared" si="180"/>
        <v>0</v>
      </c>
      <c r="BT382" s="45">
        <f t="shared" si="180"/>
        <v>0</v>
      </c>
      <c r="BU382" s="45">
        <f t="shared" si="180"/>
        <v>0</v>
      </c>
      <c r="BV382" s="45">
        <f t="shared" si="180"/>
        <v>0</v>
      </c>
      <c r="BW382" s="45">
        <f t="shared" si="180"/>
        <v>0</v>
      </c>
      <c r="BY382" s="12"/>
      <c r="CA382" s="12"/>
      <c r="EX382" s="10" t="str">
        <f t="shared" si="175"/>
        <v/>
      </c>
    </row>
    <row r="383" spans="1:154" s="67" customFormat="1" x14ac:dyDescent="0.25">
      <c r="B383" s="67" t="str">
        <f ca="1">Loans!B$27</f>
        <v>Loan 15</v>
      </c>
      <c r="D383" s="62">
        <f>Loans!D$27</f>
        <v>0</v>
      </c>
      <c r="E383" s="62">
        <f>Loans!E$27</f>
        <v>0</v>
      </c>
      <c r="T383" s="335"/>
      <c r="U383" s="335"/>
      <c r="V383" s="136"/>
      <c r="W383" s="136"/>
      <c r="X383" s="136"/>
      <c r="Y383" s="136"/>
      <c r="AA383" s="45">
        <f>IF($E383= Parameters!$D$68, 0, IF(OR(AA337=1, AA314=1, AA360=1), 1,0 ))</f>
        <v>0</v>
      </c>
      <c r="AB383" s="45">
        <f>IF($E383= Parameters!$D$68, 0, IF(OR(AB337=1, AB314=1, AB360=1), 1,0 ))</f>
        <v>0</v>
      </c>
      <c r="AC383" s="45">
        <f>IF($E383= Parameters!$D$68, 0, IF(OR(AC337=1, AC314=1, AC360=1), 1,0 ))</f>
        <v>0</v>
      </c>
      <c r="AD383" s="45">
        <f>IF($E383= Parameters!$D$68, 0, IF(OR(AD337=1, AD314=1, AD360=1), 1,0 ))</f>
        <v>0</v>
      </c>
      <c r="AE383" s="45">
        <f>IF($E383= Parameters!$D$68, 0, IF(OR(AE337=1, AE314=1, AE360=1), 1,0 ))</f>
        <v>0</v>
      </c>
      <c r="AF383" s="45">
        <f>IF($E383= Parameters!$D$68, 0, IF(OR(AF337=1, AF314=1, AF360=1), 1,0 ))</f>
        <v>0</v>
      </c>
      <c r="AG383" s="45">
        <f>IF($E383= Parameters!$D$68, 0, IF(OR(AG337=1, AG314=1, AG360=1), 1,0 ))</f>
        <v>0</v>
      </c>
      <c r="AH383" s="45">
        <f>IF($E383= Parameters!$D$68, 0, IF(OR(AH337=1, AH314=1, AH360=1), 1,0 ))</f>
        <v>0</v>
      </c>
      <c r="AI383" s="45">
        <f>IF($E383= Parameters!$D$68, 0, IF(OR(AI337=1, AI314=1, AI360=1), 1,0 ))</f>
        <v>0</v>
      </c>
      <c r="AJ383" s="45">
        <f>IF($E383= Parameters!$D$68, 0, IF(OR(AJ337=1, AJ314=1, AJ360=1), 1,0 ))</f>
        <v>0</v>
      </c>
      <c r="AK383" s="45">
        <f>IF($E383= Parameters!$D$68, 0, IF(OR(AK337=1, AK314=1, AK360=1), 1,0 ))</f>
        <v>0</v>
      </c>
      <c r="AL383" s="45">
        <f>IF($E383= Parameters!$D$68, 0, IF(OR(AL337=1, AL314=1, AL360=1), 1,0 ))</f>
        <v>0</v>
      </c>
      <c r="AM383" s="45">
        <f>IF($E383= Parameters!$D$68, 0, IF(OR(AM337=1, AM314=1, AM360=1), 1,0 ))</f>
        <v>0</v>
      </c>
      <c r="AN383" s="45">
        <f>IF($E383= Parameters!$D$68, 0, IF(OR(AN337=1, AN314=1, AN360=1), 1,0 ))</f>
        <v>0</v>
      </c>
      <c r="AO383" s="45">
        <f>IF($E383= Parameters!$D$68, 0, IF(OR(AO337=1, AO314=1, AO360=1), 1,0 ))</f>
        <v>0</v>
      </c>
      <c r="AP383" s="45">
        <f>IF($E383= Parameters!$D$68, 0, IF(OR(AP337=1, AP314=1, AP360=1), 1,0 ))</f>
        <v>0</v>
      </c>
      <c r="AQ383" s="45">
        <f>IF($E383= Parameters!$D$68, 0, IF(OR(AQ337=1, AQ314=1, AQ360=1), 1,0 ))</f>
        <v>0</v>
      </c>
      <c r="AR383" s="45">
        <f>IF($E383= Parameters!$D$68, 0, IF(OR(AR337=1, AR314=1, AR360=1), 1,0 ))</f>
        <v>0</v>
      </c>
      <c r="AS383" s="45">
        <f>IF($E383= Parameters!$D$68, 0, IF(OR(AS337=1, AS314=1, AS360=1), 1,0 ))</f>
        <v>0</v>
      </c>
      <c r="AT383" s="45">
        <f>IF($E383= Parameters!$D$68, 0, IF(OR(AT337=1, AT314=1, AT360=1), 1,0 ))</f>
        <v>0</v>
      </c>
      <c r="AU383" s="45">
        <f>IF($E383= Parameters!$D$68, 0, IF(OR(AU337=1, AU314=1, AU360=1), 1,0 ))</f>
        <v>0</v>
      </c>
      <c r="AV383" s="45">
        <f>IF($E383= Parameters!$D$68, 0, IF(OR(AV337=1, AV314=1, AV360=1), 1,0 ))</f>
        <v>0</v>
      </c>
      <c r="AW383" s="45">
        <f>IF($E383= Parameters!$D$68, 0, IF(OR(AW337=1, AW314=1, AW360=1), 1,0 ))</f>
        <v>0</v>
      </c>
      <c r="AX383" s="45">
        <f>IF($E383= Parameters!$D$68, 0, IF(OR(AX337=1, AX314=1, AX360=1), 1,0 ))</f>
        <v>0</v>
      </c>
      <c r="AY383" s="45">
        <f>IF($E383= Parameters!$D$68, 0, IF(OR(AY337=1, AY314=1, AY360=1), 1,0 ))</f>
        <v>0</v>
      </c>
      <c r="AZ383" s="45">
        <f>IF($E383= Parameters!$D$68, 0, IF(OR(AZ337=1, AZ314=1, AZ360=1), 1,0 ))</f>
        <v>0</v>
      </c>
      <c r="BA383" s="45">
        <f>IF($E383= Parameters!$D$68, 0, IF(OR(BA337=1, BA314=1, BA360=1), 1,0 ))</f>
        <v>0</v>
      </c>
      <c r="BB383" s="45">
        <f>IF($E383= Parameters!$D$68, 0, IF(OR(BB337=1, BB314=1, BB360=1), 1,0 ))</f>
        <v>0</v>
      </c>
      <c r="BC383" s="45">
        <f>IF($E383= Parameters!$D$68, 0, IF(OR(BC337=1, BC314=1, BC360=1), 1,0 ))</f>
        <v>0</v>
      </c>
      <c r="BD383" s="45">
        <f>IF($E383= Parameters!$D$68, 0, IF(OR(BD337=1, BD314=1, BD360=1), 1,0 ))</f>
        <v>0</v>
      </c>
      <c r="BE383" s="45">
        <f>IF($E383= Parameters!$D$68, 0, IF(OR(BE337=1, BE314=1, BE360=1), 1,0 ))</f>
        <v>0</v>
      </c>
      <c r="BF383" s="45">
        <f>IF($E383= Parameters!$D$68, 0, IF(OR(BF337=1, BF314=1, BF360=1), 1,0 ))</f>
        <v>0</v>
      </c>
      <c r="BG383" s="45">
        <f>IF($E383= Parameters!$D$68, 0, IF(OR(BG337=1, BG314=1, BG360=1), 1,0 ))</f>
        <v>0</v>
      </c>
      <c r="BH383" s="45">
        <f>IF($E383= Parameters!$D$68, 0, IF(OR(BH337=1, BH314=1, BH360=1), 1,0 ))</f>
        <v>0</v>
      </c>
      <c r="BI383" s="45">
        <f>IF($E383= Parameters!$D$68, 0, IF(OR(BI337=1, BI314=1, BI360=1), 1,0 ))</f>
        <v>0</v>
      </c>
      <c r="BJ383" s="45">
        <f>IF($E383= Parameters!$D$68, 0, IF(OR(BJ337=1, BJ314=1, BJ360=1), 1,0 ))</f>
        <v>0</v>
      </c>
      <c r="BL383" s="136"/>
      <c r="BM383" s="136"/>
      <c r="BN383" s="136"/>
      <c r="BO383" s="136"/>
      <c r="BP383" s="45">
        <f t="shared" si="180"/>
        <v>0</v>
      </c>
      <c r="BQ383" s="45">
        <f t="shared" si="180"/>
        <v>0</v>
      </c>
      <c r="BR383" s="45">
        <f t="shared" si="180"/>
        <v>0</v>
      </c>
      <c r="BS383" s="45">
        <f t="shared" si="180"/>
        <v>0</v>
      </c>
      <c r="BT383" s="45">
        <f t="shared" si="180"/>
        <v>0</v>
      </c>
      <c r="BU383" s="45">
        <f t="shared" si="180"/>
        <v>0</v>
      </c>
      <c r="BV383" s="45">
        <f t="shared" si="180"/>
        <v>0</v>
      </c>
      <c r="BW383" s="45">
        <f t="shared" si="180"/>
        <v>0</v>
      </c>
      <c r="BY383" s="12"/>
      <c r="CA383" s="12"/>
      <c r="EX383" s="10" t="str">
        <f t="shared" si="175"/>
        <v/>
      </c>
    </row>
    <row r="384" spans="1:154" s="67" customFormat="1" x14ac:dyDescent="0.25">
      <c r="B384" s="67" t="str">
        <f ca="1">Loans!B$28</f>
        <v>Loan 16</v>
      </c>
      <c r="D384" s="62">
        <f>Loans!D$28</f>
        <v>0</v>
      </c>
      <c r="E384" s="62">
        <f>Loans!E$28</f>
        <v>0</v>
      </c>
      <c r="T384" s="335"/>
      <c r="U384" s="335"/>
      <c r="V384" s="136"/>
      <c r="W384" s="136"/>
      <c r="X384" s="136"/>
      <c r="Y384" s="136"/>
      <c r="AA384" s="45">
        <f>IF($E384= Parameters!$D$68, 0, IF(OR(AA338=1, AA315=1, AA361=1), 1,0 ))</f>
        <v>0</v>
      </c>
      <c r="AB384" s="45">
        <f>IF($E384= Parameters!$D$68, 0, IF(OR(AB338=1, AB315=1, AB361=1), 1,0 ))</f>
        <v>0</v>
      </c>
      <c r="AC384" s="45">
        <f>IF($E384= Parameters!$D$68, 0, IF(OR(AC338=1, AC315=1, AC361=1), 1,0 ))</f>
        <v>0</v>
      </c>
      <c r="AD384" s="45">
        <f>IF($E384= Parameters!$D$68, 0, IF(OR(AD338=1, AD315=1, AD361=1), 1,0 ))</f>
        <v>0</v>
      </c>
      <c r="AE384" s="45">
        <f>IF($E384= Parameters!$D$68, 0, IF(OR(AE338=1, AE315=1, AE361=1), 1,0 ))</f>
        <v>0</v>
      </c>
      <c r="AF384" s="45">
        <f>IF($E384= Parameters!$D$68, 0, IF(OR(AF338=1, AF315=1, AF361=1), 1,0 ))</f>
        <v>0</v>
      </c>
      <c r="AG384" s="45">
        <f>IF($E384= Parameters!$D$68, 0, IF(OR(AG338=1, AG315=1, AG361=1), 1,0 ))</f>
        <v>0</v>
      </c>
      <c r="AH384" s="45">
        <f>IF($E384= Parameters!$D$68, 0, IF(OR(AH338=1, AH315=1, AH361=1), 1,0 ))</f>
        <v>0</v>
      </c>
      <c r="AI384" s="45">
        <f>IF($E384= Parameters!$D$68, 0, IF(OR(AI338=1, AI315=1, AI361=1), 1,0 ))</f>
        <v>0</v>
      </c>
      <c r="AJ384" s="45">
        <f>IF($E384= Parameters!$D$68, 0, IF(OR(AJ338=1, AJ315=1, AJ361=1), 1,0 ))</f>
        <v>0</v>
      </c>
      <c r="AK384" s="45">
        <f>IF($E384= Parameters!$D$68, 0, IF(OR(AK338=1, AK315=1, AK361=1), 1,0 ))</f>
        <v>0</v>
      </c>
      <c r="AL384" s="45">
        <f>IF($E384= Parameters!$D$68, 0, IF(OR(AL338=1, AL315=1, AL361=1), 1,0 ))</f>
        <v>0</v>
      </c>
      <c r="AM384" s="45">
        <f>IF($E384= Parameters!$D$68, 0, IF(OR(AM338=1, AM315=1, AM361=1), 1,0 ))</f>
        <v>0</v>
      </c>
      <c r="AN384" s="45">
        <f>IF($E384= Parameters!$D$68, 0, IF(OR(AN338=1, AN315=1, AN361=1), 1,0 ))</f>
        <v>0</v>
      </c>
      <c r="AO384" s="45">
        <f>IF($E384= Parameters!$D$68, 0, IF(OR(AO338=1, AO315=1, AO361=1), 1,0 ))</f>
        <v>0</v>
      </c>
      <c r="AP384" s="45">
        <f>IF($E384= Parameters!$D$68, 0, IF(OR(AP338=1, AP315=1, AP361=1), 1,0 ))</f>
        <v>0</v>
      </c>
      <c r="AQ384" s="45">
        <f>IF($E384= Parameters!$D$68, 0, IF(OR(AQ338=1, AQ315=1, AQ361=1), 1,0 ))</f>
        <v>0</v>
      </c>
      <c r="AR384" s="45">
        <f>IF($E384= Parameters!$D$68, 0, IF(OR(AR338=1, AR315=1, AR361=1), 1,0 ))</f>
        <v>0</v>
      </c>
      <c r="AS384" s="45">
        <f>IF($E384= Parameters!$D$68, 0, IF(OR(AS338=1, AS315=1, AS361=1), 1,0 ))</f>
        <v>0</v>
      </c>
      <c r="AT384" s="45">
        <f>IF($E384= Parameters!$D$68, 0, IF(OR(AT338=1, AT315=1, AT361=1), 1,0 ))</f>
        <v>0</v>
      </c>
      <c r="AU384" s="45">
        <f>IF($E384= Parameters!$D$68, 0, IF(OR(AU338=1, AU315=1, AU361=1), 1,0 ))</f>
        <v>0</v>
      </c>
      <c r="AV384" s="45">
        <f>IF($E384= Parameters!$D$68, 0, IF(OR(AV338=1, AV315=1, AV361=1), 1,0 ))</f>
        <v>0</v>
      </c>
      <c r="AW384" s="45">
        <f>IF($E384= Parameters!$D$68, 0, IF(OR(AW338=1, AW315=1, AW361=1), 1,0 ))</f>
        <v>0</v>
      </c>
      <c r="AX384" s="45">
        <f>IF($E384= Parameters!$D$68, 0, IF(OR(AX338=1, AX315=1, AX361=1), 1,0 ))</f>
        <v>0</v>
      </c>
      <c r="AY384" s="45">
        <f>IF($E384= Parameters!$D$68, 0, IF(OR(AY338=1, AY315=1, AY361=1), 1,0 ))</f>
        <v>0</v>
      </c>
      <c r="AZ384" s="45">
        <f>IF($E384= Parameters!$D$68, 0, IF(OR(AZ338=1, AZ315=1, AZ361=1), 1,0 ))</f>
        <v>0</v>
      </c>
      <c r="BA384" s="45">
        <f>IF($E384= Parameters!$D$68, 0, IF(OR(BA338=1, BA315=1, BA361=1), 1,0 ))</f>
        <v>0</v>
      </c>
      <c r="BB384" s="45">
        <f>IF($E384= Parameters!$D$68, 0, IF(OR(BB338=1, BB315=1, BB361=1), 1,0 ))</f>
        <v>0</v>
      </c>
      <c r="BC384" s="45">
        <f>IF($E384= Parameters!$D$68, 0, IF(OR(BC338=1, BC315=1, BC361=1), 1,0 ))</f>
        <v>0</v>
      </c>
      <c r="BD384" s="45">
        <f>IF($E384= Parameters!$D$68, 0, IF(OR(BD338=1, BD315=1, BD361=1), 1,0 ))</f>
        <v>0</v>
      </c>
      <c r="BE384" s="45">
        <f>IF($E384= Parameters!$D$68, 0, IF(OR(BE338=1, BE315=1, BE361=1), 1,0 ))</f>
        <v>0</v>
      </c>
      <c r="BF384" s="45">
        <f>IF($E384= Parameters!$D$68, 0, IF(OR(BF338=1, BF315=1, BF361=1), 1,0 ))</f>
        <v>0</v>
      </c>
      <c r="BG384" s="45">
        <f>IF($E384= Parameters!$D$68, 0, IF(OR(BG338=1, BG315=1, BG361=1), 1,0 ))</f>
        <v>0</v>
      </c>
      <c r="BH384" s="45">
        <f>IF($E384= Parameters!$D$68, 0, IF(OR(BH338=1, BH315=1, BH361=1), 1,0 ))</f>
        <v>0</v>
      </c>
      <c r="BI384" s="45">
        <f>IF($E384= Parameters!$D$68, 0, IF(OR(BI338=1, BI315=1, BI361=1), 1,0 ))</f>
        <v>0</v>
      </c>
      <c r="BJ384" s="45">
        <f>IF($E384= Parameters!$D$68, 0, IF(OR(BJ338=1, BJ315=1, BJ361=1), 1,0 ))</f>
        <v>0</v>
      </c>
      <c r="BL384" s="136"/>
      <c r="BM384" s="136"/>
      <c r="BN384" s="136"/>
      <c r="BO384" s="136"/>
      <c r="BP384" s="45">
        <f t="shared" ref="BP384:BW384" si="181">IF(OR(BP338=1, BP315=1), 1,0 )</f>
        <v>0</v>
      </c>
      <c r="BQ384" s="45">
        <f t="shared" si="181"/>
        <v>0</v>
      </c>
      <c r="BR384" s="45">
        <f t="shared" si="181"/>
        <v>0</v>
      </c>
      <c r="BS384" s="45">
        <f t="shared" si="181"/>
        <v>0</v>
      </c>
      <c r="BT384" s="45">
        <f t="shared" si="181"/>
        <v>0</v>
      </c>
      <c r="BU384" s="45">
        <f t="shared" si="181"/>
        <v>0</v>
      </c>
      <c r="BV384" s="45">
        <f t="shared" si="181"/>
        <v>0</v>
      </c>
      <c r="BW384" s="45">
        <f t="shared" si="181"/>
        <v>0</v>
      </c>
      <c r="BY384" s="12"/>
      <c r="CA384" s="12"/>
      <c r="EX384" s="10" t="str">
        <f t="shared" si="175"/>
        <v/>
      </c>
    </row>
    <row r="385" spans="1:154" s="67" customFormat="1" x14ac:dyDescent="0.25">
      <c r="B385" s="67" t="str">
        <f ca="1">Loans!B$29</f>
        <v>Loan 17</v>
      </c>
      <c r="D385" s="62">
        <f>Loans!D$29</f>
        <v>0</v>
      </c>
      <c r="E385" s="62">
        <f>Loans!E$29</f>
        <v>0</v>
      </c>
      <c r="T385" s="335"/>
      <c r="U385" s="335"/>
      <c r="V385" s="136"/>
      <c r="W385" s="136"/>
      <c r="X385" s="136"/>
      <c r="Y385" s="136"/>
      <c r="AA385" s="45">
        <f>IF($E385= Parameters!$D$68, 0, IF(OR(AA339=1, AA316=1, AA362=1), 1,0 ))</f>
        <v>0</v>
      </c>
      <c r="AB385" s="45">
        <f>IF($E385= Parameters!$D$68, 0, IF(OR(AB339=1, AB316=1, AB362=1), 1,0 ))</f>
        <v>0</v>
      </c>
      <c r="AC385" s="45">
        <f>IF($E385= Parameters!$D$68, 0, IF(OR(AC339=1, AC316=1, AC362=1), 1,0 ))</f>
        <v>0</v>
      </c>
      <c r="AD385" s="45">
        <f>IF($E385= Parameters!$D$68, 0, IF(OR(AD339=1, AD316=1, AD362=1), 1,0 ))</f>
        <v>0</v>
      </c>
      <c r="AE385" s="45">
        <f>IF($E385= Parameters!$D$68, 0, IF(OR(AE339=1, AE316=1, AE362=1), 1,0 ))</f>
        <v>0</v>
      </c>
      <c r="AF385" s="45">
        <f>IF($E385= Parameters!$D$68, 0, IF(OR(AF339=1, AF316=1, AF362=1), 1,0 ))</f>
        <v>0</v>
      </c>
      <c r="AG385" s="45">
        <f>IF($E385= Parameters!$D$68, 0, IF(OR(AG339=1, AG316=1, AG362=1), 1,0 ))</f>
        <v>0</v>
      </c>
      <c r="AH385" s="45">
        <f>IF($E385= Parameters!$D$68, 0, IF(OR(AH339=1, AH316=1, AH362=1), 1,0 ))</f>
        <v>0</v>
      </c>
      <c r="AI385" s="45">
        <f>IF($E385= Parameters!$D$68, 0, IF(OR(AI339=1, AI316=1, AI362=1), 1,0 ))</f>
        <v>0</v>
      </c>
      <c r="AJ385" s="45">
        <f>IF($E385= Parameters!$D$68, 0, IF(OR(AJ339=1, AJ316=1, AJ362=1), 1,0 ))</f>
        <v>0</v>
      </c>
      <c r="AK385" s="45">
        <f>IF($E385= Parameters!$D$68, 0, IF(OR(AK339=1, AK316=1, AK362=1), 1,0 ))</f>
        <v>0</v>
      </c>
      <c r="AL385" s="45">
        <f>IF($E385= Parameters!$D$68, 0, IF(OR(AL339=1, AL316=1, AL362=1), 1,0 ))</f>
        <v>0</v>
      </c>
      <c r="AM385" s="45">
        <f>IF($E385= Parameters!$D$68, 0, IF(OR(AM339=1, AM316=1, AM362=1), 1,0 ))</f>
        <v>0</v>
      </c>
      <c r="AN385" s="45">
        <f>IF($E385= Parameters!$D$68, 0, IF(OR(AN339=1, AN316=1, AN362=1), 1,0 ))</f>
        <v>0</v>
      </c>
      <c r="AO385" s="45">
        <f>IF($E385= Parameters!$D$68, 0, IF(OR(AO339=1, AO316=1, AO362=1), 1,0 ))</f>
        <v>0</v>
      </c>
      <c r="AP385" s="45">
        <f>IF($E385= Parameters!$D$68, 0, IF(OR(AP339=1, AP316=1, AP362=1), 1,0 ))</f>
        <v>0</v>
      </c>
      <c r="AQ385" s="45">
        <f>IF($E385= Parameters!$D$68, 0, IF(OR(AQ339=1, AQ316=1, AQ362=1), 1,0 ))</f>
        <v>0</v>
      </c>
      <c r="AR385" s="45">
        <f>IF($E385= Parameters!$D$68, 0, IF(OR(AR339=1, AR316=1, AR362=1), 1,0 ))</f>
        <v>0</v>
      </c>
      <c r="AS385" s="45">
        <f>IF($E385= Parameters!$D$68, 0, IF(OR(AS339=1, AS316=1, AS362=1), 1,0 ))</f>
        <v>0</v>
      </c>
      <c r="AT385" s="45">
        <f>IF($E385= Parameters!$D$68, 0, IF(OR(AT339=1, AT316=1, AT362=1), 1,0 ))</f>
        <v>0</v>
      </c>
      <c r="AU385" s="45">
        <f>IF($E385= Parameters!$D$68, 0, IF(OR(AU339=1, AU316=1, AU362=1), 1,0 ))</f>
        <v>0</v>
      </c>
      <c r="AV385" s="45">
        <f>IF($E385= Parameters!$D$68, 0, IF(OR(AV339=1, AV316=1, AV362=1), 1,0 ))</f>
        <v>0</v>
      </c>
      <c r="AW385" s="45">
        <f>IF($E385= Parameters!$D$68, 0, IF(OR(AW339=1, AW316=1, AW362=1), 1,0 ))</f>
        <v>0</v>
      </c>
      <c r="AX385" s="45">
        <f>IF($E385= Parameters!$D$68, 0, IF(OR(AX339=1, AX316=1, AX362=1), 1,0 ))</f>
        <v>0</v>
      </c>
      <c r="AY385" s="45">
        <f>IF($E385= Parameters!$D$68, 0, IF(OR(AY339=1, AY316=1, AY362=1), 1,0 ))</f>
        <v>0</v>
      </c>
      <c r="AZ385" s="45">
        <f>IF($E385= Parameters!$D$68, 0, IF(OR(AZ339=1, AZ316=1, AZ362=1), 1,0 ))</f>
        <v>0</v>
      </c>
      <c r="BA385" s="45">
        <f>IF($E385= Parameters!$D$68, 0, IF(OR(BA339=1, BA316=1, BA362=1), 1,0 ))</f>
        <v>0</v>
      </c>
      <c r="BB385" s="45">
        <f>IF($E385= Parameters!$D$68, 0, IF(OR(BB339=1, BB316=1, BB362=1), 1,0 ))</f>
        <v>0</v>
      </c>
      <c r="BC385" s="45">
        <f>IF($E385= Parameters!$D$68, 0, IF(OR(BC339=1, BC316=1, BC362=1), 1,0 ))</f>
        <v>0</v>
      </c>
      <c r="BD385" s="45">
        <f>IF($E385= Parameters!$D$68, 0, IF(OR(BD339=1, BD316=1, BD362=1), 1,0 ))</f>
        <v>0</v>
      </c>
      <c r="BE385" s="45">
        <f>IF($E385= Parameters!$D$68, 0, IF(OR(BE339=1, BE316=1, BE362=1), 1,0 ))</f>
        <v>0</v>
      </c>
      <c r="BF385" s="45">
        <f>IF($E385= Parameters!$D$68, 0, IF(OR(BF339=1, BF316=1, BF362=1), 1,0 ))</f>
        <v>0</v>
      </c>
      <c r="BG385" s="45">
        <f>IF($E385= Parameters!$D$68, 0, IF(OR(BG339=1, BG316=1, BG362=1), 1,0 ))</f>
        <v>0</v>
      </c>
      <c r="BH385" s="45">
        <f>IF($E385= Parameters!$D$68, 0, IF(OR(BH339=1, BH316=1, BH362=1), 1,0 ))</f>
        <v>0</v>
      </c>
      <c r="BI385" s="45">
        <f>IF($E385= Parameters!$D$68, 0, IF(OR(BI339=1, BI316=1, BI362=1), 1,0 ))</f>
        <v>0</v>
      </c>
      <c r="BJ385" s="45">
        <f>IF($E385= Parameters!$D$68, 0, IF(OR(BJ339=1, BJ316=1, BJ362=1), 1,0 ))</f>
        <v>0</v>
      </c>
      <c r="BL385" s="136"/>
      <c r="BM385" s="136"/>
      <c r="BN385" s="136"/>
      <c r="BO385" s="136"/>
      <c r="BP385" s="45">
        <f t="shared" ref="BP385:BW385" si="182">IF(OR(BP339=1, BP316=1), 1,0 )</f>
        <v>0</v>
      </c>
      <c r="BQ385" s="45">
        <f t="shared" si="182"/>
        <v>0</v>
      </c>
      <c r="BR385" s="45">
        <f t="shared" si="182"/>
        <v>0</v>
      </c>
      <c r="BS385" s="45">
        <f t="shared" si="182"/>
        <v>0</v>
      </c>
      <c r="BT385" s="45">
        <f t="shared" si="182"/>
        <v>0</v>
      </c>
      <c r="BU385" s="45">
        <f t="shared" si="182"/>
        <v>0</v>
      </c>
      <c r="BV385" s="45">
        <f t="shared" si="182"/>
        <v>0</v>
      </c>
      <c r="BW385" s="45">
        <f t="shared" si="182"/>
        <v>0</v>
      </c>
      <c r="BY385" s="12"/>
      <c r="CA385" s="12"/>
      <c r="EX385" s="10" t="str">
        <f t="shared" si="175"/>
        <v/>
      </c>
    </row>
    <row r="386" spans="1:154" s="67" customFormat="1" x14ac:dyDescent="0.25">
      <c r="B386" s="67" t="str">
        <f ca="1">Loans!B$30</f>
        <v>Loan 18</v>
      </c>
      <c r="D386" s="62">
        <f>Loans!D$30</f>
        <v>0</v>
      </c>
      <c r="E386" s="62">
        <f>Loans!E$30</f>
        <v>0</v>
      </c>
      <c r="T386" s="335"/>
      <c r="U386" s="335"/>
      <c r="V386" s="136"/>
      <c r="W386" s="136"/>
      <c r="X386" s="136"/>
      <c r="Y386" s="136"/>
      <c r="AA386" s="45">
        <f>IF($E386= Parameters!$D$68, 0, IF(OR(AA340=1, AA317=1, AA363=1), 1,0 ))</f>
        <v>0</v>
      </c>
      <c r="AB386" s="45">
        <f>IF($E386= Parameters!$D$68, 0, IF(OR(AB340=1, AB317=1, AB363=1), 1,0 ))</f>
        <v>0</v>
      </c>
      <c r="AC386" s="45">
        <f>IF($E386= Parameters!$D$68, 0, IF(OR(AC340=1, AC317=1, AC363=1), 1,0 ))</f>
        <v>0</v>
      </c>
      <c r="AD386" s="45">
        <f>IF($E386= Parameters!$D$68, 0, IF(OR(AD340=1, AD317=1, AD363=1), 1,0 ))</f>
        <v>0</v>
      </c>
      <c r="AE386" s="45">
        <f>IF($E386= Parameters!$D$68, 0, IF(OR(AE340=1, AE317=1, AE363=1), 1,0 ))</f>
        <v>0</v>
      </c>
      <c r="AF386" s="45">
        <f>IF($E386= Parameters!$D$68, 0, IF(OR(AF340=1, AF317=1, AF363=1), 1,0 ))</f>
        <v>0</v>
      </c>
      <c r="AG386" s="45">
        <f>IF($E386= Parameters!$D$68, 0, IF(OR(AG340=1, AG317=1, AG363=1), 1,0 ))</f>
        <v>0</v>
      </c>
      <c r="AH386" s="45">
        <f>IF($E386= Parameters!$D$68, 0, IF(OR(AH340=1, AH317=1, AH363=1), 1,0 ))</f>
        <v>0</v>
      </c>
      <c r="AI386" s="45">
        <f>IF($E386= Parameters!$D$68, 0, IF(OR(AI340=1, AI317=1, AI363=1), 1,0 ))</f>
        <v>0</v>
      </c>
      <c r="AJ386" s="45">
        <f>IF($E386= Parameters!$D$68, 0, IF(OR(AJ340=1, AJ317=1, AJ363=1), 1,0 ))</f>
        <v>0</v>
      </c>
      <c r="AK386" s="45">
        <f>IF($E386= Parameters!$D$68, 0, IF(OR(AK340=1, AK317=1, AK363=1), 1,0 ))</f>
        <v>0</v>
      </c>
      <c r="AL386" s="45">
        <f>IF($E386= Parameters!$D$68, 0, IF(OR(AL340=1, AL317=1, AL363=1), 1,0 ))</f>
        <v>0</v>
      </c>
      <c r="AM386" s="45">
        <f>IF($E386= Parameters!$D$68, 0, IF(OR(AM340=1, AM317=1, AM363=1), 1,0 ))</f>
        <v>0</v>
      </c>
      <c r="AN386" s="45">
        <f>IF($E386= Parameters!$D$68, 0, IF(OR(AN340=1, AN317=1, AN363=1), 1,0 ))</f>
        <v>0</v>
      </c>
      <c r="AO386" s="45">
        <f>IF($E386= Parameters!$D$68, 0, IF(OR(AO340=1, AO317=1, AO363=1), 1,0 ))</f>
        <v>0</v>
      </c>
      <c r="AP386" s="45">
        <f>IF($E386= Parameters!$D$68, 0, IF(OR(AP340=1, AP317=1, AP363=1), 1,0 ))</f>
        <v>0</v>
      </c>
      <c r="AQ386" s="45">
        <f>IF($E386= Parameters!$D$68, 0, IF(OR(AQ340=1, AQ317=1, AQ363=1), 1,0 ))</f>
        <v>0</v>
      </c>
      <c r="AR386" s="45">
        <f>IF($E386= Parameters!$D$68, 0, IF(OR(AR340=1, AR317=1, AR363=1), 1,0 ))</f>
        <v>0</v>
      </c>
      <c r="AS386" s="45">
        <f>IF($E386= Parameters!$D$68, 0, IF(OR(AS340=1, AS317=1, AS363=1), 1,0 ))</f>
        <v>0</v>
      </c>
      <c r="AT386" s="45">
        <f>IF($E386= Parameters!$D$68, 0, IF(OR(AT340=1, AT317=1, AT363=1), 1,0 ))</f>
        <v>0</v>
      </c>
      <c r="AU386" s="45">
        <f>IF($E386= Parameters!$D$68, 0, IF(OR(AU340=1, AU317=1, AU363=1), 1,0 ))</f>
        <v>0</v>
      </c>
      <c r="AV386" s="45">
        <f>IF($E386= Parameters!$D$68, 0, IF(OR(AV340=1, AV317=1, AV363=1), 1,0 ))</f>
        <v>0</v>
      </c>
      <c r="AW386" s="45">
        <f>IF($E386= Parameters!$D$68, 0, IF(OR(AW340=1, AW317=1, AW363=1), 1,0 ))</f>
        <v>0</v>
      </c>
      <c r="AX386" s="45">
        <f>IF($E386= Parameters!$D$68, 0, IF(OR(AX340=1, AX317=1, AX363=1), 1,0 ))</f>
        <v>0</v>
      </c>
      <c r="AY386" s="45">
        <f>IF($E386= Parameters!$D$68, 0, IF(OR(AY340=1, AY317=1, AY363=1), 1,0 ))</f>
        <v>0</v>
      </c>
      <c r="AZ386" s="45">
        <f>IF($E386= Parameters!$D$68, 0, IF(OR(AZ340=1, AZ317=1, AZ363=1), 1,0 ))</f>
        <v>0</v>
      </c>
      <c r="BA386" s="45">
        <f>IF($E386= Parameters!$D$68, 0, IF(OR(BA340=1, BA317=1, BA363=1), 1,0 ))</f>
        <v>0</v>
      </c>
      <c r="BB386" s="45">
        <f>IF($E386= Parameters!$D$68, 0, IF(OR(BB340=1, BB317=1, BB363=1), 1,0 ))</f>
        <v>0</v>
      </c>
      <c r="BC386" s="45">
        <f>IF($E386= Parameters!$D$68, 0, IF(OR(BC340=1, BC317=1, BC363=1), 1,0 ))</f>
        <v>0</v>
      </c>
      <c r="BD386" s="45">
        <f>IF($E386= Parameters!$D$68, 0, IF(OR(BD340=1, BD317=1, BD363=1), 1,0 ))</f>
        <v>0</v>
      </c>
      <c r="BE386" s="45">
        <f>IF($E386= Parameters!$D$68, 0, IF(OR(BE340=1, BE317=1, BE363=1), 1,0 ))</f>
        <v>0</v>
      </c>
      <c r="BF386" s="45">
        <f>IF($E386= Parameters!$D$68, 0, IF(OR(BF340=1, BF317=1, BF363=1), 1,0 ))</f>
        <v>0</v>
      </c>
      <c r="BG386" s="45">
        <f>IF($E386= Parameters!$D$68, 0, IF(OR(BG340=1, BG317=1, BG363=1), 1,0 ))</f>
        <v>0</v>
      </c>
      <c r="BH386" s="45">
        <f>IF($E386= Parameters!$D$68, 0, IF(OR(BH340=1, BH317=1, BH363=1), 1,0 ))</f>
        <v>0</v>
      </c>
      <c r="BI386" s="45">
        <f>IF($E386= Parameters!$D$68, 0, IF(OR(BI340=1, BI317=1, BI363=1), 1,0 ))</f>
        <v>0</v>
      </c>
      <c r="BJ386" s="45">
        <f>IF($E386= Parameters!$D$68, 0, IF(OR(BJ340=1, BJ317=1, BJ363=1), 1,0 ))</f>
        <v>0</v>
      </c>
      <c r="BL386" s="136"/>
      <c r="BM386" s="136"/>
      <c r="BN386" s="136"/>
      <c r="BO386" s="136"/>
      <c r="BP386" s="45">
        <f t="shared" ref="BP386:BW386" si="183">IF(OR(BP340=1, BP317=1), 1,0 )</f>
        <v>0</v>
      </c>
      <c r="BQ386" s="45">
        <f t="shared" si="183"/>
        <v>0</v>
      </c>
      <c r="BR386" s="45">
        <f t="shared" si="183"/>
        <v>0</v>
      </c>
      <c r="BS386" s="45">
        <f t="shared" si="183"/>
        <v>0</v>
      </c>
      <c r="BT386" s="45">
        <f t="shared" si="183"/>
        <v>0</v>
      </c>
      <c r="BU386" s="45">
        <f t="shared" si="183"/>
        <v>0</v>
      </c>
      <c r="BV386" s="45">
        <f t="shared" si="183"/>
        <v>0</v>
      </c>
      <c r="BW386" s="45">
        <f t="shared" si="183"/>
        <v>0</v>
      </c>
      <c r="BY386" s="12"/>
      <c r="CA386" s="12"/>
      <c r="EX386" s="10" t="str">
        <f t="shared" si="175"/>
        <v/>
      </c>
    </row>
    <row r="387" spans="1:154" s="67" customFormat="1" x14ac:dyDescent="0.25">
      <c r="B387" s="67" t="str">
        <f ca="1">Loans!B$31</f>
        <v>Loan 19</v>
      </c>
      <c r="D387" s="62">
        <f>Loans!D$31</f>
        <v>0</v>
      </c>
      <c r="E387" s="62">
        <f>Loans!E$31</f>
        <v>0</v>
      </c>
      <c r="T387" s="335"/>
      <c r="U387" s="335"/>
      <c r="V387" s="136"/>
      <c r="W387" s="136"/>
      <c r="X387" s="136"/>
      <c r="Y387" s="136"/>
      <c r="AA387" s="45">
        <f>IF($E387= Parameters!$D$68, 0, IF(OR(AA341=1, AA318=1, AA364=1), 1,0 ))</f>
        <v>0</v>
      </c>
      <c r="AB387" s="45">
        <f>IF($E387= Parameters!$D$68, 0, IF(OR(AB341=1, AB318=1, AB364=1), 1,0 ))</f>
        <v>0</v>
      </c>
      <c r="AC387" s="45">
        <f>IF($E387= Parameters!$D$68, 0, IF(OR(AC341=1, AC318=1, AC364=1), 1,0 ))</f>
        <v>0</v>
      </c>
      <c r="AD387" s="45">
        <f>IF($E387= Parameters!$D$68, 0, IF(OR(AD341=1, AD318=1, AD364=1), 1,0 ))</f>
        <v>0</v>
      </c>
      <c r="AE387" s="45">
        <f>IF($E387= Parameters!$D$68, 0, IF(OR(AE341=1, AE318=1, AE364=1), 1,0 ))</f>
        <v>0</v>
      </c>
      <c r="AF387" s="45">
        <f>IF($E387= Parameters!$D$68, 0, IF(OR(AF341=1, AF318=1, AF364=1), 1,0 ))</f>
        <v>0</v>
      </c>
      <c r="AG387" s="45">
        <f>IF($E387= Parameters!$D$68, 0, IF(OR(AG341=1, AG318=1, AG364=1), 1,0 ))</f>
        <v>0</v>
      </c>
      <c r="AH387" s="45">
        <f>IF($E387= Parameters!$D$68, 0, IF(OR(AH341=1, AH318=1, AH364=1), 1,0 ))</f>
        <v>0</v>
      </c>
      <c r="AI387" s="45">
        <f>IF($E387= Parameters!$D$68, 0, IF(OR(AI341=1, AI318=1, AI364=1), 1,0 ))</f>
        <v>0</v>
      </c>
      <c r="AJ387" s="45">
        <f>IF($E387= Parameters!$D$68, 0, IF(OR(AJ341=1, AJ318=1, AJ364=1), 1,0 ))</f>
        <v>0</v>
      </c>
      <c r="AK387" s="45">
        <f>IF($E387= Parameters!$D$68, 0, IF(OR(AK341=1, AK318=1, AK364=1), 1,0 ))</f>
        <v>0</v>
      </c>
      <c r="AL387" s="45">
        <f>IF($E387= Parameters!$D$68, 0, IF(OR(AL341=1, AL318=1, AL364=1), 1,0 ))</f>
        <v>0</v>
      </c>
      <c r="AM387" s="45">
        <f>IF($E387= Parameters!$D$68, 0, IF(OR(AM341=1, AM318=1, AM364=1), 1,0 ))</f>
        <v>0</v>
      </c>
      <c r="AN387" s="45">
        <f>IF($E387= Parameters!$D$68, 0, IF(OR(AN341=1, AN318=1, AN364=1), 1,0 ))</f>
        <v>0</v>
      </c>
      <c r="AO387" s="45">
        <f>IF($E387= Parameters!$D$68, 0, IF(OR(AO341=1, AO318=1, AO364=1), 1,0 ))</f>
        <v>0</v>
      </c>
      <c r="AP387" s="45">
        <f>IF($E387= Parameters!$D$68, 0, IF(OR(AP341=1, AP318=1, AP364=1), 1,0 ))</f>
        <v>0</v>
      </c>
      <c r="AQ387" s="45">
        <f>IF($E387= Parameters!$D$68, 0, IF(OR(AQ341=1, AQ318=1, AQ364=1), 1,0 ))</f>
        <v>0</v>
      </c>
      <c r="AR387" s="45">
        <f>IF($E387= Parameters!$D$68, 0, IF(OR(AR341=1, AR318=1, AR364=1), 1,0 ))</f>
        <v>0</v>
      </c>
      <c r="AS387" s="45">
        <f>IF($E387= Parameters!$D$68, 0, IF(OR(AS341=1, AS318=1, AS364=1), 1,0 ))</f>
        <v>0</v>
      </c>
      <c r="AT387" s="45">
        <f>IF($E387= Parameters!$D$68, 0, IF(OR(AT341=1, AT318=1, AT364=1), 1,0 ))</f>
        <v>0</v>
      </c>
      <c r="AU387" s="45">
        <f>IF($E387= Parameters!$D$68, 0, IF(OR(AU341=1, AU318=1, AU364=1), 1,0 ))</f>
        <v>0</v>
      </c>
      <c r="AV387" s="45">
        <f>IF($E387= Parameters!$D$68, 0, IF(OR(AV341=1, AV318=1, AV364=1), 1,0 ))</f>
        <v>0</v>
      </c>
      <c r="AW387" s="45">
        <f>IF($E387= Parameters!$D$68, 0, IF(OR(AW341=1, AW318=1, AW364=1), 1,0 ))</f>
        <v>0</v>
      </c>
      <c r="AX387" s="45">
        <f>IF($E387= Parameters!$D$68, 0, IF(OR(AX341=1, AX318=1, AX364=1), 1,0 ))</f>
        <v>0</v>
      </c>
      <c r="AY387" s="45">
        <f>IF($E387= Parameters!$D$68, 0, IF(OR(AY341=1, AY318=1, AY364=1), 1,0 ))</f>
        <v>0</v>
      </c>
      <c r="AZ387" s="45">
        <f>IF($E387= Parameters!$D$68, 0, IF(OR(AZ341=1, AZ318=1, AZ364=1), 1,0 ))</f>
        <v>0</v>
      </c>
      <c r="BA387" s="45">
        <f>IF($E387= Parameters!$D$68, 0, IF(OR(BA341=1, BA318=1, BA364=1), 1,0 ))</f>
        <v>0</v>
      </c>
      <c r="BB387" s="45">
        <f>IF($E387= Parameters!$D$68, 0, IF(OR(BB341=1, BB318=1, BB364=1), 1,0 ))</f>
        <v>0</v>
      </c>
      <c r="BC387" s="45">
        <f>IF($E387= Parameters!$D$68, 0, IF(OR(BC341=1, BC318=1, BC364=1), 1,0 ))</f>
        <v>0</v>
      </c>
      <c r="BD387" s="45">
        <f>IF($E387= Parameters!$D$68, 0, IF(OR(BD341=1, BD318=1, BD364=1), 1,0 ))</f>
        <v>0</v>
      </c>
      <c r="BE387" s="45">
        <f>IF($E387= Parameters!$D$68, 0, IF(OR(BE341=1, BE318=1, BE364=1), 1,0 ))</f>
        <v>0</v>
      </c>
      <c r="BF387" s="45">
        <f>IF($E387= Parameters!$D$68, 0, IF(OR(BF341=1, BF318=1, BF364=1), 1,0 ))</f>
        <v>0</v>
      </c>
      <c r="BG387" s="45">
        <f>IF($E387= Parameters!$D$68, 0, IF(OR(BG341=1, BG318=1, BG364=1), 1,0 ))</f>
        <v>0</v>
      </c>
      <c r="BH387" s="45">
        <f>IF($E387= Parameters!$D$68, 0, IF(OR(BH341=1, BH318=1, BH364=1), 1,0 ))</f>
        <v>0</v>
      </c>
      <c r="BI387" s="45">
        <f>IF($E387= Parameters!$D$68, 0, IF(OR(BI341=1, BI318=1, BI364=1), 1,0 ))</f>
        <v>0</v>
      </c>
      <c r="BJ387" s="45">
        <f>IF($E387= Parameters!$D$68, 0, IF(OR(BJ341=1, BJ318=1, BJ364=1), 1,0 ))</f>
        <v>0</v>
      </c>
      <c r="BL387" s="136"/>
      <c r="BM387" s="136"/>
      <c r="BN387" s="136"/>
      <c r="BO387" s="136"/>
      <c r="BP387" s="45">
        <f t="shared" ref="BP387:BW387" si="184">IF(OR(BP341=1, BP318=1), 1,0 )</f>
        <v>0</v>
      </c>
      <c r="BQ387" s="45">
        <f t="shared" si="184"/>
        <v>0</v>
      </c>
      <c r="BR387" s="45">
        <f t="shared" si="184"/>
        <v>0</v>
      </c>
      <c r="BS387" s="45">
        <f t="shared" si="184"/>
        <v>0</v>
      </c>
      <c r="BT387" s="45">
        <f t="shared" si="184"/>
        <v>0</v>
      </c>
      <c r="BU387" s="45">
        <f t="shared" si="184"/>
        <v>0</v>
      </c>
      <c r="BV387" s="45">
        <f t="shared" si="184"/>
        <v>0</v>
      </c>
      <c r="BW387" s="45">
        <f t="shared" si="184"/>
        <v>0</v>
      </c>
      <c r="BY387" s="12"/>
      <c r="CA387" s="12"/>
      <c r="EX387" s="10" t="str">
        <f t="shared" si="175"/>
        <v/>
      </c>
    </row>
    <row r="388" spans="1:154" s="67" customFormat="1" x14ac:dyDescent="0.25">
      <c r="B388" s="67" t="str">
        <f ca="1">Loans!B$32</f>
        <v>Loan 20</v>
      </c>
      <c r="D388" s="62">
        <f>Loans!D$32</f>
        <v>0</v>
      </c>
      <c r="E388" s="62">
        <f>Loans!E$32</f>
        <v>0</v>
      </c>
      <c r="T388" s="335"/>
      <c r="U388" s="335"/>
      <c r="V388" s="136"/>
      <c r="W388" s="136"/>
      <c r="X388" s="136"/>
      <c r="Y388" s="136"/>
      <c r="AA388" s="45">
        <f>IF($E388= Parameters!$D$68, 0, IF(OR(AA342=1, AA319=1, AA365=1), 1,0 ))</f>
        <v>0</v>
      </c>
      <c r="AB388" s="45">
        <f>IF($E388= Parameters!$D$68, 0, IF(OR(AB342=1, AB319=1, AB365=1), 1,0 ))</f>
        <v>0</v>
      </c>
      <c r="AC388" s="45">
        <f>IF($E388= Parameters!$D$68, 0, IF(OR(AC342=1, AC319=1, AC365=1), 1,0 ))</f>
        <v>0</v>
      </c>
      <c r="AD388" s="45">
        <f>IF($E388= Parameters!$D$68, 0, IF(OR(AD342=1, AD319=1, AD365=1), 1,0 ))</f>
        <v>0</v>
      </c>
      <c r="AE388" s="45">
        <f>IF($E388= Parameters!$D$68, 0, IF(OR(AE342=1, AE319=1, AE365=1), 1,0 ))</f>
        <v>0</v>
      </c>
      <c r="AF388" s="45">
        <f>IF($E388= Parameters!$D$68, 0, IF(OR(AF342=1, AF319=1, AF365=1), 1,0 ))</f>
        <v>0</v>
      </c>
      <c r="AG388" s="45">
        <f>IF($E388= Parameters!$D$68, 0, IF(OR(AG342=1, AG319=1, AG365=1), 1,0 ))</f>
        <v>0</v>
      </c>
      <c r="AH388" s="45">
        <f>IF($E388= Parameters!$D$68, 0, IF(OR(AH342=1, AH319=1, AH365=1), 1,0 ))</f>
        <v>0</v>
      </c>
      <c r="AI388" s="45">
        <f>IF($E388= Parameters!$D$68, 0, IF(OR(AI342=1, AI319=1, AI365=1), 1,0 ))</f>
        <v>0</v>
      </c>
      <c r="AJ388" s="45">
        <f>IF($E388= Parameters!$D$68, 0, IF(OR(AJ342=1, AJ319=1, AJ365=1), 1,0 ))</f>
        <v>0</v>
      </c>
      <c r="AK388" s="45">
        <f>IF($E388= Parameters!$D$68, 0, IF(OR(AK342=1, AK319=1, AK365=1), 1,0 ))</f>
        <v>0</v>
      </c>
      <c r="AL388" s="45">
        <f>IF($E388= Parameters!$D$68, 0, IF(OR(AL342=1, AL319=1, AL365=1), 1,0 ))</f>
        <v>0</v>
      </c>
      <c r="AM388" s="45">
        <f>IF($E388= Parameters!$D$68, 0, IF(OR(AM342=1, AM319=1, AM365=1), 1,0 ))</f>
        <v>0</v>
      </c>
      <c r="AN388" s="45">
        <f>IF($E388= Parameters!$D$68, 0, IF(OR(AN342=1, AN319=1, AN365=1), 1,0 ))</f>
        <v>0</v>
      </c>
      <c r="AO388" s="45">
        <f>IF($E388= Parameters!$D$68, 0, IF(OR(AO342=1, AO319=1, AO365=1), 1,0 ))</f>
        <v>0</v>
      </c>
      <c r="AP388" s="45">
        <f>IF($E388= Parameters!$D$68, 0, IF(OR(AP342=1, AP319=1, AP365=1), 1,0 ))</f>
        <v>0</v>
      </c>
      <c r="AQ388" s="45">
        <f>IF($E388= Parameters!$D$68, 0, IF(OR(AQ342=1, AQ319=1, AQ365=1), 1,0 ))</f>
        <v>0</v>
      </c>
      <c r="AR388" s="45">
        <f>IF($E388= Parameters!$D$68, 0, IF(OR(AR342=1, AR319=1, AR365=1), 1,0 ))</f>
        <v>0</v>
      </c>
      <c r="AS388" s="45">
        <f>IF($E388= Parameters!$D$68, 0, IF(OR(AS342=1, AS319=1, AS365=1), 1,0 ))</f>
        <v>0</v>
      </c>
      <c r="AT388" s="45">
        <f>IF($E388= Parameters!$D$68, 0, IF(OR(AT342=1, AT319=1, AT365=1), 1,0 ))</f>
        <v>0</v>
      </c>
      <c r="AU388" s="45">
        <f>IF($E388= Parameters!$D$68, 0, IF(OR(AU342=1, AU319=1, AU365=1), 1,0 ))</f>
        <v>0</v>
      </c>
      <c r="AV388" s="45">
        <f>IF($E388= Parameters!$D$68, 0, IF(OR(AV342=1, AV319=1, AV365=1), 1,0 ))</f>
        <v>0</v>
      </c>
      <c r="AW388" s="45">
        <f>IF($E388= Parameters!$D$68, 0, IF(OR(AW342=1, AW319=1, AW365=1), 1,0 ))</f>
        <v>0</v>
      </c>
      <c r="AX388" s="45">
        <f>IF($E388= Parameters!$D$68, 0, IF(OR(AX342=1, AX319=1, AX365=1), 1,0 ))</f>
        <v>0</v>
      </c>
      <c r="AY388" s="45">
        <f>IF($E388= Parameters!$D$68, 0, IF(OR(AY342=1, AY319=1, AY365=1), 1,0 ))</f>
        <v>0</v>
      </c>
      <c r="AZ388" s="45">
        <f>IF($E388= Parameters!$D$68, 0, IF(OR(AZ342=1, AZ319=1, AZ365=1), 1,0 ))</f>
        <v>0</v>
      </c>
      <c r="BA388" s="45">
        <f>IF($E388= Parameters!$D$68, 0, IF(OR(BA342=1, BA319=1, BA365=1), 1,0 ))</f>
        <v>0</v>
      </c>
      <c r="BB388" s="45">
        <f>IF($E388= Parameters!$D$68, 0, IF(OR(BB342=1, BB319=1, BB365=1), 1,0 ))</f>
        <v>0</v>
      </c>
      <c r="BC388" s="45">
        <f>IF($E388= Parameters!$D$68, 0, IF(OR(BC342=1, BC319=1, BC365=1), 1,0 ))</f>
        <v>0</v>
      </c>
      <c r="BD388" s="45">
        <f>IF($E388= Parameters!$D$68, 0, IF(OR(BD342=1, BD319=1, BD365=1), 1,0 ))</f>
        <v>0</v>
      </c>
      <c r="BE388" s="45">
        <f>IF($E388= Parameters!$D$68, 0, IF(OR(BE342=1, BE319=1, BE365=1), 1,0 ))</f>
        <v>0</v>
      </c>
      <c r="BF388" s="45">
        <f>IF($E388= Parameters!$D$68, 0, IF(OR(BF342=1, BF319=1, BF365=1), 1,0 ))</f>
        <v>0</v>
      </c>
      <c r="BG388" s="45">
        <f>IF($E388= Parameters!$D$68, 0, IF(OR(BG342=1, BG319=1, BG365=1), 1,0 ))</f>
        <v>0</v>
      </c>
      <c r="BH388" s="45">
        <f>IF($E388= Parameters!$D$68, 0, IF(OR(BH342=1, BH319=1, BH365=1), 1,0 ))</f>
        <v>0</v>
      </c>
      <c r="BI388" s="45">
        <f>IF($E388= Parameters!$D$68, 0, IF(OR(BI342=1, BI319=1, BI365=1), 1,0 ))</f>
        <v>0</v>
      </c>
      <c r="BJ388" s="45">
        <f>IF($E388= Parameters!$D$68, 0, IF(OR(BJ342=1, BJ319=1, BJ365=1), 1,0 ))</f>
        <v>0</v>
      </c>
      <c r="BL388" s="136"/>
      <c r="BM388" s="136"/>
      <c r="BN388" s="136"/>
      <c r="BO388" s="136"/>
      <c r="BP388" s="45">
        <f t="shared" ref="BP388:BW388" si="185">IF(OR(BP342=1, BP319=1), 1,0 )</f>
        <v>0</v>
      </c>
      <c r="BQ388" s="45">
        <f t="shared" si="185"/>
        <v>0</v>
      </c>
      <c r="BR388" s="45">
        <f t="shared" si="185"/>
        <v>0</v>
      </c>
      <c r="BS388" s="45">
        <f t="shared" si="185"/>
        <v>0</v>
      </c>
      <c r="BT388" s="45">
        <f t="shared" si="185"/>
        <v>0</v>
      </c>
      <c r="BU388" s="45">
        <f t="shared" si="185"/>
        <v>0</v>
      </c>
      <c r="BV388" s="45">
        <f t="shared" si="185"/>
        <v>0</v>
      </c>
      <c r="BW388" s="45">
        <f t="shared" si="185"/>
        <v>0</v>
      </c>
      <c r="BY388" s="12"/>
      <c r="CA388" s="12"/>
      <c r="EX388" s="10" t="str">
        <f t="shared" si="175"/>
        <v/>
      </c>
    </row>
    <row r="389" spans="1:154" s="335" customFormat="1" x14ac:dyDescent="0.25">
      <c r="E389" s="1"/>
      <c r="BY389" s="12"/>
      <c r="CA389" s="12"/>
      <c r="EX389" s="10" t="str">
        <f t="shared" si="175"/>
        <v/>
      </c>
    </row>
    <row r="390" spans="1:154" x14ac:dyDescent="0.25">
      <c r="A390" s="12" t="s">
        <v>88</v>
      </c>
      <c r="B390" s="12" t="s">
        <v>88</v>
      </c>
      <c r="C390" s="12" t="s">
        <v>88</v>
      </c>
      <c r="D390" s="12" t="s">
        <v>88</v>
      </c>
      <c r="E390" s="28" t="s">
        <v>88</v>
      </c>
      <c r="F390" s="12" t="s">
        <v>88</v>
      </c>
      <c r="G390" s="12" t="s">
        <v>88</v>
      </c>
      <c r="H390" s="12" t="s">
        <v>88</v>
      </c>
      <c r="I390" s="12" t="s">
        <v>88</v>
      </c>
      <c r="J390" s="12" t="s">
        <v>88</v>
      </c>
      <c r="K390" s="12" t="s">
        <v>88</v>
      </c>
      <c r="L390" s="12" t="s">
        <v>88</v>
      </c>
      <c r="M390" s="12" t="s">
        <v>88</v>
      </c>
      <c r="N390" s="12" t="s">
        <v>88</v>
      </c>
      <c r="O390" s="12" t="s">
        <v>88</v>
      </c>
      <c r="P390" s="12" t="s">
        <v>88</v>
      </c>
      <c r="Q390" s="12" t="s">
        <v>88</v>
      </c>
      <c r="R390" s="12" t="s">
        <v>88</v>
      </c>
      <c r="S390" s="12"/>
      <c r="T390" s="12" t="s">
        <v>88</v>
      </c>
      <c r="U390" s="12" t="s">
        <v>88</v>
      </c>
      <c r="V390" s="12" t="s">
        <v>88</v>
      </c>
      <c r="W390" s="12" t="s">
        <v>88</v>
      </c>
      <c r="X390" s="12"/>
      <c r="Y390" s="12"/>
      <c r="Z390" s="12" t="s">
        <v>88</v>
      </c>
      <c r="AA390" s="12" t="s">
        <v>88</v>
      </c>
      <c r="AB390" s="12" t="s">
        <v>88</v>
      </c>
      <c r="AC390" s="12" t="s">
        <v>88</v>
      </c>
      <c r="AD390" s="12" t="s">
        <v>88</v>
      </c>
      <c r="AE390" s="12" t="s">
        <v>88</v>
      </c>
      <c r="AF390" s="12" t="s">
        <v>88</v>
      </c>
      <c r="AG390" s="12" t="s">
        <v>88</v>
      </c>
      <c r="AH390" s="12" t="s">
        <v>88</v>
      </c>
      <c r="AI390" s="12" t="s">
        <v>88</v>
      </c>
      <c r="AJ390" s="12" t="s">
        <v>88</v>
      </c>
      <c r="AK390" s="12" t="s">
        <v>88</v>
      </c>
      <c r="AL390" s="12" t="s">
        <v>88</v>
      </c>
      <c r="AM390" s="12" t="s">
        <v>88</v>
      </c>
      <c r="AN390" s="12" t="s">
        <v>88</v>
      </c>
      <c r="AO390" s="12" t="s">
        <v>88</v>
      </c>
      <c r="AP390" s="12" t="s">
        <v>88</v>
      </c>
      <c r="AQ390" s="12" t="s">
        <v>88</v>
      </c>
      <c r="AR390" s="12" t="s">
        <v>88</v>
      </c>
      <c r="AS390" s="12" t="s">
        <v>88</v>
      </c>
      <c r="AT390" s="12" t="s">
        <v>88</v>
      </c>
      <c r="AU390" s="12" t="s">
        <v>88</v>
      </c>
      <c r="AV390" s="12" t="s">
        <v>88</v>
      </c>
      <c r="AW390" s="12" t="s">
        <v>88</v>
      </c>
      <c r="AX390" s="12" t="s">
        <v>88</v>
      </c>
      <c r="AY390" s="12" t="s">
        <v>88</v>
      </c>
      <c r="AZ390" s="12" t="s">
        <v>88</v>
      </c>
      <c r="BA390" s="12" t="s">
        <v>88</v>
      </c>
      <c r="BB390" s="12" t="s">
        <v>88</v>
      </c>
      <c r="BC390" s="12" t="s">
        <v>88</v>
      </c>
      <c r="BD390" s="12" t="s">
        <v>88</v>
      </c>
      <c r="BE390" s="12" t="s">
        <v>88</v>
      </c>
      <c r="BF390" s="12" t="s">
        <v>88</v>
      </c>
      <c r="BG390" s="12" t="s">
        <v>88</v>
      </c>
      <c r="BH390" s="12" t="s">
        <v>88</v>
      </c>
      <c r="BI390" s="12" t="s">
        <v>88</v>
      </c>
      <c r="BJ390" s="12" t="s">
        <v>88</v>
      </c>
      <c r="BK390" s="12" t="s">
        <v>88</v>
      </c>
      <c r="BL390" s="12" t="s">
        <v>88</v>
      </c>
      <c r="BM390" s="12" t="s">
        <v>88</v>
      </c>
      <c r="BN390" s="12" t="s">
        <v>88</v>
      </c>
      <c r="BO390" s="12" t="s">
        <v>88</v>
      </c>
      <c r="BP390" s="12" t="s">
        <v>88</v>
      </c>
      <c r="BQ390" s="12" t="s">
        <v>88</v>
      </c>
      <c r="BR390" s="12" t="s">
        <v>88</v>
      </c>
      <c r="BS390" s="12" t="s">
        <v>88</v>
      </c>
      <c r="BT390" s="12" t="s">
        <v>88</v>
      </c>
      <c r="BU390" s="12" t="s">
        <v>88</v>
      </c>
      <c r="BV390" s="12" t="s">
        <v>88</v>
      </c>
      <c r="BW390" s="12" t="s">
        <v>88</v>
      </c>
      <c r="BX390" s="12" t="s">
        <v>88</v>
      </c>
      <c r="BY390" s="12" t="s">
        <v>88</v>
      </c>
      <c r="BZ390" s="12" t="s">
        <v>88</v>
      </c>
      <c r="CA390" s="12" t="s">
        <v>88</v>
      </c>
      <c r="EX390" s="10" t="str">
        <f t="shared" si="175"/>
        <v>*</v>
      </c>
    </row>
    <row r="391" spans="1:154" x14ac:dyDescent="0.25">
      <c r="EX391" s="335"/>
    </row>
  </sheetData>
  <sheetProtection algorithmName="SHA-512" hashValue="w+yZU+Jt7GMFG7YEmoHEhotXk7dpD1PERq/d81zy5/QLwLG9sqZDykCUKPCZ8PPT2uHtb1kuq1bO0mWe2BsTwg==" saltValue="4org2kG4G+2xjf3Af0YT4Q==" spinCount="100000" sheet="1" objects="1" scenarios="1"/>
  <mergeCells count="3">
    <mergeCell ref="BY1:BY6"/>
    <mergeCell ref="CA1:CA6"/>
    <mergeCell ref="BZ4:BZ6"/>
  </mergeCells>
  <phoneticPr fontId="9" type="noConversion"/>
  <conditionalFormatting sqref="A1">
    <cfRule type="cellIs" dxfId="6" priority="4" operator="equal">
      <formula>0</formula>
    </cfRule>
    <cfRule type="cellIs" dxfId="5" priority="5" operator="greaterThan">
      <formula>0</formula>
    </cfRule>
  </conditionalFormatting>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 id="{CE12F1C5-F25E-4B1E-ACDC-5A4DA8A7E9D8}">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02C0DA1-A8B0-41E6-A911-F58BFDC3FD03}">
          <x14:formula1>
            <xm:f>'Dash Data'!$D$93:$D$100</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A651-EC4D-4CB2-8E7B-7A75E20EEE19}">
  <sheetPr codeName="Sheet13">
    <outlinePr summaryBelow="0" summaryRight="0"/>
    <pageSetUpPr autoPageBreaks="0"/>
  </sheetPr>
  <dimension ref="A1:CA227"/>
  <sheetViews>
    <sheetView showGridLines="0" zoomScaleNormal="100" workbookViewId="0">
      <pane xSplit="8" ySplit="7" topLeftCell="I8" activePane="bottomRight" state="frozen"/>
      <selection pane="topRight"/>
      <selection pane="bottomLeft"/>
      <selection pane="bottomRight"/>
    </sheetView>
  </sheetViews>
  <sheetFormatPr defaultColWidth="0" defaultRowHeight="15" outlineLevelCol="1" x14ac:dyDescent="0.25"/>
  <cols>
    <col min="1" max="1" width="6.5703125" style="11" bestFit="1" customWidth="1"/>
    <col min="2" max="2" width="9.42578125" style="11" bestFit="1" customWidth="1"/>
    <col min="3" max="3" width="23.5703125" style="11" customWidth="1"/>
    <col min="4" max="4" width="48.42578125" style="11" customWidth="1"/>
    <col min="5" max="5" width="12.42578125" style="1" customWidth="1"/>
    <col min="6" max="6" width="14" style="11" customWidth="1"/>
    <col min="7" max="7" width="7.42578125" style="11" hidden="1" customWidth="1"/>
    <col min="8" max="8" width="15" style="11" hidden="1" customWidth="1"/>
    <col min="9" max="9" width="3" style="11" hidden="1" customWidth="1"/>
    <col min="10" max="10" width="8.5703125" style="11" hidden="1" customWidth="1" collapsed="1"/>
    <col min="11" max="18" width="8.5703125" style="11" hidden="1" customWidth="1" outlineLevel="1"/>
    <col min="19" max="22" width="9.5703125" style="11" hidden="1" customWidth="1"/>
    <col min="23" max="23" width="3" style="11" hidden="1" customWidth="1"/>
    <col min="24" max="24" width="11.5703125" style="11" hidden="1" customWidth="1"/>
    <col min="25" max="25" width="9.5703125" style="11" hidden="1" customWidth="1"/>
    <col min="26" max="26" width="3" style="11" hidden="1" customWidth="1"/>
    <col min="27" max="27" width="9.5703125" style="11" hidden="1" customWidth="1"/>
    <col min="28" max="29" width="9.42578125" style="11" hidden="1" customWidth="1"/>
    <col min="30" max="31" width="9.5703125" style="11" hidden="1" customWidth="1"/>
    <col min="32" max="33" width="9.42578125" style="11" hidden="1" customWidth="1"/>
    <col min="34" max="34" width="9.5703125" style="11" hidden="1" customWidth="1"/>
    <col min="35" max="35" width="9.42578125" style="11" hidden="1" customWidth="1"/>
    <col min="36" max="36" width="10.42578125" style="11" hidden="1" customWidth="1"/>
    <col min="37" max="37" width="9.42578125" style="11" hidden="1" customWidth="1"/>
    <col min="38" max="38" width="8.5703125" style="11" hidden="1" customWidth="1"/>
    <col min="39" max="39" width="9.5703125" style="11" hidden="1" customWidth="1"/>
    <col min="40" max="41" width="9.42578125" style="11" hidden="1" customWidth="1"/>
    <col min="42" max="43" width="9.5703125" style="11" hidden="1" customWidth="1"/>
    <col min="44" max="45" width="9.42578125" style="11" hidden="1" customWidth="1"/>
    <col min="46" max="46" width="9.5703125" style="11" hidden="1" customWidth="1"/>
    <col min="47" max="47" width="9.42578125" style="11" hidden="1" customWidth="1"/>
    <col min="48" max="48" width="10.42578125" style="11" hidden="1" customWidth="1"/>
    <col min="49" max="49" width="9.42578125" style="11" hidden="1" customWidth="1"/>
    <col min="50" max="50" width="8.5703125" style="11" hidden="1" customWidth="1"/>
    <col min="51" max="51" width="9.5703125" style="11" hidden="1" customWidth="1"/>
    <col min="52" max="53" width="9.42578125" style="11" hidden="1" customWidth="1"/>
    <col min="54" max="55" width="9.5703125" style="11" hidden="1" customWidth="1"/>
    <col min="56" max="57" width="9.42578125" style="11" hidden="1" customWidth="1"/>
    <col min="58" max="58" width="9.5703125" style="11" hidden="1" customWidth="1"/>
    <col min="59" max="59" width="9.42578125" style="11" hidden="1" customWidth="1"/>
    <col min="60" max="60" width="10.42578125" style="11" hidden="1" customWidth="1"/>
    <col min="61" max="61" width="9.42578125" style="11" hidden="1" customWidth="1"/>
    <col min="62" max="62" width="8.5703125" style="11" hidden="1" customWidth="1"/>
    <col min="63" max="63" width="3" style="11" hidden="1" customWidth="1"/>
    <col min="64" max="64" width="9.5703125" style="11" hidden="1" customWidth="1"/>
    <col min="65" max="65" width="10.5703125" style="11" hidden="1" customWidth="1"/>
    <col min="66" max="75" width="9.5703125" style="11" hidden="1" customWidth="1"/>
    <col min="76" max="76" width="3" style="11" hidden="1" customWidth="1"/>
    <col min="77" max="77" width="3.42578125" style="11" hidden="1" customWidth="1"/>
    <col min="78" max="78" width="13.42578125" style="11" hidden="1" customWidth="1"/>
    <col min="79" max="79" width="2.5703125" style="11" hidden="1" customWidth="1"/>
    <col min="80" max="16384" width="8.5703125" style="11" hidden="1"/>
  </cols>
  <sheetData>
    <row r="1" spans="1:79" x14ac:dyDescent="0.25">
      <c r="A1" s="7">
        <f ca="1">ToC!A1</f>
        <v>0</v>
      </c>
      <c r="B1" s="14" t="s">
        <v>282</v>
      </c>
      <c r="C1" s="14"/>
      <c r="D1" s="20" t="str">
        <f>CollegeNameInput</f>
        <v>HALESOWEN COLLEGE</v>
      </c>
      <c r="E1" s="14"/>
      <c r="F1" s="24"/>
      <c r="G1" s="24"/>
      <c r="H1" s="14"/>
      <c r="I1" s="14"/>
      <c r="J1" s="14"/>
      <c r="K1" s="14"/>
      <c r="L1" s="14"/>
      <c r="M1" s="14"/>
      <c r="N1" s="14"/>
      <c r="O1" s="14"/>
      <c r="P1" s="14"/>
      <c r="Q1" s="14"/>
      <c r="R1" s="14"/>
      <c r="S1" s="14" t="str">
        <f>Timeline!V1</f>
        <v>Annual Timeline</v>
      </c>
      <c r="T1" s="14"/>
      <c r="U1" s="14"/>
      <c r="V1" s="14"/>
      <c r="W1" s="14"/>
      <c r="X1" s="14">
        <f>Timeline!T1</f>
        <v>0</v>
      </c>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CA1" s="575"/>
    </row>
    <row r="2" spans="1:79" ht="14.45" customHeight="1" x14ac:dyDescent="0.25">
      <c r="A2" s="14"/>
      <c r="B2" s="92" t="str" cm="1">
        <f t="array" aca="1" ref="B2" ca="1">HYPERLINK(CONCATENATE("#",CELL("address",Guide!$A$134)),Guide!$B$1)</f>
        <v>Guide</v>
      </c>
      <c r="C2" s="26"/>
      <c r="D2" s="26"/>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CA2" s="575"/>
    </row>
    <row r="3" spans="1:79" x14ac:dyDescent="0.25">
      <c r="A3" s="92" t="str" cm="1">
        <f t="array" aca="1" ref="A3" ca="1">HYPERLINK(CONCATENATE("#",CELL("address",ToC!$A$1)),ToC!$C$1)</f>
        <v>ToC</v>
      </c>
      <c r="B3" s="14"/>
      <c r="C3" s="14"/>
      <c r="D3" s="43" t="str">
        <f>Timeline!D3</f>
        <v>Financial Year</v>
      </c>
      <c r="E3" s="14"/>
      <c r="F3" s="14"/>
      <c r="G3" s="14"/>
      <c r="H3" s="14"/>
      <c r="I3" s="14"/>
      <c r="J3" s="14"/>
      <c r="K3" s="14"/>
      <c r="L3" s="14"/>
      <c r="M3" s="14"/>
      <c r="N3" s="14"/>
      <c r="O3" s="14"/>
      <c r="P3" s="14"/>
      <c r="Q3" s="14"/>
      <c r="R3" s="14"/>
      <c r="S3" s="17" t="str">
        <f>Timeline!V3</f>
        <v>FY2020</v>
      </c>
      <c r="T3" s="18" t="str">
        <f>Timeline!W3</f>
        <v>FY2021</v>
      </c>
      <c r="U3" s="18" t="str">
        <f>Timeline!X3</f>
        <v>FY2022</v>
      </c>
      <c r="V3" s="19" t="str">
        <f>Timeline!Y3</f>
        <v>FY2023</v>
      </c>
      <c r="W3" s="14"/>
      <c r="X3" s="17">
        <f>Timeline!T3</f>
        <v>0</v>
      </c>
      <c r="Y3" s="19">
        <f>Timeline!U3</f>
        <v>0</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CA3" s="575"/>
    </row>
    <row r="4" spans="1:79" x14ac:dyDescent="0.25">
      <c r="A4" s="14"/>
      <c r="B4" s="14"/>
      <c r="C4" s="14"/>
      <c r="D4" s="43" t="str">
        <f>Timeline!D4</f>
        <v>Forecast vs Actual</v>
      </c>
      <c r="E4" s="14"/>
      <c r="F4" s="14"/>
      <c r="G4" s="14"/>
      <c r="H4" s="14"/>
      <c r="I4" s="14"/>
      <c r="J4" s="14"/>
      <c r="K4" s="14"/>
      <c r="L4" s="14"/>
      <c r="M4" s="14"/>
      <c r="N4" s="14"/>
      <c r="O4" s="14"/>
      <c r="P4" s="14"/>
      <c r="Q4" s="14"/>
      <c r="R4" s="14"/>
      <c r="S4" s="32">
        <f>Timeline!V4</f>
        <v>0</v>
      </c>
      <c r="T4" s="33">
        <f>Timeline!W4</f>
        <v>-1</v>
      </c>
      <c r="U4" s="33">
        <f>Timeline!X4</f>
        <v>1</v>
      </c>
      <c r="V4" s="34">
        <f>Timeline!Y4</f>
        <v>1</v>
      </c>
      <c r="W4" s="14"/>
      <c r="X4" s="32">
        <f>Timeline!T4</f>
        <v>0</v>
      </c>
      <c r="Y4" s="34">
        <f>Timeline!U4</f>
        <v>0</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6"/>
      <c r="CA4" s="575"/>
    </row>
    <row r="5" spans="1:79" x14ac:dyDescent="0.25">
      <c r="A5" s="14"/>
      <c r="B5" s="14"/>
      <c r="C5" s="14"/>
      <c r="D5" s="43" t="str">
        <f>Timeline!D5</f>
        <v>Period End Date</v>
      </c>
      <c r="E5" s="14"/>
      <c r="F5" s="14"/>
      <c r="G5" s="14"/>
      <c r="H5" s="14"/>
      <c r="I5" s="14"/>
      <c r="J5" s="14"/>
      <c r="K5" s="14"/>
      <c r="L5" s="14"/>
      <c r="M5" s="14"/>
      <c r="N5" s="14"/>
      <c r="O5" s="14"/>
      <c r="P5" s="14"/>
      <c r="Q5" s="14"/>
      <c r="R5" s="14"/>
      <c r="S5" s="21">
        <f>Timeline!V5</f>
        <v>44043</v>
      </c>
      <c r="T5" s="22">
        <f>Timeline!W5</f>
        <v>44408</v>
      </c>
      <c r="U5" s="22">
        <f>Timeline!X5</f>
        <v>44773</v>
      </c>
      <c r="V5" s="23">
        <f>Timeline!Y5</f>
        <v>45138</v>
      </c>
      <c r="W5" s="14"/>
      <c r="X5" s="21">
        <f>Timeline!T5</f>
        <v>0</v>
      </c>
      <c r="Y5" s="23">
        <f>Timeline!U5</f>
        <v>0</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6"/>
      <c r="CA5" s="575"/>
    </row>
    <row r="6" spans="1:79" x14ac:dyDescent="0.25">
      <c r="A6" s="80"/>
      <c r="B6" s="24"/>
      <c r="C6" s="14"/>
      <c r="D6" s="26" t="s">
        <v>5</v>
      </c>
      <c r="E6" s="14"/>
      <c r="F6" s="14"/>
      <c r="G6" s="14"/>
      <c r="H6" s="14"/>
      <c r="I6" s="14"/>
      <c r="J6" s="14"/>
      <c r="K6" s="14"/>
      <c r="L6" s="14"/>
      <c r="M6" s="14"/>
      <c r="N6" s="16"/>
      <c r="O6" s="14"/>
      <c r="P6" s="14"/>
      <c r="Q6" s="14"/>
      <c r="R6" s="14"/>
      <c r="S6" s="80" t="str" cm="1">
        <f t="array" aca="1" ref="S6" ca="1">HYPERLINK(CONCATENATE("#",CELL("address",$BW$6)),"Link to 12 Year Annual Timeline")</f>
        <v>Link to 12 Year Annual Timeline</v>
      </c>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HYPERLINK(CONCATENATE("#",CELL("address",$S$6)),"Link to 4 Year Annual Timeline")</f>
        <v>Link to 4 Year Annual Timeline</v>
      </c>
      <c r="BM6" s="14"/>
      <c r="BN6" s="14"/>
      <c r="BO6" s="14"/>
      <c r="BP6" s="14"/>
      <c r="BQ6" s="14"/>
      <c r="BR6" s="14"/>
      <c r="BS6" s="14"/>
      <c r="BT6" s="14"/>
      <c r="BU6" s="14"/>
      <c r="BV6" s="16"/>
      <c r="BW6" s="14"/>
      <c r="BX6" s="14"/>
      <c r="BY6" s="575"/>
      <c r="BZ6" s="576"/>
      <c r="CA6" s="575"/>
    </row>
    <row r="7" spans="1:79" x14ac:dyDescent="0.25">
      <c r="B7" s="139" t="s">
        <v>2494</v>
      </c>
      <c r="D7" s="1"/>
      <c r="E7" s="11"/>
      <c r="BM7" s="6"/>
      <c r="BY7" s="42"/>
      <c r="CA7" s="42"/>
    </row>
    <row r="8" spans="1:79" x14ac:dyDescent="0.25">
      <c r="A8" s="40"/>
      <c r="B8" s="40"/>
      <c r="C8" s="40"/>
      <c r="D8" s="40" t="s">
        <v>921</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12"/>
      <c r="BZ8" s="67"/>
      <c r="CA8" s="42"/>
    </row>
    <row r="9" spans="1:79" ht="6.6" customHeight="1" x14ac:dyDescent="0.25">
      <c r="D9" s="1"/>
      <c r="E9" s="11"/>
      <c r="BM9" s="6"/>
      <c r="BY9" s="12"/>
      <c r="BZ9" s="67"/>
      <c r="CA9" s="42"/>
    </row>
    <row r="10" spans="1:79" s="67" customFormat="1" x14ac:dyDescent="0.25">
      <c r="D10" s="14" t="s">
        <v>415</v>
      </c>
      <c r="E10" s="1"/>
      <c r="BY10" s="12"/>
      <c r="CA10" s="42"/>
    </row>
    <row r="11" spans="1:79" s="67" customFormat="1" x14ac:dyDescent="0.25">
      <c r="D11" s="121" t="s">
        <v>416</v>
      </c>
      <c r="E11" s="1"/>
      <c r="BY11" s="12"/>
      <c r="CA11" s="42"/>
    </row>
    <row r="12" spans="1:79" s="335" customFormat="1" ht="6.6" customHeight="1" x14ac:dyDescent="0.25">
      <c r="D12" s="1"/>
      <c r="BM12" s="6"/>
      <c r="BY12" s="12"/>
      <c r="CA12" s="42"/>
    </row>
    <row r="13" spans="1:79" s="335" customFormat="1" x14ac:dyDescent="0.25">
      <c r="D13" s="14" t="s">
        <v>920</v>
      </c>
      <c r="E13" s="1"/>
      <c r="BY13" s="12"/>
      <c r="CA13" s="42"/>
    </row>
    <row r="14" spans="1:79" s="335" customFormat="1" x14ac:dyDescent="0.25">
      <c r="D14" s="121">
        <v>16</v>
      </c>
      <c r="E14" s="1"/>
      <c r="BY14" s="12"/>
      <c r="CA14" s="42"/>
    </row>
    <row r="15" spans="1:79" s="335" customFormat="1" ht="6.6" customHeight="1" x14ac:dyDescent="0.25">
      <c r="D15" s="1"/>
      <c r="BM15" s="6"/>
      <c r="BY15" s="12"/>
      <c r="CA15" s="42"/>
    </row>
    <row r="16" spans="1:79" s="335" customFormat="1" x14ac:dyDescent="0.25">
      <c r="D16" s="14" t="s">
        <v>923</v>
      </c>
      <c r="E16" s="14" t="s">
        <v>926</v>
      </c>
      <c r="BY16" s="12"/>
      <c r="CA16" s="42"/>
    </row>
    <row r="17" spans="4:79" s="335" customFormat="1" x14ac:dyDescent="0.25">
      <c r="D17" s="121" t="s">
        <v>925</v>
      </c>
      <c r="E17" s="121">
        <v>8</v>
      </c>
      <c r="BY17" s="12"/>
      <c r="CA17" s="42"/>
    </row>
    <row r="18" spans="4:79" s="335" customFormat="1" x14ac:dyDescent="0.25">
      <c r="D18" s="121" t="s">
        <v>924</v>
      </c>
      <c r="E18" s="121">
        <v>7</v>
      </c>
      <c r="BY18" s="12"/>
      <c r="CA18" s="42"/>
    </row>
    <row r="19" spans="4:79" s="67" customFormat="1" ht="6.6" customHeight="1" x14ac:dyDescent="0.25">
      <c r="D19" s="1"/>
      <c r="BM19" s="6"/>
      <c r="BY19" s="12"/>
      <c r="CA19" s="42"/>
    </row>
    <row r="20" spans="4:79" s="67" customFormat="1" x14ac:dyDescent="0.25">
      <c r="D20" s="14" t="s">
        <v>336</v>
      </c>
      <c r="E20" s="1"/>
      <c r="BY20" s="12"/>
      <c r="CA20" s="42"/>
    </row>
    <row r="21" spans="4:79" s="67" customFormat="1" x14ac:dyDescent="0.25">
      <c r="D21" s="10" t="s">
        <v>211</v>
      </c>
      <c r="E21" s="1"/>
      <c r="BY21" s="12"/>
      <c r="CA21" s="42"/>
    </row>
    <row r="22" spans="4:79" s="67" customFormat="1" x14ac:dyDescent="0.25">
      <c r="D22" s="10" t="s">
        <v>337</v>
      </c>
      <c r="E22" s="1"/>
      <c r="BY22" s="12"/>
      <c r="CA22" s="42"/>
    </row>
    <row r="23" spans="4:79" s="67" customFormat="1" ht="6.6" customHeight="1" x14ac:dyDescent="0.25">
      <c r="D23" s="1"/>
      <c r="BM23" s="6"/>
      <c r="BY23" s="12"/>
      <c r="CA23" s="42"/>
    </row>
    <row r="24" spans="4:79" s="67" customFormat="1" x14ac:dyDescent="0.25">
      <c r="D24" s="14" t="s">
        <v>604</v>
      </c>
      <c r="E24" s="1"/>
      <c r="BY24" s="12"/>
      <c r="CA24" s="42"/>
    </row>
    <row r="25" spans="4:79" s="67" customFormat="1" x14ac:dyDescent="0.25">
      <c r="D25" s="178">
        <v>1</v>
      </c>
      <c r="E25" s="1"/>
      <c r="BY25" s="12"/>
      <c r="CA25" s="42"/>
    </row>
    <row r="26" spans="4:79" s="67" customFormat="1" x14ac:dyDescent="0.25">
      <c r="D26" s="178">
        <v>0</v>
      </c>
      <c r="E26" s="1"/>
      <c r="BY26" s="12"/>
      <c r="CA26" s="42"/>
    </row>
    <row r="27" spans="4:79" s="67" customFormat="1" ht="6.6" customHeight="1" x14ac:dyDescent="0.25">
      <c r="D27" s="1"/>
      <c r="BM27" s="6"/>
      <c r="BY27" s="12"/>
      <c r="CA27" s="42"/>
    </row>
    <row r="28" spans="4:79" s="67" customFormat="1" x14ac:dyDescent="0.25">
      <c r="D28" s="14" t="s">
        <v>842</v>
      </c>
      <c r="E28" s="14"/>
      <c r="BY28" s="12"/>
      <c r="CA28" s="42"/>
    </row>
    <row r="29" spans="4:79" s="67" customFormat="1" x14ac:dyDescent="0.25">
      <c r="D29" s="121" t="s">
        <v>843</v>
      </c>
      <c r="E29" s="121">
        <v>365</v>
      </c>
      <c r="BY29" s="12"/>
      <c r="CA29" s="42"/>
    </row>
    <row r="30" spans="4:79" s="319" customFormat="1" x14ac:dyDescent="0.25">
      <c r="D30" s="121" t="s">
        <v>844</v>
      </c>
      <c r="E30" s="121">
        <v>30</v>
      </c>
      <c r="BY30" s="12"/>
      <c r="CA30" s="42"/>
    </row>
    <row r="31" spans="4:79" ht="6.6" customHeight="1" x14ac:dyDescent="0.25">
      <c r="D31" s="1"/>
      <c r="E31" s="11"/>
      <c r="BM31" s="6"/>
      <c r="BY31" s="12"/>
      <c r="BZ31" s="67"/>
      <c r="CA31" s="42"/>
    </row>
    <row r="32" spans="4:79" x14ac:dyDescent="0.25">
      <c r="D32" s="14" t="s">
        <v>374</v>
      </c>
      <c r="BY32" s="12"/>
      <c r="BZ32" s="67"/>
      <c r="CA32" s="42"/>
    </row>
    <row r="33" spans="4:79" x14ac:dyDescent="0.25">
      <c r="D33" s="393">
        <v>0.5</v>
      </c>
      <c r="BY33" s="12"/>
      <c r="BZ33" s="67"/>
      <c r="CA33" s="42"/>
    </row>
    <row r="34" spans="4:79" s="67" customFormat="1" ht="6.6" customHeight="1" x14ac:dyDescent="0.25">
      <c r="D34" s="1"/>
      <c r="BM34" s="6"/>
      <c r="BY34" s="12"/>
      <c r="CA34" s="42"/>
    </row>
    <row r="35" spans="4:79" s="335" customFormat="1" x14ac:dyDescent="0.25">
      <c r="D35" s="14" t="s">
        <v>919</v>
      </c>
      <c r="E35" s="1"/>
      <c r="BY35" s="12"/>
      <c r="CA35" s="42"/>
    </row>
    <row r="36" spans="4:79" s="335" customFormat="1" x14ac:dyDescent="0.25">
      <c r="D36" s="121">
        <v>6</v>
      </c>
      <c r="E36" s="1"/>
      <c r="BY36" s="12"/>
      <c r="CA36" s="42"/>
    </row>
    <row r="37" spans="4:79" s="335" customFormat="1" ht="6.6" customHeight="1" x14ac:dyDescent="0.25">
      <c r="D37" s="1"/>
      <c r="BM37" s="6"/>
      <c r="BY37" s="12"/>
      <c r="CA37" s="42"/>
    </row>
    <row r="38" spans="4:79" s="67" customFormat="1" x14ac:dyDescent="0.25">
      <c r="D38" s="14" t="s">
        <v>376</v>
      </c>
      <c r="E38" s="1"/>
      <c r="BY38" s="12"/>
      <c r="CA38" s="42"/>
    </row>
    <row r="39" spans="4:79" s="67" customFormat="1" x14ac:dyDescent="0.25">
      <c r="D39" s="10" t="str">
        <f>'Investing Inputs'!$D$202</f>
        <v>Land &amp; Buildings</v>
      </c>
      <c r="E39" s="1"/>
      <c r="BY39" s="12"/>
      <c r="CA39" s="42"/>
    </row>
    <row r="40" spans="4:79" s="67" customFormat="1" x14ac:dyDescent="0.25">
      <c r="D40" s="10" t="str">
        <f>'Investing Inputs'!$D$216</f>
        <v>Equipment</v>
      </c>
      <c r="E40" s="1"/>
      <c r="BY40" s="12"/>
      <c r="CA40" s="42"/>
    </row>
    <row r="41" spans="4:79" s="335" customFormat="1" x14ac:dyDescent="0.25">
      <c r="D41" s="10" t="str">
        <f>'Investing Inputs'!$D$230</f>
        <v>Other NCA</v>
      </c>
      <c r="E41" s="1"/>
      <c r="BY41" s="12"/>
      <c r="CA41" s="42"/>
    </row>
    <row r="42" spans="4:79" s="67" customFormat="1" x14ac:dyDescent="0.25">
      <c r="D42" s="10" t="str">
        <f>'Investing Inputs'!D256</f>
        <v>Assets under Construction</v>
      </c>
      <c r="E42" s="1"/>
      <c r="BY42" s="12"/>
      <c r="CA42" s="42"/>
    </row>
    <row r="43" spans="4:79" s="67" customFormat="1" ht="6.6" customHeight="1" x14ac:dyDescent="0.25">
      <c r="D43" s="1"/>
      <c r="BM43" s="6"/>
      <c r="BY43" s="12"/>
      <c r="CA43" s="42"/>
    </row>
    <row r="44" spans="4:79" s="67" customFormat="1" x14ac:dyDescent="0.25">
      <c r="D44" s="14" t="s">
        <v>375</v>
      </c>
      <c r="E44" s="1"/>
      <c r="BY44" s="12"/>
      <c r="CA44" s="42"/>
    </row>
    <row r="45" spans="4:79" s="67" customFormat="1" x14ac:dyDescent="0.25">
      <c r="D45" s="10" t="str">
        <f>'Investing Inputs'!$D$202</f>
        <v>Land &amp; Buildings</v>
      </c>
      <c r="E45" s="1"/>
      <c r="BY45" s="12"/>
      <c r="CA45" s="42"/>
    </row>
    <row r="46" spans="4:79" s="67" customFormat="1" x14ac:dyDescent="0.25">
      <c r="D46" s="10" t="str">
        <f>'Investing Inputs'!$D$216</f>
        <v>Equipment</v>
      </c>
      <c r="E46" s="1"/>
      <c r="BY46" s="12"/>
      <c r="CA46" s="42"/>
    </row>
    <row r="47" spans="4:79" s="67" customFormat="1" x14ac:dyDescent="0.25">
      <c r="D47" s="10" t="str">
        <f>'Investing Inputs'!$D$244</f>
        <v>Investments</v>
      </c>
      <c r="E47" s="1"/>
      <c r="BY47" s="12"/>
      <c r="CA47" s="42"/>
    </row>
    <row r="48" spans="4:79" s="67" customFormat="1" x14ac:dyDescent="0.25">
      <c r="D48" s="10" t="str">
        <f>'Investing Inputs'!$D$230</f>
        <v>Other NCA</v>
      </c>
      <c r="E48" s="1"/>
      <c r="BY48" s="12"/>
      <c r="CA48" s="42"/>
    </row>
    <row r="49" spans="4:79" s="319" customFormat="1" x14ac:dyDescent="0.25">
      <c r="D49" s="10" t="str">
        <f>'Investing Inputs'!$D$265</f>
        <v xml:space="preserve">Assets Held for Sale </v>
      </c>
      <c r="E49" s="1"/>
      <c r="BY49" s="12"/>
      <c r="CA49" s="42"/>
    </row>
    <row r="50" spans="4:79" s="67" customFormat="1" x14ac:dyDescent="0.25">
      <c r="E50" s="1"/>
      <c r="BY50" s="12"/>
      <c r="CA50" s="42"/>
    </row>
    <row r="51" spans="4:79" s="67" customFormat="1" x14ac:dyDescent="0.25">
      <c r="D51" s="14" t="s">
        <v>353</v>
      </c>
      <c r="E51" s="1"/>
      <c r="BY51" s="12"/>
      <c r="CA51" s="42"/>
    </row>
    <row r="52" spans="4:79" s="67" customFormat="1" x14ac:dyDescent="0.25">
      <c r="D52" s="10" t="s">
        <v>356</v>
      </c>
      <c r="E52" s="1"/>
      <c r="BY52" s="12"/>
      <c r="CA52" s="42"/>
    </row>
    <row r="53" spans="4:79" s="67" customFormat="1" x14ac:dyDescent="0.25">
      <c r="D53" s="10" t="s">
        <v>357</v>
      </c>
      <c r="E53" s="1"/>
      <c r="BY53" s="12"/>
      <c r="CA53" s="42"/>
    </row>
    <row r="54" spans="4:79" s="67" customFormat="1" x14ac:dyDescent="0.25">
      <c r="D54" s="10" t="s">
        <v>358</v>
      </c>
      <c r="E54" s="1"/>
      <c r="BY54" s="12"/>
      <c r="CA54" s="42"/>
    </row>
    <row r="55" spans="4:79" s="67" customFormat="1" x14ac:dyDescent="0.25">
      <c r="D55" s="10" t="s">
        <v>359</v>
      </c>
      <c r="E55" s="1"/>
      <c r="BY55" s="12"/>
      <c r="CA55" s="42"/>
    </row>
    <row r="56" spans="4:79" s="67" customFormat="1" x14ac:dyDescent="0.25">
      <c r="D56" s="10" t="s">
        <v>360</v>
      </c>
      <c r="E56" s="1"/>
      <c r="BY56" s="12"/>
      <c r="CA56" s="42"/>
    </row>
    <row r="57" spans="4:79" s="335" customFormat="1" x14ac:dyDescent="0.25">
      <c r="D57" s="10" t="s">
        <v>976</v>
      </c>
      <c r="E57" s="1"/>
      <c r="BY57" s="12"/>
      <c r="CA57" s="42"/>
    </row>
    <row r="58" spans="4:79" s="67" customFormat="1" x14ac:dyDescent="0.25">
      <c r="D58" s="10" t="s">
        <v>286</v>
      </c>
      <c r="E58" s="1"/>
      <c r="BY58" s="12"/>
      <c r="CA58" s="42"/>
    </row>
    <row r="59" spans="4:79" s="67" customFormat="1" ht="6.6" customHeight="1" x14ac:dyDescent="0.25">
      <c r="D59" s="1"/>
      <c r="BM59" s="6"/>
      <c r="BY59" s="12"/>
      <c r="CA59" s="42"/>
    </row>
    <row r="60" spans="4:79" s="67" customFormat="1" x14ac:dyDescent="0.25">
      <c r="D60" s="14" t="s">
        <v>403</v>
      </c>
      <c r="E60" s="1"/>
      <c r="BY60" s="12"/>
      <c r="CA60" s="42"/>
    </row>
    <row r="61" spans="4:79" s="67" customFormat="1" x14ac:dyDescent="0.25">
      <c r="D61" s="10" t="str">
        <f>'BS Forecasts'!$D$219</f>
        <v>Revaluation Reserve</v>
      </c>
      <c r="E61" s="1"/>
      <c r="BY61" s="12"/>
      <c r="CA61" s="42"/>
    </row>
    <row r="62" spans="4:79" s="67" customFormat="1" x14ac:dyDescent="0.25">
      <c r="D62" s="10" t="str">
        <f>'BS Forecasts'!$D$225</f>
        <v>Restricted Reserve</v>
      </c>
      <c r="E62" s="1"/>
      <c r="BY62" s="12"/>
      <c r="CA62" s="42"/>
    </row>
    <row r="63" spans="4:79" s="67" customFormat="1" x14ac:dyDescent="0.25">
      <c r="D63" s="10" t="str">
        <f>'BS Forecasts'!$D$230</f>
        <v>I&amp;E Reserve</v>
      </c>
      <c r="E63" s="1"/>
      <c r="BY63" s="12"/>
      <c r="CA63" s="42"/>
    </row>
    <row r="64" spans="4:79" s="67" customFormat="1" ht="6.6" customHeight="1" x14ac:dyDescent="0.25">
      <c r="D64" s="1"/>
      <c r="BM64" s="6"/>
      <c r="BY64" s="12"/>
      <c r="CA64" s="42"/>
    </row>
    <row r="65" spans="1:79" x14ac:dyDescent="0.25">
      <c r="A65" s="40"/>
      <c r="B65" s="40"/>
      <c r="C65" s="40"/>
      <c r="D65" s="40" t="s">
        <v>242</v>
      </c>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12"/>
      <c r="BZ65" s="67"/>
      <c r="CA65" s="42"/>
    </row>
    <row r="66" spans="1:79" ht="6.6" customHeight="1" x14ac:dyDescent="0.25">
      <c r="D66" s="1"/>
      <c r="E66" s="11"/>
      <c r="BM66" s="6"/>
      <c r="BY66" s="12"/>
      <c r="BZ66" s="67"/>
      <c r="CA66" s="42"/>
    </row>
    <row r="67" spans="1:79" x14ac:dyDescent="0.25">
      <c r="D67" s="14" t="s">
        <v>210</v>
      </c>
      <c r="BY67" s="12"/>
      <c r="BZ67" s="67"/>
      <c r="CA67" s="42"/>
    </row>
    <row r="68" spans="1:79" x14ac:dyDescent="0.25">
      <c r="D68" s="10" t="s">
        <v>123</v>
      </c>
      <c r="BY68" s="12"/>
      <c r="BZ68" s="67"/>
      <c r="CA68" s="42"/>
    </row>
    <row r="69" spans="1:79" x14ac:dyDescent="0.25">
      <c r="D69" s="10" t="s">
        <v>288</v>
      </c>
      <c r="BY69" s="12"/>
      <c r="BZ69" s="67"/>
      <c r="CA69" s="42"/>
    </row>
    <row r="70" spans="1:79" x14ac:dyDescent="0.25">
      <c r="D70" s="10" t="s">
        <v>215</v>
      </c>
      <c r="BY70" s="12"/>
      <c r="BZ70" s="67"/>
      <c r="CA70" s="42"/>
    </row>
    <row r="71" spans="1:79" s="67" customFormat="1" ht="6.6" customHeight="1" x14ac:dyDescent="0.25">
      <c r="D71" s="1"/>
      <c r="BM71" s="6"/>
      <c r="BY71" s="12"/>
      <c r="CA71" s="42"/>
    </row>
    <row r="72" spans="1:79" ht="30" x14ac:dyDescent="0.25">
      <c r="D72" s="101" t="s">
        <v>528</v>
      </c>
      <c r="E72" s="101" t="s">
        <v>545</v>
      </c>
      <c r="F72" s="68" t="s">
        <v>544</v>
      </c>
      <c r="BY72" s="12"/>
      <c r="BZ72" s="67"/>
      <c r="CA72" s="42"/>
    </row>
    <row r="73" spans="1:79" x14ac:dyDescent="0.25">
      <c r="D73" s="224" t="s">
        <v>529</v>
      </c>
      <c r="E73" s="201">
        <v>365</v>
      </c>
      <c r="F73" s="393">
        <f>1/30</f>
        <v>3.3333333333333333E-2</v>
      </c>
      <c r="BY73" s="12"/>
      <c r="BZ73" s="67"/>
      <c r="CA73" s="42"/>
    </row>
    <row r="74" spans="1:79" s="67" customFormat="1" x14ac:dyDescent="0.25">
      <c r="D74" s="201" t="s">
        <v>211</v>
      </c>
      <c r="E74" s="201">
        <v>12</v>
      </c>
      <c r="F74" s="393">
        <v>1</v>
      </c>
      <c r="BY74" s="12"/>
      <c r="CA74" s="42"/>
    </row>
    <row r="75" spans="1:79" x14ac:dyDescent="0.25">
      <c r="D75" s="201" t="s">
        <v>212</v>
      </c>
      <c r="E75" s="201">
        <v>4</v>
      </c>
      <c r="F75" s="393">
        <v>3</v>
      </c>
      <c r="BY75" s="12"/>
      <c r="BZ75" s="67"/>
      <c r="CA75" s="42"/>
    </row>
    <row r="76" spans="1:79" x14ac:dyDescent="0.25">
      <c r="D76" s="201" t="s">
        <v>213</v>
      </c>
      <c r="E76" s="201">
        <v>2</v>
      </c>
      <c r="F76" s="393">
        <v>6</v>
      </c>
      <c r="BY76" s="12"/>
      <c r="BZ76" s="67"/>
      <c r="CA76" s="42"/>
    </row>
    <row r="77" spans="1:79" x14ac:dyDescent="0.25">
      <c r="D77" s="201" t="s">
        <v>214</v>
      </c>
      <c r="E77" s="201">
        <v>1</v>
      </c>
      <c r="F77" s="393">
        <v>12</v>
      </c>
      <c r="BY77" s="12"/>
      <c r="BZ77" s="67"/>
      <c r="CA77" s="42"/>
    </row>
    <row r="78" spans="1:79" s="67" customFormat="1" ht="6.6" customHeight="1" x14ac:dyDescent="0.25">
      <c r="D78" s="1"/>
      <c r="BM78" s="6"/>
      <c r="BY78" s="12"/>
      <c r="CA78" s="42"/>
    </row>
    <row r="79" spans="1:79" s="67" customFormat="1" ht="30" x14ac:dyDescent="0.25">
      <c r="D79" s="14" t="s">
        <v>527</v>
      </c>
      <c r="E79" s="101" t="s">
        <v>545</v>
      </c>
      <c r="F79" s="68" t="s">
        <v>544</v>
      </c>
      <c r="BY79" s="12"/>
      <c r="CA79" s="42"/>
    </row>
    <row r="80" spans="1:79" s="67" customFormat="1" x14ac:dyDescent="0.25">
      <c r="D80" s="10" t="s">
        <v>211</v>
      </c>
      <c r="E80" s="10">
        <v>12</v>
      </c>
      <c r="F80" s="393">
        <v>1</v>
      </c>
      <c r="BY80" s="12"/>
      <c r="CA80" s="42"/>
    </row>
    <row r="81" spans="1:79" s="67" customFormat="1" x14ac:dyDescent="0.25">
      <c r="D81" s="10" t="s">
        <v>212</v>
      </c>
      <c r="E81" s="10">
        <v>4</v>
      </c>
      <c r="F81" s="393">
        <v>3</v>
      </c>
      <c r="BY81" s="12"/>
      <c r="CA81" s="42"/>
    </row>
    <row r="82" spans="1:79" s="67" customFormat="1" x14ac:dyDescent="0.25">
      <c r="D82" s="10" t="s">
        <v>213</v>
      </c>
      <c r="E82" s="10">
        <v>2</v>
      </c>
      <c r="F82" s="393">
        <v>6</v>
      </c>
      <c r="BY82" s="12"/>
      <c r="CA82" s="42"/>
    </row>
    <row r="83" spans="1:79" s="67" customFormat="1" x14ac:dyDescent="0.25">
      <c r="D83" s="10" t="s">
        <v>214</v>
      </c>
      <c r="E83" s="10">
        <v>1</v>
      </c>
      <c r="F83" s="393">
        <v>12</v>
      </c>
      <c r="BY83" s="12"/>
      <c r="CA83" s="42"/>
    </row>
    <row r="84" spans="1:79" ht="6.6" customHeight="1" x14ac:dyDescent="0.25">
      <c r="D84" s="1"/>
      <c r="F84" s="1"/>
      <c r="BM84" s="6"/>
      <c r="BY84" s="12"/>
      <c r="BZ84" s="67"/>
      <c r="CA84" s="42"/>
    </row>
    <row r="85" spans="1:79" x14ac:dyDescent="0.25">
      <c r="A85" s="40"/>
      <c r="B85" s="40"/>
      <c r="C85" s="40"/>
      <c r="D85" s="40" t="s">
        <v>1765</v>
      </c>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12"/>
      <c r="BZ85" s="67"/>
      <c r="CA85" s="42"/>
    </row>
    <row r="86" spans="1:79" ht="6.6" customHeight="1" x14ac:dyDescent="0.25">
      <c r="D86" s="1"/>
      <c r="E86" s="11"/>
      <c r="BM86" s="6"/>
      <c r="BY86" s="12"/>
      <c r="BZ86" s="67"/>
      <c r="CA86" s="42"/>
    </row>
    <row r="87" spans="1:79" s="5" customFormat="1" x14ac:dyDescent="0.25">
      <c r="A87" s="11"/>
      <c r="B87" s="11"/>
      <c r="C87" s="11"/>
      <c r="D87" s="14" t="s">
        <v>247</v>
      </c>
      <c r="E87" s="14" t="s">
        <v>236</v>
      </c>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2"/>
      <c r="BZ87" s="67"/>
      <c r="CA87" s="42"/>
    </row>
    <row r="88" spans="1:79" x14ac:dyDescent="0.25">
      <c r="D88" s="75" t="s">
        <v>248</v>
      </c>
      <c r="E88" s="10">
        <v>110</v>
      </c>
      <c r="G88" s="67"/>
      <c r="BY88" s="12"/>
      <c r="CA88" s="42"/>
    </row>
    <row r="89" spans="1:79" x14ac:dyDescent="0.25">
      <c r="D89" s="76" t="s">
        <v>249</v>
      </c>
      <c r="E89" s="10">
        <v>170</v>
      </c>
      <c r="G89" s="67"/>
      <c r="H89" s="67"/>
      <c r="BY89" s="12"/>
      <c r="CA89" s="42"/>
    </row>
    <row r="90" spans="1:79" x14ac:dyDescent="0.25">
      <c r="D90" s="77" t="s">
        <v>250</v>
      </c>
      <c r="E90" s="10">
        <v>230</v>
      </c>
      <c r="G90" s="67"/>
      <c r="H90" s="67"/>
      <c r="BY90" s="12"/>
      <c r="CA90" s="42"/>
    </row>
    <row r="91" spans="1:79" x14ac:dyDescent="0.25">
      <c r="D91" s="78" t="s">
        <v>251</v>
      </c>
      <c r="E91" s="10">
        <v>300</v>
      </c>
      <c r="G91" s="67"/>
      <c r="BY91" s="12"/>
      <c r="CA91" s="42"/>
    </row>
    <row r="92" spans="1:79" s="67" customFormat="1" ht="6.6" customHeight="1" x14ac:dyDescent="0.25">
      <c r="D92" s="1"/>
      <c r="BM92" s="6"/>
      <c r="BY92" s="42"/>
      <c r="CA92" s="42"/>
    </row>
    <row r="93" spans="1:79" s="67" customFormat="1" x14ac:dyDescent="0.25">
      <c r="C93" s="14"/>
      <c r="D93" s="14" t="s">
        <v>668</v>
      </c>
      <c r="E93" s="14"/>
      <c r="F93" s="14"/>
      <c r="G93" s="14"/>
      <c r="BY93" s="12"/>
      <c r="CA93" s="42"/>
    </row>
    <row r="94" spans="1:79" s="67" customFormat="1" x14ac:dyDescent="0.25">
      <c r="C94" s="5" t="s">
        <v>669</v>
      </c>
      <c r="D94" s="5" t="s">
        <v>670</v>
      </c>
      <c r="E94" s="5" t="s">
        <v>671</v>
      </c>
      <c r="F94" s="5" t="s">
        <v>1779</v>
      </c>
      <c r="G94" s="5" t="s">
        <v>737</v>
      </c>
      <c r="BY94" s="12"/>
      <c r="CA94" s="42"/>
    </row>
    <row r="95" spans="1:79" s="67" customFormat="1" ht="60" x14ac:dyDescent="0.25">
      <c r="C95" s="236" t="s">
        <v>673</v>
      </c>
      <c r="D95" s="236" t="s">
        <v>676</v>
      </c>
      <c r="E95" s="10" t="s">
        <v>672</v>
      </c>
      <c r="F95" s="66">
        <v>0.01</v>
      </c>
      <c r="G95" s="10"/>
      <c r="BY95" s="12"/>
      <c r="CA95" s="42"/>
    </row>
    <row r="96" spans="1:79" s="67" customFormat="1" ht="60" x14ac:dyDescent="0.25">
      <c r="C96" s="10" t="s">
        <v>620</v>
      </c>
      <c r="D96" s="236" t="s">
        <v>675</v>
      </c>
      <c r="E96" s="10" t="s">
        <v>674</v>
      </c>
      <c r="F96" s="393">
        <v>2</v>
      </c>
      <c r="G96" s="10"/>
      <c r="BY96" s="12"/>
      <c r="CA96" s="42"/>
    </row>
    <row r="97" spans="3:79" s="67" customFormat="1" ht="90" x14ac:dyDescent="0.25">
      <c r="C97" s="10" t="s">
        <v>728</v>
      </c>
      <c r="D97" s="317" t="s">
        <v>829</v>
      </c>
      <c r="E97" s="10" t="s">
        <v>677</v>
      </c>
      <c r="F97" s="393">
        <v>25</v>
      </c>
      <c r="G97" s="10"/>
      <c r="BY97" s="12"/>
      <c r="CA97" s="42"/>
    </row>
    <row r="98" spans="3:79" s="67" customFormat="1" ht="75" x14ac:dyDescent="0.25">
      <c r="C98" s="10" t="s">
        <v>272</v>
      </c>
      <c r="D98" s="236" t="s">
        <v>730</v>
      </c>
      <c r="E98" s="10" t="s">
        <v>729</v>
      </c>
      <c r="F98" s="393">
        <v>1.4</v>
      </c>
      <c r="G98" s="10"/>
      <c r="BY98" s="12"/>
      <c r="CA98" s="42"/>
    </row>
    <row r="99" spans="3:79" s="67" customFormat="1" ht="75" x14ac:dyDescent="0.25">
      <c r="C99" s="10" t="s">
        <v>731</v>
      </c>
      <c r="D99" s="236" t="s">
        <v>732</v>
      </c>
      <c r="E99" s="236" t="s">
        <v>733</v>
      </c>
      <c r="F99" s="393">
        <v>0.65</v>
      </c>
      <c r="G99" s="236">
        <v>0.7</v>
      </c>
      <c r="BY99" s="12"/>
      <c r="CA99" s="42"/>
    </row>
    <row r="100" spans="3:79" s="67" customFormat="1" ht="30" x14ac:dyDescent="0.25">
      <c r="C100" s="10" t="s">
        <v>735</v>
      </c>
      <c r="D100" s="236" t="s">
        <v>734</v>
      </c>
      <c r="E100" s="10" t="s">
        <v>736</v>
      </c>
      <c r="F100" s="10"/>
      <c r="G100" s="10"/>
      <c r="BY100" s="12"/>
      <c r="CA100" s="42"/>
    </row>
    <row r="101" spans="3:79" s="67" customFormat="1" ht="6.6" customHeight="1" x14ac:dyDescent="0.25">
      <c r="D101" s="1"/>
      <c r="BM101" s="6"/>
      <c r="BY101" s="42"/>
      <c r="CA101" s="42"/>
    </row>
    <row r="102" spans="3:79" x14ac:dyDescent="0.25">
      <c r="C102" s="14"/>
      <c r="D102" s="14" t="s">
        <v>272</v>
      </c>
      <c r="E102" s="14"/>
      <c r="F102" s="67"/>
      <c r="BY102" s="12"/>
      <c r="CA102" s="42"/>
    </row>
    <row r="103" spans="3:79" s="67" customFormat="1" x14ac:dyDescent="0.25">
      <c r="C103" s="242" t="s">
        <v>256</v>
      </c>
      <c r="D103" s="243" t="s">
        <v>257</v>
      </c>
      <c r="E103" s="244" t="s">
        <v>255</v>
      </c>
      <c r="BY103" s="12"/>
      <c r="CA103" s="42"/>
    </row>
    <row r="104" spans="3:79" x14ac:dyDescent="0.25">
      <c r="C104" s="245">
        <v>1</v>
      </c>
      <c r="D104" s="246">
        <v>2</v>
      </c>
      <c r="E104" s="247">
        <v>3</v>
      </c>
      <c r="F104" s="67"/>
      <c r="BY104" s="12"/>
      <c r="CA104" s="42"/>
    </row>
    <row r="105" spans="3:79" x14ac:dyDescent="0.25">
      <c r="C105" s="393">
        <v>0</v>
      </c>
      <c r="D105" s="241" t="s">
        <v>723</v>
      </c>
      <c r="E105" s="241">
        <v>0</v>
      </c>
      <c r="F105" s="67"/>
      <c r="BY105" s="12"/>
      <c r="CA105" s="42"/>
    </row>
    <row r="106" spans="3:79" s="67" customFormat="1" x14ac:dyDescent="0.25">
      <c r="C106" s="393">
        <v>0.5</v>
      </c>
      <c r="D106" s="10" t="s">
        <v>258</v>
      </c>
      <c r="E106" s="10">
        <v>10</v>
      </c>
      <c r="BY106" s="12"/>
      <c r="CA106" s="42"/>
    </row>
    <row r="107" spans="3:79" x14ac:dyDescent="0.25">
      <c r="C107" s="393">
        <v>0.6</v>
      </c>
      <c r="D107" s="10" t="s">
        <v>259</v>
      </c>
      <c r="E107" s="10">
        <v>20</v>
      </c>
      <c r="F107" s="67"/>
      <c r="BY107" s="12"/>
      <c r="CA107" s="42"/>
    </row>
    <row r="108" spans="3:79" x14ac:dyDescent="0.25">
      <c r="C108" s="393">
        <v>0.7</v>
      </c>
      <c r="D108" s="10" t="s">
        <v>260</v>
      </c>
      <c r="E108" s="10">
        <v>30</v>
      </c>
      <c r="F108" s="67"/>
      <c r="BY108" s="12"/>
      <c r="CA108" s="42"/>
    </row>
    <row r="109" spans="3:79" x14ac:dyDescent="0.25">
      <c r="C109" s="393">
        <v>0.8</v>
      </c>
      <c r="D109" s="10" t="s">
        <v>261</v>
      </c>
      <c r="E109" s="10">
        <v>40</v>
      </c>
      <c r="F109" s="67"/>
      <c r="BY109" s="12"/>
      <c r="CA109" s="42"/>
    </row>
    <row r="110" spans="3:79" x14ac:dyDescent="0.25">
      <c r="C110" s="393">
        <v>1</v>
      </c>
      <c r="D110" s="10" t="s">
        <v>262</v>
      </c>
      <c r="E110" s="10">
        <v>50</v>
      </c>
      <c r="F110" s="67"/>
      <c r="BY110" s="12"/>
      <c r="CA110" s="42"/>
    </row>
    <row r="111" spans="3:79" x14ac:dyDescent="0.25">
      <c r="C111" s="393">
        <v>1.2</v>
      </c>
      <c r="D111" s="10" t="s">
        <v>263</v>
      </c>
      <c r="E111" s="10">
        <v>60</v>
      </c>
      <c r="F111" s="67"/>
      <c r="BY111" s="12"/>
      <c r="CA111" s="42"/>
    </row>
    <row r="112" spans="3:79" x14ac:dyDescent="0.25">
      <c r="C112" s="393">
        <v>1.4</v>
      </c>
      <c r="D112" s="10" t="s">
        <v>264</v>
      </c>
      <c r="E112" s="10">
        <v>70</v>
      </c>
      <c r="F112" s="67"/>
      <c r="BY112" s="12"/>
      <c r="CA112" s="42"/>
    </row>
    <row r="113" spans="2:79" s="5" customFormat="1" x14ac:dyDescent="0.25">
      <c r="B113" s="11"/>
      <c r="C113" s="393">
        <v>1.6</v>
      </c>
      <c r="D113" s="10" t="s">
        <v>265</v>
      </c>
      <c r="E113" s="10">
        <v>80</v>
      </c>
      <c r="F113" s="67"/>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2"/>
      <c r="BZ113" s="11"/>
      <c r="CA113" s="42"/>
    </row>
    <row r="114" spans="2:79" x14ac:dyDescent="0.25">
      <c r="C114" s="393">
        <v>1.8</v>
      </c>
      <c r="D114" s="10" t="s">
        <v>266</v>
      </c>
      <c r="E114" s="10">
        <v>90</v>
      </c>
      <c r="F114" s="67"/>
      <c r="BY114" s="12"/>
      <c r="CA114" s="42"/>
    </row>
    <row r="115" spans="2:79" x14ac:dyDescent="0.25">
      <c r="C115" s="393">
        <v>2</v>
      </c>
      <c r="D115" s="10" t="s">
        <v>267</v>
      </c>
      <c r="E115" s="10">
        <v>100</v>
      </c>
      <c r="F115" s="67"/>
      <c r="BY115" s="12"/>
      <c r="CA115" s="42"/>
    </row>
    <row r="116" spans="2:79" s="67" customFormat="1" ht="6.6" customHeight="1" x14ac:dyDescent="0.25">
      <c r="D116" s="1"/>
      <c r="BM116" s="6"/>
      <c r="BY116" s="42"/>
      <c r="CA116" s="42"/>
    </row>
    <row r="117" spans="2:79" s="67" customFormat="1" ht="6.6" customHeight="1" x14ac:dyDescent="0.25">
      <c r="D117" s="1"/>
      <c r="S117" s="240"/>
      <c r="BM117" s="6"/>
      <c r="BY117" s="42"/>
      <c r="CA117" s="42"/>
    </row>
    <row r="118" spans="2:79" s="67" customFormat="1" x14ac:dyDescent="0.25">
      <c r="C118" s="14"/>
      <c r="D118" s="14" t="s">
        <v>271</v>
      </c>
      <c r="E118" s="14"/>
      <c r="BY118" s="12"/>
      <c r="CA118" s="42"/>
    </row>
    <row r="119" spans="2:79" s="67" customFormat="1" x14ac:dyDescent="0.25">
      <c r="C119" s="242" t="s">
        <v>256</v>
      </c>
      <c r="D119" s="243" t="s">
        <v>257</v>
      </c>
      <c r="E119" s="244" t="s">
        <v>255</v>
      </c>
      <c r="BY119" s="12"/>
      <c r="CA119" s="42"/>
    </row>
    <row r="120" spans="2:79" s="67" customFormat="1" x14ac:dyDescent="0.25">
      <c r="C120" s="245">
        <v>1</v>
      </c>
      <c r="D120" s="246">
        <v>2</v>
      </c>
      <c r="E120" s="247">
        <v>3</v>
      </c>
      <c r="BY120" s="12"/>
      <c r="CA120" s="42"/>
    </row>
    <row r="121" spans="2:79" s="67" customFormat="1" x14ac:dyDescent="0.25">
      <c r="C121" s="66">
        <v>0</v>
      </c>
      <c r="D121" s="10" t="s">
        <v>701</v>
      </c>
      <c r="E121" s="10">
        <v>0</v>
      </c>
      <c r="BY121" s="12"/>
      <c r="CA121" s="42"/>
    </row>
    <row r="122" spans="2:79" s="67" customFormat="1" x14ac:dyDescent="0.25">
      <c r="C122" s="66">
        <v>0.01</v>
      </c>
      <c r="D122" s="10" t="s">
        <v>712</v>
      </c>
      <c r="E122" s="10">
        <v>10</v>
      </c>
      <c r="BY122" s="12"/>
      <c r="CA122" s="42"/>
    </row>
    <row r="123" spans="2:79" s="67" customFormat="1" x14ac:dyDescent="0.25">
      <c r="C123" s="66">
        <v>0.02</v>
      </c>
      <c r="D123" s="10" t="s">
        <v>711</v>
      </c>
      <c r="E123" s="10">
        <v>20</v>
      </c>
      <c r="BY123" s="12"/>
      <c r="CA123" s="42"/>
    </row>
    <row r="124" spans="2:79" s="67" customFormat="1" x14ac:dyDescent="0.25">
      <c r="C124" s="66">
        <v>0.03</v>
      </c>
      <c r="D124" s="10" t="s">
        <v>710</v>
      </c>
      <c r="E124" s="10">
        <v>30</v>
      </c>
      <c r="BY124" s="12"/>
      <c r="CA124" s="42"/>
    </row>
    <row r="125" spans="2:79" s="67" customFormat="1" x14ac:dyDescent="0.25">
      <c r="C125" s="66">
        <v>0.04</v>
      </c>
      <c r="D125" s="10" t="s">
        <v>709</v>
      </c>
      <c r="E125" s="10">
        <v>40</v>
      </c>
      <c r="BY125" s="12"/>
      <c r="CA125" s="42"/>
    </row>
    <row r="126" spans="2:79" s="67" customFormat="1" x14ac:dyDescent="0.25">
      <c r="C126" s="66">
        <v>0.05</v>
      </c>
      <c r="D126" s="10" t="s">
        <v>708</v>
      </c>
      <c r="E126" s="10">
        <v>50</v>
      </c>
      <c r="BY126" s="12"/>
      <c r="CA126" s="42"/>
    </row>
    <row r="127" spans="2:79" s="67" customFormat="1" x14ac:dyDescent="0.25">
      <c r="C127" s="66">
        <v>0.06</v>
      </c>
      <c r="D127" s="10" t="s">
        <v>707</v>
      </c>
      <c r="E127" s="10">
        <v>60</v>
      </c>
      <c r="BY127" s="12"/>
      <c r="CA127" s="42"/>
    </row>
    <row r="128" spans="2:79" s="67" customFormat="1" x14ac:dyDescent="0.25">
      <c r="C128" s="66">
        <v>7.0000000000000007E-2</v>
      </c>
      <c r="D128" s="10" t="s">
        <v>706</v>
      </c>
      <c r="E128" s="10">
        <v>70</v>
      </c>
      <c r="BY128" s="12"/>
      <c r="CA128" s="42"/>
    </row>
    <row r="129" spans="1:79" s="5" customFormat="1" x14ac:dyDescent="0.25">
      <c r="B129" s="67"/>
      <c r="C129" s="66">
        <v>0.08</v>
      </c>
      <c r="D129" s="10" t="s">
        <v>705</v>
      </c>
      <c r="E129" s="10">
        <v>80</v>
      </c>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12"/>
      <c r="BZ129" s="67"/>
      <c r="CA129" s="42"/>
    </row>
    <row r="130" spans="1:79" s="67" customFormat="1" x14ac:dyDescent="0.25">
      <c r="C130" s="66">
        <v>0.09</v>
      </c>
      <c r="D130" s="10" t="s">
        <v>704</v>
      </c>
      <c r="E130" s="10">
        <v>90</v>
      </c>
      <c r="BY130" s="12"/>
      <c r="CA130" s="42"/>
    </row>
    <row r="131" spans="1:79" s="67" customFormat="1" x14ac:dyDescent="0.25">
      <c r="C131" s="66">
        <v>0.1</v>
      </c>
      <c r="D131" s="10" t="s">
        <v>703</v>
      </c>
      <c r="E131" s="10">
        <v>100</v>
      </c>
      <c r="BY131" s="12"/>
      <c r="CA131" s="42"/>
    </row>
    <row r="132" spans="1:79" s="67" customFormat="1" ht="6.6" customHeight="1" x14ac:dyDescent="0.25">
      <c r="D132" s="1"/>
      <c r="BM132" s="6"/>
      <c r="BY132" s="42"/>
      <c r="CA132" s="42"/>
    </row>
    <row r="133" spans="1:79" s="67" customFormat="1" ht="6.6" customHeight="1" x14ac:dyDescent="0.25">
      <c r="D133" s="1"/>
      <c r="BM133" s="6"/>
      <c r="BY133" s="42"/>
      <c r="CA133" s="42"/>
    </row>
    <row r="134" spans="1:79" s="67" customFormat="1" x14ac:dyDescent="0.25">
      <c r="B134" s="14"/>
      <c r="C134" s="14"/>
      <c r="D134" s="14" t="s">
        <v>273</v>
      </c>
      <c r="E134" s="14"/>
      <c r="BY134" s="12"/>
      <c r="CA134" s="42"/>
    </row>
    <row r="135" spans="1:79" s="67" customFormat="1" x14ac:dyDescent="0.25">
      <c r="B135" s="242"/>
      <c r="C135" s="242" t="s">
        <v>256</v>
      </c>
      <c r="D135" s="243" t="s">
        <v>257</v>
      </c>
      <c r="E135" s="244" t="s">
        <v>255</v>
      </c>
      <c r="BY135" s="12"/>
      <c r="CA135" s="42"/>
    </row>
    <row r="136" spans="1:79" s="67" customFormat="1" x14ac:dyDescent="0.25">
      <c r="B136" s="245">
        <v>1</v>
      </c>
      <c r="C136" s="245">
        <v>2</v>
      </c>
      <c r="D136" s="246">
        <v>3</v>
      </c>
      <c r="E136" s="247">
        <v>4</v>
      </c>
      <c r="BY136" s="12"/>
      <c r="CA136" s="42"/>
    </row>
    <row r="137" spans="1:79" s="67" customFormat="1" x14ac:dyDescent="0.25">
      <c r="A137" s="333"/>
      <c r="B137" s="66">
        <f>C137</f>
        <v>0</v>
      </c>
      <c r="C137" s="66">
        <v>0</v>
      </c>
      <c r="D137" s="79" t="s">
        <v>268</v>
      </c>
      <c r="E137" s="10">
        <v>100</v>
      </c>
      <c r="F137" s="333"/>
      <c r="BY137" s="12"/>
      <c r="CA137" s="42"/>
    </row>
    <row r="138" spans="1:79" s="67" customFormat="1" x14ac:dyDescent="0.25">
      <c r="A138" s="333"/>
      <c r="B138" s="66">
        <v>9.9999999999999998E-13</v>
      </c>
      <c r="C138" s="66">
        <v>0.1</v>
      </c>
      <c r="D138" s="10" t="s">
        <v>713</v>
      </c>
      <c r="E138" s="10">
        <v>90</v>
      </c>
      <c r="F138" s="333"/>
      <c r="BY138" s="12"/>
      <c r="CA138" s="42"/>
    </row>
    <row r="139" spans="1:79" s="67" customFormat="1" x14ac:dyDescent="0.25">
      <c r="A139" s="333"/>
      <c r="B139" s="66">
        <f>C138</f>
        <v>0.1</v>
      </c>
      <c r="C139" s="66">
        <v>0.2</v>
      </c>
      <c r="D139" s="10" t="s">
        <v>714</v>
      </c>
      <c r="E139" s="10">
        <v>80</v>
      </c>
      <c r="F139" s="333"/>
      <c r="BY139" s="12"/>
      <c r="CA139" s="42"/>
    </row>
    <row r="140" spans="1:79" s="67" customFormat="1" x14ac:dyDescent="0.25">
      <c r="A140" s="333"/>
      <c r="B140" s="66">
        <f t="shared" ref="B140:B147" si="0">C139</f>
        <v>0.2</v>
      </c>
      <c r="C140" s="66">
        <v>0.3</v>
      </c>
      <c r="D140" s="10" t="s">
        <v>715</v>
      </c>
      <c r="E140" s="10">
        <v>70</v>
      </c>
      <c r="F140" s="333"/>
      <c r="BY140" s="12"/>
      <c r="CA140" s="42"/>
    </row>
    <row r="141" spans="1:79" s="67" customFormat="1" x14ac:dyDescent="0.25">
      <c r="A141" s="333"/>
      <c r="B141" s="66">
        <f t="shared" si="0"/>
        <v>0.3</v>
      </c>
      <c r="C141" s="66">
        <v>0.35</v>
      </c>
      <c r="D141" s="10" t="s">
        <v>716</v>
      </c>
      <c r="E141" s="10">
        <v>60</v>
      </c>
      <c r="F141" s="333"/>
      <c r="BY141" s="12"/>
      <c r="CA141" s="42"/>
    </row>
    <row r="142" spans="1:79" s="67" customFormat="1" x14ac:dyDescent="0.25">
      <c r="A142" s="333"/>
      <c r="B142" s="66">
        <f t="shared" si="0"/>
        <v>0.35</v>
      </c>
      <c r="C142" s="66">
        <v>0.4</v>
      </c>
      <c r="D142" s="10" t="s">
        <v>717</v>
      </c>
      <c r="E142" s="10">
        <v>50</v>
      </c>
      <c r="F142" s="333"/>
      <c r="BY142" s="12"/>
      <c r="CA142" s="42"/>
    </row>
    <row r="143" spans="1:79" s="67" customFormat="1" x14ac:dyDescent="0.25">
      <c r="A143" s="333"/>
      <c r="B143" s="66">
        <f t="shared" si="0"/>
        <v>0.4</v>
      </c>
      <c r="C143" s="66">
        <v>0.45</v>
      </c>
      <c r="D143" s="10" t="s">
        <v>718</v>
      </c>
      <c r="E143" s="10">
        <v>40</v>
      </c>
      <c r="F143" s="333"/>
      <c r="BY143" s="12"/>
      <c r="CA143" s="42"/>
    </row>
    <row r="144" spans="1:79" s="5" customFormat="1" x14ac:dyDescent="0.25">
      <c r="A144" s="333"/>
      <c r="B144" s="66">
        <f t="shared" si="0"/>
        <v>0.45</v>
      </c>
      <c r="C144" s="66">
        <v>0.5</v>
      </c>
      <c r="D144" s="10" t="s">
        <v>719</v>
      </c>
      <c r="E144" s="10">
        <v>30</v>
      </c>
      <c r="F144" s="333"/>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12"/>
      <c r="BZ144" s="67"/>
      <c r="CA144" s="42"/>
    </row>
    <row r="145" spans="1:79" s="67" customFormat="1" x14ac:dyDescent="0.25">
      <c r="A145" s="333"/>
      <c r="B145" s="66">
        <f t="shared" si="0"/>
        <v>0.5</v>
      </c>
      <c r="C145" s="66">
        <v>0.55000000000000004</v>
      </c>
      <c r="D145" s="10" t="s">
        <v>720</v>
      </c>
      <c r="E145" s="10">
        <v>20</v>
      </c>
      <c r="F145" s="333"/>
      <c r="BY145" s="12"/>
      <c r="CA145" s="42"/>
    </row>
    <row r="146" spans="1:79" s="67" customFormat="1" x14ac:dyDescent="0.25">
      <c r="A146" s="333"/>
      <c r="B146" s="66">
        <f t="shared" si="0"/>
        <v>0.55000000000000004</v>
      </c>
      <c r="C146" s="66">
        <v>0.6</v>
      </c>
      <c r="D146" s="10" t="s">
        <v>721</v>
      </c>
      <c r="E146" s="10">
        <v>10</v>
      </c>
      <c r="F146" s="333"/>
      <c r="BY146" s="12"/>
      <c r="CA146" s="42"/>
    </row>
    <row r="147" spans="1:79" x14ac:dyDescent="0.25">
      <c r="A147" s="333"/>
      <c r="B147" s="66">
        <f t="shared" si="0"/>
        <v>0.6</v>
      </c>
      <c r="C147" s="66">
        <v>0.61</v>
      </c>
      <c r="D147" s="10" t="s">
        <v>722</v>
      </c>
      <c r="E147" s="10">
        <v>0</v>
      </c>
      <c r="F147" s="333"/>
      <c r="S147" s="67"/>
      <c r="T147" s="67"/>
      <c r="U147" s="67"/>
      <c r="BY147" s="12"/>
      <c r="BZ147" s="67"/>
      <c r="CA147" s="42"/>
    </row>
    <row r="148" spans="1:79" s="333" customFormat="1" x14ac:dyDescent="0.25">
      <c r="B148" s="66">
        <v>1</v>
      </c>
      <c r="C148" s="66">
        <v>0.61</v>
      </c>
      <c r="D148" s="10" t="s">
        <v>722</v>
      </c>
      <c r="E148" s="10">
        <v>0</v>
      </c>
      <c r="BY148" s="12"/>
      <c r="CA148" s="42"/>
    </row>
    <row r="149" spans="1:79" s="67" customFormat="1" ht="6.6" customHeight="1" x14ac:dyDescent="0.25">
      <c r="D149" s="1"/>
      <c r="BM149" s="6"/>
      <c r="BY149" s="12"/>
      <c r="CA149" s="42"/>
    </row>
    <row r="150" spans="1:79" s="67" customFormat="1" x14ac:dyDescent="0.25">
      <c r="A150" s="40"/>
      <c r="B150" s="40"/>
      <c r="C150" s="40"/>
      <c r="D150" s="40" t="s">
        <v>1766</v>
      </c>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12"/>
      <c r="CA150" s="42"/>
    </row>
    <row r="151" spans="1:79" s="67" customFormat="1" ht="6.6" customHeight="1" x14ac:dyDescent="0.25">
      <c r="D151" s="1"/>
      <c r="BM151" s="6"/>
      <c r="BY151" s="12"/>
      <c r="CA151" s="42"/>
    </row>
    <row r="152" spans="1:79" s="67" customFormat="1" x14ac:dyDescent="0.25">
      <c r="C152" s="14"/>
      <c r="D152" s="14" t="s">
        <v>272</v>
      </c>
      <c r="E152" s="14"/>
      <c r="BY152" s="12"/>
      <c r="CA152" s="42"/>
    </row>
    <row r="153" spans="1:79" s="67" customFormat="1" x14ac:dyDescent="0.25">
      <c r="C153" s="242" t="s">
        <v>256</v>
      </c>
      <c r="D153" s="243" t="s">
        <v>257</v>
      </c>
      <c r="E153" s="244" t="s">
        <v>255</v>
      </c>
      <c r="BY153" s="12"/>
      <c r="CA153" s="42"/>
    </row>
    <row r="154" spans="1:79" s="67" customFormat="1" x14ac:dyDescent="0.25">
      <c r="C154" s="245">
        <v>1</v>
      </c>
      <c r="D154" s="246">
        <v>2</v>
      </c>
      <c r="E154" s="247">
        <v>3</v>
      </c>
      <c r="BY154" s="12"/>
      <c r="CA154" s="42"/>
    </row>
    <row r="155" spans="1:79" s="67" customFormat="1" x14ac:dyDescent="0.25">
      <c r="C155" s="393">
        <v>2.7755575615628914E-16</v>
      </c>
      <c r="D155" s="10" t="s">
        <v>690</v>
      </c>
      <c r="E155" s="10">
        <v>0</v>
      </c>
      <c r="BY155" s="12"/>
      <c r="CA155" s="42"/>
    </row>
    <row r="156" spans="1:79" s="67" customFormat="1" x14ac:dyDescent="0.25">
      <c r="C156" s="393">
        <v>0.6</v>
      </c>
      <c r="D156" s="10" t="s">
        <v>689</v>
      </c>
      <c r="E156" s="10">
        <v>10</v>
      </c>
      <c r="BY156" s="12"/>
      <c r="CA156" s="42"/>
    </row>
    <row r="157" spans="1:79" s="67" customFormat="1" x14ac:dyDescent="0.25">
      <c r="C157" s="393">
        <v>0.7</v>
      </c>
      <c r="D157" s="10" t="s">
        <v>688</v>
      </c>
      <c r="E157" s="10">
        <v>20</v>
      </c>
      <c r="BY157" s="12"/>
      <c r="CA157" s="42"/>
    </row>
    <row r="158" spans="1:79" s="67" customFormat="1" x14ac:dyDescent="0.25">
      <c r="C158" s="393">
        <v>0.8</v>
      </c>
      <c r="D158" s="10" t="s">
        <v>687</v>
      </c>
      <c r="E158" s="10">
        <v>30</v>
      </c>
      <c r="BY158" s="12"/>
      <c r="CA158" s="42"/>
    </row>
    <row r="159" spans="1:79" s="67" customFormat="1" x14ac:dyDescent="0.25">
      <c r="C159" s="393">
        <v>0.9</v>
      </c>
      <c r="D159" s="10" t="s">
        <v>686</v>
      </c>
      <c r="E159" s="10">
        <v>40</v>
      </c>
      <c r="BY159" s="12"/>
      <c r="CA159" s="42"/>
    </row>
    <row r="160" spans="1:79" s="67" customFormat="1" x14ac:dyDescent="0.25">
      <c r="C160" s="393">
        <v>1.0000000000000002</v>
      </c>
      <c r="D160" s="10" t="s">
        <v>685</v>
      </c>
      <c r="E160" s="10">
        <v>50</v>
      </c>
      <c r="BY160" s="12"/>
      <c r="CA160" s="42"/>
    </row>
    <row r="161" spans="2:79" s="67" customFormat="1" x14ac:dyDescent="0.25">
      <c r="C161" s="393">
        <v>1.2000000000000002</v>
      </c>
      <c r="D161" s="10" t="s">
        <v>684</v>
      </c>
      <c r="E161" s="10">
        <v>60</v>
      </c>
      <c r="BY161" s="12"/>
      <c r="CA161" s="42"/>
    </row>
    <row r="162" spans="2:79" s="67" customFormat="1" x14ac:dyDescent="0.25">
      <c r="C162" s="393">
        <v>1.4000000000000001</v>
      </c>
      <c r="D162" s="10" t="s">
        <v>683</v>
      </c>
      <c r="E162" s="10">
        <v>70</v>
      </c>
      <c r="BY162" s="12"/>
      <c r="CA162" s="42"/>
    </row>
    <row r="163" spans="2:79" s="5" customFormat="1" x14ac:dyDescent="0.25">
      <c r="B163" s="67"/>
      <c r="C163" s="393">
        <v>1.6</v>
      </c>
      <c r="D163" s="10" t="s">
        <v>682</v>
      </c>
      <c r="E163" s="10">
        <v>80</v>
      </c>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12"/>
      <c r="BZ163" s="67"/>
      <c r="CA163" s="42"/>
    </row>
    <row r="164" spans="2:79" s="67" customFormat="1" x14ac:dyDescent="0.25">
      <c r="C164" s="393">
        <v>1.8</v>
      </c>
      <c r="D164" s="10" t="s">
        <v>681</v>
      </c>
      <c r="E164" s="10">
        <v>90</v>
      </c>
      <c r="BY164" s="12"/>
      <c r="CA164" s="42"/>
    </row>
    <row r="165" spans="2:79" s="67" customFormat="1" x14ac:dyDescent="0.25">
      <c r="C165" s="393">
        <v>2</v>
      </c>
      <c r="D165" s="10" t="s">
        <v>680</v>
      </c>
      <c r="E165" s="10">
        <v>100</v>
      </c>
      <c r="BY165" s="12"/>
      <c r="CA165" s="42"/>
    </row>
    <row r="166" spans="2:79" s="67" customFormat="1" ht="6.6" customHeight="1" x14ac:dyDescent="0.25">
      <c r="D166" s="1"/>
      <c r="BM166" s="6"/>
      <c r="BY166" s="12"/>
      <c r="CA166" s="42"/>
    </row>
    <row r="167" spans="2:79" s="67" customFormat="1" ht="6.6" customHeight="1" x14ac:dyDescent="0.25">
      <c r="D167" s="1"/>
      <c r="BM167" s="6"/>
      <c r="BY167" s="12"/>
      <c r="CA167" s="42"/>
    </row>
    <row r="168" spans="2:79" s="67" customFormat="1" x14ac:dyDescent="0.25">
      <c r="C168" s="14"/>
      <c r="D168" s="14" t="s">
        <v>271</v>
      </c>
      <c r="E168" s="14"/>
      <c r="BY168" s="12"/>
      <c r="CA168" s="42"/>
    </row>
    <row r="169" spans="2:79" s="67" customFormat="1" x14ac:dyDescent="0.25">
      <c r="C169" s="242" t="s">
        <v>256</v>
      </c>
      <c r="D169" s="243" t="s">
        <v>257</v>
      </c>
      <c r="E169" s="244" t="s">
        <v>255</v>
      </c>
      <c r="BY169" s="12"/>
      <c r="CA169" s="42"/>
    </row>
    <row r="170" spans="2:79" s="67" customFormat="1" x14ac:dyDescent="0.25">
      <c r="C170" s="245">
        <v>1</v>
      </c>
      <c r="D170" s="246">
        <v>2</v>
      </c>
      <c r="E170" s="247">
        <v>3</v>
      </c>
      <c r="BY170" s="12"/>
      <c r="CA170" s="42"/>
    </row>
    <row r="171" spans="2:79" s="67" customFormat="1" x14ac:dyDescent="0.25">
      <c r="C171" s="66">
        <v>0</v>
      </c>
      <c r="D171" s="10" t="s">
        <v>701</v>
      </c>
      <c r="E171" s="10">
        <v>0</v>
      </c>
      <c r="BY171" s="12"/>
      <c r="CA171" s="42"/>
    </row>
    <row r="172" spans="2:79" s="67" customFormat="1" x14ac:dyDescent="0.25">
      <c r="C172" s="66">
        <v>0.01</v>
      </c>
      <c r="D172" s="10" t="s">
        <v>700</v>
      </c>
      <c r="E172" s="10">
        <v>10</v>
      </c>
      <c r="BY172" s="12"/>
      <c r="CA172" s="42"/>
    </row>
    <row r="173" spans="2:79" s="67" customFormat="1" x14ac:dyDescent="0.25">
      <c r="C173" s="66">
        <v>0.02</v>
      </c>
      <c r="D173" s="10" t="s">
        <v>699</v>
      </c>
      <c r="E173" s="10">
        <v>20</v>
      </c>
      <c r="BY173" s="12"/>
      <c r="CA173" s="42"/>
    </row>
    <row r="174" spans="2:79" s="67" customFormat="1" x14ac:dyDescent="0.25">
      <c r="C174" s="66">
        <v>0.03</v>
      </c>
      <c r="D174" s="10" t="s">
        <v>698</v>
      </c>
      <c r="E174" s="10">
        <v>30</v>
      </c>
      <c r="BY174" s="12"/>
      <c r="CA174" s="42"/>
    </row>
    <row r="175" spans="2:79" s="67" customFormat="1" x14ac:dyDescent="0.25">
      <c r="C175" s="66">
        <v>0.04</v>
      </c>
      <c r="D175" s="10" t="s">
        <v>697</v>
      </c>
      <c r="E175" s="10">
        <v>40</v>
      </c>
      <c r="BY175" s="12"/>
      <c r="CA175" s="42"/>
    </row>
    <row r="176" spans="2:79" s="67" customFormat="1" x14ac:dyDescent="0.25">
      <c r="C176" s="66">
        <v>0.05</v>
      </c>
      <c r="D176" s="10" t="s">
        <v>696</v>
      </c>
      <c r="E176" s="10">
        <v>50</v>
      </c>
      <c r="BY176" s="12"/>
      <c r="CA176" s="42"/>
    </row>
    <row r="177" spans="2:79" s="67" customFormat="1" x14ac:dyDescent="0.25">
      <c r="C177" s="66">
        <v>0.06</v>
      </c>
      <c r="D177" s="10" t="s">
        <v>695</v>
      </c>
      <c r="E177" s="10">
        <v>60</v>
      </c>
      <c r="BY177" s="12"/>
      <c r="CA177" s="42"/>
    </row>
    <row r="178" spans="2:79" s="5" customFormat="1" x14ac:dyDescent="0.25">
      <c r="B178" s="67"/>
      <c r="C178" s="66">
        <v>7.0000000000000007E-2</v>
      </c>
      <c r="D178" s="10" t="s">
        <v>694</v>
      </c>
      <c r="E178" s="10">
        <v>70</v>
      </c>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12"/>
      <c r="BZ178" s="67"/>
      <c r="CA178" s="42"/>
    </row>
    <row r="179" spans="2:79" s="67" customFormat="1" x14ac:dyDescent="0.25">
      <c r="C179" s="66">
        <v>0.08</v>
      </c>
      <c r="D179" s="10" t="s">
        <v>693</v>
      </c>
      <c r="E179" s="10">
        <v>80</v>
      </c>
      <c r="BY179" s="12"/>
      <c r="CA179" s="42"/>
    </row>
    <row r="180" spans="2:79" s="67" customFormat="1" x14ac:dyDescent="0.25">
      <c r="C180" s="66">
        <v>0.09</v>
      </c>
      <c r="D180" s="10" t="s">
        <v>692</v>
      </c>
      <c r="E180" s="10">
        <v>90</v>
      </c>
      <c r="BY180" s="12"/>
      <c r="CA180" s="42"/>
    </row>
    <row r="181" spans="2:79" s="67" customFormat="1" x14ac:dyDescent="0.25">
      <c r="C181" s="66">
        <v>0.1</v>
      </c>
      <c r="D181" s="10" t="s">
        <v>691</v>
      </c>
      <c r="E181" s="10">
        <v>100</v>
      </c>
      <c r="BY181" s="12"/>
      <c r="CA181" s="42"/>
    </row>
    <row r="182" spans="2:79" s="67" customFormat="1" ht="6.6" customHeight="1" x14ac:dyDescent="0.25">
      <c r="D182" s="1"/>
      <c r="E182" s="1"/>
      <c r="BM182" s="6"/>
      <c r="BY182" s="12"/>
      <c r="CA182" s="42"/>
    </row>
    <row r="183" spans="2:79" s="67" customFormat="1" ht="6.6" customHeight="1" x14ac:dyDescent="0.25">
      <c r="D183" s="1"/>
      <c r="BM183" s="6"/>
      <c r="BY183" s="12"/>
      <c r="CA183" s="42"/>
    </row>
    <row r="184" spans="2:79" s="67" customFormat="1" x14ac:dyDescent="0.25">
      <c r="C184" s="14"/>
      <c r="D184" s="14" t="s">
        <v>269</v>
      </c>
      <c r="E184" s="14"/>
      <c r="BY184" s="12"/>
      <c r="CA184" s="42"/>
    </row>
    <row r="185" spans="2:79" s="67" customFormat="1" x14ac:dyDescent="0.25">
      <c r="C185" s="242" t="s">
        <v>256</v>
      </c>
      <c r="D185" s="243" t="s">
        <v>257</v>
      </c>
      <c r="E185" s="244" t="s">
        <v>255</v>
      </c>
      <c r="BY185" s="12"/>
      <c r="CA185" s="42"/>
    </row>
    <row r="186" spans="2:79" s="67" customFormat="1" x14ac:dyDescent="0.25">
      <c r="C186" s="245">
        <v>1</v>
      </c>
      <c r="D186" s="246">
        <v>2</v>
      </c>
      <c r="E186" s="247">
        <v>3</v>
      </c>
      <c r="BY186" s="12"/>
      <c r="CA186" s="42"/>
    </row>
    <row r="187" spans="2:79" s="67" customFormat="1" x14ac:dyDescent="0.25">
      <c r="C187" s="436">
        <v>0</v>
      </c>
      <c r="D187" s="79" t="s">
        <v>2535</v>
      </c>
      <c r="E187" s="10">
        <v>0</v>
      </c>
      <c r="BY187" s="12"/>
      <c r="CA187" s="42"/>
    </row>
    <row r="188" spans="2:79" s="67" customFormat="1" x14ac:dyDescent="0.25">
      <c r="C188" s="436">
        <v>0.8</v>
      </c>
      <c r="D188" s="79" t="s">
        <v>687</v>
      </c>
      <c r="E188" s="10">
        <v>10</v>
      </c>
      <c r="BY188" s="12"/>
      <c r="CA188" s="42"/>
    </row>
    <row r="189" spans="2:79" s="67" customFormat="1" x14ac:dyDescent="0.25">
      <c r="C189" s="436">
        <v>0.9</v>
      </c>
      <c r="D189" s="79" t="s">
        <v>686</v>
      </c>
      <c r="E189" s="10">
        <v>20</v>
      </c>
      <c r="BY189" s="12"/>
      <c r="CA189" s="42"/>
    </row>
    <row r="190" spans="2:79" s="67" customFormat="1" x14ac:dyDescent="0.25">
      <c r="C190" s="436">
        <v>1</v>
      </c>
      <c r="D190" s="79" t="s">
        <v>685</v>
      </c>
      <c r="E190" s="10">
        <v>30</v>
      </c>
      <c r="BY190" s="12"/>
      <c r="CA190" s="42"/>
    </row>
    <row r="191" spans="2:79" s="67" customFormat="1" x14ac:dyDescent="0.25">
      <c r="C191" s="436">
        <v>1.25</v>
      </c>
      <c r="D191" s="79" t="s">
        <v>2536</v>
      </c>
      <c r="E191" s="10">
        <v>40</v>
      </c>
      <c r="BY191" s="12"/>
      <c r="CA191" s="42"/>
    </row>
    <row r="192" spans="2:79" s="67" customFormat="1" x14ac:dyDescent="0.25">
      <c r="C192" s="436">
        <v>1.5</v>
      </c>
      <c r="D192" s="79" t="s">
        <v>2537</v>
      </c>
      <c r="E192" s="10">
        <v>50</v>
      </c>
      <c r="BY192" s="12"/>
      <c r="CA192" s="42"/>
    </row>
    <row r="193" spans="2:79" s="67" customFormat="1" x14ac:dyDescent="0.25">
      <c r="C193" s="436">
        <v>1.75</v>
      </c>
      <c r="D193" s="79" t="s">
        <v>2538</v>
      </c>
      <c r="E193" s="10">
        <v>60</v>
      </c>
      <c r="BY193" s="12"/>
      <c r="CA193" s="42"/>
    </row>
    <row r="194" spans="2:79" s="5" customFormat="1" x14ac:dyDescent="0.25">
      <c r="B194" s="67"/>
      <c r="C194" s="436">
        <v>2</v>
      </c>
      <c r="D194" s="79" t="s">
        <v>702</v>
      </c>
      <c r="E194" s="10">
        <v>70</v>
      </c>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12"/>
      <c r="BZ194" s="67"/>
      <c r="CA194" s="42"/>
    </row>
    <row r="195" spans="2:79" s="67" customFormat="1" x14ac:dyDescent="0.25">
      <c r="C195" s="436">
        <v>2.25</v>
      </c>
      <c r="D195" s="79" t="s">
        <v>2539</v>
      </c>
      <c r="E195" s="10">
        <v>80</v>
      </c>
      <c r="BY195" s="12"/>
      <c r="CA195" s="42"/>
    </row>
    <row r="196" spans="2:79" s="67" customFormat="1" x14ac:dyDescent="0.25">
      <c r="C196" s="436">
        <v>2.5</v>
      </c>
      <c r="D196" s="79" t="s">
        <v>2540</v>
      </c>
      <c r="E196" s="10">
        <v>90</v>
      </c>
      <c r="BY196" s="12"/>
      <c r="CA196" s="42"/>
    </row>
    <row r="197" spans="2:79" s="67" customFormat="1" x14ac:dyDescent="0.25">
      <c r="C197" s="436">
        <v>2.75</v>
      </c>
      <c r="D197" s="79" t="s">
        <v>2541</v>
      </c>
      <c r="E197" s="10">
        <v>100</v>
      </c>
      <c r="BY197" s="12"/>
      <c r="CA197" s="42"/>
    </row>
    <row r="198" spans="2:79" s="67" customFormat="1" ht="6.6" customHeight="1" x14ac:dyDescent="0.25">
      <c r="D198" s="1"/>
      <c r="BM198" s="6"/>
      <c r="BY198" s="12"/>
      <c r="CA198" s="42"/>
    </row>
    <row r="199" spans="2:79" s="67" customFormat="1" ht="6.6" customHeight="1" x14ac:dyDescent="0.25">
      <c r="D199" s="1"/>
      <c r="BM199" s="6"/>
      <c r="BY199" s="12"/>
      <c r="CA199" s="42"/>
    </row>
    <row r="200" spans="2:79" s="67" customFormat="1" x14ac:dyDescent="0.25">
      <c r="C200" s="14"/>
      <c r="D200" s="14" t="s">
        <v>270</v>
      </c>
      <c r="E200" s="14"/>
      <c r="BY200" s="12"/>
      <c r="CA200" s="42"/>
    </row>
    <row r="201" spans="2:79" s="67" customFormat="1" x14ac:dyDescent="0.25">
      <c r="C201" s="242" t="s">
        <v>256</v>
      </c>
      <c r="D201" s="243" t="s">
        <v>257</v>
      </c>
      <c r="E201" s="244" t="s">
        <v>255</v>
      </c>
      <c r="BY201" s="12"/>
      <c r="CA201" s="42"/>
    </row>
    <row r="202" spans="2:79" s="67" customFormat="1" x14ac:dyDescent="0.25">
      <c r="C202" s="245">
        <v>1</v>
      </c>
      <c r="D202" s="246">
        <v>2</v>
      </c>
      <c r="E202" s="247">
        <v>3</v>
      </c>
      <c r="BY202" s="12"/>
      <c r="CA202" s="42"/>
    </row>
    <row r="203" spans="2:79" s="67" customFormat="1" x14ac:dyDescent="0.25">
      <c r="C203" s="436">
        <v>0</v>
      </c>
      <c r="D203" s="10" t="s">
        <v>2317</v>
      </c>
      <c r="E203" s="10">
        <v>0</v>
      </c>
      <c r="BY203" s="12"/>
      <c r="CA203" s="42"/>
    </row>
    <row r="204" spans="2:79" s="67" customFormat="1" x14ac:dyDescent="0.25">
      <c r="C204" s="477">
        <v>5.0000000000000001E-3</v>
      </c>
      <c r="D204" s="10" t="s">
        <v>2275</v>
      </c>
      <c r="E204" s="10">
        <v>10</v>
      </c>
      <c r="BY204" s="12"/>
      <c r="CA204" s="42"/>
    </row>
    <row r="205" spans="2:79" s="67" customFormat="1" x14ac:dyDescent="0.25">
      <c r="C205" s="477">
        <v>0.01</v>
      </c>
      <c r="D205" s="10" t="s">
        <v>700</v>
      </c>
      <c r="E205" s="10">
        <v>20</v>
      </c>
      <c r="BY205" s="12"/>
      <c r="CA205" s="42"/>
    </row>
    <row r="206" spans="2:79" s="67" customFormat="1" x14ac:dyDescent="0.25">
      <c r="C206" s="477">
        <v>1.4999999999999999E-2</v>
      </c>
      <c r="D206" s="10" t="s">
        <v>2274</v>
      </c>
      <c r="E206" s="10">
        <v>30</v>
      </c>
      <c r="BY206" s="12"/>
      <c r="CA206" s="42"/>
    </row>
    <row r="207" spans="2:79" s="67" customFormat="1" x14ac:dyDescent="0.25">
      <c r="C207" s="477">
        <v>0.02</v>
      </c>
      <c r="D207" s="10" t="s">
        <v>699</v>
      </c>
      <c r="E207" s="10">
        <v>40</v>
      </c>
      <c r="BY207" s="12"/>
      <c r="CA207" s="42"/>
    </row>
    <row r="208" spans="2:79" s="67" customFormat="1" x14ac:dyDescent="0.25">
      <c r="C208" s="477">
        <v>2.5000000000000001E-2</v>
      </c>
      <c r="D208" s="10" t="s">
        <v>2273</v>
      </c>
      <c r="E208" s="10">
        <v>50</v>
      </c>
      <c r="BY208" s="12"/>
      <c r="CA208" s="42"/>
    </row>
    <row r="209" spans="1:79" s="67" customFormat="1" x14ac:dyDescent="0.25">
      <c r="C209" s="477">
        <v>0.03</v>
      </c>
      <c r="D209" s="10" t="s">
        <v>698</v>
      </c>
      <c r="E209" s="10">
        <v>60</v>
      </c>
      <c r="BY209" s="12"/>
      <c r="CA209" s="42"/>
    </row>
    <row r="210" spans="1:79" s="5" customFormat="1" x14ac:dyDescent="0.25">
      <c r="B210" s="67"/>
      <c r="C210" s="477">
        <v>3.5000000000000003E-2</v>
      </c>
      <c r="D210" s="10" t="s">
        <v>2272</v>
      </c>
      <c r="E210" s="10">
        <v>70</v>
      </c>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12"/>
      <c r="BZ210" s="67"/>
      <c r="CA210" s="42"/>
    </row>
    <row r="211" spans="1:79" s="67" customFormat="1" x14ac:dyDescent="0.25">
      <c r="C211" s="477">
        <v>0.04</v>
      </c>
      <c r="D211" s="10" t="s">
        <v>697</v>
      </c>
      <c r="E211" s="10">
        <v>80</v>
      </c>
      <c r="BY211" s="12"/>
      <c r="CA211" s="42"/>
    </row>
    <row r="212" spans="1:79" s="67" customFormat="1" x14ac:dyDescent="0.25">
      <c r="C212" s="477">
        <v>4.4999999999999998E-2</v>
      </c>
      <c r="D212" s="10" t="s">
        <v>2271</v>
      </c>
      <c r="E212" s="10">
        <v>90</v>
      </c>
      <c r="BY212" s="12"/>
      <c r="CA212" s="42"/>
    </row>
    <row r="213" spans="1:79" s="67" customFormat="1" x14ac:dyDescent="0.25">
      <c r="C213" s="477">
        <v>0.05</v>
      </c>
      <c r="D213" s="79" t="s">
        <v>696</v>
      </c>
      <c r="E213" s="10">
        <v>100</v>
      </c>
      <c r="BY213" s="12"/>
      <c r="CA213" s="42"/>
    </row>
    <row r="214" spans="1:79" x14ac:dyDescent="0.25">
      <c r="BY214" s="12"/>
      <c r="BZ214" s="67"/>
      <c r="CA214" s="42"/>
    </row>
    <row r="215" spans="1:79" x14ac:dyDescent="0.25">
      <c r="A215" s="12" t="s">
        <v>88</v>
      </c>
      <c r="B215" s="12" t="s">
        <v>88</v>
      </c>
      <c r="C215" s="12" t="s">
        <v>88</v>
      </c>
      <c r="D215" s="12" t="s">
        <v>88</v>
      </c>
      <c r="E215" s="28" t="s">
        <v>88</v>
      </c>
      <c r="F215" s="12" t="s">
        <v>88</v>
      </c>
      <c r="G215" s="12" t="s">
        <v>88</v>
      </c>
      <c r="H215" s="12" t="s">
        <v>88</v>
      </c>
      <c r="I215" s="12" t="s">
        <v>88</v>
      </c>
      <c r="J215" s="12" t="s">
        <v>88</v>
      </c>
      <c r="K215" s="12" t="s">
        <v>88</v>
      </c>
      <c r="L215" s="12" t="s">
        <v>88</v>
      </c>
      <c r="M215" s="12" t="s">
        <v>88</v>
      </c>
      <c r="N215" s="12" t="s">
        <v>88</v>
      </c>
      <c r="O215" s="12" t="s">
        <v>88</v>
      </c>
      <c r="P215" s="12" t="s">
        <v>88</v>
      </c>
      <c r="Q215" s="12" t="s">
        <v>88</v>
      </c>
      <c r="R215" s="12" t="s">
        <v>88</v>
      </c>
      <c r="S215" s="12" t="s">
        <v>88</v>
      </c>
      <c r="T215" s="12" t="s">
        <v>88</v>
      </c>
      <c r="U215" s="12"/>
      <c r="V215" s="12"/>
      <c r="W215" s="12"/>
      <c r="X215" s="12" t="s">
        <v>88</v>
      </c>
      <c r="Y215" s="12" t="s">
        <v>88</v>
      </c>
      <c r="Z215" s="12" t="s">
        <v>88</v>
      </c>
      <c r="AA215" s="12" t="s">
        <v>88</v>
      </c>
      <c r="AB215" s="12" t="s">
        <v>88</v>
      </c>
      <c r="AC215" s="12" t="s">
        <v>88</v>
      </c>
      <c r="AD215" s="12" t="s">
        <v>88</v>
      </c>
      <c r="AE215" s="12" t="s">
        <v>88</v>
      </c>
      <c r="AF215" s="12" t="s">
        <v>88</v>
      </c>
      <c r="AG215" s="12" t="s">
        <v>88</v>
      </c>
      <c r="AH215" s="12" t="s">
        <v>88</v>
      </c>
      <c r="AI215" s="12" t="s">
        <v>88</v>
      </c>
      <c r="AJ215" s="12" t="s">
        <v>88</v>
      </c>
      <c r="AK215" s="12" t="s">
        <v>88</v>
      </c>
      <c r="AL215" s="12" t="s">
        <v>88</v>
      </c>
      <c r="AM215" s="12" t="s">
        <v>88</v>
      </c>
      <c r="AN215" s="12" t="s">
        <v>88</v>
      </c>
      <c r="AO215" s="12" t="s">
        <v>88</v>
      </c>
      <c r="AP215" s="12" t="s">
        <v>88</v>
      </c>
      <c r="AQ215" s="12" t="s">
        <v>88</v>
      </c>
      <c r="AR215" s="12" t="s">
        <v>88</v>
      </c>
      <c r="AS215" s="12" t="s">
        <v>88</v>
      </c>
      <c r="AT215" s="12" t="s">
        <v>88</v>
      </c>
      <c r="AU215" s="12" t="s">
        <v>88</v>
      </c>
      <c r="AV215" s="12" t="s">
        <v>88</v>
      </c>
      <c r="AW215" s="12" t="s">
        <v>88</v>
      </c>
      <c r="AX215" s="12" t="s">
        <v>88</v>
      </c>
      <c r="AY215" s="12" t="s">
        <v>88</v>
      </c>
      <c r="AZ215" s="12" t="s">
        <v>88</v>
      </c>
      <c r="BA215" s="12" t="s">
        <v>88</v>
      </c>
      <c r="BB215" s="12" t="s">
        <v>88</v>
      </c>
      <c r="BC215" s="12" t="s">
        <v>88</v>
      </c>
      <c r="BD215" s="12" t="s">
        <v>88</v>
      </c>
      <c r="BE215" s="12" t="s">
        <v>88</v>
      </c>
      <c r="BF215" s="12" t="s">
        <v>88</v>
      </c>
      <c r="BG215" s="12" t="s">
        <v>88</v>
      </c>
      <c r="BH215" s="12" t="s">
        <v>88</v>
      </c>
      <c r="BI215" s="12" t="s">
        <v>88</v>
      </c>
      <c r="BJ215" s="12" t="s">
        <v>88</v>
      </c>
      <c r="BK215" s="12" t="s">
        <v>88</v>
      </c>
      <c r="BL215" s="12" t="s">
        <v>88</v>
      </c>
      <c r="BM215" s="12" t="s">
        <v>88</v>
      </c>
      <c r="BN215" s="12" t="s">
        <v>88</v>
      </c>
      <c r="BO215" s="12" t="s">
        <v>88</v>
      </c>
      <c r="BP215" s="12" t="s">
        <v>88</v>
      </c>
      <c r="BQ215" s="12" t="s">
        <v>88</v>
      </c>
      <c r="BR215" s="12" t="s">
        <v>88</v>
      </c>
      <c r="BS215" s="12" t="s">
        <v>88</v>
      </c>
      <c r="BT215" s="12" t="s">
        <v>88</v>
      </c>
      <c r="BU215" s="12" t="s">
        <v>88</v>
      </c>
      <c r="BV215" s="12" t="s">
        <v>88</v>
      </c>
      <c r="BW215" s="12" t="s">
        <v>88</v>
      </c>
      <c r="BX215" s="12" t="s">
        <v>88</v>
      </c>
      <c r="BY215" s="12" t="s">
        <v>88</v>
      </c>
      <c r="BZ215" s="12" t="s">
        <v>88</v>
      </c>
      <c r="CA215" s="12" t="s">
        <v>88</v>
      </c>
    </row>
    <row r="217" spans="1:79" x14ac:dyDescent="0.25">
      <c r="C217" s="335"/>
      <c r="D217" s="335"/>
    </row>
    <row r="218" spans="1:79" x14ac:dyDescent="0.25">
      <c r="C218" s="335"/>
      <c r="D218" s="335"/>
    </row>
    <row r="219" spans="1:79" x14ac:dyDescent="0.25">
      <c r="C219" s="335"/>
      <c r="D219" s="335"/>
    </row>
    <row r="220" spans="1:79" x14ac:dyDescent="0.25">
      <c r="C220" s="335"/>
      <c r="D220" s="335"/>
    </row>
    <row r="221" spans="1:79" x14ac:dyDescent="0.25">
      <c r="C221" s="335"/>
      <c r="D221" s="335"/>
    </row>
    <row r="222" spans="1:79" x14ac:dyDescent="0.25">
      <c r="C222" s="335"/>
      <c r="D222" s="335"/>
    </row>
    <row r="223" spans="1:79" x14ac:dyDescent="0.25">
      <c r="C223" s="335"/>
      <c r="D223" s="335"/>
    </row>
    <row r="224" spans="1:79" x14ac:dyDescent="0.25">
      <c r="C224" s="335"/>
      <c r="D224" s="335"/>
    </row>
    <row r="225" spans="3:4" x14ac:dyDescent="0.25">
      <c r="C225" s="335"/>
      <c r="D225" s="335"/>
    </row>
    <row r="226" spans="3:4" x14ac:dyDescent="0.25">
      <c r="C226" s="335"/>
      <c r="D226" s="335"/>
    </row>
    <row r="227" spans="3:4" x14ac:dyDescent="0.25">
      <c r="C227" s="335"/>
      <c r="D227" s="335"/>
    </row>
  </sheetData>
  <sheetProtection algorithmName="SHA-512" hashValue="az/uALshDJfg/5VVc0HyUkYr7BcSW6wVJJOj81kxpy/TrlxEmv3XCu2b6QD6JKOOf+WcrGr3ezPKsJkqFVGy4w==" saltValue="ZURqGvXnUorO6w4zfB/jxQ==" spinCount="100000" sheet="1" objects="1" scenarios="1"/>
  <sortState xmlns:xlrd2="http://schemas.microsoft.com/office/spreadsheetml/2017/richdata2" ref="A137:A147">
    <sortCondition ref="A137"/>
  </sortState>
  <mergeCells count="3">
    <mergeCell ref="BY1:BY6"/>
    <mergeCell ref="CA1:CA6"/>
    <mergeCell ref="BZ4:BZ6"/>
  </mergeCells>
  <phoneticPr fontId="9" type="noConversion"/>
  <conditionalFormatting sqref="A1">
    <cfRule type="cellIs" dxfId="3" priority="1" operator="equal">
      <formula>0</formula>
    </cfRule>
    <cfRule type="cellIs" dxfId="2" priority="2" operator="greaterThan">
      <formula>0</formula>
    </cfRule>
  </conditionalFormatting>
  <pageMargins left="0.70866141732283472" right="0.70866141732283472" top="0.74803149606299213" bottom="0.74803149606299213" header="0.31496062992125984" footer="0.31496062992125984"/>
  <pageSetup paperSize="8"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F94F-628C-4D0B-82E8-F4094563CB78}">
  <sheetPr codeName="Sheet6"/>
  <dimension ref="A1:K242"/>
  <sheetViews>
    <sheetView zoomScaleNormal="100" workbookViewId="0"/>
  </sheetViews>
  <sheetFormatPr defaultRowHeight="15" x14ac:dyDescent="0.25"/>
  <cols>
    <col min="1" max="1" width="71" bestFit="1" customWidth="1"/>
    <col min="2" max="5" width="14.85546875" bestFit="1" customWidth="1"/>
    <col min="8" max="8" width="10.5703125" customWidth="1"/>
  </cols>
  <sheetData>
    <row r="1" spans="1:11" x14ac:dyDescent="0.25">
      <c r="A1" s="5" t="s">
        <v>2298</v>
      </c>
      <c r="B1" s="5" t="s">
        <v>2265</v>
      </c>
      <c r="C1" s="5" t="s">
        <v>2266</v>
      </c>
      <c r="D1" s="5" t="s">
        <v>2267</v>
      </c>
      <c r="E1" s="5" t="s">
        <v>2268</v>
      </c>
      <c r="G1" s="335"/>
      <c r="H1" s="335"/>
      <c r="I1" s="335"/>
      <c r="J1" s="335"/>
      <c r="K1" s="335"/>
    </row>
    <row r="2" spans="1:11" x14ac:dyDescent="0.25">
      <c r="A2" s="546" t="s">
        <v>1793</v>
      </c>
      <c r="B2" s="547" t="s">
        <v>1794</v>
      </c>
      <c r="C2" s="547" t="s">
        <v>1795</v>
      </c>
      <c r="D2" s="547">
        <v>112314</v>
      </c>
      <c r="E2" s="547">
        <v>10000055</v>
      </c>
      <c r="G2" s="335"/>
      <c r="H2" s="335"/>
      <c r="I2" s="335"/>
      <c r="J2" s="335"/>
      <c r="K2" s="335"/>
    </row>
    <row r="3" spans="1:11" x14ac:dyDescent="0.25">
      <c r="A3" s="546" t="s">
        <v>1796</v>
      </c>
      <c r="B3" s="547" t="s">
        <v>1794</v>
      </c>
      <c r="C3" s="547" t="s">
        <v>1797</v>
      </c>
      <c r="D3" s="547">
        <v>116105</v>
      </c>
      <c r="E3" s="547">
        <v>10004927</v>
      </c>
      <c r="G3" s="335"/>
      <c r="H3" s="335"/>
      <c r="I3" s="335"/>
      <c r="J3" s="335"/>
      <c r="K3" s="335"/>
    </row>
    <row r="4" spans="1:11" x14ac:dyDescent="0.25">
      <c r="A4" s="546" t="s">
        <v>1798</v>
      </c>
      <c r="B4" s="547" t="s">
        <v>1794</v>
      </c>
      <c r="C4" s="547" t="s">
        <v>1799</v>
      </c>
      <c r="D4" s="547">
        <v>134707</v>
      </c>
      <c r="E4" s="547">
        <v>10057981</v>
      </c>
      <c r="G4" s="335"/>
      <c r="H4" s="335"/>
      <c r="I4" s="335"/>
      <c r="J4" s="335"/>
      <c r="K4" s="335"/>
    </row>
    <row r="5" spans="1:11" x14ac:dyDescent="0.25">
      <c r="A5" s="546" t="s">
        <v>1800</v>
      </c>
      <c r="B5" s="547" t="s">
        <v>1801</v>
      </c>
      <c r="C5" s="547" t="s">
        <v>1802</v>
      </c>
      <c r="D5" s="547">
        <v>108372</v>
      </c>
      <c r="E5" s="547">
        <v>10000330</v>
      </c>
      <c r="G5" s="335"/>
      <c r="H5" s="335"/>
      <c r="I5" s="335"/>
      <c r="J5" s="335"/>
      <c r="K5" s="335"/>
    </row>
    <row r="6" spans="1:11" x14ac:dyDescent="0.25">
      <c r="A6" s="546" t="s">
        <v>1803</v>
      </c>
      <c r="B6" s="547" t="s">
        <v>1804</v>
      </c>
      <c r="C6" s="547" t="s">
        <v>1805</v>
      </c>
      <c r="D6" s="547">
        <v>105948</v>
      </c>
      <c r="E6" s="547">
        <v>10000415</v>
      </c>
      <c r="G6" s="335"/>
      <c r="H6" s="335"/>
      <c r="I6" s="335"/>
      <c r="J6" s="335"/>
      <c r="K6" s="335"/>
    </row>
    <row r="7" spans="1:11" x14ac:dyDescent="0.25">
      <c r="A7" s="546" t="s">
        <v>1806</v>
      </c>
      <c r="B7" s="547" t="s">
        <v>1794</v>
      </c>
      <c r="C7" s="547" t="s">
        <v>1807</v>
      </c>
      <c r="D7" s="547">
        <v>108983</v>
      </c>
      <c r="E7" s="547">
        <v>10000473</v>
      </c>
    </row>
    <row r="8" spans="1:11" x14ac:dyDescent="0.25">
      <c r="A8" s="546" t="s">
        <v>1808</v>
      </c>
      <c r="B8" s="547" t="s">
        <v>1794</v>
      </c>
      <c r="C8" s="547" t="s">
        <v>1809</v>
      </c>
      <c r="D8" s="547">
        <v>106542</v>
      </c>
      <c r="E8" s="547">
        <v>10000528</v>
      </c>
    </row>
    <row r="9" spans="1:11" x14ac:dyDescent="0.25">
      <c r="A9" s="546" t="s">
        <v>1810</v>
      </c>
      <c r="B9" s="547" t="s">
        <v>1794</v>
      </c>
      <c r="C9" s="547" t="s">
        <v>1811</v>
      </c>
      <c r="D9" s="547">
        <v>108532</v>
      </c>
      <c r="E9" s="547">
        <v>10000533</v>
      </c>
    </row>
    <row r="10" spans="1:11" x14ac:dyDescent="0.25">
      <c r="A10" s="546" t="s">
        <v>1812</v>
      </c>
      <c r="B10" s="547" t="s">
        <v>1813</v>
      </c>
      <c r="C10" s="547" t="s">
        <v>1814</v>
      </c>
      <c r="D10" s="547">
        <v>107013</v>
      </c>
      <c r="E10" s="547">
        <v>10000536</v>
      </c>
    </row>
    <row r="11" spans="1:11" x14ac:dyDescent="0.25">
      <c r="A11" s="546" t="s">
        <v>1815</v>
      </c>
      <c r="B11" s="547" t="s">
        <v>1801</v>
      </c>
      <c r="C11" s="547" t="s">
        <v>1816</v>
      </c>
      <c r="D11" s="547">
        <v>108437</v>
      </c>
      <c r="E11" s="547">
        <v>10000552</v>
      </c>
    </row>
    <row r="12" spans="1:11" x14ac:dyDescent="0.25">
      <c r="A12" s="546" t="s">
        <v>1817</v>
      </c>
      <c r="B12" s="547" t="s">
        <v>1794</v>
      </c>
      <c r="C12" s="547" t="s">
        <v>1818</v>
      </c>
      <c r="D12" s="547">
        <v>106596</v>
      </c>
      <c r="E12" s="547">
        <v>10000560</v>
      </c>
    </row>
    <row r="13" spans="1:11" x14ac:dyDescent="0.25">
      <c r="A13" s="546" t="s">
        <v>1819</v>
      </c>
      <c r="B13" s="547" t="s">
        <v>1794</v>
      </c>
      <c r="C13" s="547" t="s">
        <v>1820</v>
      </c>
      <c r="D13" s="547">
        <v>105154</v>
      </c>
      <c r="E13" s="547">
        <v>10001465</v>
      </c>
    </row>
    <row r="14" spans="1:11" x14ac:dyDescent="0.25">
      <c r="A14" s="546" t="s">
        <v>1821</v>
      </c>
      <c r="B14" s="547" t="s">
        <v>1794</v>
      </c>
      <c r="C14" s="547" t="s">
        <v>1822</v>
      </c>
      <c r="D14" s="547">
        <v>106319</v>
      </c>
      <c r="E14" s="547">
        <v>10000610</v>
      </c>
    </row>
    <row r="15" spans="1:11" x14ac:dyDescent="0.25">
      <c r="A15" s="546" t="s">
        <v>2517</v>
      </c>
      <c r="B15" s="547" t="s">
        <v>1804</v>
      </c>
      <c r="C15" s="547" t="s">
        <v>1823</v>
      </c>
      <c r="D15" s="547">
        <v>105023</v>
      </c>
      <c r="E15" s="547">
        <v>10000654</v>
      </c>
    </row>
    <row r="16" spans="1:11" x14ac:dyDescent="0.25">
      <c r="A16" s="546" t="s">
        <v>1824</v>
      </c>
      <c r="B16" s="547" t="s">
        <v>1801</v>
      </c>
      <c r="C16" s="547" t="s">
        <v>1825</v>
      </c>
      <c r="D16" s="547">
        <v>108435</v>
      </c>
      <c r="E16" s="547">
        <v>10000670</v>
      </c>
    </row>
    <row r="17" spans="1:5" x14ac:dyDescent="0.25">
      <c r="A17" s="546" t="s">
        <v>1826</v>
      </c>
      <c r="B17" s="547" t="s">
        <v>1794</v>
      </c>
      <c r="C17" s="547" t="s">
        <v>1827</v>
      </c>
      <c r="D17" s="547">
        <v>106368</v>
      </c>
      <c r="E17" s="547">
        <v>10006442</v>
      </c>
    </row>
    <row r="18" spans="1:5" x14ac:dyDescent="0.25">
      <c r="A18" s="546" t="s">
        <v>1828</v>
      </c>
      <c r="B18" s="547" t="s">
        <v>1794</v>
      </c>
      <c r="C18" s="547" t="s">
        <v>1829</v>
      </c>
      <c r="D18" s="547">
        <v>108530</v>
      </c>
      <c r="E18" s="547">
        <v>10000720</v>
      </c>
    </row>
    <row r="19" spans="1:5" x14ac:dyDescent="0.25">
      <c r="A19" s="546" t="s">
        <v>1830</v>
      </c>
      <c r="B19" s="547" t="s">
        <v>1804</v>
      </c>
      <c r="C19" s="547" t="s">
        <v>1831</v>
      </c>
      <c r="D19" s="547">
        <v>105582</v>
      </c>
      <c r="E19" s="547">
        <v>10000721</v>
      </c>
    </row>
    <row r="20" spans="1:5" x14ac:dyDescent="0.25">
      <c r="A20" s="546" t="s">
        <v>1832</v>
      </c>
      <c r="B20" s="547" t="s">
        <v>1794</v>
      </c>
      <c r="C20" s="547" t="s">
        <v>1833</v>
      </c>
      <c r="D20" s="547">
        <v>106749</v>
      </c>
      <c r="E20" s="547">
        <v>10000747</v>
      </c>
    </row>
    <row r="21" spans="1:5" x14ac:dyDescent="0.25">
      <c r="A21" s="546" t="s">
        <v>1834</v>
      </c>
      <c r="B21" s="547" t="s">
        <v>1794</v>
      </c>
      <c r="C21" s="547" t="s">
        <v>1835</v>
      </c>
      <c r="D21" s="547">
        <v>108529</v>
      </c>
      <c r="E21" s="547">
        <v>10000754</v>
      </c>
    </row>
    <row r="22" spans="1:5" x14ac:dyDescent="0.25">
      <c r="A22" s="546" t="s">
        <v>1836</v>
      </c>
      <c r="B22" s="547" t="s">
        <v>1794</v>
      </c>
      <c r="C22" s="547" t="s">
        <v>1837</v>
      </c>
      <c r="D22" s="547">
        <v>106815</v>
      </c>
      <c r="E22" s="547">
        <v>10000794</v>
      </c>
    </row>
    <row r="23" spans="1:5" x14ac:dyDescent="0.25">
      <c r="A23" s="546" t="s">
        <v>1838</v>
      </c>
      <c r="B23" s="547" t="s">
        <v>1801</v>
      </c>
      <c r="C23" s="547" t="s">
        <v>1839</v>
      </c>
      <c r="D23" s="547">
        <v>108320</v>
      </c>
      <c r="E23" s="547">
        <v>10000796</v>
      </c>
    </row>
    <row r="24" spans="1:5" x14ac:dyDescent="0.25">
      <c r="A24" s="546" t="s">
        <v>1840</v>
      </c>
      <c r="B24" s="547" t="s">
        <v>1794</v>
      </c>
      <c r="C24" s="547" t="s">
        <v>1841</v>
      </c>
      <c r="D24" s="547">
        <v>107641</v>
      </c>
      <c r="E24" s="547">
        <v>10000812</v>
      </c>
    </row>
    <row r="25" spans="1:5" x14ac:dyDescent="0.25">
      <c r="A25" s="546" t="s">
        <v>1842</v>
      </c>
      <c r="B25" s="547" t="s">
        <v>1794</v>
      </c>
      <c r="C25" s="547" t="s">
        <v>1843</v>
      </c>
      <c r="D25" s="547">
        <v>106532</v>
      </c>
      <c r="E25" s="547">
        <v>10000820</v>
      </c>
    </row>
    <row r="26" spans="1:5" x14ac:dyDescent="0.25">
      <c r="A26" s="546" t="s">
        <v>1844</v>
      </c>
      <c r="B26" s="547" t="s">
        <v>1794</v>
      </c>
      <c r="C26" s="547" t="s">
        <v>1845</v>
      </c>
      <c r="D26" s="547">
        <v>108311</v>
      </c>
      <c r="E26" s="547">
        <v>10000840</v>
      </c>
    </row>
    <row r="27" spans="1:5" x14ac:dyDescent="0.25">
      <c r="A27" s="546" t="s">
        <v>1846</v>
      </c>
      <c r="B27" s="547" t="s">
        <v>1813</v>
      </c>
      <c r="C27" s="547" t="s">
        <v>1847</v>
      </c>
      <c r="D27" s="547">
        <v>107531</v>
      </c>
      <c r="E27" s="547">
        <v>10000878</v>
      </c>
    </row>
    <row r="28" spans="1:5" x14ac:dyDescent="0.25">
      <c r="A28" s="546" t="s">
        <v>1848</v>
      </c>
      <c r="B28" s="547" t="s">
        <v>1801</v>
      </c>
      <c r="C28" s="547" t="s">
        <v>1849</v>
      </c>
      <c r="D28" s="547">
        <v>108432</v>
      </c>
      <c r="E28" s="547">
        <v>10000887</v>
      </c>
    </row>
    <row r="29" spans="1:5" x14ac:dyDescent="0.25">
      <c r="A29" s="546" t="s">
        <v>1850</v>
      </c>
      <c r="B29" s="547" t="s">
        <v>1813</v>
      </c>
      <c r="C29" s="547" t="s">
        <v>1851</v>
      </c>
      <c r="D29" s="547">
        <v>108468</v>
      </c>
      <c r="E29" s="547">
        <v>10000944</v>
      </c>
    </row>
    <row r="30" spans="1:5" x14ac:dyDescent="0.25">
      <c r="A30" s="546" t="s">
        <v>1852</v>
      </c>
      <c r="B30" s="547" t="s">
        <v>1794</v>
      </c>
      <c r="C30" s="547" t="s">
        <v>1853</v>
      </c>
      <c r="D30" s="547">
        <v>107906</v>
      </c>
      <c r="E30" s="547">
        <v>10000950</v>
      </c>
    </row>
    <row r="31" spans="1:5" x14ac:dyDescent="0.25">
      <c r="A31" s="546" t="s">
        <v>1854</v>
      </c>
      <c r="B31" s="547" t="s">
        <v>1794</v>
      </c>
      <c r="C31" s="547" t="s">
        <v>1855</v>
      </c>
      <c r="D31" s="547">
        <v>106751</v>
      </c>
      <c r="E31" s="547">
        <v>10001000</v>
      </c>
    </row>
    <row r="32" spans="1:5" x14ac:dyDescent="0.25">
      <c r="A32" s="546" t="s">
        <v>1856</v>
      </c>
      <c r="B32" s="547" t="s">
        <v>1794</v>
      </c>
      <c r="C32" s="547" t="s">
        <v>1857</v>
      </c>
      <c r="D32" s="547">
        <v>105347</v>
      </c>
      <c r="E32" s="547">
        <v>10001004</v>
      </c>
    </row>
    <row r="33" spans="1:5" x14ac:dyDescent="0.25">
      <c r="A33" s="546" t="s">
        <v>1858</v>
      </c>
      <c r="B33" s="547" t="s">
        <v>1813</v>
      </c>
      <c r="C33" s="547" t="s">
        <v>1859</v>
      </c>
      <c r="D33" s="547">
        <v>105763</v>
      </c>
      <c r="E33" s="547">
        <v>10001005</v>
      </c>
    </row>
    <row r="34" spans="1:5" x14ac:dyDescent="0.25">
      <c r="A34" s="546" t="s">
        <v>1860</v>
      </c>
      <c r="B34" s="547" t="s">
        <v>1794</v>
      </c>
      <c r="C34" s="547" t="s">
        <v>1861</v>
      </c>
      <c r="D34" s="547">
        <v>108325</v>
      </c>
      <c r="E34" s="547">
        <v>10001093</v>
      </c>
    </row>
    <row r="35" spans="1:5" x14ac:dyDescent="0.25">
      <c r="A35" s="546" t="s">
        <v>1862</v>
      </c>
      <c r="B35" s="547" t="s">
        <v>1794</v>
      </c>
      <c r="C35" s="547" t="s">
        <v>1863</v>
      </c>
      <c r="D35" s="547">
        <v>108527</v>
      </c>
      <c r="E35" s="547">
        <v>10001116</v>
      </c>
    </row>
    <row r="36" spans="1:5" x14ac:dyDescent="0.25">
      <c r="A36" s="546" t="s">
        <v>1864</v>
      </c>
      <c r="B36" s="547" t="s">
        <v>1804</v>
      </c>
      <c r="C36" s="547" t="s">
        <v>1865</v>
      </c>
      <c r="D36" s="547">
        <v>108318</v>
      </c>
      <c r="E36" s="547">
        <v>10001148</v>
      </c>
    </row>
    <row r="37" spans="1:5" x14ac:dyDescent="0.25">
      <c r="A37" s="546" t="s">
        <v>1866</v>
      </c>
      <c r="B37" s="547" t="s">
        <v>1801</v>
      </c>
      <c r="C37" s="547" t="s">
        <v>1867</v>
      </c>
      <c r="D37" s="547">
        <v>108371</v>
      </c>
      <c r="E37" s="547">
        <v>10001165</v>
      </c>
    </row>
    <row r="38" spans="1:5" x14ac:dyDescent="0.25">
      <c r="A38" s="546" t="s">
        <v>1868</v>
      </c>
      <c r="B38" s="547" t="s">
        <v>1801</v>
      </c>
      <c r="C38" s="547" t="s">
        <v>1869</v>
      </c>
      <c r="D38" s="547">
        <v>108370</v>
      </c>
      <c r="E38" s="547">
        <v>10001201</v>
      </c>
    </row>
    <row r="39" spans="1:5" x14ac:dyDescent="0.25">
      <c r="A39" s="546" t="s">
        <v>1870</v>
      </c>
      <c r="B39" s="547" t="s">
        <v>1794</v>
      </c>
      <c r="C39" s="547" t="s">
        <v>1871</v>
      </c>
      <c r="D39" s="547">
        <v>105017</v>
      </c>
      <c r="E39" s="547">
        <v>10002061</v>
      </c>
    </row>
    <row r="40" spans="1:5" x14ac:dyDescent="0.25">
      <c r="A40" s="546" t="s">
        <v>1872</v>
      </c>
      <c r="B40" s="547" t="s">
        <v>1801</v>
      </c>
      <c r="C40" s="547" t="s">
        <v>1873</v>
      </c>
      <c r="D40" s="547">
        <v>106867</v>
      </c>
      <c r="E40" s="547">
        <v>10001346</v>
      </c>
    </row>
    <row r="41" spans="1:5" x14ac:dyDescent="0.25">
      <c r="A41" s="546" t="s">
        <v>1874</v>
      </c>
      <c r="B41" s="547" t="s">
        <v>1794</v>
      </c>
      <c r="C41" s="547" t="s">
        <v>1875</v>
      </c>
      <c r="D41" s="547">
        <v>106563</v>
      </c>
      <c r="E41" s="547">
        <v>10001353</v>
      </c>
    </row>
    <row r="42" spans="1:5" x14ac:dyDescent="0.25">
      <c r="A42" s="546" t="s">
        <v>1876</v>
      </c>
      <c r="B42" s="547" t="s">
        <v>1813</v>
      </c>
      <c r="C42" s="547" t="s">
        <v>1877</v>
      </c>
      <c r="D42" s="547">
        <v>108444</v>
      </c>
      <c r="E42" s="547">
        <v>10005972</v>
      </c>
    </row>
    <row r="43" spans="1:5" x14ac:dyDescent="0.25">
      <c r="A43" s="546" t="s">
        <v>1878</v>
      </c>
      <c r="B43" s="547" t="s">
        <v>1794</v>
      </c>
      <c r="C43" s="547" t="s">
        <v>1879</v>
      </c>
      <c r="D43" s="547">
        <v>105367</v>
      </c>
      <c r="E43" s="547">
        <v>10001378</v>
      </c>
    </row>
    <row r="44" spans="1:5" x14ac:dyDescent="0.25">
      <c r="A44" s="546" t="s">
        <v>1880</v>
      </c>
      <c r="B44" s="547" t="s">
        <v>1794</v>
      </c>
      <c r="C44" s="547" t="s">
        <v>1881</v>
      </c>
      <c r="D44" s="547">
        <v>107513</v>
      </c>
      <c r="E44" s="547">
        <v>10007817</v>
      </c>
    </row>
    <row r="45" spans="1:5" x14ac:dyDescent="0.25">
      <c r="A45" s="546" t="s">
        <v>1882</v>
      </c>
      <c r="B45" s="547" t="s">
        <v>1801</v>
      </c>
      <c r="C45" s="547" t="s">
        <v>1883</v>
      </c>
      <c r="D45" s="547">
        <v>108369</v>
      </c>
      <c r="E45" s="547">
        <v>10001416</v>
      </c>
    </row>
    <row r="46" spans="1:5" x14ac:dyDescent="0.25">
      <c r="A46" s="546" t="s">
        <v>1884</v>
      </c>
      <c r="B46" s="547" t="s">
        <v>1801</v>
      </c>
      <c r="C46" s="547" t="s">
        <v>1885</v>
      </c>
      <c r="D46" s="547">
        <v>106582</v>
      </c>
      <c r="E46" s="547">
        <v>10001446</v>
      </c>
    </row>
    <row r="47" spans="1:5" x14ac:dyDescent="0.25">
      <c r="A47" s="546" t="s">
        <v>1886</v>
      </c>
      <c r="B47" s="547" t="s">
        <v>1794</v>
      </c>
      <c r="C47" s="547" t="s">
        <v>1887</v>
      </c>
      <c r="D47" s="547">
        <v>106947</v>
      </c>
      <c r="E47" s="547">
        <v>10004772</v>
      </c>
    </row>
    <row r="48" spans="1:5" x14ac:dyDescent="0.25">
      <c r="A48" s="546" t="s">
        <v>1888</v>
      </c>
      <c r="B48" s="547" t="s">
        <v>1794</v>
      </c>
      <c r="C48" s="547" t="s">
        <v>1889</v>
      </c>
      <c r="D48" s="547">
        <v>108499</v>
      </c>
      <c r="E48" s="547">
        <v>10005128</v>
      </c>
    </row>
    <row r="49" spans="1:5" x14ac:dyDescent="0.25">
      <c r="A49" s="546" t="s">
        <v>1890</v>
      </c>
      <c r="B49" s="547" t="s">
        <v>1794</v>
      </c>
      <c r="C49" s="547" t="s">
        <v>1891</v>
      </c>
      <c r="D49" s="547">
        <v>105156</v>
      </c>
      <c r="E49" s="547">
        <v>10001467</v>
      </c>
    </row>
    <row r="50" spans="1:5" x14ac:dyDescent="0.25">
      <c r="A50" s="546" t="s">
        <v>1892</v>
      </c>
      <c r="B50" s="547" t="s">
        <v>1794</v>
      </c>
      <c r="C50" s="547" t="s">
        <v>1893</v>
      </c>
      <c r="D50" s="547">
        <v>107096</v>
      </c>
      <c r="E50" s="547">
        <v>10001475</v>
      </c>
    </row>
    <row r="51" spans="1:5" x14ac:dyDescent="0.25">
      <c r="A51" s="546" t="s">
        <v>1894</v>
      </c>
      <c r="B51" s="547" t="s">
        <v>1794</v>
      </c>
      <c r="C51" s="547" t="s">
        <v>1895</v>
      </c>
      <c r="D51" s="547">
        <v>106388</v>
      </c>
      <c r="E51" s="547">
        <v>10007578</v>
      </c>
    </row>
    <row r="52" spans="1:5" x14ac:dyDescent="0.25">
      <c r="A52" s="546" t="s">
        <v>1896</v>
      </c>
      <c r="B52" s="547" t="s">
        <v>1794</v>
      </c>
      <c r="C52" s="547" t="s">
        <v>1897</v>
      </c>
      <c r="D52" s="547">
        <v>106564</v>
      </c>
      <c r="E52" s="547">
        <v>10001535</v>
      </c>
    </row>
    <row r="53" spans="1:5" x14ac:dyDescent="0.25">
      <c r="A53" s="546" t="s">
        <v>1898</v>
      </c>
      <c r="B53" s="547" t="s">
        <v>1794</v>
      </c>
      <c r="C53" s="547" t="s">
        <v>1899</v>
      </c>
      <c r="D53" s="547">
        <v>106490</v>
      </c>
      <c r="E53" s="547">
        <v>10001696</v>
      </c>
    </row>
    <row r="54" spans="1:5" x14ac:dyDescent="0.25">
      <c r="A54" s="546" t="s">
        <v>1900</v>
      </c>
      <c r="B54" s="547" t="s">
        <v>1794</v>
      </c>
      <c r="C54" s="547" t="s">
        <v>1901</v>
      </c>
      <c r="D54" s="547">
        <v>106441</v>
      </c>
      <c r="E54" s="547">
        <v>10003010</v>
      </c>
    </row>
    <row r="55" spans="1:5" x14ac:dyDescent="0.25">
      <c r="A55" s="546" t="s">
        <v>1902</v>
      </c>
      <c r="B55" s="547" t="s">
        <v>1794</v>
      </c>
      <c r="C55" s="547" t="s">
        <v>1903</v>
      </c>
      <c r="D55" s="547">
        <v>107552</v>
      </c>
      <c r="E55" s="547">
        <v>10001743</v>
      </c>
    </row>
    <row r="56" spans="1:5" x14ac:dyDescent="0.25">
      <c r="A56" s="546" t="s">
        <v>1904</v>
      </c>
      <c r="B56" s="547" t="s">
        <v>1794</v>
      </c>
      <c r="C56" s="547" t="s">
        <v>1905</v>
      </c>
      <c r="D56" s="547">
        <v>105714</v>
      </c>
      <c r="E56" s="547">
        <v>10001778</v>
      </c>
    </row>
    <row r="57" spans="1:5" x14ac:dyDescent="0.25">
      <c r="A57" s="546" t="s">
        <v>1906</v>
      </c>
      <c r="B57" s="547" t="s">
        <v>1794</v>
      </c>
      <c r="C57" s="547" t="s">
        <v>1907</v>
      </c>
      <c r="D57" s="547">
        <v>105941</v>
      </c>
      <c r="E57" s="547">
        <v>10001850</v>
      </c>
    </row>
    <row r="58" spans="1:5" x14ac:dyDescent="0.25">
      <c r="A58" s="546" t="s">
        <v>1908</v>
      </c>
      <c r="B58" s="547" t="s">
        <v>1794</v>
      </c>
      <c r="C58" s="547" t="s">
        <v>1909</v>
      </c>
      <c r="D58" s="547">
        <v>112173</v>
      </c>
      <c r="E58" s="547">
        <v>10001919</v>
      </c>
    </row>
    <row r="59" spans="1:5" x14ac:dyDescent="0.25">
      <c r="A59" s="546" t="s">
        <v>1910</v>
      </c>
      <c r="B59" s="547" t="s">
        <v>1813</v>
      </c>
      <c r="C59" s="547" t="s">
        <v>1911</v>
      </c>
      <c r="D59" s="547">
        <v>108464</v>
      </c>
      <c r="E59" s="547">
        <v>10001934</v>
      </c>
    </row>
    <row r="60" spans="1:5" x14ac:dyDescent="0.25">
      <c r="A60" s="546" t="s">
        <v>1912</v>
      </c>
      <c r="B60" s="547" t="s">
        <v>1794</v>
      </c>
      <c r="C60" s="547" t="s">
        <v>1913</v>
      </c>
      <c r="D60" s="547">
        <v>106706</v>
      </c>
      <c r="E60" s="547">
        <v>10004695</v>
      </c>
    </row>
    <row r="61" spans="1:5" x14ac:dyDescent="0.25">
      <c r="A61" s="546" t="s">
        <v>1914</v>
      </c>
      <c r="B61" s="547" t="s">
        <v>1794</v>
      </c>
      <c r="C61" s="547" t="s">
        <v>1915</v>
      </c>
      <c r="D61" s="547">
        <v>106374</v>
      </c>
      <c r="E61" s="547">
        <v>10007924</v>
      </c>
    </row>
    <row r="62" spans="1:5" x14ac:dyDescent="0.25">
      <c r="A62" s="546" t="s">
        <v>1916</v>
      </c>
      <c r="B62" s="547" t="s">
        <v>1794</v>
      </c>
      <c r="C62" s="547" t="s">
        <v>1917</v>
      </c>
      <c r="D62" s="547">
        <v>106809</v>
      </c>
      <c r="E62" s="547">
        <v>10002094</v>
      </c>
    </row>
    <row r="63" spans="1:5" x14ac:dyDescent="0.25">
      <c r="A63" s="546" t="s">
        <v>1918</v>
      </c>
      <c r="B63" s="547" t="s">
        <v>1794</v>
      </c>
      <c r="C63" s="547" t="s">
        <v>1919</v>
      </c>
      <c r="D63" s="547">
        <v>107462</v>
      </c>
      <c r="E63" s="547">
        <v>10004116</v>
      </c>
    </row>
    <row r="64" spans="1:5" x14ac:dyDescent="0.25">
      <c r="A64" s="546" t="s">
        <v>1920</v>
      </c>
      <c r="B64" s="547" t="s">
        <v>1794</v>
      </c>
      <c r="C64" s="547" t="s">
        <v>1921</v>
      </c>
      <c r="D64" s="547">
        <v>108659</v>
      </c>
      <c r="E64" s="547">
        <v>10002111</v>
      </c>
    </row>
    <row r="65" spans="1:5" x14ac:dyDescent="0.25">
      <c r="A65" s="546" t="s">
        <v>2518</v>
      </c>
      <c r="B65" s="547" t="s">
        <v>1794</v>
      </c>
      <c r="C65" s="547" t="s">
        <v>2519</v>
      </c>
      <c r="D65" s="547">
        <v>112380</v>
      </c>
      <c r="E65" s="547">
        <v>10002126</v>
      </c>
    </row>
    <row r="66" spans="1:5" x14ac:dyDescent="0.25">
      <c r="A66" s="546" t="s">
        <v>1922</v>
      </c>
      <c r="B66" s="547" t="s">
        <v>1794</v>
      </c>
      <c r="C66" s="547" t="s">
        <v>1923</v>
      </c>
      <c r="D66" s="547">
        <v>110214</v>
      </c>
      <c r="E66" s="547">
        <v>10002130</v>
      </c>
    </row>
    <row r="67" spans="1:5" x14ac:dyDescent="0.25">
      <c r="A67" s="546" t="s">
        <v>1924</v>
      </c>
      <c r="B67" s="547" t="s">
        <v>1794</v>
      </c>
      <c r="C67" s="547" t="s">
        <v>1925</v>
      </c>
      <c r="D67" s="547">
        <v>107520</v>
      </c>
      <c r="E67" s="547">
        <v>10002923</v>
      </c>
    </row>
    <row r="68" spans="1:5" x14ac:dyDescent="0.25">
      <c r="A68" s="546" t="s">
        <v>1926</v>
      </c>
      <c r="B68" s="547" t="s">
        <v>1794</v>
      </c>
      <c r="C68" s="547" t="s">
        <v>1927</v>
      </c>
      <c r="D68" s="547">
        <v>108524</v>
      </c>
      <c r="E68" s="547">
        <v>10002143</v>
      </c>
    </row>
    <row r="69" spans="1:5" x14ac:dyDescent="0.25">
      <c r="A69" s="546" t="s">
        <v>1928</v>
      </c>
      <c r="B69" s="547" t="s">
        <v>1794</v>
      </c>
      <c r="C69" s="547" t="s">
        <v>1929</v>
      </c>
      <c r="D69" s="547">
        <v>106743</v>
      </c>
      <c r="E69" s="547">
        <v>10006570</v>
      </c>
    </row>
    <row r="70" spans="1:5" x14ac:dyDescent="0.25">
      <c r="A70" s="546" t="s">
        <v>1930</v>
      </c>
      <c r="B70" s="547" t="s">
        <v>1813</v>
      </c>
      <c r="C70" s="547" t="s">
        <v>1931</v>
      </c>
      <c r="D70" s="547">
        <v>108460</v>
      </c>
      <c r="E70" s="547">
        <v>10002370</v>
      </c>
    </row>
    <row r="71" spans="1:5" x14ac:dyDescent="0.25">
      <c r="A71" s="546" t="s">
        <v>1932</v>
      </c>
      <c r="B71" s="547" t="s">
        <v>1794</v>
      </c>
      <c r="C71" s="547" t="s">
        <v>1933</v>
      </c>
      <c r="D71" s="547">
        <v>108459</v>
      </c>
      <c r="E71" s="547">
        <v>10007928</v>
      </c>
    </row>
    <row r="72" spans="1:5" x14ac:dyDescent="0.25">
      <c r="A72" s="546" t="s">
        <v>1934</v>
      </c>
      <c r="B72" s="547" t="s">
        <v>1794</v>
      </c>
      <c r="C72" s="547" t="s">
        <v>1935</v>
      </c>
      <c r="D72" s="547">
        <v>106602</v>
      </c>
      <c r="E72" s="547">
        <v>10002412</v>
      </c>
    </row>
    <row r="73" spans="1:5" x14ac:dyDescent="0.25">
      <c r="A73" s="546" t="s">
        <v>1936</v>
      </c>
      <c r="B73" s="547" t="s">
        <v>1937</v>
      </c>
      <c r="C73" s="547" t="s">
        <v>1938</v>
      </c>
      <c r="D73" s="547">
        <v>108354</v>
      </c>
      <c r="E73" s="547">
        <v>10008641</v>
      </c>
    </row>
    <row r="74" spans="1:5" x14ac:dyDescent="0.25">
      <c r="A74" s="546" t="s">
        <v>1939</v>
      </c>
      <c r="B74" s="547" t="s">
        <v>1801</v>
      </c>
      <c r="C74" s="547" t="s">
        <v>1940</v>
      </c>
      <c r="D74" s="547">
        <v>108335</v>
      </c>
      <c r="E74" s="547">
        <v>10002570</v>
      </c>
    </row>
    <row r="75" spans="1:5" x14ac:dyDescent="0.25">
      <c r="A75" s="546" t="s">
        <v>1941</v>
      </c>
      <c r="B75" s="547" t="s">
        <v>1794</v>
      </c>
      <c r="C75" s="547" t="s">
        <v>1942</v>
      </c>
      <c r="D75" s="547">
        <v>106457</v>
      </c>
      <c r="E75" s="547">
        <v>10002599</v>
      </c>
    </row>
    <row r="76" spans="1:5" x14ac:dyDescent="0.25">
      <c r="A76" s="546" t="s">
        <v>1943</v>
      </c>
      <c r="B76" s="547" t="s">
        <v>1813</v>
      </c>
      <c r="C76" s="547" t="s">
        <v>1944</v>
      </c>
      <c r="D76" s="547">
        <v>108458</v>
      </c>
      <c r="E76" s="547">
        <v>10002638</v>
      </c>
    </row>
    <row r="77" spans="1:5" x14ac:dyDescent="0.25">
      <c r="A77" s="546" t="s">
        <v>1945</v>
      </c>
      <c r="B77" s="547" t="s">
        <v>1794</v>
      </c>
      <c r="C77" s="547" t="s">
        <v>1946</v>
      </c>
      <c r="D77" s="547">
        <v>106583</v>
      </c>
      <c r="E77" s="547">
        <v>10002696</v>
      </c>
    </row>
    <row r="78" spans="1:5" x14ac:dyDescent="0.25">
      <c r="A78" s="546" t="s">
        <v>1947</v>
      </c>
      <c r="B78" s="547" t="s">
        <v>1794</v>
      </c>
      <c r="C78" s="547" t="s">
        <v>1948</v>
      </c>
      <c r="D78" s="547">
        <v>110215</v>
      </c>
      <c r="E78" s="547">
        <v>10002743</v>
      </c>
    </row>
    <row r="79" spans="1:5" x14ac:dyDescent="0.25">
      <c r="A79" s="546" t="s">
        <v>1949</v>
      </c>
      <c r="B79" s="547" t="s">
        <v>1794</v>
      </c>
      <c r="C79" s="547" t="s">
        <v>1950</v>
      </c>
      <c r="D79" s="547">
        <v>108501</v>
      </c>
      <c r="E79" s="547">
        <v>10004736</v>
      </c>
    </row>
    <row r="80" spans="1:5" x14ac:dyDescent="0.25">
      <c r="A80" s="546" t="s">
        <v>1951</v>
      </c>
      <c r="B80" s="547" t="s">
        <v>1801</v>
      </c>
      <c r="C80" s="547" t="s">
        <v>1952</v>
      </c>
      <c r="D80" s="547">
        <v>108424</v>
      </c>
      <c r="E80" s="547">
        <v>10002770</v>
      </c>
    </row>
    <row r="81" spans="1:5" x14ac:dyDescent="0.25">
      <c r="A81" s="548" t="s">
        <v>2520</v>
      </c>
      <c r="B81" s="549" t="s">
        <v>1804</v>
      </c>
      <c r="C81" s="549" t="s">
        <v>2521</v>
      </c>
      <c r="D81" s="549">
        <v>107708</v>
      </c>
      <c r="E81" s="549">
        <v>10002843</v>
      </c>
    </row>
    <row r="82" spans="1:5" x14ac:dyDescent="0.25">
      <c r="A82" s="546" t="s">
        <v>1953</v>
      </c>
      <c r="B82" s="547" t="s">
        <v>1813</v>
      </c>
      <c r="C82" s="547" t="s">
        <v>1954</v>
      </c>
      <c r="D82" s="547">
        <v>108457</v>
      </c>
      <c r="E82" s="547">
        <v>10002852</v>
      </c>
    </row>
    <row r="83" spans="1:5" x14ac:dyDescent="0.25">
      <c r="A83" s="546" t="s">
        <v>1955</v>
      </c>
      <c r="B83" s="547" t="s">
        <v>1813</v>
      </c>
      <c r="C83" s="547" t="s">
        <v>1956</v>
      </c>
      <c r="D83" s="547">
        <v>105486</v>
      </c>
      <c r="E83" s="547">
        <v>10002899</v>
      </c>
    </row>
    <row r="84" spans="1:5" x14ac:dyDescent="0.25">
      <c r="A84" s="548" t="s">
        <v>1957</v>
      </c>
      <c r="B84" s="549" t="s">
        <v>1794</v>
      </c>
      <c r="C84" s="549" t="s">
        <v>1958</v>
      </c>
      <c r="D84" s="549">
        <v>107069</v>
      </c>
      <c r="E84" s="549">
        <v>10002917</v>
      </c>
    </row>
    <row r="85" spans="1:5" x14ac:dyDescent="0.25">
      <c r="A85" s="546" t="s">
        <v>1959</v>
      </c>
      <c r="B85" s="547" t="s">
        <v>1804</v>
      </c>
      <c r="C85" s="547" t="s">
        <v>1960</v>
      </c>
      <c r="D85" s="547">
        <v>141301</v>
      </c>
      <c r="E85" s="547">
        <v>10080810</v>
      </c>
    </row>
    <row r="86" spans="1:5" x14ac:dyDescent="0.25">
      <c r="A86" s="546" t="s">
        <v>1961</v>
      </c>
      <c r="B86" s="547" t="s">
        <v>1794</v>
      </c>
      <c r="C86" s="547" t="s">
        <v>1962</v>
      </c>
      <c r="D86" s="547">
        <v>108488</v>
      </c>
      <c r="E86" s="547">
        <v>10005979</v>
      </c>
    </row>
    <row r="87" spans="1:5" x14ac:dyDescent="0.25">
      <c r="A87" s="546" t="s">
        <v>1963</v>
      </c>
      <c r="B87" s="547" t="s">
        <v>1794</v>
      </c>
      <c r="C87" s="547" t="s">
        <v>1964</v>
      </c>
      <c r="D87" s="547">
        <v>107770</v>
      </c>
      <c r="E87" s="547">
        <v>10007193</v>
      </c>
    </row>
    <row r="88" spans="1:5" x14ac:dyDescent="0.25">
      <c r="A88" s="546" t="s">
        <v>1965</v>
      </c>
      <c r="B88" s="547" t="s">
        <v>1794</v>
      </c>
      <c r="C88" s="547" t="s">
        <v>1966</v>
      </c>
      <c r="D88" s="547">
        <v>106641</v>
      </c>
      <c r="E88" s="547">
        <v>10007977</v>
      </c>
    </row>
    <row r="89" spans="1:5" x14ac:dyDescent="0.25">
      <c r="A89" s="546" t="s">
        <v>1967</v>
      </c>
      <c r="B89" s="547" t="s">
        <v>1968</v>
      </c>
      <c r="C89" s="547" t="s">
        <v>1969</v>
      </c>
      <c r="D89" s="547">
        <v>108535</v>
      </c>
      <c r="E89" s="547">
        <v>10003022</v>
      </c>
    </row>
    <row r="90" spans="1:5" x14ac:dyDescent="0.25">
      <c r="A90" s="546" t="s">
        <v>2522</v>
      </c>
      <c r="B90" s="547" t="s">
        <v>1794</v>
      </c>
      <c r="C90" s="547" t="s">
        <v>1970</v>
      </c>
      <c r="D90" s="547">
        <v>106633</v>
      </c>
      <c r="E90" s="547">
        <v>10003023</v>
      </c>
    </row>
    <row r="91" spans="1:5" x14ac:dyDescent="0.25">
      <c r="A91" s="546" t="s">
        <v>1971</v>
      </c>
      <c r="B91" s="547" t="s">
        <v>1794</v>
      </c>
      <c r="C91" s="547" t="s">
        <v>1972</v>
      </c>
      <c r="D91" s="547">
        <v>108472</v>
      </c>
      <c r="E91" s="547">
        <v>10003029</v>
      </c>
    </row>
    <row r="92" spans="1:5" x14ac:dyDescent="0.25">
      <c r="A92" s="546" t="s">
        <v>1973</v>
      </c>
      <c r="B92" s="547" t="s">
        <v>1794</v>
      </c>
      <c r="C92" s="547" t="s">
        <v>1974</v>
      </c>
      <c r="D92" s="547">
        <v>106658</v>
      </c>
      <c r="E92" s="547">
        <v>10003035</v>
      </c>
    </row>
    <row r="93" spans="1:5" x14ac:dyDescent="0.25">
      <c r="A93" s="546" t="s">
        <v>1975</v>
      </c>
      <c r="B93" s="547" t="s">
        <v>1794</v>
      </c>
      <c r="C93" s="547" t="s">
        <v>1976</v>
      </c>
      <c r="D93" s="547">
        <v>110218</v>
      </c>
      <c r="E93" s="547">
        <v>10007945</v>
      </c>
    </row>
    <row r="94" spans="1:5" x14ac:dyDescent="0.25">
      <c r="A94" s="546" t="s">
        <v>1977</v>
      </c>
      <c r="B94" s="547" t="s">
        <v>1801</v>
      </c>
      <c r="C94" s="547" t="s">
        <v>1978</v>
      </c>
      <c r="D94" s="547">
        <v>108418</v>
      </c>
      <c r="E94" s="547">
        <v>10003094</v>
      </c>
    </row>
    <row r="95" spans="1:5" x14ac:dyDescent="0.25">
      <c r="A95" s="546" t="s">
        <v>1979</v>
      </c>
      <c r="B95" s="547" t="s">
        <v>1801</v>
      </c>
      <c r="C95" s="547" t="s">
        <v>1980</v>
      </c>
      <c r="D95" s="547">
        <v>108367</v>
      </c>
      <c r="E95" s="547">
        <v>10003128</v>
      </c>
    </row>
    <row r="96" spans="1:5" x14ac:dyDescent="0.25">
      <c r="A96" s="546" t="s">
        <v>1981</v>
      </c>
      <c r="B96" s="547" t="s">
        <v>1813</v>
      </c>
      <c r="C96" s="547" t="s">
        <v>1982</v>
      </c>
      <c r="D96" s="547">
        <v>106834</v>
      </c>
      <c r="E96" s="547">
        <v>10003146</v>
      </c>
    </row>
    <row r="97" spans="1:5" x14ac:dyDescent="0.25">
      <c r="A97" s="546" t="s">
        <v>1983</v>
      </c>
      <c r="B97" s="547" t="s">
        <v>1801</v>
      </c>
      <c r="C97" s="547" t="s">
        <v>1984</v>
      </c>
      <c r="D97" s="547">
        <v>108417</v>
      </c>
      <c r="E97" s="547">
        <v>10003188</v>
      </c>
    </row>
    <row r="98" spans="1:5" x14ac:dyDescent="0.25">
      <c r="A98" s="546" t="s">
        <v>1985</v>
      </c>
      <c r="B98" s="547" t="s">
        <v>1813</v>
      </c>
      <c r="C98" s="547" t="s">
        <v>1986</v>
      </c>
      <c r="D98" s="547">
        <v>106900</v>
      </c>
      <c r="E98" s="547">
        <v>10003193</v>
      </c>
    </row>
    <row r="99" spans="1:5" x14ac:dyDescent="0.25">
      <c r="A99" s="546" t="s">
        <v>1987</v>
      </c>
      <c r="B99" s="547" t="s">
        <v>1794</v>
      </c>
      <c r="C99" s="547" t="s">
        <v>1988</v>
      </c>
      <c r="D99" s="547">
        <v>106689</v>
      </c>
      <c r="E99" s="547">
        <v>10003200</v>
      </c>
    </row>
    <row r="100" spans="1:5" x14ac:dyDescent="0.25">
      <c r="A100" s="546" t="s">
        <v>2523</v>
      </c>
      <c r="B100" s="547" t="s">
        <v>1794</v>
      </c>
      <c r="C100" s="547" t="s">
        <v>1989</v>
      </c>
      <c r="D100" s="547">
        <v>106409</v>
      </c>
      <c r="E100" s="547">
        <v>10005077</v>
      </c>
    </row>
    <row r="101" spans="1:5" x14ac:dyDescent="0.25">
      <c r="A101" s="546" t="s">
        <v>1990</v>
      </c>
      <c r="B101" s="547" t="s">
        <v>1794</v>
      </c>
      <c r="C101" s="547" t="s">
        <v>1991</v>
      </c>
      <c r="D101" s="547">
        <v>108517</v>
      </c>
      <c r="E101" s="547">
        <v>10003406</v>
      </c>
    </row>
    <row r="102" spans="1:5" x14ac:dyDescent="0.25">
      <c r="A102" s="546" t="s">
        <v>1992</v>
      </c>
      <c r="B102" s="547" t="s">
        <v>1801</v>
      </c>
      <c r="C102" s="547" t="s">
        <v>1993</v>
      </c>
      <c r="D102" s="547">
        <v>108416</v>
      </c>
      <c r="E102" s="547">
        <v>10003427</v>
      </c>
    </row>
    <row r="103" spans="1:5" x14ac:dyDescent="0.25">
      <c r="A103" s="546" t="s">
        <v>1994</v>
      </c>
      <c r="B103" s="547" t="s">
        <v>1801</v>
      </c>
      <c r="C103" s="547" t="s">
        <v>1995</v>
      </c>
      <c r="D103" s="547">
        <v>108415</v>
      </c>
      <c r="E103" s="547">
        <v>10003491</v>
      </c>
    </row>
    <row r="104" spans="1:5" x14ac:dyDescent="0.25">
      <c r="A104" s="546" t="s">
        <v>1996</v>
      </c>
      <c r="B104" s="547" t="s">
        <v>1801</v>
      </c>
      <c r="C104" s="547" t="s">
        <v>1997</v>
      </c>
      <c r="D104" s="547">
        <v>108413</v>
      </c>
      <c r="E104" s="547">
        <v>10003511</v>
      </c>
    </row>
    <row r="105" spans="1:5" x14ac:dyDescent="0.25">
      <c r="A105" s="546" t="s">
        <v>1998</v>
      </c>
      <c r="B105" s="547" t="s">
        <v>1794</v>
      </c>
      <c r="C105" s="547" t="s">
        <v>1999</v>
      </c>
      <c r="D105" s="547">
        <v>106462</v>
      </c>
      <c r="E105" s="547">
        <v>10003558</v>
      </c>
    </row>
    <row r="106" spans="1:5" x14ac:dyDescent="0.25">
      <c r="A106" s="546" t="s">
        <v>2000</v>
      </c>
      <c r="B106" s="547" t="s">
        <v>1801</v>
      </c>
      <c r="C106" s="547" t="s">
        <v>2001</v>
      </c>
      <c r="D106" s="547">
        <v>108365</v>
      </c>
      <c r="E106" s="547">
        <v>10003625</v>
      </c>
    </row>
    <row r="107" spans="1:5" x14ac:dyDescent="0.25">
      <c r="A107" s="546" t="s">
        <v>2002</v>
      </c>
      <c r="B107" s="547" t="s">
        <v>1804</v>
      </c>
      <c r="C107" s="547" t="s">
        <v>2003</v>
      </c>
      <c r="D107" s="547">
        <v>106536</v>
      </c>
      <c r="E107" s="547">
        <v>10003676</v>
      </c>
    </row>
    <row r="108" spans="1:5" x14ac:dyDescent="0.25">
      <c r="A108" s="546" t="s">
        <v>2004</v>
      </c>
      <c r="B108" s="547" t="s">
        <v>1794</v>
      </c>
      <c r="C108" s="547" t="s">
        <v>2005</v>
      </c>
      <c r="D108" s="547">
        <v>107157</v>
      </c>
      <c r="E108" s="547">
        <v>10003189</v>
      </c>
    </row>
    <row r="109" spans="1:5" x14ac:dyDescent="0.25">
      <c r="A109" s="546" t="s">
        <v>2006</v>
      </c>
      <c r="B109" s="547" t="s">
        <v>1794</v>
      </c>
      <c r="C109" s="547" t="s">
        <v>2007</v>
      </c>
      <c r="D109" s="547">
        <v>106476</v>
      </c>
      <c r="E109" s="547">
        <v>10003753</v>
      </c>
    </row>
    <row r="110" spans="1:5" x14ac:dyDescent="0.25">
      <c r="A110" s="546" t="s">
        <v>2008</v>
      </c>
      <c r="B110" s="547" t="s">
        <v>1794</v>
      </c>
      <c r="C110" s="547" t="s">
        <v>2009</v>
      </c>
      <c r="D110" s="547">
        <v>106466</v>
      </c>
      <c r="E110" s="547">
        <v>10003768</v>
      </c>
    </row>
    <row r="111" spans="1:5" x14ac:dyDescent="0.25">
      <c r="A111" s="546" t="s">
        <v>2010</v>
      </c>
      <c r="B111" s="547" t="s">
        <v>1794</v>
      </c>
      <c r="C111" s="547" t="s">
        <v>2011</v>
      </c>
      <c r="D111" s="547">
        <v>118778</v>
      </c>
      <c r="E111" s="547">
        <v>10024962</v>
      </c>
    </row>
    <row r="112" spans="1:5" x14ac:dyDescent="0.25">
      <c r="A112" s="546" t="s">
        <v>2012</v>
      </c>
      <c r="B112" s="547" t="s">
        <v>1794</v>
      </c>
      <c r="C112" s="547" t="s">
        <v>2013</v>
      </c>
      <c r="D112" s="547">
        <v>107582</v>
      </c>
      <c r="E112" s="547">
        <v>10003855</v>
      </c>
    </row>
    <row r="113" spans="1:5" x14ac:dyDescent="0.25">
      <c r="A113" s="546" t="s">
        <v>2014</v>
      </c>
      <c r="B113" s="547" t="s">
        <v>1794</v>
      </c>
      <c r="C113" s="547" t="s">
        <v>2015</v>
      </c>
      <c r="D113" s="547">
        <v>105623</v>
      </c>
      <c r="E113" s="547">
        <v>10003867</v>
      </c>
    </row>
    <row r="114" spans="1:5" x14ac:dyDescent="0.25">
      <c r="A114" s="546" t="s">
        <v>2016</v>
      </c>
      <c r="B114" s="547" t="s">
        <v>1801</v>
      </c>
      <c r="C114" s="547" t="s">
        <v>2017</v>
      </c>
      <c r="D114" s="547">
        <v>108412</v>
      </c>
      <c r="E114" s="547">
        <v>10003899</v>
      </c>
    </row>
    <row r="115" spans="1:5" x14ac:dyDescent="0.25">
      <c r="A115" s="546" t="s">
        <v>2018</v>
      </c>
      <c r="B115" s="547" t="s">
        <v>1794</v>
      </c>
      <c r="C115" s="547" t="s">
        <v>2019</v>
      </c>
      <c r="D115" s="547">
        <v>110223</v>
      </c>
      <c r="E115" s="547">
        <v>10003928</v>
      </c>
    </row>
    <row r="116" spans="1:5" x14ac:dyDescent="0.25">
      <c r="A116" s="546" t="s">
        <v>2020</v>
      </c>
      <c r="B116" s="547" t="s">
        <v>1794</v>
      </c>
      <c r="C116" s="547" t="s">
        <v>2021</v>
      </c>
      <c r="D116" s="547">
        <v>105711</v>
      </c>
      <c r="E116" s="547">
        <v>10000948</v>
      </c>
    </row>
    <row r="117" spans="1:5" x14ac:dyDescent="0.25">
      <c r="A117" s="546" t="s">
        <v>2022</v>
      </c>
      <c r="B117" s="547" t="s">
        <v>1801</v>
      </c>
      <c r="C117" s="547" t="s">
        <v>2023</v>
      </c>
      <c r="D117" s="547">
        <v>108411</v>
      </c>
      <c r="E117" s="547">
        <v>10004088</v>
      </c>
    </row>
    <row r="118" spans="1:5" x14ac:dyDescent="0.25">
      <c r="A118" s="546" t="s">
        <v>2024</v>
      </c>
      <c r="B118" s="547" t="s">
        <v>1801</v>
      </c>
      <c r="C118" s="547" t="s">
        <v>2025</v>
      </c>
      <c r="D118" s="547">
        <v>108364</v>
      </c>
      <c r="E118" s="547">
        <v>10004108</v>
      </c>
    </row>
    <row r="119" spans="1:5" x14ac:dyDescent="0.25">
      <c r="A119" s="546" t="s">
        <v>2026</v>
      </c>
      <c r="B119" s="547" t="s">
        <v>1794</v>
      </c>
      <c r="C119" s="547" t="s">
        <v>2027</v>
      </c>
      <c r="D119" s="547">
        <v>109293</v>
      </c>
      <c r="E119" s="547">
        <v>10004112</v>
      </c>
    </row>
    <row r="120" spans="1:5" x14ac:dyDescent="0.25">
      <c r="A120" s="546" t="s">
        <v>2028</v>
      </c>
      <c r="B120" s="547" t="s">
        <v>1794</v>
      </c>
      <c r="C120" s="547" t="s">
        <v>2029</v>
      </c>
      <c r="D120" s="547">
        <v>118446</v>
      </c>
      <c r="E120" s="547">
        <v>10023139</v>
      </c>
    </row>
    <row r="121" spans="1:5" x14ac:dyDescent="0.25">
      <c r="A121" s="546" t="s">
        <v>2030</v>
      </c>
      <c r="B121" s="547" t="s">
        <v>1801</v>
      </c>
      <c r="C121" s="547" t="s">
        <v>2031</v>
      </c>
      <c r="D121" s="547">
        <v>108410</v>
      </c>
      <c r="E121" s="547">
        <v>10004125</v>
      </c>
    </row>
    <row r="122" spans="1:5" x14ac:dyDescent="0.25">
      <c r="A122" s="546" t="s">
        <v>2032</v>
      </c>
      <c r="B122" s="547" t="s">
        <v>1794</v>
      </c>
      <c r="C122" s="547" t="s">
        <v>2033</v>
      </c>
      <c r="D122" s="547">
        <v>108345</v>
      </c>
      <c r="E122" s="547">
        <v>10004144</v>
      </c>
    </row>
    <row r="123" spans="1:5" x14ac:dyDescent="0.25">
      <c r="A123" s="546" t="s">
        <v>2034</v>
      </c>
      <c r="B123" s="547" t="s">
        <v>1937</v>
      </c>
      <c r="C123" s="547" t="s">
        <v>2035</v>
      </c>
      <c r="D123" s="547">
        <v>108351</v>
      </c>
      <c r="E123" s="547">
        <v>10007875</v>
      </c>
    </row>
    <row r="124" spans="1:5" x14ac:dyDescent="0.25">
      <c r="A124" s="546" t="s">
        <v>2036</v>
      </c>
      <c r="B124" s="547" t="s">
        <v>1813</v>
      </c>
      <c r="C124" s="547" t="s">
        <v>2037</v>
      </c>
      <c r="D124" s="547">
        <v>107073</v>
      </c>
      <c r="E124" s="547">
        <v>10004344</v>
      </c>
    </row>
    <row r="125" spans="1:5" x14ac:dyDescent="0.25">
      <c r="A125" s="546" t="s">
        <v>2038</v>
      </c>
      <c r="B125" s="547" t="s">
        <v>1794</v>
      </c>
      <c r="C125" s="547" t="s">
        <v>2039</v>
      </c>
      <c r="D125" s="547">
        <v>106733</v>
      </c>
      <c r="E125" s="547">
        <v>10004340</v>
      </c>
    </row>
    <row r="126" spans="1:5" x14ac:dyDescent="0.25">
      <c r="A126" s="546" t="s">
        <v>2040</v>
      </c>
      <c r="B126" s="547" t="s">
        <v>1794</v>
      </c>
      <c r="C126" s="547" t="s">
        <v>2041</v>
      </c>
      <c r="D126" s="547">
        <v>108653</v>
      </c>
      <c r="E126" s="547">
        <v>10004375</v>
      </c>
    </row>
    <row r="127" spans="1:5" x14ac:dyDescent="0.25">
      <c r="A127" s="546" t="s">
        <v>2042</v>
      </c>
      <c r="B127" s="547" t="s">
        <v>1937</v>
      </c>
      <c r="C127" s="547" t="s">
        <v>2043</v>
      </c>
      <c r="D127" s="547">
        <v>108350</v>
      </c>
      <c r="E127" s="547">
        <v>10004432</v>
      </c>
    </row>
    <row r="128" spans="1:5" x14ac:dyDescent="0.25">
      <c r="A128" s="546" t="s">
        <v>2044</v>
      </c>
      <c r="B128" s="547" t="s">
        <v>1804</v>
      </c>
      <c r="C128" s="547" t="s">
        <v>2045</v>
      </c>
      <c r="D128" s="547">
        <v>106966</v>
      </c>
      <c r="E128" s="547">
        <v>10004442</v>
      </c>
    </row>
    <row r="129" spans="1:5" x14ac:dyDescent="0.25">
      <c r="A129" s="546" t="s">
        <v>2046</v>
      </c>
      <c r="B129" s="547" t="s">
        <v>1804</v>
      </c>
      <c r="C129" s="547" t="s">
        <v>2047</v>
      </c>
      <c r="D129" s="547">
        <v>106924</v>
      </c>
      <c r="E129" s="547">
        <v>10004478</v>
      </c>
    </row>
    <row r="130" spans="1:5" x14ac:dyDescent="0.25">
      <c r="A130" s="546" t="s">
        <v>2048</v>
      </c>
      <c r="B130" s="547" t="s">
        <v>1794</v>
      </c>
      <c r="C130" s="547" t="s">
        <v>2049</v>
      </c>
      <c r="D130" s="547">
        <v>138962</v>
      </c>
      <c r="E130" s="547">
        <v>10061475</v>
      </c>
    </row>
    <row r="131" spans="1:5" x14ac:dyDescent="0.25">
      <c r="A131" s="546" t="s">
        <v>2050</v>
      </c>
      <c r="B131" s="547" t="s">
        <v>1794</v>
      </c>
      <c r="C131" s="547" t="s">
        <v>2051</v>
      </c>
      <c r="D131" s="547">
        <v>107111</v>
      </c>
      <c r="E131" s="547">
        <v>10004599</v>
      </c>
    </row>
    <row r="132" spans="1:5" x14ac:dyDescent="0.25">
      <c r="A132" s="546" t="s">
        <v>2052</v>
      </c>
      <c r="B132" s="547" t="s">
        <v>1813</v>
      </c>
      <c r="C132" s="547" t="s">
        <v>2053</v>
      </c>
      <c r="D132" s="547">
        <v>106753</v>
      </c>
      <c r="E132" s="547">
        <v>10004552</v>
      </c>
    </row>
    <row r="133" spans="1:5" x14ac:dyDescent="0.25">
      <c r="A133" s="550" t="s">
        <v>2054</v>
      </c>
      <c r="B133" s="547" t="s">
        <v>1794</v>
      </c>
      <c r="C133" s="547" t="s">
        <v>2055</v>
      </c>
      <c r="D133" s="547">
        <v>106556</v>
      </c>
      <c r="E133" s="547">
        <v>10006963</v>
      </c>
    </row>
    <row r="134" spans="1:5" x14ac:dyDescent="0.25">
      <c r="A134" s="546" t="s">
        <v>2056</v>
      </c>
      <c r="B134" s="547" t="s">
        <v>1794</v>
      </c>
      <c r="C134" s="547" t="s">
        <v>2057</v>
      </c>
      <c r="D134" s="547">
        <v>108661</v>
      </c>
      <c r="E134" s="547">
        <v>10004576</v>
      </c>
    </row>
    <row r="135" spans="1:5" x14ac:dyDescent="0.25">
      <c r="A135" s="546" t="s">
        <v>2524</v>
      </c>
      <c r="B135" s="547" t="s">
        <v>1794</v>
      </c>
      <c r="C135" s="547" t="s">
        <v>2525</v>
      </c>
      <c r="D135" s="547">
        <v>107722</v>
      </c>
      <c r="E135" s="547">
        <v>10006303</v>
      </c>
    </row>
    <row r="136" spans="1:5" x14ac:dyDescent="0.25">
      <c r="A136" s="546" t="s">
        <v>2058</v>
      </c>
      <c r="B136" s="547" t="s">
        <v>1794</v>
      </c>
      <c r="C136" s="547" t="s">
        <v>2059</v>
      </c>
      <c r="D136" s="547">
        <v>107178</v>
      </c>
      <c r="E136" s="547">
        <v>10004579</v>
      </c>
    </row>
    <row r="137" spans="1:5" x14ac:dyDescent="0.25">
      <c r="A137" s="546" t="s">
        <v>2060</v>
      </c>
      <c r="B137" s="547" t="s">
        <v>1794</v>
      </c>
      <c r="C137" s="547" t="s">
        <v>2061</v>
      </c>
      <c r="D137" s="547">
        <v>110221</v>
      </c>
      <c r="E137" s="547">
        <v>10004596</v>
      </c>
    </row>
    <row r="138" spans="1:5" x14ac:dyDescent="0.25">
      <c r="A138" s="546" t="s">
        <v>2062</v>
      </c>
      <c r="B138" s="547" t="s">
        <v>1794</v>
      </c>
      <c r="C138" s="547" t="s">
        <v>2063</v>
      </c>
      <c r="D138" s="547">
        <v>106068</v>
      </c>
      <c r="E138" s="547">
        <v>10004603</v>
      </c>
    </row>
    <row r="139" spans="1:5" x14ac:dyDescent="0.25">
      <c r="A139" s="546" t="s">
        <v>2064</v>
      </c>
      <c r="B139" s="547" t="s">
        <v>1794</v>
      </c>
      <c r="C139" s="547" t="s">
        <v>2065</v>
      </c>
      <c r="D139" s="547">
        <v>108507</v>
      </c>
      <c r="E139" s="547">
        <v>10004607</v>
      </c>
    </row>
    <row r="140" spans="1:5" x14ac:dyDescent="0.25">
      <c r="A140" s="546" t="s">
        <v>2066</v>
      </c>
      <c r="B140" s="547" t="s">
        <v>1801</v>
      </c>
      <c r="C140" s="547" t="s">
        <v>2067</v>
      </c>
      <c r="D140" s="547">
        <v>108407</v>
      </c>
      <c r="E140" s="547">
        <v>10004608</v>
      </c>
    </row>
    <row r="141" spans="1:5" x14ac:dyDescent="0.25">
      <c r="A141" s="546" t="s">
        <v>2068</v>
      </c>
      <c r="B141" s="547" t="s">
        <v>1794</v>
      </c>
      <c r="C141" s="547" t="s">
        <v>2069</v>
      </c>
      <c r="D141" s="547">
        <v>108505</v>
      </c>
      <c r="E141" s="547">
        <v>10004686</v>
      </c>
    </row>
    <row r="142" spans="1:5" x14ac:dyDescent="0.25">
      <c r="A142" s="546" t="s">
        <v>2070</v>
      </c>
      <c r="B142" s="547" t="s">
        <v>1794</v>
      </c>
      <c r="C142" s="547" t="s">
        <v>2071</v>
      </c>
      <c r="D142" s="547">
        <v>105010</v>
      </c>
      <c r="E142" s="547">
        <v>10004690</v>
      </c>
    </row>
    <row r="143" spans="1:5" x14ac:dyDescent="0.25">
      <c r="A143" s="546" t="s">
        <v>2072</v>
      </c>
      <c r="B143" s="547" t="s">
        <v>1794</v>
      </c>
      <c r="C143" s="547" t="s">
        <v>2073</v>
      </c>
      <c r="D143" s="547">
        <v>106734</v>
      </c>
      <c r="E143" s="547">
        <v>10004721</v>
      </c>
    </row>
    <row r="144" spans="1:5" x14ac:dyDescent="0.25">
      <c r="A144" s="546" t="s">
        <v>2074</v>
      </c>
      <c r="B144" s="547" t="s">
        <v>1794</v>
      </c>
      <c r="C144" s="547" t="s">
        <v>2075</v>
      </c>
      <c r="D144" s="547">
        <v>106442</v>
      </c>
      <c r="E144" s="547">
        <v>10004718</v>
      </c>
    </row>
    <row r="145" spans="1:5" x14ac:dyDescent="0.25">
      <c r="A145" s="546" t="s">
        <v>2076</v>
      </c>
      <c r="B145" s="547" t="s">
        <v>1794</v>
      </c>
      <c r="C145" s="547" t="s">
        <v>2077</v>
      </c>
      <c r="D145" s="547">
        <v>106970</v>
      </c>
      <c r="E145" s="547">
        <v>10007011</v>
      </c>
    </row>
    <row r="146" spans="1:5" x14ac:dyDescent="0.25">
      <c r="A146" s="546" t="s">
        <v>2078</v>
      </c>
      <c r="B146" s="547" t="s">
        <v>1937</v>
      </c>
      <c r="C146" s="547" t="s">
        <v>2079</v>
      </c>
      <c r="D146" s="547">
        <v>108314</v>
      </c>
      <c r="E146" s="547">
        <v>10004739</v>
      </c>
    </row>
    <row r="147" spans="1:5" x14ac:dyDescent="0.25">
      <c r="A147" s="546" t="s">
        <v>2080</v>
      </c>
      <c r="B147" s="547" t="s">
        <v>1801</v>
      </c>
      <c r="C147" s="547" t="s">
        <v>2081</v>
      </c>
      <c r="D147" s="547">
        <v>108362</v>
      </c>
      <c r="E147" s="547">
        <v>10004785</v>
      </c>
    </row>
    <row r="148" spans="1:5" x14ac:dyDescent="0.25">
      <c r="A148" s="546" t="s">
        <v>2082</v>
      </c>
      <c r="B148" s="547" t="s">
        <v>1794</v>
      </c>
      <c r="C148" s="547" t="s">
        <v>2083</v>
      </c>
      <c r="D148" s="547">
        <v>106985</v>
      </c>
      <c r="E148" s="547">
        <v>10004577</v>
      </c>
    </row>
    <row r="149" spans="1:5" x14ac:dyDescent="0.25">
      <c r="A149" s="546" t="s">
        <v>2084</v>
      </c>
      <c r="B149" s="547" t="s">
        <v>1794</v>
      </c>
      <c r="C149" s="547" t="s">
        <v>2085</v>
      </c>
      <c r="D149" s="547">
        <v>108498</v>
      </c>
      <c r="E149" s="547">
        <v>10004835</v>
      </c>
    </row>
    <row r="150" spans="1:5" x14ac:dyDescent="0.25">
      <c r="A150" s="546" t="s">
        <v>2086</v>
      </c>
      <c r="B150" s="547" t="s">
        <v>1801</v>
      </c>
      <c r="C150" s="547" t="s">
        <v>2087</v>
      </c>
      <c r="D150" s="547">
        <v>108405</v>
      </c>
      <c r="E150" s="547">
        <v>10005072</v>
      </c>
    </row>
    <row r="151" spans="1:5" x14ac:dyDescent="0.25">
      <c r="A151" s="546" t="s">
        <v>2088</v>
      </c>
      <c r="B151" s="547" t="s">
        <v>1813</v>
      </c>
      <c r="C151" s="547" t="s">
        <v>2089</v>
      </c>
      <c r="D151" s="547">
        <v>106509</v>
      </c>
      <c r="E151" s="547">
        <v>10004676</v>
      </c>
    </row>
    <row r="152" spans="1:5" x14ac:dyDescent="0.25">
      <c r="A152" s="546" t="s">
        <v>2090</v>
      </c>
      <c r="B152" s="547" t="s">
        <v>1804</v>
      </c>
      <c r="C152" s="547" t="s">
        <v>2091</v>
      </c>
      <c r="D152" s="547">
        <v>107525</v>
      </c>
      <c r="E152" s="547">
        <v>10005124</v>
      </c>
    </row>
    <row r="153" spans="1:5" x14ac:dyDescent="0.25">
      <c r="A153" s="546" t="s">
        <v>2092</v>
      </c>
      <c r="B153" s="547" t="s">
        <v>1801</v>
      </c>
      <c r="C153" s="547" t="s">
        <v>2093</v>
      </c>
      <c r="D153" s="547">
        <v>108402</v>
      </c>
      <c r="E153" s="547">
        <v>10005158</v>
      </c>
    </row>
    <row r="154" spans="1:5" x14ac:dyDescent="0.25">
      <c r="A154" s="546" t="s">
        <v>2094</v>
      </c>
      <c r="B154" s="547" t="s">
        <v>1813</v>
      </c>
      <c r="C154" s="547" t="s">
        <v>2095</v>
      </c>
      <c r="D154" s="547">
        <v>108623</v>
      </c>
      <c r="E154" s="547">
        <v>10005200</v>
      </c>
    </row>
    <row r="155" spans="1:5" x14ac:dyDescent="0.25">
      <c r="A155" s="546" t="s">
        <v>2096</v>
      </c>
      <c r="B155" s="547" t="s">
        <v>1801</v>
      </c>
      <c r="C155" s="547" t="s">
        <v>2097</v>
      </c>
      <c r="D155" s="547">
        <v>108400</v>
      </c>
      <c r="E155" s="547">
        <v>10005325</v>
      </c>
    </row>
    <row r="156" spans="1:5" x14ac:dyDescent="0.25">
      <c r="A156" s="546" t="s">
        <v>2098</v>
      </c>
      <c r="B156" s="547" t="s">
        <v>1804</v>
      </c>
      <c r="C156" s="547" t="s">
        <v>2099</v>
      </c>
      <c r="D156" s="547">
        <v>105301</v>
      </c>
      <c r="E156" s="547">
        <v>10005404</v>
      </c>
    </row>
    <row r="157" spans="1:5" x14ac:dyDescent="0.25">
      <c r="A157" s="546" t="s">
        <v>2100</v>
      </c>
      <c r="B157" s="547" t="s">
        <v>1801</v>
      </c>
      <c r="C157" s="547" t="s">
        <v>2101</v>
      </c>
      <c r="D157" s="547">
        <v>107537</v>
      </c>
      <c r="E157" s="547">
        <v>10005465</v>
      </c>
    </row>
    <row r="158" spans="1:5" x14ac:dyDescent="0.25">
      <c r="A158" s="546" t="s">
        <v>2102</v>
      </c>
      <c r="B158" s="547" t="s">
        <v>1937</v>
      </c>
      <c r="C158" s="547" t="s">
        <v>2103</v>
      </c>
      <c r="D158" s="547">
        <v>108353</v>
      </c>
      <c r="E158" s="547">
        <v>10003088</v>
      </c>
    </row>
    <row r="159" spans="1:5" x14ac:dyDescent="0.25">
      <c r="A159" s="546" t="s">
        <v>2104</v>
      </c>
      <c r="B159" s="547" t="s">
        <v>1813</v>
      </c>
      <c r="C159" s="547" t="s">
        <v>2105</v>
      </c>
      <c r="D159" s="547">
        <v>108449</v>
      </c>
      <c r="E159" s="547">
        <v>10005469</v>
      </c>
    </row>
    <row r="160" spans="1:5" x14ac:dyDescent="0.25">
      <c r="A160" s="546" t="s">
        <v>2106</v>
      </c>
      <c r="B160" s="547" t="s">
        <v>1794</v>
      </c>
      <c r="C160" s="547" t="s">
        <v>2107</v>
      </c>
      <c r="D160" s="547">
        <v>106896</v>
      </c>
      <c r="E160" s="547">
        <v>10002863</v>
      </c>
    </row>
    <row r="161" spans="1:5" x14ac:dyDescent="0.25">
      <c r="A161" s="546" t="s">
        <v>2106</v>
      </c>
      <c r="B161" s="547" t="s">
        <v>1794</v>
      </c>
      <c r="C161" s="547" t="s">
        <v>2167</v>
      </c>
      <c r="D161" s="547">
        <v>107083</v>
      </c>
      <c r="E161" s="547">
        <v>10006341</v>
      </c>
    </row>
    <row r="162" spans="1:5" x14ac:dyDescent="0.25">
      <c r="A162" s="546" t="s">
        <v>2108</v>
      </c>
      <c r="B162" s="547" t="s">
        <v>1794</v>
      </c>
      <c r="C162" s="547" t="s">
        <v>2109</v>
      </c>
      <c r="D162" s="547">
        <v>108493</v>
      </c>
      <c r="E162" s="547">
        <v>10005534</v>
      </c>
    </row>
    <row r="163" spans="1:5" x14ac:dyDescent="0.25">
      <c r="A163" s="546" t="s">
        <v>2110</v>
      </c>
      <c r="B163" s="547" t="s">
        <v>1813</v>
      </c>
      <c r="C163" s="547" t="s">
        <v>2111</v>
      </c>
      <c r="D163" s="547">
        <v>108625</v>
      </c>
      <c r="E163" s="547">
        <v>10005575</v>
      </c>
    </row>
    <row r="164" spans="1:5" x14ac:dyDescent="0.25">
      <c r="A164" s="546" t="s">
        <v>2112</v>
      </c>
      <c r="B164" s="547" t="s">
        <v>1937</v>
      </c>
      <c r="C164" s="547" t="s">
        <v>2113</v>
      </c>
      <c r="D164" s="547">
        <v>108348</v>
      </c>
      <c r="E164" s="547">
        <v>10005583</v>
      </c>
    </row>
    <row r="165" spans="1:5" x14ac:dyDescent="0.25">
      <c r="A165" s="546" t="s">
        <v>2114</v>
      </c>
      <c r="B165" s="547" t="s">
        <v>1794</v>
      </c>
      <c r="C165" s="547" t="s">
        <v>2115</v>
      </c>
      <c r="D165" s="547">
        <v>108406</v>
      </c>
      <c r="E165" s="547">
        <v>10005032</v>
      </c>
    </row>
    <row r="166" spans="1:5" x14ac:dyDescent="0.25">
      <c r="A166" s="546" t="s">
        <v>2116</v>
      </c>
      <c r="B166" s="547" t="s">
        <v>1794</v>
      </c>
      <c r="C166" s="547" t="s">
        <v>2117</v>
      </c>
      <c r="D166" s="547">
        <v>105110</v>
      </c>
      <c r="E166" s="547">
        <v>10005669</v>
      </c>
    </row>
    <row r="167" spans="1:5" x14ac:dyDescent="0.25">
      <c r="A167" s="546" t="s">
        <v>2118</v>
      </c>
      <c r="B167" s="547" t="s">
        <v>1801</v>
      </c>
      <c r="C167" s="547" t="s">
        <v>2119</v>
      </c>
      <c r="D167" s="547">
        <v>108396</v>
      </c>
      <c r="E167" s="547">
        <v>10005687</v>
      </c>
    </row>
    <row r="168" spans="1:5" x14ac:dyDescent="0.25">
      <c r="A168" s="546" t="s">
        <v>2120</v>
      </c>
      <c r="B168" s="547" t="s">
        <v>1813</v>
      </c>
      <c r="C168" s="547" t="s">
        <v>2121</v>
      </c>
      <c r="D168" s="547">
        <v>105583</v>
      </c>
      <c r="E168" s="547">
        <v>10005741</v>
      </c>
    </row>
    <row r="169" spans="1:5" x14ac:dyDescent="0.25">
      <c r="A169" s="546" t="s">
        <v>2122</v>
      </c>
      <c r="B169" s="547" t="s">
        <v>1813</v>
      </c>
      <c r="C169" s="547" t="s">
        <v>2123</v>
      </c>
      <c r="D169" s="547">
        <v>106996</v>
      </c>
      <c r="E169" s="547">
        <v>10005788</v>
      </c>
    </row>
    <row r="170" spans="1:5" x14ac:dyDescent="0.25">
      <c r="A170" s="546" t="s">
        <v>2124</v>
      </c>
      <c r="B170" s="547" t="s">
        <v>1794</v>
      </c>
      <c r="C170" s="547" t="s">
        <v>2125</v>
      </c>
      <c r="D170" s="547">
        <v>107170</v>
      </c>
      <c r="E170" s="547">
        <v>10005810</v>
      </c>
    </row>
    <row r="171" spans="1:5" x14ac:dyDescent="0.25">
      <c r="A171" s="546" t="s">
        <v>2126</v>
      </c>
      <c r="B171" s="547" t="s">
        <v>1801</v>
      </c>
      <c r="C171" s="547" t="s">
        <v>2127</v>
      </c>
      <c r="D171" s="547">
        <v>108391</v>
      </c>
      <c r="E171" s="547">
        <v>10005822</v>
      </c>
    </row>
    <row r="172" spans="1:5" x14ac:dyDescent="0.25">
      <c r="A172" s="546" t="s">
        <v>2128</v>
      </c>
      <c r="B172" s="547" t="s">
        <v>1801</v>
      </c>
      <c r="C172" s="547" t="s">
        <v>2129</v>
      </c>
      <c r="D172" s="547">
        <v>108393</v>
      </c>
      <c r="E172" s="547">
        <v>10005859</v>
      </c>
    </row>
    <row r="173" spans="1:5" x14ac:dyDescent="0.25">
      <c r="A173" s="546" t="s">
        <v>2130</v>
      </c>
      <c r="B173" s="547" t="s">
        <v>1794</v>
      </c>
      <c r="C173" s="547" t="s">
        <v>2131</v>
      </c>
      <c r="D173" s="547">
        <v>106366</v>
      </c>
      <c r="E173" s="547">
        <v>10005946</v>
      </c>
    </row>
    <row r="174" spans="1:5" x14ac:dyDescent="0.25">
      <c r="A174" s="546" t="s">
        <v>2132</v>
      </c>
      <c r="B174" s="547" t="s">
        <v>1794</v>
      </c>
      <c r="C174" s="547" t="s">
        <v>2133</v>
      </c>
      <c r="D174" s="547">
        <v>105074</v>
      </c>
      <c r="E174" s="547">
        <v>10005967</v>
      </c>
    </row>
    <row r="175" spans="1:5" x14ac:dyDescent="0.25">
      <c r="A175" s="546" t="s">
        <v>2526</v>
      </c>
      <c r="B175" s="547" t="s">
        <v>1813</v>
      </c>
      <c r="C175" s="547" t="s">
        <v>2134</v>
      </c>
      <c r="D175" s="547">
        <v>106790</v>
      </c>
      <c r="E175" s="547">
        <v>10003755</v>
      </c>
    </row>
    <row r="176" spans="1:5" x14ac:dyDescent="0.25">
      <c r="A176" s="546" t="s">
        <v>2135</v>
      </c>
      <c r="B176" s="547" t="s">
        <v>1794</v>
      </c>
      <c r="C176" s="547" t="s">
        <v>2136</v>
      </c>
      <c r="D176" s="547">
        <v>108487</v>
      </c>
      <c r="E176" s="547">
        <v>10005977</v>
      </c>
    </row>
    <row r="177" spans="1:5" x14ac:dyDescent="0.25">
      <c r="A177" s="546" t="s">
        <v>2137</v>
      </c>
      <c r="B177" s="547" t="s">
        <v>1794</v>
      </c>
      <c r="C177" s="547" t="s">
        <v>2138</v>
      </c>
      <c r="D177" s="547">
        <v>106569</v>
      </c>
      <c r="E177" s="547">
        <v>10005981</v>
      </c>
    </row>
    <row r="178" spans="1:5" x14ac:dyDescent="0.25">
      <c r="A178" s="546" t="s">
        <v>2139</v>
      </c>
      <c r="B178" s="547" t="s">
        <v>1794</v>
      </c>
      <c r="C178" s="547" t="s">
        <v>2140</v>
      </c>
      <c r="D178" s="547">
        <v>121223</v>
      </c>
      <c r="E178" s="547">
        <v>10036143</v>
      </c>
    </row>
    <row r="179" spans="1:5" x14ac:dyDescent="0.25">
      <c r="A179" s="546" t="s">
        <v>2141</v>
      </c>
      <c r="B179" s="547" t="s">
        <v>1794</v>
      </c>
      <c r="C179" s="547" t="s">
        <v>2142</v>
      </c>
      <c r="D179" s="547">
        <v>118791</v>
      </c>
      <c r="E179" s="547">
        <v>10023526</v>
      </c>
    </row>
    <row r="180" spans="1:5" x14ac:dyDescent="0.25">
      <c r="A180" s="546" t="s">
        <v>2143</v>
      </c>
      <c r="B180" s="547" t="s">
        <v>1794</v>
      </c>
      <c r="C180" s="547" t="s">
        <v>2144</v>
      </c>
      <c r="D180" s="547">
        <v>108514</v>
      </c>
      <c r="E180" s="547">
        <v>10003674</v>
      </c>
    </row>
    <row r="181" spans="1:5" x14ac:dyDescent="0.25">
      <c r="A181" s="546" t="s">
        <v>2145</v>
      </c>
      <c r="B181" s="547" t="s">
        <v>1794</v>
      </c>
      <c r="C181" s="547" t="s">
        <v>2146</v>
      </c>
      <c r="D181" s="547">
        <v>106614</v>
      </c>
      <c r="E181" s="547">
        <v>10006020</v>
      </c>
    </row>
    <row r="182" spans="1:5" x14ac:dyDescent="0.25">
      <c r="A182" s="546" t="s">
        <v>2147</v>
      </c>
      <c r="B182" s="547" t="s">
        <v>1794</v>
      </c>
      <c r="C182" s="547" t="s">
        <v>2148</v>
      </c>
      <c r="D182" s="547">
        <v>106934</v>
      </c>
      <c r="E182" s="547">
        <v>10006038</v>
      </c>
    </row>
    <row r="183" spans="1:5" x14ac:dyDescent="0.25">
      <c r="A183" s="546" t="s">
        <v>2149</v>
      </c>
      <c r="B183" s="547" t="s">
        <v>1804</v>
      </c>
      <c r="C183" s="547" t="s">
        <v>2150</v>
      </c>
      <c r="D183" s="547">
        <v>106618</v>
      </c>
      <c r="E183" s="547">
        <v>10006050</v>
      </c>
    </row>
    <row r="184" spans="1:5" x14ac:dyDescent="0.25">
      <c r="A184" s="546" t="s">
        <v>2151</v>
      </c>
      <c r="B184" s="547" t="s">
        <v>1801</v>
      </c>
      <c r="C184" s="547" t="s">
        <v>2152</v>
      </c>
      <c r="D184" s="547">
        <v>108361</v>
      </c>
      <c r="E184" s="547">
        <v>10006130</v>
      </c>
    </row>
    <row r="185" spans="1:5" x14ac:dyDescent="0.25">
      <c r="A185" s="546" t="s">
        <v>2153</v>
      </c>
      <c r="B185" s="547" t="s">
        <v>1801</v>
      </c>
      <c r="C185" s="547" t="s">
        <v>2154</v>
      </c>
      <c r="D185" s="547">
        <v>108360</v>
      </c>
      <c r="E185" s="547">
        <v>10006135</v>
      </c>
    </row>
    <row r="186" spans="1:5" x14ac:dyDescent="0.25">
      <c r="A186" s="546" t="s">
        <v>2155</v>
      </c>
      <c r="B186" s="547" t="s">
        <v>1801</v>
      </c>
      <c r="C186" s="547" t="s">
        <v>2156</v>
      </c>
      <c r="D186" s="547">
        <v>108359</v>
      </c>
      <c r="E186" s="547">
        <v>10006148</v>
      </c>
    </row>
    <row r="187" spans="1:5" x14ac:dyDescent="0.25">
      <c r="A187" s="546" t="s">
        <v>2157</v>
      </c>
      <c r="B187" s="547" t="s">
        <v>1801</v>
      </c>
      <c r="C187" s="547" t="s">
        <v>2158</v>
      </c>
      <c r="D187" s="547">
        <v>108358</v>
      </c>
      <c r="E187" s="547">
        <v>10008007</v>
      </c>
    </row>
    <row r="188" spans="1:5" x14ac:dyDescent="0.25">
      <c r="A188" s="546" t="s">
        <v>2159</v>
      </c>
      <c r="B188" s="547" t="s">
        <v>1794</v>
      </c>
      <c r="C188" s="547" t="s">
        <v>2160</v>
      </c>
      <c r="D188" s="547">
        <v>105907</v>
      </c>
      <c r="E188" s="547">
        <v>10006174</v>
      </c>
    </row>
    <row r="189" spans="1:5" x14ac:dyDescent="0.25">
      <c r="A189" s="546" t="s">
        <v>2161</v>
      </c>
      <c r="B189" s="547" t="s">
        <v>1801</v>
      </c>
      <c r="C189" s="547" t="s">
        <v>2162</v>
      </c>
      <c r="D189" s="547">
        <v>108328</v>
      </c>
      <c r="E189" s="547">
        <v>10006195</v>
      </c>
    </row>
    <row r="190" spans="1:5" x14ac:dyDescent="0.25">
      <c r="A190" s="546" t="s">
        <v>2163</v>
      </c>
      <c r="B190" s="547" t="s">
        <v>1801</v>
      </c>
      <c r="C190" s="547" t="s">
        <v>2164</v>
      </c>
      <c r="D190" s="547">
        <v>108339</v>
      </c>
      <c r="E190" s="547">
        <v>10006226</v>
      </c>
    </row>
    <row r="191" spans="1:5" x14ac:dyDescent="0.25">
      <c r="A191" s="546" t="s">
        <v>2165</v>
      </c>
      <c r="B191" s="547" t="s">
        <v>1813</v>
      </c>
      <c r="C191" s="547" t="s">
        <v>2166</v>
      </c>
      <c r="D191" s="547">
        <v>108462</v>
      </c>
      <c r="E191" s="547">
        <v>10009439</v>
      </c>
    </row>
    <row r="192" spans="1:5" x14ac:dyDescent="0.25">
      <c r="A192" s="546" t="s">
        <v>2168</v>
      </c>
      <c r="B192" s="547" t="s">
        <v>1794</v>
      </c>
      <c r="C192" s="547" t="s">
        <v>2169</v>
      </c>
      <c r="D192" s="547">
        <v>107044</v>
      </c>
      <c r="E192" s="547">
        <v>10006349</v>
      </c>
    </row>
    <row r="193" spans="1:5" x14ac:dyDescent="0.25">
      <c r="A193" s="546" t="s">
        <v>2170</v>
      </c>
      <c r="B193" s="547" t="s">
        <v>1813</v>
      </c>
      <c r="C193" s="547" t="s">
        <v>2171</v>
      </c>
      <c r="D193" s="547">
        <v>107542</v>
      </c>
      <c r="E193" s="547">
        <v>10006378</v>
      </c>
    </row>
    <row r="194" spans="1:5" x14ac:dyDescent="0.25">
      <c r="A194" s="546" t="s">
        <v>2172</v>
      </c>
      <c r="B194" s="547" t="s">
        <v>1794</v>
      </c>
      <c r="C194" s="547" t="s">
        <v>2173</v>
      </c>
      <c r="D194" s="547">
        <v>107059</v>
      </c>
      <c r="E194" s="547">
        <v>10006398</v>
      </c>
    </row>
    <row r="195" spans="1:5" x14ac:dyDescent="0.25">
      <c r="A195" s="546" t="s">
        <v>2527</v>
      </c>
      <c r="B195" s="547" t="s">
        <v>1794</v>
      </c>
      <c r="C195" s="547" t="s">
        <v>2528</v>
      </c>
      <c r="D195" s="547">
        <v>109044</v>
      </c>
      <c r="E195" s="547">
        <v>10006463</v>
      </c>
    </row>
    <row r="196" spans="1:5" x14ac:dyDescent="0.25">
      <c r="A196" s="546" t="s">
        <v>2174</v>
      </c>
      <c r="B196" s="547" t="s">
        <v>1794</v>
      </c>
      <c r="C196" s="547" t="s">
        <v>2175</v>
      </c>
      <c r="D196" s="547">
        <v>106868</v>
      </c>
      <c r="E196" s="547">
        <v>10006494</v>
      </c>
    </row>
    <row r="197" spans="1:5" x14ac:dyDescent="0.25">
      <c r="A197" s="546" t="s">
        <v>2176</v>
      </c>
      <c r="B197" s="547" t="s">
        <v>1794</v>
      </c>
      <c r="C197" s="547" t="s">
        <v>2177</v>
      </c>
      <c r="D197" s="547">
        <v>107632</v>
      </c>
      <c r="E197" s="547">
        <v>10007938</v>
      </c>
    </row>
    <row r="198" spans="1:5" x14ac:dyDescent="0.25">
      <c r="A198" s="546" t="s">
        <v>2178</v>
      </c>
      <c r="B198" s="547" t="s">
        <v>1794</v>
      </c>
      <c r="C198" s="547" t="s">
        <v>2179</v>
      </c>
      <c r="D198" s="547">
        <v>107010</v>
      </c>
      <c r="E198" s="547">
        <v>10006549</v>
      </c>
    </row>
    <row r="199" spans="1:5" x14ac:dyDescent="0.25">
      <c r="A199" s="546" t="s">
        <v>2180</v>
      </c>
      <c r="B199" s="547" t="s">
        <v>1801</v>
      </c>
      <c r="C199" s="547" t="s">
        <v>2181</v>
      </c>
      <c r="D199" s="547">
        <v>108433</v>
      </c>
      <c r="E199" s="547">
        <v>10000756</v>
      </c>
    </row>
    <row r="200" spans="1:5" x14ac:dyDescent="0.25">
      <c r="A200" s="546" t="s">
        <v>2182</v>
      </c>
      <c r="B200" s="547" t="s">
        <v>1801</v>
      </c>
      <c r="C200" s="547" t="s">
        <v>2183</v>
      </c>
      <c r="D200" s="547">
        <v>112729</v>
      </c>
      <c r="E200" s="547">
        <v>10006813</v>
      </c>
    </row>
    <row r="201" spans="1:5" x14ac:dyDescent="0.25">
      <c r="A201" s="546" t="s">
        <v>2184</v>
      </c>
      <c r="B201" s="547" t="s">
        <v>1937</v>
      </c>
      <c r="C201" s="547" t="s">
        <v>2185</v>
      </c>
      <c r="D201" s="547">
        <v>108356</v>
      </c>
      <c r="E201" s="547">
        <v>10001463</v>
      </c>
    </row>
    <row r="202" spans="1:5" x14ac:dyDescent="0.25">
      <c r="A202" s="546" t="s">
        <v>2186</v>
      </c>
      <c r="B202" s="547" t="s">
        <v>1794</v>
      </c>
      <c r="C202" s="547" t="s">
        <v>2187</v>
      </c>
      <c r="D202" s="547">
        <v>106915</v>
      </c>
      <c r="E202" s="547">
        <v>10003955</v>
      </c>
    </row>
    <row r="203" spans="1:5" x14ac:dyDescent="0.25">
      <c r="A203" s="546" t="s">
        <v>2188</v>
      </c>
      <c r="B203" s="547" t="s">
        <v>1801</v>
      </c>
      <c r="C203" s="547" t="s">
        <v>2189</v>
      </c>
      <c r="D203" s="547">
        <v>108368</v>
      </c>
      <c r="E203" s="547">
        <v>10001550</v>
      </c>
    </row>
    <row r="204" spans="1:5" x14ac:dyDescent="0.25">
      <c r="A204" s="546" t="s">
        <v>2190</v>
      </c>
      <c r="B204" s="547" t="s">
        <v>1794</v>
      </c>
      <c r="C204" s="547" t="s">
        <v>2191</v>
      </c>
      <c r="D204" s="547">
        <v>105939</v>
      </c>
      <c r="E204" s="547">
        <v>10007916</v>
      </c>
    </row>
    <row r="205" spans="1:5" x14ac:dyDescent="0.25">
      <c r="A205" s="546" t="s">
        <v>2192</v>
      </c>
      <c r="B205" s="547" t="s">
        <v>1801</v>
      </c>
      <c r="C205" s="547" t="s">
        <v>2193</v>
      </c>
      <c r="D205" s="547">
        <v>105028</v>
      </c>
      <c r="E205" s="547">
        <v>10003011</v>
      </c>
    </row>
    <row r="206" spans="1:5" x14ac:dyDescent="0.25">
      <c r="A206" s="546" t="s">
        <v>2194</v>
      </c>
      <c r="B206" s="547" t="s">
        <v>1968</v>
      </c>
      <c r="C206" s="547" t="s">
        <v>2195</v>
      </c>
      <c r="D206" s="547">
        <v>108536</v>
      </c>
      <c r="E206" s="547">
        <v>10001503</v>
      </c>
    </row>
    <row r="207" spans="1:5" x14ac:dyDescent="0.25">
      <c r="A207" s="546" t="s">
        <v>2196</v>
      </c>
      <c r="B207" s="547" t="s">
        <v>1794</v>
      </c>
      <c r="C207" s="547" t="s">
        <v>2197</v>
      </c>
      <c r="D207" s="547">
        <v>110734</v>
      </c>
      <c r="E207" s="547">
        <v>10006770</v>
      </c>
    </row>
    <row r="208" spans="1:5" x14ac:dyDescent="0.25">
      <c r="A208" s="546" t="s">
        <v>2198</v>
      </c>
      <c r="B208" s="547" t="s">
        <v>1801</v>
      </c>
      <c r="C208" s="547" t="s">
        <v>2199</v>
      </c>
      <c r="D208" s="547">
        <v>108395</v>
      </c>
      <c r="E208" s="547">
        <v>10005881</v>
      </c>
    </row>
    <row r="209" spans="1:5" x14ac:dyDescent="0.25">
      <c r="A209" s="546" t="s">
        <v>2529</v>
      </c>
      <c r="B209" s="547" t="s">
        <v>1804</v>
      </c>
      <c r="C209" s="547" t="s">
        <v>2200</v>
      </c>
      <c r="D209" s="547">
        <v>106763</v>
      </c>
      <c r="E209" s="547">
        <v>10000952</v>
      </c>
    </row>
    <row r="210" spans="1:5" x14ac:dyDescent="0.25">
      <c r="A210" s="546" t="s">
        <v>2201</v>
      </c>
      <c r="B210" s="547" t="s">
        <v>1794</v>
      </c>
      <c r="C210" s="547" t="s">
        <v>2202</v>
      </c>
      <c r="D210" s="547">
        <v>108484</v>
      </c>
      <c r="E210" s="547">
        <v>10005998</v>
      </c>
    </row>
    <row r="211" spans="1:5" x14ac:dyDescent="0.25">
      <c r="A211" s="546" t="s">
        <v>2203</v>
      </c>
      <c r="B211" s="547" t="s">
        <v>1794</v>
      </c>
      <c r="C211" s="547" t="s">
        <v>2204</v>
      </c>
      <c r="D211" s="547">
        <v>107745</v>
      </c>
      <c r="E211" s="547">
        <v>10002107</v>
      </c>
    </row>
    <row r="212" spans="1:5" x14ac:dyDescent="0.25">
      <c r="A212" s="546" t="s">
        <v>2205</v>
      </c>
      <c r="B212" s="547" t="s">
        <v>1794</v>
      </c>
      <c r="C212" s="547" t="s">
        <v>2206</v>
      </c>
      <c r="D212" s="547">
        <v>105653</v>
      </c>
      <c r="E212" s="547">
        <v>10007455</v>
      </c>
    </row>
    <row r="213" spans="1:5" x14ac:dyDescent="0.25">
      <c r="A213" s="546" t="s">
        <v>2207</v>
      </c>
      <c r="B213" s="547" t="s">
        <v>1813</v>
      </c>
      <c r="C213" s="547" t="s">
        <v>2208</v>
      </c>
      <c r="D213" s="547">
        <v>108441</v>
      </c>
      <c r="E213" s="547">
        <v>10007063</v>
      </c>
    </row>
    <row r="214" spans="1:5" x14ac:dyDescent="0.25">
      <c r="A214" s="546" t="s">
        <v>2209</v>
      </c>
      <c r="B214" s="547" t="s">
        <v>1813</v>
      </c>
      <c r="C214" s="547" t="s">
        <v>2210</v>
      </c>
      <c r="D214" s="547">
        <v>107121</v>
      </c>
      <c r="E214" s="547">
        <v>10005999</v>
      </c>
    </row>
    <row r="215" spans="1:5" x14ac:dyDescent="0.25">
      <c r="A215" s="546" t="s">
        <v>2211</v>
      </c>
      <c r="B215" s="547" t="s">
        <v>1794</v>
      </c>
      <c r="C215" s="547" t="s">
        <v>2212</v>
      </c>
      <c r="D215" s="547">
        <v>108340</v>
      </c>
      <c r="E215" s="547">
        <v>10005736</v>
      </c>
    </row>
    <row r="216" spans="1:5" x14ac:dyDescent="0.25">
      <c r="A216" s="546" t="s">
        <v>2213</v>
      </c>
      <c r="B216" s="547" t="s">
        <v>1794</v>
      </c>
      <c r="C216" s="547" t="s">
        <v>2214</v>
      </c>
      <c r="D216" s="547">
        <v>108526</v>
      </c>
      <c r="E216" s="547">
        <v>10001476</v>
      </c>
    </row>
    <row r="217" spans="1:5" x14ac:dyDescent="0.25">
      <c r="A217" s="546" t="s">
        <v>2215</v>
      </c>
      <c r="B217" s="547" t="s">
        <v>1801</v>
      </c>
      <c r="C217" s="547" t="s">
        <v>2216</v>
      </c>
      <c r="D217" s="547">
        <v>108380</v>
      </c>
      <c r="E217" s="547">
        <v>10007212</v>
      </c>
    </row>
    <row r="218" spans="1:5" x14ac:dyDescent="0.25">
      <c r="A218" s="546" t="s">
        <v>2217</v>
      </c>
      <c r="B218" s="547" t="s">
        <v>1813</v>
      </c>
      <c r="C218" s="547" t="s">
        <v>2218</v>
      </c>
      <c r="D218" s="547">
        <v>108440</v>
      </c>
      <c r="E218" s="547">
        <v>10007289</v>
      </c>
    </row>
    <row r="219" spans="1:5" x14ac:dyDescent="0.25">
      <c r="A219" s="546" t="s">
        <v>2219</v>
      </c>
      <c r="B219" s="547" t="s">
        <v>1794</v>
      </c>
      <c r="C219" s="547" t="s">
        <v>2220</v>
      </c>
      <c r="D219" s="547">
        <v>105118</v>
      </c>
      <c r="E219" s="547">
        <v>10007315</v>
      </c>
    </row>
    <row r="220" spans="1:5" x14ac:dyDescent="0.25">
      <c r="A220" s="546" t="s">
        <v>2221</v>
      </c>
      <c r="B220" s="547" t="s">
        <v>1794</v>
      </c>
      <c r="C220" s="547" t="s">
        <v>2222</v>
      </c>
      <c r="D220" s="547">
        <v>108478</v>
      </c>
      <c r="E220" s="547">
        <v>10007321</v>
      </c>
    </row>
    <row r="221" spans="1:5" x14ac:dyDescent="0.25">
      <c r="A221" s="546" t="s">
        <v>2223</v>
      </c>
      <c r="B221" s="547" t="s">
        <v>1794</v>
      </c>
      <c r="C221" s="547" t="s">
        <v>2224</v>
      </c>
      <c r="D221" s="547">
        <v>106427</v>
      </c>
      <c r="E221" s="547">
        <v>10007339</v>
      </c>
    </row>
    <row r="222" spans="1:5" x14ac:dyDescent="0.25">
      <c r="A222" s="546" t="s">
        <v>2225</v>
      </c>
      <c r="B222" s="547" t="s">
        <v>1794</v>
      </c>
      <c r="C222" s="547" t="s">
        <v>2226</v>
      </c>
      <c r="D222" s="547">
        <v>106448</v>
      </c>
      <c r="E222" s="547">
        <v>10007859</v>
      </c>
    </row>
    <row r="223" spans="1:5" x14ac:dyDescent="0.25">
      <c r="A223" s="546" t="s">
        <v>2227</v>
      </c>
      <c r="B223" s="547" t="s">
        <v>1794</v>
      </c>
      <c r="C223" s="547" t="s">
        <v>2228</v>
      </c>
      <c r="D223" s="547">
        <v>108477</v>
      </c>
      <c r="E223" s="547">
        <v>10007417</v>
      </c>
    </row>
    <row r="224" spans="1:5" x14ac:dyDescent="0.25">
      <c r="A224" s="546" t="s">
        <v>2530</v>
      </c>
      <c r="B224" s="547" t="s">
        <v>1794</v>
      </c>
      <c r="C224" s="547" t="s">
        <v>2531</v>
      </c>
      <c r="D224" s="547">
        <v>105603</v>
      </c>
      <c r="E224" s="547">
        <v>10007419</v>
      </c>
    </row>
    <row r="225" spans="1:5" x14ac:dyDescent="0.25">
      <c r="A225" s="546" t="s">
        <v>2229</v>
      </c>
      <c r="B225" s="547" t="s">
        <v>1794</v>
      </c>
      <c r="C225" s="547" t="s">
        <v>2230</v>
      </c>
      <c r="D225" s="547">
        <v>107960</v>
      </c>
      <c r="E225" s="547">
        <v>10007427</v>
      </c>
    </row>
    <row r="226" spans="1:5" x14ac:dyDescent="0.25">
      <c r="A226" s="546" t="s">
        <v>2231</v>
      </c>
      <c r="B226" s="547" t="s">
        <v>1794</v>
      </c>
      <c r="C226" s="547" t="s">
        <v>2232</v>
      </c>
      <c r="D226" s="547">
        <v>105936</v>
      </c>
      <c r="E226" s="547">
        <v>10007431</v>
      </c>
    </row>
    <row r="227" spans="1:5" x14ac:dyDescent="0.25">
      <c r="A227" s="546" t="s">
        <v>2233</v>
      </c>
      <c r="B227" s="547" t="s">
        <v>1794</v>
      </c>
      <c r="C227" s="547" t="s">
        <v>2234</v>
      </c>
      <c r="D227" s="547">
        <v>107143</v>
      </c>
      <c r="E227" s="547">
        <v>10007434</v>
      </c>
    </row>
    <row r="228" spans="1:5" x14ac:dyDescent="0.25">
      <c r="A228" s="546" t="s">
        <v>2235</v>
      </c>
      <c r="B228" s="547" t="s">
        <v>1794</v>
      </c>
      <c r="C228" s="547" t="s">
        <v>2236</v>
      </c>
      <c r="D228" s="547">
        <v>105242</v>
      </c>
      <c r="E228" s="547">
        <v>10007459</v>
      </c>
    </row>
    <row r="229" spans="1:5" x14ac:dyDescent="0.25">
      <c r="A229" s="546" t="s">
        <v>2237</v>
      </c>
      <c r="B229" s="547" t="s">
        <v>1794</v>
      </c>
      <c r="C229" s="547" t="s">
        <v>2238</v>
      </c>
      <c r="D229" s="547">
        <v>106540</v>
      </c>
      <c r="E229" s="547">
        <v>10007469</v>
      </c>
    </row>
    <row r="230" spans="1:5" x14ac:dyDescent="0.25">
      <c r="A230" s="546" t="s">
        <v>2239</v>
      </c>
      <c r="B230" s="547" t="s">
        <v>1794</v>
      </c>
      <c r="C230" s="547" t="s">
        <v>2240</v>
      </c>
      <c r="D230" s="547">
        <v>107785</v>
      </c>
      <c r="E230" s="547">
        <v>10007500</v>
      </c>
    </row>
    <row r="231" spans="1:5" x14ac:dyDescent="0.25">
      <c r="A231" s="546" t="s">
        <v>2241</v>
      </c>
      <c r="B231" s="547" t="s">
        <v>1801</v>
      </c>
      <c r="C231" s="547" t="s">
        <v>2242</v>
      </c>
      <c r="D231" s="547">
        <v>108321</v>
      </c>
      <c r="E231" s="547">
        <v>10007503</v>
      </c>
    </row>
    <row r="232" spans="1:5" x14ac:dyDescent="0.25">
      <c r="A232" s="546" t="s">
        <v>2243</v>
      </c>
      <c r="B232" s="547" t="s">
        <v>1794</v>
      </c>
      <c r="C232" s="547" t="s">
        <v>2244</v>
      </c>
      <c r="D232" s="547">
        <v>109912</v>
      </c>
      <c r="E232" s="547">
        <v>10007527</v>
      </c>
    </row>
    <row r="233" spans="1:5" x14ac:dyDescent="0.25">
      <c r="A233" s="546" t="s">
        <v>2245</v>
      </c>
      <c r="B233" s="547" t="s">
        <v>1801</v>
      </c>
      <c r="C233" s="547" t="s">
        <v>2246</v>
      </c>
      <c r="D233" s="547">
        <v>108378</v>
      </c>
      <c r="E233" s="547">
        <v>10007546</v>
      </c>
    </row>
    <row r="234" spans="1:5" x14ac:dyDescent="0.25">
      <c r="A234" s="546" t="s">
        <v>2247</v>
      </c>
      <c r="B234" s="547" t="s">
        <v>1794</v>
      </c>
      <c r="C234" s="547" t="s">
        <v>2248</v>
      </c>
      <c r="D234" s="547">
        <v>108474</v>
      </c>
      <c r="E234" s="547">
        <v>10007553</v>
      </c>
    </row>
    <row r="235" spans="1:5" x14ac:dyDescent="0.25">
      <c r="A235" s="546" t="s">
        <v>2532</v>
      </c>
      <c r="B235" s="547" t="s">
        <v>1801</v>
      </c>
      <c r="C235" s="547" t="s">
        <v>2533</v>
      </c>
      <c r="D235" s="547">
        <v>108376</v>
      </c>
      <c r="E235" s="547">
        <v>10007609</v>
      </c>
    </row>
    <row r="236" spans="1:5" x14ac:dyDescent="0.25">
      <c r="A236" s="546" t="s">
        <v>2249</v>
      </c>
      <c r="B236" s="547" t="s">
        <v>1937</v>
      </c>
      <c r="C236" s="547" t="s">
        <v>2250</v>
      </c>
      <c r="D236" s="547">
        <v>108347</v>
      </c>
      <c r="E236" s="547">
        <v>10007364</v>
      </c>
    </row>
    <row r="237" spans="1:5" x14ac:dyDescent="0.25">
      <c r="A237" s="546" t="s">
        <v>2251</v>
      </c>
      <c r="B237" s="547" t="s">
        <v>1937</v>
      </c>
      <c r="C237" s="547" t="s">
        <v>2252</v>
      </c>
      <c r="D237" s="547">
        <v>108346</v>
      </c>
      <c r="E237" s="547">
        <v>10007636</v>
      </c>
    </row>
    <row r="238" spans="1:5" x14ac:dyDescent="0.25">
      <c r="A238" s="546" t="s">
        <v>2253</v>
      </c>
      <c r="B238" s="547" t="s">
        <v>1801</v>
      </c>
      <c r="C238" s="547" t="s">
        <v>2254</v>
      </c>
      <c r="D238" s="547">
        <v>108374</v>
      </c>
      <c r="E238" s="547">
        <v>10007671</v>
      </c>
    </row>
    <row r="239" spans="1:5" x14ac:dyDescent="0.25">
      <c r="A239" s="546" t="s">
        <v>2255</v>
      </c>
      <c r="B239" s="547" t="s">
        <v>1801</v>
      </c>
      <c r="C239" s="547" t="s">
        <v>2256</v>
      </c>
      <c r="D239" s="547">
        <v>108373</v>
      </c>
      <c r="E239" s="547">
        <v>10007673</v>
      </c>
    </row>
    <row r="240" spans="1:5" x14ac:dyDescent="0.25">
      <c r="A240" s="546" t="s">
        <v>2257</v>
      </c>
      <c r="B240" s="547" t="s">
        <v>1801</v>
      </c>
      <c r="C240" s="547" t="s">
        <v>2258</v>
      </c>
      <c r="D240" s="547">
        <v>108357</v>
      </c>
      <c r="E240" s="547">
        <v>10007682</v>
      </c>
    </row>
    <row r="241" spans="1:5" x14ac:dyDescent="0.25">
      <c r="A241" s="546" t="s">
        <v>2259</v>
      </c>
      <c r="B241" s="547" t="s">
        <v>1813</v>
      </c>
      <c r="C241" s="547" t="s">
        <v>2260</v>
      </c>
      <c r="D241" s="547">
        <v>107546</v>
      </c>
      <c r="E241" s="547">
        <v>10007696</v>
      </c>
    </row>
    <row r="242" spans="1:5" x14ac:dyDescent="0.25">
      <c r="A242" s="546" t="s">
        <v>2261</v>
      </c>
      <c r="B242" s="547" t="s">
        <v>1794</v>
      </c>
      <c r="C242" s="547" t="s">
        <v>2262</v>
      </c>
      <c r="D242" s="547">
        <v>107575</v>
      </c>
      <c r="E242" s="547">
        <v>10007709</v>
      </c>
    </row>
  </sheetData>
  <pageMargins left="0.7" right="0.7" top="0.75" bottom="0.75" header="0.3" footer="0.3"/>
  <pageSetup paperSize="9" orientation="portrait" horizontalDpi="90" verticalDpi="9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C410-1574-4D95-9282-FECA4D9D7CF4}">
  <sheetPr codeName="Sheet15">
    <outlinePr summaryBelow="0" summaryRight="0"/>
    <pageSetUpPr autoPageBreaks="0"/>
  </sheetPr>
  <dimension ref="A1:CA32"/>
  <sheetViews>
    <sheetView showGridLines="0" zoomScaleNormal="100" workbookViewId="0">
      <pane xSplit="8" ySplit="7" topLeftCell="I8" activePane="bottomRight" state="frozen"/>
      <selection pane="topRight"/>
      <selection pane="bottomLeft"/>
      <selection pane="bottomRight"/>
    </sheetView>
  </sheetViews>
  <sheetFormatPr defaultColWidth="8.5703125" defaultRowHeight="15" outlineLevelCol="1" x14ac:dyDescent="0.25"/>
  <cols>
    <col min="1" max="1" width="6.5703125" style="11" bestFit="1" customWidth="1" collapsed="1"/>
    <col min="2" max="3" width="9.42578125" style="11" bestFit="1" customWidth="1"/>
    <col min="4" max="4" width="48.42578125" style="11" customWidth="1" collapsed="1"/>
    <col min="5" max="5" width="12.42578125" style="1" hidden="1" customWidth="1" outlineLevel="1"/>
    <col min="6" max="6" width="1.5703125" style="11" customWidth="1" collapsed="1"/>
    <col min="7" max="7" width="7.42578125" style="11" hidden="1" customWidth="1" outlineLevel="1"/>
    <col min="8" max="8" width="15" style="11" hidden="1" customWidth="1" outlineLevel="1"/>
    <col min="9" max="9" width="2" style="11" bestFit="1" customWidth="1" collapsed="1"/>
    <col min="10" max="10" width="2.42578125" style="11" hidden="1" customWidth="1" outlineLevel="1"/>
    <col min="11" max="18" width="8.5703125" style="11" hidden="1" customWidth="1" outlineLevel="1"/>
    <col min="19" max="19" width="3" hidden="1" customWidth="1" outlineLevel="1"/>
    <col min="20" max="20" width="11.5703125" style="11" hidden="1" customWidth="1" outlineLevel="1"/>
    <col min="21" max="21" width="9.5703125" style="11" hidden="1" customWidth="1" outlineLevel="1"/>
    <col min="22" max="23" width="9.5703125" style="11" bestFit="1" customWidth="1"/>
    <col min="24" max="25" width="9.5703125" customWidth="1"/>
    <col min="26" max="26" width="3" style="11" bestFit="1" customWidth="1"/>
    <col min="27" max="27" width="9.5703125" style="11" bestFit="1" customWidth="1"/>
    <col min="28" max="29" width="9.42578125" style="11" bestFit="1" customWidth="1"/>
    <col min="30" max="31" width="9.5703125" style="11" bestFit="1" customWidth="1"/>
    <col min="32" max="32" width="9.42578125" style="11" bestFit="1" customWidth="1"/>
    <col min="33" max="33" width="9.42578125" style="11" customWidth="1"/>
    <col min="34" max="34" width="9.5703125" style="11" bestFit="1" customWidth="1"/>
    <col min="35" max="35" width="9.42578125" style="11" bestFit="1" customWidth="1"/>
    <col min="36" max="36" width="10.42578125" style="11" bestFit="1" customWidth="1"/>
    <col min="37" max="37" width="9.42578125" style="11" bestFit="1" customWidth="1"/>
    <col min="38" max="38" width="8.5703125" style="11" bestFit="1" customWidth="1"/>
    <col min="39" max="39" width="9.5703125" style="11" bestFit="1" customWidth="1"/>
    <col min="40" max="41" width="9.42578125" style="11" bestFit="1" customWidth="1"/>
    <col min="42" max="43" width="9.5703125" style="11" bestFit="1" customWidth="1"/>
    <col min="44" max="45" width="9.42578125" style="11" bestFit="1" customWidth="1"/>
    <col min="46" max="46" width="9.5703125" style="11" bestFit="1" customWidth="1"/>
    <col min="47" max="47" width="9.42578125" style="11" bestFit="1" customWidth="1"/>
    <col min="48" max="48" width="10.42578125" style="11" bestFit="1" customWidth="1"/>
    <col min="49" max="49" width="9.42578125" style="11" bestFit="1" customWidth="1"/>
    <col min="50" max="50" width="8.5703125" style="11" bestFit="1" customWidth="1"/>
    <col min="51" max="51" width="9.5703125" style="11" bestFit="1" customWidth="1"/>
    <col min="52" max="53" width="9.42578125" style="11" bestFit="1" customWidth="1"/>
    <col min="54" max="55" width="9.5703125" style="11" bestFit="1" customWidth="1"/>
    <col min="56" max="57" width="9.42578125" style="11" bestFit="1" customWidth="1"/>
    <col min="58" max="58" width="9.5703125" style="11" bestFit="1" customWidth="1"/>
    <col min="59" max="59" width="9.42578125" style="11" bestFit="1" customWidth="1"/>
    <col min="60" max="60" width="10.42578125" style="11" bestFit="1" customWidth="1"/>
    <col min="61" max="61" width="9.42578125" style="11" bestFit="1" customWidth="1"/>
    <col min="62" max="62" width="8.5703125" style="11" bestFit="1" customWidth="1"/>
    <col min="63" max="63" width="3" style="11" bestFit="1" customWidth="1"/>
    <col min="64" max="64" width="9.5703125" style="11" customWidth="1"/>
    <col min="65" max="65" width="10.5703125" style="11" customWidth="1"/>
    <col min="66" max="67" width="9.5703125" style="11" customWidth="1"/>
    <col min="68" max="75" width="9.5703125" style="11" bestFit="1" customWidth="1"/>
    <col min="76" max="76" width="3" style="11" bestFit="1" customWidth="1"/>
    <col min="77" max="77" width="3.42578125" style="11" customWidth="1"/>
    <col min="78" max="78" width="13.42578125" style="11" customWidth="1"/>
    <col min="79" max="79" width="2.5703125" style="11" customWidth="1"/>
    <col min="80" max="16384" width="8.5703125" style="11"/>
  </cols>
  <sheetData>
    <row r="1" spans="1:79" x14ac:dyDescent="0.25">
      <c r="A1" s="7">
        <f ca="1">ToC!A1</f>
        <v>0</v>
      </c>
      <c r="B1" s="14" t="s">
        <v>279</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CA1" s="575"/>
    </row>
    <row r="2" spans="1:79" ht="14.45" customHeight="1" x14ac:dyDescent="0.25">
      <c r="A2" s="14"/>
      <c r="B2" s="92" t="str" cm="1">
        <f t="array" aca="1" ref="B2" ca="1">HYPERLINK(CONCATENATE("#",CELL("address",Guide!$A$134)),Guide!$B$1)</f>
        <v>Guide</v>
      </c>
      <c r="C2" s="26"/>
      <c r="D2" s="26"/>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CA2" s="575"/>
    </row>
    <row r="3" spans="1:79" x14ac:dyDescent="0.25">
      <c r="A3" s="92" t="str" cm="1">
        <f t="array" aca="1" ref="A3" ca="1">HYPERLINK(CONCATENATE("#",CELL("address",ToC!$A$1)),ToC!$C$1)</f>
        <v>ToC</v>
      </c>
      <c r="B3" s="14"/>
      <c r="C3" s="14"/>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CA3" s="575"/>
    </row>
    <row r="4" spans="1:79" x14ac:dyDescent="0.25">
      <c r="A4" s="14"/>
      <c r="B4" s="14"/>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6"/>
      <c r="CA4" s="575"/>
    </row>
    <row r="5" spans="1:79" x14ac:dyDescent="0.25">
      <c r="A5" s="14"/>
      <c r="B5" s="14"/>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6"/>
      <c r="CA5" s="575"/>
    </row>
    <row r="6" spans="1:79" x14ac:dyDescent="0.25">
      <c r="A6" s="80" t="str" cm="1">
        <f t="array" aca="1" ref="A6" ca="1">HYPERLINK(CONCATENATE("#",CELL("address",BY7)),"Check")</f>
        <v>Check</v>
      </c>
      <c r="B6" s="199"/>
      <c r="C6" s="14" t="s">
        <v>90</v>
      </c>
      <c r="D6" s="26" t="s">
        <v>5</v>
      </c>
      <c r="E6" s="14"/>
      <c r="F6" s="14"/>
      <c r="G6" s="14" t="s">
        <v>6</v>
      </c>
      <c r="H6" s="14" t="s">
        <v>117</v>
      </c>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576"/>
      <c r="CA6" s="575"/>
    </row>
    <row r="7" spans="1:79" x14ac:dyDescent="0.25">
      <c r="B7" s="139" t="s">
        <v>2494</v>
      </c>
      <c r="D7" s="1"/>
      <c r="E7" s="11"/>
      <c r="S7" s="11"/>
      <c r="X7" s="11"/>
      <c r="Y7" s="11"/>
      <c r="BM7" s="6"/>
      <c r="BY7" s="42"/>
      <c r="CA7" s="42"/>
    </row>
    <row r="8" spans="1:79" ht="8.1" customHeight="1" x14ac:dyDescent="0.25">
      <c r="A8" s="157"/>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42"/>
      <c r="CA8" s="42"/>
    </row>
    <row r="9" spans="1:79" x14ac:dyDescent="0.25">
      <c r="A9" s="157"/>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2"/>
      <c r="CA9" s="42"/>
    </row>
    <row r="10" spans="1:79" x14ac:dyDescent="0.25">
      <c r="A10" s="157"/>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2"/>
      <c r="CA10" s="42"/>
    </row>
    <row r="11" spans="1:79" x14ac:dyDescent="0.25">
      <c r="A11" s="157"/>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2"/>
      <c r="CA11" s="42"/>
    </row>
    <row r="12" spans="1:79" x14ac:dyDescent="0.25">
      <c r="A12" s="157"/>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2"/>
      <c r="CA12" s="42"/>
    </row>
    <row r="13" spans="1:79" x14ac:dyDescent="0.25">
      <c r="A13" s="157"/>
      <c r="B13" s="157"/>
      <c r="C13" s="157"/>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2"/>
      <c r="CA13" s="42"/>
    </row>
    <row r="14" spans="1:79" x14ac:dyDescent="0.25">
      <c r="A14" s="157"/>
      <c r="B14" s="157"/>
      <c r="C14" s="157"/>
      <c r="D14" s="157"/>
      <c r="E14" s="158"/>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2"/>
      <c r="CA14" s="42"/>
    </row>
    <row r="15" spans="1:79" x14ac:dyDescent="0.25">
      <c r="A15" s="157"/>
      <c r="B15" s="157"/>
      <c r="C15" s="157"/>
      <c r="D15" s="157"/>
      <c r="E15" s="158"/>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2"/>
      <c r="CA15" s="42"/>
    </row>
    <row r="16" spans="1:79" x14ac:dyDescent="0.25">
      <c r="A16" s="157"/>
      <c r="B16" s="157"/>
      <c r="C16" s="157"/>
      <c r="D16" s="157"/>
      <c r="E16" s="158"/>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12"/>
      <c r="CA16" s="42"/>
    </row>
    <row r="17" spans="1:79" x14ac:dyDescent="0.25">
      <c r="A17" s="157"/>
      <c r="B17" s="157"/>
      <c r="C17" s="157"/>
      <c r="D17" s="157"/>
      <c r="E17" s="158"/>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2"/>
      <c r="CA17" s="42"/>
    </row>
    <row r="18" spans="1:79" x14ac:dyDescent="0.25">
      <c r="A18" s="157"/>
      <c r="B18" s="157"/>
      <c r="C18" s="157"/>
      <c r="D18" s="157"/>
      <c r="E18" s="158"/>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2"/>
      <c r="CA18" s="42"/>
    </row>
    <row r="19" spans="1:79" x14ac:dyDescent="0.25">
      <c r="A19" s="157"/>
      <c r="B19" s="157"/>
      <c r="C19" s="157"/>
      <c r="D19" s="157"/>
      <c r="E19" s="158"/>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2"/>
      <c r="CA19" s="42"/>
    </row>
    <row r="20" spans="1:79" x14ac:dyDescent="0.25">
      <c r="A20" s="157"/>
      <c r="B20" s="157"/>
      <c r="C20" s="157"/>
      <c r="D20" s="157"/>
      <c r="E20" s="158"/>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2"/>
      <c r="CA20" s="42"/>
    </row>
    <row r="21" spans="1:79" x14ac:dyDescent="0.25">
      <c r="A21" s="157"/>
      <c r="B21" s="157"/>
      <c r="C21" s="157"/>
      <c r="D21" s="157"/>
      <c r="E21" s="158"/>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2"/>
      <c r="CA21" s="42"/>
    </row>
    <row r="22" spans="1:79" x14ac:dyDescent="0.25">
      <c r="A22" s="157"/>
      <c r="B22" s="157"/>
      <c r="C22" s="157"/>
      <c r="D22" s="157"/>
      <c r="E22" s="158"/>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2"/>
      <c r="CA22" s="42"/>
    </row>
    <row r="23" spans="1:79" x14ac:dyDescent="0.25">
      <c r="A23" s="157"/>
      <c r="B23" s="157"/>
      <c r="C23" s="157"/>
      <c r="D23" s="157"/>
      <c r="E23" s="158"/>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2"/>
      <c r="CA23" s="42"/>
    </row>
    <row r="24" spans="1:79" x14ac:dyDescent="0.25">
      <c r="A24" s="157"/>
      <c r="B24" s="157"/>
      <c r="C24" s="157"/>
      <c r="D24" s="157"/>
      <c r="E24" s="158"/>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2"/>
      <c r="CA24" s="42"/>
    </row>
    <row r="25" spans="1:79" s="67" customFormat="1" x14ac:dyDescent="0.25">
      <c r="A25" s="157"/>
      <c r="B25" s="157"/>
      <c r="C25" s="157"/>
      <c r="D25" s="157"/>
      <c r="E25" s="158"/>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2"/>
      <c r="CA25" s="42"/>
    </row>
    <row r="26" spans="1:79" x14ac:dyDescent="0.25">
      <c r="A26" s="157"/>
      <c r="B26" s="157"/>
      <c r="C26" s="157"/>
      <c r="D26" s="157"/>
      <c r="E26" s="158"/>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12"/>
      <c r="CA26" s="42"/>
    </row>
    <row r="27" spans="1:79" x14ac:dyDescent="0.25">
      <c r="A27" s="157"/>
      <c r="B27" s="157"/>
      <c r="C27" s="157"/>
      <c r="D27" s="157"/>
      <c r="E27" s="158"/>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2"/>
      <c r="CA27" s="42"/>
    </row>
    <row r="28" spans="1:79" x14ac:dyDescent="0.25">
      <c r="A28" s="157"/>
      <c r="B28" s="157"/>
      <c r="C28" s="157"/>
      <c r="D28" s="157"/>
      <c r="E28" s="158"/>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2"/>
      <c r="CA28" s="42"/>
    </row>
    <row r="29" spans="1:79" x14ac:dyDescent="0.25">
      <c r="A29" s="157"/>
      <c r="B29" s="157"/>
      <c r="C29" s="157"/>
      <c r="D29" s="157"/>
      <c r="E29" s="158"/>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2"/>
      <c r="CA29" s="42"/>
    </row>
    <row r="30" spans="1:79" x14ac:dyDescent="0.25">
      <c r="A30" s="157"/>
      <c r="B30" s="157"/>
      <c r="C30" s="157"/>
      <c r="D30" s="157"/>
      <c r="E30" s="158"/>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2"/>
      <c r="CA30" s="42"/>
    </row>
    <row r="31" spans="1:79" x14ac:dyDescent="0.25">
      <c r="A31" s="157"/>
      <c r="B31" s="157"/>
      <c r="C31" s="157"/>
      <c r="D31" s="157"/>
      <c r="E31" s="158"/>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2"/>
      <c r="CA31" s="42"/>
    </row>
    <row r="32" spans="1:79" x14ac:dyDescent="0.25">
      <c r="A32" s="12" t="s">
        <v>88</v>
      </c>
      <c r="B32" s="12" t="s">
        <v>88</v>
      </c>
      <c r="C32" s="12" t="s">
        <v>88</v>
      </c>
      <c r="D32" s="12" t="s">
        <v>88</v>
      </c>
      <c r="E32" s="28" t="s">
        <v>88</v>
      </c>
      <c r="F32" s="12" t="s">
        <v>88</v>
      </c>
      <c r="G32" s="12" t="s">
        <v>88</v>
      </c>
      <c r="H32" s="12" t="s">
        <v>88</v>
      </c>
      <c r="I32" s="12" t="s">
        <v>88</v>
      </c>
      <c r="J32" s="12" t="s">
        <v>88</v>
      </c>
      <c r="K32" s="12" t="s">
        <v>88</v>
      </c>
      <c r="L32" s="12" t="s">
        <v>88</v>
      </c>
      <c r="M32" s="12" t="s">
        <v>88</v>
      </c>
      <c r="N32" s="12" t="s">
        <v>88</v>
      </c>
      <c r="O32" s="12" t="s">
        <v>88</v>
      </c>
      <c r="P32" s="12" t="s">
        <v>88</v>
      </c>
      <c r="Q32" s="12" t="s">
        <v>88</v>
      </c>
      <c r="R32" s="12" t="s">
        <v>88</v>
      </c>
      <c r="S32" s="12"/>
      <c r="T32" s="12" t="s">
        <v>88</v>
      </c>
      <c r="U32" s="12" t="s">
        <v>88</v>
      </c>
      <c r="V32" s="12" t="s">
        <v>88</v>
      </c>
      <c r="W32" s="12" t="s">
        <v>88</v>
      </c>
      <c r="X32" s="12"/>
      <c r="Y32" s="12"/>
      <c r="Z32" s="12" t="s">
        <v>88</v>
      </c>
      <c r="AA32" s="12" t="s">
        <v>88</v>
      </c>
      <c r="AB32" s="12" t="s">
        <v>88</v>
      </c>
      <c r="AC32" s="12" t="s">
        <v>88</v>
      </c>
      <c r="AD32" s="12" t="s">
        <v>88</v>
      </c>
      <c r="AE32" s="12" t="s">
        <v>88</v>
      </c>
      <c r="AF32" s="12" t="s">
        <v>88</v>
      </c>
      <c r="AG32" s="12" t="s">
        <v>88</v>
      </c>
      <c r="AH32" s="12" t="s">
        <v>88</v>
      </c>
      <c r="AI32" s="12" t="s">
        <v>88</v>
      </c>
      <c r="AJ32" s="12" t="s">
        <v>88</v>
      </c>
      <c r="AK32" s="12" t="s">
        <v>88</v>
      </c>
      <c r="AL32" s="12" t="s">
        <v>88</v>
      </c>
      <c r="AM32" s="12" t="s">
        <v>88</v>
      </c>
      <c r="AN32" s="12" t="s">
        <v>88</v>
      </c>
      <c r="AO32" s="12" t="s">
        <v>88</v>
      </c>
      <c r="AP32" s="12" t="s">
        <v>88</v>
      </c>
      <c r="AQ32" s="12" t="s">
        <v>88</v>
      </c>
      <c r="AR32" s="12" t="s">
        <v>88</v>
      </c>
      <c r="AS32" s="12" t="s">
        <v>88</v>
      </c>
      <c r="AT32" s="12" t="s">
        <v>88</v>
      </c>
      <c r="AU32" s="12" t="s">
        <v>88</v>
      </c>
      <c r="AV32" s="12" t="s">
        <v>88</v>
      </c>
      <c r="AW32" s="12" t="s">
        <v>88</v>
      </c>
      <c r="AX32" s="12" t="s">
        <v>88</v>
      </c>
      <c r="AY32" s="12" t="s">
        <v>88</v>
      </c>
      <c r="AZ32" s="12" t="s">
        <v>88</v>
      </c>
      <c r="BA32" s="12" t="s">
        <v>88</v>
      </c>
      <c r="BB32" s="12" t="s">
        <v>88</v>
      </c>
      <c r="BC32" s="12" t="s">
        <v>88</v>
      </c>
      <c r="BD32" s="12" t="s">
        <v>88</v>
      </c>
      <c r="BE32" s="12" t="s">
        <v>88</v>
      </c>
      <c r="BF32" s="12" t="s">
        <v>88</v>
      </c>
      <c r="BG32" s="12" t="s">
        <v>88</v>
      </c>
      <c r="BH32" s="12" t="s">
        <v>88</v>
      </c>
      <c r="BI32" s="12" t="s">
        <v>88</v>
      </c>
      <c r="BJ32" s="12" t="s">
        <v>88</v>
      </c>
      <c r="BK32" s="12" t="s">
        <v>88</v>
      </c>
      <c r="BL32" s="12" t="s">
        <v>88</v>
      </c>
      <c r="BM32" s="12" t="s">
        <v>88</v>
      </c>
      <c r="BN32" s="12" t="s">
        <v>88</v>
      </c>
      <c r="BO32" s="12" t="s">
        <v>88</v>
      </c>
      <c r="BP32" s="12" t="s">
        <v>88</v>
      </c>
      <c r="BQ32" s="12" t="s">
        <v>88</v>
      </c>
      <c r="BR32" s="12" t="s">
        <v>88</v>
      </c>
      <c r="BS32" s="12" t="s">
        <v>88</v>
      </c>
      <c r="BT32" s="12" t="s">
        <v>88</v>
      </c>
      <c r="BU32" s="12" t="s">
        <v>88</v>
      </c>
      <c r="BV32" s="12" t="s">
        <v>88</v>
      </c>
      <c r="BW32" s="12" t="s">
        <v>88</v>
      </c>
      <c r="BX32" s="12" t="s">
        <v>88</v>
      </c>
      <c r="BY32" s="12" t="s">
        <v>88</v>
      </c>
      <c r="BZ32" s="12" t="s">
        <v>88</v>
      </c>
      <c r="CA32" s="12" t="s">
        <v>88</v>
      </c>
    </row>
  </sheetData>
  <sheetProtection algorithmName="SHA-512" hashValue="gHzSGB/Fk4joD+L8HU+KbtXw1gbPTqlynDuM60GOQl9VuWOGGKbx8FyFK9aYqIoelR9SYoqaaZ635eawNZB8zw==" saltValue="4XBDGxa0UQP1UQ01n0piVg==" spinCount="100000" sheet="1" objects="1" scenarios="1"/>
  <mergeCells count="3">
    <mergeCell ref="CA1:CA6"/>
    <mergeCell ref="BZ4:BZ6"/>
    <mergeCell ref="BY1:BY6"/>
  </mergeCells>
  <phoneticPr fontId="9" type="noConversion"/>
  <conditionalFormatting sqref="A1">
    <cfRule type="cellIs" dxfId="1" priority="1" operator="equal">
      <formula>0</formula>
    </cfRule>
    <cfRule type="cellIs" dxfId="0" priority="2"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011A6-7DCB-4887-8A68-F8283678D412}">
  <sheetPr codeName="Sheet29"/>
  <dimension ref="A1:J38346"/>
  <sheetViews>
    <sheetView showGridLines="0" zoomScaleNormal="100" workbookViewId="0">
      <pane xSplit="3" ySplit="1" topLeftCell="D2" activePane="bottomRight" state="frozen"/>
      <selection pane="topRight"/>
      <selection pane="bottomLeft"/>
      <selection pane="bottomRight"/>
    </sheetView>
  </sheetViews>
  <sheetFormatPr defaultRowHeight="15" x14ac:dyDescent="0.25"/>
  <cols>
    <col min="1" max="1" width="18.85546875" bestFit="1" customWidth="1"/>
    <col min="2" max="2" width="4.85546875" bestFit="1" customWidth="1"/>
    <col min="3" max="3" width="7.85546875" bestFit="1" customWidth="1"/>
    <col min="4" max="4" width="9.42578125" bestFit="1" customWidth="1"/>
    <col min="5" max="5" width="100.140625" bestFit="1" customWidth="1"/>
    <col min="6" max="6" width="6.85546875" bestFit="1" customWidth="1"/>
    <col min="7" max="7" width="9.42578125" bestFit="1" customWidth="1"/>
    <col min="8" max="8" width="15" bestFit="1" customWidth="1"/>
    <col min="9" max="9" width="10.140625" bestFit="1" customWidth="1"/>
    <col min="10" max="10" width="10.85546875" bestFit="1" customWidth="1"/>
  </cols>
  <sheetData>
    <row r="1" spans="1:10" x14ac:dyDescent="0.25">
      <c r="A1" s="5" t="s">
        <v>562</v>
      </c>
      <c r="B1" s="5" t="s">
        <v>563</v>
      </c>
      <c r="C1" s="5" t="s">
        <v>564</v>
      </c>
      <c r="D1" s="5" t="s">
        <v>908</v>
      </c>
      <c r="E1" s="5" t="s">
        <v>5</v>
      </c>
      <c r="F1" s="5" t="s">
        <v>909</v>
      </c>
      <c r="G1" s="5" t="s">
        <v>910</v>
      </c>
      <c r="H1" s="5" t="s">
        <v>911</v>
      </c>
      <c r="I1" s="5" t="s">
        <v>810</v>
      </c>
      <c r="J1" s="5" t="s">
        <v>912</v>
      </c>
    </row>
    <row r="38295" spans="5:5" x14ac:dyDescent="0.25">
      <c r="E38295" s="1"/>
    </row>
    <row r="38296" spans="5:5" x14ac:dyDescent="0.25">
      <c r="E38296" s="1"/>
    </row>
    <row r="38297" spans="5:5" x14ac:dyDescent="0.25">
      <c r="E38297" s="1"/>
    </row>
    <row r="38298" spans="5:5" x14ac:dyDescent="0.25">
      <c r="E38298" s="1"/>
    </row>
    <row r="38299" spans="5:5" x14ac:dyDescent="0.25">
      <c r="E38299" s="1"/>
    </row>
    <row r="38300" spans="5:5" x14ac:dyDescent="0.25">
      <c r="E38300" s="1"/>
    </row>
    <row r="38301" spans="5:5" x14ac:dyDescent="0.25">
      <c r="E38301" s="1"/>
    </row>
    <row r="38302" spans="5:5" x14ac:dyDescent="0.25">
      <c r="E38302" s="1"/>
    </row>
    <row r="38303" spans="5:5" x14ac:dyDescent="0.25">
      <c r="E38303" s="1"/>
    </row>
    <row r="38304" spans="5:5" x14ac:dyDescent="0.25">
      <c r="E38304" s="1"/>
    </row>
    <row r="38305" spans="5:5" x14ac:dyDescent="0.25">
      <c r="E38305" s="1"/>
    </row>
    <row r="38306" spans="5:5" x14ac:dyDescent="0.25">
      <c r="E38306" s="1"/>
    </row>
    <row r="38307" spans="5:5" x14ac:dyDescent="0.25">
      <c r="E38307" s="1"/>
    </row>
    <row r="38308" spans="5:5" x14ac:dyDescent="0.25">
      <c r="E38308" s="1"/>
    </row>
    <row r="38309" spans="5:5" x14ac:dyDescent="0.25">
      <c r="E38309" s="1"/>
    </row>
    <row r="38310" spans="5:5" x14ac:dyDescent="0.25">
      <c r="E38310" s="1"/>
    </row>
    <row r="38311" spans="5:5" x14ac:dyDescent="0.25">
      <c r="E38311" s="1"/>
    </row>
    <row r="38312" spans="5:5" x14ac:dyDescent="0.25">
      <c r="E38312" s="1"/>
    </row>
    <row r="38313" spans="5:5" x14ac:dyDescent="0.25">
      <c r="E38313" s="1"/>
    </row>
    <row r="38314" spans="5:5" x14ac:dyDescent="0.25">
      <c r="E38314" s="1"/>
    </row>
    <row r="38315" spans="5:5" x14ac:dyDescent="0.25">
      <c r="E38315" s="1"/>
    </row>
    <row r="38316" spans="5:5" x14ac:dyDescent="0.25">
      <c r="E38316" s="1"/>
    </row>
    <row r="38317" spans="5:5" x14ac:dyDescent="0.25">
      <c r="E38317" s="1"/>
    </row>
    <row r="38318" spans="5:5" x14ac:dyDescent="0.25">
      <c r="E38318" s="1"/>
    </row>
    <row r="38319" spans="5:5" x14ac:dyDescent="0.25">
      <c r="E38319" s="1"/>
    </row>
    <row r="38320" spans="5:5" x14ac:dyDescent="0.25">
      <c r="E38320" s="1"/>
    </row>
    <row r="38321" spans="5:5" x14ac:dyDescent="0.25">
      <c r="E38321" s="1"/>
    </row>
    <row r="38322" spans="5:5" x14ac:dyDescent="0.25">
      <c r="E38322" s="1"/>
    </row>
    <row r="38323" spans="5:5" x14ac:dyDescent="0.25">
      <c r="E38323" s="1"/>
    </row>
    <row r="38324" spans="5:5" x14ac:dyDescent="0.25">
      <c r="E38324" s="1"/>
    </row>
    <row r="38325" spans="5:5" x14ac:dyDescent="0.25">
      <c r="E38325" s="1"/>
    </row>
    <row r="38326" spans="5:5" x14ac:dyDescent="0.25">
      <c r="E38326" s="1"/>
    </row>
    <row r="38327" spans="5:5" x14ac:dyDescent="0.25">
      <c r="E38327" s="1"/>
    </row>
    <row r="38328" spans="5:5" x14ac:dyDescent="0.25">
      <c r="E38328" s="1"/>
    </row>
    <row r="38329" spans="5:5" x14ac:dyDescent="0.25">
      <c r="E38329" s="1"/>
    </row>
    <row r="38330" spans="5:5" x14ac:dyDescent="0.25">
      <c r="E38330" s="1"/>
    </row>
    <row r="38331" spans="5:5" x14ac:dyDescent="0.25">
      <c r="E38331" s="1"/>
    </row>
    <row r="38332" spans="5:5" x14ac:dyDescent="0.25">
      <c r="E38332" s="1"/>
    </row>
    <row r="38333" spans="5:5" x14ac:dyDescent="0.25">
      <c r="E38333" s="1"/>
    </row>
    <row r="38334" spans="5:5" x14ac:dyDescent="0.25">
      <c r="E38334" s="1"/>
    </row>
    <row r="38335" spans="5:5" x14ac:dyDescent="0.25">
      <c r="E38335" s="1"/>
    </row>
    <row r="38336" spans="5:5" x14ac:dyDescent="0.25">
      <c r="E38336" s="1"/>
    </row>
    <row r="38337" spans="5:5" x14ac:dyDescent="0.25">
      <c r="E38337" s="1"/>
    </row>
    <row r="38338" spans="5:5" x14ac:dyDescent="0.25">
      <c r="E38338" s="1"/>
    </row>
    <row r="38339" spans="5:5" x14ac:dyDescent="0.25">
      <c r="E38339" s="1"/>
    </row>
    <row r="38340" spans="5:5" x14ac:dyDescent="0.25">
      <c r="E38340" s="1"/>
    </row>
    <row r="38341" spans="5:5" x14ac:dyDescent="0.25">
      <c r="E38341" s="1"/>
    </row>
    <row r="38342" spans="5:5" x14ac:dyDescent="0.25">
      <c r="E38342" s="1"/>
    </row>
    <row r="38343" spans="5:5" x14ac:dyDescent="0.25">
      <c r="E38343" s="1"/>
    </row>
    <row r="38344" spans="5:5" x14ac:dyDescent="0.25">
      <c r="E38344" s="1"/>
    </row>
    <row r="38345" spans="5:5" x14ac:dyDescent="0.25">
      <c r="E38345" s="1"/>
    </row>
    <row r="38346" spans="5:5" x14ac:dyDescent="0.25">
      <c r="E38346" s="1"/>
    </row>
  </sheetData>
  <sheetProtection algorithmName="SHA-512" hashValue="chnQNh/9hLmRee3TNJrWxdJUaYqANACAE98Et/YG/5Cy57MCUIpnAfzHVHQaPp+U0EUEPlue2g2K6BsvaHvJBg==" saltValue="GZHPd6xVu8eJRn63kgMN9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EE373-1B63-43E5-931C-1A02270289C3}">
  <sheetPr codeName="Sheet26"/>
  <dimension ref="A1:CD38"/>
  <sheetViews>
    <sheetView showGridLines="0" zoomScaleNormal="100" workbookViewId="0"/>
  </sheetViews>
  <sheetFormatPr defaultColWidth="0" defaultRowHeight="15" x14ac:dyDescent="0.25"/>
  <cols>
    <col min="1" max="1" width="3.42578125" customWidth="1"/>
    <col min="2" max="18" width="8.85546875" customWidth="1"/>
    <col min="19" max="21" width="8.85546875" style="335" customWidth="1"/>
    <col min="22" max="25" width="8.85546875" customWidth="1"/>
    <col min="26" max="26" width="2.42578125" style="335" customWidth="1"/>
    <col min="27" max="30" width="8.85546875" style="335" customWidth="1"/>
    <col min="31" max="76" width="8.85546875" customWidth="1"/>
    <col min="77" max="82" width="0" hidden="1" customWidth="1"/>
    <col min="83" max="16384" width="9.140625" hidden="1"/>
  </cols>
  <sheetData>
    <row r="1" spans="2:75" x14ac:dyDescent="0.25">
      <c r="R1" s="335"/>
    </row>
    <row r="2" spans="2:75" x14ac:dyDescent="0.25">
      <c r="B2" t="s">
        <v>911</v>
      </c>
      <c r="Q2" s="398"/>
      <c r="R2" s="398"/>
      <c r="S2" s="398"/>
      <c r="T2" s="398"/>
      <c r="U2" s="398"/>
      <c r="V2" s="398" t="str" cm="1">
        <f t="array" ref="V2">_xlfn.IFS(Timeline!V4&gt;0,"Forecast",Timeline!V4&lt;0,"Actual/Forecast",Timeline!V4=0,"Actual")</f>
        <v>Actual</v>
      </c>
      <c r="W2" s="398" t="str" cm="1">
        <f t="array" ref="W2">_xlfn.IFS(Timeline!W4&gt;0,"Forecast",Timeline!W4&lt;0,"Actual/Forecast",Timeline!W4=0,"Actual")</f>
        <v>Actual/Forecast</v>
      </c>
      <c r="X2" s="398" t="str" cm="1">
        <f t="array" ref="X2">_xlfn.IFS(Timeline!X4&gt;0,"Forecast",Timeline!X4&lt;0,"Actual/Forecast",Timeline!X4=0,"Actual")</f>
        <v>Forecast</v>
      </c>
      <c r="Y2" s="398" t="str" cm="1">
        <f t="array" ref="Y2">_xlfn.IFS(Timeline!Y4&gt;0,"Forecast",Timeline!Y4&lt;0,"Actual/Forecast",Timeline!Y4=0,"Actual")</f>
        <v>Forecast</v>
      </c>
      <c r="Z2" s="398"/>
      <c r="AA2" s="398" t="str" cm="1">
        <f t="array" ref="AA2">_xlfn.IFS(Timeline!AA4&gt;0,"Forecast",Timeline!AA4&lt;0,"Actual/Forecast",Timeline!AA4=0,"Actual")</f>
        <v>Actual</v>
      </c>
      <c r="AB2" s="398" t="str" cm="1">
        <f t="array" ref="AB2">_xlfn.IFS(Timeline!AB4&gt;0,"Forecast",Timeline!AB4&lt;0,"Actual/Forecast",Timeline!AB4=0,"Actual")</f>
        <v>Actual</v>
      </c>
      <c r="AC2" s="398" t="str" cm="1">
        <f t="array" ref="AC2">_xlfn.IFS(Timeline!AC4&gt;0,"Forecast",Timeline!AC4&lt;0,"Actual/Forecast",Timeline!AC4=0,"Actual")</f>
        <v>Actual</v>
      </c>
      <c r="AD2" s="398" t="str" cm="1">
        <f t="array" ref="AD2">_xlfn.IFS(Timeline!AD4&gt;0,"Forecast",Timeline!AD4&lt;0,"Actual/Forecast",Timeline!AD4=0,"Actual")</f>
        <v>Actual</v>
      </c>
      <c r="AE2" s="398" t="str" cm="1">
        <f t="array" ref="AE2">_xlfn.IFS(Timeline!AE4&gt;0,"Forecast",Timeline!AE4&lt;0,"Actual/Forecast",Timeline!AE4=0,"Actual")</f>
        <v>Actual</v>
      </c>
      <c r="AF2" s="398" t="str" cm="1">
        <f t="array" ref="AF2">_xlfn.IFS(Timeline!AF4&gt;0,"Forecast",Timeline!AF4&lt;0,"Actual/Forecast",Timeline!AF4=0,"Actual")</f>
        <v>Actual</v>
      </c>
      <c r="AG2" s="398" t="str" cm="1">
        <f t="array" ref="AG2">_xlfn.IFS(Timeline!AG4&gt;0,"Forecast",Timeline!AG4&lt;0,"Actual/Forecast",Timeline!AG4=0,"Actual")</f>
        <v>Actual</v>
      </c>
      <c r="AH2" s="398" t="str" cm="1">
        <f t="array" ref="AH2">_xlfn.IFS(Timeline!AH4&gt;0,"Forecast",Timeline!AH4&lt;0,"Actual/Forecast",Timeline!AH4=0,"Actual")</f>
        <v>Actual</v>
      </c>
      <c r="AI2" s="398" t="str" cm="1">
        <f t="array" ref="AI2">_xlfn.IFS(Timeline!AI4&gt;0,"Forecast",Timeline!AI4&lt;0,"Actual/Forecast",Timeline!AI4=0,"Actual")</f>
        <v>Actual</v>
      </c>
      <c r="AJ2" s="398" t="str" cm="1">
        <f t="array" ref="AJ2">_xlfn.IFS(Timeline!AJ4&gt;0,"Forecast",Timeline!AJ4&lt;0,"Actual/Forecast",Timeline!AJ4=0,"Actual")</f>
        <v>Actual</v>
      </c>
      <c r="AK2" s="398" t="str" cm="1">
        <f t="array" ref="AK2">_xlfn.IFS(Timeline!AK4&gt;0,"Forecast",Timeline!AK4&lt;0,"Actual/Forecast",Timeline!AK4=0,"Actual")</f>
        <v>Actual</v>
      </c>
      <c r="AL2" s="398" t="str" cm="1">
        <f t="array" ref="AL2">_xlfn.IFS(Timeline!AL4&gt;0,"Forecast",Timeline!AL4&lt;0,"Actual/Forecast",Timeline!AL4=0,"Actual")</f>
        <v>Forecast</v>
      </c>
      <c r="AM2" s="398" t="str" cm="1">
        <f t="array" ref="AM2">_xlfn.IFS(Timeline!AM4&gt;0,"Forecast",Timeline!AM4&lt;0,"Actual/Forecast",Timeline!AM4=0,"Actual")</f>
        <v>Forecast</v>
      </c>
      <c r="AN2" s="398" t="str" cm="1">
        <f t="array" ref="AN2">_xlfn.IFS(Timeline!AN4&gt;0,"Forecast",Timeline!AN4&lt;0,"Actual/Forecast",Timeline!AN4=0,"Actual")</f>
        <v>Forecast</v>
      </c>
      <c r="AO2" s="398" t="str" cm="1">
        <f t="array" ref="AO2">_xlfn.IFS(Timeline!AO4&gt;0,"Forecast",Timeline!AO4&lt;0,"Actual/Forecast",Timeline!AO4=0,"Actual")</f>
        <v>Forecast</v>
      </c>
      <c r="AP2" s="398" t="str" cm="1">
        <f t="array" ref="AP2">_xlfn.IFS(Timeline!AP4&gt;0,"Forecast",Timeline!AP4&lt;0,"Actual/Forecast",Timeline!AP4=0,"Actual")</f>
        <v>Forecast</v>
      </c>
      <c r="AQ2" s="398" t="str" cm="1">
        <f t="array" ref="AQ2">_xlfn.IFS(Timeline!AQ4&gt;0,"Forecast",Timeline!AQ4&lt;0,"Actual/Forecast",Timeline!AQ4=0,"Actual")</f>
        <v>Forecast</v>
      </c>
      <c r="AR2" s="398" t="str" cm="1">
        <f t="array" ref="AR2">_xlfn.IFS(Timeline!AR4&gt;0,"Forecast",Timeline!AR4&lt;0,"Actual/Forecast",Timeline!AR4=0,"Actual")</f>
        <v>Forecast</v>
      </c>
      <c r="AS2" s="398" t="str" cm="1">
        <f t="array" ref="AS2">_xlfn.IFS(Timeline!AS4&gt;0,"Forecast",Timeline!AS4&lt;0,"Actual/Forecast",Timeline!AS4=0,"Actual")</f>
        <v>Forecast</v>
      </c>
      <c r="AT2" s="398" t="str" cm="1">
        <f t="array" ref="AT2">_xlfn.IFS(Timeline!AT4&gt;0,"Forecast",Timeline!AT4&lt;0,"Actual/Forecast",Timeline!AT4=0,"Actual")</f>
        <v>Forecast</v>
      </c>
      <c r="AU2" s="398" t="str" cm="1">
        <f t="array" ref="AU2">_xlfn.IFS(Timeline!AU4&gt;0,"Forecast",Timeline!AU4&lt;0,"Actual/Forecast",Timeline!AU4=0,"Actual")</f>
        <v>Forecast</v>
      </c>
      <c r="AV2" s="398" t="str" cm="1">
        <f t="array" ref="AV2">_xlfn.IFS(Timeline!AV4&gt;0,"Forecast",Timeline!AV4&lt;0,"Actual/Forecast",Timeline!AV4=0,"Actual")</f>
        <v>Forecast</v>
      </c>
      <c r="AW2" s="398" t="str" cm="1">
        <f t="array" ref="AW2">_xlfn.IFS(Timeline!AW4&gt;0,"Forecast",Timeline!AW4&lt;0,"Actual/Forecast",Timeline!AW4=0,"Actual")</f>
        <v>Forecast</v>
      </c>
      <c r="AX2" s="398" t="str" cm="1">
        <f t="array" ref="AX2">_xlfn.IFS(Timeline!AX4&gt;0,"Forecast",Timeline!AX4&lt;0,"Actual/Forecast",Timeline!AX4=0,"Actual")</f>
        <v>Forecast</v>
      </c>
      <c r="AY2" s="398" t="str" cm="1">
        <f t="array" ref="AY2">_xlfn.IFS(Timeline!AY4&gt;0,"Forecast",Timeline!AY4&lt;0,"Actual/Forecast",Timeline!AY4=0,"Actual")</f>
        <v>Forecast</v>
      </c>
      <c r="AZ2" s="398" t="str" cm="1">
        <f t="array" ref="AZ2">_xlfn.IFS(Timeline!AZ4&gt;0,"Forecast",Timeline!AZ4&lt;0,"Actual/Forecast",Timeline!AZ4=0,"Actual")</f>
        <v>Forecast</v>
      </c>
      <c r="BA2" s="398" t="str" cm="1">
        <f t="array" ref="BA2">_xlfn.IFS(Timeline!BA4&gt;0,"Forecast",Timeline!BA4&lt;0,"Actual/Forecast",Timeline!BA4=0,"Actual")</f>
        <v>Forecast</v>
      </c>
      <c r="BB2" s="398" t="str" cm="1">
        <f t="array" ref="BB2">_xlfn.IFS(Timeline!BB4&gt;0,"Forecast",Timeline!BB4&lt;0,"Actual/Forecast",Timeline!BB4=0,"Actual")</f>
        <v>Forecast</v>
      </c>
      <c r="BC2" s="398" t="str" cm="1">
        <f t="array" ref="BC2">_xlfn.IFS(Timeline!BC4&gt;0,"Forecast",Timeline!BC4&lt;0,"Actual/Forecast",Timeline!BC4=0,"Actual")</f>
        <v>Forecast</v>
      </c>
      <c r="BD2" s="398" t="str" cm="1">
        <f t="array" ref="BD2">_xlfn.IFS(Timeline!BD4&gt;0,"Forecast",Timeline!BD4&lt;0,"Actual/Forecast",Timeline!BD4=0,"Actual")</f>
        <v>Forecast</v>
      </c>
      <c r="BE2" s="398" t="str" cm="1">
        <f t="array" ref="BE2">_xlfn.IFS(Timeline!BE4&gt;0,"Forecast",Timeline!BE4&lt;0,"Actual/Forecast",Timeline!BE4=0,"Actual")</f>
        <v>Forecast</v>
      </c>
      <c r="BF2" s="398" t="str" cm="1">
        <f t="array" ref="BF2">_xlfn.IFS(Timeline!BF4&gt;0,"Forecast",Timeline!BF4&lt;0,"Actual/Forecast",Timeline!BF4=0,"Actual")</f>
        <v>Forecast</v>
      </c>
      <c r="BG2" s="398" t="str" cm="1">
        <f t="array" ref="BG2">_xlfn.IFS(Timeline!BG4&gt;0,"Forecast",Timeline!BG4&lt;0,"Actual/Forecast",Timeline!BG4=0,"Actual")</f>
        <v>Forecast</v>
      </c>
      <c r="BH2" s="398" t="str" cm="1">
        <f t="array" ref="BH2">_xlfn.IFS(Timeline!BH4&gt;0,"Forecast",Timeline!BH4&lt;0,"Actual/Forecast",Timeline!BH4=0,"Actual")</f>
        <v>Forecast</v>
      </c>
      <c r="BI2" s="398" t="str" cm="1">
        <f t="array" ref="BI2">_xlfn.IFS(Timeline!BI4&gt;0,"Forecast",Timeline!BI4&lt;0,"Actual/Forecast",Timeline!BI4=0,"Actual")</f>
        <v>Forecast</v>
      </c>
      <c r="BJ2" s="398" t="str" cm="1">
        <f t="array" ref="BJ2">_xlfn.IFS(Timeline!BJ4&gt;0,"Forecast",Timeline!BJ4&lt;0,"Actual/Forecast",Timeline!BJ4=0,"Actual")</f>
        <v>Forecast</v>
      </c>
      <c r="BK2" s="399"/>
      <c r="BL2" s="398" t="str" cm="1">
        <f t="array" ref="BL2">_xlfn.IFS(Timeline!BL4&gt;0,"Forecast",Timeline!BL4&lt;0,"Actual/Forecast",Timeline!BL4=0,"Actual")</f>
        <v>Actual</v>
      </c>
      <c r="BM2" s="398" t="str" cm="1">
        <f t="array" ref="BM2">_xlfn.IFS(Timeline!BM4&gt;0,"Forecast",Timeline!BM4&lt;0,"Actual/Forecast",Timeline!BM4=0,"Actual")</f>
        <v>Actual/Forecast</v>
      </c>
      <c r="BN2" s="398" t="str" cm="1">
        <f t="array" ref="BN2">_xlfn.IFS(Timeline!BN4&gt;0,"Forecast",Timeline!BN4&lt;0,"Actual/Forecast",Timeline!BN4=0,"Actual")</f>
        <v>Forecast</v>
      </c>
      <c r="BO2" s="398" t="str" cm="1">
        <f t="array" ref="BO2">_xlfn.IFS(Timeline!BO4&gt;0,"Forecast",Timeline!BO4&lt;0,"Actual/Forecast",Timeline!BO4=0,"Actual")</f>
        <v>Forecast</v>
      </c>
      <c r="BP2" s="398" t="str" cm="1">
        <f t="array" ref="BP2">_xlfn.IFS(Timeline!BP4&gt;0,"Forecast",Timeline!BP4&lt;0,"Actual/Forecast",Timeline!BP4=0,"Actual")</f>
        <v>Forecast</v>
      </c>
      <c r="BQ2" s="398" t="str" cm="1">
        <f t="array" ref="BQ2">_xlfn.IFS(Timeline!BQ4&gt;0,"Forecast",Timeline!BQ4&lt;0,"Actual/Forecast",Timeline!BQ4=0,"Actual")</f>
        <v>Forecast</v>
      </c>
      <c r="BR2" s="398" t="str" cm="1">
        <f t="array" ref="BR2">_xlfn.IFS(Timeline!BR4&gt;0,"Forecast",Timeline!BR4&lt;0,"Actual/Forecast",Timeline!BR4=0,"Actual")</f>
        <v>Forecast</v>
      </c>
      <c r="BS2" s="398" t="str" cm="1">
        <f t="array" ref="BS2">_xlfn.IFS(Timeline!BS4&gt;0,"Forecast",Timeline!BS4&lt;0,"Actual/Forecast",Timeline!BS4=0,"Actual")</f>
        <v>Forecast</v>
      </c>
      <c r="BT2" s="398" t="str" cm="1">
        <f t="array" ref="BT2">_xlfn.IFS(Timeline!BT4&gt;0,"Forecast",Timeline!BT4&lt;0,"Actual/Forecast",Timeline!BT4=0,"Actual")</f>
        <v>Forecast</v>
      </c>
      <c r="BU2" s="398" t="str" cm="1">
        <f t="array" ref="BU2">_xlfn.IFS(Timeline!BU4&gt;0,"Forecast",Timeline!BU4&lt;0,"Actual/Forecast",Timeline!BU4=0,"Actual")</f>
        <v>Forecast</v>
      </c>
      <c r="BV2" s="398" t="str" cm="1">
        <f t="array" ref="BV2">_xlfn.IFS(Timeline!BV4&gt;0,"Forecast",Timeline!BV4&lt;0,"Actual/Forecast",Timeline!BV4=0,"Actual")</f>
        <v>Forecast</v>
      </c>
      <c r="BW2" s="398" t="str" cm="1">
        <f t="array" ref="BW2">_xlfn.IFS(Timeline!BW4&gt;0,"Forecast",Timeline!BW4&lt;0,"Actual/Forecast",Timeline!BW4=0,"Actual")</f>
        <v>Forecast</v>
      </c>
    </row>
    <row r="3" spans="2:75" x14ac:dyDescent="0.25">
      <c r="B3" t="s">
        <v>1594</v>
      </c>
      <c r="Q3" s="30"/>
      <c r="R3" s="30"/>
      <c r="S3" s="30"/>
      <c r="T3" s="30"/>
      <c r="U3" s="30"/>
      <c r="V3" s="30" t="str">
        <f>Timeline!V34</f>
        <v>Y1</v>
      </c>
      <c r="W3" s="30" t="str">
        <f>Timeline!W34</f>
        <v>Y2</v>
      </c>
      <c r="X3" s="30" t="str">
        <f>Timeline!X34</f>
        <v>Y3</v>
      </c>
      <c r="Y3" s="30" t="str">
        <f>Timeline!Y34</f>
        <v>Y4</v>
      </c>
      <c r="Z3" s="30"/>
      <c r="AA3" s="30" t="str">
        <f>Timeline!AA34</f>
        <v>M1</v>
      </c>
      <c r="AB3" s="30" t="str">
        <f>Timeline!AB34</f>
        <v>M2</v>
      </c>
      <c r="AC3" s="30" t="str">
        <f>Timeline!AC34</f>
        <v>M3</v>
      </c>
      <c r="AD3" s="30" t="str">
        <f>Timeline!AD34</f>
        <v>M4</v>
      </c>
      <c r="AE3" s="30" t="str">
        <f>Timeline!AE34</f>
        <v>M5</v>
      </c>
      <c r="AF3" s="30" t="str">
        <f>Timeline!AF34</f>
        <v>M6</v>
      </c>
      <c r="AG3" s="30" t="str">
        <f>Timeline!AG34</f>
        <v>M7</v>
      </c>
      <c r="AH3" s="30" t="str">
        <f>Timeline!AH34</f>
        <v>M8</v>
      </c>
      <c r="AI3" s="30" t="str">
        <f>Timeline!AI34</f>
        <v>M9</v>
      </c>
      <c r="AJ3" s="30" t="str">
        <f>Timeline!AJ34</f>
        <v>M10</v>
      </c>
      <c r="AK3" s="30" t="str">
        <f>Timeline!AK34</f>
        <v>M11</v>
      </c>
      <c r="AL3" s="30" t="str">
        <f>Timeline!AL34</f>
        <v>M12</v>
      </c>
      <c r="AM3" s="30" t="str">
        <f>Timeline!AM34</f>
        <v>M13</v>
      </c>
      <c r="AN3" s="30" t="str">
        <f>Timeline!AN34</f>
        <v>M14</v>
      </c>
      <c r="AO3" s="30" t="str">
        <f>Timeline!AO34</f>
        <v>M15</v>
      </c>
      <c r="AP3" s="30" t="str">
        <f>Timeline!AP34</f>
        <v>M16</v>
      </c>
      <c r="AQ3" s="30" t="str">
        <f>Timeline!AQ34</f>
        <v>M17</v>
      </c>
      <c r="AR3" s="30" t="str">
        <f>Timeline!AR34</f>
        <v>M18</v>
      </c>
      <c r="AS3" s="30" t="str">
        <f>Timeline!AS34</f>
        <v>M19</v>
      </c>
      <c r="AT3" s="30" t="str">
        <f>Timeline!AT34</f>
        <v>M20</v>
      </c>
      <c r="AU3" s="30" t="str">
        <f>Timeline!AU34</f>
        <v>M21</v>
      </c>
      <c r="AV3" s="30" t="str">
        <f>Timeline!AV34</f>
        <v>M22</v>
      </c>
      <c r="AW3" s="30" t="str">
        <f>Timeline!AW34</f>
        <v>M23</v>
      </c>
      <c r="AX3" s="30" t="str">
        <f>Timeline!AX34</f>
        <v>M24</v>
      </c>
      <c r="AY3" s="30" t="str">
        <f>Timeline!AY34</f>
        <v>M25</v>
      </c>
      <c r="AZ3" s="30" t="str">
        <f>Timeline!AZ34</f>
        <v>M26</v>
      </c>
      <c r="BA3" s="30" t="str">
        <f>Timeline!BA34</f>
        <v>M27</v>
      </c>
      <c r="BB3" s="30" t="str">
        <f>Timeline!BB34</f>
        <v>M28</v>
      </c>
      <c r="BC3" s="30" t="str">
        <f>Timeline!BC34</f>
        <v>M29</v>
      </c>
      <c r="BD3" s="30" t="str">
        <f>Timeline!BD34</f>
        <v>M30</v>
      </c>
      <c r="BE3" s="30" t="str">
        <f>Timeline!BE34</f>
        <v>M31</v>
      </c>
      <c r="BF3" s="30" t="str">
        <f>Timeline!BF34</f>
        <v>M32</v>
      </c>
      <c r="BG3" s="30" t="str">
        <f>Timeline!BG34</f>
        <v>M33</v>
      </c>
      <c r="BH3" s="30" t="str">
        <f>Timeline!BH34</f>
        <v>M34</v>
      </c>
      <c r="BI3" s="30" t="str">
        <f>Timeline!BI34</f>
        <v>M35</v>
      </c>
      <c r="BJ3" s="30" t="str">
        <f>Timeline!BJ34</f>
        <v>M36</v>
      </c>
      <c r="BK3" s="30"/>
      <c r="BL3" s="30" t="str">
        <f>Timeline!BL34</f>
        <v>Y1</v>
      </c>
      <c r="BM3" s="30" t="str">
        <f>Timeline!BM34</f>
        <v>Y2</v>
      </c>
      <c r="BN3" s="30" t="str">
        <f>Timeline!BN34</f>
        <v>Y3</v>
      </c>
      <c r="BO3" s="30" t="str">
        <f>Timeline!BO34</f>
        <v>Y4</v>
      </c>
      <c r="BP3" s="30" t="str">
        <f>Timeline!BP34</f>
        <v>Y5</v>
      </c>
      <c r="BQ3" s="30" t="str">
        <f>Timeline!BQ34</f>
        <v>Y6</v>
      </c>
      <c r="BR3" s="30" t="str">
        <f>Timeline!BR34</f>
        <v>Y7</v>
      </c>
      <c r="BS3" s="30" t="str">
        <f>Timeline!BS34</f>
        <v>Y8</v>
      </c>
      <c r="BT3" s="30" t="str">
        <f>Timeline!BT34</f>
        <v>Y9</v>
      </c>
      <c r="BU3" s="30" t="str">
        <f>Timeline!BU34</f>
        <v>Y10</v>
      </c>
      <c r="BV3" s="30" t="str">
        <f>Timeline!BV34</f>
        <v>Y11</v>
      </c>
      <c r="BW3" s="30" t="str">
        <f>Timeline!BW34</f>
        <v>Y12</v>
      </c>
    </row>
    <row r="4" spans="2:75" x14ac:dyDescent="0.25">
      <c r="B4" t="s">
        <v>564</v>
      </c>
      <c r="D4" s="399" t="str">
        <f>Timeline!D37</f>
        <v>D</v>
      </c>
      <c r="E4" s="399" t="str">
        <f>Timeline!E37</f>
        <v>E</v>
      </c>
      <c r="F4" s="399" t="str">
        <f>Timeline!F37</f>
        <v>F</v>
      </c>
      <c r="G4" s="399" t="str">
        <f>Timeline!G37</f>
        <v>G</v>
      </c>
      <c r="H4" s="399" t="str">
        <f>Timeline!H37</f>
        <v>H</v>
      </c>
      <c r="I4" s="399" t="str">
        <f>Timeline!I37</f>
        <v>I</v>
      </c>
      <c r="J4" s="399" t="str">
        <f>Timeline!J37</f>
        <v>J</v>
      </c>
      <c r="K4" s="399" t="str">
        <f>Timeline!K37</f>
        <v>K</v>
      </c>
      <c r="L4" s="399" t="str">
        <f>Timeline!L37</f>
        <v>L</v>
      </c>
      <c r="M4" s="399" t="str">
        <f>Timeline!M37</f>
        <v>M</v>
      </c>
      <c r="N4" s="399" t="str">
        <f>Timeline!N37</f>
        <v>N</v>
      </c>
      <c r="O4" s="399" t="str">
        <f>Timeline!O37</f>
        <v>O</v>
      </c>
      <c r="P4" s="399" t="str">
        <f>Timeline!P37</f>
        <v>P</v>
      </c>
      <c r="Q4" s="399" t="str">
        <f>Timeline!Q37</f>
        <v>Q</v>
      </c>
      <c r="R4" s="399" t="str">
        <f>Timeline!R37</f>
        <v>R</v>
      </c>
      <c r="S4" s="399" t="str">
        <f>Timeline!S37</f>
        <v>S</v>
      </c>
      <c r="T4" s="399" t="str">
        <f>Timeline!T37</f>
        <v>T</v>
      </c>
      <c r="U4" s="399" t="str">
        <f>Timeline!U37</f>
        <v>U</v>
      </c>
      <c r="V4" s="399" t="str">
        <f>Timeline!V37</f>
        <v>V</v>
      </c>
      <c r="W4" s="399" t="str">
        <f>Timeline!W37</f>
        <v>W</v>
      </c>
      <c r="X4" s="399" t="str">
        <f>Timeline!X37</f>
        <v>X</v>
      </c>
      <c r="Y4" s="399" t="str">
        <f>Timeline!Y37</f>
        <v>Y</v>
      </c>
      <c r="Z4" s="399"/>
      <c r="AA4" s="399" t="str">
        <f>Timeline!AA37</f>
        <v>AA</v>
      </c>
      <c r="AB4" s="399" t="str">
        <f>Timeline!AB37</f>
        <v>AB</v>
      </c>
      <c r="AC4" s="399" t="str">
        <f>Timeline!AC37</f>
        <v>AC</v>
      </c>
      <c r="AD4" s="399" t="str">
        <f>Timeline!AD37</f>
        <v>AD</v>
      </c>
      <c r="AE4" s="399" t="str">
        <f>Timeline!AE37</f>
        <v>AE</v>
      </c>
      <c r="AF4" s="399" t="str">
        <f>Timeline!AF37</f>
        <v>AF</v>
      </c>
      <c r="AG4" s="399" t="str">
        <f>Timeline!AG37</f>
        <v>AG</v>
      </c>
      <c r="AH4" s="399" t="str">
        <f>Timeline!AH37</f>
        <v>AH</v>
      </c>
      <c r="AI4" s="399" t="str">
        <f>Timeline!AI37</f>
        <v>AI</v>
      </c>
      <c r="AJ4" s="399" t="str">
        <f>Timeline!AJ37</f>
        <v>AJ</v>
      </c>
      <c r="AK4" s="399" t="str">
        <f>Timeline!AK37</f>
        <v>AK</v>
      </c>
      <c r="AL4" s="399" t="str">
        <f>Timeline!AL37</f>
        <v>AL</v>
      </c>
      <c r="AM4" s="399" t="str">
        <f>Timeline!AM37</f>
        <v>AM</v>
      </c>
      <c r="AN4" s="399" t="str">
        <f>Timeline!AN37</f>
        <v>AN</v>
      </c>
      <c r="AO4" s="399" t="str">
        <f>Timeline!AO37</f>
        <v>AO</v>
      </c>
      <c r="AP4" s="399" t="str">
        <f>Timeline!AP37</f>
        <v>AP</v>
      </c>
      <c r="AQ4" s="399" t="str">
        <f>Timeline!AQ37</f>
        <v>AQ</v>
      </c>
      <c r="AR4" s="399" t="str">
        <f>Timeline!AR37</f>
        <v>AR</v>
      </c>
      <c r="AS4" s="399" t="str">
        <f>Timeline!AS37</f>
        <v>AS</v>
      </c>
      <c r="AT4" s="399" t="str">
        <f>Timeline!AT37</f>
        <v>AT</v>
      </c>
      <c r="AU4" s="399" t="str">
        <f>Timeline!AU37</f>
        <v>AU</v>
      </c>
      <c r="AV4" s="399" t="str">
        <f>Timeline!AV37</f>
        <v>AV</v>
      </c>
      <c r="AW4" s="399" t="str">
        <f>Timeline!AW37</f>
        <v>AW</v>
      </c>
      <c r="AX4" s="399" t="str">
        <f>Timeline!AX37</f>
        <v>AX</v>
      </c>
      <c r="AY4" s="399" t="str">
        <f>Timeline!AY37</f>
        <v>AY</v>
      </c>
      <c r="AZ4" s="399" t="str">
        <f>Timeline!AZ37</f>
        <v>AZ</v>
      </c>
      <c r="BA4" s="399" t="str">
        <f>Timeline!BA37</f>
        <v>BA</v>
      </c>
      <c r="BB4" s="399" t="str">
        <f>Timeline!BB37</f>
        <v>BB</v>
      </c>
      <c r="BC4" s="399" t="str">
        <f>Timeline!BC37</f>
        <v>BC</v>
      </c>
      <c r="BD4" s="399" t="str">
        <f>Timeline!BD37</f>
        <v>BD</v>
      </c>
      <c r="BE4" s="399" t="str">
        <f>Timeline!BE37</f>
        <v>BE</v>
      </c>
      <c r="BF4" s="399" t="str">
        <f>Timeline!BF37</f>
        <v>BF</v>
      </c>
      <c r="BG4" s="399" t="str">
        <f>Timeline!BG37</f>
        <v>BG</v>
      </c>
      <c r="BH4" s="399" t="str">
        <f>Timeline!BH37</f>
        <v>BH</v>
      </c>
      <c r="BI4" s="399" t="str">
        <f>Timeline!BI37</f>
        <v>BI</v>
      </c>
      <c r="BJ4" s="399" t="str">
        <f>Timeline!BJ37</f>
        <v>BJ</v>
      </c>
      <c r="BK4" s="399"/>
      <c r="BL4" s="399" t="str">
        <f>Timeline!BL37</f>
        <v>BL</v>
      </c>
      <c r="BM4" s="399" t="str">
        <f>Timeline!BM37</f>
        <v>BM</v>
      </c>
      <c r="BN4" s="399" t="str">
        <f>Timeline!BN37</f>
        <v>BN</v>
      </c>
      <c r="BO4" s="399" t="str">
        <f>Timeline!BO37</f>
        <v>BO</v>
      </c>
      <c r="BP4" s="399" t="str">
        <f>Timeline!BP37</f>
        <v>BP</v>
      </c>
      <c r="BQ4" s="399" t="str">
        <f>Timeline!BQ37</f>
        <v>BQ</v>
      </c>
      <c r="BR4" s="399" t="str">
        <f>Timeline!BR37</f>
        <v>BR</v>
      </c>
      <c r="BS4" s="399" t="str">
        <f>Timeline!BS37</f>
        <v>BS</v>
      </c>
      <c r="BT4" s="399" t="str">
        <f>Timeline!BT37</f>
        <v>BT</v>
      </c>
      <c r="BU4" s="399" t="str">
        <f>Timeline!BU37</f>
        <v>BU</v>
      </c>
      <c r="BV4" s="399" t="str">
        <f>Timeline!BV37</f>
        <v>BV</v>
      </c>
      <c r="BW4" s="399" t="str">
        <f>Timeline!BW37</f>
        <v>BW</v>
      </c>
    </row>
    <row r="5" spans="2:75" x14ac:dyDescent="0.25">
      <c r="R5" s="335"/>
    </row>
    <row r="6" spans="2:75" x14ac:dyDescent="0.25">
      <c r="B6" s="399" t="str">
        <f ca="1">ToC!E13</f>
        <v>Cover Sheet</v>
      </c>
      <c r="C6" s="399" t="str">
        <f>ToC!L13</f>
        <v>Yes</v>
      </c>
      <c r="D6" s="399">
        <v>0</v>
      </c>
      <c r="E6" s="399">
        <v>1</v>
      </c>
      <c r="F6" s="399">
        <v>0</v>
      </c>
      <c r="G6" s="399">
        <v>0</v>
      </c>
      <c r="H6" s="399">
        <v>0</v>
      </c>
      <c r="I6" s="399">
        <v>0</v>
      </c>
      <c r="J6" s="399">
        <v>0</v>
      </c>
      <c r="K6" s="399">
        <v>0</v>
      </c>
      <c r="L6" s="399">
        <v>0</v>
      </c>
      <c r="M6" s="399">
        <v>0</v>
      </c>
      <c r="N6" s="399">
        <v>0</v>
      </c>
      <c r="O6" s="399">
        <v>0</v>
      </c>
      <c r="P6" s="399">
        <v>0</v>
      </c>
      <c r="Q6" s="399">
        <v>0</v>
      </c>
      <c r="R6" s="399">
        <v>0</v>
      </c>
      <c r="S6" s="399">
        <v>0</v>
      </c>
      <c r="T6" s="399">
        <v>0</v>
      </c>
      <c r="U6" s="399">
        <v>0</v>
      </c>
      <c r="V6" s="399">
        <v>0</v>
      </c>
      <c r="W6" s="399">
        <v>0</v>
      </c>
      <c r="X6" s="399">
        <v>0</v>
      </c>
      <c r="Y6" s="399">
        <v>0</v>
      </c>
      <c r="Z6" s="399"/>
      <c r="AA6" s="399">
        <v>0</v>
      </c>
      <c r="AB6" s="399">
        <v>0</v>
      </c>
      <c r="AC6" s="399">
        <v>0</v>
      </c>
      <c r="AD6" s="399">
        <v>0</v>
      </c>
      <c r="AE6" s="399">
        <v>0</v>
      </c>
      <c r="AF6" s="399">
        <v>0</v>
      </c>
      <c r="AG6" s="399">
        <v>0</v>
      </c>
      <c r="AH6" s="399">
        <v>0</v>
      </c>
      <c r="AI6" s="399">
        <v>0</v>
      </c>
      <c r="AJ6" s="399">
        <v>0</v>
      </c>
      <c r="AK6" s="399">
        <v>0</v>
      </c>
      <c r="AL6" s="399">
        <v>0</v>
      </c>
      <c r="AM6" s="399">
        <v>0</v>
      </c>
      <c r="AN6" s="399">
        <v>0</v>
      </c>
      <c r="AO6" s="399">
        <v>0</v>
      </c>
      <c r="AP6" s="399">
        <v>0</v>
      </c>
      <c r="AQ6" s="399">
        <v>0</v>
      </c>
      <c r="AR6" s="399">
        <v>0</v>
      </c>
      <c r="AS6" s="399">
        <v>0</v>
      </c>
      <c r="AT6" s="399">
        <v>0</v>
      </c>
      <c r="AU6" s="399">
        <v>0</v>
      </c>
      <c r="AV6" s="399">
        <v>0</v>
      </c>
      <c r="AW6" s="399">
        <v>0</v>
      </c>
      <c r="AX6" s="399">
        <v>0</v>
      </c>
      <c r="AY6" s="399">
        <v>0</v>
      </c>
      <c r="AZ6" s="399">
        <v>0</v>
      </c>
      <c r="BA6" s="399">
        <v>0</v>
      </c>
      <c r="BB6" s="399">
        <v>0</v>
      </c>
      <c r="BC6" s="399">
        <v>0</v>
      </c>
      <c r="BD6" s="399">
        <v>0</v>
      </c>
      <c r="BE6" s="399">
        <v>0</v>
      </c>
      <c r="BF6" s="399">
        <v>0</v>
      </c>
      <c r="BG6" s="399">
        <v>0</v>
      </c>
      <c r="BH6" s="399">
        <v>0</v>
      </c>
      <c r="BI6" s="399">
        <v>0</v>
      </c>
      <c r="BJ6" s="399">
        <v>0</v>
      </c>
      <c r="BK6" s="399"/>
      <c r="BL6" s="399">
        <v>0</v>
      </c>
      <c r="BM6" s="399">
        <v>0</v>
      </c>
      <c r="BN6" s="399">
        <v>0</v>
      </c>
      <c r="BO6" s="399">
        <v>0</v>
      </c>
      <c r="BP6" s="399">
        <v>0</v>
      </c>
      <c r="BQ6" s="399">
        <v>0</v>
      </c>
      <c r="BR6" s="399">
        <v>0</v>
      </c>
      <c r="BS6" s="399">
        <v>0</v>
      </c>
      <c r="BT6" s="399">
        <v>0</v>
      </c>
      <c r="BU6" s="399">
        <v>0</v>
      </c>
      <c r="BV6" s="399">
        <v>0</v>
      </c>
      <c r="BW6" s="399">
        <v>0</v>
      </c>
    </row>
    <row r="7" spans="2:75" x14ac:dyDescent="0.25">
      <c r="B7" s="399" t="str">
        <f ca="1">ToC!E14</f>
        <v>Learners and Staff</v>
      </c>
      <c r="C7" s="399" t="str">
        <f>ToC!L14</f>
        <v>Yes</v>
      </c>
      <c r="D7" s="399">
        <v>0</v>
      </c>
      <c r="E7" s="399">
        <v>0</v>
      </c>
      <c r="F7" s="399">
        <v>0</v>
      </c>
      <c r="G7" s="399">
        <v>0</v>
      </c>
      <c r="H7" s="399">
        <v>0</v>
      </c>
      <c r="I7" s="399">
        <v>0</v>
      </c>
      <c r="J7" s="399">
        <v>0</v>
      </c>
      <c r="K7" s="399">
        <v>0</v>
      </c>
      <c r="L7" s="399">
        <v>0</v>
      </c>
      <c r="M7" s="399">
        <v>0</v>
      </c>
      <c r="N7" s="399">
        <v>0</v>
      </c>
      <c r="O7" s="399">
        <v>0</v>
      </c>
      <c r="P7" s="399">
        <v>0</v>
      </c>
      <c r="Q7" s="399">
        <v>0</v>
      </c>
      <c r="R7" s="399">
        <v>0</v>
      </c>
      <c r="S7" s="399">
        <v>0</v>
      </c>
      <c r="T7" s="399">
        <v>0</v>
      </c>
      <c r="U7" s="399">
        <v>0</v>
      </c>
      <c r="V7" s="399">
        <v>1</v>
      </c>
      <c r="W7" s="399">
        <v>1</v>
      </c>
      <c r="X7" s="399">
        <v>1</v>
      </c>
      <c r="Y7" s="399">
        <v>1</v>
      </c>
      <c r="Z7" s="399"/>
      <c r="AA7" s="399">
        <v>0</v>
      </c>
      <c r="AB7" s="399">
        <v>0</v>
      </c>
      <c r="AC7" s="399">
        <v>0</v>
      </c>
      <c r="AD7" s="399">
        <v>0</v>
      </c>
      <c r="AE7" s="399">
        <v>0</v>
      </c>
      <c r="AF7" s="399">
        <v>0</v>
      </c>
      <c r="AG7" s="399">
        <v>0</v>
      </c>
      <c r="AH7" s="399">
        <v>0</v>
      </c>
      <c r="AI7" s="399">
        <v>0</v>
      </c>
      <c r="AJ7" s="399">
        <v>0</v>
      </c>
      <c r="AK7" s="399">
        <v>0</v>
      </c>
      <c r="AL7" s="399">
        <v>0</v>
      </c>
      <c r="AM7" s="399">
        <v>0</v>
      </c>
      <c r="AN7" s="399">
        <v>0</v>
      </c>
      <c r="AO7" s="399">
        <v>0</v>
      </c>
      <c r="AP7" s="399">
        <v>0</v>
      </c>
      <c r="AQ7" s="399">
        <v>0</v>
      </c>
      <c r="AR7" s="399">
        <v>0</v>
      </c>
      <c r="AS7" s="399">
        <v>0</v>
      </c>
      <c r="AT7" s="399">
        <v>0</v>
      </c>
      <c r="AU7" s="399">
        <v>0</v>
      </c>
      <c r="AV7" s="399">
        <v>0</v>
      </c>
      <c r="AW7" s="399">
        <v>0</v>
      </c>
      <c r="AX7" s="399">
        <v>0</v>
      </c>
      <c r="AY7" s="399">
        <v>0</v>
      </c>
      <c r="AZ7" s="399">
        <v>0</v>
      </c>
      <c r="BA7" s="399">
        <v>0</v>
      </c>
      <c r="BB7" s="399">
        <v>0</v>
      </c>
      <c r="BC7" s="399">
        <v>0</v>
      </c>
      <c r="BD7" s="399">
        <v>0</v>
      </c>
      <c r="BE7" s="399">
        <v>0</v>
      </c>
      <c r="BF7" s="399">
        <v>0</v>
      </c>
      <c r="BG7" s="399">
        <v>0</v>
      </c>
      <c r="BH7" s="399">
        <v>0</v>
      </c>
      <c r="BI7" s="399">
        <v>0</v>
      </c>
      <c r="BJ7" s="399">
        <v>0</v>
      </c>
      <c r="BK7" s="399"/>
      <c r="BL7" s="399">
        <v>0</v>
      </c>
      <c r="BM7" s="399">
        <v>0</v>
      </c>
      <c r="BN7" s="399">
        <v>0</v>
      </c>
      <c r="BO7" s="399">
        <v>0</v>
      </c>
      <c r="BP7" s="399">
        <v>0</v>
      </c>
      <c r="BQ7" s="399">
        <v>0</v>
      </c>
      <c r="BR7" s="399">
        <v>0</v>
      </c>
      <c r="BS7" s="399">
        <v>0</v>
      </c>
      <c r="BT7" s="399">
        <v>0</v>
      </c>
      <c r="BU7" s="399">
        <v>0</v>
      </c>
      <c r="BV7" s="399">
        <v>0</v>
      </c>
      <c r="BW7" s="399">
        <v>0</v>
      </c>
    </row>
    <row r="8" spans="2:75" x14ac:dyDescent="0.25">
      <c r="B8" s="399" t="str">
        <f ca="1">ToC!E15</f>
        <v>I&amp;E Monthly</v>
      </c>
      <c r="C8" s="399" t="str">
        <f>ToC!L15</f>
        <v>No</v>
      </c>
      <c r="D8" s="399">
        <v>0</v>
      </c>
      <c r="E8" s="399">
        <v>0</v>
      </c>
      <c r="F8" s="399">
        <v>0</v>
      </c>
      <c r="G8" s="399">
        <v>0</v>
      </c>
      <c r="H8" s="399">
        <v>0</v>
      </c>
      <c r="I8" s="399">
        <v>0</v>
      </c>
      <c r="J8" s="399">
        <v>0</v>
      </c>
      <c r="K8" s="399">
        <v>0</v>
      </c>
      <c r="L8" s="399">
        <v>0</v>
      </c>
      <c r="M8" s="399">
        <v>0</v>
      </c>
      <c r="N8" s="399">
        <v>0</v>
      </c>
      <c r="O8" s="399">
        <v>0</v>
      </c>
      <c r="P8" s="399">
        <v>0</v>
      </c>
      <c r="Q8" s="399">
        <v>0</v>
      </c>
      <c r="R8" s="399">
        <v>0</v>
      </c>
      <c r="S8" s="399">
        <v>0</v>
      </c>
      <c r="T8" s="399">
        <v>0</v>
      </c>
      <c r="U8" s="399">
        <v>0</v>
      </c>
      <c r="V8" s="399">
        <v>0</v>
      </c>
      <c r="W8" s="399">
        <v>0</v>
      </c>
      <c r="X8" s="399">
        <v>0</v>
      </c>
      <c r="Y8" s="399">
        <v>0</v>
      </c>
      <c r="Z8" s="399"/>
      <c r="AA8" s="399">
        <v>0</v>
      </c>
      <c r="AB8" s="399">
        <v>0</v>
      </c>
      <c r="AC8" s="399">
        <v>0</v>
      </c>
      <c r="AD8" s="399">
        <v>0</v>
      </c>
      <c r="AE8" s="399">
        <v>0</v>
      </c>
      <c r="AF8" s="399">
        <v>0</v>
      </c>
      <c r="AG8" s="399">
        <v>0</v>
      </c>
      <c r="AH8" s="399">
        <v>0</v>
      </c>
      <c r="AI8" s="399">
        <v>0</v>
      </c>
      <c r="AJ8" s="399">
        <v>0</v>
      </c>
      <c r="AK8" s="399">
        <v>0</v>
      </c>
      <c r="AL8" s="399">
        <v>0</v>
      </c>
      <c r="AM8" s="399">
        <v>0</v>
      </c>
      <c r="AN8" s="399">
        <v>0</v>
      </c>
      <c r="AO8" s="399">
        <v>0</v>
      </c>
      <c r="AP8" s="399">
        <v>0</v>
      </c>
      <c r="AQ8" s="399">
        <v>0</v>
      </c>
      <c r="AR8" s="399">
        <v>0</v>
      </c>
      <c r="AS8" s="399">
        <v>0</v>
      </c>
      <c r="AT8" s="399">
        <v>0</v>
      </c>
      <c r="AU8" s="399">
        <v>0</v>
      </c>
      <c r="AV8" s="399">
        <v>0</v>
      </c>
      <c r="AW8" s="399">
        <v>0</v>
      </c>
      <c r="AX8" s="399">
        <v>0</v>
      </c>
      <c r="AY8" s="399">
        <v>0</v>
      </c>
      <c r="AZ8" s="399">
        <v>0</v>
      </c>
      <c r="BA8" s="399">
        <v>0</v>
      </c>
      <c r="BB8" s="399">
        <v>0</v>
      </c>
      <c r="BC8" s="399">
        <v>0</v>
      </c>
      <c r="BD8" s="399">
        <v>0</v>
      </c>
      <c r="BE8" s="399">
        <v>0</v>
      </c>
      <c r="BF8" s="399">
        <v>0</v>
      </c>
      <c r="BG8" s="399">
        <v>0</v>
      </c>
      <c r="BH8" s="399">
        <v>0</v>
      </c>
      <c r="BI8" s="399">
        <v>0</v>
      </c>
      <c r="BJ8" s="399">
        <v>0</v>
      </c>
      <c r="BK8" s="399"/>
      <c r="BL8" s="399">
        <v>0</v>
      </c>
      <c r="BM8" s="399">
        <v>0</v>
      </c>
      <c r="BN8" s="399">
        <v>0</v>
      </c>
      <c r="BO8" s="399">
        <v>0</v>
      </c>
      <c r="BP8" s="399">
        <v>0</v>
      </c>
      <c r="BQ8" s="399">
        <v>0</v>
      </c>
      <c r="BR8" s="399">
        <v>0</v>
      </c>
      <c r="BS8" s="399">
        <v>0</v>
      </c>
      <c r="BT8" s="399">
        <v>0</v>
      </c>
      <c r="BU8" s="399">
        <v>0</v>
      </c>
      <c r="BV8" s="399">
        <v>0</v>
      </c>
      <c r="BW8" s="399">
        <v>0</v>
      </c>
    </row>
    <row r="9" spans="2:75" x14ac:dyDescent="0.25">
      <c r="B9" s="399" t="str">
        <f ca="1">ToC!E16</f>
        <v>I&amp;E Annual</v>
      </c>
      <c r="C9" s="399" t="str">
        <f>ToC!L16</f>
        <v>Yes</v>
      </c>
      <c r="D9" s="399">
        <v>0</v>
      </c>
      <c r="E9" s="399">
        <v>0</v>
      </c>
      <c r="F9" s="399">
        <v>0</v>
      </c>
      <c r="G9" s="399">
        <v>0</v>
      </c>
      <c r="H9" s="399">
        <v>0</v>
      </c>
      <c r="I9" s="399">
        <v>0</v>
      </c>
      <c r="J9" s="399">
        <v>0</v>
      </c>
      <c r="K9" s="399">
        <v>0</v>
      </c>
      <c r="L9" s="399">
        <v>0</v>
      </c>
      <c r="M9" s="399">
        <v>0</v>
      </c>
      <c r="N9" s="399">
        <v>0</v>
      </c>
      <c r="O9" s="399">
        <v>0</v>
      </c>
      <c r="P9" s="399">
        <v>0</v>
      </c>
      <c r="Q9" s="399">
        <v>0</v>
      </c>
      <c r="R9" s="399">
        <v>0</v>
      </c>
      <c r="S9" s="399">
        <v>0</v>
      </c>
      <c r="T9" s="399">
        <v>0</v>
      </c>
      <c r="U9" s="399">
        <v>0</v>
      </c>
      <c r="V9" s="399">
        <v>1</v>
      </c>
      <c r="W9" s="399">
        <v>1</v>
      </c>
      <c r="X9" s="399">
        <v>1</v>
      </c>
      <c r="Y9" s="399">
        <v>1</v>
      </c>
      <c r="Z9" s="399"/>
      <c r="AA9" s="399">
        <v>1</v>
      </c>
      <c r="AB9" s="399">
        <v>1</v>
      </c>
      <c r="AC9" s="399">
        <v>1</v>
      </c>
      <c r="AD9" s="399">
        <v>1</v>
      </c>
      <c r="AE9" s="399">
        <v>1</v>
      </c>
      <c r="AF9" s="399">
        <v>1</v>
      </c>
      <c r="AG9" s="399">
        <v>1</v>
      </c>
      <c r="AH9" s="399">
        <v>1</v>
      </c>
      <c r="AI9" s="399">
        <v>1</v>
      </c>
      <c r="AJ9" s="399">
        <v>1</v>
      </c>
      <c r="AK9" s="399">
        <v>1</v>
      </c>
      <c r="AL9" s="399">
        <v>1</v>
      </c>
      <c r="AM9" s="399">
        <v>1</v>
      </c>
      <c r="AN9" s="399">
        <v>1</v>
      </c>
      <c r="AO9" s="399">
        <v>1</v>
      </c>
      <c r="AP9" s="399">
        <v>1</v>
      </c>
      <c r="AQ9" s="399">
        <v>1</v>
      </c>
      <c r="AR9" s="399">
        <v>1</v>
      </c>
      <c r="AS9" s="399">
        <v>1</v>
      </c>
      <c r="AT9" s="399">
        <v>1</v>
      </c>
      <c r="AU9" s="399">
        <v>1</v>
      </c>
      <c r="AV9" s="399">
        <v>1</v>
      </c>
      <c r="AW9" s="399">
        <v>1</v>
      </c>
      <c r="AX9" s="399">
        <v>1</v>
      </c>
      <c r="AY9" s="399">
        <v>1</v>
      </c>
      <c r="AZ9" s="399">
        <v>1</v>
      </c>
      <c r="BA9" s="399">
        <v>1</v>
      </c>
      <c r="BB9" s="399">
        <v>1</v>
      </c>
      <c r="BC9" s="399">
        <v>1</v>
      </c>
      <c r="BD9" s="399">
        <v>1</v>
      </c>
      <c r="BE9" s="399">
        <v>1</v>
      </c>
      <c r="BF9" s="399">
        <v>1</v>
      </c>
      <c r="BG9" s="399">
        <v>1</v>
      </c>
      <c r="BH9" s="399">
        <v>1</v>
      </c>
      <c r="BI9" s="399">
        <v>1</v>
      </c>
      <c r="BJ9" s="399">
        <v>1</v>
      </c>
      <c r="BK9" s="399"/>
      <c r="BL9" s="399">
        <v>1</v>
      </c>
      <c r="BM9" s="399">
        <v>1</v>
      </c>
      <c r="BN9" s="399">
        <v>1</v>
      </c>
      <c r="BO9" s="399">
        <v>1</v>
      </c>
      <c r="BP9" s="399">
        <v>1</v>
      </c>
      <c r="BQ9" s="399">
        <v>1</v>
      </c>
      <c r="BR9" s="399">
        <v>1</v>
      </c>
      <c r="BS9" s="399">
        <v>1</v>
      </c>
      <c r="BT9" s="399">
        <v>1</v>
      </c>
      <c r="BU9" s="399">
        <v>1</v>
      </c>
      <c r="BV9" s="399">
        <v>1</v>
      </c>
      <c r="BW9" s="399">
        <v>1</v>
      </c>
    </row>
    <row r="10" spans="2:75" x14ac:dyDescent="0.25">
      <c r="B10" s="399" t="str">
        <f ca="1">ToC!E17</f>
        <v>I&amp;E Profiles</v>
      </c>
      <c r="C10" s="399" t="str">
        <f>ToC!L17</f>
        <v>No</v>
      </c>
      <c r="D10" s="399">
        <v>0</v>
      </c>
      <c r="E10" s="399">
        <v>0</v>
      </c>
      <c r="F10" s="399">
        <v>0</v>
      </c>
      <c r="G10" s="399">
        <v>0</v>
      </c>
      <c r="H10" s="399">
        <v>0</v>
      </c>
      <c r="I10" s="399">
        <v>0</v>
      </c>
      <c r="J10" s="399">
        <v>0</v>
      </c>
      <c r="K10" s="399">
        <v>0</v>
      </c>
      <c r="L10" s="399">
        <v>0</v>
      </c>
      <c r="M10" s="399">
        <v>0</v>
      </c>
      <c r="N10" s="399">
        <v>0</v>
      </c>
      <c r="O10" s="399">
        <v>0</v>
      </c>
      <c r="P10" s="399">
        <v>0</v>
      </c>
      <c r="Q10" s="399">
        <v>0</v>
      </c>
      <c r="R10" s="399">
        <v>0</v>
      </c>
      <c r="S10" s="399">
        <v>0</v>
      </c>
      <c r="T10" s="399">
        <v>0</v>
      </c>
      <c r="U10" s="399">
        <v>0</v>
      </c>
      <c r="V10" s="399">
        <v>0</v>
      </c>
      <c r="W10" s="399">
        <v>0</v>
      </c>
      <c r="X10" s="399">
        <v>0</v>
      </c>
      <c r="Y10" s="399">
        <v>0</v>
      </c>
      <c r="Z10" s="399"/>
      <c r="AA10" s="399">
        <v>0</v>
      </c>
      <c r="AB10" s="399">
        <v>0</v>
      </c>
      <c r="AC10" s="399">
        <v>0</v>
      </c>
      <c r="AD10" s="399">
        <v>0</v>
      </c>
      <c r="AE10" s="399">
        <v>0</v>
      </c>
      <c r="AF10" s="399">
        <v>0</v>
      </c>
      <c r="AG10" s="399">
        <v>0</v>
      </c>
      <c r="AH10" s="399">
        <v>0</v>
      </c>
      <c r="AI10" s="399">
        <v>0</v>
      </c>
      <c r="AJ10" s="399">
        <v>0</v>
      </c>
      <c r="AK10" s="399">
        <v>0</v>
      </c>
      <c r="AL10" s="399">
        <v>0</v>
      </c>
      <c r="AM10" s="399">
        <v>0</v>
      </c>
      <c r="AN10" s="399">
        <v>0</v>
      </c>
      <c r="AO10" s="399">
        <v>0</v>
      </c>
      <c r="AP10" s="399">
        <v>0</v>
      </c>
      <c r="AQ10" s="399">
        <v>0</v>
      </c>
      <c r="AR10" s="399">
        <v>0</v>
      </c>
      <c r="AS10" s="399">
        <v>0</v>
      </c>
      <c r="AT10" s="399">
        <v>0</v>
      </c>
      <c r="AU10" s="399">
        <v>0</v>
      </c>
      <c r="AV10" s="399">
        <v>0</v>
      </c>
      <c r="AW10" s="399">
        <v>0</v>
      </c>
      <c r="AX10" s="399">
        <v>0</v>
      </c>
      <c r="AY10" s="399">
        <v>0</v>
      </c>
      <c r="AZ10" s="399">
        <v>0</v>
      </c>
      <c r="BA10" s="399">
        <v>0</v>
      </c>
      <c r="BB10" s="399">
        <v>0</v>
      </c>
      <c r="BC10" s="399">
        <v>0</v>
      </c>
      <c r="BD10" s="399">
        <v>0</v>
      </c>
      <c r="BE10" s="399">
        <v>0</v>
      </c>
      <c r="BF10" s="399">
        <v>0</v>
      </c>
      <c r="BG10" s="399">
        <v>0</v>
      </c>
      <c r="BH10" s="399">
        <v>0</v>
      </c>
      <c r="BI10" s="399">
        <v>0</v>
      </c>
      <c r="BJ10" s="399">
        <v>0</v>
      </c>
      <c r="BK10" s="399"/>
      <c r="BL10" s="399">
        <v>0</v>
      </c>
      <c r="BM10" s="399">
        <v>0</v>
      </c>
      <c r="BN10" s="399">
        <v>0</v>
      </c>
      <c r="BO10" s="399">
        <v>0</v>
      </c>
      <c r="BP10" s="399">
        <v>0</v>
      </c>
      <c r="BQ10" s="399">
        <v>0</v>
      </c>
      <c r="BR10" s="399">
        <v>0</v>
      </c>
      <c r="BS10" s="399">
        <v>0</v>
      </c>
      <c r="BT10" s="399">
        <v>0</v>
      </c>
      <c r="BU10" s="399">
        <v>0</v>
      </c>
      <c r="BV10" s="399">
        <v>0</v>
      </c>
      <c r="BW10" s="399">
        <v>0</v>
      </c>
    </row>
    <row r="11" spans="2:75" x14ac:dyDescent="0.25">
      <c r="B11" s="399" t="str">
        <f ca="1">ToC!E18</f>
        <v>Opening Balances</v>
      </c>
      <c r="C11" s="399" t="str">
        <f>ToC!L18</f>
        <v>Yes</v>
      </c>
      <c r="D11" s="399">
        <v>0</v>
      </c>
      <c r="E11" s="399">
        <v>0</v>
      </c>
      <c r="F11" s="399">
        <v>0</v>
      </c>
      <c r="G11" s="399">
        <v>0</v>
      </c>
      <c r="H11" s="399">
        <v>0</v>
      </c>
      <c r="I11" s="399">
        <v>0</v>
      </c>
      <c r="J11" s="399">
        <v>0</v>
      </c>
      <c r="K11" s="399">
        <v>0</v>
      </c>
      <c r="L11" s="399">
        <v>0</v>
      </c>
      <c r="M11" s="399">
        <v>0</v>
      </c>
      <c r="N11" s="399">
        <v>0</v>
      </c>
      <c r="O11" s="399">
        <v>0</v>
      </c>
      <c r="P11" s="399">
        <v>0</v>
      </c>
      <c r="Q11" s="399">
        <v>0</v>
      </c>
      <c r="R11" s="399">
        <v>0</v>
      </c>
      <c r="S11" s="399">
        <v>0</v>
      </c>
      <c r="T11" s="399">
        <v>0</v>
      </c>
      <c r="U11" s="399">
        <v>0</v>
      </c>
      <c r="V11" s="399">
        <v>1</v>
      </c>
      <c r="W11" s="399">
        <v>1</v>
      </c>
      <c r="X11" s="399">
        <v>0</v>
      </c>
      <c r="Y11" s="399">
        <v>0</v>
      </c>
      <c r="Z11" s="399"/>
      <c r="AA11" s="399">
        <v>0</v>
      </c>
      <c r="AB11" s="399">
        <v>0</v>
      </c>
      <c r="AC11" s="399">
        <v>0</v>
      </c>
      <c r="AD11" s="399">
        <v>0</v>
      </c>
      <c r="AE11" s="399">
        <v>0</v>
      </c>
      <c r="AF11" s="399">
        <v>0</v>
      </c>
      <c r="AG11" s="399">
        <v>0</v>
      </c>
      <c r="AH11" s="399">
        <v>0</v>
      </c>
      <c r="AI11" s="399">
        <v>0</v>
      </c>
      <c r="AJ11" s="399">
        <v>0</v>
      </c>
      <c r="AK11" s="399">
        <v>0</v>
      </c>
      <c r="AL11" s="399">
        <v>0</v>
      </c>
      <c r="AM11" s="399">
        <v>0</v>
      </c>
      <c r="AN11" s="399">
        <v>0</v>
      </c>
      <c r="AO11" s="399">
        <v>0</v>
      </c>
      <c r="AP11" s="399">
        <v>0</v>
      </c>
      <c r="AQ11" s="399">
        <v>0</v>
      </c>
      <c r="AR11" s="399">
        <v>0</v>
      </c>
      <c r="AS11" s="399">
        <v>0</v>
      </c>
      <c r="AT11" s="399">
        <v>0</v>
      </c>
      <c r="AU11" s="399">
        <v>0</v>
      </c>
      <c r="AV11" s="399">
        <v>0</v>
      </c>
      <c r="AW11" s="399">
        <v>0</v>
      </c>
      <c r="AX11" s="399">
        <v>0</v>
      </c>
      <c r="AY11" s="399">
        <v>0</v>
      </c>
      <c r="AZ11" s="399">
        <v>0</v>
      </c>
      <c r="BA11" s="399">
        <v>0</v>
      </c>
      <c r="BB11" s="399">
        <v>0</v>
      </c>
      <c r="BC11" s="399">
        <v>0</v>
      </c>
      <c r="BD11" s="399">
        <v>0</v>
      </c>
      <c r="BE11" s="399">
        <v>0</v>
      </c>
      <c r="BF11" s="399">
        <v>0</v>
      </c>
      <c r="BG11" s="399">
        <v>0</v>
      </c>
      <c r="BH11" s="399">
        <v>0</v>
      </c>
      <c r="BI11" s="399">
        <v>0</v>
      </c>
      <c r="BJ11" s="399">
        <v>0</v>
      </c>
      <c r="BK11" s="399"/>
      <c r="BL11" s="399">
        <v>0</v>
      </c>
      <c r="BM11" s="399">
        <v>0</v>
      </c>
      <c r="BN11" s="399">
        <v>0</v>
      </c>
      <c r="BO11" s="399">
        <v>0</v>
      </c>
      <c r="BP11" s="399">
        <v>0</v>
      </c>
      <c r="BQ11" s="399">
        <v>0</v>
      </c>
      <c r="BR11" s="399">
        <v>0</v>
      </c>
      <c r="BS11" s="399">
        <v>0</v>
      </c>
      <c r="BT11" s="399">
        <v>0</v>
      </c>
      <c r="BU11" s="399">
        <v>0</v>
      </c>
      <c r="BV11" s="399">
        <v>0</v>
      </c>
      <c r="BW11" s="399">
        <v>0</v>
      </c>
    </row>
    <row r="12" spans="2:75" x14ac:dyDescent="0.25">
      <c r="B12" s="399" t="str">
        <f ca="1">ToC!E19</f>
        <v>Investing Inputs</v>
      </c>
      <c r="C12" s="399" t="str">
        <f>ToC!L19</f>
        <v>Yes</v>
      </c>
      <c r="D12" s="399">
        <v>0</v>
      </c>
      <c r="E12" s="399">
        <v>0</v>
      </c>
      <c r="F12" s="399">
        <v>0</v>
      </c>
      <c r="G12" s="399">
        <v>0</v>
      </c>
      <c r="H12" s="399">
        <v>0</v>
      </c>
      <c r="I12" s="399">
        <v>0</v>
      </c>
      <c r="J12" s="399">
        <v>0</v>
      </c>
      <c r="K12" s="399">
        <v>0</v>
      </c>
      <c r="L12" s="399">
        <v>0</v>
      </c>
      <c r="M12" s="399">
        <v>0</v>
      </c>
      <c r="N12" s="399">
        <v>0</v>
      </c>
      <c r="O12" s="399">
        <v>0</v>
      </c>
      <c r="P12" s="399">
        <v>0</v>
      </c>
      <c r="Q12" s="399">
        <v>0</v>
      </c>
      <c r="R12" s="399">
        <v>0</v>
      </c>
      <c r="S12" s="399">
        <v>0</v>
      </c>
      <c r="T12" s="399">
        <v>0</v>
      </c>
      <c r="U12" s="399">
        <v>0</v>
      </c>
      <c r="V12" s="399">
        <v>1</v>
      </c>
      <c r="W12" s="399">
        <v>1</v>
      </c>
      <c r="X12" s="399">
        <v>1</v>
      </c>
      <c r="Y12" s="399">
        <v>1</v>
      </c>
      <c r="Z12" s="399"/>
      <c r="AA12" s="399">
        <v>1</v>
      </c>
      <c r="AB12" s="399">
        <v>1</v>
      </c>
      <c r="AC12" s="399">
        <v>1</v>
      </c>
      <c r="AD12" s="399">
        <v>1</v>
      </c>
      <c r="AE12" s="399">
        <v>1</v>
      </c>
      <c r="AF12" s="399">
        <v>1</v>
      </c>
      <c r="AG12" s="399">
        <v>1</v>
      </c>
      <c r="AH12" s="399">
        <v>1</v>
      </c>
      <c r="AI12" s="399">
        <v>1</v>
      </c>
      <c r="AJ12" s="399">
        <v>1</v>
      </c>
      <c r="AK12" s="399">
        <v>1</v>
      </c>
      <c r="AL12" s="399">
        <v>1</v>
      </c>
      <c r="AM12" s="399">
        <v>1</v>
      </c>
      <c r="AN12" s="399">
        <v>1</v>
      </c>
      <c r="AO12" s="399">
        <v>1</v>
      </c>
      <c r="AP12" s="399">
        <v>1</v>
      </c>
      <c r="AQ12" s="399">
        <v>1</v>
      </c>
      <c r="AR12" s="399">
        <v>1</v>
      </c>
      <c r="AS12" s="399">
        <v>1</v>
      </c>
      <c r="AT12" s="399">
        <v>1</v>
      </c>
      <c r="AU12" s="399">
        <v>1</v>
      </c>
      <c r="AV12" s="399">
        <v>1</v>
      </c>
      <c r="AW12" s="399">
        <v>1</v>
      </c>
      <c r="AX12" s="399">
        <v>1</v>
      </c>
      <c r="AY12" s="399">
        <v>1</v>
      </c>
      <c r="AZ12" s="399">
        <v>1</v>
      </c>
      <c r="BA12" s="399">
        <v>1</v>
      </c>
      <c r="BB12" s="399">
        <v>1</v>
      </c>
      <c r="BC12" s="399">
        <v>1</v>
      </c>
      <c r="BD12" s="399">
        <v>1</v>
      </c>
      <c r="BE12" s="399">
        <v>1</v>
      </c>
      <c r="BF12" s="399">
        <v>1</v>
      </c>
      <c r="BG12" s="399">
        <v>1</v>
      </c>
      <c r="BH12" s="399">
        <v>1</v>
      </c>
      <c r="BI12" s="399">
        <v>1</v>
      </c>
      <c r="BJ12" s="399">
        <v>1</v>
      </c>
      <c r="BK12" s="399"/>
      <c r="BL12" s="399">
        <v>1</v>
      </c>
      <c r="BM12" s="399">
        <v>1</v>
      </c>
      <c r="BN12" s="399">
        <v>1</v>
      </c>
      <c r="BO12" s="399">
        <v>1</v>
      </c>
      <c r="BP12" s="399">
        <v>1</v>
      </c>
      <c r="BQ12" s="399">
        <v>1</v>
      </c>
      <c r="BR12" s="399">
        <v>1</v>
      </c>
      <c r="BS12" s="399">
        <v>1</v>
      </c>
      <c r="BT12" s="399">
        <v>1</v>
      </c>
      <c r="BU12" s="399">
        <v>1</v>
      </c>
      <c r="BV12" s="399">
        <v>1</v>
      </c>
      <c r="BW12" s="399">
        <v>1</v>
      </c>
    </row>
    <row r="13" spans="2:75" x14ac:dyDescent="0.25">
      <c r="B13" s="399" t="str">
        <f ca="1">ToC!E20</f>
        <v>Loans</v>
      </c>
      <c r="C13" s="399" t="str">
        <f>ToC!L20</f>
        <v>Yes</v>
      </c>
      <c r="D13" s="399">
        <v>0</v>
      </c>
      <c r="E13" s="399">
        <v>0</v>
      </c>
      <c r="F13" s="399">
        <v>0</v>
      </c>
      <c r="G13" s="399">
        <v>0</v>
      </c>
      <c r="H13" s="399">
        <v>0</v>
      </c>
      <c r="I13" s="399">
        <v>0</v>
      </c>
      <c r="J13" s="399">
        <v>0</v>
      </c>
      <c r="K13" s="399">
        <v>0</v>
      </c>
      <c r="L13" s="399">
        <v>0</v>
      </c>
      <c r="M13" s="399">
        <v>0</v>
      </c>
      <c r="N13" s="399">
        <v>0</v>
      </c>
      <c r="O13" s="399">
        <v>0</v>
      </c>
      <c r="P13" s="399">
        <v>0</v>
      </c>
      <c r="Q13" s="399">
        <v>0</v>
      </c>
      <c r="R13" s="399">
        <v>0</v>
      </c>
      <c r="S13" s="399">
        <v>0</v>
      </c>
      <c r="T13" s="399">
        <v>0</v>
      </c>
      <c r="U13" s="399">
        <v>0</v>
      </c>
      <c r="V13" s="399">
        <v>1</v>
      </c>
      <c r="W13" s="399">
        <v>1</v>
      </c>
      <c r="X13" s="399">
        <v>1</v>
      </c>
      <c r="Y13" s="399">
        <v>1</v>
      </c>
      <c r="Z13" s="399"/>
      <c r="AA13" s="399">
        <v>1</v>
      </c>
      <c r="AB13" s="399">
        <v>1</v>
      </c>
      <c r="AC13" s="399">
        <v>1</v>
      </c>
      <c r="AD13" s="399">
        <v>1</v>
      </c>
      <c r="AE13" s="399">
        <v>1</v>
      </c>
      <c r="AF13" s="399">
        <v>1</v>
      </c>
      <c r="AG13" s="399">
        <v>1</v>
      </c>
      <c r="AH13" s="399">
        <v>1</v>
      </c>
      <c r="AI13" s="399">
        <v>1</v>
      </c>
      <c r="AJ13" s="399">
        <v>1</v>
      </c>
      <c r="AK13" s="399">
        <v>1</v>
      </c>
      <c r="AL13" s="399">
        <v>1</v>
      </c>
      <c r="AM13" s="399">
        <v>1</v>
      </c>
      <c r="AN13" s="399">
        <v>1</v>
      </c>
      <c r="AO13" s="399">
        <v>1</v>
      </c>
      <c r="AP13" s="399">
        <v>1</v>
      </c>
      <c r="AQ13" s="399">
        <v>1</v>
      </c>
      <c r="AR13" s="399">
        <v>1</v>
      </c>
      <c r="AS13" s="399">
        <v>1</v>
      </c>
      <c r="AT13" s="399">
        <v>1</v>
      </c>
      <c r="AU13" s="399">
        <v>1</v>
      </c>
      <c r="AV13" s="399">
        <v>1</v>
      </c>
      <c r="AW13" s="399">
        <v>1</v>
      </c>
      <c r="AX13" s="399">
        <v>1</v>
      </c>
      <c r="AY13" s="399">
        <v>1</v>
      </c>
      <c r="AZ13" s="399">
        <v>1</v>
      </c>
      <c r="BA13" s="399">
        <v>1</v>
      </c>
      <c r="BB13" s="399">
        <v>1</v>
      </c>
      <c r="BC13" s="399">
        <v>1</v>
      </c>
      <c r="BD13" s="399">
        <v>1</v>
      </c>
      <c r="BE13" s="399">
        <v>1</v>
      </c>
      <c r="BF13" s="399">
        <v>1</v>
      </c>
      <c r="BG13" s="399">
        <v>1</v>
      </c>
      <c r="BH13" s="399">
        <v>1</v>
      </c>
      <c r="BI13" s="399">
        <v>1</v>
      </c>
      <c r="BJ13" s="399">
        <v>1</v>
      </c>
      <c r="BK13" s="399"/>
      <c r="BL13" s="399">
        <v>1</v>
      </c>
      <c r="BM13" s="399">
        <v>1</v>
      </c>
      <c r="BN13" s="399">
        <v>1</v>
      </c>
      <c r="BO13" s="399">
        <v>1</v>
      </c>
      <c r="BP13" s="399">
        <v>1</v>
      </c>
      <c r="BQ13" s="399">
        <v>1</v>
      </c>
      <c r="BR13" s="399">
        <v>1</v>
      </c>
      <c r="BS13" s="399">
        <v>1</v>
      </c>
      <c r="BT13" s="399">
        <v>1</v>
      </c>
      <c r="BU13" s="399">
        <v>1</v>
      </c>
      <c r="BV13" s="399">
        <v>1</v>
      </c>
      <c r="BW13" s="399">
        <v>1</v>
      </c>
    </row>
    <row r="14" spans="2:75" x14ac:dyDescent="0.25">
      <c r="B14" s="399" t="str">
        <f ca="1">ToC!E21</f>
        <v>BS Forecasts</v>
      </c>
      <c r="C14" s="399" t="str">
        <f>ToC!L21</f>
        <v>Yes</v>
      </c>
      <c r="D14" s="399">
        <v>0</v>
      </c>
      <c r="E14" s="399">
        <v>0</v>
      </c>
      <c r="F14" s="399">
        <v>0</v>
      </c>
      <c r="G14" s="399">
        <v>0</v>
      </c>
      <c r="H14" s="399">
        <v>0</v>
      </c>
      <c r="I14" s="399">
        <v>0</v>
      </c>
      <c r="J14" s="399">
        <v>0</v>
      </c>
      <c r="K14" s="399">
        <v>0</v>
      </c>
      <c r="L14" s="399">
        <v>0</v>
      </c>
      <c r="M14" s="399">
        <v>0</v>
      </c>
      <c r="N14" s="399">
        <v>0</v>
      </c>
      <c r="O14" s="399">
        <v>0</v>
      </c>
      <c r="P14" s="399">
        <v>0</v>
      </c>
      <c r="Q14" s="399">
        <v>0</v>
      </c>
      <c r="R14" s="399">
        <v>0</v>
      </c>
      <c r="S14" s="399">
        <v>0</v>
      </c>
      <c r="T14" s="399">
        <v>0</v>
      </c>
      <c r="U14" s="399">
        <v>0</v>
      </c>
      <c r="V14" s="399">
        <v>1</v>
      </c>
      <c r="W14" s="399">
        <v>1</v>
      </c>
      <c r="X14" s="399">
        <v>1</v>
      </c>
      <c r="Y14" s="399">
        <v>1</v>
      </c>
      <c r="Z14" s="399"/>
      <c r="AA14" s="399">
        <v>1</v>
      </c>
      <c r="AB14" s="399">
        <v>1</v>
      </c>
      <c r="AC14" s="399">
        <v>1</v>
      </c>
      <c r="AD14" s="399">
        <v>1</v>
      </c>
      <c r="AE14" s="399">
        <v>1</v>
      </c>
      <c r="AF14" s="399">
        <v>1</v>
      </c>
      <c r="AG14" s="399">
        <v>1</v>
      </c>
      <c r="AH14" s="399">
        <v>1</v>
      </c>
      <c r="AI14" s="399">
        <v>1</v>
      </c>
      <c r="AJ14" s="399">
        <v>1</v>
      </c>
      <c r="AK14" s="399">
        <v>1</v>
      </c>
      <c r="AL14" s="399">
        <v>1</v>
      </c>
      <c r="AM14" s="399">
        <v>1</v>
      </c>
      <c r="AN14" s="399">
        <v>1</v>
      </c>
      <c r="AO14" s="399">
        <v>1</v>
      </c>
      <c r="AP14" s="399">
        <v>1</v>
      </c>
      <c r="AQ14" s="399">
        <v>1</v>
      </c>
      <c r="AR14" s="399">
        <v>1</v>
      </c>
      <c r="AS14" s="399">
        <v>1</v>
      </c>
      <c r="AT14" s="399">
        <v>1</v>
      </c>
      <c r="AU14" s="399">
        <v>1</v>
      </c>
      <c r="AV14" s="399">
        <v>1</v>
      </c>
      <c r="AW14" s="399">
        <v>1</v>
      </c>
      <c r="AX14" s="399">
        <v>1</v>
      </c>
      <c r="AY14" s="399">
        <v>1</v>
      </c>
      <c r="AZ14" s="399">
        <v>1</v>
      </c>
      <c r="BA14" s="399">
        <v>1</v>
      </c>
      <c r="BB14" s="399">
        <v>1</v>
      </c>
      <c r="BC14" s="399">
        <v>1</v>
      </c>
      <c r="BD14" s="399">
        <v>1</v>
      </c>
      <c r="BE14" s="399">
        <v>1</v>
      </c>
      <c r="BF14" s="399">
        <v>1</v>
      </c>
      <c r="BG14" s="399">
        <v>1</v>
      </c>
      <c r="BH14" s="399">
        <v>1</v>
      </c>
      <c r="BI14" s="399">
        <v>1</v>
      </c>
      <c r="BJ14" s="399">
        <v>1</v>
      </c>
      <c r="BK14" s="399"/>
      <c r="BL14" s="399">
        <v>1</v>
      </c>
      <c r="BM14" s="399">
        <v>1</v>
      </c>
      <c r="BN14" s="399">
        <v>1</v>
      </c>
      <c r="BO14" s="399">
        <v>1</v>
      </c>
      <c r="BP14" s="399">
        <v>1</v>
      </c>
      <c r="BQ14" s="399">
        <v>1</v>
      </c>
      <c r="BR14" s="399">
        <v>1</v>
      </c>
      <c r="BS14" s="399">
        <v>1</v>
      </c>
      <c r="BT14" s="399">
        <v>1</v>
      </c>
      <c r="BU14" s="399">
        <v>1</v>
      </c>
      <c r="BV14" s="399">
        <v>1</v>
      </c>
      <c r="BW14" s="399">
        <v>1</v>
      </c>
    </row>
    <row r="15" spans="2:75" x14ac:dyDescent="0.25">
      <c r="B15" s="399" t="str">
        <f ca="1">ToC!E22</f>
        <v>User Template</v>
      </c>
      <c r="C15" s="399" t="str">
        <f>ToC!L22</f>
        <v>No</v>
      </c>
      <c r="D15" s="399">
        <v>0</v>
      </c>
      <c r="E15" s="399">
        <v>0</v>
      </c>
      <c r="F15" s="399">
        <v>0</v>
      </c>
      <c r="G15" s="399">
        <v>0</v>
      </c>
      <c r="H15" s="399">
        <v>0</v>
      </c>
      <c r="I15" s="399">
        <v>0</v>
      </c>
      <c r="J15" s="399">
        <v>0</v>
      </c>
      <c r="K15" s="399">
        <v>0</v>
      </c>
      <c r="L15" s="399">
        <v>0</v>
      </c>
      <c r="M15" s="399">
        <v>0</v>
      </c>
      <c r="N15" s="399">
        <v>0</v>
      </c>
      <c r="O15" s="399">
        <v>0</v>
      </c>
      <c r="P15" s="399">
        <v>0</v>
      </c>
      <c r="Q15" s="399">
        <v>0</v>
      </c>
      <c r="R15" s="399">
        <v>0</v>
      </c>
      <c r="S15" s="399">
        <v>0</v>
      </c>
      <c r="T15" s="399">
        <v>0</v>
      </c>
      <c r="U15" s="399">
        <v>0</v>
      </c>
      <c r="V15" s="399">
        <v>0</v>
      </c>
      <c r="W15" s="399">
        <v>0</v>
      </c>
      <c r="X15" s="399">
        <v>0</v>
      </c>
      <c r="Y15" s="399">
        <v>0</v>
      </c>
      <c r="Z15" s="399"/>
      <c r="AA15" s="399">
        <v>0</v>
      </c>
      <c r="AB15" s="399">
        <v>0</v>
      </c>
      <c r="AC15" s="399">
        <v>0</v>
      </c>
      <c r="AD15" s="399">
        <v>0</v>
      </c>
      <c r="AE15" s="399">
        <v>0</v>
      </c>
      <c r="AF15" s="399">
        <v>0</v>
      </c>
      <c r="AG15" s="399">
        <v>0</v>
      </c>
      <c r="AH15" s="399">
        <v>0</v>
      </c>
      <c r="AI15" s="399">
        <v>0</v>
      </c>
      <c r="AJ15" s="399">
        <v>0</v>
      </c>
      <c r="AK15" s="399">
        <v>0</v>
      </c>
      <c r="AL15" s="399">
        <v>0</v>
      </c>
      <c r="AM15" s="399">
        <v>0</v>
      </c>
      <c r="AN15" s="399">
        <v>0</v>
      </c>
      <c r="AO15" s="399">
        <v>0</v>
      </c>
      <c r="AP15" s="399">
        <v>0</v>
      </c>
      <c r="AQ15" s="399">
        <v>0</v>
      </c>
      <c r="AR15" s="399">
        <v>0</v>
      </c>
      <c r="AS15" s="399">
        <v>0</v>
      </c>
      <c r="AT15" s="399">
        <v>0</v>
      </c>
      <c r="AU15" s="399">
        <v>0</v>
      </c>
      <c r="AV15" s="399">
        <v>0</v>
      </c>
      <c r="AW15" s="399">
        <v>0</v>
      </c>
      <c r="AX15" s="399">
        <v>0</v>
      </c>
      <c r="AY15" s="399">
        <v>0</v>
      </c>
      <c r="AZ15" s="399">
        <v>0</v>
      </c>
      <c r="BA15" s="399">
        <v>0</v>
      </c>
      <c r="BB15" s="399">
        <v>0</v>
      </c>
      <c r="BC15" s="399">
        <v>0</v>
      </c>
      <c r="BD15" s="399">
        <v>0</v>
      </c>
      <c r="BE15" s="399">
        <v>0</v>
      </c>
      <c r="BF15" s="399">
        <v>0</v>
      </c>
      <c r="BG15" s="399">
        <v>0</v>
      </c>
      <c r="BH15" s="399">
        <v>0</v>
      </c>
      <c r="BI15" s="399">
        <v>0</v>
      </c>
      <c r="BJ15" s="399">
        <v>0</v>
      </c>
      <c r="BK15" s="399"/>
      <c r="BL15" s="399">
        <v>0</v>
      </c>
      <c r="BM15" s="399">
        <v>0</v>
      </c>
      <c r="BN15" s="399">
        <v>0</v>
      </c>
      <c r="BO15" s="399">
        <v>0</v>
      </c>
      <c r="BP15" s="399">
        <v>0</v>
      </c>
      <c r="BQ15" s="399">
        <v>0</v>
      </c>
      <c r="BR15" s="399">
        <v>0</v>
      </c>
      <c r="BS15" s="399">
        <v>0</v>
      </c>
      <c r="BT15" s="399">
        <v>0</v>
      </c>
      <c r="BU15" s="399">
        <v>0</v>
      </c>
      <c r="BV15" s="399">
        <v>0</v>
      </c>
      <c r="BW15" s="399">
        <v>0</v>
      </c>
    </row>
    <row r="16" spans="2:75" x14ac:dyDescent="0.25">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row>
    <row r="17" spans="2:75" x14ac:dyDescent="0.25">
      <c r="B17" s="399" t="str">
        <f ca="1">ToC!E24</f>
        <v>Fin Stat</v>
      </c>
      <c r="C17" s="399" t="str">
        <f>ToC!L24</f>
        <v>Yes</v>
      </c>
      <c r="D17" s="399">
        <v>0</v>
      </c>
      <c r="E17" s="399">
        <v>0</v>
      </c>
      <c r="F17" s="399">
        <v>0</v>
      </c>
      <c r="G17" s="399">
        <v>0</v>
      </c>
      <c r="H17" s="399">
        <v>0</v>
      </c>
      <c r="I17" s="399">
        <v>0</v>
      </c>
      <c r="J17" s="399">
        <v>0</v>
      </c>
      <c r="K17" s="399">
        <v>0</v>
      </c>
      <c r="L17" s="399">
        <v>0</v>
      </c>
      <c r="M17" s="399">
        <v>0</v>
      </c>
      <c r="N17" s="399">
        <v>0</v>
      </c>
      <c r="O17" s="399">
        <v>0</v>
      </c>
      <c r="P17" s="399">
        <v>0</v>
      </c>
      <c r="Q17" s="399">
        <v>0</v>
      </c>
      <c r="R17" s="399">
        <v>0</v>
      </c>
      <c r="S17" s="399">
        <v>0</v>
      </c>
      <c r="T17" s="399">
        <v>0</v>
      </c>
      <c r="U17" s="399">
        <v>0</v>
      </c>
      <c r="V17" s="399">
        <v>1</v>
      </c>
      <c r="W17" s="399">
        <v>1</v>
      </c>
      <c r="X17" s="399">
        <v>1</v>
      </c>
      <c r="Y17" s="399">
        <v>1</v>
      </c>
      <c r="Z17" s="399"/>
      <c r="AA17" s="399">
        <v>1</v>
      </c>
      <c r="AB17" s="399">
        <v>1</v>
      </c>
      <c r="AC17" s="399">
        <v>1</v>
      </c>
      <c r="AD17" s="399">
        <v>1</v>
      </c>
      <c r="AE17" s="399">
        <v>1</v>
      </c>
      <c r="AF17" s="399">
        <v>1</v>
      </c>
      <c r="AG17" s="399">
        <v>1</v>
      </c>
      <c r="AH17" s="399">
        <v>1</v>
      </c>
      <c r="AI17" s="399">
        <v>1</v>
      </c>
      <c r="AJ17" s="399">
        <v>1</v>
      </c>
      <c r="AK17" s="399">
        <v>1</v>
      </c>
      <c r="AL17" s="399">
        <v>1</v>
      </c>
      <c r="AM17" s="399">
        <v>1</v>
      </c>
      <c r="AN17" s="399">
        <v>1</v>
      </c>
      <c r="AO17" s="399">
        <v>1</v>
      </c>
      <c r="AP17" s="399">
        <v>1</v>
      </c>
      <c r="AQ17" s="399">
        <v>1</v>
      </c>
      <c r="AR17" s="399">
        <v>1</v>
      </c>
      <c r="AS17" s="399">
        <v>1</v>
      </c>
      <c r="AT17" s="399">
        <v>1</v>
      </c>
      <c r="AU17" s="399">
        <v>1</v>
      </c>
      <c r="AV17" s="399">
        <v>1</v>
      </c>
      <c r="AW17" s="399">
        <v>1</v>
      </c>
      <c r="AX17" s="399">
        <v>1</v>
      </c>
      <c r="AY17" s="399">
        <v>1</v>
      </c>
      <c r="AZ17" s="399">
        <v>1</v>
      </c>
      <c r="BA17" s="399">
        <v>1</v>
      </c>
      <c r="BB17" s="399">
        <v>1</v>
      </c>
      <c r="BC17" s="399">
        <v>1</v>
      </c>
      <c r="BD17" s="399">
        <v>1</v>
      </c>
      <c r="BE17" s="399">
        <v>1</v>
      </c>
      <c r="BF17" s="399">
        <v>1</v>
      </c>
      <c r="BG17" s="399">
        <v>1</v>
      </c>
      <c r="BH17" s="399">
        <v>1</v>
      </c>
      <c r="BI17" s="399">
        <v>1</v>
      </c>
      <c r="BJ17" s="399">
        <v>1</v>
      </c>
      <c r="BK17" s="399"/>
      <c r="BL17" s="399">
        <v>1</v>
      </c>
      <c r="BM17" s="399">
        <v>1</v>
      </c>
      <c r="BN17" s="399">
        <v>1</v>
      </c>
      <c r="BO17" s="399">
        <v>1</v>
      </c>
      <c r="BP17" s="399">
        <v>1</v>
      </c>
      <c r="BQ17" s="399">
        <v>1</v>
      </c>
      <c r="BR17" s="399">
        <v>1</v>
      </c>
      <c r="BS17" s="399">
        <v>1</v>
      </c>
      <c r="BT17" s="399">
        <v>1</v>
      </c>
      <c r="BU17" s="399">
        <v>1</v>
      </c>
      <c r="BV17" s="399">
        <v>1</v>
      </c>
      <c r="BW17" s="399">
        <v>1</v>
      </c>
    </row>
    <row r="18" spans="2:75" x14ac:dyDescent="0.25">
      <c r="B18" s="399" t="str">
        <f ca="1">ToC!E25</f>
        <v>Ratios</v>
      </c>
      <c r="C18" s="399" t="str">
        <f>ToC!L25</f>
        <v>Yes</v>
      </c>
      <c r="D18" s="399">
        <v>0</v>
      </c>
      <c r="E18" s="399">
        <v>0</v>
      </c>
      <c r="F18" s="399">
        <v>0</v>
      </c>
      <c r="G18" s="399">
        <v>0</v>
      </c>
      <c r="H18" s="399">
        <v>0</v>
      </c>
      <c r="I18" s="399">
        <v>0</v>
      </c>
      <c r="J18" s="399">
        <v>0</v>
      </c>
      <c r="K18" s="399">
        <v>0</v>
      </c>
      <c r="L18" s="399">
        <v>0</v>
      </c>
      <c r="M18" s="399">
        <v>0</v>
      </c>
      <c r="N18" s="399">
        <v>0</v>
      </c>
      <c r="O18" s="399">
        <v>0</v>
      </c>
      <c r="P18" s="399">
        <v>0</v>
      </c>
      <c r="Q18" s="399">
        <v>0</v>
      </c>
      <c r="R18" s="399">
        <v>0</v>
      </c>
      <c r="S18" s="399">
        <v>0</v>
      </c>
      <c r="T18" s="399">
        <v>0</v>
      </c>
      <c r="U18" s="399">
        <v>0</v>
      </c>
      <c r="V18" s="399">
        <v>1</v>
      </c>
      <c r="W18" s="399">
        <v>1</v>
      </c>
      <c r="X18" s="399">
        <v>1</v>
      </c>
      <c r="Y18" s="399">
        <v>1</v>
      </c>
      <c r="Z18" s="399"/>
      <c r="AA18" s="399">
        <v>1</v>
      </c>
      <c r="AB18" s="399">
        <v>1</v>
      </c>
      <c r="AC18" s="399">
        <v>1</v>
      </c>
      <c r="AD18" s="399">
        <v>1</v>
      </c>
      <c r="AE18" s="399">
        <v>1</v>
      </c>
      <c r="AF18" s="399">
        <v>1</v>
      </c>
      <c r="AG18" s="399">
        <v>1</v>
      </c>
      <c r="AH18" s="399">
        <v>1</v>
      </c>
      <c r="AI18" s="399">
        <v>1</v>
      </c>
      <c r="AJ18" s="399">
        <v>1</v>
      </c>
      <c r="AK18" s="399">
        <v>1</v>
      </c>
      <c r="AL18" s="399">
        <v>1</v>
      </c>
      <c r="AM18" s="399">
        <v>1</v>
      </c>
      <c r="AN18" s="399">
        <v>1</v>
      </c>
      <c r="AO18" s="399">
        <v>1</v>
      </c>
      <c r="AP18" s="399">
        <v>1</v>
      </c>
      <c r="AQ18" s="399">
        <v>1</v>
      </c>
      <c r="AR18" s="399">
        <v>1</v>
      </c>
      <c r="AS18" s="399">
        <v>1</v>
      </c>
      <c r="AT18" s="399">
        <v>1</v>
      </c>
      <c r="AU18" s="399">
        <v>1</v>
      </c>
      <c r="AV18" s="399">
        <v>1</v>
      </c>
      <c r="AW18" s="399">
        <v>1</v>
      </c>
      <c r="AX18" s="399">
        <v>1</v>
      </c>
      <c r="AY18" s="399">
        <v>1</v>
      </c>
      <c r="AZ18" s="399">
        <v>1</v>
      </c>
      <c r="BA18" s="399">
        <v>1</v>
      </c>
      <c r="BB18" s="399">
        <v>1</v>
      </c>
      <c r="BC18" s="399">
        <v>1</v>
      </c>
      <c r="BD18" s="399">
        <v>1</v>
      </c>
      <c r="BE18" s="399">
        <v>1</v>
      </c>
      <c r="BF18" s="399">
        <v>1</v>
      </c>
      <c r="BG18" s="399">
        <v>1</v>
      </c>
      <c r="BH18" s="399">
        <v>1</v>
      </c>
      <c r="BI18" s="399">
        <v>1</v>
      </c>
      <c r="BJ18" s="399">
        <v>1</v>
      </c>
      <c r="BK18" s="399"/>
      <c r="BL18" s="399">
        <v>1</v>
      </c>
      <c r="BM18" s="399">
        <v>1</v>
      </c>
      <c r="BN18" s="399">
        <v>1</v>
      </c>
      <c r="BO18" s="399">
        <v>1</v>
      </c>
      <c r="BP18" s="399">
        <v>1</v>
      </c>
      <c r="BQ18" s="399">
        <v>1</v>
      </c>
      <c r="BR18" s="399">
        <v>1</v>
      </c>
      <c r="BS18" s="399">
        <v>1</v>
      </c>
      <c r="BT18" s="399">
        <v>1</v>
      </c>
      <c r="BU18" s="399">
        <v>1</v>
      </c>
      <c r="BV18" s="399">
        <v>1</v>
      </c>
      <c r="BW18" s="399">
        <v>1</v>
      </c>
    </row>
    <row r="19" spans="2:75" x14ac:dyDescent="0.25">
      <c r="B19" s="399" t="str">
        <f ca="1">ToC!E26</f>
        <v>Financial Health</v>
      </c>
      <c r="C19" s="399" t="str">
        <f>ToC!L26</f>
        <v>Yes</v>
      </c>
      <c r="D19" s="399">
        <v>0</v>
      </c>
      <c r="E19" s="399">
        <v>0</v>
      </c>
      <c r="F19" s="399">
        <v>0</v>
      </c>
      <c r="G19" s="399">
        <v>0</v>
      </c>
      <c r="H19" s="399">
        <v>0</v>
      </c>
      <c r="I19" s="399">
        <v>0</v>
      </c>
      <c r="J19" s="399">
        <v>0</v>
      </c>
      <c r="K19" s="399">
        <v>0</v>
      </c>
      <c r="L19" s="399">
        <v>0</v>
      </c>
      <c r="M19" s="399">
        <v>0</v>
      </c>
      <c r="N19" s="399">
        <v>0</v>
      </c>
      <c r="O19" s="399">
        <v>0</v>
      </c>
      <c r="P19" s="399">
        <v>0</v>
      </c>
      <c r="Q19" s="399">
        <v>0</v>
      </c>
      <c r="R19" s="399">
        <v>0</v>
      </c>
      <c r="S19" s="399">
        <v>0</v>
      </c>
      <c r="T19" s="399">
        <v>0</v>
      </c>
      <c r="U19" s="399">
        <v>0</v>
      </c>
      <c r="V19" s="399">
        <v>1</v>
      </c>
      <c r="W19" s="399">
        <v>1</v>
      </c>
      <c r="X19" s="399">
        <v>0</v>
      </c>
      <c r="Y19" s="399">
        <v>0</v>
      </c>
      <c r="Z19" s="399"/>
      <c r="AA19" s="399">
        <v>0</v>
      </c>
      <c r="AB19" s="399">
        <v>0</v>
      </c>
      <c r="AC19" s="399">
        <v>0</v>
      </c>
      <c r="AD19" s="399">
        <v>0</v>
      </c>
      <c r="AE19" s="399">
        <v>0</v>
      </c>
      <c r="AF19" s="399">
        <v>0</v>
      </c>
      <c r="AG19" s="399">
        <v>0</v>
      </c>
      <c r="AH19" s="399">
        <v>0</v>
      </c>
      <c r="AI19" s="399">
        <v>0</v>
      </c>
      <c r="AJ19" s="399">
        <v>0</v>
      </c>
      <c r="AK19" s="399">
        <v>0</v>
      </c>
      <c r="AL19" s="399">
        <v>0</v>
      </c>
      <c r="AM19" s="399">
        <v>0</v>
      </c>
      <c r="AN19" s="399">
        <v>0</v>
      </c>
      <c r="AO19" s="399">
        <v>0</v>
      </c>
      <c r="AP19" s="399">
        <v>0</v>
      </c>
      <c r="AQ19" s="399">
        <v>0</v>
      </c>
      <c r="AR19" s="399">
        <v>0</v>
      </c>
      <c r="AS19" s="399">
        <v>0</v>
      </c>
      <c r="AT19" s="399">
        <v>0</v>
      </c>
      <c r="AU19" s="399">
        <v>0</v>
      </c>
      <c r="AV19" s="399">
        <v>0</v>
      </c>
      <c r="AW19" s="399">
        <v>0</v>
      </c>
      <c r="AX19" s="399">
        <v>0</v>
      </c>
      <c r="AY19" s="399">
        <v>0</v>
      </c>
      <c r="AZ19" s="399">
        <v>0</v>
      </c>
      <c r="BA19" s="399">
        <v>0</v>
      </c>
      <c r="BB19" s="399">
        <v>0</v>
      </c>
      <c r="BC19" s="399">
        <v>0</v>
      </c>
      <c r="BD19" s="399">
        <v>0</v>
      </c>
      <c r="BE19" s="399">
        <v>0</v>
      </c>
      <c r="BF19" s="399">
        <v>0</v>
      </c>
      <c r="BG19" s="399">
        <v>0</v>
      </c>
      <c r="BH19" s="399">
        <v>0</v>
      </c>
      <c r="BI19" s="399">
        <v>0</v>
      </c>
      <c r="BJ19" s="399">
        <v>0</v>
      </c>
      <c r="BK19" s="399"/>
      <c r="BL19" s="399">
        <v>0</v>
      </c>
      <c r="BM19" s="399">
        <v>0</v>
      </c>
      <c r="BN19" s="399">
        <v>0</v>
      </c>
      <c r="BO19" s="399">
        <v>0</v>
      </c>
      <c r="BP19" s="399">
        <v>0</v>
      </c>
      <c r="BQ19" s="399">
        <v>0</v>
      </c>
      <c r="BR19" s="399">
        <v>0</v>
      </c>
      <c r="BS19" s="399">
        <v>0</v>
      </c>
      <c r="BT19" s="399">
        <v>0</v>
      </c>
      <c r="BU19" s="399">
        <v>0</v>
      </c>
      <c r="BV19" s="399">
        <v>0</v>
      </c>
      <c r="BW19" s="399">
        <v>0</v>
      </c>
    </row>
    <row r="20" spans="2:75" x14ac:dyDescent="0.25">
      <c r="B20" s="399" t="str">
        <f ca="1">ToC!E27</f>
        <v>Cash Flow Summary</v>
      </c>
      <c r="C20" s="399" t="str">
        <f>ToC!L27</f>
        <v>No</v>
      </c>
      <c r="D20" s="399">
        <v>0</v>
      </c>
      <c r="E20" s="399">
        <v>0</v>
      </c>
      <c r="F20" s="399">
        <v>0</v>
      </c>
      <c r="G20" s="399">
        <v>0</v>
      </c>
      <c r="H20" s="399">
        <v>0</v>
      </c>
      <c r="I20" s="399">
        <v>0</v>
      </c>
      <c r="J20" s="399">
        <v>0</v>
      </c>
      <c r="K20" s="399">
        <v>0</v>
      </c>
      <c r="L20" s="399">
        <v>0</v>
      </c>
      <c r="M20" s="399">
        <v>0</v>
      </c>
      <c r="N20" s="399">
        <v>0</v>
      </c>
      <c r="O20" s="399">
        <v>0</v>
      </c>
      <c r="P20" s="399">
        <v>0</v>
      </c>
      <c r="Q20" s="399">
        <v>0</v>
      </c>
      <c r="R20" s="399">
        <v>0</v>
      </c>
      <c r="S20" s="399">
        <v>0</v>
      </c>
      <c r="T20" s="399">
        <v>0</v>
      </c>
      <c r="U20" s="399">
        <v>0</v>
      </c>
      <c r="V20" s="399">
        <v>0</v>
      </c>
      <c r="W20" s="399">
        <v>0</v>
      </c>
      <c r="X20" s="399">
        <v>0</v>
      </c>
      <c r="Y20" s="399">
        <v>0</v>
      </c>
      <c r="Z20" s="399"/>
      <c r="AA20" s="399">
        <v>0</v>
      </c>
      <c r="AB20" s="399">
        <v>0</v>
      </c>
      <c r="AC20" s="399">
        <v>0</v>
      </c>
      <c r="AD20" s="399">
        <v>0</v>
      </c>
      <c r="AE20" s="399">
        <v>0</v>
      </c>
      <c r="AF20" s="399">
        <v>0</v>
      </c>
      <c r="AG20" s="399">
        <v>0</v>
      </c>
      <c r="AH20" s="399">
        <v>0</v>
      </c>
      <c r="AI20" s="399">
        <v>0</v>
      </c>
      <c r="AJ20" s="399">
        <v>0</v>
      </c>
      <c r="AK20" s="399">
        <v>0</v>
      </c>
      <c r="AL20" s="399">
        <v>0</v>
      </c>
      <c r="AM20" s="399">
        <v>0</v>
      </c>
      <c r="AN20" s="399">
        <v>0</v>
      </c>
      <c r="AO20" s="399">
        <v>0</v>
      </c>
      <c r="AP20" s="399">
        <v>0</v>
      </c>
      <c r="AQ20" s="399">
        <v>0</v>
      </c>
      <c r="AR20" s="399">
        <v>0</v>
      </c>
      <c r="AS20" s="399">
        <v>0</v>
      </c>
      <c r="AT20" s="399">
        <v>0</v>
      </c>
      <c r="AU20" s="399">
        <v>0</v>
      </c>
      <c r="AV20" s="399">
        <v>0</v>
      </c>
      <c r="AW20" s="399">
        <v>0</v>
      </c>
      <c r="AX20" s="399">
        <v>0</v>
      </c>
      <c r="AY20" s="399">
        <v>0</v>
      </c>
      <c r="AZ20" s="399">
        <v>0</v>
      </c>
      <c r="BA20" s="399">
        <v>0</v>
      </c>
      <c r="BB20" s="399">
        <v>0</v>
      </c>
      <c r="BC20" s="399">
        <v>0</v>
      </c>
      <c r="BD20" s="399">
        <v>0</v>
      </c>
      <c r="BE20" s="399">
        <v>0</v>
      </c>
      <c r="BF20" s="399">
        <v>0</v>
      </c>
      <c r="BG20" s="399">
        <v>0</v>
      </c>
      <c r="BH20" s="399">
        <v>0</v>
      </c>
      <c r="BI20" s="399">
        <v>0</v>
      </c>
      <c r="BJ20" s="399">
        <v>0</v>
      </c>
      <c r="BK20" s="399"/>
      <c r="BL20" s="399">
        <v>0</v>
      </c>
      <c r="BM20" s="399">
        <v>0</v>
      </c>
      <c r="BN20" s="399">
        <v>0</v>
      </c>
      <c r="BO20" s="399">
        <v>0</v>
      </c>
      <c r="BP20" s="399">
        <v>0</v>
      </c>
      <c r="BQ20" s="399">
        <v>0</v>
      </c>
      <c r="BR20" s="399">
        <v>0</v>
      </c>
      <c r="BS20" s="399">
        <v>0</v>
      </c>
      <c r="BT20" s="399">
        <v>0</v>
      </c>
      <c r="BU20" s="399">
        <v>0</v>
      </c>
      <c r="BV20" s="399">
        <v>0</v>
      </c>
      <c r="BW20" s="399">
        <v>0</v>
      </c>
    </row>
    <row r="21" spans="2:75" x14ac:dyDescent="0.25">
      <c r="B21" s="399" t="str">
        <f ca="1">ToC!E28</f>
        <v>WC Dashboard</v>
      </c>
      <c r="C21" s="399" t="str">
        <f>ToC!L28</f>
        <v>No</v>
      </c>
      <c r="D21" s="399">
        <v>0</v>
      </c>
      <c r="E21" s="399">
        <v>0</v>
      </c>
      <c r="F21" s="399">
        <v>0</v>
      </c>
      <c r="G21" s="399">
        <v>0</v>
      </c>
      <c r="H21" s="399">
        <v>0</v>
      </c>
      <c r="I21" s="399">
        <v>0</v>
      </c>
      <c r="J21" s="399">
        <v>0</v>
      </c>
      <c r="K21" s="399">
        <v>0</v>
      </c>
      <c r="L21" s="399">
        <v>0</v>
      </c>
      <c r="M21" s="399">
        <v>0</v>
      </c>
      <c r="N21" s="399">
        <v>0</v>
      </c>
      <c r="O21" s="399">
        <v>0</v>
      </c>
      <c r="P21" s="399">
        <v>0</v>
      </c>
      <c r="Q21" s="399">
        <v>0</v>
      </c>
      <c r="R21" s="399">
        <v>0</v>
      </c>
      <c r="S21" s="399">
        <v>0</v>
      </c>
      <c r="T21" s="399">
        <v>0</v>
      </c>
      <c r="U21" s="399">
        <v>0</v>
      </c>
      <c r="V21" s="399">
        <v>0</v>
      </c>
      <c r="W21" s="399">
        <v>0</v>
      </c>
      <c r="X21" s="399">
        <v>0</v>
      </c>
      <c r="Y21" s="399">
        <v>0</v>
      </c>
      <c r="Z21" s="399"/>
      <c r="AA21" s="399">
        <v>0</v>
      </c>
      <c r="AB21" s="399">
        <v>0</v>
      </c>
      <c r="AC21" s="399">
        <v>0</v>
      </c>
      <c r="AD21" s="399">
        <v>0</v>
      </c>
      <c r="AE21" s="399">
        <v>0</v>
      </c>
      <c r="AF21" s="399">
        <v>0</v>
      </c>
      <c r="AG21" s="399">
        <v>0</v>
      </c>
      <c r="AH21" s="399">
        <v>0</v>
      </c>
      <c r="AI21" s="399">
        <v>0</v>
      </c>
      <c r="AJ21" s="399">
        <v>0</v>
      </c>
      <c r="AK21" s="399">
        <v>0</v>
      </c>
      <c r="AL21" s="399">
        <v>0</v>
      </c>
      <c r="AM21" s="399">
        <v>0</v>
      </c>
      <c r="AN21" s="399">
        <v>0</v>
      </c>
      <c r="AO21" s="399">
        <v>0</v>
      </c>
      <c r="AP21" s="399">
        <v>0</v>
      </c>
      <c r="AQ21" s="399">
        <v>0</v>
      </c>
      <c r="AR21" s="399">
        <v>0</v>
      </c>
      <c r="AS21" s="399">
        <v>0</v>
      </c>
      <c r="AT21" s="399">
        <v>0</v>
      </c>
      <c r="AU21" s="399">
        <v>0</v>
      </c>
      <c r="AV21" s="399">
        <v>0</v>
      </c>
      <c r="AW21" s="399">
        <v>0</v>
      </c>
      <c r="AX21" s="399">
        <v>0</v>
      </c>
      <c r="AY21" s="399">
        <v>0</v>
      </c>
      <c r="AZ21" s="399">
        <v>0</v>
      </c>
      <c r="BA21" s="399">
        <v>0</v>
      </c>
      <c r="BB21" s="399">
        <v>0</v>
      </c>
      <c r="BC21" s="399">
        <v>0</v>
      </c>
      <c r="BD21" s="399">
        <v>0</v>
      </c>
      <c r="BE21" s="399">
        <v>0</v>
      </c>
      <c r="BF21" s="399">
        <v>0</v>
      </c>
      <c r="BG21" s="399">
        <v>0</v>
      </c>
      <c r="BH21" s="399">
        <v>0</v>
      </c>
      <c r="BI21" s="399">
        <v>0</v>
      </c>
      <c r="BJ21" s="399">
        <v>0</v>
      </c>
      <c r="BK21" s="399"/>
      <c r="BL21" s="399">
        <v>0</v>
      </c>
      <c r="BM21" s="399">
        <v>0</v>
      </c>
      <c r="BN21" s="399">
        <v>0</v>
      </c>
      <c r="BO21" s="399">
        <v>0</v>
      </c>
      <c r="BP21" s="399">
        <v>0</v>
      </c>
      <c r="BQ21" s="399">
        <v>0</v>
      </c>
      <c r="BR21" s="399">
        <v>0</v>
      </c>
      <c r="BS21" s="399">
        <v>0</v>
      </c>
      <c r="BT21" s="399">
        <v>0</v>
      </c>
      <c r="BU21" s="399">
        <v>0</v>
      </c>
      <c r="BV21" s="399">
        <v>0</v>
      </c>
      <c r="BW21" s="399">
        <v>0</v>
      </c>
    </row>
    <row r="22" spans="2:75" x14ac:dyDescent="0.25">
      <c r="B22" s="399" t="str">
        <f ca="1">ToC!E29</f>
        <v>Dashboard</v>
      </c>
      <c r="C22" s="399" t="str">
        <f>ToC!L29</f>
        <v>No</v>
      </c>
      <c r="D22" s="399">
        <v>0</v>
      </c>
      <c r="E22" s="399">
        <v>0</v>
      </c>
      <c r="F22" s="399">
        <v>0</v>
      </c>
      <c r="G22" s="399">
        <v>0</v>
      </c>
      <c r="H22" s="399">
        <v>0</v>
      </c>
      <c r="I22" s="399">
        <v>0</v>
      </c>
      <c r="J22" s="399">
        <v>0</v>
      </c>
      <c r="K22" s="399">
        <v>0</v>
      </c>
      <c r="L22" s="399">
        <v>0</v>
      </c>
      <c r="M22" s="399">
        <v>0</v>
      </c>
      <c r="N22" s="399">
        <v>0</v>
      </c>
      <c r="O22" s="399">
        <v>0</v>
      </c>
      <c r="P22" s="399">
        <v>0</v>
      </c>
      <c r="Q22" s="399">
        <v>0</v>
      </c>
      <c r="R22" s="399">
        <v>0</v>
      </c>
      <c r="S22" s="399">
        <v>0</v>
      </c>
      <c r="T22" s="399">
        <v>0</v>
      </c>
      <c r="U22" s="399">
        <v>0</v>
      </c>
      <c r="V22" s="399">
        <v>0</v>
      </c>
      <c r="W22" s="399">
        <v>0</v>
      </c>
      <c r="X22" s="399">
        <v>0</v>
      </c>
      <c r="Y22" s="399">
        <v>0</v>
      </c>
      <c r="Z22" s="399"/>
      <c r="AA22" s="399">
        <v>0</v>
      </c>
      <c r="AB22" s="399">
        <v>0</v>
      </c>
      <c r="AC22" s="399">
        <v>0</v>
      </c>
      <c r="AD22" s="399">
        <v>0</v>
      </c>
      <c r="AE22" s="399">
        <v>0</v>
      </c>
      <c r="AF22" s="399">
        <v>0</v>
      </c>
      <c r="AG22" s="399">
        <v>0</v>
      </c>
      <c r="AH22" s="399">
        <v>0</v>
      </c>
      <c r="AI22" s="399">
        <v>0</v>
      </c>
      <c r="AJ22" s="399">
        <v>0</v>
      </c>
      <c r="AK22" s="399">
        <v>0</v>
      </c>
      <c r="AL22" s="399">
        <v>0</v>
      </c>
      <c r="AM22" s="399">
        <v>0</v>
      </c>
      <c r="AN22" s="399">
        <v>0</v>
      </c>
      <c r="AO22" s="399">
        <v>0</v>
      </c>
      <c r="AP22" s="399">
        <v>0</v>
      </c>
      <c r="AQ22" s="399">
        <v>0</v>
      </c>
      <c r="AR22" s="399">
        <v>0</v>
      </c>
      <c r="AS22" s="399">
        <v>0</v>
      </c>
      <c r="AT22" s="399">
        <v>0</v>
      </c>
      <c r="AU22" s="399">
        <v>0</v>
      </c>
      <c r="AV22" s="399">
        <v>0</v>
      </c>
      <c r="AW22" s="399">
        <v>0</v>
      </c>
      <c r="AX22" s="399">
        <v>0</v>
      </c>
      <c r="AY22" s="399">
        <v>0</v>
      </c>
      <c r="AZ22" s="399">
        <v>0</v>
      </c>
      <c r="BA22" s="399">
        <v>0</v>
      </c>
      <c r="BB22" s="399">
        <v>0</v>
      </c>
      <c r="BC22" s="399">
        <v>0</v>
      </c>
      <c r="BD22" s="399">
        <v>0</v>
      </c>
      <c r="BE22" s="399">
        <v>0</v>
      </c>
      <c r="BF22" s="399">
        <v>0</v>
      </c>
      <c r="BG22" s="399">
        <v>0</v>
      </c>
      <c r="BH22" s="399">
        <v>0</v>
      </c>
      <c r="BI22" s="399">
        <v>0</v>
      </c>
      <c r="BJ22" s="399">
        <v>0</v>
      </c>
      <c r="BK22" s="399"/>
      <c r="BL22" s="399">
        <v>0</v>
      </c>
      <c r="BM22" s="399">
        <v>0</v>
      </c>
      <c r="BN22" s="399">
        <v>0</v>
      </c>
      <c r="BO22" s="399">
        <v>0</v>
      </c>
      <c r="BP22" s="399">
        <v>0</v>
      </c>
      <c r="BQ22" s="399">
        <v>0</v>
      </c>
      <c r="BR22" s="399">
        <v>0</v>
      </c>
      <c r="BS22" s="399">
        <v>0</v>
      </c>
      <c r="BT22" s="399">
        <v>0</v>
      </c>
      <c r="BU22" s="399">
        <v>0</v>
      </c>
      <c r="BV22" s="399">
        <v>0</v>
      </c>
      <c r="BW22" s="399">
        <v>0</v>
      </c>
    </row>
    <row r="23" spans="2:75" x14ac:dyDescent="0.25">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c r="AT23" s="399"/>
      <c r="AU23" s="399"/>
      <c r="AV23" s="399"/>
      <c r="AW23" s="399"/>
      <c r="AX23" s="399"/>
      <c r="AY23" s="399"/>
      <c r="AZ23" s="399"/>
      <c r="BA23" s="399"/>
      <c r="BB23" s="399"/>
      <c r="BC23" s="399"/>
      <c r="BD23" s="399"/>
      <c r="BE23" s="399"/>
      <c r="BF23" s="399"/>
      <c r="BG23" s="399"/>
      <c r="BH23" s="399"/>
      <c r="BI23" s="399"/>
      <c r="BJ23" s="399"/>
      <c r="BK23" s="399"/>
      <c r="BL23" s="399"/>
      <c r="BM23" s="399"/>
      <c r="BN23" s="399"/>
      <c r="BO23" s="399"/>
      <c r="BP23" s="399"/>
      <c r="BQ23" s="399"/>
      <c r="BR23" s="399"/>
      <c r="BS23" s="399"/>
      <c r="BT23" s="399"/>
      <c r="BU23" s="399"/>
      <c r="BV23" s="399"/>
      <c r="BW23" s="399"/>
    </row>
    <row r="24" spans="2:75" x14ac:dyDescent="0.25">
      <c r="B24" s="399" t="str">
        <f ca="1">ToC!E31</f>
        <v>Dash Data</v>
      </c>
      <c r="C24" s="399" t="str">
        <f>ToC!L31</f>
        <v>No</v>
      </c>
      <c r="D24" s="399">
        <v>0</v>
      </c>
      <c r="E24" s="399">
        <v>0</v>
      </c>
      <c r="F24" s="399">
        <v>0</v>
      </c>
      <c r="G24" s="399">
        <v>0</v>
      </c>
      <c r="H24" s="399">
        <v>0</v>
      </c>
      <c r="I24" s="399">
        <v>0</v>
      </c>
      <c r="J24" s="399">
        <v>0</v>
      </c>
      <c r="K24" s="399">
        <v>0</v>
      </c>
      <c r="L24" s="399">
        <v>0</v>
      </c>
      <c r="M24" s="399">
        <v>0</v>
      </c>
      <c r="N24" s="399">
        <v>0</v>
      </c>
      <c r="O24" s="399">
        <v>0</v>
      </c>
      <c r="P24" s="399">
        <v>0</v>
      </c>
      <c r="Q24" s="399">
        <v>0</v>
      </c>
      <c r="R24" s="399">
        <v>0</v>
      </c>
      <c r="S24" s="399">
        <v>0</v>
      </c>
      <c r="T24" s="399">
        <v>0</v>
      </c>
      <c r="U24" s="399">
        <v>0</v>
      </c>
      <c r="V24" s="399">
        <v>0</v>
      </c>
      <c r="W24" s="399">
        <v>0</v>
      </c>
      <c r="X24" s="399">
        <v>0</v>
      </c>
      <c r="Y24" s="399">
        <v>0</v>
      </c>
      <c r="Z24" s="399"/>
      <c r="AA24" s="399">
        <v>0</v>
      </c>
      <c r="AB24" s="399">
        <v>0</v>
      </c>
      <c r="AC24" s="399">
        <v>0</v>
      </c>
      <c r="AD24" s="399">
        <v>0</v>
      </c>
      <c r="AE24" s="399">
        <v>0</v>
      </c>
      <c r="AF24" s="399">
        <v>0</v>
      </c>
      <c r="AG24" s="399">
        <v>0</v>
      </c>
      <c r="AH24" s="399">
        <v>0</v>
      </c>
      <c r="AI24" s="399">
        <v>0</v>
      </c>
      <c r="AJ24" s="399">
        <v>0</v>
      </c>
      <c r="AK24" s="399">
        <v>0</v>
      </c>
      <c r="AL24" s="399">
        <v>0</v>
      </c>
      <c r="AM24" s="399">
        <v>0</v>
      </c>
      <c r="AN24" s="399">
        <v>0</v>
      </c>
      <c r="AO24" s="399">
        <v>0</v>
      </c>
      <c r="AP24" s="399">
        <v>0</v>
      </c>
      <c r="AQ24" s="399">
        <v>0</v>
      </c>
      <c r="AR24" s="399">
        <v>0</v>
      </c>
      <c r="AS24" s="399">
        <v>0</v>
      </c>
      <c r="AT24" s="399">
        <v>0</v>
      </c>
      <c r="AU24" s="399">
        <v>0</v>
      </c>
      <c r="AV24" s="399">
        <v>0</v>
      </c>
      <c r="AW24" s="399">
        <v>0</v>
      </c>
      <c r="AX24" s="399">
        <v>0</v>
      </c>
      <c r="AY24" s="399">
        <v>0</v>
      </c>
      <c r="AZ24" s="399">
        <v>0</v>
      </c>
      <c r="BA24" s="399">
        <v>0</v>
      </c>
      <c r="BB24" s="399">
        <v>0</v>
      </c>
      <c r="BC24" s="399">
        <v>0</v>
      </c>
      <c r="BD24" s="399">
        <v>0</v>
      </c>
      <c r="BE24" s="399">
        <v>0</v>
      </c>
      <c r="BF24" s="399">
        <v>0</v>
      </c>
      <c r="BG24" s="399">
        <v>0</v>
      </c>
      <c r="BH24" s="399">
        <v>0</v>
      </c>
      <c r="BI24" s="399">
        <v>0</v>
      </c>
      <c r="BJ24" s="399">
        <v>0</v>
      </c>
      <c r="BK24" s="399"/>
      <c r="BL24" s="399">
        <v>0</v>
      </c>
      <c r="BM24" s="399">
        <v>0</v>
      </c>
      <c r="BN24" s="399">
        <v>0</v>
      </c>
      <c r="BO24" s="399">
        <v>0</v>
      </c>
      <c r="BP24" s="399">
        <v>0</v>
      </c>
      <c r="BQ24" s="399">
        <v>0</v>
      </c>
      <c r="BR24" s="399">
        <v>0</v>
      </c>
      <c r="BS24" s="399">
        <v>0</v>
      </c>
      <c r="BT24" s="399">
        <v>0</v>
      </c>
      <c r="BU24" s="399">
        <v>0</v>
      </c>
      <c r="BV24" s="399">
        <v>0</v>
      </c>
      <c r="BW24" s="399">
        <v>0</v>
      </c>
    </row>
    <row r="25" spans="2:75" x14ac:dyDescent="0.25">
      <c r="B25" s="399" t="str">
        <f ca="1">ToC!E33</f>
        <v>Parameters</v>
      </c>
      <c r="C25" s="399" t="str">
        <f>ToC!L33</f>
        <v>No</v>
      </c>
      <c r="D25" s="399">
        <v>0</v>
      </c>
      <c r="E25" s="399">
        <v>0</v>
      </c>
      <c r="F25" s="399">
        <v>0</v>
      </c>
      <c r="G25" s="399">
        <v>0</v>
      </c>
      <c r="H25" s="399">
        <v>0</v>
      </c>
      <c r="I25" s="399">
        <v>0</v>
      </c>
      <c r="J25" s="399">
        <v>0</v>
      </c>
      <c r="K25" s="399">
        <v>0</v>
      </c>
      <c r="L25" s="399">
        <v>0</v>
      </c>
      <c r="M25" s="399">
        <v>0</v>
      </c>
      <c r="N25" s="399">
        <v>0</v>
      </c>
      <c r="O25" s="399">
        <v>0</v>
      </c>
      <c r="P25" s="399">
        <v>0</v>
      </c>
      <c r="Q25" s="399">
        <v>0</v>
      </c>
      <c r="R25" s="399">
        <v>0</v>
      </c>
      <c r="S25" s="399">
        <v>0</v>
      </c>
      <c r="T25" s="399">
        <v>0</v>
      </c>
      <c r="U25" s="399">
        <v>0</v>
      </c>
      <c r="V25" s="399">
        <v>0</v>
      </c>
      <c r="W25" s="399">
        <v>0</v>
      </c>
      <c r="X25" s="399">
        <v>0</v>
      </c>
      <c r="Y25" s="399">
        <v>0</v>
      </c>
      <c r="Z25" s="399"/>
      <c r="AA25" s="399">
        <v>0</v>
      </c>
      <c r="AB25" s="399">
        <v>0</v>
      </c>
      <c r="AC25" s="399">
        <v>0</v>
      </c>
      <c r="AD25" s="399">
        <v>0</v>
      </c>
      <c r="AE25" s="399">
        <v>0</v>
      </c>
      <c r="AF25" s="399">
        <v>0</v>
      </c>
      <c r="AG25" s="399">
        <v>0</v>
      </c>
      <c r="AH25" s="399">
        <v>0</v>
      </c>
      <c r="AI25" s="399">
        <v>0</v>
      </c>
      <c r="AJ25" s="399">
        <v>0</v>
      </c>
      <c r="AK25" s="399">
        <v>0</v>
      </c>
      <c r="AL25" s="399">
        <v>0</v>
      </c>
      <c r="AM25" s="399">
        <v>0</v>
      </c>
      <c r="AN25" s="399">
        <v>0</v>
      </c>
      <c r="AO25" s="399">
        <v>0</v>
      </c>
      <c r="AP25" s="399">
        <v>0</v>
      </c>
      <c r="AQ25" s="399">
        <v>0</v>
      </c>
      <c r="AR25" s="399">
        <v>0</v>
      </c>
      <c r="AS25" s="399">
        <v>0</v>
      </c>
      <c r="AT25" s="399">
        <v>0</v>
      </c>
      <c r="AU25" s="399">
        <v>0</v>
      </c>
      <c r="AV25" s="399">
        <v>0</v>
      </c>
      <c r="AW25" s="399">
        <v>0</v>
      </c>
      <c r="AX25" s="399">
        <v>0</v>
      </c>
      <c r="AY25" s="399">
        <v>0</v>
      </c>
      <c r="AZ25" s="399">
        <v>0</v>
      </c>
      <c r="BA25" s="399">
        <v>0</v>
      </c>
      <c r="BB25" s="399">
        <v>0</v>
      </c>
      <c r="BC25" s="399">
        <v>0</v>
      </c>
      <c r="BD25" s="399">
        <v>0</v>
      </c>
      <c r="BE25" s="399">
        <v>0</v>
      </c>
      <c r="BF25" s="399">
        <v>0</v>
      </c>
      <c r="BG25" s="399">
        <v>0</v>
      </c>
      <c r="BH25" s="399">
        <v>0</v>
      </c>
      <c r="BI25" s="399">
        <v>0</v>
      </c>
      <c r="BJ25" s="399">
        <v>0</v>
      </c>
      <c r="BK25" s="399"/>
      <c r="BL25" s="399">
        <v>0</v>
      </c>
      <c r="BM25" s="399">
        <v>0</v>
      </c>
      <c r="BN25" s="399">
        <v>0</v>
      </c>
      <c r="BO25" s="399">
        <v>0</v>
      </c>
      <c r="BP25" s="399">
        <v>0</v>
      </c>
      <c r="BQ25" s="399">
        <v>0</v>
      </c>
      <c r="BR25" s="399">
        <v>0</v>
      </c>
      <c r="BS25" s="399">
        <v>0</v>
      </c>
      <c r="BT25" s="399">
        <v>0</v>
      </c>
      <c r="BU25" s="399">
        <v>0</v>
      </c>
      <c r="BV25" s="399">
        <v>0</v>
      </c>
      <c r="BW25" s="399">
        <v>0</v>
      </c>
    </row>
    <row r="26" spans="2:75" x14ac:dyDescent="0.25">
      <c r="B26" s="399" t="str">
        <f ca="1">ToC!E32</f>
        <v>Timeline</v>
      </c>
      <c r="C26" s="399" t="str">
        <f>ToC!L32</f>
        <v>No</v>
      </c>
      <c r="D26" s="399">
        <v>0</v>
      </c>
      <c r="E26" s="399">
        <v>0</v>
      </c>
      <c r="F26" s="399">
        <v>0</v>
      </c>
      <c r="G26" s="399">
        <v>0</v>
      </c>
      <c r="H26" s="399">
        <v>0</v>
      </c>
      <c r="I26" s="399">
        <v>0</v>
      </c>
      <c r="J26" s="399">
        <v>0</v>
      </c>
      <c r="K26" s="399">
        <v>0</v>
      </c>
      <c r="L26" s="399">
        <v>0</v>
      </c>
      <c r="M26" s="399">
        <v>0</v>
      </c>
      <c r="N26" s="399">
        <v>0</v>
      </c>
      <c r="O26" s="399">
        <v>0</v>
      </c>
      <c r="P26" s="399">
        <v>0</v>
      </c>
      <c r="Q26" s="399">
        <v>0</v>
      </c>
      <c r="R26" s="399">
        <v>0</v>
      </c>
      <c r="S26" s="399">
        <v>0</v>
      </c>
      <c r="T26" s="399">
        <v>0</v>
      </c>
      <c r="U26" s="399">
        <v>0</v>
      </c>
      <c r="V26" s="399">
        <v>0</v>
      </c>
      <c r="W26" s="399">
        <v>0</v>
      </c>
      <c r="X26" s="399">
        <v>0</v>
      </c>
      <c r="Y26" s="399">
        <v>0</v>
      </c>
      <c r="Z26" s="399"/>
      <c r="AA26" s="399">
        <v>0</v>
      </c>
      <c r="AB26" s="399">
        <v>0</v>
      </c>
      <c r="AC26" s="399">
        <v>0</v>
      </c>
      <c r="AD26" s="399">
        <v>0</v>
      </c>
      <c r="AE26" s="399">
        <v>0</v>
      </c>
      <c r="AF26" s="399">
        <v>0</v>
      </c>
      <c r="AG26" s="399">
        <v>0</v>
      </c>
      <c r="AH26" s="399">
        <v>0</v>
      </c>
      <c r="AI26" s="399">
        <v>0</v>
      </c>
      <c r="AJ26" s="399">
        <v>0</v>
      </c>
      <c r="AK26" s="399">
        <v>0</v>
      </c>
      <c r="AL26" s="399">
        <v>0</v>
      </c>
      <c r="AM26" s="399">
        <v>0</v>
      </c>
      <c r="AN26" s="399">
        <v>0</v>
      </c>
      <c r="AO26" s="399">
        <v>0</v>
      </c>
      <c r="AP26" s="399">
        <v>0</v>
      </c>
      <c r="AQ26" s="399">
        <v>0</v>
      </c>
      <c r="AR26" s="399">
        <v>0</v>
      </c>
      <c r="AS26" s="399">
        <v>0</v>
      </c>
      <c r="AT26" s="399">
        <v>0</v>
      </c>
      <c r="AU26" s="399">
        <v>0</v>
      </c>
      <c r="AV26" s="399">
        <v>0</v>
      </c>
      <c r="AW26" s="399">
        <v>0</v>
      </c>
      <c r="AX26" s="399">
        <v>0</v>
      </c>
      <c r="AY26" s="399">
        <v>0</v>
      </c>
      <c r="AZ26" s="399">
        <v>0</v>
      </c>
      <c r="BA26" s="399">
        <v>0</v>
      </c>
      <c r="BB26" s="399">
        <v>0</v>
      </c>
      <c r="BC26" s="399">
        <v>0</v>
      </c>
      <c r="BD26" s="399">
        <v>0</v>
      </c>
      <c r="BE26" s="399">
        <v>0</v>
      </c>
      <c r="BF26" s="399">
        <v>0</v>
      </c>
      <c r="BG26" s="399">
        <v>0</v>
      </c>
      <c r="BH26" s="399">
        <v>0</v>
      </c>
      <c r="BI26" s="399">
        <v>0</v>
      </c>
      <c r="BJ26" s="399">
        <v>0</v>
      </c>
      <c r="BK26" s="399"/>
      <c r="BL26" s="399">
        <v>0</v>
      </c>
      <c r="BM26" s="399">
        <v>0</v>
      </c>
      <c r="BN26" s="399">
        <v>0</v>
      </c>
      <c r="BO26" s="399">
        <v>0</v>
      </c>
      <c r="BP26" s="399">
        <v>0</v>
      </c>
      <c r="BQ26" s="399">
        <v>0</v>
      </c>
      <c r="BR26" s="399">
        <v>0</v>
      </c>
      <c r="BS26" s="399">
        <v>0</v>
      </c>
      <c r="BT26" s="399">
        <v>0</v>
      </c>
      <c r="BU26" s="399">
        <v>0</v>
      </c>
      <c r="BV26" s="399">
        <v>0</v>
      </c>
      <c r="BW26" s="399">
        <v>0</v>
      </c>
    </row>
    <row r="27" spans="2:75" x14ac:dyDescent="0.25">
      <c r="B27" s="399" t="str">
        <f ca="1">ToC!E35</f>
        <v>Template</v>
      </c>
      <c r="C27" s="399" t="str">
        <f>ToC!L35</f>
        <v>No</v>
      </c>
      <c r="D27" s="399">
        <v>0</v>
      </c>
      <c r="E27" s="399">
        <v>0</v>
      </c>
      <c r="F27" s="399">
        <v>0</v>
      </c>
      <c r="G27" s="399">
        <v>0</v>
      </c>
      <c r="H27" s="399">
        <v>0</v>
      </c>
      <c r="I27" s="399">
        <v>0</v>
      </c>
      <c r="J27" s="399">
        <v>0</v>
      </c>
      <c r="K27" s="399">
        <v>0</v>
      </c>
      <c r="L27" s="399">
        <v>0</v>
      </c>
      <c r="M27" s="399">
        <v>0</v>
      </c>
      <c r="N27" s="399">
        <v>0</v>
      </c>
      <c r="O27" s="399">
        <v>0</v>
      </c>
      <c r="P27" s="399">
        <v>0</v>
      </c>
      <c r="Q27" s="399">
        <v>0</v>
      </c>
      <c r="R27" s="399">
        <v>0</v>
      </c>
      <c r="S27" s="399">
        <v>0</v>
      </c>
      <c r="T27" s="399">
        <v>0</v>
      </c>
      <c r="U27" s="399">
        <v>0</v>
      </c>
      <c r="V27" s="399">
        <v>0</v>
      </c>
      <c r="W27" s="399">
        <v>0</v>
      </c>
      <c r="X27" s="399">
        <v>0</v>
      </c>
      <c r="Y27" s="399">
        <v>0</v>
      </c>
      <c r="Z27" s="399"/>
      <c r="AA27" s="399">
        <v>0</v>
      </c>
      <c r="AB27" s="399">
        <v>0</v>
      </c>
      <c r="AC27" s="399">
        <v>0</v>
      </c>
      <c r="AD27" s="399">
        <v>0</v>
      </c>
      <c r="AE27" s="399">
        <v>0</v>
      </c>
      <c r="AF27" s="399">
        <v>0</v>
      </c>
      <c r="AG27" s="399">
        <v>0</v>
      </c>
      <c r="AH27" s="399">
        <v>0</v>
      </c>
      <c r="AI27" s="399">
        <v>0</v>
      </c>
      <c r="AJ27" s="399">
        <v>0</v>
      </c>
      <c r="AK27" s="399">
        <v>0</v>
      </c>
      <c r="AL27" s="399">
        <v>0</v>
      </c>
      <c r="AM27" s="399">
        <v>0</v>
      </c>
      <c r="AN27" s="399">
        <v>0</v>
      </c>
      <c r="AO27" s="399">
        <v>0</v>
      </c>
      <c r="AP27" s="399">
        <v>0</v>
      </c>
      <c r="AQ27" s="399">
        <v>0</v>
      </c>
      <c r="AR27" s="399">
        <v>0</v>
      </c>
      <c r="AS27" s="399">
        <v>0</v>
      </c>
      <c r="AT27" s="399">
        <v>0</v>
      </c>
      <c r="AU27" s="399">
        <v>0</v>
      </c>
      <c r="AV27" s="399">
        <v>0</v>
      </c>
      <c r="AW27" s="399">
        <v>0</v>
      </c>
      <c r="AX27" s="399">
        <v>0</v>
      </c>
      <c r="AY27" s="399">
        <v>0</v>
      </c>
      <c r="AZ27" s="399">
        <v>0</v>
      </c>
      <c r="BA27" s="399">
        <v>0</v>
      </c>
      <c r="BB27" s="399">
        <v>0</v>
      </c>
      <c r="BC27" s="399">
        <v>0</v>
      </c>
      <c r="BD27" s="399">
        <v>0</v>
      </c>
      <c r="BE27" s="399">
        <v>0</v>
      </c>
      <c r="BF27" s="399">
        <v>0</v>
      </c>
      <c r="BG27" s="399">
        <v>0</v>
      </c>
      <c r="BH27" s="399">
        <v>0</v>
      </c>
      <c r="BI27" s="399">
        <v>0</v>
      </c>
      <c r="BJ27" s="399">
        <v>0</v>
      </c>
      <c r="BK27" s="399"/>
      <c r="BL27" s="399">
        <v>0</v>
      </c>
      <c r="BM27" s="399">
        <v>0</v>
      </c>
      <c r="BN27" s="399">
        <v>0</v>
      </c>
      <c r="BO27" s="399">
        <v>0</v>
      </c>
      <c r="BP27" s="399">
        <v>0</v>
      </c>
      <c r="BQ27" s="399">
        <v>0</v>
      </c>
      <c r="BR27" s="399">
        <v>0</v>
      </c>
      <c r="BS27" s="399">
        <v>0</v>
      </c>
      <c r="BT27" s="399">
        <v>0</v>
      </c>
      <c r="BU27" s="399">
        <v>0</v>
      </c>
      <c r="BV27" s="399">
        <v>0</v>
      </c>
      <c r="BW27" s="399">
        <v>0</v>
      </c>
    </row>
    <row r="28" spans="2:75" x14ac:dyDescent="0.25">
      <c r="R28" s="335"/>
    </row>
    <row r="29" spans="2:75" x14ac:dyDescent="0.25">
      <c r="B29" t="s">
        <v>1595</v>
      </c>
    </row>
    <row r="31" spans="2:75" x14ac:dyDescent="0.25">
      <c r="B31" t="s">
        <v>1596</v>
      </c>
      <c r="D31" s="399">
        <v>1</v>
      </c>
      <c r="E31" s="399">
        <v>1</v>
      </c>
      <c r="F31" s="399">
        <v>1</v>
      </c>
      <c r="G31" s="399">
        <v>1</v>
      </c>
      <c r="H31" s="399">
        <v>1</v>
      </c>
      <c r="I31" s="399">
        <v>1</v>
      </c>
      <c r="J31" s="399">
        <v>1</v>
      </c>
      <c r="K31" s="399">
        <v>1</v>
      </c>
      <c r="L31" s="399">
        <v>1</v>
      </c>
      <c r="M31" s="399">
        <v>1</v>
      </c>
      <c r="N31" s="399">
        <v>1</v>
      </c>
      <c r="O31" s="399">
        <v>1</v>
      </c>
      <c r="P31" s="399">
        <v>1</v>
      </c>
      <c r="Q31" s="399">
        <v>1</v>
      </c>
      <c r="R31" s="399">
        <v>1</v>
      </c>
      <c r="S31" s="399">
        <v>1</v>
      </c>
      <c r="T31" s="399">
        <v>1</v>
      </c>
      <c r="U31" s="399">
        <v>0</v>
      </c>
      <c r="V31" s="399">
        <v>0</v>
      </c>
      <c r="W31" s="399">
        <v>0</v>
      </c>
      <c r="X31" s="399">
        <v>0</v>
      </c>
      <c r="Y31" s="399">
        <v>0</v>
      </c>
      <c r="Z31" s="399"/>
      <c r="AA31" s="399">
        <v>0</v>
      </c>
      <c r="AB31" s="399">
        <v>0</v>
      </c>
      <c r="AC31" s="399">
        <v>0</v>
      </c>
      <c r="AD31" s="399">
        <v>0</v>
      </c>
      <c r="AE31" s="399">
        <v>0</v>
      </c>
      <c r="AF31" s="399">
        <v>0</v>
      </c>
      <c r="AG31" s="399">
        <v>0</v>
      </c>
      <c r="AH31" s="399">
        <v>0</v>
      </c>
      <c r="AI31" s="399">
        <v>0</v>
      </c>
      <c r="AJ31" s="399">
        <v>0</v>
      </c>
      <c r="AK31" s="399">
        <v>0</v>
      </c>
      <c r="AL31" s="399">
        <v>0</v>
      </c>
      <c r="AM31" s="399">
        <v>0</v>
      </c>
      <c r="AN31" s="399">
        <v>0</v>
      </c>
      <c r="AO31" s="399">
        <v>0</v>
      </c>
      <c r="AP31" s="399">
        <v>0</v>
      </c>
      <c r="AQ31" s="399">
        <v>0</v>
      </c>
      <c r="AR31" s="399">
        <v>0</v>
      </c>
      <c r="AS31" s="399">
        <v>0</v>
      </c>
      <c r="AT31" s="399">
        <v>0</v>
      </c>
      <c r="AU31" s="399">
        <v>0</v>
      </c>
      <c r="AV31" s="399">
        <v>0</v>
      </c>
      <c r="AW31" s="399">
        <v>0</v>
      </c>
      <c r="AX31" s="399">
        <v>0</v>
      </c>
      <c r="AY31" s="399">
        <v>0</v>
      </c>
      <c r="AZ31" s="399">
        <v>0</v>
      </c>
      <c r="BA31" s="399">
        <v>0</v>
      </c>
      <c r="BB31" s="399">
        <v>0</v>
      </c>
      <c r="BC31" s="399">
        <v>0</v>
      </c>
      <c r="BD31" s="399">
        <v>0</v>
      </c>
      <c r="BE31" s="399">
        <v>0</v>
      </c>
      <c r="BF31" s="399">
        <v>0</v>
      </c>
      <c r="BG31" s="399">
        <v>0</v>
      </c>
      <c r="BH31" s="399">
        <v>0</v>
      </c>
      <c r="BI31" s="399">
        <v>0</v>
      </c>
      <c r="BJ31" s="399">
        <v>0</v>
      </c>
      <c r="BK31" s="399"/>
      <c r="BL31" s="399">
        <v>0</v>
      </c>
      <c r="BM31" s="399">
        <v>0</v>
      </c>
      <c r="BN31" s="399">
        <v>0</v>
      </c>
      <c r="BO31" s="399">
        <v>0</v>
      </c>
      <c r="BP31" s="399">
        <v>0</v>
      </c>
      <c r="BQ31" s="399">
        <v>0</v>
      </c>
      <c r="BR31" s="399">
        <v>0</v>
      </c>
      <c r="BS31" s="399">
        <v>0</v>
      </c>
      <c r="BT31" s="399">
        <v>0</v>
      </c>
      <c r="BU31" s="399">
        <v>0</v>
      </c>
      <c r="BV31" s="399">
        <v>0</v>
      </c>
      <c r="BW31" s="399">
        <v>0</v>
      </c>
    </row>
    <row r="32" spans="2:75" x14ac:dyDescent="0.25">
      <c r="D32" s="399" t="str">
        <f>Loans!D11</f>
        <v>Lender</v>
      </c>
      <c r="E32" s="399" t="str">
        <f>Loans!E11</f>
        <v>Loan Category</v>
      </c>
      <c r="F32" s="399" t="str">
        <f>Loans!F11</f>
        <v>Total Loan Amount</v>
      </c>
      <c r="G32" s="399" t="str">
        <f>Loans!G11</f>
        <v>Loan Opening Balance</v>
      </c>
      <c r="H32" s="399" t="str">
        <f>Loans!H11</f>
        <v>Accrued Interest Opening Balance</v>
      </c>
      <c r="I32" s="399" t="str">
        <f>Loans!I11</f>
        <v>Loan Term Start Date</v>
      </c>
      <c r="J32" s="399" t="str">
        <f>Loans!J11</f>
        <v>Loan Term End Date</v>
      </c>
      <c r="K32" s="399" t="str">
        <f>Loans!K11</f>
        <v>Apply Variable Loan Interest Rate?</v>
      </c>
      <c r="L32" s="399" t="str">
        <f>Loans!L11</f>
        <v>Forecast Annual Interest Rate</v>
      </c>
      <c r="M32" s="399" t="str">
        <f>Loans!M11</f>
        <v>Loan covenant breach date</v>
      </c>
      <c r="N32" s="399" t="str">
        <f>Loans!N11</f>
        <v>Min Cash Position</v>
      </c>
      <c r="O32" s="399" t="str">
        <f>Loans!O11</f>
        <v>Min DSCR</v>
      </c>
      <c r="P32" s="399" t="str">
        <f>Loans!P11</f>
        <v>Use Automated Interest Calculation?</v>
      </c>
      <c r="Q32" s="399" t="str">
        <f>Loans!Q11</f>
        <v>Date of first forecast interest payment</v>
      </c>
      <c r="R32" s="399" t="str">
        <f>Loans!R11</f>
        <v>Interest Compounding Frequency</v>
      </c>
      <c r="S32" s="399" t="str">
        <f>Loans!S11</f>
        <v>Interest Payment Frequency</v>
      </c>
      <c r="T32" s="399" t="str">
        <f>Loans!T11</f>
        <v>Intr. accrues at Period End</v>
      </c>
      <c r="U32" s="399">
        <f>Loans!U11</f>
        <v>0</v>
      </c>
      <c r="V32" s="399">
        <f>Loans!V11</f>
        <v>0</v>
      </c>
      <c r="W32" s="399">
        <f>Loans!W11</f>
        <v>0</v>
      </c>
      <c r="X32" s="399">
        <f>Loans!X11</f>
        <v>0</v>
      </c>
      <c r="Y32" s="399">
        <f>Loans!Y11</f>
        <v>0</v>
      </c>
      <c r="Z32" s="399"/>
      <c r="AA32" s="399">
        <v>0</v>
      </c>
      <c r="AB32" s="399">
        <v>0</v>
      </c>
      <c r="AC32" s="399">
        <v>0</v>
      </c>
      <c r="AD32" s="399">
        <v>0</v>
      </c>
      <c r="AE32" s="399">
        <v>0</v>
      </c>
      <c r="AF32" s="399">
        <v>0</v>
      </c>
      <c r="AG32" s="399">
        <v>0</v>
      </c>
      <c r="AH32" s="399">
        <v>0</v>
      </c>
      <c r="AI32" s="399">
        <v>0</v>
      </c>
      <c r="AJ32" s="399">
        <v>0</v>
      </c>
      <c r="AK32" s="399">
        <v>0</v>
      </c>
      <c r="AL32" s="399">
        <v>0</v>
      </c>
      <c r="AM32" s="399">
        <v>0</v>
      </c>
      <c r="AN32" s="399">
        <v>0</v>
      </c>
      <c r="AO32" s="399">
        <v>0</v>
      </c>
      <c r="AP32" s="399">
        <v>0</v>
      </c>
      <c r="AQ32" s="399">
        <v>0</v>
      </c>
      <c r="AR32" s="399">
        <v>0</v>
      </c>
      <c r="AS32" s="399">
        <v>0</v>
      </c>
      <c r="AT32" s="399">
        <v>0</v>
      </c>
      <c r="AU32" s="399">
        <v>0</v>
      </c>
      <c r="AV32" s="399">
        <v>0</v>
      </c>
      <c r="AW32" s="399">
        <v>0</v>
      </c>
      <c r="AX32" s="399">
        <v>0</v>
      </c>
      <c r="AY32" s="399">
        <v>0</v>
      </c>
      <c r="AZ32" s="399">
        <v>0</v>
      </c>
      <c r="BA32" s="399">
        <v>0</v>
      </c>
      <c r="BB32" s="399">
        <v>0</v>
      </c>
      <c r="BC32" s="399">
        <v>0</v>
      </c>
      <c r="BD32" s="399">
        <v>0</v>
      </c>
      <c r="BE32" s="399">
        <v>0</v>
      </c>
      <c r="BF32" s="399">
        <v>0</v>
      </c>
      <c r="BG32" s="399">
        <v>0</v>
      </c>
      <c r="BH32" s="399">
        <v>0</v>
      </c>
      <c r="BI32" s="399">
        <v>0</v>
      </c>
      <c r="BJ32" s="399">
        <v>0</v>
      </c>
      <c r="BK32" s="399"/>
      <c r="BL32" s="399">
        <v>0</v>
      </c>
      <c r="BM32" s="399">
        <v>0</v>
      </c>
      <c r="BN32" s="399">
        <v>0</v>
      </c>
      <c r="BO32" s="399">
        <v>0</v>
      </c>
      <c r="BP32" s="399">
        <v>0</v>
      </c>
      <c r="BQ32" s="399">
        <v>0</v>
      </c>
      <c r="BR32" s="399">
        <v>0</v>
      </c>
      <c r="BS32" s="399">
        <v>0</v>
      </c>
      <c r="BT32" s="399">
        <v>0</v>
      </c>
      <c r="BU32" s="399">
        <v>0</v>
      </c>
      <c r="BV32" s="399">
        <v>0</v>
      </c>
      <c r="BW32" s="399">
        <v>0</v>
      </c>
    </row>
    <row r="34" spans="1:76" x14ac:dyDescent="0.25">
      <c r="B34" t="s">
        <v>772</v>
      </c>
    </row>
    <row r="35" spans="1:76" x14ac:dyDescent="0.25">
      <c r="B35" t="s">
        <v>1597</v>
      </c>
      <c r="D35" s="399">
        <v>1</v>
      </c>
      <c r="E35" s="399">
        <v>1</v>
      </c>
      <c r="F35" s="399">
        <v>1</v>
      </c>
      <c r="G35" s="399">
        <v>1</v>
      </c>
      <c r="H35" s="399">
        <v>0</v>
      </c>
      <c r="I35" s="399">
        <v>0</v>
      </c>
      <c r="J35" s="399">
        <v>0</v>
      </c>
      <c r="K35" s="399">
        <v>0</v>
      </c>
      <c r="L35" s="399">
        <v>0</v>
      </c>
      <c r="M35" s="399">
        <v>0</v>
      </c>
      <c r="N35" s="399">
        <v>0</v>
      </c>
      <c r="O35" s="399">
        <v>0</v>
      </c>
      <c r="P35" s="399">
        <v>0</v>
      </c>
      <c r="Q35" s="399">
        <v>0</v>
      </c>
      <c r="R35" s="399">
        <v>0</v>
      </c>
      <c r="S35" s="399"/>
      <c r="T35" s="399"/>
      <c r="U35" s="399"/>
      <c r="V35" s="399">
        <v>0</v>
      </c>
      <c r="W35" s="399">
        <v>0</v>
      </c>
      <c r="X35" s="399">
        <v>0</v>
      </c>
      <c r="Y35" s="399">
        <v>0</v>
      </c>
      <c r="Z35" s="399"/>
      <c r="AA35" s="399">
        <v>0</v>
      </c>
      <c r="AB35" s="399">
        <v>0</v>
      </c>
      <c r="AC35" s="399">
        <v>0</v>
      </c>
      <c r="AD35" s="399">
        <v>0</v>
      </c>
      <c r="AE35" s="399">
        <v>0</v>
      </c>
      <c r="AF35" s="399">
        <v>0</v>
      </c>
      <c r="AG35" s="399">
        <v>0</v>
      </c>
      <c r="AH35" s="399">
        <v>0</v>
      </c>
      <c r="AI35" s="399">
        <v>0</v>
      </c>
      <c r="AJ35" s="399">
        <v>0</v>
      </c>
      <c r="AK35" s="399">
        <v>0</v>
      </c>
      <c r="AL35" s="399">
        <v>0</v>
      </c>
      <c r="AM35" s="399">
        <v>0</v>
      </c>
      <c r="AN35" s="399">
        <v>0</v>
      </c>
      <c r="AO35" s="399">
        <v>0</v>
      </c>
      <c r="AP35" s="399">
        <v>0</v>
      </c>
      <c r="AQ35" s="399">
        <v>0</v>
      </c>
      <c r="AR35" s="399">
        <v>0</v>
      </c>
      <c r="AS35" s="399">
        <v>0</v>
      </c>
      <c r="AT35" s="399">
        <v>0</v>
      </c>
      <c r="AU35" s="399">
        <v>0</v>
      </c>
      <c r="AV35" s="399">
        <v>0</v>
      </c>
      <c r="AW35" s="399">
        <v>0</v>
      </c>
      <c r="AX35" s="399">
        <v>0</v>
      </c>
      <c r="AY35" s="399">
        <v>0</v>
      </c>
      <c r="AZ35" s="399">
        <v>0</v>
      </c>
      <c r="BA35" s="399">
        <v>0</v>
      </c>
      <c r="BB35" s="399">
        <v>0</v>
      </c>
      <c r="BC35" s="399">
        <v>0</v>
      </c>
      <c r="BD35" s="399">
        <v>0</v>
      </c>
      <c r="BE35" s="399">
        <v>0</v>
      </c>
      <c r="BF35" s="399">
        <v>0</v>
      </c>
      <c r="BG35" s="399">
        <v>0</v>
      </c>
      <c r="BH35" s="399">
        <v>0</v>
      </c>
      <c r="BI35" s="399">
        <v>0</v>
      </c>
      <c r="BJ35" s="399">
        <v>0</v>
      </c>
      <c r="BK35" s="399">
        <v>0</v>
      </c>
      <c r="BL35" s="399">
        <v>0</v>
      </c>
      <c r="BM35" s="399">
        <v>0</v>
      </c>
      <c r="BN35" s="399">
        <v>0</v>
      </c>
      <c r="BO35" s="399">
        <v>0</v>
      </c>
      <c r="BP35" s="399">
        <v>0</v>
      </c>
      <c r="BQ35" s="399">
        <v>0</v>
      </c>
      <c r="BR35" s="399">
        <v>0</v>
      </c>
      <c r="BS35" s="399">
        <v>0</v>
      </c>
      <c r="BT35" s="399">
        <v>0</v>
      </c>
      <c r="BU35" s="399">
        <v>0</v>
      </c>
      <c r="BV35" s="399">
        <v>0</v>
      </c>
      <c r="BW35" s="399">
        <v>0</v>
      </c>
    </row>
    <row r="36" spans="1:76" x14ac:dyDescent="0.25">
      <c r="D36" s="399" t="str">
        <f>'Investing Inputs'!D11</f>
        <v>Project Description</v>
      </c>
      <c r="E36" s="399" t="str">
        <f>'Investing Inputs'!E11</f>
        <v>Asset Type</v>
      </c>
      <c r="F36" s="399" t="str">
        <f>'Investing Inputs'!F11</f>
        <v>Fin Source</v>
      </c>
      <c r="G36" s="399" t="str">
        <f>'Investing Inputs'!G11</f>
        <v>% Grant Funded</v>
      </c>
      <c r="H36" s="399">
        <v>0</v>
      </c>
      <c r="I36" s="399">
        <v>0</v>
      </c>
      <c r="J36" s="399">
        <v>0</v>
      </c>
      <c r="K36" s="399">
        <v>0</v>
      </c>
      <c r="L36" s="399">
        <v>0</v>
      </c>
      <c r="M36" s="399">
        <v>0</v>
      </c>
      <c r="N36" s="399">
        <v>0</v>
      </c>
      <c r="O36" s="399">
        <v>0</v>
      </c>
      <c r="P36" s="399">
        <v>0</v>
      </c>
      <c r="Q36" s="399">
        <v>0</v>
      </c>
      <c r="R36" s="399">
        <v>0</v>
      </c>
      <c r="S36" s="399"/>
      <c r="T36" s="399"/>
      <c r="U36" s="399"/>
      <c r="V36" s="399">
        <v>0</v>
      </c>
      <c r="W36" s="399">
        <v>0</v>
      </c>
      <c r="X36" s="399">
        <v>0</v>
      </c>
      <c r="Y36" s="399">
        <v>0</v>
      </c>
      <c r="Z36" s="399"/>
      <c r="AA36" s="399">
        <v>0</v>
      </c>
      <c r="AB36" s="399">
        <v>0</v>
      </c>
      <c r="AC36" s="399">
        <v>0</v>
      </c>
      <c r="AD36" s="399">
        <v>0</v>
      </c>
      <c r="AE36" s="399">
        <v>0</v>
      </c>
      <c r="AF36" s="399">
        <v>0</v>
      </c>
      <c r="AG36" s="399">
        <v>0</v>
      </c>
      <c r="AH36" s="399">
        <v>0</v>
      </c>
      <c r="AI36" s="399">
        <v>0</v>
      </c>
      <c r="AJ36" s="399">
        <v>0</v>
      </c>
      <c r="AK36" s="399">
        <v>0</v>
      </c>
      <c r="AL36" s="399">
        <v>0</v>
      </c>
      <c r="AM36" s="399">
        <v>0</v>
      </c>
      <c r="AN36" s="399">
        <v>0</v>
      </c>
      <c r="AO36" s="399">
        <v>0</v>
      </c>
      <c r="AP36" s="399">
        <v>0</v>
      </c>
      <c r="AQ36" s="399">
        <v>0</v>
      </c>
      <c r="AR36" s="399">
        <v>0</v>
      </c>
      <c r="AS36" s="399">
        <v>0</v>
      </c>
      <c r="AT36" s="399">
        <v>0</v>
      </c>
      <c r="AU36" s="399">
        <v>0</v>
      </c>
      <c r="AV36" s="399">
        <v>0</v>
      </c>
      <c r="AW36" s="399">
        <v>0</v>
      </c>
      <c r="AX36" s="399">
        <v>0</v>
      </c>
      <c r="AY36" s="399">
        <v>0</v>
      </c>
      <c r="AZ36" s="399">
        <v>0</v>
      </c>
      <c r="BA36" s="399">
        <v>0</v>
      </c>
      <c r="BB36" s="399">
        <v>0</v>
      </c>
      <c r="BC36" s="399">
        <v>0</v>
      </c>
      <c r="BD36" s="399">
        <v>0</v>
      </c>
      <c r="BE36" s="399">
        <v>0</v>
      </c>
      <c r="BF36" s="399">
        <v>0</v>
      </c>
      <c r="BG36" s="399">
        <v>0</v>
      </c>
      <c r="BH36" s="399">
        <v>0</v>
      </c>
      <c r="BI36" s="399">
        <v>0</v>
      </c>
      <c r="BJ36" s="399">
        <v>0</v>
      </c>
      <c r="BK36" s="399">
        <v>0</v>
      </c>
      <c r="BL36" s="399">
        <v>0</v>
      </c>
      <c r="BM36" s="399">
        <v>0</v>
      </c>
      <c r="BN36" s="399">
        <v>0</v>
      </c>
      <c r="BO36" s="399">
        <v>0</v>
      </c>
      <c r="BP36" s="399">
        <v>0</v>
      </c>
      <c r="BQ36" s="399">
        <v>0</v>
      </c>
      <c r="BR36" s="399">
        <v>0</v>
      </c>
      <c r="BS36" s="399">
        <v>0</v>
      </c>
      <c r="BT36" s="399">
        <v>0</v>
      </c>
      <c r="BU36" s="399">
        <v>0</v>
      </c>
      <c r="BV36" s="399">
        <v>0</v>
      </c>
      <c r="BW36" s="399">
        <v>0</v>
      </c>
    </row>
    <row r="38" spans="1:76" x14ac:dyDescent="0.25">
      <c r="A38" s="45" t="s">
        <v>88</v>
      </c>
      <c r="B38" s="45" t="s">
        <v>88</v>
      </c>
      <c r="C38" s="45" t="s">
        <v>88</v>
      </c>
      <c r="D38" s="45" t="s">
        <v>88</v>
      </c>
      <c r="E38" s="45" t="s">
        <v>88</v>
      </c>
      <c r="F38" s="45" t="s">
        <v>88</v>
      </c>
      <c r="G38" s="45" t="s">
        <v>88</v>
      </c>
      <c r="H38" s="45" t="s">
        <v>88</v>
      </c>
      <c r="I38" s="45" t="s">
        <v>88</v>
      </c>
      <c r="J38" s="45" t="s">
        <v>88</v>
      </c>
      <c r="K38" s="45" t="s">
        <v>88</v>
      </c>
      <c r="L38" s="45" t="s">
        <v>88</v>
      </c>
      <c r="M38" s="45" t="s">
        <v>88</v>
      </c>
      <c r="N38" s="45" t="s">
        <v>88</v>
      </c>
      <c r="O38" s="45" t="s">
        <v>88</v>
      </c>
      <c r="P38" s="45" t="s">
        <v>88</v>
      </c>
      <c r="Q38" s="45" t="s">
        <v>88</v>
      </c>
      <c r="R38" s="45" t="s">
        <v>88</v>
      </c>
      <c r="S38" s="45" t="s">
        <v>88</v>
      </c>
      <c r="T38" s="45" t="s">
        <v>88</v>
      </c>
      <c r="U38" s="45" t="s">
        <v>88</v>
      </c>
      <c r="V38" s="45" t="s">
        <v>88</v>
      </c>
      <c r="W38" s="45" t="s">
        <v>88</v>
      </c>
      <c r="X38" s="45" t="s">
        <v>88</v>
      </c>
      <c r="Y38" s="45" t="s">
        <v>88</v>
      </c>
      <c r="Z38" s="45" t="s">
        <v>88</v>
      </c>
      <c r="AA38" s="45" t="s">
        <v>88</v>
      </c>
      <c r="AB38" s="45" t="s">
        <v>88</v>
      </c>
      <c r="AC38" s="45" t="s">
        <v>88</v>
      </c>
      <c r="AD38" s="45" t="s">
        <v>88</v>
      </c>
      <c r="AE38" s="45" t="s">
        <v>88</v>
      </c>
      <c r="AF38" s="45" t="s">
        <v>88</v>
      </c>
      <c r="AG38" s="45" t="s">
        <v>88</v>
      </c>
      <c r="AH38" s="45" t="s">
        <v>88</v>
      </c>
      <c r="AI38" s="45" t="s">
        <v>88</v>
      </c>
      <c r="AJ38" s="45" t="s">
        <v>88</v>
      </c>
      <c r="AK38" s="45" t="s">
        <v>88</v>
      </c>
      <c r="AL38" s="45" t="s">
        <v>88</v>
      </c>
      <c r="AM38" s="45" t="s">
        <v>88</v>
      </c>
      <c r="AN38" s="45" t="s">
        <v>88</v>
      </c>
      <c r="AO38" s="45" t="s">
        <v>88</v>
      </c>
      <c r="AP38" s="45" t="s">
        <v>88</v>
      </c>
      <c r="AQ38" s="45" t="s">
        <v>88</v>
      </c>
      <c r="AR38" s="45" t="s">
        <v>88</v>
      </c>
      <c r="AS38" s="45" t="s">
        <v>88</v>
      </c>
      <c r="AT38" s="45" t="s">
        <v>88</v>
      </c>
      <c r="AU38" s="45" t="s">
        <v>88</v>
      </c>
      <c r="AV38" s="45" t="s">
        <v>88</v>
      </c>
      <c r="AW38" s="45" t="s">
        <v>88</v>
      </c>
      <c r="AX38" s="45" t="s">
        <v>88</v>
      </c>
      <c r="AY38" s="45" t="s">
        <v>88</v>
      </c>
      <c r="AZ38" s="45" t="s">
        <v>88</v>
      </c>
      <c r="BA38" s="45" t="s">
        <v>88</v>
      </c>
      <c r="BB38" s="45" t="s">
        <v>88</v>
      </c>
      <c r="BC38" s="45" t="s">
        <v>88</v>
      </c>
      <c r="BD38" s="45" t="s">
        <v>88</v>
      </c>
      <c r="BE38" s="45" t="s">
        <v>88</v>
      </c>
      <c r="BF38" s="45" t="s">
        <v>88</v>
      </c>
      <c r="BG38" s="45" t="s">
        <v>88</v>
      </c>
      <c r="BH38" s="45" t="s">
        <v>88</v>
      </c>
      <c r="BI38" s="45" t="s">
        <v>88</v>
      </c>
      <c r="BJ38" s="45" t="s">
        <v>88</v>
      </c>
      <c r="BK38" s="45" t="s">
        <v>88</v>
      </c>
      <c r="BL38" s="45" t="s">
        <v>88</v>
      </c>
      <c r="BM38" s="45" t="s">
        <v>88</v>
      </c>
      <c r="BN38" s="45" t="s">
        <v>88</v>
      </c>
      <c r="BO38" s="45" t="s">
        <v>88</v>
      </c>
      <c r="BP38" s="45" t="s">
        <v>88</v>
      </c>
      <c r="BQ38" s="45" t="s">
        <v>88</v>
      </c>
      <c r="BR38" s="45" t="s">
        <v>88</v>
      </c>
      <c r="BS38" s="45" t="s">
        <v>88</v>
      </c>
      <c r="BT38" s="45" t="s">
        <v>88</v>
      </c>
      <c r="BU38" s="45" t="s">
        <v>88</v>
      </c>
      <c r="BV38" s="45" t="s">
        <v>88</v>
      </c>
      <c r="BW38" s="45" t="s">
        <v>88</v>
      </c>
      <c r="BX38" s="45" t="s">
        <v>88</v>
      </c>
    </row>
  </sheetData>
  <sheetProtection algorithmName="SHA-512" hashValue="jmSij8DMJvG5kmE128fjNtGLEkgfsphrHoPi5eu3Plq8SMXNZTWutBwY2T4oqKPehLhNv6gKIE6rsnRxLhdDyw==" saltValue="Fw2CxhGLnIE1mppWp9giQ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6644-8A5E-496F-9501-A861290FD489}">
  <sheetPr codeName="Sheet16">
    <tabColor theme="7" tint="0.59999389629810485"/>
    <outlinePr summaryBelow="0" summaryRight="0"/>
    <pageSetUpPr autoPageBreaks="0"/>
  </sheetPr>
  <dimension ref="A1:EX76"/>
  <sheetViews>
    <sheetView showGridLines="0" tabSelected="1" zoomScaleNormal="100" workbookViewId="0">
      <pane xSplit="8" ySplit="7" topLeftCell="BX8" activePane="bottomRight" state="frozen"/>
      <selection pane="topRight"/>
      <selection pane="bottomLeft"/>
      <selection pane="bottomRight" activeCell="D8" sqref="D8"/>
    </sheetView>
  </sheetViews>
  <sheetFormatPr defaultColWidth="8.5703125" defaultRowHeight="15" outlineLevelCol="1" x14ac:dyDescent="0.25"/>
  <cols>
    <col min="1" max="1" width="6.5703125" style="67" bestFit="1" customWidth="1" collapsed="1"/>
    <col min="2" max="2" width="9.42578125" style="67" bestFit="1" customWidth="1"/>
    <col min="3" max="3" width="9.140625" style="67" bestFit="1" customWidth="1"/>
    <col min="4" max="4" width="101.5703125" style="67" customWidth="1"/>
    <col min="5" max="5" width="19.42578125" style="1" customWidth="1"/>
    <col min="6" max="6" width="21.140625" style="67" customWidth="1" collapsed="1"/>
    <col min="7" max="7" width="7.42578125" style="67" hidden="1" customWidth="1" outlineLevel="1"/>
    <col min="8" max="8" width="15" style="67" hidden="1" customWidth="1" outlineLevel="1"/>
    <col min="9" max="9" width="3" style="67" hidden="1" customWidth="1" outlineLevel="1"/>
    <col min="10" max="10" width="2" style="67" hidden="1" customWidth="1" outlineLevel="1" collapsed="1"/>
    <col min="11" max="18" width="2" style="67" hidden="1" customWidth="1" outlineLevel="1"/>
    <col min="19" max="19" width="3" style="67" hidden="1" customWidth="1" outlineLevel="1"/>
    <col min="20" max="21" width="2" style="67" hidden="1" customWidth="1" outlineLevel="1"/>
    <col min="22" max="22" width="22.42578125" style="67" hidden="1" customWidth="1" outlineLevel="1"/>
    <col min="23" max="25" width="8.5703125" style="67" hidden="1" customWidth="1" outlineLevel="1"/>
    <col min="26" max="26" width="2" style="67" hidden="1" customWidth="1" outlineLevel="1"/>
    <col min="27" max="27" width="18" style="67" hidden="1" customWidth="1" outlineLevel="1"/>
    <col min="28" max="29" width="9.42578125" style="67" hidden="1" customWidth="1" outlineLevel="1"/>
    <col min="30" max="30" width="9.5703125" style="67" hidden="1" customWidth="1" outlineLevel="1"/>
    <col min="31" max="31" width="9.42578125" style="67" hidden="1" customWidth="1" outlineLevel="1"/>
    <col min="32" max="32" width="9.140625" style="67" hidden="1" customWidth="1" outlineLevel="1"/>
    <col min="33" max="33" width="9.42578125" style="67" hidden="1" customWidth="1" outlineLevel="1"/>
    <col min="34" max="34" width="9.5703125" style="67" hidden="1" customWidth="1" outlineLevel="1"/>
    <col min="35" max="35" width="9.42578125" style="67" hidden="1" customWidth="1" outlineLevel="1"/>
    <col min="36" max="36" width="10.140625" style="67" hidden="1" customWidth="1" outlineLevel="1"/>
    <col min="37" max="37" width="9.42578125" style="67" hidden="1" customWidth="1" outlineLevel="1"/>
    <col min="38" max="38" width="8.5703125" style="67" hidden="1" customWidth="1" outlineLevel="1"/>
    <col min="39" max="39" width="9.5703125" style="67" hidden="1" customWidth="1" outlineLevel="1"/>
    <col min="40" max="41" width="9.42578125" style="67" hidden="1" customWidth="1" outlineLevel="1"/>
    <col min="42" max="42" width="9.5703125" style="67" hidden="1" customWidth="1" outlineLevel="1"/>
    <col min="43" max="43" width="9.42578125" style="67" hidden="1" customWidth="1" outlineLevel="1"/>
    <col min="44" max="44" width="9.140625" style="67" hidden="1" customWidth="1" outlineLevel="1"/>
    <col min="45" max="45" width="9.42578125" style="67" hidden="1" customWidth="1" outlineLevel="1"/>
    <col min="46" max="46" width="9.5703125" style="67" hidden="1" customWidth="1" outlineLevel="1"/>
    <col min="47" max="47" width="9.42578125" style="67" hidden="1" customWidth="1" outlineLevel="1"/>
    <col min="48" max="48" width="10.140625" style="67" hidden="1" customWidth="1" outlineLevel="1"/>
    <col min="49" max="49" width="9.42578125" style="67" hidden="1" customWidth="1" outlineLevel="1"/>
    <col min="50" max="50" width="8.5703125" style="67" hidden="1" customWidth="1" outlineLevel="1"/>
    <col min="51" max="51" width="9.5703125" style="67" hidden="1" customWidth="1" outlineLevel="1"/>
    <col min="52" max="53" width="9.42578125" style="67" hidden="1" customWidth="1" outlineLevel="1"/>
    <col min="54" max="54" width="9.5703125" style="67" hidden="1" customWidth="1" outlineLevel="1"/>
    <col min="55" max="55" width="9.42578125" style="67" hidden="1" customWidth="1" outlineLevel="1"/>
    <col min="56" max="56" width="9.140625" style="67" hidden="1" customWidth="1" outlineLevel="1"/>
    <col min="57" max="57" width="9.42578125" style="67" hidden="1" customWidth="1" outlineLevel="1"/>
    <col min="58" max="58" width="9.5703125" style="67" hidden="1" customWidth="1" outlineLevel="1"/>
    <col min="59" max="59" width="9.42578125" style="67" hidden="1" customWidth="1" outlineLevel="1"/>
    <col min="60" max="60" width="10.140625" style="67" hidden="1" customWidth="1" outlineLevel="1"/>
    <col min="61" max="61" width="9.42578125" style="67" hidden="1" customWidth="1" outlineLevel="1"/>
    <col min="62" max="62" width="8.5703125" style="67" hidden="1" customWidth="1" outlineLevel="1"/>
    <col min="63" max="63" width="2" style="67" hidden="1" customWidth="1" outlineLevel="1"/>
    <col min="64" max="64" width="23.5703125" style="67" hidden="1" customWidth="1" outlineLevel="1"/>
    <col min="65" max="75" width="8.5703125" style="67" hidden="1" customWidth="1" outlineLevel="1"/>
    <col min="76" max="76" width="2" style="67" bestFit="1" customWidth="1"/>
    <col min="77" max="77" width="3.42578125" style="335" customWidth="1"/>
    <col min="78" max="78" width="13.42578125" style="335" customWidth="1"/>
    <col min="79" max="79" width="3.42578125" style="67" customWidth="1"/>
    <col min="80" max="80" width="13.42578125" style="67" customWidth="1"/>
    <col min="81" max="82" width="13.42578125" style="335" customWidth="1"/>
    <col min="83" max="83" width="2.5703125" style="67" customWidth="1"/>
    <col min="84" max="84" width="8.5703125" style="67"/>
    <col min="85" max="85" width="11.42578125" style="67" bestFit="1" customWidth="1"/>
    <col min="86" max="152" width="8.5703125" style="67"/>
    <col min="153" max="153" width="8.5703125" style="67" collapsed="1"/>
    <col min="154" max="154" width="17.85546875" style="67" hidden="1" customWidth="1" outlineLevel="1"/>
    <col min="155" max="16384" width="8.5703125" style="67"/>
  </cols>
  <sheetData>
    <row r="1" spans="1:154" x14ac:dyDescent="0.25">
      <c r="A1" s="7">
        <f ca="1">ToC!A1</f>
        <v>0</v>
      </c>
      <c r="B1" s="14" t="s">
        <v>2458</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5" t="s">
        <v>1561</v>
      </c>
      <c r="CA1" s="575"/>
      <c r="CB1" s="5" t="s">
        <v>1771</v>
      </c>
      <c r="CC1" s="5"/>
      <c r="CD1" s="5" t="s">
        <v>1742</v>
      </c>
      <c r="CE1" s="575"/>
      <c r="EX1" s="5" t="s">
        <v>1563</v>
      </c>
    </row>
    <row r="2" spans="1:154" x14ac:dyDescent="0.25">
      <c r="A2" s="362" cm="1">
        <f t="array" aca="1" ref="A2" ca="1">HYPERLINK(CONCATENATE("#",CELL("address",IF(SUM(A$7:A$76)=0,$A$2,INDEX(A$7:A$76,MATCH(1,A$7:A$76,0))))),SUM(A$7:A$76))</f>
        <v>0</v>
      </c>
      <c r="B2" s="92" t="str" cm="1">
        <f t="array" aca="1" ref="B2" ca="1">HYPERLINK(CONCATENATE("#",CELL("address",Guide!$C$91)),Guide!$B$1)</f>
        <v>Guide</v>
      </c>
      <c r="C2" s="26"/>
      <c r="D2" s="48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BZ2" s="465" cm="1">
        <f t="array" aca="1" ref="BZ2" ca="1">HYPERLINK(CONCATENATE("#",CELL("address",IF(SUM(BZ$7:BZ$76)=0,$BZ$2,INDEX(BZ$7:BZ$76,MATCH(1,BZ$7:BZ$76,0))))),SUM(BZ$7:BZ$76))</f>
        <v>0</v>
      </c>
      <c r="CA2" s="575"/>
      <c r="CE2" s="575"/>
      <c r="EX2" s="335"/>
    </row>
    <row r="3" spans="1:154" ht="32.1" customHeight="1" x14ac:dyDescent="0.25">
      <c r="A3" s="92" t="str" cm="1">
        <f t="array" aca="1" ref="A3" ca="1">HYPERLINK(CONCATENATE("#",CELL("address",ToC!$A$1)),ToC!$C$1)</f>
        <v>ToC</v>
      </c>
      <c r="B3" s="14"/>
      <c r="C3" s="14"/>
      <c r="D3" s="484" t="s">
        <v>2359</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576" t="s">
        <v>2264</v>
      </c>
      <c r="CA3" s="575"/>
      <c r="CB3" s="576" t="s">
        <v>2301</v>
      </c>
      <c r="CC3" s="576" t="s">
        <v>2263</v>
      </c>
      <c r="CD3" s="576" t="s">
        <v>2496</v>
      </c>
      <c r="CE3" s="575"/>
      <c r="EX3" s="335"/>
    </row>
    <row r="4" spans="1:154" ht="14.1" customHeight="1" x14ac:dyDescent="0.25">
      <c r="A4" s="14"/>
      <c r="B4" s="14"/>
      <c r="C4" s="14"/>
      <c r="D4" s="484"/>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6"/>
      <c r="CA4" s="575"/>
      <c r="CB4" s="576"/>
      <c r="CC4" s="576"/>
      <c r="CD4" s="576"/>
      <c r="CE4" s="575"/>
      <c r="EX4" s="335"/>
    </row>
    <row r="5" spans="1:154" ht="16.350000000000001" customHeight="1" x14ac:dyDescent="0.25">
      <c r="A5" s="14"/>
      <c r="B5" s="14"/>
      <c r="C5" s="14"/>
      <c r="D5" s="483"/>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6"/>
      <c r="CA5" s="575"/>
      <c r="CB5" s="576"/>
      <c r="CC5" s="576"/>
      <c r="CD5" s="576"/>
      <c r="CE5" s="575"/>
      <c r="EX5" s="335"/>
    </row>
    <row r="6" spans="1:154" x14ac:dyDescent="0.25">
      <c r="A6" s="80" t="str" cm="1">
        <f t="array" aca="1" ref="A6" ca="1">HYPERLINK(CONCATENATE("#",CELL("address",CA7)),"Check")</f>
        <v>Check</v>
      </c>
      <c r="B6" s="14"/>
      <c r="C6" s="14" t="str">
        <f>Template!$C$6</f>
        <v>Ref. No.</v>
      </c>
      <c r="D6" s="26" t="s">
        <v>5</v>
      </c>
      <c r="E6" s="14"/>
      <c r="F6" s="14"/>
      <c r="G6" s="14"/>
      <c r="H6" s="14"/>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576"/>
      <c r="CA6" s="575"/>
      <c r="CB6" s="576"/>
      <c r="CC6" s="576"/>
      <c r="CD6" s="576"/>
      <c r="CE6" s="575"/>
      <c r="EX6" s="335"/>
    </row>
    <row r="7" spans="1:154" ht="15.75" x14ac:dyDescent="0.3">
      <c r="B7" s="139" t="s">
        <v>2494</v>
      </c>
      <c r="D7" s="1"/>
      <c r="E7" s="67"/>
      <c r="BM7" s="6"/>
      <c r="BY7" s="42"/>
      <c r="BZ7" s="105" t="s">
        <v>335</v>
      </c>
      <c r="CA7" s="42"/>
      <c r="CB7" s="105" t="s">
        <v>335</v>
      </c>
      <c r="CC7" s="105" t="s">
        <v>335</v>
      </c>
      <c r="CD7" s="105" t="s">
        <v>335</v>
      </c>
      <c r="CE7" s="42"/>
      <c r="EX7" s="335"/>
    </row>
    <row r="8" spans="1:154" x14ac:dyDescent="0.25">
      <c r="A8" s="40"/>
      <c r="B8" s="40"/>
      <c r="C8" s="40"/>
      <c r="D8" s="40" t="s">
        <v>410</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2"/>
      <c r="CA8" s="42"/>
      <c r="CE8" s="42"/>
      <c r="EX8" s="10" t="str">
        <f t="shared" ref="EX8:EX76" si="0">IF($C8="","",$D8)</f>
        <v/>
      </c>
    </row>
    <row r="9" spans="1:154" ht="6.6" customHeight="1" x14ac:dyDescent="0.25">
      <c r="D9" s="1"/>
      <c r="E9" s="67"/>
      <c r="BM9" s="6"/>
      <c r="BY9" s="42"/>
      <c r="CA9" s="42"/>
      <c r="CE9" s="42"/>
      <c r="EX9" s="10" t="str">
        <f t="shared" si="0"/>
        <v/>
      </c>
    </row>
    <row r="10" spans="1:154" x14ac:dyDescent="0.25">
      <c r="A10" s="362" cm="1">
        <f t="array" aca="1" ref="A10" ca="1">HYPERLINK(CONCATENATE("#",CELL("address",IF(SUM($CA10:$CE10)=0,A10,INDEX($CA10:$CE10,MATCH(1,$CA10:$CE10,0))))),SUM($CA10:$CE10))</f>
        <v>0</v>
      </c>
      <c r="C10" s="340" t="s">
        <v>2462</v>
      </c>
      <c r="D10" s="1" t="s">
        <v>0</v>
      </c>
      <c r="E10" s="429" t="s">
        <v>1953</v>
      </c>
      <c r="F10" s="15"/>
      <c r="BY10" s="12"/>
      <c r="CA10" s="12"/>
      <c r="CC10" s="7">
        <f>IF(CollegeNameInput="", 0, _xlfn.IFNA(MATCH(CollegeNameInput, 'List of Colleges'!$A$2:$A$242, 0)*0, 1))</f>
        <v>0</v>
      </c>
      <c r="CE10" s="42"/>
      <c r="EX10" s="10" t="str">
        <f t="shared" si="0"/>
        <v>College Name</v>
      </c>
    </row>
    <row r="11" spans="1:154" ht="6.6" customHeight="1" x14ac:dyDescent="0.25">
      <c r="C11" s="340"/>
      <c r="D11" s="1"/>
      <c r="E11" s="67"/>
      <c r="BM11" s="6"/>
      <c r="BY11" s="42"/>
      <c r="CA11" s="42"/>
      <c r="CB11" s="335"/>
      <c r="CE11" s="42"/>
      <c r="CG11" s="335"/>
      <c r="EX11" s="10" t="str">
        <f t="shared" si="0"/>
        <v/>
      </c>
    </row>
    <row r="12" spans="1:154" x14ac:dyDescent="0.25">
      <c r="A12" s="362" cm="1">
        <f t="array" aca="1" ref="A12" ca="1">HYPERLINK(CONCATENATE("#",CELL("address",IF(SUM($CA12:$CE12)=0,A12,INDEX($CA12:$CE12,MATCH(1,$CA12:$CE12,0))))),SUM($CA12:$CE12))</f>
        <v>0</v>
      </c>
      <c r="C12" s="340" t="s">
        <v>2463</v>
      </c>
      <c r="D12" s="15" t="s">
        <v>401</v>
      </c>
      <c r="E12" s="10" t="str">
        <f>_xlfn.IFNA(INDEX('List of Colleges'!$B$2:$B$242, MATCH(CollegeNameInput, 'List of Colleges'!$A$2:$A$242, 0)), "")</f>
        <v>TC</v>
      </c>
      <c r="F12" s="15"/>
      <c r="BY12" s="12"/>
      <c r="CA12" s="12"/>
      <c r="CB12" s="335"/>
      <c r="CD12" s="7">
        <f>IF(CollegeNameInput="", 0, _xlfn.IFNA(MATCH($E12, 'List of Colleges'!$B$2:$B$242, 0)*0, 1))</f>
        <v>0</v>
      </c>
      <c r="CE12" s="42"/>
      <c r="CG12" s="335"/>
      <c r="EX12" s="10" t="str">
        <f t="shared" si="0"/>
        <v>College Type</v>
      </c>
    </row>
    <row r="13" spans="1:154" x14ac:dyDescent="0.25">
      <c r="A13" s="362" cm="1">
        <f t="array" aca="1" ref="A13" ca="1">HYPERLINK(CONCATENATE("#",CELL("address",IF(SUM($CA13:$CE13)=0,A13,INDEX($CA13:$CE13,MATCH(1,$CA13:$CE13,0))))),SUM($CA13:$CE13))</f>
        <v>0</v>
      </c>
      <c r="C13" s="340" t="s">
        <v>2464</v>
      </c>
      <c r="D13" s="1" t="s">
        <v>408</v>
      </c>
      <c r="E13" s="10" t="str">
        <f>_xlfn.IFNA(INDEX('List of Colleges'!$C$2:$C$242, MATCH(CollegeNameInput, 'List of Colleges'!$A$2:$A$242, 0)), "")</f>
        <v>HALES</v>
      </c>
      <c r="F13" s="15"/>
      <c r="BY13" s="12"/>
      <c r="CA13" s="12"/>
      <c r="CD13" s="7">
        <f>IF(CollegeNameInput="", 0, _xlfn.IFNA(MATCH($E13, 'List of Colleges'!$C$2:$C$242, 0)*0, 1))</f>
        <v>0</v>
      </c>
      <c r="CE13" s="42"/>
      <c r="CG13" s="335"/>
      <c r="EX13" s="10" t="str">
        <f t="shared" si="0"/>
        <v>College Code</v>
      </c>
    </row>
    <row r="14" spans="1:154" x14ac:dyDescent="0.25">
      <c r="A14" s="362" cm="1">
        <f t="array" aca="1" ref="A14" ca="1">HYPERLINK(CONCATENATE("#",CELL("address",IF(SUM($CA14:$CE14)=0,A14,INDEX($CA14:$CE14,MATCH(1,$CA14:$CE14,0))))),SUM($CA14:$CE14))</f>
        <v>0</v>
      </c>
      <c r="C14" s="340" t="s">
        <v>2465</v>
      </c>
      <c r="D14" s="1" t="s">
        <v>407</v>
      </c>
      <c r="E14" s="551">
        <f>_xlfn.IFNA(INDEX('List of Colleges'!$D$2:$D$242, MATCH(CollegeNameInput, 'List of Colleges'!$A$2:$A$242, 0)), "")</f>
        <v>108457</v>
      </c>
      <c r="F14" s="15"/>
      <c r="BY14" s="12"/>
      <c r="CA14" s="12"/>
      <c r="CD14" s="7">
        <f>IF(CollegeNameInput="", 0, _xlfn.IFNA(MATCH($E14, 'List of Colleges'!$D$2:$D$242, 0)*0, 1))</f>
        <v>0</v>
      </c>
      <c r="CE14" s="42"/>
      <c r="CG14" s="335"/>
      <c r="EX14" s="10" t="str">
        <f t="shared" si="0"/>
        <v>College UPIN</v>
      </c>
    </row>
    <row r="15" spans="1:154" x14ac:dyDescent="0.25">
      <c r="A15" s="362" cm="1">
        <f t="array" aca="1" ref="A15" ca="1">HYPERLINK(CONCATENATE("#",CELL("address",IF(SUM($CA15:$CE15)=0,A15,INDEX($CA15:$CE15,MATCH(1,$CA15:$CE15,0))))),SUM($CA15:$CE15))</f>
        <v>0</v>
      </c>
      <c r="C15" s="340" t="s">
        <v>2466</v>
      </c>
      <c r="D15" s="1" t="s">
        <v>409</v>
      </c>
      <c r="E15" s="551">
        <f>_xlfn.IFNA(INDEX('List of Colleges'!$E$2:$E$242, MATCH(CollegeNameInput, 'List of Colleges'!$A$2:$A$242, 0)), "")</f>
        <v>10002852</v>
      </c>
      <c r="F15" s="15"/>
      <c r="BY15" s="12"/>
      <c r="CA15" s="12"/>
      <c r="CD15" s="7">
        <f>IF(CollegeNameInput="", 0, _xlfn.IFNA(MATCH($E15, 'List of Colleges'!$E$2:$E$242, 0)*0, 1))</f>
        <v>0</v>
      </c>
      <c r="CE15" s="42"/>
      <c r="CG15" s="335"/>
      <c r="EX15" s="10" t="str">
        <f t="shared" si="0"/>
        <v>College UKPRN</v>
      </c>
    </row>
    <row r="16" spans="1:154" ht="6.6" customHeight="1" x14ac:dyDescent="0.25">
      <c r="C16" s="340"/>
      <c r="D16" s="1"/>
      <c r="E16" s="67"/>
      <c r="BM16" s="6"/>
      <c r="BY16" s="42"/>
      <c r="CA16" s="42"/>
      <c r="CE16" s="42"/>
      <c r="EX16" s="10" t="str">
        <f t="shared" si="0"/>
        <v/>
      </c>
    </row>
    <row r="17" spans="1:154" x14ac:dyDescent="0.25">
      <c r="A17" s="40"/>
      <c r="B17" s="40"/>
      <c r="C17" s="390"/>
      <c r="D17" s="40" t="s">
        <v>411</v>
      </c>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12"/>
      <c r="CA17" s="12"/>
      <c r="CE17" s="42"/>
      <c r="EX17" s="10" t="str">
        <f t="shared" si="0"/>
        <v/>
      </c>
    </row>
    <row r="18" spans="1:154" ht="6.6" customHeight="1" x14ac:dyDescent="0.25">
      <c r="C18" s="340"/>
      <c r="D18" s="1"/>
      <c r="E18" s="67"/>
      <c r="BM18" s="6"/>
      <c r="BY18" s="42"/>
      <c r="CA18" s="42"/>
      <c r="CE18" s="42"/>
      <c r="EX18" s="10" t="str">
        <f t="shared" si="0"/>
        <v/>
      </c>
    </row>
    <row r="19" spans="1:154" s="335" customFormat="1" ht="15.75" x14ac:dyDescent="0.3">
      <c r="A19" s="362" cm="1">
        <f t="array" aca="1" ref="A19" ca="1">HYPERLINK(CONCATENATE("#",CELL("address",IF(SUM($CA19:$CE19)=0,A19,INDEX($CA19:$CE19,MATCH(1,$CA19:$CE19,0))))),SUM($CA19:$CE19))</f>
        <v>0</v>
      </c>
      <c r="B19" s="105" t="s">
        <v>335</v>
      </c>
      <c r="C19" s="340" t="s">
        <v>2467</v>
      </c>
      <c r="D19" s="177" t="s">
        <v>927</v>
      </c>
      <c r="E19" s="197">
        <v>44044</v>
      </c>
      <c r="BY19" s="42"/>
      <c r="CA19" s="42"/>
      <c r="CB19" s="7">
        <f>IF(E19=E23, 0, 1)</f>
        <v>0</v>
      </c>
      <c r="CE19" s="42"/>
      <c r="EX19" s="10" t="str">
        <f t="shared" si="0"/>
        <v>First day of monthly actuals:</v>
      </c>
    </row>
    <row r="20" spans="1:154" s="335" customFormat="1" ht="6.6" customHeight="1" x14ac:dyDescent="0.25">
      <c r="C20" s="340"/>
      <c r="D20" s="1"/>
      <c r="BM20" s="6"/>
      <c r="BY20" s="42"/>
      <c r="CA20" s="42"/>
      <c r="CE20" s="42"/>
      <c r="EX20" s="10" t="str">
        <f t="shared" si="0"/>
        <v/>
      </c>
    </row>
    <row r="21" spans="1:154" ht="15.75" x14ac:dyDescent="0.3">
      <c r="A21" s="362" cm="1">
        <f t="array" aca="1" ref="A21" ca="1">HYPERLINK(CONCATENATE("#",CELL("address",IF(SUM($CA21:$CE21)=0,A21,INDEX($CA21:$CE21,MATCH(1,$CA21:$CE21,0))))),SUM($CA21:$CE21))</f>
        <v>0</v>
      </c>
      <c r="B21" s="105" t="s">
        <v>335</v>
      </c>
      <c r="C21" s="340" t="s">
        <v>2468</v>
      </c>
      <c r="D21" s="1" t="s">
        <v>928</v>
      </c>
      <c r="E21" s="197">
        <v>44377</v>
      </c>
      <c r="BY21" s="42"/>
      <c r="CA21" s="42"/>
      <c r="CB21" s="7">
        <f>IF(E21=E27, 0,1)</f>
        <v>0</v>
      </c>
      <c r="CE21" s="42"/>
      <c r="EX21" s="10" t="str">
        <f t="shared" si="0"/>
        <v>Last day of monthly actuals:</v>
      </c>
    </row>
    <row r="22" spans="1:154" s="335" customFormat="1" ht="6.6" customHeight="1" x14ac:dyDescent="0.25">
      <c r="C22" s="340"/>
      <c r="D22" s="1"/>
      <c r="BM22" s="6"/>
      <c r="BY22" s="42"/>
      <c r="CA22" s="42"/>
      <c r="CE22" s="42"/>
      <c r="EX22" s="10" t="str">
        <f t="shared" si="0"/>
        <v/>
      </c>
    </row>
    <row r="23" spans="1:154" s="335" customFormat="1" ht="15.75" x14ac:dyDescent="0.3">
      <c r="B23" s="105" t="s">
        <v>335</v>
      </c>
      <c r="C23" s="340" t="s">
        <v>2469</v>
      </c>
      <c r="D23" s="177" t="s">
        <v>929</v>
      </c>
      <c r="E23" s="38">
        <f>IF(MONTH(E19)&gt;8, DATE(YEAR(E19)+1, 8, 1), DATE(YEAR(E19), 8, 1))</f>
        <v>44044</v>
      </c>
      <c r="BY23" s="42"/>
      <c r="CA23" s="42"/>
      <c r="CE23" s="42"/>
      <c r="EX23" s="10" t="str">
        <f t="shared" si="0"/>
        <v>First day of monthly actuals calculated:</v>
      </c>
    </row>
    <row r="24" spans="1:154" s="335" customFormat="1" ht="6.6" customHeight="1" x14ac:dyDescent="0.25">
      <c r="C24" s="340"/>
      <c r="D24" s="1"/>
      <c r="BM24" s="6"/>
      <c r="BY24" s="42"/>
      <c r="CA24" s="42"/>
      <c r="CE24" s="42"/>
      <c r="EX24" s="10" t="str">
        <f t="shared" si="0"/>
        <v/>
      </c>
    </row>
    <row r="25" spans="1:154" s="335" customFormat="1" ht="15.75" x14ac:dyDescent="0.3">
      <c r="B25" s="105" t="s">
        <v>335</v>
      </c>
      <c r="C25" s="340" t="s">
        <v>2470</v>
      </c>
      <c r="D25" s="1" t="s">
        <v>922</v>
      </c>
      <c r="E25" s="38">
        <f>EOMONTH(E23,Parameters!$D$14-1)</f>
        <v>44530</v>
      </c>
      <c r="BY25" s="42"/>
      <c r="CA25" s="42"/>
      <c r="CE25" s="42"/>
      <c r="EX25" s="10" t="str">
        <f t="shared" si="0"/>
        <v>Maximum last date of actuals:</v>
      </c>
    </row>
    <row r="26" spans="1:154" ht="6.6" customHeight="1" x14ac:dyDescent="0.25">
      <c r="B26" s="335"/>
      <c r="C26" s="340"/>
      <c r="D26" s="1"/>
      <c r="E26" s="67"/>
      <c r="BM26" s="6"/>
      <c r="BY26" s="42"/>
      <c r="CA26" s="42"/>
      <c r="CB26" s="335"/>
      <c r="CE26" s="42"/>
      <c r="CG26" s="335"/>
      <c r="EX26" s="10" t="str">
        <f t="shared" si="0"/>
        <v/>
      </c>
    </row>
    <row r="27" spans="1:154" s="335" customFormat="1" ht="15.75" x14ac:dyDescent="0.3">
      <c r="B27" s="105" t="s">
        <v>335</v>
      </c>
      <c r="C27" s="340" t="s">
        <v>2471</v>
      </c>
      <c r="D27" s="177" t="s">
        <v>930</v>
      </c>
      <c r="E27" s="38">
        <f>MIN(IF(EOMONTH(E21, 0)=E21, E21, EOMONTH(E21, -1)), E25)</f>
        <v>44377</v>
      </c>
      <c r="BY27" s="42"/>
      <c r="CA27" s="42"/>
      <c r="CE27" s="42"/>
      <c r="EX27" s="10" t="str">
        <f t="shared" si="0"/>
        <v>Last day of monthly actuals calculated:</v>
      </c>
    </row>
    <row r="28" spans="1:154" s="335" customFormat="1" ht="6.6" customHeight="1" x14ac:dyDescent="0.25">
      <c r="C28" s="340"/>
      <c r="D28" s="1"/>
      <c r="BM28" s="6"/>
      <c r="BY28" s="42"/>
      <c r="CA28" s="42"/>
      <c r="CE28" s="42"/>
      <c r="EX28" s="10" t="str">
        <f t="shared" si="0"/>
        <v/>
      </c>
    </row>
    <row r="29" spans="1:154" s="335" customFormat="1" ht="15.75" x14ac:dyDescent="0.3">
      <c r="B29" s="105" t="s">
        <v>335</v>
      </c>
      <c r="C29" s="340" t="s">
        <v>2472</v>
      </c>
      <c r="D29" s="177" t="s">
        <v>2497</v>
      </c>
      <c r="E29" s="430">
        <v>1</v>
      </c>
      <c r="BY29" s="42"/>
      <c r="CA29" s="42"/>
      <c r="CE29" s="42"/>
      <c r="EX29" s="10" t="str">
        <f t="shared" si="0"/>
        <v>Monthly breakdown provided for actuals for FY 2021:</v>
      </c>
    </row>
    <row r="30" spans="1:154" s="335" customFormat="1" ht="6.6" customHeight="1" x14ac:dyDescent="0.25">
      <c r="C30" s="340"/>
      <c r="D30" s="1"/>
      <c r="BM30" s="6"/>
      <c r="BY30" s="42"/>
      <c r="CA30" s="42"/>
      <c r="CE30" s="42"/>
      <c r="EX30" s="10" t="str">
        <f t="shared" si="0"/>
        <v/>
      </c>
    </row>
    <row r="31" spans="1:154" s="335" customFormat="1" x14ac:dyDescent="0.25">
      <c r="A31" s="40"/>
      <c r="B31" s="40"/>
      <c r="C31" s="390"/>
      <c r="D31" s="40" t="s">
        <v>735</v>
      </c>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12"/>
      <c r="CA31" s="42"/>
      <c r="CE31" s="42"/>
      <c r="EX31" s="10" t="str">
        <f t="shared" si="0"/>
        <v/>
      </c>
    </row>
    <row r="32" spans="1:154" s="335" customFormat="1" ht="6.6" customHeight="1" x14ac:dyDescent="0.25">
      <c r="C32" s="340"/>
      <c r="D32" s="1"/>
      <c r="BM32" s="6"/>
      <c r="BY32" s="42"/>
      <c r="CA32" s="42"/>
      <c r="CE32" s="42"/>
      <c r="EX32" s="10" t="str">
        <f t="shared" si="0"/>
        <v/>
      </c>
    </row>
    <row r="33" spans="1:154" s="335" customFormat="1" x14ac:dyDescent="0.25">
      <c r="D33" s="5" t="s">
        <v>2343</v>
      </c>
      <c r="E33" s="1"/>
      <c r="BY33" s="42"/>
      <c r="CA33" s="42"/>
      <c r="CE33" s="42"/>
      <c r="EX33" s="10" t="str">
        <f t="shared" si="0"/>
        <v/>
      </c>
    </row>
    <row r="34" spans="1:154" s="335" customFormat="1" ht="15.75" x14ac:dyDescent="0.3">
      <c r="B34" s="105" t="s">
        <v>335</v>
      </c>
      <c r="D34" s="485">
        <f>DATE(YEAR($E$19)+1, 7, 31)</f>
        <v>44408</v>
      </c>
      <c r="E34" s="1"/>
      <c r="BY34" s="42"/>
      <c r="CA34" s="42"/>
      <c r="CE34" s="42"/>
      <c r="EX34" s="10" t="str">
        <f t="shared" si="0"/>
        <v/>
      </c>
    </row>
    <row r="35" spans="1:154" s="335" customFormat="1" x14ac:dyDescent="0.25">
      <c r="C35" s="340" t="s">
        <v>2350</v>
      </c>
      <c r="D35" s="335" t="s">
        <v>2341</v>
      </c>
      <c r="E35" s="263" t="str">
        <f ca="1">'Financial Health'!$W$28</f>
        <v>Outstanding</v>
      </c>
      <c r="BY35" s="42"/>
      <c r="CA35" s="42"/>
      <c r="CE35" s="42"/>
      <c r="EX35" s="13" t="str">
        <f>IF($C35="","",_xlfn.CONCAT(TEXT(D$34,"dd.yy.yyyy")," ",$D35))</f>
        <v>31.21.2021 Automated Financial Health Grade</v>
      </c>
    </row>
    <row r="36" spans="1:154" s="335" customFormat="1" ht="15.75" x14ac:dyDescent="0.3">
      <c r="B36" s="105" t="s">
        <v>335</v>
      </c>
      <c r="C36" s="340" t="s">
        <v>2351</v>
      </c>
      <c r="D36" s="335" t="s">
        <v>2342</v>
      </c>
      <c r="E36" s="263" t="str">
        <f>'Financial Health'!$W$30</f>
        <v>Outstanding</v>
      </c>
      <c r="BY36" s="42"/>
      <c r="CA36" s="42"/>
      <c r="CE36" s="42"/>
      <c r="EX36" s="13" t="str">
        <f>IF($C36="","",_xlfn.CONCAT(TEXT(D$34,"dd.yy.yyyy")," ",$D36))</f>
        <v xml:space="preserve">31.21.2021 Financial Health Grade Self-Assessment </v>
      </c>
    </row>
    <row r="37" spans="1:154" s="335" customFormat="1" ht="6.6" customHeight="1" x14ac:dyDescent="0.25">
      <c r="C37" s="340"/>
      <c r="D37" s="1"/>
      <c r="BM37" s="6"/>
      <c r="BY37" s="42"/>
      <c r="CA37" s="42"/>
      <c r="CE37" s="42"/>
      <c r="EX37" s="10" t="str">
        <f t="shared" si="0"/>
        <v/>
      </c>
    </row>
    <row r="38" spans="1:154" s="335" customFormat="1" x14ac:dyDescent="0.25">
      <c r="D38" s="485">
        <f>DATE(YEAR($E$19)+2, 7, 31)</f>
        <v>44773</v>
      </c>
      <c r="E38" s="1"/>
      <c r="BY38" s="42"/>
      <c r="CA38" s="42"/>
      <c r="CE38" s="42"/>
      <c r="EX38" s="10" t="str">
        <f t="shared" si="0"/>
        <v/>
      </c>
    </row>
    <row r="39" spans="1:154" s="335" customFormat="1" x14ac:dyDescent="0.25">
      <c r="C39" s="340" t="s">
        <v>2352</v>
      </c>
      <c r="D39" s="335" t="s">
        <v>2341</v>
      </c>
      <c r="E39" s="263" t="str">
        <f ca="1">'Financial Health'!$X$28</f>
        <v>Outstanding</v>
      </c>
      <c r="BY39" s="42"/>
      <c r="CA39" s="42"/>
      <c r="CE39" s="42"/>
      <c r="EX39" s="13" t="str">
        <f>IF($C39="","",_xlfn.CONCAT(TEXT(D$38,"dd.yy.yyyy")," ",$D39))</f>
        <v>31.22.2022 Automated Financial Health Grade</v>
      </c>
    </row>
    <row r="40" spans="1:154" s="335" customFormat="1" ht="15.75" x14ac:dyDescent="0.3">
      <c r="B40" s="105" t="s">
        <v>335</v>
      </c>
      <c r="C40" s="340" t="s">
        <v>2353</v>
      </c>
      <c r="D40" s="335" t="s">
        <v>2342</v>
      </c>
      <c r="E40" s="263" t="str">
        <f>'Financial Health'!$X$30</f>
        <v>Outstanding</v>
      </c>
      <c r="BY40" s="42"/>
      <c r="CA40" s="42"/>
      <c r="CE40" s="42"/>
      <c r="EX40" s="13" t="str">
        <f>IF($C40="","",_xlfn.CONCAT(TEXT(D$38,"dd.yy.yyyy")," ",$D40))</f>
        <v xml:space="preserve">31.22.2022 Financial Health Grade Self-Assessment </v>
      </c>
    </row>
    <row r="41" spans="1:154" s="335" customFormat="1" ht="6.6" customHeight="1" x14ac:dyDescent="0.25">
      <c r="C41" s="340"/>
      <c r="D41" s="1"/>
      <c r="BM41" s="6"/>
      <c r="BY41" s="42"/>
      <c r="CA41" s="42"/>
      <c r="CE41" s="42"/>
      <c r="EX41" s="10" t="str">
        <f t="shared" si="0"/>
        <v/>
      </c>
    </row>
    <row r="42" spans="1:154" s="335" customFormat="1" x14ac:dyDescent="0.25">
      <c r="D42" s="485">
        <f>DATE(YEAR($E$19)+3, 7, 31)</f>
        <v>45138</v>
      </c>
      <c r="E42" s="1"/>
      <c r="BY42" s="42"/>
      <c r="CA42" s="42"/>
      <c r="CE42" s="42"/>
      <c r="EX42" s="10" t="str">
        <f t="shared" si="0"/>
        <v/>
      </c>
    </row>
    <row r="43" spans="1:154" s="335" customFormat="1" x14ac:dyDescent="0.25">
      <c r="C43" s="340" t="s">
        <v>2354</v>
      </c>
      <c r="D43" s="335" t="s">
        <v>2341</v>
      </c>
      <c r="E43" s="263" t="str">
        <f ca="1">'Financial Health'!$Y$28</f>
        <v>Outstanding</v>
      </c>
      <c r="BY43" s="42"/>
      <c r="CA43" s="42"/>
      <c r="CE43" s="42"/>
      <c r="EX43" s="13" t="str">
        <f>IF($C43="","",_xlfn.CONCAT(TEXT(D$42,"dd.yy.yyyy")," ",$D43))</f>
        <v>31.23.2023 Automated Financial Health Grade</v>
      </c>
    </row>
    <row r="44" spans="1:154" s="335" customFormat="1" ht="15.75" x14ac:dyDescent="0.3">
      <c r="B44" s="105" t="s">
        <v>335</v>
      </c>
      <c r="C44" s="340" t="s">
        <v>2355</v>
      </c>
      <c r="D44" s="335" t="s">
        <v>2342</v>
      </c>
      <c r="E44" s="263" t="str">
        <f>'Financial Health'!$Y$30</f>
        <v>Outstanding</v>
      </c>
      <c r="BY44" s="42"/>
      <c r="CA44" s="42"/>
      <c r="CE44" s="42"/>
      <c r="EX44" s="13" t="str">
        <f>IF($C44="","",_xlfn.CONCAT(TEXT(D$42,"dd.yy.yyyy")," ",$D44))</f>
        <v xml:space="preserve">31.23.2023 Financial Health Grade Self-Assessment </v>
      </c>
    </row>
    <row r="45" spans="1:154" s="335" customFormat="1" ht="6.6" customHeight="1" x14ac:dyDescent="0.25">
      <c r="C45" s="340"/>
      <c r="D45" s="1"/>
      <c r="BM45" s="6"/>
      <c r="BY45" s="42"/>
      <c r="CA45" s="42"/>
      <c r="CE45" s="42"/>
      <c r="EX45" s="10" t="str">
        <f t="shared" si="0"/>
        <v/>
      </c>
    </row>
    <row r="46" spans="1:154" x14ac:dyDescent="0.25">
      <c r="A46" s="40"/>
      <c r="B46" s="40"/>
      <c r="C46" s="390"/>
      <c r="D46" s="40" t="s">
        <v>636</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2"/>
      <c r="CA46" s="42"/>
      <c r="CB46" s="335"/>
      <c r="CE46" s="42"/>
      <c r="EX46" s="10" t="str">
        <f t="shared" si="0"/>
        <v/>
      </c>
    </row>
    <row r="47" spans="1:154" ht="6.6" customHeight="1" x14ac:dyDescent="0.25">
      <c r="C47" s="340"/>
      <c r="D47" s="1"/>
      <c r="E47" s="67"/>
      <c r="BM47" s="6"/>
      <c r="BY47" s="42"/>
      <c r="CA47" s="42"/>
      <c r="CB47" s="335"/>
      <c r="CE47" s="42"/>
      <c r="EX47" s="10" t="str">
        <f t="shared" si="0"/>
        <v/>
      </c>
    </row>
    <row r="48" spans="1:154" x14ac:dyDescent="0.25">
      <c r="C48" s="340" t="s">
        <v>2473</v>
      </c>
      <c r="D48" s="1" t="s">
        <v>637</v>
      </c>
      <c r="E48" s="397"/>
      <c r="BY48" s="42"/>
      <c r="CA48" s="42"/>
      <c r="CB48" s="335"/>
      <c r="CE48" s="42"/>
      <c r="EX48" s="10" t="str">
        <f t="shared" si="0"/>
        <v>Name of College merged with</v>
      </c>
    </row>
    <row r="49" spans="1:154" x14ac:dyDescent="0.25">
      <c r="C49" s="340" t="s">
        <v>2474</v>
      </c>
      <c r="D49" s="194" t="str">
        <f>CONCATENATE("Is ",CollegeNameInput, " the acquiring college?")</f>
        <v>Is HALESOWEN COLLEGE the acquiring college?</v>
      </c>
      <c r="E49" s="430"/>
      <c r="BY49" s="12"/>
      <c r="CA49" s="12"/>
      <c r="CE49" s="42"/>
      <c r="EX49" s="10" t="str">
        <f t="shared" si="0"/>
        <v>Is HALESOWEN COLLEGE the acquiring college?</v>
      </c>
    </row>
    <row r="50" spans="1:154" x14ac:dyDescent="0.25">
      <c r="A50" s="335"/>
      <c r="C50" s="340" t="s">
        <v>2475</v>
      </c>
      <c r="D50" s="194" t="s">
        <v>2513</v>
      </c>
      <c r="E50" s="197"/>
      <c r="BY50" s="42"/>
      <c r="BZ50" s="395">
        <f>IF(E50="", 0, IF(AND(E50&gt;=$E$23, E50&lt;=$E$27), 0, 1))</f>
        <v>0</v>
      </c>
      <c r="CA50" s="42"/>
      <c r="CB50" s="335"/>
      <c r="CE50" s="42"/>
      <c r="EX50" s="10" t="str">
        <f t="shared" si="0"/>
        <v>Merger date:</v>
      </c>
    </row>
    <row r="51" spans="1:154" ht="6.6" customHeight="1" x14ac:dyDescent="0.25">
      <c r="C51" s="340"/>
      <c r="D51" s="1"/>
      <c r="E51" s="67"/>
      <c r="BM51" s="6"/>
      <c r="BY51" s="42"/>
      <c r="CA51" s="42"/>
      <c r="CE51" s="42"/>
      <c r="EX51" s="10" t="str">
        <f t="shared" si="0"/>
        <v/>
      </c>
    </row>
    <row r="52" spans="1:154" s="335" customFormat="1" x14ac:dyDescent="0.25">
      <c r="A52" s="40"/>
      <c r="B52" s="40"/>
      <c r="C52" s="390"/>
      <c r="D52" s="40" t="s">
        <v>2344</v>
      </c>
      <c r="E52" s="40"/>
      <c r="F52" s="40" t="s">
        <v>2361</v>
      </c>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2"/>
      <c r="CA52" s="42"/>
      <c r="CE52" s="42"/>
      <c r="EX52" s="10" t="str">
        <f t="shared" si="0"/>
        <v/>
      </c>
    </row>
    <row r="53" spans="1:154" s="335" customFormat="1" ht="6.6" customHeight="1" x14ac:dyDescent="0.25">
      <c r="C53" s="340"/>
      <c r="D53" s="1"/>
      <c r="BM53" s="6"/>
      <c r="BY53" s="42"/>
      <c r="CA53" s="42"/>
      <c r="CE53" s="42"/>
      <c r="EX53" s="10" t="str">
        <f t="shared" si="0"/>
        <v/>
      </c>
    </row>
    <row r="54" spans="1:154" s="335" customFormat="1" ht="45" x14ac:dyDescent="0.25">
      <c r="C54" s="340" t="s">
        <v>2476</v>
      </c>
      <c r="D54" s="162" t="s">
        <v>2498</v>
      </c>
      <c r="E54" s="430">
        <v>1</v>
      </c>
      <c r="F54" s="74" t="s">
        <v>2360</v>
      </c>
      <c r="BY54" s="42"/>
      <c r="CA54" s="42"/>
      <c r="CE54" s="42"/>
      <c r="EX54" s="10" t="str">
        <f t="shared" si="0"/>
        <v>I confirm that the most appropriate financial health grade for each of the three years is as shown above.</v>
      </c>
    </row>
    <row r="55" spans="1:154" s="335" customFormat="1" ht="6.6" customHeight="1" x14ac:dyDescent="0.25">
      <c r="C55" s="391"/>
      <c r="D55" s="69"/>
      <c r="F55" s="162"/>
      <c r="BM55" s="6"/>
      <c r="BY55" s="42"/>
      <c r="CA55" s="42"/>
      <c r="CE55" s="42"/>
      <c r="EX55" s="10" t="str">
        <f t="shared" si="0"/>
        <v/>
      </c>
    </row>
    <row r="56" spans="1:154" s="335" customFormat="1" ht="45" x14ac:dyDescent="0.25">
      <c r="C56" s="340" t="s">
        <v>2477</v>
      </c>
      <c r="D56" s="69" t="str">
        <f>CONCATENATE("I confirm that this return is consistent with the college's budget for the year ending  ", TEXT(D38,"dd-mmm-yyyy"), " and that this budget has been approved by the governing body.")</f>
        <v>I confirm that this return is consistent with the college's budget for the year ending  31-Jul-2022 and that this budget has been approved by the governing body.</v>
      </c>
      <c r="E56" s="430">
        <v>1</v>
      </c>
      <c r="F56" s="74" t="s">
        <v>2360</v>
      </c>
      <c r="BY56" s="42"/>
      <c r="CA56" s="42"/>
      <c r="CE56" s="42"/>
      <c r="EX56" s="10" t="str">
        <f t="shared" si="0"/>
        <v>I confirm that this return is consistent with the college's budget for the year ending  31-Jul-2022 and that this budget has been approved by the governing body.</v>
      </c>
    </row>
    <row r="57" spans="1:154" s="335" customFormat="1" ht="6.6" customHeight="1" x14ac:dyDescent="0.25">
      <c r="C57" s="391"/>
      <c r="D57" s="69"/>
      <c r="F57" s="162"/>
      <c r="BM57" s="6"/>
      <c r="BY57" s="42"/>
      <c r="CA57" s="42"/>
      <c r="CE57" s="42"/>
      <c r="EX57" s="10" t="str">
        <f t="shared" si="0"/>
        <v/>
      </c>
    </row>
    <row r="58" spans="1:154" s="335" customFormat="1" ht="45" x14ac:dyDescent="0.25">
      <c r="C58" s="340" t="s">
        <v>2478</v>
      </c>
      <c r="D58" s="69" t="s">
        <v>2514</v>
      </c>
      <c r="E58" s="430">
        <v>1</v>
      </c>
      <c r="F58" s="74" t="s">
        <v>2360</v>
      </c>
      <c r="BY58" s="42"/>
      <c r="CA58" s="42"/>
      <c r="CE58" s="42"/>
      <c r="EX58" s="10" t="str">
        <f>IF($C58="","",$D58)</f>
        <v>I confirm that this return is consistent with the college's strategic plan and that the plan and accompanying commentary have been reviewed in accordance with the method agreed by the governing body. I agree that the data provided may be published by the Education and Skills Funding Agency.</v>
      </c>
    </row>
    <row r="59" spans="1:154" s="335" customFormat="1" ht="6.6" customHeight="1" x14ac:dyDescent="0.25">
      <c r="C59" s="391"/>
      <c r="D59" s="69"/>
      <c r="F59" s="162"/>
      <c r="BM59" s="6"/>
      <c r="BY59" s="42"/>
      <c r="CA59" s="42"/>
      <c r="CE59" s="42"/>
      <c r="EX59" s="10" t="str">
        <f t="shared" si="0"/>
        <v/>
      </c>
    </row>
    <row r="60" spans="1:154" s="335" customFormat="1" ht="45" x14ac:dyDescent="0.25">
      <c r="C60" s="340" t="s">
        <v>2479</v>
      </c>
      <c r="D60" s="69" t="s">
        <v>2380</v>
      </c>
      <c r="E60" s="430">
        <v>1</v>
      </c>
      <c r="F60" s="74" t="s">
        <v>2360</v>
      </c>
      <c r="BY60" s="42"/>
      <c r="CA60" s="42"/>
      <c r="CE60" s="42"/>
      <c r="EX60" s="10" t="str">
        <f t="shared" si="0"/>
        <v>I confirm that the supporting commentary has been prepared with due regard to the financial planning checklist in the College Financial Planning Handbook.</v>
      </c>
    </row>
    <row r="61" spans="1:154" s="335" customFormat="1" ht="6.6" customHeight="1" x14ac:dyDescent="0.25">
      <c r="C61" s="391"/>
      <c r="D61" s="69"/>
      <c r="F61" s="162"/>
      <c r="BM61" s="6"/>
      <c r="BY61" s="42"/>
      <c r="CA61" s="42"/>
      <c r="CE61" s="42"/>
      <c r="EX61" s="10" t="str">
        <f t="shared" si="0"/>
        <v/>
      </c>
    </row>
    <row r="62" spans="1:154" s="335" customFormat="1" ht="30" x14ac:dyDescent="0.25">
      <c r="C62" s="343" t="s">
        <v>2480</v>
      </c>
      <c r="D62" s="69" t="s">
        <v>2363</v>
      </c>
      <c r="E62" s="430">
        <v>1</v>
      </c>
      <c r="F62" s="74" t="s">
        <v>2364</v>
      </c>
      <c r="BY62" s="42"/>
      <c r="CA62" s="42"/>
      <c r="CE62" s="42"/>
      <c r="EX62" s="10" t="str">
        <f t="shared" si="0"/>
        <v>I confirm that this return includes the capital project and reflects the project financing as per the capital grant application.</v>
      </c>
    </row>
    <row r="63" spans="1:154" s="335" customFormat="1" ht="6.6" customHeight="1" x14ac:dyDescent="0.25">
      <c r="C63" s="391"/>
      <c r="D63" s="69"/>
      <c r="F63" s="162"/>
      <c r="BM63" s="6"/>
      <c r="BY63" s="42"/>
      <c r="CA63" s="42"/>
      <c r="CE63" s="42"/>
      <c r="EX63" s="10" t="str">
        <f t="shared" si="0"/>
        <v/>
      </c>
    </row>
    <row r="64" spans="1:154" s="335" customFormat="1" ht="48.6" customHeight="1" x14ac:dyDescent="0.25">
      <c r="C64" s="340" t="s">
        <v>2481</v>
      </c>
      <c r="D64" s="69" t="str">
        <f>CONCATENATE("I confirm that the cash balance output in this return, as at ",TEXT(E21,"dd-mmm-yyyy"), " matches the college's reconciled actual cash position on that date.  Furthermore, that a bank reconciliation has been carried out on the indicated date and that there are no concerns or unresolved issues arising from the reconciliation itself or since.")</f>
        <v>I confirm that the cash balance output in this return, as at 30-Jun-2021 matches the college's reconciled actual cash position on that date.  Furthermore, that a bank reconciliation has been carried out on the indicated date and that there are no concerns or unresolved issues arising from the reconciliation itself or since.</v>
      </c>
      <c r="E64" s="430">
        <v>1</v>
      </c>
      <c r="F64" s="74" t="s">
        <v>2362</v>
      </c>
      <c r="BY64" s="42"/>
      <c r="CA64" s="42"/>
      <c r="CE64" s="42"/>
      <c r="EX64" s="10" t="str">
        <f t="shared" si="0"/>
        <v>I confirm that the cash balance output in this return, as at 30-Jun-2021 matches the college's reconciled actual cash position on that date.  Furthermore, that a bank reconciliation has been carried out on the indicated date and that there are no concerns or unresolved issues arising from the reconciliation itself or since.</v>
      </c>
    </row>
    <row r="65" spans="1:154" s="335" customFormat="1" ht="30" x14ac:dyDescent="0.25">
      <c r="C65" s="340" t="s">
        <v>2482</v>
      </c>
      <c r="D65" s="162" t="s">
        <v>2499</v>
      </c>
      <c r="E65" s="197">
        <v>44377</v>
      </c>
      <c r="F65" s="74" t="s">
        <v>2362</v>
      </c>
      <c r="BY65" s="42"/>
      <c r="CA65" s="42"/>
      <c r="CE65" s="42"/>
      <c r="EX65" s="10" t="str">
        <f t="shared" si="0"/>
        <v>Date of closest bank reconciliation:</v>
      </c>
    </row>
    <row r="66" spans="1:154" s="335" customFormat="1" ht="6.6" customHeight="1" x14ac:dyDescent="0.25">
      <c r="C66" s="391"/>
      <c r="D66" s="69"/>
      <c r="BM66" s="6"/>
      <c r="BY66" s="42"/>
      <c r="CA66" s="42"/>
      <c r="CE66" s="42"/>
      <c r="EX66" s="10" t="str">
        <f t="shared" si="0"/>
        <v/>
      </c>
    </row>
    <row r="67" spans="1:154" s="335" customFormat="1" x14ac:dyDescent="0.25">
      <c r="C67" s="162"/>
      <c r="D67" s="138" t="s">
        <v>2345</v>
      </c>
      <c r="E67" s="1"/>
      <c r="BY67" s="42"/>
      <c r="CA67" s="42"/>
      <c r="CE67" s="42"/>
      <c r="EX67" s="10" t="str">
        <f t="shared" si="0"/>
        <v/>
      </c>
    </row>
    <row r="68" spans="1:154" s="335" customFormat="1" ht="45" x14ac:dyDescent="0.25">
      <c r="C68" s="340" t="s">
        <v>2483</v>
      </c>
      <c r="D68" s="69" t="str">
        <f>CONCATENATE("In completing my name and date in lines with Ref. No. ", C70, " and ", C71," below, I confirm that this return is an honest and realistic reflection of the college’s financial position, the contents of this declaration sheet are correct, and that the typing of my name and date serve as my digital signature.")</f>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c r="E68" s="430">
        <v>1</v>
      </c>
      <c r="F68" s="74" t="s">
        <v>2362</v>
      </c>
      <c r="BY68" s="42"/>
      <c r="CA68" s="42"/>
      <c r="CE68" s="42"/>
      <c r="EX68" s="10" t="str">
        <f t="shared" si="0"/>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row>
    <row r="69" spans="1:154" s="335" customFormat="1" ht="6.6" customHeight="1" x14ac:dyDescent="0.25">
      <c r="C69" s="391"/>
      <c r="D69" s="1"/>
      <c r="BM69" s="6"/>
      <c r="BY69" s="42"/>
      <c r="CA69" s="42"/>
      <c r="CE69" s="42"/>
      <c r="EX69" s="10" t="str">
        <f t="shared" si="0"/>
        <v/>
      </c>
    </row>
    <row r="70" spans="1:154" s="335" customFormat="1" ht="30" x14ac:dyDescent="0.25">
      <c r="C70" s="340" t="s">
        <v>2484</v>
      </c>
      <c r="D70" s="229" t="s">
        <v>2346</v>
      </c>
      <c r="E70" s="486" t="s">
        <v>2570</v>
      </c>
      <c r="F70" s="74" t="s">
        <v>2362</v>
      </c>
      <c r="BY70" s="42"/>
      <c r="CA70" s="42"/>
      <c r="CE70" s="42"/>
      <c r="EX70" s="10" t="str">
        <f t="shared" si="0"/>
        <v>Name:</v>
      </c>
    </row>
    <row r="71" spans="1:154" s="335" customFormat="1" ht="30" x14ac:dyDescent="0.25">
      <c r="C71" s="340" t="s">
        <v>2485</v>
      </c>
      <c r="D71" s="229" t="s">
        <v>2347</v>
      </c>
      <c r="E71" s="197">
        <v>44392</v>
      </c>
      <c r="F71" s="74" t="s">
        <v>2362</v>
      </c>
      <c r="BY71" s="42"/>
      <c r="CA71" s="42"/>
      <c r="CE71" s="42"/>
      <c r="EX71" s="10" t="str">
        <f t="shared" si="0"/>
        <v>Date:</v>
      </c>
    </row>
    <row r="72" spans="1:154" s="335" customFormat="1" ht="30" x14ac:dyDescent="0.25">
      <c r="C72" s="340" t="s">
        <v>2486</v>
      </c>
      <c r="D72" s="229" t="s">
        <v>2500</v>
      </c>
      <c r="E72" s="486" t="s">
        <v>2571</v>
      </c>
      <c r="F72" s="74" t="s">
        <v>2362</v>
      </c>
      <c r="BY72" s="42"/>
      <c r="CA72" s="42"/>
      <c r="CE72" s="42"/>
      <c r="EX72" s="10" t="str">
        <f t="shared" si="0"/>
        <v>Name of contact for queries (if different):</v>
      </c>
    </row>
    <row r="73" spans="1:154" s="335" customFormat="1" ht="30" x14ac:dyDescent="0.25">
      <c r="C73" s="340" t="s">
        <v>2487</v>
      </c>
      <c r="D73" s="229" t="s">
        <v>2348</v>
      </c>
      <c r="E73" s="544" t="s">
        <v>2572</v>
      </c>
      <c r="F73" s="74" t="s">
        <v>2362</v>
      </c>
      <c r="BY73" s="42"/>
      <c r="CA73" s="42"/>
      <c r="CE73" s="42"/>
      <c r="EX73" s="10" t="str">
        <f t="shared" si="0"/>
        <v>Telephone Number:</v>
      </c>
    </row>
    <row r="74" spans="1:154" s="335" customFormat="1" ht="45" x14ac:dyDescent="0.25">
      <c r="C74" s="340" t="s">
        <v>2488</v>
      </c>
      <c r="D74" s="229" t="s">
        <v>2349</v>
      </c>
      <c r="E74" s="486" t="s">
        <v>2573</v>
      </c>
      <c r="F74" s="74" t="s">
        <v>2362</v>
      </c>
      <c r="BY74" s="42"/>
      <c r="CA74" s="42"/>
      <c r="CE74" s="42"/>
      <c r="EX74" s="10" t="str">
        <f t="shared" si="0"/>
        <v>Email Address:</v>
      </c>
    </row>
    <row r="75" spans="1:154" s="335" customFormat="1" ht="6.6" customHeight="1" x14ac:dyDescent="0.25">
      <c r="C75" s="391"/>
      <c r="D75" s="1"/>
      <c r="BM75" s="6"/>
      <c r="BY75" s="42"/>
      <c r="CA75" s="42"/>
      <c r="CE75" s="42"/>
      <c r="EX75" s="10" t="str">
        <f t="shared" si="0"/>
        <v/>
      </c>
    </row>
    <row r="76" spans="1:154" x14ac:dyDescent="0.25">
      <c r="A76" s="12" t="s">
        <v>88</v>
      </c>
      <c r="B76" s="12" t="s">
        <v>88</v>
      </c>
      <c r="C76" s="12" t="s">
        <v>88</v>
      </c>
      <c r="D76" s="12" t="s">
        <v>88</v>
      </c>
      <c r="E76" s="28" t="s">
        <v>88</v>
      </c>
      <c r="F76" s="12" t="s">
        <v>88</v>
      </c>
      <c r="G76" s="12" t="s">
        <v>88</v>
      </c>
      <c r="H76" s="12" t="s">
        <v>88</v>
      </c>
      <c r="I76" s="12" t="s">
        <v>88</v>
      </c>
      <c r="J76" s="12" t="s">
        <v>88</v>
      </c>
      <c r="K76" s="12" t="s">
        <v>88</v>
      </c>
      <c r="L76" s="12" t="s">
        <v>88</v>
      </c>
      <c r="M76" s="12" t="s">
        <v>88</v>
      </c>
      <c r="N76" s="12" t="s">
        <v>88</v>
      </c>
      <c r="O76" s="12" t="s">
        <v>88</v>
      </c>
      <c r="P76" s="12" t="s">
        <v>88</v>
      </c>
      <c r="Q76" s="12" t="s">
        <v>88</v>
      </c>
      <c r="R76" s="12" t="s">
        <v>88</v>
      </c>
      <c r="S76" s="12"/>
      <c r="T76" s="12" t="s">
        <v>88</v>
      </c>
      <c r="U76" s="12" t="s">
        <v>88</v>
      </c>
      <c r="V76" s="12" t="s">
        <v>88</v>
      </c>
      <c r="W76" s="12" t="s">
        <v>88</v>
      </c>
      <c r="X76" s="12"/>
      <c r="Y76" s="12"/>
      <c r="Z76" s="12" t="s">
        <v>88</v>
      </c>
      <c r="AA76" s="12" t="s">
        <v>88</v>
      </c>
      <c r="AB76" s="12" t="s">
        <v>88</v>
      </c>
      <c r="AC76" s="12" t="s">
        <v>88</v>
      </c>
      <c r="AD76" s="12" t="s">
        <v>88</v>
      </c>
      <c r="AE76" s="12" t="s">
        <v>88</v>
      </c>
      <c r="AF76" s="12" t="s">
        <v>88</v>
      </c>
      <c r="AG76" s="12" t="s">
        <v>88</v>
      </c>
      <c r="AH76" s="12" t="s">
        <v>88</v>
      </c>
      <c r="AI76" s="12" t="s">
        <v>88</v>
      </c>
      <c r="AJ76" s="12" t="s">
        <v>88</v>
      </c>
      <c r="AK76" s="12" t="s">
        <v>88</v>
      </c>
      <c r="AL76" s="12" t="s">
        <v>88</v>
      </c>
      <c r="AM76" s="12" t="s">
        <v>88</v>
      </c>
      <c r="AN76" s="12" t="s">
        <v>88</v>
      </c>
      <c r="AO76" s="12" t="s">
        <v>88</v>
      </c>
      <c r="AP76" s="12" t="s">
        <v>88</v>
      </c>
      <c r="AQ76" s="12" t="s">
        <v>88</v>
      </c>
      <c r="AR76" s="12" t="s">
        <v>88</v>
      </c>
      <c r="AS76" s="12" t="s">
        <v>88</v>
      </c>
      <c r="AT76" s="12" t="s">
        <v>88</v>
      </c>
      <c r="AU76" s="12" t="s">
        <v>88</v>
      </c>
      <c r="AV76" s="12" t="s">
        <v>88</v>
      </c>
      <c r="AW76" s="12" t="s">
        <v>88</v>
      </c>
      <c r="AX76" s="12" t="s">
        <v>88</v>
      </c>
      <c r="AY76" s="12" t="s">
        <v>88</v>
      </c>
      <c r="AZ76" s="12" t="s">
        <v>88</v>
      </c>
      <c r="BA76" s="12" t="s">
        <v>88</v>
      </c>
      <c r="BB76" s="12" t="s">
        <v>88</v>
      </c>
      <c r="BC76" s="12" t="s">
        <v>88</v>
      </c>
      <c r="BD76" s="12" t="s">
        <v>88</v>
      </c>
      <c r="BE76" s="12" t="s">
        <v>88</v>
      </c>
      <c r="BF76" s="12" t="s">
        <v>88</v>
      </c>
      <c r="BG76" s="12" t="s">
        <v>88</v>
      </c>
      <c r="BH76" s="12" t="s">
        <v>88</v>
      </c>
      <c r="BI76" s="12" t="s">
        <v>88</v>
      </c>
      <c r="BJ76" s="12" t="s">
        <v>88</v>
      </c>
      <c r="BK76" s="12" t="s">
        <v>88</v>
      </c>
      <c r="BL76" s="12" t="s">
        <v>88</v>
      </c>
      <c r="BM76" s="12" t="s">
        <v>88</v>
      </c>
      <c r="BN76" s="12" t="s">
        <v>88</v>
      </c>
      <c r="BO76" s="12" t="s">
        <v>88</v>
      </c>
      <c r="BP76" s="12" t="s">
        <v>88</v>
      </c>
      <c r="BQ76" s="12" t="s">
        <v>88</v>
      </c>
      <c r="BR76" s="12" t="s">
        <v>88</v>
      </c>
      <c r="BS76" s="12" t="s">
        <v>88</v>
      </c>
      <c r="BT76" s="12" t="s">
        <v>88</v>
      </c>
      <c r="BU76" s="12" t="s">
        <v>88</v>
      </c>
      <c r="BV76" s="12" t="s">
        <v>88</v>
      </c>
      <c r="BW76" s="12" t="s">
        <v>88</v>
      </c>
      <c r="BX76" s="12" t="s">
        <v>88</v>
      </c>
      <c r="BY76" s="12" t="s">
        <v>88</v>
      </c>
      <c r="BZ76" s="12" t="s">
        <v>88</v>
      </c>
      <c r="CA76" s="12" t="s">
        <v>88</v>
      </c>
      <c r="CB76" s="12" t="s">
        <v>88</v>
      </c>
      <c r="CC76" s="12" t="s">
        <v>88</v>
      </c>
      <c r="CD76" s="12"/>
      <c r="CE76" s="12" t="s">
        <v>88</v>
      </c>
      <c r="EX76" s="10" t="str">
        <f t="shared" si="0"/>
        <v>*</v>
      </c>
    </row>
  </sheetData>
  <sheetProtection algorithmName="SHA-512" hashValue="ej9+twq/POdLI08EiUxXz2V0WmgnUV8fCfmu8gzpAkLyVq5jVyX3SGccRRTNbD4bPW98bVpV85pVwPNsgaOa3w==" saltValue="/vccoLuKjuTiZzB3jeNk4w==" spinCount="100000" sheet="1" objects="1" scenarios="1"/>
  <mergeCells count="7">
    <mergeCell ref="BY1:BY6"/>
    <mergeCell ref="BZ3:BZ6"/>
    <mergeCell ref="CA1:CA6"/>
    <mergeCell ref="CE1:CE6"/>
    <mergeCell ref="CB3:CB6"/>
    <mergeCell ref="CC3:CC6"/>
    <mergeCell ref="CD3:CD6"/>
  </mergeCells>
  <phoneticPr fontId="9" type="noConversion"/>
  <conditionalFormatting sqref="A1">
    <cfRule type="cellIs" dxfId="2737" priority="113" operator="equal">
      <formula>0</formula>
    </cfRule>
    <cfRule type="cellIs" dxfId="2736" priority="114" operator="greaterThan">
      <formula>0</formula>
    </cfRule>
  </conditionalFormatting>
  <conditionalFormatting sqref="CD12:CD15">
    <cfRule type="cellIs" dxfId="2735" priority="71" operator="equal">
      <formula>0</formula>
    </cfRule>
    <cfRule type="cellIs" dxfId="2734" priority="72" operator="greaterThan">
      <formula>0</formula>
    </cfRule>
  </conditionalFormatting>
  <conditionalFormatting sqref="A21 A19">
    <cfRule type="cellIs" dxfId="2733" priority="75" operator="equal">
      <formula>0</formula>
    </cfRule>
    <cfRule type="cellIs" dxfId="2732" priority="76" operator="greaterThan">
      <formula>0</formula>
    </cfRule>
  </conditionalFormatting>
  <conditionalFormatting sqref="A2">
    <cfRule type="cellIs" dxfId="2731" priority="73" operator="equal">
      <formula>0</formula>
    </cfRule>
    <cfRule type="cellIs" dxfId="2730" priority="74" operator="greaterThan">
      <formula>0</formula>
    </cfRule>
  </conditionalFormatting>
  <conditionalFormatting sqref="A10">
    <cfRule type="cellIs" dxfId="2729" priority="79" operator="equal">
      <formula>0</formula>
    </cfRule>
    <cfRule type="cellIs" dxfId="2728" priority="80" operator="greaterThan">
      <formula>0</formula>
    </cfRule>
  </conditionalFormatting>
  <conditionalFormatting sqref="A12:A15">
    <cfRule type="cellIs" dxfId="2727" priority="69" operator="equal">
      <formula>0</formula>
    </cfRule>
    <cfRule type="cellIs" dxfId="2726" priority="70" operator="greaterThan">
      <formula>0</formula>
    </cfRule>
  </conditionalFormatting>
  <conditionalFormatting sqref="BZ50">
    <cfRule type="cellIs" dxfId="2725" priority="59" operator="greaterThan">
      <formula>0</formula>
    </cfRule>
    <cfRule type="cellIs" dxfId="2724" priority="60" operator="equal">
      <formula>0</formula>
    </cfRule>
  </conditionalFormatting>
  <conditionalFormatting sqref="BZ2">
    <cfRule type="cellIs" dxfId="2723" priority="57" operator="greaterThan">
      <formula>0</formula>
    </cfRule>
    <cfRule type="cellIs" dxfId="2722" priority="58" operator="equal">
      <formula>0</formula>
    </cfRule>
  </conditionalFormatting>
  <conditionalFormatting sqref="CC10">
    <cfRule type="cellIs" dxfId="2721" priority="53" operator="equal">
      <formula>0</formula>
    </cfRule>
    <cfRule type="cellIs" dxfId="2720" priority="54" operator="greaterThan">
      <formula>0</formula>
    </cfRule>
  </conditionalFormatting>
  <conditionalFormatting sqref="CB19">
    <cfRule type="cellIs" dxfId="2719" priority="51" operator="equal">
      <formula>0</formula>
    </cfRule>
    <cfRule type="cellIs" dxfId="2718" priority="52" operator="greaterThan">
      <formula>0</formula>
    </cfRule>
  </conditionalFormatting>
  <conditionalFormatting sqref="CB21">
    <cfRule type="cellIs" dxfId="2717" priority="49" operator="equal">
      <formula>0</formula>
    </cfRule>
    <cfRule type="cellIs" dxfId="2716" priority="50" operator="greaterThan">
      <formula>0</formula>
    </cfRule>
  </conditionalFormatting>
  <conditionalFormatting sqref="E35">
    <cfRule type="cellIs" dxfId="2715" priority="43" operator="equal">
      <formula>0</formula>
    </cfRule>
    <cfRule type="containsText" dxfId="2714" priority="44" operator="containsText" text="Outstanding">
      <formula>NOT(ISERROR(SEARCH("Outstanding",E35)))</formula>
    </cfRule>
    <cfRule type="containsText" dxfId="2713" priority="45" operator="containsText" text="Requires Improvement">
      <formula>NOT(ISERROR(SEARCH("Requires Improvement",E35)))</formula>
    </cfRule>
    <cfRule type="containsText" dxfId="2712" priority="46" operator="containsText" text="Inadequate">
      <formula>NOT(ISERROR(SEARCH("Inadequate",E35)))</formula>
    </cfRule>
    <cfRule type="containsText" dxfId="2711" priority="47" operator="containsText" text="Good">
      <formula>NOT(ISERROR(SEARCH("Good",E35)))</formula>
    </cfRule>
    <cfRule type="containsText" dxfId="2710" priority="48" operator="containsText" text="&quot;&quot;">
      <formula>NOT(ISERROR(SEARCH("""""",E35)))</formula>
    </cfRule>
  </conditionalFormatting>
  <conditionalFormatting sqref="E39">
    <cfRule type="cellIs" dxfId="2709" priority="31" operator="equal">
      <formula>0</formula>
    </cfRule>
    <cfRule type="containsText" dxfId="2708" priority="32" operator="containsText" text="Outstanding">
      <formula>NOT(ISERROR(SEARCH("Outstanding",E39)))</formula>
    </cfRule>
    <cfRule type="containsText" dxfId="2707" priority="33" operator="containsText" text="Requires Improvement">
      <formula>NOT(ISERROR(SEARCH("Requires Improvement",E39)))</formula>
    </cfRule>
    <cfRule type="containsText" dxfId="2706" priority="34" operator="containsText" text="Inadequate">
      <formula>NOT(ISERROR(SEARCH("Inadequate",E39)))</formula>
    </cfRule>
    <cfRule type="containsText" dxfId="2705" priority="35" operator="containsText" text="Good">
      <formula>NOT(ISERROR(SEARCH("Good",E39)))</formula>
    </cfRule>
    <cfRule type="containsText" dxfId="2704" priority="36" operator="containsText" text="&quot;&quot;">
      <formula>NOT(ISERROR(SEARCH("""""",E39)))</formula>
    </cfRule>
  </conditionalFormatting>
  <conditionalFormatting sqref="E36">
    <cfRule type="cellIs" dxfId="2703" priority="19" operator="equal">
      <formula>0</formula>
    </cfRule>
    <cfRule type="containsText" dxfId="2702" priority="20" operator="containsText" text="Outstanding">
      <formula>NOT(ISERROR(SEARCH("Outstanding",E36)))</formula>
    </cfRule>
    <cfRule type="containsText" dxfId="2701" priority="21" operator="containsText" text="Requires Improvement">
      <formula>NOT(ISERROR(SEARCH("Requires Improvement",E36)))</formula>
    </cfRule>
    <cfRule type="containsText" dxfId="2700" priority="22" operator="containsText" text="Inadequate">
      <formula>NOT(ISERROR(SEARCH("Inadequate",E36)))</formula>
    </cfRule>
    <cfRule type="containsText" dxfId="2699" priority="23" operator="containsText" text="Good">
      <formula>NOT(ISERROR(SEARCH("Good",E36)))</formula>
    </cfRule>
    <cfRule type="containsText" dxfId="2698" priority="24" operator="containsText" text="&quot;&quot;">
      <formula>NOT(ISERROR(SEARCH("""""",E36)))</formula>
    </cfRule>
  </conditionalFormatting>
  <conditionalFormatting sqref="E40">
    <cfRule type="cellIs" dxfId="2697" priority="13" operator="equal">
      <formula>0</formula>
    </cfRule>
    <cfRule type="containsText" dxfId="2696" priority="14" operator="containsText" text="Outstanding">
      <formula>NOT(ISERROR(SEARCH("Outstanding",E40)))</formula>
    </cfRule>
    <cfRule type="containsText" dxfId="2695" priority="15" operator="containsText" text="Requires Improvement">
      <formula>NOT(ISERROR(SEARCH("Requires Improvement",E40)))</formula>
    </cfRule>
    <cfRule type="containsText" dxfId="2694" priority="16" operator="containsText" text="Inadequate">
      <formula>NOT(ISERROR(SEARCH("Inadequate",E40)))</formula>
    </cfRule>
    <cfRule type="containsText" dxfId="2693" priority="17" operator="containsText" text="Good">
      <formula>NOT(ISERROR(SEARCH("Good",E40)))</formula>
    </cfRule>
    <cfRule type="containsText" dxfId="2692" priority="18" operator="containsText" text="&quot;&quot;">
      <formula>NOT(ISERROR(SEARCH("""""",E40)))</formula>
    </cfRule>
  </conditionalFormatting>
  <conditionalFormatting sqref="E43">
    <cfRule type="cellIs" dxfId="2691" priority="7" operator="equal">
      <formula>0</formula>
    </cfRule>
    <cfRule type="containsText" dxfId="2690" priority="8" operator="containsText" text="Outstanding">
      <formula>NOT(ISERROR(SEARCH("Outstanding",E43)))</formula>
    </cfRule>
    <cfRule type="containsText" dxfId="2689" priority="9" operator="containsText" text="Requires Improvement">
      <formula>NOT(ISERROR(SEARCH("Requires Improvement",E43)))</formula>
    </cfRule>
    <cfRule type="containsText" dxfId="2688" priority="10" operator="containsText" text="Inadequate">
      <formula>NOT(ISERROR(SEARCH("Inadequate",E43)))</formula>
    </cfRule>
    <cfRule type="containsText" dxfId="2687" priority="11" operator="containsText" text="Good">
      <formula>NOT(ISERROR(SEARCH("Good",E43)))</formula>
    </cfRule>
    <cfRule type="containsText" dxfId="2686" priority="12" operator="containsText" text="&quot;&quot;">
      <formula>NOT(ISERROR(SEARCH("""""",E43)))</formula>
    </cfRule>
  </conditionalFormatting>
  <conditionalFormatting sqref="E44">
    <cfRule type="cellIs" dxfId="2685" priority="1" operator="equal">
      <formula>0</formula>
    </cfRule>
    <cfRule type="containsText" dxfId="2684" priority="2" operator="containsText" text="Outstanding">
      <formula>NOT(ISERROR(SEARCH("Outstanding",E44)))</formula>
    </cfRule>
    <cfRule type="containsText" dxfId="2683" priority="3" operator="containsText" text="Requires Improvement">
      <formula>NOT(ISERROR(SEARCH("Requires Improvement",E44)))</formula>
    </cfRule>
    <cfRule type="containsText" dxfId="2682" priority="4" operator="containsText" text="Inadequate">
      <formula>NOT(ISERROR(SEARCH("Inadequate",E44)))</formula>
    </cfRule>
    <cfRule type="containsText" dxfId="2681" priority="5" operator="containsText" text="Good">
      <formula>NOT(ISERROR(SEARCH("Good",E44)))</formula>
    </cfRule>
    <cfRule type="containsText" dxfId="2680" priority="6" operator="containsText" text="&quot;&quot;">
      <formula>NOT(ISERROR(SEARCH("""""",E44)))</formula>
    </cfRule>
  </conditionalFormatting>
  <dataValidations count="13">
    <dataValidation type="list" allowBlank="1" showInputMessage="1" showErrorMessage="1" sqref="E49 E29 E54 E56 E58 E64 E60 E68 E62" xr:uid="{810B15A6-BF07-48C8-90DB-35F22002DEED}">
      <formula1>List_YesNo</formula1>
    </dataValidation>
    <dataValidation allowBlank="1" showInputMessage="1" promptTitle="First day of actuals" prompt="The first day of actuals should be on the first day of the financial year, i.e. on 1st August. If a different date is selected the error flag will be triggered._x000a__x000a_It refers to the first date of monthly actuals (not the optional previous year entry)." sqref="B19" xr:uid="{32C54516-F431-4E3D-BEEE-CB171A61D2F7}"/>
    <dataValidation allowBlank="1" showInputMessage="1" promptTitle="Last day of actuals" prompt="Should be on the last day of the month._x000a__x000a_A maximum of 16 months of actuals from the calculated start date can be provided. _x000a__x000a_If the input date is not the last date of a month or is beyond the 16 month threshold, the error flag will be triggered." sqref="B21" xr:uid="{B118FF7E-3F4F-455F-B4E7-69757B8A949A}"/>
    <dataValidation allowBlank="1" showInputMessage="1" promptTitle="Valid College Name" prompt="This checks that a valid college name is selected from the dropdown menu. _x000a__x000a_If the college name entered is not found in the &quot;List of colleges&quot; the check will be triggered." sqref="CC7" xr:uid="{25597E6F-797E-4311-8DAC-BC14439066FD}"/>
    <dataValidation allowBlank="1" showInputMessage="1" promptTitle="Maximum last date of actuals" prompt="Based on the &quot;First day of monthly actuals&quot; provided above, this is the latest possible day of actuals CFFR allows for._x000a__x000a_To roll forward the last date of actuals, you can adjust the first date of actuals so that the monthly actuals start at a later date." sqref="B25" xr:uid="{3E3C5719-4BD9-4121-B98A-4A2D87DD9730}"/>
    <dataValidation allowBlank="1" showInputMessage="1" promptTitle="1st day of monthly actuals calc." prompt="The CFFR applies this date as the starting date for Year 1. _x000a__x000a_In addition, there is an optional prior year field starting one year before Year 1." sqref="B23" xr:uid="{D304D54A-0366-41E6-BC4C-4B5CD46504D7}"/>
    <dataValidation allowBlank="1" showInputMessage="1" promptTitle="Last day of monthly actuals calc" prompt="The CFFR applies this date as the end date for Year 3. _x000a__x000a_In addition, there are 8 optional forecast years after year 3, that can be provided on an annual basis." sqref="B27" xr:uid="{1B55EA31-44AC-4B2C-AA52-5A434CF5AC48}"/>
    <dataValidation allowBlank="1" showInputMessage="1" promptTitle="Monthly data vs year to date" prompt="In the first year of CFFR release, users are allowed to enter actuals data on a year to date basis (in the last month of actuals) instead of providing monthly data. _x000a__x000a_If you are providing monthly breakdown of actuals select &quot;Yes&quot;; otherwise select &quot;No&quot;." sqref="B29" xr:uid="{CBD249CB-E2DC-471C-8AAF-AF600AAE6947}"/>
    <dataValidation allowBlank="1" showInputMessage="1" promptTitle="Valid College data" prompt="This checks that valid college data is given incl. college type, code, UPIN and UKPRN. " sqref="CD7" xr:uid="{3F736DF3-B70A-48DF-AFD4-A019CB7F8F95}"/>
    <dataValidation allowBlank="1" showInputMessage="1" promptTitle="Actuals Dates Check" prompt="This checks that the inputted first and last date of actuals match the calculated first and last date of actuals. If they are not the same, then they need to be adjusted for any of:_x000a_&gt; start on 1st Aug_x000a_&gt; end at month end_x000a_&gt; maximum 16 months of actuals" sqref="CB7" xr:uid="{7B7C2CFE-D840-4BB3-9A4E-0E1BB685C7BB}"/>
    <dataValidation allowBlank="1" showInputMessage="1" promptTitle="Mid Year Merger Date" prompt="This checks whether the date of mid year merger is during the actuals period." sqref="BZ7" xr:uid="{D4CD26C6-0B09-438C-8DB7-0B0E77A19CFB}"/>
    <dataValidation allowBlank="1" showInputMessage="1" promptTitle="Financial Health Self-Assessment" prompt="To be filled in on the &quot;Financial Health&quot; sheet." sqref="B36 B40 B44" xr:uid="{4687FD2B-E208-4EAA-AA8C-88723788DE87}"/>
    <dataValidation type="date" operator="greaterThan" allowBlank="1" showInputMessage="1" showErrorMessage="1" error="Please enter your date in dd/mm/yyyy or dd-mon-yy format." sqref="E19 E21 E50 E65 E71" xr:uid="{F2C0EEFA-32E5-4A26-9F9F-FCBAFDCF5A9A}">
      <formula1>18264</formula1>
    </dataValidation>
  </dataValidations>
  <printOptions headings="1"/>
  <pageMargins left="0.70866141732283472" right="0.70866141732283472" top="0.74803149606299213" bottom="0.74803149606299213" header="0.31496062992125984" footer="0.31496062992125984"/>
  <pageSetup paperSize="9" scale="76" fitToWidth="0"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9F56BDE-13A7-45BB-A2DE-878C24E4FA1B}">
          <x14:formula1>
            <xm:f>'List of Colleges'!$A$2:$A$242</xm:f>
          </x14:formula1>
          <xm:sqref>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C953D-0339-4C4A-AB8A-9F869ED37CC6}">
  <sheetPr codeName="Sheet17">
    <tabColor theme="7" tint="0.59999389629810485"/>
    <outlinePr summaryBelow="0" summaryRight="0"/>
    <pageSetUpPr autoPageBreaks="0"/>
  </sheetPr>
  <dimension ref="A1:EX26"/>
  <sheetViews>
    <sheetView showGridLines="0" zoomScaleNormal="100" workbookViewId="0">
      <pane xSplit="8" ySplit="7" topLeftCell="I17" activePane="bottomRight" state="frozen"/>
      <selection pane="topRight"/>
      <selection pane="bottomLeft"/>
      <selection pane="bottomRight" activeCell="CC32" sqref="CC32"/>
    </sheetView>
  </sheetViews>
  <sheetFormatPr defaultColWidth="8.5703125" defaultRowHeight="15" outlineLevelCol="1" x14ac:dyDescent="0.25"/>
  <cols>
    <col min="1" max="1" width="6.5703125" style="266" bestFit="1" customWidth="1" collapsed="1"/>
    <col min="2" max="3" width="9.42578125" style="266" bestFit="1" customWidth="1"/>
    <col min="4" max="4" width="48.42578125" style="266" customWidth="1" collapsed="1"/>
    <col min="5" max="5" width="19.42578125" style="1" hidden="1" customWidth="1" outlineLevel="1"/>
    <col min="6" max="6" width="1.5703125" style="266" customWidth="1"/>
    <col min="7" max="7" width="6.85546875" style="266" bestFit="1" customWidth="1"/>
    <col min="8" max="8" width="2" style="266" bestFit="1" customWidth="1"/>
    <col min="9" max="9" width="3" style="266" bestFit="1" customWidth="1" collapsed="1"/>
    <col min="10" max="10" width="8.5703125" style="266" hidden="1" customWidth="1" outlineLevel="1" collapsed="1"/>
    <col min="11" max="18" width="8.5703125" style="266" hidden="1" customWidth="1" outlineLevel="1"/>
    <col min="19" max="19" width="3" style="266" hidden="1" customWidth="1" outlineLevel="1"/>
    <col min="20" max="20" width="11.5703125" style="266" hidden="1" customWidth="1" outlineLevel="1"/>
    <col min="21" max="21" width="9.5703125" style="266" hidden="1" customWidth="1" outlineLevel="1"/>
    <col min="22" max="24" width="9.42578125" style="266" bestFit="1" customWidth="1"/>
    <col min="25" max="25" width="9.42578125" style="266" bestFit="1" customWidth="1" collapsed="1"/>
    <col min="26" max="26" width="2" style="266" hidden="1" customWidth="1" outlineLevel="1"/>
    <col min="27" max="27" width="18" style="266" hidden="1" customWidth="1" outlineLevel="1"/>
    <col min="28" max="29" width="9.42578125" style="266" hidden="1" customWidth="1" outlineLevel="1"/>
    <col min="30" max="30" width="9.5703125" style="266" hidden="1" customWidth="1" outlineLevel="1"/>
    <col min="31" max="33" width="9.42578125" style="266" hidden="1" customWidth="1" outlineLevel="1"/>
    <col min="34" max="34" width="9.5703125" style="266" hidden="1" customWidth="1" outlineLevel="1"/>
    <col min="35" max="35" width="9.42578125" style="266" hidden="1" customWidth="1" outlineLevel="1"/>
    <col min="36" max="36" width="10.42578125" style="266" hidden="1" customWidth="1" outlineLevel="1"/>
    <col min="37" max="37" width="9.42578125" style="266" hidden="1" customWidth="1" outlineLevel="1"/>
    <col min="38" max="38" width="8.5703125" style="266" hidden="1" customWidth="1" outlineLevel="1"/>
    <col min="39" max="39" width="9.5703125" style="266" hidden="1" customWidth="1" outlineLevel="1"/>
    <col min="40" max="41" width="9.42578125" style="266" hidden="1" customWidth="1" outlineLevel="1"/>
    <col min="42" max="42" width="9.5703125" style="266" hidden="1" customWidth="1" outlineLevel="1"/>
    <col min="43" max="45" width="9.42578125" style="266" hidden="1" customWidth="1" outlineLevel="1"/>
    <col min="46" max="46" width="9.5703125" style="266" hidden="1" customWidth="1" outlineLevel="1"/>
    <col min="47" max="47" width="9.42578125" style="266" hidden="1" customWidth="1" outlineLevel="1"/>
    <col min="48" max="48" width="10.42578125" style="266" hidden="1" customWidth="1" outlineLevel="1"/>
    <col min="49" max="49" width="9.42578125" style="266" hidden="1" customWidth="1" outlineLevel="1"/>
    <col min="50" max="50" width="8.5703125" style="266" hidden="1" customWidth="1" outlineLevel="1"/>
    <col min="51" max="51" width="9.5703125" style="266" hidden="1" customWidth="1" outlineLevel="1"/>
    <col min="52" max="53" width="9.42578125" style="266" hidden="1" customWidth="1" outlineLevel="1"/>
    <col min="54" max="54" width="9.5703125" style="266" hidden="1" customWidth="1" outlineLevel="1"/>
    <col min="55" max="57" width="9.42578125" style="266" hidden="1" customWidth="1" outlineLevel="1"/>
    <col min="58" max="58" width="9.5703125" style="266" hidden="1" customWidth="1" outlineLevel="1"/>
    <col min="59" max="59" width="9.42578125" style="266" hidden="1" customWidth="1" outlineLevel="1"/>
    <col min="60" max="60" width="10.42578125" style="266" hidden="1" customWidth="1" outlineLevel="1"/>
    <col min="61" max="61" width="9.42578125" style="266" hidden="1" customWidth="1" outlineLevel="1"/>
    <col min="62" max="62" width="8.5703125" style="266" hidden="1" customWidth="1" outlineLevel="1"/>
    <col min="63" max="63" width="2" style="266" hidden="1" customWidth="1" outlineLevel="1"/>
    <col min="64" max="64" width="9.5703125" style="266" hidden="1" customWidth="1" outlineLevel="1"/>
    <col min="65" max="65" width="10.5703125" style="266" hidden="1" customWidth="1" outlineLevel="1"/>
    <col min="66" max="75" width="9.5703125" style="266" hidden="1" customWidth="1" outlineLevel="1"/>
    <col min="76" max="76" width="2" style="266" bestFit="1" customWidth="1"/>
    <col min="77" max="77" width="3.42578125" style="266" customWidth="1"/>
    <col min="78" max="78" width="13.42578125" style="266" customWidth="1"/>
    <col min="79" max="79" width="2.5703125" style="266" customWidth="1"/>
    <col min="80" max="152" width="8.5703125" style="266"/>
    <col min="153" max="153" width="8.5703125" style="266" collapsed="1"/>
    <col min="154" max="154" width="35" style="266" hidden="1" customWidth="1" outlineLevel="1"/>
    <col min="155" max="16384" width="8.5703125" style="266"/>
  </cols>
  <sheetData>
    <row r="1" spans="1:154" x14ac:dyDescent="0.25">
      <c r="A1" s="7">
        <f ca="1">ToC!A1</f>
        <v>0</v>
      </c>
      <c r="B1" s="14" t="s">
        <v>775</v>
      </c>
      <c r="C1" s="14"/>
      <c r="D1" s="131" t="str">
        <f>Template!D1</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575"/>
      <c r="BZ1" s="5" t="s">
        <v>1771</v>
      </c>
      <c r="CA1" s="575"/>
      <c r="EX1" s="5" t="s">
        <v>1563</v>
      </c>
    </row>
    <row r="2" spans="1:154" ht="14.45" customHeight="1" x14ac:dyDescent="0.25">
      <c r="A2" s="362" cm="1">
        <f t="array" aca="1" ref="A2" ca="1">HYPERLINK(CONCATENATE("#",CELL("address",IF(SUM(A$7:A$26)=0,$A$2,INDEX(A$7:A$26,MATCH(1,A$7:A$26,0))))),SUM(A$7:A$26))</f>
        <v>0</v>
      </c>
      <c r="B2" s="92" t="str" cm="1">
        <f t="array" aca="1" ref="B2" ca="1">HYPERLINK(CONCATENATE("#",CELL("address",Guide!$C$97)),Guide!$B$1)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CA2" s="575"/>
      <c r="EX2" s="335"/>
    </row>
    <row r="3" spans="1:154" x14ac:dyDescent="0.25">
      <c r="A3" s="92" t="str" cm="1">
        <f t="array" aca="1" ref="A3" ca="1">HYPERLINK(CONCATENATE("#",CELL("address",ToC!$A$1)),ToC!$C$1)</f>
        <v>ToC</v>
      </c>
      <c r="B3" s="14"/>
      <c r="C3" s="14"/>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575"/>
      <c r="BZ3" s="577" t="s">
        <v>373</v>
      </c>
      <c r="CA3" s="575"/>
      <c r="EX3" s="335"/>
    </row>
    <row r="4" spans="1:154" x14ac:dyDescent="0.25">
      <c r="A4" s="14"/>
      <c r="B4" s="14"/>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575"/>
      <c r="BZ4" s="577"/>
      <c r="CA4" s="575"/>
      <c r="EX4" s="335"/>
    </row>
    <row r="5" spans="1:154" x14ac:dyDescent="0.25">
      <c r="A5" s="14"/>
      <c r="B5" s="14"/>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575"/>
      <c r="BZ5" s="577"/>
      <c r="CA5" s="575"/>
      <c r="EX5" s="335"/>
    </row>
    <row r="6" spans="1:154" x14ac:dyDescent="0.25">
      <c r="A6" s="80" t="str" cm="1">
        <f t="array" aca="1" ref="A6" ca="1">HYPERLINK(CONCATENATE("#",CELL("address",BY7)),"Check")</f>
        <v>Check</v>
      </c>
      <c r="B6" s="14"/>
      <c r="C6" s="14" t="str">
        <f>Template!$C$6</f>
        <v>Ref. No.</v>
      </c>
      <c r="D6" s="26" t="s">
        <v>5</v>
      </c>
      <c r="E6" s="14"/>
      <c r="F6" s="14"/>
      <c r="G6" s="14" t="s">
        <v>6</v>
      </c>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575"/>
      <c r="BZ6" s="577"/>
      <c r="CA6" s="575"/>
      <c r="EX6" s="335"/>
    </row>
    <row r="7" spans="1:154" ht="15.75" x14ac:dyDescent="0.3">
      <c r="B7" s="139"/>
      <c r="D7" s="1"/>
      <c r="E7" s="266"/>
      <c r="BM7" s="6"/>
      <c r="BY7" s="42"/>
      <c r="BZ7" s="105" t="s">
        <v>335</v>
      </c>
      <c r="CA7" s="42"/>
      <c r="EX7" s="335"/>
    </row>
    <row r="8" spans="1:154" ht="6.6" customHeight="1" x14ac:dyDescent="0.25">
      <c r="D8" s="1"/>
      <c r="E8" s="266"/>
      <c r="BM8" s="6"/>
      <c r="BY8" s="42"/>
      <c r="CA8" s="42"/>
      <c r="EX8" s="10" t="str">
        <f t="shared" ref="EX8:EX26" si="0">IF($C8="","",$D8)</f>
        <v/>
      </c>
    </row>
    <row r="9" spans="1:154" x14ac:dyDescent="0.25">
      <c r="A9" s="40"/>
      <c r="B9" s="40"/>
      <c r="C9" s="40"/>
      <c r="D9" s="40" t="s">
        <v>781</v>
      </c>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2"/>
      <c r="CA9" s="42"/>
      <c r="EX9" s="10" t="str">
        <f t="shared" si="0"/>
        <v/>
      </c>
    </row>
    <row r="10" spans="1:154" x14ac:dyDescent="0.25">
      <c r="C10" s="380"/>
      <c r="D10" s="1"/>
      <c r="E10" s="266"/>
      <c r="BM10" s="6"/>
      <c r="BY10" s="42"/>
      <c r="CA10" s="42"/>
      <c r="EX10" s="10" t="str">
        <f t="shared" si="0"/>
        <v/>
      </c>
    </row>
    <row r="11" spans="1:154" x14ac:dyDescent="0.25">
      <c r="B11" s="5"/>
      <c r="C11" s="380"/>
      <c r="D11" s="27" t="s">
        <v>756</v>
      </c>
      <c r="E11" s="5"/>
      <c r="BY11" s="12"/>
      <c r="CA11" s="42"/>
      <c r="EX11" s="10" t="str">
        <f t="shared" si="0"/>
        <v/>
      </c>
    </row>
    <row r="12" spans="1:154" x14ac:dyDescent="0.25">
      <c r="A12" s="362" cm="1">
        <f t="array" aca="1" ref="A12" ca="1">HYPERLINK(CONCATENATE("#",CELL("address",IF(SUM($BY12:$CA12)=0,A12,INDEX($BY12:$CA12,MATCH(1,$BY12:$CA12,0))))),SUM($BY12:$CA12))</f>
        <v>0</v>
      </c>
      <c r="B12" s="9"/>
      <c r="C12" s="340" t="s">
        <v>991</v>
      </c>
      <c r="D12" s="1" t="s">
        <v>13</v>
      </c>
      <c r="E12" s="266"/>
      <c r="G12" s="266" t="s">
        <v>14</v>
      </c>
      <c r="H12" s="335"/>
      <c r="S12" s="93"/>
      <c r="V12" s="210">
        <v>4285</v>
      </c>
      <c r="W12" s="357">
        <v>4121</v>
      </c>
      <c r="X12" s="198"/>
      <c r="Y12" s="198"/>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Y12" s="195"/>
      <c r="BZ12" s="7">
        <f>IF(MIN($V12:$BW12)&lt;0, 1,0)</f>
        <v>0</v>
      </c>
      <c r="CA12" s="42"/>
      <c r="CB12" s="335"/>
      <c r="CC12" s="335"/>
      <c r="EX12" s="10" t="str">
        <f t="shared" si="0"/>
        <v>16-19 Allocated Students (Lagged student number)</v>
      </c>
    </row>
    <row r="13" spans="1:154" x14ac:dyDescent="0.25">
      <c r="A13" s="362" cm="1">
        <f t="array" aca="1" ref="A13" ca="1">HYPERLINK(CONCATENATE("#",CELL("address",IF(SUM($BY13:$CA13)=0,A13,INDEX($BY13:$CA13,MATCH(1,$BY13:$CA13,0))))),SUM($BY13:$CA13))</f>
        <v>0</v>
      </c>
      <c r="C13" s="340" t="s">
        <v>992</v>
      </c>
      <c r="D13" s="1" t="s">
        <v>15</v>
      </c>
      <c r="E13" s="266"/>
      <c r="G13" s="266" t="s">
        <v>14</v>
      </c>
      <c r="H13" s="335"/>
      <c r="V13" s="141"/>
      <c r="W13" s="357"/>
      <c r="X13" s="357">
        <v>4254</v>
      </c>
      <c r="Y13" s="357">
        <v>4382</v>
      </c>
      <c r="BY13" s="12"/>
      <c r="BZ13" s="7">
        <f>IF(MIN($V13:$BW13)&lt;0, 1,0)</f>
        <v>0</v>
      </c>
      <c r="CA13" s="42"/>
      <c r="EX13" s="10" t="str">
        <f t="shared" si="0"/>
        <v>16-19 Forecast Student Outturn</v>
      </c>
    </row>
    <row r="14" spans="1:154" x14ac:dyDescent="0.25">
      <c r="C14" s="340" t="s">
        <v>993</v>
      </c>
      <c r="D14" s="5" t="s">
        <v>779</v>
      </c>
      <c r="E14" s="266"/>
      <c r="G14" s="5" t="s">
        <v>14</v>
      </c>
      <c r="H14" s="335"/>
      <c r="V14" s="121">
        <f>SUM(V12:V13)</f>
        <v>4285</v>
      </c>
      <c r="W14" s="121">
        <f t="shared" ref="W14:Y14" si="1">SUM(W12:W13)</f>
        <v>4121</v>
      </c>
      <c r="X14" s="121">
        <f t="shared" si="1"/>
        <v>4254</v>
      </c>
      <c r="Y14" s="121">
        <f t="shared" si="1"/>
        <v>4382</v>
      </c>
      <c r="BY14" s="12"/>
      <c r="CA14" s="42"/>
      <c r="EX14" s="10" t="str">
        <f t="shared" si="0"/>
        <v>Total 16-19 Leaners</v>
      </c>
    </row>
    <row r="15" spans="1:154" x14ac:dyDescent="0.25">
      <c r="C15" s="380"/>
      <c r="D15" s="1"/>
      <c r="E15" s="266"/>
      <c r="H15" s="335"/>
      <c r="BM15" s="6"/>
      <c r="BY15" s="42"/>
      <c r="CA15" s="42"/>
      <c r="EX15" s="10" t="str">
        <f t="shared" si="0"/>
        <v/>
      </c>
    </row>
    <row r="16" spans="1:154" x14ac:dyDescent="0.25">
      <c r="B16" s="5"/>
      <c r="C16" s="382"/>
      <c r="D16" s="5" t="s">
        <v>757</v>
      </c>
      <c r="E16" s="266"/>
      <c r="H16" s="335"/>
      <c r="BY16" s="12"/>
      <c r="CA16" s="42"/>
      <c r="EX16" s="10" t="str">
        <f t="shared" si="0"/>
        <v/>
      </c>
    </row>
    <row r="17" spans="1:154" x14ac:dyDescent="0.25">
      <c r="A17" s="362" cm="1">
        <f t="array" aca="1" ref="A17" ca="1">HYPERLINK(CONCATENATE("#",CELL("address",IF(SUM($BY17:$CA17)=0,A17,INDEX($BY17:$CA17,MATCH(1,$BY17:$CA17,0))))),SUM($BY17:$CA17))</f>
        <v>0</v>
      </c>
      <c r="C17" s="340" t="s">
        <v>994</v>
      </c>
      <c r="D17" s="266" t="s">
        <v>362</v>
      </c>
      <c r="E17" s="266"/>
      <c r="G17" s="266" t="s">
        <v>14</v>
      </c>
      <c r="H17" s="335"/>
      <c r="V17" s="141">
        <v>85</v>
      </c>
      <c r="W17" s="357">
        <v>64</v>
      </c>
      <c r="X17" s="357">
        <v>66</v>
      </c>
      <c r="Y17" s="357">
        <v>68</v>
      </c>
      <c r="BY17" s="12"/>
      <c r="BZ17" s="7">
        <f>IF(MIN($V17:$Y17)&lt;0, 1,0)</f>
        <v>0</v>
      </c>
      <c r="CA17" s="42"/>
      <c r="EX17" s="10" t="str">
        <f t="shared" si="0"/>
        <v>16-18 Apprenticeship learners</v>
      </c>
    </row>
    <row r="18" spans="1:154" s="5" customFormat="1" x14ac:dyDescent="0.25">
      <c r="A18" s="362" cm="1">
        <f t="array" aca="1" ref="A18" ca="1">HYPERLINK(CONCATENATE("#",CELL("address",IF(SUM($BY18:$CA18)=0,A18,INDEX($BY18:$CA18,MATCH(1,$BY18:$CA18,0))))),SUM($BY18:$CA18))</f>
        <v>0</v>
      </c>
      <c r="B18" s="266"/>
      <c r="C18" s="340" t="s">
        <v>995</v>
      </c>
      <c r="D18" s="266" t="s">
        <v>363</v>
      </c>
      <c r="E18" s="266"/>
      <c r="F18" s="266"/>
      <c r="G18" s="266" t="s">
        <v>14</v>
      </c>
      <c r="H18" s="335"/>
      <c r="I18" s="266"/>
      <c r="J18" s="266"/>
      <c r="K18" s="266"/>
      <c r="L18" s="266"/>
      <c r="M18" s="266"/>
      <c r="N18" s="266"/>
      <c r="O18" s="266"/>
      <c r="P18" s="266"/>
      <c r="Q18" s="266"/>
      <c r="R18" s="266"/>
      <c r="S18" s="266"/>
      <c r="T18" s="266"/>
      <c r="U18" s="266"/>
      <c r="V18" s="141">
        <v>194</v>
      </c>
      <c r="W18" s="357">
        <v>168</v>
      </c>
      <c r="X18" s="357">
        <v>173</v>
      </c>
      <c r="Y18" s="357">
        <v>179</v>
      </c>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12"/>
      <c r="BZ18" s="7">
        <f>IF(MIN($V18:$BW18)&lt;0, 1,0)</f>
        <v>0</v>
      </c>
      <c r="CA18" s="42"/>
      <c r="EX18" s="10" t="str">
        <f t="shared" si="0"/>
        <v>19+ Apprenticeship learners</v>
      </c>
    </row>
    <row r="19" spans="1:154" x14ac:dyDescent="0.25">
      <c r="C19" s="340" t="s">
        <v>996</v>
      </c>
      <c r="D19" s="5" t="s">
        <v>778</v>
      </c>
      <c r="E19" s="266"/>
      <c r="G19" s="5" t="s">
        <v>14</v>
      </c>
      <c r="H19" s="335"/>
      <c r="V19" s="121">
        <f>SUM(V17:V18)</f>
        <v>279</v>
      </c>
      <c r="W19" s="121">
        <f t="shared" ref="W19" si="2">SUM(W17:W18)</f>
        <v>232</v>
      </c>
      <c r="X19" s="121">
        <f t="shared" ref="X19" si="3">SUM(X17:X18)</f>
        <v>239</v>
      </c>
      <c r="Y19" s="121">
        <f t="shared" ref="Y19" si="4">SUM(Y17:Y18)</f>
        <v>247</v>
      </c>
      <c r="BY19" s="12"/>
      <c r="CA19" s="42"/>
      <c r="EX19" s="10" t="str">
        <f t="shared" si="0"/>
        <v>Total Apprenticeship learners</v>
      </c>
    </row>
    <row r="20" spans="1:154" x14ac:dyDescent="0.25">
      <c r="C20" s="380"/>
      <c r="D20" s="1"/>
      <c r="E20" s="266"/>
      <c r="H20" s="335"/>
      <c r="BM20" s="6"/>
      <c r="BY20" s="42"/>
      <c r="CA20" s="42"/>
      <c r="EX20" s="10" t="str">
        <f t="shared" si="0"/>
        <v/>
      </c>
    </row>
    <row r="21" spans="1:154" x14ac:dyDescent="0.25">
      <c r="C21" s="380"/>
      <c r="D21" s="5" t="s">
        <v>777</v>
      </c>
      <c r="E21" s="266"/>
      <c r="H21" s="335"/>
      <c r="BY21" s="12"/>
      <c r="CA21" s="42"/>
      <c r="EX21" s="10" t="str">
        <f t="shared" si="0"/>
        <v/>
      </c>
    </row>
    <row r="22" spans="1:154" x14ac:dyDescent="0.25">
      <c r="A22" s="362" cm="1">
        <f t="array" aca="1" ref="A22" ca="1">HYPERLINK(CONCATENATE("#",CELL("address",IF(SUM($BY22:$CA22)=0,A22,INDEX($BY22:$CA22,MATCH(1,$BY22:$CA22,0))))),SUM($BY22:$CA22))</f>
        <v>0</v>
      </c>
      <c r="C22" s="340" t="s">
        <v>997</v>
      </c>
      <c r="D22" s="266" t="s">
        <v>46</v>
      </c>
      <c r="E22" s="266"/>
      <c r="G22" s="266" t="s">
        <v>14</v>
      </c>
      <c r="H22" s="335"/>
      <c r="V22" s="141">
        <v>245.7</v>
      </c>
      <c r="W22" s="357">
        <v>252</v>
      </c>
      <c r="X22" s="357">
        <v>255</v>
      </c>
      <c r="Y22" s="357">
        <v>260</v>
      </c>
      <c r="BY22" s="12"/>
      <c r="BZ22" s="7">
        <f>IF(MIN($V22:$BW22)&lt;0, 1,0)</f>
        <v>0</v>
      </c>
      <c r="CA22" s="42"/>
      <c r="EX22" s="10" t="str">
        <f t="shared" si="0"/>
        <v>Teaching staff FTE</v>
      </c>
    </row>
    <row r="23" spans="1:154" x14ac:dyDescent="0.25">
      <c r="A23" s="362" cm="1">
        <f t="array" aca="1" ref="A23" ca="1">HYPERLINK(CONCATENATE("#",CELL("address",IF(SUM($BY23:$CA23)=0,A23,INDEX($BY23:$CA23,MATCH(1,$BY23:$CA23,0))))),SUM($BY23:$CA23))</f>
        <v>0</v>
      </c>
      <c r="C23" s="340" t="s">
        <v>998</v>
      </c>
      <c r="D23" s="266" t="s">
        <v>47</v>
      </c>
      <c r="E23" s="266"/>
      <c r="G23" s="266" t="s">
        <v>14</v>
      </c>
      <c r="H23" s="335"/>
      <c r="V23" s="141">
        <v>195.3</v>
      </c>
      <c r="W23" s="357">
        <v>196</v>
      </c>
      <c r="X23" s="357">
        <v>196</v>
      </c>
      <c r="Y23" s="357">
        <v>197</v>
      </c>
      <c r="BY23" s="12"/>
      <c r="BZ23" s="7">
        <f>IF(MIN($V23:$BW23)&lt;0, 1,0)</f>
        <v>0</v>
      </c>
      <c r="CA23" s="42"/>
      <c r="EX23" s="10" t="str">
        <f t="shared" si="0"/>
        <v>Non-teaching staff FTE</v>
      </c>
    </row>
    <row r="24" spans="1:154" x14ac:dyDescent="0.25">
      <c r="C24" s="340" t="s">
        <v>999</v>
      </c>
      <c r="D24" s="5" t="s">
        <v>776</v>
      </c>
      <c r="E24" s="266"/>
      <c r="G24" s="5" t="s">
        <v>14</v>
      </c>
      <c r="H24" s="335"/>
      <c r="V24" s="121">
        <f>SUM(V22:V23)</f>
        <v>441</v>
      </c>
      <c r="W24" s="121">
        <f t="shared" ref="W24" si="5">SUM(W22:W23)</f>
        <v>448</v>
      </c>
      <c r="X24" s="121">
        <f t="shared" ref="X24" si="6">SUM(X22:X23)</f>
        <v>451</v>
      </c>
      <c r="Y24" s="121">
        <f t="shared" ref="Y24" si="7">SUM(Y22:Y23)</f>
        <v>457</v>
      </c>
      <c r="BY24" s="12"/>
      <c r="CA24" s="42"/>
      <c r="EX24" s="10" t="str">
        <f t="shared" si="0"/>
        <v>Total Staff FTE</v>
      </c>
    </row>
    <row r="25" spans="1:154" ht="6.6" customHeight="1" x14ac:dyDescent="0.25">
      <c r="C25" s="339"/>
      <c r="D25" s="1"/>
      <c r="E25" s="266"/>
      <c r="BM25" s="6"/>
      <c r="BY25" s="42"/>
      <c r="CA25" s="42"/>
      <c r="EX25" s="10" t="str">
        <f t="shared" si="0"/>
        <v/>
      </c>
    </row>
    <row r="26" spans="1:154" x14ac:dyDescent="0.25">
      <c r="A26" s="12" t="s">
        <v>88</v>
      </c>
      <c r="B26" s="12" t="s">
        <v>88</v>
      </c>
      <c r="C26" s="12" t="s">
        <v>88</v>
      </c>
      <c r="D26" s="12" t="s">
        <v>88</v>
      </c>
      <c r="E26" s="28" t="s">
        <v>88</v>
      </c>
      <c r="F26" s="12" t="s">
        <v>88</v>
      </c>
      <c r="G26" s="12" t="s">
        <v>88</v>
      </c>
      <c r="H26" s="12" t="s">
        <v>88</v>
      </c>
      <c r="I26" s="12" t="s">
        <v>88</v>
      </c>
      <c r="J26" s="12" t="s">
        <v>88</v>
      </c>
      <c r="K26" s="12" t="s">
        <v>88</v>
      </c>
      <c r="L26" s="12" t="s">
        <v>88</v>
      </c>
      <c r="M26" s="12" t="s">
        <v>88</v>
      </c>
      <c r="N26" s="12" t="s">
        <v>88</v>
      </c>
      <c r="O26" s="12" t="s">
        <v>88</v>
      </c>
      <c r="P26" s="12" t="s">
        <v>88</v>
      </c>
      <c r="Q26" s="12" t="s">
        <v>88</v>
      </c>
      <c r="R26" s="12" t="s">
        <v>88</v>
      </c>
      <c r="S26" s="12"/>
      <c r="T26" s="12" t="s">
        <v>88</v>
      </c>
      <c r="U26" s="12" t="s">
        <v>88</v>
      </c>
      <c r="V26" s="12" t="s">
        <v>88</v>
      </c>
      <c r="W26" s="12" t="s">
        <v>88</v>
      </c>
      <c r="X26" s="12"/>
      <c r="Y26" s="12"/>
      <c r="Z26" s="12" t="s">
        <v>88</v>
      </c>
      <c r="AA26" s="12" t="s">
        <v>88</v>
      </c>
      <c r="AB26" s="12" t="s">
        <v>88</v>
      </c>
      <c r="AC26" s="12" t="s">
        <v>88</v>
      </c>
      <c r="AD26" s="12" t="s">
        <v>88</v>
      </c>
      <c r="AE26" s="12" t="s">
        <v>88</v>
      </c>
      <c r="AF26" s="12" t="s">
        <v>88</v>
      </c>
      <c r="AG26" s="12" t="s">
        <v>88</v>
      </c>
      <c r="AH26" s="12" t="s">
        <v>88</v>
      </c>
      <c r="AI26" s="12" t="s">
        <v>88</v>
      </c>
      <c r="AJ26" s="12" t="s">
        <v>88</v>
      </c>
      <c r="AK26" s="12" t="s">
        <v>88</v>
      </c>
      <c r="AL26" s="12" t="s">
        <v>88</v>
      </c>
      <c r="AM26" s="12" t="s">
        <v>88</v>
      </c>
      <c r="AN26" s="12" t="s">
        <v>88</v>
      </c>
      <c r="AO26" s="12" t="s">
        <v>88</v>
      </c>
      <c r="AP26" s="12" t="s">
        <v>88</v>
      </c>
      <c r="AQ26" s="12" t="s">
        <v>88</v>
      </c>
      <c r="AR26" s="12" t="s">
        <v>88</v>
      </c>
      <c r="AS26" s="12" t="s">
        <v>88</v>
      </c>
      <c r="AT26" s="12" t="s">
        <v>88</v>
      </c>
      <c r="AU26" s="12" t="s">
        <v>88</v>
      </c>
      <c r="AV26" s="12" t="s">
        <v>88</v>
      </c>
      <c r="AW26" s="12" t="s">
        <v>88</v>
      </c>
      <c r="AX26" s="12" t="s">
        <v>88</v>
      </c>
      <c r="AY26" s="12" t="s">
        <v>88</v>
      </c>
      <c r="AZ26" s="12" t="s">
        <v>88</v>
      </c>
      <c r="BA26" s="12" t="s">
        <v>88</v>
      </c>
      <c r="BB26" s="12" t="s">
        <v>88</v>
      </c>
      <c r="BC26" s="12" t="s">
        <v>88</v>
      </c>
      <c r="BD26" s="12" t="s">
        <v>88</v>
      </c>
      <c r="BE26" s="12" t="s">
        <v>88</v>
      </c>
      <c r="BF26" s="12" t="s">
        <v>88</v>
      </c>
      <c r="BG26" s="12" t="s">
        <v>88</v>
      </c>
      <c r="BH26" s="12" t="s">
        <v>88</v>
      </c>
      <c r="BI26" s="12" t="s">
        <v>88</v>
      </c>
      <c r="BJ26" s="12" t="s">
        <v>88</v>
      </c>
      <c r="BK26" s="12" t="s">
        <v>88</v>
      </c>
      <c r="BL26" s="12" t="s">
        <v>88</v>
      </c>
      <c r="BM26" s="12" t="s">
        <v>88</v>
      </c>
      <c r="BN26" s="12" t="s">
        <v>88</v>
      </c>
      <c r="BO26" s="12" t="s">
        <v>88</v>
      </c>
      <c r="BP26" s="12" t="s">
        <v>88</v>
      </c>
      <c r="BQ26" s="12" t="s">
        <v>88</v>
      </c>
      <c r="BR26" s="12" t="s">
        <v>88</v>
      </c>
      <c r="BS26" s="12" t="s">
        <v>88</v>
      </c>
      <c r="BT26" s="12" t="s">
        <v>88</v>
      </c>
      <c r="BU26" s="12" t="s">
        <v>88</v>
      </c>
      <c r="BV26" s="12" t="s">
        <v>88</v>
      </c>
      <c r="BW26" s="12" t="s">
        <v>88</v>
      </c>
      <c r="BX26" s="12" t="s">
        <v>88</v>
      </c>
      <c r="BY26" s="12" t="s">
        <v>88</v>
      </c>
      <c r="BZ26" s="12" t="s">
        <v>88</v>
      </c>
      <c r="CA26" s="12" t="s">
        <v>88</v>
      </c>
      <c r="EX26" s="10" t="str">
        <f t="shared" si="0"/>
        <v>*</v>
      </c>
    </row>
  </sheetData>
  <sheetProtection algorithmName="SHA-512" hashValue="8fC1/rK+SF/gT5eSvv/6heUWnUgjkbfOMruN2OBIG7iEB/skiB06XzFVs8vJf5a9p2ZVAaWYhepoCIpAkqJG8g==" saltValue="/fs+C6xMueKbtJFLJjqc5g==" spinCount="100000" sheet="1" objects="1" scenarios="1"/>
  <mergeCells count="3">
    <mergeCell ref="BY1:BY6"/>
    <mergeCell ref="CA1:CA6"/>
    <mergeCell ref="BZ3:BZ6"/>
  </mergeCells>
  <conditionalFormatting sqref="BZ12:BZ13">
    <cfRule type="cellIs" dxfId="2679" priority="25" operator="equal">
      <formula>0</formula>
    </cfRule>
    <cfRule type="cellIs" dxfId="2678" priority="26" operator="greaterThan">
      <formula>0</formula>
    </cfRule>
  </conditionalFormatting>
  <conditionalFormatting sqref="A1">
    <cfRule type="cellIs" dxfId="2677" priority="13" operator="equal">
      <formula>0</formula>
    </cfRule>
    <cfRule type="cellIs" dxfId="2676" priority="14" operator="greaterThan">
      <formula>0</formula>
    </cfRule>
  </conditionalFormatting>
  <conditionalFormatting sqref="A12">
    <cfRule type="cellIs" dxfId="2675" priority="11" operator="equal">
      <formula>0</formula>
    </cfRule>
    <cfRule type="cellIs" dxfId="2674" priority="12" operator="greaterThan">
      <formula>0</formula>
    </cfRule>
  </conditionalFormatting>
  <conditionalFormatting sqref="A2">
    <cfRule type="cellIs" dxfId="2673" priority="9" operator="equal">
      <formula>0</formula>
    </cfRule>
    <cfRule type="cellIs" dxfId="2672" priority="10" operator="greaterThan">
      <formula>0</formula>
    </cfRule>
  </conditionalFormatting>
  <conditionalFormatting sqref="A22:A23 A17:A18 A13">
    <cfRule type="cellIs" dxfId="2671" priority="7" operator="equal">
      <formula>0</formula>
    </cfRule>
    <cfRule type="cellIs" dxfId="2670" priority="8" operator="greaterThan">
      <formula>0</formula>
    </cfRule>
  </conditionalFormatting>
  <conditionalFormatting sqref="BZ17:BZ18">
    <cfRule type="cellIs" dxfId="2669" priority="5" operator="equal">
      <formula>0</formula>
    </cfRule>
    <cfRule type="cellIs" dxfId="2668" priority="6" operator="greaterThan">
      <formula>0</formula>
    </cfRule>
  </conditionalFormatting>
  <conditionalFormatting sqref="BZ22:BZ23">
    <cfRule type="cellIs" dxfId="2667" priority="3" operator="equal">
      <formula>0</formula>
    </cfRule>
    <cfRule type="cellIs" dxfId="2666" priority="4" operator="greaterThan">
      <formula>0</formula>
    </cfRule>
  </conditionalFormatting>
  <dataValidations count="1">
    <dataValidation allowBlank="1" showInputMessage="1" promptTitle=" Number Sign check" prompt="Checks that the number of learners/staff entered is positive." sqref="BZ7" xr:uid="{72BE17DA-7C09-4B79-AFDC-553CDB523A1D}"/>
  </dataValidations>
  <printOptions headings="1"/>
  <pageMargins left="0.70866141732283472" right="0.70866141732283472" top="0.74803149606299213" bottom="0.74803149606299213" header="0.31496062992125984" footer="0.31496062992125984"/>
  <pageSetup paperSize="9" scale="76" fitToWidth="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 id="{4C8475E9-D6EE-4578-B49C-3A8F59E71FA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169978E-208B-4504-858F-B499A51D9C41}">
          <x14:formula1>
            <xm:f>'Dash Data'!$D$93:$D$100</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6DAD-1161-423E-A5A7-68D427130F97}">
  <sheetPr codeName="Sheet3">
    <tabColor theme="7" tint="0.59999389629810485"/>
    <outlinePr summaryBelow="0" summaryRight="0"/>
    <pageSetUpPr autoPageBreaks="0"/>
  </sheetPr>
  <dimension ref="A1:EY204"/>
  <sheetViews>
    <sheetView showGridLines="0" zoomScaleNormal="100" workbookViewId="0">
      <pane xSplit="8" ySplit="7" topLeftCell="I166" activePane="bottomRight" state="frozen"/>
      <selection pane="topRight"/>
      <selection pane="bottomLeft"/>
      <selection pane="bottomRight" activeCell="G157" sqref="G157"/>
    </sheetView>
  </sheetViews>
  <sheetFormatPr defaultRowHeight="15" outlineLevelCol="1" x14ac:dyDescent="0.25"/>
  <cols>
    <col min="1" max="1" width="7.42578125" bestFit="1" customWidth="1"/>
    <col min="2" max="2" width="9.42578125" bestFit="1" customWidth="1"/>
    <col min="3" max="3" width="13.42578125" style="162" customWidth="1"/>
    <col min="4" max="4" width="48.42578125" style="69" customWidth="1"/>
    <col min="5" max="5" width="10.42578125" customWidth="1" outlineLevel="1"/>
    <col min="6" max="6" width="12.42578125" bestFit="1" customWidth="1"/>
    <col min="7" max="7" width="9.5703125" bestFit="1" customWidth="1" outlineLevel="1"/>
    <col min="8" max="8" width="15" customWidth="1" outlineLevel="1"/>
    <col min="9" max="9" width="2" bestFit="1" customWidth="1" collapsed="1"/>
    <col min="10" max="10" width="2.5703125" style="11" hidden="1" customWidth="1" outlineLevel="1"/>
    <col min="11" max="15" width="0.5703125" hidden="1" customWidth="1" outlineLevel="1"/>
    <col min="16" max="16" width="8.5703125" hidden="1" customWidth="1" outlineLevel="1"/>
    <col min="17" max="18" width="11.140625" hidden="1" customWidth="1" outlineLevel="1"/>
    <col min="19" max="19" width="1.42578125" hidden="1" customWidth="1" outlineLevel="1"/>
    <col min="20" max="21" width="11.140625" hidden="1" customWidth="1" outlineLevel="1"/>
    <col min="22" max="25" width="9.42578125" bestFit="1" customWidth="1"/>
    <col min="26" max="26" width="1.42578125" customWidth="1"/>
    <col min="27" max="29" width="9.5703125" bestFit="1" customWidth="1"/>
    <col min="30" max="30" width="10.42578125" customWidth="1"/>
    <col min="31" max="33" width="9.5703125" bestFit="1" customWidth="1"/>
    <col min="34" max="34" width="10" customWidth="1"/>
    <col min="35" max="35" width="9.5703125" bestFit="1" customWidth="1"/>
    <col min="36" max="36" width="10.28515625" customWidth="1"/>
    <col min="37" max="41" width="9.5703125" bestFit="1" customWidth="1"/>
    <col min="42" max="42" width="10.28515625" customWidth="1"/>
    <col min="43" max="45" width="9.5703125" bestFit="1" customWidth="1"/>
    <col min="46" max="46" width="10" customWidth="1"/>
    <col min="47" max="47" width="9.5703125" bestFit="1" customWidth="1"/>
    <col min="48" max="48" width="10.140625" customWidth="1"/>
    <col min="49" max="53" width="9.5703125" bestFit="1" customWidth="1"/>
    <col min="54" max="54" width="10.28515625" customWidth="1"/>
    <col min="55" max="57" width="9.5703125" bestFit="1" customWidth="1"/>
    <col min="58" max="58" width="9.85546875" customWidth="1"/>
    <col min="59" max="59" width="9.5703125" bestFit="1" customWidth="1"/>
    <col min="60" max="60" width="10.42578125" customWidth="1"/>
    <col min="61" max="62" width="9.5703125" bestFit="1" customWidth="1"/>
    <col min="63" max="63" width="1.42578125" customWidth="1"/>
    <col min="64" max="75" width="9.42578125" bestFit="1" customWidth="1"/>
    <col min="76" max="76" width="1.42578125" customWidth="1"/>
    <col min="77" max="77" width="2.5703125" style="335" customWidth="1"/>
    <col min="78" max="78" width="13.42578125" style="162" customWidth="1"/>
    <col min="79" max="79" width="2.5703125" customWidth="1"/>
    <col min="80" max="80" width="13.42578125" style="11" customWidth="1"/>
    <col min="81" max="83" width="13.42578125" style="335" customWidth="1"/>
    <col min="84" max="84" width="2" bestFit="1" customWidth="1"/>
    <col min="85" max="87" width="9.85546875" style="335" customWidth="1"/>
    <col min="88" max="88" width="11.42578125" style="335" customWidth="1"/>
    <col min="89" max="91" width="12.5703125" style="335" customWidth="1"/>
    <col min="92" max="92" width="13.42578125" customWidth="1"/>
    <col min="93" max="93" width="2.5703125" customWidth="1"/>
    <col min="148" max="148" width="2" style="335" bestFit="1" customWidth="1"/>
    <col min="150" max="152" width="8.85546875" style="335"/>
    <col min="153" max="153" width="8.85546875" collapsed="1"/>
    <col min="154" max="154" width="77.42578125" hidden="1" customWidth="1" outlineLevel="1"/>
  </cols>
  <sheetData>
    <row r="1" spans="1:155" x14ac:dyDescent="0.25">
      <c r="A1" s="7">
        <f ca="1">ToC!A1</f>
        <v>0</v>
      </c>
      <c r="B1" s="14" t="s">
        <v>753</v>
      </c>
      <c r="C1" s="101"/>
      <c r="D1" s="131"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138" t="s">
        <v>1561</v>
      </c>
      <c r="CA1" s="575"/>
      <c r="CB1" s="5" t="s">
        <v>1771</v>
      </c>
      <c r="CC1" s="5" t="s">
        <v>1742</v>
      </c>
      <c r="CF1" s="575"/>
      <c r="CG1" s="5" t="s">
        <v>932</v>
      </c>
      <c r="ER1" s="575"/>
      <c r="ES1" s="5" t="s">
        <v>2311</v>
      </c>
      <c r="EX1" s="5" t="s">
        <v>1563</v>
      </c>
    </row>
    <row r="2" spans="1:155" x14ac:dyDescent="0.25">
      <c r="A2" s="362" cm="1">
        <f t="array" aca="1" ref="A2" ca="1">HYPERLINK(CONCATENATE("#",CELL("address",IF(SUM(A$7:A$204)=0,$A$2,INDEX(A$7:A$204,MATCH(1,A$7:A$204,0))))),SUM(A$7:A$204))</f>
        <v>0</v>
      </c>
      <c r="B2" s="92" t="str" cm="1">
        <f t="array" aca="1" ref="B2" ca="1">HYPERLINK(CONCATENATE("#",CELL("address",Guide!$C$138)),Guide!$B$1)</f>
        <v>Guide</v>
      </c>
      <c r="C2" s="92"/>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BZ2" s="395" cm="1">
        <f t="array" aca="1" ref="BZ2" ca="1">HYPERLINK(CONCATENATE("#",CELL("address",IF(SUM(BZ$7:BZ$204)=0,$BZ$2,INDEX(BZ$7:BZ$204,MATCH(1,BZ$7:BZ$204,0))))),SUM(BZ$7:BZ$204))</f>
        <v>5</v>
      </c>
      <c r="CA2" s="575"/>
      <c r="CB2" s="576" t="s">
        <v>420</v>
      </c>
      <c r="CC2" s="576" t="s">
        <v>2296</v>
      </c>
      <c r="CD2" s="576" t="s">
        <v>953</v>
      </c>
      <c r="CE2" s="576" t="s">
        <v>951</v>
      </c>
      <c r="CF2" s="575"/>
      <c r="CG2" s="580" t="s">
        <v>945</v>
      </c>
      <c r="CH2" s="583" t="s">
        <v>946</v>
      </c>
      <c r="CI2" s="586" t="s">
        <v>947</v>
      </c>
      <c r="CJ2" s="580" t="s">
        <v>948</v>
      </c>
      <c r="CK2" s="583" t="s">
        <v>949</v>
      </c>
      <c r="CL2" s="586" t="s">
        <v>950</v>
      </c>
      <c r="CM2" s="589" t="s">
        <v>951</v>
      </c>
      <c r="CN2" s="580" t="s">
        <v>1562</v>
      </c>
      <c r="CO2" s="467"/>
      <c r="CP2" s="469" t="str">
        <f>V3</f>
        <v>FY2020</v>
      </c>
      <c r="CQ2" s="469" t="str">
        <f t="shared" ref="CQ2:CS2" si="0">W3</f>
        <v>FY2021</v>
      </c>
      <c r="CR2" s="469" t="str">
        <f t="shared" si="0"/>
        <v>FY2022</v>
      </c>
      <c r="CS2" s="469" t="str">
        <f t="shared" si="0"/>
        <v>FY2023</v>
      </c>
      <c r="CT2" s="467"/>
      <c r="CU2" s="469" t="str">
        <f>AA3</f>
        <v>FY2021</v>
      </c>
      <c r="CV2" s="469" t="str">
        <f t="shared" ref="CV2:CX2" si="1">AB3</f>
        <v>FY2021</v>
      </c>
      <c r="CW2" s="469" t="str">
        <f t="shared" si="1"/>
        <v>FY2021</v>
      </c>
      <c r="CX2" s="469" t="str">
        <f t="shared" si="1"/>
        <v>FY2021</v>
      </c>
      <c r="CY2" s="469" t="str">
        <f t="shared" ref="CY2" si="2">AE3</f>
        <v>FY2021</v>
      </c>
      <c r="CZ2" s="469" t="str">
        <f t="shared" ref="CZ2:DA2" si="3">AF3</f>
        <v>FY2021</v>
      </c>
      <c r="DA2" s="469" t="str">
        <f t="shared" si="3"/>
        <v>FY2021</v>
      </c>
      <c r="DB2" s="469" t="str">
        <f>AH3</f>
        <v>FY2021</v>
      </c>
      <c r="DC2" s="469" t="str">
        <f t="shared" ref="DC2" si="4">AI3</f>
        <v>FY2021</v>
      </c>
      <c r="DD2" s="469" t="str">
        <f t="shared" ref="DD2" si="5">AJ3</f>
        <v>FY2021</v>
      </c>
      <c r="DE2" s="469" t="str">
        <f t="shared" ref="DE2" si="6">AK3</f>
        <v>FY2021</v>
      </c>
      <c r="DF2" s="469" t="str">
        <f t="shared" ref="DF2" si="7">AL3</f>
        <v>FY2021</v>
      </c>
      <c r="DG2" s="469" t="str">
        <f t="shared" ref="DG2" si="8">AM3</f>
        <v>FY2022</v>
      </c>
      <c r="DH2" s="469" t="str">
        <f>AN3</f>
        <v>FY2022</v>
      </c>
      <c r="DI2" s="469" t="str">
        <f t="shared" ref="DI2" si="9">AO3</f>
        <v>FY2022</v>
      </c>
      <c r="DJ2" s="469" t="str">
        <f t="shared" ref="DJ2" si="10">AP3</f>
        <v>FY2022</v>
      </c>
      <c r="DK2" s="469" t="str">
        <f>AQ3</f>
        <v>FY2022</v>
      </c>
      <c r="DL2" s="469" t="str">
        <f t="shared" ref="DL2" si="11">AR3</f>
        <v>FY2022</v>
      </c>
      <c r="DM2" s="469" t="str">
        <f>AS3</f>
        <v>FY2022</v>
      </c>
      <c r="DN2" s="469" t="str">
        <f t="shared" ref="DN2" si="12">AT3</f>
        <v>FY2022</v>
      </c>
      <c r="DO2" s="469" t="str">
        <f t="shared" ref="DO2" si="13">AU3</f>
        <v>FY2022</v>
      </c>
      <c r="DP2" s="469" t="str">
        <f t="shared" ref="DP2" si="14">AV3</f>
        <v>FY2022</v>
      </c>
      <c r="DQ2" s="469" t="str">
        <f t="shared" ref="DQ2" si="15">AW3</f>
        <v>FY2022</v>
      </c>
      <c r="DR2" s="469" t="str">
        <f t="shared" ref="DR2" si="16">AX3</f>
        <v>FY2022</v>
      </c>
      <c r="DS2" s="469" t="str">
        <f t="shared" ref="DS2" si="17">AY3</f>
        <v>FY2023</v>
      </c>
      <c r="DT2" s="469" t="str">
        <f t="shared" ref="DT2" si="18">AZ3</f>
        <v>FY2023</v>
      </c>
      <c r="DU2" s="469" t="str">
        <f t="shared" ref="DU2" si="19">BA3</f>
        <v>FY2023</v>
      </c>
      <c r="DV2" s="469" t="str">
        <f t="shared" ref="DV2" si="20">BB3</f>
        <v>FY2023</v>
      </c>
      <c r="DW2" s="469" t="str">
        <f t="shared" ref="DW2" si="21">BC3</f>
        <v>FY2023</v>
      </c>
      <c r="DX2" s="469" t="str">
        <f t="shared" ref="DX2" si="22">BD3</f>
        <v>FY2023</v>
      </c>
      <c r="DY2" s="469" t="str">
        <f t="shared" ref="DY2" si="23">BE3</f>
        <v>FY2023</v>
      </c>
      <c r="DZ2" s="469" t="str">
        <f t="shared" ref="DZ2" si="24">BF3</f>
        <v>FY2023</v>
      </c>
      <c r="EA2" s="469" t="str">
        <f t="shared" ref="EA2" si="25">BG3</f>
        <v>FY2023</v>
      </c>
      <c r="EB2" s="469" t="str">
        <f t="shared" ref="EB2" si="26">BH3</f>
        <v>FY2023</v>
      </c>
      <c r="EC2" s="469" t="str">
        <f t="shared" ref="EC2" si="27">BI3</f>
        <v>FY2023</v>
      </c>
      <c r="ED2" s="469" t="str">
        <f t="shared" ref="ED2:EF2" si="28">BJ3</f>
        <v>FY2023</v>
      </c>
      <c r="EE2" s="467"/>
      <c r="EF2" s="469" t="str">
        <f t="shared" si="28"/>
        <v>FY2020</v>
      </c>
      <c r="EG2" s="469" t="str">
        <f t="shared" ref="EG2" si="29">BM3</f>
        <v>FY2021</v>
      </c>
      <c r="EH2" s="469" t="str">
        <f t="shared" ref="EH2" si="30">BN3</f>
        <v>FY2022</v>
      </c>
      <c r="EI2" s="469" t="str">
        <f t="shared" ref="EI2" si="31">BO3</f>
        <v>FY2023</v>
      </c>
      <c r="EJ2" s="469" t="str">
        <f t="shared" ref="EJ2" si="32">BP3</f>
        <v>FY2024</v>
      </c>
      <c r="EK2" s="469" t="str">
        <f t="shared" ref="EK2" si="33">BQ3</f>
        <v>FY2025</v>
      </c>
      <c r="EL2" s="469" t="str">
        <f t="shared" ref="EL2" si="34">BR3</f>
        <v>FY2026</v>
      </c>
      <c r="EM2" s="469" t="str">
        <f t="shared" ref="EM2" si="35">BS3</f>
        <v>FY2027</v>
      </c>
      <c r="EN2" s="469" t="str">
        <f t="shared" ref="EN2" si="36">BT3</f>
        <v>FY2028</v>
      </c>
      <c r="EO2" s="469" t="str">
        <f t="shared" ref="EO2" si="37">BU3</f>
        <v>FY2029</v>
      </c>
      <c r="EP2" s="469" t="str">
        <f t="shared" ref="EP2" si="38">BV3</f>
        <v>FY2030</v>
      </c>
      <c r="EQ2" s="469" t="str">
        <f t="shared" ref="EQ2" si="39">BW3</f>
        <v>FY2031</v>
      </c>
      <c r="ER2" s="575"/>
      <c r="ES2" s="576" t="s">
        <v>2308</v>
      </c>
      <c r="ET2" s="576" t="s">
        <v>2309</v>
      </c>
    </row>
    <row r="3" spans="1:155" ht="14.45" customHeight="1" x14ac:dyDescent="0.25">
      <c r="A3" s="92" t="str" cm="1">
        <f t="array" aca="1" ref="A3" ca="1">HYPERLINK(CONCATENATE("#",CELL("address",ToC!$A$1)),ToC!$C$1)</f>
        <v>ToC</v>
      </c>
      <c r="B3" s="80" t="str" cm="1">
        <f t="array" aca="1" ref="B3" ca="1">HYPERLINK(CONCATENATE("#",CELL("address",$B$8)),"I&amp;E")</f>
        <v>I&amp;E</v>
      </c>
      <c r="C3" s="14"/>
      <c r="D3" s="72"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69"/>
      <c r="CA3" s="575"/>
      <c r="CB3" s="576"/>
      <c r="CC3" s="576"/>
      <c r="CD3" s="576"/>
      <c r="CE3" s="576"/>
      <c r="CF3" s="575"/>
      <c r="CG3" s="581"/>
      <c r="CH3" s="584"/>
      <c r="CI3" s="587"/>
      <c r="CJ3" s="581"/>
      <c r="CK3" s="584"/>
      <c r="CL3" s="587"/>
      <c r="CM3" s="590"/>
      <c r="CN3" s="581"/>
      <c r="CO3" s="25"/>
      <c r="CP3" s="578" t="s">
        <v>2297</v>
      </c>
      <c r="CQ3" s="578" t="s">
        <v>2297</v>
      </c>
      <c r="CR3" s="578" t="s">
        <v>2297</v>
      </c>
      <c r="CS3" s="578" t="s">
        <v>2297</v>
      </c>
      <c r="CT3" s="25"/>
      <c r="CU3" s="578" t="s">
        <v>2297</v>
      </c>
      <c r="CV3" s="578" t="s">
        <v>2297</v>
      </c>
      <c r="CW3" s="578" t="s">
        <v>2297</v>
      </c>
      <c r="CX3" s="578" t="s">
        <v>2297</v>
      </c>
      <c r="CY3" s="578" t="s">
        <v>2297</v>
      </c>
      <c r="CZ3" s="578" t="s">
        <v>2297</v>
      </c>
      <c r="DA3" s="578" t="s">
        <v>2297</v>
      </c>
      <c r="DB3" s="578" t="s">
        <v>2297</v>
      </c>
      <c r="DC3" s="578" t="s">
        <v>2297</v>
      </c>
      <c r="DD3" s="578" t="s">
        <v>2297</v>
      </c>
      <c r="DE3" s="578" t="s">
        <v>2297</v>
      </c>
      <c r="DF3" s="578" t="s">
        <v>2297</v>
      </c>
      <c r="DG3" s="578" t="s">
        <v>2297</v>
      </c>
      <c r="DH3" s="578" t="s">
        <v>2297</v>
      </c>
      <c r="DI3" s="578" t="s">
        <v>2297</v>
      </c>
      <c r="DJ3" s="578" t="s">
        <v>2297</v>
      </c>
      <c r="DK3" s="578" t="s">
        <v>2297</v>
      </c>
      <c r="DL3" s="578" t="s">
        <v>2297</v>
      </c>
      <c r="DM3" s="578" t="s">
        <v>2297</v>
      </c>
      <c r="DN3" s="578" t="s">
        <v>2297</v>
      </c>
      <c r="DO3" s="578" t="s">
        <v>2297</v>
      </c>
      <c r="DP3" s="578" t="s">
        <v>2297</v>
      </c>
      <c r="DQ3" s="578" t="s">
        <v>2297</v>
      </c>
      <c r="DR3" s="578" t="s">
        <v>2297</v>
      </c>
      <c r="DS3" s="578" t="s">
        <v>2297</v>
      </c>
      <c r="DT3" s="578" t="s">
        <v>2297</v>
      </c>
      <c r="DU3" s="578" t="s">
        <v>2297</v>
      </c>
      <c r="DV3" s="578" t="s">
        <v>2297</v>
      </c>
      <c r="DW3" s="578" t="s">
        <v>2297</v>
      </c>
      <c r="DX3" s="578" t="s">
        <v>2297</v>
      </c>
      <c r="DY3" s="578" t="s">
        <v>2297</v>
      </c>
      <c r="DZ3" s="578" t="s">
        <v>2297</v>
      </c>
      <c r="EA3" s="578" t="s">
        <v>2297</v>
      </c>
      <c r="EB3" s="578" t="s">
        <v>2297</v>
      </c>
      <c r="EC3" s="578" t="s">
        <v>2297</v>
      </c>
      <c r="ED3" s="578" t="s">
        <v>2297</v>
      </c>
      <c r="EE3" s="25"/>
      <c r="EF3" s="578" t="s">
        <v>2297</v>
      </c>
      <c r="EG3" s="578" t="s">
        <v>2297</v>
      </c>
      <c r="EH3" s="578" t="s">
        <v>2297</v>
      </c>
      <c r="EI3" s="578" t="s">
        <v>2297</v>
      </c>
      <c r="EJ3" s="578" t="s">
        <v>2297</v>
      </c>
      <c r="EK3" s="578" t="s">
        <v>2297</v>
      </c>
      <c r="EL3" s="578" t="s">
        <v>2297</v>
      </c>
      <c r="EM3" s="578" t="s">
        <v>2297</v>
      </c>
      <c r="EN3" s="578" t="s">
        <v>2297</v>
      </c>
      <c r="EO3" s="578" t="s">
        <v>2297</v>
      </c>
      <c r="EP3" s="578" t="s">
        <v>2297</v>
      </c>
      <c r="EQ3" s="578" t="s">
        <v>2297</v>
      </c>
      <c r="ER3" s="575"/>
      <c r="ES3" s="576"/>
      <c r="ET3" s="576"/>
    </row>
    <row r="4" spans="1:155" ht="30" x14ac:dyDescent="0.25">
      <c r="A4" s="14"/>
      <c r="B4" s="80" t="str" cm="1">
        <f t="array" aca="1" ref="B4" ca="1">HYPERLINK(CONCATENATE("#",CELL("address",$D$160)),$D$160)</f>
        <v>Net Operating Income</v>
      </c>
      <c r="C4" s="14"/>
      <c r="D4" s="72" t="str">
        <f>Timeline!D4</f>
        <v>Forecast vs Actual</v>
      </c>
      <c r="E4" s="14"/>
      <c r="F4" s="14"/>
      <c r="G4" s="14"/>
      <c r="H4" s="14"/>
      <c r="I4" s="14"/>
      <c r="J4" s="14"/>
      <c r="K4" s="14"/>
      <c r="L4" s="14"/>
      <c r="M4" s="14"/>
      <c r="N4" s="14"/>
      <c r="O4" s="14"/>
      <c r="P4" s="14"/>
      <c r="Q4" s="14"/>
      <c r="R4" s="14"/>
      <c r="S4" s="14"/>
      <c r="T4" s="14"/>
      <c r="U4" s="14"/>
      <c r="V4" s="122">
        <f>Timeline!V4</f>
        <v>0</v>
      </c>
      <c r="W4" s="123">
        <f>Timeline!W4</f>
        <v>-1</v>
      </c>
      <c r="X4" s="123">
        <f>Timeline!X4</f>
        <v>1</v>
      </c>
      <c r="Y4" s="124">
        <f>Timeline!Y4</f>
        <v>1</v>
      </c>
      <c r="Z4" s="20"/>
      <c r="AA4" s="122">
        <f>Timeline!AA4</f>
        <v>0</v>
      </c>
      <c r="AB4" s="123">
        <f>Timeline!AB4</f>
        <v>0</v>
      </c>
      <c r="AC4" s="123">
        <f>Timeline!AC4</f>
        <v>0</v>
      </c>
      <c r="AD4" s="123">
        <f>Timeline!AD4</f>
        <v>0</v>
      </c>
      <c r="AE4" s="123">
        <f>Timeline!AE4</f>
        <v>0</v>
      </c>
      <c r="AF4" s="123">
        <f>Timeline!AF4</f>
        <v>0</v>
      </c>
      <c r="AG4" s="123">
        <f>Timeline!AG4</f>
        <v>0</v>
      </c>
      <c r="AH4" s="123">
        <f>Timeline!AH4</f>
        <v>0</v>
      </c>
      <c r="AI4" s="123">
        <f>Timeline!AI4</f>
        <v>0</v>
      </c>
      <c r="AJ4" s="123">
        <f>Timeline!AJ4</f>
        <v>0</v>
      </c>
      <c r="AK4" s="123">
        <f>Timeline!AK4</f>
        <v>0</v>
      </c>
      <c r="AL4" s="124">
        <f>Timeline!AL4</f>
        <v>1</v>
      </c>
      <c r="AM4" s="125">
        <f>Timeline!AM4</f>
        <v>1</v>
      </c>
      <c r="AN4" s="125">
        <f>Timeline!AN4</f>
        <v>1</v>
      </c>
      <c r="AO4" s="125">
        <f>Timeline!AO4</f>
        <v>1</v>
      </c>
      <c r="AP4" s="125">
        <f>Timeline!AP4</f>
        <v>1</v>
      </c>
      <c r="AQ4" s="125">
        <f>Timeline!AQ4</f>
        <v>1</v>
      </c>
      <c r="AR4" s="125">
        <f>Timeline!AR4</f>
        <v>1</v>
      </c>
      <c r="AS4" s="125">
        <f>Timeline!AS4</f>
        <v>1</v>
      </c>
      <c r="AT4" s="125">
        <f>Timeline!AT4</f>
        <v>1</v>
      </c>
      <c r="AU4" s="125">
        <f>Timeline!AU4</f>
        <v>1</v>
      </c>
      <c r="AV4" s="125">
        <f>Timeline!AV4</f>
        <v>1</v>
      </c>
      <c r="AW4" s="125">
        <f>Timeline!AW4</f>
        <v>1</v>
      </c>
      <c r="AX4" s="125">
        <f>Timeline!AX4</f>
        <v>1</v>
      </c>
      <c r="AY4" s="122">
        <f>Timeline!AY4</f>
        <v>1</v>
      </c>
      <c r="AZ4" s="123">
        <f>Timeline!AZ4</f>
        <v>1</v>
      </c>
      <c r="BA4" s="123">
        <f>Timeline!BA4</f>
        <v>1</v>
      </c>
      <c r="BB4" s="123">
        <f>Timeline!BB4</f>
        <v>1</v>
      </c>
      <c r="BC4" s="123">
        <f>Timeline!BC4</f>
        <v>1</v>
      </c>
      <c r="BD4" s="123">
        <f>Timeline!BD4</f>
        <v>1</v>
      </c>
      <c r="BE4" s="123">
        <f>Timeline!BE4</f>
        <v>1</v>
      </c>
      <c r="BF4" s="123">
        <f>Timeline!BF4</f>
        <v>1</v>
      </c>
      <c r="BG4" s="123">
        <f>Timeline!BG4</f>
        <v>1</v>
      </c>
      <c r="BH4" s="123">
        <f>Timeline!BH4</f>
        <v>1</v>
      </c>
      <c r="BI4" s="123">
        <f>Timeline!BI4</f>
        <v>1</v>
      </c>
      <c r="BJ4" s="12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394" t="s">
        <v>965</v>
      </c>
      <c r="CA4" s="575"/>
      <c r="CB4" s="576"/>
      <c r="CC4" s="576"/>
      <c r="CD4" s="576"/>
      <c r="CE4" s="576"/>
      <c r="CF4" s="575"/>
      <c r="CG4" s="581"/>
      <c r="CH4" s="584"/>
      <c r="CI4" s="587"/>
      <c r="CJ4" s="581"/>
      <c r="CK4" s="584"/>
      <c r="CL4" s="587"/>
      <c r="CM4" s="590"/>
      <c r="CN4" s="581"/>
      <c r="CO4" s="25"/>
      <c r="CP4" s="578"/>
      <c r="CQ4" s="578"/>
      <c r="CR4" s="578"/>
      <c r="CS4" s="578"/>
      <c r="CT4" s="25"/>
      <c r="CU4" s="578"/>
      <c r="CV4" s="578"/>
      <c r="CW4" s="578"/>
      <c r="CX4" s="578"/>
      <c r="CY4" s="578"/>
      <c r="CZ4" s="578"/>
      <c r="DA4" s="578"/>
      <c r="DB4" s="578"/>
      <c r="DC4" s="578"/>
      <c r="DD4" s="578"/>
      <c r="DE4" s="578"/>
      <c r="DF4" s="578"/>
      <c r="DG4" s="578"/>
      <c r="DH4" s="578"/>
      <c r="DI4" s="578"/>
      <c r="DJ4" s="578"/>
      <c r="DK4" s="578"/>
      <c r="DL4" s="578"/>
      <c r="DM4" s="578"/>
      <c r="DN4" s="578"/>
      <c r="DO4" s="578"/>
      <c r="DP4" s="578"/>
      <c r="DQ4" s="578"/>
      <c r="DR4" s="578"/>
      <c r="DS4" s="578"/>
      <c r="DT4" s="578"/>
      <c r="DU4" s="578"/>
      <c r="DV4" s="578"/>
      <c r="DW4" s="578"/>
      <c r="DX4" s="578"/>
      <c r="DY4" s="578"/>
      <c r="DZ4" s="578"/>
      <c r="EA4" s="578"/>
      <c r="EB4" s="578"/>
      <c r="EC4" s="578"/>
      <c r="ED4" s="578"/>
      <c r="EE4" s="25"/>
      <c r="EF4" s="578"/>
      <c r="EG4" s="578"/>
      <c r="EH4" s="578"/>
      <c r="EI4" s="578"/>
      <c r="EJ4" s="578"/>
      <c r="EK4" s="578"/>
      <c r="EL4" s="578"/>
      <c r="EM4" s="578"/>
      <c r="EN4" s="578"/>
      <c r="EO4" s="578"/>
      <c r="EP4" s="578"/>
      <c r="EQ4" s="578"/>
      <c r="ER4" s="575"/>
      <c r="ES4" s="576"/>
      <c r="ET4" s="576"/>
    </row>
    <row r="5" spans="1:155" x14ac:dyDescent="0.25">
      <c r="A5" s="14"/>
      <c r="B5" s="80" t="str" cm="1">
        <f t="array" aca="1" ref="B5" ca="1">HYPERLINK(CONCATENATE("#",CELL("address",$D$199)),$D$191)</f>
        <v>Education-Specific EBITDA</v>
      </c>
      <c r="C5" s="14"/>
      <c r="D5" s="72"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69"/>
      <c r="CA5" s="575"/>
      <c r="CB5" s="576"/>
      <c r="CC5" s="576"/>
      <c r="CD5" s="576"/>
      <c r="CE5" s="576"/>
      <c r="CF5" s="575"/>
      <c r="CG5" s="581"/>
      <c r="CH5" s="584"/>
      <c r="CI5" s="587"/>
      <c r="CJ5" s="581"/>
      <c r="CK5" s="584"/>
      <c r="CL5" s="587"/>
      <c r="CM5" s="590"/>
      <c r="CN5" s="581"/>
      <c r="CO5" s="25"/>
      <c r="CP5" s="578"/>
      <c r="CQ5" s="578"/>
      <c r="CR5" s="578"/>
      <c r="CS5" s="578"/>
      <c r="CT5" s="25"/>
      <c r="CU5" s="578"/>
      <c r="CV5" s="578"/>
      <c r="CW5" s="578"/>
      <c r="CX5" s="578"/>
      <c r="CY5" s="578"/>
      <c r="CZ5" s="578"/>
      <c r="DA5" s="578"/>
      <c r="DB5" s="578"/>
      <c r="DC5" s="578"/>
      <c r="DD5" s="578"/>
      <c r="DE5" s="578"/>
      <c r="DF5" s="578"/>
      <c r="DG5" s="578"/>
      <c r="DH5" s="578"/>
      <c r="DI5" s="578"/>
      <c r="DJ5" s="578"/>
      <c r="DK5" s="578"/>
      <c r="DL5" s="578"/>
      <c r="DM5" s="578"/>
      <c r="DN5" s="578"/>
      <c r="DO5" s="578"/>
      <c r="DP5" s="578"/>
      <c r="DQ5" s="578"/>
      <c r="DR5" s="578"/>
      <c r="DS5" s="578"/>
      <c r="DT5" s="578"/>
      <c r="DU5" s="578"/>
      <c r="DV5" s="578"/>
      <c r="DW5" s="578"/>
      <c r="DX5" s="578"/>
      <c r="DY5" s="578"/>
      <c r="DZ5" s="578"/>
      <c r="EA5" s="578"/>
      <c r="EB5" s="578"/>
      <c r="EC5" s="578"/>
      <c r="ED5" s="578"/>
      <c r="EE5" s="25"/>
      <c r="EF5" s="578"/>
      <c r="EG5" s="578"/>
      <c r="EH5" s="578"/>
      <c r="EI5" s="578"/>
      <c r="EJ5" s="578"/>
      <c r="EK5" s="578"/>
      <c r="EL5" s="578"/>
      <c r="EM5" s="578"/>
      <c r="EN5" s="578"/>
      <c r="EO5" s="578"/>
      <c r="EP5" s="578"/>
      <c r="EQ5" s="578"/>
      <c r="ER5" s="575"/>
      <c r="ES5" s="576"/>
      <c r="ET5" s="576"/>
    </row>
    <row r="6" spans="1:155" x14ac:dyDescent="0.25">
      <c r="A6" s="80" t="str" cm="1">
        <f t="array" aca="1" ref="A6" ca="1">HYPERLINK(CONCATENATE("#",CELL("address",CA7)),"Check")</f>
        <v>Check</v>
      </c>
      <c r="B6" s="14"/>
      <c r="C6" s="14" t="str">
        <f>Template!$C$6</f>
        <v>Ref. No.</v>
      </c>
      <c r="D6" s="101" t="str">
        <f>Template!D6</f>
        <v>Description</v>
      </c>
      <c r="E6" s="129" t="s">
        <v>888</v>
      </c>
      <c r="F6" s="129"/>
      <c r="G6" s="14"/>
      <c r="H6" s="14" t="str">
        <f>Template!H6</f>
        <v>Signage</v>
      </c>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69"/>
      <c r="CA6" s="575"/>
      <c r="CB6" s="576"/>
      <c r="CC6" s="576"/>
      <c r="CD6" s="576"/>
      <c r="CE6" s="576"/>
      <c r="CF6" s="575"/>
      <c r="CG6" s="582"/>
      <c r="CH6" s="585"/>
      <c r="CI6" s="588"/>
      <c r="CJ6" s="582"/>
      <c r="CK6" s="585"/>
      <c r="CL6" s="588"/>
      <c r="CM6" s="591"/>
      <c r="CN6" s="582"/>
      <c r="CO6" s="424"/>
      <c r="CP6" s="579"/>
      <c r="CQ6" s="579"/>
      <c r="CR6" s="579"/>
      <c r="CS6" s="579"/>
      <c r="CT6" s="424"/>
      <c r="CU6" s="579"/>
      <c r="CV6" s="579"/>
      <c r="CW6" s="579"/>
      <c r="CX6" s="579"/>
      <c r="CY6" s="579"/>
      <c r="CZ6" s="579"/>
      <c r="DA6" s="579"/>
      <c r="DB6" s="579"/>
      <c r="DC6" s="579"/>
      <c r="DD6" s="579"/>
      <c r="DE6" s="579"/>
      <c r="DF6" s="579"/>
      <c r="DG6" s="579"/>
      <c r="DH6" s="579"/>
      <c r="DI6" s="579"/>
      <c r="DJ6" s="579"/>
      <c r="DK6" s="579"/>
      <c r="DL6" s="579"/>
      <c r="DM6" s="579"/>
      <c r="DN6" s="579"/>
      <c r="DO6" s="579"/>
      <c r="DP6" s="579"/>
      <c r="DQ6" s="579"/>
      <c r="DR6" s="579"/>
      <c r="DS6" s="579"/>
      <c r="DT6" s="579"/>
      <c r="DU6" s="579"/>
      <c r="DV6" s="579"/>
      <c r="DW6" s="579"/>
      <c r="DX6" s="579"/>
      <c r="DY6" s="579"/>
      <c r="DZ6" s="579"/>
      <c r="EA6" s="579"/>
      <c r="EB6" s="579"/>
      <c r="EC6" s="579"/>
      <c r="ED6" s="579"/>
      <c r="EE6" s="424"/>
      <c r="EF6" s="579"/>
      <c r="EG6" s="579"/>
      <c r="EH6" s="579"/>
      <c r="EI6" s="579"/>
      <c r="EJ6" s="579"/>
      <c r="EK6" s="579"/>
      <c r="EL6" s="579"/>
      <c r="EM6" s="579"/>
      <c r="EN6" s="579"/>
      <c r="EO6" s="579"/>
      <c r="EP6" s="579"/>
      <c r="EQ6" s="579"/>
      <c r="ER6" s="575"/>
      <c r="ES6" s="576"/>
      <c r="ET6" s="576"/>
    </row>
    <row r="7" spans="1:155" s="11" customFormat="1" ht="15.75" x14ac:dyDescent="0.3">
      <c r="B7" s="139" t="s">
        <v>2494</v>
      </c>
      <c r="C7" s="162"/>
      <c r="D7" s="69"/>
      <c r="G7" s="9"/>
      <c r="H7" s="9"/>
      <c r="BM7" s="6"/>
      <c r="BY7" s="107"/>
      <c r="BZ7" s="105" t="s">
        <v>335</v>
      </c>
      <c r="CA7" s="107"/>
      <c r="CB7" s="105" t="s">
        <v>335</v>
      </c>
      <c r="CC7" s="105" t="s">
        <v>335</v>
      </c>
      <c r="CD7" s="105" t="s">
        <v>335</v>
      </c>
      <c r="CE7" s="105" t="s">
        <v>335</v>
      </c>
      <c r="CF7" s="106"/>
      <c r="CG7" s="335"/>
      <c r="CH7" s="335"/>
      <c r="CI7" s="335"/>
      <c r="CJ7" s="335"/>
      <c r="CK7" s="335"/>
      <c r="CL7" s="335"/>
      <c r="CM7" s="335"/>
      <c r="ER7" s="106"/>
      <c r="ET7" s="335"/>
      <c r="EU7" s="335"/>
      <c r="EV7" s="335"/>
    </row>
    <row r="8" spans="1:155" x14ac:dyDescent="0.25">
      <c r="A8" s="40"/>
      <c r="B8" s="40"/>
      <c r="C8" s="381"/>
      <c r="D8" s="99" t="s">
        <v>877</v>
      </c>
      <c r="E8" s="40"/>
      <c r="F8" s="40"/>
      <c r="G8" s="40"/>
      <c r="H8" s="40"/>
      <c r="I8" s="40"/>
      <c r="J8" s="40"/>
      <c r="K8" s="40"/>
      <c r="L8" s="40"/>
      <c r="M8" s="40"/>
      <c r="N8" s="40"/>
      <c r="O8" s="40"/>
      <c r="P8" s="40"/>
      <c r="Q8" s="40"/>
      <c r="R8" s="40"/>
      <c r="S8" s="40"/>
      <c r="T8" s="148"/>
      <c r="U8" s="148"/>
      <c r="V8" s="148"/>
      <c r="W8" s="148"/>
      <c r="X8" s="148"/>
      <c r="Y8" s="148"/>
      <c r="Z8" s="40"/>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40"/>
      <c r="BL8" s="148"/>
      <c r="BM8" s="148"/>
      <c r="BN8" s="148"/>
      <c r="BO8" s="148"/>
      <c r="BP8" s="148"/>
      <c r="BQ8" s="148"/>
      <c r="BR8" s="148"/>
      <c r="BS8" s="148"/>
      <c r="BT8" s="148"/>
      <c r="BU8" s="148"/>
      <c r="BV8" s="148"/>
      <c r="BW8" s="148"/>
      <c r="BX8" s="40"/>
      <c r="BY8" s="12"/>
      <c r="CA8" s="12"/>
      <c r="CF8" s="12"/>
      <c r="ER8" s="12"/>
      <c r="EX8" s="10" t="str">
        <f t="shared" ref="EX8:EX68" si="40">IF($C8="","",$D8)</f>
        <v/>
      </c>
    </row>
    <row r="9" spans="1:155" s="11" customFormat="1" ht="6.6" customHeight="1" x14ac:dyDescent="0.25">
      <c r="A9" s="335"/>
      <c r="B9" s="335"/>
      <c r="C9" s="380"/>
      <c r="D9" s="69"/>
      <c r="G9" s="335"/>
      <c r="T9" s="335"/>
      <c r="U9" s="335"/>
      <c r="V9" s="335"/>
      <c r="W9" s="335"/>
      <c r="X9" s="335"/>
      <c r="Y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c r="BG9" s="335"/>
      <c r="BH9" s="335"/>
      <c r="BI9" s="335"/>
      <c r="BJ9" s="335"/>
      <c r="BL9" s="335"/>
      <c r="BM9" s="6"/>
      <c r="BN9" s="335"/>
      <c r="BO9" s="335"/>
      <c r="BP9" s="335"/>
      <c r="BQ9" s="335"/>
      <c r="BR9" s="335"/>
      <c r="BS9" s="335"/>
      <c r="BT9" s="335"/>
      <c r="BU9" s="335"/>
      <c r="BV9" s="335"/>
      <c r="BW9" s="335"/>
      <c r="BY9" s="12"/>
      <c r="BZ9" s="162"/>
      <c r="CA9" s="12"/>
      <c r="CC9" s="335"/>
      <c r="CD9" s="335"/>
      <c r="CE9" s="335"/>
      <c r="CF9" s="12"/>
      <c r="CG9" s="335"/>
      <c r="CH9" s="335"/>
      <c r="CI9" s="335"/>
      <c r="CJ9" s="335"/>
      <c r="CK9" s="335"/>
      <c r="CL9" s="335"/>
      <c r="CM9" s="335"/>
      <c r="ER9" s="12"/>
      <c r="ES9" s="11">
        <v>0</v>
      </c>
      <c r="ET9" s="335">
        <v>0</v>
      </c>
      <c r="EU9" s="335"/>
      <c r="EV9" s="335"/>
      <c r="EX9" s="10" t="str">
        <f t="shared" si="40"/>
        <v/>
      </c>
    </row>
    <row r="10" spans="1:155" x14ac:dyDescent="0.25">
      <c r="B10" s="5"/>
      <c r="C10" s="380"/>
      <c r="D10" s="74" t="s">
        <v>9</v>
      </c>
      <c r="E10" s="5"/>
      <c r="G10" s="335"/>
      <c r="H10" s="11"/>
      <c r="I10" s="2"/>
      <c r="J10" s="2"/>
      <c r="K10" s="2"/>
      <c r="L10" s="2"/>
      <c r="M10" s="2"/>
      <c r="N10" s="2"/>
      <c r="O10" s="2"/>
      <c r="P10" s="2"/>
      <c r="Q10" s="2"/>
      <c r="S10" s="335"/>
      <c r="T10" s="25"/>
      <c r="U10" s="25"/>
      <c r="V10" s="25"/>
      <c r="W10" s="25"/>
      <c r="X10" s="25"/>
      <c r="Y10" s="25"/>
      <c r="Z10" s="33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335"/>
      <c r="BL10" s="25"/>
      <c r="BM10" s="25"/>
      <c r="BN10" s="25"/>
      <c r="BO10" s="25"/>
      <c r="BP10" s="25"/>
      <c r="BQ10" s="25"/>
      <c r="BR10" s="25"/>
      <c r="BS10" s="25"/>
      <c r="BT10" s="25"/>
      <c r="BU10" s="25"/>
      <c r="BV10" s="25"/>
      <c r="BW10" s="25"/>
      <c r="BY10" s="12"/>
      <c r="CA10" s="12"/>
      <c r="CF10" s="12"/>
      <c r="ER10" s="12"/>
      <c r="ES10">
        <v>0</v>
      </c>
      <c r="ET10" s="335">
        <v>0</v>
      </c>
      <c r="EX10" s="10" t="str">
        <f t="shared" si="40"/>
        <v/>
      </c>
    </row>
    <row r="11" spans="1:155" x14ac:dyDescent="0.25">
      <c r="A11" s="362" cm="1">
        <f t="array" aca="1" ref="A11" ca="1">HYPERLINK(CONCATENATE("#",CELL("address",IF(SUM($CA11:$CH11)=0,A11,INDEX($CA11:$CH11,MATCH(1,$CA11:$CH11,0))))),SUM($CA11:$CH11))</f>
        <v>0</v>
      </c>
      <c r="C11" s="343" t="str">
        <f>CONCATENATE("M-", 'I&amp;E Annual'!C11)</f>
        <v>M-IE-1a-1a</v>
      </c>
      <c r="D11" s="137" t="s">
        <v>1014</v>
      </c>
      <c r="G11" s="8"/>
      <c r="H11" t="s">
        <v>8</v>
      </c>
      <c r="S11" s="335"/>
      <c r="T11" s="25"/>
      <c r="U11" s="25"/>
      <c r="V11" s="222"/>
      <c r="W11" s="215">
        <f t="shared" ref="W11:Y11" si="41" xml:space="preserve"> SUMIFS($AA11:$BJ11, $AA$3:$BJ$3, W$3)</f>
        <v>0</v>
      </c>
      <c r="X11" s="215">
        <f t="shared" si="41"/>
        <v>0</v>
      </c>
      <c r="Y11" s="215">
        <f t="shared" si="41"/>
        <v>0</v>
      </c>
      <c r="Z11" s="335"/>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335"/>
      <c r="BL11" s="153">
        <f t="shared" ref="BL11:BO11" si="42">V11</f>
        <v>0</v>
      </c>
      <c r="BM11" s="153">
        <f t="shared" si="42"/>
        <v>0</v>
      </c>
      <c r="BN11" s="153">
        <f t="shared" si="42"/>
        <v>0</v>
      </c>
      <c r="BO11" s="153">
        <f t="shared" si="42"/>
        <v>0</v>
      </c>
      <c r="BP11" s="156"/>
      <c r="BQ11" s="156"/>
      <c r="BR11" s="156"/>
      <c r="BS11" s="156"/>
      <c r="BT11" s="156"/>
      <c r="BU11" s="156"/>
      <c r="BV11" s="156"/>
      <c r="BW11" s="156"/>
      <c r="BY11" s="12"/>
      <c r="BZ11" s="395">
        <f>IF(MIN($V11:$BW11)&lt;0, 1, 0)</f>
        <v>0</v>
      </c>
      <c r="CA11" s="12"/>
      <c r="CC11" s="7">
        <f>IF(SUM($CG11:$CI11)=0, 0, 1)</f>
        <v>0</v>
      </c>
      <c r="CD11" s="7">
        <f>IF(SUM($CJ11:$CL11)=0, 0, 1)</f>
        <v>0</v>
      </c>
      <c r="CE11" s="7">
        <f>IF($CM11=0, 0, 1)</f>
        <v>0</v>
      </c>
      <c r="CF11" s="12"/>
      <c r="CG11" s="352">
        <f t="shared" ref="CG11:CI16" si="43">ROUND(W11-SUMIFS($AA11:$BJ11, $AA$3:$BJ$3, W$3), rounding)</f>
        <v>0</v>
      </c>
      <c r="CH11" s="352">
        <f>ROUND(X11-SUMIFS($AA11:$BJ11, $AA$3:$BJ$3, X$3), rounding)</f>
        <v>0</v>
      </c>
      <c r="CI11" s="352">
        <f t="shared" si="43"/>
        <v>0</v>
      </c>
      <c r="CJ11" s="352">
        <f t="shared" ref="CJ11:CJ16" si="44">ROUND($BM11-SUMIFS($AA11:$BJ11, $AA$3:$BJ$3, $BM$3), rounding)</f>
        <v>0</v>
      </c>
      <c r="CK11" s="352">
        <f t="shared" ref="CK11:CK16" si="45">ROUND($BN11-SUMIFS($AA11:$BJ11, $AA$3:$BJ$3, $BN$3), rounding)</f>
        <v>0</v>
      </c>
      <c r="CL11" s="352">
        <f t="shared" ref="CL11:CL16" si="46">ROUND($BO11-SUMIFS($AA11:$BJ11, $AA$3:$BJ$3, $BO$3), rounding)</f>
        <v>0</v>
      </c>
      <c r="CM11" s="352">
        <f t="shared" ref="CM11:CM16" si="47">ROUND($V11-$BL11, rounding)</f>
        <v>0</v>
      </c>
      <c r="ER11" s="12"/>
      <c r="ES11" s="4">
        <v>1</v>
      </c>
      <c r="ET11" s="335">
        <v>1</v>
      </c>
      <c r="EX11" s="10" t="str">
        <f t="shared" si="40"/>
        <v>ESFA funding: 14-16 income</v>
      </c>
    </row>
    <row r="12" spans="1:155" s="67" customFormat="1" hidden="1" x14ac:dyDescent="0.25">
      <c r="A12" s="362" cm="1">
        <f t="array" aca="1" ref="A12" ca="1">HYPERLINK(CONCATENATE("#",CELL("address",IF(SUM($CA12:$CH12)=0,A12,INDEX($CA12:$CH12,MATCH(1,$CA12:$CH12,0))))),SUM($CA12:$CH12))</f>
        <v>0</v>
      </c>
      <c r="C12" s="383"/>
      <c r="D12" s="137" t="s">
        <v>2316</v>
      </c>
      <c r="E12" s="335"/>
      <c r="F12" s="335"/>
      <c r="G12" s="8"/>
      <c r="H12" s="335"/>
      <c r="I12" s="335"/>
      <c r="J12" s="335"/>
      <c r="K12" s="335"/>
      <c r="L12" s="335"/>
      <c r="M12" s="335"/>
      <c r="N12" s="335"/>
      <c r="O12" s="335"/>
      <c r="P12" s="335"/>
      <c r="Q12" s="335"/>
      <c r="R12" s="335"/>
      <c r="S12" s="93"/>
      <c r="T12" s="25"/>
      <c r="U12" s="25"/>
      <c r="V12" s="349"/>
      <c r="W12" s="349"/>
      <c r="X12" s="349"/>
      <c r="Y12" s="349"/>
      <c r="Z12" s="93"/>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93"/>
      <c r="BL12" s="349"/>
      <c r="BM12" s="349"/>
      <c r="BN12" s="349"/>
      <c r="BO12" s="349"/>
      <c r="BP12" s="349"/>
      <c r="BQ12" s="349"/>
      <c r="BR12" s="349"/>
      <c r="BS12" s="349"/>
      <c r="BT12" s="349"/>
      <c r="BU12" s="349"/>
      <c r="BV12" s="349"/>
      <c r="BW12" s="349"/>
      <c r="BY12" s="12"/>
      <c r="BZ12" s="395">
        <f t="shared" ref="BZ12" si="48">IF(MIN($V12:$BW12)&lt;0, 1, 0)</f>
        <v>0</v>
      </c>
      <c r="CA12" s="12"/>
      <c r="CC12" s="7">
        <f t="shared" ref="CC12:CC16" si="49">IF(SUM($CG12:$CI12)=0, 0, 1)</f>
        <v>0</v>
      </c>
      <c r="CD12" s="7">
        <f t="shared" ref="CD12:CD16" si="50">IF(SUM($CJ12:$CL12)=0, 0, 1)</f>
        <v>0</v>
      </c>
      <c r="CE12" s="7">
        <f t="shared" ref="CE12:CE16" si="51">IF($CM12=0, 0, 1)</f>
        <v>0</v>
      </c>
      <c r="CF12" s="12"/>
      <c r="CG12" s="352">
        <f t="shared" si="43"/>
        <v>0</v>
      </c>
      <c r="CH12" s="352">
        <f t="shared" si="43"/>
        <v>0</v>
      </c>
      <c r="CI12" s="352">
        <f t="shared" si="43"/>
        <v>0</v>
      </c>
      <c r="CJ12" s="352">
        <f t="shared" si="44"/>
        <v>0</v>
      </c>
      <c r="CK12" s="352">
        <f t="shared" si="45"/>
        <v>0</v>
      </c>
      <c r="CL12" s="352">
        <f t="shared" si="46"/>
        <v>0</v>
      </c>
      <c r="CM12" s="352">
        <f t="shared" si="47"/>
        <v>0</v>
      </c>
      <c r="ER12" s="12"/>
      <c r="ES12" s="67">
        <v>1</v>
      </c>
      <c r="ET12" s="335">
        <v>1</v>
      </c>
      <c r="EU12" s="335"/>
      <c r="EV12" s="335"/>
      <c r="EX12" s="10" t="str">
        <f t="shared" si="40"/>
        <v/>
      </c>
    </row>
    <row r="13" spans="1:155" s="67" customFormat="1" hidden="1" x14ac:dyDescent="0.25">
      <c r="A13" s="362" cm="1">
        <f t="array" aca="1" ref="A13" ca="1">HYPERLINK(CONCATENATE("#",CELL("address",IF(SUM($CA13:$CH13)=0,A13,INDEX($CA13:$CH13,MATCH(1,$CA13:$CH13,0))))),SUM($CA13:$CH13))</f>
        <v>0</v>
      </c>
      <c r="C13" s="383"/>
      <c r="D13" s="137" t="s">
        <v>2316</v>
      </c>
      <c r="G13" s="8"/>
      <c r="S13" s="93"/>
      <c r="T13" s="25"/>
      <c r="U13" s="25"/>
      <c r="V13" s="136"/>
      <c r="W13" s="136"/>
      <c r="X13" s="136"/>
      <c r="Y13" s="136"/>
      <c r="Z13" s="93"/>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93"/>
      <c r="BL13" s="136"/>
      <c r="BM13" s="136"/>
      <c r="BN13" s="136"/>
      <c r="BO13" s="136"/>
      <c r="BP13" s="136"/>
      <c r="BQ13" s="136"/>
      <c r="BR13" s="136"/>
      <c r="BS13" s="136"/>
      <c r="BT13" s="136"/>
      <c r="BU13" s="136"/>
      <c r="BV13" s="136"/>
      <c r="BW13" s="136"/>
      <c r="BY13" s="12"/>
      <c r="BZ13" s="395">
        <f>IF(MIN($V13:$BW13)&lt;0, 1, 0)</f>
        <v>0</v>
      </c>
      <c r="CA13" s="12"/>
      <c r="CB13" s="335"/>
      <c r="CC13" s="7">
        <f t="shared" si="49"/>
        <v>0</v>
      </c>
      <c r="CD13" s="7">
        <f>IF(SUM($CJ13:$CL13)=0, 0, 1)</f>
        <v>0</v>
      </c>
      <c r="CE13" s="7">
        <f t="shared" si="51"/>
        <v>0</v>
      </c>
      <c r="CF13" s="12"/>
      <c r="CG13" s="352">
        <f t="shared" si="43"/>
        <v>0</v>
      </c>
      <c r="CH13" s="352">
        <f t="shared" si="43"/>
        <v>0</v>
      </c>
      <c r="CI13" s="352">
        <f t="shared" si="43"/>
        <v>0</v>
      </c>
      <c r="CJ13" s="352">
        <f t="shared" si="44"/>
        <v>0</v>
      </c>
      <c r="CK13" s="352">
        <f t="shared" si="45"/>
        <v>0</v>
      </c>
      <c r="CL13" s="352">
        <f t="shared" si="46"/>
        <v>0</v>
      </c>
      <c r="CM13" s="352">
        <f t="shared" si="47"/>
        <v>0</v>
      </c>
      <c r="CN13" s="335"/>
      <c r="CP13" s="335"/>
      <c r="CQ13" s="335"/>
      <c r="CR13" s="335"/>
      <c r="CS13" s="335"/>
      <c r="CU13" s="335"/>
      <c r="CV13" s="335"/>
      <c r="CW13" s="335"/>
      <c r="CX13" s="335"/>
      <c r="CY13" s="335"/>
      <c r="CZ13" s="335"/>
      <c r="DA13" s="335"/>
      <c r="DB13" s="335"/>
      <c r="DC13" s="335"/>
      <c r="DD13" s="335"/>
      <c r="DE13" s="335"/>
      <c r="DF13" s="335"/>
      <c r="DG13" s="335"/>
      <c r="DH13" s="335"/>
      <c r="DI13" s="335"/>
      <c r="DJ13" s="335"/>
      <c r="DK13" s="335"/>
      <c r="DL13" s="335"/>
      <c r="DM13" s="335"/>
      <c r="DN13" s="335"/>
      <c r="DO13" s="335"/>
      <c r="DP13" s="335"/>
      <c r="DQ13" s="335"/>
      <c r="DR13" s="335"/>
      <c r="DS13" s="335"/>
      <c r="DT13" s="335"/>
      <c r="DU13" s="335"/>
      <c r="DV13" s="335"/>
      <c r="DW13" s="335"/>
      <c r="DX13" s="335"/>
      <c r="DY13" s="335"/>
      <c r="DZ13" s="335"/>
      <c r="EA13" s="335"/>
      <c r="EB13" s="335"/>
      <c r="EC13" s="335"/>
      <c r="ED13" s="335"/>
      <c r="EF13" s="335"/>
      <c r="EG13" s="335"/>
      <c r="EH13" s="335"/>
      <c r="EI13" s="335"/>
      <c r="EJ13" s="335"/>
      <c r="EK13" s="335"/>
      <c r="EL13" s="335"/>
      <c r="EM13" s="335"/>
      <c r="EN13" s="335"/>
      <c r="EO13" s="335"/>
      <c r="EP13" s="335"/>
      <c r="EQ13" s="335"/>
      <c r="ER13" s="12"/>
      <c r="ES13" s="67">
        <v>1</v>
      </c>
      <c r="ET13" s="335">
        <v>1</v>
      </c>
      <c r="EU13" s="335"/>
      <c r="EV13" s="335"/>
      <c r="EX13" s="10" t="str">
        <f t="shared" si="40"/>
        <v/>
      </c>
    </row>
    <row r="14" spans="1:155" s="67" customFormat="1" x14ac:dyDescent="0.25">
      <c r="A14" s="362" cm="1">
        <f t="array" aca="1" ref="A14" ca="1">HYPERLINK(CONCATENATE("#",CELL("address",IF(SUM($CA14:$CH14)=0,A14,INDEX($CA14:$CH14,MATCH(1,$CA14:$CH14,0))))),SUM($CA14:$CH14))</f>
        <v>0</v>
      </c>
      <c r="B14" s="335"/>
      <c r="C14" s="343" t="str">
        <f>CONCATENATE("M-", 'I&amp;E Annual'!C14)</f>
        <v>M-IE-1a-1SI</v>
      </c>
      <c r="D14" s="137" t="s">
        <v>421</v>
      </c>
      <c r="E14" s="335"/>
      <c r="G14" s="8"/>
      <c r="H14" s="67" t="s">
        <v>8</v>
      </c>
      <c r="S14" s="335"/>
      <c r="T14" s="25"/>
      <c r="U14" s="25"/>
      <c r="V14" s="141"/>
      <c r="W14" s="215">
        <f xml:space="preserve"> SUMIFS($AA14:$BJ14, $AA$3:$BJ$3, W$3)</f>
        <v>0</v>
      </c>
      <c r="X14" s="215">
        <f xml:space="preserve"> SUMIFS($AA14:$BJ14, $AA$3:$BJ$3, X$3)</f>
        <v>0</v>
      </c>
      <c r="Y14" s="215">
        <f xml:space="preserve"> SUMIFS($AA14:$BJ14, $AA$3:$BJ$3, Y$3)</f>
        <v>0</v>
      </c>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L14" s="10">
        <f>V14</f>
        <v>0</v>
      </c>
      <c r="BM14" s="10">
        <f>W14</f>
        <v>0</v>
      </c>
      <c r="BN14" s="10">
        <f>X14</f>
        <v>0</v>
      </c>
      <c r="BO14" s="10">
        <f>Y14</f>
        <v>0</v>
      </c>
      <c r="BP14" s="141"/>
      <c r="BQ14" s="141"/>
      <c r="BR14" s="141"/>
      <c r="BS14" s="141"/>
      <c r="BT14" s="141"/>
      <c r="BU14" s="141"/>
      <c r="BV14" s="141"/>
      <c r="BW14" s="141"/>
      <c r="BY14" s="12"/>
      <c r="BZ14" s="395">
        <f>IF(MIN($V14:$BW14)&lt;0, 1, 0)</f>
        <v>0</v>
      </c>
      <c r="CA14" s="12"/>
      <c r="CC14" s="7">
        <f t="shared" si="49"/>
        <v>0</v>
      </c>
      <c r="CD14" s="7">
        <f t="shared" si="50"/>
        <v>0</v>
      </c>
      <c r="CE14" s="7">
        <f t="shared" si="51"/>
        <v>0</v>
      </c>
      <c r="CF14" s="12"/>
      <c r="CG14" s="352">
        <f t="shared" si="43"/>
        <v>0</v>
      </c>
      <c r="CH14" s="352">
        <f t="shared" si="43"/>
        <v>0</v>
      </c>
      <c r="CI14" s="352">
        <f t="shared" si="43"/>
        <v>0</v>
      </c>
      <c r="CJ14" s="352">
        <f t="shared" si="44"/>
        <v>0</v>
      </c>
      <c r="CK14" s="352">
        <f>ROUND($BN14-SUMIFS($AA14:$BJ14, $AA$3:$BJ$3, $BN$3), rounding)</f>
        <v>0</v>
      </c>
      <c r="CL14" s="352">
        <f t="shared" si="46"/>
        <v>0</v>
      </c>
      <c r="CM14" s="352">
        <f t="shared" si="47"/>
        <v>0</v>
      </c>
      <c r="ER14" s="12"/>
      <c r="ES14" s="4">
        <v>1</v>
      </c>
      <c r="ET14" s="335">
        <v>1</v>
      </c>
      <c r="EU14" s="335"/>
      <c r="EV14" s="335"/>
      <c r="EX14" s="10" t="str">
        <f t="shared" si="40"/>
        <v>Subcontracted in: 14-16 income</v>
      </c>
    </row>
    <row r="15" spans="1:155" x14ac:dyDescent="0.25">
      <c r="A15" s="362" cm="1">
        <f t="array" aca="1" ref="A15" ca="1">HYPERLINK(CONCATENATE("#",CELL("address",IF(SUM($CA15:$CH15)=0,A15,INDEX($CA15:$CH15,MATCH(1,$CA15:$CH15,0))))),SUM($CA15:$CH15))</f>
        <v>0</v>
      </c>
      <c r="B15" s="335"/>
      <c r="C15" s="343" t="str">
        <f>CONCATENATE("M-", 'I&amp;E Annual'!C15)</f>
        <v>M-IE-1a-1</v>
      </c>
      <c r="D15" s="176" t="s">
        <v>10</v>
      </c>
      <c r="E15" s="5"/>
      <c r="G15" s="8"/>
      <c r="H15" t="s">
        <v>8</v>
      </c>
      <c r="S15" s="323"/>
      <c r="T15" s="25"/>
      <c r="U15" s="25"/>
      <c r="V15" s="13">
        <f>SUM(V11:V14)</f>
        <v>0</v>
      </c>
      <c r="W15" s="13">
        <f>SUM(W11:W14)</f>
        <v>0</v>
      </c>
      <c r="X15" s="13">
        <f>SUM(X11:X14)</f>
        <v>0</v>
      </c>
      <c r="Y15" s="13">
        <f>SUM(Y11:Y14)</f>
        <v>0</v>
      </c>
      <c r="Z15" s="323"/>
      <c r="AA15" s="13">
        <f t="shared" ref="AA15:BJ15" si="52">SUM(AA11:AA14)</f>
        <v>0</v>
      </c>
      <c r="AB15" s="13">
        <f t="shared" si="52"/>
        <v>0</v>
      </c>
      <c r="AC15" s="13">
        <f t="shared" si="52"/>
        <v>0</v>
      </c>
      <c r="AD15" s="13">
        <f t="shared" si="52"/>
        <v>0</v>
      </c>
      <c r="AE15" s="13">
        <f t="shared" si="52"/>
        <v>0</v>
      </c>
      <c r="AF15" s="13">
        <f t="shared" si="52"/>
        <v>0</v>
      </c>
      <c r="AG15" s="13">
        <f t="shared" si="52"/>
        <v>0</v>
      </c>
      <c r="AH15" s="13">
        <f t="shared" si="52"/>
        <v>0</v>
      </c>
      <c r="AI15" s="13">
        <f t="shared" si="52"/>
        <v>0</v>
      </c>
      <c r="AJ15" s="13">
        <f t="shared" si="52"/>
        <v>0</v>
      </c>
      <c r="AK15" s="13">
        <f t="shared" si="52"/>
        <v>0</v>
      </c>
      <c r="AL15" s="13">
        <f t="shared" si="52"/>
        <v>0</v>
      </c>
      <c r="AM15" s="13">
        <f t="shared" si="52"/>
        <v>0</v>
      </c>
      <c r="AN15" s="13">
        <f t="shared" si="52"/>
        <v>0</v>
      </c>
      <c r="AO15" s="13">
        <f t="shared" si="52"/>
        <v>0</v>
      </c>
      <c r="AP15" s="13">
        <f t="shared" si="52"/>
        <v>0</v>
      </c>
      <c r="AQ15" s="13">
        <f t="shared" si="52"/>
        <v>0</v>
      </c>
      <c r="AR15" s="13">
        <f t="shared" si="52"/>
        <v>0</v>
      </c>
      <c r="AS15" s="13">
        <f t="shared" si="52"/>
        <v>0</v>
      </c>
      <c r="AT15" s="13">
        <f t="shared" si="52"/>
        <v>0</v>
      </c>
      <c r="AU15" s="13">
        <f t="shared" si="52"/>
        <v>0</v>
      </c>
      <c r="AV15" s="13">
        <f t="shared" si="52"/>
        <v>0</v>
      </c>
      <c r="AW15" s="13">
        <f t="shared" si="52"/>
        <v>0</v>
      </c>
      <c r="AX15" s="13">
        <f t="shared" si="52"/>
        <v>0</v>
      </c>
      <c r="AY15" s="13">
        <f t="shared" si="52"/>
        <v>0</v>
      </c>
      <c r="AZ15" s="13">
        <f t="shared" si="52"/>
        <v>0</v>
      </c>
      <c r="BA15" s="13">
        <f t="shared" si="52"/>
        <v>0</v>
      </c>
      <c r="BB15" s="13">
        <f t="shared" si="52"/>
        <v>0</v>
      </c>
      <c r="BC15" s="13">
        <f t="shared" si="52"/>
        <v>0</v>
      </c>
      <c r="BD15" s="13">
        <f t="shared" si="52"/>
        <v>0</v>
      </c>
      <c r="BE15" s="13">
        <f t="shared" si="52"/>
        <v>0</v>
      </c>
      <c r="BF15" s="13">
        <f t="shared" si="52"/>
        <v>0</v>
      </c>
      <c r="BG15" s="13">
        <f t="shared" si="52"/>
        <v>0</v>
      </c>
      <c r="BH15" s="13">
        <f t="shared" si="52"/>
        <v>0</v>
      </c>
      <c r="BI15" s="13">
        <f t="shared" si="52"/>
        <v>0</v>
      </c>
      <c r="BJ15" s="13">
        <f t="shared" si="52"/>
        <v>0</v>
      </c>
      <c r="BK15" s="323"/>
      <c r="BL15" s="13">
        <f t="shared" ref="BL15:BW15" si="53">SUM(BL11:BL14)</f>
        <v>0</v>
      </c>
      <c r="BM15" s="13">
        <f t="shared" si="53"/>
        <v>0</v>
      </c>
      <c r="BN15" s="13">
        <f t="shared" si="53"/>
        <v>0</v>
      </c>
      <c r="BO15" s="13">
        <f t="shared" si="53"/>
        <v>0</v>
      </c>
      <c r="BP15" s="13">
        <f t="shared" si="53"/>
        <v>0</v>
      </c>
      <c r="BQ15" s="13">
        <f t="shared" si="53"/>
        <v>0</v>
      </c>
      <c r="BR15" s="13">
        <f t="shared" si="53"/>
        <v>0</v>
      </c>
      <c r="BS15" s="13">
        <f t="shared" si="53"/>
        <v>0</v>
      </c>
      <c r="BT15" s="13">
        <f t="shared" si="53"/>
        <v>0</v>
      </c>
      <c r="BU15" s="13">
        <f t="shared" si="53"/>
        <v>0</v>
      </c>
      <c r="BV15" s="13">
        <f t="shared" si="53"/>
        <v>0</v>
      </c>
      <c r="BW15" s="13">
        <f t="shared" si="53"/>
        <v>0</v>
      </c>
      <c r="BY15" s="12"/>
      <c r="BZ15" s="395">
        <f>IF(MIN($V15:$BW15)&lt;0, 1, 0)</f>
        <v>0</v>
      </c>
      <c r="CA15" s="12"/>
      <c r="CC15" s="7">
        <f t="shared" si="49"/>
        <v>0</v>
      </c>
      <c r="CD15" s="7">
        <f t="shared" si="50"/>
        <v>0</v>
      </c>
      <c r="CE15" s="7">
        <f t="shared" si="51"/>
        <v>0</v>
      </c>
      <c r="CF15" s="12"/>
      <c r="CG15" s="352">
        <f t="shared" si="43"/>
        <v>0</v>
      </c>
      <c r="CH15" s="352">
        <f t="shared" si="43"/>
        <v>0</v>
      </c>
      <c r="CI15" s="352">
        <f t="shared" si="43"/>
        <v>0</v>
      </c>
      <c r="CJ15" s="352">
        <f t="shared" si="44"/>
        <v>0</v>
      </c>
      <c r="CK15" s="352">
        <f t="shared" si="45"/>
        <v>0</v>
      </c>
      <c r="CL15" s="352">
        <f t="shared" si="46"/>
        <v>0</v>
      </c>
      <c r="CM15" s="352">
        <f t="shared" si="47"/>
        <v>0</v>
      </c>
      <c r="ER15" s="12"/>
      <c r="ES15">
        <v>0</v>
      </c>
      <c r="ET15" s="335">
        <v>0</v>
      </c>
      <c r="EX15" s="10" t="str">
        <f t="shared" si="40"/>
        <v>Total 14-16 Income</v>
      </c>
    </row>
    <row r="16" spans="1:155" x14ac:dyDescent="0.25">
      <c r="A16" s="362" cm="1">
        <f t="array" aca="1" ref="A16" ca="1">HYPERLINK(CONCATENATE("#",CELL("address",IF(SUM($CA16:$CH16)=0,A16,INDEX($CA16:$CH16,MATCH(1,$CA16:$CH16,0))))),SUM($CA16:$CH16))</f>
        <v>0</v>
      </c>
      <c r="C16" s="343" t="str">
        <f>CONCATENATE("M-", 'I&amp;E Annual'!C16)</f>
        <v>M-IE-1a-1SO</v>
      </c>
      <c r="D16" s="137" t="s">
        <v>422</v>
      </c>
      <c r="E16" s="335"/>
      <c r="G16" s="8"/>
      <c r="H16" s="67" t="s">
        <v>8</v>
      </c>
      <c r="S16" s="335"/>
      <c r="T16" s="25"/>
      <c r="U16" s="25"/>
      <c r="V16" s="141"/>
      <c r="W16" s="215">
        <f xml:space="preserve"> SUMIFS($AA16:$BJ16, $AA$3:$BJ$3, W$3)</f>
        <v>0</v>
      </c>
      <c r="X16" s="215">
        <f xml:space="preserve"> SUMIFS($AA16:$BJ16, $AA$3:$BJ$3, X$3)</f>
        <v>0</v>
      </c>
      <c r="Y16" s="215">
        <f xml:space="preserve"> SUMIFS($AA16:$BJ16, $AA$3:$BJ$3, Y$3)</f>
        <v>0</v>
      </c>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L16" s="10">
        <f>V16</f>
        <v>0</v>
      </c>
      <c r="BM16" s="10">
        <f>W16</f>
        <v>0</v>
      </c>
      <c r="BN16" s="10">
        <f>X16</f>
        <v>0</v>
      </c>
      <c r="BO16" s="10">
        <f>Y16</f>
        <v>0</v>
      </c>
      <c r="BP16" s="141"/>
      <c r="BQ16" s="141"/>
      <c r="BR16" s="141"/>
      <c r="BS16" s="141"/>
      <c r="BT16" s="141"/>
      <c r="BU16" s="141"/>
      <c r="BV16" s="141"/>
      <c r="BW16" s="141"/>
      <c r="BY16" s="12"/>
      <c r="BZ16" s="395">
        <f>IF(MIN($V16:$BW16)&lt;0, 1, 0)</f>
        <v>0</v>
      </c>
      <c r="CA16" s="12"/>
      <c r="CB16" s="7">
        <f>IF(CN16=0, 0, 1)</f>
        <v>0</v>
      </c>
      <c r="CC16" s="7">
        <f t="shared" si="49"/>
        <v>0</v>
      </c>
      <c r="CD16" s="7">
        <f t="shared" si="50"/>
        <v>0</v>
      </c>
      <c r="CE16" s="7">
        <f t="shared" si="51"/>
        <v>0</v>
      </c>
      <c r="CF16" s="12"/>
      <c r="CG16" s="352">
        <f t="shared" si="43"/>
        <v>0</v>
      </c>
      <c r="CH16" s="352">
        <f t="shared" si="43"/>
        <v>0</v>
      </c>
      <c r="CI16" s="352">
        <f t="shared" si="43"/>
        <v>0</v>
      </c>
      <c r="CJ16" s="352">
        <f t="shared" si="44"/>
        <v>0</v>
      </c>
      <c r="CK16" s="352">
        <f t="shared" si="45"/>
        <v>0</v>
      </c>
      <c r="CL16" s="352">
        <f t="shared" si="46"/>
        <v>0</v>
      </c>
      <c r="CM16" s="352">
        <f t="shared" si="47"/>
        <v>0</v>
      </c>
      <c r="CN16" s="468">
        <f>SUM(CP16:EQ16)</f>
        <v>0</v>
      </c>
      <c r="CP16" s="7">
        <f>IF(V16&gt;V15, 1, 0)</f>
        <v>0</v>
      </c>
      <c r="CQ16" s="7">
        <f>IF(W16&gt;W15, 1, 0)</f>
        <v>0</v>
      </c>
      <c r="CR16" s="7">
        <f>IF(X16&gt;X15, 1, 0)</f>
        <v>0</v>
      </c>
      <c r="CS16" s="7">
        <f>IF(Y16&gt;Y15, 1, 0)</f>
        <v>0</v>
      </c>
      <c r="CT16" s="67"/>
      <c r="CU16" s="7">
        <f t="shared" ref="CU16:ED16" si="54">IF(AA16&gt;AA15, 1, 0)</f>
        <v>0</v>
      </c>
      <c r="CV16" s="7">
        <f t="shared" si="54"/>
        <v>0</v>
      </c>
      <c r="CW16" s="7">
        <f t="shared" si="54"/>
        <v>0</v>
      </c>
      <c r="CX16" s="7">
        <f t="shared" si="54"/>
        <v>0</v>
      </c>
      <c r="CY16" s="7">
        <f t="shared" si="54"/>
        <v>0</v>
      </c>
      <c r="CZ16" s="7">
        <f t="shared" si="54"/>
        <v>0</v>
      </c>
      <c r="DA16" s="7">
        <f t="shared" si="54"/>
        <v>0</v>
      </c>
      <c r="DB16" s="7">
        <f t="shared" si="54"/>
        <v>0</v>
      </c>
      <c r="DC16" s="7">
        <f t="shared" si="54"/>
        <v>0</v>
      </c>
      <c r="DD16" s="7">
        <f t="shared" si="54"/>
        <v>0</v>
      </c>
      <c r="DE16" s="7">
        <f t="shared" si="54"/>
        <v>0</v>
      </c>
      <c r="DF16" s="7">
        <f t="shared" si="54"/>
        <v>0</v>
      </c>
      <c r="DG16" s="7">
        <f t="shared" si="54"/>
        <v>0</v>
      </c>
      <c r="DH16" s="7">
        <f t="shared" si="54"/>
        <v>0</v>
      </c>
      <c r="DI16" s="7">
        <f t="shared" si="54"/>
        <v>0</v>
      </c>
      <c r="DJ16" s="7">
        <f t="shared" si="54"/>
        <v>0</v>
      </c>
      <c r="DK16" s="7">
        <f t="shared" si="54"/>
        <v>0</v>
      </c>
      <c r="DL16" s="7">
        <f t="shared" si="54"/>
        <v>0</v>
      </c>
      <c r="DM16" s="7">
        <f t="shared" si="54"/>
        <v>0</v>
      </c>
      <c r="DN16" s="7">
        <f t="shared" si="54"/>
        <v>0</v>
      </c>
      <c r="DO16" s="7">
        <f t="shared" si="54"/>
        <v>0</v>
      </c>
      <c r="DP16" s="7">
        <f t="shared" si="54"/>
        <v>0</v>
      </c>
      <c r="DQ16" s="7">
        <f t="shared" si="54"/>
        <v>0</v>
      </c>
      <c r="DR16" s="7">
        <f t="shared" si="54"/>
        <v>0</v>
      </c>
      <c r="DS16" s="7">
        <f t="shared" si="54"/>
        <v>0</v>
      </c>
      <c r="DT16" s="7">
        <f t="shared" si="54"/>
        <v>0</v>
      </c>
      <c r="DU16" s="7">
        <f t="shared" si="54"/>
        <v>0</v>
      </c>
      <c r="DV16" s="7">
        <f t="shared" si="54"/>
        <v>0</v>
      </c>
      <c r="DW16" s="7">
        <f t="shared" si="54"/>
        <v>0</v>
      </c>
      <c r="DX16" s="7">
        <f t="shared" si="54"/>
        <v>0</v>
      </c>
      <c r="DY16" s="7">
        <f t="shared" si="54"/>
        <v>0</v>
      </c>
      <c r="DZ16" s="7">
        <f t="shared" si="54"/>
        <v>0</v>
      </c>
      <c r="EA16" s="7">
        <f t="shared" si="54"/>
        <v>0</v>
      </c>
      <c r="EB16" s="7">
        <f t="shared" si="54"/>
        <v>0</v>
      </c>
      <c r="EC16" s="7">
        <f t="shared" si="54"/>
        <v>0</v>
      </c>
      <c r="ED16" s="7">
        <f t="shared" si="54"/>
        <v>0</v>
      </c>
      <c r="EE16" s="67"/>
      <c r="EF16" s="7">
        <f t="shared" ref="EF16:EQ16" si="55">IF(BL16&gt;BL15, 1, 0)</f>
        <v>0</v>
      </c>
      <c r="EG16" s="7">
        <f t="shared" si="55"/>
        <v>0</v>
      </c>
      <c r="EH16" s="7">
        <f t="shared" si="55"/>
        <v>0</v>
      </c>
      <c r="EI16" s="7">
        <f t="shared" si="55"/>
        <v>0</v>
      </c>
      <c r="EJ16" s="7">
        <f t="shared" si="55"/>
        <v>0</v>
      </c>
      <c r="EK16" s="7">
        <f t="shared" si="55"/>
        <v>0</v>
      </c>
      <c r="EL16" s="7">
        <f t="shared" si="55"/>
        <v>0</v>
      </c>
      <c r="EM16" s="7">
        <f t="shared" si="55"/>
        <v>0</v>
      </c>
      <c r="EN16" s="7">
        <f t="shared" si="55"/>
        <v>0</v>
      </c>
      <c r="EO16" s="7">
        <f t="shared" si="55"/>
        <v>0</v>
      </c>
      <c r="EP16" s="7">
        <f t="shared" si="55"/>
        <v>0</v>
      </c>
      <c r="EQ16" s="7">
        <f t="shared" si="55"/>
        <v>0</v>
      </c>
      <c r="ER16" s="12"/>
      <c r="ES16" s="4">
        <v>0</v>
      </c>
      <c r="ET16" s="335">
        <v>0</v>
      </c>
      <c r="EW16" s="67"/>
      <c r="EX16" s="10" t="str">
        <f t="shared" si="40"/>
        <v>Of which: subcontracted out: 14-16 income</v>
      </c>
      <c r="EY16" s="67"/>
    </row>
    <row r="17" spans="1:155" s="11" customFormat="1" ht="6.6" customHeight="1" x14ac:dyDescent="0.25">
      <c r="A17" s="335"/>
      <c r="C17" s="383"/>
      <c r="D17" s="334"/>
      <c r="E17" s="335"/>
      <c r="T17" s="25"/>
      <c r="U17" s="25"/>
      <c r="V17" s="335"/>
      <c r="W17" s="335"/>
      <c r="X17" s="335"/>
      <c r="Y17" s="335"/>
      <c r="AA17" s="335"/>
      <c r="AB17" s="335"/>
      <c r="AC17" s="335"/>
      <c r="AD17" s="335"/>
      <c r="AE17" s="335"/>
      <c r="AF17" s="335"/>
      <c r="AG17" s="335"/>
      <c r="AH17" s="335"/>
      <c r="AI17" s="335"/>
      <c r="AJ17" s="335"/>
      <c r="AK17" s="335"/>
      <c r="AL17" s="335"/>
      <c r="AM17" s="335"/>
      <c r="AN17" s="335"/>
      <c r="AO17" s="335"/>
      <c r="AP17" s="335"/>
      <c r="AQ17" s="335"/>
      <c r="AR17" s="335"/>
      <c r="AS17" s="335"/>
      <c r="AT17" s="335"/>
      <c r="AU17" s="335"/>
      <c r="AV17" s="335"/>
      <c r="AW17" s="335"/>
      <c r="AX17" s="335"/>
      <c r="AY17" s="335"/>
      <c r="AZ17" s="335"/>
      <c r="BA17" s="335"/>
      <c r="BB17" s="335"/>
      <c r="BC17" s="335"/>
      <c r="BD17" s="335"/>
      <c r="BE17" s="335"/>
      <c r="BF17" s="335"/>
      <c r="BG17" s="335"/>
      <c r="BH17" s="335"/>
      <c r="BI17" s="335"/>
      <c r="BJ17" s="335"/>
      <c r="BL17" s="335"/>
      <c r="BM17" s="6"/>
      <c r="BN17" s="335"/>
      <c r="BO17" s="335"/>
      <c r="BP17" s="335"/>
      <c r="BQ17" s="335"/>
      <c r="BR17" s="335"/>
      <c r="BS17" s="335"/>
      <c r="BT17" s="335"/>
      <c r="BU17" s="335"/>
      <c r="BV17" s="335"/>
      <c r="BW17" s="335"/>
      <c r="BY17" s="42"/>
      <c r="BZ17" s="162"/>
      <c r="CA17" s="42"/>
      <c r="CC17" s="335"/>
      <c r="CD17" s="335"/>
      <c r="CE17" s="335"/>
      <c r="CF17" s="42"/>
      <c r="CG17" s="335"/>
      <c r="CH17" s="335"/>
      <c r="CI17" s="335"/>
      <c r="CJ17" s="335"/>
      <c r="CK17" s="335"/>
      <c r="CL17" s="335"/>
      <c r="CM17" s="335"/>
      <c r="CN17" s="67"/>
      <c r="ER17" s="42"/>
      <c r="ES17" s="11">
        <v>0</v>
      </c>
      <c r="ET17" s="335">
        <v>0</v>
      </c>
      <c r="EU17" s="335"/>
      <c r="EV17" s="335"/>
      <c r="EX17" s="10" t="str">
        <f t="shared" si="40"/>
        <v/>
      </c>
    </row>
    <row r="18" spans="1:155" x14ac:dyDescent="0.25">
      <c r="A18" s="335"/>
      <c r="B18" s="5"/>
      <c r="C18" s="383"/>
      <c r="D18" s="176" t="s">
        <v>12</v>
      </c>
      <c r="E18" s="5"/>
      <c r="T18" s="25"/>
      <c r="U18" s="25"/>
      <c r="V18" s="25"/>
      <c r="W18" s="25"/>
      <c r="X18" s="25"/>
      <c r="Y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L18" s="25"/>
      <c r="BM18" s="25"/>
      <c r="BN18" s="25"/>
      <c r="BO18" s="25"/>
      <c r="BP18" s="25"/>
      <c r="BQ18" s="25"/>
      <c r="BR18" s="25"/>
      <c r="BS18" s="25"/>
      <c r="BT18" s="25"/>
      <c r="BU18" s="25"/>
      <c r="BV18" s="25"/>
      <c r="BW18" s="25"/>
      <c r="BY18" s="12"/>
      <c r="CA18" s="12"/>
      <c r="CF18" s="12"/>
      <c r="CN18" s="67"/>
      <c r="ER18" s="12"/>
      <c r="ES18">
        <v>0</v>
      </c>
      <c r="ET18" s="335">
        <v>0</v>
      </c>
      <c r="EX18" s="10" t="str">
        <f t="shared" si="40"/>
        <v/>
      </c>
    </row>
    <row r="19" spans="1:155" ht="15.75" x14ac:dyDescent="0.3">
      <c r="A19" s="362" cm="1">
        <f t="array" aca="1" ref="A19" ca="1">HYPERLINK(CONCATENATE("#",CELL("address",IF(SUM($CA19:$CH19)=0,A19,INDEX($CA19:$CH19,MATCH(1,$CA19:$CH19,0))))),SUM($CA19:$CH19))</f>
        <v>0</v>
      </c>
      <c r="B19" s="105" t="s">
        <v>335</v>
      </c>
      <c r="C19" s="343" t="str">
        <f>CONCATENATE("M-", 'I&amp;E Annual'!C19)</f>
        <v>M-IE-1a-2a</v>
      </c>
      <c r="D19" s="137" t="s">
        <v>16</v>
      </c>
      <c r="E19" s="4"/>
      <c r="G19" s="335"/>
      <c r="H19" s="11" t="s">
        <v>8</v>
      </c>
      <c r="S19" s="335"/>
      <c r="T19" s="25"/>
      <c r="U19" s="25"/>
      <c r="V19" s="141"/>
      <c r="W19" s="215">
        <f t="shared" ref="W19:Y23" si="56" xml:space="preserve"> SUMIFS($AA19:$BJ19, $AA$3:$BJ$3, W$3)</f>
        <v>19245</v>
      </c>
      <c r="X19" s="215">
        <f t="shared" si="56"/>
        <v>20295</v>
      </c>
      <c r="Y19" s="215">
        <f t="shared" si="56"/>
        <v>20903.849999999999</v>
      </c>
      <c r="Z19" s="335"/>
      <c r="AA19" s="372">
        <v>2417</v>
      </c>
      <c r="AB19" s="372">
        <v>1817</v>
      </c>
      <c r="AC19" s="372">
        <v>1840</v>
      </c>
      <c r="AD19" s="372">
        <v>1432</v>
      </c>
      <c r="AE19" s="372">
        <v>1078</v>
      </c>
      <c r="AF19" s="372">
        <v>1078</v>
      </c>
      <c r="AG19" s="372">
        <v>1001</v>
      </c>
      <c r="AH19" s="372">
        <v>993</v>
      </c>
      <c r="AI19" s="372">
        <v>2417</v>
      </c>
      <c r="AJ19" s="372">
        <v>2232</v>
      </c>
      <c r="AK19" s="372">
        <v>1847</v>
      </c>
      <c r="AL19" s="372">
        <v>1093</v>
      </c>
      <c r="AM19" s="372">
        <v>2549</v>
      </c>
      <c r="AN19" s="372">
        <v>1916</v>
      </c>
      <c r="AO19" s="372">
        <v>1940</v>
      </c>
      <c r="AP19" s="372">
        <v>1510</v>
      </c>
      <c r="AQ19" s="372">
        <v>1137</v>
      </c>
      <c r="AR19" s="372">
        <v>1137</v>
      </c>
      <c r="AS19" s="372">
        <v>1055</v>
      </c>
      <c r="AT19" s="372">
        <v>1047</v>
      </c>
      <c r="AU19" s="372">
        <v>2549</v>
      </c>
      <c r="AV19" s="372">
        <v>2354</v>
      </c>
      <c r="AW19" s="372">
        <v>1948</v>
      </c>
      <c r="AX19" s="372">
        <v>1153</v>
      </c>
      <c r="AY19" s="372">
        <f>AM19*1.03</f>
        <v>2625.4700000000003</v>
      </c>
      <c r="AZ19" s="573">
        <f t="shared" ref="AZ19:BJ19" si="57">AN19*1.03</f>
        <v>1973.48</v>
      </c>
      <c r="BA19" s="573">
        <f t="shared" si="57"/>
        <v>1998.2</v>
      </c>
      <c r="BB19" s="573">
        <f t="shared" si="57"/>
        <v>1555.3</v>
      </c>
      <c r="BC19" s="573">
        <f t="shared" si="57"/>
        <v>1171.1100000000001</v>
      </c>
      <c r="BD19" s="573">
        <f t="shared" si="57"/>
        <v>1171.1100000000001</v>
      </c>
      <c r="BE19" s="573">
        <f t="shared" si="57"/>
        <v>1086.6500000000001</v>
      </c>
      <c r="BF19" s="573">
        <f t="shared" si="57"/>
        <v>1078.4100000000001</v>
      </c>
      <c r="BG19" s="573">
        <f t="shared" si="57"/>
        <v>2625.4700000000003</v>
      </c>
      <c r="BH19" s="573">
        <f t="shared" si="57"/>
        <v>2424.62</v>
      </c>
      <c r="BI19" s="573">
        <f t="shared" si="57"/>
        <v>2006.44</v>
      </c>
      <c r="BJ19" s="573">
        <f t="shared" si="57"/>
        <v>1187.5899999999999</v>
      </c>
      <c r="BK19" s="335"/>
      <c r="BL19" s="10">
        <f t="shared" ref="BL19:BO23" si="58">V19</f>
        <v>0</v>
      </c>
      <c r="BM19" s="10">
        <f t="shared" si="58"/>
        <v>19245</v>
      </c>
      <c r="BN19" s="10">
        <f t="shared" si="58"/>
        <v>20295</v>
      </c>
      <c r="BO19" s="10">
        <f t="shared" si="58"/>
        <v>20903.849999999999</v>
      </c>
      <c r="BP19" s="141"/>
      <c r="BQ19" s="141"/>
      <c r="BR19" s="141"/>
      <c r="BS19" s="141"/>
      <c r="BT19" s="141"/>
      <c r="BU19" s="141"/>
      <c r="BV19" s="141"/>
      <c r="BW19" s="141"/>
      <c r="BY19" s="12"/>
      <c r="BZ19" s="395">
        <f>IF(MIN($V19:$BW19)&lt;0, 1, 0)</f>
        <v>0</v>
      </c>
      <c r="CA19" s="12"/>
      <c r="CC19" s="7">
        <f t="shared" ref="CC19:CC29" si="59">IF(SUM($CG19:$CI19)=0, 0, 1)</f>
        <v>0</v>
      </c>
      <c r="CD19" s="7">
        <f t="shared" ref="CD19:CD29" si="60">IF(SUM($CJ19:$CL19)=0, 0, 1)</f>
        <v>0</v>
      </c>
      <c r="CE19" s="7">
        <f t="shared" ref="CE19:CE29" si="61">IF($CM19=0, 0, 1)</f>
        <v>0</v>
      </c>
      <c r="CF19" s="12"/>
      <c r="CG19" s="352">
        <f t="shared" ref="CG19:CG29" si="62">ROUND(W19-SUMIFS($AA19:$BJ19, $AA$3:$BJ$3, W$3), rounding)</f>
        <v>0</v>
      </c>
      <c r="CH19" s="352">
        <f t="shared" ref="CH19:CH29" si="63">ROUND(X19-SUMIFS($AA19:$BJ19, $AA$3:$BJ$3, X$3), rounding)</f>
        <v>0</v>
      </c>
      <c r="CI19" s="352">
        <f t="shared" ref="CI19:CI29" si="64">ROUND(Y19-SUMIFS($AA19:$BJ19, $AA$3:$BJ$3, Y$3), rounding)</f>
        <v>0</v>
      </c>
      <c r="CJ19" s="352">
        <f t="shared" ref="CJ19:CJ29" si="65">ROUND($BM19-SUMIFS($AA19:$BJ19, $AA$3:$BJ$3, $BM$3), rounding)</f>
        <v>0</v>
      </c>
      <c r="CK19" s="352">
        <f t="shared" ref="CK19:CK29" si="66">ROUND($BN19-SUMIFS($AA19:$BJ19, $AA$3:$BJ$3, $BN$3), rounding)</f>
        <v>0</v>
      </c>
      <c r="CL19" s="352">
        <f t="shared" ref="CL19:CL29" si="67">ROUND($BO19-SUMIFS($AA19:$BJ19, $AA$3:$BJ$3, $BO$3), rounding)</f>
        <v>0</v>
      </c>
      <c r="CM19" s="352">
        <f t="shared" ref="CM19:CM29" si="68">ROUND($V19-$BL19, rounding)</f>
        <v>0</v>
      </c>
      <c r="CN19" s="67"/>
      <c r="ER19" s="12"/>
      <c r="ES19" s="4">
        <v>1</v>
      </c>
      <c r="ET19" s="335">
        <v>1</v>
      </c>
      <c r="EX19" s="10" t="str">
        <f t="shared" si="40"/>
        <v>ESFA 16-19 programme funding</v>
      </c>
    </row>
    <row r="20" spans="1:155" ht="30" x14ac:dyDescent="0.3">
      <c r="A20" s="362" cm="1">
        <f t="array" aca="1" ref="A20" ca="1">HYPERLINK(CONCATENATE("#",CELL("address",IF(SUM($CA20:$CH20)=0,A20,INDEX($CA20:$CH20,MATCH(1,$CA20:$CH20,0))))),SUM($CA20:$CH20))</f>
        <v>0</v>
      </c>
      <c r="B20" s="105" t="s">
        <v>335</v>
      </c>
      <c r="C20" s="343" t="str">
        <f>CONCATENATE("M-", 'I&amp;E Annual'!C20)</f>
        <v>M-IE-1a-2b</v>
      </c>
      <c r="D20" s="137" t="s">
        <v>426</v>
      </c>
      <c r="E20" s="4"/>
      <c r="G20" s="335"/>
      <c r="H20" s="11" t="s">
        <v>8</v>
      </c>
      <c r="S20" s="335"/>
      <c r="T20" s="25"/>
      <c r="U20" s="25"/>
      <c r="V20" s="141"/>
      <c r="W20" s="215">
        <f t="shared" si="56"/>
        <v>1125</v>
      </c>
      <c r="X20" s="215">
        <f t="shared" si="56"/>
        <v>1001</v>
      </c>
      <c r="Y20" s="215">
        <f t="shared" si="56"/>
        <v>1001</v>
      </c>
      <c r="Z20" s="335"/>
      <c r="AA20" s="372">
        <f>59+16</f>
        <v>75</v>
      </c>
      <c r="AB20" s="372">
        <f>44+12</f>
        <v>56</v>
      </c>
      <c r="AC20" s="372">
        <f>45+12+80</f>
        <v>137</v>
      </c>
      <c r="AD20" s="372">
        <f>35+9+160</f>
        <v>204</v>
      </c>
      <c r="AE20" s="372">
        <f>26+23+7</f>
        <v>56</v>
      </c>
      <c r="AF20" s="372">
        <f>26+7+23</f>
        <v>56</v>
      </c>
      <c r="AG20" s="372">
        <f>24+7+21</f>
        <v>52</v>
      </c>
      <c r="AH20" s="372">
        <f>24+7+21</f>
        <v>52</v>
      </c>
      <c r="AI20" s="372">
        <f>59+16+52</f>
        <v>127</v>
      </c>
      <c r="AJ20" s="372">
        <f>54+48+15+40</f>
        <v>157</v>
      </c>
      <c r="AK20" s="372">
        <f>45+39+12</f>
        <v>96</v>
      </c>
      <c r="AL20" s="372">
        <f>27+23+7</f>
        <v>57</v>
      </c>
      <c r="AM20" s="372">
        <f>57+18+52</f>
        <v>127</v>
      </c>
      <c r="AN20" s="372">
        <f>43+13+39</f>
        <v>95</v>
      </c>
      <c r="AO20" s="372">
        <f>43+13+39</f>
        <v>95</v>
      </c>
      <c r="AP20" s="372">
        <f>34+10+31</f>
        <v>75</v>
      </c>
      <c r="AQ20" s="372">
        <f>25+8+23</f>
        <v>56</v>
      </c>
      <c r="AR20" s="372">
        <f>25+8+23</f>
        <v>56</v>
      </c>
      <c r="AS20" s="372">
        <f>23+7+21</f>
        <v>51</v>
      </c>
      <c r="AT20" s="372">
        <f>23+7+21</f>
        <v>51</v>
      </c>
      <c r="AU20" s="372">
        <f>57+17+52</f>
        <v>126</v>
      </c>
      <c r="AV20" s="372">
        <f>52+16+48</f>
        <v>116</v>
      </c>
      <c r="AW20" s="372">
        <f>43+13+40</f>
        <v>96</v>
      </c>
      <c r="AX20" s="372">
        <f>26+8+23</f>
        <v>57</v>
      </c>
      <c r="AY20" s="573">
        <f>57+18+52</f>
        <v>127</v>
      </c>
      <c r="AZ20" s="573">
        <f>43+13+39</f>
        <v>95</v>
      </c>
      <c r="BA20" s="573">
        <f>43+13+39</f>
        <v>95</v>
      </c>
      <c r="BB20" s="573">
        <f>34+10+31</f>
        <v>75</v>
      </c>
      <c r="BC20" s="573">
        <f>25+8+23</f>
        <v>56</v>
      </c>
      <c r="BD20" s="573">
        <f>25+8+23</f>
        <v>56</v>
      </c>
      <c r="BE20" s="573">
        <f>23+7+21</f>
        <v>51</v>
      </c>
      <c r="BF20" s="573">
        <f>23+7+21</f>
        <v>51</v>
      </c>
      <c r="BG20" s="573">
        <f>57+17+52</f>
        <v>126</v>
      </c>
      <c r="BH20" s="573">
        <f>52+16+48</f>
        <v>116</v>
      </c>
      <c r="BI20" s="573">
        <f>43+13+40</f>
        <v>96</v>
      </c>
      <c r="BJ20" s="573">
        <f>26+8+23</f>
        <v>57</v>
      </c>
      <c r="BK20" s="335"/>
      <c r="BL20" s="10">
        <f t="shared" si="58"/>
        <v>0</v>
      </c>
      <c r="BM20" s="10">
        <f t="shared" si="58"/>
        <v>1125</v>
      </c>
      <c r="BN20" s="10">
        <f t="shared" si="58"/>
        <v>1001</v>
      </c>
      <c r="BO20" s="10">
        <f t="shared" si="58"/>
        <v>1001</v>
      </c>
      <c r="BP20" s="141"/>
      <c r="BQ20" s="141"/>
      <c r="BR20" s="141"/>
      <c r="BS20" s="141"/>
      <c r="BT20" s="141"/>
      <c r="BU20" s="141"/>
      <c r="BV20" s="141"/>
      <c r="BW20" s="141"/>
      <c r="BY20" s="12"/>
      <c r="BZ20" s="395">
        <f>IF(MIN($V20:$BW20)&lt;0, 1, 0)</f>
        <v>0</v>
      </c>
      <c r="CA20" s="12"/>
      <c r="CC20" s="7">
        <f t="shared" si="59"/>
        <v>0</v>
      </c>
      <c r="CD20" s="7">
        <f t="shared" si="60"/>
        <v>0</v>
      </c>
      <c r="CE20" s="7">
        <f t="shared" si="61"/>
        <v>0</v>
      </c>
      <c r="CF20" s="12"/>
      <c r="CG20" s="352">
        <f t="shared" si="62"/>
        <v>0</v>
      </c>
      <c r="CH20" s="352">
        <f t="shared" si="63"/>
        <v>0</v>
      </c>
      <c r="CI20" s="352">
        <f t="shared" si="64"/>
        <v>0</v>
      </c>
      <c r="CJ20" s="352">
        <f t="shared" si="65"/>
        <v>0</v>
      </c>
      <c r="CK20" s="352">
        <f t="shared" si="66"/>
        <v>0</v>
      </c>
      <c r="CL20" s="352">
        <f t="shared" si="67"/>
        <v>0</v>
      </c>
      <c r="CM20" s="352">
        <f t="shared" si="68"/>
        <v>0</v>
      </c>
      <c r="CN20" s="67"/>
      <c r="ER20" s="12"/>
      <c r="ES20" s="4">
        <v>1</v>
      </c>
      <c r="ET20" s="335">
        <v>1</v>
      </c>
      <c r="EX20" s="10" t="str">
        <f t="shared" si="40"/>
        <v>ESFA 16-19  other programme funding (exc. Bursaries)</v>
      </c>
    </row>
    <row r="21" spans="1:155" x14ac:dyDescent="0.25">
      <c r="A21" s="362" cm="1">
        <f t="array" aca="1" ref="A21" ca="1">HYPERLINK(CONCATENATE("#",CELL("address",IF(SUM($CA21:$CH21)=0,A21,INDEX($CA21:$CH21,MATCH(1,$CA21:$CH21,0))))),SUM($CA21:$CH21))</f>
        <v>0</v>
      </c>
      <c r="C21" s="343" t="str">
        <f>CONCATENATE("M-", 'I&amp;E Annual'!C21)</f>
        <v>M-IE-1a-2c</v>
      </c>
      <c r="D21" s="137" t="s">
        <v>17</v>
      </c>
      <c r="E21" s="4"/>
      <c r="G21" s="335"/>
      <c r="H21" s="11" t="s">
        <v>8</v>
      </c>
      <c r="S21" s="335"/>
      <c r="T21" s="25"/>
      <c r="U21" s="25"/>
      <c r="V21" s="210"/>
      <c r="W21" s="215">
        <f t="shared" si="56"/>
        <v>750</v>
      </c>
      <c r="X21" s="215">
        <f t="shared" si="56"/>
        <v>900</v>
      </c>
      <c r="Y21" s="215">
        <f t="shared" si="56"/>
        <v>1050</v>
      </c>
      <c r="Z21" s="335"/>
      <c r="AA21" s="372">
        <v>94</v>
      </c>
      <c r="AB21" s="372">
        <v>71</v>
      </c>
      <c r="AC21" s="372">
        <v>72</v>
      </c>
      <c r="AD21" s="372">
        <v>56</v>
      </c>
      <c r="AE21" s="372">
        <v>42</v>
      </c>
      <c r="AF21" s="372">
        <v>42</v>
      </c>
      <c r="AG21" s="372">
        <v>39</v>
      </c>
      <c r="AH21" s="372">
        <v>39</v>
      </c>
      <c r="AI21" s="372">
        <v>94</v>
      </c>
      <c r="AJ21" s="372">
        <v>87</v>
      </c>
      <c r="AK21" s="372">
        <v>72</v>
      </c>
      <c r="AL21" s="372">
        <v>42</v>
      </c>
      <c r="AM21" s="372">
        <v>113</v>
      </c>
      <c r="AN21" s="372">
        <v>85</v>
      </c>
      <c r="AO21" s="372">
        <v>86</v>
      </c>
      <c r="AP21" s="372">
        <v>67</v>
      </c>
      <c r="AQ21" s="372">
        <v>51</v>
      </c>
      <c r="AR21" s="372">
        <v>51</v>
      </c>
      <c r="AS21" s="372">
        <v>47</v>
      </c>
      <c r="AT21" s="372">
        <v>46</v>
      </c>
      <c r="AU21" s="372">
        <v>113</v>
      </c>
      <c r="AV21" s="372">
        <v>104</v>
      </c>
      <c r="AW21" s="372">
        <v>86</v>
      </c>
      <c r="AX21" s="372">
        <v>51</v>
      </c>
      <c r="AY21" s="372">
        <f>AM21/900*1050</f>
        <v>131.83333333333334</v>
      </c>
      <c r="AZ21" s="573">
        <f t="shared" ref="AZ21:BJ21" si="69">AN21/900*1050</f>
        <v>99.166666666666657</v>
      </c>
      <c r="BA21" s="573">
        <f t="shared" si="69"/>
        <v>100.33333333333334</v>
      </c>
      <c r="BB21" s="573">
        <f t="shared" si="69"/>
        <v>78.166666666666657</v>
      </c>
      <c r="BC21" s="573">
        <f t="shared" si="69"/>
        <v>59.5</v>
      </c>
      <c r="BD21" s="573">
        <f t="shared" si="69"/>
        <v>59.5</v>
      </c>
      <c r="BE21" s="573">
        <f t="shared" si="69"/>
        <v>54.833333333333336</v>
      </c>
      <c r="BF21" s="573">
        <f t="shared" si="69"/>
        <v>53.666666666666671</v>
      </c>
      <c r="BG21" s="573">
        <f t="shared" si="69"/>
        <v>131.83333333333334</v>
      </c>
      <c r="BH21" s="573">
        <f t="shared" si="69"/>
        <v>121.33333333333333</v>
      </c>
      <c r="BI21" s="573">
        <f t="shared" si="69"/>
        <v>100.33333333333334</v>
      </c>
      <c r="BJ21" s="573">
        <f t="shared" si="69"/>
        <v>59.5</v>
      </c>
      <c r="BK21" s="335"/>
      <c r="BL21" s="10">
        <f t="shared" si="58"/>
        <v>0</v>
      </c>
      <c r="BM21" s="10">
        <f t="shared" si="58"/>
        <v>750</v>
      </c>
      <c r="BN21" s="10">
        <f t="shared" si="58"/>
        <v>900</v>
      </c>
      <c r="BO21" s="10">
        <f t="shared" si="58"/>
        <v>1050</v>
      </c>
      <c r="BP21" s="141"/>
      <c r="BQ21" s="141"/>
      <c r="BR21" s="141"/>
      <c r="BS21" s="141"/>
      <c r="BT21" s="141"/>
      <c r="BU21" s="141"/>
      <c r="BV21" s="141"/>
      <c r="BW21" s="141"/>
      <c r="BY21" s="12"/>
      <c r="BZ21" s="395">
        <f>IF(MIN($V21:$BW21)&lt;0, 1, 0)</f>
        <v>0</v>
      </c>
      <c r="CA21" s="12"/>
      <c r="CC21" s="7">
        <f t="shared" si="59"/>
        <v>0</v>
      </c>
      <c r="CD21" s="7">
        <f t="shared" si="60"/>
        <v>0</v>
      </c>
      <c r="CE21" s="7">
        <f t="shared" si="61"/>
        <v>0</v>
      </c>
      <c r="CF21" s="12"/>
      <c r="CG21" s="352">
        <f t="shared" si="62"/>
        <v>0</v>
      </c>
      <c r="CH21" s="352">
        <f t="shared" si="63"/>
        <v>0</v>
      </c>
      <c r="CI21" s="352">
        <f t="shared" si="64"/>
        <v>0</v>
      </c>
      <c r="CJ21" s="352">
        <f t="shared" si="65"/>
        <v>0</v>
      </c>
      <c r="CK21" s="352">
        <f t="shared" si="66"/>
        <v>0</v>
      </c>
      <c r="CL21" s="352">
        <f t="shared" si="67"/>
        <v>0</v>
      </c>
      <c r="CM21" s="352">
        <f t="shared" si="68"/>
        <v>0</v>
      </c>
      <c r="CN21" s="67"/>
      <c r="ER21" s="12"/>
      <c r="ES21" s="4">
        <v>1</v>
      </c>
      <c r="ET21" s="335">
        <v>1</v>
      </c>
      <c r="EX21" s="10" t="str">
        <f t="shared" si="40"/>
        <v>ESFA High Needs - element 2</v>
      </c>
    </row>
    <row r="22" spans="1:155" x14ac:dyDescent="0.25">
      <c r="A22" s="362" cm="1">
        <f t="array" aca="1" ref="A22" ca="1">HYPERLINK(CONCATENATE("#",CELL("address",IF(SUM($CA22:$CH22)=0,A22,INDEX($CA22:$CH22,MATCH(1,$CA22:$CH22,0))))),SUM($CA22:$CH22))</f>
        <v>0</v>
      </c>
      <c r="C22" s="343" t="str">
        <f>CONCATENATE("M-", 'I&amp;E Annual'!C22)</f>
        <v>M-IE-1a-2d</v>
      </c>
      <c r="D22" s="137" t="s">
        <v>18</v>
      </c>
      <c r="E22" s="4"/>
      <c r="H22" s="11" t="s">
        <v>8</v>
      </c>
      <c r="S22" s="335"/>
      <c r="T22" s="25"/>
      <c r="U22" s="25"/>
      <c r="V22" s="156"/>
      <c r="W22" s="215">
        <f t="shared" si="56"/>
        <v>123</v>
      </c>
      <c r="X22" s="215">
        <f t="shared" si="56"/>
        <v>140</v>
      </c>
      <c r="Y22" s="215">
        <f t="shared" si="56"/>
        <v>155</v>
      </c>
      <c r="AA22" s="147"/>
      <c r="AB22" s="147"/>
      <c r="AC22" s="147"/>
      <c r="AD22" s="147"/>
      <c r="AE22" s="147"/>
      <c r="AF22" s="147"/>
      <c r="AG22" s="147">
        <v>33</v>
      </c>
      <c r="AH22" s="147">
        <v>55</v>
      </c>
      <c r="AI22" s="147">
        <v>5</v>
      </c>
      <c r="AJ22" s="147">
        <v>20</v>
      </c>
      <c r="AK22" s="147"/>
      <c r="AL22" s="147">
        <v>10</v>
      </c>
      <c r="AM22" s="147"/>
      <c r="AN22" s="147"/>
      <c r="AO22" s="147"/>
      <c r="AP22" s="147"/>
      <c r="AQ22" s="147"/>
      <c r="AR22" s="147"/>
      <c r="AS22" s="147"/>
      <c r="AT22" s="147">
        <v>130</v>
      </c>
      <c r="AU22" s="147">
        <v>5</v>
      </c>
      <c r="AV22" s="147">
        <v>5</v>
      </c>
      <c r="AW22" s="147"/>
      <c r="AX22" s="147"/>
      <c r="AY22" s="147"/>
      <c r="AZ22" s="147"/>
      <c r="BA22" s="147"/>
      <c r="BB22" s="147"/>
      <c r="BC22" s="147"/>
      <c r="BD22" s="147"/>
      <c r="BE22" s="147"/>
      <c r="BF22" s="147">
        <v>140</v>
      </c>
      <c r="BG22" s="147">
        <v>10</v>
      </c>
      <c r="BH22" s="147">
        <v>5</v>
      </c>
      <c r="BI22" s="147"/>
      <c r="BJ22" s="147"/>
      <c r="BL22" s="153">
        <f t="shared" si="58"/>
        <v>0</v>
      </c>
      <c r="BM22" s="153">
        <f t="shared" si="58"/>
        <v>123</v>
      </c>
      <c r="BN22" s="153">
        <f t="shared" si="58"/>
        <v>140</v>
      </c>
      <c r="BO22" s="153">
        <f t="shared" si="58"/>
        <v>155</v>
      </c>
      <c r="BP22" s="156"/>
      <c r="BQ22" s="156"/>
      <c r="BR22" s="156"/>
      <c r="BS22" s="156"/>
      <c r="BT22" s="156"/>
      <c r="BU22" s="156"/>
      <c r="BV22" s="156"/>
      <c r="BW22" s="156"/>
      <c r="BY22" s="12"/>
      <c r="BZ22" s="395">
        <f>IF(MIN($V22:$BW22)&lt;0, 1, 0)</f>
        <v>0</v>
      </c>
      <c r="CA22" s="12"/>
      <c r="CC22" s="7">
        <f t="shared" si="59"/>
        <v>0</v>
      </c>
      <c r="CD22" s="7">
        <f t="shared" si="60"/>
        <v>0</v>
      </c>
      <c r="CE22" s="7">
        <f t="shared" si="61"/>
        <v>0</v>
      </c>
      <c r="CF22" s="12"/>
      <c r="CG22" s="352">
        <f t="shared" si="62"/>
        <v>0</v>
      </c>
      <c r="CH22" s="352">
        <f t="shared" si="63"/>
        <v>0</v>
      </c>
      <c r="CI22" s="352">
        <f t="shared" si="64"/>
        <v>0</v>
      </c>
      <c r="CJ22" s="352">
        <f t="shared" si="65"/>
        <v>0</v>
      </c>
      <c r="CK22" s="352">
        <f t="shared" si="66"/>
        <v>0</v>
      </c>
      <c r="CL22" s="352">
        <f t="shared" si="67"/>
        <v>0</v>
      </c>
      <c r="CM22" s="352">
        <f t="shared" si="68"/>
        <v>0</v>
      </c>
      <c r="CN22" s="67"/>
      <c r="ER22" s="12"/>
      <c r="ES22" s="4">
        <v>1</v>
      </c>
      <c r="ET22" s="335">
        <v>1</v>
      </c>
      <c r="EX22" s="10" t="str">
        <f t="shared" si="40"/>
        <v>Local Authority High Needs - element 3</v>
      </c>
    </row>
    <row r="23" spans="1:155" ht="15.75" x14ac:dyDescent="0.3">
      <c r="A23" s="362" cm="1">
        <f t="array" aca="1" ref="A23" ca="1">HYPERLINK(CONCATENATE("#",CELL("address",IF(SUM($CA23:$CH23)=0,A23,INDEX($CA23:$CH23,MATCH(1,$CA23:$CH23,0))))),SUM($CA23:$CH23))</f>
        <v>0</v>
      </c>
      <c r="B23" s="105" t="s">
        <v>335</v>
      </c>
      <c r="C23" s="343" t="str">
        <f>CONCATENATE("M-", 'I&amp;E Annual'!C23)</f>
        <v>M-IE-1a-2e</v>
      </c>
      <c r="D23" s="137" t="s">
        <v>19</v>
      </c>
      <c r="E23" s="4"/>
      <c r="F23" s="335"/>
      <c r="G23" s="335"/>
      <c r="H23" s="335" t="s">
        <v>8</v>
      </c>
      <c r="I23" s="335"/>
      <c r="J23" s="335"/>
      <c r="K23" s="335"/>
      <c r="L23" s="335"/>
      <c r="M23" s="335"/>
      <c r="N23" s="335"/>
      <c r="O23" s="335"/>
      <c r="P23" s="335"/>
      <c r="Q23" s="335"/>
      <c r="R23" s="335"/>
      <c r="S23" s="335"/>
      <c r="T23" s="25"/>
      <c r="U23" s="25"/>
      <c r="V23" s="156"/>
      <c r="W23" s="215">
        <f t="shared" si="56"/>
        <v>27</v>
      </c>
      <c r="X23" s="215">
        <f t="shared" si="56"/>
        <v>35</v>
      </c>
      <c r="Y23" s="215">
        <f t="shared" si="56"/>
        <v>35</v>
      </c>
      <c r="Z23" s="335"/>
      <c r="AA23" s="147"/>
      <c r="AB23" s="147"/>
      <c r="AC23" s="147"/>
      <c r="AD23" s="147"/>
      <c r="AE23" s="147"/>
      <c r="AF23" s="147">
        <v>10</v>
      </c>
      <c r="AG23" s="147"/>
      <c r="AH23" s="147">
        <v>11</v>
      </c>
      <c r="AI23" s="147"/>
      <c r="AJ23" s="147"/>
      <c r="AK23" s="147">
        <v>6</v>
      </c>
      <c r="AL23" s="147"/>
      <c r="AM23" s="147"/>
      <c r="AN23" s="147"/>
      <c r="AO23" s="147"/>
      <c r="AP23" s="147"/>
      <c r="AQ23" s="147">
        <v>12</v>
      </c>
      <c r="AR23" s="147"/>
      <c r="AS23" s="147"/>
      <c r="AT23" s="147"/>
      <c r="AU23" s="147">
        <v>12</v>
      </c>
      <c r="AV23" s="147"/>
      <c r="AW23" s="147"/>
      <c r="AX23" s="147">
        <v>11</v>
      </c>
      <c r="AY23" s="147"/>
      <c r="AZ23" s="147"/>
      <c r="BA23" s="147"/>
      <c r="BB23" s="147"/>
      <c r="BC23" s="147">
        <v>12</v>
      </c>
      <c r="BD23" s="147"/>
      <c r="BE23" s="147"/>
      <c r="BF23" s="147"/>
      <c r="BG23" s="147">
        <v>12</v>
      </c>
      <c r="BH23" s="147"/>
      <c r="BI23" s="147"/>
      <c r="BJ23" s="147">
        <v>11</v>
      </c>
      <c r="BK23" s="335"/>
      <c r="BL23" s="153">
        <f t="shared" si="58"/>
        <v>0</v>
      </c>
      <c r="BM23" s="153">
        <f t="shared" si="58"/>
        <v>27</v>
      </c>
      <c r="BN23" s="153">
        <f t="shared" si="58"/>
        <v>35</v>
      </c>
      <c r="BO23" s="153">
        <f t="shared" si="58"/>
        <v>35</v>
      </c>
      <c r="BP23" s="156"/>
      <c r="BQ23" s="156"/>
      <c r="BR23" s="156"/>
      <c r="BS23" s="156"/>
      <c r="BT23" s="156"/>
      <c r="BU23" s="156"/>
      <c r="BV23" s="156"/>
      <c r="BW23" s="156"/>
      <c r="BX23" s="335"/>
      <c r="BY23" s="12"/>
      <c r="BZ23" s="395">
        <f>IF(MIN($V23:$BW23)&lt;0, 1, 0)</f>
        <v>0</v>
      </c>
      <c r="CA23" s="12"/>
      <c r="CC23" s="7">
        <f t="shared" si="59"/>
        <v>0</v>
      </c>
      <c r="CD23" s="7">
        <f t="shared" si="60"/>
        <v>0</v>
      </c>
      <c r="CE23" s="7">
        <f t="shared" si="61"/>
        <v>0</v>
      </c>
      <c r="CF23" s="12"/>
      <c r="CG23" s="352">
        <f t="shared" si="62"/>
        <v>0</v>
      </c>
      <c r="CH23" s="352">
        <f t="shared" si="63"/>
        <v>0</v>
      </c>
      <c r="CI23" s="352">
        <f t="shared" si="64"/>
        <v>0</v>
      </c>
      <c r="CJ23" s="352">
        <f t="shared" si="65"/>
        <v>0</v>
      </c>
      <c r="CK23" s="352">
        <f t="shared" si="66"/>
        <v>0</v>
      </c>
      <c r="CL23" s="352">
        <f t="shared" si="67"/>
        <v>0</v>
      </c>
      <c r="CM23" s="352">
        <f t="shared" si="68"/>
        <v>0</v>
      </c>
      <c r="CN23" s="67"/>
      <c r="CO23" s="335"/>
      <c r="CP23" s="335"/>
      <c r="CQ23" s="335"/>
      <c r="CR23" s="335"/>
      <c r="CS23" s="335"/>
      <c r="CT23" s="335"/>
      <c r="CU23" s="335"/>
      <c r="CV23" s="335"/>
      <c r="CW23" s="335"/>
      <c r="CX23" s="335"/>
      <c r="CY23" s="335"/>
      <c r="CZ23" s="335"/>
      <c r="DA23" s="335"/>
      <c r="DB23" s="335"/>
      <c r="DC23" s="335"/>
      <c r="DD23" s="335"/>
      <c r="DE23" s="335"/>
      <c r="DF23" s="335"/>
      <c r="DG23" s="335"/>
      <c r="DH23" s="335"/>
      <c r="DI23" s="335"/>
      <c r="DJ23" s="335"/>
      <c r="DK23" s="335"/>
      <c r="DL23" s="335"/>
      <c r="DM23" s="335"/>
      <c r="DN23" s="335"/>
      <c r="DO23" s="335"/>
      <c r="DP23" s="335"/>
      <c r="DQ23" s="335"/>
      <c r="DR23" s="335"/>
      <c r="DS23" s="335"/>
      <c r="DT23" s="335"/>
      <c r="DU23" s="335"/>
      <c r="DV23" s="335"/>
      <c r="DW23" s="335"/>
      <c r="DX23" s="335"/>
      <c r="DY23" s="335"/>
      <c r="DZ23" s="335"/>
      <c r="EA23" s="335"/>
      <c r="EB23" s="335"/>
      <c r="EC23" s="335"/>
      <c r="ED23" s="335"/>
      <c r="EE23" s="335"/>
      <c r="EF23" s="335"/>
      <c r="EG23" s="335"/>
      <c r="EH23" s="335"/>
      <c r="EI23" s="335"/>
      <c r="EJ23" s="335"/>
      <c r="EK23" s="335"/>
      <c r="EL23" s="335"/>
      <c r="EM23" s="335"/>
      <c r="EN23" s="335"/>
      <c r="EO23" s="335"/>
      <c r="EP23" s="335"/>
      <c r="EQ23" s="335"/>
      <c r="ER23" s="12"/>
      <c r="ES23" s="4">
        <v>1</v>
      </c>
      <c r="ET23" s="335">
        <v>1</v>
      </c>
      <c r="EW23" s="335"/>
      <c r="EX23" s="10" t="str">
        <f t="shared" si="40"/>
        <v>Other funding including Local Authority and schools</v>
      </c>
      <c r="EY23" s="335"/>
    </row>
    <row r="24" spans="1:155" s="67" customFormat="1" hidden="1" x14ac:dyDescent="0.25">
      <c r="A24" s="362" cm="1">
        <f t="array" aca="1" ref="A24" ca="1">HYPERLINK(CONCATENATE("#",CELL("address",IF(SUM($CA24:$CH24)=0,A24,INDEX($CA24:$CH24,MATCH(1,$CA24:$CH24,0))))),SUM($CA24:$CH24))</f>
        <v>0</v>
      </c>
      <c r="C24" s="383"/>
      <c r="D24" s="137" t="s">
        <v>2316</v>
      </c>
      <c r="E24" s="335"/>
      <c r="F24" s="335"/>
      <c r="G24" s="8"/>
      <c r="H24" s="335"/>
      <c r="I24" s="335"/>
      <c r="J24" s="335"/>
      <c r="K24" s="335"/>
      <c r="L24" s="335"/>
      <c r="M24" s="335"/>
      <c r="N24" s="335"/>
      <c r="O24" s="335"/>
      <c r="P24" s="335"/>
      <c r="Q24" s="335"/>
      <c r="R24" s="335"/>
      <c r="S24" s="93"/>
      <c r="T24" s="25"/>
      <c r="U24" s="25"/>
      <c r="V24" s="136"/>
      <c r="W24" s="136"/>
      <c r="X24" s="136"/>
      <c r="Y24" s="136"/>
      <c r="Z24" s="93"/>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93"/>
      <c r="BL24" s="136"/>
      <c r="BM24" s="136"/>
      <c r="BN24" s="136"/>
      <c r="BO24" s="136"/>
      <c r="BP24" s="136"/>
      <c r="BQ24" s="136"/>
      <c r="BR24" s="136"/>
      <c r="BS24" s="136"/>
      <c r="BT24" s="136"/>
      <c r="BU24" s="136"/>
      <c r="BV24" s="136"/>
      <c r="BW24" s="136"/>
      <c r="BY24" s="12"/>
      <c r="BZ24" s="395">
        <f t="shared" ref="BZ24:BZ26" si="70">IF(MIN($V24:$BW24)&lt;0, 1, 0)</f>
        <v>0</v>
      </c>
      <c r="CA24" s="12"/>
      <c r="CB24" s="335"/>
      <c r="CC24" s="7">
        <f t="shared" si="59"/>
        <v>0</v>
      </c>
      <c r="CD24" s="7">
        <f t="shared" si="60"/>
        <v>0</v>
      </c>
      <c r="CE24" s="7">
        <f t="shared" si="61"/>
        <v>0</v>
      </c>
      <c r="CF24" s="12"/>
      <c r="CG24" s="352">
        <f t="shared" si="62"/>
        <v>0</v>
      </c>
      <c r="CH24" s="352">
        <f t="shared" si="63"/>
        <v>0</v>
      </c>
      <c r="CI24" s="352">
        <f t="shared" si="64"/>
        <v>0</v>
      </c>
      <c r="CJ24" s="352">
        <f t="shared" si="65"/>
        <v>0</v>
      </c>
      <c r="CK24" s="352">
        <f t="shared" si="66"/>
        <v>0</v>
      </c>
      <c r="CL24" s="352">
        <f t="shared" si="67"/>
        <v>0</v>
      </c>
      <c r="CM24" s="352">
        <f t="shared" si="68"/>
        <v>0</v>
      </c>
      <c r="CN24" s="335"/>
      <c r="CP24" s="335"/>
      <c r="CQ24" s="335"/>
      <c r="CR24" s="335"/>
      <c r="CS24" s="335"/>
      <c r="CU24" s="335"/>
      <c r="CV24" s="335"/>
      <c r="CW24" s="335"/>
      <c r="CX24" s="335"/>
      <c r="CY24" s="335"/>
      <c r="CZ24" s="335"/>
      <c r="DA24" s="335"/>
      <c r="DB24" s="335"/>
      <c r="DC24" s="335"/>
      <c r="DD24" s="335"/>
      <c r="DE24" s="335"/>
      <c r="DF24" s="335"/>
      <c r="DG24" s="335"/>
      <c r="DH24" s="335"/>
      <c r="DI24" s="335"/>
      <c r="DJ24" s="335"/>
      <c r="DK24" s="335"/>
      <c r="DL24" s="335"/>
      <c r="DM24" s="335"/>
      <c r="DN24" s="335"/>
      <c r="DO24" s="335"/>
      <c r="DP24" s="335"/>
      <c r="DQ24" s="335"/>
      <c r="DR24" s="335"/>
      <c r="DS24" s="335"/>
      <c r="DT24" s="335"/>
      <c r="DU24" s="335"/>
      <c r="DV24" s="335"/>
      <c r="DW24" s="335"/>
      <c r="DX24" s="335"/>
      <c r="DY24" s="335"/>
      <c r="DZ24" s="335"/>
      <c r="EA24" s="335"/>
      <c r="EB24" s="335"/>
      <c r="EC24" s="335"/>
      <c r="ED24" s="335"/>
      <c r="EF24" s="335"/>
      <c r="EG24" s="335"/>
      <c r="EH24" s="335"/>
      <c r="EI24" s="335"/>
      <c r="EJ24" s="335"/>
      <c r="EK24" s="335"/>
      <c r="EL24" s="335"/>
      <c r="EM24" s="335"/>
      <c r="EN24" s="335"/>
      <c r="EO24" s="335"/>
      <c r="EP24" s="335"/>
      <c r="EQ24" s="335"/>
      <c r="ER24" s="12"/>
      <c r="ES24" s="67">
        <v>1</v>
      </c>
      <c r="ET24" s="335">
        <v>1</v>
      </c>
      <c r="EU24" s="335"/>
      <c r="EV24" s="335"/>
      <c r="EX24" s="10" t="str">
        <f t="shared" si="40"/>
        <v/>
      </c>
    </row>
    <row r="25" spans="1:155" s="67" customFormat="1" hidden="1" x14ac:dyDescent="0.25">
      <c r="A25" s="362" cm="1">
        <f t="array" aca="1" ref="A25" ca="1">HYPERLINK(CONCATENATE("#",CELL("address",IF(SUM($CA25:$CH25)=0,A25,INDEX($CA25:$CH25,MATCH(1,$CA25:$CH25,0))))),SUM($CA25:$CH25))</f>
        <v>0</v>
      </c>
      <c r="C25" s="383"/>
      <c r="D25" s="137" t="s">
        <v>2316</v>
      </c>
      <c r="E25" s="335"/>
      <c r="F25" s="335"/>
      <c r="G25" s="8"/>
      <c r="H25" s="335"/>
      <c r="I25" s="335"/>
      <c r="J25" s="335"/>
      <c r="K25" s="335"/>
      <c r="L25" s="335"/>
      <c r="M25" s="335"/>
      <c r="N25" s="335"/>
      <c r="O25" s="335"/>
      <c r="P25" s="335"/>
      <c r="Q25" s="335"/>
      <c r="R25" s="335"/>
      <c r="S25" s="93"/>
      <c r="T25" s="25"/>
      <c r="U25" s="25"/>
      <c r="V25" s="136"/>
      <c r="W25" s="136"/>
      <c r="X25" s="136"/>
      <c r="Y25" s="136"/>
      <c r="Z25" s="93"/>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93"/>
      <c r="BL25" s="136"/>
      <c r="BM25" s="136"/>
      <c r="BN25" s="136"/>
      <c r="BO25" s="136"/>
      <c r="BP25" s="136"/>
      <c r="BQ25" s="136"/>
      <c r="BR25" s="136"/>
      <c r="BS25" s="136"/>
      <c r="BT25" s="136"/>
      <c r="BU25" s="136"/>
      <c r="BV25" s="136"/>
      <c r="BW25" s="136"/>
      <c r="BY25" s="12"/>
      <c r="BZ25" s="395">
        <f t="shared" si="70"/>
        <v>0</v>
      </c>
      <c r="CA25" s="12"/>
      <c r="CC25" s="7">
        <f t="shared" si="59"/>
        <v>0</v>
      </c>
      <c r="CD25" s="7">
        <f t="shared" si="60"/>
        <v>0</v>
      </c>
      <c r="CE25" s="7">
        <f t="shared" si="61"/>
        <v>0</v>
      </c>
      <c r="CF25" s="12"/>
      <c r="CG25" s="352">
        <f t="shared" si="62"/>
        <v>0</v>
      </c>
      <c r="CH25" s="352">
        <f t="shared" si="63"/>
        <v>0</v>
      </c>
      <c r="CI25" s="352">
        <f t="shared" si="64"/>
        <v>0</v>
      </c>
      <c r="CJ25" s="352">
        <f t="shared" si="65"/>
        <v>0</v>
      </c>
      <c r="CK25" s="352">
        <f t="shared" si="66"/>
        <v>0</v>
      </c>
      <c r="CL25" s="352">
        <f t="shared" si="67"/>
        <v>0</v>
      </c>
      <c r="CM25" s="352">
        <f t="shared" si="68"/>
        <v>0</v>
      </c>
      <c r="ER25" s="12"/>
      <c r="ES25" s="67">
        <v>1</v>
      </c>
      <c r="ET25" s="335">
        <v>1</v>
      </c>
      <c r="EU25" s="335"/>
      <c r="EV25" s="335"/>
      <c r="EX25" s="10" t="str">
        <f t="shared" si="40"/>
        <v/>
      </c>
    </row>
    <row r="26" spans="1:155" s="67" customFormat="1" hidden="1" x14ac:dyDescent="0.25">
      <c r="A26" s="362" cm="1">
        <f t="array" aca="1" ref="A26" ca="1">HYPERLINK(CONCATENATE("#",CELL("address",IF(SUM($CA26:$CH26)=0,A26,INDEX($CA26:$CH26,MATCH(1,$CA26:$CH26,0))))),SUM($CA26:$CH26))</f>
        <v>0</v>
      </c>
      <c r="C26" s="383"/>
      <c r="D26" s="137" t="s">
        <v>2316</v>
      </c>
      <c r="E26" s="335"/>
      <c r="F26" s="335"/>
      <c r="G26" s="8"/>
      <c r="H26" s="335"/>
      <c r="I26" s="335"/>
      <c r="J26" s="335"/>
      <c r="K26" s="335"/>
      <c r="L26" s="335"/>
      <c r="M26" s="335"/>
      <c r="N26" s="335"/>
      <c r="O26" s="335"/>
      <c r="P26" s="335"/>
      <c r="Q26" s="335"/>
      <c r="R26" s="335"/>
      <c r="S26" s="93"/>
      <c r="T26" s="25"/>
      <c r="U26" s="25"/>
      <c r="V26" s="136"/>
      <c r="W26" s="136"/>
      <c r="X26" s="136"/>
      <c r="Y26" s="136"/>
      <c r="Z26" s="93"/>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93"/>
      <c r="BL26" s="136"/>
      <c r="BM26" s="136"/>
      <c r="BN26" s="136"/>
      <c r="BO26" s="136"/>
      <c r="BP26" s="136"/>
      <c r="BQ26" s="136"/>
      <c r="BR26" s="136"/>
      <c r="BS26" s="136"/>
      <c r="BT26" s="136"/>
      <c r="BU26" s="136"/>
      <c r="BV26" s="136"/>
      <c r="BW26" s="136"/>
      <c r="BY26" s="12"/>
      <c r="BZ26" s="395">
        <f t="shared" si="70"/>
        <v>0</v>
      </c>
      <c r="CA26" s="12"/>
      <c r="CC26" s="7">
        <f t="shared" si="59"/>
        <v>0</v>
      </c>
      <c r="CD26" s="7">
        <f t="shared" si="60"/>
        <v>0</v>
      </c>
      <c r="CE26" s="7">
        <f t="shared" si="61"/>
        <v>0</v>
      </c>
      <c r="CF26" s="12"/>
      <c r="CG26" s="352">
        <f t="shared" si="62"/>
        <v>0</v>
      </c>
      <c r="CH26" s="352">
        <f t="shared" si="63"/>
        <v>0</v>
      </c>
      <c r="CI26" s="352">
        <f t="shared" si="64"/>
        <v>0</v>
      </c>
      <c r="CJ26" s="352">
        <f t="shared" si="65"/>
        <v>0</v>
      </c>
      <c r="CK26" s="352">
        <f t="shared" si="66"/>
        <v>0</v>
      </c>
      <c r="CL26" s="352">
        <f t="shared" si="67"/>
        <v>0</v>
      </c>
      <c r="CM26" s="352">
        <f t="shared" si="68"/>
        <v>0</v>
      </c>
      <c r="ER26" s="12"/>
      <c r="ES26" s="67">
        <v>1</v>
      </c>
      <c r="ET26" s="335">
        <v>1</v>
      </c>
      <c r="EU26" s="335"/>
      <c r="EV26" s="335"/>
      <c r="EX26" s="10" t="str">
        <f t="shared" si="40"/>
        <v/>
      </c>
    </row>
    <row r="27" spans="1:155" x14ac:dyDescent="0.25">
      <c r="A27" s="362" cm="1">
        <f t="array" aca="1" ref="A27" ca="1">HYPERLINK(CONCATENATE("#",CELL("address",IF(SUM($CA27:$CH27)=0,A27,INDEX($CA27:$CH27,MATCH(1,$CA27:$CH27,0))))),SUM($CA27:$CH27))</f>
        <v>0</v>
      </c>
      <c r="C27" s="343" t="str">
        <f>CONCATENATE("M-", 'I&amp;E Annual'!C27)</f>
        <v>M-IE-1a-2SI</v>
      </c>
      <c r="D27" s="137" t="s">
        <v>427</v>
      </c>
      <c r="G27" s="335"/>
      <c r="H27" s="11" t="s">
        <v>8</v>
      </c>
      <c r="S27" s="335"/>
      <c r="T27" s="25"/>
      <c r="U27" s="25"/>
      <c r="V27" s="141"/>
      <c r="W27" s="215">
        <f xml:space="preserve"> SUMIFS($AA27:$BJ27, $AA$3:$BJ$3, W$3)</f>
        <v>0</v>
      </c>
      <c r="X27" s="215">
        <f xml:space="preserve"> SUMIFS($AA27:$BJ27, $AA$3:$BJ$3, X$3)</f>
        <v>0</v>
      </c>
      <c r="Y27" s="215">
        <f xml:space="preserve"> SUMIFS($AA27:$BJ27, $AA$3:$BJ$3, Y$3)</f>
        <v>0</v>
      </c>
      <c r="Z27" s="335"/>
      <c r="AA27" s="372"/>
      <c r="AB27" s="372"/>
      <c r="AC27" s="372"/>
      <c r="AD27" s="372"/>
      <c r="AE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372"/>
      <c r="BC27" s="372"/>
      <c r="BD27" s="372"/>
      <c r="BE27" s="372"/>
      <c r="BF27" s="372"/>
      <c r="BG27" s="372"/>
      <c r="BH27" s="372"/>
      <c r="BI27" s="372"/>
      <c r="BJ27" s="372"/>
      <c r="BK27" s="335"/>
      <c r="BL27" s="10">
        <f>V27</f>
        <v>0</v>
      </c>
      <c r="BM27" s="10">
        <f>W27</f>
        <v>0</v>
      </c>
      <c r="BN27" s="10">
        <f>X27</f>
        <v>0</v>
      </c>
      <c r="BO27" s="10">
        <f>Y27</f>
        <v>0</v>
      </c>
      <c r="BP27" s="141"/>
      <c r="BQ27" s="141"/>
      <c r="BR27" s="141"/>
      <c r="BS27" s="141"/>
      <c r="BT27" s="141"/>
      <c r="BU27" s="141"/>
      <c r="BV27" s="141"/>
      <c r="BW27" s="141"/>
      <c r="BY27" s="12"/>
      <c r="BZ27" s="395">
        <f>IF(MIN($V27:$BW27)&lt;0, 1, 0)</f>
        <v>0</v>
      </c>
      <c r="CA27" s="12"/>
      <c r="CC27" s="7">
        <f t="shared" si="59"/>
        <v>0</v>
      </c>
      <c r="CD27" s="7">
        <f t="shared" si="60"/>
        <v>0</v>
      </c>
      <c r="CE27" s="7">
        <f t="shared" si="61"/>
        <v>0</v>
      </c>
      <c r="CF27" s="12"/>
      <c r="CG27" s="352">
        <f t="shared" si="62"/>
        <v>0</v>
      </c>
      <c r="CH27" s="352">
        <f t="shared" si="63"/>
        <v>0</v>
      </c>
      <c r="CI27" s="352">
        <f t="shared" si="64"/>
        <v>0</v>
      </c>
      <c r="CJ27" s="352">
        <f t="shared" si="65"/>
        <v>0</v>
      </c>
      <c r="CK27" s="352">
        <f t="shared" si="66"/>
        <v>0</v>
      </c>
      <c r="CL27" s="352">
        <f t="shared" si="67"/>
        <v>0</v>
      </c>
      <c r="CM27" s="352">
        <f t="shared" si="68"/>
        <v>0</v>
      </c>
      <c r="CN27" s="67"/>
      <c r="ER27" s="12"/>
      <c r="ES27" s="4">
        <v>1</v>
      </c>
      <c r="ET27" s="335">
        <v>1</v>
      </c>
      <c r="EX27" s="10" t="str">
        <f t="shared" si="40"/>
        <v>Subcontracted in: 16-19 income</v>
      </c>
    </row>
    <row r="28" spans="1:155" s="5" customFormat="1" x14ac:dyDescent="0.25">
      <c r="A28" s="362" cm="1">
        <f t="array" aca="1" ref="A28" ca="1">HYPERLINK(CONCATENATE("#",CELL("address",IF(SUM($CA28:$CH28)=0,A28,INDEX($CA28:$CH28,MATCH(1,$CA28:$CH28,0))))),SUM($CA28:$CH28))</f>
        <v>0</v>
      </c>
      <c r="C28" s="343" t="str">
        <f>CONCATENATE("M-", 'I&amp;E Annual'!C28)</f>
        <v>M-IE-1a-2</v>
      </c>
      <c r="D28" s="176" t="s">
        <v>20</v>
      </c>
      <c r="H28" s="95" t="s">
        <v>8</v>
      </c>
      <c r="S28" s="335"/>
      <c r="T28" s="25"/>
      <c r="U28" s="25"/>
      <c r="V28" s="13">
        <f>SUM(V19:V27)</f>
        <v>0</v>
      </c>
      <c r="W28" s="13">
        <f>SUM(W19:W27)</f>
        <v>21270</v>
      </c>
      <c r="X28" s="13">
        <f>SUM(X19:X27)</f>
        <v>22371</v>
      </c>
      <c r="Y28" s="13">
        <f>SUM(Y19:Y27)</f>
        <v>23144.85</v>
      </c>
      <c r="AA28" s="13">
        <f t="shared" ref="AA28:BJ28" si="71">SUM(AA19:AA27)</f>
        <v>2586</v>
      </c>
      <c r="AB28" s="13">
        <f t="shared" si="71"/>
        <v>1944</v>
      </c>
      <c r="AC28" s="13">
        <f t="shared" si="71"/>
        <v>2049</v>
      </c>
      <c r="AD28" s="13">
        <f t="shared" si="71"/>
        <v>1692</v>
      </c>
      <c r="AE28" s="13">
        <f t="shared" si="71"/>
        <v>1176</v>
      </c>
      <c r="AF28" s="13">
        <f t="shared" si="71"/>
        <v>1186</v>
      </c>
      <c r="AG28" s="13">
        <f t="shared" si="71"/>
        <v>1125</v>
      </c>
      <c r="AH28" s="13">
        <f t="shared" si="71"/>
        <v>1150</v>
      </c>
      <c r="AI28" s="13">
        <f t="shared" si="71"/>
        <v>2643</v>
      </c>
      <c r="AJ28" s="13">
        <f t="shared" si="71"/>
        <v>2496</v>
      </c>
      <c r="AK28" s="13">
        <f t="shared" si="71"/>
        <v>2021</v>
      </c>
      <c r="AL28" s="13">
        <f t="shared" si="71"/>
        <v>1202</v>
      </c>
      <c r="AM28" s="13">
        <f t="shared" si="71"/>
        <v>2789</v>
      </c>
      <c r="AN28" s="13">
        <f t="shared" si="71"/>
        <v>2096</v>
      </c>
      <c r="AO28" s="13">
        <f t="shared" si="71"/>
        <v>2121</v>
      </c>
      <c r="AP28" s="13">
        <f t="shared" si="71"/>
        <v>1652</v>
      </c>
      <c r="AQ28" s="13">
        <f t="shared" si="71"/>
        <v>1256</v>
      </c>
      <c r="AR28" s="13">
        <f t="shared" si="71"/>
        <v>1244</v>
      </c>
      <c r="AS28" s="13">
        <f t="shared" si="71"/>
        <v>1153</v>
      </c>
      <c r="AT28" s="13">
        <f t="shared" si="71"/>
        <v>1274</v>
      </c>
      <c r="AU28" s="13">
        <f t="shared" si="71"/>
        <v>2805</v>
      </c>
      <c r="AV28" s="13">
        <f t="shared" si="71"/>
        <v>2579</v>
      </c>
      <c r="AW28" s="13">
        <f t="shared" si="71"/>
        <v>2130</v>
      </c>
      <c r="AX28" s="13">
        <f t="shared" si="71"/>
        <v>1272</v>
      </c>
      <c r="AY28" s="13">
        <f t="shared" si="71"/>
        <v>2884.3033333333337</v>
      </c>
      <c r="AZ28" s="13">
        <f t="shared" si="71"/>
        <v>2167.6466666666665</v>
      </c>
      <c r="BA28" s="13">
        <f t="shared" si="71"/>
        <v>2193.5333333333333</v>
      </c>
      <c r="BB28" s="13">
        <f t="shared" si="71"/>
        <v>1708.4666666666667</v>
      </c>
      <c r="BC28" s="13">
        <f t="shared" si="71"/>
        <v>1298.6100000000001</v>
      </c>
      <c r="BD28" s="13">
        <f t="shared" si="71"/>
        <v>1286.6100000000001</v>
      </c>
      <c r="BE28" s="13">
        <f t="shared" si="71"/>
        <v>1192.4833333333333</v>
      </c>
      <c r="BF28" s="13">
        <f t="shared" si="71"/>
        <v>1323.0766666666668</v>
      </c>
      <c r="BG28" s="13">
        <f t="shared" si="71"/>
        <v>2905.3033333333337</v>
      </c>
      <c r="BH28" s="13">
        <f t="shared" si="71"/>
        <v>2666.9533333333334</v>
      </c>
      <c r="BI28" s="13">
        <f t="shared" si="71"/>
        <v>2202.7733333333335</v>
      </c>
      <c r="BJ28" s="13">
        <f t="shared" si="71"/>
        <v>1315.09</v>
      </c>
      <c r="BL28" s="13">
        <f t="shared" ref="BL28:BW28" si="72">SUM(BL19:BL27)</f>
        <v>0</v>
      </c>
      <c r="BM28" s="13">
        <f t="shared" si="72"/>
        <v>21270</v>
      </c>
      <c r="BN28" s="13">
        <f t="shared" si="72"/>
        <v>22371</v>
      </c>
      <c r="BO28" s="13">
        <f t="shared" si="72"/>
        <v>23144.85</v>
      </c>
      <c r="BP28" s="13">
        <f t="shared" si="72"/>
        <v>0</v>
      </c>
      <c r="BQ28" s="13">
        <f t="shared" si="72"/>
        <v>0</v>
      </c>
      <c r="BR28" s="13">
        <f t="shared" si="72"/>
        <v>0</v>
      </c>
      <c r="BS28" s="13">
        <f t="shared" si="72"/>
        <v>0</v>
      </c>
      <c r="BT28" s="13">
        <f t="shared" si="72"/>
        <v>0</v>
      </c>
      <c r="BU28" s="13">
        <f t="shared" si="72"/>
        <v>0</v>
      </c>
      <c r="BV28" s="13">
        <f t="shared" si="72"/>
        <v>0</v>
      </c>
      <c r="BW28" s="13">
        <f t="shared" si="72"/>
        <v>0</v>
      </c>
      <c r="BY28" s="12"/>
      <c r="BZ28" s="395">
        <f>IF(MIN($V28:$BW28)&lt;0, 1, 0)</f>
        <v>0</v>
      </c>
      <c r="CA28" s="12"/>
      <c r="CB28" s="11"/>
      <c r="CC28" s="7">
        <f t="shared" si="59"/>
        <v>0</v>
      </c>
      <c r="CD28" s="7">
        <f t="shared" si="60"/>
        <v>0</v>
      </c>
      <c r="CE28" s="7">
        <f t="shared" si="61"/>
        <v>0</v>
      </c>
      <c r="CF28" s="12"/>
      <c r="CG28" s="352">
        <f t="shared" si="62"/>
        <v>0</v>
      </c>
      <c r="CH28" s="352">
        <f t="shared" si="63"/>
        <v>0</v>
      </c>
      <c r="CI28" s="352">
        <f t="shared" si="64"/>
        <v>0</v>
      </c>
      <c r="CJ28" s="352">
        <f t="shared" si="65"/>
        <v>0</v>
      </c>
      <c r="CK28" s="352">
        <f t="shared" si="66"/>
        <v>0</v>
      </c>
      <c r="CL28" s="352">
        <f t="shared" si="67"/>
        <v>0</v>
      </c>
      <c r="CM28" s="352">
        <f t="shared" si="68"/>
        <v>0</v>
      </c>
      <c r="CN28" s="67"/>
      <c r="ER28" s="12"/>
      <c r="ES28" s="5">
        <v>0</v>
      </c>
      <c r="ET28" s="5">
        <v>0</v>
      </c>
      <c r="EX28" s="10" t="str">
        <f t="shared" si="40"/>
        <v>Total 16-19 Income</v>
      </c>
    </row>
    <row r="29" spans="1:155" x14ac:dyDescent="0.25">
      <c r="A29" s="362" cm="1">
        <f t="array" aca="1" ref="A29" ca="1">HYPERLINK(CONCATENATE("#",CELL("address",IF(SUM($CA29:$CH29)=0,A29,INDEX($CA29:$CH29,MATCH(1,$CA29:$CH29,0))))),SUM($CA29:$CH29))</f>
        <v>0</v>
      </c>
      <c r="B29" s="335"/>
      <c r="C29" s="343" t="str">
        <f>CONCATENATE("M-", 'I&amp;E Annual'!C29)</f>
        <v>M-IE-1a-2SO</v>
      </c>
      <c r="D29" s="137" t="s">
        <v>428</v>
      </c>
      <c r="H29" s="11" t="s">
        <v>8</v>
      </c>
      <c r="S29" s="335"/>
      <c r="T29" s="25"/>
      <c r="U29" s="25"/>
      <c r="V29" s="141"/>
      <c r="W29" s="215">
        <f xml:space="preserve"> SUMIFS($AA29:$BJ29, $AA$3:$BJ$3, W$3)</f>
        <v>0</v>
      </c>
      <c r="X29" s="215">
        <f xml:space="preserve"> SUMIFS($AA29:$BJ29, $AA$3:$BJ$3, X$3)</f>
        <v>0</v>
      </c>
      <c r="Y29" s="215">
        <f xml:space="preserve"> SUMIFS($AA29:$BJ29, $AA$3:$BJ$3, Y$3)</f>
        <v>0</v>
      </c>
      <c r="AA29" s="372"/>
      <c r="AB29" s="372"/>
      <c r="AC29" s="372"/>
      <c r="AD29" s="372"/>
      <c r="AE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c r="BD29" s="372"/>
      <c r="BE29" s="372"/>
      <c r="BF29" s="372"/>
      <c r="BG29" s="372"/>
      <c r="BH29" s="372"/>
      <c r="BI29" s="372"/>
      <c r="BJ29" s="372"/>
      <c r="BL29" s="10">
        <f>V29</f>
        <v>0</v>
      </c>
      <c r="BM29" s="10">
        <f>W29</f>
        <v>0</v>
      </c>
      <c r="BN29" s="10">
        <f>X29</f>
        <v>0</v>
      </c>
      <c r="BO29" s="10">
        <f>Y29</f>
        <v>0</v>
      </c>
      <c r="BP29" s="141"/>
      <c r="BQ29" s="141"/>
      <c r="BR29" s="141"/>
      <c r="BS29" s="141"/>
      <c r="BT29" s="141"/>
      <c r="BU29" s="141"/>
      <c r="BV29" s="141"/>
      <c r="BW29" s="141"/>
      <c r="BY29" s="12"/>
      <c r="BZ29" s="395">
        <f>IF(MIN($V29:$BW29)&lt;0, 1, 0)</f>
        <v>0</v>
      </c>
      <c r="CA29" s="12"/>
      <c r="CB29" s="7">
        <f>IF(CN29=0, 0, 1)</f>
        <v>0</v>
      </c>
      <c r="CC29" s="7">
        <f t="shared" si="59"/>
        <v>0</v>
      </c>
      <c r="CD29" s="7">
        <f t="shared" si="60"/>
        <v>0</v>
      </c>
      <c r="CE29" s="7">
        <f t="shared" si="61"/>
        <v>0</v>
      </c>
      <c r="CF29" s="12"/>
      <c r="CG29" s="352">
        <f t="shared" si="62"/>
        <v>0</v>
      </c>
      <c r="CH29" s="352">
        <f t="shared" si="63"/>
        <v>0</v>
      </c>
      <c r="CI29" s="352">
        <f t="shared" si="64"/>
        <v>0</v>
      </c>
      <c r="CJ29" s="352">
        <f t="shared" si="65"/>
        <v>0</v>
      </c>
      <c r="CK29" s="352">
        <f t="shared" si="66"/>
        <v>0</v>
      </c>
      <c r="CL29" s="352">
        <f t="shared" si="67"/>
        <v>0</v>
      </c>
      <c r="CM29" s="352">
        <f t="shared" si="68"/>
        <v>0</v>
      </c>
      <c r="CN29" s="352">
        <f>SUM(CP29:EQ29)</f>
        <v>0</v>
      </c>
      <c r="CO29" s="67"/>
      <c r="CP29" s="7">
        <f>IF(V29&gt;V28, 1, 0)</f>
        <v>0</v>
      </c>
      <c r="CQ29" s="7">
        <f>IF(W29&gt;W28, 1, 0)</f>
        <v>0</v>
      </c>
      <c r="CR29" s="7">
        <f>IF(X29&gt;X28, 1, 0)</f>
        <v>0</v>
      </c>
      <c r="CS29" s="7">
        <f>IF(Y29&gt;Y28, 1, 0)</f>
        <v>0</v>
      </c>
      <c r="CT29" s="67"/>
      <c r="CU29" s="7">
        <f t="shared" ref="CU29:ED29" si="73">IF(AA29&gt;AA28, 1, 0)</f>
        <v>0</v>
      </c>
      <c r="CV29" s="7">
        <f t="shared" si="73"/>
        <v>0</v>
      </c>
      <c r="CW29" s="7">
        <f t="shared" si="73"/>
        <v>0</v>
      </c>
      <c r="CX29" s="7">
        <f t="shared" si="73"/>
        <v>0</v>
      </c>
      <c r="CY29" s="7">
        <f t="shared" si="73"/>
        <v>0</v>
      </c>
      <c r="CZ29" s="7">
        <f t="shared" si="73"/>
        <v>0</v>
      </c>
      <c r="DA29" s="7">
        <f t="shared" si="73"/>
        <v>0</v>
      </c>
      <c r="DB29" s="7">
        <f t="shared" si="73"/>
        <v>0</v>
      </c>
      <c r="DC29" s="7">
        <f t="shared" si="73"/>
        <v>0</v>
      </c>
      <c r="DD29" s="7">
        <f t="shared" si="73"/>
        <v>0</v>
      </c>
      <c r="DE29" s="7">
        <f t="shared" si="73"/>
        <v>0</v>
      </c>
      <c r="DF29" s="7">
        <f t="shared" si="73"/>
        <v>0</v>
      </c>
      <c r="DG29" s="7">
        <f t="shared" si="73"/>
        <v>0</v>
      </c>
      <c r="DH29" s="7">
        <f t="shared" si="73"/>
        <v>0</v>
      </c>
      <c r="DI29" s="7">
        <f t="shared" si="73"/>
        <v>0</v>
      </c>
      <c r="DJ29" s="7">
        <f t="shared" si="73"/>
        <v>0</v>
      </c>
      <c r="DK29" s="7">
        <f t="shared" si="73"/>
        <v>0</v>
      </c>
      <c r="DL29" s="7">
        <f t="shared" si="73"/>
        <v>0</v>
      </c>
      <c r="DM29" s="7">
        <f t="shared" si="73"/>
        <v>0</v>
      </c>
      <c r="DN29" s="7">
        <f t="shared" si="73"/>
        <v>0</v>
      </c>
      <c r="DO29" s="7">
        <f t="shared" si="73"/>
        <v>0</v>
      </c>
      <c r="DP29" s="7">
        <f t="shared" si="73"/>
        <v>0</v>
      </c>
      <c r="DQ29" s="7">
        <f t="shared" si="73"/>
        <v>0</v>
      </c>
      <c r="DR29" s="7">
        <f t="shared" si="73"/>
        <v>0</v>
      </c>
      <c r="DS29" s="7">
        <f t="shared" si="73"/>
        <v>0</v>
      </c>
      <c r="DT29" s="7">
        <f t="shared" si="73"/>
        <v>0</v>
      </c>
      <c r="DU29" s="7">
        <f t="shared" si="73"/>
        <v>0</v>
      </c>
      <c r="DV29" s="7">
        <f t="shared" si="73"/>
        <v>0</v>
      </c>
      <c r="DW29" s="7">
        <f t="shared" si="73"/>
        <v>0</v>
      </c>
      <c r="DX29" s="7">
        <f t="shared" si="73"/>
        <v>0</v>
      </c>
      <c r="DY29" s="7">
        <f t="shared" si="73"/>
        <v>0</v>
      </c>
      <c r="DZ29" s="7">
        <f t="shared" si="73"/>
        <v>0</v>
      </c>
      <c r="EA29" s="7">
        <f t="shared" si="73"/>
        <v>0</v>
      </c>
      <c r="EB29" s="7">
        <f t="shared" si="73"/>
        <v>0</v>
      </c>
      <c r="EC29" s="7">
        <f t="shared" si="73"/>
        <v>0</v>
      </c>
      <c r="ED29" s="7">
        <f t="shared" si="73"/>
        <v>0</v>
      </c>
      <c r="EE29" s="67"/>
      <c r="EF29" s="7">
        <f t="shared" ref="EF29:EQ29" si="74">IF(BL29&gt;BL28, 1, 0)</f>
        <v>0</v>
      </c>
      <c r="EG29" s="7">
        <f t="shared" si="74"/>
        <v>0</v>
      </c>
      <c r="EH29" s="7">
        <f t="shared" si="74"/>
        <v>0</v>
      </c>
      <c r="EI29" s="7">
        <f t="shared" si="74"/>
        <v>0</v>
      </c>
      <c r="EJ29" s="7">
        <f t="shared" si="74"/>
        <v>0</v>
      </c>
      <c r="EK29" s="7">
        <f t="shared" si="74"/>
        <v>0</v>
      </c>
      <c r="EL29" s="7">
        <f t="shared" si="74"/>
        <v>0</v>
      </c>
      <c r="EM29" s="7">
        <f t="shared" si="74"/>
        <v>0</v>
      </c>
      <c r="EN29" s="7">
        <f t="shared" si="74"/>
        <v>0</v>
      </c>
      <c r="EO29" s="7">
        <f t="shared" si="74"/>
        <v>0</v>
      </c>
      <c r="EP29" s="7">
        <f t="shared" si="74"/>
        <v>0</v>
      </c>
      <c r="EQ29" s="7">
        <f t="shared" si="74"/>
        <v>0</v>
      </c>
      <c r="ER29" s="12"/>
      <c r="ES29" s="4">
        <v>0</v>
      </c>
      <c r="ET29" s="335">
        <v>0</v>
      </c>
      <c r="EX29" s="10" t="str">
        <f t="shared" si="40"/>
        <v>Of which: subcontracted out 16-19 income</v>
      </c>
    </row>
    <row r="30" spans="1:155" s="11" customFormat="1" ht="6.6" customHeight="1" x14ac:dyDescent="0.25">
      <c r="A30" s="335"/>
      <c r="B30" s="335"/>
      <c r="C30" s="383"/>
      <c r="D30" s="334"/>
      <c r="E30" s="335"/>
      <c r="F30" s="335"/>
      <c r="G30" s="335"/>
      <c r="I30" s="335"/>
      <c r="J30" s="335"/>
      <c r="K30" s="335"/>
      <c r="L30" s="335"/>
      <c r="M30" s="335"/>
      <c r="N30" s="335"/>
      <c r="O30" s="335"/>
      <c r="P30" s="335"/>
      <c r="Q30" s="335"/>
      <c r="R30" s="335"/>
      <c r="T30" s="25"/>
      <c r="U30" s="25"/>
      <c r="V30" s="335"/>
      <c r="W30" s="335"/>
      <c r="X30" s="335"/>
      <c r="Y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L30" s="335"/>
      <c r="BM30" s="6"/>
      <c r="BN30" s="335"/>
      <c r="BO30" s="335"/>
      <c r="BP30" s="335"/>
      <c r="BQ30" s="335"/>
      <c r="BR30" s="335"/>
      <c r="BS30" s="335"/>
      <c r="BT30" s="335"/>
      <c r="BU30" s="335"/>
      <c r="BV30" s="335"/>
      <c r="BW30" s="335"/>
      <c r="BX30" s="335"/>
      <c r="BY30" s="42"/>
      <c r="BZ30" s="162"/>
      <c r="CA30" s="42"/>
      <c r="CC30" s="335"/>
      <c r="CD30" s="335"/>
      <c r="CE30" s="335"/>
      <c r="CF30" s="42"/>
      <c r="CG30" s="352"/>
      <c r="CH30" s="352"/>
      <c r="CI30" s="352"/>
      <c r="CJ30" s="352">
        <f>$BM30-SUMIFS($AA30:$BJ30, $AA$3:$BJ$3, $BM$3)</f>
        <v>0</v>
      </c>
      <c r="CK30" s="335"/>
      <c r="CL30" s="335"/>
      <c r="CM30" s="335"/>
      <c r="CN30" s="67"/>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42"/>
      <c r="ES30" s="335">
        <v>0</v>
      </c>
      <c r="ET30" s="335">
        <v>0</v>
      </c>
      <c r="EU30" s="335"/>
      <c r="EV30" s="335"/>
      <c r="EW30" s="335"/>
      <c r="EX30" s="10" t="str">
        <f t="shared" si="40"/>
        <v/>
      </c>
      <c r="EY30" s="335"/>
    </row>
    <row r="31" spans="1:155" x14ac:dyDescent="0.25">
      <c r="A31" s="335"/>
      <c r="B31" s="5"/>
      <c r="C31" s="383"/>
      <c r="D31" s="176" t="s">
        <v>21</v>
      </c>
      <c r="E31" s="82"/>
      <c r="T31" s="25"/>
      <c r="U31" s="25"/>
      <c r="V31" s="25"/>
      <c r="W31" s="25"/>
      <c r="X31" s="25"/>
      <c r="Y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L31" s="25"/>
      <c r="BM31" s="25"/>
      <c r="BN31" s="25"/>
      <c r="BO31" s="25"/>
      <c r="BP31" s="25"/>
      <c r="BQ31" s="25"/>
      <c r="BR31" s="25"/>
      <c r="BS31" s="25"/>
      <c r="BT31" s="25"/>
      <c r="BU31" s="25"/>
      <c r="BV31" s="25"/>
      <c r="BW31" s="25"/>
      <c r="BY31" s="12"/>
      <c r="CA31" s="12"/>
      <c r="CB31" s="335"/>
      <c r="CF31" s="12"/>
      <c r="CG31" s="352"/>
      <c r="CH31" s="352"/>
      <c r="CI31" s="352"/>
      <c r="CJ31" s="352"/>
      <c r="CN31" s="335"/>
      <c r="CP31" s="335"/>
      <c r="CQ31" s="335"/>
      <c r="CR31" s="335"/>
      <c r="CS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F31" s="335"/>
      <c r="EG31" s="335"/>
      <c r="EH31" s="335"/>
      <c r="EI31" s="335"/>
      <c r="EJ31" s="335"/>
      <c r="EK31" s="335"/>
      <c r="EL31" s="335"/>
      <c r="EM31" s="335"/>
      <c r="EN31" s="335"/>
      <c r="EO31" s="335"/>
      <c r="EP31" s="335"/>
      <c r="EQ31" s="335"/>
      <c r="ER31" s="12"/>
      <c r="ES31">
        <v>0</v>
      </c>
      <c r="ET31" s="335">
        <v>0</v>
      </c>
      <c r="EX31" s="10" t="str">
        <f t="shared" si="40"/>
        <v/>
      </c>
    </row>
    <row r="32" spans="1:155" x14ac:dyDescent="0.25">
      <c r="A32" s="362" cm="1">
        <f t="array" aca="1" ref="A32" ca="1">HYPERLINK(CONCATENATE("#",CELL("address",IF(SUM($CA32:$CH32)=0,A32,INDEX($CA32:$CH32,MATCH(1,$CA32:$CH32,0))))),SUM($CA32:$CH32))</f>
        <v>0</v>
      </c>
      <c r="B32" s="335"/>
      <c r="C32" s="343" t="str">
        <f>CONCATENATE("M-", 'I&amp;E Annual'!C32)</f>
        <v>M-IE-1b-1</v>
      </c>
      <c r="D32" s="137" t="s">
        <v>437</v>
      </c>
      <c r="H32" s="11" t="s">
        <v>8</v>
      </c>
      <c r="S32" s="335"/>
      <c r="T32" s="25"/>
      <c r="U32" s="25"/>
      <c r="V32" s="141"/>
      <c r="W32" s="215">
        <f xml:space="preserve"> SUMIFS($AA32:$BJ32, $AA$3:$BJ$3, W$3)</f>
        <v>509</v>
      </c>
      <c r="X32" s="215">
        <f xml:space="preserve"> SUMIFS($AA32:$BJ32, $AA$3:$BJ$3, X$3)</f>
        <v>615</v>
      </c>
      <c r="Y32" s="215">
        <f xml:space="preserve"> SUMIFS($AA32:$BJ32, $AA$3:$BJ$3, Y$3)</f>
        <v>638.89</v>
      </c>
      <c r="AA32" s="372"/>
      <c r="AB32" s="372">
        <v>32</v>
      </c>
      <c r="AC32" s="372">
        <v>41</v>
      </c>
      <c r="AD32" s="372">
        <v>65</v>
      </c>
      <c r="AE32" s="372">
        <v>69</v>
      </c>
      <c r="AF32" s="372">
        <v>38</v>
      </c>
      <c r="AG32" s="372">
        <v>51</v>
      </c>
      <c r="AH32" s="372">
        <v>39</v>
      </c>
      <c r="AI32" s="372">
        <f>35+10</f>
        <v>45</v>
      </c>
      <c r="AJ32" s="372">
        <f>39+10</f>
        <v>49</v>
      </c>
      <c r="AK32" s="372">
        <f>30+10</f>
        <v>40</v>
      </c>
      <c r="AL32" s="372">
        <f>30+10</f>
        <v>40</v>
      </c>
      <c r="AM32" s="372">
        <v>36</v>
      </c>
      <c r="AN32" s="372">
        <v>40</v>
      </c>
      <c r="AO32" s="372">
        <v>40</v>
      </c>
      <c r="AP32" s="372">
        <v>45</v>
      </c>
      <c r="AQ32" s="372">
        <v>49</v>
      </c>
      <c r="AR32" s="372">
        <v>55</v>
      </c>
      <c r="AS32" s="372">
        <v>55</v>
      </c>
      <c r="AT32" s="372">
        <v>55</v>
      </c>
      <c r="AU32" s="372">
        <v>55</v>
      </c>
      <c r="AV32" s="372">
        <v>55</v>
      </c>
      <c r="AW32" s="372">
        <v>65</v>
      </c>
      <c r="AX32" s="372">
        <v>65</v>
      </c>
      <c r="AY32" s="372">
        <f>AM32*1.015</f>
        <v>36.54</v>
      </c>
      <c r="AZ32" s="573">
        <f t="shared" ref="AZ32:BB32" si="75">AN32*1.015</f>
        <v>40.599999999999994</v>
      </c>
      <c r="BA32" s="573">
        <f t="shared" si="75"/>
        <v>40.599999999999994</v>
      </c>
      <c r="BB32" s="573">
        <f t="shared" si="75"/>
        <v>45.674999999999997</v>
      </c>
      <c r="BC32" s="573">
        <f>AQ32*1.025</f>
        <v>50.224999999999994</v>
      </c>
      <c r="BD32" s="573">
        <f>AR32*1.05</f>
        <v>57.75</v>
      </c>
      <c r="BE32" s="573">
        <f t="shared" ref="BE32:BF32" si="76">AS32*1.05</f>
        <v>57.75</v>
      </c>
      <c r="BF32" s="573">
        <f t="shared" si="76"/>
        <v>57.75</v>
      </c>
      <c r="BG32" s="573">
        <f>AU32*1.05</f>
        <v>57.75</v>
      </c>
      <c r="BH32" s="573">
        <f>AV32*1.05</f>
        <v>57.75</v>
      </c>
      <c r="BI32" s="573">
        <f>AW32*1.05</f>
        <v>68.25</v>
      </c>
      <c r="BJ32" s="573">
        <f>AX32*1.05</f>
        <v>68.25</v>
      </c>
      <c r="BL32" s="10">
        <f>V32</f>
        <v>0</v>
      </c>
      <c r="BM32" s="10">
        <f>W32</f>
        <v>509</v>
      </c>
      <c r="BN32" s="10">
        <f>X32</f>
        <v>615</v>
      </c>
      <c r="BO32" s="10">
        <f>Y32</f>
        <v>638.89</v>
      </c>
      <c r="BP32" s="141"/>
      <c r="BQ32" s="141"/>
      <c r="BR32" s="141"/>
      <c r="BS32" s="141"/>
      <c r="BT32" s="141"/>
      <c r="BU32" s="141"/>
      <c r="BV32" s="141"/>
      <c r="BW32" s="141"/>
      <c r="BY32" s="12"/>
      <c r="BZ32" s="395">
        <f>IF(MIN($V32:$BW32)&lt;0, 1, 0)</f>
        <v>0</v>
      </c>
      <c r="CA32" s="12"/>
      <c r="CC32" s="7">
        <f t="shared" ref="CC32:CC38" si="77">IF(SUM($CG32:$CI32)=0, 0, 1)</f>
        <v>0</v>
      </c>
      <c r="CD32" s="7">
        <f t="shared" ref="CD32:CD38" si="78">IF(SUM($CJ32:$CL32)=0, 0, 1)</f>
        <v>0</v>
      </c>
      <c r="CE32" s="7">
        <f t="shared" ref="CE32:CE38" si="79">IF($CM32=0, 0, 1)</f>
        <v>0</v>
      </c>
      <c r="CF32" s="12"/>
      <c r="CG32" s="352">
        <f t="shared" ref="CG32:CI38" si="80">ROUND(W32-SUMIFS($AA32:$BJ32, $AA$3:$BJ$3, W$3), rounding)</f>
        <v>0</v>
      </c>
      <c r="CH32" s="352">
        <f t="shared" si="80"/>
        <v>0</v>
      </c>
      <c r="CI32" s="352">
        <f t="shared" si="80"/>
        <v>0</v>
      </c>
      <c r="CJ32" s="352">
        <f t="shared" ref="CJ32:CJ38" si="81">ROUND($BM32-SUMIFS($AA32:$BJ32, $AA$3:$BJ$3, $BM$3), rounding)</f>
        <v>0</v>
      </c>
      <c r="CK32" s="352">
        <f t="shared" ref="CK32:CK38" si="82">ROUND($BN32-SUMIFS($AA32:$BJ32, $AA$3:$BJ$3, $BN$3), rounding)</f>
        <v>0</v>
      </c>
      <c r="CL32" s="352">
        <f t="shared" ref="CL32:CL38" si="83">ROUND($BO32-SUMIFS($AA32:$BJ32, $AA$3:$BJ$3, $BO$3), rounding)</f>
        <v>0</v>
      </c>
      <c r="CM32" s="352">
        <f t="shared" ref="CM32:CM38" si="84">ROUND($V32-$BL32, rounding)</f>
        <v>0</v>
      </c>
      <c r="CN32" s="67"/>
      <c r="ER32" s="12"/>
      <c r="ES32" s="4">
        <v>1</v>
      </c>
      <c r="ET32" s="335">
        <v>1</v>
      </c>
      <c r="EX32" s="10" t="str">
        <f t="shared" si="40"/>
        <v>Total apprenticeship programme funding</v>
      </c>
    </row>
    <row r="33" spans="1:154" s="67" customFormat="1" hidden="1" x14ac:dyDescent="0.25">
      <c r="A33" s="362" cm="1">
        <f t="array" aca="1" ref="A33" ca="1">HYPERLINK(CONCATENATE("#",CELL("address",IF(SUM($CA33:$CH33)=0,A33,INDEX($CA33:$CH33,MATCH(1,$CA33:$CH33,0))))),SUM($CA33:$CH33))</f>
        <v>0</v>
      </c>
      <c r="B33" s="335"/>
      <c r="C33" s="383"/>
      <c r="D33" s="137" t="s">
        <v>2316</v>
      </c>
      <c r="G33" s="8"/>
      <c r="S33" s="93"/>
      <c r="T33" s="25"/>
      <c r="U33" s="25"/>
      <c r="V33" s="136"/>
      <c r="W33" s="136"/>
      <c r="X33" s="136"/>
      <c r="Y33" s="136"/>
      <c r="Z33" s="93"/>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93"/>
      <c r="BL33" s="136"/>
      <c r="BM33" s="136"/>
      <c r="BN33" s="136"/>
      <c r="BO33" s="136"/>
      <c r="BP33" s="136"/>
      <c r="BQ33" s="136"/>
      <c r="BR33" s="136"/>
      <c r="BS33" s="136"/>
      <c r="BT33" s="136"/>
      <c r="BU33" s="136"/>
      <c r="BV33" s="136"/>
      <c r="BW33" s="136"/>
      <c r="BY33" s="12"/>
      <c r="BZ33" s="395">
        <f t="shared" ref="BZ33:BZ35" si="85">IF(MIN($V33:$BW33)&lt;0, 1, 0)</f>
        <v>0</v>
      </c>
      <c r="CA33" s="12"/>
      <c r="CC33" s="7">
        <f t="shared" si="77"/>
        <v>0</v>
      </c>
      <c r="CD33" s="7">
        <f t="shared" si="78"/>
        <v>0</v>
      </c>
      <c r="CE33" s="7">
        <f t="shared" si="79"/>
        <v>0</v>
      </c>
      <c r="CF33" s="12"/>
      <c r="CG33" s="352">
        <f t="shared" si="80"/>
        <v>0</v>
      </c>
      <c r="CH33" s="352">
        <f t="shared" si="80"/>
        <v>0</v>
      </c>
      <c r="CI33" s="352">
        <f t="shared" si="80"/>
        <v>0</v>
      </c>
      <c r="CJ33" s="352">
        <f t="shared" si="81"/>
        <v>0</v>
      </c>
      <c r="CK33" s="352">
        <f t="shared" si="82"/>
        <v>0</v>
      </c>
      <c r="CL33" s="352">
        <f t="shared" si="83"/>
        <v>0</v>
      </c>
      <c r="CM33" s="352">
        <f t="shared" si="84"/>
        <v>0</v>
      </c>
      <c r="ER33" s="12"/>
      <c r="ES33" s="67">
        <v>1</v>
      </c>
      <c r="ET33" s="335">
        <v>1</v>
      </c>
      <c r="EU33" s="335"/>
      <c r="EV33" s="335"/>
      <c r="EX33" s="10" t="str">
        <f t="shared" si="40"/>
        <v/>
      </c>
    </row>
    <row r="34" spans="1:154" s="67" customFormat="1" hidden="1" x14ac:dyDescent="0.25">
      <c r="A34" s="362" cm="1">
        <f t="array" aca="1" ref="A34" ca="1">HYPERLINK(CONCATENATE("#",CELL("address",IF(SUM($CA34:$CH34)=0,A34,INDEX($CA34:$CH34,MATCH(1,$CA34:$CH34,0))))),SUM($CA34:$CH34))</f>
        <v>0</v>
      </c>
      <c r="B34" s="335"/>
      <c r="C34" s="383"/>
      <c r="D34" s="137" t="s">
        <v>2316</v>
      </c>
      <c r="E34" s="335"/>
      <c r="F34" s="335"/>
      <c r="G34" s="8"/>
      <c r="H34" s="335"/>
      <c r="I34" s="335"/>
      <c r="J34" s="335"/>
      <c r="K34" s="335"/>
      <c r="L34" s="335"/>
      <c r="M34" s="335"/>
      <c r="N34" s="335"/>
      <c r="O34" s="335"/>
      <c r="P34" s="335"/>
      <c r="Q34" s="335"/>
      <c r="R34" s="335"/>
      <c r="S34" s="93"/>
      <c r="T34" s="25"/>
      <c r="U34" s="25"/>
      <c r="V34" s="136"/>
      <c r="W34" s="136"/>
      <c r="X34" s="136"/>
      <c r="Y34" s="136"/>
      <c r="Z34" s="93"/>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93"/>
      <c r="BL34" s="136"/>
      <c r="BM34" s="136"/>
      <c r="BN34" s="136"/>
      <c r="BO34" s="136"/>
      <c r="BP34" s="136"/>
      <c r="BQ34" s="136"/>
      <c r="BR34" s="136"/>
      <c r="BS34" s="136"/>
      <c r="BT34" s="136"/>
      <c r="BU34" s="136"/>
      <c r="BV34" s="136"/>
      <c r="BW34" s="136"/>
      <c r="BY34" s="12"/>
      <c r="BZ34" s="395">
        <f t="shared" si="85"/>
        <v>0</v>
      </c>
      <c r="CA34" s="12"/>
      <c r="CC34" s="7">
        <f t="shared" si="77"/>
        <v>0</v>
      </c>
      <c r="CD34" s="7">
        <f t="shared" si="78"/>
        <v>0</v>
      </c>
      <c r="CE34" s="7">
        <f t="shared" si="79"/>
        <v>0</v>
      </c>
      <c r="CF34" s="12"/>
      <c r="CG34" s="352">
        <f t="shared" si="80"/>
        <v>0</v>
      </c>
      <c r="CH34" s="352">
        <f t="shared" si="80"/>
        <v>0</v>
      </c>
      <c r="CI34" s="352">
        <f t="shared" si="80"/>
        <v>0</v>
      </c>
      <c r="CJ34" s="352">
        <f t="shared" si="81"/>
        <v>0</v>
      </c>
      <c r="CK34" s="352">
        <f t="shared" si="82"/>
        <v>0</v>
      </c>
      <c r="CL34" s="352">
        <f t="shared" si="83"/>
        <v>0</v>
      </c>
      <c r="CM34" s="352">
        <f t="shared" si="84"/>
        <v>0</v>
      </c>
      <c r="ER34" s="12"/>
      <c r="ES34" s="67">
        <v>1</v>
      </c>
      <c r="ET34" s="335">
        <v>1</v>
      </c>
      <c r="EU34" s="335"/>
      <c r="EV34" s="335"/>
      <c r="EX34" s="10" t="str">
        <f t="shared" si="40"/>
        <v/>
      </c>
    </row>
    <row r="35" spans="1:154" s="67" customFormat="1" hidden="1" x14ac:dyDescent="0.25">
      <c r="A35" s="362" cm="1">
        <f t="array" aca="1" ref="A35" ca="1">HYPERLINK(CONCATENATE("#",CELL("address",IF(SUM($CA35:$CH35)=0,A35,INDEX($CA35:$CH35,MATCH(1,$CA35:$CH35,0))))),SUM($CA35:$CH35))</f>
        <v>0</v>
      </c>
      <c r="B35" s="335"/>
      <c r="C35" s="383"/>
      <c r="D35" s="137" t="s">
        <v>2316</v>
      </c>
      <c r="E35" s="335"/>
      <c r="F35" s="335"/>
      <c r="G35" s="8"/>
      <c r="H35" s="335"/>
      <c r="I35" s="335"/>
      <c r="J35" s="335"/>
      <c r="K35" s="335"/>
      <c r="L35" s="335"/>
      <c r="M35" s="335"/>
      <c r="N35" s="335"/>
      <c r="O35" s="335"/>
      <c r="P35" s="335"/>
      <c r="Q35" s="335"/>
      <c r="R35" s="335"/>
      <c r="S35" s="93"/>
      <c r="T35" s="25"/>
      <c r="U35" s="25"/>
      <c r="V35" s="136"/>
      <c r="W35" s="136"/>
      <c r="X35" s="136"/>
      <c r="Y35" s="136"/>
      <c r="Z35" s="93"/>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93"/>
      <c r="BL35" s="136"/>
      <c r="BM35" s="136"/>
      <c r="BN35" s="136"/>
      <c r="BO35" s="136"/>
      <c r="BP35" s="136"/>
      <c r="BQ35" s="136"/>
      <c r="BR35" s="136"/>
      <c r="BS35" s="136"/>
      <c r="BT35" s="136"/>
      <c r="BU35" s="136"/>
      <c r="BV35" s="136"/>
      <c r="BW35" s="136"/>
      <c r="BY35" s="12"/>
      <c r="BZ35" s="395">
        <f t="shared" si="85"/>
        <v>0</v>
      </c>
      <c r="CA35" s="12"/>
      <c r="CC35" s="7">
        <f t="shared" si="77"/>
        <v>0</v>
      </c>
      <c r="CD35" s="7">
        <f t="shared" si="78"/>
        <v>0</v>
      </c>
      <c r="CE35" s="7">
        <f t="shared" si="79"/>
        <v>0</v>
      </c>
      <c r="CF35" s="12"/>
      <c r="CG35" s="352">
        <f t="shared" si="80"/>
        <v>0</v>
      </c>
      <c r="CH35" s="352">
        <f t="shared" si="80"/>
        <v>0</v>
      </c>
      <c r="CI35" s="352">
        <f t="shared" si="80"/>
        <v>0</v>
      </c>
      <c r="CJ35" s="352">
        <f t="shared" si="81"/>
        <v>0</v>
      </c>
      <c r="CK35" s="352">
        <f t="shared" si="82"/>
        <v>0</v>
      </c>
      <c r="CL35" s="352">
        <f t="shared" si="83"/>
        <v>0</v>
      </c>
      <c r="CM35" s="352">
        <f t="shared" si="84"/>
        <v>0</v>
      </c>
      <c r="ER35" s="12"/>
      <c r="ES35" s="67">
        <v>1</v>
      </c>
      <c r="ET35" s="335">
        <v>1</v>
      </c>
      <c r="EU35" s="335"/>
      <c r="EV35" s="335"/>
      <c r="EX35" s="10" t="str">
        <f t="shared" si="40"/>
        <v/>
      </c>
    </row>
    <row r="36" spans="1:154" ht="15.75" x14ac:dyDescent="0.3">
      <c r="A36" s="362" cm="1">
        <f t="array" aca="1" ref="A36" ca="1">HYPERLINK(CONCATENATE("#",CELL("address",IF(SUM($CA36:$CH36)=0,A36,INDEX($CA36:$CH36,MATCH(1,$CA36:$CH36,0))))),SUM($CA36:$CH36))</f>
        <v>0</v>
      </c>
      <c r="B36" s="105" t="s">
        <v>335</v>
      </c>
      <c r="C36" s="343" t="str">
        <f>CONCATENATE("M-", 'I&amp;E Annual'!C36)</f>
        <v>M-IE-1b-SI</v>
      </c>
      <c r="D36" s="137" t="s">
        <v>439</v>
      </c>
      <c r="G36" s="335"/>
      <c r="H36" s="11" t="s">
        <v>8</v>
      </c>
      <c r="S36" s="335"/>
      <c r="T36" s="25"/>
      <c r="U36" s="25"/>
      <c r="V36" s="141"/>
      <c r="W36" s="215">
        <f xml:space="preserve"> SUMIFS($AA36:$BJ36, $AA$3:$BJ$3, W$3)</f>
        <v>0</v>
      </c>
      <c r="X36" s="215">
        <f xml:space="preserve"> SUMIFS($AA36:$BJ36, $AA$3:$BJ$3, X$3)</f>
        <v>0</v>
      </c>
      <c r="Y36" s="215">
        <f xml:space="preserve"> SUMIFS($AA36:$BJ36, $AA$3:$BJ$3, Y$3)</f>
        <v>0</v>
      </c>
      <c r="Z36" s="335"/>
      <c r="AA36" s="372"/>
      <c r="AB36" s="372"/>
      <c r="AC36" s="372"/>
      <c r="AD36" s="372"/>
      <c r="AE36" s="372"/>
      <c r="AF36" s="372"/>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c r="BG36" s="372"/>
      <c r="BH36" s="372"/>
      <c r="BI36" s="372"/>
      <c r="BJ36" s="372"/>
      <c r="BK36" s="335"/>
      <c r="BL36" s="10">
        <f>V36</f>
        <v>0</v>
      </c>
      <c r="BM36" s="10">
        <f>W36</f>
        <v>0</v>
      </c>
      <c r="BN36" s="10">
        <f>X36</f>
        <v>0</v>
      </c>
      <c r="BO36" s="10">
        <f>Y36</f>
        <v>0</v>
      </c>
      <c r="BP36" s="141"/>
      <c r="BQ36" s="141"/>
      <c r="BR36" s="141"/>
      <c r="BS36" s="141"/>
      <c r="BT36" s="141"/>
      <c r="BU36" s="141"/>
      <c r="BV36" s="141"/>
      <c r="BW36" s="141"/>
      <c r="BY36" s="12"/>
      <c r="BZ36" s="395">
        <f>IF(MIN($V36:$BW36)&lt;0, 1, 0)</f>
        <v>0</v>
      </c>
      <c r="CA36" s="12"/>
      <c r="CC36" s="7">
        <f t="shared" si="77"/>
        <v>0</v>
      </c>
      <c r="CD36" s="7">
        <f t="shared" si="78"/>
        <v>0</v>
      </c>
      <c r="CE36" s="7">
        <f t="shared" si="79"/>
        <v>0</v>
      </c>
      <c r="CF36" s="12"/>
      <c r="CG36" s="352">
        <f t="shared" si="80"/>
        <v>0</v>
      </c>
      <c r="CH36" s="352">
        <f t="shared" si="80"/>
        <v>0</v>
      </c>
      <c r="CI36" s="352">
        <f t="shared" si="80"/>
        <v>0</v>
      </c>
      <c r="CJ36" s="352">
        <f t="shared" si="81"/>
        <v>0</v>
      </c>
      <c r="CK36" s="352">
        <f t="shared" si="82"/>
        <v>0</v>
      </c>
      <c r="CL36" s="352">
        <f t="shared" si="83"/>
        <v>0</v>
      </c>
      <c r="CM36" s="352">
        <f t="shared" si="84"/>
        <v>0</v>
      </c>
      <c r="CN36" s="67"/>
      <c r="ER36" s="12"/>
      <c r="ES36" s="4">
        <v>1</v>
      </c>
      <c r="ET36" s="335">
        <v>1</v>
      </c>
      <c r="EX36" s="10" t="str">
        <f t="shared" si="40"/>
        <v>Subcontracted in: Apprenticeship income</v>
      </c>
    </row>
    <row r="37" spans="1:154" s="5" customFormat="1" x14ac:dyDescent="0.25">
      <c r="A37" s="362" cm="1">
        <f t="array" aca="1" ref="A37" ca="1">HYPERLINK(CONCATENATE("#",CELL("address",IF(SUM($CA37:$CH37)=0,A37,INDEX($CA37:$CH37,MATCH(1,$CA37:$CH37,0))))),SUM($CA37:$CH37))</f>
        <v>0</v>
      </c>
      <c r="C37" s="343" t="str">
        <f>CONCATENATE("M-", 'I&amp;E Annual'!C37)</f>
        <v>M-IE-1b</v>
      </c>
      <c r="D37" s="176" t="s">
        <v>22</v>
      </c>
      <c r="H37" s="11" t="s">
        <v>8</v>
      </c>
      <c r="S37" s="335"/>
      <c r="T37" s="25"/>
      <c r="U37" s="25"/>
      <c r="V37" s="152">
        <f>SUM(V32:V36)</f>
        <v>0</v>
      </c>
      <c r="W37" s="152">
        <f>SUM(W32:W36)</f>
        <v>509</v>
      </c>
      <c r="X37" s="152">
        <f>SUM(X32:X36)</f>
        <v>615</v>
      </c>
      <c r="Y37" s="152">
        <f>SUM(Y32:Y36)</f>
        <v>638.89</v>
      </c>
      <c r="Z37" s="335"/>
      <c r="AA37" s="152">
        <f t="shared" ref="AA37:BJ37" si="86">SUM(AA32:AA36)</f>
        <v>0</v>
      </c>
      <c r="AB37" s="152">
        <f t="shared" si="86"/>
        <v>32</v>
      </c>
      <c r="AC37" s="152">
        <f t="shared" si="86"/>
        <v>41</v>
      </c>
      <c r="AD37" s="152">
        <f t="shared" si="86"/>
        <v>65</v>
      </c>
      <c r="AE37" s="152">
        <f t="shared" si="86"/>
        <v>69</v>
      </c>
      <c r="AF37" s="152">
        <f t="shared" si="86"/>
        <v>38</v>
      </c>
      <c r="AG37" s="152">
        <f t="shared" si="86"/>
        <v>51</v>
      </c>
      <c r="AH37" s="152">
        <f t="shared" si="86"/>
        <v>39</v>
      </c>
      <c r="AI37" s="152">
        <f t="shared" si="86"/>
        <v>45</v>
      </c>
      <c r="AJ37" s="152">
        <f t="shared" si="86"/>
        <v>49</v>
      </c>
      <c r="AK37" s="152">
        <f t="shared" si="86"/>
        <v>40</v>
      </c>
      <c r="AL37" s="152">
        <f t="shared" si="86"/>
        <v>40</v>
      </c>
      <c r="AM37" s="152">
        <f t="shared" si="86"/>
        <v>36</v>
      </c>
      <c r="AN37" s="152">
        <f t="shared" si="86"/>
        <v>40</v>
      </c>
      <c r="AO37" s="152">
        <f t="shared" si="86"/>
        <v>40</v>
      </c>
      <c r="AP37" s="152">
        <f t="shared" si="86"/>
        <v>45</v>
      </c>
      <c r="AQ37" s="152">
        <f t="shared" si="86"/>
        <v>49</v>
      </c>
      <c r="AR37" s="152">
        <f t="shared" si="86"/>
        <v>55</v>
      </c>
      <c r="AS37" s="152">
        <f t="shared" si="86"/>
        <v>55</v>
      </c>
      <c r="AT37" s="152">
        <f t="shared" si="86"/>
        <v>55</v>
      </c>
      <c r="AU37" s="152">
        <f t="shared" si="86"/>
        <v>55</v>
      </c>
      <c r="AV37" s="152">
        <f t="shared" si="86"/>
        <v>55</v>
      </c>
      <c r="AW37" s="152">
        <f t="shared" si="86"/>
        <v>65</v>
      </c>
      <c r="AX37" s="152">
        <f t="shared" si="86"/>
        <v>65</v>
      </c>
      <c r="AY37" s="152">
        <f t="shared" si="86"/>
        <v>36.54</v>
      </c>
      <c r="AZ37" s="152">
        <f t="shared" si="86"/>
        <v>40.599999999999994</v>
      </c>
      <c r="BA37" s="152">
        <f t="shared" si="86"/>
        <v>40.599999999999994</v>
      </c>
      <c r="BB37" s="152">
        <f t="shared" si="86"/>
        <v>45.674999999999997</v>
      </c>
      <c r="BC37" s="152">
        <f t="shared" si="86"/>
        <v>50.224999999999994</v>
      </c>
      <c r="BD37" s="152">
        <f t="shared" si="86"/>
        <v>57.75</v>
      </c>
      <c r="BE37" s="152">
        <f t="shared" si="86"/>
        <v>57.75</v>
      </c>
      <c r="BF37" s="152">
        <f t="shared" si="86"/>
        <v>57.75</v>
      </c>
      <c r="BG37" s="152">
        <f t="shared" si="86"/>
        <v>57.75</v>
      </c>
      <c r="BH37" s="152">
        <f t="shared" si="86"/>
        <v>57.75</v>
      </c>
      <c r="BI37" s="152">
        <f t="shared" si="86"/>
        <v>68.25</v>
      </c>
      <c r="BJ37" s="152">
        <f t="shared" si="86"/>
        <v>68.25</v>
      </c>
      <c r="BK37" s="335"/>
      <c r="BL37" s="152">
        <f t="shared" ref="BL37:BW37" si="87">SUM(BL32:BL36)</f>
        <v>0</v>
      </c>
      <c r="BM37" s="152">
        <f t="shared" si="87"/>
        <v>509</v>
      </c>
      <c r="BN37" s="152">
        <f t="shared" si="87"/>
        <v>615</v>
      </c>
      <c r="BO37" s="152">
        <f t="shared" si="87"/>
        <v>638.89</v>
      </c>
      <c r="BP37" s="152">
        <f t="shared" si="87"/>
        <v>0</v>
      </c>
      <c r="BQ37" s="152">
        <f t="shared" si="87"/>
        <v>0</v>
      </c>
      <c r="BR37" s="152">
        <f t="shared" si="87"/>
        <v>0</v>
      </c>
      <c r="BS37" s="152">
        <f t="shared" si="87"/>
        <v>0</v>
      </c>
      <c r="BT37" s="152">
        <f t="shared" si="87"/>
        <v>0</v>
      </c>
      <c r="BU37" s="152">
        <f t="shared" si="87"/>
        <v>0</v>
      </c>
      <c r="BV37" s="152">
        <f t="shared" si="87"/>
        <v>0</v>
      </c>
      <c r="BW37" s="152">
        <f t="shared" si="87"/>
        <v>0</v>
      </c>
      <c r="BY37" s="12"/>
      <c r="BZ37" s="395">
        <f>IF(MIN($V37:$BW37)&lt;0, 1, 0)</f>
        <v>0</v>
      </c>
      <c r="CA37" s="12"/>
      <c r="CB37" s="11"/>
      <c r="CC37" s="7">
        <f t="shared" si="77"/>
        <v>0</v>
      </c>
      <c r="CD37" s="7">
        <f t="shared" si="78"/>
        <v>0</v>
      </c>
      <c r="CE37" s="7">
        <f t="shared" si="79"/>
        <v>0</v>
      </c>
      <c r="CF37" s="12"/>
      <c r="CG37" s="352">
        <f t="shared" si="80"/>
        <v>0</v>
      </c>
      <c r="CH37" s="352">
        <f t="shared" si="80"/>
        <v>0</v>
      </c>
      <c r="CI37" s="352">
        <f t="shared" si="80"/>
        <v>0</v>
      </c>
      <c r="CJ37" s="352">
        <f t="shared" si="81"/>
        <v>0</v>
      </c>
      <c r="CK37" s="352">
        <f t="shared" si="82"/>
        <v>0</v>
      </c>
      <c r="CL37" s="352">
        <f t="shared" si="83"/>
        <v>0</v>
      </c>
      <c r="CM37" s="352">
        <f t="shared" si="84"/>
        <v>0</v>
      </c>
      <c r="CN37" s="67"/>
      <c r="ER37" s="12"/>
      <c r="ES37" s="5">
        <v>0</v>
      </c>
      <c r="ET37" s="5">
        <v>0</v>
      </c>
      <c r="EX37" s="10" t="str">
        <f t="shared" si="40"/>
        <v>Total Apprenticeships Income</v>
      </c>
    </row>
    <row r="38" spans="1:154" x14ac:dyDescent="0.25">
      <c r="A38" s="362" cm="1">
        <f t="array" aca="1" ref="A38" ca="1">HYPERLINK(CONCATENATE("#",CELL("address",IF(SUM($CA38:$CH38)=0,A38,INDEX($CA38:$CH38,MATCH(1,$CA38:$CH38,0))))),SUM($CA38:$CH38))</f>
        <v>0</v>
      </c>
      <c r="B38" s="335"/>
      <c r="C38" s="343" t="str">
        <f>CONCATENATE("M-", 'I&amp;E Annual'!C38)</f>
        <v>M-IE-1b-SO</v>
      </c>
      <c r="D38" s="137" t="s">
        <v>440</v>
      </c>
      <c r="G38" s="335"/>
      <c r="H38" s="11" t="s">
        <v>8</v>
      </c>
      <c r="S38" s="335"/>
      <c r="T38" s="25"/>
      <c r="U38" s="25"/>
      <c r="V38" s="156"/>
      <c r="W38" s="215">
        <f xml:space="preserve"> SUMIFS($AA38:$BJ38, $AA$3:$BJ$3, W$3)</f>
        <v>0</v>
      </c>
      <c r="X38" s="215">
        <f xml:space="preserve"> SUMIFS($AA38:$BJ38, $AA$3:$BJ$3, X$3)</f>
        <v>0</v>
      </c>
      <c r="Y38" s="215">
        <f xml:space="preserve"> SUMIFS($AA38:$BJ38, $AA$3:$BJ$3, Y$3)</f>
        <v>0</v>
      </c>
      <c r="Z38" s="335"/>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335"/>
      <c r="BL38" s="153">
        <f>V38</f>
        <v>0</v>
      </c>
      <c r="BM38" s="153">
        <f>W38</f>
        <v>0</v>
      </c>
      <c r="BN38" s="153">
        <f>X38</f>
        <v>0</v>
      </c>
      <c r="BO38" s="153">
        <f>Y38</f>
        <v>0</v>
      </c>
      <c r="BP38" s="156"/>
      <c r="BQ38" s="156"/>
      <c r="BR38" s="156"/>
      <c r="BS38" s="156"/>
      <c r="BT38" s="156"/>
      <c r="BU38" s="156"/>
      <c r="BV38" s="156"/>
      <c r="BW38" s="156"/>
      <c r="BY38" s="12"/>
      <c r="BZ38" s="395">
        <f>IF(MIN($V38:$BW38)&lt;0, 1, 0)</f>
        <v>0</v>
      </c>
      <c r="CA38" s="12"/>
      <c r="CB38" s="7">
        <f>IF(CN38=0, 0, 1)</f>
        <v>0</v>
      </c>
      <c r="CC38" s="7">
        <f t="shared" si="77"/>
        <v>0</v>
      </c>
      <c r="CD38" s="7">
        <f t="shared" si="78"/>
        <v>0</v>
      </c>
      <c r="CE38" s="7">
        <f t="shared" si="79"/>
        <v>0</v>
      </c>
      <c r="CF38" s="12"/>
      <c r="CG38" s="352">
        <f t="shared" si="80"/>
        <v>0</v>
      </c>
      <c r="CH38" s="352">
        <f t="shared" si="80"/>
        <v>0</v>
      </c>
      <c r="CI38" s="352">
        <f t="shared" si="80"/>
        <v>0</v>
      </c>
      <c r="CJ38" s="352">
        <f t="shared" si="81"/>
        <v>0</v>
      </c>
      <c r="CK38" s="352">
        <f t="shared" si="82"/>
        <v>0</v>
      </c>
      <c r="CL38" s="352">
        <f t="shared" si="83"/>
        <v>0</v>
      </c>
      <c r="CM38" s="352">
        <f t="shared" si="84"/>
        <v>0</v>
      </c>
      <c r="CN38" s="352">
        <f>SUM(CP38:EQ38)</f>
        <v>0</v>
      </c>
      <c r="CO38" s="67"/>
      <c r="CP38" s="7">
        <f>IF(V38&gt;V37, 1, 0)</f>
        <v>0</v>
      </c>
      <c r="CQ38" s="7">
        <f>IF(W38&gt;W37, 1, 0)</f>
        <v>0</v>
      </c>
      <c r="CR38" s="7">
        <f>IF(X38&gt;X37, 1, 0)</f>
        <v>0</v>
      </c>
      <c r="CS38" s="7">
        <f>IF(Y38&gt;Y37, 1, 0)</f>
        <v>0</v>
      </c>
      <c r="CT38" s="67"/>
      <c r="CU38" s="7">
        <f t="shared" ref="CU38:ED38" si="88">IF(AA38&gt;AA37, 1, 0)</f>
        <v>0</v>
      </c>
      <c r="CV38" s="7">
        <f t="shared" si="88"/>
        <v>0</v>
      </c>
      <c r="CW38" s="7">
        <f t="shared" si="88"/>
        <v>0</v>
      </c>
      <c r="CX38" s="7">
        <f t="shared" si="88"/>
        <v>0</v>
      </c>
      <c r="CY38" s="7">
        <f t="shared" si="88"/>
        <v>0</v>
      </c>
      <c r="CZ38" s="7">
        <f t="shared" si="88"/>
        <v>0</v>
      </c>
      <c r="DA38" s="7">
        <f t="shared" si="88"/>
        <v>0</v>
      </c>
      <c r="DB38" s="7">
        <f t="shared" si="88"/>
        <v>0</v>
      </c>
      <c r="DC38" s="7">
        <f t="shared" si="88"/>
        <v>0</v>
      </c>
      <c r="DD38" s="7">
        <f t="shared" si="88"/>
        <v>0</v>
      </c>
      <c r="DE38" s="7">
        <f t="shared" si="88"/>
        <v>0</v>
      </c>
      <c r="DF38" s="7">
        <f t="shared" si="88"/>
        <v>0</v>
      </c>
      <c r="DG38" s="7">
        <f t="shared" si="88"/>
        <v>0</v>
      </c>
      <c r="DH38" s="7">
        <f t="shared" si="88"/>
        <v>0</v>
      </c>
      <c r="DI38" s="7">
        <f t="shared" si="88"/>
        <v>0</v>
      </c>
      <c r="DJ38" s="7">
        <f t="shared" si="88"/>
        <v>0</v>
      </c>
      <c r="DK38" s="7">
        <f t="shared" si="88"/>
        <v>0</v>
      </c>
      <c r="DL38" s="7">
        <f t="shared" si="88"/>
        <v>0</v>
      </c>
      <c r="DM38" s="7">
        <f t="shared" si="88"/>
        <v>0</v>
      </c>
      <c r="DN38" s="7">
        <f t="shared" si="88"/>
        <v>0</v>
      </c>
      <c r="DO38" s="7">
        <f t="shared" si="88"/>
        <v>0</v>
      </c>
      <c r="DP38" s="7">
        <f t="shared" si="88"/>
        <v>0</v>
      </c>
      <c r="DQ38" s="7">
        <f t="shared" si="88"/>
        <v>0</v>
      </c>
      <c r="DR38" s="7">
        <f t="shared" si="88"/>
        <v>0</v>
      </c>
      <c r="DS38" s="7">
        <f t="shared" si="88"/>
        <v>0</v>
      </c>
      <c r="DT38" s="7">
        <f t="shared" si="88"/>
        <v>0</v>
      </c>
      <c r="DU38" s="7">
        <f t="shared" si="88"/>
        <v>0</v>
      </c>
      <c r="DV38" s="7">
        <f t="shared" si="88"/>
        <v>0</v>
      </c>
      <c r="DW38" s="7">
        <f t="shared" si="88"/>
        <v>0</v>
      </c>
      <c r="DX38" s="7">
        <f t="shared" si="88"/>
        <v>0</v>
      </c>
      <c r="DY38" s="7">
        <f t="shared" si="88"/>
        <v>0</v>
      </c>
      <c r="DZ38" s="7">
        <f t="shared" si="88"/>
        <v>0</v>
      </c>
      <c r="EA38" s="7">
        <f t="shared" si="88"/>
        <v>0</v>
      </c>
      <c r="EB38" s="7">
        <f t="shared" si="88"/>
        <v>0</v>
      </c>
      <c r="EC38" s="7">
        <f t="shared" si="88"/>
        <v>0</v>
      </c>
      <c r="ED38" s="7">
        <f t="shared" si="88"/>
        <v>0</v>
      </c>
      <c r="EE38" s="67"/>
      <c r="EF38" s="7">
        <f t="shared" ref="EF38:EQ38" si="89">IF(BL38&gt;BL37, 1, 0)</f>
        <v>0</v>
      </c>
      <c r="EG38" s="7">
        <f t="shared" si="89"/>
        <v>0</v>
      </c>
      <c r="EH38" s="7">
        <f t="shared" si="89"/>
        <v>0</v>
      </c>
      <c r="EI38" s="7">
        <f t="shared" si="89"/>
        <v>0</v>
      </c>
      <c r="EJ38" s="7">
        <f t="shared" si="89"/>
        <v>0</v>
      </c>
      <c r="EK38" s="7">
        <f t="shared" si="89"/>
        <v>0</v>
      </c>
      <c r="EL38" s="7">
        <f t="shared" si="89"/>
        <v>0</v>
      </c>
      <c r="EM38" s="7">
        <f t="shared" si="89"/>
        <v>0</v>
      </c>
      <c r="EN38" s="7">
        <f t="shared" si="89"/>
        <v>0</v>
      </c>
      <c r="EO38" s="7">
        <f t="shared" si="89"/>
        <v>0</v>
      </c>
      <c r="EP38" s="7">
        <f t="shared" si="89"/>
        <v>0</v>
      </c>
      <c r="EQ38" s="7">
        <f t="shared" si="89"/>
        <v>0</v>
      </c>
      <c r="ER38" s="12"/>
      <c r="ES38" s="4">
        <v>0</v>
      </c>
      <c r="ET38" s="335">
        <v>0</v>
      </c>
      <c r="EX38" s="10" t="str">
        <f t="shared" si="40"/>
        <v>Of which: subcontracted out Apprenticeship income</v>
      </c>
    </row>
    <row r="39" spans="1:154" s="11" customFormat="1" ht="6.6" customHeight="1" x14ac:dyDescent="0.25">
      <c r="A39" s="335"/>
      <c r="B39" s="335"/>
      <c r="C39" s="383"/>
      <c r="D39" s="334"/>
      <c r="E39" s="25"/>
      <c r="T39" s="25"/>
      <c r="U39" s="25"/>
      <c r="V39" s="25"/>
      <c r="W39" s="25"/>
      <c r="X39" s="25"/>
      <c r="Y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L39" s="25"/>
      <c r="BM39" s="155"/>
      <c r="BN39" s="25"/>
      <c r="BO39" s="25"/>
      <c r="BP39" s="25"/>
      <c r="BQ39" s="25"/>
      <c r="BR39" s="25"/>
      <c r="BS39" s="25"/>
      <c r="BT39" s="25"/>
      <c r="BU39" s="25"/>
      <c r="BV39" s="25"/>
      <c r="BW39" s="25"/>
      <c r="BY39" s="42"/>
      <c r="BZ39" s="162"/>
      <c r="CA39" s="42"/>
      <c r="CC39" s="335"/>
      <c r="CD39" s="335"/>
      <c r="CE39" s="335"/>
      <c r="CF39" s="42"/>
      <c r="CG39" s="352"/>
      <c r="CH39" s="352"/>
      <c r="CI39" s="352"/>
      <c r="CJ39" s="352">
        <f>$BM39-SUMIFS($AA39:$BJ39, $AA$3:$BJ$3, $BM$3)</f>
        <v>0</v>
      </c>
      <c r="CK39" s="335"/>
      <c r="CL39" s="335"/>
      <c r="CM39" s="335"/>
      <c r="CN39" s="67"/>
      <c r="ER39" s="42"/>
      <c r="ES39" s="11">
        <v>0</v>
      </c>
      <c r="ET39" s="335">
        <v>0</v>
      </c>
      <c r="EU39" s="335"/>
      <c r="EV39" s="335"/>
      <c r="EX39" s="10" t="str">
        <f t="shared" si="40"/>
        <v/>
      </c>
    </row>
    <row r="40" spans="1:154" ht="30" x14ac:dyDescent="0.25">
      <c r="A40" s="335"/>
      <c r="B40" s="5"/>
      <c r="C40" s="383"/>
      <c r="D40" s="176" t="s">
        <v>445</v>
      </c>
      <c r="E40" s="5"/>
      <c r="F40" s="335"/>
      <c r="G40" s="335"/>
      <c r="H40" s="335"/>
      <c r="I40" s="335"/>
      <c r="J40" s="335"/>
      <c r="K40" s="335"/>
      <c r="L40" s="335"/>
      <c r="M40" s="335"/>
      <c r="N40" s="335"/>
      <c r="O40" s="335"/>
      <c r="P40" s="335"/>
      <c r="Q40" s="335"/>
      <c r="R40" s="335"/>
      <c r="T40" s="25"/>
      <c r="U40" s="25"/>
      <c r="V40" s="335"/>
      <c r="W40" s="335"/>
      <c r="X40" s="335"/>
      <c r="Y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L40" s="335"/>
      <c r="BM40" s="335"/>
      <c r="BN40" s="335"/>
      <c r="BO40" s="335"/>
      <c r="BP40" s="335"/>
      <c r="BQ40" s="335"/>
      <c r="BR40" s="335"/>
      <c r="BS40" s="335"/>
      <c r="BT40" s="335"/>
      <c r="BU40" s="335"/>
      <c r="BV40" s="335"/>
      <c r="BW40" s="335"/>
      <c r="BX40" s="335"/>
      <c r="BY40" s="12"/>
      <c r="CA40" s="12"/>
      <c r="CF40" s="12"/>
      <c r="CG40" s="352"/>
      <c r="CH40" s="352"/>
      <c r="CI40" s="352"/>
      <c r="CJ40" s="352"/>
      <c r="CN40" s="67"/>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12"/>
      <c r="ES40">
        <v>0</v>
      </c>
      <c r="ET40" s="335">
        <v>0</v>
      </c>
      <c r="EX40" s="10" t="str">
        <f t="shared" si="40"/>
        <v/>
      </c>
    </row>
    <row r="41" spans="1:154" ht="15.75" x14ac:dyDescent="0.3">
      <c r="A41" s="362" cm="1">
        <f t="array" aca="1" ref="A41" ca="1">HYPERLINK(CONCATENATE("#",CELL("address",IF(SUM($CA41:$CH41)=0,A41,INDEX($CA41:$CH41,MATCH(1,$CA41:$CH41,0))))),SUM($CA41:$CH41))</f>
        <v>0</v>
      </c>
      <c r="B41" s="105" t="s">
        <v>335</v>
      </c>
      <c r="C41" s="343" t="str">
        <f>CONCATENATE("M-", 'I&amp;E Annual'!C41)</f>
        <v>M-IE-1c-1</v>
      </c>
      <c r="D41" s="137" t="s">
        <v>23</v>
      </c>
      <c r="H41" s="11" t="s">
        <v>8</v>
      </c>
      <c r="S41" s="335"/>
      <c r="T41" s="25"/>
      <c r="U41" s="25"/>
      <c r="V41" s="141"/>
      <c r="W41" s="215">
        <f t="shared" ref="W41:Y44" si="90" xml:space="preserve"> SUMIFS($AA41:$BJ41, $AA$3:$BJ$3, W$3)</f>
        <v>58</v>
      </c>
      <c r="X41" s="215">
        <f t="shared" si="90"/>
        <v>81</v>
      </c>
      <c r="Y41" s="215">
        <f t="shared" si="90"/>
        <v>81</v>
      </c>
      <c r="AA41" s="372">
        <v>8</v>
      </c>
      <c r="AB41" s="372">
        <v>5</v>
      </c>
      <c r="AC41" s="372">
        <v>5</v>
      </c>
      <c r="AD41" s="372">
        <v>4</v>
      </c>
      <c r="AE41" s="372">
        <v>3</v>
      </c>
      <c r="AF41" s="372">
        <v>4</v>
      </c>
      <c r="AG41" s="372">
        <v>3</v>
      </c>
      <c r="AH41" s="372">
        <v>3</v>
      </c>
      <c r="AI41" s="372">
        <v>7</v>
      </c>
      <c r="AJ41" s="372">
        <v>6</v>
      </c>
      <c r="AK41" s="372">
        <v>5</v>
      </c>
      <c r="AL41" s="372">
        <v>5</v>
      </c>
      <c r="AM41" s="372">
        <v>9</v>
      </c>
      <c r="AN41" s="372">
        <v>7</v>
      </c>
      <c r="AO41" s="372">
        <v>7</v>
      </c>
      <c r="AP41" s="372">
        <v>6</v>
      </c>
      <c r="AQ41" s="372">
        <v>5</v>
      </c>
      <c r="AR41" s="372">
        <v>5</v>
      </c>
      <c r="AS41" s="372">
        <v>5</v>
      </c>
      <c r="AT41" s="372">
        <v>4</v>
      </c>
      <c r="AU41" s="372">
        <v>9</v>
      </c>
      <c r="AV41" s="372">
        <v>9</v>
      </c>
      <c r="AW41" s="372">
        <v>8</v>
      </c>
      <c r="AX41" s="372">
        <v>7</v>
      </c>
      <c r="AY41" s="573">
        <v>9</v>
      </c>
      <c r="AZ41" s="573">
        <v>7</v>
      </c>
      <c r="BA41" s="573">
        <v>7</v>
      </c>
      <c r="BB41" s="573">
        <v>6</v>
      </c>
      <c r="BC41" s="573">
        <v>5</v>
      </c>
      <c r="BD41" s="573">
        <v>5</v>
      </c>
      <c r="BE41" s="573">
        <v>5</v>
      </c>
      <c r="BF41" s="573">
        <v>4</v>
      </c>
      <c r="BG41" s="573">
        <v>9</v>
      </c>
      <c r="BH41" s="573">
        <v>9</v>
      </c>
      <c r="BI41" s="573">
        <v>8</v>
      </c>
      <c r="BJ41" s="573">
        <v>7</v>
      </c>
      <c r="BL41" s="10">
        <f t="shared" ref="BL41:BO44" si="91">V41</f>
        <v>0</v>
      </c>
      <c r="BM41" s="10">
        <f t="shared" si="91"/>
        <v>58</v>
      </c>
      <c r="BN41" s="10">
        <f t="shared" si="91"/>
        <v>81</v>
      </c>
      <c r="BO41" s="10">
        <f t="shared" si="91"/>
        <v>81</v>
      </c>
      <c r="BP41" s="141"/>
      <c r="BQ41" s="141"/>
      <c r="BR41" s="141"/>
      <c r="BS41" s="141"/>
      <c r="BT41" s="141"/>
      <c r="BU41" s="141"/>
      <c r="BV41" s="141"/>
      <c r="BW41" s="141"/>
      <c r="BY41" s="12"/>
      <c r="BZ41" s="395">
        <f>IF(MIN($V41:$BW41)&lt;0, 1, 0)</f>
        <v>0</v>
      </c>
      <c r="CA41" s="12"/>
      <c r="CB41" s="335"/>
      <c r="CC41" s="7">
        <f t="shared" ref="CC41:CC50" si="92">IF(SUM($CG41:$CI41)=0, 0, 1)</f>
        <v>0</v>
      </c>
      <c r="CD41" s="7">
        <f t="shared" ref="CD41:CD50" si="93">IF(SUM($CJ41:$CL41)=0, 0, 1)</f>
        <v>0</v>
      </c>
      <c r="CE41" s="7">
        <f t="shared" ref="CE41:CE50" si="94">IF($CM41=0, 0, 1)</f>
        <v>0</v>
      </c>
      <c r="CF41" s="12"/>
      <c r="CG41" s="352">
        <f t="shared" ref="CG41:CG50" si="95">ROUND(W41-SUMIFS($AA41:$BJ41, $AA$3:$BJ$3, W$3), rounding)</f>
        <v>0</v>
      </c>
      <c r="CH41" s="352">
        <f t="shared" ref="CH41:CH50" si="96">ROUND(X41-SUMIFS($AA41:$BJ41, $AA$3:$BJ$3, X$3), rounding)</f>
        <v>0</v>
      </c>
      <c r="CI41" s="352">
        <f t="shared" ref="CI41:CI50" si="97">ROUND(Y41-SUMIFS($AA41:$BJ41, $AA$3:$BJ$3, Y$3), rounding)</f>
        <v>0</v>
      </c>
      <c r="CJ41" s="352">
        <f t="shared" ref="CJ41:CJ50" si="98">ROUND($BM41-SUMIFS($AA41:$BJ41, $AA$3:$BJ$3, $BM$3), rounding)</f>
        <v>0</v>
      </c>
      <c r="CK41" s="352">
        <f t="shared" ref="CK41:CK50" si="99">ROUND($BN41-SUMIFS($AA41:$BJ41, $AA$3:$BJ$3, $BN$3), rounding)</f>
        <v>0</v>
      </c>
      <c r="CL41" s="352">
        <f t="shared" ref="CL41:CL50" si="100">ROUND($BO41-SUMIFS($AA41:$BJ41, $AA$3:$BJ$3, $BO$3), rounding)</f>
        <v>0</v>
      </c>
      <c r="CM41" s="352">
        <f t="shared" ref="CM41:CM50" si="101">ROUND($V41-$BL41, rounding)</f>
        <v>0</v>
      </c>
      <c r="CN41" s="335"/>
      <c r="CP41" s="335"/>
      <c r="CQ41" s="335"/>
      <c r="CR41" s="335"/>
      <c r="CS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F41" s="335"/>
      <c r="EG41" s="335"/>
      <c r="EH41" s="335"/>
      <c r="EI41" s="335"/>
      <c r="EJ41" s="335"/>
      <c r="EK41" s="335"/>
      <c r="EL41" s="335"/>
      <c r="EM41" s="335"/>
      <c r="EN41" s="335"/>
      <c r="EO41" s="335"/>
      <c r="EP41" s="335"/>
      <c r="EQ41" s="335"/>
      <c r="ER41" s="12"/>
      <c r="ES41" s="4">
        <v>1</v>
      </c>
      <c r="ET41" s="335">
        <v>1</v>
      </c>
      <c r="EX41" s="10" t="str">
        <f t="shared" si="40"/>
        <v>AEB Grant - ESFA</v>
      </c>
    </row>
    <row r="42" spans="1:154" ht="15.75" x14ac:dyDescent="0.3">
      <c r="A42" s="362" cm="1">
        <f t="array" aca="1" ref="A42" ca="1">HYPERLINK(CONCATENATE("#",CELL("address",IF(SUM($CA42:$CH42)=0,A42,INDEX($CA42:$CH42,MATCH(1,$CA42:$CH42,0))))),SUM($CA42:$CH42))</f>
        <v>0</v>
      </c>
      <c r="B42" s="105" t="s">
        <v>335</v>
      </c>
      <c r="C42" s="343" t="str">
        <f>CONCATENATE("M-", 'I&amp;E Annual'!C42)</f>
        <v>M-IE-1c-2</v>
      </c>
      <c r="D42" s="137" t="s">
        <v>24</v>
      </c>
      <c r="H42" s="11" t="s">
        <v>8</v>
      </c>
      <c r="S42" s="335"/>
      <c r="T42" s="25"/>
      <c r="U42" s="25"/>
      <c r="V42" s="141"/>
      <c r="W42" s="215">
        <f t="shared" si="90"/>
        <v>0</v>
      </c>
      <c r="X42" s="215">
        <f t="shared" si="90"/>
        <v>0</v>
      </c>
      <c r="Y42" s="215">
        <f t="shared" si="90"/>
        <v>0</v>
      </c>
      <c r="AA42" s="372"/>
      <c r="AB42" s="372"/>
      <c r="AC42" s="372"/>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2"/>
      <c r="BG42" s="372"/>
      <c r="BH42" s="372"/>
      <c r="BI42" s="372"/>
      <c r="BJ42" s="372"/>
      <c r="BL42" s="10">
        <f t="shared" si="91"/>
        <v>0</v>
      </c>
      <c r="BM42" s="10">
        <f t="shared" si="91"/>
        <v>0</v>
      </c>
      <c r="BN42" s="10">
        <f t="shared" si="91"/>
        <v>0</v>
      </c>
      <c r="BO42" s="10">
        <f t="shared" si="91"/>
        <v>0</v>
      </c>
      <c r="BP42" s="141"/>
      <c r="BQ42" s="141"/>
      <c r="BR42" s="141"/>
      <c r="BS42" s="141"/>
      <c r="BT42" s="141"/>
      <c r="BU42" s="141"/>
      <c r="BV42" s="141"/>
      <c r="BW42" s="141"/>
      <c r="BY42" s="12"/>
      <c r="BZ42" s="395">
        <f>IF(MIN($V42:$BW42)&lt;0, 1, 0)</f>
        <v>0</v>
      </c>
      <c r="CA42" s="12"/>
      <c r="CC42" s="7">
        <f t="shared" si="92"/>
        <v>0</v>
      </c>
      <c r="CD42" s="7">
        <f t="shared" si="93"/>
        <v>0</v>
      </c>
      <c r="CE42" s="7">
        <f t="shared" si="94"/>
        <v>0</v>
      </c>
      <c r="CF42" s="12"/>
      <c r="CG42" s="352">
        <f t="shared" si="95"/>
        <v>0</v>
      </c>
      <c r="CH42" s="352">
        <f t="shared" si="96"/>
        <v>0</v>
      </c>
      <c r="CI42" s="352">
        <f t="shared" si="97"/>
        <v>0</v>
      </c>
      <c r="CJ42" s="352">
        <f t="shared" si="98"/>
        <v>0</v>
      </c>
      <c r="CK42" s="352">
        <f t="shared" si="99"/>
        <v>0</v>
      </c>
      <c r="CL42" s="352">
        <f t="shared" si="100"/>
        <v>0</v>
      </c>
      <c r="CM42" s="352">
        <f t="shared" si="101"/>
        <v>0</v>
      </c>
      <c r="CN42" s="67"/>
      <c r="ER42" s="12"/>
      <c r="ES42" s="4">
        <v>1</v>
      </c>
      <c r="ET42" s="335">
        <v>1</v>
      </c>
      <c r="EX42" s="10" t="str">
        <f t="shared" si="40"/>
        <v>AEB Procured - ESFA</v>
      </c>
    </row>
    <row r="43" spans="1:154" ht="15.75" x14ac:dyDescent="0.3">
      <c r="A43" s="362" cm="1">
        <f t="array" aca="1" ref="A43" ca="1">HYPERLINK(CONCATENATE("#",CELL("address",IF(SUM($CA43:$CH43)=0,A43,INDEX($CA43:$CH43,MATCH(1,$CA43:$CH43,0))))),SUM($CA43:$CH43))</f>
        <v>0</v>
      </c>
      <c r="B43" s="105" t="s">
        <v>335</v>
      </c>
      <c r="C43" s="343" t="str">
        <f>CONCATENATE("M-", 'I&amp;E Annual'!C43)</f>
        <v>M-IE-1c-3</v>
      </c>
      <c r="D43" s="137" t="s">
        <v>446</v>
      </c>
      <c r="H43" s="11" t="s">
        <v>8</v>
      </c>
      <c r="S43" s="335"/>
      <c r="T43" s="25"/>
      <c r="U43" s="25"/>
      <c r="V43" s="141"/>
      <c r="W43" s="215">
        <f t="shared" si="90"/>
        <v>1403</v>
      </c>
      <c r="X43" s="215">
        <f t="shared" si="90"/>
        <v>1416</v>
      </c>
      <c r="Y43" s="215">
        <f t="shared" si="90"/>
        <v>1486.3999999999996</v>
      </c>
      <c r="AA43" s="372">
        <v>204</v>
      </c>
      <c r="AB43" s="372">
        <v>121</v>
      </c>
      <c r="AC43" s="372">
        <v>123</v>
      </c>
      <c r="AD43" s="372">
        <v>100</v>
      </c>
      <c r="AE43" s="372">
        <v>80</v>
      </c>
      <c r="AF43" s="372">
        <v>105</v>
      </c>
      <c r="AG43" s="372">
        <v>76</v>
      </c>
      <c r="AH43" s="372">
        <v>76</v>
      </c>
      <c r="AI43" s="372">
        <v>181</v>
      </c>
      <c r="AJ43" s="372">
        <v>145</v>
      </c>
      <c r="AK43" s="372">
        <v>124</v>
      </c>
      <c r="AL43" s="372">
        <v>68</v>
      </c>
      <c r="AM43" s="571">
        <v>206</v>
      </c>
      <c r="AN43" s="571">
        <v>122</v>
      </c>
      <c r="AO43" s="571">
        <v>124</v>
      </c>
      <c r="AP43" s="571">
        <v>101</v>
      </c>
      <c r="AQ43" s="571">
        <v>81</v>
      </c>
      <c r="AR43" s="571">
        <v>106</v>
      </c>
      <c r="AS43" s="571">
        <v>77</v>
      </c>
      <c r="AT43" s="571">
        <v>77</v>
      </c>
      <c r="AU43" s="571">
        <v>182</v>
      </c>
      <c r="AV43" s="571">
        <v>146</v>
      </c>
      <c r="AW43" s="571">
        <v>125</v>
      </c>
      <c r="AX43" s="571">
        <v>69</v>
      </c>
      <c r="AY43" s="372">
        <f>AM43*1.025</f>
        <v>211.14999999999998</v>
      </c>
      <c r="AZ43" s="573">
        <f t="shared" ref="AZ43:BJ43" si="102">AN43*1.025</f>
        <v>125.04999999999998</v>
      </c>
      <c r="BA43" s="573">
        <f t="shared" si="102"/>
        <v>127.1</v>
      </c>
      <c r="BB43" s="573">
        <f t="shared" si="102"/>
        <v>103.52499999999999</v>
      </c>
      <c r="BC43" s="573">
        <f t="shared" si="102"/>
        <v>83.024999999999991</v>
      </c>
      <c r="BD43" s="573">
        <f t="shared" si="102"/>
        <v>108.64999999999999</v>
      </c>
      <c r="BE43" s="573">
        <f t="shared" si="102"/>
        <v>78.924999999999997</v>
      </c>
      <c r="BF43" s="573">
        <f t="shared" si="102"/>
        <v>78.924999999999997</v>
      </c>
      <c r="BG43" s="573">
        <f>AU43*1.025+10</f>
        <v>196.54999999999998</v>
      </c>
      <c r="BH43" s="573">
        <f>AV43*1.025+25</f>
        <v>174.64999999999998</v>
      </c>
      <c r="BI43" s="573">
        <f t="shared" si="102"/>
        <v>128.125</v>
      </c>
      <c r="BJ43" s="573">
        <f t="shared" si="102"/>
        <v>70.724999999999994</v>
      </c>
      <c r="BL43" s="10">
        <f t="shared" si="91"/>
        <v>0</v>
      </c>
      <c r="BM43" s="10">
        <f t="shared" si="91"/>
        <v>1403</v>
      </c>
      <c r="BN43" s="10">
        <f t="shared" si="91"/>
        <v>1416</v>
      </c>
      <c r="BO43" s="10">
        <f t="shared" si="91"/>
        <v>1486.3999999999996</v>
      </c>
      <c r="BP43" s="141"/>
      <c r="BQ43" s="141"/>
      <c r="BR43" s="141"/>
      <c r="BS43" s="141"/>
      <c r="BT43" s="141"/>
      <c r="BU43" s="141"/>
      <c r="BV43" s="141"/>
      <c r="BW43" s="141"/>
      <c r="BY43" s="12"/>
      <c r="BZ43" s="395">
        <f>IF(MIN($V43:$BW43)&lt;0, 1, 0)</f>
        <v>0</v>
      </c>
      <c r="CA43" s="12"/>
      <c r="CC43" s="7">
        <f t="shared" si="92"/>
        <v>0</v>
      </c>
      <c r="CD43" s="7">
        <f t="shared" si="93"/>
        <v>0</v>
      </c>
      <c r="CE43" s="7">
        <f t="shared" si="94"/>
        <v>0</v>
      </c>
      <c r="CF43" s="12"/>
      <c r="CG43" s="352">
        <f t="shared" si="95"/>
        <v>0</v>
      </c>
      <c r="CH43" s="352">
        <f t="shared" si="96"/>
        <v>0</v>
      </c>
      <c r="CI43" s="352">
        <f t="shared" si="97"/>
        <v>0</v>
      </c>
      <c r="CJ43" s="352">
        <f t="shared" si="98"/>
        <v>0</v>
      </c>
      <c r="CK43" s="352">
        <f t="shared" si="99"/>
        <v>0</v>
      </c>
      <c r="CL43" s="352">
        <f t="shared" si="100"/>
        <v>0</v>
      </c>
      <c r="CM43" s="352">
        <f t="shared" si="101"/>
        <v>0</v>
      </c>
      <c r="CN43" s="67"/>
      <c r="ER43" s="12"/>
      <c r="ES43" s="4">
        <v>1</v>
      </c>
      <c r="ET43" s="335">
        <v>1</v>
      </c>
      <c r="EX43" s="10" t="str">
        <f t="shared" si="40"/>
        <v>AEB Funding - Devolved Authorities</v>
      </c>
    </row>
    <row r="44" spans="1:154" x14ac:dyDescent="0.25">
      <c r="A44" s="362" cm="1">
        <f t="array" aca="1" ref="A44" ca="1">HYPERLINK(CONCATENATE("#",CELL("address",IF(SUM($CA44:$CH44)=0,A44,INDEX($CA44:$CH44,MATCH(1,$CA44:$CH44,0))))),SUM($CA44:$CH44))</f>
        <v>0</v>
      </c>
      <c r="B44" s="93"/>
      <c r="C44" s="343" t="str">
        <f>CONCATENATE("M-", 'I&amp;E Annual'!C44)</f>
        <v>M-IE-1c-4</v>
      </c>
      <c r="D44" s="137" t="s">
        <v>25</v>
      </c>
      <c r="H44" s="11" t="s">
        <v>8</v>
      </c>
      <c r="S44" s="335"/>
      <c r="T44" s="25"/>
      <c r="U44" s="25"/>
      <c r="V44" s="141"/>
      <c r="W44" s="215">
        <f t="shared" si="90"/>
        <v>0</v>
      </c>
      <c r="X44" s="215">
        <f t="shared" si="90"/>
        <v>0</v>
      </c>
      <c r="Y44" s="215">
        <f t="shared" si="90"/>
        <v>0</v>
      </c>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2"/>
      <c r="BG44" s="372"/>
      <c r="BH44" s="372"/>
      <c r="BI44" s="372"/>
      <c r="BJ44" s="372"/>
      <c r="BL44" s="10">
        <f t="shared" si="91"/>
        <v>0</v>
      </c>
      <c r="BM44" s="10">
        <f t="shared" si="91"/>
        <v>0</v>
      </c>
      <c r="BN44" s="10">
        <f t="shared" si="91"/>
        <v>0</v>
      </c>
      <c r="BO44" s="10">
        <f t="shared" si="91"/>
        <v>0</v>
      </c>
      <c r="BP44" s="141"/>
      <c r="BQ44" s="141"/>
      <c r="BR44" s="141"/>
      <c r="BS44" s="141"/>
      <c r="BT44" s="141"/>
      <c r="BU44" s="141"/>
      <c r="BV44" s="141"/>
      <c r="BW44" s="141"/>
      <c r="BY44" s="12"/>
      <c r="BZ44" s="395">
        <f>IF(MIN($V44:$BW44)&lt;0, 1, 0)</f>
        <v>0</v>
      </c>
      <c r="CA44" s="12"/>
      <c r="CC44" s="7">
        <f t="shared" si="92"/>
        <v>0</v>
      </c>
      <c r="CD44" s="7">
        <f t="shared" si="93"/>
        <v>0</v>
      </c>
      <c r="CE44" s="7">
        <f t="shared" si="94"/>
        <v>0</v>
      </c>
      <c r="CF44" s="12"/>
      <c r="CG44" s="352">
        <f t="shared" si="95"/>
        <v>0</v>
      </c>
      <c r="CH44" s="352">
        <f t="shared" si="96"/>
        <v>0</v>
      </c>
      <c r="CI44" s="352">
        <f t="shared" si="97"/>
        <v>0</v>
      </c>
      <c r="CJ44" s="352">
        <f t="shared" si="98"/>
        <v>0</v>
      </c>
      <c r="CK44" s="352">
        <f t="shared" si="99"/>
        <v>0</v>
      </c>
      <c r="CL44" s="352">
        <f t="shared" si="100"/>
        <v>0</v>
      </c>
      <c r="CM44" s="352">
        <f t="shared" si="101"/>
        <v>0</v>
      </c>
      <c r="CN44" s="67"/>
      <c r="ER44" s="12"/>
      <c r="ES44" s="4">
        <v>1</v>
      </c>
      <c r="ET44" s="335">
        <v>1</v>
      </c>
      <c r="EX44" s="10" t="str">
        <f t="shared" si="40"/>
        <v>Advanced Learner Loans income (excl. bursary)</v>
      </c>
    </row>
    <row r="45" spans="1:154" s="67" customFormat="1" hidden="1" x14ac:dyDescent="0.25">
      <c r="A45" s="362" cm="1">
        <f t="array" aca="1" ref="A45" ca="1">HYPERLINK(CONCATENATE("#",CELL("address",IF(SUM($CA45:$CH45)=0,A45,INDEX($CA45:$CH45,MATCH(1,$CA45:$CH45,0))))),SUM($CA45:$CH45))</f>
        <v>0</v>
      </c>
      <c r="B45" s="93"/>
      <c r="C45" s="383"/>
      <c r="D45" s="137" t="s">
        <v>2316</v>
      </c>
      <c r="G45" s="8"/>
      <c r="S45" s="93"/>
      <c r="T45" s="25"/>
      <c r="U45" s="25"/>
      <c r="V45" s="136"/>
      <c r="W45" s="136"/>
      <c r="X45" s="136"/>
      <c r="Y45" s="136"/>
      <c r="Z45" s="93"/>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93"/>
      <c r="BL45" s="136"/>
      <c r="BM45" s="136"/>
      <c r="BN45" s="136"/>
      <c r="BO45" s="136"/>
      <c r="BP45" s="136"/>
      <c r="BQ45" s="136"/>
      <c r="BR45" s="136"/>
      <c r="BS45" s="136"/>
      <c r="BT45" s="136"/>
      <c r="BU45" s="136"/>
      <c r="BV45" s="136"/>
      <c r="BW45" s="136"/>
      <c r="BY45" s="12"/>
      <c r="BZ45" s="395">
        <f t="shared" ref="BZ45:BZ47" si="103">IF(MIN($V45:$BW45)&lt;0, 1, 0)</f>
        <v>0</v>
      </c>
      <c r="CA45" s="12"/>
      <c r="CC45" s="7">
        <f t="shared" si="92"/>
        <v>0</v>
      </c>
      <c r="CD45" s="7">
        <f t="shared" si="93"/>
        <v>0</v>
      </c>
      <c r="CE45" s="7">
        <f t="shared" si="94"/>
        <v>0</v>
      </c>
      <c r="CF45" s="12"/>
      <c r="CG45" s="352">
        <f t="shared" si="95"/>
        <v>0</v>
      </c>
      <c r="CH45" s="352">
        <f t="shared" si="96"/>
        <v>0</v>
      </c>
      <c r="CI45" s="352">
        <f t="shared" si="97"/>
        <v>0</v>
      </c>
      <c r="CJ45" s="352">
        <f t="shared" si="98"/>
        <v>0</v>
      </c>
      <c r="CK45" s="352">
        <f t="shared" si="99"/>
        <v>0</v>
      </c>
      <c r="CL45" s="352">
        <f t="shared" si="100"/>
        <v>0</v>
      </c>
      <c r="CM45" s="352">
        <f t="shared" si="101"/>
        <v>0</v>
      </c>
      <c r="ER45" s="12"/>
      <c r="ES45" s="67">
        <v>1</v>
      </c>
      <c r="ET45" s="335">
        <v>1</v>
      </c>
      <c r="EU45" s="335"/>
      <c r="EV45" s="335"/>
      <c r="EX45" s="10" t="str">
        <f t="shared" si="40"/>
        <v/>
      </c>
    </row>
    <row r="46" spans="1:154" s="67" customFormat="1" hidden="1" x14ac:dyDescent="0.25">
      <c r="A46" s="362" cm="1">
        <f t="array" aca="1" ref="A46" ca="1">HYPERLINK(CONCATENATE("#",CELL("address",IF(SUM($CA46:$CH46)=0,A46,INDEX($CA46:$CH46,MATCH(1,$CA46:$CH46,0))))),SUM($CA46:$CH46))</f>
        <v>0</v>
      </c>
      <c r="B46" s="93"/>
      <c r="C46" s="383"/>
      <c r="D46" s="137" t="s">
        <v>2316</v>
      </c>
      <c r="G46" s="8"/>
      <c r="S46" s="93"/>
      <c r="T46" s="25"/>
      <c r="U46" s="25"/>
      <c r="V46" s="136"/>
      <c r="W46" s="136"/>
      <c r="X46" s="136"/>
      <c r="Y46" s="136"/>
      <c r="Z46" s="93"/>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93"/>
      <c r="BL46" s="136"/>
      <c r="BM46" s="136"/>
      <c r="BN46" s="136"/>
      <c r="BO46" s="136"/>
      <c r="BP46" s="136"/>
      <c r="BQ46" s="136"/>
      <c r="BR46" s="136"/>
      <c r="BS46" s="136"/>
      <c r="BT46" s="136"/>
      <c r="BU46" s="136"/>
      <c r="BV46" s="136"/>
      <c r="BW46" s="136"/>
      <c r="BY46" s="12"/>
      <c r="BZ46" s="395">
        <f t="shared" si="103"/>
        <v>0</v>
      </c>
      <c r="CA46" s="12"/>
      <c r="CC46" s="7">
        <f t="shared" si="92"/>
        <v>0</v>
      </c>
      <c r="CD46" s="7">
        <f t="shared" si="93"/>
        <v>0</v>
      </c>
      <c r="CE46" s="7">
        <f t="shared" si="94"/>
        <v>0</v>
      </c>
      <c r="CF46" s="12"/>
      <c r="CG46" s="352">
        <f t="shared" si="95"/>
        <v>0</v>
      </c>
      <c r="CH46" s="352">
        <f t="shared" si="96"/>
        <v>0</v>
      </c>
      <c r="CI46" s="352">
        <f t="shared" si="97"/>
        <v>0</v>
      </c>
      <c r="CJ46" s="352">
        <f t="shared" si="98"/>
        <v>0</v>
      </c>
      <c r="CK46" s="352">
        <f t="shared" si="99"/>
        <v>0</v>
      </c>
      <c r="CL46" s="352">
        <f t="shared" si="100"/>
        <v>0</v>
      </c>
      <c r="CM46" s="352">
        <f t="shared" si="101"/>
        <v>0</v>
      </c>
      <c r="ER46" s="12"/>
      <c r="ES46" s="67">
        <v>1</v>
      </c>
      <c r="ET46" s="335">
        <v>1</v>
      </c>
      <c r="EU46" s="335"/>
      <c r="EV46" s="335"/>
      <c r="EX46" s="10" t="str">
        <f t="shared" si="40"/>
        <v/>
      </c>
    </row>
    <row r="47" spans="1:154" s="67" customFormat="1" hidden="1" x14ac:dyDescent="0.25">
      <c r="A47" s="362" cm="1">
        <f t="array" aca="1" ref="A47" ca="1">HYPERLINK(CONCATENATE("#",CELL("address",IF(SUM($CA47:$CH47)=0,A47,INDEX($CA47:$CH47,MATCH(1,$CA47:$CH47,0))))),SUM($CA47:$CH47))</f>
        <v>0</v>
      </c>
      <c r="B47" s="93"/>
      <c r="C47" s="383"/>
      <c r="D47" s="137" t="s">
        <v>2316</v>
      </c>
      <c r="G47" s="8"/>
      <c r="S47" s="93"/>
      <c r="T47" s="25"/>
      <c r="U47" s="25"/>
      <c r="V47" s="136"/>
      <c r="W47" s="136"/>
      <c r="X47" s="136"/>
      <c r="Y47" s="136"/>
      <c r="Z47" s="93"/>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93"/>
      <c r="BL47" s="136"/>
      <c r="BM47" s="136"/>
      <c r="BN47" s="136"/>
      <c r="BO47" s="136"/>
      <c r="BP47" s="136"/>
      <c r="BQ47" s="136"/>
      <c r="BR47" s="136"/>
      <c r="BS47" s="136"/>
      <c r="BT47" s="136"/>
      <c r="BU47" s="136"/>
      <c r="BV47" s="136"/>
      <c r="BW47" s="136"/>
      <c r="BY47" s="12"/>
      <c r="BZ47" s="395">
        <f t="shared" si="103"/>
        <v>0</v>
      </c>
      <c r="CA47" s="12"/>
      <c r="CC47" s="7">
        <f t="shared" si="92"/>
        <v>0</v>
      </c>
      <c r="CD47" s="7">
        <f t="shared" si="93"/>
        <v>0</v>
      </c>
      <c r="CE47" s="7">
        <f t="shared" si="94"/>
        <v>0</v>
      </c>
      <c r="CF47" s="12"/>
      <c r="CG47" s="352">
        <f t="shared" si="95"/>
        <v>0</v>
      </c>
      <c r="CH47" s="352">
        <f t="shared" si="96"/>
        <v>0</v>
      </c>
      <c r="CI47" s="352">
        <f t="shared" si="97"/>
        <v>0</v>
      </c>
      <c r="CJ47" s="352">
        <f t="shared" si="98"/>
        <v>0</v>
      </c>
      <c r="CK47" s="352">
        <f t="shared" si="99"/>
        <v>0</v>
      </c>
      <c r="CL47" s="352">
        <f t="shared" si="100"/>
        <v>0</v>
      </c>
      <c r="CM47" s="352">
        <f t="shared" si="101"/>
        <v>0</v>
      </c>
      <c r="ER47" s="12"/>
      <c r="ES47" s="67">
        <v>1</v>
      </c>
      <c r="ET47" s="335">
        <v>1</v>
      </c>
      <c r="EU47" s="335"/>
      <c r="EV47" s="335"/>
      <c r="EX47" s="10" t="str">
        <f t="shared" si="40"/>
        <v/>
      </c>
    </row>
    <row r="48" spans="1:154" ht="30" x14ac:dyDescent="0.25">
      <c r="A48" s="362" cm="1">
        <f t="array" aca="1" ref="A48" ca="1">HYPERLINK(CONCATENATE("#",CELL("address",IF(SUM($CA48:$CH48)=0,A48,INDEX($CA48:$CH48,MATCH(1,$CA48:$CH48,0))))),SUM($CA48:$CH48))</f>
        <v>0</v>
      </c>
      <c r="B48" s="93"/>
      <c r="C48" s="343" t="str">
        <f>CONCATENATE("M-", 'I&amp;E Annual'!C48)</f>
        <v>M-IE-1c-SI</v>
      </c>
      <c r="D48" s="137" t="s">
        <v>26</v>
      </c>
      <c r="G48" s="335"/>
      <c r="H48" s="11" t="s">
        <v>8</v>
      </c>
      <c r="S48" s="335"/>
      <c r="T48" s="25"/>
      <c r="U48" s="25"/>
      <c r="V48" s="156"/>
      <c r="W48" s="215">
        <f xml:space="preserve"> SUMIFS($AA48:$BJ48, $AA$3:$BJ$3, W$3)</f>
        <v>0</v>
      </c>
      <c r="X48" s="215">
        <f xml:space="preserve"> SUMIFS($AA48:$BJ48, $AA$3:$BJ$3, X$3)</f>
        <v>0</v>
      </c>
      <c r="Y48" s="215">
        <f xml:space="preserve"> SUMIFS($AA48:$BJ48, $AA$3:$BJ$3, Y$3)</f>
        <v>0</v>
      </c>
      <c r="Z48" s="335"/>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335"/>
      <c r="BL48" s="153">
        <f>V48</f>
        <v>0</v>
      </c>
      <c r="BM48" s="153">
        <f>W48</f>
        <v>0</v>
      </c>
      <c r="BN48" s="153">
        <f>X48</f>
        <v>0</v>
      </c>
      <c r="BO48" s="153">
        <f>Y48</f>
        <v>0</v>
      </c>
      <c r="BP48" s="156"/>
      <c r="BQ48" s="156"/>
      <c r="BR48" s="156"/>
      <c r="BS48" s="156"/>
      <c r="BT48" s="156"/>
      <c r="BU48" s="156"/>
      <c r="BV48" s="156"/>
      <c r="BW48" s="156"/>
      <c r="BY48" s="12"/>
      <c r="BZ48" s="395">
        <f>IF(MIN($V48:$BW48)&lt;0, 1, 0)</f>
        <v>0</v>
      </c>
      <c r="CA48" s="12"/>
      <c r="CC48" s="7">
        <f t="shared" si="92"/>
        <v>0</v>
      </c>
      <c r="CD48" s="7">
        <f t="shared" si="93"/>
        <v>0</v>
      </c>
      <c r="CE48" s="7">
        <f t="shared" si="94"/>
        <v>0</v>
      </c>
      <c r="CF48" s="12"/>
      <c r="CG48" s="352">
        <f t="shared" si="95"/>
        <v>0</v>
      </c>
      <c r="CH48" s="352">
        <f t="shared" si="96"/>
        <v>0</v>
      </c>
      <c r="CI48" s="352">
        <f t="shared" si="97"/>
        <v>0</v>
      </c>
      <c r="CJ48" s="352">
        <f t="shared" si="98"/>
        <v>0</v>
      </c>
      <c r="CK48" s="352">
        <f t="shared" si="99"/>
        <v>0</v>
      </c>
      <c r="CL48" s="352">
        <f t="shared" si="100"/>
        <v>0</v>
      </c>
      <c r="CM48" s="352">
        <f t="shared" si="101"/>
        <v>0</v>
      </c>
      <c r="CN48" s="67"/>
      <c r="ER48" s="12"/>
      <c r="ES48" s="4">
        <v>1</v>
      </c>
      <c r="ET48" s="335">
        <v>1</v>
      </c>
      <c r="EX48" s="10" t="str">
        <f t="shared" si="40"/>
        <v>Subcontracted in - Adult Education and Training Income</v>
      </c>
    </row>
    <row r="49" spans="1:154" s="5" customFormat="1" ht="30" x14ac:dyDescent="0.25">
      <c r="A49" s="362" cm="1">
        <f t="array" aca="1" ref="A49" ca="1">HYPERLINK(CONCATENATE("#",CELL("address",IF(SUM($CA49:$CH49)=0,A49,INDEX($CA49:$CH49,MATCH(1,$CA49:$CH49,0))))),SUM($CA49:$CH49))</f>
        <v>0</v>
      </c>
      <c r="B49" s="189"/>
      <c r="C49" s="343" t="str">
        <f>CONCATENATE("M-", 'I&amp;E Annual'!C49)</f>
        <v>M-IE-1c</v>
      </c>
      <c r="D49" s="176" t="s">
        <v>447</v>
      </c>
      <c r="S49" s="335"/>
      <c r="T49" s="25"/>
      <c r="U49" s="25"/>
      <c r="V49" s="152">
        <f>SUM(V41:V48)</f>
        <v>0</v>
      </c>
      <c r="W49" s="152">
        <f>SUM(W41:W48)</f>
        <v>1461</v>
      </c>
      <c r="X49" s="152">
        <f>SUM(X41:X48)</f>
        <v>1497</v>
      </c>
      <c r="Y49" s="152">
        <f>SUM(Y41:Y48)</f>
        <v>1567.3999999999996</v>
      </c>
      <c r="Z49" s="335"/>
      <c r="AA49" s="152">
        <f t="shared" ref="AA49:BJ49" si="104">SUM(AA41:AA48)</f>
        <v>212</v>
      </c>
      <c r="AB49" s="152">
        <f t="shared" si="104"/>
        <v>126</v>
      </c>
      <c r="AC49" s="152">
        <f t="shared" si="104"/>
        <v>128</v>
      </c>
      <c r="AD49" s="152">
        <f t="shared" si="104"/>
        <v>104</v>
      </c>
      <c r="AE49" s="152">
        <f t="shared" si="104"/>
        <v>83</v>
      </c>
      <c r="AF49" s="152">
        <f t="shared" si="104"/>
        <v>109</v>
      </c>
      <c r="AG49" s="152">
        <f t="shared" si="104"/>
        <v>79</v>
      </c>
      <c r="AH49" s="152">
        <f t="shared" si="104"/>
        <v>79</v>
      </c>
      <c r="AI49" s="152">
        <f t="shared" si="104"/>
        <v>188</v>
      </c>
      <c r="AJ49" s="152">
        <f t="shared" si="104"/>
        <v>151</v>
      </c>
      <c r="AK49" s="152">
        <f t="shared" si="104"/>
        <v>129</v>
      </c>
      <c r="AL49" s="152">
        <f t="shared" si="104"/>
        <v>73</v>
      </c>
      <c r="AM49" s="152">
        <f t="shared" si="104"/>
        <v>215</v>
      </c>
      <c r="AN49" s="152">
        <f t="shared" si="104"/>
        <v>129</v>
      </c>
      <c r="AO49" s="152">
        <f t="shared" si="104"/>
        <v>131</v>
      </c>
      <c r="AP49" s="152">
        <f t="shared" si="104"/>
        <v>107</v>
      </c>
      <c r="AQ49" s="152">
        <f t="shared" si="104"/>
        <v>86</v>
      </c>
      <c r="AR49" s="152">
        <f t="shared" si="104"/>
        <v>111</v>
      </c>
      <c r="AS49" s="152">
        <f t="shared" si="104"/>
        <v>82</v>
      </c>
      <c r="AT49" s="152">
        <f t="shared" si="104"/>
        <v>81</v>
      </c>
      <c r="AU49" s="152">
        <f t="shared" si="104"/>
        <v>191</v>
      </c>
      <c r="AV49" s="152">
        <f t="shared" si="104"/>
        <v>155</v>
      </c>
      <c r="AW49" s="152">
        <f t="shared" si="104"/>
        <v>133</v>
      </c>
      <c r="AX49" s="152">
        <f t="shared" si="104"/>
        <v>76</v>
      </c>
      <c r="AY49" s="152">
        <f t="shared" si="104"/>
        <v>220.14999999999998</v>
      </c>
      <c r="AZ49" s="152">
        <f t="shared" si="104"/>
        <v>132.04999999999998</v>
      </c>
      <c r="BA49" s="152">
        <f t="shared" si="104"/>
        <v>134.1</v>
      </c>
      <c r="BB49" s="152">
        <f t="shared" si="104"/>
        <v>109.52499999999999</v>
      </c>
      <c r="BC49" s="152">
        <f t="shared" si="104"/>
        <v>88.024999999999991</v>
      </c>
      <c r="BD49" s="152">
        <f t="shared" si="104"/>
        <v>113.64999999999999</v>
      </c>
      <c r="BE49" s="152">
        <f t="shared" si="104"/>
        <v>83.924999999999997</v>
      </c>
      <c r="BF49" s="152">
        <f t="shared" si="104"/>
        <v>82.924999999999997</v>
      </c>
      <c r="BG49" s="152">
        <f t="shared" si="104"/>
        <v>205.54999999999998</v>
      </c>
      <c r="BH49" s="152">
        <f t="shared" si="104"/>
        <v>183.64999999999998</v>
      </c>
      <c r="BI49" s="152">
        <f t="shared" si="104"/>
        <v>136.125</v>
      </c>
      <c r="BJ49" s="152">
        <f t="shared" si="104"/>
        <v>77.724999999999994</v>
      </c>
      <c r="BK49" s="335"/>
      <c r="BL49" s="152">
        <f t="shared" ref="BL49:BW49" si="105">SUM(BL41:BL48)</f>
        <v>0</v>
      </c>
      <c r="BM49" s="152">
        <f t="shared" si="105"/>
        <v>1461</v>
      </c>
      <c r="BN49" s="152">
        <f t="shared" si="105"/>
        <v>1497</v>
      </c>
      <c r="BO49" s="152">
        <f t="shared" si="105"/>
        <v>1567.3999999999996</v>
      </c>
      <c r="BP49" s="152">
        <f t="shared" si="105"/>
        <v>0</v>
      </c>
      <c r="BQ49" s="152">
        <f t="shared" si="105"/>
        <v>0</v>
      </c>
      <c r="BR49" s="152">
        <f t="shared" si="105"/>
        <v>0</v>
      </c>
      <c r="BS49" s="152">
        <f t="shared" si="105"/>
        <v>0</v>
      </c>
      <c r="BT49" s="152">
        <f t="shared" si="105"/>
        <v>0</v>
      </c>
      <c r="BU49" s="152">
        <f t="shared" si="105"/>
        <v>0</v>
      </c>
      <c r="BV49" s="152">
        <f t="shared" si="105"/>
        <v>0</v>
      </c>
      <c r="BW49" s="152">
        <f t="shared" si="105"/>
        <v>0</v>
      </c>
      <c r="BY49" s="12"/>
      <c r="BZ49" s="395">
        <f>IF(MIN($V49:$BW49)&lt;0, 1, 0)</f>
        <v>0</v>
      </c>
      <c r="CA49" s="12"/>
      <c r="CB49" s="11"/>
      <c r="CC49" s="7">
        <f t="shared" si="92"/>
        <v>0</v>
      </c>
      <c r="CD49" s="7">
        <f t="shared" si="93"/>
        <v>0</v>
      </c>
      <c r="CE49" s="7">
        <f t="shared" si="94"/>
        <v>0</v>
      </c>
      <c r="CF49" s="12"/>
      <c r="CG49" s="352">
        <f t="shared" si="95"/>
        <v>0</v>
      </c>
      <c r="CH49" s="352">
        <f t="shared" si="96"/>
        <v>0</v>
      </c>
      <c r="CI49" s="352">
        <f t="shared" si="97"/>
        <v>0</v>
      </c>
      <c r="CJ49" s="352">
        <f t="shared" si="98"/>
        <v>0</v>
      </c>
      <c r="CK49" s="352">
        <f t="shared" si="99"/>
        <v>0</v>
      </c>
      <c r="CL49" s="352">
        <f t="shared" si="100"/>
        <v>0</v>
      </c>
      <c r="CM49" s="352">
        <f t="shared" si="101"/>
        <v>0</v>
      </c>
      <c r="CN49" s="67"/>
      <c r="ER49" s="12"/>
      <c r="ES49" s="5">
        <v>0</v>
      </c>
      <c r="ET49" s="5">
        <v>0</v>
      </c>
      <c r="EX49" s="10" t="str">
        <f t="shared" si="40"/>
        <v>Total Adult Education and Training Income (Excluding clawbacks)</v>
      </c>
    </row>
    <row r="50" spans="1:154" ht="30" x14ac:dyDescent="0.25">
      <c r="A50" s="362" cm="1">
        <f t="array" aca="1" ref="A50" ca="1">HYPERLINK(CONCATENATE("#",CELL("address",IF(SUM($CA50:$CH50)=0,A50,INDEX($CA50:$CH50,MATCH(1,$CA50:$CH50,0))))),SUM($CA50:$CH50))</f>
        <v>0</v>
      </c>
      <c r="B50" s="93"/>
      <c r="C50" s="343" t="str">
        <f>CONCATENATE("M-", 'I&amp;E Annual'!C50)</f>
        <v>M-IE-1c-SO</v>
      </c>
      <c r="D50" s="137" t="s">
        <v>2506</v>
      </c>
      <c r="H50" s="11" t="s">
        <v>8</v>
      </c>
      <c r="S50" s="335"/>
      <c r="T50" s="25"/>
      <c r="U50" s="25"/>
      <c r="V50" s="141"/>
      <c r="W50" s="215">
        <f xml:space="preserve"> SUMIFS($AA50:$BJ50, $AA$3:$BJ$3, W$3)</f>
        <v>0</v>
      </c>
      <c r="X50" s="215">
        <f xml:space="preserve"> SUMIFS($AA50:$BJ50, $AA$3:$BJ$3, X$3)</f>
        <v>0</v>
      </c>
      <c r="Y50" s="215">
        <f xml:space="preserve"> SUMIFS($AA50:$BJ50, $AA$3:$BJ$3, Y$3)</f>
        <v>0</v>
      </c>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L50" s="10">
        <f>V50</f>
        <v>0</v>
      </c>
      <c r="BM50" s="10">
        <f>W50</f>
        <v>0</v>
      </c>
      <c r="BN50" s="10">
        <f>X50</f>
        <v>0</v>
      </c>
      <c r="BO50" s="10">
        <f>Y50</f>
        <v>0</v>
      </c>
      <c r="BP50" s="141"/>
      <c r="BQ50" s="141"/>
      <c r="BR50" s="141"/>
      <c r="BS50" s="141"/>
      <c r="BT50" s="141"/>
      <c r="BU50" s="141"/>
      <c r="BV50" s="141"/>
      <c r="BW50" s="141"/>
      <c r="BY50" s="12"/>
      <c r="BZ50" s="395">
        <f>IF(MIN($V50:$BW50)&lt;0, 1, 0)</f>
        <v>0</v>
      </c>
      <c r="CA50" s="12"/>
      <c r="CB50" s="7">
        <f>IF(CN50=0, 0, 1)</f>
        <v>0</v>
      </c>
      <c r="CC50" s="7">
        <f t="shared" si="92"/>
        <v>0</v>
      </c>
      <c r="CD50" s="7">
        <f t="shared" si="93"/>
        <v>0</v>
      </c>
      <c r="CE50" s="7">
        <f t="shared" si="94"/>
        <v>0</v>
      </c>
      <c r="CF50" s="12"/>
      <c r="CG50" s="352">
        <f t="shared" si="95"/>
        <v>0</v>
      </c>
      <c r="CH50" s="352">
        <f t="shared" si="96"/>
        <v>0</v>
      </c>
      <c r="CI50" s="352">
        <f t="shared" si="97"/>
        <v>0</v>
      </c>
      <c r="CJ50" s="352">
        <f t="shared" si="98"/>
        <v>0</v>
      </c>
      <c r="CK50" s="352">
        <f t="shared" si="99"/>
        <v>0</v>
      </c>
      <c r="CL50" s="352">
        <f t="shared" si="100"/>
        <v>0</v>
      </c>
      <c r="CM50" s="352">
        <f t="shared" si="101"/>
        <v>0</v>
      </c>
      <c r="CN50" s="352">
        <f>SUM(CP50:EQ50)</f>
        <v>0</v>
      </c>
      <c r="CO50" s="67"/>
      <c r="CP50" s="7">
        <f>IF(V50&gt;V49, 1, 0)</f>
        <v>0</v>
      </c>
      <c r="CQ50" s="7">
        <f>IF(W50&gt;W49, 1, 0)</f>
        <v>0</v>
      </c>
      <c r="CR50" s="7">
        <f>IF(X50&gt;X49, 1, 0)</f>
        <v>0</v>
      </c>
      <c r="CS50" s="7">
        <f>IF(Y50&gt;Y49, 1, 0)</f>
        <v>0</v>
      </c>
      <c r="CT50" s="67"/>
      <c r="CU50" s="7">
        <f t="shared" ref="CU50:ED50" si="106">IF(AA50&gt;AA49, 1, 0)</f>
        <v>0</v>
      </c>
      <c r="CV50" s="7">
        <f t="shared" si="106"/>
        <v>0</v>
      </c>
      <c r="CW50" s="7">
        <f t="shared" si="106"/>
        <v>0</v>
      </c>
      <c r="CX50" s="7">
        <f t="shared" si="106"/>
        <v>0</v>
      </c>
      <c r="CY50" s="7">
        <f t="shared" si="106"/>
        <v>0</v>
      </c>
      <c r="CZ50" s="7">
        <f t="shared" si="106"/>
        <v>0</v>
      </c>
      <c r="DA50" s="7">
        <f t="shared" si="106"/>
        <v>0</v>
      </c>
      <c r="DB50" s="7">
        <f t="shared" si="106"/>
        <v>0</v>
      </c>
      <c r="DC50" s="7">
        <f t="shared" si="106"/>
        <v>0</v>
      </c>
      <c r="DD50" s="7">
        <f t="shared" si="106"/>
        <v>0</v>
      </c>
      <c r="DE50" s="7">
        <f t="shared" si="106"/>
        <v>0</v>
      </c>
      <c r="DF50" s="7">
        <f t="shared" si="106"/>
        <v>0</v>
      </c>
      <c r="DG50" s="7">
        <f t="shared" si="106"/>
        <v>0</v>
      </c>
      <c r="DH50" s="7">
        <f t="shared" si="106"/>
        <v>0</v>
      </c>
      <c r="DI50" s="7">
        <f t="shared" si="106"/>
        <v>0</v>
      </c>
      <c r="DJ50" s="7">
        <f t="shared" si="106"/>
        <v>0</v>
      </c>
      <c r="DK50" s="7">
        <f t="shared" si="106"/>
        <v>0</v>
      </c>
      <c r="DL50" s="7">
        <f t="shared" si="106"/>
        <v>0</v>
      </c>
      <c r="DM50" s="7">
        <f t="shared" si="106"/>
        <v>0</v>
      </c>
      <c r="DN50" s="7">
        <f t="shared" si="106"/>
        <v>0</v>
      </c>
      <c r="DO50" s="7">
        <f t="shared" si="106"/>
        <v>0</v>
      </c>
      <c r="DP50" s="7">
        <f t="shared" si="106"/>
        <v>0</v>
      </c>
      <c r="DQ50" s="7">
        <f t="shared" si="106"/>
        <v>0</v>
      </c>
      <c r="DR50" s="7">
        <f t="shared" si="106"/>
        <v>0</v>
      </c>
      <c r="DS50" s="7">
        <f t="shared" si="106"/>
        <v>0</v>
      </c>
      <c r="DT50" s="7">
        <f t="shared" si="106"/>
        <v>0</v>
      </c>
      <c r="DU50" s="7">
        <f t="shared" si="106"/>
        <v>0</v>
      </c>
      <c r="DV50" s="7">
        <f t="shared" si="106"/>
        <v>0</v>
      </c>
      <c r="DW50" s="7">
        <f t="shared" si="106"/>
        <v>0</v>
      </c>
      <c r="DX50" s="7">
        <f t="shared" si="106"/>
        <v>0</v>
      </c>
      <c r="DY50" s="7">
        <f t="shared" si="106"/>
        <v>0</v>
      </c>
      <c r="DZ50" s="7">
        <f t="shared" si="106"/>
        <v>0</v>
      </c>
      <c r="EA50" s="7">
        <f t="shared" si="106"/>
        <v>0</v>
      </c>
      <c r="EB50" s="7">
        <f t="shared" si="106"/>
        <v>0</v>
      </c>
      <c r="EC50" s="7">
        <f t="shared" si="106"/>
        <v>0</v>
      </c>
      <c r="ED50" s="7">
        <f t="shared" si="106"/>
        <v>0</v>
      </c>
      <c r="EE50" s="67"/>
      <c r="EF50" s="7">
        <f t="shared" ref="EF50:EQ50" si="107">IF(BL50&gt;BL49, 1, 0)</f>
        <v>0</v>
      </c>
      <c r="EG50" s="7">
        <f t="shared" si="107"/>
        <v>0</v>
      </c>
      <c r="EH50" s="7">
        <f t="shared" si="107"/>
        <v>0</v>
      </c>
      <c r="EI50" s="7">
        <f t="shared" si="107"/>
        <v>0</v>
      </c>
      <c r="EJ50" s="7">
        <f t="shared" si="107"/>
        <v>0</v>
      </c>
      <c r="EK50" s="7">
        <f t="shared" si="107"/>
        <v>0</v>
      </c>
      <c r="EL50" s="7">
        <f t="shared" si="107"/>
        <v>0</v>
      </c>
      <c r="EM50" s="7">
        <f t="shared" si="107"/>
        <v>0</v>
      </c>
      <c r="EN50" s="7">
        <f t="shared" si="107"/>
        <v>0</v>
      </c>
      <c r="EO50" s="7">
        <f t="shared" si="107"/>
        <v>0</v>
      </c>
      <c r="EP50" s="7">
        <f t="shared" si="107"/>
        <v>0</v>
      </c>
      <c r="EQ50" s="7">
        <f t="shared" si="107"/>
        <v>0</v>
      </c>
      <c r="ER50" s="12"/>
      <c r="ES50" s="4">
        <v>0</v>
      </c>
      <c r="ET50" s="335">
        <v>0</v>
      </c>
      <c r="EX50" s="10" t="str">
        <f t="shared" si="40"/>
        <v>Of which: subcontracted out Adult Education and Training Income</v>
      </c>
    </row>
    <row r="51" spans="1:154" s="11" customFormat="1" ht="6.6" customHeight="1" x14ac:dyDescent="0.25">
      <c r="A51" s="335"/>
      <c r="B51" s="93"/>
      <c r="C51" s="383"/>
      <c r="D51" s="334"/>
      <c r="E51" s="335"/>
      <c r="G51" s="335"/>
      <c r="T51" s="25"/>
      <c r="U51" s="25"/>
      <c r="V51" s="25"/>
      <c r="W51" s="25"/>
      <c r="X51" s="25"/>
      <c r="Y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L51" s="25"/>
      <c r="BM51" s="155"/>
      <c r="BN51" s="25"/>
      <c r="BO51" s="25"/>
      <c r="BP51" s="25"/>
      <c r="BQ51" s="25"/>
      <c r="BR51" s="25"/>
      <c r="BS51" s="25"/>
      <c r="BT51" s="25"/>
      <c r="BU51" s="25"/>
      <c r="BV51" s="25"/>
      <c r="BW51" s="25"/>
      <c r="BY51" s="42"/>
      <c r="BZ51" s="162"/>
      <c r="CA51" s="42"/>
      <c r="CC51" s="335"/>
      <c r="CD51" s="335"/>
      <c r="CE51" s="335"/>
      <c r="CF51" s="42"/>
      <c r="CG51" s="352"/>
      <c r="CH51" s="352"/>
      <c r="CI51" s="352"/>
      <c r="CJ51" s="352">
        <f>$BM51-SUMIFS($AA51:$BJ51, $AA$3:$BJ$3, $BM$3)</f>
        <v>0</v>
      </c>
      <c r="CK51" s="335"/>
      <c r="CL51" s="335"/>
      <c r="CM51" s="335"/>
      <c r="CN51" s="67"/>
      <c r="ER51" s="42"/>
      <c r="ES51" s="11">
        <v>0</v>
      </c>
      <c r="ET51" s="335">
        <v>0</v>
      </c>
      <c r="EU51" s="335"/>
      <c r="EV51" s="335"/>
      <c r="EX51" s="10" t="str">
        <f t="shared" si="40"/>
        <v/>
      </c>
    </row>
    <row r="52" spans="1:154" x14ac:dyDescent="0.25">
      <c r="A52" s="335"/>
      <c r="B52" s="336"/>
      <c r="C52" s="383"/>
      <c r="D52" s="176" t="s">
        <v>27</v>
      </c>
      <c r="E52" s="5"/>
      <c r="T52" s="25"/>
      <c r="U52" s="25"/>
      <c r="V52" s="335"/>
      <c r="W52" s="335"/>
      <c r="X52" s="335"/>
      <c r="Y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L52" s="335"/>
      <c r="BM52" s="335"/>
      <c r="BN52" s="335"/>
      <c r="BO52" s="335"/>
      <c r="BP52" s="335"/>
      <c r="BQ52" s="335"/>
      <c r="BR52" s="335"/>
      <c r="BS52" s="335"/>
      <c r="BT52" s="335"/>
      <c r="BU52" s="335"/>
      <c r="BV52" s="335"/>
      <c r="BW52" s="335"/>
      <c r="BY52" s="12"/>
      <c r="CA52" s="12"/>
      <c r="CB52" s="335"/>
      <c r="CF52" s="12"/>
      <c r="CG52" s="352"/>
      <c r="CH52" s="352"/>
      <c r="CI52" s="352"/>
      <c r="CJ52" s="352"/>
      <c r="CN52" s="335"/>
      <c r="CP52" s="335"/>
      <c r="CQ52" s="335"/>
      <c r="CR52" s="335"/>
      <c r="CS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F52" s="335"/>
      <c r="EG52" s="335"/>
      <c r="EH52" s="335"/>
      <c r="EI52" s="335"/>
      <c r="EJ52" s="335"/>
      <c r="EK52" s="335"/>
      <c r="EL52" s="335"/>
      <c r="EM52" s="335"/>
      <c r="EN52" s="335"/>
      <c r="EO52" s="335"/>
      <c r="EP52" s="335"/>
      <c r="EQ52" s="335"/>
      <c r="ER52" s="12"/>
      <c r="ES52">
        <v>0</v>
      </c>
      <c r="ET52" s="335">
        <v>0</v>
      </c>
      <c r="EX52" s="10" t="str">
        <f t="shared" si="40"/>
        <v/>
      </c>
    </row>
    <row r="53" spans="1:154" x14ac:dyDescent="0.25">
      <c r="A53" s="362" cm="1">
        <f t="array" aca="1" ref="A53" ca="1">HYPERLINK(CONCATENATE("#",CELL("address",IF(SUM($CA53:$CH53)=0,A53,INDEX($CA53:$CH53,MATCH(1,$CA53:$CH53,0))))),SUM($CA53:$CH53))</f>
        <v>0</v>
      </c>
      <c r="B53" s="93"/>
      <c r="C53" s="343" t="str">
        <f>CONCATENATE("M-", 'I&amp;E Annual'!C53)</f>
        <v>M-IE-1d-1</v>
      </c>
      <c r="D53" s="137" t="s">
        <v>28</v>
      </c>
      <c r="H53" s="11" t="s">
        <v>8</v>
      </c>
      <c r="S53" s="335"/>
      <c r="T53" s="25"/>
      <c r="U53" s="25"/>
      <c r="V53" s="141"/>
      <c r="W53" s="215">
        <f t="shared" ref="W53:Y55" si="108" xml:space="preserve"> SUMIFS($AA53:$BJ53, $AA$3:$BJ$3, W$3)</f>
        <v>0</v>
      </c>
      <c r="X53" s="215">
        <f t="shared" si="108"/>
        <v>0</v>
      </c>
      <c r="Y53" s="215">
        <f t="shared" si="108"/>
        <v>0</v>
      </c>
      <c r="AA53" s="372"/>
      <c r="AB53" s="372"/>
      <c r="AC53" s="372"/>
      <c r="AD53" s="372"/>
      <c r="AE53" s="372"/>
      <c r="AF53" s="372"/>
      <c r="AG53" s="372"/>
      <c r="AH53" s="372"/>
      <c r="AI53" s="372"/>
      <c r="AJ53" s="372"/>
      <c r="AK53" s="372"/>
      <c r="AL53" s="372"/>
      <c r="AM53" s="372"/>
      <c r="AN53" s="372"/>
      <c r="AO53" s="372"/>
      <c r="AP53" s="372"/>
      <c r="AQ53" s="372"/>
      <c r="AR53" s="372"/>
      <c r="AS53" s="372"/>
      <c r="AT53" s="372"/>
      <c r="AU53" s="372"/>
      <c r="AV53" s="372"/>
      <c r="AW53" s="372"/>
      <c r="AX53" s="372"/>
      <c r="AY53" s="372"/>
      <c r="AZ53" s="372"/>
      <c r="BA53" s="372"/>
      <c r="BB53" s="372"/>
      <c r="BC53" s="372"/>
      <c r="BD53" s="372"/>
      <c r="BE53" s="372"/>
      <c r="BF53" s="372"/>
      <c r="BG53" s="372"/>
      <c r="BH53" s="372"/>
      <c r="BI53" s="372"/>
      <c r="BJ53" s="372"/>
      <c r="BL53" s="10">
        <f t="shared" ref="BL53:BO55" si="109">V53</f>
        <v>0</v>
      </c>
      <c r="BM53" s="10">
        <f t="shared" si="109"/>
        <v>0</v>
      </c>
      <c r="BN53" s="10">
        <f t="shared" si="109"/>
        <v>0</v>
      </c>
      <c r="BO53" s="10">
        <f t="shared" si="109"/>
        <v>0</v>
      </c>
      <c r="BP53" s="141"/>
      <c r="BQ53" s="141"/>
      <c r="BR53" s="141"/>
      <c r="BS53" s="141"/>
      <c r="BT53" s="141"/>
      <c r="BU53" s="141"/>
      <c r="BV53" s="141"/>
      <c r="BW53" s="141"/>
      <c r="BY53" s="12"/>
      <c r="BZ53" s="395">
        <f>IF(MIN($V53:$BW53)&lt;0, 1, 0)</f>
        <v>0</v>
      </c>
      <c r="CA53" s="12"/>
      <c r="CC53" s="7">
        <f t="shared" ref="CC53:CC61" si="110">IF(SUM($CG53:$CI53)=0, 0, 1)</f>
        <v>0</v>
      </c>
      <c r="CD53" s="7">
        <f t="shared" ref="CD53:CD61" si="111">IF(SUM($CJ53:$CL53)=0, 0, 1)</f>
        <v>0</v>
      </c>
      <c r="CE53" s="7">
        <f t="shared" ref="CE53:CE61" si="112">IF($CM53=0, 0, 1)</f>
        <v>0</v>
      </c>
      <c r="CF53" s="12"/>
      <c r="CG53" s="352">
        <f t="shared" ref="CG53:CG61" si="113">ROUND(W53-SUMIFS($AA53:$BJ53, $AA$3:$BJ$3, W$3), rounding)</f>
        <v>0</v>
      </c>
      <c r="CH53" s="352">
        <f t="shared" ref="CH53:CH61" si="114">ROUND(X53-SUMIFS($AA53:$BJ53, $AA$3:$BJ$3, X$3), rounding)</f>
        <v>0</v>
      </c>
      <c r="CI53" s="352">
        <f t="shared" ref="CI53:CI61" si="115">ROUND(Y53-SUMIFS($AA53:$BJ53, $AA$3:$BJ$3, Y$3), rounding)</f>
        <v>0</v>
      </c>
      <c r="CJ53" s="352">
        <f t="shared" ref="CJ53:CJ61" si="116">ROUND($BM53-SUMIFS($AA53:$BJ53, $AA$3:$BJ$3, $BM$3), rounding)</f>
        <v>0</v>
      </c>
      <c r="CK53" s="352">
        <f t="shared" ref="CK53:CK61" si="117">ROUND($BN53-SUMIFS($AA53:$BJ53, $AA$3:$BJ$3, $BN$3), rounding)</f>
        <v>0</v>
      </c>
      <c r="CL53" s="352">
        <f t="shared" ref="CL53:CL61" si="118">ROUND($BO53-SUMIFS($AA53:$BJ53, $AA$3:$BJ$3, $BO$3), rounding)</f>
        <v>0</v>
      </c>
      <c r="CM53" s="352">
        <f t="shared" ref="CM53:CM61" si="119">ROUND($V53-$BL53, rounding)</f>
        <v>0</v>
      </c>
      <c r="CN53" s="67"/>
      <c r="ER53" s="12"/>
      <c r="ES53" s="4">
        <v>1</v>
      </c>
      <c r="ET53" s="335">
        <v>1</v>
      </c>
      <c r="EX53" s="10" t="str">
        <f t="shared" si="40"/>
        <v xml:space="preserve">HE loans </v>
      </c>
    </row>
    <row r="54" spans="1:154" ht="15.75" x14ac:dyDescent="0.3">
      <c r="A54" s="362" cm="1">
        <f t="array" aca="1" ref="A54" ca="1">HYPERLINK(CONCATENATE("#",CELL("address",IF(SUM($CA54:$CH54)=0,A54,INDEX($CA54:$CH54,MATCH(1,$CA54:$CH54,0))))),SUM($CA54:$CH54))</f>
        <v>0</v>
      </c>
      <c r="B54" s="105" t="s">
        <v>335</v>
      </c>
      <c r="C54" s="343" t="str">
        <f>CONCATENATE("M-", 'I&amp;E Annual'!C54)</f>
        <v>M-IE-1d-2</v>
      </c>
      <c r="D54" s="137" t="s">
        <v>30</v>
      </c>
      <c r="H54" s="11" t="s">
        <v>8</v>
      </c>
      <c r="S54" s="335"/>
      <c r="T54" s="25"/>
      <c r="U54" s="25"/>
      <c r="V54" s="141"/>
      <c r="W54" s="215">
        <f t="shared" si="108"/>
        <v>148</v>
      </c>
      <c r="X54" s="215">
        <f t="shared" si="108"/>
        <v>130</v>
      </c>
      <c r="Y54" s="215">
        <f t="shared" si="108"/>
        <v>150</v>
      </c>
      <c r="AA54" s="372">
        <v>22</v>
      </c>
      <c r="AB54" s="372">
        <v>22</v>
      </c>
      <c r="AC54" s="372"/>
      <c r="AD54" s="372">
        <v>15</v>
      </c>
      <c r="AE54" s="372">
        <v>15</v>
      </c>
      <c r="AF54" s="372">
        <v>15</v>
      </c>
      <c r="AG54" s="372">
        <v>11</v>
      </c>
      <c r="AH54" s="372"/>
      <c r="AI54" s="372">
        <v>12</v>
      </c>
      <c r="AJ54" s="372">
        <v>12</v>
      </c>
      <c r="AK54" s="372">
        <v>12</v>
      </c>
      <c r="AL54" s="372">
        <v>12</v>
      </c>
      <c r="AM54" s="571">
        <v>20</v>
      </c>
      <c r="AN54" s="571">
        <v>19</v>
      </c>
      <c r="AO54" s="571"/>
      <c r="AP54" s="571">
        <v>13</v>
      </c>
      <c r="AQ54" s="571">
        <v>13</v>
      </c>
      <c r="AR54" s="571">
        <v>13</v>
      </c>
      <c r="AS54" s="571">
        <v>10</v>
      </c>
      <c r="AT54" s="571"/>
      <c r="AU54" s="571">
        <v>11</v>
      </c>
      <c r="AV54" s="571">
        <v>11</v>
      </c>
      <c r="AW54" s="571">
        <v>10</v>
      </c>
      <c r="AX54" s="571">
        <v>10</v>
      </c>
      <c r="AY54" s="573">
        <v>22</v>
      </c>
      <c r="AZ54" s="573">
        <v>21</v>
      </c>
      <c r="BA54" s="573"/>
      <c r="BB54" s="573">
        <v>15</v>
      </c>
      <c r="BC54" s="573">
        <v>15</v>
      </c>
      <c r="BD54" s="573">
        <v>15</v>
      </c>
      <c r="BE54" s="573">
        <v>12</v>
      </c>
      <c r="BF54" s="573"/>
      <c r="BG54" s="573">
        <v>13</v>
      </c>
      <c r="BH54" s="573">
        <v>13</v>
      </c>
      <c r="BI54" s="573">
        <v>12</v>
      </c>
      <c r="BJ54" s="573">
        <v>12</v>
      </c>
      <c r="BL54" s="10">
        <f t="shared" si="109"/>
        <v>0</v>
      </c>
      <c r="BM54" s="10">
        <f t="shared" si="109"/>
        <v>148</v>
      </c>
      <c r="BN54" s="10">
        <f t="shared" si="109"/>
        <v>130</v>
      </c>
      <c r="BO54" s="10">
        <f t="shared" si="109"/>
        <v>150</v>
      </c>
      <c r="BP54" s="141"/>
      <c r="BQ54" s="141"/>
      <c r="BR54" s="141"/>
      <c r="BS54" s="141"/>
      <c r="BT54" s="141"/>
      <c r="BU54" s="141"/>
      <c r="BV54" s="141"/>
      <c r="BW54" s="141"/>
      <c r="BY54" s="12"/>
      <c r="BZ54" s="395">
        <f>IF(MIN($V54:$BW54)&lt;0, 1, 0)</f>
        <v>0</v>
      </c>
      <c r="CA54" s="12"/>
      <c r="CC54" s="7">
        <f t="shared" si="110"/>
        <v>0</v>
      </c>
      <c r="CD54" s="7">
        <f t="shared" si="111"/>
        <v>0</v>
      </c>
      <c r="CE54" s="7">
        <f t="shared" si="112"/>
        <v>0</v>
      </c>
      <c r="CF54" s="12"/>
      <c r="CG54" s="352">
        <f t="shared" si="113"/>
        <v>0</v>
      </c>
      <c r="CH54" s="352">
        <f t="shared" si="114"/>
        <v>0</v>
      </c>
      <c r="CI54" s="352">
        <f t="shared" si="115"/>
        <v>0</v>
      </c>
      <c r="CJ54" s="352">
        <f t="shared" si="116"/>
        <v>0</v>
      </c>
      <c r="CK54" s="352">
        <f t="shared" si="117"/>
        <v>0</v>
      </c>
      <c r="CL54" s="352">
        <f t="shared" si="118"/>
        <v>0</v>
      </c>
      <c r="CM54" s="352">
        <f t="shared" si="119"/>
        <v>0</v>
      </c>
      <c r="CN54" s="67"/>
      <c r="ER54" s="12"/>
      <c r="ES54" s="4">
        <v>1</v>
      </c>
      <c r="ET54" s="335">
        <v>1</v>
      </c>
      <c r="EX54" s="10" t="str">
        <f t="shared" si="40"/>
        <v>OfS grants</v>
      </c>
    </row>
    <row r="55" spans="1:154" x14ac:dyDescent="0.25">
      <c r="A55" s="362" cm="1">
        <f t="array" aca="1" ref="A55" ca="1">HYPERLINK(CONCATENATE("#",CELL("address",IF(SUM($CA55:$CH55)=0,A55,INDEX($CA55:$CH55,MATCH(1,$CA55:$CH55,0))))),SUM($CA55:$CH55))</f>
        <v>0</v>
      </c>
      <c r="B55" s="93"/>
      <c r="C55" s="343" t="str">
        <f>CONCATENATE("M-", 'I&amp;E Annual'!C55)</f>
        <v>M-IE-1d-3</v>
      </c>
      <c r="D55" s="137" t="s">
        <v>2507</v>
      </c>
      <c r="H55" s="11" t="s">
        <v>8</v>
      </c>
      <c r="S55" s="335"/>
      <c r="T55" s="25"/>
      <c r="U55" s="25"/>
      <c r="V55" s="141"/>
      <c r="W55" s="215">
        <f t="shared" si="108"/>
        <v>0</v>
      </c>
      <c r="X55" s="215">
        <f t="shared" si="108"/>
        <v>0</v>
      </c>
      <c r="Y55" s="215">
        <f t="shared" si="108"/>
        <v>0</v>
      </c>
      <c r="AA55" s="372"/>
      <c r="AB55" s="372"/>
      <c r="AC55" s="372"/>
      <c r="AD55" s="372"/>
      <c r="AE55" s="372"/>
      <c r="AF55" s="372"/>
      <c r="AG55" s="372"/>
      <c r="AH55" s="372"/>
      <c r="AI55" s="372"/>
      <c r="AJ55" s="372"/>
      <c r="AK55" s="372"/>
      <c r="AL55" s="372"/>
      <c r="AM55" s="372"/>
      <c r="AN55" s="372"/>
      <c r="AO55" s="372"/>
      <c r="AP55" s="372"/>
      <c r="AQ55" s="372"/>
      <c r="AR55" s="372"/>
      <c r="AS55" s="372"/>
      <c r="AT55" s="372"/>
      <c r="AU55" s="372"/>
      <c r="AV55" s="372"/>
      <c r="AW55" s="372"/>
      <c r="AX55" s="372"/>
      <c r="AY55" s="372"/>
      <c r="AZ55" s="372"/>
      <c r="BA55" s="372"/>
      <c r="BB55" s="372"/>
      <c r="BC55" s="372"/>
      <c r="BD55" s="372"/>
      <c r="BE55" s="372"/>
      <c r="BF55" s="372"/>
      <c r="BG55" s="372"/>
      <c r="BH55" s="372"/>
      <c r="BI55" s="372"/>
      <c r="BJ55" s="372"/>
      <c r="BL55" s="10">
        <f t="shared" si="109"/>
        <v>0</v>
      </c>
      <c r="BM55" s="10">
        <f t="shared" si="109"/>
        <v>0</v>
      </c>
      <c r="BN55" s="10">
        <f t="shared" si="109"/>
        <v>0</v>
      </c>
      <c r="BO55" s="10">
        <f t="shared" si="109"/>
        <v>0</v>
      </c>
      <c r="BP55" s="141"/>
      <c r="BQ55" s="141"/>
      <c r="BR55" s="141"/>
      <c r="BS55" s="141"/>
      <c r="BT55" s="141"/>
      <c r="BU55" s="141"/>
      <c r="BV55" s="141"/>
      <c r="BW55" s="141"/>
      <c r="BY55" s="12"/>
      <c r="BZ55" s="395">
        <f>IF(MIN($V55:$BW55)&lt;0, 1, 0)</f>
        <v>0</v>
      </c>
      <c r="CA55" s="12"/>
      <c r="CC55" s="7">
        <f t="shared" si="110"/>
        <v>0</v>
      </c>
      <c r="CD55" s="7">
        <f t="shared" si="111"/>
        <v>0</v>
      </c>
      <c r="CE55" s="7">
        <f t="shared" si="112"/>
        <v>0</v>
      </c>
      <c r="CF55" s="12"/>
      <c r="CG55" s="352">
        <f t="shared" si="113"/>
        <v>0</v>
      </c>
      <c r="CH55" s="352">
        <f t="shared" si="114"/>
        <v>0</v>
      </c>
      <c r="CI55" s="352">
        <f t="shared" si="115"/>
        <v>0</v>
      </c>
      <c r="CJ55" s="352">
        <f t="shared" si="116"/>
        <v>0</v>
      </c>
      <c r="CK55" s="352">
        <f t="shared" si="117"/>
        <v>0</v>
      </c>
      <c r="CL55" s="352">
        <f t="shared" si="118"/>
        <v>0</v>
      </c>
      <c r="CM55" s="352">
        <f t="shared" si="119"/>
        <v>0</v>
      </c>
      <c r="CN55" s="67"/>
      <c r="ER55" s="12"/>
      <c r="ES55" s="4">
        <v>1</v>
      </c>
      <c r="ET55" s="335">
        <v>1</v>
      </c>
      <c r="EX55" s="10" t="str">
        <f t="shared" si="40"/>
        <v>Other HE income (excl. fees)</v>
      </c>
    </row>
    <row r="56" spans="1:154" s="67" customFormat="1" hidden="1" x14ac:dyDescent="0.25">
      <c r="A56" s="362" cm="1">
        <f t="array" aca="1" ref="A56" ca="1">HYPERLINK(CONCATENATE("#",CELL("address",IF(SUM($CA56:$CH56)=0,A56,INDEX($CA56:$CH56,MATCH(1,$CA56:$CH56,0))))),SUM($CA56:$CH56))</f>
        <v>0</v>
      </c>
      <c r="B56" s="93"/>
      <c r="C56" s="383"/>
      <c r="D56" s="137" t="s">
        <v>2316</v>
      </c>
      <c r="G56" s="8"/>
      <c r="S56" s="93"/>
      <c r="T56" s="25"/>
      <c r="U56" s="25"/>
      <c r="V56" s="136"/>
      <c r="W56" s="136"/>
      <c r="X56" s="136"/>
      <c r="Y56" s="136"/>
      <c r="Z56" s="93"/>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93"/>
      <c r="BL56" s="136"/>
      <c r="BM56" s="136"/>
      <c r="BN56" s="136"/>
      <c r="BO56" s="136"/>
      <c r="BP56" s="136"/>
      <c r="BQ56" s="136"/>
      <c r="BR56" s="136"/>
      <c r="BS56" s="136"/>
      <c r="BT56" s="136"/>
      <c r="BU56" s="136"/>
      <c r="BV56" s="136"/>
      <c r="BW56" s="136"/>
      <c r="BY56" s="12"/>
      <c r="BZ56" s="395">
        <f t="shared" ref="BZ56:BZ59" si="120">IF(MIN($V56:$BW56)&lt;0, 1, 0)</f>
        <v>0</v>
      </c>
      <c r="CA56" s="12"/>
      <c r="CC56" s="7">
        <f t="shared" si="110"/>
        <v>0</v>
      </c>
      <c r="CD56" s="7">
        <f t="shared" si="111"/>
        <v>0</v>
      </c>
      <c r="CE56" s="7">
        <f t="shared" si="112"/>
        <v>0</v>
      </c>
      <c r="CF56" s="12"/>
      <c r="CG56" s="352">
        <f t="shared" si="113"/>
        <v>0</v>
      </c>
      <c r="CH56" s="352">
        <f t="shared" si="114"/>
        <v>0</v>
      </c>
      <c r="CI56" s="352">
        <f t="shared" si="115"/>
        <v>0</v>
      </c>
      <c r="CJ56" s="352">
        <f t="shared" si="116"/>
        <v>0</v>
      </c>
      <c r="CK56" s="352">
        <f t="shared" si="117"/>
        <v>0</v>
      </c>
      <c r="CL56" s="352">
        <f t="shared" si="118"/>
        <v>0</v>
      </c>
      <c r="CM56" s="352">
        <f t="shared" si="119"/>
        <v>0</v>
      </c>
      <c r="ER56" s="12"/>
      <c r="ES56" s="67">
        <v>1</v>
      </c>
      <c r="ET56" s="335">
        <v>1</v>
      </c>
      <c r="EU56" s="335"/>
      <c r="EV56" s="335"/>
      <c r="EX56" s="10" t="str">
        <f t="shared" si="40"/>
        <v/>
      </c>
    </row>
    <row r="57" spans="1:154" s="67" customFormat="1" hidden="1" x14ac:dyDescent="0.25">
      <c r="A57" s="362" cm="1">
        <f t="array" aca="1" ref="A57" ca="1">HYPERLINK(CONCATENATE("#",CELL("address",IF(SUM($CA57:$CH57)=0,A57,INDEX($CA57:$CH57,MATCH(1,$CA57:$CH57,0))))),SUM($CA57:$CH57))</f>
        <v>0</v>
      </c>
      <c r="B57" s="93"/>
      <c r="C57" s="383"/>
      <c r="D57" s="137" t="s">
        <v>2316</v>
      </c>
      <c r="G57" s="8"/>
      <c r="S57" s="93"/>
      <c r="T57" s="25"/>
      <c r="U57" s="25"/>
      <c r="V57" s="136"/>
      <c r="W57" s="136"/>
      <c r="X57" s="136"/>
      <c r="Y57" s="136"/>
      <c r="Z57" s="93"/>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93"/>
      <c r="BL57" s="136"/>
      <c r="BM57" s="136"/>
      <c r="BN57" s="136"/>
      <c r="BO57" s="136"/>
      <c r="BP57" s="136"/>
      <c r="BQ57" s="136"/>
      <c r="BR57" s="136"/>
      <c r="BS57" s="136"/>
      <c r="BT57" s="136"/>
      <c r="BU57" s="136"/>
      <c r="BV57" s="136"/>
      <c r="BW57" s="136"/>
      <c r="BY57" s="12"/>
      <c r="BZ57" s="395">
        <f t="shared" si="120"/>
        <v>0</v>
      </c>
      <c r="CA57" s="12"/>
      <c r="CC57" s="7">
        <f t="shared" si="110"/>
        <v>0</v>
      </c>
      <c r="CD57" s="7">
        <f t="shared" si="111"/>
        <v>0</v>
      </c>
      <c r="CE57" s="7">
        <f t="shared" si="112"/>
        <v>0</v>
      </c>
      <c r="CF57" s="12"/>
      <c r="CG57" s="352">
        <f t="shared" si="113"/>
        <v>0</v>
      </c>
      <c r="CH57" s="352">
        <f t="shared" si="114"/>
        <v>0</v>
      </c>
      <c r="CI57" s="352">
        <f t="shared" si="115"/>
        <v>0</v>
      </c>
      <c r="CJ57" s="352">
        <f t="shared" si="116"/>
        <v>0</v>
      </c>
      <c r="CK57" s="352">
        <f t="shared" si="117"/>
        <v>0</v>
      </c>
      <c r="CL57" s="352">
        <f t="shared" si="118"/>
        <v>0</v>
      </c>
      <c r="CM57" s="352">
        <f t="shared" si="119"/>
        <v>0</v>
      </c>
      <c r="ER57" s="12"/>
      <c r="ES57" s="67">
        <v>1</v>
      </c>
      <c r="ET57" s="335">
        <v>1</v>
      </c>
      <c r="EU57" s="335"/>
      <c r="EV57" s="335"/>
      <c r="EX57" s="10" t="str">
        <f t="shared" si="40"/>
        <v/>
      </c>
    </row>
    <row r="58" spans="1:154" s="67" customFormat="1" hidden="1" x14ac:dyDescent="0.25">
      <c r="A58" s="362" cm="1">
        <f t="array" aca="1" ref="A58" ca="1">HYPERLINK(CONCATENATE("#",CELL("address",IF(SUM($CA58:$CH58)=0,A58,INDEX($CA58:$CH58,MATCH(1,$CA58:$CH58,0))))),SUM($CA58:$CH58))</f>
        <v>0</v>
      </c>
      <c r="B58" s="93"/>
      <c r="C58" s="383"/>
      <c r="D58" s="137" t="s">
        <v>2316</v>
      </c>
      <c r="G58" s="8"/>
      <c r="S58" s="93"/>
      <c r="T58" s="25"/>
      <c r="U58" s="25"/>
      <c r="V58" s="136"/>
      <c r="W58" s="136"/>
      <c r="X58" s="136"/>
      <c r="Y58" s="136"/>
      <c r="Z58" s="93"/>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93"/>
      <c r="BL58" s="136"/>
      <c r="BM58" s="136"/>
      <c r="BN58" s="136"/>
      <c r="BO58" s="136"/>
      <c r="BP58" s="136"/>
      <c r="BQ58" s="136"/>
      <c r="BR58" s="136"/>
      <c r="BS58" s="136"/>
      <c r="BT58" s="136"/>
      <c r="BU58" s="136"/>
      <c r="BV58" s="136"/>
      <c r="BW58" s="136"/>
      <c r="BY58" s="12"/>
      <c r="BZ58" s="395">
        <f t="shared" si="120"/>
        <v>0</v>
      </c>
      <c r="CA58" s="12"/>
      <c r="CC58" s="7">
        <f t="shared" si="110"/>
        <v>0</v>
      </c>
      <c r="CD58" s="7">
        <f t="shared" si="111"/>
        <v>0</v>
      </c>
      <c r="CE58" s="7">
        <f t="shared" si="112"/>
        <v>0</v>
      </c>
      <c r="CF58" s="12"/>
      <c r="CG58" s="352">
        <f t="shared" si="113"/>
        <v>0</v>
      </c>
      <c r="CH58" s="352">
        <f t="shared" si="114"/>
        <v>0</v>
      </c>
      <c r="CI58" s="352">
        <f t="shared" si="115"/>
        <v>0</v>
      </c>
      <c r="CJ58" s="352">
        <f t="shared" si="116"/>
        <v>0</v>
      </c>
      <c r="CK58" s="352">
        <f t="shared" si="117"/>
        <v>0</v>
      </c>
      <c r="CL58" s="352">
        <f t="shared" si="118"/>
        <v>0</v>
      </c>
      <c r="CM58" s="352">
        <f t="shared" si="119"/>
        <v>0</v>
      </c>
      <c r="ER58" s="12"/>
      <c r="ES58" s="67">
        <v>1</v>
      </c>
      <c r="ET58" s="335">
        <v>1</v>
      </c>
      <c r="EU58" s="335"/>
      <c r="EV58" s="335"/>
      <c r="EX58" s="10" t="str">
        <f t="shared" si="40"/>
        <v/>
      </c>
    </row>
    <row r="59" spans="1:154" ht="15.75" x14ac:dyDescent="0.3">
      <c r="A59" s="362" cm="1">
        <f t="array" aca="1" ref="A59" ca="1">HYPERLINK(CONCATENATE("#",CELL("address",IF(SUM($CA59:$CH59)=0,A59,INDEX($CA59:$CH59,MATCH(1,$CA59:$CH59,0))))),SUM($CA59:$CH59))</f>
        <v>0</v>
      </c>
      <c r="B59" s="105" t="s">
        <v>335</v>
      </c>
      <c r="C59" s="343" t="str">
        <f>CONCATENATE("M-", 'I&amp;E Annual'!C59)</f>
        <v>M-IE-1d-SI</v>
      </c>
      <c r="D59" s="137" t="s">
        <v>29</v>
      </c>
      <c r="H59" s="11" t="s">
        <v>8</v>
      </c>
      <c r="S59" s="335"/>
      <c r="T59" s="25"/>
      <c r="U59" s="25"/>
      <c r="V59" s="141"/>
      <c r="W59" s="215">
        <f xml:space="preserve"> SUMIFS($AA59:$BJ59, $AA$3:$BJ$3, W$3)</f>
        <v>603</v>
      </c>
      <c r="X59" s="215">
        <f xml:space="preserve"> SUMIFS($AA59:$BJ59, $AA$3:$BJ$3, X$3)</f>
        <v>620</v>
      </c>
      <c r="Y59" s="215">
        <f xml:space="preserve"> SUMIFS($AA59:$BJ59, $AA$3:$BJ$3, Y$3)</f>
        <v>645</v>
      </c>
      <c r="AA59" s="372"/>
      <c r="AB59" s="372"/>
      <c r="AC59" s="372"/>
      <c r="AD59" s="372"/>
      <c r="AE59" s="372"/>
      <c r="AF59" s="372"/>
      <c r="AG59" s="372"/>
      <c r="AH59" s="372"/>
      <c r="AI59" s="372"/>
      <c r="AJ59" s="372"/>
      <c r="AK59" s="372">
        <v>603</v>
      </c>
      <c r="AL59" s="372"/>
      <c r="AM59" s="372"/>
      <c r="AN59" s="372"/>
      <c r="AO59" s="372"/>
      <c r="AP59" s="372"/>
      <c r="AQ59" s="372"/>
      <c r="AR59" s="372">
        <v>207</v>
      </c>
      <c r="AS59" s="372"/>
      <c r="AT59" s="372"/>
      <c r="AU59" s="372">
        <v>207</v>
      </c>
      <c r="AV59" s="372"/>
      <c r="AW59" s="372"/>
      <c r="AX59" s="372">
        <v>206</v>
      </c>
      <c r="AY59" s="573"/>
      <c r="AZ59" s="573"/>
      <c r="BA59" s="573"/>
      <c r="BB59" s="573"/>
      <c r="BC59" s="573"/>
      <c r="BD59" s="573">
        <f>207+10</f>
        <v>217</v>
      </c>
      <c r="BE59" s="573"/>
      <c r="BF59" s="573"/>
      <c r="BG59" s="573">
        <f>207+5</f>
        <v>212</v>
      </c>
      <c r="BH59" s="573"/>
      <c r="BI59" s="573"/>
      <c r="BJ59" s="573">
        <f>206+10</f>
        <v>216</v>
      </c>
      <c r="BL59" s="10">
        <f>V59</f>
        <v>0</v>
      </c>
      <c r="BM59" s="10">
        <f>W59</f>
        <v>603</v>
      </c>
      <c r="BN59" s="10">
        <f>X59</f>
        <v>620</v>
      </c>
      <c r="BO59" s="10">
        <f>Y59</f>
        <v>645</v>
      </c>
      <c r="BP59" s="141"/>
      <c r="BQ59" s="141"/>
      <c r="BR59" s="141"/>
      <c r="BS59" s="141"/>
      <c r="BT59" s="141"/>
      <c r="BU59" s="141"/>
      <c r="BV59" s="141"/>
      <c r="BW59" s="141"/>
      <c r="BY59" s="12"/>
      <c r="BZ59" s="395">
        <f t="shared" si="120"/>
        <v>0</v>
      </c>
      <c r="CA59" s="12"/>
      <c r="CC59" s="7">
        <f t="shared" si="110"/>
        <v>0</v>
      </c>
      <c r="CD59" s="7">
        <f t="shared" si="111"/>
        <v>0</v>
      </c>
      <c r="CE59" s="7">
        <f t="shared" si="112"/>
        <v>0</v>
      </c>
      <c r="CF59" s="12"/>
      <c r="CG59" s="352">
        <f t="shared" si="113"/>
        <v>0</v>
      </c>
      <c r="CH59" s="352">
        <f t="shared" si="114"/>
        <v>0</v>
      </c>
      <c r="CI59" s="352">
        <f t="shared" si="115"/>
        <v>0</v>
      </c>
      <c r="CJ59" s="352">
        <f t="shared" si="116"/>
        <v>0</v>
      </c>
      <c r="CK59" s="352">
        <f t="shared" si="117"/>
        <v>0</v>
      </c>
      <c r="CL59" s="352">
        <f t="shared" si="118"/>
        <v>0</v>
      </c>
      <c r="CM59" s="352">
        <f t="shared" si="119"/>
        <v>0</v>
      </c>
      <c r="CN59" s="67"/>
      <c r="ER59" s="12"/>
      <c r="ES59" s="4">
        <v>1</v>
      </c>
      <c r="ET59" s="335">
        <v>1</v>
      </c>
      <c r="EX59" s="10" t="str">
        <f t="shared" si="40"/>
        <v>Subcontracted in - HE (Franchised)</v>
      </c>
    </row>
    <row r="60" spans="1:154" x14ac:dyDescent="0.25">
      <c r="A60" s="362" cm="1">
        <f t="array" aca="1" ref="A60" ca="1">HYPERLINK(CONCATENATE("#",CELL("address",IF(SUM($CA60:$CH60)=0,A60,INDEX($CA60:$CH60,MATCH(1,$CA60:$CH60,0))))),SUM($CA60:$CH60))</f>
        <v>0</v>
      </c>
      <c r="B60" s="93"/>
      <c r="C60" s="343" t="str">
        <f>CONCATENATE("M-", 'I&amp;E Annual'!C60)</f>
        <v>M-IE-1d</v>
      </c>
      <c r="D60" s="176" t="s">
        <v>31</v>
      </c>
      <c r="E60" s="5"/>
      <c r="G60" s="5"/>
      <c r="T60" s="25"/>
      <c r="U60" s="25"/>
      <c r="V60" s="152">
        <f>SUM(V53:V59)</f>
        <v>0</v>
      </c>
      <c r="W60" s="152">
        <f>SUM(W53:W59)</f>
        <v>751</v>
      </c>
      <c r="X60" s="152">
        <f>SUM(X53:X59)</f>
        <v>750</v>
      </c>
      <c r="Y60" s="152">
        <f>SUM(Y53:Y59)</f>
        <v>795</v>
      </c>
      <c r="AA60" s="152">
        <f t="shared" ref="AA60:BJ60" si="121">SUM(AA53:AA59)</f>
        <v>22</v>
      </c>
      <c r="AB60" s="152">
        <f>SUM(AB53:AB59)</f>
        <v>22</v>
      </c>
      <c r="AC60" s="152">
        <f t="shared" si="121"/>
        <v>0</v>
      </c>
      <c r="AD60" s="152">
        <f t="shared" si="121"/>
        <v>15</v>
      </c>
      <c r="AE60" s="152">
        <f t="shared" si="121"/>
        <v>15</v>
      </c>
      <c r="AF60" s="152">
        <f t="shared" si="121"/>
        <v>15</v>
      </c>
      <c r="AG60" s="152">
        <f t="shared" si="121"/>
        <v>11</v>
      </c>
      <c r="AH60" s="152">
        <f t="shared" si="121"/>
        <v>0</v>
      </c>
      <c r="AI60" s="152">
        <f t="shared" si="121"/>
        <v>12</v>
      </c>
      <c r="AJ60" s="152">
        <f t="shared" si="121"/>
        <v>12</v>
      </c>
      <c r="AK60" s="152">
        <f t="shared" si="121"/>
        <v>615</v>
      </c>
      <c r="AL60" s="152">
        <f t="shared" si="121"/>
        <v>12</v>
      </c>
      <c r="AM60" s="152">
        <f t="shared" si="121"/>
        <v>20</v>
      </c>
      <c r="AN60" s="152">
        <f t="shared" si="121"/>
        <v>19</v>
      </c>
      <c r="AO60" s="152">
        <f t="shared" si="121"/>
        <v>0</v>
      </c>
      <c r="AP60" s="152">
        <f t="shared" si="121"/>
        <v>13</v>
      </c>
      <c r="AQ60" s="152">
        <f t="shared" si="121"/>
        <v>13</v>
      </c>
      <c r="AR60" s="152">
        <f t="shared" si="121"/>
        <v>220</v>
      </c>
      <c r="AS60" s="152">
        <f t="shared" si="121"/>
        <v>10</v>
      </c>
      <c r="AT60" s="152">
        <f t="shared" si="121"/>
        <v>0</v>
      </c>
      <c r="AU60" s="152">
        <f t="shared" si="121"/>
        <v>218</v>
      </c>
      <c r="AV60" s="152">
        <f t="shared" si="121"/>
        <v>11</v>
      </c>
      <c r="AW60" s="152">
        <f t="shared" si="121"/>
        <v>10</v>
      </c>
      <c r="AX60" s="152">
        <f t="shared" si="121"/>
        <v>216</v>
      </c>
      <c r="AY60" s="152">
        <f t="shared" si="121"/>
        <v>22</v>
      </c>
      <c r="AZ60" s="152">
        <f t="shared" si="121"/>
        <v>21</v>
      </c>
      <c r="BA60" s="152">
        <f t="shared" si="121"/>
        <v>0</v>
      </c>
      <c r="BB60" s="152">
        <f t="shared" si="121"/>
        <v>15</v>
      </c>
      <c r="BC60" s="152">
        <f t="shared" si="121"/>
        <v>15</v>
      </c>
      <c r="BD60" s="152">
        <f t="shared" si="121"/>
        <v>232</v>
      </c>
      <c r="BE60" s="152">
        <f t="shared" si="121"/>
        <v>12</v>
      </c>
      <c r="BF60" s="152">
        <f t="shared" si="121"/>
        <v>0</v>
      </c>
      <c r="BG60" s="152">
        <f t="shared" si="121"/>
        <v>225</v>
      </c>
      <c r="BH60" s="152">
        <f t="shared" si="121"/>
        <v>13</v>
      </c>
      <c r="BI60" s="152">
        <f t="shared" si="121"/>
        <v>12</v>
      </c>
      <c r="BJ60" s="152">
        <f t="shared" si="121"/>
        <v>228</v>
      </c>
      <c r="BL60" s="152">
        <f t="shared" ref="BL60:BW60" si="122">SUM(BL53:BL59)</f>
        <v>0</v>
      </c>
      <c r="BM60" s="152">
        <f t="shared" si="122"/>
        <v>751</v>
      </c>
      <c r="BN60" s="152">
        <f t="shared" si="122"/>
        <v>750</v>
      </c>
      <c r="BO60" s="152">
        <f t="shared" si="122"/>
        <v>795</v>
      </c>
      <c r="BP60" s="152">
        <f t="shared" si="122"/>
        <v>0</v>
      </c>
      <c r="BQ60" s="152">
        <f t="shared" si="122"/>
        <v>0</v>
      </c>
      <c r="BR60" s="152">
        <f t="shared" si="122"/>
        <v>0</v>
      </c>
      <c r="BS60" s="152">
        <f t="shared" si="122"/>
        <v>0</v>
      </c>
      <c r="BT60" s="152">
        <f t="shared" si="122"/>
        <v>0</v>
      </c>
      <c r="BU60" s="152">
        <f t="shared" si="122"/>
        <v>0</v>
      </c>
      <c r="BV60" s="152">
        <f t="shared" si="122"/>
        <v>0</v>
      </c>
      <c r="BW60" s="152">
        <f t="shared" si="122"/>
        <v>0</v>
      </c>
      <c r="BY60" s="12"/>
      <c r="BZ60" s="395">
        <f>IF(MIN($V60:$BW60)&lt;0, 1, 0)</f>
        <v>0</v>
      </c>
      <c r="CA60" s="12"/>
      <c r="CC60" s="7">
        <f t="shared" si="110"/>
        <v>0</v>
      </c>
      <c r="CD60" s="7">
        <f t="shared" si="111"/>
        <v>0</v>
      </c>
      <c r="CE60" s="7">
        <f t="shared" si="112"/>
        <v>0</v>
      </c>
      <c r="CF60" s="12"/>
      <c r="CG60" s="352">
        <f t="shared" si="113"/>
        <v>0</v>
      </c>
      <c r="CH60" s="352">
        <f t="shared" si="114"/>
        <v>0</v>
      </c>
      <c r="CI60" s="352">
        <f t="shared" si="115"/>
        <v>0</v>
      </c>
      <c r="CJ60" s="352">
        <f t="shared" si="116"/>
        <v>0</v>
      </c>
      <c r="CK60" s="352">
        <f t="shared" si="117"/>
        <v>0</v>
      </c>
      <c r="CL60" s="352">
        <f t="shared" si="118"/>
        <v>0</v>
      </c>
      <c r="CM60" s="352">
        <f t="shared" si="119"/>
        <v>0</v>
      </c>
      <c r="CN60" s="67"/>
      <c r="ER60" s="12"/>
      <c r="ES60">
        <v>0</v>
      </c>
      <c r="ET60" s="335">
        <v>0</v>
      </c>
      <c r="EX60" s="10" t="str">
        <f t="shared" si="40"/>
        <v>Total HE Income</v>
      </c>
    </row>
    <row r="61" spans="1:154" x14ac:dyDescent="0.25">
      <c r="A61" s="362" cm="1">
        <f t="array" aca="1" ref="A61" ca="1">HYPERLINK(CONCATENATE("#",CELL("address",IF(SUM($CA61:$CH61)=0,A61,INDEX($CA61:$CH61,MATCH(1,$CA61:$CH61,0))))),SUM($CA61:$CH61))</f>
        <v>0</v>
      </c>
      <c r="B61" s="93"/>
      <c r="C61" s="343" t="str">
        <f>CONCATENATE("M-", 'I&amp;E Annual'!C61)</f>
        <v>M-IE-1d-SO</v>
      </c>
      <c r="D61" s="137" t="s">
        <v>11</v>
      </c>
      <c r="H61" s="11" t="s">
        <v>8</v>
      </c>
      <c r="S61" s="335"/>
      <c r="T61" s="25"/>
      <c r="U61" s="25"/>
      <c r="V61" s="156"/>
      <c r="W61" s="215">
        <f xml:space="preserve"> SUMIFS($AA61:$BJ61, $AA$3:$BJ$3, W$3)</f>
        <v>0</v>
      </c>
      <c r="X61" s="215">
        <f xml:space="preserve"> SUMIFS($AA61:$BJ61, $AA$3:$BJ$3, X$3)</f>
        <v>0</v>
      </c>
      <c r="Y61" s="215">
        <f xml:space="preserve"> SUMIFS($AA61:$BJ61, $AA$3:$BJ$3, Y$3)</f>
        <v>0</v>
      </c>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L61" s="153">
        <f>V61</f>
        <v>0</v>
      </c>
      <c r="BM61" s="153">
        <f>W61</f>
        <v>0</v>
      </c>
      <c r="BN61" s="153">
        <f>X61</f>
        <v>0</v>
      </c>
      <c r="BO61" s="153">
        <f>Y61</f>
        <v>0</v>
      </c>
      <c r="BP61" s="156"/>
      <c r="BQ61" s="156"/>
      <c r="BR61" s="156"/>
      <c r="BS61" s="156"/>
      <c r="BT61" s="156"/>
      <c r="BU61" s="156"/>
      <c r="BV61" s="156"/>
      <c r="BW61" s="156"/>
      <c r="BY61" s="12"/>
      <c r="BZ61" s="395">
        <f>IF(MIN($V61:$BW61)&lt;0, 1, 0)</f>
        <v>0</v>
      </c>
      <c r="CA61" s="12"/>
      <c r="CB61" s="7">
        <f>IF(CN61=0, 0, 1)</f>
        <v>0</v>
      </c>
      <c r="CC61" s="7">
        <f t="shared" si="110"/>
        <v>0</v>
      </c>
      <c r="CD61" s="7">
        <f t="shared" si="111"/>
        <v>0</v>
      </c>
      <c r="CE61" s="7">
        <f t="shared" si="112"/>
        <v>0</v>
      </c>
      <c r="CF61" s="12"/>
      <c r="CG61" s="352">
        <f t="shared" si="113"/>
        <v>0</v>
      </c>
      <c r="CH61" s="352">
        <f t="shared" si="114"/>
        <v>0</v>
      </c>
      <c r="CI61" s="352">
        <f t="shared" si="115"/>
        <v>0</v>
      </c>
      <c r="CJ61" s="352">
        <f t="shared" si="116"/>
        <v>0</v>
      </c>
      <c r="CK61" s="352">
        <f t="shared" si="117"/>
        <v>0</v>
      </c>
      <c r="CL61" s="352">
        <f t="shared" si="118"/>
        <v>0</v>
      </c>
      <c r="CM61" s="352">
        <f t="shared" si="119"/>
        <v>0</v>
      </c>
      <c r="CN61" s="352">
        <f>SUM(CP61:EQ61)</f>
        <v>0</v>
      </c>
      <c r="CO61" s="67"/>
      <c r="CP61" s="7">
        <f>IF(V61&gt;V60, 1, 0)</f>
        <v>0</v>
      </c>
      <c r="CQ61" s="7">
        <f>IF(W61&gt;W60, 1, 0)</f>
        <v>0</v>
      </c>
      <c r="CR61" s="7">
        <f>IF(X61&gt;X60, 1, 0)</f>
        <v>0</v>
      </c>
      <c r="CS61" s="7">
        <f>IF(Y61&gt;Y60, 1, 0)</f>
        <v>0</v>
      </c>
      <c r="CT61" s="67"/>
      <c r="CU61" s="7">
        <f t="shared" ref="CU61:ED61" si="123">IF(AA61&gt;AA60, 1, 0)</f>
        <v>0</v>
      </c>
      <c r="CV61" s="7">
        <f t="shared" si="123"/>
        <v>0</v>
      </c>
      <c r="CW61" s="7">
        <f t="shared" si="123"/>
        <v>0</v>
      </c>
      <c r="CX61" s="7">
        <f t="shared" si="123"/>
        <v>0</v>
      </c>
      <c r="CY61" s="7">
        <f t="shared" si="123"/>
        <v>0</v>
      </c>
      <c r="CZ61" s="7">
        <f t="shared" si="123"/>
        <v>0</v>
      </c>
      <c r="DA61" s="7">
        <f t="shared" si="123"/>
        <v>0</v>
      </c>
      <c r="DB61" s="7">
        <f t="shared" si="123"/>
        <v>0</v>
      </c>
      <c r="DC61" s="7">
        <f t="shared" si="123"/>
        <v>0</v>
      </c>
      <c r="DD61" s="7">
        <f t="shared" si="123"/>
        <v>0</v>
      </c>
      <c r="DE61" s="7">
        <f t="shared" si="123"/>
        <v>0</v>
      </c>
      <c r="DF61" s="7">
        <f t="shared" si="123"/>
        <v>0</v>
      </c>
      <c r="DG61" s="7">
        <f t="shared" si="123"/>
        <v>0</v>
      </c>
      <c r="DH61" s="7">
        <f t="shared" si="123"/>
        <v>0</v>
      </c>
      <c r="DI61" s="7">
        <f t="shared" si="123"/>
        <v>0</v>
      </c>
      <c r="DJ61" s="7">
        <f t="shared" si="123"/>
        <v>0</v>
      </c>
      <c r="DK61" s="7">
        <f t="shared" si="123"/>
        <v>0</v>
      </c>
      <c r="DL61" s="7">
        <f t="shared" si="123"/>
        <v>0</v>
      </c>
      <c r="DM61" s="7">
        <f t="shared" si="123"/>
        <v>0</v>
      </c>
      <c r="DN61" s="7">
        <f t="shared" si="123"/>
        <v>0</v>
      </c>
      <c r="DO61" s="7">
        <f t="shared" si="123"/>
        <v>0</v>
      </c>
      <c r="DP61" s="7">
        <f t="shared" si="123"/>
        <v>0</v>
      </c>
      <c r="DQ61" s="7">
        <f t="shared" si="123"/>
        <v>0</v>
      </c>
      <c r="DR61" s="7">
        <f t="shared" si="123"/>
        <v>0</v>
      </c>
      <c r="DS61" s="7">
        <f t="shared" si="123"/>
        <v>0</v>
      </c>
      <c r="DT61" s="7">
        <f t="shared" si="123"/>
        <v>0</v>
      </c>
      <c r="DU61" s="7">
        <f t="shared" si="123"/>
        <v>0</v>
      </c>
      <c r="DV61" s="7">
        <f t="shared" si="123"/>
        <v>0</v>
      </c>
      <c r="DW61" s="7">
        <f t="shared" si="123"/>
        <v>0</v>
      </c>
      <c r="DX61" s="7">
        <f t="shared" si="123"/>
        <v>0</v>
      </c>
      <c r="DY61" s="7">
        <f t="shared" si="123"/>
        <v>0</v>
      </c>
      <c r="DZ61" s="7">
        <f t="shared" si="123"/>
        <v>0</v>
      </c>
      <c r="EA61" s="7">
        <f t="shared" si="123"/>
        <v>0</v>
      </c>
      <c r="EB61" s="7">
        <f t="shared" si="123"/>
        <v>0</v>
      </c>
      <c r="EC61" s="7">
        <f t="shared" si="123"/>
        <v>0</v>
      </c>
      <c r="ED61" s="7">
        <f t="shared" si="123"/>
        <v>0</v>
      </c>
      <c r="EE61" s="67"/>
      <c r="EF61" s="7">
        <f t="shared" ref="EF61:EQ61" si="124">IF(BL61&gt;BL60, 1, 0)</f>
        <v>0</v>
      </c>
      <c r="EG61" s="7">
        <f t="shared" si="124"/>
        <v>0</v>
      </c>
      <c r="EH61" s="7">
        <f t="shared" si="124"/>
        <v>0</v>
      </c>
      <c r="EI61" s="7">
        <f t="shared" si="124"/>
        <v>0</v>
      </c>
      <c r="EJ61" s="7">
        <f t="shared" si="124"/>
        <v>0</v>
      </c>
      <c r="EK61" s="7">
        <f t="shared" si="124"/>
        <v>0</v>
      </c>
      <c r="EL61" s="7">
        <f t="shared" si="124"/>
        <v>0</v>
      </c>
      <c r="EM61" s="7">
        <f t="shared" si="124"/>
        <v>0</v>
      </c>
      <c r="EN61" s="7">
        <f t="shared" si="124"/>
        <v>0</v>
      </c>
      <c r="EO61" s="7">
        <f t="shared" si="124"/>
        <v>0</v>
      </c>
      <c r="EP61" s="7">
        <f t="shared" si="124"/>
        <v>0</v>
      </c>
      <c r="EQ61" s="7">
        <f t="shared" si="124"/>
        <v>0</v>
      </c>
      <c r="ER61" s="12"/>
      <c r="ES61" s="4">
        <v>0</v>
      </c>
      <c r="ET61" s="335">
        <v>0</v>
      </c>
      <c r="EX61" s="10" t="str">
        <f t="shared" si="40"/>
        <v>Of which: subcontracted out</v>
      </c>
    </row>
    <row r="62" spans="1:154" s="323" customFormat="1" ht="6.6" customHeight="1" x14ac:dyDescent="0.25">
      <c r="A62" s="335"/>
      <c r="B62" s="93"/>
      <c r="C62" s="383"/>
      <c r="D62" s="334"/>
      <c r="T62" s="25"/>
      <c r="U62" s="25"/>
      <c r="V62" s="335"/>
      <c r="W62" s="335"/>
      <c r="X62" s="335"/>
      <c r="Y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L62" s="335"/>
      <c r="BM62" s="6"/>
      <c r="BN62" s="335"/>
      <c r="BO62" s="335"/>
      <c r="BP62" s="335"/>
      <c r="BQ62" s="335"/>
      <c r="BR62" s="335"/>
      <c r="BS62" s="335"/>
      <c r="BT62" s="335"/>
      <c r="BU62" s="335"/>
      <c r="BV62" s="335"/>
      <c r="BW62" s="335"/>
      <c r="BY62" s="42"/>
      <c r="BZ62" s="162"/>
      <c r="CA62" s="42"/>
      <c r="CC62" s="335"/>
      <c r="CD62" s="335"/>
      <c r="CE62" s="335"/>
      <c r="CF62" s="42"/>
      <c r="CG62" s="335"/>
      <c r="CH62" s="335"/>
      <c r="CI62" s="335"/>
      <c r="CJ62" s="335"/>
      <c r="CK62" s="335"/>
      <c r="CL62" s="335"/>
      <c r="CM62" s="335"/>
      <c r="ER62" s="42"/>
      <c r="ES62" s="323">
        <v>0</v>
      </c>
      <c r="ET62" s="335">
        <v>0</v>
      </c>
      <c r="EU62" s="335"/>
      <c r="EV62" s="335"/>
      <c r="EX62" s="10" t="str">
        <f t="shared" si="40"/>
        <v/>
      </c>
    </row>
    <row r="63" spans="1:154" s="323" customFormat="1" x14ac:dyDescent="0.25">
      <c r="B63" s="336"/>
      <c r="C63" s="383"/>
      <c r="D63" s="176" t="s">
        <v>848</v>
      </c>
      <c r="E63" s="82"/>
      <c r="G63" s="335"/>
      <c r="S63" s="335"/>
      <c r="T63" s="25"/>
      <c r="U63" s="25"/>
      <c r="V63" s="25"/>
      <c r="W63" s="25"/>
      <c r="X63" s="25"/>
      <c r="Y63" s="25"/>
      <c r="Z63" s="33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335"/>
      <c r="BL63" s="25"/>
      <c r="BM63" s="25"/>
      <c r="BN63" s="25"/>
      <c r="BO63" s="25"/>
      <c r="BP63" s="25"/>
      <c r="BQ63" s="25"/>
      <c r="BR63" s="25"/>
      <c r="BS63" s="25"/>
      <c r="BT63" s="25"/>
      <c r="BU63" s="25"/>
      <c r="BV63" s="25"/>
      <c r="BW63" s="25"/>
      <c r="BY63" s="12"/>
      <c r="BZ63" s="162"/>
      <c r="CA63" s="12"/>
      <c r="CC63" s="335"/>
      <c r="CD63" s="335"/>
      <c r="CE63" s="335"/>
      <c r="CF63" s="12"/>
      <c r="CG63" s="335"/>
      <c r="CH63" s="335"/>
      <c r="CI63" s="335"/>
      <c r="CJ63" s="335"/>
      <c r="CK63" s="335"/>
      <c r="CL63" s="335"/>
      <c r="CM63" s="335"/>
      <c r="ER63" s="12"/>
      <c r="ES63" s="323">
        <v>0</v>
      </c>
      <c r="ET63" s="335">
        <v>0</v>
      </c>
      <c r="EU63" s="335"/>
      <c r="EV63" s="335"/>
      <c r="EX63" s="10" t="str">
        <f t="shared" si="40"/>
        <v/>
      </c>
    </row>
    <row r="64" spans="1:154" s="323" customFormat="1" x14ac:dyDescent="0.25">
      <c r="A64" s="362" cm="1">
        <f t="array" aca="1" ref="A64" ca="1">HYPERLINK(CONCATENATE("#",CELL("address",IF(SUM($CA64:$CH64)=0,A64,INDEX($CA64:$CH64,MATCH(1,$CA64:$CH64,0))))),SUM($CA64:$CH64))</f>
        <v>0</v>
      </c>
      <c r="B64" s="93"/>
      <c r="C64" s="343" t="str">
        <f>CONCATENATE("M-", 'I&amp;E Annual'!C64)</f>
        <v>M-IE-1e-1</v>
      </c>
      <c r="D64" s="137" t="s">
        <v>849</v>
      </c>
      <c r="G64" s="335"/>
      <c r="H64" s="323" t="s">
        <v>8</v>
      </c>
      <c r="S64" s="335"/>
      <c r="T64" s="25"/>
      <c r="U64" s="25"/>
      <c r="V64" s="141"/>
      <c r="W64" s="215">
        <f t="shared" ref="W64:Y66" si="125" xml:space="preserve"> SUMIFS($AA64:$BJ64, $AA$3:$BJ$3, W$3)</f>
        <v>0</v>
      </c>
      <c r="X64" s="215">
        <f t="shared" si="125"/>
        <v>0</v>
      </c>
      <c r="Y64" s="215">
        <f t="shared" si="125"/>
        <v>0</v>
      </c>
      <c r="Z64" s="335"/>
      <c r="AA64" s="372"/>
      <c r="AB64" s="372"/>
      <c r="AC64" s="372"/>
      <c r="AD64" s="372"/>
      <c r="AE64" s="372"/>
      <c r="AF64" s="372"/>
      <c r="AG64" s="372"/>
      <c r="AH64" s="372"/>
      <c r="AI64" s="372"/>
      <c r="AJ64" s="372"/>
      <c r="AK64" s="372"/>
      <c r="AL64" s="372"/>
      <c r="AM64" s="372"/>
      <c r="AN64" s="372"/>
      <c r="AO64" s="372"/>
      <c r="AP64" s="372"/>
      <c r="AQ64" s="372"/>
      <c r="AR64" s="372"/>
      <c r="AS64" s="372"/>
      <c r="AT64" s="372"/>
      <c r="AU64" s="372"/>
      <c r="AV64" s="372"/>
      <c r="AW64" s="372"/>
      <c r="AX64" s="372"/>
      <c r="AY64" s="372"/>
      <c r="AZ64" s="372"/>
      <c r="BA64" s="372"/>
      <c r="BB64" s="372"/>
      <c r="BC64" s="372"/>
      <c r="BD64" s="372"/>
      <c r="BE64" s="372"/>
      <c r="BF64" s="372"/>
      <c r="BG64" s="372"/>
      <c r="BH64" s="372"/>
      <c r="BI64" s="372"/>
      <c r="BJ64" s="372"/>
      <c r="BK64" s="335"/>
      <c r="BL64" s="10">
        <f t="shared" ref="BL64:BO66" si="126">V64</f>
        <v>0</v>
      </c>
      <c r="BM64" s="10">
        <f t="shared" si="126"/>
        <v>0</v>
      </c>
      <c r="BN64" s="10">
        <f t="shared" si="126"/>
        <v>0</v>
      </c>
      <c r="BO64" s="10">
        <f t="shared" si="126"/>
        <v>0</v>
      </c>
      <c r="BP64" s="141"/>
      <c r="BQ64" s="141"/>
      <c r="BR64" s="141"/>
      <c r="BS64" s="141"/>
      <c r="BT64" s="141"/>
      <c r="BU64" s="141"/>
      <c r="BV64" s="141"/>
      <c r="BW64" s="141"/>
      <c r="BY64" s="12"/>
      <c r="BZ64" s="395">
        <f>IF(MIN($V64:$BW64)&lt;0, 1, 0)</f>
        <v>0</v>
      </c>
      <c r="CA64" s="12"/>
      <c r="CC64" s="7">
        <f t="shared" ref="CC64:CC68" si="127">IF(SUM($CG64:$CI64)=0, 0, 1)</f>
        <v>0</v>
      </c>
      <c r="CD64" s="7">
        <f t="shared" ref="CD64:CD68" si="128">IF(SUM($CJ64:$CL64)=0, 0, 1)</f>
        <v>0</v>
      </c>
      <c r="CE64" s="7">
        <f t="shared" ref="CE64:CE68" si="129">IF($CM64=0, 0, 1)</f>
        <v>0</v>
      </c>
      <c r="CF64" s="12"/>
      <c r="CG64" s="352">
        <f t="shared" ref="CG64:CI68" si="130">ROUND(W64-SUMIFS($AA64:$BJ64, $AA$3:$BJ$3, W$3), rounding)</f>
        <v>0</v>
      </c>
      <c r="CH64" s="352">
        <f t="shared" si="130"/>
        <v>0</v>
      </c>
      <c r="CI64" s="352">
        <f t="shared" si="130"/>
        <v>0</v>
      </c>
      <c r="CJ64" s="352">
        <f>ROUND($BM64-SUMIFS($AA64:$BJ64, $AA$3:$BJ$3, $BM$3), rounding)</f>
        <v>0</v>
      </c>
      <c r="CK64" s="352">
        <f>ROUND($BN64-SUMIFS($AA64:$BJ64, $AA$3:$BJ$3, $BN$3), rounding)</f>
        <v>0</v>
      </c>
      <c r="CL64" s="352">
        <f>ROUND($BO64-SUMIFS($AA64:$BJ64, $AA$3:$BJ$3, $BO$3), rounding)</f>
        <v>0</v>
      </c>
      <c r="CM64" s="352">
        <f>ROUND($V64-$BL64, rounding)</f>
        <v>0</v>
      </c>
      <c r="ER64" s="12"/>
      <c r="ES64" s="4">
        <v>1</v>
      </c>
      <c r="ET64" s="335">
        <v>1</v>
      </c>
      <c r="EU64" s="335"/>
      <c r="EV64" s="335"/>
      <c r="EX64" s="10" t="str">
        <f t="shared" si="40"/>
        <v>ESFA - European Social Fund - direct</v>
      </c>
    </row>
    <row r="65" spans="1:154" s="323" customFormat="1" ht="15.75" x14ac:dyDescent="0.3">
      <c r="A65" s="362" cm="1">
        <f t="array" aca="1" ref="A65" ca="1">HYPERLINK(CONCATENATE("#",CELL("address",IF(SUM($CA65:$CH65)=0,A65,INDEX($CA65:$CH65,MATCH(1,$CA65:$CH65,0))))),SUM($CA65:$CH65))</f>
        <v>0</v>
      </c>
      <c r="B65" s="105" t="s">
        <v>335</v>
      </c>
      <c r="C65" s="343" t="str">
        <f>CONCATENATE("M-", 'I&amp;E Annual'!C65)</f>
        <v>M-IE-1e-2</v>
      </c>
      <c r="D65" s="137" t="s">
        <v>850</v>
      </c>
      <c r="G65" s="335"/>
      <c r="H65" s="323" t="s">
        <v>8</v>
      </c>
      <c r="S65" s="335"/>
      <c r="T65" s="25"/>
      <c r="U65" s="25"/>
      <c r="V65" s="141"/>
      <c r="W65" s="215">
        <f t="shared" si="125"/>
        <v>8</v>
      </c>
      <c r="X65" s="215">
        <f t="shared" si="125"/>
        <v>0</v>
      </c>
      <c r="Y65" s="215">
        <f t="shared" si="125"/>
        <v>0</v>
      </c>
      <c r="Z65" s="335"/>
      <c r="AA65" s="372"/>
      <c r="AB65" s="372"/>
      <c r="AC65" s="372"/>
      <c r="AD65" s="372"/>
      <c r="AE65" s="372"/>
      <c r="AF65" s="372"/>
      <c r="AG65" s="372">
        <v>8</v>
      </c>
      <c r="AH65" s="372"/>
      <c r="AI65" s="372"/>
      <c r="AJ65" s="372"/>
      <c r="AK65" s="372"/>
      <c r="AL65" s="372"/>
      <c r="AM65" s="372"/>
      <c r="AN65" s="372"/>
      <c r="AO65" s="372"/>
      <c r="AP65" s="372"/>
      <c r="AQ65" s="372"/>
      <c r="AR65" s="372"/>
      <c r="AS65" s="372"/>
      <c r="AT65" s="372"/>
      <c r="AU65" s="372"/>
      <c r="AV65" s="372"/>
      <c r="AW65" s="372"/>
      <c r="AX65" s="372"/>
      <c r="AY65" s="372"/>
      <c r="AZ65" s="372"/>
      <c r="BA65" s="372"/>
      <c r="BB65" s="372"/>
      <c r="BC65" s="372"/>
      <c r="BD65" s="372"/>
      <c r="BE65" s="372"/>
      <c r="BF65" s="372"/>
      <c r="BG65" s="372"/>
      <c r="BH65" s="372"/>
      <c r="BI65" s="372"/>
      <c r="BJ65" s="372"/>
      <c r="BK65" s="335"/>
      <c r="BL65" s="10">
        <f t="shared" si="126"/>
        <v>0</v>
      </c>
      <c r="BM65" s="10">
        <f t="shared" si="126"/>
        <v>8</v>
      </c>
      <c r="BN65" s="10">
        <f t="shared" si="126"/>
        <v>0</v>
      </c>
      <c r="BO65" s="10">
        <f t="shared" si="126"/>
        <v>0</v>
      </c>
      <c r="BP65" s="141"/>
      <c r="BQ65" s="141"/>
      <c r="BR65" s="141"/>
      <c r="BS65" s="141"/>
      <c r="BT65" s="141"/>
      <c r="BU65" s="141"/>
      <c r="BV65" s="141"/>
      <c r="BW65" s="141"/>
      <c r="BY65" s="12"/>
      <c r="BZ65" s="395">
        <f>IF(MIN($V65:$BW65)&lt;0, 1, 0)</f>
        <v>0</v>
      </c>
      <c r="CA65" s="12"/>
      <c r="CC65" s="7">
        <f t="shared" si="127"/>
        <v>0</v>
      </c>
      <c r="CD65" s="7">
        <f t="shared" si="128"/>
        <v>0</v>
      </c>
      <c r="CE65" s="7">
        <f t="shared" si="129"/>
        <v>0</v>
      </c>
      <c r="CF65" s="12"/>
      <c r="CG65" s="352">
        <f t="shared" si="130"/>
        <v>0</v>
      </c>
      <c r="CH65" s="352">
        <f t="shared" si="130"/>
        <v>0</v>
      </c>
      <c r="CI65" s="352">
        <f t="shared" si="130"/>
        <v>0</v>
      </c>
      <c r="CJ65" s="352">
        <f>ROUND($BM65-SUMIFS($AA65:$BJ65, $AA$3:$BJ$3, $BM$3), rounding)</f>
        <v>0</v>
      </c>
      <c r="CK65" s="352">
        <f>ROUND($BN65-SUMIFS($AA65:$BJ65, $AA$3:$BJ$3, $BN$3), rounding)</f>
        <v>0</v>
      </c>
      <c r="CL65" s="352">
        <f>ROUND($BO65-SUMIFS($AA65:$BJ65, $AA$3:$BJ$3, $BO$3), rounding)</f>
        <v>0</v>
      </c>
      <c r="CM65" s="352">
        <f>ROUND($V65-$BL65, rounding)</f>
        <v>0</v>
      </c>
      <c r="ER65" s="12"/>
      <c r="ES65" s="4">
        <v>1</v>
      </c>
      <c r="ET65" s="335">
        <v>1</v>
      </c>
      <c r="EU65" s="335"/>
      <c r="EV65" s="335"/>
      <c r="EX65" s="10" t="str">
        <f t="shared" si="40"/>
        <v>Other European Funding</v>
      </c>
    </row>
    <row r="66" spans="1:154" s="323" customFormat="1" x14ac:dyDescent="0.25">
      <c r="A66" s="362" cm="1">
        <f t="array" aca="1" ref="A66" ca="1">HYPERLINK(CONCATENATE("#",CELL("address",IF(SUM($CA66:$CH66)=0,A66,INDEX($CA66:$CH66,MATCH(1,$CA66:$CH66,0))))),SUM($CA66:$CH66))</f>
        <v>0</v>
      </c>
      <c r="B66" s="93"/>
      <c r="C66" s="343" t="str">
        <f>CONCATENATE("M-", 'I&amp;E Annual'!C66)</f>
        <v>M-IE-1e-SI</v>
      </c>
      <c r="D66" s="137" t="s">
        <v>851</v>
      </c>
      <c r="E66" s="335"/>
      <c r="G66" s="335"/>
      <c r="H66" s="323" t="s">
        <v>8</v>
      </c>
      <c r="S66" s="335"/>
      <c r="T66" s="25"/>
      <c r="U66" s="25"/>
      <c r="V66" s="141"/>
      <c r="W66" s="215">
        <f t="shared" si="125"/>
        <v>0</v>
      </c>
      <c r="X66" s="215">
        <f t="shared" si="125"/>
        <v>0</v>
      </c>
      <c r="Y66" s="215">
        <f t="shared" si="125"/>
        <v>0</v>
      </c>
      <c r="Z66" s="335"/>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D66" s="372"/>
      <c r="BE66" s="372"/>
      <c r="BF66" s="372"/>
      <c r="BG66" s="372"/>
      <c r="BH66" s="372"/>
      <c r="BI66" s="372"/>
      <c r="BJ66" s="372"/>
      <c r="BK66" s="335"/>
      <c r="BL66" s="10">
        <f t="shared" si="126"/>
        <v>0</v>
      </c>
      <c r="BM66" s="10">
        <f t="shared" si="126"/>
        <v>0</v>
      </c>
      <c r="BN66" s="10">
        <f t="shared" si="126"/>
        <v>0</v>
      </c>
      <c r="BO66" s="10">
        <f t="shared" si="126"/>
        <v>0</v>
      </c>
      <c r="BP66" s="141"/>
      <c r="BQ66" s="141"/>
      <c r="BR66" s="141"/>
      <c r="BS66" s="141"/>
      <c r="BT66" s="141"/>
      <c r="BU66" s="141"/>
      <c r="BV66" s="141"/>
      <c r="BW66" s="141"/>
      <c r="BY66" s="12"/>
      <c r="BZ66" s="395">
        <f>IF(MIN($V66:$BW66)&lt;0, 1, 0)</f>
        <v>0</v>
      </c>
      <c r="CA66" s="12"/>
      <c r="CC66" s="7">
        <f t="shared" si="127"/>
        <v>0</v>
      </c>
      <c r="CD66" s="7">
        <f t="shared" si="128"/>
        <v>0</v>
      </c>
      <c r="CE66" s="7">
        <f t="shared" si="129"/>
        <v>0</v>
      </c>
      <c r="CF66" s="12"/>
      <c r="CG66" s="352">
        <f t="shared" si="130"/>
        <v>0</v>
      </c>
      <c r="CH66" s="352">
        <f t="shared" si="130"/>
        <v>0</v>
      </c>
      <c r="CI66" s="352">
        <f t="shared" si="130"/>
        <v>0</v>
      </c>
      <c r="CJ66" s="352">
        <f>ROUND($BM66-SUMIFS($AA66:$BJ66, $AA$3:$BJ$3, $BM$3), rounding)</f>
        <v>0</v>
      </c>
      <c r="CK66" s="352">
        <f>ROUND($BN66-SUMIFS($AA66:$BJ66, $AA$3:$BJ$3, $BN$3), rounding)</f>
        <v>0</v>
      </c>
      <c r="CL66" s="352">
        <f>ROUND($BO66-SUMIFS($AA66:$BJ66, $AA$3:$BJ$3, $BO$3), rounding)</f>
        <v>0</v>
      </c>
      <c r="CM66" s="352">
        <f>ROUND($V66-$BL66, rounding)</f>
        <v>0</v>
      </c>
      <c r="ER66" s="12"/>
      <c r="ES66" s="4">
        <v>1</v>
      </c>
      <c r="ET66" s="335">
        <v>1</v>
      </c>
      <c r="EU66" s="335"/>
      <c r="EV66" s="335"/>
      <c r="EX66" s="10" t="str">
        <f t="shared" si="40"/>
        <v>Subcontracted in - European Funding</v>
      </c>
    </row>
    <row r="67" spans="1:154" s="323" customFormat="1" x14ac:dyDescent="0.25">
      <c r="A67" s="362" cm="1">
        <f t="array" aca="1" ref="A67" ca="1">HYPERLINK(CONCATENATE("#",CELL("address",IF(SUM($CA67:$CH67)=0,A67,INDEX($CA67:$CH67,MATCH(1,$CA67:$CH67,0))))),SUM($CA67:$CH67))</f>
        <v>0</v>
      </c>
      <c r="B67" s="93"/>
      <c r="C67" s="343" t="str">
        <f>CONCATENATE("M-", 'I&amp;E Annual'!C67)</f>
        <v>M-IE-1e</v>
      </c>
      <c r="D67" s="176" t="s">
        <v>852</v>
      </c>
      <c r="H67" s="323" t="s">
        <v>8</v>
      </c>
      <c r="T67" s="25"/>
      <c r="U67" s="25"/>
      <c r="V67" s="13">
        <f>SUM(V64:V66)</f>
        <v>0</v>
      </c>
      <c r="W67" s="13">
        <f>SUM(W64:W66)</f>
        <v>8</v>
      </c>
      <c r="X67" s="13">
        <f>SUM(X64:X66)</f>
        <v>0</v>
      </c>
      <c r="Y67" s="13">
        <f>SUM(Y64:Y66)</f>
        <v>0</v>
      </c>
      <c r="AA67" s="13">
        <f t="shared" ref="AA67:BJ67" si="131">SUM(AA64:AA66)</f>
        <v>0</v>
      </c>
      <c r="AB67" s="13">
        <f t="shared" si="131"/>
        <v>0</v>
      </c>
      <c r="AC67" s="13">
        <f t="shared" si="131"/>
        <v>0</v>
      </c>
      <c r="AD67" s="13">
        <f t="shared" si="131"/>
        <v>0</v>
      </c>
      <c r="AE67" s="13">
        <f t="shared" si="131"/>
        <v>0</v>
      </c>
      <c r="AF67" s="13">
        <f t="shared" si="131"/>
        <v>0</v>
      </c>
      <c r="AG67" s="13">
        <f t="shared" si="131"/>
        <v>8</v>
      </c>
      <c r="AH67" s="13">
        <f t="shared" si="131"/>
        <v>0</v>
      </c>
      <c r="AI67" s="13">
        <f t="shared" si="131"/>
        <v>0</v>
      </c>
      <c r="AJ67" s="13">
        <f t="shared" si="131"/>
        <v>0</v>
      </c>
      <c r="AK67" s="13">
        <f t="shared" si="131"/>
        <v>0</v>
      </c>
      <c r="AL67" s="13">
        <f t="shared" si="131"/>
        <v>0</v>
      </c>
      <c r="AM67" s="13">
        <f t="shared" si="131"/>
        <v>0</v>
      </c>
      <c r="AN67" s="13">
        <f t="shared" si="131"/>
        <v>0</v>
      </c>
      <c r="AO67" s="13">
        <f t="shared" si="131"/>
        <v>0</v>
      </c>
      <c r="AP67" s="13">
        <f t="shared" si="131"/>
        <v>0</v>
      </c>
      <c r="AQ67" s="13">
        <f t="shared" si="131"/>
        <v>0</v>
      </c>
      <c r="AR67" s="13">
        <f t="shared" si="131"/>
        <v>0</v>
      </c>
      <c r="AS67" s="13">
        <f t="shared" si="131"/>
        <v>0</v>
      </c>
      <c r="AT67" s="13">
        <f t="shared" si="131"/>
        <v>0</v>
      </c>
      <c r="AU67" s="13">
        <f t="shared" si="131"/>
        <v>0</v>
      </c>
      <c r="AV67" s="13">
        <f t="shared" si="131"/>
        <v>0</v>
      </c>
      <c r="AW67" s="13">
        <f t="shared" si="131"/>
        <v>0</v>
      </c>
      <c r="AX67" s="13">
        <f t="shared" si="131"/>
        <v>0</v>
      </c>
      <c r="AY67" s="13">
        <f t="shared" si="131"/>
        <v>0</v>
      </c>
      <c r="AZ67" s="13">
        <f t="shared" si="131"/>
        <v>0</v>
      </c>
      <c r="BA67" s="13">
        <f t="shared" si="131"/>
        <v>0</v>
      </c>
      <c r="BB67" s="13">
        <f t="shared" si="131"/>
        <v>0</v>
      </c>
      <c r="BC67" s="13">
        <f t="shared" si="131"/>
        <v>0</v>
      </c>
      <c r="BD67" s="13">
        <f t="shared" si="131"/>
        <v>0</v>
      </c>
      <c r="BE67" s="13">
        <f t="shared" si="131"/>
        <v>0</v>
      </c>
      <c r="BF67" s="13">
        <f t="shared" si="131"/>
        <v>0</v>
      </c>
      <c r="BG67" s="13">
        <f t="shared" si="131"/>
        <v>0</v>
      </c>
      <c r="BH67" s="13">
        <f t="shared" si="131"/>
        <v>0</v>
      </c>
      <c r="BI67" s="13">
        <f t="shared" si="131"/>
        <v>0</v>
      </c>
      <c r="BJ67" s="13">
        <f t="shared" si="131"/>
        <v>0</v>
      </c>
      <c r="BL67" s="13">
        <f t="shared" ref="BL67:BW67" si="132">SUM(BL64:BL66)</f>
        <v>0</v>
      </c>
      <c r="BM67" s="13">
        <f t="shared" si="132"/>
        <v>8</v>
      </c>
      <c r="BN67" s="13">
        <f t="shared" si="132"/>
        <v>0</v>
      </c>
      <c r="BO67" s="13">
        <f t="shared" si="132"/>
        <v>0</v>
      </c>
      <c r="BP67" s="13">
        <f t="shared" si="132"/>
        <v>0</v>
      </c>
      <c r="BQ67" s="13">
        <f t="shared" si="132"/>
        <v>0</v>
      </c>
      <c r="BR67" s="13">
        <f t="shared" si="132"/>
        <v>0</v>
      </c>
      <c r="BS67" s="13">
        <f t="shared" si="132"/>
        <v>0</v>
      </c>
      <c r="BT67" s="13">
        <f t="shared" si="132"/>
        <v>0</v>
      </c>
      <c r="BU67" s="13">
        <f t="shared" si="132"/>
        <v>0</v>
      </c>
      <c r="BV67" s="13">
        <f t="shared" si="132"/>
        <v>0</v>
      </c>
      <c r="BW67" s="13">
        <f t="shared" si="132"/>
        <v>0</v>
      </c>
      <c r="BY67" s="12"/>
      <c r="BZ67" s="395">
        <f>IF(MIN($V67:$BW67)&lt;0, 1, 0)</f>
        <v>0</v>
      </c>
      <c r="CA67" s="12"/>
      <c r="CC67" s="7">
        <f t="shared" si="127"/>
        <v>0</v>
      </c>
      <c r="CD67" s="7">
        <f t="shared" si="128"/>
        <v>0</v>
      </c>
      <c r="CE67" s="7">
        <f t="shared" si="129"/>
        <v>0</v>
      </c>
      <c r="CF67" s="12"/>
      <c r="CG67" s="352">
        <f t="shared" si="130"/>
        <v>0</v>
      </c>
      <c r="CH67" s="352">
        <f t="shared" si="130"/>
        <v>0</v>
      </c>
      <c r="CI67" s="352">
        <f t="shared" si="130"/>
        <v>0</v>
      </c>
      <c r="CJ67" s="352">
        <f>ROUND($BM67-SUMIFS($AA67:$BJ67, $AA$3:$BJ$3, $BM$3), rounding)</f>
        <v>0</v>
      </c>
      <c r="CK67" s="352">
        <f>ROUND($BN67-SUMIFS($AA67:$BJ67, $AA$3:$BJ$3, $BN$3), rounding)</f>
        <v>0</v>
      </c>
      <c r="CL67" s="352">
        <f>ROUND($BO67-SUMIFS($AA67:$BJ67, $AA$3:$BJ$3, $BO$3), rounding)</f>
        <v>0</v>
      </c>
      <c r="CM67" s="352">
        <f>ROUND($V67-$BL67, rounding)</f>
        <v>0</v>
      </c>
      <c r="ER67" s="12"/>
      <c r="ES67" s="323">
        <v>0</v>
      </c>
      <c r="ET67" s="335">
        <v>0</v>
      </c>
      <c r="EU67" s="335"/>
      <c r="EV67" s="335"/>
      <c r="EX67" s="10" t="str">
        <f t="shared" si="40"/>
        <v>Total European Funding</v>
      </c>
    </row>
    <row r="68" spans="1:154" s="323" customFormat="1" ht="30" x14ac:dyDescent="0.25">
      <c r="A68" s="362" cm="1">
        <f t="array" aca="1" ref="A68" ca="1">HYPERLINK(CONCATENATE("#",CELL("address",IF(SUM($CA68:$CH68)=0,A68,INDEX($CA68:$CH68,MATCH(1,$CA68:$CH68,0))))),SUM($CA68:$CH68))</f>
        <v>0</v>
      </c>
      <c r="B68" s="93"/>
      <c r="C68" s="343" t="str">
        <f>CONCATENATE("M-", 'I&amp;E Annual'!C68)</f>
        <v>M-IE-1e-SO</v>
      </c>
      <c r="D68" s="137" t="s">
        <v>853</v>
      </c>
      <c r="H68" s="323" t="s">
        <v>8</v>
      </c>
      <c r="S68" s="335"/>
      <c r="T68" s="25"/>
      <c r="U68" s="25"/>
      <c r="V68" s="141"/>
      <c r="W68" s="215">
        <f xml:space="preserve"> SUMIFS($AA68:$BJ68, $AA$3:$BJ$3, W$3)</f>
        <v>0</v>
      </c>
      <c r="X68" s="215">
        <f xml:space="preserve"> SUMIFS($AA68:$BJ68, $AA$3:$BJ$3, X$3)</f>
        <v>0</v>
      </c>
      <c r="Y68" s="215">
        <f xml:space="preserve"> SUMIFS($AA68:$BJ68, $AA$3:$BJ$3, Y$3)</f>
        <v>0</v>
      </c>
      <c r="AA68" s="372"/>
      <c r="AB68" s="372"/>
      <c r="AC68" s="372"/>
      <c r="AD68" s="372"/>
      <c r="AE68" s="372"/>
      <c r="AF68" s="372"/>
      <c r="AG68" s="372"/>
      <c r="AH68" s="372"/>
      <c r="AI68" s="372"/>
      <c r="AJ68" s="372"/>
      <c r="AK68" s="372"/>
      <c r="AL68" s="372"/>
      <c r="AM68" s="372"/>
      <c r="AN68" s="372"/>
      <c r="AO68" s="372"/>
      <c r="AP68" s="372"/>
      <c r="AQ68" s="372"/>
      <c r="AR68" s="372"/>
      <c r="AS68" s="372"/>
      <c r="AT68" s="372"/>
      <c r="AU68" s="372"/>
      <c r="AV68" s="372"/>
      <c r="AW68" s="372"/>
      <c r="AX68" s="372"/>
      <c r="AY68" s="372"/>
      <c r="AZ68" s="372"/>
      <c r="BA68" s="372"/>
      <c r="BB68" s="372"/>
      <c r="BC68" s="372"/>
      <c r="BD68" s="372"/>
      <c r="BE68" s="372"/>
      <c r="BF68" s="372"/>
      <c r="BG68" s="372"/>
      <c r="BH68" s="372"/>
      <c r="BI68" s="372"/>
      <c r="BJ68" s="372"/>
      <c r="BL68" s="10">
        <f>V68</f>
        <v>0</v>
      </c>
      <c r="BM68" s="10">
        <f>W68</f>
        <v>0</v>
      </c>
      <c r="BN68" s="10">
        <f>X68</f>
        <v>0</v>
      </c>
      <c r="BO68" s="10">
        <f>Y68</f>
        <v>0</v>
      </c>
      <c r="BP68" s="141"/>
      <c r="BQ68" s="141"/>
      <c r="BR68" s="141"/>
      <c r="BS68" s="141"/>
      <c r="BT68" s="141"/>
      <c r="BU68" s="141"/>
      <c r="BV68" s="141"/>
      <c r="BW68" s="141"/>
      <c r="BY68" s="12"/>
      <c r="BZ68" s="395">
        <f>IF(MIN($V68:$BW68)&lt;0, 1, 0)</f>
        <v>0</v>
      </c>
      <c r="CA68" s="12"/>
      <c r="CB68" s="7">
        <f>IF(CN68=0, 0, 1)</f>
        <v>0</v>
      </c>
      <c r="CC68" s="7">
        <f t="shared" si="127"/>
        <v>0</v>
      </c>
      <c r="CD68" s="7">
        <f t="shared" si="128"/>
        <v>0</v>
      </c>
      <c r="CE68" s="7">
        <f t="shared" si="129"/>
        <v>0</v>
      </c>
      <c r="CF68" s="12"/>
      <c r="CG68" s="352">
        <f t="shared" si="130"/>
        <v>0</v>
      </c>
      <c r="CH68" s="352">
        <f t="shared" si="130"/>
        <v>0</v>
      </c>
      <c r="CI68" s="352">
        <f t="shared" si="130"/>
        <v>0</v>
      </c>
      <c r="CJ68" s="352">
        <f>ROUND($BM68-SUMIFS($AA68:$BJ68, $AA$3:$BJ$3, $BM$3), rounding)</f>
        <v>0</v>
      </c>
      <c r="CK68" s="352">
        <f>ROUND($BN68-SUMIFS($AA68:$BJ68, $AA$3:$BJ$3, $BN$3), rounding)</f>
        <v>0</v>
      </c>
      <c r="CL68" s="352">
        <f>ROUND($BO68-SUMIFS($AA68:$BJ68, $AA$3:$BJ$3, $BO$3), rounding)</f>
        <v>0</v>
      </c>
      <c r="CM68" s="352">
        <f>ROUND($V68-$BL68, rounding)</f>
        <v>0</v>
      </c>
      <c r="CN68" s="352">
        <f>SUM(CP68:EQ68)</f>
        <v>0</v>
      </c>
      <c r="CP68" s="7">
        <f>IF(V68&gt;V67, 1, 0)</f>
        <v>0</v>
      </c>
      <c r="CQ68" s="7">
        <f>IF(W68&gt;W67, 1, 0)</f>
        <v>0</v>
      </c>
      <c r="CR68" s="7">
        <f>IF(X68&gt;X67, 1, 0)</f>
        <v>0</v>
      </c>
      <c r="CS68" s="7">
        <f>IF(Y68&gt;Y67, 1, 0)</f>
        <v>0</v>
      </c>
      <c r="CU68" s="7">
        <f t="shared" ref="CU68:ED68" si="133">IF(AA68&gt;AA67, 1, 0)</f>
        <v>0</v>
      </c>
      <c r="CV68" s="7">
        <f t="shared" si="133"/>
        <v>0</v>
      </c>
      <c r="CW68" s="7">
        <f t="shared" si="133"/>
        <v>0</v>
      </c>
      <c r="CX68" s="7">
        <f t="shared" si="133"/>
        <v>0</v>
      </c>
      <c r="CY68" s="7">
        <f t="shared" si="133"/>
        <v>0</v>
      </c>
      <c r="CZ68" s="7">
        <f t="shared" si="133"/>
        <v>0</v>
      </c>
      <c r="DA68" s="7">
        <f t="shared" si="133"/>
        <v>0</v>
      </c>
      <c r="DB68" s="7">
        <f t="shared" si="133"/>
        <v>0</v>
      </c>
      <c r="DC68" s="7">
        <f t="shared" si="133"/>
        <v>0</v>
      </c>
      <c r="DD68" s="7">
        <f t="shared" si="133"/>
        <v>0</v>
      </c>
      <c r="DE68" s="7">
        <f t="shared" si="133"/>
        <v>0</v>
      </c>
      <c r="DF68" s="7">
        <f t="shared" si="133"/>
        <v>0</v>
      </c>
      <c r="DG68" s="7">
        <f t="shared" si="133"/>
        <v>0</v>
      </c>
      <c r="DH68" s="7">
        <f t="shared" si="133"/>
        <v>0</v>
      </c>
      <c r="DI68" s="7">
        <f t="shared" si="133"/>
        <v>0</v>
      </c>
      <c r="DJ68" s="7">
        <f t="shared" si="133"/>
        <v>0</v>
      </c>
      <c r="DK68" s="7">
        <f t="shared" si="133"/>
        <v>0</v>
      </c>
      <c r="DL68" s="7">
        <f t="shared" si="133"/>
        <v>0</v>
      </c>
      <c r="DM68" s="7">
        <f t="shared" si="133"/>
        <v>0</v>
      </c>
      <c r="DN68" s="7">
        <f t="shared" si="133"/>
        <v>0</v>
      </c>
      <c r="DO68" s="7">
        <f t="shared" si="133"/>
        <v>0</v>
      </c>
      <c r="DP68" s="7">
        <f t="shared" si="133"/>
        <v>0</v>
      </c>
      <c r="DQ68" s="7">
        <f t="shared" si="133"/>
        <v>0</v>
      </c>
      <c r="DR68" s="7">
        <f t="shared" si="133"/>
        <v>0</v>
      </c>
      <c r="DS68" s="7">
        <f t="shared" si="133"/>
        <v>0</v>
      </c>
      <c r="DT68" s="7">
        <f t="shared" si="133"/>
        <v>0</v>
      </c>
      <c r="DU68" s="7">
        <f t="shared" si="133"/>
        <v>0</v>
      </c>
      <c r="DV68" s="7">
        <f t="shared" si="133"/>
        <v>0</v>
      </c>
      <c r="DW68" s="7">
        <f t="shared" si="133"/>
        <v>0</v>
      </c>
      <c r="DX68" s="7">
        <f t="shared" si="133"/>
        <v>0</v>
      </c>
      <c r="DY68" s="7">
        <f t="shared" si="133"/>
        <v>0</v>
      </c>
      <c r="DZ68" s="7">
        <f t="shared" si="133"/>
        <v>0</v>
      </c>
      <c r="EA68" s="7">
        <f t="shared" si="133"/>
        <v>0</v>
      </c>
      <c r="EB68" s="7">
        <f t="shared" si="133"/>
        <v>0</v>
      </c>
      <c r="EC68" s="7">
        <f t="shared" si="133"/>
        <v>0</v>
      </c>
      <c r="ED68" s="7">
        <f t="shared" si="133"/>
        <v>0</v>
      </c>
      <c r="EF68" s="7">
        <f t="shared" ref="EF68:EQ68" si="134">IF(BL68&gt;BL67, 1, 0)</f>
        <v>0</v>
      </c>
      <c r="EG68" s="7">
        <f t="shared" si="134"/>
        <v>0</v>
      </c>
      <c r="EH68" s="7">
        <f t="shared" si="134"/>
        <v>0</v>
      </c>
      <c r="EI68" s="7">
        <f t="shared" si="134"/>
        <v>0</v>
      </c>
      <c r="EJ68" s="7">
        <f t="shared" si="134"/>
        <v>0</v>
      </c>
      <c r="EK68" s="7">
        <f t="shared" si="134"/>
        <v>0</v>
      </c>
      <c r="EL68" s="7">
        <f t="shared" si="134"/>
        <v>0</v>
      </c>
      <c r="EM68" s="7">
        <f t="shared" si="134"/>
        <v>0</v>
      </c>
      <c r="EN68" s="7">
        <f t="shared" si="134"/>
        <v>0</v>
      </c>
      <c r="EO68" s="7">
        <f t="shared" si="134"/>
        <v>0</v>
      </c>
      <c r="EP68" s="7">
        <f t="shared" si="134"/>
        <v>0</v>
      </c>
      <c r="EQ68" s="7">
        <f t="shared" si="134"/>
        <v>0</v>
      </c>
      <c r="ER68" s="12"/>
      <c r="ES68" s="4">
        <v>0</v>
      </c>
      <c r="ET68" s="335">
        <v>0</v>
      </c>
      <c r="EU68" s="335"/>
      <c r="EV68" s="335"/>
      <c r="EX68" s="10" t="str">
        <f t="shared" si="40"/>
        <v>Of which: subcontracted out European Funding income</v>
      </c>
    </row>
    <row r="69" spans="1:154" s="335" customFormat="1" ht="6.6" customHeight="1" x14ac:dyDescent="0.25">
      <c r="B69" s="93"/>
      <c r="C69" s="383"/>
      <c r="D69" s="334"/>
      <c r="E69" s="25"/>
      <c r="F69" s="25"/>
      <c r="T69" s="25"/>
      <c r="U69" s="25"/>
      <c r="V69" s="25"/>
      <c r="W69" s="25"/>
      <c r="X69" s="25"/>
      <c r="Y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L69" s="25"/>
      <c r="BM69" s="155"/>
      <c r="BN69" s="25"/>
      <c r="BO69" s="25"/>
      <c r="BP69" s="25"/>
      <c r="BQ69" s="25"/>
      <c r="BR69" s="25"/>
      <c r="BS69" s="25"/>
      <c r="BT69" s="25"/>
      <c r="BU69" s="25"/>
      <c r="BV69" s="25"/>
      <c r="BW69" s="25"/>
      <c r="BY69" s="42"/>
      <c r="BZ69" s="162"/>
      <c r="CA69" s="42"/>
      <c r="CF69" s="42"/>
      <c r="ER69" s="42"/>
      <c r="ES69" s="335">
        <v>0</v>
      </c>
      <c r="ET69" s="335">
        <v>0</v>
      </c>
      <c r="EX69" s="10" t="str">
        <f t="shared" ref="EX69:EX134" si="135">IF($C69="","",$D69)</f>
        <v/>
      </c>
    </row>
    <row r="70" spans="1:154" ht="30" x14ac:dyDescent="0.25">
      <c r="A70" s="335"/>
      <c r="B70" s="336"/>
      <c r="C70" s="383"/>
      <c r="D70" s="176" t="s">
        <v>32</v>
      </c>
      <c r="E70" s="82"/>
      <c r="F70" s="25"/>
      <c r="T70" s="25"/>
      <c r="U70" s="25"/>
      <c r="V70" s="25"/>
      <c r="W70" s="25"/>
      <c r="X70" s="25"/>
      <c r="Y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L70" s="25"/>
      <c r="BM70" s="25"/>
      <c r="BN70" s="25"/>
      <c r="BO70" s="25"/>
      <c r="BP70" s="25"/>
      <c r="BQ70" s="25"/>
      <c r="BR70" s="25"/>
      <c r="BS70" s="25"/>
      <c r="BT70" s="25"/>
      <c r="BU70" s="25"/>
      <c r="BV70" s="25"/>
      <c r="BW70" s="25"/>
      <c r="BY70" s="12"/>
      <c r="CA70" s="12"/>
      <c r="CF70" s="12"/>
      <c r="CN70" s="67"/>
      <c r="ER70" s="12"/>
      <c r="ES70">
        <v>0</v>
      </c>
      <c r="ET70" s="335">
        <v>0</v>
      </c>
      <c r="EX70" s="10" t="str">
        <f t="shared" si="135"/>
        <v/>
      </c>
    </row>
    <row r="71" spans="1:154" ht="15.75" x14ac:dyDescent="0.3">
      <c r="A71" s="362" cm="1">
        <f t="array" aca="1" ref="A71" ca="1">HYPERLINK(CONCATENATE("#",CELL("address",IF(SUM($CA71:$CH71)=0,A71,INDEX($CA71:$CH71,MATCH(1,$CA71:$CH71,0))))),SUM($CA71:$CH71))</f>
        <v>0</v>
      </c>
      <c r="B71" s="479" t="s">
        <v>335</v>
      </c>
      <c r="C71" s="343" t="str">
        <f>CONCATENATE("M-", 'I&amp;E Annual'!C71)</f>
        <v>M-IE-1f-1</v>
      </c>
      <c r="D71" s="137" t="s">
        <v>2277</v>
      </c>
      <c r="H71" s="11" t="s">
        <v>8</v>
      </c>
      <c r="S71" s="335"/>
      <c r="T71" s="25"/>
      <c r="U71" s="25"/>
      <c r="V71" s="141"/>
      <c r="W71" s="215">
        <f t="shared" ref="W71:Y80" si="136" xml:space="preserve"> SUMIFS($AA71:$BJ71, $AA$3:$BJ$3, W$3)</f>
        <v>403</v>
      </c>
      <c r="X71" s="215">
        <f t="shared" si="136"/>
        <v>365</v>
      </c>
      <c r="Y71" s="215">
        <f t="shared" si="136"/>
        <v>365</v>
      </c>
      <c r="AA71" s="372">
        <v>67</v>
      </c>
      <c r="AB71" s="372">
        <v>274</v>
      </c>
      <c r="AC71" s="372">
        <v>47</v>
      </c>
      <c r="AD71" s="372">
        <v>57</v>
      </c>
      <c r="AE71" s="372">
        <v>-22</v>
      </c>
      <c r="AF71" s="372"/>
      <c r="AG71" s="372">
        <v>-10</v>
      </c>
      <c r="AH71" s="372">
        <v>21</v>
      </c>
      <c r="AI71" s="372">
        <v>5</v>
      </c>
      <c r="AJ71" s="372">
        <v>8</v>
      </c>
      <c r="AK71" s="372">
        <v>6</v>
      </c>
      <c r="AL71" s="372">
        <v>-50</v>
      </c>
      <c r="AM71" s="571">
        <v>47</v>
      </c>
      <c r="AN71" s="571">
        <v>224</v>
      </c>
      <c r="AO71" s="571">
        <v>47</v>
      </c>
      <c r="AP71" s="571">
        <v>57</v>
      </c>
      <c r="AQ71" s="571"/>
      <c r="AR71" s="571"/>
      <c r="AS71" s="571"/>
      <c r="AT71" s="571">
        <v>21</v>
      </c>
      <c r="AU71" s="571">
        <v>5</v>
      </c>
      <c r="AV71" s="571">
        <v>8</v>
      </c>
      <c r="AW71" s="571">
        <v>6</v>
      </c>
      <c r="AX71" s="571">
        <v>-50</v>
      </c>
      <c r="AY71" s="573">
        <v>47</v>
      </c>
      <c r="AZ71" s="573">
        <v>224</v>
      </c>
      <c r="BA71" s="573">
        <v>47</v>
      </c>
      <c r="BB71" s="573">
        <v>57</v>
      </c>
      <c r="BC71" s="573"/>
      <c r="BD71" s="573"/>
      <c r="BE71" s="573"/>
      <c r="BF71" s="573">
        <v>21</v>
      </c>
      <c r="BG71" s="573">
        <v>5</v>
      </c>
      <c r="BH71" s="573">
        <v>8</v>
      </c>
      <c r="BI71" s="573">
        <v>6</v>
      </c>
      <c r="BJ71" s="573">
        <v>-50</v>
      </c>
      <c r="BL71" s="10">
        <f t="shared" ref="BL71:BO76" si="137">V71</f>
        <v>0</v>
      </c>
      <c r="BM71" s="10">
        <f t="shared" si="137"/>
        <v>403</v>
      </c>
      <c r="BN71" s="10">
        <f t="shared" si="137"/>
        <v>365</v>
      </c>
      <c r="BO71" s="10">
        <f t="shared" si="137"/>
        <v>365</v>
      </c>
      <c r="BP71" s="141"/>
      <c r="BQ71" s="141"/>
      <c r="BR71" s="141"/>
      <c r="BS71" s="141"/>
      <c r="BT71" s="141"/>
      <c r="BU71" s="141"/>
      <c r="BV71" s="141"/>
      <c r="BW71" s="141"/>
      <c r="BY71" s="12"/>
      <c r="BZ71" s="395">
        <f t="shared" ref="BZ71:BZ83" si="138">IF(MIN($V71:$BW71)&lt;0, 1, 0)</f>
        <v>1</v>
      </c>
      <c r="CA71" s="12"/>
      <c r="CC71" s="7">
        <f t="shared" ref="CC71:CC84" si="139">IF(SUM($CG71:$CI71)=0, 0, 1)</f>
        <v>0</v>
      </c>
      <c r="CD71" s="7">
        <f t="shared" ref="CD71:CD84" si="140">IF(SUM($CJ71:$CL71)=0, 0, 1)</f>
        <v>0</v>
      </c>
      <c r="CE71" s="7">
        <f t="shared" ref="CE71:CE84" si="141">IF($CM71=0, 0, 1)</f>
        <v>0</v>
      </c>
      <c r="CF71" s="12"/>
      <c r="CG71" s="352">
        <f t="shared" ref="CG71:CG84" si="142">ROUND(W71-SUMIFS($AA71:$BJ71, $AA$3:$BJ$3, W$3), rounding)</f>
        <v>0</v>
      </c>
      <c r="CH71" s="352">
        <f t="shared" ref="CH71:CH84" si="143">ROUND(X71-SUMIFS($AA71:$BJ71, $AA$3:$BJ$3, X$3), rounding)</f>
        <v>0</v>
      </c>
      <c r="CI71" s="352">
        <f t="shared" ref="CI71:CI84" si="144">ROUND(Y71-SUMIFS($AA71:$BJ71, $AA$3:$BJ$3, Y$3), rounding)</f>
        <v>0</v>
      </c>
      <c r="CJ71" s="352">
        <f t="shared" ref="CJ71:CJ84" si="145">ROUND($BM71-SUMIFS($AA71:$BJ71, $AA$3:$BJ$3, $BM$3), rounding)</f>
        <v>0</v>
      </c>
      <c r="CK71" s="352">
        <f t="shared" ref="CK71:CK84" si="146">ROUND($BN71-SUMIFS($AA71:$BJ71, $AA$3:$BJ$3, $BN$3), rounding)</f>
        <v>0</v>
      </c>
      <c r="CL71" s="352">
        <f t="shared" ref="CL71:CL84" si="147">ROUND($BO71-SUMIFS($AA71:$BJ71, $AA$3:$BJ$3, $BO$3), rounding)</f>
        <v>0</v>
      </c>
      <c r="CM71" s="352">
        <f t="shared" ref="CM71:CM84" si="148">ROUND($V71-$BL71, rounding)</f>
        <v>0</v>
      </c>
      <c r="CN71" s="67"/>
      <c r="ER71" s="12"/>
      <c r="ES71" s="4">
        <v>1</v>
      </c>
      <c r="ET71" s="335">
        <v>1</v>
      </c>
      <c r="EX71" s="10" t="str">
        <f t="shared" si="135"/>
        <v>Full cost provision</v>
      </c>
    </row>
    <row r="72" spans="1:154" x14ac:dyDescent="0.25">
      <c r="A72" s="362" cm="1">
        <f t="array" aca="1" ref="A72" ca="1">HYPERLINK(CONCATENATE("#",CELL("address",IF(SUM($CA72:$CH72)=0,A72,INDEX($CA72:$CH72,MATCH(1,$CA72:$CH72,0))))),SUM($CA72:$CH72))</f>
        <v>0</v>
      </c>
      <c r="B72" s="93"/>
      <c r="C72" s="343" t="str">
        <f>CONCATENATE("M-", 'I&amp;E Annual'!C72)</f>
        <v>M-IE-1f-2</v>
      </c>
      <c r="D72" s="137" t="s">
        <v>2278</v>
      </c>
      <c r="H72" s="11" t="s">
        <v>8</v>
      </c>
      <c r="S72" s="335"/>
      <c r="T72" s="25"/>
      <c r="U72" s="25"/>
      <c r="V72" s="141"/>
      <c r="W72" s="215">
        <f t="shared" si="136"/>
        <v>436</v>
      </c>
      <c r="X72" s="215">
        <f t="shared" si="136"/>
        <v>376</v>
      </c>
      <c r="Y72" s="215">
        <f t="shared" si="136"/>
        <v>376</v>
      </c>
      <c r="AA72" s="372"/>
      <c r="AB72" s="372">
        <v>317</v>
      </c>
      <c r="AC72" s="372">
        <v>87</v>
      </c>
      <c r="AD72" s="372">
        <v>80</v>
      </c>
      <c r="AE72" s="372">
        <v>-5</v>
      </c>
      <c r="AF72" s="372"/>
      <c r="AG72" s="372">
        <v>-10</v>
      </c>
      <c r="AH72" s="372">
        <v>-2</v>
      </c>
      <c r="AI72" s="372">
        <v>11</v>
      </c>
      <c r="AJ72" s="372">
        <v>8</v>
      </c>
      <c r="AK72" s="372"/>
      <c r="AL72" s="372">
        <v>-50</v>
      </c>
      <c r="AM72" s="571"/>
      <c r="AN72" s="571">
        <v>267</v>
      </c>
      <c r="AO72" s="571">
        <v>70</v>
      </c>
      <c r="AP72" s="571">
        <v>70</v>
      </c>
      <c r="AQ72" s="571"/>
      <c r="AR72" s="571"/>
      <c r="AS72" s="571"/>
      <c r="AT72" s="571"/>
      <c r="AU72" s="571">
        <v>11</v>
      </c>
      <c r="AV72" s="571">
        <v>8</v>
      </c>
      <c r="AW72" s="571"/>
      <c r="AX72" s="571">
        <v>-50</v>
      </c>
      <c r="AY72" s="573"/>
      <c r="AZ72" s="573">
        <v>267</v>
      </c>
      <c r="BA72" s="573">
        <v>70</v>
      </c>
      <c r="BB72" s="573">
        <v>70</v>
      </c>
      <c r="BC72" s="573"/>
      <c r="BD72" s="573"/>
      <c r="BE72" s="573"/>
      <c r="BF72" s="573"/>
      <c r="BG72" s="573">
        <v>11</v>
      </c>
      <c r="BH72" s="573">
        <v>8</v>
      </c>
      <c r="BI72" s="573"/>
      <c r="BJ72" s="573">
        <v>-50</v>
      </c>
      <c r="BL72" s="10">
        <f t="shared" si="137"/>
        <v>0</v>
      </c>
      <c r="BM72" s="10">
        <f t="shared" si="137"/>
        <v>436</v>
      </c>
      <c r="BN72" s="10">
        <f t="shared" si="137"/>
        <v>376</v>
      </c>
      <c r="BO72" s="10">
        <f t="shared" si="137"/>
        <v>376</v>
      </c>
      <c r="BP72" s="141"/>
      <c r="BQ72" s="141"/>
      <c r="BR72" s="141"/>
      <c r="BS72" s="141"/>
      <c r="BT72" s="141"/>
      <c r="BU72" s="141"/>
      <c r="BV72" s="141"/>
      <c r="BW72" s="141"/>
      <c r="BY72" s="12"/>
      <c r="BZ72" s="395">
        <f t="shared" si="138"/>
        <v>1</v>
      </c>
      <c r="CA72" s="12"/>
      <c r="CC72" s="7">
        <f t="shared" si="139"/>
        <v>0</v>
      </c>
      <c r="CD72" s="7">
        <f t="shared" si="140"/>
        <v>0</v>
      </c>
      <c r="CE72" s="7">
        <f t="shared" si="141"/>
        <v>0</v>
      </c>
      <c r="CF72" s="12"/>
      <c r="CG72" s="352">
        <f t="shared" si="142"/>
        <v>0</v>
      </c>
      <c r="CH72" s="352">
        <f t="shared" si="143"/>
        <v>0</v>
      </c>
      <c r="CI72" s="352">
        <f t="shared" si="144"/>
        <v>0</v>
      </c>
      <c r="CJ72" s="352">
        <f t="shared" si="145"/>
        <v>0</v>
      </c>
      <c r="CK72" s="352">
        <f t="shared" si="146"/>
        <v>0</v>
      </c>
      <c r="CL72" s="352">
        <f t="shared" si="147"/>
        <v>0</v>
      </c>
      <c r="CM72" s="352">
        <f t="shared" si="148"/>
        <v>0</v>
      </c>
      <c r="CN72" s="67"/>
      <c r="ER72" s="12"/>
      <c r="ES72" s="4">
        <v>1</v>
      </c>
      <c r="ET72" s="335">
        <v>1</v>
      </c>
      <c r="EX72" s="10" t="str">
        <f t="shared" si="135"/>
        <v>HE home student fees (not loans)</v>
      </c>
    </row>
    <row r="73" spans="1:154" ht="15.75" x14ac:dyDescent="0.3">
      <c r="A73" s="362" cm="1">
        <f t="array" aca="1" ref="A73" ca="1">HYPERLINK(CONCATENATE("#",CELL("address",IF(SUM($CA73:$CH73)=0,A73,INDEX($CA73:$CH73,MATCH(1,$CA73:$CH73,0))))),SUM($CA73:$CH73))</f>
        <v>0</v>
      </c>
      <c r="B73" s="479" t="s">
        <v>335</v>
      </c>
      <c r="C73" s="343" t="str">
        <f>CONCATENATE("M-", 'I&amp;E Annual'!C73)</f>
        <v>M-IE-1f-3</v>
      </c>
      <c r="D73" s="137" t="s">
        <v>2279</v>
      </c>
      <c r="H73" s="11" t="s">
        <v>8</v>
      </c>
      <c r="S73" s="335"/>
      <c r="T73" s="25"/>
      <c r="U73" s="25"/>
      <c r="V73" s="141"/>
      <c r="W73" s="215">
        <f t="shared" si="136"/>
        <v>0</v>
      </c>
      <c r="X73" s="215">
        <f t="shared" si="136"/>
        <v>0</v>
      </c>
      <c r="Y73" s="215">
        <f t="shared" si="136"/>
        <v>0</v>
      </c>
      <c r="AA73" s="372"/>
      <c r="AB73" s="372"/>
      <c r="AC73" s="372"/>
      <c r="AD73" s="372"/>
      <c r="AE73" s="372"/>
      <c r="AF73" s="372"/>
      <c r="AG73" s="372"/>
      <c r="AH73" s="372"/>
      <c r="AI73" s="372"/>
      <c r="AJ73" s="372"/>
      <c r="AK73" s="372"/>
      <c r="AL73" s="372"/>
      <c r="AM73" s="372"/>
      <c r="AN73" s="372"/>
      <c r="AO73" s="372"/>
      <c r="AP73" s="372"/>
      <c r="AQ73" s="372"/>
      <c r="AR73" s="372"/>
      <c r="AS73" s="372"/>
      <c r="AT73" s="372"/>
      <c r="AU73" s="372"/>
      <c r="AV73" s="372"/>
      <c r="AW73" s="372"/>
      <c r="AX73" s="372"/>
      <c r="AY73" s="573"/>
      <c r="AZ73" s="573"/>
      <c r="BA73" s="573"/>
      <c r="BB73" s="573"/>
      <c r="BC73" s="573"/>
      <c r="BD73" s="573"/>
      <c r="BE73" s="573"/>
      <c r="BF73" s="573"/>
      <c r="BG73" s="573"/>
      <c r="BH73" s="573"/>
      <c r="BI73" s="573"/>
      <c r="BJ73" s="573"/>
      <c r="BL73" s="10">
        <f t="shared" si="137"/>
        <v>0</v>
      </c>
      <c r="BM73" s="10">
        <f t="shared" si="137"/>
        <v>0</v>
      </c>
      <c r="BN73" s="10">
        <f t="shared" si="137"/>
        <v>0</v>
      </c>
      <c r="BO73" s="10">
        <f t="shared" si="137"/>
        <v>0</v>
      </c>
      <c r="BP73" s="141"/>
      <c r="BQ73" s="141"/>
      <c r="BR73" s="141"/>
      <c r="BS73" s="141"/>
      <c r="BT73" s="141"/>
      <c r="BU73" s="141"/>
      <c r="BV73" s="141"/>
      <c r="BW73" s="141"/>
      <c r="BY73" s="12"/>
      <c r="BZ73" s="395">
        <f t="shared" si="138"/>
        <v>0</v>
      </c>
      <c r="CA73" s="12"/>
      <c r="CC73" s="7">
        <f t="shared" si="139"/>
        <v>0</v>
      </c>
      <c r="CD73" s="7">
        <f t="shared" si="140"/>
        <v>0</v>
      </c>
      <c r="CE73" s="7">
        <f t="shared" si="141"/>
        <v>0</v>
      </c>
      <c r="CF73" s="12"/>
      <c r="CG73" s="352">
        <f t="shared" si="142"/>
        <v>0</v>
      </c>
      <c r="CH73" s="352">
        <f t="shared" si="143"/>
        <v>0</v>
      </c>
      <c r="CI73" s="352">
        <f t="shared" si="144"/>
        <v>0</v>
      </c>
      <c r="CJ73" s="352">
        <f t="shared" si="145"/>
        <v>0</v>
      </c>
      <c r="CK73" s="352">
        <f t="shared" si="146"/>
        <v>0</v>
      </c>
      <c r="CL73" s="352">
        <f t="shared" si="147"/>
        <v>0</v>
      </c>
      <c r="CM73" s="352">
        <f t="shared" si="148"/>
        <v>0</v>
      </c>
      <c r="CN73" s="67"/>
      <c r="ER73" s="12"/>
      <c r="ES73" s="4">
        <v>1</v>
      </c>
      <c r="ET73" s="335">
        <v>1</v>
      </c>
      <c r="EX73" s="10" t="str">
        <f t="shared" si="135"/>
        <v>International students - fee income</v>
      </c>
    </row>
    <row r="74" spans="1:154" ht="30" x14ac:dyDescent="0.3">
      <c r="A74" s="362" cm="1">
        <f t="array" aca="1" ref="A74" ca="1">HYPERLINK(CONCATENATE("#",CELL("address",IF(SUM($CA74:$CH74)=0,A74,INDEX($CA74:$CH74,MATCH(1,$CA74:$CH74,0))))),SUM($CA74:$CH74))</f>
        <v>0</v>
      </c>
      <c r="B74" s="479" t="s">
        <v>335</v>
      </c>
      <c r="C74" s="343" t="str">
        <f>CONCATENATE("M-", 'I&amp;E Annual'!C74)</f>
        <v>M-IE-1f-4</v>
      </c>
      <c r="D74" s="137" t="s">
        <v>438</v>
      </c>
      <c r="G74" s="335"/>
      <c r="H74" s="11" t="s">
        <v>8</v>
      </c>
      <c r="S74" s="335"/>
      <c r="T74" s="25"/>
      <c r="U74" s="25"/>
      <c r="V74" s="141"/>
      <c r="W74" s="215">
        <f t="shared" si="136"/>
        <v>7</v>
      </c>
      <c r="X74" s="215">
        <f t="shared" si="136"/>
        <v>25</v>
      </c>
      <c r="Y74" s="215">
        <f t="shared" si="136"/>
        <v>25</v>
      </c>
      <c r="Z74" s="335"/>
      <c r="AA74" s="372"/>
      <c r="AB74" s="372">
        <v>1</v>
      </c>
      <c r="AC74" s="372"/>
      <c r="AD74" s="372"/>
      <c r="AE74" s="372"/>
      <c r="AF74" s="372">
        <v>7</v>
      </c>
      <c r="AG74" s="372"/>
      <c r="AH74" s="372">
        <v>-3</v>
      </c>
      <c r="AI74" s="372"/>
      <c r="AJ74" s="372">
        <v>1</v>
      </c>
      <c r="AK74" s="372">
        <v>1</v>
      </c>
      <c r="AL74" s="372"/>
      <c r="AM74" s="372">
        <v>2</v>
      </c>
      <c r="AN74" s="372">
        <v>2</v>
      </c>
      <c r="AO74" s="372">
        <v>2</v>
      </c>
      <c r="AP74" s="372">
        <v>2</v>
      </c>
      <c r="AQ74" s="372">
        <v>2</v>
      </c>
      <c r="AR74" s="372">
        <v>2</v>
      </c>
      <c r="AS74" s="372">
        <v>2</v>
      </c>
      <c r="AT74" s="372">
        <v>2</v>
      </c>
      <c r="AU74" s="372">
        <v>2</v>
      </c>
      <c r="AV74" s="372">
        <v>2</v>
      </c>
      <c r="AW74" s="372">
        <v>2</v>
      </c>
      <c r="AX74" s="372">
        <v>3</v>
      </c>
      <c r="AY74" s="573">
        <v>2</v>
      </c>
      <c r="AZ74" s="573">
        <v>2</v>
      </c>
      <c r="BA74" s="573">
        <v>2</v>
      </c>
      <c r="BB74" s="573">
        <v>2</v>
      </c>
      <c r="BC74" s="573">
        <v>2</v>
      </c>
      <c r="BD74" s="573">
        <v>2</v>
      </c>
      <c r="BE74" s="573">
        <v>2</v>
      </c>
      <c r="BF74" s="573">
        <v>2</v>
      </c>
      <c r="BG74" s="573">
        <v>2</v>
      </c>
      <c r="BH74" s="573">
        <v>2</v>
      </c>
      <c r="BI74" s="573">
        <v>2</v>
      </c>
      <c r="BJ74" s="573">
        <v>3</v>
      </c>
      <c r="BK74" s="335"/>
      <c r="BL74" s="10">
        <f t="shared" si="137"/>
        <v>0</v>
      </c>
      <c r="BM74" s="10">
        <f t="shared" si="137"/>
        <v>7</v>
      </c>
      <c r="BN74" s="10">
        <f t="shared" si="137"/>
        <v>25</v>
      </c>
      <c r="BO74" s="10">
        <f t="shared" si="137"/>
        <v>25</v>
      </c>
      <c r="BP74" s="141"/>
      <c r="BQ74" s="141"/>
      <c r="BR74" s="141"/>
      <c r="BS74" s="141"/>
      <c r="BT74" s="141"/>
      <c r="BU74" s="141"/>
      <c r="BV74" s="141"/>
      <c r="BW74" s="141"/>
      <c r="BY74" s="12"/>
      <c r="BZ74" s="395">
        <f t="shared" si="138"/>
        <v>1</v>
      </c>
      <c r="CA74" s="12"/>
      <c r="CC74" s="7">
        <f t="shared" si="139"/>
        <v>0</v>
      </c>
      <c r="CD74" s="7">
        <f t="shared" si="140"/>
        <v>0</v>
      </c>
      <c r="CE74" s="7">
        <f t="shared" si="141"/>
        <v>0</v>
      </c>
      <c r="CF74" s="12"/>
      <c r="CG74" s="352">
        <f t="shared" si="142"/>
        <v>0</v>
      </c>
      <c r="CH74" s="352">
        <f t="shared" si="143"/>
        <v>0</v>
      </c>
      <c r="CI74" s="352">
        <f t="shared" si="144"/>
        <v>0</v>
      </c>
      <c r="CJ74" s="352">
        <f t="shared" si="145"/>
        <v>0</v>
      </c>
      <c r="CK74" s="352">
        <f t="shared" si="146"/>
        <v>0</v>
      </c>
      <c r="CL74" s="352">
        <f t="shared" si="147"/>
        <v>0</v>
      </c>
      <c r="CM74" s="352">
        <f t="shared" si="148"/>
        <v>0</v>
      </c>
      <c r="CN74" s="67"/>
      <c r="ER74" s="12"/>
      <c r="ES74" s="4">
        <v>1</v>
      </c>
      <c r="ET74" s="335">
        <v>1</v>
      </c>
      <c r="EX74" s="10" t="str">
        <f t="shared" si="135"/>
        <v>Total employer contributions contracted apprenticeships</v>
      </c>
    </row>
    <row r="75" spans="1:154" ht="30" x14ac:dyDescent="0.25">
      <c r="A75" s="362" cm="1">
        <f t="array" aca="1" ref="A75" ca="1">HYPERLINK(CONCATENATE("#",CELL("address",IF(SUM($CA75:$CH75)=0,A75,INDEX($CA75:$CH75,MATCH(1,$CA75:$CH75,0))))),SUM($CA75:$CH75))</f>
        <v>0</v>
      </c>
      <c r="B75" s="93"/>
      <c r="C75" s="343" t="str">
        <f>CONCATENATE("M-", 'I&amp;E Annual'!C75)</f>
        <v>M-IE-1f-5</v>
      </c>
      <c r="D75" s="137" t="s">
        <v>2280</v>
      </c>
      <c r="G75" s="335"/>
      <c r="H75" s="11" t="s">
        <v>8</v>
      </c>
      <c r="S75" s="335"/>
      <c r="T75" s="25"/>
      <c r="U75" s="25"/>
      <c r="V75" s="141"/>
      <c r="W75" s="215">
        <f t="shared" si="136"/>
        <v>0</v>
      </c>
      <c r="X75" s="215">
        <f t="shared" si="136"/>
        <v>0</v>
      </c>
      <c r="Y75" s="215">
        <f t="shared" si="136"/>
        <v>0</v>
      </c>
      <c r="Z75" s="335"/>
      <c r="AA75" s="372"/>
      <c r="AB75" s="372"/>
      <c r="AC75" s="372"/>
      <c r="AD75" s="372"/>
      <c r="AE75" s="372"/>
      <c r="AF75" s="372"/>
      <c r="AG75" s="372"/>
      <c r="AH75" s="372"/>
      <c r="AI75" s="372"/>
      <c r="AJ75" s="372"/>
      <c r="AK75" s="372"/>
      <c r="AL75" s="372"/>
      <c r="AM75" s="372"/>
      <c r="AN75" s="372"/>
      <c r="AO75" s="372"/>
      <c r="AP75" s="372"/>
      <c r="AQ75" s="372"/>
      <c r="AR75" s="372"/>
      <c r="AS75" s="372"/>
      <c r="AT75" s="372"/>
      <c r="AU75" s="372"/>
      <c r="AV75" s="372"/>
      <c r="AW75" s="372"/>
      <c r="AX75" s="372"/>
      <c r="AY75" s="573"/>
      <c r="AZ75" s="573"/>
      <c r="BA75" s="573"/>
      <c r="BB75" s="573"/>
      <c r="BC75" s="573"/>
      <c r="BD75" s="573"/>
      <c r="BE75" s="573"/>
      <c r="BF75" s="573"/>
      <c r="BG75" s="573"/>
      <c r="BH75" s="573"/>
      <c r="BI75" s="573"/>
      <c r="BJ75" s="573"/>
      <c r="BK75" s="335"/>
      <c r="BL75" s="10">
        <f t="shared" si="137"/>
        <v>0</v>
      </c>
      <c r="BM75" s="10">
        <f t="shared" si="137"/>
        <v>0</v>
      </c>
      <c r="BN75" s="10">
        <f t="shared" si="137"/>
        <v>0</v>
      </c>
      <c r="BO75" s="10">
        <f t="shared" si="137"/>
        <v>0</v>
      </c>
      <c r="BP75" s="141"/>
      <c r="BQ75" s="141"/>
      <c r="BR75" s="141"/>
      <c r="BS75" s="141"/>
      <c r="BT75" s="141"/>
      <c r="BU75" s="141"/>
      <c r="BV75" s="141"/>
      <c r="BW75" s="141"/>
      <c r="BY75" s="12"/>
      <c r="BZ75" s="395">
        <f t="shared" si="138"/>
        <v>0</v>
      </c>
      <c r="CA75" s="12"/>
      <c r="CC75" s="7">
        <f t="shared" si="139"/>
        <v>0</v>
      </c>
      <c r="CD75" s="7">
        <f t="shared" si="140"/>
        <v>0</v>
      </c>
      <c r="CE75" s="7">
        <f t="shared" si="141"/>
        <v>0</v>
      </c>
      <c r="CF75" s="12"/>
      <c r="CG75" s="352">
        <f t="shared" si="142"/>
        <v>0</v>
      </c>
      <c r="CH75" s="352">
        <f t="shared" si="143"/>
        <v>0</v>
      </c>
      <c r="CI75" s="352">
        <f t="shared" si="144"/>
        <v>0</v>
      </c>
      <c r="CJ75" s="352">
        <f t="shared" si="145"/>
        <v>0</v>
      </c>
      <c r="CK75" s="352">
        <f t="shared" si="146"/>
        <v>0</v>
      </c>
      <c r="CL75" s="352">
        <f t="shared" si="147"/>
        <v>0</v>
      </c>
      <c r="CM75" s="352">
        <f t="shared" si="148"/>
        <v>0</v>
      </c>
      <c r="CN75" s="67"/>
      <c r="ER75" s="12"/>
      <c r="ES75" s="4">
        <v>1</v>
      </c>
      <c r="ET75" s="335">
        <v>1</v>
      </c>
      <c r="EX75" s="10" t="str">
        <f t="shared" si="135"/>
        <v>Other fees (including non-apprenticeship co-funded)</v>
      </c>
    </row>
    <row r="76" spans="1:154" x14ac:dyDescent="0.25">
      <c r="A76" s="362" cm="1">
        <f t="array" aca="1" ref="A76" ca="1">HYPERLINK(CONCATENATE("#",CELL("address",IF(SUM($CA76:$CH76)=0,A76,INDEX($CA76:$CH76,MATCH(1,$CA76:$CH76,0))))),SUM($CA76:$CH76))</f>
        <v>0</v>
      </c>
      <c r="B76" s="93"/>
      <c r="C76" s="343" t="str">
        <f>CONCATENATE("M-", 'I&amp;E Annual'!C76)</f>
        <v>M-IE-1f-6</v>
      </c>
      <c r="D76" s="431" t="s">
        <v>2281</v>
      </c>
      <c r="G76" s="335"/>
      <c r="H76" s="11" t="s">
        <v>8</v>
      </c>
      <c r="S76" s="335"/>
      <c r="T76" s="25"/>
      <c r="U76" s="25"/>
      <c r="V76" s="156"/>
      <c r="W76" s="215">
        <f t="shared" si="136"/>
        <v>0</v>
      </c>
      <c r="X76" s="215">
        <f t="shared" si="136"/>
        <v>0</v>
      </c>
      <c r="Y76" s="215">
        <f t="shared" si="136"/>
        <v>0</v>
      </c>
      <c r="Z76" s="335"/>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c r="BI76" s="147"/>
      <c r="BJ76" s="147"/>
      <c r="BK76" s="335"/>
      <c r="BL76" s="153">
        <f t="shared" si="137"/>
        <v>0</v>
      </c>
      <c r="BM76" s="153">
        <f t="shared" si="137"/>
        <v>0</v>
      </c>
      <c r="BN76" s="153">
        <f t="shared" si="137"/>
        <v>0</v>
      </c>
      <c r="BO76" s="153">
        <f t="shared" si="137"/>
        <v>0</v>
      </c>
      <c r="BP76" s="156"/>
      <c r="BQ76" s="156"/>
      <c r="BR76" s="156"/>
      <c r="BS76" s="156"/>
      <c r="BT76" s="156"/>
      <c r="BU76" s="156"/>
      <c r="BV76" s="156"/>
      <c r="BW76" s="156"/>
      <c r="BY76" s="12"/>
      <c r="BZ76" s="395">
        <f t="shared" si="138"/>
        <v>0</v>
      </c>
      <c r="CA76" s="12"/>
      <c r="CC76" s="7">
        <f t="shared" si="139"/>
        <v>0</v>
      </c>
      <c r="CD76" s="7">
        <f t="shared" si="140"/>
        <v>0</v>
      </c>
      <c r="CE76" s="7">
        <f t="shared" si="141"/>
        <v>0</v>
      </c>
      <c r="CF76" s="12"/>
      <c r="CG76" s="352">
        <f t="shared" si="142"/>
        <v>0</v>
      </c>
      <c r="CH76" s="352">
        <f t="shared" si="143"/>
        <v>0</v>
      </c>
      <c r="CI76" s="352">
        <f t="shared" si="144"/>
        <v>0</v>
      </c>
      <c r="CJ76" s="352">
        <f t="shared" si="145"/>
        <v>0</v>
      </c>
      <c r="CK76" s="352">
        <f t="shared" si="146"/>
        <v>0</v>
      </c>
      <c r="CL76" s="352">
        <f t="shared" si="147"/>
        <v>0</v>
      </c>
      <c r="CM76" s="352">
        <f t="shared" si="148"/>
        <v>0</v>
      </c>
      <c r="CN76" s="67"/>
      <c r="ER76" s="12"/>
      <c r="ES76" s="4">
        <v>1</v>
      </c>
      <c r="ET76" s="335">
        <v>1</v>
      </c>
      <c r="EX76" s="10" t="str">
        <f t="shared" si="135"/>
        <v>LEP learning provision activities</v>
      </c>
    </row>
    <row r="77" spans="1:154" ht="30" x14ac:dyDescent="0.25">
      <c r="A77" s="362" cm="1">
        <f t="array" aca="1" ref="A77" ca="1">HYPERLINK(CONCATENATE("#",CELL("address",IF(SUM($CA77:$CH77)=0,A77,INDEX($CA77:$CH77,MATCH(1,$CA77:$CH77,0))))),SUM($CA77:$CH77))</f>
        <v>0</v>
      </c>
      <c r="B77" s="93"/>
      <c r="C77" s="343" t="str">
        <f>CONCATENATE("M-", 'I&amp;E Annual'!C77)</f>
        <v>M-IE-1f-7</v>
      </c>
      <c r="D77" s="137" t="s">
        <v>461</v>
      </c>
      <c r="H77" t="s">
        <v>8</v>
      </c>
      <c r="S77" s="335"/>
      <c r="T77" s="25"/>
      <c r="U77" s="25"/>
      <c r="V77" s="141"/>
      <c r="W77" s="215">
        <f xml:space="preserve"> SUMIFS($AA77:$BJ77, $AA$3:$BJ$3, W$3)</f>
        <v>881</v>
      </c>
      <c r="X77" s="215">
        <f xml:space="preserve"> SUMIFS($AA77:$BJ77, $AA$3:$BJ$3, X$3)</f>
        <v>1060</v>
      </c>
      <c r="Y77" s="215">
        <f xml:space="preserve"> SUMIFS($AA77:$BJ77, $AA$3:$BJ$3, Y$3)</f>
        <v>1060</v>
      </c>
      <c r="AA77" s="372">
        <f>443+130</f>
        <v>573</v>
      </c>
      <c r="AB77" s="372"/>
      <c r="AC77" s="372"/>
      <c r="AD77" s="372"/>
      <c r="AE77" s="372"/>
      <c r="AF77" s="372"/>
      <c r="AG77" s="372"/>
      <c r="AH77" s="372"/>
      <c r="AI77" s="372">
        <f>243+65</f>
        <v>308</v>
      </c>
      <c r="AJ77" s="372"/>
      <c r="AK77" s="372"/>
      <c r="AL77" s="372"/>
      <c r="AM77" s="372">
        <f>483+139+78</f>
        <v>700</v>
      </c>
      <c r="AN77" s="372"/>
      <c r="AO77" s="372"/>
      <c r="AP77" s="372"/>
      <c r="AQ77" s="372"/>
      <c r="AR77" s="372"/>
      <c r="AS77" s="372"/>
      <c r="AT77" s="372"/>
      <c r="AU77" s="372">
        <f>241+69+50</f>
        <v>360</v>
      </c>
      <c r="AV77" s="372"/>
      <c r="AW77" s="372"/>
      <c r="AX77" s="372"/>
      <c r="AY77" s="573">
        <f>483+139+78</f>
        <v>700</v>
      </c>
      <c r="AZ77" s="573"/>
      <c r="BA77" s="573"/>
      <c r="BB77" s="573"/>
      <c r="BC77" s="573"/>
      <c r="BD77" s="573"/>
      <c r="BE77" s="573"/>
      <c r="BF77" s="573"/>
      <c r="BG77" s="573">
        <f>241+69+50</f>
        <v>360</v>
      </c>
      <c r="BH77" s="573"/>
      <c r="BI77" s="573"/>
      <c r="BJ77" s="573"/>
      <c r="BL77" s="10">
        <f>V77</f>
        <v>0</v>
      </c>
      <c r="BM77" s="10">
        <f>W77</f>
        <v>881</v>
      </c>
      <c r="BN77" s="10">
        <f>X77</f>
        <v>1060</v>
      </c>
      <c r="BO77" s="10">
        <f>Y77</f>
        <v>1060</v>
      </c>
      <c r="BP77" s="141"/>
      <c r="BQ77" s="141"/>
      <c r="BR77" s="141"/>
      <c r="BS77" s="141"/>
      <c r="BT77" s="141"/>
      <c r="BU77" s="141"/>
      <c r="BV77" s="141"/>
      <c r="BW77" s="141"/>
      <c r="BY77" s="12"/>
      <c r="BZ77" s="395">
        <f>IF(MIN($V77:$BW77)&lt;0, 1, 0)</f>
        <v>0</v>
      </c>
      <c r="CA77" s="12"/>
      <c r="CC77" s="7">
        <f>IF(SUM($CG77:$CI77)=0, 0, 1)</f>
        <v>0</v>
      </c>
      <c r="CD77" s="7">
        <f>IF(SUM($CJ77:$CL77)=0, 0, 1)</f>
        <v>0</v>
      </c>
      <c r="CE77" s="7">
        <f>IF($CM77=0, 0, 1)</f>
        <v>0</v>
      </c>
      <c r="CF77" s="12"/>
      <c r="CG77" s="352">
        <f t="shared" si="142"/>
        <v>0</v>
      </c>
      <c r="CH77" s="352">
        <f t="shared" si="143"/>
        <v>0</v>
      </c>
      <c r="CI77" s="352">
        <f t="shared" si="144"/>
        <v>0</v>
      </c>
      <c r="CJ77" s="352">
        <f>ROUND($BM77-SUMIFS($AA77:$BJ77, $AA$3:$BJ$3, $BM$3), rounding)</f>
        <v>0</v>
      </c>
      <c r="CK77" s="352">
        <f>ROUND($BN77-SUMIFS($AA77:$BJ77, $AA$3:$BJ$3, $BN$3), rounding)</f>
        <v>0</v>
      </c>
      <c r="CL77" s="352">
        <f>ROUND($BO77-SUMIFS($AA77:$BJ77, $AA$3:$BJ$3, $BO$3), rounding)</f>
        <v>0</v>
      </c>
      <c r="CM77" s="352">
        <f>ROUND($V77-$BL77, rounding)</f>
        <v>0</v>
      </c>
      <c r="ER77" s="12"/>
      <c r="ES77" s="4">
        <v>1</v>
      </c>
      <c r="ET77" s="335">
        <v>1</v>
      </c>
      <c r="EX77" s="10" t="str">
        <f>IF($C77="","",$D77)</f>
        <v>Bursaries - net income (5% admin fee, ALLB and Free Meals)</v>
      </c>
    </row>
    <row r="78" spans="1:154" s="335" customFormat="1" x14ac:dyDescent="0.25">
      <c r="A78" s="362" cm="1">
        <f t="array" aca="1" ref="A78" ca="1">HYPERLINK(CONCATENATE("#",CELL("address",IF(SUM($CA78:$CH78)=0,A78,INDEX($CA78:$CH78,MATCH(1,$CA78:$CH78,0))))),SUM($CA78:$CH78))</f>
        <v>0</v>
      </c>
      <c r="B78" s="93"/>
      <c r="C78" s="343" t="str">
        <f>CONCATENATE("M-", 'I&amp;E Annual'!C78)</f>
        <v>M-IE-1f-8</v>
      </c>
      <c r="D78" s="431" t="s">
        <v>33</v>
      </c>
      <c r="H78" s="335" t="s">
        <v>8</v>
      </c>
      <c r="T78" s="25"/>
      <c r="U78" s="25"/>
      <c r="V78" s="156"/>
      <c r="W78" s="215">
        <f t="shared" si="136"/>
        <v>657</v>
      </c>
      <c r="X78" s="215">
        <f t="shared" si="136"/>
        <v>609</v>
      </c>
      <c r="Y78" s="215">
        <f t="shared" si="136"/>
        <v>609</v>
      </c>
      <c r="AA78" s="147"/>
      <c r="AB78" s="147">
        <v>438</v>
      </c>
      <c r="AC78" s="147"/>
      <c r="AD78" s="147"/>
      <c r="AE78" s="147"/>
      <c r="AF78" s="147"/>
      <c r="AG78" s="147"/>
      <c r="AH78" s="147"/>
      <c r="AI78" s="147">
        <v>219</v>
      </c>
      <c r="AJ78" s="147"/>
      <c r="AK78" s="147"/>
      <c r="AL78" s="147"/>
      <c r="AM78" s="147"/>
      <c r="AN78" s="147">
        <v>406</v>
      </c>
      <c r="AO78" s="147"/>
      <c r="AP78" s="147"/>
      <c r="AQ78" s="147"/>
      <c r="AR78" s="147"/>
      <c r="AS78" s="147"/>
      <c r="AT78" s="147"/>
      <c r="AU78" s="147">
        <v>203</v>
      </c>
      <c r="AV78" s="147"/>
      <c r="AW78" s="147"/>
      <c r="AX78" s="147"/>
      <c r="AY78" s="147"/>
      <c r="AZ78" s="147">
        <v>406</v>
      </c>
      <c r="BA78" s="147"/>
      <c r="BB78" s="147"/>
      <c r="BC78" s="147"/>
      <c r="BD78" s="147"/>
      <c r="BE78" s="147"/>
      <c r="BF78" s="147"/>
      <c r="BG78" s="147">
        <v>203</v>
      </c>
      <c r="BH78" s="147"/>
      <c r="BI78" s="147"/>
      <c r="BJ78" s="147"/>
      <c r="BL78" s="153">
        <f t="shared" ref="BL78" si="149">V78</f>
        <v>0</v>
      </c>
      <c r="BM78" s="153">
        <f t="shared" ref="BM78" si="150">W78</f>
        <v>657</v>
      </c>
      <c r="BN78" s="153">
        <f t="shared" ref="BN78" si="151">X78</f>
        <v>609</v>
      </c>
      <c r="BO78" s="153">
        <f t="shared" ref="BO78" si="152">Y78</f>
        <v>609</v>
      </c>
      <c r="BP78" s="156"/>
      <c r="BQ78" s="156"/>
      <c r="BR78" s="156"/>
      <c r="BS78" s="156"/>
      <c r="BT78" s="156"/>
      <c r="BU78" s="156"/>
      <c r="BV78" s="156"/>
      <c r="BW78" s="156"/>
      <c r="BY78" s="12"/>
      <c r="BZ78" s="395">
        <f t="shared" si="138"/>
        <v>0</v>
      </c>
      <c r="CA78" s="12"/>
      <c r="CC78" s="7">
        <f t="shared" si="139"/>
        <v>0</v>
      </c>
      <c r="CD78" s="7">
        <f t="shared" si="140"/>
        <v>0</v>
      </c>
      <c r="CE78" s="7">
        <f t="shared" si="141"/>
        <v>0</v>
      </c>
      <c r="CF78" s="12"/>
      <c r="CG78" s="352">
        <f t="shared" si="142"/>
        <v>0</v>
      </c>
      <c r="CH78" s="352">
        <f t="shared" si="143"/>
        <v>0</v>
      </c>
      <c r="CI78" s="352">
        <f t="shared" si="144"/>
        <v>0</v>
      </c>
      <c r="CJ78" s="352">
        <f t="shared" si="145"/>
        <v>0</v>
      </c>
      <c r="CK78" s="352">
        <f t="shared" si="146"/>
        <v>0</v>
      </c>
      <c r="CL78" s="352">
        <f t="shared" si="147"/>
        <v>0</v>
      </c>
      <c r="CM78" s="352">
        <f t="shared" si="148"/>
        <v>0</v>
      </c>
      <c r="ER78" s="12"/>
      <c r="ES78" s="4">
        <v>1</v>
      </c>
      <c r="ET78" s="335">
        <v>1</v>
      </c>
      <c r="EX78" s="10" t="str">
        <f t="shared" si="135"/>
        <v>ESFA Teachers Pension Scheme grant</v>
      </c>
    </row>
    <row r="79" spans="1:154" s="335" customFormat="1" x14ac:dyDescent="0.25">
      <c r="A79" s="362" cm="1">
        <f t="array" aca="1" ref="A79" ca="1">HYPERLINK(CONCATENATE("#",CELL("address",IF(SUM($CA79:$CH79)=0,A79,INDEX($CA79:$CH79,MATCH(1,$CA79:$CH79,0))))),SUM($CA79:$CH79))</f>
        <v>0</v>
      </c>
      <c r="B79" s="93"/>
      <c r="C79" s="343" t="str">
        <f>CONCATENATE("M-", 'I&amp;E Annual'!C79)</f>
        <v>M-IE-1f-9</v>
      </c>
      <c r="D79" s="431" t="s">
        <v>1743</v>
      </c>
      <c r="H79" s="335" t="s">
        <v>8</v>
      </c>
      <c r="T79" s="25"/>
      <c r="U79" s="25"/>
      <c r="V79" s="156"/>
      <c r="W79" s="215">
        <f t="shared" si="136"/>
        <v>52</v>
      </c>
      <c r="X79" s="215">
        <f t="shared" si="136"/>
        <v>80</v>
      </c>
      <c r="Y79" s="215">
        <f t="shared" si="136"/>
        <v>80</v>
      </c>
      <c r="AA79" s="147"/>
      <c r="AB79" s="147"/>
      <c r="AC79" s="147"/>
      <c r="AD79" s="147"/>
      <c r="AE79" s="147"/>
      <c r="AF79" s="147"/>
      <c r="AG79" s="147">
        <v>4</v>
      </c>
      <c r="AH79" s="147">
        <v>40</v>
      </c>
      <c r="AI79" s="147">
        <v>4</v>
      </c>
      <c r="AJ79" s="147">
        <v>4</v>
      </c>
      <c r="AK79" s="147"/>
      <c r="AL79" s="147"/>
      <c r="AM79" s="147"/>
      <c r="AN79" s="147"/>
      <c r="AO79" s="147"/>
      <c r="AP79" s="147"/>
      <c r="AQ79" s="147"/>
      <c r="AR79" s="147"/>
      <c r="AS79" s="147">
        <v>20</v>
      </c>
      <c r="AT79" s="147">
        <v>20</v>
      </c>
      <c r="AU79" s="147">
        <v>20</v>
      </c>
      <c r="AV79" s="147">
        <v>20</v>
      </c>
      <c r="AW79" s="147"/>
      <c r="AX79" s="147"/>
      <c r="AY79" s="147"/>
      <c r="AZ79" s="147"/>
      <c r="BA79" s="147"/>
      <c r="BB79" s="147"/>
      <c r="BC79" s="147"/>
      <c r="BD79" s="147"/>
      <c r="BE79" s="147">
        <v>20</v>
      </c>
      <c r="BF79" s="147">
        <v>20</v>
      </c>
      <c r="BG79" s="147">
        <v>20</v>
      </c>
      <c r="BH79" s="147">
        <v>20</v>
      </c>
      <c r="BI79" s="147"/>
      <c r="BJ79" s="147"/>
      <c r="BL79" s="153">
        <f t="shared" ref="BL79" si="153">V79</f>
        <v>0</v>
      </c>
      <c r="BM79" s="153">
        <f t="shared" ref="BM79" si="154">W79</f>
        <v>52</v>
      </c>
      <c r="BN79" s="153">
        <f t="shared" ref="BN79" si="155">X79</f>
        <v>80</v>
      </c>
      <c r="BO79" s="153">
        <f t="shared" ref="BO79" si="156">Y79</f>
        <v>80</v>
      </c>
      <c r="BP79" s="156"/>
      <c r="BQ79" s="156"/>
      <c r="BR79" s="156"/>
      <c r="BS79" s="156"/>
      <c r="BT79" s="156"/>
      <c r="BU79" s="156"/>
      <c r="BV79" s="156"/>
      <c r="BW79" s="156"/>
      <c r="BY79" s="12"/>
      <c r="BZ79" s="395">
        <f t="shared" si="138"/>
        <v>0</v>
      </c>
      <c r="CA79" s="12"/>
      <c r="CC79" s="7">
        <f t="shared" si="139"/>
        <v>0</v>
      </c>
      <c r="CD79" s="7">
        <f t="shared" si="140"/>
        <v>0</v>
      </c>
      <c r="CE79" s="7">
        <f t="shared" si="141"/>
        <v>0</v>
      </c>
      <c r="CF79" s="12"/>
      <c r="CG79" s="352">
        <f t="shared" si="142"/>
        <v>0</v>
      </c>
      <c r="CH79" s="352">
        <f t="shared" si="143"/>
        <v>0</v>
      </c>
      <c r="CI79" s="352">
        <f t="shared" si="144"/>
        <v>0</v>
      </c>
      <c r="CJ79" s="352">
        <f t="shared" si="145"/>
        <v>0</v>
      </c>
      <c r="CK79" s="352">
        <f t="shared" si="146"/>
        <v>0</v>
      </c>
      <c r="CL79" s="352">
        <f t="shared" si="147"/>
        <v>0</v>
      </c>
      <c r="CM79" s="352">
        <f t="shared" si="148"/>
        <v>0</v>
      </c>
      <c r="ER79" s="12"/>
      <c r="ES79" s="4">
        <v>1</v>
      </c>
      <c r="ET79" s="335">
        <v>1</v>
      </c>
      <c r="EX79" s="10" t="str">
        <f t="shared" si="135"/>
        <v>Exam and registration income</v>
      </c>
    </row>
    <row r="80" spans="1:154" s="335" customFormat="1" x14ac:dyDescent="0.25">
      <c r="A80" s="362" cm="1">
        <f t="array" aca="1" ref="A80" ca="1">HYPERLINK(CONCATENATE("#",CELL("address",IF(SUM($CA80:$CH80)=0,A80,INDEX($CA80:$CH80,MATCH(1,$CA80:$CH80,0))))),SUM($CA80:$CH80))</f>
        <v>0</v>
      </c>
      <c r="B80" s="93"/>
      <c r="C80" s="343" t="str">
        <f>CONCATENATE("M-", 'I&amp;E Annual'!C80)</f>
        <v>M-IE-1f-10</v>
      </c>
      <c r="D80" s="431" t="s">
        <v>32</v>
      </c>
      <c r="H80" s="335" t="s">
        <v>8</v>
      </c>
      <c r="T80" s="25"/>
      <c r="U80" s="25"/>
      <c r="V80" s="156"/>
      <c r="W80" s="215">
        <f t="shared" si="136"/>
        <v>465</v>
      </c>
      <c r="X80" s="215">
        <f t="shared" si="136"/>
        <v>135</v>
      </c>
      <c r="Y80" s="215">
        <f t="shared" si="136"/>
        <v>135</v>
      </c>
      <c r="AA80" s="147"/>
      <c r="AB80" s="147"/>
      <c r="AC80" s="147"/>
      <c r="AD80" s="147">
        <v>121</v>
      </c>
      <c r="AE80" s="147"/>
      <c r="AF80" s="147">
        <v>124</v>
      </c>
      <c r="AG80" s="147"/>
      <c r="AH80" s="147"/>
      <c r="AI80" s="147"/>
      <c r="AJ80" s="147"/>
      <c r="AK80" s="147"/>
      <c r="AL80" s="147">
        <f>170+50</f>
        <v>220</v>
      </c>
      <c r="AM80" s="147">
        <v>45</v>
      </c>
      <c r="AN80" s="147"/>
      <c r="AO80" s="147"/>
      <c r="AP80" s="147"/>
      <c r="AQ80" s="147"/>
      <c r="AR80" s="147">
        <v>45</v>
      </c>
      <c r="AS80" s="147"/>
      <c r="AT80" s="147"/>
      <c r="AU80" s="147"/>
      <c r="AV80" s="147"/>
      <c r="AW80" s="147">
        <v>45</v>
      </c>
      <c r="AX80" s="147"/>
      <c r="AY80" s="147">
        <v>45</v>
      </c>
      <c r="AZ80" s="147"/>
      <c r="BA80" s="147"/>
      <c r="BB80" s="147"/>
      <c r="BC80" s="147"/>
      <c r="BD80" s="147">
        <v>45</v>
      </c>
      <c r="BE80" s="147"/>
      <c r="BF80" s="147"/>
      <c r="BG80" s="147"/>
      <c r="BH80" s="147"/>
      <c r="BI80" s="147">
        <v>45</v>
      </c>
      <c r="BJ80" s="147"/>
      <c r="BL80" s="153">
        <f t="shared" ref="BL80" si="157">V80</f>
        <v>0</v>
      </c>
      <c r="BM80" s="153">
        <f t="shared" ref="BM80" si="158">W80</f>
        <v>465</v>
      </c>
      <c r="BN80" s="153">
        <f t="shared" ref="BN80" si="159">X80</f>
        <v>135</v>
      </c>
      <c r="BO80" s="153">
        <f t="shared" ref="BO80" si="160">Y80</f>
        <v>135</v>
      </c>
      <c r="BP80" s="156"/>
      <c r="BQ80" s="156"/>
      <c r="BR80" s="156"/>
      <c r="BS80" s="156"/>
      <c r="BT80" s="156"/>
      <c r="BU80" s="156"/>
      <c r="BV80" s="156"/>
      <c r="BW80" s="156"/>
      <c r="BY80" s="12"/>
      <c r="BZ80" s="395">
        <f t="shared" si="138"/>
        <v>0</v>
      </c>
      <c r="CA80" s="12"/>
      <c r="CC80" s="7">
        <f t="shared" si="139"/>
        <v>0</v>
      </c>
      <c r="CD80" s="7">
        <f t="shared" si="140"/>
        <v>0</v>
      </c>
      <c r="CE80" s="7">
        <f t="shared" si="141"/>
        <v>0</v>
      </c>
      <c r="CF80" s="12"/>
      <c r="CG80" s="352">
        <f t="shared" si="142"/>
        <v>0</v>
      </c>
      <c r="CH80" s="352">
        <f t="shared" si="143"/>
        <v>0</v>
      </c>
      <c r="CI80" s="352">
        <f t="shared" si="144"/>
        <v>0</v>
      </c>
      <c r="CJ80" s="352">
        <f t="shared" si="145"/>
        <v>0</v>
      </c>
      <c r="CK80" s="352">
        <f t="shared" si="146"/>
        <v>0</v>
      </c>
      <c r="CL80" s="352">
        <f t="shared" si="147"/>
        <v>0</v>
      </c>
      <c r="CM80" s="352">
        <f t="shared" si="148"/>
        <v>0</v>
      </c>
      <c r="ER80" s="12"/>
      <c r="ES80" s="4">
        <v>1</v>
      </c>
      <c r="ET80" s="335">
        <v>1</v>
      </c>
      <c r="EX80" s="10" t="str">
        <f t="shared" si="135"/>
        <v>Other income from provision of education and training</v>
      </c>
    </row>
    <row r="81" spans="1:154" s="67" customFormat="1" hidden="1" x14ac:dyDescent="0.25">
      <c r="A81" s="362" cm="1">
        <f t="array" aca="1" ref="A81" ca="1">HYPERLINK(CONCATENATE("#",CELL("address",IF(SUM($CA81:$CH81)=0,A81,INDEX($CA81:$CH81,MATCH(1,$CA81:$CH81,0))))),SUM($CA81:$CH81))</f>
        <v>0</v>
      </c>
      <c r="B81" s="93"/>
      <c r="C81" s="383"/>
      <c r="D81" s="137" t="s">
        <v>2316</v>
      </c>
      <c r="E81" s="335"/>
      <c r="F81" s="335"/>
      <c r="G81" s="8"/>
      <c r="H81" s="335"/>
      <c r="I81" s="335"/>
      <c r="J81" s="335"/>
      <c r="K81" s="335"/>
      <c r="L81" s="335"/>
      <c r="M81" s="335"/>
      <c r="N81" s="335"/>
      <c r="O81" s="335"/>
      <c r="P81" s="335"/>
      <c r="Q81" s="335"/>
      <c r="R81" s="335"/>
      <c r="S81" s="93"/>
      <c r="T81" s="25"/>
      <c r="U81" s="25"/>
      <c r="V81" s="349"/>
      <c r="W81" s="349"/>
      <c r="X81" s="349"/>
      <c r="Y81" s="349"/>
      <c r="Z81" s="93"/>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93"/>
      <c r="BL81" s="349"/>
      <c r="BM81" s="349"/>
      <c r="BN81" s="349"/>
      <c r="BO81" s="349"/>
      <c r="BP81" s="349"/>
      <c r="BQ81" s="349"/>
      <c r="BR81" s="349"/>
      <c r="BS81" s="349"/>
      <c r="BT81" s="349"/>
      <c r="BU81" s="349"/>
      <c r="BV81" s="349"/>
      <c r="BW81" s="349"/>
      <c r="BY81" s="12"/>
      <c r="BZ81" s="395">
        <f t="shared" si="138"/>
        <v>0</v>
      </c>
      <c r="CA81" s="12"/>
      <c r="CC81" s="7">
        <f t="shared" si="139"/>
        <v>0</v>
      </c>
      <c r="CD81" s="7">
        <f t="shared" si="140"/>
        <v>0</v>
      </c>
      <c r="CE81" s="7">
        <f t="shared" si="141"/>
        <v>0</v>
      </c>
      <c r="CF81" s="12"/>
      <c r="CG81" s="352">
        <f t="shared" si="142"/>
        <v>0</v>
      </c>
      <c r="CH81" s="352">
        <f t="shared" si="143"/>
        <v>0</v>
      </c>
      <c r="CI81" s="352">
        <f t="shared" si="144"/>
        <v>0</v>
      </c>
      <c r="CJ81" s="352">
        <f t="shared" si="145"/>
        <v>0</v>
      </c>
      <c r="CK81" s="352">
        <f t="shared" si="146"/>
        <v>0</v>
      </c>
      <c r="CL81" s="352">
        <f t="shared" si="147"/>
        <v>0</v>
      </c>
      <c r="CM81" s="352">
        <f t="shared" si="148"/>
        <v>0</v>
      </c>
      <c r="ER81" s="12"/>
      <c r="ES81" s="67">
        <v>1</v>
      </c>
      <c r="ET81" s="335">
        <v>1</v>
      </c>
      <c r="EU81" s="335"/>
      <c r="EV81" s="335"/>
      <c r="EX81" s="10" t="str">
        <f t="shared" si="135"/>
        <v/>
      </c>
    </row>
    <row r="82" spans="1:154" s="67" customFormat="1" hidden="1" x14ac:dyDescent="0.25">
      <c r="A82" s="362" cm="1">
        <f t="array" aca="1" ref="A82" ca="1">HYPERLINK(CONCATENATE("#",CELL("address",IF(SUM($CA82:$CH82)=0,A82,INDEX($CA82:$CH82,MATCH(1,$CA82:$CH82,0))))),SUM($CA82:$CH82))</f>
        <v>0</v>
      </c>
      <c r="B82" s="93"/>
      <c r="C82" s="383"/>
      <c r="D82" s="137" t="s">
        <v>2316</v>
      </c>
      <c r="E82" s="335"/>
      <c r="F82" s="335"/>
      <c r="G82" s="8"/>
      <c r="H82" s="335"/>
      <c r="I82" s="335"/>
      <c r="J82" s="335"/>
      <c r="K82" s="335"/>
      <c r="L82" s="335"/>
      <c r="M82" s="335"/>
      <c r="N82" s="335"/>
      <c r="O82" s="335"/>
      <c r="P82" s="335"/>
      <c r="Q82" s="335"/>
      <c r="R82" s="335"/>
      <c r="S82" s="93"/>
      <c r="T82" s="25"/>
      <c r="U82" s="25"/>
      <c r="V82" s="136"/>
      <c r="W82" s="136"/>
      <c r="X82" s="136"/>
      <c r="Y82" s="136"/>
      <c r="Z82" s="93"/>
      <c r="AA82" s="136"/>
      <c r="AB82" s="136"/>
      <c r="AC82" s="136"/>
      <c r="AD82" s="13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136"/>
      <c r="BB82" s="136"/>
      <c r="BC82" s="136"/>
      <c r="BD82" s="136"/>
      <c r="BE82" s="136"/>
      <c r="BF82" s="136"/>
      <c r="BG82" s="136"/>
      <c r="BH82" s="136"/>
      <c r="BI82" s="136"/>
      <c r="BJ82" s="136"/>
      <c r="BK82" s="93"/>
      <c r="BL82" s="136"/>
      <c r="BM82" s="136"/>
      <c r="BN82" s="136"/>
      <c r="BO82" s="136"/>
      <c r="BP82" s="136"/>
      <c r="BQ82" s="136"/>
      <c r="BR82" s="136"/>
      <c r="BS82" s="136"/>
      <c r="BT82" s="136"/>
      <c r="BU82" s="136"/>
      <c r="BV82" s="136"/>
      <c r="BW82" s="136"/>
      <c r="BY82" s="12"/>
      <c r="BZ82" s="395">
        <f t="shared" si="138"/>
        <v>0</v>
      </c>
      <c r="CA82" s="12"/>
      <c r="CC82" s="7">
        <f t="shared" si="139"/>
        <v>0</v>
      </c>
      <c r="CD82" s="7">
        <f t="shared" si="140"/>
        <v>0</v>
      </c>
      <c r="CE82" s="7">
        <f t="shared" si="141"/>
        <v>0</v>
      </c>
      <c r="CF82" s="12"/>
      <c r="CG82" s="352">
        <f t="shared" si="142"/>
        <v>0</v>
      </c>
      <c r="CH82" s="352">
        <f t="shared" si="143"/>
        <v>0</v>
      </c>
      <c r="CI82" s="352">
        <f t="shared" si="144"/>
        <v>0</v>
      </c>
      <c r="CJ82" s="352">
        <f t="shared" si="145"/>
        <v>0</v>
      </c>
      <c r="CK82" s="352">
        <f t="shared" si="146"/>
        <v>0</v>
      </c>
      <c r="CL82" s="352">
        <f t="shared" si="147"/>
        <v>0</v>
      </c>
      <c r="CM82" s="352">
        <f t="shared" si="148"/>
        <v>0</v>
      </c>
      <c r="ER82" s="12"/>
      <c r="ES82" s="67">
        <v>1</v>
      </c>
      <c r="ET82" s="335">
        <v>1</v>
      </c>
      <c r="EU82" s="335"/>
      <c r="EV82" s="335"/>
      <c r="EX82" s="10" t="str">
        <f t="shared" si="135"/>
        <v/>
      </c>
    </row>
    <row r="83" spans="1:154" s="67" customFormat="1" hidden="1" x14ac:dyDescent="0.25">
      <c r="A83" s="362" cm="1">
        <f t="array" aca="1" ref="A83" ca="1">HYPERLINK(CONCATENATE("#",CELL("address",IF(SUM($CA83:$CH83)=0,A83,INDEX($CA83:$CH83,MATCH(1,$CA83:$CH83,0))))),SUM($CA83:$CH83))</f>
        <v>0</v>
      </c>
      <c r="B83" s="93"/>
      <c r="C83" s="383"/>
      <c r="D83" s="137" t="s">
        <v>2316</v>
      </c>
      <c r="E83" s="335"/>
      <c r="F83" s="335"/>
      <c r="G83" s="8"/>
      <c r="H83" s="335"/>
      <c r="I83" s="335"/>
      <c r="J83" s="335"/>
      <c r="K83" s="335"/>
      <c r="L83" s="335"/>
      <c r="M83" s="335"/>
      <c r="N83" s="335"/>
      <c r="O83" s="335"/>
      <c r="P83" s="335"/>
      <c r="Q83" s="335"/>
      <c r="R83" s="335"/>
      <c r="S83" s="93"/>
      <c r="T83" s="25"/>
      <c r="U83" s="25"/>
      <c r="V83" s="136"/>
      <c r="W83" s="136"/>
      <c r="X83" s="136"/>
      <c r="Y83" s="136"/>
      <c r="Z83" s="93"/>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93"/>
      <c r="BL83" s="136"/>
      <c r="BM83" s="136"/>
      <c r="BN83" s="136"/>
      <c r="BO83" s="136"/>
      <c r="BP83" s="136"/>
      <c r="BQ83" s="136"/>
      <c r="BR83" s="136"/>
      <c r="BS83" s="136"/>
      <c r="BT83" s="136"/>
      <c r="BU83" s="136"/>
      <c r="BV83" s="136"/>
      <c r="BW83" s="136"/>
      <c r="BY83" s="12"/>
      <c r="BZ83" s="395">
        <f t="shared" si="138"/>
        <v>0</v>
      </c>
      <c r="CA83" s="12"/>
      <c r="CC83" s="7">
        <f t="shared" si="139"/>
        <v>0</v>
      </c>
      <c r="CD83" s="7">
        <f t="shared" si="140"/>
        <v>0</v>
      </c>
      <c r="CE83" s="7">
        <f t="shared" si="141"/>
        <v>0</v>
      </c>
      <c r="CF83" s="12"/>
      <c r="CG83" s="352">
        <f t="shared" si="142"/>
        <v>0</v>
      </c>
      <c r="CH83" s="352">
        <f t="shared" si="143"/>
        <v>0</v>
      </c>
      <c r="CI83" s="352">
        <f t="shared" si="144"/>
        <v>0</v>
      </c>
      <c r="CJ83" s="352">
        <f t="shared" si="145"/>
        <v>0</v>
      </c>
      <c r="CK83" s="352">
        <f t="shared" si="146"/>
        <v>0</v>
      </c>
      <c r="CL83" s="352">
        <f t="shared" si="147"/>
        <v>0</v>
      </c>
      <c r="CM83" s="352">
        <f t="shared" si="148"/>
        <v>0</v>
      </c>
      <c r="ER83" s="12"/>
      <c r="ES83" s="67">
        <v>1</v>
      </c>
      <c r="ET83" s="335">
        <v>1</v>
      </c>
      <c r="EU83" s="335"/>
      <c r="EV83" s="335"/>
      <c r="EX83" s="10" t="str">
        <f t="shared" si="135"/>
        <v/>
      </c>
    </row>
    <row r="84" spans="1:154" ht="30" x14ac:dyDescent="0.25">
      <c r="A84" s="362" cm="1">
        <f t="array" aca="1" ref="A84" ca="1">HYPERLINK(CONCATENATE("#",CELL("address",IF(SUM($CA84:$CH84)=0,A84,INDEX($CA84:$CH84,MATCH(1,$CA84:$CH84,0))))),SUM($CA84:$CH84))</f>
        <v>0</v>
      </c>
      <c r="B84" s="93"/>
      <c r="C84" s="343" t="str">
        <f>CONCATENATE("M-", 'I&amp;E Annual'!C84)</f>
        <v>M-IE-1f</v>
      </c>
      <c r="D84" s="176" t="s">
        <v>1013</v>
      </c>
      <c r="E84" s="5"/>
      <c r="G84" s="5"/>
      <c r="S84" s="93"/>
      <c r="T84" s="25"/>
      <c r="U84" s="25"/>
      <c r="V84" s="13">
        <f>SUM(V71:V83)</f>
        <v>0</v>
      </c>
      <c r="W84" s="13">
        <f>SUM(W71:W83)</f>
        <v>2901</v>
      </c>
      <c r="X84" s="13">
        <f>SUM(X71:X83)</f>
        <v>2650</v>
      </c>
      <c r="Y84" s="13">
        <f>SUM(Y71:Y83)</f>
        <v>2650</v>
      </c>
      <c r="Z84" s="93"/>
      <c r="AA84" s="13">
        <f t="shared" ref="AA84:BJ84" si="161">SUM(AA71:AA83)</f>
        <v>640</v>
      </c>
      <c r="AB84" s="13">
        <f t="shared" si="161"/>
        <v>1030</v>
      </c>
      <c r="AC84" s="13">
        <f>SUM(AC71:AC83)</f>
        <v>134</v>
      </c>
      <c r="AD84" s="13">
        <f t="shared" si="161"/>
        <v>258</v>
      </c>
      <c r="AE84" s="13">
        <f t="shared" si="161"/>
        <v>-27</v>
      </c>
      <c r="AF84" s="13">
        <f t="shared" si="161"/>
        <v>131</v>
      </c>
      <c r="AG84" s="13">
        <f t="shared" si="161"/>
        <v>-16</v>
      </c>
      <c r="AH84" s="13">
        <f t="shared" si="161"/>
        <v>56</v>
      </c>
      <c r="AI84" s="13">
        <f t="shared" si="161"/>
        <v>547</v>
      </c>
      <c r="AJ84" s="13">
        <f t="shared" si="161"/>
        <v>21</v>
      </c>
      <c r="AK84" s="13">
        <f t="shared" si="161"/>
        <v>7</v>
      </c>
      <c r="AL84" s="13">
        <f t="shared" si="161"/>
        <v>120</v>
      </c>
      <c r="AM84" s="13">
        <f t="shared" si="161"/>
        <v>794</v>
      </c>
      <c r="AN84" s="13">
        <f t="shared" si="161"/>
        <v>899</v>
      </c>
      <c r="AO84" s="13">
        <f t="shared" si="161"/>
        <v>119</v>
      </c>
      <c r="AP84" s="13">
        <f t="shared" si="161"/>
        <v>129</v>
      </c>
      <c r="AQ84" s="13">
        <f t="shared" si="161"/>
        <v>2</v>
      </c>
      <c r="AR84" s="13">
        <f t="shared" si="161"/>
        <v>47</v>
      </c>
      <c r="AS84" s="13">
        <f t="shared" si="161"/>
        <v>22</v>
      </c>
      <c r="AT84" s="13">
        <f t="shared" si="161"/>
        <v>43</v>
      </c>
      <c r="AU84" s="13">
        <f t="shared" si="161"/>
        <v>601</v>
      </c>
      <c r="AV84" s="13">
        <f t="shared" si="161"/>
        <v>38</v>
      </c>
      <c r="AW84" s="13">
        <f t="shared" si="161"/>
        <v>53</v>
      </c>
      <c r="AX84" s="13">
        <f t="shared" si="161"/>
        <v>-97</v>
      </c>
      <c r="AY84" s="13">
        <f t="shared" si="161"/>
        <v>794</v>
      </c>
      <c r="AZ84" s="13">
        <f t="shared" si="161"/>
        <v>899</v>
      </c>
      <c r="BA84" s="13">
        <f t="shared" si="161"/>
        <v>119</v>
      </c>
      <c r="BB84" s="13">
        <f t="shared" si="161"/>
        <v>129</v>
      </c>
      <c r="BC84" s="13">
        <f t="shared" si="161"/>
        <v>2</v>
      </c>
      <c r="BD84" s="13">
        <f t="shared" si="161"/>
        <v>47</v>
      </c>
      <c r="BE84" s="13">
        <f t="shared" si="161"/>
        <v>22</v>
      </c>
      <c r="BF84" s="13">
        <f t="shared" si="161"/>
        <v>43</v>
      </c>
      <c r="BG84" s="13">
        <f t="shared" si="161"/>
        <v>601</v>
      </c>
      <c r="BH84" s="13">
        <f t="shared" si="161"/>
        <v>38</v>
      </c>
      <c r="BI84" s="13">
        <f t="shared" si="161"/>
        <v>53</v>
      </c>
      <c r="BJ84" s="13">
        <f t="shared" si="161"/>
        <v>-97</v>
      </c>
      <c r="BK84" s="93"/>
      <c r="BL84" s="13">
        <f t="shared" ref="BL84:BW84" si="162">SUM(BL71:BL83)</f>
        <v>0</v>
      </c>
      <c r="BM84" s="13">
        <f t="shared" si="162"/>
        <v>2901</v>
      </c>
      <c r="BN84" s="13">
        <f t="shared" si="162"/>
        <v>2650</v>
      </c>
      <c r="BO84" s="13">
        <f t="shared" si="162"/>
        <v>2650</v>
      </c>
      <c r="BP84" s="13">
        <f t="shared" si="162"/>
        <v>0</v>
      </c>
      <c r="BQ84" s="13">
        <f t="shared" si="162"/>
        <v>0</v>
      </c>
      <c r="BR84" s="13">
        <f t="shared" si="162"/>
        <v>0</v>
      </c>
      <c r="BS84" s="13">
        <f t="shared" si="162"/>
        <v>0</v>
      </c>
      <c r="BT84" s="13">
        <f t="shared" si="162"/>
        <v>0</v>
      </c>
      <c r="BU84" s="13">
        <f t="shared" si="162"/>
        <v>0</v>
      </c>
      <c r="BV84" s="13">
        <f t="shared" si="162"/>
        <v>0</v>
      </c>
      <c r="BW84" s="13">
        <f t="shared" si="162"/>
        <v>0</v>
      </c>
      <c r="BY84" s="12"/>
      <c r="BZ84" s="395">
        <f>IF(MIN($V84:$BW84)&lt;0, 1, 0)</f>
        <v>1</v>
      </c>
      <c r="CA84" s="12"/>
      <c r="CC84" s="7">
        <f t="shared" si="139"/>
        <v>0</v>
      </c>
      <c r="CD84" s="7">
        <f t="shared" si="140"/>
        <v>0</v>
      </c>
      <c r="CE84" s="7">
        <f t="shared" si="141"/>
        <v>0</v>
      </c>
      <c r="CF84" s="12"/>
      <c r="CG84" s="352">
        <f t="shared" si="142"/>
        <v>0</v>
      </c>
      <c r="CH84" s="352">
        <f t="shared" si="143"/>
        <v>0</v>
      </c>
      <c r="CI84" s="352">
        <f t="shared" si="144"/>
        <v>0</v>
      </c>
      <c r="CJ84" s="352">
        <f t="shared" si="145"/>
        <v>0</v>
      </c>
      <c r="CK84" s="352">
        <f t="shared" si="146"/>
        <v>0</v>
      </c>
      <c r="CL84" s="352">
        <f t="shared" si="147"/>
        <v>0</v>
      </c>
      <c r="CM84" s="352">
        <f t="shared" si="148"/>
        <v>0</v>
      </c>
      <c r="CN84" s="67"/>
      <c r="ER84" s="12"/>
      <c r="ES84">
        <v>0</v>
      </c>
      <c r="ET84" s="335">
        <v>0</v>
      </c>
      <c r="EX84" s="10" t="str">
        <f t="shared" si="135"/>
        <v>Total Other Income from Provision of Education and Training</v>
      </c>
    </row>
    <row r="85" spans="1:154" s="11" customFormat="1" ht="6.6" customHeight="1" x14ac:dyDescent="0.25">
      <c r="A85" s="335"/>
      <c r="B85" s="93"/>
      <c r="C85" s="383"/>
      <c r="D85" s="334"/>
      <c r="E85" s="25"/>
      <c r="F85" s="25"/>
      <c r="T85" s="25"/>
      <c r="U85" s="25"/>
      <c r="V85" s="25"/>
      <c r="W85" s="25"/>
      <c r="X85" s="25"/>
      <c r="Y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L85" s="25"/>
      <c r="BM85" s="155"/>
      <c r="BN85" s="25"/>
      <c r="BO85" s="25"/>
      <c r="BP85" s="25"/>
      <c r="BQ85" s="25"/>
      <c r="BR85" s="25"/>
      <c r="BS85" s="25"/>
      <c r="BT85" s="25"/>
      <c r="BU85" s="25"/>
      <c r="BV85" s="25"/>
      <c r="BW85" s="25"/>
      <c r="BY85" s="42"/>
      <c r="BZ85" s="162"/>
      <c r="CA85" s="42"/>
      <c r="CC85" s="335"/>
      <c r="CD85" s="335"/>
      <c r="CE85" s="335"/>
      <c r="CF85" s="42"/>
      <c r="CG85" s="335"/>
      <c r="CH85" s="335"/>
      <c r="CI85" s="335"/>
      <c r="CJ85" s="335"/>
      <c r="CK85" s="335"/>
      <c r="CL85" s="335"/>
      <c r="CM85" s="335"/>
      <c r="CN85" s="67"/>
      <c r="ER85" s="42"/>
      <c r="ES85" s="11">
        <v>0</v>
      </c>
      <c r="ET85" s="335">
        <v>0</v>
      </c>
      <c r="EU85" s="335"/>
      <c r="EV85" s="335"/>
      <c r="EX85" s="10" t="str">
        <f t="shared" si="135"/>
        <v/>
      </c>
    </row>
    <row r="86" spans="1:154" x14ac:dyDescent="0.25">
      <c r="B86" s="189"/>
      <c r="C86" s="383"/>
      <c r="D86" s="176" t="s">
        <v>34</v>
      </c>
      <c r="E86" s="5"/>
      <c r="G86" s="335"/>
      <c r="H86" s="335"/>
      <c r="J86" s="335"/>
      <c r="K86" s="335"/>
      <c r="L86" s="335"/>
      <c r="M86" s="335"/>
      <c r="N86" s="335"/>
      <c r="O86" s="335"/>
      <c r="P86" s="335"/>
      <c r="Q86" s="335"/>
      <c r="R86" s="335"/>
      <c r="S86" s="335"/>
      <c r="T86" s="25"/>
      <c r="U86" s="25"/>
      <c r="V86" s="25"/>
      <c r="W86" s="25"/>
      <c r="X86" s="25"/>
      <c r="Y86" s="25"/>
      <c r="Z86" s="33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335"/>
      <c r="BL86" s="25"/>
      <c r="BM86" s="25"/>
      <c r="BN86" s="25"/>
      <c r="BO86" s="25"/>
      <c r="BP86" s="25"/>
      <c r="BQ86" s="25"/>
      <c r="BR86" s="25"/>
      <c r="BS86" s="25"/>
      <c r="BT86" s="25"/>
      <c r="BU86" s="25"/>
      <c r="BV86" s="25"/>
      <c r="BW86" s="25"/>
      <c r="BY86" s="12"/>
      <c r="CA86" s="12"/>
      <c r="CF86" s="12"/>
      <c r="CN86" s="67"/>
      <c r="ER86" s="12"/>
      <c r="ES86">
        <v>0</v>
      </c>
      <c r="ET86" s="335">
        <v>0</v>
      </c>
      <c r="EX86" s="10" t="str">
        <f t="shared" si="135"/>
        <v/>
      </c>
    </row>
    <row r="87" spans="1:154" x14ac:dyDescent="0.25">
      <c r="A87" s="362" cm="1">
        <f t="array" aca="1" ref="A87" ca="1">HYPERLINK(CONCATENATE("#",CELL("address",IF(SUM($CA87:$CH87)=0,A87,INDEX($CA87:$CH87,MATCH(1,$CA87:$CH87,0))))),SUM($CA87:$CH87))</f>
        <v>0</v>
      </c>
      <c r="B87" s="93"/>
      <c r="C87" s="343" t="str">
        <f>CONCATENATE("M-", 'I&amp;E Annual'!C87)</f>
        <v>M-IE-1g-1</v>
      </c>
      <c r="D87" s="137" t="s">
        <v>35</v>
      </c>
      <c r="G87" s="335"/>
      <c r="H87" s="11" t="s">
        <v>8</v>
      </c>
      <c r="S87" s="335"/>
      <c r="T87" s="25"/>
      <c r="U87" s="25"/>
      <c r="V87" s="141"/>
      <c r="W87" s="215">
        <f t="shared" ref="W87:Y94" si="163" xml:space="preserve"> SUMIFS($AA87:$BJ87, $AA$3:$BJ$3, W$3)</f>
        <v>0</v>
      </c>
      <c r="X87" s="215">
        <f t="shared" si="163"/>
        <v>0</v>
      </c>
      <c r="Y87" s="215">
        <f t="shared" si="163"/>
        <v>0</v>
      </c>
      <c r="Z87" s="335"/>
      <c r="AA87" s="372"/>
      <c r="AB87" s="372"/>
      <c r="AC87" s="372"/>
      <c r="AD87" s="372"/>
      <c r="AE87" s="372"/>
      <c r="AF87" s="372"/>
      <c r="AG87" s="372"/>
      <c r="AH87" s="372"/>
      <c r="AI87" s="372"/>
      <c r="AJ87" s="372"/>
      <c r="AK87" s="372"/>
      <c r="AL87" s="372"/>
      <c r="AM87" s="372"/>
      <c r="AN87" s="372"/>
      <c r="AO87" s="372"/>
      <c r="AP87" s="372"/>
      <c r="AQ87" s="372"/>
      <c r="AR87" s="372"/>
      <c r="AS87" s="372"/>
      <c r="AT87" s="372"/>
      <c r="AU87" s="372"/>
      <c r="AV87" s="372"/>
      <c r="AW87" s="372"/>
      <c r="AX87" s="372"/>
      <c r="AY87" s="372"/>
      <c r="AZ87" s="372"/>
      <c r="BA87" s="372"/>
      <c r="BB87" s="372"/>
      <c r="BC87" s="372"/>
      <c r="BD87" s="372"/>
      <c r="BE87" s="372"/>
      <c r="BF87" s="372"/>
      <c r="BG87" s="372"/>
      <c r="BH87" s="372"/>
      <c r="BI87" s="372"/>
      <c r="BJ87" s="372"/>
      <c r="BK87" s="335"/>
      <c r="BL87" s="10">
        <f t="shared" ref="BL87:BO94" si="164">V87</f>
        <v>0</v>
      </c>
      <c r="BM87" s="10">
        <f t="shared" si="164"/>
        <v>0</v>
      </c>
      <c r="BN87" s="10">
        <f t="shared" si="164"/>
        <v>0</v>
      </c>
      <c r="BO87" s="10">
        <f t="shared" si="164"/>
        <v>0</v>
      </c>
      <c r="BP87" s="141"/>
      <c r="BQ87" s="141"/>
      <c r="BR87" s="141"/>
      <c r="BS87" s="141"/>
      <c r="BT87" s="141"/>
      <c r="BU87" s="141"/>
      <c r="BV87" s="141"/>
      <c r="BW87" s="141"/>
      <c r="BY87" s="12"/>
      <c r="BZ87" s="395">
        <f t="shared" ref="BZ87:BZ97" si="165">IF(MIN($V87:$BW87)&lt;0, 1, 0)</f>
        <v>0</v>
      </c>
      <c r="CA87" s="12"/>
      <c r="CC87" s="7">
        <f t="shared" ref="CC87:CC98" si="166">IF(SUM($CG87:$CI87)=0, 0, 1)</f>
        <v>0</v>
      </c>
      <c r="CD87" s="7">
        <f t="shared" ref="CD87:CD98" si="167">IF(SUM($CJ87:$CL87)=0, 0, 1)</f>
        <v>0</v>
      </c>
      <c r="CE87" s="7">
        <f t="shared" ref="CE87:CE98" si="168">IF($CM87=0, 0, 1)</f>
        <v>0</v>
      </c>
      <c r="CF87" s="12"/>
      <c r="CG87" s="352">
        <f t="shared" ref="CG87:CG98" si="169">ROUND(W87-SUMIFS($AA87:$BJ87, $AA$3:$BJ$3, W$3), rounding)</f>
        <v>0</v>
      </c>
      <c r="CH87" s="352">
        <f t="shared" ref="CH87:CH98" si="170">ROUND(X87-SUMIFS($AA87:$BJ87, $AA$3:$BJ$3, X$3), rounding)</f>
        <v>0</v>
      </c>
      <c r="CI87" s="352">
        <f t="shared" ref="CI87:CI98" si="171">ROUND(Y87-SUMIFS($AA87:$BJ87, $AA$3:$BJ$3, Y$3), rounding)</f>
        <v>0</v>
      </c>
      <c r="CJ87" s="352">
        <f t="shared" ref="CJ87:CJ98" si="172">ROUND($BM87-SUMIFS($AA87:$BJ87, $AA$3:$BJ$3, $BM$3), rounding)</f>
        <v>0</v>
      </c>
      <c r="CK87" s="352">
        <f t="shared" ref="CK87:CK98" si="173">ROUND($BN87-SUMIFS($AA87:$BJ87, $AA$3:$BJ$3, $BN$3), rounding)</f>
        <v>0</v>
      </c>
      <c r="CL87" s="352">
        <f t="shared" ref="CL87:CL98" si="174">ROUND($BO87-SUMIFS($AA87:$BJ87, $AA$3:$BJ$3, $BO$3), rounding)</f>
        <v>0</v>
      </c>
      <c r="CM87" s="352">
        <f t="shared" ref="CM87:CM98" si="175">ROUND($V87-$BL87, rounding)</f>
        <v>0</v>
      </c>
      <c r="CN87" s="67"/>
      <c r="ER87" s="12"/>
      <c r="ES87" s="4">
        <v>1</v>
      </c>
      <c r="ET87" s="335">
        <v>1</v>
      </c>
      <c r="EX87" s="10" t="str">
        <f t="shared" si="135"/>
        <v>Student training facilities</v>
      </c>
    </row>
    <row r="88" spans="1:154" x14ac:dyDescent="0.25">
      <c r="A88" s="362" cm="1">
        <f t="array" aca="1" ref="A88" ca="1">HYPERLINK(CONCATENATE("#",CELL("address",IF(SUM($CA88:$CH88)=0,A88,INDEX($CA88:$CH88,MATCH(1,$CA88:$CH88,0))))),SUM($CA88:$CH88))</f>
        <v>0</v>
      </c>
      <c r="B88" s="93"/>
      <c r="C88" s="343" t="str">
        <f>CONCATENATE("M-", 'I&amp;E Annual'!C88)</f>
        <v>M-IE-1g-2</v>
      </c>
      <c r="D88" s="137" t="s">
        <v>36</v>
      </c>
      <c r="G88" s="335"/>
      <c r="H88" s="11" t="s">
        <v>8</v>
      </c>
      <c r="S88" s="335"/>
      <c r="T88" s="25"/>
      <c r="U88" s="25"/>
      <c r="V88" s="141"/>
      <c r="W88" s="215">
        <f t="shared" si="163"/>
        <v>65</v>
      </c>
      <c r="X88" s="215">
        <f t="shared" si="163"/>
        <v>178</v>
      </c>
      <c r="Y88" s="215">
        <f t="shared" si="163"/>
        <v>180.66999999999996</v>
      </c>
      <c r="Z88" s="335"/>
      <c r="AA88" s="372">
        <v>1</v>
      </c>
      <c r="AB88" s="372">
        <v>3</v>
      </c>
      <c r="AC88" s="372">
        <v>5</v>
      </c>
      <c r="AD88" s="372">
        <v>3</v>
      </c>
      <c r="AE88" s="372">
        <v>5</v>
      </c>
      <c r="AF88" s="372">
        <v>3</v>
      </c>
      <c r="AG88" s="372">
        <v>10</v>
      </c>
      <c r="AH88" s="372">
        <v>11</v>
      </c>
      <c r="AI88" s="372">
        <v>4</v>
      </c>
      <c r="AJ88" s="372">
        <v>8</v>
      </c>
      <c r="AK88" s="372">
        <v>10</v>
      </c>
      <c r="AL88" s="372">
        <v>2</v>
      </c>
      <c r="AM88" s="571">
        <v>3</v>
      </c>
      <c r="AN88" s="571">
        <v>11</v>
      </c>
      <c r="AO88" s="571">
        <v>15</v>
      </c>
      <c r="AP88" s="571">
        <v>13</v>
      </c>
      <c r="AQ88" s="571">
        <v>25</v>
      </c>
      <c r="AR88" s="571">
        <v>13</v>
      </c>
      <c r="AS88" s="571">
        <v>20</v>
      </c>
      <c r="AT88" s="571">
        <v>21</v>
      </c>
      <c r="AU88" s="571">
        <v>14</v>
      </c>
      <c r="AV88" s="571">
        <v>18</v>
      </c>
      <c r="AW88" s="571">
        <v>20</v>
      </c>
      <c r="AX88" s="571">
        <v>5</v>
      </c>
      <c r="AY88" s="372">
        <f>AM88*1.015</f>
        <v>3.0449999999999999</v>
      </c>
      <c r="AZ88" s="573">
        <f t="shared" ref="AZ88:BJ88" si="176">AN88*1.015</f>
        <v>11.164999999999999</v>
      </c>
      <c r="BA88" s="573">
        <f t="shared" si="176"/>
        <v>15.224999999999998</v>
      </c>
      <c r="BB88" s="573">
        <f t="shared" si="176"/>
        <v>13.194999999999999</v>
      </c>
      <c r="BC88" s="573">
        <f t="shared" si="176"/>
        <v>25.374999999999996</v>
      </c>
      <c r="BD88" s="573">
        <f t="shared" si="176"/>
        <v>13.194999999999999</v>
      </c>
      <c r="BE88" s="573">
        <f t="shared" si="176"/>
        <v>20.299999999999997</v>
      </c>
      <c r="BF88" s="573">
        <f t="shared" si="176"/>
        <v>21.314999999999998</v>
      </c>
      <c r="BG88" s="573">
        <f t="shared" si="176"/>
        <v>14.209999999999999</v>
      </c>
      <c r="BH88" s="573">
        <f t="shared" si="176"/>
        <v>18.27</v>
      </c>
      <c r="BI88" s="573">
        <f t="shared" si="176"/>
        <v>20.299999999999997</v>
      </c>
      <c r="BJ88" s="573">
        <f t="shared" si="176"/>
        <v>5.0749999999999993</v>
      </c>
      <c r="BK88" s="335"/>
      <c r="BL88" s="10">
        <f t="shared" si="164"/>
        <v>0</v>
      </c>
      <c r="BM88" s="10">
        <f t="shared" si="164"/>
        <v>65</v>
      </c>
      <c r="BN88" s="10">
        <f t="shared" si="164"/>
        <v>178</v>
      </c>
      <c r="BO88" s="10">
        <f t="shared" si="164"/>
        <v>180.66999999999996</v>
      </c>
      <c r="BP88" s="141"/>
      <c r="BQ88" s="141"/>
      <c r="BR88" s="141"/>
      <c r="BS88" s="141"/>
      <c r="BT88" s="141"/>
      <c r="BU88" s="141"/>
      <c r="BV88" s="141"/>
      <c r="BW88" s="141"/>
      <c r="BY88" s="12"/>
      <c r="BZ88" s="395">
        <f t="shared" si="165"/>
        <v>0</v>
      </c>
      <c r="CA88" s="12"/>
      <c r="CC88" s="7">
        <f t="shared" si="166"/>
        <v>0</v>
      </c>
      <c r="CD88" s="7">
        <f t="shared" si="167"/>
        <v>0</v>
      </c>
      <c r="CE88" s="7">
        <f t="shared" si="168"/>
        <v>0</v>
      </c>
      <c r="CF88" s="12"/>
      <c r="CG88" s="352">
        <f t="shared" si="169"/>
        <v>0</v>
      </c>
      <c r="CH88" s="352">
        <f t="shared" si="170"/>
        <v>0</v>
      </c>
      <c r="CI88" s="352">
        <f t="shared" si="171"/>
        <v>0</v>
      </c>
      <c r="CJ88" s="352">
        <f t="shared" si="172"/>
        <v>0</v>
      </c>
      <c r="CK88" s="352">
        <f t="shared" si="173"/>
        <v>0</v>
      </c>
      <c r="CL88" s="352">
        <f t="shared" si="174"/>
        <v>0</v>
      </c>
      <c r="CM88" s="352">
        <f t="shared" si="175"/>
        <v>0</v>
      </c>
      <c r="ER88" s="12"/>
      <c r="ES88" s="4">
        <v>1</v>
      </c>
      <c r="ET88" s="335">
        <v>1</v>
      </c>
      <c r="EX88" s="10" t="str">
        <f t="shared" si="135"/>
        <v>Catering</v>
      </c>
    </row>
    <row r="89" spans="1:154" x14ac:dyDescent="0.25">
      <c r="A89" s="362" cm="1">
        <f t="array" aca="1" ref="A89" ca="1">HYPERLINK(CONCATENATE("#",CELL("address",IF(SUM($CA89:$CH89)=0,A89,INDEX($CA89:$CH89,MATCH(1,$CA89:$CH89,0))))),SUM($CA89:$CH89))</f>
        <v>0</v>
      </c>
      <c r="B89" s="93"/>
      <c r="C89" s="343" t="str">
        <f>CONCATENATE("M-", 'I&amp;E Annual'!C89)</f>
        <v>M-IE-1g-3</v>
      </c>
      <c r="D89" s="137" t="s">
        <v>37</v>
      </c>
      <c r="E89" s="335"/>
      <c r="G89" s="335"/>
      <c r="H89" s="11" t="s">
        <v>8</v>
      </c>
      <c r="S89" s="335"/>
      <c r="T89" s="25"/>
      <c r="U89" s="25"/>
      <c r="V89" s="156"/>
      <c r="W89" s="215">
        <f t="shared" si="163"/>
        <v>164</v>
      </c>
      <c r="X89" s="215">
        <f t="shared" si="163"/>
        <v>224</v>
      </c>
      <c r="Y89" s="215">
        <f t="shared" si="163"/>
        <v>229.59999999999997</v>
      </c>
      <c r="Z89" s="335"/>
      <c r="AA89" s="147">
        <v>1</v>
      </c>
      <c r="AB89" s="147">
        <v>16</v>
      </c>
      <c r="AC89" s="147">
        <v>13</v>
      </c>
      <c r="AD89" s="147">
        <v>16</v>
      </c>
      <c r="AE89" s="147">
        <v>32</v>
      </c>
      <c r="AF89" s="147">
        <v>21</v>
      </c>
      <c r="AG89" s="147">
        <v>8</v>
      </c>
      <c r="AH89" s="147">
        <v>10</v>
      </c>
      <c r="AI89" s="147">
        <v>9</v>
      </c>
      <c r="AJ89" s="147">
        <v>24</v>
      </c>
      <c r="AK89" s="147">
        <v>7</v>
      </c>
      <c r="AL89" s="147">
        <v>7</v>
      </c>
      <c r="AM89" s="147">
        <v>11</v>
      </c>
      <c r="AN89" s="147">
        <v>16</v>
      </c>
      <c r="AO89" s="147">
        <v>13</v>
      </c>
      <c r="AP89" s="147">
        <v>16</v>
      </c>
      <c r="AQ89" s="147">
        <v>32</v>
      </c>
      <c r="AR89" s="147">
        <v>21</v>
      </c>
      <c r="AS89" s="147">
        <v>18</v>
      </c>
      <c r="AT89" s="147">
        <v>20</v>
      </c>
      <c r="AU89" s="147">
        <v>19</v>
      </c>
      <c r="AV89" s="147">
        <v>24</v>
      </c>
      <c r="AW89" s="147">
        <v>17</v>
      </c>
      <c r="AX89" s="147">
        <v>17</v>
      </c>
      <c r="AY89" s="147">
        <f>AM89*1.025</f>
        <v>11.274999999999999</v>
      </c>
      <c r="AZ89" s="147">
        <f t="shared" ref="AZ89:BJ89" si="177">AN89*1.025</f>
        <v>16.399999999999999</v>
      </c>
      <c r="BA89" s="147">
        <f t="shared" si="177"/>
        <v>13.324999999999999</v>
      </c>
      <c r="BB89" s="147">
        <f t="shared" si="177"/>
        <v>16.399999999999999</v>
      </c>
      <c r="BC89" s="147">
        <f t="shared" si="177"/>
        <v>32.799999999999997</v>
      </c>
      <c r="BD89" s="147">
        <f t="shared" si="177"/>
        <v>21.524999999999999</v>
      </c>
      <c r="BE89" s="147">
        <f t="shared" si="177"/>
        <v>18.45</v>
      </c>
      <c r="BF89" s="147">
        <f t="shared" si="177"/>
        <v>20.5</v>
      </c>
      <c r="BG89" s="147">
        <f t="shared" si="177"/>
        <v>19.474999999999998</v>
      </c>
      <c r="BH89" s="147">
        <f t="shared" si="177"/>
        <v>24.599999999999998</v>
      </c>
      <c r="BI89" s="147">
        <f t="shared" si="177"/>
        <v>17.424999999999997</v>
      </c>
      <c r="BJ89" s="147">
        <f t="shared" si="177"/>
        <v>17.424999999999997</v>
      </c>
      <c r="BK89" s="335"/>
      <c r="BL89" s="153">
        <f t="shared" si="164"/>
        <v>0</v>
      </c>
      <c r="BM89" s="153">
        <f t="shared" si="164"/>
        <v>164</v>
      </c>
      <c r="BN89" s="153">
        <f t="shared" si="164"/>
        <v>224</v>
      </c>
      <c r="BO89" s="153">
        <f t="shared" si="164"/>
        <v>229.59999999999997</v>
      </c>
      <c r="BP89" s="156"/>
      <c r="BQ89" s="156"/>
      <c r="BR89" s="156"/>
      <c r="BS89" s="156"/>
      <c r="BT89" s="156"/>
      <c r="BU89" s="156"/>
      <c r="BV89" s="156"/>
      <c r="BW89" s="156"/>
      <c r="BY89" s="12"/>
      <c r="BZ89" s="395">
        <f t="shared" si="165"/>
        <v>0</v>
      </c>
      <c r="CA89" s="12"/>
      <c r="CC89" s="7">
        <f t="shared" si="166"/>
        <v>0</v>
      </c>
      <c r="CD89" s="7">
        <f t="shared" si="167"/>
        <v>0</v>
      </c>
      <c r="CE89" s="7">
        <f t="shared" si="168"/>
        <v>0</v>
      </c>
      <c r="CF89" s="12"/>
      <c r="CG89" s="352">
        <f t="shared" si="169"/>
        <v>0</v>
      </c>
      <c r="CH89" s="352">
        <f t="shared" si="170"/>
        <v>0</v>
      </c>
      <c r="CI89" s="352">
        <f t="shared" si="171"/>
        <v>0</v>
      </c>
      <c r="CJ89" s="352">
        <f t="shared" si="172"/>
        <v>0</v>
      </c>
      <c r="CK89" s="352">
        <f t="shared" si="173"/>
        <v>0</v>
      </c>
      <c r="CL89" s="352">
        <f t="shared" si="174"/>
        <v>0</v>
      </c>
      <c r="CM89" s="352">
        <f t="shared" si="175"/>
        <v>0</v>
      </c>
      <c r="ER89" s="12"/>
      <c r="ES89" s="4">
        <v>1</v>
      </c>
      <c r="ET89" s="335">
        <v>1</v>
      </c>
      <c r="EX89" s="10" t="str">
        <f t="shared" si="135"/>
        <v>Nursery</v>
      </c>
    </row>
    <row r="90" spans="1:154" x14ac:dyDescent="0.25">
      <c r="A90" s="362" cm="1">
        <f t="array" aca="1" ref="A90" ca="1">HYPERLINK(CONCATENATE("#",CELL("address",IF(SUM($CA90:$CH90)=0,A90,INDEX($CA90:$CH90,MATCH(1,$CA90:$CH90,0))))),SUM($CA90:$CH90))</f>
        <v>0</v>
      </c>
      <c r="B90" s="93"/>
      <c r="C90" s="343" t="str">
        <f>CONCATENATE("M-", 'I&amp;E Annual'!C90)</f>
        <v>M-IE-1g-4</v>
      </c>
      <c r="D90" s="137" t="s">
        <v>38</v>
      </c>
      <c r="H90" s="11" t="s">
        <v>8</v>
      </c>
      <c r="S90" s="335"/>
      <c r="T90" s="25"/>
      <c r="U90" s="25"/>
      <c r="V90" s="156"/>
      <c r="W90" s="215">
        <f t="shared" si="163"/>
        <v>0</v>
      </c>
      <c r="X90" s="215">
        <f t="shared" si="163"/>
        <v>0</v>
      </c>
      <c r="Y90" s="215">
        <f t="shared" si="163"/>
        <v>0</v>
      </c>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c r="BI90" s="147"/>
      <c r="BJ90" s="147"/>
      <c r="BL90" s="153">
        <f t="shared" si="164"/>
        <v>0</v>
      </c>
      <c r="BM90" s="153">
        <f t="shared" si="164"/>
        <v>0</v>
      </c>
      <c r="BN90" s="153">
        <f t="shared" si="164"/>
        <v>0</v>
      </c>
      <c r="BO90" s="153">
        <f t="shared" si="164"/>
        <v>0</v>
      </c>
      <c r="BP90" s="156"/>
      <c r="BQ90" s="156"/>
      <c r="BR90" s="156"/>
      <c r="BS90" s="156"/>
      <c r="BT90" s="156"/>
      <c r="BU90" s="156"/>
      <c r="BV90" s="156"/>
      <c r="BW90" s="156"/>
      <c r="BY90" s="12"/>
      <c r="BZ90" s="395">
        <f t="shared" si="165"/>
        <v>0</v>
      </c>
      <c r="CA90" s="12"/>
      <c r="CC90" s="7">
        <f t="shared" si="166"/>
        <v>0</v>
      </c>
      <c r="CD90" s="7">
        <f t="shared" si="167"/>
        <v>0</v>
      </c>
      <c r="CE90" s="7">
        <f t="shared" si="168"/>
        <v>0</v>
      </c>
      <c r="CF90" s="12"/>
      <c r="CG90" s="352">
        <f t="shared" si="169"/>
        <v>0</v>
      </c>
      <c r="CH90" s="352">
        <f t="shared" si="170"/>
        <v>0</v>
      </c>
      <c r="CI90" s="352">
        <f t="shared" si="171"/>
        <v>0</v>
      </c>
      <c r="CJ90" s="352">
        <f t="shared" si="172"/>
        <v>0</v>
      </c>
      <c r="CK90" s="352">
        <f t="shared" si="173"/>
        <v>0</v>
      </c>
      <c r="CL90" s="352">
        <f t="shared" si="174"/>
        <v>0</v>
      </c>
      <c r="CM90" s="352">
        <f t="shared" si="175"/>
        <v>0</v>
      </c>
      <c r="ER90" s="12"/>
      <c r="ES90" s="4">
        <v>1</v>
      </c>
      <c r="ET90" s="335">
        <v>1</v>
      </c>
      <c r="EX90" s="10" t="str">
        <f t="shared" si="135"/>
        <v>Residences and conferences</v>
      </c>
    </row>
    <row r="91" spans="1:154" x14ac:dyDescent="0.25">
      <c r="A91" s="362" cm="1">
        <f t="array" aca="1" ref="A91" ca="1">HYPERLINK(CONCATENATE("#",CELL("address",IF(SUM($CA91:$CH91)=0,A91,INDEX($CA91:$CH91,MATCH(1,$CA91:$CH91,0))))),SUM($CA91:$CH91))</f>
        <v>0</v>
      </c>
      <c r="B91" s="93"/>
      <c r="C91" s="343" t="str">
        <f>CONCATENATE("M-", 'I&amp;E Annual'!C91)</f>
        <v>M-IE-1g-5</v>
      </c>
      <c r="D91" s="137" t="s">
        <v>39</v>
      </c>
      <c r="H91" s="11" t="s">
        <v>8</v>
      </c>
      <c r="S91" s="335"/>
      <c r="T91" s="25"/>
      <c r="U91" s="25"/>
      <c r="V91" s="141"/>
      <c r="W91" s="215">
        <f t="shared" si="163"/>
        <v>0</v>
      </c>
      <c r="X91" s="215">
        <f t="shared" si="163"/>
        <v>0</v>
      </c>
      <c r="Y91" s="215">
        <f t="shared" si="163"/>
        <v>0</v>
      </c>
      <c r="AA91" s="372"/>
      <c r="AB91" s="372"/>
      <c r="AC91" s="372"/>
      <c r="AD91" s="372"/>
      <c r="AE91" s="372"/>
      <c r="AF91" s="372"/>
      <c r="AG91" s="372"/>
      <c r="AH91" s="372"/>
      <c r="AI91" s="372"/>
      <c r="AJ91" s="372"/>
      <c r="AK91" s="372"/>
      <c r="AL91" s="372"/>
      <c r="AM91" s="571"/>
      <c r="AN91" s="571"/>
      <c r="AO91" s="571"/>
      <c r="AP91" s="571"/>
      <c r="AQ91" s="571"/>
      <c r="AR91" s="571"/>
      <c r="AS91" s="571"/>
      <c r="AT91" s="571"/>
      <c r="AU91" s="571"/>
      <c r="AV91" s="571"/>
      <c r="AW91" s="571"/>
      <c r="AX91" s="571"/>
      <c r="AY91" s="372"/>
      <c r="AZ91" s="372"/>
      <c r="BA91" s="372"/>
      <c r="BB91" s="372"/>
      <c r="BC91" s="372"/>
      <c r="BD91" s="372"/>
      <c r="BE91" s="372"/>
      <c r="BF91" s="372"/>
      <c r="BG91" s="372"/>
      <c r="BH91" s="372"/>
      <c r="BI91" s="372"/>
      <c r="BJ91" s="372"/>
      <c r="BL91" s="10">
        <f t="shared" si="164"/>
        <v>0</v>
      </c>
      <c r="BM91" s="10">
        <f t="shared" si="164"/>
        <v>0</v>
      </c>
      <c r="BN91" s="10">
        <f t="shared" si="164"/>
        <v>0</v>
      </c>
      <c r="BO91" s="10">
        <f t="shared" si="164"/>
        <v>0</v>
      </c>
      <c r="BP91" s="141"/>
      <c r="BQ91" s="141"/>
      <c r="BR91" s="141"/>
      <c r="BS91" s="141"/>
      <c r="BT91" s="141"/>
      <c r="BU91" s="141"/>
      <c r="BV91" s="141"/>
      <c r="BW91" s="141"/>
      <c r="BY91" s="12"/>
      <c r="BZ91" s="395">
        <f t="shared" si="165"/>
        <v>0</v>
      </c>
      <c r="CA91" s="12"/>
      <c r="CC91" s="7">
        <f t="shared" si="166"/>
        <v>0</v>
      </c>
      <c r="CD91" s="7">
        <f t="shared" si="167"/>
        <v>0</v>
      </c>
      <c r="CE91" s="7">
        <f t="shared" si="168"/>
        <v>0</v>
      </c>
      <c r="CF91" s="12"/>
      <c r="CG91" s="352">
        <f t="shared" si="169"/>
        <v>0</v>
      </c>
      <c r="CH91" s="352">
        <f t="shared" si="170"/>
        <v>0</v>
      </c>
      <c r="CI91" s="352">
        <f t="shared" si="171"/>
        <v>0</v>
      </c>
      <c r="CJ91" s="352">
        <f t="shared" si="172"/>
        <v>0</v>
      </c>
      <c r="CK91" s="352">
        <f t="shared" si="173"/>
        <v>0</v>
      </c>
      <c r="CL91" s="352">
        <f t="shared" si="174"/>
        <v>0</v>
      </c>
      <c r="CM91" s="352">
        <f t="shared" si="175"/>
        <v>0</v>
      </c>
      <c r="ER91" s="12"/>
      <c r="ES91" s="4">
        <v>1</v>
      </c>
      <c r="ET91" s="335">
        <v>1</v>
      </c>
      <c r="EX91" s="10" t="str">
        <f t="shared" si="135"/>
        <v>Consultancy</v>
      </c>
    </row>
    <row r="92" spans="1:154" x14ac:dyDescent="0.25">
      <c r="A92" s="362" cm="1">
        <f t="array" aca="1" ref="A92" ca="1">HYPERLINK(CONCATENATE("#",CELL("address",IF(SUM($CA92:$CH92)=0,A92,INDEX($CA92:$CH92,MATCH(1,$CA92:$CH92,0))))),SUM($CA92:$CH92))</f>
        <v>0</v>
      </c>
      <c r="B92" s="93"/>
      <c r="C92" s="343" t="str">
        <f>CONCATENATE("M-", 'I&amp;E Annual'!C92)</f>
        <v>M-IE-1g-6</v>
      </c>
      <c r="D92" s="137" t="s">
        <v>40</v>
      </c>
      <c r="H92" s="11" t="s">
        <v>8</v>
      </c>
      <c r="S92" s="335"/>
      <c r="T92" s="25"/>
      <c r="U92" s="25"/>
      <c r="V92" s="141"/>
      <c r="W92" s="215">
        <f t="shared" si="163"/>
        <v>0</v>
      </c>
      <c r="X92" s="215">
        <f t="shared" si="163"/>
        <v>0</v>
      </c>
      <c r="Y92" s="215">
        <f t="shared" si="163"/>
        <v>0</v>
      </c>
      <c r="AA92" s="372"/>
      <c r="AB92" s="372"/>
      <c r="AC92" s="372"/>
      <c r="AD92" s="372"/>
      <c r="AE92" s="372"/>
      <c r="AF92" s="372"/>
      <c r="AG92" s="372"/>
      <c r="AH92" s="372"/>
      <c r="AI92" s="372"/>
      <c r="AJ92" s="372"/>
      <c r="AK92" s="372"/>
      <c r="AL92" s="372"/>
      <c r="AM92" s="571"/>
      <c r="AN92" s="571"/>
      <c r="AO92" s="571"/>
      <c r="AP92" s="571"/>
      <c r="AQ92" s="571"/>
      <c r="AR92" s="571"/>
      <c r="AS92" s="571"/>
      <c r="AT92" s="571"/>
      <c r="AU92" s="571"/>
      <c r="AV92" s="571"/>
      <c r="AW92" s="571"/>
      <c r="AX92" s="571"/>
      <c r="AY92" s="372"/>
      <c r="AZ92" s="372"/>
      <c r="BA92" s="372"/>
      <c r="BB92" s="372"/>
      <c r="BC92" s="372"/>
      <c r="BD92" s="372"/>
      <c r="BE92" s="372"/>
      <c r="BF92" s="372"/>
      <c r="BG92" s="372"/>
      <c r="BH92" s="372"/>
      <c r="BI92" s="372"/>
      <c r="BJ92" s="372"/>
      <c r="BL92" s="10">
        <f t="shared" si="164"/>
        <v>0</v>
      </c>
      <c r="BM92" s="10">
        <f t="shared" si="164"/>
        <v>0</v>
      </c>
      <c r="BN92" s="10">
        <f t="shared" si="164"/>
        <v>0</v>
      </c>
      <c r="BO92" s="10">
        <f t="shared" si="164"/>
        <v>0</v>
      </c>
      <c r="BP92" s="141"/>
      <c r="BQ92" s="141"/>
      <c r="BR92" s="141"/>
      <c r="BS92" s="141"/>
      <c r="BT92" s="141"/>
      <c r="BU92" s="141"/>
      <c r="BV92" s="141"/>
      <c r="BW92" s="141"/>
      <c r="BY92" s="12"/>
      <c r="BZ92" s="395">
        <f t="shared" si="165"/>
        <v>0</v>
      </c>
      <c r="CA92" s="12"/>
      <c r="CC92" s="7">
        <f t="shared" si="166"/>
        <v>0</v>
      </c>
      <c r="CD92" s="7">
        <f t="shared" si="167"/>
        <v>0</v>
      </c>
      <c r="CE92" s="7">
        <f t="shared" si="168"/>
        <v>0</v>
      </c>
      <c r="CF92" s="12"/>
      <c r="CG92" s="352">
        <f t="shared" si="169"/>
        <v>0</v>
      </c>
      <c r="CH92" s="352">
        <f t="shared" si="170"/>
        <v>0</v>
      </c>
      <c r="CI92" s="352">
        <f t="shared" si="171"/>
        <v>0</v>
      </c>
      <c r="CJ92" s="352">
        <f t="shared" si="172"/>
        <v>0</v>
      </c>
      <c r="CK92" s="352">
        <f t="shared" si="173"/>
        <v>0</v>
      </c>
      <c r="CL92" s="352">
        <f t="shared" si="174"/>
        <v>0</v>
      </c>
      <c r="CM92" s="352">
        <f t="shared" si="175"/>
        <v>0</v>
      </c>
      <c r="ER92" s="12"/>
      <c r="ES92" s="4">
        <v>1</v>
      </c>
      <c r="ET92" s="335">
        <v>1</v>
      </c>
      <c r="EX92" s="10" t="str">
        <f t="shared" si="135"/>
        <v>International overseas delivery</v>
      </c>
    </row>
    <row r="93" spans="1:154" x14ac:dyDescent="0.25">
      <c r="A93" s="362" cm="1">
        <f t="array" aca="1" ref="A93" ca="1">HYPERLINK(CONCATENATE("#",CELL("address",IF(SUM($CA93:$CH93)=0,A93,INDEX($CA93:$CH93,MATCH(1,$CA93:$CH93,0))))),SUM($CA93:$CH93))</f>
        <v>0</v>
      </c>
      <c r="B93" s="93"/>
      <c r="C93" s="343" t="str">
        <f>CONCATENATE("M-", 'I&amp;E Annual'!C93)</f>
        <v>M-IE-1g-7</v>
      </c>
      <c r="D93" s="137" t="s">
        <v>469</v>
      </c>
      <c r="E93" s="335"/>
      <c r="G93" s="335"/>
      <c r="H93" s="335" t="s">
        <v>8</v>
      </c>
      <c r="S93" s="335"/>
      <c r="T93" s="25"/>
      <c r="U93" s="25"/>
      <c r="V93" s="141"/>
      <c r="W93" s="215">
        <f t="shared" si="163"/>
        <v>0</v>
      </c>
      <c r="X93" s="215">
        <f t="shared" si="163"/>
        <v>0</v>
      </c>
      <c r="Y93" s="215">
        <f t="shared" si="163"/>
        <v>0</v>
      </c>
      <c r="AA93" s="372"/>
      <c r="AB93" s="372"/>
      <c r="AC93" s="372"/>
      <c r="AD93" s="372"/>
      <c r="AE93" s="372"/>
      <c r="AF93" s="372"/>
      <c r="AG93" s="372"/>
      <c r="AH93" s="372"/>
      <c r="AI93" s="372"/>
      <c r="AJ93" s="372"/>
      <c r="AK93" s="372"/>
      <c r="AL93" s="372"/>
      <c r="AM93" s="571"/>
      <c r="AN93" s="571"/>
      <c r="AO93" s="571"/>
      <c r="AP93" s="571"/>
      <c r="AQ93" s="571"/>
      <c r="AR93" s="571"/>
      <c r="AS93" s="571"/>
      <c r="AT93" s="571"/>
      <c r="AU93" s="571"/>
      <c r="AV93" s="571"/>
      <c r="AW93" s="571"/>
      <c r="AX93" s="571"/>
      <c r="AY93" s="372"/>
      <c r="AZ93" s="372"/>
      <c r="BA93" s="372"/>
      <c r="BB93" s="372"/>
      <c r="BC93" s="372"/>
      <c r="BD93" s="372"/>
      <c r="BE93" s="372"/>
      <c r="BF93" s="372"/>
      <c r="BG93" s="372"/>
      <c r="BH93" s="372"/>
      <c r="BI93" s="372"/>
      <c r="BJ93" s="372"/>
      <c r="BL93" s="10">
        <f t="shared" si="164"/>
        <v>0</v>
      </c>
      <c r="BM93" s="10">
        <f t="shared" si="164"/>
        <v>0</v>
      </c>
      <c r="BN93" s="10">
        <f t="shared" si="164"/>
        <v>0</v>
      </c>
      <c r="BO93" s="10">
        <f t="shared" si="164"/>
        <v>0</v>
      </c>
      <c r="BP93" s="141"/>
      <c r="BQ93" s="141"/>
      <c r="BR93" s="141"/>
      <c r="BS93" s="141"/>
      <c r="BT93" s="141"/>
      <c r="BU93" s="141"/>
      <c r="BV93" s="141"/>
      <c r="BW93" s="141"/>
      <c r="BY93" s="12"/>
      <c r="BZ93" s="395">
        <f t="shared" si="165"/>
        <v>0</v>
      </c>
      <c r="CA93" s="12"/>
      <c r="CC93" s="7">
        <f t="shared" si="166"/>
        <v>0</v>
      </c>
      <c r="CD93" s="7">
        <f t="shared" si="167"/>
        <v>0</v>
      </c>
      <c r="CE93" s="7">
        <f t="shared" si="168"/>
        <v>0</v>
      </c>
      <c r="CF93" s="12"/>
      <c r="CG93" s="352">
        <f t="shared" si="169"/>
        <v>0</v>
      </c>
      <c r="CH93" s="352">
        <f t="shared" si="170"/>
        <v>0</v>
      </c>
      <c r="CI93" s="352">
        <f t="shared" si="171"/>
        <v>0</v>
      </c>
      <c r="CJ93" s="352">
        <f t="shared" si="172"/>
        <v>0</v>
      </c>
      <c r="CK93" s="352">
        <f t="shared" si="173"/>
        <v>0</v>
      </c>
      <c r="CL93" s="352">
        <f t="shared" si="174"/>
        <v>0</v>
      </c>
      <c r="CM93" s="352">
        <f t="shared" si="175"/>
        <v>0</v>
      </c>
      <c r="ER93" s="12"/>
      <c r="ES93" s="4">
        <v>1</v>
      </c>
      <c r="ET93" s="335">
        <v>1</v>
      </c>
      <c r="EX93" s="10" t="str">
        <f t="shared" si="135"/>
        <v>Farming</v>
      </c>
    </row>
    <row r="94" spans="1:154" x14ac:dyDescent="0.25">
      <c r="A94" s="362" cm="1">
        <f t="array" aca="1" ref="A94" ca="1">HYPERLINK(CONCATENATE("#",CELL("address",IF(SUM($CA94:$CH94)=0,A94,INDEX($CA94:$CH94,MATCH(1,$CA94:$CH94,0))))),SUM($CA94:$CH94))</f>
        <v>0</v>
      </c>
      <c r="B94" s="93"/>
      <c r="C94" s="343" t="str">
        <f>CONCATENATE("M-", 'I&amp;E Annual'!C94)</f>
        <v>M-IE-1g-8</v>
      </c>
      <c r="D94" s="137" t="s">
        <v>470</v>
      </c>
      <c r="E94" s="11"/>
      <c r="H94" s="11" t="s">
        <v>8</v>
      </c>
      <c r="S94" s="335"/>
      <c r="T94" s="25"/>
      <c r="U94" s="25"/>
      <c r="V94" s="141"/>
      <c r="W94" s="215">
        <f t="shared" si="163"/>
        <v>709</v>
      </c>
      <c r="X94" s="215">
        <f t="shared" si="163"/>
        <v>848</v>
      </c>
      <c r="Y94" s="215">
        <f t="shared" si="163"/>
        <v>864.95999999999992</v>
      </c>
      <c r="AA94" s="372">
        <v>40</v>
      </c>
      <c r="AB94" s="372">
        <v>45</v>
      </c>
      <c r="AC94" s="372">
        <v>62</v>
      </c>
      <c r="AD94" s="372">
        <v>62</v>
      </c>
      <c r="AE94" s="372">
        <v>62</v>
      </c>
      <c r="AF94" s="372">
        <v>52</v>
      </c>
      <c r="AG94" s="372">
        <v>82</v>
      </c>
      <c r="AH94" s="372">
        <v>82</v>
      </c>
      <c r="AI94" s="372">
        <v>82</v>
      </c>
      <c r="AJ94" s="372">
        <v>82</v>
      </c>
      <c r="AK94" s="372">
        <v>42</v>
      </c>
      <c r="AL94" s="372">
        <v>16</v>
      </c>
      <c r="AM94" s="571">
        <v>40</v>
      </c>
      <c r="AN94" s="571">
        <v>65</v>
      </c>
      <c r="AO94" s="571">
        <v>72</v>
      </c>
      <c r="AP94" s="571">
        <v>82</v>
      </c>
      <c r="AQ94" s="571">
        <v>72</v>
      </c>
      <c r="AR94" s="571">
        <v>75</v>
      </c>
      <c r="AS94" s="571">
        <v>82</v>
      </c>
      <c r="AT94" s="571">
        <v>82</v>
      </c>
      <c r="AU94" s="571">
        <v>82</v>
      </c>
      <c r="AV94" s="571">
        <v>82</v>
      </c>
      <c r="AW94" s="571">
        <v>72</v>
      </c>
      <c r="AX94" s="571">
        <v>42</v>
      </c>
      <c r="AY94" s="372">
        <f>AM94*1.02</f>
        <v>40.799999999999997</v>
      </c>
      <c r="AZ94" s="573">
        <f t="shared" ref="AZ94:BJ94" si="178">AN94*1.02</f>
        <v>66.3</v>
      </c>
      <c r="BA94" s="573">
        <f t="shared" si="178"/>
        <v>73.44</v>
      </c>
      <c r="BB94" s="573">
        <f t="shared" si="178"/>
        <v>83.64</v>
      </c>
      <c r="BC94" s="573">
        <f t="shared" si="178"/>
        <v>73.44</v>
      </c>
      <c r="BD94" s="573">
        <f t="shared" si="178"/>
        <v>76.5</v>
      </c>
      <c r="BE94" s="573">
        <f t="shared" si="178"/>
        <v>83.64</v>
      </c>
      <c r="BF94" s="573">
        <f t="shared" si="178"/>
        <v>83.64</v>
      </c>
      <c r="BG94" s="573">
        <f t="shared" si="178"/>
        <v>83.64</v>
      </c>
      <c r="BH94" s="573">
        <f t="shared" si="178"/>
        <v>83.64</v>
      </c>
      <c r="BI94" s="573">
        <f t="shared" si="178"/>
        <v>73.44</v>
      </c>
      <c r="BJ94" s="573">
        <f t="shared" si="178"/>
        <v>42.84</v>
      </c>
      <c r="BL94" s="10">
        <f t="shared" si="164"/>
        <v>0</v>
      </c>
      <c r="BM94" s="10">
        <f t="shared" si="164"/>
        <v>709</v>
      </c>
      <c r="BN94" s="10">
        <f t="shared" si="164"/>
        <v>848</v>
      </c>
      <c r="BO94" s="10">
        <f t="shared" si="164"/>
        <v>864.95999999999992</v>
      </c>
      <c r="BP94" s="141"/>
      <c r="BQ94" s="141"/>
      <c r="BR94" s="141"/>
      <c r="BS94" s="141"/>
      <c r="BT94" s="141"/>
      <c r="BU94" s="141"/>
      <c r="BV94" s="141"/>
      <c r="BW94" s="141"/>
      <c r="BY94" s="12"/>
      <c r="BZ94" s="395">
        <f t="shared" si="165"/>
        <v>0</v>
      </c>
      <c r="CA94" s="12"/>
      <c r="CC94" s="7">
        <f t="shared" si="166"/>
        <v>0</v>
      </c>
      <c r="CD94" s="7">
        <f t="shared" si="167"/>
        <v>0</v>
      </c>
      <c r="CE94" s="7">
        <f t="shared" si="168"/>
        <v>0</v>
      </c>
      <c r="CF94" s="12"/>
      <c r="CG94" s="352">
        <f t="shared" si="169"/>
        <v>0</v>
      </c>
      <c r="CH94" s="352">
        <f t="shared" si="170"/>
        <v>0</v>
      </c>
      <c r="CI94" s="352">
        <f t="shared" si="171"/>
        <v>0</v>
      </c>
      <c r="CJ94" s="352">
        <f t="shared" si="172"/>
        <v>0</v>
      </c>
      <c r="CK94" s="352">
        <f t="shared" si="173"/>
        <v>0</v>
      </c>
      <c r="CL94" s="352">
        <f t="shared" si="174"/>
        <v>0</v>
      </c>
      <c r="CM94" s="352">
        <f t="shared" si="175"/>
        <v>0</v>
      </c>
      <c r="ER94" s="12"/>
      <c r="ES94" s="4">
        <v>1</v>
      </c>
      <c r="ET94" s="335">
        <v>1</v>
      </c>
      <c r="EX94" s="10" t="str">
        <f t="shared" si="135"/>
        <v>Other commercial income</v>
      </c>
    </row>
    <row r="95" spans="1:154" s="67" customFormat="1" hidden="1" x14ac:dyDescent="0.25">
      <c r="A95" s="362" cm="1">
        <f t="array" aca="1" ref="A95" ca="1">HYPERLINK(CONCATENATE("#",CELL("address",IF(SUM($CA95:$CH95)=0,A95,INDEX($CA95:$CH95,MATCH(1,$CA95:$CH95,0))))),SUM($CA95:$CH95))</f>
        <v>0</v>
      </c>
      <c r="B95" s="93"/>
      <c r="C95" s="383"/>
      <c r="D95" s="137" t="s">
        <v>2316</v>
      </c>
      <c r="E95" s="335"/>
      <c r="F95" s="335"/>
      <c r="G95" s="8"/>
      <c r="H95" s="335"/>
      <c r="I95" s="335"/>
      <c r="J95" s="335"/>
      <c r="K95" s="335"/>
      <c r="L95" s="335"/>
      <c r="M95" s="335"/>
      <c r="N95" s="335"/>
      <c r="O95" s="335"/>
      <c r="P95" s="335"/>
      <c r="Q95" s="335"/>
      <c r="R95" s="335"/>
      <c r="S95" s="93"/>
      <c r="T95" s="25"/>
      <c r="U95" s="25"/>
      <c r="V95" s="136"/>
      <c r="W95" s="136"/>
      <c r="X95" s="136"/>
      <c r="Y95" s="136"/>
      <c r="Z95" s="93"/>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93"/>
      <c r="BL95" s="136"/>
      <c r="BM95" s="136"/>
      <c r="BN95" s="136"/>
      <c r="BO95" s="136"/>
      <c r="BP95" s="136"/>
      <c r="BQ95" s="136"/>
      <c r="BR95" s="136"/>
      <c r="BS95" s="136"/>
      <c r="BT95" s="136"/>
      <c r="BU95" s="136"/>
      <c r="BV95" s="136"/>
      <c r="BW95" s="136"/>
      <c r="BY95" s="12"/>
      <c r="BZ95" s="395">
        <f t="shared" si="165"/>
        <v>0</v>
      </c>
      <c r="CA95" s="12"/>
      <c r="CC95" s="7">
        <f t="shared" si="166"/>
        <v>0</v>
      </c>
      <c r="CD95" s="7">
        <f t="shared" si="167"/>
        <v>0</v>
      </c>
      <c r="CE95" s="7">
        <f t="shared" si="168"/>
        <v>0</v>
      </c>
      <c r="CF95" s="12"/>
      <c r="CG95" s="352">
        <f t="shared" si="169"/>
        <v>0</v>
      </c>
      <c r="CH95" s="352">
        <f t="shared" si="170"/>
        <v>0</v>
      </c>
      <c r="CI95" s="352">
        <f t="shared" si="171"/>
        <v>0</v>
      </c>
      <c r="CJ95" s="352">
        <f t="shared" si="172"/>
        <v>0</v>
      </c>
      <c r="CK95" s="352">
        <f t="shared" si="173"/>
        <v>0</v>
      </c>
      <c r="CL95" s="352">
        <f t="shared" si="174"/>
        <v>0</v>
      </c>
      <c r="CM95" s="352">
        <f t="shared" si="175"/>
        <v>0</v>
      </c>
      <c r="ER95" s="12"/>
      <c r="ES95" s="67">
        <v>1</v>
      </c>
      <c r="ET95" s="335">
        <v>1</v>
      </c>
      <c r="EU95" s="335"/>
      <c r="EV95" s="335"/>
      <c r="EX95" s="10" t="str">
        <f t="shared" si="135"/>
        <v/>
      </c>
    </row>
    <row r="96" spans="1:154" s="67" customFormat="1" hidden="1" x14ac:dyDescent="0.25">
      <c r="A96" s="362" cm="1">
        <f t="array" aca="1" ref="A96" ca="1">HYPERLINK(CONCATENATE("#",CELL("address",IF(SUM($CA96:$CH96)=0,A96,INDEX($CA96:$CH96,MATCH(1,$CA96:$CH96,0))))),SUM($CA96:$CH96))</f>
        <v>0</v>
      </c>
      <c r="B96" s="93"/>
      <c r="C96" s="383"/>
      <c r="D96" s="137" t="s">
        <v>2316</v>
      </c>
      <c r="G96" s="8"/>
      <c r="S96" s="93"/>
      <c r="T96" s="25"/>
      <c r="U96" s="25"/>
      <c r="V96" s="136"/>
      <c r="W96" s="136"/>
      <c r="X96" s="136"/>
      <c r="Y96" s="136"/>
      <c r="Z96" s="93"/>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93"/>
      <c r="BL96" s="136"/>
      <c r="BM96" s="136"/>
      <c r="BN96" s="136"/>
      <c r="BO96" s="136"/>
      <c r="BP96" s="136"/>
      <c r="BQ96" s="136"/>
      <c r="BR96" s="136"/>
      <c r="BS96" s="136"/>
      <c r="BT96" s="136"/>
      <c r="BU96" s="136"/>
      <c r="BV96" s="136"/>
      <c r="BW96" s="136"/>
      <c r="BY96" s="12"/>
      <c r="BZ96" s="395">
        <f t="shared" si="165"/>
        <v>0</v>
      </c>
      <c r="CA96" s="12"/>
      <c r="CC96" s="7">
        <f t="shared" si="166"/>
        <v>0</v>
      </c>
      <c r="CD96" s="7">
        <f t="shared" si="167"/>
        <v>0</v>
      </c>
      <c r="CE96" s="7">
        <f t="shared" si="168"/>
        <v>0</v>
      </c>
      <c r="CF96" s="12"/>
      <c r="CG96" s="352">
        <f t="shared" si="169"/>
        <v>0</v>
      </c>
      <c r="CH96" s="352">
        <f t="shared" si="170"/>
        <v>0</v>
      </c>
      <c r="CI96" s="352">
        <f t="shared" si="171"/>
        <v>0</v>
      </c>
      <c r="CJ96" s="352">
        <f t="shared" si="172"/>
        <v>0</v>
      </c>
      <c r="CK96" s="352">
        <f t="shared" si="173"/>
        <v>0</v>
      </c>
      <c r="CL96" s="352">
        <f t="shared" si="174"/>
        <v>0</v>
      </c>
      <c r="CM96" s="352">
        <f t="shared" si="175"/>
        <v>0</v>
      </c>
      <c r="ER96" s="12"/>
      <c r="ES96" s="67">
        <v>1</v>
      </c>
      <c r="ET96" s="335">
        <v>1</v>
      </c>
      <c r="EU96" s="335"/>
      <c r="EV96" s="335"/>
      <c r="EX96" s="10" t="str">
        <f t="shared" si="135"/>
        <v/>
      </c>
    </row>
    <row r="97" spans="1:154" s="67" customFormat="1" hidden="1" x14ac:dyDescent="0.25">
      <c r="A97" s="362" cm="1">
        <f t="array" aca="1" ref="A97" ca="1">HYPERLINK(CONCATENATE("#",CELL("address",IF(SUM($CA97:$CH97)=0,A97,INDEX($CA97:$CH97,MATCH(1,$CA97:$CH97,0))))),SUM($CA97:$CH97))</f>
        <v>0</v>
      </c>
      <c r="B97" s="93"/>
      <c r="C97" s="383"/>
      <c r="D97" s="137" t="s">
        <v>2316</v>
      </c>
      <c r="E97" s="335"/>
      <c r="G97" s="8"/>
      <c r="S97" s="93"/>
      <c r="T97" s="25"/>
      <c r="U97" s="25"/>
      <c r="V97" s="136"/>
      <c r="W97" s="136"/>
      <c r="X97" s="136"/>
      <c r="Y97" s="136"/>
      <c r="Z97" s="93"/>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93"/>
      <c r="BL97" s="136"/>
      <c r="BM97" s="136"/>
      <c r="BN97" s="136"/>
      <c r="BO97" s="136"/>
      <c r="BP97" s="136"/>
      <c r="BQ97" s="136"/>
      <c r="BR97" s="136"/>
      <c r="BS97" s="136"/>
      <c r="BT97" s="136"/>
      <c r="BU97" s="136"/>
      <c r="BV97" s="136"/>
      <c r="BW97" s="136"/>
      <c r="BY97" s="12"/>
      <c r="BZ97" s="395">
        <f t="shared" si="165"/>
        <v>0</v>
      </c>
      <c r="CA97" s="12"/>
      <c r="CC97" s="7">
        <f t="shared" si="166"/>
        <v>0</v>
      </c>
      <c r="CD97" s="7">
        <f t="shared" si="167"/>
        <v>0</v>
      </c>
      <c r="CE97" s="7">
        <f t="shared" si="168"/>
        <v>0</v>
      </c>
      <c r="CF97" s="12"/>
      <c r="CG97" s="352">
        <f t="shared" si="169"/>
        <v>0</v>
      </c>
      <c r="CH97" s="352">
        <f t="shared" si="170"/>
        <v>0</v>
      </c>
      <c r="CI97" s="352">
        <f t="shared" si="171"/>
        <v>0</v>
      </c>
      <c r="CJ97" s="352">
        <f t="shared" si="172"/>
        <v>0</v>
      </c>
      <c r="CK97" s="352">
        <f t="shared" si="173"/>
        <v>0</v>
      </c>
      <c r="CL97" s="352">
        <f t="shared" si="174"/>
        <v>0</v>
      </c>
      <c r="CM97" s="352">
        <f t="shared" si="175"/>
        <v>0</v>
      </c>
      <c r="ER97" s="12"/>
      <c r="ES97" s="67">
        <v>1</v>
      </c>
      <c r="ET97" s="335">
        <v>1</v>
      </c>
      <c r="EU97" s="335"/>
      <c r="EV97" s="335"/>
      <c r="EX97" s="10" t="str">
        <f t="shared" si="135"/>
        <v/>
      </c>
    </row>
    <row r="98" spans="1:154" x14ac:dyDescent="0.25">
      <c r="A98" s="362" cm="1">
        <f t="array" aca="1" ref="A98" ca="1">HYPERLINK(CONCATENATE("#",CELL("address",IF(SUM($CA98:$CH98)=0,A98,INDEX($CA98:$CH98,MATCH(1,$CA98:$CH98,0))))),SUM($CA98:$CH98))</f>
        <v>0</v>
      </c>
      <c r="B98" s="93"/>
      <c r="C98" s="343" t="str">
        <f>CONCATENATE("M-", 'I&amp;E Annual'!C98)</f>
        <v>M-IE-1g</v>
      </c>
      <c r="D98" s="176" t="s">
        <v>41</v>
      </c>
      <c r="E98" s="11"/>
      <c r="G98" s="5"/>
      <c r="S98" s="93"/>
      <c r="T98" s="25"/>
      <c r="U98" s="25"/>
      <c r="V98" s="13">
        <f>SUM(V87:V97)</f>
        <v>0</v>
      </c>
      <c r="W98" s="13">
        <f>SUM(W87:W97)</f>
        <v>938</v>
      </c>
      <c r="X98" s="13">
        <f>SUM(X87:X97)</f>
        <v>1250</v>
      </c>
      <c r="Y98" s="13">
        <f>SUM(Y87:Y97)</f>
        <v>1275.2299999999998</v>
      </c>
      <c r="Z98" s="93"/>
      <c r="AA98" s="13">
        <f t="shared" ref="AA98:BJ98" si="179">SUM(AA87:AA97)</f>
        <v>42</v>
      </c>
      <c r="AB98" s="13">
        <f t="shared" si="179"/>
        <v>64</v>
      </c>
      <c r="AC98" s="13">
        <f t="shared" si="179"/>
        <v>80</v>
      </c>
      <c r="AD98" s="13">
        <f t="shared" si="179"/>
        <v>81</v>
      </c>
      <c r="AE98" s="13">
        <f t="shared" si="179"/>
        <v>99</v>
      </c>
      <c r="AF98" s="13">
        <f t="shared" si="179"/>
        <v>76</v>
      </c>
      <c r="AG98" s="13">
        <f t="shared" si="179"/>
        <v>100</v>
      </c>
      <c r="AH98" s="13">
        <f t="shared" si="179"/>
        <v>103</v>
      </c>
      <c r="AI98" s="13">
        <f t="shared" si="179"/>
        <v>95</v>
      </c>
      <c r="AJ98" s="13">
        <f t="shared" si="179"/>
        <v>114</v>
      </c>
      <c r="AK98" s="13">
        <f t="shared" si="179"/>
        <v>59</v>
      </c>
      <c r="AL98" s="13">
        <f t="shared" si="179"/>
        <v>25</v>
      </c>
      <c r="AM98" s="13">
        <f t="shared" si="179"/>
        <v>54</v>
      </c>
      <c r="AN98" s="13">
        <f t="shared" si="179"/>
        <v>92</v>
      </c>
      <c r="AO98" s="13">
        <f t="shared" si="179"/>
        <v>100</v>
      </c>
      <c r="AP98" s="13">
        <f t="shared" si="179"/>
        <v>111</v>
      </c>
      <c r="AQ98" s="13">
        <f t="shared" si="179"/>
        <v>129</v>
      </c>
      <c r="AR98" s="13">
        <f t="shared" si="179"/>
        <v>109</v>
      </c>
      <c r="AS98" s="13">
        <f t="shared" si="179"/>
        <v>120</v>
      </c>
      <c r="AT98" s="13">
        <f t="shared" si="179"/>
        <v>123</v>
      </c>
      <c r="AU98" s="13">
        <f t="shared" si="179"/>
        <v>115</v>
      </c>
      <c r="AV98" s="13">
        <f t="shared" si="179"/>
        <v>124</v>
      </c>
      <c r="AW98" s="13">
        <f t="shared" si="179"/>
        <v>109</v>
      </c>
      <c r="AX98" s="13">
        <f t="shared" si="179"/>
        <v>64</v>
      </c>
      <c r="AY98" s="13">
        <f t="shared" si="179"/>
        <v>55.12</v>
      </c>
      <c r="AZ98" s="13">
        <f t="shared" si="179"/>
        <v>93.864999999999995</v>
      </c>
      <c r="BA98" s="13">
        <f t="shared" si="179"/>
        <v>101.99</v>
      </c>
      <c r="BB98" s="13">
        <f t="shared" si="179"/>
        <v>113.235</v>
      </c>
      <c r="BC98" s="13">
        <f t="shared" si="179"/>
        <v>131.61500000000001</v>
      </c>
      <c r="BD98" s="13">
        <f t="shared" si="179"/>
        <v>111.22</v>
      </c>
      <c r="BE98" s="13">
        <f t="shared" si="179"/>
        <v>122.39</v>
      </c>
      <c r="BF98" s="13">
        <f t="shared" si="179"/>
        <v>125.455</v>
      </c>
      <c r="BG98" s="13">
        <f t="shared" si="179"/>
        <v>117.32499999999999</v>
      </c>
      <c r="BH98" s="13">
        <f t="shared" si="179"/>
        <v>126.50999999999999</v>
      </c>
      <c r="BI98" s="13">
        <f t="shared" si="179"/>
        <v>111.16499999999999</v>
      </c>
      <c r="BJ98" s="13">
        <f t="shared" si="179"/>
        <v>65.34</v>
      </c>
      <c r="BK98" s="335"/>
      <c r="BL98" s="13">
        <f t="shared" ref="BL98:BW98" si="180">SUM(BL87:BL97)</f>
        <v>0</v>
      </c>
      <c r="BM98" s="13">
        <f t="shared" si="180"/>
        <v>938</v>
      </c>
      <c r="BN98" s="13">
        <f t="shared" si="180"/>
        <v>1250</v>
      </c>
      <c r="BO98" s="13">
        <f t="shared" si="180"/>
        <v>1275.2299999999998</v>
      </c>
      <c r="BP98" s="13">
        <f t="shared" si="180"/>
        <v>0</v>
      </c>
      <c r="BQ98" s="13">
        <f t="shared" si="180"/>
        <v>0</v>
      </c>
      <c r="BR98" s="13">
        <f t="shared" si="180"/>
        <v>0</v>
      </c>
      <c r="BS98" s="13">
        <f t="shared" si="180"/>
        <v>0</v>
      </c>
      <c r="BT98" s="13">
        <f t="shared" si="180"/>
        <v>0</v>
      </c>
      <c r="BU98" s="13">
        <f t="shared" si="180"/>
        <v>0</v>
      </c>
      <c r="BV98" s="13">
        <f t="shared" si="180"/>
        <v>0</v>
      </c>
      <c r="BW98" s="13">
        <f t="shared" si="180"/>
        <v>0</v>
      </c>
      <c r="BY98" s="12"/>
      <c r="BZ98" s="395">
        <f>IF(MIN($V98:$BW98)&lt;0, 1, 0)</f>
        <v>0</v>
      </c>
      <c r="CA98" s="12"/>
      <c r="CC98" s="7">
        <f t="shared" si="166"/>
        <v>0</v>
      </c>
      <c r="CD98" s="7">
        <f t="shared" si="167"/>
        <v>0</v>
      </c>
      <c r="CE98" s="7">
        <f t="shared" si="168"/>
        <v>0</v>
      </c>
      <c r="CF98" s="12"/>
      <c r="CG98" s="352">
        <f t="shared" si="169"/>
        <v>0</v>
      </c>
      <c r="CH98" s="352">
        <f t="shared" si="170"/>
        <v>0</v>
      </c>
      <c r="CI98" s="352">
        <f t="shared" si="171"/>
        <v>0</v>
      </c>
      <c r="CJ98" s="352">
        <f t="shared" si="172"/>
        <v>0</v>
      </c>
      <c r="CK98" s="352">
        <f t="shared" si="173"/>
        <v>0</v>
      </c>
      <c r="CL98" s="352">
        <f t="shared" si="174"/>
        <v>0</v>
      </c>
      <c r="CM98" s="352">
        <f t="shared" si="175"/>
        <v>0</v>
      </c>
      <c r="ER98" s="12"/>
      <c r="ES98">
        <v>0</v>
      </c>
      <c r="ET98" s="335">
        <v>0</v>
      </c>
      <c r="EX98" s="10" t="str">
        <f t="shared" si="135"/>
        <v>Total commercial income</v>
      </c>
    </row>
    <row r="99" spans="1:154" s="11" customFormat="1" ht="6.6" customHeight="1" x14ac:dyDescent="0.25">
      <c r="A99" s="335"/>
      <c r="B99" s="93"/>
      <c r="C99" s="383"/>
      <c r="D99" s="334"/>
      <c r="T99" s="25"/>
      <c r="U99" s="25"/>
      <c r="V99" s="25"/>
      <c r="W99" s="25"/>
      <c r="X99" s="25"/>
      <c r="Y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L99" s="25"/>
      <c r="BM99" s="155"/>
      <c r="BN99" s="25"/>
      <c r="BO99" s="25"/>
      <c r="BP99" s="25"/>
      <c r="BQ99" s="25"/>
      <c r="BR99" s="25"/>
      <c r="BS99" s="25"/>
      <c r="BT99" s="25"/>
      <c r="BU99" s="25"/>
      <c r="BV99" s="25"/>
      <c r="BW99" s="25"/>
      <c r="BY99" s="42"/>
      <c r="BZ99" s="162"/>
      <c r="CA99" s="42"/>
      <c r="CC99" s="335"/>
      <c r="CD99" s="335"/>
      <c r="CE99" s="335"/>
      <c r="CF99" s="42"/>
      <c r="CG99" s="335"/>
      <c r="CH99" s="335"/>
      <c r="CI99" s="335"/>
      <c r="CJ99" s="335"/>
      <c r="CK99" s="335"/>
      <c r="CL99" s="335"/>
      <c r="CM99" s="335"/>
      <c r="ER99" s="42"/>
      <c r="ES99" s="11">
        <v>0</v>
      </c>
      <c r="ET99" s="335">
        <v>0</v>
      </c>
      <c r="EU99" s="335"/>
      <c r="EV99" s="335"/>
      <c r="EX99" s="10" t="str">
        <f t="shared" si="135"/>
        <v/>
      </c>
    </row>
    <row r="100" spans="1:154" x14ac:dyDescent="0.25">
      <c r="A100" s="335"/>
      <c r="B100" s="336"/>
      <c r="C100" s="383"/>
      <c r="D100" s="176" t="s">
        <v>42</v>
      </c>
      <c r="E100" s="5"/>
      <c r="T100" s="25"/>
      <c r="U100" s="25"/>
      <c r="V100" s="335"/>
      <c r="W100" s="335"/>
      <c r="X100" s="335"/>
      <c r="Y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L100" s="335"/>
      <c r="BM100" s="335"/>
      <c r="BN100" s="335"/>
      <c r="BO100" s="335"/>
      <c r="BP100" s="335"/>
      <c r="BQ100" s="335"/>
      <c r="BR100" s="335"/>
      <c r="BS100" s="335"/>
      <c r="BT100" s="335"/>
      <c r="BU100" s="335"/>
      <c r="BV100" s="335"/>
      <c r="BW100" s="335"/>
      <c r="BY100" s="12"/>
      <c r="CA100" s="12"/>
      <c r="CF100" s="12"/>
      <c r="ER100" s="12"/>
      <c r="ES100">
        <v>0</v>
      </c>
      <c r="ET100" s="335">
        <v>0</v>
      </c>
      <c r="EX100" s="10" t="str">
        <f t="shared" si="135"/>
        <v/>
      </c>
    </row>
    <row r="101" spans="1:154" ht="30" x14ac:dyDescent="0.25">
      <c r="A101" s="362" cm="1">
        <f t="array" aca="1" ref="A101" ca="1">HYPERLINK(CONCATENATE("#",CELL("address",IF(SUM($CA101:$CH101)=0,A101,INDEX($CA101:$CH101,MATCH(1,$CA101:$CH101,0))))),SUM($CA101:$CH101))</f>
        <v>0</v>
      </c>
      <c r="B101" s="170" t="s">
        <v>335</v>
      </c>
      <c r="C101" s="343" t="str">
        <f>CONCATENATE("M-", 'I&amp;E Annual'!C101)</f>
        <v>M-IE-1h-1</v>
      </c>
      <c r="D101" s="137" t="s">
        <v>2502</v>
      </c>
      <c r="H101" s="11" t="s">
        <v>8</v>
      </c>
      <c r="Q101" s="335"/>
      <c r="R101" s="335"/>
      <c r="S101" s="335"/>
      <c r="T101" s="25"/>
      <c r="U101" s="25"/>
      <c r="V101" s="141"/>
      <c r="W101" s="215">
        <f t="shared" ref="W101:Y103" si="181" xml:space="preserve"> SUMIFS($AA101:$BJ101, $AA$3:$BJ$3, W$3)</f>
        <v>0</v>
      </c>
      <c r="X101" s="215">
        <f t="shared" si="181"/>
        <v>0</v>
      </c>
      <c r="Y101" s="215">
        <f t="shared" si="181"/>
        <v>0</v>
      </c>
      <c r="AA101" s="372"/>
      <c r="AB101" s="372"/>
      <c r="AC101" s="372"/>
      <c r="AD101" s="372"/>
      <c r="AE101" s="372"/>
      <c r="AF101" s="372"/>
      <c r="AG101" s="372"/>
      <c r="AH101" s="372"/>
      <c r="AI101" s="372"/>
      <c r="AJ101" s="372"/>
      <c r="AK101" s="372"/>
      <c r="AL101" s="372"/>
      <c r="AM101" s="372"/>
      <c r="AN101" s="372"/>
      <c r="AO101" s="372"/>
      <c r="AP101" s="372"/>
      <c r="AQ101" s="372"/>
      <c r="AR101" s="372"/>
      <c r="AS101" s="372"/>
      <c r="AT101" s="372"/>
      <c r="AU101" s="372"/>
      <c r="AV101" s="372"/>
      <c r="AW101" s="372"/>
      <c r="AX101" s="372"/>
      <c r="AY101" s="372"/>
      <c r="AZ101" s="372"/>
      <c r="BA101" s="372"/>
      <c r="BB101" s="372"/>
      <c r="BC101" s="372"/>
      <c r="BD101" s="372"/>
      <c r="BE101" s="372"/>
      <c r="BF101" s="372"/>
      <c r="BG101" s="372"/>
      <c r="BH101" s="372"/>
      <c r="BI101" s="372"/>
      <c r="BJ101" s="372"/>
      <c r="BL101" s="10">
        <f t="shared" ref="BL101:BO103" si="182">V101</f>
        <v>0</v>
      </c>
      <c r="BM101" s="10">
        <f t="shared" si="182"/>
        <v>0</v>
      </c>
      <c r="BN101" s="10">
        <f t="shared" si="182"/>
        <v>0</v>
      </c>
      <c r="BO101" s="10">
        <f t="shared" si="182"/>
        <v>0</v>
      </c>
      <c r="BP101" s="141"/>
      <c r="BQ101" s="141"/>
      <c r="BR101" s="141"/>
      <c r="BS101" s="141"/>
      <c r="BT101" s="141"/>
      <c r="BU101" s="141"/>
      <c r="BV101" s="141"/>
      <c r="BW101" s="141"/>
      <c r="BY101" s="12"/>
      <c r="BZ101" s="395">
        <f>IF(MIN($V101:$BW101)&lt;0, 1, 0)</f>
        <v>0</v>
      </c>
      <c r="CA101" s="12"/>
      <c r="CC101" s="7">
        <f t="shared" ref="CC101:CC107" si="183">IF(SUM($CG101:$CI101)=0, 0, 1)</f>
        <v>0</v>
      </c>
      <c r="CD101" s="7">
        <f t="shared" ref="CD101:CD107" si="184">IF(SUM($CJ101:$CL101)=0, 0, 1)</f>
        <v>0</v>
      </c>
      <c r="CE101" s="7">
        <f t="shared" ref="CE101:CE107" si="185">IF($CM101=0, 0, 1)</f>
        <v>0</v>
      </c>
      <c r="CF101" s="12"/>
      <c r="CG101" s="352">
        <f t="shared" ref="CG101:CI107" si="186">ROUND(W101-SUMIFS($AA101:$BJ101, $AA$3:$BJ$3, W$3), rounding)</f>
        <v>0</v>
      </c>
      <c r="CH101" s="352">
        <f t="shared" si="186"/>
        <v>0</v>
      </c>
      <c r="CI101" s="352">
        <f t="shared" si="186"/>
        <v>0</v>
      </c>
      <c r="CJ101" s="352">
        <f t="shared" ref="CJ101:CJ107" si="187">ROUND($BM101-SUMIFS($AA101:$BJ101, $AA$3:$BJ$3, $BM$3), rounding)</f>
        <v>0</v>
      </c>
      <c r="CK101" s="352">
        <f t="shared" ref="CK101:CK107" si="188">ROUND($BN101-SUMIFS($AA101:$BJ101, $AA$3:$BJ$3, $BN$3), rounding)</f>
        <v>0</v>
      </c>
      <c r="CL101" s="352">
        <f t="shared" ref="CL101:CL107" si="189">ROUND($BO101-SUMIFS($AA101:$BJ101, $AA$3:$BJ$3, $BO$3), rounding)</f>
        <v>0</v>
      </c>
      <c r="CM101" s="352">
        <f t="shared" ref="CM101:CM107" si="190">ROUND($V101-$BL101, rounding)</f>
        <v>0</v>
      </c>
      <c r="ER101" s="12"/>
      <c r="ES101" s="4">
        <v>1</v>
      </c>
      <c r="ET101" s="335">
        <v>1</v>
      </c>
      <c r="EX101" s="10" t="str">
        <f t="shared" si="135"/>
        <v>Other income from non-learning activities incl. VAT recovered</v>
      </c>
    </row>
    <row r="102" spans="1:154" ht="15.75" x14ac:dyDescent="0.3">
      <c r="A102" s="362" cm="1">
        <f t="array" aca="1" ref="A102" ca="1">HYPERLINK(CONCATENATE("#",CELL("address",IF(SUM($CA102:$CH102)=0,A102,INDEX($CA102:$CH102,MATCH(1,$CA102:$CH102,0))))),SUM($CA102:$CH102))</f>
        <v>0</v>
      </c>
      <c r="B102" s="105" t="s">
        <v>335</v>
      </c>
      <c r="C102" s="343" t="str">
        <f>CONCATENATE("M-", 'I&amp;E Annual'!C102)</f>
        <v>M-IE-1h-2</v>
      </c>
      <c r="D102" s="137" t="s">
        <v>43</v>
      </c>
      <c r="H102" s="11" t="s">
        <v>8</v>
      </c>
      <c r="Q102" s="335"/>
      <c r="R102" s="335"/>
      <c r="S102" s="335"/>
      <c r="T102" s="25"/>
      <c r="U102" s="25"/>
      <c r="V102" s="141"/>
      <c r="W102" s="215">
        <f t="shared" si="181"/>
        <v>0</v>
      </c>
      <c r="X102" s="215">
        <f t="shared" si="181"/>
        <v>0</v>
      </c>
      <c r="Y102" s="215">
        <f t="shared" si="181"/>
        <v>0</v>
      </c>
      <c r="AA102" s="372"/>
      <c r="AB102" s="372"/>
      <c r="AC102" s="372"/>
      <c r="AD102" s="372"/>
      <c r="AE102" s="372"/>
      <c r="AF102" s="372"/>
      <c r="AG102" s="372"/>
      <c r="AH102" s="372"/>
      <c r="AI102" s="372"/>
      <c r="AJ102" s="372"/>
      <c r="AK102" s="372"/>
      <c r="AL102" s="372"/>
      <c r="AM102" s="372"/>
      <c r="AN102" s="372"/>
      <c r="AO102" s="372"/>
      <c r="AP102" s="372"/>
      <c r="AQ102" s="372"/>
      <c r="AR102" s="372"/>
      <c r="AS102" s="372"/>
      <c r="AT102" s="372"/>
      <c r="AU102" s="372"/>
      <c r="AV102" s="372"/>
      <c r="AW102" s="372"/>
      <c r="AX102" s="372"/>
      <c r="AY102" s="372"/>
      <c r="AZ102" s="372"/>
      <c r="BA102" s="372"/>
      <c r="BB102" s="372"/>
      <c r="BC102" s="372"/>
      <c r="BD102" s="372"/>
      <c r="BE102" s="372"/>
      <c r="BF102" s="372"/>
      <c r="BG102" s="372"/>
      <c r="BH102" s="372"/>
      <c r="BI102" s="372"/>
      <c r="BJ102" s="372"/>
      <c r="BL102" s="10">
        <f t="shared" si="182"/>
        <v>0</v>
      </c>
      <c r="BM102" s="10">
        <f t="shared" si="182"/>
        <v>0</v>
      </c>
      <c r="BN102" s="10">
        <f t="shared" si="182"/>
        <v>0</v>
      </c>
      <c r="BO102" s="10">
        <f t="shared" si="182"/>
        <v>0</v>
      </c>
      <c r="BP102" s="141"/>
      <c r="BQ102" s="141"/>
      <c r="BR102" s="141"/>
      <c r="BS102" s="141"/>
      <c r="BT102" s="141"/>
      <c r="BU102" s="141"/>
      <c r="BV102" s="141"/>
      <c r="BW102" s="141"/>
      <c r="BY102" s="12"/>
      <c r="BZ102" s="395">
        <f>IF(MIN($V102:$BW102)&lt;0, 1, 0)</f>
        <v>0</v>
      </c>
      <c r="CA102" s="12"/>
      <c r="CC102" s="7">
        <f t="shared" si="183"/>
        <v>0</v>
      </c>
      <c r="CD102" s="7">
        <f t="shared" si="184"/>
        <v>0</v>
      </c>
      <c r="CE102" s="7">
        <f t="shared" si="185"/>
        <v>0</v>
      </c>
      <c r="CF102" s="12"/>
      <c r="CG102" s="352">
        <f t="shared" si="186"/>
        <v>0</v>
      </c>
      <c r="CH102" s="352">
        <f t="shared" si="186"/>
        <v>0</v>
      </c>
      <c r="CI102" s="352">
        <f t="shared" si="186"/>
        <v>0</v>
      </c>
      <c r="CJ102" s="352">
        <f t="shared" si="187"/>
        <v>0</v>
      </c>
      <c r="CK102" s="352">
        <f t="shared" si="188"/>
        <v>0</v>
      </c>
      <c r="CL102" s="352">
        <f t="shared" si="189"/>
        <v>0</v>
      </c>
      <c r="CM102" s="352">
        <f t="shared" si="190"/>
        <v>0</v>
      </c>
      <c r="ER102" s="12"/>
      <c r="ES102" s="4">
        <v>1</v>
      </c>
      <c r="ET102" s="335">
        <v>1</v>
      </c>
      <c r="EX102" s="10" t="str">
        <f t="shared" si="135"/>
        <v>Endowment income</v>
      </c>
    </row>
    <row r="103" spans="1:154" ht="30" x14ac:dyDescent="0.25">
      <c r="A103" s="362" cm="1">
        <f t="array" aca="1" ref="A103" ca="1">HYPERLINK(CONCATENATE("#",CELL("address",IF(SUM($CA103:$CH103)=0,A103,INDEX($CA103:$CH103,MATCH(1,$CA103:$CH103,0))))),SUM($CA103:$CH103))</f>
        <v>0</v>
      </c>
      <c r="B103" s="93"/>
      <c r="C103" s="343" t="str">
        <f>CONCATENATE("M-", 'I&amp;E Annual'!C103)</f>
        <v>M-IE-1h-3</v>
      </c>
      <c r="D103" s="137" t="s">
        <v>644</v>
      </c>
      <c r="H103" s="11" t="s">
        <v>8</v>
      </c>
      <c r="Q103" s="335"/>
      <c r="R103" s="335"/>
      <c r="S103" s="335"/>
      <c r="T103" s="25"/>
      <c r="U103" s="25"/>
      <c r="V103" s="141"/>
      <c r="W103" s="215">
        <f t="shared" si="181"/>
        <v>135</v>
      </c>
      <c r="X103" s="215">
        <f t="shared" si="181"/>
        <v>0</v>
      </c>
      <c r="Y103" s="215">
        <f t="shared" si="181"/>
        <v>0</v>
      </c>
      <c r="AA103" s="372"/>
      <c r="AB103" s="372"/>
      <c r="AC103" s="372">
        <v>10</v>
      </c>
      <c r="AD103" s="372"/>
      <c r="AE103" s="372"/>
      <c r="AF103" s="372">
        <v>7</v>
      </c>
      <c r="AG103" s="372">
        <v>24</v>
      </c>
      <c r="AH103" s="372">
        <v>25</v>
      </c>
      <c r="AI103" s="372">
        <v>22</v>
      </c>
      <c r="AJ103" s="372">
        <v>47</v>
      </c>
      <c r="AK103" s="372"/>
      <c r="AL103" s="372"/>
      <c r="AM103" s="372"/>
      <c r="AN103" s="372"/>
      <c r="AO103" s="372"/>
      <c r="AP103" s="372"/>
      <c r="AQ103" s="372"/>
      <c r="AR103" s="372"/>
      <c r="AS103" s="372"/>
      <c r="AT103" s="372"/>
      <c r="AU103" s="372"/>
      <c r="AV103" s="372"/>
      <c r="AW103" s="372"/>
      <c r="AX103" s="372"/>
      <c r="AY103" s="372"/>
      <c r="AZ103" s="372"/>
      <c r="BA103" s="372"/>
      <c r="BB103" s="372"/>
      <c r="BC103" s="372"/>
      <c r="BD103" s="372"/>
      <c r="BE103" s="372"/>
      <c r="BF103" s="372"/>
      <c r="BG103" s="372"/>
      <c r="BH103" s="372"/>
      <c r="BI103" s="372"/>
      <c r="BJ103" s="372"/>
      <c r="BL103" s="10">
        <f t="shared" si="182"/>
        <v>0</v>
      </c>
      <c r="BM103" s="10">
        <f t="shared" si="182"/>
        <v>135</v>
      </c>
      <c r="BN103" s="10">
        <f t="shared" si="182"/>
        <v>0</v>
      </c>
      <c r="BO103" s="10">
        <f t="shared" si="182"/>
        <v>0</v>
      </c>
      <c r="BP103" s="141"/>
      <c r="BQ103" s="141"/>
      <c r="BR103" s="141"/>
      <c r="BS103" s="141"/>
      <c r="BT103" s="141"/>
      <c r="BU103" s="141"/>
      <c r="BV103" s="141"/>
      <c r="BW103" s="141"/>
      <c r="BY103" s="12"/>
      <c r="BZ103" s="395">
        <f>IF(MIN($V103:$BW103)&lt;0, 1, 0)</f>
        <v>0</v>
      </c>
      <c r="CA103" s="12"/>
      <c r="CC103" s="7">
        <f t="shared" si="183"/>
        <v>0</v>
      </c>
      <c r="CD103" s="7">
        <f t="shared" si="184"/>
        <v>0</v>
      </c>
      <c r="CE103" s="7">
        <f t="shared" si="185"/>
        <v>0</v>
      </c>
      <c r="CF103" s="12"/>
      <c r="CG103" s="352">
        <f t="shared" si="186"/>
        <v>0</v>
      </c>
      <c r="CH103" s="352">
        <f t="shared" si="186"/>
        <v>0</v>
      </c>
      <c r="CI103" s="352">
        <f t="shared" si="186"/>
        <v>0</v>
      </c>
      <c r="CJ103" s="352">
        <f t="shared" si="187"/>
        <v>0</v>
      </c>
      <c r="CK103" s="352">
        <f t="shared" si="188"/>
        <v>0</v>
      </c>
      <c r="CL103" s="352">
        <f t="shared" si="189"/>
        <v>0</v>
      </c>
      <c r="CM103" s="352">
        <f t="shared" si="190"/>
        <v>0</v>
      </c>
      <c r="ER103" s="12"/>
      <c r="ES103" s="4">
        <v>1</v>
      </c>
      <c r="ET103" s="335">
        <v>1</v>
      </c>
      <c r="EX103" s="10" t="str">
        <f t="shared" si="135"/>
        <v>Covid support (incl. CJRS and Provider Relief Scheme)</v>
      </c>
    </row>
    <row r="104" spans="1:154" s="67" customFormat="1" hidden="1" x14ac:dyDescent="0.25">
      <c r="A104" s="362" cm="1">
        <f t="array" aca="1" ref="A104" ca="1">HYPERLINK(CONCATENATE("#",CELL("address",IF(SUM($CA104:$CH104)=0,A104,INDEX($CA104:$CH104,MATCH(1,$CA104:$CH104,0))))),SUM($CA104:$CH104))</f>
        <v>0</v>
      </c>
      <c r="B104" s="93"/>
      <c r="C104" s="383"/>
      <c r="D104" s="137" t="s">
        <v>2316</v>
      </c>
      <c r="G104" s="8"/>
      <c r="H104" s="8"/>
      <c r="S104" s="93"/>
      <c r="T104" s="25"/>
      <c r="U104" s="25"/>
      <c r="V104" s="349"/>
      <c r="W104" s="349"/>
      <c r="X104" s="349"/>
      <c r="Y104" s="349"/>
      <c r="Z104" s="93"/>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c r="AY104" s="349"/>
      <c r="AZ104" s="349"/>
      <c r="BA104" s="349"/>
      <c r="BB104" s="349"/>
      <c r="BC104" s="349"/>
      <c r="BD104" s="349"/>
      <c r="BE104" s="349"/>
      <c r="BF104" s="349"/>
      <c r="BG104" s="349"/>
      <c r="BH104" s="349"/>
      <c r="BI104" s="349"/>
      <c r="BJ104" s="349"/>
      <c r="BK104" s="93"/>
      <c r="BL104" s="349"/>
      <c r="BM104" s="349"/>
      <c r="BN104" s="349"/>
      <c r="BO104" s="349"/>
      <c r="BP104" s="349"/>
      <c r="BQ104" s="349"/>
      <c r="BR104" s="349"/>
      <c r="BS104" s="349"/>
      <c r="BT104" s="349"/>
      <c r="BU104" s="349"/>
      <c r="BV104" s="349"/>
      <c r="BW104" s="349"/>
      <c r="BY104" s="12"/>
      <c r="BZ104" s="395">
        <f t="shared" ref="BZ104:BZ106" si="191">IF(MIN($V104:$BW104)&lt;0, 1, 0)</f>
        <v>0</v>
      </c>
      <c r="CA104" s="12"/>
      <c r="CC104" s="7">
        <f t="shared" si="183"/>
        <v>0</v>
      </c>
      <c r="CD104" s="7">
        <f t="shared" si="184"/>
        <v>0</v>
      </c>
      <c r="CE104" s="7">
        <f t="shared" si="185"/>
        <v>0</v>
      </c>
      <c r="CF104" s="12"/>
      <c r="CG104" s="352">
        <f t="shared" si="186"/>
        <v>0</v>
      </c>
      <c r="CH104" s="352">
        <f t="shared" si="186"/>
        <v>0</v>
      </c>
      <c r="CI104" s="352">
        <f t="shared" si="186"/>
        <v>0</v>
      </c>
      <c r="CJ104" s="352">
        <f t="shared" si="187"/>
        <v>0</v>
      </c>
      <c r="CK104" s="352">
        <f t="shared" si="188"/>
        <v>0</v>
      </c>
      <c r="CL104" s="352">
        <f t="shared" si="189"/>
        <v>0</v>
      </c>
      <c r="CM104" s="352">
        <f t="shared" si="190"/>
        <v>0</v>
      </c>
      <c r="ER104" s="12"/>
      <c r="ES104" s="67">
        <v>1</v>
      </c>
      <c r="ET104" s="335">
        <v>1</v>
      </c>
      <c r="EU104" s="335"/>
      <c r="EV104" s="335"/>
      <c r="EX104" s="10" t="str">
        <f t="shared" si="135"/>
        <v/>
      </c>
    </row>
    <row r="105" spans="1:154" s="67" customFormat="1" hidden="1" x14ac:dyDescent="0.25">
      <c r="A105" s="362" cm="1">
        <f t="array" aca="1" ref="A105" ca="1">HYPERLINK(CONCATENATE("#",CELL("address",IF(SUM($CA105:$CH105)=0,A105,INDEX($CA105:$CH105,MATCH(1,$CA105:$CH105,0))))),SUM($CA105:$CH105))</f>
        <v>0</v>
      </c>
      <c r="B105" s="93"/>
      <c r="C105" s="383"/>
      <c r="D105" s="137" t="s">
        <v>2316</v>
      </c>
      <c r="E105" s="335"/>
      <c r="F105" s="335"/>
      <c r="G105" s="8"/>
      <c r="S105" s="93"/>
      <c r="T105" s="25"/>
      <c r="U105" s="25"/>
      <c r="V105" s="136"/>
      <c r="W105" s="136"/>
      <c r="X105" s="136"/>
      <c r="Y105" s="136"/>
      <c r="Z105" s="93"/>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93"/>
      <c r="BL105" s="136"/>
      <c r="BM105" s="136"/>
      <c r="BN105" s="136"/>
      <c r="BO105" s="136"/>
      <c r="BP105" s="136"/>
      <c r="BQ105" s="136"/>
      <c r="BR105" s="136"/>
      <c r="BS105" s="136"/>
      <c r="BT105" s="136"/>
      <c r="BU105" s="136"/>
      <c r="BV105" s="136"/>
      <c r="BW105" s="136"/>
      <c r="BY105" s="12"/>
      <c r="BZ105" s="395">
        <f t="shared" si="191"/>
        <v>0</v>
      </c>
      <c r="CA105" s="12"/>
      <c r="CC105" s="7">
        <f t="shared" si="183"/>
        <v>0</v>
      </c>
      <c r="CD105" s="7">
        <f t="shared" si="184"/>
        <v>0</v>
      </c>
      <c r="CE105" s="7">
        <f t="shared" si="185"/>
        <v>0</v>
      </c>
      <c r="CF105" s="12"/>
      <c r="CG105" s="352">
        <f t="shared" si="186"/>
        <v>0</v>
      </c>
      <c r="CH105" s="352">
        <f t="shared" si="186"/>
        <v>0</v>
      </c>
      <c r="CI105" s="352">
        <f t="shared" si="186"/>
        <v>0</v>
      </c>
      <c r="CJ105" s="352">
        <f t="shared" si="187"/>
        <v>0</v>
      </c>
      <c r="CK105" s="352">
        <f t="shared" si="188"/>
        <v>0</v>
      </c>
      <c r="CL105" s="352">
        <f t="shared" si="189"/>
        <v>0</v>
      </c>
      <c r="CM105" s="352">
        <f t="shared" si="190"/>
        <v>0</v>
      </c>
      <c r="ER105" s="12"/>
      <c r="ES105" s="67">
        <v>1</v>
      </c>
      <c r="ET105" s="335">
        <v>1</v>
      </c>
      <c r="EU105" s="335"/>
      <c r="EV105" s="335"/>
      <c r="EX105" s="10" t="str">
        <f t="shared" si="135"/>
        <v/>
      </c>
    </row>
    <row r="106" spans="1:154" s="67" customFormat="1" hidden="1" x14ac:dyDescent="0.25">
      <c r="A106" s="362" cm="1">
        <f t="array" aca="1" ref="A106" ca="1">HYPERLINK(CONCATENATE("#",CELL("address",IF(SUM($CA106:$CH106)=0,A106,INDEX($CA106:$CH106,MATCH(1,$CA106:$CH106,0))))),SUM($CA106:$CH106))</f>
        <v>0</v>
      </c>
      <c r="B106" s="93"/>
      <c r="C106" s="383"/>
      <c r="D106" s="137" t="s">
        <v>2316</v>
      </c>
      <c r="G106" s="8"/>
      <c r="S106" s="93"/>
      <c r="T106" s="25"/>
      <c r="U106" s="25"/>
      <c r="V106" s="136"/>
      <c r="W106" s="136"/>
      <c r="X106" s="136"/>
      <c r="Y106" s="136"/>
      <c r="Z106" s="93"/>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93"/>
      <c r="BL106" s="136"/>
      <c r="BM106" s="136"/>
      <c r="BN106" s="136"/>
      <c r="BO106" s="136"/>
      <c r="BP106" s="136"/>
      <c r="BQ106" s="136"/>
      <c r="BR106" s="136"/>
      <c r="BS106" s="136"/>
      <c r="BT106" s="136"/>
      <c r="BU106" s="136"/>
      <c r="BV106" s="136"/>
      <c r="BW106" s="136"/>
      <c r="BY106" s="12"/>
      <c r="BZ106" s="395">
        <f t="shared" si="191"/>
        <v>0</v>
      </c>
      <c r="CA106" s="12"/>
      <c r="CC106" s="7">
        <f t="shared" si="183"/>
        <v>0</v>
      </c>
      <c r="CD106" s="7">
        <f t="shared" si="184"/>
        <v>0</v>
      </c>
      <c r="CE106" s="7">
        <f t="shared" si="185"/>
        <v>0</v>
      </c>
      <c r="CF106" s="12"/>
      <c r="CG106" s="352">
        <f t="shared" si="186"/>
        <v>0</v>
      </c>
      <c r="CH106" s="352">
        <f t="shared" si="186"/>
        <v>0</v>
      </c>
      <c r="CI106" s="352">
        <f t="shared" si="186"/>
        <v>0</v>
      </c>
      <c r="CJ106" s="352">
        <f t="shared" si="187"/>
        <v>0</v>
      </c>
      <c r="CK106" s="352">
        <f t="shared" si="188"/>
        <v>0</v>
      </c>
      <c r="CL106" s="352">
        <f t="shared" si="189"/>
        <v>0</v>
      </c>
      <c r="CM106" s="352">
        <f t="shared" si="190"/>
        <v>0</v>
      </c>
      <c r="ER106" s="12"/>
      <c r="ES106" s="67">
        <v>1</v>
      </c>
      <c r="ET106" s="335">
        <v>1</v>
      </c>
      <c r="EU106" s="335"/>
      <c r="EV106" s="335"/>
      <c r="EX106" s="10" t="str">
        <f t="shared" si="135"/>
        <v/>
      </c>
    </row>
    <row r="107" spans="1:154" x14ac:dyDescent="0.25">
      <c r="A107" s="362" cm="1">
        <f t="array" aca="1" ref="A107" ca="1">HYPERLINK(CONCATENATE("#",CELL("address",IF(SUM($CA107:$CH107)=0,A107,INDEX($CA107:$CH107,MATCH(1,$CA107:$CH107,0))))),SUM($CA107:$CH107))</f>
        <v>0</v>
      </c>
      <c r="B107" s="93"/>
      <c r="C107" s="343" t="str">
        <f>CONCATENATE("M-", 'I&amp;E Annual'!C107)</f>
        <v>M-IE-1h</v>
      </c>
      <c r="D107" s="176" t="s">
        <v>45</v>
      </c>
      <c r="E107" s="5"/>
      <c r="G107" s="5"/>
      <c r="S107" s="93"/>
      <c r="T107" s="25"/>
      <c r="U107" s="25"/>
      <c r="V107" s="13">
        <f>SUM(V101:V106)</f>
        <v>0</v>
      </c>
      <c r="W107" s="13">
        <f>SUM(W101:W106)</f>
        <v>135</v>
      </c>
      <c r="X107" s="13">
        <f>SUM(X101:X106)</f>
        <v>0</v>
      </c>
      <c r="Y107" s="13">
        <f>SUM(Y101:Y106)</f>
        <v>0</v>
      </c>
      <c r="Z107" s="93"/>
      <c r="AA107" s="13">
        <f t="shared" ref="AA107:BJ107" si="192">SUM(AA101:AA106)</f>
        <v>0</v>
      </c>
      <c r="AB107" s="13">
        <f t="shared" si="192"/>
        <v>0</v>
      </c>
      <c r="AC107" s="13">
        <f t="shared" si="192"/>
        <v>10</v>
      </c>
      <c r="AD107" s="13">
        <f t="shared" si="192"/>
        <v>0</v>
      </c>
      <c r="AE107" s="13">
        <f t="shared" si="192"/>
        <v>0</v>
      </c>
      <c r="AF107" s="13">
        <f t="shared" si="192"/>
        <v>7</v>
      </c>
      <c r="AG107" s="13">
        <f t="shared" si="192"/>
        <v>24</v>
      </c>
      <c r="AH107" s="13">
        <f t="shared" si="192"/>
        <v>25</v>
      </c>
      <c r="AI107" s="13">
        <f t="shared" si="192"/>
        <v>22</v>
      </c>
      <c r="AJ107" s="13">
        <f t="shared" si="192"/>
        <v>47</v>
      </c>
      <c r="AK107" s="13">
        <f t="shared" si="192"/>
        <v>0</v>
      </c>
      <c r="AL107" s="13">
        <f t="shared" si="192"/>
        <v>0</v>
      </c>
      <c r="AM107" s="13">
        <f t="shared" si="192"/>
        <v>0</v>
      </c>
      <c r="AN107" s="13">
        <f t="shared" si="192"/>
        <v>0</v>
      </c>
      <c r="AO107" s="13">
        <f t="shared" si="192"/>
        <v>0</v>
      </c>
      <c r="AP107" s="13">
        <f t="shared" si="192"/>
        <v>0</v>
      </c>
      <c r="AQ107" s="13">
        <f t="shared" si="192"/>
        <v>0</v>
      </c>
      <c r="AR107" s="13">
        <f t="shared" si="192"/>
        <v>0</v>
      </c>
      <c r="AS107" s="13">
        <f t="shared" si="192"/>
        <v>0</v>
      </c>
      <c r="AT107" s="13">
        <f t="shared" si="192"/>
        <v>0</v>
      </c>
      <c r="AU107" s="13">
        <f t="shared" si="192"/>
        <v>0</v>
      </c>
      <c r="AV107" s="13">
        <f t="shared" si="192"/>
        <v>0</v>
      </c>
      <c r="AW107" s="13">
        <f t="shared" si="192"/>
        <v>0</v>
      </c>
      <c r="AX107" s="13">
        <f t="shared" si="192"/>
        <v>0</v>
      </c>
      <c r="AY107" s="13">
        <f t="shared" si="192"/>
        <v>0</v>
      </c>
      <c r="AZ107" s="13">
        <f t="shared" si="192"/>
        <v>0</v>
      </c>
      <c r="BA107" s="13">
        <f t="shared" si="192"/>
        <v>0</v>
      </c>
      <c r="BB107" s="13">
        <f t="shared" si="192"/>
        <v>0</v>
      </c>
      <c r="BC107" s="13">
        <f t="shared" si="192"/>
        <v>0</v>
      </c>
      <c r="BD107" s="13">
        <f t="shared" si="192"/>
        <v>0</v>
      </c>
      <c r="BE107" s="13">
        <f t="shared" si="192"/>
        <v>0</v>
      </c>
      <c r="BF107" s="13">
        <f t="shared" si="192"/>
        <v>0</v>
      </c>
      <c r="BG107" s="13">
        <f t="shared" si="192"/>
        <v>0</v>
      </c>
      <c r="BH107" s="13">
        <f t="shared" si="192"/>
        <v>0</v>
      </c>
      <c r="BI107" s="13">
        <f t="shared" si="192"/>
        <v>0</v>
      </c>
      <c r="BJ107" s="13">
        <f t="shared" si="192"/>
        <v>0</v>
      </c>
      <c r="BK107" s="93"/>
      <c r="BL107" s="13">
        <f t="shared" ref="BL107:BW107" si="193">SUM(BL101:BL106)</f>
        <v>0</v>
      </c>
      <c r="BM107" s="13">
        <f t="shared" si="193"/>
        <v>135</v>
      </c>
      <c r="BN107" s="13">
        <f t="shared" si="193"/>
        <v>0</v>
      </c>
      <c r="BO107" s="13">
        <f t="shared" si="193"/>
        <v>0</v>
      </c>
      <c r="BP107" s="13">
        <f t="shared" si="193"/>
        <v>0</v>
      </c>
      <c r="BQ107" s="13">
        <f t="shared" si="193"/>
        <v>0</v>
      </c>
      <c r="BR107" s="13">
        <f t="shared" si="193"/>
        <v>0</v>
      </c>
      <c r="BS107" s="13">
        <f t="shared" si="193"/>
        <v>0</v>
      </c>
      <c r="BT107" s="13">
        <f t="shared" si="193"/>
        <v>0</v>
      </c>
      <c r="BU107" s="13">
        <f t="shared" si="193"/>
        <v>0</v>
      </c>
      <c r="BV107" s="13">
        <f t="shared" si="193"/>
        <v>0</v>
      </c>
      <c r="BW107" s="13">
        <f t="shared" si="193"/>
        <v>0</v>
      </c>
      <c r="BY107" s="12"/>
      <c r="BZ107" s="395">
        <f>IF(MIN($V107:$BW107)&lt;0, 1, 0)</f>
        <v>0</v>
      </c>
      <c r="CA107" s="12"/>
      <c r="CC107" s="7">
        <f t="shared" si="183"/>
        <v>0</v>
      </c>
      <c r="CD107" s="7">
        <f t="shared" si="184"/>
        <v>0</v>
      </c>
      <c r="CE107" s="7">
        <f t="shared" si="185"/>
        <v>0</v>
      </c>
      <c r="CF107" s="12"/>
      <c r="CG107" s="352">
        <f t="shared" si="186"/>
        <v>0</v>
      </c>
      <c r="CH107" s="352">
        <f t="shared" si="186"/>
        <v>0</v>
      </c>
      <c r="CI107" s="352">
        <f t="shared" si="186"/>
        <v>0</v>
      </c>
      <c r="CJ107" s="352">
        <f t="shared" si="187"/>
        <v>0</v>
      </c>
      <c r="CK107" s="352">
        <f t="shared" si="188"/>
        <v>0</v>
      </c>
      <c r="CL107" s="352">
        <f t="shared" si="189"/>
        <v>0</v>
      </c>
      <c r="CM107" s="352">
        <f t="shared" si="190"/>
        <v>0</v>
      </c>
      <c r="ER107" s="12"/>
      <c r="ES107">
        <v>0</v>
      </c>
      <c r="ET107" s="335">
        <v>0</v>
      </c>
      <c r="EX107" s="10" t="str">
        <f t="shared" si="135"/>
        <v>Total Other Income</v>
      </c>
    </row>
    <row r="108" spans="1:154" s="11" customFormat="1" ht="6.6" customHeight="1" x14ac:dyDescent="0.25">
      <c r="B108" s="93"/>
      <c r="C108" s="383"/>
      <c r="D108" s="334"/>
      <c r="G108" s="335"/>
      <c r="S108" s="93"/>
      <c r="T108" s="25"/>
      <c r="U108" s="25"/>
      <c r="V108" s="25"/>
      <c r="W108" s="25"/>
      <c r="X108" s="25"/>
      <c r="Y108" s="25"/>
      <c r="Z108" s="93"/>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93"/>
      <c r="BL108" s="25"/>
      <c r="BM108" s="155"/>
      <c r="BN108" s="25"/>
      <c r="BO108" s="25"/>
      <c r="BP108" s="25"/>
      <c r="BQ108" s="25"/>
      <c r="BR108" s="25"/>
      <c r="BS108" s="25"/>
      <c r="BT108" s="25"/>
      <c r="BU108" s="25"/>
      <c r="BV108" s="25"/>
      <c r="BW108" s="25"/>
      <c r="BY108" s="42"/>
      <c r="BZ108" s="162"/>
      <c r="CA108" s="42"/>
      <c r="CC108" s="335"/>
      <c r="CD108" s="335"/>
      <c r="CE108" s="335"/>
      <c r="CF108" s="42"/>
      <c r="CG108" s="335"/>
      <c r="CH108" s="335"/>
      <c r="CI108" s="335"/>
      <c r="CJ108" s="335"/>
      <c r="CK108" s="335"/>
      <c r="CL108" s="335"/>
      <c r="CM108" s="335"/>
      <c r="ER108" s="42"/>
      <c r="ES108" s="11">
        <v>0</v>
      </c>
      <c r="ET108" s="335">
        <v>0</v>
      </c>
      <c r="EU108" s="335"/>
      <c r="EV108" s="335"/>
      <c r="EX108" s="10" t="str">
        <f t="shared" si="135"/>
        <v/>
      </c>
    </row>
    <row r="109" spans="1:154" x14ac:dyDescent="0.25">
      <c r="A109" s="335"/>
      <c r="B109" s="336"/>
      <c r="C109" s="383"/>
      <c r="D109" s="176" t="s">
        <v>2508</v>
      </c>
      <c r="E109" s="5"/>
      <c r="G109" s="335"/>
      <c r="S109" s="335"/>
      <c r="T109" s="25"/>
      <c r="U109" s="25"/>
      <c r="V109" s="335"/>
      <c r="W109" s="335"/>
      <c r="X109" s="335"/>
      <c r="Y109" s="335"/>
      <c r="Z109" s="335"/>
      <c r="AA109" s="335"/>
      <c r="AB109" s="335"/>
      <c r="AC109" s="335"/>
      <c r="AD109" s="335"/>
      <c r="AE109" s="335"/>
      <c r="AF109" s="335"/>
      <c r="AG109" s="335"/>
      <c r="AH109" s="335"/>
      <c r="AI109" s="335"/>
      <c r="AJ109" s="335"/>
      <c r="AK109" s="335"/>
      <c r="AL109" s="335"/>
      <c r="AM109" s="335"/>
      <c r="AN109" s="335"/>
      <c r="AO109" s="335"/>
      <c r="AP109" s="335"/>
      <c r="AQ109" s="335"/>
      <c r="AR109" s="335"/>
      <c r="AS109" s="335"/>
      <c r="AT109" s="335"/>
      <c r="AU109" s="335"/>
      <c r="AV109" s="335"/>
      <c r="AW109" s="335"/>
      <c r="AX109" s="335"/>
      <c r="AY109" s="335"/>
      <c r="AZ109" s="335"/>
      <c r="BA109" s="335"/>
      <c r="BB109" s="335"/>
      <c r="BC109" s="335"/>
      <c r="BD109" s="335"/>
      <c r="BE109" s="335"/>
      <c r="BF109" s="335"/>
      <c r="BG109" s="335"/>
      <c r="BH109" s="335"/>
      <c r="BI109" s="335"/>
      <c r="BJ109" s="335"/>
      <c r="BK109" s="335"/>
      <c r="BL109" s="335"/>
      <c r="BM109" s="335"/>
      <c r="BN109" s="335"/>
      <c r="BO109" s="335"/>
      <c r="BP109" s="335"/>
      <c r="BQ109" s="335"/>
      <c r="BR109" s="335"/>
      <c r="BS109" s="335"/>
      <c r="BT109" s="335"/>
      <c r="BU109" s="335"/>
      <c r="BV109" s="335"/>
      <c r="BW109" s="335"/>
      <c r="BY109" s="12"/>
      <c r="CA109" s="12"/>
      <c r="CF109" s="12"/>
      <c r="ER109" s="12"/>
      <c r="ES109">
        <v>0</v>
      </c>
      <c r="ET109" s="335">
        <v>0</v>
      </c>
      <c r="EX109" s="10" t="str">
        <f t="shared" si="135"/>
        <v/>
      </c>
    </row>
    <row r="110" spans="1:154" x14ac:dyDescent="0.25">
      <c r="A110" s="362" cm="1">
        <f t="array" aca="1" ref="A110" ca="1">HYPERLINK(CONCATENATE("#",CELL("address",IF(SUM($CA110:$CH110)=0,A110,INDEX($CA110:$CH110,MATCH(1,$CA110:$CH110,0))))),SUM($CA110:$CH110))</f>
        <v>0</v>
      </c>
      <c r="B110" s="93"/>
      <c r="C110" s="343" t="str">
        <f>CONCATENATE("M-", 'I&amp;E Annual'!C110)</f>
        <v>M-IE-1i-1</v>
      </c>
      <c r="D110" s="137" t="s">
        <v>503</v>
      </c>
      <c r="H110" t="s">
        <v>8</v>
      </c>
      <c r="S110" s="335"/>
      <c r="T110" s="25"/>
      <c r="U110" s="25"/>
      <c r="V110" s="141"/>
      <c r="W110" s="215">
        <f t="shared" ref="W110:Y112" si="194" xml:space="preserve"> SUMIFS($AA110:$BJ110, $AA$3:$BJ$3, W$3)</f>
        <v>0</v>
      </c>
      <c r="X110" s="215">
        <f t="shared" si="194"/>
        <v>0</v>
      </c>
      <c r="Y110" s="215">
        <f t="shared" si="194"/>
        <v>0</v>
      </c>
      <c r="AA110" s="372"/>
      <c r="AB110" s="372"/>
      <c r="AC110" s="372"/>
      <c r="AD110" s="372"/>
      <c r="AE110" s="372"/>
      <c r="AF110" s="372"/>
      <c r="AG110" s="372"/>
      <c r="AH110" s="372"/>
      <c r="AI110" s="372"/>
      <c r="AJ110" s="372"/>
      <c r="AK110" s="372"/>
      <c r="AL110" s="372"/>
      <c r="AM110" s="372"/>
      <c r="AN110" s="372"/>
      <c r="AO110" s="372"/>
      <c r="AP110" s="372"/>
      <c r="AQ110" s="372"/>
      <c r="AR110" s="372"/>
      <c r="AS110" s="372"/>
      <c r="AT110" s="372"/>
      <c r="AU110" s="372"/>
      <c r="AV110" s="372"/>
      <c r="AW110" s="372"/>
      <c r="AX110" s="372"/>
      <c r="AY110" s="372"/>
      <c r="AZ110" s="372"/>
      <c r="BA110" s="372"/>
      <c r="BB110" s="372"/>
      <c r="BC110" s="372"/>
      <c r="BD110" s="372"/>
      <c r="BE110" s="372"/>
      <c r="BF110" s="372"/>
      <c r="BG110" s="372"/>
      <c r="BH110" s="372"/>
      <c r="BI110" s="372"/>
      <c r="BJ110" s="372"/>
      <c r="BL110" s="10">
        <f t="shared" ref="BL110:BO111" si="195">V110</f>
        <v>0</v>
      </c>
      <c r="BM110" s="10">
        <f t="shared" si="195"/>
        <v>0</v>
      </c>
      <c r="BN110" s="10">
        <f t="shared" si="195"/>
        <v>0</v>
      </c>
      <c r="BO110" s="10">
        <f t="shared" si="195"/>
        <v>0</v>
      </c>
      <c r="BP110" s="141"/>
      <c r="BQ110" s="141"/>
      <c r="BR110" s="141"/>
      <c r="BS110" s="141"/>
      <c r="BT110" s="141"/>
      <c r="BU110" s="141"/>
      <c r="BV110" s="141"/>
      <c r="BW110" s="141"/>
      <c r="BY110" s="12"/>
      <c r="BZ110" s="395">
        <f>IF(MIN($V110:$BW110)&lt;0, 1, 0)</f>
        <v>0</v>
      </c>
      <c r="CA110" s="12"/>
      <c r="CC110" s="7">
        <f t="shared" ref="CC110:CC113" si="196">IF(SUM($CG110:$CI110)=0, 0, 1)</f>
        <v>0</v>
      </c>
      <c r="CD110" s="7">
        <f t="shared" ref="CD110:CD113" si="197">IF(SUM($CJ110:$CL110)=0, 0, 1)</f>
        <v>0</v>
      </c>
      <c r="CE110" s="7">
        <f t="shared" ref="CE110:CE113" si="198">IF($CM110=0, 0, 1)</f>
        <v>0</v>
      </c>
      <c r="CF110" s="12"/>
      <c r="CG110" s="352">
        <f t="shared" ref="CG110:CI113" si="199">ROUND(W110-SUMIFS($AA110:$BJ110, $AA$3:$BJ$3, W$3), rounding)</f>
        <v>0</v>
      </c>
      <c r="CH110" s="352">
        <f t="shared" si="199"/>
        <v>0</v>
      </c>
      <c r="CI110" s="352">
        <f t="shared" si="199"/>
        <v>0</v>
      </c>
      <c r="CJ110" s="352">
        <f>ROUND($BM110-SUMIFS($AA110:$BJ110, $AA$3:$BJ$3, $BM$3), rounding)</f>
        <v>0</v>
      </c>
      <c r="CK110" s="352">
        <f>ROUND($BN110-SUMIFS($AA110:$BJ110, $AA$3:$BJ$3, $BN$3), rounding)</f>
        <v>0</v>
      </c>
      <c r="CL110" s="352">
        <f>ROUND($BO110-SUMIFS($AA110:$BJ110, $AA$3:$BJ$3, $BO$3), rounding)</f>
        <v>0</v>
      </c>
      <c r="CM110" s="352">
        <f>ROUND($V110-$BL110, rounding)</f>
        <v>0</v>
      </c>
      <c r="ER110" s="12"/>
      <c r="ES110" s="4">
        <v>1</v>
      </c>
      <c r="ET110" s="335">
        <v>1</v>
      </c>
      <c r="EX110" s="10" t="str">
        <f t="shared" si="135"/>
        <v>Emergency Funding (including Solution Funding)</v>
      </c>
    </row>
    <row r="111" spans="1:154" x14ac:dyDescent="0.25">
      <c r="A111" s="362" cm="1">
        <f t="array" aca="1" ref="A111" ca="1">HYPERLINK(CONCATENATE("#",CELL("address",IF(SUM($CA111:$CH111)=0,A111,INDEX($CA111:$CH111,MATCH(1,$CA111:$CH111,0))))),SUM($CA111:$CH111))</f>
        <v>0</v>
      </c>
      <c r="B111" s="93"/>
      <c r="C111" s="343" t="str">
        <f>CONCATENATE("M-", 'I&amp;E Annual'!C111)</f>
        <v>M-IE-1i-2</v>
      </c>
      <c r="D111" s="137" t="s">
        <v>66</v>
      </c>
      <c r="H111" t="s">
        <v>8</v>
      </c>
      <c r="S111" s="335"/>
      <c r="T111" s="25"/>
      <c r="U111" s="25"/>
      <c r="V111" s="141"/>
      <c r="W111" s="215">
        <f t="shared" si="194"/>
        <v>0</v>
      </c>
      <c r="X111" s="215">
        <f t="shared" si="194"/>
        <v>0</v>
      </c>
      <c r="Y111" s="215">
        <f t="shared" si="194"/>
        <v>0</v>
      </c>
      <c r="AA111" s="372"/>
      <c r="AB111" s="372"/>
      <c r="AC111" s="372"/>
      <c r="AD111" s="372"/>
      <c r="AE111" s="372"/>
      <c r="AF111" s="372"/>
      <c r="AG111" s="372"/>
      <c r="AH111" s="372"/>
      <c r="AI111" s="372"/>
      <c r="AJ111" s="372"/>
      <c r="AK111" s="372"/>
      <c r="AL111" s="372"/>
      <c r="AM111" s="372"/>
      <c r="AN111" s="372"/>
      <c r="AO111" s="372"/>
      <c r="AP111" s="372"/>
      <c r="AQ111" s="372"/>
      <c r="AR111" s="372"/>
      <c r="AS111" s="372"/>
      <c r="AT111" s="372"/>
      <c r="AU111" s="372"/>
      <c r="AV111" s="372"/>
      <c r="AW111" s="372"/>
      <c r="AX111" s="372"/>
      <c r="AY111" s="372"/>
      <c r="AZ111" s="372"/>
      <c r="BA111" s="372"/>
      <c r="BB111" s="372"/>
      <c r="BC111" s="372"/>
      <c r="BD111" s="372"/>
      <c r="BE111" s="372"/>
      <c r="BF111" s="372"/>
      <c r="BG111" s="372"/>
      <c r="BH111" s="372"/>
      <c r="BI111" s="372"/>
      <c r="BJ111" s="372"/>
      <c r="BL111" s="10">
        <f t="shared" si="195"/>
        <v>0</v>
      </c>
      <c r="BM111" s="10">
        <f t="shared" si="195"/>
        <v>0</v>
      </c>
      <c r="BN111" s="10">
        <f t="shared" si="195"/>
        <v>0</v>
      </c>
      <c r="BO111" s="10">
        <f t="shared" si="195"/>
        <v>0</v>
      </c>
      <c r="BP111" s="141"/>
      <c r="BQ111" s="141"/>
      <c r="BR111" s="141"/>
      <c r="BS111" s="141"/>
      <c r="BT111" s="141"/>
      <c r="BU111" s="141"/>
      <c r="BV111" s="141"/>
      <c r="BW111" s="141"/>
      <c r="BY111" s="12"/>
      <c r="BZ111" s="395">
        <f>IF(MIN($V111:$BW111)&lt;0, 1, 0)</f>
        <v>0</v>
      </c>
      <c r="CA111" s="12"/>
      <c r="CC111" s="7">
        <f t="shared" si="196"/>
        <v>0</v>
      </c>
      <c r="CD111" s="7">
        <f t="shared" si="197"/>
        <v>0</v>
      </c>
      <c r="CE111" s="7">
        <f t="shared" si="198"/>
        <v>0</v>
      </c>
      <c r="CF111" s="12"/>
      <c r="CG111" s="352">
        <f t="shared" si="199"/>
        <v>0</v>
      </c>
      <c r="CH111" s="352">
        <f t="shared" si="199"/>
        <v>0</v>
      </c>
      <c r="CI111" s="352">
        <f t="shared" si="199"/>
        <v>0</v>
      </c>
      <c r="CJ111" s="352">
        <f>ROUND($BM111-SUMIFS($AA111:$BJ111, $AA$3:$BJ$3, $BM$3), rounding)</f>
        <v>0</v>
      </c>
      <c r="CK111" s="352">
        <f>ROUND($BN111-SUMIFS($AA111:$BJ111, $AA$3:$BJ$3, $BN$3), rounding)</f>
        <v>0</v>
      </c>
      <c r="CL111" s="352">
        <f>ROUND($BO111-SUMIFS($AA111:$BJ111, $AA$3:$BJ$3, $BO$3), rounding)</f>
        <v>0</v>
      </c>
      <c r="CM111" s="352">
        <f>ROUND($V111-$BL111, rounding)</f>
        <v>0</v>
      </c>
      <c r="ER111" s="12"/>
      <c r="ES111" s="4">
        <v>1</v>
      </c>
      <c r="ET111" s="335">
        <v>1</v>
      </c>
      <c r="EX111" s="10" t="str">
        <f t="shared" si="135"/>
        <v>Restructuring Facility</v>
      </c>
    </row>
    <row r="112" spans="1:154" s="335" customFormat="1" x14ac:dyDescent="0.25">
      <c r="A112" s="362" cm="1">
        <f t="array" aca="1" ref="A112" ca="1">HYPERLINK(CONCATENATE("#",CELL("address",IF(SUM($CA112:$CH112)=0,A112,INDEX($CA112:$CH112,MATCH(1,$CA112:$CH112,0))))),SUM($CA112:$CH112))</f>
        <v>0</v>
      </c>
      <c r="B112" s="93"/>
      <c r="C112" s="343" t="str">
        <f>CONCATENATE("M-", 'I&amp;E Annual'!C113)</f>
        <v>M-IE-1i</v>
      </c>
      <c r="D112" s="137" t="s">
        <v>2282</v>
      </c>
      <c r="H112" s="335" t="s">
        <v>8</v>
      </c>
      <c r="T112" s="25"/>
      <c r="U112" s="25"/>
      <c r="V112" s="141"/>
      <c r="W112" s="215">
        <f t="shared" si="194"/>
        <v>0</v>
      </c>
      <c r="X112" s="215">
        <f t="shared" si="194"/>
        <v>0</v>
      </c>
      <c r="Y112" s="215">
        <f t="shared" si="194"/>
        <v>0</v>
      </c>
      <c r="AA112" s="372"/>
      <c r="AB112" s="372"/>
      <c r="AC112" s="372"/>
      <c r="AD112" s="372"/>
      <c r="AE112" s="372"/>
      <c r="AF112" s="372"/>
      <c r="AG112" s="372"/>
      <c r="AH112" s="372"/>
      <c r="AI112" s="372"/>
      <c r="AJ112" s="372"/>
      <c r="AK112" s="372"/>
      <c r="AL112" s="372"/>
      <c r="AM112" s="372"/>
      <c r="AN112" s="372"/>
      <c r="AO112" s="372"/>
      <c r="AP112" s="372"/>
      <c r="AQ112" s="372"/>
      <c r="AR112" s="372"/>
      <c r="AS112" s="372"/>
      <c r="AT112" s="372"/>
      <c r="AU112" s="372"/>
      <c r="AV112" s="372"/>
      <c r="AW112" s="372"/>
      <c r="AX112" s="372"/>
      <c r="AY112" s="372"/>
      <c r="AZ112" s="372"/>
      <c r="BA112" s="372"/>
      <c r="BB112" s="372"/>
      <c r="BC112" s="372"/>
      <c r="BD112" s="372"/>
      <c r="BE112" s="372"/>
      <c r="BF112" s="372"/>
      <c r="BG112" s="372"/>
      <c r="BH112" s="372"/>
      <c r="BI112" s="372"/>
      <c r="BJ112" s="372"/>
      <c r="BL112" s="10">
        <f t="shared" ref="BL112" si="200">V112</f>
        <v>0</v>
      </c>
      <c r="BM112" s="10">
        <f t="shared" ref="BM112" si="201">W112</f>
        <v>0</v>
      </c>
      <c r="BN112" s="10">
        <f t="shared" ref="BN112" si="202">X112</f>
        <v>0</v>
      </c>
      <c r="BO112" s="10">
        <f t="shared" ref="BO112" si="203">Y112</f>
        <v>0</v>
      </c>
      <c r="BP112" s="141"/>
      <c r="BQ112" s="141"/>
      <c r="BR112" s="141"/>
      <c r="BS112" s="141"/>
      <c r="BT112" s="141"/>
      <c r="BU112" s="141"/>
      <c r="BV112" s="141"/>
      <c r="BW112" s="141"/>
      <c r="BY112" s="12"/>
      <c r="BZ112" s="395">
        <f>IF(MIN($V112:$BW112)&lt;0, 1, 0)</f>
        <v>0</v>
      </c>
      <c r="CA112" s="12"/>
      <c r="CC112" s="7">
        <f t="shared" si="196"/>
        <v>0</v>
      </c>
      <c r="CD112" s="7">
        <f t="shared" si="197"/>
        <v>0</v>
      </c>
      <c r="CE112" s="7">
        <f t="shared" si="198"/>
        <v>0</v>
      </c>
      <c r="CF112" s="12"/>
      <c r="CG112" s="352">
        <f t="shared" si="199"/>
        <v>0</v>
      </c>
      <c r="CH112" s="352">
        <f t="shared" si="199"/>
        <v>0</v>
      </c>
      <c r="CI112" s="352">
        <f t="shared" si="199"/>
        <v>0</v>
      </c>
      <c r="CJ112" s="352">
        <f>ROUND($BM112-SUMIFS($AA112:$BJ112, $AA$3:$BJ$3, $BM$3), rounding)</f>
        <v>0</v>
      </c>
      <c r="CK112" s="352">
        <f>ROUND($BN112-SUMIFS($AA112:$BJ112, $AA$3:$BJ$3, $BN$3), rounding)</f>
        <v>0</v>
      </c>
      <c r="CL112" s="352">
        <f>ROUND($BO112-SUMIFS($AA112:$BJ112, $AA$3:$BJ$3, $BO$3), rounding)</f>
        <v>0</v>
      </c>
      <c r="CM112" s="352">
        <f>ROUND($V112-$BL112, rounding)</f>
        <v>0</v>
      </c>
      <c r="ER112" s="12"/>
      <c r="ES112" s="4">
        <v>1</v>
      </c>
      <c r="ET112" s="335">
        <v>1</v>
      </c>
      <c r="EX112" s="10" t="str">
        <f t="shared" si="135"/>
        <v>LEP support</v>
      </c>
    </row>
    <row r="113" spans="1:154" x14ac:dyDescent="0.25">
      <c r="A113" s="362" cm="1">
        <f t="array" aca="1" ref="A113" ca="1">HYPERLINK(CONCATENATE("#",CELL("address",IF(SUM($CA113:$CH113)=0,A113,INDEX($CA113:$CH113,MATCH(1,$CA113:$CH113,0))))),SUM($CA113:$CH113))</f>
        <v>0</v>
      </c>
      <c r="B113" s="93"/>
      <c r="C113" s="343" t="str">
        <f>CONCATENATE("M-", 'I&amp;E Annual'!C113)</f>
        <v>M-IE-1i</v>
      </c>
      <c r="D113" s="176" t="s">
        <v>67</v>
      </c>
      <c r="E113" s="5"/>
      <c r="G113" s="5"/>
      <c r="H113" s="5" t="s">
        <v>8</v>
      </c>
      <c r="T113" s="25"/>
      <c r="U113" s="25"/>
      <c r="V113" s="13">
        <f>SUM(V110:V112)</f>
        <v>0</v>
      </c>
      <c r="W113" s="13">
        <f t="shared" ref="W113:BW113" si="204">SUM(W110:W112)</f>
        <v>0</v>
      </c>
      <c r="X113" s="13">
        <f t="shared" si="204"/>
        <v>0</v>
      </c>
      <c r="Y113" s="13">
        <f t="shared" si="204"/>
        <v>0</v>
      </c>
      <c r="Z113" s="335"/>
      <c r="AA113" s="13">
        <f t="shared" si="204"/>
        <v>0</v>
      </c>
      <c r="AB113" s="13">
        <f t="shared" si="204"/>
        <v>0</v>
      </c>
      <c r="AC113" s="13">
        <f t="shared" si="204"/>
        <v>0</v>
      </c>
      <c r="AD113" s="13">
        <f t="shared" si="204"/>
        <v>0</v>
      </c>
      <c r="AE113" s="13">
        <f t="shared" si="204"/>
        <v>0</v>
      </c>
      <c r="AF113" s="13">
        <f t="shared" si="204"/>
        <v>0</v>
      </c>
      <c r="AG113" s="13">
        <f t="shared" si="204"/>
        <v>0</v>
      </c>
      <c r="AH113" s="13">
        <f t="shared" si="204"/>
        <v>0</v>
      </c>
      <c r="AI113" s="13">
        <f t="shared" si="204"/>
        <v>0</v>
      </c>
      <c r="AJ113" s="13">
        <f t="shared" si="204"/>
        <v>0</v>
      </c>
      <c r="AK113" s="13">
        <f t="shared" si="204"/>
        <v>0</v>
      </c>
      <c r="AL113" s="13">
        <f t="shared" si="204"/>
        <v>0</v>
      </c>
      <c r="AM113" s="13">
        <f t="shared" si="204"/>
        <v>0</v>
      </c>
      <c r="AN113" s="13">
        <f t="shared" si="204"/>
        <v>0</v>
      </c>
      <c r="AO113" s="13">
        <f t="shared" si="204"/>
        <v>0</v>
      </c>
      <c r="AP113" s="13">
        <f t="shared" si="204"/>
        <v>0</v>
      </c>
      <c r="AQ113" s="13">
        <f t="shared" si="204"/>
        <v>0</v>
      </c>
      <c r="AR113" s="13">
        <f t="shared" si="204"/>
        <v>0</v>
      </c>
      <c r="AS113" s="13">
        <f t="shared" si="204"/>
        <v>0</v>
      </c>
      <c r="AT113" s="13">
        <f t="shared" si="204"/>
        <v>0</v>
      </c>
      <c r="AU113" s="13">
        <f t="shared" si="204"/>
        <v>0</v>
      </c>
      <c r="AV113" s="13">
        <f t="shared" si="204"/>
        <v>0</v>
      </c>
      <c r="AW113" s="13">
        <f t="shared" si="204"/>
        <v>0</v>
      </c>
      <c r="AX113" s="13">
        <f t="shared" si="204"/>
        <v>0</v>
      </c>
      <c r="AY113" s="13">
        <f t="shared" si="204"/>
        <v>0</v>
      </c>
      <c r="AZ113" s="13">
        <f t="shared" si="204"/>
        <v>0</v>
      </c>
      <c r="BA113" s="13">
        <f t="shared" si="204"/>
        <v>0</v>
      </c>
      <c r="BB113" s="13">
        <f t="shared" si="204"/>
        <v>0</v>
      </c>
      <c r="BC113" s="13">
        <f t="shared" si="204"/>
        <v>0</v>
      </c>
      <c r="BD113" s="13">
        <f t="shared" si="204"/>
        <v>0</v>
      </c>
      <c r="BE113" s="13">
        <f t="shared" si="204"/>
        <v>0</v>
      </c>
      <c r="BF113" s="13">
        <f t="shared" si="204"/>
        <v>0</v>
      </c>
      <c r="BG113" s="13">
        <f t="shared" si="204"/>
        <v>0</v>
      </c>
      <c r="BH113" s="13">
        <f t="shared" si="204"/>
        <v>0</v>
      </c>
      <c r="BI113" s="13">
        <f t="shared" si="204"/>
        <v>0</v>
      </c>
      <c r="BJ113" s="13">
        <f t="shared" si="204"/>
        <v>0</v>
      </c>
      <c r="BK113" s="335"/>
      <c r="BL113" s="13">
        <f t="shared" si="204"/>
        <v>0</v>
      </c>
      <c r="BM113" s="13">
        <f t="shared" si="204"/>
        <v>0</v>
      </c>
      <c r="BN113" s="13">
        <f t="shared" si="204"/>
        <v>0</v>
      </c>
      <c r="BO113" s="13">
        <f t="shared" si="204"/>
        <v>0</v>
      </c>
      <c r="BP113" s="13">
        <f t="shared" si="204"/>
        <v>0</v>
      </c>
      <c r="BQ113" s="13">
        <f t="shared" si="204"/>
        <v>0</v>
      </c>
      <c r="BR113" s="13">
        <f t="shared" si="204"/>
        <v>0</v>
      </c>
      <c r="BS113" s="13">
        <f t="shared" si="204"/>
        <v>0</v>
      </c>
      <c r="BT113" s="13">
        <f t="shared" si="204"/>
        <v>0</v>
      </c>
      <c r="BU113" s="13">
        <f t="shared" si="204"/>
        <v>0</v>
      </c>
      <c r="BV113" s="13">
        <f t="shared" si="204"/>
        <v>0</v>
      </c>
      <c r="BW113" s="13">
        <f t="shared" si="204"/>
        <v>0</v>
      </c>
      <c r="BY113" s="12"/>
      <c r="BZ113" s="395">
        <f>IF(MIN($V113:$BW113)&lt;0, 1, 0)</f>
        <v>0</v>
      </c>
      <c r="CA113" s="12"/>
      <c r="CC113" s="7">
        <f t="shared" si="196"/>
        <v>0</v>
      </c>
      <c r="CD113" s="7">
        <f t="shared" si="197"/>
        <v>0</v>
      </c>
      <c r="CE113" s="7">
        <f t="shared" si="198"/>
        <v>0</v>
      </c>
      <c r="CF113" s="12"/>
      <c r="CG113" s="352">
        <f t="shared" si="199"/>
        <v>0</v>
      </c>
      <c r="CH113" s="352">
        <f t="shared" si="199"/>
        <v>0</v>
      </c>
      <c r="CI113" s="352">
        <f t="shared" si="199"/>
        <v>0</v>
      </c>
      <c r="CJ113" s="352">
        <f>ROUND($BM113-SUMIFS($AA113:$BJ113, $AA$3:$BJ$3, $BM$3), rounding)</f>
        <v>0</v>
      </c>
      <c r="CK113" s="352">
        <f>ROUND($BN113-SUMIFS($AA113:$BJ113, $AA$3:$BJ$3, $BN$3), rounding)</f>
        <v>0</v>
      </c>
      <c r="CL113" s="352">
        <f>ROUND($BO113-SUMIFS($AA113:$BJ113, $AA$3:$BJ$3, $BO$3), rounding)</f>
        <v>0</v>
      </c>
      <c r="CM113" s="352">
        <f>ROUND($V113-$BL113, rounding)</f>
        <v>0</v>
      </c>
      <c r="ER113" s="12"/>
      <c r="ES113">
        <v>0</v>
      </c>
      <c r="ET113" s="335">
        <v>0</v>
      </c>
      <c r="EX113" s="10" t="str">
        <f t="shared" si="135"/>
        <v>Total Emergency Funding</v>
      </c>
    </row>
    <row r="114" spans="1:154" s="11" customFormat="1" ht="6.6" customHeight="1" x14ac:dyDescent="0.25">
      <c r="A114" s="93"/>
      <c r="B114" s="93"/>
      <c r="C114" s="383"/>
      <c r="D114" s="334"/>
      <c r="T114" s="25"/>
      <c r="U114" s="25"/>
      <c r="V114" s="335"/>
      <c r="W114" s="335"/>
      <c r="X114" s="335"/>
      <c r="Y114" s="335"/>
      <c r="AA114" s="335"/>
      <c r="AB114" s="335"/>
      <c r="AC114" s="335"/>
      <c r="AD114" s="335"/>
      <c r="AE114" s="335"/>
      <c r="AF114" s="335"/>
      <c r="AG114" s="335"/>
      <c r="AH114" s="335"/>
      <c r="AI114" s="335"/>
      <c r="AJ114" s="335"/>
      <c r="AK114" s="335"/>
      <c r="AL114" s="335"/>
      <c r="AM114" s="335"/>
      <c r="AN114" s="335"/>
      <c r="AO114" s="335"/>
      <c r="AP114" s="335"/>
      <c r="AQ114" s="335"/>
      <c r="AR114" s="335"/>
      <c r="AS114" s="335"/>
      <c r="AT114" s="335"/>
      <c r="AU114" s="335"/>
      <c r="AV114" s="335"/>
      <c r="AW114" s="335"/>
      <c r="AX114" s="335"/>
      <c r="AY114" s="335"/>
      <c r="AZ114" s="335"/>
      <c r="BA114" s="335"/>
      <c r="BB114" s="335"/>
      <c r="BC114" s="335"/>
      <c r="BD114" s="335"/>
      <c r="BE114" s="335"/>
      <c r="BF114" s="335"/>
      <c r="BG114" s="335"/>
      <c r="BH114" s="335"/>
      <c r="BI114" s="335"/>
      <c r="BJ114" s="335"/>
      <c r="BK114" s="335"/>
      <c r="BL114" s="335"/>
      <c r="BM114" s="6"/>
      <c r="BN114" s="335"/>
      <c r="BO114" s="335"/>
      <c r="BP114" s="335"/>
      <c r="BQ114" s="335"/>
      <c r="BR114" s="335"/>
      <c r="BS114" s="335"/>
      <c r="BT114" s="335"/>
      <c r="BU114" s="335"/>
      <c r="BV114" s="335"/>
      <c r="BW114" s="335"/>
      <c r="BY114" s="42"/>
      <c r="BZ114" s="162"/>
      <c r="CA114" s="42"/>
      <c r="CC114" s="335"/>
      <c r="CD114" s="335"/>
      <c r="CE114" s="335"/>
      <c r="CF114" s="42"/>
      <c r="CG114" s="335"/>
      <c r="CH114" s="335"/>
      <c r="CI114" s="335"/>
      <c r="CJ114" s="335"/>
      <c r="CK114" s="335"/>
      <c r="CL114" s="335"/>
      <c r="CM114" s="335"/>
      <c r="ER114" s="42"/>
      <c r="ES114" s="11">
        <v>0</v>
      </c>
      <c r="ET114" s="335">
        <v>0</v>
      </c>
      <c r="EU114" s="335"/>
      <c r="EV114" s="335"/>
      <c r="EX114" s="10" t="str">
        <f t="shared" si="135"/>
        <v/>
      </c>
    </row>
    <row r="115" spans="1:154" ht="30" x14ac:dyDescent="0.25">
      <c r="A115" s="362" cm="1">
        <f t="array" aca="1" ref="A115" ca="1">HYPERLINK(CONCATENATE("#",CELL("address",IF(SUM($CA115:$CH115)=0,A115,INDEX($CA115:$CH115,MATCH(1,$CA115:$CH115,0))))),SUM($CA115:$CH115))</f>
        <v>0</v>
      </c>
      <c r="B115" s="170" t="s">
        <v>335</v>
      </c>
      <c r="C115" s="343" t="str">
        <f>CONCATENATE("M-", 'I&amp;E Annual'!C115)</f>
        <v>M-IE-1j-1</v>
      </c>
      <c r="D115" s="132" t="s">
        <v>44</v>
      </c>
      <c r="H115" s="11" t="s">
        <v>8</v>
      </c>
      <c r="S115" s="335"/>
      <c r="T115" s="25"/>
      <c r="U115" s="25"/>
      <c r="V115" s="141"/>
      <c r="W115" s="215">
        <f xml:space="preserve"> SUMIFS($AA115:$BJ115, $AA$3:$BJ$3, W$3)</f>
        <v>0</v>
      </c>
      <c r="X115" s="215">
        <f xml:space="preserve"> SUMIFS($AA115:$BJ115, $AA$3:$BJ$3, X$3)</f>
        <v>0</v>
      </c>
      <c r="Y115" s="215">
        <f xml:space="preserve"> SUMIFS($AA115:$BJ115, $AA$3:$BJ$3, Y$3)</f>
        <v>0</v>
      </c>
      <c r="AA115" s="372"/>
      <c r="AB115" s="372"/>
      <c r="AC115" s="372"/>
      <c r="AD115" s="372"/>
      <c r="AE115" s="372"/>
      <c r="AF115" s="372"/>
      <c r="AG115" s="372"/>
      <c r="AH115" s="372"/>
      <c r="AI115" s="372"/>
      <c r="AJ115" s="372"/>
      <c r="AK115" s="372"/>
      <c r="AL115" s="372"/>
      <c r="AM115" s="372"/>
      <c r="AN115" s="372"/>
      <c r="AO115" s="372"/>
      <c r="AP115" s="372"/>
      <c r="AQ115" s="372"/>
      <c r="AR115" s="372"/>
      <c r="AS115" s="372"/>
      <c r="AT115" s="372"/>
      <c r="AU115" s="372"/>
      <c r="AV115" s="372"/>
      <c r="AW115" s="372"/>
      <c r="AX115" s="372"/>
      <c r="AY115" s="372"/>
      <c r="AZ115" s="372"/>
      <c r="BA115" s="372"/>
      <c r="BB115" s="372"/>
      <c r="BC115" s="372"/>
      <c r="BD115" s="372"/>
      <c r="BE115" s="372"/>
      <c r="BF115" s="372"/>
      <c r="BG115" s="372"/>
      <c r="BH115" s="372"/>
      <c r="BI115" s="372"/>
      <c r="BJ115" s="372"/>
      <c r="BL115" s="10">
        <f>V115</f>
        <v>0</v>
      </c>
      <c r="BM115" s="10">
        <f>W115</f>
        <v>0</v>
      </c>
      <c r="BN115" s="10">
        <f>X115</f>
        <v>0</v>
      </c>
      <c r="BO115" s="10">
        <f>Y115</f>
        <v>0</v>
      </c>
      <c r="BP115" s="141"/>
      <c r="BQ115" s="141"/>
      <c r="BR115" s="141"/>
      <c r="BS115" s="141"/>
      <c r="BT115" s="141"/>
      <c r="BU115" s="141"/>
      <c r="BV115" s="141"/>
      <c r="BW115" s="141"/>
      <c r="BY115" s="12"/>
      <c r="BZ115" s="395">
        <f>IF(MIN($V115:$BW115)&lt;0, 1, 0)</f>
        <v>0</v>
      </c>
      <c r="CA115" s="12"/>
      <c r="CC115" s="7">
        <f t="shared" ref="CC115:CC117" si="205">IF(SUM($CG115:$CI115)=0, 0, 1)</f>
        <v>0</v>
      </c>
      <c r="CD115" s="7">
        <f t="shared" ref="CD115:CD117" si="206">IF(SUM($CJ115:$CL115)=0, 0, 1)</f>
        <v>0</v>
      </c>
      <c r="CE115" s="7">
        <f t="shared" ref="CE115:CE117" si="207">IF($CM115=0, 0, 1)</f>
        <v>0</v>
      </c>
      <c r="CF115" s="12"/>
      <c r="CG115" s="352">
        <f t="shared" ref="CG115:CI117" si="208">ROUND(W115-SUMIFS($AA115:$BJ115, $AA$3:$BJ$3, W$3), rounding)</f>
        <v>0</v>
      </c>
      <c r="CH115" s="352">
        <f t="shared" si="208"/>
        <v>0</v>
      </c>
      <c r="CI115" s="352">
        <f t="shared" si="208"/>
        <v>0</v>
      </c>
      <c r="CJ115" s="352">
        <f>ROUND($BM115-SUMIFS($AA115:$BJ115, $AA$3:$BJ$3, $BM$3), rounding)</f>
        <v>0</v>
      </c>
      <c r="CK115" s="352">
        <f>ROUND($BN115-SUMIFS($AA115:$BJ115, $AA$3:$BJ$3, $BN$3), rounding)</f>
        <v>0</v>
      </c>
      <c r="CL115" s="352">
        <f>ROUND($BO115-SUMIFS($AA115:$BJ115, $AA$3:$BJ$3, $BO$3), rounding)</f>
        <v>0</v>
      </c>
      <c r="CM115" s="352">
        <f>ROUND($V115-$BL115, rounding)</f>
        <v>0</v>
      </c>
      <c r="ER115" s="12"/>
      <c r="ES115" s="4">
        <v>1</v>
      </c>
      <c r="ET115" s="335">
        <v>1</v>
      </c>
      <c r="EX115" s="10" t="str">
        <f t="shared" si="135"/>
        <v>Non-cash accounting receipts or non-exchange transactions (gifts) excl. donated assets</v>
      </c>
    </row>
    <row r="116" spans="1:154" s="325" customFormat="1" ht="35.450000000000003" customHeight="1" x14ac:dyDescent="0.25">
      <c r="A116" s="362" cm="1">
        <f t="array" aca="1" ref="A116" ca="1">HYPERLINK(CONCATENATE("#",CELL("address",IF(SUM($CA116:$CH116)=0,A116,INDEX($CA116:$CH116,MATCH(1,$CA116:$CH116,0))))),SUM($CA116:$CH116))</f>
        <v>0</v>
      </c>
      <c r="B116" s="93"/>
      <c r="C116" s="343" t="str">
        <f>CONCATENATE("M-", 'I&amp;E Annual'!C116)</f>
        <v>M-IE-1j-2</v>
      </c>
      <c r="D116" s="132" t="s">
        <v>864</v>
      </c>
      <c r="E116" s="348" t="str" cm="1">
        <f t="array" aca="1" ref="E116" ca="1">HYPERLINK(CONCATENATE("#",CELL("address",'Investing Inputs'!$D$39)),'Investing Inputs'!$D$39)</f>
        <v>Total Capital Expenditure Donations</v>
      </c>
      <c r="H116" s="325" t="s">
        <v>8</v>
      </c>
      <c r="I116" s="335"/>
      <c r="T116" s="25"/>
      <c r="U116" s="25"/>
      <c r="V116" s="10">
        <f>'Investing Inputs'!V39</f>
        <v>0</v>
      </c>
      <c r="W116" s="10">
        <f>'Investing Inputs'!W39</f>
        <v>0</v>
      </c>
      <c r="X116" s="10">
        <f>'Investing Inputs'!X39</f>
        <v>0</v>
      </c>
      <c r="Y116" s="10">
        <f>'Investing Inputs'!Y39</f>
        <v>0</v>
      </c>
      <c r="AA116" s="10">
        <f>'Investing Inputs'!AA39</f>
        <v>0</v>
      </c>
      <c r="AB116" s="10">
        <f>'Investing Inputs'!AB39</f>
        <v>0</v>
      </c>
      <c r="AC116" s="10">
        <f>'Investing Inputs'!AC39</f>
        <v>0</v>
      </c>
      <c r="AD116" s="10">
        <f>'Investing Inputs'!AD39</f>
        <v>0</v>
      </c>
      <c r="AE116" s="10">
        <f>'Investing Inputs'!AE39</f>
        <v>0</v>
      </c>
      <c r="AF116" s="10">
        <f>'Investing Inputs'!AF39</f>
        <v>0</v>
      </c>
      <c r="AG116" s="10">
        <f>'Investing Inputs'!AG39</f>
        <v>0</v>
      </c>
      <c r="AH116" s="10">
        <f>'Investing Inputs'!AH39</f>
        <v>0</v>
      </c>
      <c r="AI116" s="10">
        <f>'Investing Inputs'!AI39</f>
        <v>0</v>
      </c>
      <c r="AJ116" s="10">
        <f>'Investing Inputs'!AJ39</f>
        <v>0</v>
      </c>
      <c r="AK116" s="10">
        <f>'Investing Inputs'!AK39</f>
        <v>0</v>
      </c>
      <c r="AL116" s="10">
        <f>'Investing Inputs'!AL39</f>
        <v>0</v>
      </c>
      <c r="AM116" s="10">
        <f>'Investing Inputs'!AM39</f>
        <v>0</v>
      </c>
      <c r="AN116" s="10">
        <f>'Investing Inputs'!AN39</f>
        <v>0</v>
      </c>
      <c r="AO116" s="10">
        <f>'Investing Inputs'!AO39</f>
        <v>0</v>
      </c>
      <c r="AP116" s="10">
        <f>'Investing Inputs'!AP39</f>
        <v>0</v>
      </c>
      <c r="AQ116" s="10">
        <f>'Investing Inputs'!AQ39</f>
        <v>0</v>
      </c>
      <c r="AR116" s="10">
        <f>'Investing Inputs'!AR39</f>
        <v>0</v>
      </c>
      <c r="AS116" s="10">
        <f>'Investing Inputs'!AS39</f>
        <v>0</v>
      </c>
      <c r="AT116" s="10">
        <f>'Investing Inputs'!AT39</f>
        <v>0</v>
      </c>
      <c r="AU116" s="10">
        <f>'Investing Inputs'!AU39</f>
        <v>0</v>
      </c>
      <c r="AV116" s="10">
        <f>'Investing Inputs'!AV39</f>
        <v>0</v>
      </c>
      <c r="AW116" s="10">
        <f>'Investing Inputs'!AW39</f>
        <v>0</v>
      </c>
      <c r="AX116" s="10">
        <f>'Investing Inputs'!AX39</f>
        <v>0</v>
      </c>
      <c r="AY116" s="10">
        <f>'Investing Inputs'!AY39</f>
        <v>0</v>
      </c>
      <c r="AZ116" s="10">
        <f>'Investing Inputs'!AZ39</f>
        <v>0</v>
      </c>
      <c r="BA116" s="10">
        <f>'Investing Inputs'!BA39</f>
        <v>0</v>
      </c>
      <c r="BB116" s="10">
        <f>'Investing Inputs'!BB39</f>
        <v>0</v>
      </c>
      <c r="BC116" s="10">
        <f>'Investing Inputs'!BC39</f>
        <v>0</v>
      </c>
      <c r="BD116" s="10">
        <f>'Investing Inputs'!BD39</f>
        <v>0</v>
      </c>
      <c r="BE116" s="10">
        <f>'Investing Inputs'!BE39</f>
        <v>0</v>
      </c>
      <c r="BF116" s="10">
        <f>'Investing Inputs'!BF39</f>
        <v>0</v>
      </c>
      <c r="BG116" s="10">
        <f>'Investing Inputs'!BG39</f>
        <v>0</v>
      </c>
      <c r="BH116" s="10">
        <f>'Investing Inputs'!BH39</f>
        <v>0</v>
      </c>
      <c r="BI116" s="10">
        <f>'Investing Inputs'!BI39</f>
        <v>0</v>
      </c>
      <c r="BJ116" s="10">
        <f>'Investing Inputs'!BJ39</f>
        <v>0</v>
      </c>
      <c r="BL116" s="10">
        <f>'Investing Inputs'!BL39</f>
        <v>0</v>
      </c>
      <c r="BM116" s="10">
        <f>'Investing Inputs'!BM39</f>
        <v>0</v>
      </c>
      <c r="BN116" s="10">
        <f>'Investing Inputs'!BN39</f>
        <v>0</v>
      </c>
      <c r="BO116" s="10">
        <f>'Investing Inputs'!BO39</f>
        <v>0</v>
      </c>
      <c r="BP116" s="10">
        <f>'Investing Inputs'!BP39</f>
        <v>0</v>
      </c>
      <c r="BQ116" s="10">
        <f>'Investing Inputs'!BQ39</f>
        <v>0</v>
      </c>
      <c r="BR116" s="10">
        <f>'Investing Inputs'!BR39</f>
        <v>0</v>
      </c>
      <c r="BS116" s="10">
        <f>'Investing Inputs'!BS39</f>
        <v>0</v>
      </c>
      <c r="BT116" s="10">
        <f>'Investing Inputs'!BT39</f>
        <v>0</v>
      </c>
      <c r="BU116" s="10">
        <f>'Investing Inputs'!BU39</f>
        <v>0</v>
      </c>
      <c r="BV116" s="10">
        <f>'Investing Inputs'!BV39</f>
        <v>0</v>
      </c>
      <c r="BW116" s="10">
        <f>'Investing Inputs'!BW39</f>
        <v>0</v>
      </c>
      <c r="BY116" s="12"/>
      <c r="BZ116" s="395">
        <f>IF(MIN($V116:$BW116)&lt;0, 1, 0)</f>
        <v>0</v>
      </c>
      <c r="CA116" s="12"/>
      <c r="CC116" s="7">
        <f t="shared" si="205"/>
        <v>0</v>
      </c>
      <c r="CD116" s="7">
        <f t="shared" si="206"/>
        <v>0</v>
      </c>
      <c r="CE116" s="7">
        <f t="shared" si="207"/>
        <v>0</v>
      </c>
      <c r="CF116" s="12"/>
      <c r="CG116" s="352">
        <f t="shared" si="208"/>
        <v>0</v>
      </c>
      <c r="CH116" s="352">
        <f t="shared" si="208"/>
        <v>0</v>
      </c>
      <c r="CI116" s="352">
        <f t="shared" si="208"/>
        <v>0</v>
      </c>
      <c r="CJ116" s="352">
        <f>ROUND($BM116-SUMIFS($AA116:$BJ116, $AA$3:$BJ$3, $BM$3), rounding)</f>
        <v>0</v>
      </c>
      <c r="CK116" s="352">
        <f>ROUND($BN116-SUMIFS($AA116:$BJ116, $AA$3:$BJ$3, $BN$3), rounding)</f>
        <v>0</v>
      </c>
      <c r="CL116" s="352">
        <f>ROUND($BO116-SUMIFS($AA116:$BJ116, $AA$3:$BJ$3, $BO$3), rounding)</f>
        <v>0</v>
      </c>
      <c r="CM116" s="352">
        <f>ROUND($V116-$BL116, rounding)</f>
        <v>0</v>
      </c>
      <c r="ER116" s="12"/>
      <c r="ES116" s="325">
        <v>0</v>
      </c>
      <c r="ET116" s="335">
        <v>0</v>
      </c>
      <c r="EU116" s="335"/>
      <c r="EV116" s="335"/>
      <c r="EX116" s="10" t="str">
        <f t="shared" si="135"/>
        <v>Donated Assets</v>
      </c>
    </row>
    <row r="117" spans="1:154" s="325" customFormat="1" x14ac:dyDescent="0.25">
      <c r="A117" s="362" cm="1">
        <f t="array" aca="1" ref="A117" ca="1">HYPERLINK(CONCATENATE("#",CELL("address",IF(SUM($CA117:$CH117)=0,A117,INDEX($CA117:$CH117,MATCH(1,$CA117:$CH117,0))))),SUM($CA117:$CH117))</f>
        <v>0</v>
      </c>
      <c r="C117" s="343" t="str">
        <f>CONCATENATE("M-", 'I&amp;E Annual'!C117)</f>
        <v>M-IE-1j</v>
      </c>
      <c r="D117" s="133" t="s">
        <v>863</v>
      </c>
      <c r="H117" s="325" t="s">
        <v>8</v>
      </c>
      <c r="T117" s="25"/>
      <c r="U117" s="25"/>
      <c r="V117" s="13">
        <f>SUM(V115:V116)</f>
        <v>0</v>
      </c>
      <c r="W117" s="13">
        <f>SUM(W115:W116)</f>
        <v>0</v>
      </c>
      <c r="X117" s="13">
        <f>SUM(X115:X116)</f>
        <v>0</v>
      </c>
      <c r="Y117" s="13">
        <f>SUM(Y115:Y116)</f>
        <v>0</v>
      </c>
      <c r="AA117" s="13">
        <f t="shared" ref="AA117:BJ117" si="209">SUM(AA115:AA116)</f>
        <v>0</v>
      </c>
      <c r="AB117" s="13">
        <f t="shared" si="209"/>
        <v>0</v>
      </c>
      <c r="AC117" s="13">
        <f t="shared" si="209"/>
        <v>0</v>
      </c>
      <c r="AD117" s="13">
        <f t="shared" si="209"/>
        <v>0</v>
      </c>
      <c r="AE117" s="13">
        <f t="shared" si="209"/>
        <v>0</v>
      </c>
      <c r="AF117" s="13">
        <f t="shared" si="209"/>
        <v>0</v>
      </c>
      <c r="AG117" s="13">
        <f t="shared" si="209"/>
        <v>0</v>
      </c>
      <c r="AH117" s="13">
        <f t="shared" si="209"/>
        <v>0</v>
      </c>
      <c r="AI117" s="13">
        <f t="shared" si="209"/>
        <v>0</v>
      </c>
      <c r="AJ117" s="13">
        <f t="shared" si="209"/>
        <v>0</v>
      </c>
      <c r="AK117" s="13">
        <f t="shared" si="209"/>
        <v>0</v>
      </c>
      <c r="AL117" s="13">
        <f t="shared" si="209"/>
        <v>0</v>
      </c>
      <c r="AM117" s="13">
        <f t="shared" si="209"/>
        <v>0</v>
      </c>
      <c r="AN117" s="13">
        <f t="shared" si="209"/>
        <v>0</v>
      </c>
      <c r="AO117" s="13">
        <f t="shared" si="209"/>
        <v>0</v>
      </c>
      <c r="AP117" s="13">
        <f t="shared" si="209"/>
        <v>0</v>
      </c>
      <c r="AQ117" s="13">
        <f t="shared" si="209"/>
        <v>0</v>
      </c>
      <c r="AR117" s="13">
        <f t="shared" si="209"/>
        <v>0</v>
      </c>
      <c r="AS117" s="13">
        <f t="shared" si="209"/>
        <v>0</v>
      </c>
      <c r="AT117" s="13">
        <f t="shared" si="209"/>
        <v>0</v>
      </c>
      <c r="AU117" s="13">
        <f t="shared" si="209"/>
        <v>0</v>
      </c>
      <c r="AV117" s="13">
        <f t="shared" si="209"/>
        <v>0</v>
      </c>
      <c r="AW117" s="13">
        <f t="shared" si="209"/>
        <v>0</v>
      </c>
      <c r="AX117" s="13">
        <f t="shared" si="209"/>
        <v>0</v>
      </c>
      <c r="AY117" s="13">
        <f t="shared" si="209"/>
        <v>0</v>
      </c>
      <c r="AZ117" s="13">
        <f t="shared" si="209"/>
        <v>0</v>
      </c>
      <c r="BA117" s="13">
        <f t="shared" si="209"/>
        <v>0</v>
      </c>
      <c r="BB117" s="13">
        <f t="shared" si="209"/>
        <v>0</v>
      </c>
      <c r="BC117" s="13">
        <f t="shared" si="209"/>
        <v>0</v>
      </c>
      <c r="BD117" s="13">
        <f t="shared" si="209"/>
        <v>0</v>
      </c>
      <c r="BE117" s="13">
        <f t="shared" si="209"/>
        <v>0</v>
      </c>
      <c r="BF117" s="13">
        <f t="shared" si="209"/>
        <v>0</v>
      </c>
      <c r="BG117" s="13">
        <f t="shared" si="209"/>
        <v>0</v>
      </c>
      <c r="BH117" s="13">
        <f t="shared" si="209"/>
        <v>0</v>
      </c>
      <c r="BI117" s="13">
        <f t="shared" si="209"/>
        <v>0</v>
      </c>
      <c r="BJ117" s="13">
        <f t="shared" si="209"/>
        <v>0</v>
      </c>
      <c r="BL117" s="13">
        <f t="shared" ref="BL117:BW117" si="210">SUM(BL115:BL116)</f>
        <v>0</v>
      </c>
      <c r="BM117" s="13">
        <f t="shared" si="210"/>
        <v>0</v>
      </c>
      <c r="BN117" s="13">
        <f t="shared" si="210"/>
        <v>0</v>
      </c>
      <c r="BO117" s="13">
        <f t="shared" si="210"/>
        <v>0</v>
      </c>
      <c r="BP117" s="13">
        <f t="shared" si="210"/>
        <v>0</v>
      </c>
      <c r="BQ117" s="13">
        <f t="shared" si="210"/>
        <v>0</v>
      </c>
      <c r="BR117" s="13">
        <f t="shared" si="210"/>
        <v>0</v>
      </c>
      <c r="BS117" s="13">
        <f t="shared" si="210"/>
        <v>0</v>
      </c>
      <c r="BT117" s="13">
        <f t="shared" si="210"/>
        <v>0</v>
      </c>
      <c r="BU117" s="13">
        <f t="shared" si="210"/>
        <v>0</v>
      </c>
      <c r="BV117" s="13">
        <f t="shared" si="210"/>
        <v>0</v>
      </c>
      <c r="BW117" s="13">
        <f t="shared" si="210"/>
        <v>0</v>
      </c>
      <c r="BY117" s="12"/>
      <c r="BZ117" s="395">
        <f>IF(MIN($V117:$BW117)&lt;0, 1, 0)</f>
        <v>0</v>
      </c>
      <c r="CA117" s="12"/>
      <c r="CC117" s="7">
        <f t="shared" si="205"/>
        <v>0</v>
      </c>
      <c r="CD117" s="7">
        <f t="shared" si="206"/>
        <v>0</v>
      </c>
      <c r="CE117" s="7">
        <f t="shared" si="207"/>
        <v>0</v>
      </c>
      <c r="CF117" s="12"/>
      <c r="CG117" s="352">
        <f t="shared" si="208"/>
        <v>0</v>
      </c>
      <c r="CH117" s="352">
        <f t="shared" si="208"/>
        <v>0</v>
      </c>
      <c r="CI117" s="352">
        <f t="shared" si="208"/>
        <v>0</v>
      </c>
      <c r="CJ117" s="352">
        <f>ROUND($BM117-SUMIFS($AA117:$BJ117, $AA$3:$BJ$3, $BM$3), rounding)</f>
        <v>0</v>
      </c>
      <c r="CK117" s="352">
        <f>ROUND($BN117-SUMIFS($AA117:$BJ117, $AA$3:$BJ$3, $BN$3), rounding)</f>
        <v>0</v>
      </c>
      <c r="CL117" s="352">
        <f>ROUND($BO117-SUMIFS($AA117:$BJ117, $AA$3:$BJ$3, $BO$3), rounding)</f>
        <v>0</v>
      </c>
      <c r="CM117" s="352">
        <f>ROUND($V117-$BL117, rounding)</f>
        <v>0</v>
      </c>
      <c r="ER117" s="12"/>
      <c r="ES117" s="325">
        <v>0</v>
      </c>
      <c r="ET117" s="335">
        <v>0</v>
      </c>
      <c r="EU117" s="335"/>
      <c r="EV117" s="335"/>
      <c r="EX117" s="10" t="str">
        <f t="shared" si="135"/>
        <v>Total gifts and donated assets</v>
      </c>
    </row>
    <row r="118" spans="1:154" s="323" customFormat="1" ht="6.6" customHeight="1" x14ac:dyDescent="0.25">
      <c r="A118" s="335"/>
      <c r="B118" s="335"/>
      <c r="C118" s="383"/>
      <c r="D118" s="69"/>
      <c r="E118" s="25"/>
      <c r="Q118" s="335"/>
      <c r="R118" s="335"/>
      <c r="S118" s="335"/>
      <c r="T118" s="25"/>
      <c r="U118" s="25"/>
      <c r="V118" s="25"/>
      <c r="W118" s="25"/>
      <c r="X118" s="25"/>
      <c r="Y118" s="25"/>
      <c r="Z118" s="33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335"/>
      <c r="BL118" s="25"/>
      <c r="BM118" s="25"/>
      <c r="BN118" s="25"/>
      <c r="BO118" s="25"/>
      <c r="BP118" s="25"/>
      <c r="BQ118" s="25"/>
      <c r="BR118" s="25"/>
      <c r="BS118" s="25"/>
      <c r="BT118" s="25"/>
      <c r="BU118" s="25"/>
      <c r="BV118" s="25"/>
      <c r="BW118" s="25"/>
      <c r="BY118" s="42"/>
      <c r="BZ118" s="162"/>
      <c r="CA118" s="42"/>
      <c r="CC118" s="335"/>
      <c r="CD118" s="335"/>
      <c r="CE118" s="335"/>
      <c r="CF118" s="42"/>
      <c r="CG118" s="335"/>
      <c r="CH118" s="335"/>
      <c r="CI118" s="335"/>
      <c r="CJ118" s="335"/>
      <c r="CK118" s="335"/>
      <c r="CL118" s="335"/>
      <c r="CM118" s="335"/>
      <c r="ER118" s="42"/>
      <c r="ES118" s="323">
        <v>0</v>
      </c>
      <c r="ET118" s="335">
        <v>0</v>
      </c>
      <c r="EU118" s="335"/>
      <c r="EV118" s="335"/>
      <c r="EX118" s="10" t="str">
        <f t="shared" si="135"/>
        <v/>
      </c>
    </row>
    <row r="119" spans="1:154" s="323" customFormat="1" x14ac:dyDescent="0.25">
      <c r="A119" s="362" cm="1">
        <f t="array" aca="1" ref="A119" ca="1">HYPERLINK(CONCATENATE("#",CELL("address",IF(SUM($CA119:$CH119)=0,A119,INDEX($CA119:$CH119,MATCH(1,$CA119:$CH119,0))))),SUM($CA119:$CH119))</f>
        <v>0</v>
      </c>
      <c r="B119" s="335"/>
      <c r="C119" s="343" t="str">
        <f>CONCATENATE("M-", 'I&amp;E Annual'!C119)</f>
        <v>M-IE-1</v>
      </c>
      <c r="D119" s="133" t="s">
        <v>638</v>
      </c>
      <c r="E119" s="5"/>
      <c r="G119" s="5"/>
      <c r="Q119" s="335"/>
      <c r="R119" s="335"/>
      <c r="S119" s="332"/>
      <c r="T119" s="25"/>
      <c r="U119" s="25"/>
      <c r="V119" s="13">
        <f>V15+V28+V37+V49+V60+V67+V84+V98+V107+V113+V117</f>
        <v>0</v>
      </c>
      <c r="W119" s="13">
        <f>W15+W28+W37+W49+W60+W67+W84+W98+W107+W113+W117</f>
        <v>27973</v>
      </c>
      <c r="X119" s="13">
        <f>X15+X28+X37+X49+X60+X67+X84+X98+X107+X113+X117</f>
        <v>29133</v>
      </c>
      <c r="Y119" s="13">
        <f>Y15+Y28+Y37+Y49+Y60+Y67+Y84+Y98+Y107+Y113+Y117</f>
        <v>30071.37</v>
      </c>
      <c r="Z119" s="335"/>
      <c r="AA119" s="13">
        <f t="shared" ref="AA119:BJ119" si="211">AA15+AA28+AA37+AA49+AA60+AA67+AA84+AA98+AA107+AA113+AA117</f>
        <v>3502</v>
      </c>
      <c r="AB119" s="13">
        <f t="shared" si="211"/>
        <v>3218</v>
      </c>
      <c r="AC119" s="13">
        <f t="shared" si="211"/>
        <v>2442</v>
      </c>
      <c r="AD119" s="13">
        <f t="shared" si="211"/>
        <v>2215</v>
      </c>
      <c r="AE119" s="13">
        <f t="shared" si="211"/>
        <v>1415</v>
      </c>
      <c r="AF119" s="13">
        <f t="shared" si="211"/>
        <v>1562</v>
      </c>
      <c r="AG119" s="13">
        <f t="shared" si="211"/>
        <v>1382</v>
      </c>
      <c r="AH119" s="13">
        <f t="shared" si="211"/>
        <v>1452</v>
      </c>
      <c r="AI119" s="13">
        <f t="shared" si="211"/>
        <v>3552</v>
      </c>
      <c r="AJ119" s="13">
        <f t="shared" si="211"/>
        <v>2890</v>
      </c>
      <c r="AK119" s="13">
        <f t="shared" si="211"/>
        <v>2871</v>
      </c>
      <c r="AL119" s="13">
        <f t="shared" si="211"/>
        <v>1472</v>
      </c>
      <c r="AM119" s="13">
        <f t="shared" si="211"/>
        <v>3908</v>
      </c>
      <c r="AN119" s="13">
        <f t="shared" si="211"/>
        <v>3275</v>
      </c>
      <c r="AO119" s="13">
        <f t="shared" si="211"/>
        <v>2511</v>
      </c>
      <c r="AP119" s="13">
        <f t="shared" si="211"/>
        <v>2057</v>
      </c>
      <c r="AQ119" s="13">
        <f t="shared" si="211"/>
        <v>1535</v>
      </c>
      <c r="AR119" s="13">
        <f t="shared" si="211"/>
        <v>1786</v>
      </c>
      <c r="AS119" s="13">
        <f t="shared" si="211"/>
        <v>1442</v>
      </c>
      <c r="AT119" s="13">
        <f t="shared" si="211"/>
        <v>1576</v>
      </c>
      <c r="AU119" s="13">
        <f t="shared" si="211"/>
        <v>3985</v>
      </c>
      <c r="AV119" s="13">
        <f t="shared" si="211"/>
        <v>2962</v>
      </c>
      <c r="AW119" s="13">
        <f t="shared" si="211"/>
        <v>2500</v>
      </c>
      <c r="AX119" s="13">
        <f t="shared" si="211"/>
        <v>1596</v>
      </c>
      <c r="AY119" s="13">
        <f t="shared" si="211"/>
        <v>4012.1133333333337</v>
      </c>
      <c r="AZ119" s="13">
        <f t="shared" si="211"/>
        <v>3354.1616666666664</v>
      </c>
      <c r="BA119" s="13">
        <f t="shared" si="211"/>
        <v>2589.2233333333329</v>
      </c>
      <c r="BB119" s="13">
        <f t="shared" si="211"/>
        <v>2120.9016666666666</v>
      </c>
      <c r="BC119" s="13">
        <f t="shared" si="211"/>
        <v>1585.4750000000001</v>
      </c>
      <c r="BD119" s="13">
        <f t="shared" si="211"/>
        <v>1848.2300000000002</v>
      </c>
      <c r="BE119" s="13">
        <f t="shared" si="211"/>
        <v>1490.5483333333334</v>
      </c>
      <c r="BF119" s="13">
        <f t="shared" si="211"/>
        <v>1632.2066666666667</v>
      </c>
      <c r="BG119" s="13">
        <f t="shared" si="211"/>
        <v>4111.9283333333342</v>
      </c>
      <c r="BH119" s="13">
        <f t="shared" si="211"/>
        <v>3085.8633333333337</v>
      </c>
      <c r="BI119" s="13">
        <f t="shared" si="211"/>
        <v>2583.3133333333335</v>
      </c>
      <c r="BJ119" s="13">
        <f t="shared" si="211"/>
        <v>1657.4049999999997</v>
      </c>
      <c r="BK119" s="335"/>
      <c r="BL119" s="13">
        <f t="shared" ref="BL119:BW119" si="212">BL15+BL28+BL37+BL49+BL60+BL67+BL84+BL98+BL107+BL113+BL117</f>
        <v>0</v>
      </c>
      <c r="BM119" s="13">
        <f t="shared" si="212"/>
        <v>27973</v>
      </c>
      <c r="BN119" s="13">
        <f t="shared" si="212"/>
        <v>29133</v>
      </c>
      <c r="BO119" s="13">
        <f t="shared" si="212"/>
        <v>30071.37</v>
      </c>
      <c r="BP119" s="13">
        <f t="shared" si="212"/>
        <v>0</v>
      </c>
      <c r="BQ119" s="13">
        <f t="shared" si="212"/>
        <v>0</v>
      </c>
      <c r="BR119" s="13">
        <f t="shared" si="212"/>
        <v>0</v>
      </c>
      <c r="BS119" s="13">
        <f t="shared" si="212"/>
        <v>0</v>
      </c>
      <c r="BT119" s="13">
        <f t="shared" si="212"/>
        <v>0</v>
      </c>
      <c r="BU119" s="13">
        <f t="shared" si="212"/>
        <v>0</v>
      </c>
      <c r="BV119" s="13">
        <f t="shared" si="212"/>
        <v>0</v>
      </c>
      <c r="BW119" s="13">
        <f t="shared" si="212"/>
        <v>0</v>
      </c>
      <c r="BY119" s="12"/>
      <c r="BZ119" s="162"/>
      <c r="CA119" s="12"/>
      <c r="CB119" s="335"/>
      <c r="CC119" s="7">
        <f>IF(SUM($CG119:$CI119)=0, 0, 1)</f>
        <v>0</v>
      </c>
      <c r="CD119" s="7">
        <f>IF(SUM($CJ119:$CL119)=0, 0, 1)</f>
        <v>0</v>
      </c>
      <c r="CE119" s="7">
        <f>IF($CM119=0, 0, 1)</f>
        <v>0</v>
      </c>
      <c r="CF119" s="12"/>
      <c r="CG119" s="352">
        <f>ROUND(W119-SUMIFS($AA119:$BJ119, $AA$3:$BJ$3, W$3), rounding)</f>
        <v>0</v>
      </c>
      <c r="CH119" s="352">
        <f>ROUND(X119-SUMIFS($AA119:$BJ119, $AA$3:$BJ$3, X$3), rounding)</f>
        <v>0</v>
      </c>
      <c r="CI119" s="352">
        <f>ROUND(Y119-SUMIFS($AA119:$BJ119, $AA$3:$BJ$3, Y$3), rounding)</f>
        <v>0</v>
      </c>
      <c r="CJ119" s="352">
        <f>ROUND($BM119-SUMIFS($AA119:$BJ119, $AA$3:$BJ$3, $BM$3), rounding)</f>
        <v>0</v>
      </c>
      <c r="CK119" s="352">
        <f>ROUND($BN119-SUMIFS($AA119:$BJ119, $AA$3:$BJ$3, $BN$3), rounding)</f>
        <v>0</v>
      </c>
      <c r="CL119" s="352">
        <f>ROUND($BO119-SUMIFS($AA119:$BJ119, $AA$3:$BJ$3, $BO$3), rounding)</f>
        <v>0</v>
      </c>
      <c r="CM119" s="352">
        <f>ROUND($V119-$BL119, rounding)</f>
        <v>0</v>
      </c>
      <c r="ER119" s="12"/>
      <c r="ES119" s="323">
        <v>0</v>
      </c>
      <c r="ET119" s="335">
        <v>0</v>
      </c>
      <c r="EU119" s="335"/>
      <c r="EV119" s="335"/>
      <c r="EX119" s="10" t="str">
        <f t="shared" si="135"/>
        <v>Total Operating Income</v>
      </c>
    </row>
    <row r="120" spans="1:154" s="11" customFormat="1" ht="11.45" customHeight="1" x14ac:dyDescent="0.25">
      <c r="A120" s="335"/>
      <c r="B120" s="335"/>
      <c r="C120" s="383"/>
      <c r="D120" s="69"/>
      <c r="E120" s="25"/>
      <c r="Q120" s="335"/>
      <c r="R120" s="335"/>
      <c r="S120" s="335"/>
      <c r="T120" s="25"/>
      <c r="U120" s="25"/>
      <c r="V120" s="25"/>
      <c r="W120" s="25"/>
      <c r="X120" s="25"/>
      <c r="Y120" s="25"/>
      <c r="Z120" s="33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335"/>
      <c r="BL120" s="25"/>
      <c r="BM120" s="25"/>
      <c r="BN120" s="25"/>
      <c r="BO120" s="25"/>
      <c r="BP120" s="25"/>
      <c r="BQ120" s="25"/>
      <c r="BR120" s="25"/>
      <c r="BS120" s="25"/>
      <c r="BT120" s="25"/>
      <c r="BU120" s="25"/>
      <c r="BV120" s="25"/>
      <c r="BW120" s="25"/>
      <c r="BY120" s="42"/>
      <c r="BZ120" s="162"/>
      <c r="CA120" s="42"/>
      <c r="CC120" s="335"/>
      <c r="CD120" s="335"/>
      <c r="CE120" s="335"/>
      <c r="CF120" s="42"/>
      <c r="CG120" s="335"/>
      <c r="CH120" s="335"/>
      <c r="CI120" s="335"/>
      <c r="CJ120" s="335"/>
      <c r="CK120" s="335"/>
      <c r="CL120" s="335"/>
      <c r="CM120" s="335"/>
      <c r="ER120" s="42"/>
      <c r="ES120" s="11">
        <v>0</v>
      </c>
      <c r="ET120" s="335">
        <v>0</v>
      </c>
      <c r="EU120" s="335"/>
      <c r="EV120" s="335"/>
      <c r="EX120" s="10" t="str">
        <f t="shared" si="135"/>
        <v/>
      </c>
    </row>
    <row r="121" spans="1:154" x14ac:dyDescent="0.25">
      <c r="B121" s="82"/>
      <c r="C121" s="383"/>
      <c r="D121" s="133" t="s">
        <v>108</v>
      </c>
      <c r="E121" s="82"/>
      <c r="G121" s="335"/>
      <c r="Q121" s="335"/>
      <c r="R121" s="335"/>
      <c r="S121" s="335"/>
      <c r="T121" s="25"/>
      <c r="U121" s="25"/>
      <c r="V121" s="25"/>
      <c r="W121" s="25"/>
      <c r="X121" s="25"/>
      <c r="Y121" s="25"/>
      <c r="Z121" s="33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335"/>
      <c r="BL121" s="25"/>
      <c r="BM121" s="25"/>
      <c r="BN121" s="25"/>
      <c r="BO121" s="25"/>
      <c r="BP121" s="25"/>
      <c r="BQ121" s="25"/>
      <c r="BR121" s="25"/>
      <c r="BS121" s="25"/>
      <c r="BT121" s="25"/>
      <c r="BU121" s="25"/>
      <c r="BV121" s="25"/>
      <c r="BW121" s="25"/>
      <c r="BY121" s="12"/>
      <c r="CA121" s="12"/>
      <c r="CF121" s="12"/>
      <c r="ER121" s="12"/>
      <c r="ES121">
        <v>0</v>
      </c>
      <c r="ET121" s="335">
        <v>0</v>
      </c>
      <c r="EX121" s="10" t="str">
        <f t="shared" si="135"/>
        <v/>
      </c>
    </row>
    <row r="122" spans="1:154" ht="15.75" x14ac:dyDescent="0.3">
      <c r="A122" s="362" cm="1">
        <f t="array" aca="1" ref="A122" ca="1">HYPERLINK(CONCATENATE("#",CELL("address",IF(SUM($CA122:$CH122)=0,A122,INDEX($CA122:$CH122,MATCH(1,$CA122:$CH122,0))))),SUM($CA122:$CH122))</f>
        <v>0</v>
      </c>
      <c r="B122" s="105" t="s">
        <v>335</v>
      </c>
      <c r="C122" s="343" t="str">
        <f>CONCATENATE("M-", 'I&amp;E Annual'!C122)</f>
        <v>M-IE-2a-1</v>
      </c>
      <c r="D122" s="132" t="s">
        <v>48</v>
      </c>
      <c r="G122" s="335"/>
      <c r="H122" s="11" t="s">
        <v>86</v>
      </c>
      <c r="Q122" s="335"/>
      <c r="R122" s="335"/>
      <c r="S122" s="335"/>
      <c r="T122" s="25"/>
      <c r="U122" s="25"/>
      <c r="V122" s="210"/>
      <c r="W122" s="215">
        <f t="shared" ref="W122:Y129" si="213" xml:space="preserve"> SUMIFS($AA122:$BJ122, $AA$3:$BJ$3, W$3)</f>
        <v>11147</v>
      </c>
      <c r="X122" s="215">
        <f t="shared" si="213"/>
        <v>11715</v>
      </c>
      <c r="Y122" s="215">
        <f t="shared" si="213"/>
        <v>12125.024999999998</v>
      </c>
      <c r="Z122" s="93"/>
      <c r="AA122" s="372">
        <f>849-12</f>
        <v>837</v>
      </c>
      <c r="AB122" s="372">
        <f>883-12</f>
        <v>871</v>
      </c>
      <c r="AC122" s="372">
        <f>948-12</f>
        <v>936</v>
      </c>
      <c r="AD122" s="372">
        <f>952-12</f>
        <v>940</v>
      </c>
      <c r="AE122" s="372">
        <f>961-12</f>
        <v>949</v>
      </c>
      <c r="AF122" s="372">
        <f>953-12</f>
        <v>941</v>
      </c>
      <c r="AG122" s="372">
        <f>943-37-12</f>
        <v>894</v>
      </c>
      <c r="AH122" s="372">
        <f>955-12-12</f>
        <v>931</v>
      </c>
      <c r="AI122" s="372">
        <f>1030-13-12</f>
        <v>1005</v>
      </c>
      <c r="AJ122" s="372">
        <f>985-18-12</f>
        <v>955</v>
      </c>
      <c r="AK122" s="372">
        <f>969-12</f>
        <v>957</v>
      </c>
      <c r="AL122" s="372">
        <f>944-13</f>
        <v>931</v>
      </c>
      <c r="AM122" s="572">
        <f>849+50-12</f>
        <v>887</v>
      </c>
      <c r="AN122" s="572">
        <f>883+50-12</f>
        <v>921</v>
      </c>
      <c r="AO122" s="572">
        <f>948+50-12</f>
        <v>986</v>
      </c>
      <c r="AP122" s="572">
        <f>952+50-12</f>
        <v>990</v>
      </c>
      <c r="AQ122" s="572">
        <f>961+50-12</f>
        <v>999</v>
      </c>
      <c r="AR122" s="572">
        <f>953+50-12</f>
        <v>991</v>
      </c>
      <c r="AS122" s="572">
        <f>943-37+50-12</f>
        <v>944</v>
      </c>
      <c r="AT122" s="572">
        <f>955-12+50-12</f>
        <v>981</v>
      </c>
      <c r="AU122" s="572">
        <f>1030-13+50-32-12</f>
        <v>1023</v>
      </c>
      <c r="AV122" s="572">
        <f>985-18+50-12</f>
        <v>1005</v>
      </c>
      <c r="AW122" s="572">
        <f>969+50-12</f>
        <v>1007</v>
      </c>
      <c r="AX122" s="572">
        <f>944+50-13</f>
        <v>981</v>
      </c>
      <c r="AY122" s="372">
        <f>AM122*1.035</f>
        <v>918.04499999999996</v>
      </c>
      <c r="AZ122" s="573">
        <f t="shared" ref="AZ122:BJ122" si="214">AN122*1.035</f>
        <v>953.2349999999999</v>
      </c>
      <c r="BA122" s="573">
        <f t="shared" si="214"/>
        <v>1020.5099999999999</v>
      </c>
      <c r="BB122" s="573">
        <f t="shared" si="214"/>
        <v>1024.6499999999999</v>
      </c>
      <c r="BC122" s="573">
        <f t="shared" si="214"/>
        <v>1033.9649999999999</v>
      </c>
      <c r="BD122" s="573">
        <f t="shared" si="214"/>
        <v>1025.6849999999999</v>
      </c>
      <c r="BE122" s="573">
        <f t="shared" si="214"/>
        <v>977.04</v>
      </c>
      <c r="BF122" s="573">
        <f t="shared" si="214"/>
        <v>1015.3349999999999</v>
      </c>
      <c r="BG122" s="573">
        <f t="shared" si="214"/>
        <v>1058.8049999999998</v>
      </c>
      <c r="BH122" s="573">
        <f t="shared" si="214"/>
        <v>1040.175</v>
      </c>
      <c r="BI122" s="573">
        <f t="shared" si="214"/>
        <v>1042.2449999999999</v>
      </c>
      <c r="BJ122" s="573">
        <f t="shared" si="214"/>
        <v>1015.3349999999999</v>
      </c>
      <c r="BK122" s="93"/>
      <c r="BL122" s="201">
        <f t="shared" ref="BL122:BO129" si="215">V122</f>
        <v>0</v>
      </c>
      <c r="BM122" s="201">
        <f t="shared" si="215"/>
        <v>11147</v>
      </c>
      <c r="BN122" s="201">
        <f t="shared" si="215"/>
        <v>11715</v>
      </c>
      <c r="BO122" s="201">
        <f t="shared" si="215"/>
        <v>12125.024999999998</v>
      </c>
      <c r="BP122" s="141"/>
      <c r="BQ122" s="141"/>
      <c r="BR122" s="141"/>
      <c r="BS122" s="141"/>
      <c r="BT122" s="141"/>
      <c r="BU122" s="141"/>
      <c r="BV122" s="141"/>
      <c r="BW122" s="141"/>
      <c r="BY122" s="12"/>
      <c r="BZ122" s="395">
        <f t="shared" ref="BZ122:BZ133" si="216">IF(MIN($V122:$BW122)&lt;0, 1, 0)</f>
        <v>0</v>
      </c>
      <c r="CA122" s="12"/>
      <c r="CC122" s="7">
        <f t="shared" ref="CC122:CC134" si="217">IF(SUM($CG122:$CI122)=0, 0, 1)</f>
        <v>0</v>
      </c>
      <c r="CD122" s="7">
        <f t="shared" ref="CD122:CD134" si="218">IF(SUM($CJ122:$CL122)=0, 0, 1)</f>
        <v>0</v>
      </c>
      <c r="CE122" s="7">
        <f t="shared" ref="CE122:CE134" si="219">IF($CM122=0, 0, 1)</f>
        <v>0</v>
      </c>
      <c r="CF122" s="12"/>
      <c r="CG122" s="352">
        <f t="shared" ref="CG122:CG134" si="220">ROUND(W122-SUMIFS($AA122:$BJ122, $AA$3:$BJ$3, W$3), rounding)</f>
        <v>0</v>
      </c>
      <c r="CH122" s="352">
        <f t="shared" ref="CH122:CH134" si="221">ROUND(X122-SUMIFS($AA122:$BJ122, $AA$3:$BJ$3, X$3), rounding)</f>
        <v>0</v>
      </c>
      <c r="CI122" s="352">
        <f t="shared" ref="CI122:CI134" si="222">ROUND(Y122-SUMIFS($AA122:$BJ122, $AA$3:$BJ$3, Y$3), rounding)</f>
        <v>0</v>
      </c>
      <c r="CJ122" s="352">
        <f t="shared" ref="CJ122:CJ134" si="223">ROUND($BM122-SUMIFS($AA122:$BJ122, $AA$3:$BJ$3, $BM$3), rounding)</f>
        <v>0</v>
      </c>
      <c r="CK122" s="352">
        <f t="shared" ref="CK122:CK134" si="224">ROUND($BN122-SUMIFS($AA122:$BJ122, $AA$3:$BJ$3, $BN$3), rounding)</f>
        <v>0</v>
      </c>
      <c r="CL122" s="352">
        <f t="shared" ref="CL122:CL134" si="225">ROUND($BO122-SUMIFS($AA122:$BJ122, $AA$3:$BJ$3, $BO$3), rounding)</f>
        <v>0</v>
      </c>
      <c r="CM122" s="352">
        <f t="shared" ref="CM122:CM134" si="226">ROUND($V122-$BL122, rounding)</f>
        <v>0</v>
      </c>
      <c r="ER122" s="12"/>
      <c r="ES122" s="4">
        <v>1</v>
      </c>
      <c r="ET122" s="335">
        <v>1</v>
      </c>
      <c r="EX122" s="10" t="str">
        <f t="shared" si="135"/>
        <v>Teaching staff</v>
      </c>
    </row>
    <row r="123" spans="1:154" ht="15.75" x14ac:dyDescent="0.3">
      <c r="A123" s="362" cm="1">
        <f t="array" aca="1" ref="A123" ca="1">HYPERLINK(CONCATENATE("#",CELL("address",IF(SUM($CA123:$CH123)=0,A123,INDEX($CA123:$CH123,MATCH(1,$CA123:$CH123,0))))),SUM($CA123:$CH123))</f>
        <v>0</v>
      </c>
      <c r="B123" s="105" t="s">
        <v>335</v>
      </c>
      <c r="C123" s="343" t="str">
        <f>CONCATENATE("M-", 'I&amp;E Annual'!C123)</f>
        <v>M-IE-2a-2</v>
      </c>
      <c r="D123" s="132" t="s">
        <v>49</v>
      </c>
      <c r="G123" s="335"/>
      <c r="H123" t="s">
        <v>86</v>
      </c>
      <c r="Q123" s="335"/>
      <c r="R123" s="335"/>
      <c r="S123" s="335"/>
      <c r="T123" s="25"/>
      <c r="U123" s="25"/>
      <c r="V123" s="156"/>
      <c r="W123" s="215">
        <f t="shared" si="213"/>
        <v>0</v>
      </c>
      <c r="X123" s="215">
        <f t="shared" si="213"/>
        <v>0</v>
      </c>
      <c r="Y123" s="215">
        <f t="shared" si="213"/>
        <v>0</v>
      </c>
      <c r="Z123" s="335"/>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573">
        <f t="shared" ref="AY123:AY129" si="227">AM123*1.02</f>
        <v>0</v>
      </c>
      <c r="AZ123" s="573">
        <f t="shared" ref="AZ123:AZ129" si="228">AN123*1.02</f>
        <v>0</v>
      </c>
      <c r="BA123" s="573">
        <f t="shared" ref="BA123:BA129" si="229">AO123*1.02</f>
        <v>0</v>
      </c>
      <c r="BB123" s="573">
        <f t="shared" ref="BB123:BB129" si="230">AP123*1.02</f>
        <v>0</v>
      </c>
      <c r="BC123" s="573">
        <f t="shared" ref="BC123:BC129" si="231">AQ123*1.02</f>
        <v>0</v>
      </c>
      <c r="BD123" s="573">
        <f t="shared" ref="BD123:BD129" si="232">AR123*1.02</f>
        <v>0</v>
      </c>
      <c r="BE123" s="573">
        <f t="shared" ref="BE123:BE129" si="233">AS123*1.02</f>
        <v>0</v>
      </c>
      <c r="BF123" s="573">
        <f t="shared" ref="BF123:BF129" si="234">AT123*1.02</f>
        <v>0</v>
      </c>
      <c r="BG123" s="573">
        <f t="shared" ref="BG123:BG129" si="235">AU123*1.02</f>
        <v>0</v>
      </c>
      <c r="BH123" s="573">
        <f t="shared" ref="BH123:BH129" si="236">AV123*1.02</f>
        <v>0</v>
      </c>
      <c r="BI123" s="573">
        <f t="shared" ref="BI123:BI129" si="237">AW123*1.02</f>
        <v>0</v>
      </c>
      <c r="BJ123" s="573">
        <f t="shared" ref="BJ123:BJ129" si="238">AX123*1.02</f>
        <v>0</v>
      </c>
      <c r="BK123" s="335"/>
      <c r="BL123" s="153">
        <f t="shared" si="215"/>
        <v>0</v>
      </c>
      <c r="BM123" s="153">
        <f t="shared" si="215"/>
        <v>0</v>
      </c>
      <c r="BN123" s="153">
        <f t="shared" si="215"/>
        <v>0</v>
      </c>
      <c r="BO123" s="153">
        <f t="shared" si="215"/>
        <v>0</v>
      </c>
      <c r="BP123" s="156"/>
      <c r="BQ123" s="156"/>
      <c r="BR123" s="156"/>
      <c r="BS123" s="156"/>
      <c r="BT123" s="156"/>
      <c r="BU123" s="156"/>
      <c r="BV123" s="156"/>
      <c r="BW123" s="156"/>
      <c r="BY123" s="12"/>
      <c r="BZ123" s="395">
        <f t="shared" si="216"/>
        <v>0</v>
      </c>
      <c r="CA123" s="12"/>
      <c r="CC123" s="7">
        <f t="shared" si="217"/>
        <v>0</v>
      </c>
      <c r="CD123" s="7">
        <f t="shared" si="218"/>
        <v>0</v>
      </c>
      <c r="CE123" s="7">
        <f t="shared" si="219"/>
        <v>0</v>
      </c>
      <c r="CF123" s="12"/>
      <c r="CG123" s="352">
        <f t="shared" si="220"/>
        <v>0</v>
      </c>
      <c r="CH123" s="352">
        <f t="shared" si="221"/>
        <v>0</v>
      </c>
      <c r="CI123" s="352">
        <f t="shared" si="222"/>
        <v>0</v>
      </c>
      <c r="CJ123" s="352">
        <f t="shared" si="223"/>
        <v>0</v>
      </c>
      <c r="CK123" s="352">
        <f t="shared" si="224"/>
        <v>0</v>
      </c>
      <c r="CL123" s="352">
        <f t="shared" si="225"/>
        <v>0</v>
      </c>
      <c r="CM123" s="352">
        <f t="shared" si="226"/>
        <v>0</v>
      </c>
      <c r="ER123" s="12"/>
      <c r="ES123" s="4">
        <v>1</v>
      </c>
      <c r="ET123" s="335">
        <v>1</v>
      </c>
      <c r="EX123" s="10" t="str">
        <f t="shared" si="135"/>
        <v>Contracted tuition services</v>
      </c>
    </row>
    <row r="124" spans="1:154" ht="15.75" x14ac:dyDescent="0.3">
      <c r="A124" s="362" cm="1">
        <f t="array" aca="1" ref="A124" ca="1">HYPERLINK(CONCATENATE("#",CELL("address",IF(SUM($CA124:$CH124)=0,A124,INDEX($CA124:$CH124,MATCH(1,$CA124:$CH124,0))))),SUM($CA124:$CH124))</f>
        <v>0</v>
      </c>
      <c r="B124" s="105" t="s">
        <v>335</v>
      </c>
      <c r="C124" s="343" t="str">
        <f>CONCATENATE("M-", 'I&amp;E Annual'!C124)</f>
        <v>M-IE-2a-3</v>
      </c>
      <c r="D124" s="132" t="s">
        <v>50</v>
      </c>
      <c r="E124" s="335"/>
      <c r="G124" s="335"/>
      <c r="H124" t="s">
        <v>86</v>
      </c>
      <c r="Q124" s="335"/>
      <c r="R124" s="335"/>
      <c r="S124" s="335"/>
      <c r="T124" s="25"/>
      <c r="U124" s="25"/>
      <c r="V124" s="156"/>
      <c r="W124" s="215">
        <f t="shared" si="213"/>
        <v>2368</v>
      </c>
      <c r="X124" s="215">
        <f t="shared" si="213"/>
        <v>2368</v>
      </c>
      <c r="Y124" s="215">
        <f t="shared" si="213"/>
        <v>2462.7199999999998</v>
      </c>
      <c r="Z124" s="335"/>
      <c r="AA124" s="147">
        <v>179</v>
      </c>
      <c r="AB124" s="147">
        <v>181</v>
      </c>
      <c r="AC124" s="147">
        <v>206</v>
      </c>
      <c r="AD124" s="147">
        <v>191</v>
      </c>
      <c r="AE124" s="147">
        <v>206</v>
      </c>
      <c r="AF124" s="147">
        <v>197</v>
      </c>
      <c r="AG124" s="147">
        <v>199</v>
      </c>
      <c r="AH124" s="147">
        <v>194</v>
      </c>
      <c r="AI124" s="147">
        <v>217</v>
      </c>
      <c r="AJ124" s="147">
        <v>188</v>
      </c>
      <c r="AK124" s="147">
        <v>205</v>
      </c>
      <c r="AL124" s="147">
        <v>205</v>
      </c>
      <c r="AM124" s="147">
        <v>179</v>
      </c>
      <c r="AN124" s="147">
        <v>181</v>
      </c>
      <c r="AO124" s="147">
        <v>206</v>
      </c>
      <c r="AP124" s="147">
        <v>191</v>
      </c>
      <c r="AQ124" s="147">
        <v>206</v>
      </c>
      <c r="AR124" s="147">
        <v>197</v>
      </c>
      <c r="AS124" s="147">
        <v>199</v>
      </c>
      <c r="AT124" s="147">
        <v>194</v>
      </c>
      <c r="AU124" s="147">
        <v>217</v>
      </c>
      <c r="AV124" s="147">
        <v>188</v>
      </c>
      <c r="AW124" s="147">
        <v>205</v>
      </c>
      <c r="AX124" s="147">
        <v>205</v>
      </c>
      <c r="AY124" s="573">
        <f>AM124*1.04</f>
        <v>186.16</v>
      </c>
      <c r="AZ124" s="573">
        <f t="shared" ref="AZ124:BJ124" si="239">AN124*1.04</f>
        <v>188.24</v>
      </c>
      <c r="BA124" s="573">
        <f t="shared" si="239"/>
        <v>214.24</v>
      </c>
      <c r="BB124" s="573">
        <f t="shared" si="239"/>
        <v>198.64000000000001</v>
      </c>
      <c r="BC124" s="573">
        <f t="shared" si="239"/>
        <v>214.24</v>
      </c>
      <c r="BD124" s="573">
        <f t="shared" si="239"/>
        <v>204.88</v>
      </c>
      <c r="BE124" s="573">
        <f t="shared" si="239"/>
        <v>206.96</v>
      </c>
      <c r="BF124" s="573">
        <f t="shared" si="239"/>
        <v>201.76000000000002</v>
      </c>
      <c r="BG124" s="573">
        <f t="shared" si="239"/>
        <v>225.68</v>
      </c>
      <c r="BH124" s="573">
        <f t="shared" si="239"/>
        <v>195.52</v>
      </c>
      <c r="BI124" s="573">
        <f t="shared" si="239"/>
        <v>213.20000000000002</v>
      </c>
      <c r="BJ124" s="573">
        <f t="shared" si="239"/>
        <v>213.20000000000002</v>
      </c>
      <c r="BK124" s="335"/>
      <c r="BL124" s="153">
        <f t="shared" si="215"/>
        <v>0</v>
      </c>
      <c r="BM124" s="153">
        <f t="shared" si="215"/>
        <v>2368</v>
      </c>
      <c r="BN124" s="153">
        <f t="shared" si="215"/>
        <v>2368</v>
      </c>
      <c r="BO124" s="153">
        <f t="shared" si="215"/>
        <v>2462.7199999999998</v>
      </c>
      <c r="BP124" s="156"/>
      <c r="BQ124" s="156"/>
      <c r="BR124" s="156"/>
      <c r="BS124" s="156"/>
      <c r="BT124" s="156"/>
      <c r="BU124" s="156"/>
      <c r="BV124" s="156"/>
      <c r="BW124" s="156"/>
      <c r="BY124" s="12"/>
      <c r="BZ124" s="395">
        <f t="shared" si="216"/>
        <v>0</v>
      </c>
      <c r="CA124" s="12"/>
      <c r="CC124" s="7">
        <f t="shared" si="217"/>
        <v>0</v>
      </c>
      <c r="CD124" s="7">
        <f t="shared" si="218"/>
        <v>0</v>
      </c>
      <c r="CE124" s="7">
        <f t="shared" si="219"/>
        <v>0</v>
      </c>
      <c r="CF124" s="12"/>
      <c r="CG124" s="352">
        <f t="shared" si="220"/>
        <v>0</v>
      </c>
      <c r="CH124" s="352">
        <f t="shared" si="221"/>
        <v>0</v>
      </c>
      <c r="CI124" s="352">
        <f t="shared" si="222"/>
        <v>0</v>
      </c>
      <c r="CJ124" s="352">
        <f t="shared" si="223"/>
        <v>0</v>
      </c>
      <c r="CK124" s="352">
        <f t="shared" si="224"/>
        <v>0</v>
      </c>
      <c r="CL124" s="352">
        <f t="shared" si="225"/>
        <v>0</v>
      </c>
      <c r="CM124" s="352">
        <f t="shared" si="226"/>
        <v>0</v>
      </c>
      <c r="ER124" s="12"/>
      <c r="ES124" s="4">
        <v>1</v>
      </c>
      <c r="ET124" s="335">
        <v>1</v>
      </c>
      <c r="EX124" s="10" t="str">
        <f t="shared" si="135"/>
        <v>Teaching and other support staff</v>
      </c>
    </row>
    <row r="125" spans="1:154" ht="15.75" x14ac:dyDescent="0.3">
      <c r="A125" s="362" cm="1">
        <f t="array" aca="1" ref="A125" ca="1">HYPERLINK(CONCATENATE("#",CELL("address",IF(SUM($CA125:$CH125)=0,A125,INDEX($CA125:$CH125,MATCH(1,$CA125:$CH125,0))))),SUM($CA125:$CH125))</f>
        <v>0</v>
      </c>
      <c r="B125" s="105" t="s">
        <v>335</v>
      </c>
      <c r="C125" s="343" t="str">
        <f>CONCATENATE("M-", 'I&amp;E Annual'!C125)</f>
        <v>M-IE-2a-4</v>
      </c>
      <c r="D125" s="132" t="s">
        <v>51</v>
      </c>
      <c r="H125" t="s">
        <v>86</v>
      </c>
      <c r="Q125" s="335"/>
      <c r="R125" s="335"/>
      <c r="S125" s="335"/>
      <c r="T125" s="25"/>
      <c r="U125" s="25"/>
      <c r="V125" s="141"/>
      <c r="W125" s="215">
        <f t="shared" si="213"/>
        <v>2701</v>
      </c>
      <c r="X125" s="215">
        <f t="shared" si="213"/>
        <v>2701</v>
      </c>
      <c r="Y125" s="215">
        <f t="shared" si="213"/>
        <v>2755.02</v>
      </c>
      <c r="AA125" s="372">
        <v>219</v>
      </c>
      <c r="AB125" s="372">
        <v>211</v>
      </c>
      <c r="AC125" s="372">
        <v>219</v>
      </c>
      <c r="AD125" s="372">
        <v>221</v>
      </c>
      <c r="AE125" s="372">
        <v>231</v>
      </c>
      <c r="AF125" s="372">
        <v>232</v>
      </c>
      <c r="AG125" s="372">
        <v>232</v>
      </c>
      <c r="AH125" s="372">
        <v>226</v>
      </c>
      <c r="AI125" s="372">
        <v>235</v>
      </c>
      <c r="AJ125" s="372">
        <v>225</v>
      </c>
      <c r="AK125" s="372">
        <v>225</v>
      </c>
      <c r="AL125" s="372">
        <v>225</v>
      </c>
      <c r="AM125" s="572">
        <v>219</v>
      </c>
      <c r="AN125" s="572">
        <v>211</v>
      </c>
      <c r="AO125" s="572">
        <v>219</v>
      </c>
      <c r="AP125" s="572">
        <v>221</v>
      </c>
      <c r="AQ125" s="572">
        <v>231</v>
      </c>
      <c r="AR125" s="572">
        <v>232</v>
      </c>
      <c r="AS125" s="572">
        <v>232</v>
      </c>
      <c r="AT125" s="572">
        <v>226</v>
      </c>
      <c r="AU125" s="572">
        <v>235</v>
      </c>
      <c r="AV125" s="572">
        <v>225</v>
      </c>
      <c r="AW125" s="572">
        <v>225</v>
      </c>
      <c r="AX125" s="572">
        <v>225</v>
      </c>
      <c r="AY125" s="573">
        <f t="shared" si="227"/>
        <v>223.38</v>
      </c>
      <c r="AZ125" s="573">
        <f t="shared" si="228"/>
        <v>215.22</v>
      </c>
      <c r="BA125" s="573">
        <f t="shared" si="229"/>
        <v>223.38</v>
      </c>
      <c r="BB125" s="573">
        <f t="shared" si="230"/>
        <v>225.42000000000002</v>
      </c>
      <c r="BC125" s="573">
        <f t="shared" si="231"/>
        <v>235.62</v>
      </c>
      <c r="BD125" s="573">
        <f t="shared" si="232"/>
        <v>236.64000000000001</v>
      </c>
      <c r="BE125" s="573">
        <f t="shared" si="233"/>
        <v>236.64000000000001</v>
      </c>
      <c r="BF125" s="573">
        <f t="shared" si="234"/>
        <v>230.52</v>
      </c>
      <c r="BG125" s="573">
        <f t="shared" si="235"/>
        <v>239.70000000000002</v>
      </c>
      <c r="BH125" s="573">
        <f t="shared" si="236"/>
        <v>229.5</v>
      </c>
      <c r="BI125" s="573">
        <f t="shared" si="237"/>
        <v>229.5</v>
      </c>
      <c r="BJ125" s="573">
        <f t="shared" si="238"/>
        <v>229.5</v>
      </c>
      <c r="BL125" s="10">
        <f t="shared" si="215"/>
        <v>0</v>
      </c>
      <c r="BM125" s="10">
        <f t="shared" si="215"/>
        <v>2701</v>
      </c>
      <c r="BN125" s="10">
        <f t="shared" si="215"/>
        <v>2701</v>
      </c>
      <c r="BO125" s="10">
        <f t="shared" si="215"/>
        <v>2755.02</v>
      </c>
      <c r="BP125" s="141"/>
      <c r="BQ125" s="141"/>
      <c r="BR125" s="141"/>
      <c r="BS125" s="141"/>
      <c r="BT125" s="141"/>
      <c r="BU125" s="141"/>
      <c r="BV125" s="141"/>
      <c r="BW125" s="141"/>
      <c r="BY125" s="12"/>
      <c r="BZ125" s="395">
        <f t="shared" si="216"/>
        <v>0</v>
      </c>
      <c r="CA125" s="12"/>
      <c r="CC125" s="7">
        <f t="shared" si="217"/>
        <v>0</v>
      </c>
      <c r="CD125" s="7">
        <f t="shared" si="218"/>
        <v>0</v>
      </c>
      <c r="CE125" s="7">
        <f t="shared" si="219"/>
        <v>0</v>
      </c>
      <c r="CF125" s="12"/>
      <c r="CG125" s="352">
        <f t="shared" si="220"/>
        <v>0</v>
      </c>
      <c r="CH125" s="352">
        <f t="shared" si="221"/>
        <v>0</v>
      </c>
      <c r="CI125" s="352">
        <f t="shared" si="222"/>
        <v>0</v>
      </c>
      <c r="CJ125" s="352">
        <f t="shared" si="223"/>
        <v>0</v>
      </c>
      <c r="CK125" s="352">
        <f t="shared" si="224"/>
        <v>0</v>
      </c>
      <c r="CL125" s="352">
        <f t="shared" si="225"/>
        <v>0</v>
      </c>
      <c r="CM125" s="352">
        <f t="shared" si="226"/>
        <v>0</v>
      </c>
      <c r="ER125" s="12"/>
      <c r="ES125" s="4">
        <v>1</v>
      </c>
      <c r="ET125" s="335">
        <v>1</v>
      </c>
      <c r="EX125" s="10" t="str">
        <f t="shared" si="135"/>
        <v>Administration staff</v>
      </c>
    </row>
    <row r="126" spans="1:154" ht="15.75" x14ac:dyDescent="0.3">
      <c r="A126" s="362" cm="1">
        <f t="array" aca="1" ref="A126" ca="1">HYPERLINK(CONCATENATE("#",CELL("address",IF(SUM($CA126:$CH126)=0,A126,INDEX($CA126:$CH126,MATCH(1,$CA126:$CH126,0))))),SUM($CA126:$CH126))</f>
        <v>0</v>
      </c>
      <c r="B126" s="105" t="s">
        <v>335</v>
      </c>
      <c r="C126" s="343" t="str">
        <f>CONCATENATE("M-", 'I&amp;E Annual'!C126)</f>
        <v>M-IE-2a-5</v>
      </c>
      <c r="D126" s="132" t="s">
        <v>52</v>
      </c>
      <c r="H126" t="s">
        <v>86</v>
      </c>
      <c r="Q126" s="335"/>
      <c r="R126" s="335"/>
      <c r="S126" s="335"/>
      <c r="T126" s="25"/>
      <c r="U126" s="25"/>
      <c r="V126" s="141"/>
      <c r="W126" s="215">
        <f t="shared" si="213"/>
        <v>314</v>
      </c>
      <c r="X126" s="215">
        <f t="shared" si="213"/>
        <v>314</v>
      </c>
      <c r="Y126" s="215">
        <f t="shared" si="213"/>
        <v>320.27999999999997</v>
      </c>
      <c r="AA126" s="372">
        <v>27</v>
      </c>
      <c r="AB126" s="372">
        <v>27</v>
      </c>
      <c r="AC126" s="372">
        <v>27</v>
      </c>
      <c r="AD126" s="372">
        <v>27</v>
      </c>
      <c r="AE126" s="372">
        <v>30</v>
      </c>
      <c r="AF126" s="372">
        <v>23</v>
      </c>
      <c r="AG126" s="372">
        <v>24</v>
      </c>
      <c r="AH126" s="372">
        <v>26</v>
      </c>
      <c r="AI126" s="372">
        <v>26</v>
      </c>
      <c r="AJ126" s="372">
        <v>26</v>
      </c>
      <c r="AK126" s="372">
        <v>26</v>
      </c>
      <c r="AL126" s="372">
        <v>25</v>
      </c>
      <c r="AM126" s="572">
        <v>27</v>
      </c>
      <c r="AN126" s="572">
        <v>27</v>
      </c>
      <c r="AO126" s="572">
        <v>27</v>
      </c>
      <c r="AP126" s="572">
        <v>27</v>
      </c>
      <c r="AQ126" s="572">
        <v>30</v>
      </c>
      <c r="AR126" s="572">
        <v>23</v>
      </c>
      <c r="AS126" s="572">
        <v>24</v>
      </c>
      <c r="AT126" s="572">
        <v>26</v>
      </c>
      <c r="AU126" s="572">
        <v>26</v>
      </c>
      <c r="AV126" s="572">
        <v>26</v>
      </c>
      <c r="AW126" s="572">
        <v>26</v>
      </c>
      <c r="AX126" s="572">
        <v>25</v>
      </c>
      <c r="AY126" s="573">
        <f t="shared" si="227"/>
        <v>27.54</v>
      </c>
      <c r="AZ126" s="573">
        <f t="shared" si="228"/>
        <v>27.54</v>
      </c>
      <c r="BA126" s="573">
        <f t="shared" si="229"/>
        <v>27.54</v>
      </c>
      <c r="BB126" s="573">
        <f t="shared" si="230"/>
        <v>27.54</v>
      </c>
      <c r="BC126" s="573">
        <f t="shared" si="231"/>
        <v>30.6</v>
      </c>
      <c r="BD126" s="573">
        <f t="shared" si="232"/>
        <v>23.46</v>
      </c>
      <c r="BE126" s="573">
        <f t="shared" si="233"/>
        <v>24.48</v>
      </c>
      <c r="BF126" s="573">
        <f t="shared" si="234"/>
        <v>26.52</v>
      </c>
      <c r="BG126" s="573">
        <f t="shared" si="235"/>
        <v>26.52</v>
      </c>
      <c r="BH126" s="573">
        <f t="shared" si="236"/>
        <v>26.52</v>
      </c>
      <c r="BI126" s="573">
        <f t="shared" si="237"/>
        <v>26.52</v>
      </c>
      <c r="BJ126" s="573">
        <f t="shared" si="238"/>
        <v>25.5</v>
      </c>
      <c r="BL126" s="10">
        <f t="shared" si="215"/>
        <v>0</v>
      </c>
      <c r="BM126" s="10">
        <f t="shared" si="215"/>
        <v>314</v>
      </c>
      <c r="BN126" s="10">
        <f t="shared" si="215"/>
        <v>314</v>
      </c>
      <c r="BO126" s="10">
        <f t="shared" si="215"/>
        <v>320.27999999999997</v>
      </c>
      <c r="BP126" s="141"/>
      <c r="BQ126" s="141"/>
      <c r="BR126" s="141"/>
      <c r="BS126" s="141"/>
      <c r="BT126" s="141"/>
      <c r="BU126" s="141"/>
      <c r="BV126" s="141"/>
      <c r="BW126" s="141"/>
      <c r="BY126" s="12"/>
      <c r="BZ126" s="395">
        <f t="shared" si="216"/>
        <v>0</v>
      </c>
      <c r="CA126" s="12"/>
      <c r="CC126" s="7">
        <f t="shared" si="217"/>
        <v>0</v>
      </c>
      <c r="CD126" s="7">
        <f t="shared" si="218"/>
        <v>0</v>
      </c>
      <c r="CE126" s="7">
        <f t="shared" si="219"/>
        <v>0</v>
      </c>
      <c r="CF126" s="12"/>
      <c r="CG126" s="352">
        <f t="shared" si="220"/>
        <v>0</v>
      </c>
      <c r="CH126" s="352">
        <f t="shared" si="221"/>
        <v>0</v>
      </c>
      <c r="CI126" s="352">
        <f t="shared" si="222"/>
        <v>0</v>
      </c>
      <c r="CJ126" s="352">
        <f t="shared" si="223"/>
        <v>0</v>
      </c>
      <c r="CK126" s="352">
        <f t="shared" si="224"/>
        <v>0</v>
      </c>
      <c r="CL126" s="352">
        <f t="shared" si="225"/>
        <v>0</v>
      </c>
      <c r="CM126" s="352">
        <f t="shared" si="226"/>
        <v>0</v>
      </c>
      <c r="ER126" s="12"/>
      <c r="ES126" s="4">
        <v>1</v>
      </c>
      <c r="ET126" s="335">
        <v>1</v>
      </c>
      <c r="EX126" s="10" t="str">
        <f t="shared" si="135"/>
        <v>Operational &amp; maintenance staff</v>
      </c>
    </row>
    <row r="127" spans="1:154" ht="15.75" x14ac:dyDescent="0.3">
      <c r="A127" s="362" cm="1">
        <f t="array" aca="1" ref="A127" ca="1">HYPERLINK(CONCATENATE("#",CELL("address",IF(SUM($CA127:$CH127)=0,A127,INDEX($CA127:$CH127,MATCH(1,$CA127:$CH127,0))))),SUM($CA127:$CH127))</f>
        <v>0</v>
      </c>
      <c r="B127" s="105" t="s">
        <v>335</v>
      </c>
      <c r="C127" s="343" t="str">
        <f>CONCATENATE("M-", 'I&amp;E Annual'!C127)</f>
        <v>M-IE-2a-6</v>
      </c>
      <c r="D127" s="132" t="s">
        <v>53</v>
      </c>
      <c r="E127" s="335"/>
      <c r="G127" s="335"/>
      <c r="H127" t="s">
        <v>86</v>
      </c>
      <c r="Q127" s="335"/>
      <c r="R127" s="335"/>
      <c r="S127" s="335"/>
      <c r="T127" s="25"/>
      <c r="U127" s="25"/>
      <c r="V127" s="141"/>
      <c r="W127" s="215">
        <f t="shared" si="213"/>
        <v>730</v>
      </c>
      <c r="X127" s="215">
        <f t="shared" si="213"/>
        <v>876</v>
      </c>
      <c r="Y127" s="215">
        <f t="shared" si="213"/>
        <v>893.51999999999987</v>
      </c>
      <c r="AA127" s="372">
        <v>61</v>
      </c>
      <c r="AB127" s="372">
        <v>62</v>
      </c>
      <c r="AC127" s="372">
        <v>70</v>
      </c>
      <c r="AD127" s="372">
        <v>70</v>
      </c>
      <c r="AE127" s="372">
        <v>62</v>
      </c>
      <c r="AF127" s="372">
        <v>54</v>
      </c>
      <c r="AG127" s="372">
        <v>54</v>
      </c>
      <c r="AH127" s="372">
        <v>56</v>
      </c>
      <c r="AI127" s="372">
        <v>62</v>
      </c>
      <c r="AJ127" s="372">
        <v>59</v>
      </c>
      <c r="AK127" s="372">
        <v>61</v>
      </c>
      <c r="AL127" s="372">
        <v>59</v>
      </c>
      <c r="AM127" s="572">
        <v>71</v>
      </c>
      <c r="AN127" s="572">
        <v>72</v>
      </c>
      <c r="AO127" s="572">
        <v>80</v>
      </c>
      <c r="AP127" s="572">
        <v>80</v>
      </c>
      <c r="AQ127" s="572">
        <v>72</v>
      </c>
      <c r="AR127" s="572">
        <v>72</v>
      </c>
      <c r="AS127" s="572">
        <v>72</v>
      </c>
      <c r="AT127" s="572">
        <v>76</v>
      </c>
      <c r="AU127" s="572">
        <v>72</v>
      </c>
      <c r="AV127" s="572">
        <v>69</v>
      </c>
      <c r="AW127" s="572">
        <v>71</v>
      </c>
      <c r="AX127" s="572">
        <v>69</v>
      </c>
      <c r="AY127" s="573">
        <f t="shared" si="227"/>
        <v>72.42</v>
      </c>
      <c r="AZ127" s="573">
        <f t="shared" si="228"/>
        <v>73.44</v>
      </c>
      <c r="BA127" s="573">
        <f t="shared" si="229"/>
        <v>81.599999999999994</v>
      </c>
      <c r="BB127" s="573">
        <f t="shared" si="230"/>
        <v>81.599999999999994</v>
      </c>
      <c r="BC127" s="573">
        <f t="shared" si="231"/>
        <v>73.44</v>
      </c>
      <c r="BD127" s="573">
        <f t="shared" si="232"/>
        <v>73.44</v>
      </c>
      <c r="BE127" s="573">
        <f t="shared" si="233"/>
        <v>73.44</v>
      </c>
      <c r="BF127" s="573">
        <f t="shared" si="234"/>
        <v>77.52</v>
      </c>
      <c r="BG127" s="573">
        <f t="shared" si="235"/>
        <v>73.44</v>
      </c>
      <c r="BH127" s="573">
        <f t="shared" si="236"/>
        <v>70.38</v>
      </c>
      <c r="BI127" s="573">
        <f t="shared" si="237"/>
        <v>72.42</v>
      </c>
      <c r="BJ127" s="573">
        <f t="shared" si="238"/>
        <v>70.38</v>
      </c>
      <c r="BL127" s="10">
        <f t="shared" si="215"/>
        <v>0</v>
      </c>
      <c r="BM127" s="10">
        <f t="shared" si="215"/>
        <v>730</v>
      </c>
      <c r="BN127" s="10">
        <f t="shared" si="215"/>
        <v>876</v>
      </c>
      <c r="BO127" s="10">
        <f t="shared" si="215"/>
        <v>893.51999999999987</v>
      </c>
      <c r="BP127" s="141"/>
      <c r="BQ127" s="141"/>
      <c r="BR127" s="141"/>
      <c r="BS127" s="141"/>
      <c r="BT127" s="141"/>
      <c r="BU127" s="141"/>
      <c r="BV127" s="141"/>
      <c r="BW127" s="141"/>
      <c r="BY127" s="12"/>
      <c r="BZ127" s="395">
        <f t="shared" si="216"/>
        <v>0</v>
      </c>
      <c r="CA127" s="12"/>
      <c r="CC127" s="7">
        <f t="shared" si="217"/>
        <v>0</v>
      </c>
      <c r="CD127" s="7">
        <f t="shared" si="218"/>
        <v>0</v>
      </c>
      <c r="CE127" s="7">
        <f t="shared" si="219"/>
        <v>0</v>
      </c>
      <c r="CF127" s="12"/>
      <c r="CG127" s="352">
        <f t="shared" si="220"/>
        <v>0</v>
      </c>
      <c r="CH127" s="352">
        <f t="shared" si="221"/>
        <v>0</v>
      </c>
      <c r="CI127" s="352">
        <f t="shared" si="222"/>
        <v>0</v>
      </c>
      <c r="CJ127" s="352">
        <f t="shared" si="223"/>
        <v>0</v>
      </c>
      <c r="CK127" s="352">
        <f t="shared" si="224"/>
        <v>0</v>
      </c>
      <c r="CL127" s="352">
        <f t="shared" si="225"/>
        <v>0</v>
      </c>
      <c r="CM127" s="352">
        <f t="shared" si="226"/>
        <v>0</v>
      </c>
      <c r="ER127" s="12"/>
      <c r="ES127" s="4">
        <v>1</v>
      </c>
      <c r="ET127" s="335">
        <v>1</v>
      </c>
      <c r="EX127" s="10" t="str">
        <f t="shared" si="135"/>
        <v>Commercial staff costs</v>
      </c>
    </row>
    <row r="128" spans="1:154" x14ac:dyDescent="0.25">
      <c r="A128" s="362" cm="1">
        <f t="array" aca="1" ref="A128" ca="1">HYPERLINK(CONCATENATE("#",CELL("address",IF(SUM($CA128:$CH128)=0,A128,INDEX($CA128:$CH128,MATCH(1,$CA128:$CH128,0))))),SUM($CA128:$CH128))</f>
        <v>0</v>
      </c>
      <c r="C128" s="343" t="str">
        <f>CONCATENATE("M-", 'I&amp;E Annual'!C128)</f>
        <v>M-IE-2a-7</v>
      </c>
      <c r="D128" s="132" t="s">
        <v>54</v>
      </c>
      <c r="E128" s="335"/>
      <c r="G128" s="335"/>
      <c r="H128" t="s">
        <v>86</v>
      </c>
      <c r="Q128" s="335"/>
      <c r="R128" s="335"/>
      <c r="S128" s="335"/>
      <c r="T128" s="25"/>
      <c r="U128" s="25"/>
      <c r="V128" s="141"/>
      <c r="W128" s="215">
        <f t="shared" si="213"/>
        <v>48</v>
      </c>
      <c r="X128" s="215">
        <f t="shared" si="213"/>
        <v>87</v>
      </c>
      <c r="Y128" s="215">
        <f t="shared" si="213"/>
        <v>88.74</v>
      </c>
      <c r="AA128" s="372">
        <v>4</v>
      </c>
      <c r="AB128" s="372">
        <v>4</v>
      </c>
      <c r="AC128" s="372">
        <v>4</v>
      </c>
      <c r="AD128" s="372">
        <v>4</v>
      </c>
      <c r="AE128" s="372">
        <v>4</v>
      </c>
      <c r="AF128" s="372">
        <v>4</v>
      </c>
      <c r="AG128" s="372">
        <v>4</v>
      </c>
      <c r="AH128" s="372">
        <v>4</v>
      </c>
      <c r="AI128" s="372">
        <v>4</v>
      </c>
      <c r="AJ128" s="372">
        <v>4</v>
      </c>
      <c r="AK128" s="372">
        <v>4</v>
      </c>
      <c r="AL128" s="372">
        <v>4</v>
      </c>
      <c r="AM128" s="372">
        <v>7</v>
      </c>
      <c r="AN128" s="372">
        <v>7</v>
      </c>
      <c r="AO128" s="372">
        <v>7</v>
      </c>
      <c r="AP128" s="372">
        <v>7</v>
      </c>
      <c r="AQ128" s="372">
        <v>7</v>
      </c>
      <c r="AR128" s="372">
        <v>7</v>
      </c>
      <c r="AS128" s="372">
        <v>7</v>
      </c>
      <c r="AT128" s="372">
        <v>7</v>
      </c>
      <c r="AU128" s="372">
        <v>8</v>
      </c>
      <c r="AV128" s="372">
        <v>7</v>
      </c>
      <c r="AW128" s="372">
        <v>8</v>
      </c>
      <c r="AX128" s="372">
        <v>8</v>
      </c>
      <c r="AY128" s="573">
        <f t="shared" si="227"/>
        <v>7.1400000000000006</v>
      </c>
      <c r="AZ128" s="573">
        <f t="shared" si="228"/>
        <v>7.1400000000000006</v>
      </c>
      <c r="BA128" s="573">
        <f t="shared" si="229"/>
        <v>7.1400000000000006</v>
      </c>
      <c r="BB128" s="573">
        <f t="shared" si="230"/>
        <v>7.1400000000000006</v>
      </c>
      <c r="BC128" s="573">
        <f t="shared" si="231"/>
        <v>7.1400000000000006</v>
      </c>
      <c r="BD128" s="573">
        <f t="shared" si="232"/>
        <v>7.1400000000000006</v>
      </c>
      <c r="BE128" s="573">
        <f t="shared" si="233"/>
        <v>7.1400000000000006</v>
      </c>
      <c r="BF128" s="573">
        <f t="shared" si="234"/>
        <v>7.1400000000000006</v>
      </c>
      <c r="BG128" s="573">
        <f t="shared" si="235"/>
        <v>8.16</v>
      </c>
      <c r="BH128" s="573">
        <f t="shared" si="236"/>
        <v>7.1400000000000006</v>
      </c>
      <c r="BI128" s="573">
        <f t="shared" si="237"/>
        <v>8.16</v>
      </c>
      <c r="BJ128" s="573">
        <f t="shared" si="238"/>
        <v>8.16</v>
      </c>
      <c r="BL128" s="10">
        <f t="shared" si="215"/>
        <v>0</v>
      </c>
      <c r="BM128" s="10">
        <f t="shared" si="215"/>
        <v>48</v>
      </c>
      <c r="BN128" s="10">
        <f t="shared" si="215"/>
        <v>87</v>
      </c>
      <c r="BO128" s="10">
        <f t="shared" si="215"/>
        <v>88.74</v>
      </c>
      <c r="BP128" s="141"/>
      <c r="BQ128" s="141"/>
      <c r="BR128" s="141"/>
      <c r="BS128" s="141"/>
      <c r="BT128" s="141"/>
      <c r="BU128" s="141"/>
      <c r="BV128" s="141"/>
      <c r="BW128" s="141"/>
      <c r="BY128" s="12"/>
      <c r="BZ128" s="395">
        <f t="shared" si="216"/>
        <v>0</v>
      </c>
      <c r="CA128" s="12"/>
      <c r="CC128" s="7">
        <f t="shared" si="217"/>
        <v>0</v>
      </c>
      <c r="CD128" s="7">
        <f t="shared" si="218"/>
        <v>0</v>
      </c>
      <c r="CE128" s="7">
        <f t="shared" si="219"/>
        <v>0</v>
      </c>
      <c r="CF128" s="12"/>
      <c r="CG128" s="352">
        <f t="shared" si="220"/>
        <v>0</v>
      </c>
      <c r="CH128" s="352">
        <f t="shared" si="221"/>
        <v>0</v>
      </c>
      <c r="CI128" s="352">
        <f t="shared" si="222"/>
        <v>0</v>
      </c>
      <c r="CJ128" s="352">
        <f t="shared" si="223"/>
        <v>0</v>
      </c>
      <c r="CK128" s="352">
        <f t="shared" si="224"/>
        <v>0</v>
      </c>
      <c r="CL128" s="352">
        <f t="shared" si="225"/>
        <v>0</v>
      </c>
      <c r="CM128" s="352">
        <f t="shared" si="226"/>
        <v>0</v>
      </c>
      <c r="ER128" s="12"/>
      <c r="ES128" s="4">
        <v>1</v>
      </c>
      <c r="ET128" s="335">
        <v>1</v>
      </c>
      <c r="EX128" s="10" t="str">
        <f t="shared" si="135"/>
        <v>Apprenticeship 2% payroll levy charge</v>
      </c>
    </row>
    <row r="129" spans="1:154" ht="15.75" x14ac:dyDescent="0.3">
      <c r="A129" s="362" cm="1">
        <f t="array" aca="1" ref="A129" ca="1">HYPERLINK(CONCATENATE("#",CELL("address",IF(SUM($CA129:$CH129)=0,A129,INDEX($CA129:$CH129,MATCH(1,$CA129:$CH129,0))))),SUM($CA129:$CH129))</f>
        <v>0</v>
      </c>
      <c r="B129" s="105" t="s">
        <v>335</v>
      </c>
      <c r="C129" s="343" t="str">
        <f>CONCATENATE("M-", 'I&amp;E Annual'!C129)</f>
        <v>M-IE-2a-8</v>
      </c>
      <c r="D129" s="132" t="s">
        <v>871</v>
      </c>
      <c r="E129" s="335"/>
      <c r="G129" s="335"/>
      <c r="H129" t="s">
        <v>86</v>
      </c>
      <c r="I129" s="335"/>
      <c r="Q129" s="335"/>
      <c r="R129" s="335"/>
      <c r="S129" s="335"/>
      <c r="T129" s="25"/>
      <c r="U129" s="25"/>
      <c r="V129" s="141"/>
      <c r="W129" s="215">
        <f t="shared" si="213"/>
        <v>0</v>
      </c>
      <c r="X129" s="215">
        <f t="shared" si="213"/>
        <v>0</v>
      </c>
      <c r="Y129" s="215">
        <f t="shared" si="213"/>
        <v>0</v>
      </c>
      <c r="AA129" s="372"/>
      <c r="AB129" s="372"/>
      <c r="AC129" s="372"/>
      <c r="AD129" s="372"/>
      <c r="AE129" s="372"/>
      <c r="AF129" s="372"/>
      <c r="AG129" s="372"/>
      <c r="AH129" s="372"/>
      <c r="AI129" s="372"/>
      <c r="AJ129" s="372"/>
      <c r="AK129" s="372"/>
      <c r="AL129" s="372"/>
      <c r="AM129" s="372"/>
      <c r="AN129" s="372"/>
      <c r="AO129" s="372"/>
      <c r="AP129" s="372"/>
      <c r="AQ129" s="372"/>
      <c r="AR129" s="372"/>
      <c r="AS129" s="372"/>
      <c r="AT129" s="372"/>
      <c r="AU129" s="372"/>
      <c r="AV129" s="372"/>
      <c r="AW129" s="372"/>
      <c r="AX129" s="372"/>
      <c r="AY129" s="573">
        <f t="shared" si="227"/>
        <v>0</v>
      </c>
      <c r="AZ129" s="573">
        <f t="shared" si="228"/>
        <v>0</v>
      </c>
      <c r="BA129" s="573">
        <f t="shared" si="229"/>
        <v>0</v>
      </c>
      <c r="BB129" s="573">
        <f t="shared" si="230"/>
        <v>0</v>
      </c>
      <c r="BC129" s="573">
        <f t="shared" si="231"/>
        <v>0</v>
      </c>
      <c r="BD129" s="573">
        <f t="shared" si="232"/>
        <v>0</v>
      </c>
      <c r="BE129" s="573">
        <f t="shared" si="233"/>
        <v>0</v>
      </c>
      <c r="BF129" s="573">
        <f t="shared" si="234"/>
        <v>0</v>
      </c>
      <c r="BG129" s="573">
        <f t="shared" si="235"/>
        <v>0</v>
      </c>
      <c r="BH129" s="573">
        <f t="shared" si="236"/>
        <v>0</v>
      </c>
      <c r="BI129" s="573">
        <f t="shared" si="237"/>
        <v>0</v>
      </c>
      <c r="BJ129" s="573">
        <f t="shared" si="238"/>
        <v>0</v>
      </c>
      <c r="BL129" s="10">
        <f t="shared" si="215"/>
        <v>0</v>
      </c>
      <c r="BM129" s="10">
        <f t="shared" si="215"/>
        <v>0</v>
      </c>
      <c r="BN129" s="10">
        <f t="shared" si="215"/>
        <v>0</v>
      </c>
      <c r="BO129" s="10">
        <f t="shared" si="215"/>
        <v>0</v>
      </c>
      <c r="BP129" s="141"/>
      <c r="BQ129" s="141"/>
      <c r="BR129" s="141"/>
      <c r="BS129" s="141"/>
      <c r="BT129" s="141"/>
      <c r="BU129" s="141"/>
      <c r="BV129" s="141"/>
      <c r="BW129" s="141"/>
      <c r="BY129" s="12"/>
      <c r="BZ129" s="395">
        <f t="shared" si="216"/>
        <v>0</v>
      </c>
      <c r="CA129" s="12"/>
      <c r="CC129" s="7">
        <f t="shared" si="217"/>
        <v>0</v>
      </c>
      <c r="CD129" s="7">
        <f t="shared" si="218"/>
        <v>0</v>
      </c>
      <c r="CE129" s="7">
        <f t="shared" si="219"/>
        <v>0</v>
      </c>
      <c r="CF129" s="12"/>
      <c r="CG129" s="352">
        <f t="shared" si="220"/>
        <v>0</v>
      </c>
      <c r="CH129" s="352">
        <f t="shared" si="221"/>
        <v>0</v>
      </c>
      <c r="CI129" s="352">
        <f t="shared" si="222"/>
        <v>0</v>
      </c>
      <c r="CJ129" s="352">
        <f t="shared" si="223"/>
        <v>0</v>
      </c>
      <c r="CK129" s="352">
        <f t="shared" si="224"/>
        <v>0</v>
      </c>
      <c r="CL129" s="352">
        <f t="shared" si="225"/>
        <v>0</v>
      </c>
      <c r="CM129" s="352">
        <f t="shared" si="226"/>
        <v>0</v>
      </c>
      <c r="ER129" s="12"/>
      <c r="ES129" s="4">
        <v>1</v>
      </c>
      <c r="ET129" s="335">
        <v>1</v>
      </c>
      <c r="EX129" s="10" t="str">
        <f t="shared" si="135"/>
        <v>Other staff costs</v>
      </c>
    </row>
    <row r="130" spans="1:154" ht="36.6" customHeight="1" x14ac:dyDescent="0.25">
      <c r="A130" s="362" cm="1">
        <f t="array" aca="1" ref="A130" ca="1">HYPERLINK(CONCATENATE("#",CELL("address",IF(SUM($CA130:$CH130)=0,A130,INDEX($CA130:$CH130,MATCH(1,$CA130:$CH130,0))))),SUM($CA130:$CH130))</f>
        <v>0</v>
      </c>
      <c r="B130" s="170" t="s">
        <v>335</v>
      </c>
      <c r="C130" s="343" t="str">
        <f>CONCATENATE("M-", 'I&amp;E Annual'!C130)</f>
        <v>M-IE-2a-9</v>
      </c>
      <c r="D130" s="137" t="s">
        <v>867</v>
      </c>
      <c r="E130" s="470" t="str" cm="1">
        <f t="array" aca="1" ref="E130" ca="1">HYPERLINK(CONCATENATE("#",CELL("address",'BS Forecasts'!$D$182)),"LPGS Costs")</f>
        <v>LPGS Costs</v>
      </c>
      <c r="F130" s="470" t="str" cm="1">
        <f t="array" aca="1" ref="F130" ca="1">HYPERLINK(CONCATENATE("#",CELL("address",'BS Forecasts'!$D$205)),'BS Forecasts'!$D$203)</f>
        <v>Other Pension Provisions</v>
      </c>
      <c r="G130" s="470" t="str" cm="1">
        <f t="array" aca="1" ref="G130" ca="1">HYPERLINK(CONCATENATE("#",CELL("address",'BS Forecasts'!$D$207)),'BS Forecasts'!$D$203)</f>
        <v>Other Pension Provisions</v>
      </c>
      <c r="H130" s="335" t="s">
        <v>86</v>
      </c>
      <c r="I130" s="335"/>
      <c r="Q130" s="335"/>
      <c r="R130" s="335"/>
      <c r="S130" s="93"/>
      <c r="T130" s="25"/>
      <c r="U130" s="25"/>
      <c r="V130" s="10">
        <f>SUM('BS Forecasts'!V182:V186)+'BS Forecasts'!V205+'BS Forecasts'!V207</f>
        <v>0</v>
      </c>
      <c r="W130" s="10">
        <f>SUM('BS Forecasts'!W182:W186)+'BS Forecasts'!W205+'BS Forecasts'!W207</f>
        <v>0</v>
      </c>
      <c r="X130" s="10">
        <f>SUM('BS Forecasts'!X182:X186)+'BS Forecasts'!X205+'BS Forecasts'!X207</f>
        <v>0</v>
      </c>
      <c r="Y130" s="10">
        <f>SUM('BS Forecasts'!Y182:Y186)+'BS Forecasts'!Y205+'BS Forecasts'!Y207</f>
        <v>0</v>
      </c>
      <c r="Z130" s="335"/>
      <c r="AA130" s="10">
        <f>SUM('BS Forecasts'!AA182:AA186)+'BS Forecasts'!AA205+'BS Forecasts'!AA207</f>
        <v>0</v>
      </c>
      <c r="AB130" s="10">
        <f>SUM('BS Forecasts'!AB182:AB186)+'BS Forecasts'!AB205+'BS Forecasts'!AB207</f>
        <v>0</v>
      </c>
      <c r="AC130" s="10">
        <f>SUM('BS Forecasts'!AC182:AC186)+'BS Forecasts'!AC205+'BS Forecasts'!AC207</f>
        <v>0</v>
      </c>
      <c r="AD130" s="10">
        <f>SUM('BS Forecasts'!AD182:AD186)+'BS Forecasts'!AD205+'BS Forecasts'!AD207</f>
        <v>0</v>
      </c>
      <c r="AE130" s="10">
        <f>SUM('BS Forecasts'!AE182:AE186)+'BS Forecasts'!AE205+'BS Forecasts'!AE207</f>
        <v>0</v>
      </c>
      <c r="AF130" s="10">
        <f>SUM('BS Forecasts'!AF182:AF186)+'BS Forecasts'!AF205+'BS Forecasts'!AF207</f>
        <v>0</v>
      </c>
      <c r="AG130" s="10">
        <f>SUM('BS Forecasts'!AG182:AG186)+'BS Forecasts'!AG205+'BS Forecasts'!AG207</f>
        <v>0</v>
      </c>
      <c r="AH130" s="10">
        <f>SUM('BS Forecasts'!AH182:AH186)+'BS Forecasts'!AH205+'BS Forecasts'!AH207</f>
        <v>0</v>
      </c>
      <c r="AI130" s="10">
        <f>SUM('BS Forecasts'!AI182:AI186)+'BS Forecasts'!AI205+'BS Forecasts'!AI207</f>
        <v>0</v>
      </c>
      <c r="AJ130" s="10">
        <f>SUM('BS Forecasts'!AJ182:AJ186)+'BS Forecasts'!AJ205+'BS Forecasts'!AJ207</f>
        <v>0</v>
      </c>
      <c r="AK130" s="10">
        <f>SUM('BS Forecasts'!AK182:AK186)+'BS Forecasts'!AK205+'BS Forecasts'!AK207</f>
        <v>0</v>
      </c>
      <c r="AL130" s="10">
        <f>SUM('BS Forecasts'!AL182:AL186)+'BS Forecasts'!AL205+'BS Forecasts'!AL207</f>
        <v>0</v>
      </c>
      <c r="AM130" s="10">
        <f>SUM('BS Forecasts'!AM182:AM186)+'BS Forecasts'!AM205+'BS Forecasts'!AM207</f>
        <v>0</v>
      </c>
      <c r="AN130" s="10">
        <f>SUM('BS Forecasts'!AN182:AN186)+'BS Forecasts'!AN205+'BS Forecasts'!AN207</f>
        <v>0</v>
      </c>
      <c r="AO130" s="10">
        <f>SUM('BS Forecasts'!AO182:AO186)+'BS Forecasts'!AO205+'BS Forecasts'!AO207</f>
        <v>0</v>
      </c>
      <c r="AP130" s="10">
        <f>SUM('BS Forecasts'!AP182:AP186)+'BS Forecasts'!AP205+'BS Forecasts'!AP207</f>
        <v>0</v>
      </c>
      <c r="AQ130" s="10">
        <f>SUM('BS Forecasts'!AQ182:AQ186)+'BS Forecasts'!AQ205+'BS Forecasts'!AQ207</f>
        <v>0</v>
      </c>
      <c r="AR130" s="10">
        <f>SUM('BS Forecasts'!AR182:AR186)+'BS Forecasts'!AR205+'BS Forecasts'!AR207</f>
        <v>0</v>
      </c>
      <c r="AS130" s="10">
        <f>SUM('BS Forecasts'!AS182:AS186)+'BS Forecasts'!AS205+'BS Forecasts'!AS207</f>
        <v>0</v>
      </c>
      <c r="AT130" s="10">
        <f>SUM('BS Forecasts'!AT182:AT186)+'BS Forecasts'!AT205+'BS Forecasts'!AT207</f>
        <v>0</v>
      </c>
      <c r="AU130" s="10">
        <f>SUM('BS Forecasts'!AU182:AU186)+'BS Forecasts'!AU205+'BS Forecasts'!AU207</f>
        <v>0</v>
      </c>
      <c r="AV130" s="10">
        <f>SUM('BS Forecasts'!AV182:AV186)+'BS Forecasts'!AV205+'BS Forecasts'!AV207</f>
        <v>0</v>
      </c>
      <c r="AW130" s="10">
        <f>SUM('BS Forecasts'!AW182:AW186)+'BS Forecasts'!AW205+'BS Forecasts'!AW207</f>
        <v>0</v>
      </c>
      <c r="AX130" s="10">
        <f>SUM('BS Forecasts'!AX182:AX186)+'BS Forecasts'!AX205+'BS Forecasts'!AX207</f>
        <v>0</v>
      </c>
      <c r="AY130" s="10">
        <f>SUM('BS Forecasts'!AY182:AY186)+'BS Forecasts'!AY205+'BS Forecasts'!AY207</f>
        <v>0</v>
      </c>
      <c r="AZ130" s="10">
        <f>SUM('BS Forecasts'!AZ182:AZ186)+'BS Forecasts'!AZ205+'BS Forecasts'!AZ207</f>
        <v>0</v>
      </c>
      <c r="BA130" s="10">
        <f>SUM('BS Forecasts'!BA182:BA186)+'BS Forecasts'!BA205+'BS Forecasts'!BA207</f>
        <v>0</v>
      </c>
      <c r="BB130" s="10">
        <f>SUM('BS Forecasts'!BB182:BB186)+'BS Forecasts'!BB205+'BS Forecasts'!BB207</f>
        <v>0</v>
      </c>
      <c r="BC130" s="10">
        <f>SUM('BS Forecasts'!BC182:BC186)+'BS Forecasts'!BC205+'BS Forecasts'!BC207</f>
        <v>0</v>
      </c>
      <c r="BD130" s="10">
        <f>SUM('BS Forecasts'!BD182:BD186)+'BS Forecasts'!BD205+'BS Forecasts'!BD207</f>
        <v>0</v>
      </c>
      <c r="BE130" s="10">
        <f>SUM('BS Forecasts'!BE182:BE186)+'BS Forecasts'!BE205+'BS Forecasts'!BE207</f>
        <v>0</v>
      </c>
      <c r="BF130" s="10">
        <f>SUM('BS Forecasts'!BF182:BF186)+'BS Forecasts'!BF205+'BS Forecasts'!BF207</f>
        <v>0</v>
      </c>
      <c r="BG130" s="10">
        <f>SUM('BS Forecasts'!BG182:BG186)+'BS Forecasts'!BG205+'BS Forecasts'!BG207</f>
        <v>0</v>
      </c>
      <c r="BH130" s="10">
        <f>SUM('BS Forecasts'!BH182:BH186)+'BS Forecasts'!BH205+'BS Forecasts'!BH207</f>
        <v>0</v>
      </c>
      <c r="BI130" s="10">
        <f>SUM('BS Forecasts'!BI182:BI186)+'BS Forecasts'!BI205+'BS Forecasts'!BI207</f>
        <v>0</v>
      </c>
      <c r="BJ130" s="10">
        <f>SUM('BS Forecasts'!BJ182:BJ186)+'BS Forecasts'!BJ205+'BS Forecasts'!BJ207</f>
        <v>0</v>
      </c>
      <c r="BK130" s="335"/>
      <c r="BL130" s="10">
        <f>SUM('BS Forecasts'!BL182:BL186)+'BS Forecasts'!BL205+'BS Forecasts'!BL207</f>
        <v>0</v>
      </c>
      <c r="BM130" s="10">
        <f>SUM('BS Forecasts'!BM182:BM186)+'BS Forecasts'!BM205+'BS Forecasts'!BM207</f>
        <v>0</v>
      </c>
      <c r="BN130" s="10">
        <f>SUM('BS Forecasts'!BN182:BN186)+'BS Forecasts'!BN205+'BS Forecasts'!BN207</f>
        <v>0</v>
      </c>
      <c r="BO130" s="10">
        <f>SUM('BS Forecasts'!BO182:BO186)+'BS Forecasts'!BO205+'BS Forecasts'!BO207</f>
        <v>0</v>
      </c>
      <c r="BP130" s="10">
        <f>SUM('BS Forecasts'!BP182:BP186)+'BS Forecasts'!BP205+'BS Forecasts'!BP207</f>
        <v>0</v>
      </c>
      <c r="BQ130" s="10">
        <f>SUM('BS Forecasts'!BQ182:BQ186)+'BS Forecasts'!BQ205+'BS Forecasts'!BQ207</f>
        <v>0</v>
      </c>
      <c r="BR130" s="10">
        <f>SUM('BS Forecasts'!BR182:BR186)+'BS Forecasts'!BR205+'BS Forecasts'!BR207</f>
        <v>0</v>
      </c>
      <c r="BS130" s="10">
        <f>SUM('BS Forecasts'!BS182:BS186)+'BS Forecasts'!BS205+'BS Forecasts'!BS207</f>
        <v>0</v>
      </c>
      <c r="BT130" s="10">
        <f>SUM('BS Forecasts'!BT182:BT186)+'BS Forecasts'!BT205+'BS Forecasts'!BT207</f>
        <v>0</v>
      </c>
      <c r="BU130" s="10">
        <f>SUM('BS Forecasts'!BU182:BU186)+'BS Forecasts'!BU205+'BS Forecasts'!BU207</f>
        <v>0</v>
      </c>
      <c r="BV130" s="10">
        <f>SUM('BS Forecasts'!BV182:BV186)+'BS Forecasts'!BV205+'BS Forecasts'!BV207</f>
        <v>0</v>
      </c>
      <c r="BW130" s="10">
        <f>SUM('BS Forecasts'!BW182:BW186)+'BS Forecasts'!BW205+'BS Forecasts'!BW207</f>
        <v>0</v>
      </c>
      <c r="BY130" s="12"/>
      <c r="CA130" s="12"/>
      <c r="CC130" s="7">
        <f t="shared" si="217"/>
        <v>0</v>
      </c>
      <c r="CD130" s="7">
        <f t="shared" si="218"/>
        <v>0</v>
      </c>
      <c r="CE130" s="7">
        <f t="shared" si="219"/>
        <v>0</v>
      </c>
      <c r="CF130" s="12"/>
      <c r="CG130" s="352">
        <f t="shared" si="220"/>
        <v>0</v>
      </c>
      <c r="CH130" s="352">
        <f t="shared" si="221"/>
        <v>0</v>
      </c>
      <c r="CI130" s="352">
        <f t="shared" si="222"/>
        <v>0</v>
      </c>
      <c r="CJ130" s="352">
        <f t="shared" si="223"/>
        <v>0</v>
      </c>
      <c r="CK130" s="352">
        <f t="shared" si="224"/>
        <v>0</v>
      </c>
      <c r="CL130" s="352">
        <f t="shared" si="225"/>
        <v>0</v>
      </c>
      <c r="CM130" s="352">
        <f t="shared" si="226"/>
        <v>0</v>
      </c>
      <c r="ER130" s="12"/>
      <c r="ES130">
        <v>0</v>
      </c>
      <c r="ET130" s="335">
        <v>0</v>
      </c>
      <c r="EX130" s="10" t="str">
        <f t="shared" si="135"/>
        <v>FRS102 adj. - LGPS and EPP current service costs (non-cash)</v>
      </c>
    </row>
    <row r="131" spans="1:154" s="67" customFormat="1" hidden="1" x14ac:dyDescent="0.25">
      <c r="A131" s="362" cm="1">
        <f t="array" aca="1" ref="A131" ca="1">HYPERLINK(CONCATENATE("#",CELL("address",IF(SUM($CA131:$CH131)=0,A131,INDEX($CA131:$CH131,MATCH(1,$CA131:$CH131,0))))),SUM($CA131:$CH131))</f>
        <v>0</v>
      </c>
      <c r="C131" s="383"/>
      <c r="D131" s="132" t="s">
        <v>2316</v>
      </c>
      <c r="E131" s="335"/>
      <c r="G131" s="335"/>
      <c r="I131" s="335"/>
      <c r="Q131" s="335"/>
      <c r="R131" s="335"/>
      <c r="S131" s="93"/>
      <c r="T131" s="25"/>
      <c r="U131" s="25"/>
      <c r="V131" s="136"/>
      <c r="W131" s="136"/>
      <c r="X131" s="136"/>
      <c r="Y131" s="136"/>
      <c r="Z131" s="93"/>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93"/>
      <c r="BL131" s="136"/>
      <c r="BM131" s="136"/>
      <c r="BN131" s="136"/>
      <c r="BO131" s="136"/>
      <c r="BP131" s="136"/>
      <c r="BQ131" s="136"/>
      <c r="BR131" s="136"/>
      <c r="BS131" s="136"/>
      <c r="BT131" s="136"/>
      <c r="BU131" s="136"/>
      <c r="BV131" s="136"/>
      <c r="BW131" s="136"/>
      <c r="BY131" s="12"/>
      <c r="BZ131" s="395">
        <f t="shared" si="216"/>
        <v>0</v>
      </c>
      <c r="CA131" s="12"/>
      <c r="CC131" s="7">
        <f t="shared" si="217"/>
        <v>0</v>
      </c>
      <c r="CD131" s="7">
        <f t="shared" si="218"/>
        <v>0</v>
      </c>
      <c r="CE131" s="7">
        <f t="shared" si="219"/>
        <v>0</v>
      </c>
      <c r="CF131" s="12"/>
      <c r="CG131" s="352">
        <f t="shared" si="220"/>
        <v>0</v>
      </c>
      <c r="CH131" s="352">
        <f t="shared" si="221"/>
        <v>0</v>
      </c>
      <c r="CI131" s="352">
        <f t="shared" si="222"/>
        <v>0</v>
      </c>
      <c r="CJ131" s="352">
        <f t="shared" si="223"/>
        <v>0</v>
      </c>
      <c r="CK131" s="352">
        <f t="shared" si="224"/>
        <v>0</v>
      </c>
      <c r="CL131" s="352">
        <f t="shared" si="225"/>
        <v>0</v>
      </c>
      <c r="CM131" s="352">
        <f t="shared" si="226"/>
        <v>0</v>
      </c>
      <c r="ER131" s="12"/>
      <c r="ES131" s="67">
        <v>1</v>
      </c>
      <c r="ET131" s="335">
        <v>1</v>
      </c>
      <c r="EU131" s="335"/>
      <c r="EV131" s="335"/>
      <c r="EX131" s="10" t="str">
        <f t="shared" si="135"/>
        <v/>
      </c>
    </row>
    <row r="132" spans="1:154" s="67" customFormat="1" hidden="1" x14ac:dyDescent="0.25">
      <c r="A132" s="362" cm="1">
        <f t="array" aca="1" ref="A132" ca="1">HYPERLINK(CONCATENATE("#",CELL("address",IF(SUM($CA132:$CH132)=0,A132,INDEX($CA132:$CH132,MATCH(1,$CA132:$CH132,0))))),SUM($CA132:$CH132))</f>
        <v>0</v>
      </c>
      <c r="B132" s="335"/>
      <c r="C132" s="383"/>
      <c r="D132" s="132" t="s">
        <v>2316</v>
      </c>
      <c r="E132" s="335"/>
      <c r="G132" s="8"/>
      <c r="I132" s="335"/>
      <c r="Q132" s="335"/>
      <c r="R132" s="335"/>
      <c r="S132" s="93"/>
      <c r="T132" s="25"/>
      <c r="U132" s="25"/>
      <c r="V132" s="136"/>
      <c r="W132" s="136"/>
      <c r="X132" s="136"/>
      <c r="Y132" s="136"/>
      <c r="Z132" s="93"/>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93"/>
      <c r="BL132" s="136"/>
      <c r="BM132" s="136"/>
      <c r="BN132" s="136"/>
      <c r="BO132" s="136"/>
      <c r="BP132" s="136"/>
      <c r="BQ132" s="136"/>
      <c r="BR132" s="136"/>
      <c r="BS132" s="136"/>
      <c r="BT132" s="136"/>
      <c r="BU132" s="136"/>
      <c r="BV132" s="136"/>
      <c r="BW132" s="136"/>
      <c r="BY132" s="12"/>
      <c r="BZ132" s="395">
        <f t="shared" si="216"/>
        <v>0</v>
      </c>
      <c r="CA132" s="12"/>
      <c r="CC132" s="7">
        <f t="shared" si="217"/>
        <v>0</v>
      </c>
      <c r="CD132" s="7">
        <f t="shared" si="218"/>
        <v>0</v>
      </c>
      <c r="CE132" s="7">
        <f t="shared" si="219"/>
        <v>0</v>
      </c>
      <c r="CF132" s="12"/>
      <c r="CG132" s="352">
        <f t="shared" si="220"/>
        <v>0</v>
      </c>
      <c r="CH132" s="352">
        <f t="shared" si="221"/>
        <v>0</v>
      </c>
      <c r="CI132" s="352">
        <f t="shared" si="222"/>
        <v>0</v>
      </c>
      <c r="CJ132" s="352">
        <f t="shared" si="223"/>
        <v>0</v>
      </c>
      <c r="CK132" s="352">
        <f t="shared" si="224"/>
        <v>0</v>
      </c>
      <c r="CL132" s="352">
        <f t="shared" si="225"/>
        <v>0</v>
      </c>
      <c r="CM132" s="352">
        <f t="shared" si="226"/>
        <v>0</v>
      </c>
      <c r="ER132" s="12"/>
      <c r="ES132" s="67">
        <v>1</v>
      </c>
      <c r="ET132" s="335">
        <v>1</v>
      </c>
      <c r="EU132" s="335"/>
      <c r="EV132" s="335"/>
      <c r="EX132" s="10" t="str">
        <f t="shared" si="135"/>
        <v/>
      </c>
    </row>
    <row r="133" spans="1:154" s="67" customFormat="1" hidden="1" x14ac:dyDescent="0.25">
      <c r="A133" s="362" cm="1">
        <f t="array" aca="1" ref="A133" ca="1">HYPERLINK(CONCATENATE("#",CELL("address",IF(SUM($CA133:$CH133)=0,A133,INDEX($CA133:$CH133,MATCH(1,$CA133:$CH133,0))))),SUM($CA133:$CH133))</f>
        <v>0</v>
      </c>
      <c r="C133" s="383"/>
      <c r="D133" s="132" t="s">
        <v>2316</v>
      </c>
      <c r="E133" s="335"/>
      <c r="F133" s="335"/>
      <c r="G133" s="8"/>
      <c r="I133" s="335"/>
      <c r="Q133" s="335"/>
      <c r="R133" s="335"/>
      <c r="S133" s="93"/>
      <c r="T133" s="25"/>
      <c r="U133" s="25"/>
      <c r="V133" s="349"/>
      <c r="W133" s="349"/>
      <c r="X133" s="349"/>
      <c r="Y133" s="349"/>
      <c r="Z133" s="93"/>
      <c r="AA133" s="349"/>
      <c r="AB133" s="349"/>
      <c r="AC133" s="349"/>
      <c r="AD133" s="349"/>
      <c r="AE133" s="349"/>
      <c r="AF133" s="349"/>
      <c r="AG133" s="349"/>
      <c r="AH133" s="349"/>
      <c r="AI133" s="349"/>
      <c r="AJ133" s="349"/>
      <c r="AK133" s="349"/>
      <c r="AL133" s="349"/>
      <c r="AM133" s="349"/>
      <c r="AN133" s="349"/>
      <c r="AO133" s="349"/>
      <c r="AP133" s="349"/>
      <c r="AQ133" s="349"/>
      <c r="AR133" s="349"/>
      <c r="AS133" s="349"/>
      <c r="AT133" s="349"/>
      <c r="AU133" s="349"/>
      <c r="AV133" s="349"/>
      <c r="AW133" s="349"/>
      <c r="AX133" s="349"/>
      <c r="AY133" s="349"/>
      <c r="AZ133" s="349"/>
      <c r="BA133" s="349"/>
      <c r="BB133" s="349"/>
      <c r="BC133" s="349"/>
      <c r="BD133" s="349"/>
      <c r="BE133" s="349"/>
      <c r="BF133" s="349"/>
      <c r="BG133" s="349"/>
      <c r="BH133" s="349"/>
      <c r="BI133" s="349"/>
      <c r="BJ133" s="349"/>
      <c r="BK133" s="93"/>
      <c r="BL133" s="349"/>
      <c r="BM133" s="349"/>
      <c r="BN133" s="349"/>
      <c r="BO133" s="349"/>
      <c r="BP133" s="349"/>
      <c r="BQ133" s="349"/>
      <c r="BR133" s="349"/>
      <c r="BS133" s="349"/>
      <c r="BT133" s="349"/>
      <c r="BU133" s="349"/>
      <c r="BV133" s="349"/>
      <c r="BW133" s="349"/>
      <c r="BY133" s="12"/>
      <c r="BZ133" s="395">
        <f t="shared" si="216"/>
        <v>0</v>
      </c>
      <c r="CA133" s="12"/>
      <c r="CC133" s="7">
        <f t="shared" si="217"/>
        <v>0</v>
      </c>
      <c r="CD133" s="7">
        <f t="shared" si="218"/>
        <v>0</v>
      </c>
      <c r="CE133" s="7">
        <f t="shared" si="219"/>
        <v>0</v>
      </c>
      <c r="CF133" s="12"/>
      <c r="CG133" s="352">
        <f t="shared" si="220"/>
        <v>0</v>
      </c>
      <c r="CH133" s="352">
        <f t="shared" si="221"/>
        <v>0</v>
      </c>
      <c r="CI133" s="352">
        <f t="shared" si="222"/>
        <v>0</v>
      </c>
      <c r="CJ133" s="352">
        <f t="shared" si="223"/>
        <v>0</v>
      </c>
      <c r="CK133" s="352">
        <f t="shared" si="224"/>
        <v>0</v>
      </c>
      <c r="CL133" s="352">
        <f t="shared" si="225"/>
        <v>0</v>
      </c>
      <c r="CM133" s="352">
        <f t="shared" si="226"/>
        <v>0</v>
      </c>
      <c r="ER133" s="12"/>
      <c r="ES133" s="67">
        <v>1</v>
      </c>
      <c r="ET133" s="335">
        <v>1</v>
      </c>
      <c r="EU133" s="335"/>
      <c r="EV133" s="335"/>
      <c r="EX133" s="10" t="str">
        <f t="shared" si="135"/>
        <v/>
      </c>
    </row>
    <row r="134" spans="1:154" x14ac:dyDescent="0.25">
      <c r="A134" s="362" cm="1">
        <f t="array" aca="1" ref="A134" ca="1">HYPERLINK(CONCATENATE("#",CELL("address",IF(SUM($CA134:$CH134)=0,A134,INDEX($CA134:$CH134,MATCH(1,$CA134:$CH134,0))))),SUM($CA134:$CH134))</f>
        <v>0</v>
      </c>
      <c r="B134" s="335"/>
      <c r="C134" s="343" t="str">
        <f>CONCATENATE("M-", 'I&amp;E Annual'!C134)</f>
        <v>M-IE-2a</v>
      </c>
      <c r="D134" s="133" t="s">
        <v>645</v>
      </c>
      <c r="E134" s="5"/>
      <c r="G134" s="5"/>
      <c r="I134" s="335"/>
      <c r="Q134" s="335"/>
      <c r="R134" s="335"/>
      <c r="S134" s="93"/>
      <c r="T134" s="25"/>
      <c r="U134" s="25"/>
      <c r="V134" s="152">
        <f>SUM(V122:V133)</f>
        <v>0</v>
      </c>
      <c r="W134" s="152">
        <f>SUM(W122:W133)</f>
        <v>17308</v>
      </c>
      <c r="X134" s="152">
        <f>SUM(X122:X133)</f>
        <v>18061</v>
      </c>
      <c r="Y134" s="152">
        <f>SUM(Y122:Y133)</f>
        <v>18645.304999999997</v>
      </c>
      <c r="Z134" s="93"/>
      <c r="AA134" s="152">
        <f>SUM(AA122:AA133)</f>
        <v>1327</v>
      </c>
      <c r="AB134" s="152">
        <f t="shared" ref="AB134:BJ134" si="240">SUM(AB122:AB133)</f>
        <v>1356</v>
      </c>
      <c r="AC134" s="152">
        <f t="shared" si="240"/>
        <v>1462</v>
      </c>
      <c r="AD134" s="152">
        <f t="shared" si="240"/>
        <v>1453</v>
      </c>
      <c r="AE134" s="152">
        <f t="shared" si="240"/>
        <v>1482</v>
      </c>
      <c r="AF134" s="152">
        <f t="shared" si="240"/>
        <v>1451</v>
      </c>
      <c r="AG134" s="152">
        <f t="shared" si="240"/>
        <v>1407</v>
      </c>
      <c r="AH134" s="152">
        <f t="shared" si="240"/>
        <v>1437</v>
      </c>
      <c r="AI134" s="152">
        <f t="shared" si="240"/>
        <v>1549</v>
      </c>
      <c r="AJ134" s="152">
        <f t="shared" si="240"/>
        <v>1457</v>
      </c>
      <c r="AK134" s="152">
        <f t="shared" si="240"/>
        <v>1478</v>
      </c>
      <c r="AL134" s="152">
        <f t="shared" si="240"/>
        <v>1449</v>
      </c>
      <c r="AM134" s="152">
        <f t="shared" si="240"/>
        <v>1390</v>
      </c>
      <c r="AN134" s="152">
        <f t="shared" si="240"/>
        <v>1419</v>
      </c>
      <c r="AO134" s="152">
        <f t="shared" si="240"/>
        <v>1525</v>
      </c>
      <c r="AP134" s="152">
        <f t="shared" si="240"/>
        <v>1516</v>
      </c>
      <c r="AQ134" s="152">
        <f t="shared" si="240"/>
        <v>1545</v>
      </c>
      <c r="AR134" s="152">
        <f t="shared" si="240"/>
        <v>1522</v>
      </c>
      <c r="AS134" s="152">
        <f t="shared" si="240"/>
        <v>1478</v>
      </c>
      <c r="AT134" s="152">
        <f t="shared" si="240"/>
        <v>1510</v>
      </c>
      <c r="AU134" s="152">
        <f t="shared" si="240"/>
        <v>1581</v>
      </c>
      <c r="AV134" s="152">
        <f t="shared" si="240"/>
        <v>1520</v>
      </c>
      <c r="AW134" s="152">
        <f t="shared" si="240"/>
        <v>1542</v>
      </c>
      <c r="AX134" s="152">
        <f t="shared" si="240"/>
        <v>1513</v>
      </c>
      <c r="AY134" s="152">
        <f t="shared" si="240"/>
        <v>1434.6850000000002</v>
      </c>
      <c r="AZ134" s="152">
        <f t="shared" si="240"/>
        <v>1464.8150000000001</v>
      </c>
      <c r="BA134" s="152">
        <f t="shared" si="240"/>
        <v>1574.41</v>
      </c>
      <c r="BB134" s="152">
        <f t="shared" si="240"/>
        <v>1564.99</v>
      </c>
      <c r="BC134" s="152">
        <f t="shared" si="240"/>
        <v>1595.0049999999999</v>
      </c>
      <c r="BD134" s="152">
        <f t="shared" si="240"/>
        <v>1571.2450000000003</v>
      </c>
      <c r="BE134" s="152">
        <f t="shared" si="240"/>
        <v>1525.7000000000003</v>
      </c>
      <c r="BF134" s="152">
        <f t="shared" si="240"/>
        <v>1558.7950000000001</v>
      </c>
      <c r="BG134" s="152">
        <f t="shared" si="240"/>
        <v>1632.3050000000001</v>
      </c>
      <c r="BH134" s="152">
        <f t="shared" si="240"/>
        <v>1569.2349999999999</v>
      </c>
      <c r="BI134" s="152">
        <f t="shared" si="240"/>
        <v>1592.0450000000001</v>
      </c>
      <c r="BJ134" s="152">
        <f t="shared" si="240"/>
        <v>1562.075</v>
      </c>
      <c r="BK134" s="93"/>
      <c r="BL134" s="152">
        <f t="shared" ref="BL134:BW134" si="241">SUM(BL122:BL133)</f>
        <v>0</v>
      </c>
      <c r="BM134" s="152">
        <f t="shared" si="241"/>
        <v>17308</v>
      </c>
      <c r="BN134" s="152">
        <f t="shared" si="241"/>
        <v>18061</v>
      </c>
      <c r="BO134" s="152">
        <f t="shared" si="241"/>
        <v>18645.304999999997</v>
      </c>
      <c r="BP134" s="152">
        <f t="shared" si="241"/>
        <v>0</v>
      </c>
      <c r="BQ134" s="152">
        <f t="shared" si="241"/>
        <v>0</v>
      </c>
      <c r="BR134" s="152">
        <f t="shared" si="241"/>
        <v>0</v>
      </c>
      <c r="BS134" s="152">
        <f t="shared" si="241"/>
        <v>0</v>
      </c>
      <c r="BT134" s="152">
        <f t="shared" si="241"/>
        <v>0</v>
      </c>
      <c r="BU134" s="152">
        <f t="shared" si="241"/>
        <v>0</v>
      </c>
      <c r="BV134" s="152">
        <f t="shared" si="241"/>
        <v>0</v>
      </c>
      <c r="BW134" s="152">
        <f t="shared" si="241"/>
        <v>0</v>
      </c>
      <c r="BX134" s="335"/>
      <c r="BY134" s="12"/>
      <c r="CA134" s="12"/>
      <c r="CC134" s="7">
        <f t="shared" si="217"/>
        <v>0</v>
      </c>
      <c r="CD134" s="7">
        <f t="shared" si="218"/>
        <v>0</v>
      </c>
      <c r="CE134" s="7">
        <f t="shared" si="219"/>
        <v>0</v>
      </c>
      <c r="CF134" s="12"/>
      <c r="CG134" s="352">
        <f t="shared" si="220"/>
        <v>0</v>
      </c>
      <c r="CH134" s="352">
        <f t="shared" si="221"/>
        <v>0</v>
      </c>
      <c r="CI134" s="352">
        <f t="shared" si="222"/>
        <v>0</v>
      </c>
      <c r="CJ134" s="352">
        <f t="shared" si="223"/>
        <v>0</v>
      </c>
      <c r="CK134" s="352">
        <f t="shared" si="224"/>
        <v>0</v>
      </c>
      <c r="CL134" s="352">
        <f t="shared" si="225"/>
        <v>0</v>
      </c>
      <c r="CM134" s="352">
        <f t="shared" si="226"/>
        <v>0</v>
      </c>
      <c r="ER134" s="12"/>
      <c r="ES134">
        <v>0</v>
      </c>
      <c r="ET134" s="335">
        <v>0</v>
      </c>
      <c r="EX134" s="10" t="str">
        <f t="shared" si="135"/>
        <v>Total Staff Costs (excl. restructuring)</v>
      </c>
    </row>
    <row r="135" spans="1:154" s="11" customFormat="1" ht="12" customHeight="1" x14ac:dyDescent="0.25">
      <c r="A135" s="335"/>
      <c r="C135" s="383"/>
      <c r="D135" s="69"/>
      <c r="E135" s="335"/>
      <c r="F135" s="335"/>
      <c r="I135" s="335"/>
      <c r="Q135" s="335"/>
      <c r="R135" s="335"/>
      <c r="S135" s="335"/>
      <c r="T135" s="25"/>
      <c r="U135" s="25"/>
      <c r="V135" s="25"/>
      <c r="W135" s="25"/>
      <c r="X135" s="25"/>
      <c r="Y135" s="25"/>
      <c r="Z135" s="93"/>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L135" s="25"/>
      <c r="BM135" s="155"/>
      <c r="BN135" s="25"/>
      <c r="BO135" s="25"/>
      <c r="BP135" s="25"/>
      <c r="BQ135" s="25"/>
      <c r="BR135" s="25"/>
      <c r="BS135" s="25"/>
      <c r="BT135" s="25"/>
      <c r="BU135" s="25"/>
      <c r="BV135" s="25"/>
      <c r="BW135" s="25"/>
      <c r="BY135" s="42"/>
      <c r="BZ135" s="162"/>
      <c r="CA135" s="42"/>
      <c r="CC135" s="335"/>
      <c r="CD135" s="335"/>
      <c r="CE135" s="335"/>
      <c r="CF135" s="42"/>
      <c r="CG135" s="335"/>
      <c r="CH135" s="335"/>
      <c r="CI135" s="335"/>
      <c r="CJ135" s="335"/>
      <c r="CK135" s="335"/>
      <c r="CL135" s="335"/>
      <c r="CM135" s="335"/>
      <c r="ER135" s="42"/>
      <c r="ES135" s="11">
        <v>0</v>
      </c>
      <c r="ET135" s="335">
        <v>0</v>
      </c>
      <c r="EU135" s="335"/>
      <c r="EV135" s="335"/>
      <c r="EX135" s="10" t="str">
        <f t="shared" ref="EX135:EX199" si="242">IF($C135="","",$D135)</f>
        <v/>
      </c>
    </row>
    <row r="136" spans="1:154" x14ac:dyDescent="0.25">
      <c r="A136" s="335"/>
      <c r="B136" s="82"/>
      <c r="C136" s="383"/>
      <c r="D136" s="133" t="s">
        <v>55</v>
      </c>
      <c r="E136" s="5"/>
      <c r="F136" s="335"/>
      <c r="H136" s="335"/>
      <c r="I136" s="335"/>
      <c r="Q136" s="335"/>
      <c r="R136" s="335"/>
      <c r="S136" s="335"/>
      <c r="T136" s="25"/>
      <c r="U136" s="25"/>
      <c r="V136" s="25"/>
      <c r="W136" s="25"/>
      <c r="X136" s="25"/>
      <c r="Y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L136" s="25"/>
      <c r="BM136" s="25"/>
      <c r="BN136" s="25"/>
      <c r="BO136" s="25"/>
      <c r="BP136" s="25"/>
      <c r="BQ136" s="25"/>
      <c r="BR136" s="25"/>
      <c r="BS136" s="25"/>
      <c r="BT136" s="25"/>
      <c r="BU136" s="25"/>
      <c r="BV136" s="25"/>
      <c r="BW136" s="25"/>
      <c r="BY136" s="12"/>
      <c r="CA136" s="12"/>
      <c r="CF136" s="12"/>
      <c r="ER136" s="12"/>
      <c r="ES136">
        <v>0</v>
      </c>
      <c r="ET136" s="335">
        <v>0</v>
      </c>
      <c r="EX136" s="10" t="str">
        <f t="shared" si="242"/>
        <v/>
      </c>
    </row>
    <row r="137" spans="1:154" ht="15.75" x14ac:dyDescent="0.3">
      <c r="A137" s="362" cm="1">
        <f t="array" aca="1" ref="A137" ca="1">HYPERLINK(CONCATENATE("#",CELL("address",IF(SUM($CA137:$CH137)=0,A137,INDEX($CA137:$CH137,MATCH(1,$CA137:$CH137,0))))),SUM($CA137:$CH137))</f>
        <v>0</v>
      </c>
      <c r="B137" s="105" t="s">
        <v>335</v>
      </c>
      <c r="C137" s="343" t="str">
        <f>CONCATENATE("M-", 'I&amp;E Annual'!C137)</f>
        <v>M-IE-2b-1</v>
      </c>
      <c r="D137" s="132" t="s">
        <v>56</v>
      </c>
      <c r="H137" t="s">
        <v>86</v>
      </c>
      <c r="I137" s="335"/>
      <c r="Q137" s="335"/>
      <c r="R137" s="335"/>
      <c r="S137" s="335"/>
      <c r="T137" s="25"/>
      <c r="U137" s="25"/>
      <c r="V137" s="141"/>
      <c r="W137" s="215">
        <f t="shared" ref="W137:Y146" si="243" xml:space="preserve"> SUMIFS($AA137:$BJ137, $AA$3:$BJ$3, W$3)</f>
        <v>4281</v>
      </c>
      <c r="X137" s="215">
        <f t="shared" si="243"/>
        <v>4412</v>
      </c>
      <c r="Y137" s="215">
        <f t="shared" si="243"/>
        <v>4544.3599999999997</v>
      </c>
      <c r="AA137" s="372">
        <v>200</v>
      </c>
      <c r="AB137" s="372">
        <v>300</v>
      </c>
      <c r="AC137" s="372">
        <v>394</v>
      </c>
      <c r="AD137" s="372">
        <v>350</v>
      </c>
      <c r="AE137" s="372">
        <v>252</v>
      </c>
      <c r="AF137" s="372">
        <v>393</v>
      </c>
      <c r="AG137" s="372">
        <v>156</v>
      </c>
      <c r="AH137" s="372">
        <v>400</v>
      </c>
      <c r="AI137" s="372">
        <v>397</v>
      </c>
      <c r="AJ137" s="372">
        <v>559</v>
      </c>
      <c r="AK137" s="372">
        <v>500</v>
      </c>
      <c r="AL137" s="372">
        <f>500-120</f>
        <v>380</v>
      </c>
      <c r="AM137" s="572">
        <v>200</v>
      </c>
      <c r="AN137" s="572">
        <v>300</v>
      </c>
      <c r="AO137" s="572">
        <v>394</v>
      </c>
      <c r="AP137" s="572">
        <v>350</v>
      </c>
      <c r="AQ137" s="572">
        <v>302</v>
      </c>
      <c r="AR137" s="572">
        <v>393</v>
      </c>
      <c r="AS137" s="572">
        <v>350</v>
      </c>
      <c r="AT137" s="572">
        <v>400</v>
      </c>
      <c r="AU137" s="572">
        <v>397</v>
      </c>
      <c r="AV137" s="572">
        <v>509</v>
      </c>
      <c r="AW137" s="572">
        <v>437</v>
      </c>
      <c r="AX137" s="572">
        <f>500-120</f>
        <v>380</v>
      </c>
      <c r="AY137" s="372">
        <f>AM137*1.03</f>
        <v>206</v>
      </c>
      <c r="AZ137" s="573">
        <f t="shared" ref="AZ137:BJ137" si="244">AN137*1.03</f>
        <v>309</v>
      </c>
      <c r="BA137" s="573">
        <f t="shared" si="244"/>
        <v>405.82</v>
      </c>
      <c r="BB137" s="573">
        <f t="shared" si="244"/>
        <v>360.5</v>
      </c>
      <c r="BC137" s="573">
        <f t="shared" si="244"/>
        <v>311.06</v>
      </c>
      <c r="BD137" s="573">
        <f t="shared" si="244"/>
        <v>404.79</v>
      </c>
      <c r="BE137" s="573">
        <f t="shared" si="244"/>
        <v>360.5</v>
      </c>
      <c r="BF137" s="573">
        <f t="shared" si="244"/>
        <v>412</v>
      </c>
      <c r="BG137" s="573">
        <f t="shared" si="244"/>
        <v>408.91</v>
      </c>
      <c r="BH137" s="573">
        <f t="shared" si="244"/>
        <v>524.27</v>
      </c>
      <c r="BI137" s="573">
        <f t="shared" si="244"/>
        <v>450.11</v>
      </c>
      <c r="BJ137" s="573">
        <f t="shared" si="244"/>
        <v>391.40000000000003</v>
      </c>
      <c r="BL137" s="10">
        <f t="shared" ref="BL137:BL146" si="245">V137</f>
        <v>0</v>
      </c>
      <c r="BM137" s="10">
        <f t="shared" ref="BM137:BM146" si="246">W137</f>
        <v>4281</v>
      </c>
      <c r="BN137" s="10">
        <f t="shared" ref="BN137:BN146" si="247">X137</f>
        <v>4412</v>
      </c>
      <c r="BO137" s="10">
        <f t="shared" ref="BO137:BO146" si="248">Y137</f>
        <v>4544.3599999999997</v>
      </c>
      <c r="BP137" s="141"/>
      <c r="BQ137" s="141"/>
      <c r="BR137" s="141"/>
      <c r="BS137" s="141"/>
      <c r="BT137" s="141"/>
      <c r="BU137" s="141"/>
      <c r="BV137" s="141"/>
      <c r="BW137" s="141"/>
      <c r="BY137" s="12"/>
      <c r="BZ137" s="395">
        <f t="shared" ref="BZ137:BZ150" si="249">IF(MIN($V137:$BW137)&lt;0, 1, 0)</f>
        <v>0</v>
      </c>
      <c r="CA137" s="12"/>
      <c r="CC137" s="7">
        <f t="shared" ref="CC137:CC151" si="250">IF(SUM($CG137:$CI137)=0, 0, 1)</f>
        <v>0</v>
      </c>
      <c r="CD137" s="7">
        <f t="shared" ref="CD137:CD151" si="251">IF(SUM($CJ137:$CL137)=0, 0, 1)</f>
        <v>0</v>
      </c>
      <c r="CE137" s="7">
        <f t="shared" ref="CE137:CE151" si="252">IF($CM137=0, 0, 1)</f>
        <v>0</v>
      </c>
      <c r="CF137" s="12"/>
      <c r="CG137" s="352">
        <f t="shared" ref="CG137:CG151" si="253">ROUND(W137-SUMIFS($AA137:$BJ137, $AA$3:$BJ$3, W$3), rounding)</f>
        <v>0</v>
      </c>
      <c r="CH137" s="352">
        <f t="shared" ref="CH137:CH151" si="254">ROUND(X137-SUMIFS($AA137:$BJ137, $AA$3:$BJ$3, X$3), rounding)</f>
        <v>0</v>
      </c>
      <c r="CI137" s="352">
        <f t="shared" ref="CI137:CI151" si="255">ROUND(Y137-SUMIFS($AA137:$BJ137, $AA$3:$BJ$3, Y$3), rounding)</f>
        <v>0</v>
      </c>
      <c r="CJ137" s="352">
        <f t="shared" ref="CJ137:CJ151" si="256">ROUND($BM137-SUMIFS($AA137:$BJ137, $AA$3:$BJ$3, $BM$3), rounding)</f>
        <v>0</v>
      </c>
      <c r="CK137" s="352">
        <f t="shared" ref="CK137:CK151" si="257">ROUND($BN137-SUMIFS($AA137:$BJ137, $AA$3:$BJ$3, $BN$3), rounding)</f>
        <v>0</v>
      </c>
      <c r="CL137" s="352">
        <f t="shared" ref="CL137:CL151" si="258">ROUND($BO137-SUMIFS($AA137:$BJ137, $AA$3:$BJ$3, $BO$3), rounding)</f>
        <v>0</v>
      </c>
      <c r="CM137" s="352">
        <f t="shared" ref="CM137:CM151" si="259">ROUND($V137-$BL137, rounding)</f>
        <v>0</v>
      </c>
      <c r="ER137" s="12"/>
      <c r="ES137" s="4">
        <v>1</v>
      </c>
      <c r="ET137" s="335">
        <v>1</v>
      </c>
      <c r="EX137" s="10" t="str">
        <f t="shared" si="242"/>
        <v>Teaching costs</v>
      </c>
    </row>
    <row r="138" spans="1:154" ht="15.75" x14ac:dyDescent="0.3">
      <c r="A138" s="362" cm="1">
        <f t="array" aca="1" ref="A138" ca="1">HYPERLINK(CONCATENATE("#",CELL("address",IF(SUM($CA138:$CH138)=0,A138,INDEX($CA138:$CH138,MATCH(1,$CA138:$CH138,0))))),SUM($CA138:$CH138))</f>
        <v>0</v>
      </c>
      <c r="B138" s="105" t="s">
        <v>335</v>
      </c>
      <c r="C138" s="343" t="str">
        <f>CONCATENATE("M-", 'I&amp;E Annual'!C138)</f>
        <v>M-IE-2b-2</v>
      </c>
      <c r="D138" s="132" t="s">
        <v>57</v>
      </c>
      <c r="E138" s="335"/>
      <c r="G138" s="335"/>
      <c r="H138" t="s">
        <v>86</v>
      </c>
      <c r="I138" s="335"/>
      <c r="Q138" s="335"/>
      <c r="R138" s="335"/>
      <c r="S138" s="335"/>
      <c r="T138" s="25"/>
      <c r="U138" s="25"/>
      <c r="V138" s="141"/>
      <c r="W138" s="215">
        <f t="shared" si="243"/>
        <v>0</v>
      </c>
      <c r="X138" s="215">
        <f t="shared" si="243"/>
        <v>0</v>
      </c>
      <c r="Y138" s="215">
        <f t="shared" si="243"/>
        <v>0</v>
      </c>
      <c r="AA138" s="372"/>
      <c r="AB138" s="372"/>
      <c r="AC138" s="372"/>
      <c r="AD138" s="372"/>
      <c r="AE138" s="372"/>
      <c r="AF138" s="372"/>
      <c r="AG138" s="372"/>
      <c r="AH138" s="372"/>
      <c r="AI138" s="372"/>
      <c r="AJ138" s="372"/>
      <c r="AK138" s="372"/>
      <c r="AL138" s="372"/>
      <c r="AM138" s="572"/>
      <c r="AN138" s="572"/>
      <c r="AO138" s="572"/>
      <c r="AP138" s="572"/>
      <c r="AQ138" s="572"/>
      <c r="AR138" s="572"/>
      <c r="AS138" s="572"/>
      <c r="AT138" s="572"/>
      <c r="AU138" s="572"/>
      <c r="AV138" s="572"/>
      <c r="AW138" s="572"/>
      <c r="AX138" s="572"/>
      <c r="AY138" s="573">
        <f t="shared" ref="AY138:AY146" si="260">AM138*1.015</f>
        <v>0</v>
      </c>
      <c r="AZ138" s="573">
        <f t="shared" ref="AZ138:AZ146" si="261">AN138*1.015</f>
        <v>0</v>
      </c>
      <c r="BA138" s="573">
        <f t="shared" ref="BA138:BA146" si="262">AO138*1.015</f>
        <v>0</v>
      </c>
      <c r="BB138" s="573">
        <f t="shared" ref="BB138:BB146" si="263">AP138*1.015</f>
        <v>0</v>
      </c>
      <c r="BC138" s="573">
        <f t="shared" ref="BC138:BC146" si="264">AQ138*1.015</f>
        <v>0</v>
      </c>
      <c r="BD138" s="573">
        <f t="shared" ref="BD138:BD146" si="265">AR138*1.015</f>
        <v>0</v>
      </c>
      <c r="BE138" s="573">
        <f t="shared" ref="BE138:BE146" si="266">AS138*1.015</f>
        <v>0</v>
      </c>
      <c r="BF138" s="573">
        <f t="shared" ref="BF138:BF146" si="267">AT138*1.015</f>
        <v>0</v>
      </c>
      <c r="BG138" s="573">
        <f t="shared" ref="BG138:BG146" si="268">AU138*1.015</f>
        <v>0</v>
      </c>
      <c r="BH138" s="573">
        <f t="shared" ref="BH138:BH146" si="269">AV138*1.015</f>
        <v>0</v>
      </c>
      <c r="BI138" s="573">
        <f t="shared" ref="BI138:BI146" si="270">AW138*1.015</f>
        <v>0</v>
      </c>
      <c r="BJ138" s="573">
        <f t="shared" ref="BJ138:BJ146" si="271">AX138*1.015</f>
        <v>0</v>
      </c>
      <c r="BL138" s="10">
        <f t="shared" si="245"/>
        <v>0</v>
      </c>
      <c r="BM138" s="10">
        <f t="shared" si="246"/>
        <v>0</v>
      </c>
      <c r="BN138" s="10">
        <f t="shared" si="247"/>
        <v>0</v>
      </c>
      <c r="BO138" s="10">
        <f t="shared" si="248"/>
        <v>0</v>
      </c>
      <c r="BP138" s="141"/>
      <c r="BQ138" s="141"/>
      <c r="BR138" s="141"/>
      <c r="BS138" s="141"/>
      <c r="BT138" s="141"/>
      <c r="BU138" s="141"/>
      <c r="BV138" s="141"/>
      <c r="BW138" s="141"/>
      <c r="BY138" s="12"/>
      <c r="BZ138" s="395">
        <f t="shared" si="249"/>
        <v>0</v>
      </c>
      <c r="CA138" s="12"/>
      <c r="CC138" s="7">
        <f t="shared" si="250"/>
        <v>0</v>
      </c>
      <c r="CD138" s="7">
        <f t="shared" si="251"/>
        <v>0</v>
      </c>
      <c r="CE138" s="7">
        <f t="shared" si="252"/>
        <v>0</v>
      </c>
      <c r="CF138" s="12"/>
      <c r="CG138" s="352">
        <f t="shared" si="253"/>
        <v>0</v>
      </c>
      <c r="CH138" s="352">
        <f t="shared" si="254"/>
        <v>0</v>
      </c>
      <c r="CI138" s="352">
        <f t="shared" si="255"/>
        <v>0</v>
      </c>
      <c r="CJ138" s="352">
        <f t="shared" si="256"/>
        <v>0</v>
      </c>
      <c r="CK138" s="352">
        <f t="shared" si="257"/>
        <v>0</v>
      </c>
      <c r="CL138" s="352">
        <f t="shared" si="258"/>
        <v>0</v>
      </c>
      <c r="CM138" s="352">
        <f t="shared" si="259"/>
        <v>0</v>
      </c>
      <c r="ER138" s="12"/>
      <c r="ES138" s="4">
        <v>1</v>
      </c>
      <c r="ET138" s="335">
        <v>1</v>
      </c>
      <c r="EX138" s="10" t="str">
        <f t="shared" si="242"/>
        <v>Teaching and other support costs</v>
      </c>
    </row>
    <row r="139" spans="1:154" ht="15.75" x14ac:dyDescent="0.3">
      <c r="A139" s="362" cm="1">
        <f t="array" aca="1" ref="A139" ca="1">HYPERLINK(CONCATENATE("#",CELL("address",IF(SUM($CA139:$CH139)=0,A139,INDEX($CA139:$CH139,MATCH(1,$CA139:$CH139,0))))),SUM($CA139:$CH139))</f>
        <v>0</v>
      </c>
      <c r="B139" s="105" t="s">
        <v>335</v>
      </c>
      <c r="C139" s="343" t="str">
        <f>CONCATENATE("M-", 'I&amp;E Annual'!C139)</f>
        <v>M-IE-2b-3</v>
      </c>
      <c r="D139" s="132" t="s">
        <v>58</v>
      </c>
      <c r="E139" s="335"/>
      <c r="G139" s="335"/>
      <c r="H139" t="s">
        <v>86</v>
      </c>
      <c r="I139" s="335"/>
      <c r="Q139" s="335"/>
      <c r="R139" s="335"/>
      <c r="S139" s="335"/>
      <c r="T139" s="25"/>
      <c r="U139" s="25"/>
      <c r="V139" s="141"/>
      <c r="W139" s="215">
        <f t="shared" si="243"/>
        <v>1640</v>
      </c>
      <c r="X139" s="215">
        <f t="shared" si="243"/>
        <v>1717</v>
      </c>
      <c r="Y139" s="215">
        <f t="shared" si="243"/>
        <v>1751.3400000000004</v>
      </c>
      <c r="AA139" s="372">
        <v>50</v>
      </c>
      <c r="AB139" s="372">
        <v>150</v>
      </c>
      <c r="AC139" s="372">
        <v>172</v>
      </c>
      <c r="AD139" s="372">
        <v>175</v>
      </c>
      <c r="AE139" s="372">
        <v>150</v>
      </c>
      <c r="AF139" s="372">
        <v>188</v>
      </c>
      <c r="AG139" s="372">
        <v>94</v>
      </c>
      <c r="AH139" s="372">
        <v>44</v>
      </c>
      <c r="AI139" s="372">
        <v>143</v>
      </c>
      <c r="AJ139" s="372">
        <v>224</v>
      </c>
      <c r="AK139" s="372">
        <v>125</v>
      </c>
      <c r="AL139" s="372">
        <v>125</v>
      </c>
      <c r="AM139" s="572">
        <v>75</v>
      </c>
      <c r="AN139" s="572">
        <v>150</v>
      </c>
      <c r="AO139" s="572">
        <v>172</v>
      </c>
      <c r="AP139" s="572">
        <v>175</v>
      </c>
      <c r="AQ139" s="572">
        <v>150</v>
      </c>
      <c r="AR139" s="572">
        <v>150</v>
      </c>
      <c r="AS139" s="572">
        <v>144</v>
      </c>
      <c r="AT139" s="572">
        <v>124</v>
      </c>
      <c r="AU139" s="572">
        <v>143</v>
      </c>
      <c r="AV139" s="572">
        <v>184</v>
      </c>
      <c r="AW139" s="572">
        <v>125</v>
      </c>
      <c r="AX139" s="572">
        <v>125</v>
      </c>
      <c r="AY139" s="573">
        <f>AM139*1.02</f>
        <v>76.5</v>
      </c>
      <c r="AZ139" s="573">
        <f t="shared" ref="AZ139:BJ139" si="272">AN139*1.02</f>
        <v>153</v>
      </c>
      <c r="BA139" s="573">
        <f t="shared" si="272"/>
        <v>175.44</v>
      </c>
      <c r="BB139" s="573">
        <f t="shared" si="272"/>
        <v>178.5</v>
      </c>
      <c r="BC139" s="573">
        <f t="shared" si="272"/>
        <v>153</v>
      </c>
      <c r="BD139" s="573">
        <f t="shared" si="272"/>
        <v>153</v>
      </c>
      <c r="BE139" s="573">
        <f t="shared" si="272"/>
        <v>146.88</v>
      </c>
      <c r="BF139" s="573">
        <f t="shared" si="272"/>
        <v>126.48</v>
      </c>
      <c r="BG139" s="573">
        <f t="shared" si="272"/>
        <v>145.86000000000001</v>
      </c>
      <c r="BH139" s="573">
        <f t="shared" si="272"/>
        <v>187.68</v>
      </c>
      <c r="BI139" s="573">
        <f t="shared" si="272"/>
        <v>127.5</v>
      </c>
      <c r="BJ139" s="573">
        <f t="shared" si="272"/>
        <v>127.5</v>
      </c>
      <c r="BL139" s="10">
        <f t="shared" si="245"/>
        <v>0</v>
      </c>
      <c r="BM139" s="10">
        <f t="shared" si="246"/>
        <v>1640</v>
      </c>
      <c r="BN139" s="10">
        <f t="shared" si="247"/>
        <v>1717</v>
      </c>
      <c r="BO139" s="10">
        <f t="shared" si="248"/>
        <v>1751.3400000000004</v>
      </c>
      <c r="BP139" s="141"/>
      <c r="BQ139" s="141"/>
      <c r="BR139" s="141"/>
      <c r="BS139" s="141"/>
      <c r="BT139" s="141"/>
      <c r="BU139" s="141"/>
      <c r="BV139" s="141"/>
      <c r="BW139" s="141"/>
      <c r="BY139" s="12"/>
      <c r="BZ139" s="395">
        <f t="shared" si="249"/>
        <v>0</v>
      </c>
      <c r="CA139" s="12"/>
      <c r="CC139" s="7">
        <f t="shared" si="250"/>
        <v>0</v>
      </c>
      <c r="CD139" s="7">
        <f t="shared" si="251"/>
        <v>0</v>
      </c>
      <c r="CE139" s="7">
        <f t="shared" si="252"/>
        <v>0</v>
      </c>
      <c r="CF139" s="12"/>
      <c r="CG139" s="352">
        <f t="shared" si="253"/>
        <v>0</v>
      </c>
      <c r="CH139" s="352">
        <f t="shared" si="254"/>
        <v>0</v>
      </c>
      <c r="CI139" s="352">
        <f t="shared" si="255"/>
        <v>0</v>
      </c>
      <c r="CJ139" s="352">
        <f t="shared" si="256"/>
        <v>0</v>
      </c>
      <c r="CK139" s="352">
        <f t="shared" si="257"/>
        <v>0</v>
      </c>
      <c r="CL139" s="352">
        <f t="shared" si="258"/>
        <v>0</v>
      </c>
      <c r="CM139" s="352">
        <f t="shared" si="259"/>
        <v>0</v>
      </c>
      <c r="ER139" s="12"/>
      <c r="ES139" s="4">
        <v>1</v>
      </c>
      <c r="ET139" s="335">
        <v>1</v>
      </c>
      <c r="EX139" s="10" t="str">
        <f t="shared" si="242"/>
        <v>Administration costs</v>
      </c>
    </row>
    <row r="140" spans="1:154" ht="15.75" x14ac:dyDescent="0.3">
      <c r="A140" s="362" cm="1">
        <f t="array" aca="1" ref="A140" ca="1">HYPERLINK(CONCATENATE("#",CELL("address",IF(SUM($CA140:$CH140)=0,A140,INDEX($CA140:$CH140,MATCH(1,$CA140:$CH140,0))))),SUM($CA140:$CH140))</f>
        <v>0</v>
      </c>
      <c r="B140" s="105" t="s">
        <v>335</v>
      </c>
      <c r="C140" s="343" t="str">
        <f>CONCATENATE("M-", 'I&amp;E Annual'!C140)</f>
        <v>M-IE-2b-4</v>
      </c>
      <c r="D140" s="132" t="s">
        <v>59</v>
      </c>
      <c r="E140" s="335"/>
      <c r="H140" t="s">
        <v>86</v>
      </c>
      <c r="I140" s="335"/>
      <c r="Q140" s="335"/>
      <c r="R140" s="335"/>
      <c r="S140" s="335"/>
      <c r="T140" s="25"/>
      <c r="U140" s="25"/>
      <c r="V140" s="141"/>
      <c r="W140" s="215">
        <f t="shared" si="243"/>
        <v>1309</v>
      </c>
      <c r="X140" s="215">
        <f t="shared" si="243"/>
        <v>1344</v>
      </c>
      <c r="Y140" s="215">
        <f t="shared" si="243"/>
        <v>1384.32</v>
      </c>
      <c r="AA140" s="372">
        <v>42</v>
      </c>
      <c r="AB140" s="372">
        <v>111</v>
      </c>
      <c r="AC140" s="372">
        <v>97</v>
      </c>
      <c r="AD140" s="372">
        <v>118</v>
      </c>
      <c r="AE140" s="372">
        <v>91</v>
      </c>
      <c r="AF140" s="372">
        <v>62</v>
      </c>
      <c r="AG140" s="372">
        <v>116</v>
      </c>
      <c r="AH140" s="372">
        <v>93</v>
      </c>
      <c r="AI140" s="372">
        <v>58</v>
      </c>
      <c r="AJ140" s="372">
        <v>130</v>
      </c>
      <c r="AK140" s="372">
        <v>191</v>
      </c>
      <c r="AL140" s="372">
        <v>200</v>
      </c>
      <c r="AM140" s="572">
        <f>42+50</f>
        <v>92</v>
      </c>
      <c r="AN140" s="572">
        <v>111</v>
      </c>
      <c r="AO140" s="572">
        <v>97</v>
      </c>
      <c r="AP140" s="572">
        <v>118</v>
      </c>
      <c r="AQ140" s="572">
        <v>91</v>
      </c>
      <c r="AR140" s="572">
        <f>62+60</f>
        <v>122</v>
      </c>
      <c r="AS140" s="572">
        <v>116</v>
      </c>
      <c r="AT140" s="572">
        <v>93</v>
      </c>
      <c r="AU140" s="572">
        <f>58+50</f>
        <v>108</v>
      </c>
      <c r="AV140" s="572">
        <v>130</v>
      </c>
      <c r="AW140" s="572">
        <v>141</v>
      </c>
      <c r="AX140" s="572">
        <v>125</v>
      </c>
      <c r="AY140" s="573">
        <f>AM140*1.03</f>
        <v>94.76</v>
      </c>
      <c r="AZ140" s="573">
        <f t="shared" ref="AZ140:BJ140" si="273">AN140*1.03</f>
        <v>114.33</v>
      </c>
      <c r="BA140" s="573">
        <f t="shared" si="273"/>
        <v>99.91</v>
      </c>
      <c r="BB140" s="573">
        <f t="shared" si="273"/>
        <v>121.54</v>
      </c>
      <c r="BC140" s="573">
        <f t="shared" si="273"/>
        <v>93.73</v>
      </c>
      <c r="BD140" s="573">
        <f t="shared" si="273"/>
        <v>125.66</v>
      </c>
      <c r="BE140" s="573">
        <f t="shared" si="273"/>
        <v>119.48</v>
      </c>
      <c r="BF140" s="573">
        <f t="shared" si="273"/>
        <v>95.79</v>
      </c>
      <c r="BG140" s="573">
        <f t="shared" si="273"/>
        <v>111.24000000000001</v>
      </c>
      <c r="BH140" s="573">
        <f t="shared" si="273"/>
        <v>133.9</v>
      </c>
      <c r="BI140" s="573">
        <f t="shared" si="273"/>
        <v>145.22999999999999</v>
      </c>
      <c r="BJ140" s="573">
        <f t="shared" si="273"/>
        <v>128.75</v>
      </c>
      <c r="BL140" s="10">
        <f t="shared" si="245"/>
        <v>0</v>
      </c>
      <c r="BM140" s="10">
        <f t="shared" si="246"/>
        <v>1309</v>
      </c>
      <c r="BN140" s="10">
        <f t="shared" si="247"/>
        <v>1344</v>
      </c>
      <c r="BO140" s="10">
        <f t="shared" si="248"/>
        <v>1384.32</v>
      </c>
      <c r="BP140" s="141"/>
      <c r="BQ140" s="141"/>
      <c r="BR140" s="141"/>
      <c r="BS140" s="141"/>
      <c r="BT140" s="141"/>
      <c r="BU140" s="141"/>
      <c r="BV140" s="141"/>
      <c r="BW140" s="141"/>
      <c r="BY140" s="12"/>
      <c r="BZ140" s="395">
        <f t="shared" si="249"/>
        <v>0</v>
      </c>
      <c r="CA140" s="12"/>
      <c r="CC140" s="7">
        <f t="shared" si="250"/>
        <v>0</v>
      </c>
      <c r="CD140" s="7">
        <f t="shared" si="251"/>
        <v>0</v>
      </c>
      <c r="CE140" s="7">
        <f t="shared" si="252"/>
        <v>0</v>
      </c>
      <c r="CF140" s="12"/>
      <c r="CG140" s="352">
        <f t="shared" si="253"/>
        <v>0</v>
      </c>
      <c r="CH140" s="352">
        <f t="shared" si="254"/>
        <v>0</v>
      </c>
      <c r="CI140" s="352">
        <f t="shared" si="255"/>
        <v>0</v>
      </c>
      <c r="CJ140" s="352">
        <f t="shared" si="256"/>
        <v>0</v>
      </c>
      <c r="CK140" s="352">
        <f t="shared" si="257"/>
        <v>0</v>
      </c>
      <c r="CL140" s="352">
        <f t="shared" si="258"/>
        <v>0</v>
      </c>
      <c r="CM140" s="352">
        <f t="shared" si="259"/>
        <v>0</v>
      </c>
      <c r="ER140" s="12"/>
      <c r="ES140" s="4">
        <v>1</v>
      </c>
      <c r="ET140" s="335">
        <v>1</v>
      </c>
      <c r="EX140" s="10" t="str">
        <f t="shared" si="242"/>
        <v>Operational &amp; maintenance costs</v>
      </c>
    </row>
    <row r="141" spans="1:154" x14ac:dyDescent="0.25">
      <c r="A141" s="362" cm="1">
        <f t="array" aca="1" ref="A141" ca="1">HYPERLINK(CONCATENATE("#",CELL("address",IF(SUM($CA141:$CH141)=0,A141,INDEX($CA141:$CH141,MATCH(1,$CA141:$CH141,0))))),SUM($CA141:$CH141))</f>
        <v>0</v>
      </c>
      <c r="C141" s="343" t="str">
        <f>CONCATENATE("M-", 'I&amp;E Annual'!C141)</f>
        <v>M-IE-2b-5</v>
      </c>
      <c r="D141" s="132" t="s">
        <v>60</v>
      </c>
      <c r="E141" s="335"/>
      <c r="H141" t="s">
        <v>86</v>
      </c>
      <c r="I141" s="335"/>
      <c r="Q141" s="335"/>
      <c r="R141" s="335"/>
      <c r="S141" s="335"/>
      <c r="T141" s="25"/>
      <c r="U141" s="25"/>
      <c r="V141" s="156"/>
      <c r="W141" s="215">
        <f t="shared" si="243"/>
        <v>907</v>
      </c>
      <c r="X141" s="215">
        <f t="shared" si="243"/>
        <v>998</v>
      </c>
      <c r="Y141" s="215">
        <f t="shared" si="243"/>
        <v>1012.9699999999999</v>
      </c>
      <c r="AA141" s="147"/>
      <c r="AB141" s="147"/>
      <c r="AC141" s="147">
        <v>28</v>
      </c>
      <c r="AD141" s="147">
        <v>150</v>
      </c>
      <c r="AE141" s="147">
        <v>165</v>
      </c>
      <c r="AF141" s="147">
        <v>2</v>
      </c>
      <c r="AG141" s="147">
        <v>133</v>
      </c>
      <c r="AH141" s="147">
        <v>211</v>
      </c>
      <c r="AI141" s="147">
        <v>-7</v>
      </c>
      <c r="AJ141" s="147">
        <v>65</v>
      </c>
      <c r="AK141" s="147">
        <v>100</v>
      </c>
      <c r="AL141" s="147">
        <v>60</v>
      </c>
      <c r="AM141" s="147"/>
      <c r="AN141" s="147"/>
      <c r="AO141" s="147">
        <v>28</v>
      </c>
      <c r="AP141" s="147">
        <v>150</v>
      </c>
      <c r="AQ141" s="147">
        <v>165</v>
      </c>
      <c r="AR141" s="147">
        <v>2</v>
      </c>
      <c r="AS141" s="147">
        <v>133</v>
      </c>
      <c r="AT141" s="147">
        <v>195</v>
      </c>
      <c r="AU141" s="147">
        <v>100</v>
      </c>
      <c r="AV141" s="147">
        <v>65</v>
      </c>
      <c r="AW141" s="147">
        <v>100</v>
      </c>
      <c r="AX141" s="147">
        <v>60</v>
      </c>
      <c r="AY141" s="573">
        <f t="shared" si="260"/>
        <v>0</v>
      </c>
      <c r="AZ141" s="573">
        <f t="shared" si="261"/>
        <v>0</v>
      </c>
      <c r="BA141" s="573">
        <f t="shared" si="262"/>
        <v>28.419999999999998</v>
      </c>
      <c r="BB141" s="573">
        <f t="shared" si="263"/>
        <v>152.24999999999997</v>
      </c>
      <c r="BC141" s="573">
        <f t="shared" si="264"/>
        <v>167.47499999999999</v>
      </c>
      <c r="BD141" s="573">
        <f t="shared" si="265"/>
        <v>2.0299999999999998</v>
      </c>
      <c r="BE141" s="573">
        <f t="shared" si="266"/>
        <v>134.99499999999998</v>
      </c>
      <c r="BF141" s="573">
        <f t="shared" si="267"/>
        <v>197.92499999999998</v>
      </c>
      <c r="BG141" s="573">
        <f t="shared" si="268"/>
        <v>101.49999999999999</v>
      </c>
      <c r="BH141" s="573">
        <f t="shared" si="269"/>
        <v>65.974999999999994</v>
      </c>
      <c r="BI141" s="573">
        <f t="shared" si="270"/>
        <v>101.49999999999999</v>
      </c>
      <c r="BJ141" s="573">
        <f t="shared" si="271"/>
        <v>60.899999999999991</v>
      </c>
      <c r="BL141" s="153">
        <f t="shared" si="245"/>
        <v>0</v>
      </c>
      <c r="BM141" s="153">
        <f t="shared" si="246"/>
        <v>907</v>
      </c>
      <c r="BN141" s="153">
        <f t="shared" si="247"/>
        <v>998</v>
      </c>
      <c r="BO141" s="153">
        <f t="shared" si="248"/>
        <v>1012.9699999999999</v>
      </c>
      <c r="BP141" s="156"/>
      <c r="BQ141" s="156"/>
      <c r="BR141" s="156"/>
      <c r="BS141" s="156"/>
      <c r="BT141" s="156"/>
      <c r="BU141" s="156"/>
      <c r="BV141" s="156"/>
      <c r="BW141" s="156"/>
      <c r="BY141" s="12"/>
      <c r="BZ141" s="395">
        <f t="shared" si="249"/>
        <v>1</v>
      </c>
      <c r="CA141" s="12"/>
      <c r="CC141" s="7">
        <f t="shared" si="250"/>
        <v>0</v>
      </c>
      <c r="CD141" s="7">
        <f t="shared" si="251"/>
        <v>0</v>
      </c>
      <c r="CE141" s="7">
        <f t="shared" si="252"/>
        <v>0</v>
      </c>
      <c r="CF141" s="12"/>
      <c r="CG141" s="352">
        <f t="shared" si="253"/>
        <v>0</v>
      </c>
      <c r="CH141" s="352">
        <f t="shared" si="254"/>
        <v>0</v>
      </c>
      <c r="CI141" s="352">
        <f t="shared" si="255"/>
        <v>0</v>
      </c>
      <c r="CJ141" s="352">
        <f t="shared" si="256"/>
        <v>0</v>
      </c>
      <c r="CK141" s="352">
        <f t="shared" si="257"/>
        <v>0</v>
      </c>
      <c r="CL141" s="352">
        <f t="shared" si="258"/>
        <v>0</v>
      </c>
      <c r="CM141" s="352">
        <f t="shared" si="259"/>
        <v>0</v>
      </c>
      <c r="ER141" s="12"/>
      <c r="ES141" s="4">
        <v>1</v>
      </c>
      <c r="ET141" s="335">
        <v>1</v>
      </c>
      <c r="EX141" s="10" t="str">
        <f t="shared" si="242"/>
        <v>Examination costs</v>
      </c>
    </row>
    <row r="142" spans="1:154" x14ac:dyDescent="0.25">
      <c r="A142" s="362" cm="1">
        <f t="array" aca="1" ref="A142" ca="1">HYPERLINK(CONCATENATE("#",CELL("address",IF(SUM($CA142:$CH142)=0,A142,INDEX($CA142:$CH142,MATCH(1,$CA142:$CH142,0))))),SUM($CA142:$CH142))</f>
        <v>0</v>
      </c>
      <c r="C142" s="343" t="str">
        <f>CONCATENATE("M-", 'I&amp;E Annual'!C142)</f>
        <v>M-IE-2b-6</v>
      </c>
      <c r="D142" s="132" t="s">
        <v>61</v>
      </c>
      <c r="E142" s="335"/>
      <c r="H142" t="s">
        <v>86</v>
      </c>
      <c r="I142" s="335"/>
      <c r="Q142" s="335"/>
      <c r="R142" s="335"/>
      <c r="S142" s="335"/>
      <c r="T142" s="25"/>
      <c r="U142" s="25"/>
      <c r="V142" s="141"/>
      <c r="W142" s="215">
        <f t="shared" si="243"/>
        <v>106</v>
      </c>
      <c r="X142" s="215">
        <f t="shared" si="243"/>
        <v>106</v>
      </c>
      <c r="Y142" s="215">
        <f t="shared" si="243"/>
        <v>107.59000000000002</v>
      </c>
      <c r="AA142" s="372">
        <v>8</v>
      </c>
      <c r="AB142" s="372">
        <v>9</v>
      </c>
      <c r="AC142" s="372">
        <v>9</v>
      </c>
      <c r="AD142" s="372">
        <v>9</v>
      </c>
      <c r="AE142" s="372">
        <v>9</v>
      </c>
      <c r="AF142" s="372">
        <v>9</v>
      </c>
      <c r="AG142" s="372">
        <v>9</v>
      </c>
      <c r="AH142" s="372">
        <v>9</v>
      </c>
      <c r="AI142" s="372">
        <v>9</v>
      </c>
      <c r="AJ142" s="372">
        <v>9</v>
      </c>
      <c r="AK142" s="372">
        <v>9</v>
      </c>
      <c r="AL142" s="372">
        <v>8</v>
      </c>
      <c r="AM142" s="572">
        <v>8</v>
      </c>
      <c r="AN142" s="572">
        <v>9</v>
      </c>
      <c r="AO142" s="572">
        <v>9</v>
      </c>
      <c r="AP142" s="572">
        <v>9</v>
      </c>
      <c r="AQ142" s="572">
        <v>9</v>
      </c>
      <c r="AR142" s="572">
        <v>9</v>
      </c>
      <c r="AS142" s="572">
        <v>9</v>
      </c>
      <c r="AT142" s="572">
        <v>9</v>
      </c>
      <c r="AU142" s="572">
        <v>9</v>
      </c>
      <c r="AV142" s="572">
        <v>9</v>
      </c>
      <c r="AW142" s="572">
        <v>9</v>
      </c>
      <c r="AX142" s="572">
        <v>8</v>
      </c>
      <c r="AY142" s="573">
        <f t="shared" si="260"/>
        <v>8.1199999999999992</v>
      </c>
      <c r="AZ142" s="573">
        <f t="shared" si="261"/>
        <v>9.1349999999999998</v>
      </c>
      <c r="BA142" s="573">
        <f t="shared" si="262"/>
        <v>9.1349999999999998</v>
      </c>
      <c r="BB142" s="573">
        <f t="shared" si="263"/>
        <v>9.1349999999999998</v>
      </c>
      <c r="BC142" s="573">
        <f t="shared" si="264"/>
        <v>9.1349999999999998</v>
      </c>
      <c r="BD142" s="573">
        <f t="shared" si="265"/>
        <v>9.1349999999999998</v>
      </c>
      <c r="BE142" s="573">
        <f t="shared" si="266"/>
        <v>9.1349999999999998</v>
      </c>
      <c r="BF142" s="573">
        <f t="shared" si="267"/>
        <v>9.1349999999999998</v>
      </c>
      <c r="BG142" s="573">
        <f t="shared" si="268"/>
        <v>9.1349999999999998</v>
      </c>
      <c r="BH142" s="573">
        <f t="shared" si="269"/>
        <v>9.1349999999999998</v>
      </c>
      <c r="BI142" s="573">
        <f t="shared" si="270"/>
        <v>9.1349999999999998</v>
      </c>
      <c r="BJ142" s="573">
        <f t="shared" si="271"/>
        <v>8.1199999999999992</v>
      </c>
      <c r="BL142" s="10">
        <f t="shared" si="245"/>
        <v>0</v>
      </c>
      <c r="BM142" s="10">
        <f t="shared" si="246"/>
        <v>106</v>
      </c>
      <c r="BN142" s="10">
        <f t="shared" si="247"/>
        <v>106</v>
      </c>
      <c r="BO142" s="10">
        <f t="shared" si="248"/>
        <v>107.59000000000002</v>
      </c>
      <c r="BP142" s="141"/>
      <c r="BQ142" s="141"/>
      <c r="BR142" s="141"/>
      <c r="BS142" s="141"/>
      <c r="BT142" s="141"/>
      <c r="BU142" s="141"/>
      <c r="BV142" s="141"/>
      <c r="BW142" s="141"/>
      <c r="BY142" s="12"/>
      <c r="BZ142" s="395">
        <f t="shared" si="249"/>
        <v>0</v>
      </c>
      <c r="CA142" s="12"/>
      <c r="CC142" s="7">
        <f t="shared" si="250"/>
        <v>0</v>
      </c>
      <c r="CD142" s="7">
        <f t="shared" si="251"/>
        <v>0</v>
      </c>
      <c r="CE142" s="7">
        <f t="shared" si="252"/>
        <v>0</v>
      </c>
      <c r="CF142" s="12"/>
      <c r="CG142" s="352">
        <f t="shared" si="253"/>
        <v>0</v>
      </c>
      <c r="CH142" s="352">
        <f t="shared" si="254"/>
        <v>0</v>
      </c>
      <c r="CI142" s="352">
        <f t="shared" si="255"/>
        <v>0</v>
      </c>
      <c r="CJ142" s="352">
        <f t="shared" si="256"/>
        <v>0</v>
      </c>
      <c r="CK142" s="352">
        <f t="shared" si="257"/>
        <v>0</v>
      </c>
      <c r="CL142" s="352">
        <f t="shared" si="258"/>
        <v>0</v>
      </c>
      <c r="CM142" s="352">
        <f t="shared" si="259"/>
        <v>0</v>
      </c>
      <c r="ER142" s="12"/>
      <c r="ES142" s="4">
        <v>1</v>
      </c>
      <c r="ET142" s="335">
        <v>1</v>
      </c>
      <c r="EX142" s="10" t="str">
        <f t="shared" si="242"/>
        <v>Rent and lease costs</v>
      </c>
    </row>
    <row r="143" spans="1:154" x14ac:dyDescent="0.25">
      <c r="A143" s="362" cm="1">
        <f t="array" aca="1" ref="A143" ca="1">HYPERLINK(CONCATENATE("#",CELL("address",IF(SUM($CA143:$CH143)=0,A143,INDEX($CA143:$CH143,MATCH(1,$CA143:$CH143,0))))),SUM($CA143:$CH143))</f>
        <v>0</v>
      </c>
      <c r="C143" s="343" t="str">
        <f>CONCATENATE("M-", 'I&amp;E Annual'!C143)</f>
        <v>M-IE-2b-7</v>
      </c>
      <c r="D143" s="132" t="s">
        <v>62</v>
      </c>
      <c r="E143" s="25"/>
      <c r="H143" t="s">
        <v>86</v>
      </c>
      <c r="I143" s="335"/>
      <c r="Q143" s="335"/>
      <c r="R143" s="335"/>
      <c r="S143" s="335"/>
      <c r="T143" s="25"/>
      <c r="U143" s="25"/>
      <c r="V143" s="141"/>
      <c r="W143" s="215">
        <f t="shared" si="243"/>
        <v>310</v>
      </c>
      <c r="X143" s="215">
        <f t="shared" si="243"/>
        <v>445</v>
      </c>
      <c r="Y143" s="215">
        <f t="shared" si="243"/>
        <v>451.67500000000001</v>
      </c>
      <c r="AA143" s="372">
        <v>10</v>
      </c>
      <c r="AB143" s="372">
        <v>25</v>
      </c>
      <c r="AC143" s="372">
        <v>30</v>
      </c>
      <c r="AD143" s="372">
        <v>30</v>
      </c>
      <c r="AE143" s="372">
        <v>30</v>
      </c>
      <c r="AF143" s="372">
        <v>10</v>
      </c>
      <c r="AG143" s="372">
        <v>10</v>
      </c>
      <c r="AH143" s="372">
        <v>30</v>
      </c>
      <c r="AI143" s="372">
        <v>35</v>
      </c>
      <c r="AJ143" s="372">
        <v>35</v>
      </c>
      <c r="AK143" s="372">
        <v>35</v>
      </c>
      <c r="AL143" s="372">
        <v>30</v>
      </c>
      <c r="AM143" s="572">
        <v>20</v>
      </c>
      <c r="AN143" s="572">
        <v>35</v>
      </c>
      <c r="AO143" s="572">
        <v>40</v>
      </c>
      <c r="AP143" s="572">
        <v>40</v>
      </c>
      <c r="AQ143" s="572">
        <v>40</v>
      </c>
      <c r="AR143" s="572">
        <v>40</v>
      </c>
      <c r="AS143" s="572">
        <v>40</v>
      </c>
      <c r="AT143" s="572">
        <v>40</v>
      </c>
      <c r="AU143" s="572">
        <v>40</v>
      </c>
      <c r="AV143" s="572">
        <v>40</v>
      </c>
      <c r="AW143" s="572">
        <v>40</v>
      </c>
      <c r="AX143" s="572">
        <v>30</v>
      </c>
      <c r="AY143" s="573">
        <f t="shared" si="260"/>
        <v>20.299999999999997</v>
      </c>
      <c r="AZ143" s="573">
        <f t="shared" si="261"/>
        <v>35.524999999999999</v>
      </c>
      <c r="BA143" s="573">
        <f t="shared" si="262"/>
        <v>40.599999999999994</v>
      </c>
      <c r="BB143" s="573">
        <f t="shared" si="263"/>
        <v>40.599999999999994</v>
      </c>
      <c r="BC143" s="573">
        <f t="shared" si="264"/>
        <v>40.599999999999994</v>
      </c>
      <c r="BD143" s="573">
        <f t="shared" si="265"/>
        <v>40.599999999999994</v>
      </c>
      <c r="BE143" s="573">
        <f t="shared" si="266"/>
        <v>40.599999999999994</v>
      </c>
      <c r="BF143" s="573">
        <f t="shared" si="267"/>
        <v>40.599999999999994</v>
      </c>
      <c r="BG143" s="573">
        <f t="shared" si="268"/>
        <v>40.599999999999994</v>
      </c>
      <c r="BH143" s="573">
        <f t="shared" si="269"/>
        <v>40.599999999999994</v>
      </c>
      <c r="BI143" s="573">
        <f t="shared" si="270"/>
        <v>40.599999999999994</v>
      </c>
      <c r="BJ143" s="573">
        <f t="shared" si="271"/>
        <v>30.449999999999996</v>
      </c>
      <c r="BL143" s="10">
        <f t="shared" si="245"/>
        <v>0</v>
      </c>
      <c r="BM143" s="10">
        <f t="shared" si="246"/>
        <v>310</v>
      </c>
      <c r="BN143" s="10">
        <f t="shared" si="247"/>
        <v>445</v>
      </c>
      <c r="BO143" s="10">
        <f t="shared" si="248"/>
        <v>451.67500000000001</v>
      </c>
      <c r="BP143" s="141"/>
      <c r="BQ143" s="141"/>
      <c r="BR143" s="141"/>
      <c r="BS143" s="141"/>
      <c r="BT143" s="141"/>
      <c r="BU143" s="141"/>
      <c r="BV143" s="141"/>
      <c r="BW143" s="141"/>
      <c r="BY143" s="12"/>
      <c r="BZ143" s="395">
        <f t="shared" si="249"/>
        <v>0</v>
      </c>
      <c r="CA143" s="12"/>
      <c r="CC143" s="7">
        <f t="shared" si="250"/>
        <v>0</v>
      </c>
      <c r="CD143" s="7">
        <f t="shared" si="251"/>
        <v>0</v>
      </c>
      <c r="CE143" s="7">
        <f t="shared" si="252"/>
        <v>0</v>
      </c>
      <c r="CF143" s="12"/>
      <c r="CG143" s="352">
        <f t="shared" si="253"/>
        <v>0</v>
      </c>
      <c r="CH143" s="352">
        <f t="shared" si="254"/>
        <v>0</v>
      </c>
      <c r="CI143" s="352">
        <f t="shared" si="255"/>
        <v>0</v>
      </c>
      <c r="CJ143" s="352">
        <f t="shared" si="256"/>
        <v>0</v>
      </c>
      <c r="CK143" s="352">
        <f t="shared" si="257"/>
        <v>0</v>
      </c>
      <c r="CL143" s="352">
        <f t="shared" si="258"/>
        <v>0</v>
      </c>
      <c r="CM143" s="352">
        <f t="shared" si="259"/>
        <v>0</v>
      </c>
      <c r="ER143" s="12"/>
      <c r="ES143" s="4">
        <v>1</v>
      </c>
      <c r="ET143" s="335">
        <v>1</v>
      </c>
      <c r="EX143" s="10" t="str">
        <f t="shared" si="242"/>
        <v>Commercial costs</v>
      </c>
    </row>
    <row r="144" spans="1:154" x14ac:dyDescent="0.25">
      <c r="A144" s="362" cm="1">
        <f t="array" aca="1" ref="A144" ca="1">HYPERLINK(CONCATENATE("#",CELL("address",IF(SUM($CA144:$CH144)=0,A144,INDEX($CA144:$CH144,MATCH(1,$CA144:$CH144,0))))),SUM($CA144:$CH144))</f>
        <v>0</v>
      </c>
      <c r="B144" s="335"/>
      <c r="C144" s="343" t="str">
        <f>CONCATENATE("M-", 'I&amp;E Annual'!C144)</f>
        <v>M-IE-2b-8</v>
      </c>
      <c r="D144" s="132" t="s">
        <v>63</v>
      </c>
      <c r="E144" s="335"/>
      <c r="F144" s="335"/>
      <c r="G144" s="335"/>
      <c r="H144" s="335" t="s">
        <v>86</v>
      </c>
      <c r="I144" s="335"/>
      <c r="J144" s="335"/>
      <c r="K144" s="335"/>
      <c r="L144" s="335"/>
      <c r="M144" s="335"/>
      <c r="N144" s="335"/>
      <c r="O144" s="335"/>
      <c r="P144" s="335"/>
      <c r="Q144" s="335"/>
      <c r="R144" s="335"/>
      <c r="S144" s="335"/>
      <c r="T144" s="25"/>
      <c r="U144" s="25"/>
      <c r="V144" s="141"/>
      <c r="W144" s="215">
        <f t="shared" si="243"/>
        <v>0</v>
      </c>
      <c r="X144" s="215">
        <f t="shared" si="243"/>
        <v>0</v>
      </c>
      <c r="Y144" s="215">
        <f t="shared" si="243"/>
        <v>0</v>
      </c>
      <c r="AA144" s="372"/>
      <c r="AB144" s="372"/>
      <c r="AC144" s="372"/>
      <c r="AD144" s="372"/>
      <c r="AE144" s="372"/>
      <c r="AF144" s="372"/>
      <c r="AG144" s="372"/>
      <c r="AH144" s="372"/>
      <c r="AI144" s="372"/>
      <c r="AJ144" s="372"/>
      <c r="AK144" s="372"/>
      <c r="AL144" s="372"/>
      <c r="AM144" s="372"/>
      <c r="AN144" s="372"/>
      <c r="AO144" s="372"/>
      <c r="AP144" s="372"/>
      <c r="AQ144" s="372"/>
      <c r="AR144" s="372"/>
      <c r="AS144" s="372"/>
      <c r="AT144" s="372"/>
      <c r="AU144" s="372"/>
      <c r="AV144" s="372"/>
      <c r="AW144" s="372"/>
      <c r="AX144" s="372"/>
      <c r="AY144" s="573">
        <f t="shared" si="260"/>
        <v>0</v>
      </c>
      <c r="AZ144" s="573">
        <f t="shared" si="261"/>
        <v>0</v>
      </c>
      <c r="BA144" s="573">
        <f t="shared" si="262"/>
        <v>0</v>
      </c>
      <c r="BB144" s="573">
        <f t="shared" si="263"/>
        <v>0</v>
      </c>
      <c r="BC144" s="573">
        <f t="shared" si="264"/>
        <v>0</v>
      </c>
      <c r="BD144" s="573">
        <f t="shared" si="265"/>
        <v>0</v>
      </c>
      <c r="BE144" s="573">
        <f t="shared" si="266"/>
        <v>0</v>
      </c>
      <c r="BF144" s="573">
        <f t="shared" si="267"/>
        <v>0</v>
      </c>
      <c r="BG144" s="573">
        <f t="shared" si="268"/>
        <v>0</v>
      </c>
      <c r="BH144" s="573">
        <f t="shared" si="269"/>
        <v>0</v>
      </c>
      <c r="BI144" s="573">
        <f t="shared" si="270"/>
        <v>0</v>
      </c>
      <c r="BJ144" s="573">
        <f t="shared" si="271"/>
        <v>0</v>
      </c>
      <c r="BL144" s="10">
        <f t="shared" si="245"/>
        <v>0</v>
      </c>
      <c r="BM144" s="10">
        <f t="shared" si="246"/>
        <v>0</v>
      </c>
      <c r="BN144" s="10">
        <f t="shared" si="247"/>
        <v>0</v>
      </c>
      <c r="BO144" s="10">
        <f t="shared" si="248"/>
        <v>0</v>
      </c>
      <c r="BP144" s="141"/>
      <c r="BQ144" s="141"/>
      <c r="BR144" s="141"/>
      <c r="BS144" s="141"/>
      <c r="BT144" s="141"/>
      <c r="BU144" s="141"/>
      <c r="BV144" s="141"/>
      <c r="BW144" s="141"/>
      <c r="BX144" s="335"/>
      <c r="BY144" s="12"/>
      <c r="BZ144" s="395">
        <f t="shared" si="249"/>
        <v>0</v>
      </c>
      <c r="CA144" s="12"/>
      <c r="CB144"/>
      <c r="CC144" s="7">
        <f t="shared" si="250"/>
        <v>0</v>
      </c>
      <c r="CD144" s="7">
        <f t="shared" si="251"/>
        <v>0</v>
      </c>
      <c r="CE144" s="7">
        <f t="shared" si="252"/>
        <v>0</v>
      </c>
      <c r="CF144" s="12"/>
      <c r="CG144" s="352">
        <f t="shared" si="253"/>
        <v>0</v>
      </c>
      <c r="CH144" s="352">
        <f t="shared" si="254"/>
        <v>0</v>
      </c>
      <c r="CI144" s="352">
        <f t="shared" si="255"/>
        <v>0</v>
      </c>
      <c r="CJ144" s="352">
        <f t="shared" si="256"/>
        <v>0</v>
      </c>
      <c r="CK144" s="352">
        <f t="shared" si="257"/>
        <v>0</v>
      </c>
      <c r="CL144" s="352">
        <f t="shared" si="258"/>
        <v>0</v>
      </c>
      <c r="CM144" s="352">
        <f t="shared" si="259"/>
        <v>0</v>
      </c>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12"/>
      <c r="ES144" s="4">
        <v>1</v>
      </c>
      <c r="ET144" s="335">
        <v>1</v>
      </c>
      <c r="EX144" s="10" t="str">
        <f t="shared" si="242"/>
        <v>Subcontracting out costs</v>
      </c>
    </row>
    <row r="145" spans="1:154" ht="15.75" x14ac:dyDescent="0.3">
      <c r="A145" s="362" cm="1">
        <f t="array" aca="1" ref="A145" ca="1">HYPERLINK(CONCATENATE("#",CELL("address",IF(SUM($CA145:$CH145)=0,A145,INDEX($CA145:$CH145,MATCH(1,$CA145:$CH145,0))))),SUM($CA145:$CH145))</f>
        <v>0</v>
      </c>
      <c r="B145" s="105" t="s">
        <v>335</v>
      </c>
      <c r="C145" s="343" t="str">
        <f>CONCATENATE("M-", 'I&amp;E Annual'!C145)</f>
        <v>M-IE-2b-9</v>
      </c>
      <c r="D145" s="132" t="s">
        <v>64</v>
      </c>
      <c r="E145" s="335"/>
      <c r="F145" s="335"/>
      <c r="G145" s="335"/>
      <c r="H145" s="335" t="s">
        <v>86</v>
      </c>
      <c r="I145" s="335"/>
      <c r="J145" s="335"/>
      <c r="K145" s="335"/>
      <c r="L145" s="335"/>
      <c r="M145" s="335"/>
      <c r="N145" s="335"/>
      <c r="O145" s="335"/>
      <c r="P145" s="335"/>
      <c r="Q145" s="335"/>
      <c r="R145" s="335"/>
      <c r="S145" s="335"/>
      <c r="T145" s="25"/>
      <c r="U145" s="25"/>
      <c r="V145" s="156"/>
      <c r="W145" s="215">
        <f t="shared" si="243"/>
        <v>0</v>
      </c>
      <c r="X145" s="215">
        <f t="shared" si="243"/>
        <v>0</v>
      </c>
      <c r="Y145" s="215">
        <f t="shared" si="243"/>
        <v>0</v>
      </c>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573">
        <f t="shared" si="260"/>
        <v>0</v>
      </c>
      <c r="AZ145" s="573">
        <f t="shared" si="261"/>
        <v>0</v>
      </c>
      <c r="BA145" s="573">
        <f t="shared" si="262"/>
        <v>0</v>
      </c>
      <c r="BB145" s="573">
        <f t="shared" si="263"/>
        <v>0</v>
      </c>
      <c r="BC145" s="573">
        <f t="shared" si="264"/>
        <v>0</v>
      </c>
      <c r="BD145" s="573">
        <f t="shared" si="265"/>
        <v>0</v>
      </c>
      <c r="BE145" s="573">
        <f t="shared" si="266"/>
        <v>0</v>
      </c>
      <c r="BF145" s="573">
        <f t="shared" si="267"/>
        <v>0</v>
      </c>
      <c r="BG145" s="573">
        <f t="shared" si="268"/>
        <v>0</v>
      </c>
      <c r="BH145" s="573">
        <f t="shared" si="269"/>
        <v>0</v>
      </c>
      <c r="BI145" s="573">
        <f t="shared" si="270"/>
        <v>0</v>
      </c>
      <c r="BJ145" s="573">
        <f t="shared" si="271"/>
        <v>0</v>
      </c>
      <c r="BL145" s="153">
        <f t="shared" si="245"/>
        <v>0</v>
      </c>
      <c r="BM145" s="153">
        <f t="shared" si="246"/>
        <v>0</v>
      </c>
      <c r="BN145" s="153">
        <f t="shared" si="247"/>
        <v>0</v>
      </c>
      <c r="BO145" s="153">
        <f t="shared" si="248"/>
        <v>0</v>
      </c>
      <c r="BP145" s="156"/>
      <c r="BQ145" s="156"/>
      <c r="BR145" s="156"/>
      <c r="BS145" s="156"/>
      <c r="BT145" s="156"/>
      <c r="BU145" s="156"/>
      <c r="BV145" s="156"/>
      <c r="BW145" s="156"/>
      <c r="BX145" s="335"/>
      <c r="BY145" s="12"/>
      <c r="BZ145" s="395">
        <f t="shared" si="249"/>
        <v>0</v>
      </c>
      <c r="CA145" s="12"/>
      <c r="CC145" s="7">
        <f t="shared" si="250"/>
        <v>0</v>
      </c>
      <c r="CD145" s="7">
        <f t="shared" si="251"/>
        <v>0</v>
      </c>
      <c r="CE145" s="7">
        <f t="shared" si="252"/>
        <v>0</v>
      </c>
      <c r="CF145" s="12"/>
      <c r="CG145" s="352">
        <f t="shared" si="253"/>
        <v>0</v>
      </c>
      <c r="CH145" s="352">
        <f t="shared" si="254"/>
        <v>0</v>
      </c>
      <c r="CI145" s="352">
        <f t="shared" si="255"/>
        <v>0</v>
      </c>
      <c r="CJ145" s="352">
        <f t="shared" si="256"/>
        <v>0</v>
      </c>
      <c r="CK145" s="352">
        <f t="shared" si="257"/>
        <v>0</v>
      </c>
      <c r="CL145" s="352">
        <f t="shared" si="258"/>
        <v>0</v>
      </c>
      <c r="CM145" s="352">
        <f t="shared" si="259"/>
        <v>0</v>
      </c>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35"/>
      <c r="EG145" s="335"/>
      <c r="EH145" s="335"/>
      <c r="EI145" s="335"/>
      <c r="EJ145" s="335"/>
      <c r="EK145" s="335"/>
      <c r="EL145" s="335"/>
      <c r="EM145" s="335"/>
      <c r="EN145" s="335"/>
      <c r="EO145" s="335"/>
      <c r="EP145" s="335"/>
      <c r="EQ145" s="335"/>
      <c r="ER145" s="12"/>
      <c r="ES145" s="4">
        <v>1</v>
      </c>
      <c r="ET145" s="335">
        <v>1</v>
      </c>
      <c r="EX145" s="10" t="str">
        <f t="shared" si="242"/>
        <v>Bad debt provision costs</v>
      </c>
    </row>
    <row r="146" spans="1:154" ht="15.75" x14ac:dyDescent="0.3">
      <c r="A146" s="362" cm="1">
        <f t="array" aca="1" ref="A146" ca="1">HYPERLINK(CONCATENATE("#",CELL("address",IF(SUM($CA146:$CH146)=0,A146,INDEX($CA146:$CH146,MATCH(1,$CA146:$CH146,0))))),SUM($CA146:$CH146))</f>
        <v>0</v>
      </c>
      <c r="B146" s="105" t="s">
        <v>335</v>
      </c>
      <c r="C146" s="343" t="str">
        <f>CONCATENATE("M-", 'I&amp;E Annual'!C146)</f>
        <v>M-IE-2b-10</v>
      </c>
      <c r="D146" s="132" t="s">
        <v>481</v>
      </c>
      <c r="E146" s="335"/>
      <c r="F146" s="335"/>
      <c r="G146" s="335"/>
      <c r="H146" s="335" t="s">
        <v>86</v>
      </c>
      <c r="I146" s="335"/>
      <c r="Q146" s="335"/>
      <c r="R146" s="335"/>
      <c r="S146" s="335"/>
      <c r="T146" s="25"/>
      <c r="U146" s="25"/>
      <c r="V146" s="141"/>
      <c r="W146" s="215">
        <f t="shared" si="243"/>
        <v>0</v>
      </c>
      <c r="X146" s="215">
        <f t="shared" si="243"/>
        <v>0</v>
      </c>
      <c r="Y146" s="215">
        <f t="shared" si="243"/>
        <v>0</v>
      </c>
      <c r="AA146" s="372"/>
      <c r="AB146" s="372"/>
      <c r="AC146" s="372"/>
      <c r="AD146" s="372"/>
      <c r="AE146" s="372"/>
      <c r="AF146" s="372"/>
      <c r="AG146" s="372"/>
      <c r="AH146" s="372"/>
      <c r="AI146" s="372"/>
      <c r="AJ146" s="372"/>
      <c r="AK146" s="372"/>
      <c r="AL146" s="372"/>
      <c r="AM146" s="372"/>
      <c r="AN146" s="372"/>
      <c r="AO146" s="372"/>
      <c r="AP146" s="372"/>
      <c r="AQ146" s="372"/>
      <c r="AR146" s="372"/>
      <c r="AS146" s="372"/>
      <c r="AT146" s="372"/>
      <c r="AU146" s="372"/>
      <c r="AV146" s="372"/>
      <c r="AW146" s="372"/>
      <c r="AX146" s="372"/>
      <c r="AY146" s="573">
        <f t="shared" si="260"/>
        <v>0</v>
      </c>
      <c r="AZ146" s="573">
        <f t="shared" si="261"/>
        <v>0</v>
      </c>
      <c r="BA146" s="573">
        <f t="shared" si="262"/>
        <v>0</v>
      </c>
      <c r="BB146" s="573">
        <f t="shared" si="263"/>
        <v>0</v>
      </c>
      <c r="BC146" s="573">
        <f t="shared" si="264"/>
        <v>0</v>
      </c>
      <c r="BD146" s="573">
        <f t="shared" si="265"/>
        <v>0</v>
      </c>
      <c r="BE146" s="573">
        <f t="shared" si="266"/>
        <v>0</v>
      </c>
      <c r="BF146" s="573">
        <f t="shared" si="267"/>
        <v>0</v>
      </c>
      <c r="BG146" s="573">
        <f t="shared" si="268"/>
        <v>0</v>
      </c>
      <c r="BH146" s="573">
        <f t="shared" si="269"/>
        <v>0</v>
      </c>
      <c r="BI146" s="573">
        <f t="shared" si="270"/>
        <v>0</v>
      </c>
      <c r="BJ146" s="573">
        <f t="shared" si="271"/>
        <v>0</v>
      </c>
      <c r="BL146" s="10">
        <f t="shared" si="245"/>
        <v>0</v>
      </c>
      <c r="BM146" s="10">
        <f t="shared" si="246"/>
        <v>0</v>
      </c>
      <c r="BN146" s="10">
        <f t="shared" si="247"/>
        <v>0</v>
      </c>
      <c r="BO146" s="10">
        <f t="shared" si="248"/>
        <v>0</v>
      </c>
      <c r="BP146" s="141"/>
      <c r="BQ146" s="141"/>
      <c r="BR146" s="141"/>
      <c r="BS146" s="141"/>
      <c r="BT146" s="141"/>
      <c r="BU146" s="141"/>
      <c r="BV146" s="141"/>
      <c r="BW146" s="141"/>
      <c r="BY146" s="12"/>
      <c r="BZ146" s="395">
        <f t="shared" si="249"/>
        <v>0</v>
      </c>
      <c r="CA146" s="12"/>
      <c r="CC146" s="7">
        <f t="shared" si="250"/>
        <v>0</v>
      </c>
      <c r="CD146" s="7">
        <f t="shared" si="251"/>
        <v>0</v>
      </c>
      <c r="CE146" s="7">
        <f t="shared" si="252"/>
        <v>0</v>
      </c>
      <c r="CF146" s="12"/>
      <c r="CG146" s="352">
        <f t="shared" si="253"/>
        <v>0</v>
      </c>
      <c r="CH146" s="352">
        <f t="shared" si="254"/>
        <v>0</v>
      </c>
      <c r="CI146" s="352">
        <f t="shared" si="255"/>
        <v>0</v>
      </c>
      <c r="CJ146" s="352">
        <f t="shared" si="256"/>
        <v>0</v>
      </c>
      <c r="CK146" s="352">
        <f t="shared" si="257"/>
        <v>0</v>
      </c>
      <c r="CL146" s="352">
        <f t="shared" si="258"/>
        <v>0</v>
      </c>
      <c r="CM146" s="352">
        <f t="shared" si="259"/>
        <v>0</v>
      </c>
      <c r="ER146" s="12"/>
      <c r="ES146" s="4">
        <v>1</v>
      </c>
      <c r="ET146" s="335">
        <v>1</v>
      </c>
      <c r="EX146" s="10" t="str">
        <f t="shared" si="242"/>
        <v>Other operating expenditure costs</v>
      </c>
    </row>
    <row r="147" spans="1:154" s="335" customFormat="1" ht="23.25" x14ac:dyDescent="0.25">
      <c r="A147" s="362" cm="1">
        <f t="array" aca="1" ref="A147" ca="1">HYPERLINK(CONCATENATE("#",CELL("address",IF(SUM($CA147:$CH147)=0,A147,INDEX($CA147:$CH147,MATCH(1,$CA147:$CH147,0))))),SUM($CA147:$CH147))</f>
        <v>0</v>
      </c>
      <c r="B147" s="170"/>
      <c r="C147" s="343" t="str">
        <f>CONCATENATE("M-", 'I&amp;E Annual'!C147)</f>
        <v>M-IE-2b-11</v>
      </c>
      <c r="D147" s="365" t="s">
        <v>960</v>
      </c>
      <c r="E147" s="348" t="str" cm="1">
        <f t="array" aca="1" ref="E147" ca="1">HYPERLINK(CONCATENATE("#",CELL("address",'BS Forecasts'!$D$215)),'BS Forecasts'!$D$213)</f>
        <v>Other Provisions</v>
      </c>
      <c r="H147" s="335" t="s">
        <v>86</v>
      </c>
      <c r="T147" s="25"/>
      <c r="U147" s="25"/>
      <c r="V147" s="153">
        <f>'BS Forecasts'!V$215</f>
        <v>0</v>
      </c>
      <c r="W147" s="153">
        <f>'BS Forecasts'!W$215</f>
        <v>0</v>
      </c>
      <c r="X147" s="153">
        <f>'BS Forecasts'!X$215</f>
        <v>0</v>
      </c>
      <c r="Y147" s="153">
        <f>'BS Forecasts'!Y$215</f>
        <v>0</v>
      </c>
      <c r="AA147" s="153">
        <f>'BS Forecasts'!AA$215</f>
        <v>0</v>
      </c>
      <c r="AB147" s="153">
        <f>'BS Forecasts'!AB$215</f>
        <v>0</v>
      </c>
      <c r="AC147" s="153">
        <f>'BS Forecasts'!AC$215</f>
        <v>0</v>
      </c>
      <c r="AD147" s="153">
        <f>'BS Forecasts'!AD$215</f>
        <v>0</v>
      </c>
      <c r="AE147" s="153">
        <f>'BS Forecasts'!AE$215</f>
        <v>0</v>
      </c>
      <c r="AF147" s="153">
        <f>'BS Forecasts'!AF$215</f>
        <v>0</v>
      </c>
      <c r="AG147" s="153">
        <f>'BS Forecasts'!AG$215</f>
        <v>0</v>
      </c>
      <c r="AH147" s="153">
        <f>'BS Forecasts'!AH$215</f>
        <v>0</v>
      </c>
      <c r="AI147" s="153">
        <f>'BS Forecasts'!AI$215</f>
        <v>0</v>
      </c>
      <c r="AJ147" s="153">
        <f>'BS Forecasts'!AJ$215</f>
        <v>0</v>
      </c>
      <c r="AK147" s="153">
        <f>'BS Forecasts'!AK$215</f>
        <v>0</v>
      </c>
      <c r="AL147" s="153">
        <f>'BS Forecasts'!AL$215</f>
        <v>0</v>
      </c>
      <c r="AM147" s="153">
        <f>'BS Forecasts'!AM$215</f>
        <v>0</v>
      </c>
      <c r="AN147" s="153">
        <f>'BS Forecasts'!AN$215</f>
        <v>0</v>
      </c>
      <c r="AO147" s="153">
        <f>'BS Forecasts'!AO$215</f>
        <v>0</v>
      </c>
      <c r="AP147" s="153">
        <f>'BS Forecasts'!AP$215</f>
        <v>0</v>
      </c>
      <c r="AQ147" s="153">
        <f>'BS Forecasts'!AQ$215</f>
        <v>0</v>
      </c>
      <c r="AR147" s="153">
        <f>'BS Forecasts'!AR$215</f>
        <v>0</v>
      </c>
      <c r="AS147" s="153">
        <f>'BS Forecasts'!AS$215</f>
        <v>0</v>
      </c>
      <c r="AT147" s="153">
        <f>'BS Forecasts'!AT$215</f>
        <v>0</v>
      </c>
      <c r="AU147" s="153">
        <f>'BS Forecasts'!AU$215</f>
        <v>0</v>
      </c>
      <c r="AV147" s="153">
        <f>'BS Forecasts'!AV$215</f>
        <v>0</v>
      </c>
      <c r="AW147" s="153">
        <f>'BS Forecasts'!AW$215</f>
        <v>0</v>
      </c>
      <c r="AX147" s="153">
        <f>'BS Forecasts'!AX$215</f>
        <v>0</v>
      </c>
      <c r="AY147" s="153">
        <f>'BS Forecasts'!AY$215</f>
        <v>0</v>
      </c>
      <c r="AZ147" s="153">
        <f>'BS Forecasts'!AZ$215</f>
        <v>0</v>
      </c>
      <c r="BA147" s="153">
        <f>'BS Forecasts'!BA$215</f>
        <v>0</v>
      </c>
      <c r="BB147" s="153">
        <f>'BS Forecasts'!BB$215</f>
        <v>0</v>
      </c>
      <c r="BC147" s="153">
        <f>'BS Forecasts'!BC$215</f>
        <v>0</v>
      </c>
      <c r="BD147" s="153">
        <f>'BS Forecasts'!BD$215</f>
        <v>0</v>
      </c>
      <c r="BE147" s="153">
        <f>'BS Forecasts'!BE$215</f>
        <v>0</v>
      </c>
      <c r="BF147" s="153">
        <f>'BS Forecasts'!BF$215</f>
        <v>0</v>
      </c>
      <c r="BG147" s="153">
        <f>'BS Forecasts'!BG$215</f>
        <v>0</v>
      </c>
      <c r="BH147" s="153">
        <f>'BS Forecasts'!BH$215</f>
        <v>0</v>
      </c>
      <c r="BI147" s="153">
        <f>'BS Forecasts'!BI$215</f>
        <v>0</v>
      </c>
      <c r="BJ147" s="153">
        <f>'BS Forecasts'!BJ$215</f>
        <v>0</v>
      </c>
      <c r="BL147" s="153">
        <f>'BS Forecasts'!BL$215</f>
        <v>0</v>
      </c>
      <c r="BM147" s="153">
        <f>'BS Forecasts'!BM$215</f>
        <v>0</v>
      </c>
      <c r="BN147" s="153">
        <f>'BS Forecasts'!BN$215</f>
        <v>0</v>
      </c>
      <c r="BO147" s="153">
        <f>'BS Forecasts'!BO$215</f>
        <v>0</v>
      </c>
      <c r="BP147" s="153">
        <f>'BS Forecasts'!BP$215</f>
        <v>0</v>
      </c>
      <c r="BQ147" s="153">
        <f>'BS Forecasts'!BQ$215</f>
        <v>0</v>
      </c>
      <c r="BR147" s="153">
        <f>'BS Forecasts'!BR$215</f>
        <v>0</v>
      </c>
      <c r="BS147" s="153">
        <f>'BS Forecasts'!BS$215</f>
        <v>0</v>
      </c>
      <c r="BT147" s="153">
        <f>'BS Forecasts'!BT$215</f>
        <v>0</v>
      </c>
      <c r="BU147" s="153">
        <f>'BS Forecasts'!BU$215</f>
        <v>0</v>
      </c>
      <c r="BV147" s="153">
        <f>'BS Forecasts'!BV$215</f>
        <v>0</v>
      </c>
      <c r="BW147" s="153">
        <f>'BS Forecasts'!BW$215</f>
        <v>0</v>
      </c>
      <c r="BY147" s="12"/>
      <c r="BZ147" s="162"/>
      <c r="CA147" s="12"/>
      <c r="CC147" s="7">
        <f t="shared" si="250"/>
        <v>0</v>
      </c>
      <c r="CD147" s="7">
        <f t="shared" si="251"/>
        <v>0</v>
      </c>
      <c r="CE147" s="7">
        <f t="shared" si="252"/>
        <v>0</v>
      </c>
      <c r="CF147" s="12"/>
      <c r="CG147" s="352">
        <f t="shared" si="253"/>
        <v>0</v>
      </c>
      <c r="CH147" s="352">
        <f t="shared" si="254"/>
        <v>0</v>
      </c>
      <c r="CI147" s="352">
        <f t="shared" si="255"/>
        <v>0</v>
      </c>
      <c r="CJ147" s="352">
        <f t="shared" si="256"/>
        <v>0</v>
      </c>
      <c r="CK147" s="352">
        <f t="shared" si="257"/>
        <v>0</v>
      </c>
      <c r="CL147" s="352">
        <f t="shared" si="258"/>
        <v>0</v>
      </c>
      <c r="CM147" s="352">
        <f t="shared" si="259"/>
        <v>0</v>
      </c>
      <c r="ER147" s="12"/>
      <c r="ES147" s="335">
        <v>0</v>
      </c>
      <c r="ET147" s="335">
        <v>0</v>
      </c>
      <c r="EX147" s="10" t="str">
        <f t="shared" si="242"/>
        <v>Provisions made (released)</v>
      </c>
    </row>
    <row r="148" spans="1:154" s="323" customFormat="1" hidden="1" x14ac:dyDescent="0.25">
      <c r="A148" s="362" cm="1">
        <f t="array" aca="1" ref="A148" ca="1">HYPERLINK(CONCATENATE("#",CELL("address",IF(SUM($CA148:$CH148)=0,A148,INDEX($CA148:$CH148,MATCH(1,$CA148:$CH148,0))))),SUM($CA148:$CH148))</f>
        <v>0</v>
      </c>
      <c r="B148" s="335"/>
      <c r="C148" s="383"/>
      <c r="D148" s="132" t="s">
        <v>2316</v>
      </c>
      <c r="E148" s="335"/>
      <c r="F148" s="335"/>
      <c r="G148" s="8"/>
      <c r="H148" s="335"/>
      <c r="I148" s="335"/>
      <c r="J148" s="335"/>
      <c r="K148" s="335"/>
      <c r="L148" s="335"/>
      <c r="M148" s="335"/>
      <c r="N148" s="335"/>
      <c r="O148" s="335"/>
      <c r="P148" s="335"/>
      <c r="Q148" s="335"/>
      <c r="R148" s="335"/>
      <c r="S148" s="93"/>
      <c r="T148" s="25"/>
      <c r="U148" s="25"/>
      <c r="V148" s="349"/>
      <c r="W148" s="349"/>
      <c r="X148" s="349"/>
      <c r="Y148" s="349"/>
      <c r="Z148" s="93"/>
      <c r="AA148" s="349"/>
      <c r="AB148" s="349"/>
      <c r="AC148" s="349"/>
      <c r="AD148" s="349"/>
      <c r="AE148" s="349"/>
      <c r="AF148" s="349"/>
      <c r="AG148" s="349"/>
      <c r="AH148" s="349"/>
      <c r="AI148" s="349"/>
      <c r="AJ148" s="349"/>
      <c r="AK148" s="349"/>
      <c r="AL148" s="349"/>
      <c r="AM148" s="349"/>
      <c r="AN148" s="349"/>
      <c r="AO148" s="349"/>
      <c r="AP148" s="349"/>
      <c r="AQ148" s="349"/>
      <c r="AR148" s="349"/>
      <c r="AS148" s="349"/>
      <c r="AT148" s="349"/>
      <c r="AU148" s="349"/>
      <c r="AV148" s="349"/>
      <c r="AW148" s="349"/>
      <c r="AX148" s="349"/>
      <c r="AY148" s="349"/>
      <c r="AZ148" s="349"/>
      <c r="BA148" s="349"/>
      <c r="BB148" s="349"/>
      <c r="BC148" s="349"/>
      <c r="BD148" s="349"/>
      <c r="BE148" s="349"/>
      <c r="BF148" s="349"/>
      <c r="BG148" s="349"/>
      <c r="BH148" s="349"/>
      <c r="BI148" s="349"/>
      <c r="BJ148" s="349"/>
      <c r="BK148" s="93"/>
      <c r="BL148" s="349"/>
      <c r="BM148" s="349"/>
      <c r="BN148" s="349"/>
      <c r="BO148" s="349"/>
      <c r="BP148" s="349"/>
      <c r="BQ148" s="349"/>
      <c r="BR148" s="349"/>
      <c r="BS148" s="349"/>
      <c r="BT148" s="349"/>
      <c r="BU148" s="349"/>
      <c r="BV148" s="349"/>
      <c r="BW148" s="349"/>
      <c r="BX148" s="335"/>
      <c r="BY148" s="12"/>
      <c r="BZ148" s="395">
        <f t="shared" si="249"/>
        <v>0</v>
      </c>
      <c r="CA148" s="12"/>
      <c r="CB148" s="335"/>
      <c r="CC148" s="7">
        <f t="shared" si="250"/>
        <v>0</v>
      </c>
      <c r="CD148" s="7">
        <f t="shared" si="251"/>
        <v>0</v>
      </c>
      <c r="CE148" s="7">
        <f t="shared" si="252"/>
        <v>0</v>
      </c>
      <c r="CF148" s="12"/>
      <c r="CG148" s="352">
        <f t="shared" si="253"/>
        <v>0</v>
      </c>
      <c r="CH148" s="352">
        <f t="shared" si="254"/>
        <v>0</v>
      </c>
      <c r="CI148" s="352">
        <f t="shared" si="255"/>
        <v>0</v>
      </c>
      <c r="CJ148" s="352">
        <f t="shared" si="256"/>
        <v>0</v>
      </c>
      <c r="CK148" s="352">
        <f t="shared" si="257"/>
        <v>0</v>
      </c>
      <c r="CL148" s="352">
        <f t="shared" si="258"/>
        <v>0</v>
      </c>
      <c r="CM148" s="352">
        <f t="shared" si="259"/>
        <v>0</v>
      </c>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12"/>
      <c r="ES148" s="323">
        <v>1</v>
      </c>
      <c r="ET148" s="335">
        <v>1</v>
      </c>
      <c r="EU148" s="335"/>
      <c r="EV148" s="335"/>
      <c r="EX148" s="10" t="str">
        <f t="shared" si="242"/>
        <v/>
      </c>
    </row>
    <row r="149" spans="1:154" s="323" customFormat="1" hidden="1" x14ac:dyDescent="0.25">
      <c r="A149" s="362" cm="1">
        <f t="array" aca="1" ref="A149" ca="1">HYPERLINK(CONCATENATE("#",CELL("address",IF(SUM($CA149:$CH149)=0,A149,INDEX($CA149:$CH149,MATCH(1,$CA149:$CH149,0))))),SUM($CA149:$CH149))</f>
        <v>0</v>
      </c>
      <c r="C149" s="383"/>
      <c r="D149" s="132" t="s">
        <v>2316</v>
      </c>
      <c r="G149" s="8"/>
      <c r="I149" s="335"/>
      <c r="Q149" s="335"/>
      <c r="R149" s="335"/>
      <c r="S149" s="93"/>
      <c r="T149" s="25"/>
      <c r="U149" s="25"/>
      <c r="V149" s="136"/>
      <c r="W149" s="136"/>
      <c r="X149" s="136"/>
      <c r="Y149" s="136"/>
      <c r="Z149" s="93"/>
      <c r="AA149" s="136"/>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93"/>
      <c r="BL149" s="136"/>
      <c r="BM149" s="136"/>
      <c r="BN149" s="136"/>
      <c r="BO149" s="136"/>
      <c r="BP149" s="136"/>
      <c r="BQ149" s="136"/>
      <c r="BR149" s="136"/>
      <c r="BS149" s="136"/>
      <c r="BT149" s="136"/>
      <c r="BU149" s="136"/>
      <c r="BV149" s="136"/>
      <c r="BW149" s="136"/>
      <c r="BY149" s="12"/>
      <c r="BZ149" s="395">
        <f t="shared" si="249"/>
        <v>0</v>
      </c>
      <c r="CA149" s="12"/>
      <c r="CC149" s="7">
        <f t="shared" si="250"/>
        <v>0</v>
      </c>
      <c r="CD149" s="7">
        <f t="shared" si="251"/>
        <v>0</v>
      </c>
      <c r="CE149" s="7">
        <f t="shared" si="252"/>
        <v>0</v>
      </c>
      <c r="CF149" s="12"/>
      <c r="CG149" s="352">
        <f t="shared" si="253"/>
        <v>0</v>
      </c>
      <c r="CH149" s="352">
        <f t="shared" si="254"/>
        <v>0</v>
      </c>
      <c r="CI149" s="352">
        <f t="shared" si="255"/>
        <v>0</v>
      </c>
      <c r="CJ149" s="352">
        <f t="shared" si="256"/>
        <v>0</v>
      </c>
      <c r="CK149" s="352">
        <f t="shared" si="257"/>
        <v>0</v>
      </c>
      <c r="CL149" s="352">
        <f t="shared" si="258"/>
        <v>0</v>
      </c>
      <c r="CM149" s="352">
        <f t="shared" si="259"/>
        <v>0</v>
      </c>
      <c r="ER149" s="12"/>
      <c r="ES149" s="323">
        <v>1</v>
      </c>
      <c r="ET149" s="335">
        <v>1</v>
      </c>
      <c r="EU149" s="335"/>
      <c r="EV149" s="335"/>
      <c r="EX149" s="10" t="str">
        <f t="shared" si="242"/>
        <v/>
      </c>
    </row>
    <row r="150" spans="1:154" s="323" customFormat="1" hidden="1" x14ac:dyDescent="0.25">
      <c r="A150" s="362" cm="1">
        <f t="array" aca="1" ref="A150" ca="1">HYPERLINK(CONCATENATE("#",CELL("address",IF(SUM($CA150:$CH150)=0,A150,INDEX($CA150:$CH150,MATCH(1,$CA150:$CH150,0))))),SUM($CA150:$CH150))</f>
        <v>0</v>
      </c>
      <c r="C150" s="383"/>
      <c r="D150" s="132" t="s">
        <v>2316</v>
      </c>
      <c r="G150" s="8"/>
      <c r="I150" s="335"/>
      <c r="Q150" s="335"/>
      <c r="R150" s="335"/>
      <c r="S150" s="93"/>
      <c r="T150" s="25"/>
      <c r="U150" s="25"/>
      <c r="V150" s="136"/>
      <c r="W150" s="136"/>
      <c r="X150" s="136"/>
      <c r="Y150" s="136"/>
      <c r="Z150" s="93"/>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93"/>
      <c r="BL150" s="136"/>
      <c r="BM150" s="136"/>
      <c r="BN150" s="136"/>
      <c r="BO150" s="136"/>
      <c r="BP150" s="136"/>
      <c r="BQ150" s="136"/>
      <c r="BR150" s="136"/>
      <c r="BS150" s="136"/>
      <c r="BT150" s="136"/>
      <c r="BU150" s="136"/>
      <c r="BV150" s="136"/>
      <c r="BW150" s="136"/>
      <c r="BY150" s="12"/>
      <c r="BZ150" s="395">
        <f t="shared" si="249"/>
        <v>0</v>
      </c>
      <c r="CA150" s="12"/>
      <c r="CC150" s="7">
        <f t="shared" si="250"/>
        <v>0</v>
      </c>
      <c r="CD150" s="7">
        <f t="shared" si="251"/>
        <v>0</v>
      </c>
      <c r="CE150" s="7">
        <f t="shared" si="252"/>
        <v>0</v>
      </c>
      <c r="CF150" s="12"/>
      <c r="CG150" s="352">
        <f t="shared" si="253"/>
        <v>0</v>
      </c>
      <c r="CH150" s="352">
        <f t="shared" si="254"/>
        <v>0</v>
      </c>
      <c r="CI150" s="352">
        <f t="shared" si="255"/>
        <v>0</v>
      </c>
      <c r="CJ150" s="352">
        <f t="shared" si="256"/>
        <v>0</v>
      </c>
      <c r="CK150" s="352">
        <f t="shared" si="257"/>
        <v>0</v>
      </c>
      <c r="CL150" s="352">
        <f t="shared" si="258"/>
        <v>0</v>
      </c>
      <c r="CM150" s="352">
        <f t="shared" si="259"/>
        <v>0</v>
      </c>
      <c r="ER150" s="12"/>
      <c r="ES150" s="323">
        <v>1</v>
      </c>
      <c r="ET150" s="335">
        <v>1</v>
      </c>
      <c r="EU150" s="335"/>
      <c r="EV150" s="335"/>
      <c r="EX150" s="10" t="str">
        <f t="shared" si="242"/>
        <v/>
      </c>
    </row>
    <row r="151" spans="1:154" x14ac:dyDescent="0.25">
      <c r="A151" s="362" cm="1">
        <f t="array" aca="1" ref="A151" ca="1">HYPERLINK(CONCATENATE("#",CELL("address",IF(SUM($CA151:$CH151)=0,A151,INDEX($CA151:$CH151,MATCH(1,$CA151:$CH151,0))))),SUM($CA151:$CH151))</f>
        <v>0</v>
      </c>
      <c r="C151" s="343" t="str">
        <f>CONCATENATE("M-", 'I&amp;E Annual'!C151)</f>
        <v>M-IE-2b</v>
      </c>
      <c r="D151" s="133" t="s">
        <v>65</v>
      </c>
      <c r="E151" s="5"/>
      <c r="G151" s="5"/>
      <c r="I151" s="335"/>
      <c r="Q151" s="335"/>
      <c r="R151" s="335"/>
      <c r="S151" s="93"/>
      <c r="T151" s="25"/>
      <c r="U151" s="25"/>
      <c r="V151" s="13">
        <f>SUM(V137:V150)</f>
        <v>0</v>
      </c>
      <c r="W151" s="13">
        <f>SUM(W137:W150)</f>
        <v>8553</v>
      </c>
      <c r="X151" s="13">
        <f>SUM(X137:X150)</f>
        <v>9022</v>
      </c>
      <c r="Y151" s="13">
        <f>SUM(Y137:Y150)</f>
        <v>9252.2549999999992</v>
      </c>
      <c r="Z151" s="93"/>
      <c r="AA151" s="13">
        <f t="shared" ref="AA151:BJ151" si="274">SUM(AA137:AA150)</f>
        <v>310</v>
      </c>
      <c r="AB151" s="13">
        <f t="shared" si="274"/>
        <v>595</v>
      </c>
      <c r="AC151" s="13">
        <f t="shared" si="274"/>
        <v>730</v>
      </c>
      <c r="AD151" s="13">
        <f t="shared" si="274"/>
        <v>832</v>
      </c>
      <c r="AE151" s="13">
        <f t="shared" si="274"/>
        <v>697</v>
      </c>
      <c r="AF151" s="13">
        <f t="shared" si="274"/>
        <v>664</v>
      </c>
      <c r="AG151" s="13">
        <f t="shared" si="274"/>
        <v>518</v>
      </c>
      <c r="AH151" s="13">
        <f t="shared" si="274"/>
        <v>787</v>
      </c>
      <c r="AI151" s="13">
        <f t="shared" si="274"/>
        <v>635</v>
      </c>
      <c r="AJ151" s="13">
        <f t="shared" si="274"/>
        <v>1022</v>
      </c>
      <c r="AK151" s="13">
        <f t="shared" si="274"/>
        <v>960</v>
      </c>
      <c r="AL151" s="13">
        <f t="shared" si="274"/>
        <v>803</v>
      </c>
      <c r="AM151" s="13">
        <f t="shared" si="274"/>
        <v>395</v>
      </c>
      <c r="AN151" s="13">
        <f t="shared" si="274"/>
        <v>605</v>
      </c>
      <c r="AO151" s="13">
        <f t="shared" si="274"/>
        <v>740</v>
      </c>
      <c r="AP151" s="13">
        <f t="shared" si="274"/>
        <v>842</v>
      </c>
      <c r="AQ151" s="13">
        <f t="shared" si="274"/>
        <v>757</v>
      </c>
      <c r="AR151" s="13">
        <f t="shared" si="274"/>
        <v>716</v>
      </c>
      <c r="AS151" s="13">
        <f t="shared" si="274"/>
        <v>792</v>
      </c>
      <c r="AT151" s="13">
        <f t="shared" si="274"/>
        <v>861</v>
      </c>
      <c r="AU151" s="13">
        <f t="shared" si="274"/>
        <v>797</v>
      </c>
      <c r="AV151" s="13">
        <f t="shared" si="274"/>
        <v>937</v>
      </c>
      <c r="AW151" s="13">
        <f t="shared" si="274"/>
        <v>852</v>
      </c>
      <c r="AX151" s="13">
        <f t="shared" si="274"/>
        <v>728</v>
      </c>
      <c r="AY151" s="13">
        <f t="shared" si="274"/>
        <v>405.68</v>
      </c>
      <c r="AZ151" s="13">
        <f t="shared" si="274"/>
        <v>620.99</v>
      </c>
      <c r="BA151" s="13">
        <f t="shared" si="274"/>
        <v>759.32499999999993</v>
      </c>
      <c r="BB151" s="13">
        <f t="shared" si="274"/>
        <v>862.52499999999998</v>
      </c>
      <c r="BC151" s="13">
        <f t="shared" si="274"/>
        <v>775</v>
      </c>
      <c r="BD151" s="13">
        <f t="shared" si="274"/>
        <v>735.21499999999992</v>
      </c>
      <c r="BE151" s="13">
        <f t="shared" si="274"/>
        <v>811.59</v>
      </c>
      <c r="BF151" s="13">
        <f t="shared" si="274"/>
        <v>881.93</v>
      </c>
      <c r="BG151" s="13">
        <f t="shared" si="274"/>
        <v>817.245</v>
      </c>
      <c r="BH151" s="13">
        <f t="shared" si="274"/>
        <v>961.56000000000006</v>
      </c>
      <c r="BI151" s="13">
        <f t="shared" si="274"/>
        <v>874.07500000000005</v>
      </c>
      <c r="BJ151" s="13">
        <f t="shared" si="274"/>
        <v>747.12000000000012</v>
      </c>
      <c r="BK151" s="93"/>
      <c r="BL151" s="13">
        <f t="shared" ref="BL151:BW151" si="275">SUM(BL137:BL150)</f>
        <v>0</v>
      </c>
      <c r="BM151" s="13">
        <f t="shared" si="275"/>
        <v>8553</v>
      </c>
      <c r="BN151" s="13">
        <f t="shared" si="275"/>
        <v>9022</v>
      </c>
      <c r="BO151" s="13">
        <f t="shared" si="275"/>
        <v>9252.2549999999992</v>
      </c>
      <c r="BP151" s="13">
        <f t="shared" si="275"/>
        <v>0</v>
      </c>
      <c r="BQ151" s="13">
        <f t="shared" si="275"/>
        <v>0</v>
      </c>
      <c r="BR151" s="13">
        <f t="shared" si="275"/>
        <v>0</v>
      </c>
      <c r="BS151" s="13">
        <f t="shared" si="275"/>
        <v>0</v>
      </c>
      <c r="BT151" s="13">
        <f t="shared" si="275"/>
        <v>0</v>
      </c>
      <c r="BU151" s="13">
        <f t="shared" si="275"/>
        <v>0</v>
      </c>
      <c r="BV151" s="13">
        <f t="shared" si="275"/>
        <v>0</v>
      </c>
      <c r="BW151" s="13">
        <f t="shared" si="275"/>
        <v>0</v>
      </c>
      <c r="BY151" s="12"/>
      <c r="BZ151" s="395">
        <f>IF(MIN($V151:$BW151)&lt;0, 1, 0)</f>
        <v>0</v>
      </c>
      <c r="CA151" s="12"/>
      <c r="CC151" s="7">
        <f t="shared" si="250"/>
        <v>0</v>
      </c>
      <c r="CD151" s="7">
        <f t="shared" si="251"/>
        <v>0</v>
      </c>
      <c r="CE151" s="7">
        <f t="shared" si="252"/>
        <v>0</v>
      </c>
      <c r="CF151" s="12"/>
      <c r="CG151" s="352">
        <f t="shared" si="253"/>
        <v>0</v>
      </c>
      <c r="CH151" s="352">
        <f t="shared" si="254"/>
        <v>0</v>
      </c>
      <c r="CI151" s="352">
        <f t="shared" si="255"/>
        <v>0</v>
      </c>
      <c r="CJ151" s="352">
        <f t="shared" si="256"/>
        <v>0</v>
      </c>
      <c r="CK151" s="352">
        <f t="shared" si="257"/>
        <v>0</v>
      </c>
      <c r="CL151" s="352">
        <f t="shared" si="258"/>
        <v>0</v>
      </c>
      <c r="CM151" s="352">
        <f t="shared" si="259"/>
        <v>0</v>
      </c>
      <c r="ER151" s="12"/>
      <c r="ES151">
        <v>0</v>
      </c>
      <c r="ET151" s="335">
        <v>0</v>
      </c>
      <c r="EX151" s="10" t="str">
        <f t="shared" si="242"/>
        <v>Total Other operating expenditure</v>
      </c>
    </row>
    <row r="152" spans="1:154" s="335" customFormat="1" ht="12" customHeight="1" x14ac:dyDescent="0.25">
      <c r="C152" s="383"/>
      <c r="D152" s="69"/>
      <c r="T152" s="25"/>
      <c r="U152" s="25"/>
      <c r="Z152" s="93"/>
      <c r="BM152" s="6"/>
      <c r="BY152" s="42"/>
      <c r="BZ152" s="162"/>
      <c r="CA152" s="42"/>
      <c r="CF152" s="42"/>
      <c r="ER152" s="42"/>
      <c r="ES152" s="335">
        <v>0</v>
      </c>
      <c r="ET152" s="335">
        <v>0</v>
      </c>
      <c r="EX152" s="10" t="str">
        <f t="shared" si="242"/>
        <v/>
      </c>
    </row>
    <row r="153" spans="1:154" x14ac:dyDescent="0.25">
      <c r="A153" s="335"/>
      <c r="B153" s="82"/>
      <c r="C153" s="386"/>
      <c r="D153" s="133" t="s">
        <v>68</v>
      </c>
      <c r="E153" s="5"/>
      <c r="I153" s="335"/>
      <c r="Q153" s="335"/>
      <c r="R153" s="335"/>
      <c r="S153" s="335"/>
      <c r="T153" s="25"/>
      <c r="U153" s="25"/>
      <c r="V153" s="25"/>
      <c r="W153" s="25"/>
      <c r="X153" s="25"/>
      <c r="Y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L153" s="25"/>
      <c r="BM153" s="25"/>
      <c r="BN153" s="25"/>
      <c r="BO153" s="25"/>
      <c r="BP153" s="25"/>
      <c r="BQ153" s="25"/>
      <c r="BR153" s="25"/>
      <c r="BS153" s="25"/>
      <c r="BT153" s="25"/>
      <c r="BU153" s="25"/>
      <c r="BV153" s="25"/>
      <c r="BW153" s="25"/>
      <c r="BY153" s="12"/>
      <c r="CA153" s="12"/>
      <c r="CF153" s="12"/>
      <c r="ER153" s="12"/>
      <c r="ES153">
        <v>0</v>
      </c>
      <c r="ET153" s="335">
        <v>0</v>
      </c>
      <c r="EX153" s="10" t="str">
        <f t="shared" si="242"/>
        <v/>
      </c>
    </row>
    <row r="154" spans="1:154" ht="30" x14ac:dyDescent="0.25">
      <c r="A154" s="362" cm="1">
        <f t="array" aca="1" ref="A154" ca="1">HYPERLINK(CONCATENATE("#",CELL("address",IF(SUM($CA154:$CH154)=0,A154,INDEX($CA154:$CH154,MATCH(1,$CA154:$CH154,0))))),SUM($CA154:$CH154))</f>
        <v>0</v>
      </c>
      <c r="C154" s="343" t="str">
        <f>CONCATENATE("M-", 'I&amp;E Annual'!C154)</f>
        <v>M-IE-2c-1</v>
      </c>
      <c r="D154" s="132" t="s">
        <v>2505</v>
      </c>
      <c r="H154" t="s">
        <v>86</v>
      </c>
      <c r="I154" s="335"/>
      <c r="Q154" s="335"/>
      <c r="R154" s="335"/>
      <c r="S154" s="335"/>
      <c r="T154" s="25"/>
      <c r="U154" s="25"/>
      <c r="V154" s="141"/>
      <c r="W154" s="215">
        <f t="shared" ref="W154:Y154" si="276" xml:space="preserve"> SUMIFS($AA154:$BJ154, $AA$3:$BJ$3, W$3)</f>
        <v>80</v>
      </c>
      <c r="X154" s="215">
        <f t="shared" si="276"/>
        <v>0</v>
      </c>
      <c r="Y154" s="215">
        <f t="shared" si="276"/>
        <v>0</v>
      </c>
      <c r="AA154" s="372"/>
      <c r="AB154" s="372"/>
      <c r="AC154" s="372"/>
      <c r="AD154" s="372"/>
      <c r="AE154" s="372"/>
      <c r="AF154" s="372"/>
      <c r="AG154" s="372">
        <v>37</v>
      </c>
      <c r="AH154" s="372">
        <v>12</v>
      </c>
      <c r="AI154" s="372"/>
      <c r="AJ154" s="372">
        <v>13</v>
      </c>
      <c r="AK154" s="372">
        <v>18</v>
      </c>
      <c r="AL154" s="372"/>
      <c r="AM154" s="372"/>
      <c r="AN154" s="372"/>
      <c r="AO154" s="372"/>
      <c r="AP154" s="372"/>
      <c r="AQ154" s="372"/>
      <c r="AR154" s="372"/>
      <c r="AS154" s="372"/>
      <c r="AT154" s="372"/>
      <c r="AU154" s="372"/>
      <c r="AV154" s="372"/>
      <c r="AW154" s="372"/>
      <c r="AX154" s="372"/>
      <c r="AY154" s="372"/>
      <c r="AZ154" s="372"/>
      <c r="BA154" s="372"/>
      <c r="BB154" s="372"/>
      <c r="BC154" s="372"/>
      <c r="BD154" s="372"/>
      <c r="BE154" s="372"/>
      <c r="BF154" s="372"/>
      <c r="BG154" s="372"/>
      <c r="BH154" s="372"/>
      <c r="BI154" s="372"/>
      <c r="BJ154" s="372"/>
      <c r="BL154" s="10">
        <f t="shared" ref="BL154:BO154" si="277">V154</f>
        <v>0</v>
      </c>
      <c r="BM154" s="10">
        <f t="shared" si="277"/>
        <v>80</v>
      </c>
      <c r="BN154" s="10">
        <f t="shared" si="277"/>
        <v>0</v>
      </c>
      <c r="BO154" s="10">
        <f t="shared" si="277"/>
        <v>0</v>
      </c>
      <c r="BP154" s="141"/>
      <c r="BQ154" s="141"/>
      <c r="BR154" s="141"/>
      <c r="BS154" s="141"/>
      <c r="BT154" s="141"/>
      <c r="BU154" s="141"/>
      <c r="BV154" s="141"/>
      <c r="BW154" s="141"/>
      <c r="BY154" s="12"/>
      <c r="BZ154" s="395">
        <f>IF(MIN($V154:$BW154)&lt;0, 1, 0)</f>
        <v>0</v>
      </c>
      <c r="CA154" s="12"/>
      <c r="CC154" s="7">
        <f t="shared" ref="CC154:CC156" si="278">IF(SUM($CG154:$CI154)=0, 0, 1)</f>
        <v>0</v>
      </c>
      <c r="CD154" s="7">
        <f t="shared" ref="CD154:CD156" si="279">IF(SUM($CJ154:$CL154)=0, 0, 1)</f>
        <v>0</v>
      </c>
      <c r="CE154" s="7">
        <f t="shared" ref="CE154:CE156" si="280">IF($CM154=0, 0, 1)</f>
        <v>0</v>
      </c>
      <c r="CF154" s="12"/>
      <c r="CG154" s="352">
        <f t="shared" ref="CG154:CI156" si="281">ROUND(W154-SUMIFS($AA154:$BJ154, $AA$3:$BJ$3, W$3), rounding)</f>
        <v>0</v>
      </c>
      <c r="CH154" s="352">
        <f t="shared" si="281"/>
        <v>0</v>
      </c>
      <c r="CI154" s="352">
        <f t="shared" si="281"/>
        <v>0</v>
      </c>
      <c r="CJ154" s="352">
        <f>ROUND($BM154-SUMIFS($AA154:$BJ154, $AA$3:$BJ$3, $BM$3), rounding)</f>
        <v>0</v>
      </c>
      <c r="CK154" s="352">
        <f>ROUND($BN154-SUMIFS($AA154:$BJ154, $AA$3:$BJ$3, $BN$3), rounding)</f>
        <v>0</v>
      </c>
      <c r="CL154" s="352">
        <f>ROUND($BO154-SUMIFS($AA154:$BJ154, $AA$3:$BJ$3, $BO$3), rounding)</f>
        <v>0</v>
      </c>
      <c r="CM154" s="352">
        <f>ROUND($V154-$BL154, rounding)</f>
        <v>0</v>
      </c>
      <c r="ER154" s="12"/>
      <c r="ES154" s="4">
        <v>1</v>
      </c>
      <c r="ET154" s="335">
        <v>1</v>
      </c>
      <c r="EX154" s="10" t="str">
        <f t="shared" si="242"/>
        <v>Staff restructuring costs  (excl. enhanced pension costs)</v>
      </c>
    </row>
    <row r="155" spans="1:154" ht="33.75" x14ac:dyDescent="0.25">
      <c r="A155" s="362" cm="1">
        <f t="array" aca="1" ref="A155" ca="1">HYPERLINK(CONCATENATE("#",CELL("address",IF(SUM($CA155:$CH155)=0,A155,INDEX($CA155:$CH155,MATCH(1,$CA155:$CH155,0))))),SUM($CA155:$CH155))</f>
        <v>0</v>
      </c>
      <c r="C155" s="343" t="str">
        <f>CONCATENATE("M-", 'I&amp;E Annual'!C155)</f>
        <v>M-IE-2c-2</v>
      </c>
      <c r="D155" s="132" t="s">
        <v>69</v>
      </c>
      <c r="E155" s="470" t="str" cm="1">
        <f t="array" aca="1" ref="E155" ca="1">HYPERLINK(CONCATENATE("#",CELL("address",'BS Forecasts'!$D$196)),'BS Forecasts'!$D$194)</f>
        <v>Enhanced Pension Provision</v>
      </c>
      <c r="F155" s="335"/>
      <c r="G155" s="335"/>
      <c r="H155" s="335" t="s">
        <v>86</v>
      </c>
      <c r="I155" s="335"/>
      <c r="Q155" s="335"/>
      <c r="R155" s="335"/>
      <c r="S155" s="335"/>
      <c r="T155" s="25"/>
      <c r="U155" s="25"/>
      <c r="V155" s="496">
        <f>'BS Forecasts'!V$196</f>
        <v>0</v>
      </c>
      <c r="W155" s="496">
        <f>'BS Forecasts'!W$196</f>
        <v>0</v>
      </c>
      <c r="X155" s="496">
        <f>'BS Forecasts'!X$196</f>
        <v>0</v>
      </c>
      <c r="Y155" s="496">
        <f>'BS Forecasts'!Y$196</f>
        <v>0</v>
      </c>
      <c r="Z155" s="335"/>
      <c r="AA155" s="496">
        <f>'BS Forecasts'!AA$196</f>
        <v>0</v>
      </c>
      <c r="AB155" s="496">
        <f>'BS Forecasts'!AB$196</f>
        <v>0</v>
      </c>
      <c r="AC155" s="496">
        <f>'BS Forecasts'!AC$196</f>
        <v>0</v>
      </c>
      <c r="AD155" s="496">
        <f>'BS Forecasts'!AD$196</f>
        <v>0</v>
      </c>
      <c r="AE155" s="496">
        <f>'BS Forecasts'!AE$196</f>
        <v>0</v>
      </c>
      <c r="AF155" s="496">
        <f>'BS Forecasts'!AF$196</f>
        <v>0</v>
      </c>
      <c r="AG155" s="496">
        <f>'BS Forecasts'!AG$196</f>
        <v>0</v>
      </c>
      <c r="AH155" s="496">
        <f>'BS Forecasts'!AH$196</f>
        <v>0</v>
      </c>
      <c r="AI155" s="496">
        <f>'BS Forecasts'!AI$196</f>
        <v>0</v>
      </c>
      <c r="AJ155" s="496">
        <f>'BS Forecasts'!AJ$196</f>
        <v>0</v>
      </c>
      <c r="AK155" s="496">
        <f>'BS Forecasts'!AK$196</f>
        <v>0</v>
      </c>
      <c r="AL155" s="496">
        <f>'BS Forecasts'!AL$196</f>
        <v>0</v>
      </c>
      <c r="AM155" s="496">
        <f>'BS Forecasts'!AM$196</f>
        <v>0</v>
      </c>
      <c r="AN155" s="496">
        <f>'BS Forecasts'!AN$196</f>
        <v>0</v>
      </c>
      <c r="AO155" s="496">
        <f>'BS Forecasts'!AO$196</f>
        <v>0</v>
      </c>
      <c r="AP155" s="496">
        <f>'BS Forecasts'!AP$196</f>
        <v>0</v>
      </c>
      <c r="AQ155" s="496">
        <f>'BS Forecasts'!AQ$196</f>
        <v>0</v>
      </c>
      <c r="AR155" s="496">
        <f>'BS Forecasts'!AR$196</f>
        <v>0</v>
      </c>
      <c r="AS155" s="496">
        <f>'BS Forecasts'!AS$196</f>
        <v>0</v>
      </c>
      <c r="AT155" s="496">
        <f>'BS Forecasts'!AT$196</f>
        <v>0</v>
      </c>
      <c r="AU155" s="496">
        <f>'BS Forecasts'!AU$196</f>
        <v>0</v>
      </c>
      <c r="AV155" s="496">
        <f>'BS Forecasts'!AV$196</f>
        <v>0</v>
      </c>
      <c r="AW155" s="496">
        <f>'BS Forecasts'!AW$196</f>
        <v>0</v>
      </c>
      <c r="AX155" s="496">
        <f>'BS Forecasts'!AX$196</f>
        <v>0</v>
      </c>
      <c r="AY155" s="496">
        <f>'BS Forecasts'!AY$196</f>
        <v>0</v>
      </c>
      <c r="AZ155" s="496">
        <f>'BS Forecasts'!AZ$196</f>
        <v>0</v>
      </c>
      <c r="BA155" s="496">
        <f>'BS Forecasts'!BA$196</f>
        <v>0</v>
      </c>
      <c r="BB155" s="496">
        <f>'BS Forecasts'!BB$196</f>
        <v>0</v>
      </c>
      <c r="BC155" s="496">
        <f>'BS Forecasts'!BC$196</f>
        <v>0</v>
      </c>
      <c r="BD155" s="496">
        <f>'BS Forecasts'!BD$196</f>
        <v>0</v>
      </c>
      <c r="BE155" s="496">
        <f>'BS Forecasts'!BE$196</f>
        <v>0</v>
      </c>
      <c r="BF155" s="496">
        <f>'BS Forecasts'!BF$196</f>
        <v>0</v>
      </c>
      <c r="BG155" s="496">
        <f>'BS Forecasts'!BG$196</f>
        <v>0</v>
      </c>
      <c r="BH155" s="496">
        <f>'BS Forecasts'!BH$196</f>
        <v>0</v>
      </c>
      <c r="BI155" s="496">
        <f>'BS Forecasts'!BI$196</f>
        <v>0</v>
      </c>
      <c r="BJ155" s="496">
        <f>'BS Forecasts'!BJ$196</f>
        <v>0</v>
      </c>
      <c r="BK155" s="335"/>
      <c r="BL155" s="496">
        <f>'BS Forecasts'!BL$196</f>
        <v>0</v>
      </c>
      <c r="BM155" s="496">
        <f>'BS Forecasts'!BM$196</f>
        <v>0</v>
      </c>
      <c r="BN155" s="496">
        <f>'BS Forecasts'!BN$196</f>
        <v>0</v>
      </c>
      <c r="BO155" s="496">
        <f>'BS Forecasts'!BO$196</f>
        <v>0</v>
      </c>
      <c r="BP155" s="496">
        <f>'BS Forecasts'!BP$196</f>
        <v>0</v>
      </c>
      <c r="BQ155" s="496">
        <f>'BS Forecasts'!BQ$196</f>
        <v>0</v>
      </c>
      <c r="BR155" s="496">
        <f>'BS Forecasts'!BR$196</f>
        <v>0</v>
      </c>
      <c r="BS155" s="496">
        <f>'BS Forecasts'!BS$196</f>
        <v>0</v>
      </c>
      <c r="BT155" s="496">
        <f>'BS Forecasts'!BT$196</f>
        <v>0</v>
      </c>
      <c r="BU155" s="496">
        <f>'BS Forecasts'!BU$196</f>
        <v>0</v>
      </c>
      <c r="BV155" s="496">
        <f>'BS Forecasts'!BV$196</f>
        <v>0</v>
      </c>
      <c r="BW155" s="496">
        <f>'BS Forecasts'!BW$196</f>
        <v>0</v>
      </c>
      <c r="BY155" s="12"/>
      <c r="BZ155" s="395">
        <f>IF(MIN($V155:$BW155)&lt;0, 1, 0)</f>
        <v>0</v>
      </c>
      <c r="CA155" s="12"/>
      <c r="CC155" s="7">
        <f t="shared" si="278"/>
        <v>0</v>
      </c>
      <c r="CD155" s="7">
        <f t="shared" si="279"/>
        <v>0</v>
      </c>
      <c r="CE155" s="7">
        <f t="shared" si="280"/>
        <v>0</v>
      </c>
      <c r="CF155" s="12"/>
      <c r="CG155" s="352">
        <f t="shared" si="281"/>
        <v>0</v>
      </c>
      <c r="CH155" s="352">
        <f t="shared" si="281"/>
        <v>0</v>
      </c>
      <c r="CI155" s="352">
        <f t="shared" si="281"/>
        <v>0</v>
      </c>
      <c r="CJ155" s="352">
        <f>ROUND($BM155-SUMIFS($AA155:$BJ155, $AA$3:$BJ$3, $BM$3), rounding)</f>
        <v>0</v>
      </c>
      <c r="CK155" s="352">
        <f>ROUND($BN155-SUMIFS($AA155:$BJ155, $AA$3:$BJ$3, $BN$3), rounding)</f>
        <v>0</v>
      </c>
      <c r="CL155" s="352">
        <f>ROUND($BO155-SUMIFS($AA155:$BJ155, $AA$3:$BJ$3, $BO$3), rounding)</f>
        <v>0</v>
      </c>
      <c r="CM155" s="352">
        <f>ROUND($V155-$BL155, rounding)</f>
        <v>0</v>
      </c>
      <c r="ER155" s="12"/>
      <c r="ES155" s="4">
        <v>1</v>
      </c>
      <c r="ET155" s="335">
        <v>1</v>
      </c>
      <c r="EX155" s="10" t="str">
        <f t="shared" si="242"/>
        <v>Staff restructuring enhanced pension costs</v>
      </c>
    </row>
    <row r="156" spans="1:154" x14ac:dyDescent="0.25">
      <c r="A156" s="362" cm="1">
        <f t="array" aca="1" ref="A156" ca="1">HYPERLINK(CONCATENATE("#",CELL("address",IF(SUM($CA156:$CH156)=0,A156,INDEX($CA156:$CH156,MATCH(1,$CA156:$CH156,0))))),SUM($CA156:$CH156))</f>
        <v>0</v>
      </c>
      <c r="B156" s="335"/>
      <c r="C156" s="343" t="str">
        <f>CONCATENATE("M-", 'I&amp;E Annual'!C156)</f>
        <v>M-IE-2c</v>
      </c>
      <c r="D156" s="133" t="s">
        <v>70</v>
      </c>
      <c r="E156" s="5"/>
      <c r="F156" s="335"/>
      <c r="G156" s="5"/>
      <c r="H156" s="335"/>
      <c r="I156" s="335"/>
      <c r="J156" s="335"/>
      <c r="K156" s="335"/>
      <c r="L156" s="335"/>
      <c r="M156" s="335"/>
      <c r="N156" s="335"/>
      <c r="O156" s="335"/>
      <c r="P156" s="335"/>
      <c r="Q156" s="335"/>
      <c r="R156" s="335"/>
      <c r="S156" s="335"/>
      <c r="T156" s="25"/>
      <c r="U156" s="25"/>
      <c r="V156" s="13">
        <f>SUM(V154:V155)</f>
        <v>0</v>
      </c>
      <c r="W156" s="13">
        <f>SUM(W154:W155)</f>
        <v>80</v>
      </c>
      <c r="X156" s="13">
        <f>SUM(X154:X155)</f>
        <v>0</v>
      </c>
      <c r="Y156" s="13">
        <f>SUM(Y154:Y155)</f>
        <v>0</v>
      </c>
      <c r="Z156" s="335"/>
      <c r="AA156" s="13">
        <f t="shared" ref="AA156:BJ156" si="282">SUM(AA154:AA155)</f>
        <v>0</v>
      </c>
      <c r="AB156" s="13">
        <f t="shared" si="282"/>
        <v>0</v>
      </c>
      <c r="AC156" s="13">
        <f t="shared" si="282"/>
        <v>0</v>
      </c>
      <c r="AD156" s="13">
        <f t="shared" si="282"/>
        <v>0</v>
      </c>
      <c r="AE156" s="13">
        <f t="shared" si="282"/>
        <v>0</v>
      </c>
      <c r="AF156" s="13">
        <f t="shared" si="282"/>
        <v>0</v>
      </c>
      <c r="AG156" s="13">
        <f t="shared" si="282"/>
        <v>37</v>
      </c>
      <c r="AH156" s="13">
        <f t="shared" si="282"/>
        <v>12</v>
      </c>
      <c r="AI156" s="13">
        <f t="shared" si="282"/>
        <v>0</v>
      </c>
      <c r="AJ156" s="13">
        <f t="shared" si="282"/>
        <v>13</v>
      </c>
      <c r="AK156" s="13">
        <f t="shared" si="282"/>
        <v>18</v>
      </c>
      <c r="AL156" s="13">
        <f t="shared" si="282"/>
        <v>0</v>
      </c>
      <c r="AM156" s="13">
        <f t="shared" si="282"/>
        <v>0</v>
      </c>
      <c r="AN156" s="13">
        <f t="shared" si="282"/>
        <v>0</v>
      </c>
      <c r="AO156" s="13">
        <f t="shared" si="282"/>
        <v>0</v>
      </c>
      <c r="AP156" s="13">
        <f t="shared" si="282"/>
        <v>0</v>
      </c>
      <c r="AQ156" s="13">
        <f t="shared" si="282"/>
        <v>0</v>
      </c>
      <c r="AR156" s="13">
        <f t="shared" si="282"/>
        <v>0</v>
      </c>
      <c r="AS156" s="13">
        <f t="shared" si="282"/>
        <v>0</v>
      </c>
      <c r="AT156" s="13">
        <f t="shared" si="282"/>
        <v>0</v>
      </c>
      <c r="AU156" s="13">
        <f t="shared" si="282"/>
        <v>0</v>
      </c>
      <c r="AV156" s="13">
        <f t="shared" si="282"/>
        <v>0</v>
      </c>
      <c r="AW156" s="13">
        <f t="shared" si="282"/>
        <v>0</v>
      </c>
      <c r="AX156" s="13">
        <f t="shared" si="282"/>
        <v>0</v>
      </c>
      <c r="AY156" s="13">
        <f t="shared" si="282"/>
        <v>0</v>
      </c>
      <c r="AZ156" s="13">
        <f t="shared" si="282"/>
        <v>0</v>
      </c>
      <c r="BA156" s="13">
        <f t="shared" si="282"/>
        <v>0</v>
      </c>
      <c r="BB156" s="13">
        <f t="shared" si="282"/>
        <v>0</v>
      </c>
      <c r="BC156" s="13">
        <f t="shared" si="282"/>
        <v>0</v>
      </c>
      <c r="BD156" s="13">
        <f t="shared" si="282"/>
        <v>0</v>
      </c>
      <c r="BE156" s="13">
        <f t="shared" si="282"/>
        <v>0</v>
      </c>
      <c r="BF156" s="13">
        <f t="shared" si="282"/>
        <v>0</v>
      </c>
      <c r="BG156" s="13">
        <f t="shared" si="282"/>
        <v>0</v>
      </c>
      <c r="BH156" s="13">
        <f t="shared" si="282"/>
        <v>0</v>
      </c>
      <c r="BI156" s="13">
        <f t="shared" si="282"/>
        <v>0</v>
      </c>
      <c r="BJ156" s="13">
        <f t="shared" si="282"/>
        <v>0</v>
      </c>
      <c r="BK156" s="335"/>
      <c r="BL156" s="13">
        <f t="shared" ref="BL156:BW156" si="283">SUM(BL154:BL155)</f>
        <v>0</v>
      </c>
      <c r="BM156" s="13">
        <f t="shared" si="283"/>
        <v>80</v>
      </c>
      <c r="BN156" s="13">
        <f t="shared" si="283"/>
        <v>0</v>
      </c>
      <c r="BO156" s="13">
        <f t="shared" si="283"/>
        <v>0</v>
      </c>
      <c r="BP156" s="13">
        <f t="shared" si="283"/>
        <v>0</v>
      </c>
      <c r="BQ156" s="13">
        <f t="shared" si="283"/>
        <v>0</v>
      </c>
      <c r="BR156" s="13">
        <f t="shared" si="283"/>
        <v>0</v>
      </c>
      <c r="BS156" s="13">
        <f t="shared" si="283"/>
        <v>0</v>
      </c>
      <c r="BT156" s="13">
        <f t="shared" si="283"/>
        <v>0</v>
      </c>
      <c r="BU156" s="13">
        <f t="shared" si="283"/>
        <v>0</v>
      </c>
      <c r="BV156" s="13">
        <f t="shared" si="283"/>
        <v>0</v>
      </c>
      <c r="BW156" s="13">
        <f t="shared" si="283"/>
        <v>0</v>
      </c>
      <c r="BX156" s="335"/>
      <c r="BY156" s="12"/>
      <c r="BZ156" s="395">
        <f>IF(MIN($V156:$BW156)&lt;0, 1, 0)</f>
        <v>0</v>
      </c>
      <c r="CA156" s="12"/>
      <c r="CC156" s="7">
        <f t="shared" si="278"/>
        <v>0</v>
      </c>
      <c r="CD156" s="7">
        <f t="shared" si="279"/>
        <v>0</v>
      </c>
      <c r="CE156" s="7">
        <f t="shared" si="280"/>
        <v>0</v>
      </c>
      <c r="CF156" s="12"/>
      <c r="CG156" s="352">
        <f t="shared" si="281"/>
        <v>0</v>
      </c>
      <c r="CH156" s="352">
        <f t="shared" si="281"/>
        <v>0</v>
      </c>
      <c r="CI156" s="352">
        <f t="shared" si="281"/>
        <v>0</v>
      </c>
      <c r="CJ156" s="352">
        <f>ROUND($BM156-SUMIFS($AA156:$BJ156, $AA$3:$BJ$3, $BM$3), rounding)</f>
        <v>0</v>
      </c>
      <c r="CK156" s="352">
        <f>ROUND($BN156-SUMIFS($AA156:$BJ156, $AA$3:$BJ$3, $BN$3), rounding)</f>
        <v>0</v>
      </c>
      <c r="CL156" s="352">
        <f>ROUND($BO156-SUMIFS($AA156:$BJ156, $AA$3:$BJ$3, $BO$3), rounding)</f>
        <v>0</v>
      </c>
      <c r="CM156" s="352">
        <f>ROUND($V156-$BL156, rounding)</f>
        <v>0</v>
      </c>
      <c r="ER156" s="12"/>
      <c r="ES156">
        <v>0</v>
      </c>
      <c r="ET156" s="335">
        <v>0</v>
      </c>
      <c r="EX156" s="10" t="str">
        <f t="shared" si="242"/>
        <v>Total Staff Restructuring Costs</v>
      </c>
    </row>
    <row r="157" spans="1:154" s="323" customFormat="1" ht="6.6" customHeight="1" x14ac:dyDescent="0.25">
      <c r="C157" s="386"/>
      <c r="D157" s="69"/>
      <c r="I157" s="335"/>
      <c r="Q157" s="335"/>
      <c r="R157" s="335"/>
      <c r="S157" s="332"/>
      <c r="T157" s="25"/>
      <c r="U157" s="25"/>
      <c r="W157" s="335"/>
      <c r="X157" s="335"/>
      <c r="Y157" s="335"/>
      <c r="Z157" s="332"/>
      <c r="AA157" s="335"/>
      <c r="BK157" s="332"/>
      <c r="BM157" s="6"/>
      <c r="BY157" s="42"/>
      <c r="BZ157" s="162"/>
      <c r="CA157" s="42"/>
      <c r="CC157" s="335"/>
      <c r="CD157" s="335"/>
      <c r="CE157" s="335"/>
      <c r="CF157" s="42"/>
      <c r="CG157" s="335"/>
      <c r="CH157" s="335"/>
      <c r="CI157" s="335"/>
      <c r="CJ157" s="335"/>
      <c r="CK157" s="335"/>
      <c r="CL157" s="335"/>
      <c r="CM157" s="335"/>
      <c r="ER157" s="42"/>
      <c r="ES157" s="323">
        <v>0</v>
      </c>
      <c r="ET157" s="335">
        <v>0</v>
      </c>
      <c r="EU157" s="335"/>
      <c r="EV157" s="335"/>
      <c r="EX157" s="10" t="str">
        <f t="shared" si="242"/>
        <v/>
      </c>
    </row>
    <row r="158" spans="1:154" s="323" customFormat="1" x14ac:dyDescent="0.25">
      <c r="A158" s="362" cm="1">
        <f t="array" aca="1" ref="A158" ca="1">HYPERLINK(CONCATENATE("#",CELL("address",IF(SUM($CA158:$CH158)=0,A158,INDEX($CA158:$CH158,MATCH(1,$CA158:$CH158,0))))),SUM($CA158:$CH158))</f>
        <v>0</v>
      </c>
      <c r="B158" s="335"/>
      <c r="C158" s="343" t="str">
        <f>CONCATENATE("M-", 'I&amp;E Annual'!C158)</f>
        <v>M-IE-2</v>
      </c>
      <c r="D158" s="133" t="s">
        <v>873</v>
      </c>
      <c r="E158" s="5"/>
      <c r="G158" s="5"/>
      <c r="I158" s="335"/>
      <c r="J158" s="335"/>
      <c r="K158" s="335"/>
      <c r="L158" s="335"/>
      <c r="M158" s="335"/>
      <c r="N158" s="335"/>
      <c r="O158" s="335"/>
      <c r="P158" s="335"/>
      <c r="Q158" s="335"/>
      <c r="R158" s="335"/>
      <c r="S158" s="332"/>
      <c r="T158" s="25"/>
      <c r="U158" s="25"/>
      <c r="V158" s="13">
        <f>V134+V151+V156</f>
        <v>0</v>
      </c>
      <c r="W158" s="13">
        <f>W134+W151+W156</f>
        <v>25941</v>
      </c>
      <c r="X158" s="13">
        <f>X134+X151+X156</f>
        <v>27083</v>
      </c>
      <c r="Y158" s="13">
        <f>Y134+Y151+Y156</f>
        <v>27897.559999999998</v>
      </c>
      <c r="Z158" s="332"/>
      <c r="AA158" s="13">
        <f t="shared" ref="AA158:BJ158" si="284">AA134+AA151+AA156</f>
        <v>1637</v>
      </c>
      <c r="AB158" s="13">
        <f t="shared" si="284"/>
        <v>1951</v>
      </c>
      <c r="AC158" s="13">
        <f t="shared" si="284"/>
        <v>2192</v>
      </c>
      <c r="AD158" s="13">
        <f t="shared" si="284"/>
        <v>2285</v>
      </c>
      <c r="AE158" s="13">
        <f t="shared" si="284"/>
        <v>2179</v>
      </c>
      <c r="AF158" s="13">
        <f t="shared" si="284"/>
        <v>2115</v>
      </c>
      <c r="AG158" s="13">
        <f t="shared" si="284"/>
        <v>1962</v>
      </c>
      <c r="AH158" s="13">
        <f t="shared" si="284"/>
        <v>2236</v>
      </c>
      <c r="AI158" s="13">
        <f t="shared" si="284"/>
        <v>2184</v>
      </c>
      <c r="AJ158" s="13">
        <f t="shared" si="284"/>
        <v>2492</v>
      </c>
      <c r="AK158" s="13">
        <f t="shared" si="284"/>
        <v>2456</v>
      </c>
      <c r="AL158" s="13">
        <f t="shared" si="284"/>
        <v>2252</v>
      </c>
      <c r="AM158" s="13">
        <f t="shared" si="284"/>
        <v>1785</v>
      </c>
      <c r="AN158" s="13">
        <f t="shared" si="284"/>
        <v>2024</v>
      </c>
      <c r="AO158" s="13">
        <f t="shared" si="284"/>
        <v>2265</v>
      </c>
      <c r="AP158" s="13">
        <f t="shared" si="284"/>
        <v>2358</v>
      </c>
      <c r="AQ158" s="13">
        <f t="shared" si="284"/>
        <v>2302</v>
      </c>
      <c r="AR158" s="13">
        <f t="shared" si="284"/>
        <v>2238</v>
      </c>
      <c r="AS158" s="13">
        <f t="shared" si="284"/>
        <v>2270</v>
      </c>
      <c r="AT158" s="13">
        <f t="shared" si="284"/>
        <v>2371</v>
      </c>
      <c r="AU158" s="13">
        <f t="shared" si="284"/>
        <v>2378</v>
      </c>
      <c r="AV158" s="13">
        <f t="shared" si="284"/>
        <v>2457</v>
      </c>
      <c r="AW158" s="13">
        <f t="shared" si="284"/>
        <v>2394</v>
      </c>
      <c r="AX158" s="13">
        <f t="shared" si="284"/>
        <v>2241</v>
      </c>
      <c r="AY158" s="13">
        <f t="shared" si="284"/>
        <v>1840.3650000000002</v>
      </c>
      <c r="AZ158" s="13">
        <f t="shared" si="284"/>
        <v>2085.8050000000003</v>
      </c>
      <c r="BA158" s="13">
        <f t="shared" si="284"/>
        <v>2333.7350000000001</v>
      </c>
      <c r="BB158" s="13">
        <f t="shared" si="284"/>
        <v>2427.5149999999999</v>
      </c>
      <c r="BC158" s="13">
        <f t="shared" si="284"/>
        <v>2370.0050000000001</v>
      </c>
      <c r="BD158" s="13">
        <f t="shared" si="284"/>
        <v>2306.46</v>
      </c>
      <c r="BE158" s="13">
        <f t="shared" si="284"/>
        <v>2337.2900000000004</v>
      </c>
      <c r="BF158" s="13">
        <f t="shared" si="284"/>
        <v>2440.7249999999999</v>
      </c>
      <c r="BG158" s="13">
        <f t="shared" si="284"/>
        <v>2449.5500000000002</v>
      </c>
      <c r="BH158" s="13">
        <f t="shared" si="284"/>
        <v>2530.7950000000001</v>
      </c>
      <c r="BI158" s="13">
        <f t="shared" si="284"/>
        <v>2466.12</v>
      </c>
      <c r="BJ158" s="13">
        <f t="shared" si="284"/>
        <v>2309.1950000000002</v>
      </c>
      <c r="BK158" s="332"/>
      <c r="BL158" s="13">
        <f t="shared" ref="BL158:BW158" si="285">BL134+BL151+BL156</f>
        <v>0</v>
      </c>
      <c r="BM158" s="13">
        <f t="shared" si="285"/>
        <v>25941</v>
      </c>
      <c r="BN158" s="13">
        <f t="shared" si="285"/>
        <v>27083</v>
      </c>
      <c r="BO158" s="13">
        <f t="shared" si="285"/>
        <v>27897.559999999998</v>
      </c>
      <c r="BP158" s="13">
        <f t="shared" si="285"/>
        <v>0</v>
      </c>
      <c r="BQ158" s="13">
        <f t="shared" si="285"/>
        <v>0</v>
      </c>
      <c r="BR158" s="13">
        <f t="shared" si="285"/>
        <v>0</v>
      </c>
      <c r="BS158" s="13">
        <f t="shared" si="285"/>
        <v>0</v>
      </c>
      <c r="BT158" s="13">
        <f t="shared" si="285"/>
        <v>0</v>
      </c>
      <c r="BU158" s="13">
        <f t="shared" si="285"/>
        <v>0</v>
      </c>
      <c r="BV158" s="13">
        <f t="shared" si="285"/>
        <v>0</v>
      </c>
      <c r="BW158" s="13">
        <f t="shared" si="285"/>
        <v>0</v>
      </c>
      <c r="BX158" s="335"/>
      <c r="BY158" s="12"/>
      <c r="BZ158" s="162"/>
      <c r="CA158" s="12"/>
      <c r="CC158" s="7">
        <f>IF(SUM($CG158:$CI158)=0, 0, 1)</f>
        <v>0</v>
      </c>
      <c r="CD158" s="7">
        <f>IF(SUM($CJ158:$CL158)=0, 0, 1)</f>
        <v>0</v>
      </c>
      <c r="CE158" s="7">
        <f>IF($CM158=0, 0, 1)</f>
        <v>0</v>
      </c>
      <c r="CF158" s="12"/>
      <c r="CG158" s="352">
        <f>ROUND(W158-SUMIFS($AA158:$BJ158, $AA$3:$BJ$3, W$3), rounding)</f>
        <v>0</v>
      </c>
      <c r="CH158" s="352">
        <f>ROUND(X158-SUMIFS($AA158:$BJ158, $AA$3:$BJ$3, X$3), rounding)</f>
        <v>0</v>
      </c>
      <c r="CI158" s="352">
        <f>ROUND(Y158-SUMIFS($AA158:$BJ158, $AA$3:$BJ$3, Y$3), rounding)</f>
        <v>0</v>
      </c>
      <c r="CJ158" s="352">
        <f>ROUND($BM158-SUMIFS($AA158:$BJ158, $AA$3:$BJ$3, $BM$3), rounding)</f>
        <v>0</v>
      </c>
      <c r="CK158" s="352">
        <f>ROUND($BN158-SUMIFS($AA158:$BJ158, $AA$3:$BJ$3, $BN$3), rounding)</f>
        <v>0</v>
      </c>
      <c r="CL158" s="352">
        <f>ROUND($BO158-SUMIFS($AA158:$BJ158, $AA$3:$BJ$3, $BO$3), rounding)</f>
        <v>0</v>
      </c>
      <c r="CM158" s="352">
        <f>ROUND($V158-$BL158, rounding)</f>
        <v>0</v>
      </c>
      <c r="ER158" s="12"/>
      <c r="ES158" s="323">
        <v>0</v>
      </c>
      <c r="ET158" s="335">
        <v>0</v>
      </c>
      <c r="EU158" s="335"/>
      <c r="EV158" s="335"/>
      <c r="EX158" s="10" t="str">
        <f t="shared" si="242"/>
        <v>Total Operating Expenditure</v>
      </c>
    </row>
    <row r="159" spans="1:154" s="323" customFormat="1" ht="6.6" customHeight="1" x14ac:dyDescent="0.25">
      <c r="C159" s="386"/>
      <c r="D159" s="69"/>
      <c r="E159" s="25"/>
      <c r="I159" s="335"/>
      <c r="Q159" s="335"/>
      <c r="R159" s="335"/>
      <c r="T159" s="25"/>
      <c r="U159" s="25"/>
      <c r="V159" s="25"/>
      <c r="W159" s="25"/>
      <c r="X159" s="25"/>
      <c r="Y159" s="25"/>
      <c r="Z159" s="332"/>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L159" s="25"/>
      <c r="BM159" s="155"/>
      <c r="BN159" s="25"/>
      <c r="BO159" s="25"/>
      <c r="BP159" s="25"/>
      <c r="BQ159" s="25"/>
      <c r="BR159" s="25"/>
      <c r="BS159" s="25"/>
      <c r="BT159" s="25"/>
      <c r="BU159" s="25"/>
      <c r="BV159" s="25"/>
      <c r="BW159" s="25"/>
      <c r="BY159" s="12"/>
      <c r="BZ159" s="162"/>
      <c r="CA159" s="12"/>
      <c r="CC159" s="335"/>
      <c r="CD159" s="335"/>
      <c r="CE159" s="335"/>
      <c r="CF159" s="42"/>
      <c r="CG159" s="335"/>
      <c r="CH159" s="335"/>
      <c r="CI159" s="335"/>
      <c r="CJ159" s="335"/>
      <c r="CK159" s="335"/>
      <c r="CL159" s="335"/>
      <c r="CM159" s="335"/>
      <c r="ER159" s="42"/>
      <c r="ES159" s="323">
        <v>0</v>
      </c>
      <c r="ET159" s="335">
        <v>0</v>
      </c>
      <c r="EU159" s="335"/>
      <c r="EV159" s="335"/>
      <c r="EX159" s="10" t="str">
        <f t="shared" si="242"/>
        <v/>
      </c>
    </row>
    <row r="160" spans="1:154" s="323" customFormat="1" x14ac:dyDescent="0.25">
      <c r="A160" s="362" cm="1">
        <f t="array" aca="1" ref="A160" ca="1">HYPERLINK(CONCATENATE("#",CELL("address",IF(SUM($CA160:$CH160)=0,A160,INDEX($CA160:$CH160,MATCH(1,$CA160:$CH160,0))))),SUM($CA160:$CH160))</f>
        <v>0</v>
      </c>
      <c r="B160" s="335"/>
      <c r="C160" s="343" t="str">
        <f>CONCATENATE("M-", 'I&amp;E Annual'!C160)</f>
        <v>M-IE-3</v>
      </c>
      <c r="D160" s="133" t="s">
        <v>872</v>
      </c>
      <c r="E160" s="5"/>
      <c r="G160" s="5"/>
      <c r="I160" s="335"/>
      <c r="Q160" s="335"/>
      <c r="R160" s="335"/>
      <c r="T160" s="25"/>
      <c r="U160" s="25"/>
      <c r="V160" s="13">
        <f>V119-V158</f>
        <v>0</v>
      </c>
      <c r="W160" s="13">
        <f>W119-W158</f>
        <v>2032</v>
      </c>
      <c r="X160" s="13">
        <f>X119-X158</f>
        <v>2050</v>
      </c>
      <c r="Y160" s="13">
        <f>Y119-Y158</f>
        <v>2173.8100000000013</v>
      </c>
      <c r="AA160" s="13">
        <f t="shared" ref="AA160:BJ160" si="286">AA119-AA158</f>
        <v>1865</v>
      </c>
      <c r="AB160" s="13">
        <f t="shared" si="286"/>
        <v>1267</v>
      </c>
      <c r="AC160" s="13">
        <f t="shared" si="286"/>
        <v>250</v>
      </c>
      <c r="AD160" s="13">
        <f t="shared" si="286"/>
        <v>-70</v>
      </c>
      <c r="AE160" s="13">
        <f t="shared" si="286"/>
        <v>-764</v>
      </c>
      <c r="AF160" s="13">
        <f t="shared" si="286"/>
        <v>-553</v>
      </c>
      <c r="AG160" s="13">
        <f t="shared" si="286"/>
        <v>-580</v>
      </c>
      <c r="AH160" s="13">
        <f t="shared" si="286"/>
        <v>-784</v>
      </c>
      <c r="AI160" s="13">
        <f t="shared" si="286"/>
        <v>1368</v>
      </c>
      <c r="AJ160" s="13">
        <f t="shared" si="286"/>
        <v>398</v>
      </c>
      <c r="AK160" s="13">
        <f t="shared" si="286"/>
        <v>415</v>
      </c>
      <c r="AL160" s="13">
        <f t="shared" si="286"/>
        <v>-780</v>
      </c>
      <c r="AM160" s="13">
        <f t="shared" si="286"/>
        <v>2123</v>
      </c>
      <c r="AN160" s="13">
        <f t="shared" si="286"/>
        <v>1251</v>
      </c>
      <c r="AO160" s="13">
        <f t="shared" si="286"/>
        <v>246</v>
      </c>
      <c r="AP160" s="13">
        <f t="shared" si="286"/>
        <v>-301</v>
      </c>
      <c r="AQ160" s="13">
        <f t="shared" si="286"/>
        <v>-767</v>
      </c>
      <c r="AR160" s="13">
        <f t="shared" si="286"/>
        <v>-452</v>
      </c>
      <c r="AS160" s="13">
        <f t="shared" si="286"/>
        <v>-828</v>
      </c>
      <c r="AT160" s="13">
        <f t="shared" si="286"/>
        <v>-795</v>
      </c>
      <c r="AU160" s="13">
        <f t="shared" si="286"/>
        <v>1607</v>
      </c>
      <c r="AV160" s="13">
        <f t="shared" si="286"/>
        <v>505</v>
      </c>
      <c r="AW160" s="13">
        <f t="shared" si="286"/>
        <v>106</v>
      </c>
      <c r="AX160" s="13">
        <f t="shared" si="286"/>
        <v>-645</v>
      </c>
      <c r="AY160" s="13">
        <f t="shared" si="286"/>
        <v>2171.7483333333334</v>
      </c>
      <c r="AZ160" s="13">
        <f t="shared" si="286"/>
        <v>1268.3566666666661</v>
      </c>
      <c r="BA160" s="13">
        <f t="shared" si="286"/>
        <v>255.48833333333278</v>
      </c>
      <c r="BB160" s="13">
        <f t="shared" si="286"/>
        <v>-306.61333333333323</v>
      </c>
      <c r="BC160" s="13">
        <f t="shared" si="286"/>
        <v>-784.53</v>
      </c>
      <c r="BD160" s="13">
        <f t="shared" si="286"/>
        <v>-458.22999999999979</v>
      </c>
      <c r="BE160" s="13">
        <f t="shared" si="286"/>
        <v>-846.74166666666702</v>
      </c>
      <c r="BF160" s="13">
        <f t="shared" si="286"/>
        <v>-808.5183333333332</v>
      </c>
      <c r="BG160" s="13">
        <f t="shared" si="286"/>
        <v>1662.378333333334</v>
      </c>
      <c r="BH160" s="13">
        <f t="shared" si="286"/>
        <v>555.06833333333361</v>
      </c>
      <c r="BI160" s="13">
        <f t="shared" si="286"/>
        <v>117.19333333333361</v>
      </c>
      <c r="BJ160" s="13">
        <f t="shared" si="286"/>
        <v>-651.79000000000042</v>
      </c>
      <c r="BL160" s="13">
        <f t="shared" ref="BL160:BW160" si="287">BL119-BL158</f>
        <v>0</v>
      </c>
      <c r="BM160" s="13">
        <f t="shared" si="287"/>
        <v>2032</v>
      </c>
      <c r="BN160" s="13">
        <f t="shared" si="287"/>
        <v>2050</v>
      </c>
      <c r="BO160" s="13">
        <f t="shared" si="287"/>
        <v>2173.8100000000013</v>
      </c>
      <c r="BP160" s="13">
        <f t="shared" si="287"/>
        <v>0</v>
      </c>
      <c r="BQ160" s="13">
        <f t="shared" si="287"/>
        <v>0</v>
      </c>
      <c r="BR160" s="13">
        <f t="shared" si="287"/>
        <v>0</v>
      </c>
      <c r="BS160" s="13">
        <f t="shared" si="287"/>
        <v>0</v>
      </c>
      <c r="BT160" s="13">
        <f t="shared" si="287"/>
        <v>0</v>
      </c>
      <c r="BU160" s="13">
        <f t="shared" si="287"/>
        <v>0</v>
      </c>
      <c r="BV160" s="13">
        <f t="shared" si="287"/>
        <v>0</v>
      </c>
      <c r="BW160" s="13">
        <f t="shared" si="287"/>
        <v>0</v>
      </c>
      <c r="BY160" s="12"/>
      <c r="BZ160" s="162"/>
      <c r="CA160" s="12"/>
      <c r="CC160" s="7">
        <f>IF(SUM($CG160:$CI160)=0, 0, 1)</f>
        <v>0</v>
      </c>
      <c r="CD160" s="7">
        <f>IF(SUM($CJ160:$CL160)=0, 0, 1)</f>
        <v>0</v>
      </c>
      <c r="CE160" s="7">
        <f>IF($CM160=0, 0, 1)</f>
        <v>0</v>
      </c>
      <c r="CF160" s="12"/>
      <c r="CG160" s="352">
        <f>ROUND(W160-SUMIFS($AA160:$BJ160, $AA$3:$BJ$3, W$3), rounding)</f>
        <v>0</v>
      </c>
      <c r="CH160" s="352">
        <f>ROUND(X160-SUMIFS($AA160:$BJ160, $AA$3:$BJ$3, X$3), rounding)</f>
        <v>0</v>
      </c>
      <c r="CI160" s="352">
        <f>ROUND(Y160-SUMIFS($AA160:$BJ160, $AA$3:$BJ$3, Y$3), rounding)</f>
        <v>0</v>
      </c>
      <c r="CJ160" s="352">
        <f>ROUND($BM160-SUMIFS($AA160:$BJ160, $AA$3:$BJ$3, $BM$3), rounding)</f>
        <v>0</v>
      </c>
      <c r="CK160" s="352">
        <f>ROUND($BN160-SUMIFS($AA160:$BJ160, $AA$3:$BJ$3, $BN$3), rounding)</f>
        <v>0</v>
      </c>
      <c r="CL160" s="352">
        <f>ROUND($BO160-SUMIFS($AA160:$BJ160, $AA$3:$BJ$3, $BO$3), rounding)</f>
        <v>0</v>
      </c>
      <c r="CM160" s="352">
        <f>ROUND($V160-$BL160, rounding)</f>
        <v>0</v>
      </c>
      <c r="ER160" s="12"/>
      <c r="ES160" s="323">
        <v>0</v>
      </c>
      <c r="ET160" s="335">
        <v>0</v>
      </c>
      <c r="EU160" s="335"/>
      <c r="EV160" s="335"/>
      <c r="EX160" s="10" t="str">
        <f t="shared" si="242"/>
        <v>Net Operating Income</v>
      </c>
    </row>
    <row r="161" spans="1:154" s="11" customFormat="1" ht="6.6" customHeight="1" x14ac:dyDescent="0.25">
      <c r="C161" s="383"/>
      <c r="D161" s="69"/>
      <c r="E161" s="25"/>
      <c r="F161" s="25"/>
      <c r="G161" s="25"/>
      <c r="I161" s="335"/>
      <c r="Q161" s="335"/>
      <c r="R161" s="335"/>
      <c r="S161" s="280"/>
      <c r="T161" s="25"/>
      <c r="U161" s="25"/>
      <c r="V161" s="25"/>
      <c r="W161" s="25"/>
      <c r="X161" s="25"/>
      <c r="Y161" s="25"/>
      <c r="Z161" s="280"/>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323"/>
      <c r="BL161" s="25"/>
      <c r="BM161" s="155"/>
      <c r="BN161" s="25"/>
      <c r="BO161" s="25"/>
      <c r="BP161" s="25"/>
      <c r="BQ161" s="25"/>
      <c r="BR161" s="25"/>
      <c r="BS161" s="25"/>
      <c r="BT161" s="25"/>
      <c r="BU161" s="25"/>
      <c r="BV161" s="25"/>
      <c r="BW161" s="25"/>
      <c r="BY161" s="42"/>
      <c r="BZ161" s="162"/>
      <c r="CA161" s="42"/>
      <c r="CC161" s="335"/>
      <c r="CD161" s="335"/>
      <c r="CE161" s="335"/>
      <c r="CF161" s="42"/>
      <c r="CG161" s="335"/>
      <c r="CH161" s="335"/>
      <c r="CI161" s="335"/>
      <c r="CJ161" s="335"/>
      <c r="CK161" s="335"/>
      <c r="CL161" s="335"/>
      <c r="CM161" s="335"/>
      <c r="ER161" s="42"/>
      <c r="ES161" s="11">
        <v>0</v>
      </c>
      <c r="ET161" s="335">
        <v>0</v>
      </c>
      <c r="EU161" s="335"/>
      <c r="EV161" s="335"/>
      <c r="EX161" s="10" t="str">
        <f t="shared" si="242"/>
        <v/>
      </c>
    </row>
    <row r="162" spans="1:154" ht="26.45" customHeight="1" x14ac:dyDescent="0.25">
      <c r="A162" s="362" cm="1">
        <f t="array" aca="1" ref="A162" ca="1">HYPERLINK(CONCATENATE("#",CELL("address",IF(SUM($CA162:$CH162)=0,A162,INDEX($CA162:$CH162,MATCH(1,$CA162:$CH162,0))))),SUM($CA162:$CH162))</f>
        <v>0</v>
      </c>
      <c r="B162" s="335"/>
      <c r="C162" s="343" t="str">
        <f>CONCATENATE("M-", 'I&amp;E Annual'!C162)</f>
        <v>M-IE-4a</v>
      </c>
      <c r="D162" s="137" t="s">
        <v>71</v>
      </c>
      <c r="E162" s="130" t="str" cm="1">
        <f t="array" aca="1" ref="E162" ca="1">HYPERLINK(CONCATENATE("#",CELL("address",'BS Forecasts'!$D$132)),'BS Forecasts'!$D$122)</f>
        <v>Capital Grant Liability</v>
      </c>
      <c r="F162" s="25"/>
      <c r="H162" s="9" t="s">
        <v>8</v>
      </c>
      <c r="I162" s="335"/>
      <c r="Q162" s="335"/>
      <c r="R162" s="335"/>
      <c r="S162" s="280"/>
      <c r="T162" s="25"/>
      <c r="U162" s="25"/>
      <c r="V162" s="10">
        <f>0-SUM('BS Forecasts'!V$132:V$135)</f>
        <v>0</v>
      </c>
      <c r="W162" s="10">
        <f>0-SUM('BS Forecasts'!W$132:W$135)</f>
        <v>469</v>
      </c>
      <c r="X162" s="10">
        <f>0-SUM('BS Forecasts'!X$132:X$135)</f>
        <v>514</v>
      </c>
      <c r="Y162" s="10">
        <f>0-SUM('BS Forecasts'!Y$132:Y$135)</f>
        <v>571</v>
      </c>
      <c r="Z162" s="280"/>
      <c r="AA162" s="10">
        <f>0-SUM('BS Forecasts'!AA$132:AA$135)</f>
        <v>36</v>
      </c>
      <c r="AB162" s="10">
        <f>0-SUM('BS Forecasts'!AB$132:AB$135)</f>
        <v>38</v>
      </c>
      <c r="AC162" s="10">
        <f>0-SUM('BS Forecasts'!AC$132:AC$135)</f>
        <v>38</v>
      </c>
      <c r="AD162" s="10">
        <f>0-SUM('BS Forecasts'!AD$132:AD$135)</f>
        <v>38</v>
      </c>
      <c r="AE162" s="10">
        <f>0-SUM('BS Forecasts'!AE$132:AE$135)</f>
        <v>38</v>
      </c>
      <c r="AF162" s="10">
        <f>0-SUM('BS Forecasts'!AF$132:AF$135)</f>
        <v>38</v>
      </c>
      <c r="AG162" s="10">
        <f>0-SUM('BS Forecasts'!AG$132:AG$135)</f>
        <v>38</v>
      </c>
      <c r="AH162" s="10">
        <f>0-SUM('BS Forecasts'!AH$132:AH$135)</f>
        <v>41</v>
      </c>
      <c r="AI162" s="10">
        <f>0-SUM('BS Forecasts'!AI$132:AI$135)</f>
        <v>41</v>
      </c>
      <c r="AJ162" s="10">
        <f>0-SUM('BS Forecasts'!AJ$132:AJ$135)</f>
        <v>41</v>
      </c>
      <c r="AK162" s="10">
        <f>0-SUM('BS Forecasts'!AK$132:AK$135)</f>
        <v>41</v>
      </c>
      <c r="AL162" s="10">
        <f>0-SUM('BS Forecasts'!AL$132:AL$135)</f>
        <v>41</v>
      </c>
      <c r="AM162" s="10">
        <f>0-SUM('BS Forecasts'!AM$132:AM$135)</f>
        <v>36</v>
      </c>
      <c r="AN162" s="10">
        <f>0-SUM('BS Forecasts'!AN$132:AN$135)</f>
        <v>40</v>
      </c>
      <c r="AO162" s="10">
        <f>0-SUM('BS Forecasts'!AO$132:AO$135)</f>
        <v>40</v>
      </c>
      <c r="AP162" s="10">
        <f>0-SUM('BS Forecasts'!AP$132:AP$135)</f>
        <v>41</v>
      </c>
      <c r="AQ162" s="10">
        <f>0-SUM('BS Forecasts'!AQ$132:AQ$135)</f>
        <v>41</v>
      </c>
      <c r="AR162" s="10">
        <f>0-SUM('BS Forecasts'!AR$132:AR$135)</f>
        <v>41</v>
      </c>
      <c r="AS162" s="10">
        <f>0-SUM('BS Forecasts'!AS$132:AS$135)</f>
        <v>42</v>
      </c>
      <c r="AT162" s="10">
        <f>0-SUM('BS Forecasts'!AT$132:AT$135)</f>
        <v>46</v>
      </c>
      <c r="AU162" s="10">
        <f>0-SUM('BS Forecasts'!AU$132:AU$135)</f>
        <v>46</v>
      </c>
      <c r="AV162" s="10">
        <f>0-SUM('BS Forecasts'!AV$132:AV$135)</f>
        <v>46</v>
      </c>
      <c r="AW162" s="10">
        <f>0-SUM('BS Forecasts'!AW$132:AW$135)</f>
        <v>47</v>
      </c>
      <c r="AX162" s="10">
        <f>0-SUM('BS Forecasts'!AX$132:AX$135)</f>
        <v>48</v>
      </c>
      <c r="AY162" s="10">
        <f>0-SUM('BS Forecasts'!AY$132:AY$135)</f>
        <v>43</v>
      </c>
      <c r="AZ162" s="10">
        <f>0-SUM('BS Forecasts'!AZ$132:AZ$135)</f>
        <v>45</v>
      </c>
      <c r="BA162" s="10">
        <f>0-SUM('BS Forecasts'!BA$132:BA$135)</f>
        <v>46</v>
      </c>
      <c r="BB162" s="10">
        <f>0-SUM('BS Forecasts'!BB$132:BB$135)</f>
        <v>46</v>
      </c>
      <c r="BC162" s="10">
        <f>0-SUM('BS Forecasts'!BC$132:BC$135)</f>
        <v>46</v>
      </c>
      <c r="BD162" s="10">
        <f>0-SUM('BS Forecasts'!BD$132:BD$135)</f>
        <v>47</v>
      </c>
      <c r="BE162" s="10">
        <f>0-SUM('BS Forecasts'!BE$132:BE$135)</f>
        <v>47</v>
      </c>
      <c r="BF162" s="10">
        <f>0-SUM('BS Forecasts'!BF$132:BF$135)</f>
        <v>50</v>
      </c>
      <c r="BG162" s="10">
        <f>0-SUM('BS Forecasts'!BG$132:BG$135)</f>
        <v>50</v>
      </c>
      <c r="BH162" s="10">
        <f>0-SUM('BS Forecasts'!BH$132:BH$135)</f>
        <v>50</v>
      </c>
      <c r="BI162" s="10">
        <f>0-SUM('BS Forecasts'!BI$132:BI$135)</f>
        <v>50</v>
      </c>
      <c r="BJ162" s="10">
        <f>0-SUM('BS Forecasts'!BJ$132:BJ$135)</f>
        <v>51</v>
      </c>
      <c r="BK162" s="280"/>
      <c r="BL162" s="10">
        <f>0-SUM('BS Forecasts'!BL$132:BL$135)</f>
        <v>0</v>
      </c>
      <c r="BM162" s="10">
        <f>0-SUM('BS Forecasts'!BM$132:BM$135)</f>
        <v>469</v>
      </c>
      <c r="BN162" s="10">
        <f>0-SUM('BS Forecasts'!BN$132:BN$135)</f>
        <v>514</v>
      </c>
      <c r="BO162" s="10">
        <f>0-SUM('BS Forecasts'!BO$132:BO$135)</f>
        <v>571</v>
      </c>
      <c r="BP162" s="10">
        <f>0-SUM('BS Forecasts'!BP$132:BP$135)</f>
        <v>0</v>
      </c>
      <c r="BQ162" s="10">
        <f>0-SUM('BS Forecasts'!BQ$132:BQ$135)</f>
        <v>0</v>
      </c>
      <c r="BR162" s="10">
        <f>0-SUM('BS Forecasts'!BR$132:BR$135)</f>
        <v>0</v>
      </c>
      <c r="BS162" s="10">
        <f>0-SUM('BS Forecasts'!BS$132:BS$135)</f>
        <v>0</v>
      </c>
      <c r="BT162" s="10">
        <f>0-SUM('BS Forecasts'!BT$132:BT$135)</f>
        <v>0</v>
      </c>
      <c r="BU162" s="10">
        <f>0-SUM('BS Forecasts'!BU$132:BU$135)</f>
        <v>0</v>
      </c>
      <c r="BV162" s="10">
        <f>0-SUM('BS Forecasts'!BV$132:BV$135)</f>
        <v>0</v>
      </c>
      <c r="BW162" s="10">
        <f>0-SUM('BS Forecasts'!BW$132:BW$135)</f>
        <v>0</v>
      </c>
      <c r="BY162" s="12"/>
      <c r="CA162" s="12"/>
      <c r="CC162" s="7">
        <f t="shared" ref="CC162:CC163" si="288">IF(SUM($CG162:$CI162)=0, 0, 1)</f>
        <v>0</v>
      </c>
      <c r="CD162" s="7">
        <f t="shared" ref="CD162:CD163" si="289">IF(SUM($CJ162:$CL162)=0, 0, 1)</f>
        <v>0</v>
      </c>
      <c r="CE162" s="7">
        <f t="shared" ref="CE162:CE163" si="290">IF($CM162=0, 0, 1)</f>
        <v>0</v>
      </c>
      <c r="CF162" s="12"/>
      <c r="CG162" s="352">
        <f t="shared" ref="CG162:CI163" si="291">ROUND(W162-SUMIFS($AA162:$BJ162, $AA$3:$BJ$3, W$3), rounding)</f>
        <v>0</v>
      </c>
      <c r="CH162" s="352">
        <f t="shared" si="291"/>
        <v>0</v>
      </c>
      <c r="CI162" s="352">
        <f t="shared" si="291"/>
        <v>0</v>
      </c>
      <c r="CJ162" s="352">
        <f>ROUND($BM162-SUMIFS($AA162:$BJ162, $AA$3:$BJ$3, $BM$3), rounding)</f>
        <v>0</v>
      </c>
      <c r="CK162" s="352">
        <f>ROUND($BN162-SUMIFS($AA162:$BJ162, $AA$3:$BJ$3, $BN$3), rounding)</f>
        <v>0</v>
      </c>
      <c r="CL162" s="352">
        <f>ROUND($BO162-SUMIFS($AA162:$BJ162, $AA$3:$BJ$3, $BO$3), rounding)</f>
        <v>0</v>
      </c>
      <c r="CM162" s="352">
        <f>ROUND($V162-$BL162, rounding)</f>
        <v>0</v>
      </c>
      <c r="ER162" s="12"/>
      <c r="ES162">
        <v>0</v>
      </c>
      <c r="ET162" s="335">
        <v>0</v>
      </c>
      <c r="EX162" s="10" t="str">
        <f t="shared" si="242"/>
        <v>Release of Capital Grants</v>
      </c>
    </row>
    <row r="163" spans="1:154" ht="34.5" x14ac:dyDescent="0.25">
      <c r="A163" s="362" cm="1">
        <f t="array" aca="1" ref="A163" ca="1">HYPERLINK(CONCATENATE("#",CELL("address",IF(SUM($CA163:$CH163)=0,A163,INDEX($CA163:$CH163,MATCH(1,$CA163:$CH163,0))))),SUM($CA163:$CH163))</f>
        <v>0</v>
      </c>
      <c r="C163" s="343" t="str">
        <f>CONCATENATE("M-", 'I&amp;E Annual'!C163)</f>
        <v>M-IE-4b</v>
      </c>
      <c r="D163" s="137" t="s">
        <v>72</v>
      </c>
      <c r="E163" s="348" t="str" cm="1">
        <f t="array" aca="1" ref="E163" ca="1">HYPERLINK(CONCATENATE("#",CELL("address",'BS Forecasts'!$D$169)),'BS Forecasts'!$D$168)</f>
        <v>Holiday and Sabbatical Pay Accrual</v>
      </c>
      <c r="H163" s="319" t="s">
        <v>86</v>
      </c>
      <c r="I163" s="335"/>
      <c r="S163" s="280"/>
      <c r="T163" s="25"/>
      <c r="U163" s="25"/>
      <c r="V163" s="13">
        <f>('Opening Balances'!W50-'Opening Balances'!V50)*'Opening Balances'!$V$81</f>
        <v>0</v>
      </c>
      <c r="W163" s="10">
        <f>('BS Forecasts'!W$169 -'BS Forecasts'!V$169)</f>
        <v>0</v>
      </c>
      <c r="X163" s="10">
        <f>('BS Forecasts'!X$169 -'BS Forecasts'!W$169)</f>
        <v>0</v>
      </c>
      <c r="Y163" s="10">
        <f>('BS Forecasts'!Y$169 -'BS Forecasts'!X$169)</f>
        <v>0</v>
      </c>
      <c r="Z163" s="280"/>
      <c r="AA163" s="10">
        <f>('BS Forecasts'!AA$169 -'BS Forecasts'!V$169)</f>
        <v>0</v>
      </c>
      <c r="AB163" s="10">
        <f>('BS Forecasts'!AB$169 -'BS Forecasts'!AA$169)</f>
        <v>0</v>
      </c>
      <c r="AC163" s="10">
        <f>('BS Forecasts'!AC$169 -'BS Forecasts'!AB$169)</f>
        <v>0</v>
      </c>
      <c r="AD163" s="10">
        <f>('BS Forecasts'!AD$169 -'BS Forecasts'!AC$169)</f>
        <v>0</v>
      </c>
      <c r="AE163" s="10">
        <f>('BS Forecasts'!AE$169 -'BS Forecasts'!AD$169)</f>
        <v>0</v>
      </c>
      <c r="AF163" s="10">
        <f>('BS Forecasts'!AF$169 -'BS Forecasts'!AE$169)</f>
        <v>0</v>
      </c>
      <c r="AG163" s="10">
        <f>('BS Forecasts'!AG$169 -'BS Forecasts'!AF$169)</f>
        <v>0</v>
      </c>
      <c r="AH163" s="10">
        <f>('BS Forecasts'!AH$169 -'BS Forecasts'!AG$169)</f>
        <v>0</v>
      </c>
      <c r="AI163" s="10">
        <f>('BS Forecasts'!AI$169 -'BS Forecasts'!AH$169)</f>
        <v>0</v>
      </c>
      <c r="AJ163" s="10">
        <f>('BS Forecasts'!AJ$169 -'BS Forecasts'!AI$169)</f>
        <v>0</v>
      </c>
      <c r="AK163" s="10">
        <f>('BS Forecasts'!AK$169 -'BS Forecasts'!AJ$169)</f>
        <v>0</v>
      </c>
      <c r="AL163" s="10">
        <f>('BS Forecasts'!AL$169 -'BS Forecasts'!AK$169)</f>
        <v>0</v>
      </c>
      <c r="AM163" s="10">
        <f>('BS Forecasts'!AM$169 -'BS Forecasts'!AL$169)</f>
        <v>0</v>
      </c>
      <c r="AN163" s="10">
        <f>('BS Forecasts'!AN$169 -'BS Forecasts'!AM$169)</f>
        <v>0</v>
      </c>
      <c r="AO163" s="10">
        <f>('BS Forecasts'!AO$169 -'BS Forecasts'!AN$169)</f>
        <v>0</v>
      </c>
      <c r="AP163" s="10">
        <f>('BS Forecasts'!AP$169 -'BS Forecasts'!AO$169)</f>
        <v>0</v>
      </c>
      <c r="AQ163" s="10">
        <f>('BS Forecasts'!AQ$169 -'BS Forecasts'!AP$169)</f>
        <v>0</v>
      </c>
      <c r="AR163" s="10">
        <f>('BS Forecasts'!AR$169 -'BS Forecasts'!AQ$169)</f>
        <v>0</v>
      </c>
      <c r="AS163" s="10">
        <f>('BS Forecasts'!AS$169 -'BS Forecasts'!AR$169)</f>
        <v>0</v>
      </c>
      <c r="AT163" s="10">
        <f>('BS Forecasts'!AT$169 -'BS Forecasts'!AS$169)</f>
        <v>0</v>
      </c>
      <c r="AU163" s="10">
        <f>('BS Forecasts'!AU$169 -'BS Forecasts'!AT$169)</f>
        <v>0</v>
      </c>
      <c r="AV163" s="10">
        <f>('BS Forecasts'!AV$169 -'BS Forecasts'!AU$169)</f>
        <v>0</v>
      </c>
      <c r="AW163" s="10">
        <f>('BS Forecasts'!AW$169 -'BS Forecasts'!AV$169)</f>
        <v>0</v>
      </c>
      <c r="AX163" s="10">
        <f>('BS Forecasts'!AX$169 -'BS Forecasts'!AW$169)</f>
        <v>0</v>
      </c>
      <c r="AY163" s="10">
        <f>('BS Forecasts'!AY$169 -'BS Forecasts'!AX$169)</f>
        <v>0</v>
      </c>
      <c r="AZ163" s="10">
        <f>('BS Forecasts'!AZ$169 -'BS Forecasts'!AY$169)</f>
        <v>0</v>
      </c>
      <c r="BA163" s="10">
        <f>('BS Forecasts'!BA$169 -'BS Forecasts'!AZ$169)</f>
        <v>0</v>
      </c>
      <c r="BB163" s="10">
        <f>('BS Forecasts'!BB$169 -'BS Forecasts'!BA$169)</f>
        <v>0</v>
      </c>
      <c r="BC163" s="10">
        <f>('BS Forecasts'!BC$169 -'BS Forecasts'!BB$169)</f>
        <v>0</v>
      </c>
      <c r="BD163" s="10">
        <f>('BS Forecasts'!BD$169 -'BS Forecasts'!BC$169)</f>
        <v>0</v>
      </c>
      <c r="BE163" s="10">
        <f>('BS Forecasts'!BE$169 -'BS Forecasts'!BD$169)</f>
        <v>0</v>
      </c>
      <c r="BF163" s="10">
        <f>('BS Forecasts'!BF$169 -'BS Forecasts'!BE$169)</f>
        <v>0</v>
      </c>
      <c r="BG163" s="10">
        <f>('BS Forecasts'!BG$169 -'BS Forecasts'!BF$169)</f>
        <v>0</v>
      </c>
      <c r="BH163" s="10">
        <f>('BS Forecasts'!BH$169 -'BS Forecasts'!BG$169)</f>
        <v>0</v>
      </c>
      <c r="BI163" s="10">
        <f>('BS Forecasts'!BI$169 -'BS Forecasts'!BH$169)</f>
        <v>0</v>
      </c>
      <c r="BJ163" s="10">
        <f>('BS Forecasts'!BJ$169 -'BS Forecasts'!BI$169)</f>
        <v>0</v>
      </c>
      <c r="BK163" s="67"/>
      <c r="BL163" s="13">
        <f>V163</f>
        <v>0</v>
      </c>
      <c r="BM163" s="10">
        <f>('BS Forecasts'!BM$169 -'BS Forecasts'!BL$169)</f>
        <v>0</v>
      </c>
      <c r="BN163" s="10">
        <f>('BS Forecasts'!BN$169 -'BS Forecasts'!BM$169)</f>
        <v>0</v>
      </c>
      <c r="BO163" s="10">
        <f>('BS Forecasts'!BO$169 -'BS Forecasts'!BN$169)</f>
        <v>0</v>
      </c>
      <c r="BP163" s="10">
        <f>('BS Forecasts'!BP$169 -'BS Forecasts'!BO$169)</f>
        <v>0</v>
      </c>
      <c r="BQ163" s="10">
        <f>('BS Forecasts'!BQ$169 -'BS Forecasts'!BP$169)</f>
        <v>0</v>
      </c>
      <c r="BR163" s="10">
        <f>('BS Forecasts'!BR$169 -'BS Forecasts'!BQ$169)</f>
        <v>0</v>
      </c>
      <c r="BS163" s="10">
        <f>('BS Forecasts'!BS$169 -'BS Forecasts'!BR$169)</f>
        <v>0</v>
      </c>
      <c r="BT163" s="10">
        <f>('BS Forecasts'!BT$169 -'BS Forecasts'!BS$169)</f>
        <v>0</v>
      </c>
      <c r="BU163" s="10">
        <f>('BS Forecasts'!BU$169 -'BS Forecasts'!BT$169)</f>
        <v>0</v>
      </c>
      <c r="BV163" s="10">
        <f>('BS Forecasts'!BV$169 -'BS Forecasts'!BU$169)</f>
        <v>0</v>
      </c>
      <c r="BW163" s="10">
        <f>('BS Forecasts'!BW$169 -'BS Forecasts'!BV$169)</f>
        <v>0</v>
      </c>
      <c r="BY163" s="12"/>
      <c r="CA163" s="12"/>
      <c r="CC163" s="7">
        <f t="shared" si="288"/>
        <v>0</v>
      </c>
      <c r="CD163" s="7">
        <f t="shared" si="289"/>
        <v>0</v>
      </c>
      <c r="CE163" s="7">
        <f t="shared" si="290"/>
        <v>0</v>
      </c>
      <c r="CF163" s="12"/>
      <c r="CG163" s="352">
        <f t="shared" si="291"/>
        <v>0</v>
      </c>
      <c r="CH163" s="352">
        <f t="shared" si="291"/>
        <v>0</v>
      </c>
      <c r="CI163" s="352">
        <f t="shared" si="291"/>
        <v>0</v>
      </c>
      <c r="CJ163" s="352">
        <f>ROUND($BM163-SUMIFS($AA163:$BJ163, $AA$3:$BJ$3, $BM$3), rounding)</f>
        <v>0</v>
      </c>
      <c r="CK163" s="352">
        <f>ROUND($BN163-SUMIFS($AA163:$BJ163, $AA$3:$BJ$3, $BN$3), rounding)</f>
        <v>0</v>
      </c>
      <c r="CL163" s="352">
        <f>ROUND($BO163-SUMIFS($AA163:$BJ163, $AA$3:$BJ$3, $BO$3), rounding)</f>
        <v>0</v>
      </c>
      <c r="CM163" s="352">
        <f>ROUND($V163-$BL163, rounding)</f>
        <v>0</v>
      </c>
      <c r="ER163" s="12"/>
      <c r="ES163">
        <v>0</v>
      </c>
      <c r="ET163" s="335">
        <v>0</v>
      </c>
      <c r="EX163" s="10" t="str">
        <f t="shared" si="242"/>
        <v>Movement in holiday pay accrual</v>
      </c>
    </row>
    <row r="164" spans="1:154" s="11" customFormat="1" ht="6.6" customHeight="1" x14ac:dyDescent="0.25">
      <c r="B164" s="335"/>
      <c r="C164" s="383"/>
      <c r="D164" s="69"/>
      <c r="E164" s="335"/>
      <c r="I164" s="335"/>
      <c r="P164" s="335"/>
      <c r="Q164" s="335"/>
      <c r="R164" s="335"/>
      <c r="T164" s="25"/>
      <c r="U164" s="25"/>
      <c r="V164" s="25"/>
      <c r="W164" s="25"/>
      <c r="X164" s="25"/>
      <c r="Y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80"/>
      <c r="BL164" s="25"/>
      <c r="BM164" s="155"/>
      <c r="BN164" s="25"/>
      <c r="BO164" s="25"/>
      <c r="BP164" s="25"/>
      <c r="BQ164" s="25"/>
      <c r="BR164" s="25"/>
      <c r="BS164" s="25"/>
      <c r="BT164" s="25"/>
      <c r="BU164" s="25"/>
      <c r="BV164" s="25"/>
      <c r="BW164" s="25"/>
      <c r="BY164" s="42"/>
      <c r="BZ164" s="162"/>
      <c r="CA164" s="42"/>
      <c r="CC164" s="335"/>
      <c r="CD164" s="335"/>
      <c r="CE164" s="335"/>
      <c r="CF164" s="42"/>
      <c r="CG164" s="335"/>
      <c r="CH164" s="335"/>
      <c r="CI164" s="335"/>
      <c r="CJ164" s="335"/>
      <c r="CK164" s="335"/>
      <c r="CL164" s="335"/>
      <c r="CM164" s="335"/>
      <c r="ER164" s="42"/>
      <c r="ES164" s="11">
        <v>0</v>
      </c>
      <c r="ET164" s="335">
        <v>0</v>
      </c>
      <c r="EU164" s="335"/>
      <c r="EV164" s="335"/>
      <c r="EX164" s="10" t="str">
        <f t="shared" si="242"/>
        <v/>
      </c>
    </row>
    <row r="165" spans="1:154" x14ac:dyDescent="0.25">
      <c r="A165" s="362" cm="1">
        <f t="array" aca="1" ref="A165" ca="1">HYPERLINK(CONCATENATE("#",CELL("address",IF(SUM($CA165:$CH165)=0,A165,INDEX($CA165:$CH165,MATCH(1,$CA165:$CH165,0))))),SUM($CA165:$CH165))</f>
        <v>0</v>
      </c>
      <c r="B165" s="93"/>
      <c r="C165" s="343" t="str">
        <f>CONCATENATE("M-", 'I&amp;E Annual'!C165)</f>
        <v>M-IE-4</v>
      </c>
      <c r="D165" s="176" t="s">
        <v>73</v>
      </c>
      <c r="E165" s="5"/>
      <c r="G165" s="5"/>
      <c r="I165" s="335"/>
      <c r="P165" s="335"/>
      <c r="Q165" s="335"/>
      <c r="R165" s="335"/>
      <c r="S165" s="332"/>
      <c r="T165" s="25"/>
      <c r="U165" s="25"/>
      <c r="V165" s="13">
        <f>V160+V162-V163</f>
        <v>0</v>
      </c>
      <c r="W165" s="13">
        <f>W160+W162-W163</f>
        <v>2501</v>
      </c>
      <c r="X165" s="13">
        <f>X160+X162-X163</f>
        <v>2564</v>
      </c>
      <c r="Y165" s="13">
        <f>Y160+Y162-Y163</f>
        <v>2744.8100000000013</v>
      </c>
      <c r="Z165" s="332"/>
      <c r="AA165" s="13">
        <f t="shared" ref="AA165:BJ165" si="292">AA160+AA162-AA163</f>
        <v>1901</v>
      </c>
      <c r="AB165" s="13">
        <f t="shared" si="292"/>
        <v>1305</v>
      </c>
      <c r="AC165" s="13">
        <f t="shared" si="292"/>
        <v>288</v>
      </c>
      <c r="AD165" s="13">
        <f t="shared" si="292"/>
        <v>-32</v>
      </c>
      <c r="AE165" s="13">
        <f t="shared" si="292"/>
        <v>-726</v>
      </c>
      <c r="AF165" s="13">
        <f t="shared" si="292"/>
        <v>-515</v>
      </c>
      <c r="AG165" s="13">
        <f t="shared" si="292"/>
        <v>-542</v>
      </c>
      <c r="AH165" s="13">
        <f t="shared" si="292"/>
        <v>-743</v>
      </c>
      <c r="AI165" s="13">
        <f t="shared" si="292"/>
        <v>1409</v>
      </c>
      <c r="AJ165" s="13">
        <f t="shared" si="292"/>
        <v>439</v>
      </c>
      <c r="AK165" s="13">
        <f t="shared" si="292"/>
        <v>456</v>
      </c>
      <c r="AL165" s="13">
        <f t="shared" si="292"/>
        <v>-739</v>
      </c>
      <c r="AM165" s="13">
        <f t="shared" si="292"/>
        <v>2159</v>
      </c>
      <c r="AN165" s="13">
        <f t="shared" si="292"/>
        <v>1291</v>
      </c>
      <c r="AO165" s="13">
        <f t="shared" si="292"/>
        <v>286</v>
      </c>
      <c r="AP165" s="13">
        <f t="shared" si="292"/>
        <v>-260</v>
      </c>
      <c r="AQ165" s="13">
        <f t="shared" si="292"/>
        <v>-726</v>
      </c>
      <c r="AR165" s="13">
        <f t="shared" si="292"/>
        <v>-411</v>
      </c>
      <c r="AS165" s="13">
        <f t="shared" si="292"/>
        <v>-786</v>
      </c>
      <c r="AT165" s="13">
        <f t="shared" si="292"/>
        <v>-749</v>
      </c>
      <c r="AU165" s="13">
        <f t="shared" si="292"/>
        <v>1653</v>
      </c>
      <c r="AV165" s="13">
        <f t="shared" si="292"/>
        <v>551</v>
      </c>
      <c r="AW165" s="13">
        <f t="shared" si="292"/>
        <v>153</v>
      </c>
      <c r="AX165" s="13">
        <f t="shared" si="292"/>
        <v>-597</v>
      </c>
      <c r="AY165" s="13">
        <f t="shared" si="292"/>
        <v>2214.7483333333334</v>
      </c>
      <c r="AZ165" s="13">
        <f t="shared" si="292"/>
        <v>1313.3566666666661</v>
      </c>
      <c r="BA165" s="13">
        <f t="shared" si="292"/>
        <v>301.48833333333278</v>
      </c>
      <c r="BB165" s="13">
        <f t="shared" si="292"/>
        <v>-260.61333333333323</v>
      </c>
      <c r="BC165" s="13">
        <f t="shared" si="292"/>
        <v>-738.53</v>
      </c>
      <c r="BD165" s="13">
        <f t="shared" si="292"/>
        <v>-411.22999999999979</v>
      </c>
      <c r="BE165" s="13">
        <f t="shared" si="292"/>
        <v>-799.74166666666702</v>
      </c>
      <c r="BF165" s="13">
        <f t="shared" si="292"/>
        <v>-758.5183333333332</v>
      </c>
      <c r="BG165" s="13">
        <f t="shared" si="292"/>
        <v>1712.378333333334</v>
      </c>
      <c r="BH165" s="13">
        <f t="shared" si="292"/>
        <v>605.06833333333361</v>
      </c>
      <c r="BI165" s="13">
        <f t="shared" si="292"/>
        <v>167.19333333333361</v>
      </c>
      <c r="BJ165" s="13">
        <f t="shared" si="292"/>
        <v>-600.79000000000042</v>
      </c>
      <c r="BK165" s="332"/>
      <c r="BL165" s="13">
        <f t="shared" ref="BL165:BW165" si="293">BL160+BL162-BL163</f>
        <v>0</v>
      </c>
      <c r="BM165" s="13">
        <f t="shared" si="293"/>
        <v>2501</v>
      </c>
      <c r="BN165" s="13">
        <f t="shared" si="293"/>
        <v>2564</v>
      </c>
      <c r="BO165" s="13">
        <f t="shared" si="293"/>
        <v>2744.8100000000013</v>
      </c>
      <c r="BP165" s="13">
        <f t="shared" si="293"/>
        <v>0</v>
      </c>
      <c r="BQ165" s="13">
        <f t="shared" si="293"/>
        <v>0</v>
      </c>
      <c r="BR165" s="13">
        <f t="shared" si="293"/>
        <v>0</v>
      </c>
      <c r="BS165" s="13">
        <f t="shared" si="293"/>
        <v>0</v>
      </c>
      <c r="BT165" s="13">
        <f t="shared" si="293"/>
        <v>0</v>
      </c>
      <c r="BU165" s="13">
        <f t="shared" si="293"/>
        <v>0</v>
      </c>
      <c r="BV165" s="13">
        <f t="shared" si="293"/>
        <v>0</v>
      </c>
      <c r="BW165" s="13">
        <f t="shared" si="293"/>
        <v>0</v>
      </c>
      <c r="BY165" s="12"/>
      <c r="CA165" s="12"/>
      <c r="CC165" s="7">
        <f>IF(SUM($CG165:$CI165)=0, 0, 1)</f>
        <v>0</v>
      </c>
      <c r="CD165" s="7">
        <f>IF(SUM($CJ165:$CL165)=0, 0, 1)</f>
        <v>0</v>
      </c>
      <c r="CE165" s="7">
        <f>IF($CM165=0, 0, 1)</f>
        <v>0</v>
      </c>
      <c r="CF165" s="12"/>
      <c r="CG165" s="352">
        <f>ROUND(W165-SUMIFS($AA165:$BJ165, $AA$3:$BJ$3, W$3), rounding)</f>
        <v>0</v>
      </c>
      <c r="CH165" s="352">
        <f>ROUND(X165-SUMIFS($AA165:$BJ165, $AA$3:$BJ$3, X$3), rounding)</f>
        <v>0</v>
      </c>
      <c r="CI165" s="352">
        <f>ROUND(Y165-SUMIFS($AA165:$BJ165, $AA$3:$BJ$3, Y$3), rounding)</f>
        <v>0</v>
      </c>
      <c r="CJ165" s="352">
        <f>ROUND($BM165-SUMIFS($AA165:$BJ165, $AA$3:$BJ$3, $BM$3), rounding)</f>
        <v>0</v>
      </c>
      <c r="CK165" s="352">
        <f>ROUND($BN165-SUMIFS($AA165:$BJ165, $AA$3:$BJ$3, $BN$3), rounding)</f>
        <v>0</v>
      </c>
      <c r="CL165" s="352">
        <f>ROUND($BO165-SUMIFS($AA165:$BJ165, $AA$3:$BJ$3, $BO$3), rounding)</f>
        <v>0</v>
      </c>
      <c r="CM165" s="352">
        <f>ROUND($V165-$BL165, rounding)</f>
        <v>0</v>
      </c>
      <c r="ER165" s="12"/>
      <c r="ES165">
        <v>0</v>
      </c>
      <c r="ET165" s="335">
        <v>0</v>
      </c>
      <c r="EX165" s="10" t="str">
        <f t="shared" si="242"/>
        <v>Surplus/(deficit) before ITDA</v>
      </c>
    </row>
    <row r="166" spans="1:154" s="335" customFormat="1" ht="12" customHeight="1" x14ac:dyDescent="0.25">
      <c r="C166" s="383"/>
      <c r="D166" s="69"/>
      <c r="T166" s="25"/>
      <c r="U166" s="25"/>
      <c r="Z166" s="93"/>
      <c r="BM166" s="6"/>
      <c r="BY166" s="42"/>
      <c r="BZ166" s="162"/>
      <c r="CA166" s="42"/>
      <c r="CF166" s="42"/>
      <c r="ER166" s="42"/>
      <c r="ES166" s="335">
        <v>0</v>
      </c>
      <c r="ET166" s="335">
        <v>0</v>
      </c>
      <c r="EX166" s="10" t="str">
        <f t="shared" si="242"/>
        <v/>
      </c>
    </row>
    <row r="167" spans="1:154" x14ac:dyDescent="0.25">
      <c r="B167" s="5"/>
      <c r="C167" s="383"/>
      <c r="D167" s="74" t="s">
        <v>74</v>
      </c>
      <c r="E167" s="5"/>
      <c r="I167" s="335"/>
      <c r="Q167" s="335"/>
      <c r="R167" s="335"/>
      <c r="T167" s="25"/>
      <c r="U167" s="25"/>
      <c r="AA167" s="335"/>
      <c r="BM167" s="335"/>
      <c r="BY167" s="12"/>
      <c r="CA167" s="12"/>
      <c r="CF167" s="12"/>
      <c r="ER167" s="12"/>
      <c r="ES167">
        <v>0</v>
      </c>
      <c r="ET167" s="335">
        <v>0</v>
      </c>
      <c r="EX167" s="10" t="str">
        <f t="shared" si="242"/>
        <v/>
      </c>
    </row>
    <row r="168" spans="1:154" ht="23.25" x14ac:dyDescent="0.25">
      <c r="A168" s="362" cm="1">
        <f t="array" aca="1" ref="A168" ca="1">HYPERLINK(CONCATENATE("#",CELL("address",IF(SUM($CA168:$CH168)=0,A168,INDEX($CA168:$CH168,MATCH(1,$CA168:$CH168,0))))),SUM($CA168:$CH168))</f>
        <v>0</v>
      </c>
      <c r="B168" s="335"/>
      <c r="C168" s="343" t="str">
        <f>CONCATENATE("M-", 'I&amp;E Annual'!C168)</f>
        <v>M-IE-5a-1</v>
      </c>
      <c r="D168" s="179" t="s">
        <v>75</v>
      </c>
      <c r="E168" s="348" t="str" cm="1">
        <f t="array" aca="1" ref="E168" ca="1">HYPERLINK(CONCATENATE("#",CELL("address",'Investing Inputs'!$D$209)),'Investing Inputs'!$D$202)</f>
        <v>Land &amp; Buildings</v>
      </c>
      <c r="F168" s="348" t="str" cm="1">
        <f t="array" aca="1" ref="F168" ca="1">HYPERLINK(CONCATENATE("#",CELL("address",'Investing Inputs'!$D$223)),'Investing Inputs'!$D$216)</f>
        <v>Equipment</v>
      </c>
      <c r="G168" s="348" t="str" cm="1">
        <f t="array" aca="1" ref="G168" ca="1">HYPERLINK(CONCATENATE("#",CELL("address",'Investing Inputs'!$D$237)),'Investing Inputs'!$D$230)</f>
        <v>Other NCA</v>
      </c>
      <c r="H168" s="319" t="s">
        <v>86</v>
      </c>
      <c r="I168" s="335"/>
      <c r="P168" s="335"/>
      <c r="Q168" s="335"/>
      <c r="R168" s="335"/>
      <c r="S168" s="280"/>
      <c r="T168" s="25"/>
      <c r="U168" s="25"/>
      <c r="V168" s="201">
        <f>0-('Investing Inputs'!V$209+'Investing Inputs'!V$223+'Investing Inputs'!V$237)</f>
        <v>0</v>
      </c>
      <c r="W168" s="201">
        <f>0-('Investing Inputs'!W$209+'Investing Inputs'!W$223+'Investing Inputs'!W$237)</f>
        <v>1916</v>
      </c>
      <c r="X168" s="201">
        <f>0-('Investing Inputs'!X$209+'Investing Inputs'!X$223+'Investing Inputs'!X$237)</f>
        <v>1993</v>
      </c>
      <c r="Y168" s="201">
        <f>0-('Investing Inputs'!Y$209+'Investing Inputs'!Y$223+'Investing Inputs'!Y$237)</f>
        <v>2070</v>
      </c>
      <c r="Z168" s="335"/>
      <c r="AA168" s="201">
        <f>0-('Investing Inputs'!AA$209+'Investing Inputs'!AA$223+'Investing Inputs'!AA$237)</f>
        <v>156</v>
      </c>
      <c r="AB168" s="201">
        <f>0-('Investing Inputs'!AB$209+'Investing Inputs'!AB$223+'Investing Inputs'!AB$237)</f>
        <v>151</v>
      </c>
      <c r="AC168" s="201">
        <f>0-('Investing Inputs'!AC$209+'Investing Inputs'!AC$223+'Investing Inputs'!AC$237)</f>
        <v>152</v>
      </c>
      <c r="AD168" s="201">
        <f>0-('Investing Inputs'!AD$209+'Investing Inputs'!AD$223+'Investing Inputs'!AD$237)</f>
        <v>154</v>
      </c>
      <c r="AE168" s="201">
        <f>0-('Investing Inputs'!AE$209+'Investing Inputs'!AE$223+'Investing Inputs'!AE$237)</f>
        <v>155</v>
      </c>
      <c r="AF168" s="201">
        <f>0-('Investing Inputs'!AF$209+'Investing Inputs'!AF$223+'Investing Inputs'!AF$237)</f>
        <v>154</v>
      </c>
      <c r="AG168" s="201">
        <f>0-('Investing Inputs'!AG$209+'Investing Inputs'!AG$223+'Investing Inputs'!AG$237)</f>
        <v>155</v>
      </c>
      <c r="AH168" s="201">
        <f>0-('Investing Inputs'!AH$209+'Investing Inputs'!AH$223+'Investing Inputs'!AH$237)</f>
        <v>151</v>
      </c>
      <c r="AI168" s="201">
        <f>0-('Investing Inputs'!AI$209+'Investing Inputs'!AI$223+'Investing Inputs'!AI$237)</f>
        <v>153</v>
      </c>
      <c r="AJ168" s="201">
        <f>0-('Investing Inputs'!AJ$209+'Investing Inputs'!AJ$223+'Investing Inputs'!AJ$237)</f>
        <v>151</v>
      </c>
      <c r="AK168" s="201">
        <f>0-('Investing Inputs'!AK$209+'Investing Inputs'!AK$223+'Investing Inputs'!AK$237)</f>
        <v>192</v>
      </c>
      <c r="AL168" s="201">
        <f>0-('Investing Inputs'!AL$209+'Investing Inputs'!AL$223+'Investing Inputs'!AL$237)</f>
        <v>192</v>
      </c>
      <c r="AM168" s="201">
        <f>0-('Investing Inputs'!AM$209+'Investing Inputs'!AM$223+'Investing Inputs'!AM$237)</f>
        <v>156</v>
      </c>
      <c r="AN168" s="201">
        <f>0-('Investing Inputs'!AN$209+'Investing Inputs'!AN$223+'Investing Inputs'!AN$237)</f>
        <v>155</v>
      </c>
      <c r="AO168" s="201">
        <f>0-('Investing Inputs'!AO$209+'Investing Inputs'!AO$223+'Investing Inputs'!AO$237)</f>
        <v>156</v>
      </c>
      <c r="AP168" s="201">
        <f>0-('Investing Inputs'!AP$209+'Investing Inputs'!AP$223+'Investing Inputs'!AP$237)</f>
        <v>159</v>
      </c>
      <c r="AQ168" s="201">
        <f>0-('Investing Inputs'!AQ$209+'Investing Inputs'!AQ$223+'Investing Inputs'!AQ$237)</f>
        <v>160</v>
      </c>
      <c r="AR168" s="201">
        <f>0-('Investing Inputs'!AR$209+'Investing Inputs'!AR$223+'Investing Inputs'!AR$237)</f>
        <v>160</v>
      </c>
      <c r="AS168" s="201">
        <f>0-('Investing Inputs'!AS$209+'Investing Inputs'!AS$223+'Investing Inputs'!AS$237)</f>
        <v>162</v>
      </c>
      <c r="AT168" s="201">
        <f>0-('Investing Inputs'!AT$209+'Investing Inputs'!AT$223+'Investing Inputs'!AT$237)</f>
        <v>159</v>
      </c>
      <c r="AU168" s="201">
        <f>0-('Investing Inputs'!AU$209+'Investing Inputs'!AU$223+'Investing Inputs'!AU$237)</f>
        <v>161</v>
      </c>
      <c r="AV168" s="201">
        <f>0-('Investing Inputs'!AV$209+'Investing Inputs'!AV$223+'Investing Inputs'!AV$237)</f>
        <v>160</v>
      </c>
      <c r="AW168" s="201">
        <f>0-('Investing Inputs'!AW$209+'Investing Inputs'!AW$223+'Investing Inputs'!AW$237)</f>
        <v>202</v>
      </c>
      <c r="AX168" s="201">
        <f>0-('Investing Inputs'!AX$209+'Investing Inputs'!AX$223+'Investing Inputs'!AX$237)</f>
        <v>203</v>
      </c>
      <c r="AY168" s="201">
        <f>0-('Investing Inputs'!AY$209+'Investing Inputs'!AY$223+'Investing Inputs'!AY$237)</f>
        <v>167</v>
      </c>
      <c r="AZ168" s="201">
        <f>0-('Investing Inputs'!AZ$209+'Investing Inputs'!AZ$223+'Investing Inputs'!AZ$237)</f>
        <v>162</v>
      </c>
      <c r="BA168" s="201">
        <f>0-('Investing Inputs'!BA$209+'Investing Inputs'!BA$223+'Investing Inputs'!BA$237)</f>
        <v>164</v>
      </c>
      <c r="BB168" s="201">
        <f>0-('Investing Inputs'!BB$209+'Investing Inputs'!BB$223+'Investing Inputs'!BB$237)</f>
        <v>166</v>
      </c>
      <c r="BC168" s="201">
        <f>0-('Investing Inputs'!BC$209+'Investing Inputs'!BC$223+'Investing Inputs'!BC$237)</f>
        <v>167</v>
      </c>
      <c r="BD168" s="201">
        <f>0-('Investing Inputs'!BD$209+'Investing Inputs'!BD$223+'Investing Inputs'!BD$237)</f>
        <v>167</v>
      </c>
      <c r="BE168" s="201">
        <f>0-('Investing Inputs'!BE$209+'Investing Inputs'!BE$223+'Investing Inputs'!BE$237)</f>
        <v>168</v>
      </c>
      <c r="BF168" s="201">
        <f>0-('Investing Inputs'!BF$209+'Investing Inputs'!BF$223+'Investing Inputs'!BF$237)</f>
        <v>164</v>
      </c>
      <c r="BG168" s="201">
        <f>0-('Investing Inputs'!BG$209+'Investing Inputs'!BG$223+'Investing Inputs'!BG$237)</f>
        <v>167</v>
      </c>
      <c r="BH168" s="201">
        <f>0-('Investing Inputs'!BH$209+'Investing Inputs'!BH$223+'Investing Inputs'!BH$237)</f>
        <v>165</v>
      </c>
      <c r="BI168" s="201">
        <f>0-('Investing Inputs'!BI$209+'Investing Inputs'!BI$223+'Investing Inputs'!BI$237)</f>
        <v>206</v>
      </c>
      <c r="BJ168" s="201">
        <f>0-('Investing Inputs'!BJ$209+'Investing Inputs'!BJ$223+'Investing Inputs'!BJ$237)</f>
        <v>207</v>
      </c>
      <c r="BK168" s="335"/>
      <c r="BL168" s="201">
        <f>0-('Investing Inputs'!BL$209+'Investing Inputs'!BL$223+'Investing Inputs'!BL$237)</f>
        <v>0</v>
      </c>
      <c r="BM168" s="201">
        <f>0-('Investing Inputs'!BM$209+'Investing Inputs'!BM$223+'Investing Inputs'!BM$237)</f>
        <v>1916</v>
      </c>
      <c r="BN168" s="201">
        <f>0-('Investing Inputs'!BN$209+'Investing Inputs'!BN$223+'Investing Inputs'!BN$237)</f>
        <v>1993</v>
      </c>
      <c r="BO168" s="201">
        <f>0-('Investing Inputs'!BO$209+'Investing Inputs'!BO$223+'Investing Inputs'!BO$237)</f>
        <v>2070</v>
      </c>
      <c r="BP168" s="201">
        <f>0-('Investing Inputs'!BP$209+'Investing Inputs'!BP$223+'Investing Inputs'!BP$237)</f>
        <v>0</v>
      </c>
      <c r="BQ168" s="201">
        <f>0-('Investing Inputs'!BQ$209+'Investing Inputs'!BQ$223+'Investing Inputs'!BQ$237)</f>
        <v>0</v>
      </c>
      <c r="BR168" s="201">
        <f>0-('Investing Inputs'!BR$209+'Investing Inputs'!BR$223+'Investing Inputs'!BR$237)</f>
        <v>0</v>
      </c>
      <c r="BS168" s="201">
        <f>0-('Investing Inputs'!BS$209+'Investing Inputs'!BS$223+'Investing Inputs'!BS$237)</f>
        <v>0</v>
      </c>
      <c r="BT168" s="201">
        <f>0-('Investing Inputs'!BT$209+'Investing Inputs'!BT$223+'Investing Inputs'!BT$237)</f>
        <v>0</v>
      </c>
      <c r="BU168" s="201">
        <f>0-('Investing Inputs'!BU$209+'Investing Inputs'!BU$223+'Investing Inputs'!BU$237)</f>
        <v>0</v>
      </c>
      <c r="BV168" s="201">
        <f>0-('Investing Inputs'!BV$209+'Investing Inputs'!BV$223+'Investing Inputs'!BV$237)</f>
        <v>0</v>
      </c>
      <c r="BW168" s="201">
        <f>0-('Investing Inputs'!BW$209+'Investing Inputs'!BW$223+'Investing Inputs'!BW$237)</f>
        <v>0</v>
      </c>
      <c r="BY168" s="12"/>
      <c r="CA168" s="12"/>
      <c r="CC168" s="7">
        <f t="shared" ref="CC168:CC173" si="294">IF(SUM($CG168:$CI168)=0, 0, 1)</f>
        <v>0</v>
      </c>
      <c r="CD168" s="7">
        <f t="shared" ref="CD168:CD173" si="295">IF(SUM($CJ168:$CL168)=0, 0, 1)</f>
        <v>0</v>
      </c>
      <c r="CE168" s="7">
        <f t="shared" ref="CE168:CE173" si="296">IF($CM168=0, 0, 1)</f>
        <v>0</v>
      </c>
      <c r="CF168" s="12"/>
      <c r="CG168" s="352">
        <f t="shared" ref="CG168:CI173" si="297">ROUND(W168-SUMIFS($AA168:$BJ168, $AA$3:$BJ$3, W$3), rounding)</f>
        <v>0</v>
      </c>
      <c r="CH168" s="352">
        <f t="shared" si="297"/>
        <v>0</v>
      </c>
      <c r="CI168" s="352">
        <f t="shared" si="297"/>
        <v>0</v>
      </c>
      <c r="CJ168" s="352">
        <f t="shared" ref="CJ168:CJ173" si="298">ROUND($BM168-SUMIFS($AA168:$BJ168, $AA$3:$BJ$3, $BM$3), rounding)</f>
        <v>0</v>
      </c>
      <c r="CK168" s="352">
        <f t="shared" ref="CK168:CK173" si="299">ROUND($BN168-SUMIFS($AA168:$BJ168, $AA$3:$BJ$3, $BN$3), rounding)</f>
        <v>0</v>
      </c>
      <c r="CL168" s="352">
        <f t="shared" ref="CL168:CL173" si="300">ROUND($BO168-SUMIFS($AA168:$BJ168, $AA$3:$BJ$3, $BO$3), rounding)</f>
        <v>0</v>
      </c>
      <c r="CM168" s="352">
        <f t="shared" ref="CM168:CM173" si="301">ROUND($V168-$BL168, rounding)</f>
        <v>0</v>
      </c>
      <c r="ER168" s="12"/>
      <c r="ES168">
        <v>0</v>
      </c>
      <c r="ET168" s="335">
        <v>0</v>
      </c>
      <c r="EX168" s="10" t="str">
        <f t="shared" si="242"/>
        <v>Depreciation and amortisation</v>
      </c>
    </row>
    <row r="169" spans="1:154" ht="15.75" x14ac:dyDescent="0.3">
      <c r="A169" s="362" cm="1">
        <f t="array" aca="1" ref="A169" ca="1">HYPERLINK(CONCATENATE("#",CELL("address",IF(SUM($CA169:$CH169)=0,A169,INDEX($CA169:$CH169,MATCH(1,$CA169:$CH169,0))))),SUM($CA169:$CH169))</f>
        <v>0</v>
      </c>
      <c r="B169" s="105" t="s">
        <v>335</v>
      </c>
      <c r="C169" s="343" t="str">
        <f>CONCATENATE("M-", 'I&amp;E Annual'!C169)</f>
        <v>M-IE-5a-2</v>
      </c>
      <c r="D169" s="134" t="s">
        <v>76</v>
      </c>
      <c r="E169" s="67"/>
      <c r="F169" s="67"/>
      <c r="H169" s="319" t="s">
        <v>8</v>
      </c>
      <c r="I169" s="335"/>
      <c r="S169" s="335"/>
      <c r="T169" s="25"/>
      <c r="U169" s="25"/>
      <c r="V169" s="141"/>
      <c r="W169" s="215">
        <f xml:space="preserve"> SUMIFS($AA169:$BJ169, $AA$3:$BJ$3, W$3)</f>
        <v>0</v>
      </c>
      <c r="X169" s="215">
        <f xml:space="preserve"> SUMIFS($AA169:$BJ169, $AA$3:$BJ$3, X$3)</f>
        <v>10</v>
      </c>
      <c r="Y169" s="215">
        <f xml:space="preserve"> SUMIFS($AA169:$BJ169, $AA$3:$BJ$3, Y$3)</f>
        <v>12</v>
      </c>
      <c r="Z169" s="67"/>
      <c r="AA169" s="372"/>
      <c r="AB169" s="372"/>
      <c r="AC169" s="372"/>
      <c r="AD169" s="372"/>
      <c r="AE169" s="372"/>
      <c r="AF169" s="372"/>
      <c r="AG169" s="372"/>
      <c r="AH169" s="372"/>
      <c r="AI169" s="372"/>
      <c r="AJ169" s="372"/>
      <c r="AK169" s="372"/>
      <c r="AL169" s="372"/>
      <c r="AM169" s="372"/>
      <c r="AN169" s="372"/>
      <c r="AO169" s="372">
        <v>1</v>
      </c>
      <c r="AP169" s="372">
        <v>1</v>
      </c>
      <c r="AQ169" s="372">
        <v>1</v>
      </c>
      <c r="AR169" s="372">
        <v>1</v>
      </c>
      <c r="AS169" s="372">
        <v>1</v>
      </c>
      <c r="AT169" s="372">
        <v>1</v>
      </c>
      <c r="AU169" s="372">
        <v>1</v>
      </c>
      <c r="AV169" s="372">
        <v>1</v>
      </c>
      <c r="AW169" s="372">
        <v>1</v>
      </c>
      <c r="AX169" s="372">
        <v>1</v>
      </c>
      <c r="AY169" s="372">
        <v>1</v>
      </c>
      <c r="AZ169" s="372">
        <v>1</v>
      </c>
      <c r="BA169" s="372">
        <v>1</v>
      </c>
      <c r="BB169" s="372">
        <v>1</v>
      </c>
      <c r="BC169" s="372">
        <v>1</v>
      </c>
      <c r="BD169" s="372">
        <v>1</v>
      </c>
      <c r="BE169" s="372">
        <v>1</v>
      </c>
      <c r="BF169" s="372">
        <v>1</v>
      </c>
      <c r="BG169" s="372">
        <v>1</v>
      </c>
      <c r="BH169" s="372">
        <v>1</v>
      </c>
      <c r="BI169" s="372">
        <v>1</v>
      </c>
      <c r="BJ169" s="372">
        <v>1</v>
      </c>
      <c r="BK169" s="335"/>
      <c r="BL169" s="10">
        <f>V169</f>
        <v>0</v>
      </c>
      <c r="BM169" s="10">
        <f>W169</f>
        <v>0</v>
      </c>
      <c r="BN169" s="10">
        <f>X169</f>
        <v>10</v>
      </c>
      <c r="BO169" s="10">
        <f>Y169</f>
        <v>12</v>
      </c>
      <c r="BP169" s="141"/>
      <c r="BQ169" s="141"/>
      <c r="BR169" s="141"/>
      <c r="BS169" s="141"/>
      <c r="BT169" s="141"/>
      <c r="BU169" s="141"/>
      <c r="BV169" s="141"/>
      <c r="BW169" s="141"/>
      <c r="BY169" s="12"/>
      <c r="BZ169" s="395">
        <f>IF(MIN($V169:$BW169)&lt;0, 1, 0)</f>
        <v>0</v>
      </c>
      <c r="CA169" s="12"/>
      <c r="CC169" s="7">
        <f t="shared" si="294"/>
        <v>0</v>
      </c>
      <c r="CD169" s="7">
        <f t="shared" si="295"/>
        <v>0</v>
      </c>
      <c r="CE169" s="7">
        <f t="shared" si="296"/>
        <v>0</v>
      </c>
      <c r="CF169" s="12"/>
      <c r="CG169" s="352">
        <f t="shared" si="297"/>
        <v>0</v>
      </c>
      <c r="CH169" s="352">
        <f t="shared" si="297"/>
        <v>0</v>
      </c>
      <c r="CI169" s="352">
        <f t="shared" si="297"/>
        <v>0</v>
      </c>
      <c r="CJ169" s="352">
        <f t="shared" si="298"/>
        <v>0</v>
      </c>
      <c r="CK169" s="352">
        <f t="shared" si="299"/>
        <v>0</v>
      </c>
      <c r="CL169" s="352">
        <f t="shared" si="300"/>
        <v>0</v>
      </c>
      <c r="CM169" s="352">
        <f t="shared" si="301"/>
        <v>0</v>
      </c>
      <c r="ER169" s="12"/>
      <c r="ES169" s="4">
        <v>1</v>
      </c>
      <c r="ET169" s="335">
        <v>1</v>
      </c>
      <c r="EX169" s="10" t="str">
        <f t="shared" si="242"/>
        <v>Interest and investment income</v>
      </c>
    </row>
    <row r="170" spans="1:154" ht="45.75" x14ac:dyDescent="0.25">
      <c r="A170" s="362" cm="1">
        <f t="array" aca="1" ref="A170" ca="1">HYPERLINK(CONCATENATE("#",CELL("address",IF(SUM($CA170:$CH170)=0,A170,INDEX($CA170:$CH170,MATCH(1,$CA170:$CH170,0))))),SUM($CA170:$CH170))</f>
        <v>0</v>
      </c>
      <c r="B170" s="335"/>
      <c r="C170" s="343" t="str">
        <f>CONCATENATE("M-", 'I&amp;E Annual'!C170)</f>
        <v>M-IE-5a-3</v>
      </c>
      <c r="D170" s="134" t="s">
        <v>77</v>
      </c>
      <c r="E170" s="348" t="str" cm="1">
        <f t="array" aca="1" ref="E170" ca="1">HYPERLINK(CONCATENATE("#",CELL("address",'BS Forecasts'!$D$108)),'BS Forecasts'!$D$105)</f>
        <v>Finance Lease Obligations</v>
      </c>
      <c r="F170" s="348" t="str" cm="1">
        <f t="array" aca="1" ref="F170" ca="1">HYPERLINK(CONCATENATE("#",CELL("address",Loans!$D$1147)),Loans!$D$1143)</f>
        <v>Interest Expense and Early Repayment Fee</v>
      </c>
      <c r="H170" s="319" t="s">
        <v>86</v>
      </c>
      <c r="I170" s="335"/>
      <c r="S170" s="280"/>
      <c r="T170" s="25"/>
      <c r="U170" s="25"/>
      <c r="V170" s="215">
        <f>Loans!V$1147+'BS Forecasts'!V$108</f>
        <v>0</v>
      </c>
      <c r="W170" s="215">
        <f>Loans!W$1147+'BS Forecasts'!W$108</f>
        <v>145</v>
      </c>
      <c r="X170" s="215">
        <f>Loans!X$1147+'BS Forecasts'!X$108</f>
        <v>145</v>
      </c>
      <c r="Y170" s="215">
        <f>Loans!Y$1147+'BS Forecasts'!Y$108</f>
        <v>145</v>
      </c>
      <c r="Z170" s="280"/>
      <c r="AA170" s="153">
        <f>Loans!AA$1147+'BS Forecasts'!AA$108</f>
        <v>25</v>
      </c>
      <c r="AB170" s="153">
        <f>Loans!AB$1147+'BS Forecasts'!AB$108</f>
        <v>6</v>
      </c>
      <c r="AC170" s="153">
        <f>Loans!AC$1147+'BS Forecasts'!AC$108</f>
        <v>6</v>
      </c>
      <c r="AD170" s="153">
        <f>Loans!AD$1147+'BS Forecasts'!AD$108</f>
        <v>24</v>
      </c>
      <c r="AE170" s="153">
        <f>Loans!AE$1147+'BS Forecasts'!AE$108</f>
        <v>6</v>
      </c>
      <c r="AF170" s="153">
        <f>Loans!AF$1147+'BS Forecasts'!AF$108</f>
        <v>6</v>
      </c>
      <c r="AG170" s="153">
        <f>Loans!AG$1147+'BS Forecasts'!AG$108</f>
        <v>24</v>
      </c>
      <c r="AH170" s="153">
        <f>Loans!AH$1147+'BS Forecasts'!AH$108</f>
        <v>6</v>
      </c>
      <c r="AI170" s="153">
        <f>Loans!AI$1147+'BS Forecasts'!AI$108</f>
        <v>6</v>
      </c>
      <c r="AJ170" s="153">
        <f>Loans!AJ$1147+'BS Forecasts'!AJ$108</f>
        <v>24</v>
      </c>
      <c r="AK170" s="153">
        <f>Loans!AK$1147+'BS Forecasts'!AK$108</f>
        <v>6</v>
      </c>
      <c r="AL170" s="153">
        <f>Loans!AL$1147+'BS Forecasts'!AL$108</f>
        <v>6</v>
      </c>
      <c r="AM170" s="153">
        <f>Loans!AM$1147+'BS Forecasts'!AM$108</f>
        <v>25</v>
      </c>
      <c r="AN170" s="153">
        <f>Loans!AN$1147+'BS Forecasts'!AN$108</f>
        <v>6</v>
      </c>
      <c r="AO170" s="153">
        <f>Loans!AO$1147+'BS Forecasts'!AO$108</f>
        <v>6</v>
      </c>
      <c r="AP170" s="153">
        <f>Loans!AP$1147+'BS Forecasts'!AP$108</f>
        <v>24</v>
      </c>
      <c r="AQ170" s="153">
        <f>Loans!AQ$1147+'BS Forecasts'!AQ$108</f>
        <v>6</v>
      </c>
      <c r="AR170" s="153">
        <f>Loans!AR$1147+'BS Forecasts'!AR$108</f>
        <v>6</v>
      </c>
      <c r="AS170" s="153">
        <f>Loans!AS$1147+'BS Forecasts'!AS$108</f>
        <v>24</v>
      </c>
      <c r="AT170" s="153">
        <f>Loans!AT$1147+'BS Forecasts'!AT$108</f>
        <v>6</v>
      </c>
      <c r="AU170" s="153">
        <f>Loans!AU$1147+'BS Forecasts'!AU$108</f>
        <v>6</v>
      </c>
      <c r="AV170" s="153">
        <f>Loans!AV$1147+'BS Forecasts'!AV$108</f>
        <v>24</v>
      </c>
      <c r="AW170" s="153">
        <f>Loans!AW$1147+'BS Forecasts'!AW$108</f>
        <v>6</v>
      </c>
      <c r="AX170" s="153">
        <f>Loans!AX$1147+'BS Forecasts'!AX$108</f>
        <v>6</v>
      </c>
      <c r="AY170" s="153">
        <f>Loans!AY$1147+'BS Forecasts'!AY$108</f>
        <v>25</v>
      </c>
      <c r="AZ170" s="153">
        <f>Loans!AZ$1147+'BS Forecasts'!AZ$108</f>
        <v>6</v>
      </c>
      <c r="BA170" s="153">
        <f>Loans!BA$1147+'BS Forecasts'!BA$108</f>
        <v>6</v>
      </c>
      <c r="BB170" s="153">
        <f>Loans!BB$1147+'BS Forecasts'!BB$108</f>
        <v>24</v>
      </c>
      <c r="BC170" s="153">
        <f>Loans!BC$1147+'BS Forecasts'!BC$108</f>
        <v>6</v>
      </c>
      <c r="BD170" s="153">
        <f>Loans!BD$1147+'BS Forecasts'!BD$108</f>
        <v>6</v>
      </c>
      <c r="BE170" s="153">
        <f>Loans!BE$1147+'BS Forecasts'!BE$108</f>
        <v>24</v>
      </c>
      <c r="BF170" s="153">
        <f>Loans!BF$1147+'BS Forecasts'!BF$108</f>
        <v>6</v>
      </c>
      <c r="BG170" s="153">
        <f>Loans!BG$1147+'BS Forecasts'!BG$108</f>
        <v>6</v>
      </c>
      <c r="BH170" s="153">
        <f>Loans!BH$1147+'BS Forecasts'!BH$108</f>
        <v>24</v>
      </c>
      <c r="BI170" s="153">
        <f>Loans!BI$1147+'BS Forecasts'!BI$108</f>
        <v>6</v>
      </c>
      <c r="BJ170" s="153">
        <f>Loans!BJ$1147+'BS Forecasts'!BJ$108</f>
        <v>6</v>
      </c>
      <c r="BK170" s="335"/>
      <c r="BL170" s="153">
        <f>Loans!BL$1147+'BS Forecasts'!BL$108</f>
        <v>0</v>
      </c>
      <c r="BM170" s="153">
        <f>Loans!BM$1147+'BS Forecasts'!BM$108</f>
        <v>145</v>
      </c>
      <c r="BN170" s="153">
        <f>Loans!BN$1147+'BS Forecasts'!BN$108</f>
        <v>145</v>
      </c>
      <c r="BO170" s="153">
        <f>Loans!BO$1147+'BS Forecasts'!BO$108</f>
        <v>145</v>
      </c>
      <c r="BP170" s="153">
        <f>Loans!BP$1147+'BS Forecasts'!BP$108</f>
        <v>0</v>
      </c>
      <c r="BQ170" s="153">
        <f>Loans!BQ$1147+'BS Forecasts'!BQ$108</f>
        <v>0</v>
      </c>
      <c r="BR170" s="153">
        <f>Loans!BR$1147+'BS Forecasts'!BR$108</f>
        <v>0</v>
      </c>
      <c r="BS170" s="153">
        <f>Loans!BS$1147+'BS Forecasts'!BS$108</f>
        <v>0</v>
      </c>
      <c r="BT170" s="153">
        <f>Loans!BT$1147+'BS Forecasts'!BT$108</f>
        <v>0</v>
      </c>
      <c r="BU170" s="153">
        <f>Loans!BU$1147+'BS Forecasts'!BU$108</f>
        <v>0</v>
      </c>
      <c r="BV170" s="153">
        <f>Loans!BV$1147+'BS Forecasts'!BV$108</f>
        <v>0</v>
      </c>
      <c r="BW170" s="153">
        <f>Loans!BW$1147+'BS Forecasts'!BW$108</f>
        <v>0</v>
      </c>
      <c r="BY170" s="12"/>
      <c r="CA170" s="12"/>
      <c r="CC170" s="7">
        <f t="shared" si="294"/>
        <v>0</v>
      </c>
      <c r="CD170" s="7">
        <f t="shared" si="295"/>
        <v>0</v>
      </c>
      <c r="CE170" s="7">
        <f t="shared" si="296"/>
        <v>0</v>
      </c>
      <c r="CF170" s="12"/>
      <c r="CG170" s="352">
        <f t="shared" si="297"/>
        <v>0</v>
      </c>
      <c r="CH170" s="352">
        <f t="shared" si="297"/>
        <v>0</v>
      </c>
      <c r="CI170" s="352">
        <f t="shared" si="297"/>
        <v>0</v>
      </c>
      <c r="CJ170" s="352">
        <f t="shared" si="298"/>
        <v>0</v>
      </c>
      <c r="CK170" s="352">
        <f t="shared" si="299"/>
        <v>0</v>
      </c>
      <c r="CL170" s="352">
        <f t="shared" si="300"/>
        <v>0</v>
      </c>
      <c r="CM170" s="352">
        <f t="shared" si="301"/>
        <v>0</v>
      </c>
      <c r="ER170" s="12"/>
      <c r="ES170">
        <v>0</v>
      </c>
      <c r="ET170" s="335">
        <v>0</v>
      </c>
      <c r="EX170" s="10" t="str">
        <f t="shared" si="242"/>
        <v>Interest and other finance costs</v>
      </c>
    </row>
    <row r="171" spans="1:154" ht="32.450000000000003" customHeight="1" x14ac:dyDescent="0.25">
      <c r="A171" s="362" cm="1">
        <f t="array" aca="1" ref="A171" ca="1">HYPERLINK(CONCATENATE("#",CELL("address",IF(SUM($CA171:$CH171)=0,A171,INDEX($CA171:$CH171,MATCH(1,$CA171:$CH171,0))))),SUM($CA171:$CH171))</f>
        <v>0</v>
      </c>
      <c r="B171" s="335"/>
      <c r="C171" s="343" t="str">
        <f>CONCATENATE("M-", 'I&amp;E Annual'!C171)</f>
        <v>M-IE-5a-4</v>
      </c>
      <c r="D171" s="135" t="s">
        <v>879</v>
      </c>
      <c r="E171" s="348" t="str" cm="1">
        <f t="array" aca="1" ref="E171" ca="1">HYPERLINK(CONCATENATE("#",CELL("address",'BS Forecasts'!$D$188)),"LPGS Interest")</f>
        <v>LPGS Interest</v>
      </c>
      <c r="F171" s="348" t="str" cm="1">
        <f t="array" aca="1" ref="F171" ca="1">HYPERLINK(CONCATENATE("#",CELL("address",'BS Forecasts'!$D$197)),'BS Forecasts'!$D$194)</f>
        <v>Enhanced Pension Provision</v>
      </c>
      <c r="G171" s="348" t="str" cm="1">
        <f t="array" aca="1" ref="G171" ca="1">HYPERLINK(CONCATENATE("#",CELL("address",'BS Forecasts'!$D$206)),'BS Forecasts'!$D$203)</f>
        <v>Other Pension Provisions</v>
      </c>
      <c r="H171" s="162" t="s">
        <v>86</v>
      </c>
      <c r="S171" s="335"/>
      <c r="T171" s="25"/>
      <c r="U171" s="25"/>
      <c r="V171" s="215">
        <f xml:space="preserve"> SUM('BS Forecasts'!V187:V188)+'BS Forecasts'!V$197+'BS Forecasts'!V$206</f>
        <v>0</v>
      </c>
      <c r="W171" s="215">
        <f xml:space="preserve"> SUM('BS Forecasts'!W187:W188)+'BS Forecasts'!W$197+'BS Forecasts'!W$206</f>
        <v>0</v>
      </c>
      <c r="X171" s="215">
        <f xml:space="preserve"> SUM('BS Forecasts'!X187:X188)+'BS Forecasts'!X$197+'BS Forecasts'!X$206</f>
        <v>0</v>
      </c>
      <c r="Y171" s="215">
        <f xml:space="preserve"> SUM('BS Forecasts'!Y187:Y188)+'BS Forecasts'!Y$197+'BS Forecasts'!Y$206</f>
        <v>0</v>
      </c>
      <c r="Z171" s="335"/>
      <c r="AA171" s="215">
        <f xml:space="preserve"> SUM('BS Forecasts'!AA187:AA188)+'BS Forecasts'!AA$197+'BS Forecasts'!AA$206</f>
        <v>0</v>
      </c>
      <c r="AB171" s="215">
        <f xml:space="preserve"> SUM('BS Forecasts'!AB187:AB188)+'BS Forecasts'!AB$197+'BS Forecasts'!AB$206</f>
        <v>0</v>
      </c>
      <c r="AC171" s="215">
        <f xml:space="preserve"> SUM('BS Forecasts'!AC187:AC188)+'BS Forecasts'!AC$197+'BS Forecasts'!AC$206</f>
        <v>0</v>
      </c>
      <c r="AD171" s="215">
        <f xml:space="preserve"> SUM('BS Forecasts'!AD187:AD188)+'BS Forecasts'!AD$197+'BS Forecasts'!AD$206</f>
        <v>0</v>
      </c>
      <c r="AE171" s="215">
        <f xml:space="preserve"> SUM('BS Forecasts'!AE187:AE188)+'BS Forecasts'!AE$197+'BS Forecasts'!AE$206</f>
        <v>0</v>
      </c>
      <c r="AF171" s="215">
        <f xml:space="preserve"> SUM('BS Forecasts'!AF187:AF188)+'BS Forecasts'!AF$197+'BS Forecasts'!AF$206</f>
        <v>0</v>
      </c>
      <c r="AG171" s="215">
        <f xml:space="preserve"> SUM('BS Forecasts'!AG187:AG188)+'BS Forecasts'!AG$197+'BS Forecasts'!AG$206</f>
        <v>0</v>
      </c>
      <c r="AH171" s="215">
        <f xml:space="preserve"> SUM('BS Forecasts'!AH187:AH188)+'BS Forecasts'!AH$197+'BS Forecasts'!AH$206</f>
        <v>0</v>
      </c>
      <c r="AI171" s="215">
        <f xml:space="preserve"> SUM('BS Forecasts'!AI187:AI188)+'BS Forecasts'!AI$197+'BS Forecasts'!AI$206</f>
        <v>0</v>
      </c>
      <c r="AJ171" s="215">
        <f xml:space="preserve"> SUM('BS Forecasts'!AJ187:AJ188)+'BS Forecasts'!AJ$197+'BS Forecasts'!AJ$206</f>
        <v>0</v>
      </c>
      <c r="AK171" s="215">
        <f xml:space="preserve"> SUM('BS Forecasts'!AK187:AK188)+'BS Forecasts'!AK$197+'BS Forecasts'!AK$206</f>
        <v>0</v>
      </c>
      <c r="AL171" s="215">
        <f xml:space="preserve"> SUM('BS Forecasts'!AL187:AL188)+'BS Forecasts'!AL$197+'BS Forecasts'!AL$206</f>
        <v>0</v>
      </c>
      <c r="AM171" s="215">
        <f xml:space="preserve"> SUM('BS Forecasts'!AM187:AM188)+'BS Forecasts'!AM$197+'BS Forecasts'!AM$206</f>
        <v>0</v>
      </c>
      <c r="AN171" s="215">
        <f xml:space="preserve"> SUM('BS Forecasts'!AN187:AN188)+'BS Forecasts'!AN$197+'BS Forecasts'!AN$206</f>
        <v>0</v>
      </c>
      <c r="AO171" s="215">
        <f xml:space="preserve"> SUM('BS Forecasts'!AO187:AO188)+'BS Forecasts'!AO$197+'BS Forecasts'!AO$206</f>
        <v>0</v>
      </c>
      <c r="AP171" s="215">
        <f xml:space="preserve"> SUM('BS Forecasts'!AP187:AP188)+'BS Forecasts'!AP$197+'BS Forecasts'!AP$206</f>
        <v>0</v>
      </c>
      <c r="AQ171" s="215">
        <f xml:space="preserve"> SUM('BS Forecasts'!AQ187:AQ188)+'BS Forecasts'!AQ$197+'BS Forecasts'!AQ$206</f>
        <v>0</v>
      </c>
      <c r="AR171" s="215">
        <f xml:space="preserve"> SUM('BS Forecasts'!AR187:AR188)+'BS Forecasts'!AR$197+'BS Forecasts'!AR$206</f>
        <v>0</v>
      </c>
      <c r="AS171" s="215">
        <f xml:space="preserve"> SUM('BS Forecasts'!AS187:AS188)+'BS Forecasts'!AS$197+'BS Forecasts'!AS$206</f>
        <v>0</v>
      </c>
      <c r="AT171" s="215">
        <f xml:space="preserve"> SUM('BS Forecasts'!AT187:AT188)+'BS Forecasts'!AT$197+'BS Forecasts'!AT$206</f>
        <v>0</v>
      </c>
      <c r="AU171" s="215">
        <f xml:space="preserve"> SUM('BS Forecasts'!AU187:AU188)+'BS Forecasts'!AU$197+'BS Forecasts'!AU$206</f>
        <v>0</v>
      </c>
      <c r="AV171" s="215">
        <f xml:space="preserve"> SUM('BS Forecasts'!AV187:AV188)+'BS Forecasts'!AV$197+'BS Forecasts'!AV$206</f>
        <v>0</v>
      </c>
      <c r="AW171" s="215">
        <f xml:space="preserve"> SUM('BS Forecasts'!AW187:AW188)+'BS Forecasts'!AW$197+'BS Forecasts'!AW$206</f>
        <v>0</v>
      </c>
      <c r="AX171" s="215">
        <f xml:space="preserve"> SUM('BS Forecasts'!AX187:AX188)+'BS Forecasts'!AX$197+'BS Forecasts'!AX$206</f>
        <v>0</v>
      </c>
      <c r="AY171" s="215">
        <f xml:space="preserve"> SUM('BS Forecasts'!AY187:AY188)+'BS Forecasts'!AY$197+'BS Forecasts'!AY$206</f>
        <v>0</v>
      </c>
      <c r="AZ171" s="215">
        <f xml:space="preserve"> SUM('BS Forecasts'!AZ187:AZ188)+'BS Forecasts'!AZ$197+'BS Forecasts'!AZ$206</f>
        <v>0</v>
      </c>
      <c r="BA171" s="215">
        <f xml:space="preserve"> SUM('BS Forecasts'!BA187:BA188)+'BS Forecasts'!BA$197+'BS Forecasts'!BA$206</f>
        <v>0</v>
      </c>
      <c r="BB171" s="215">
        <f xml:space="preserve"> SUM('BS Forecasts'!BB187:BB188)+'BS Forecasts'!BB$197+'BS Forecasts'!BB$206</f>
        <v>0</v>
      </c>
      <c r="BC171" s="215">
        <f xml:space="preserve"> SUM('BS Forecasts'!BC187:BC188)+'BS Forecasts'!BC$197+'BS Forecasts'!BC$206</f>
        <v>0</v>
      </c>
      <c r="BD171" s="215">
        <f xml:space="preserve"> SUM('BS Forecasts'!BD187:BD188)+'BS Forecasts'!BD$197+'BS Forecasts'!BD$206</f>
        <v>0</v>
      </c>
      <c r="BE171" s="215">
        <f xml:space="preserve"> SUM('BS Forecasts'!BE187:BE188)+'BS Forecasts'!BE$197+'BS Forecasts'!BE$206</f>
        <v>0</v>
      </c>
      <c r="BF171" s="215">
        <f xml:space="preserve"> SUM('BS Forecasts'!BF187:BF188)+'BS Forecasts'!BF$197+'BS Forecasts'!BF$206</f>
        <v>0</v>
      </c>
      <c r="BG171" s="215">
        <f xml:space="preserve"> SUM('BS Forecasts'!BG187:BG188)+'BS Forecasts'!BG$197+'BS Forecasts'!BG$206</f>
        <v>0</v>
      </c>
      <c r="BH171" s="215">
        <f xml:space="preserve"> SUM('BS Forecasts'!BH187:BH188)+'BS Forecasts'!BH$197+'BS Forecasts'!BH$206</f>
        <v>0</v>
      </c>
      <c r="BI171" s="215">
        <f xml:space="preserve"> SUM('BS Forecasts'!BI187:BI188)+'BS Forecasts'!BI$197+'BS Forecasts'!BI$206</f>
        <v>0</v>
      </c>
      <c r="BJ171" s="215">
        <f xml:space="preserve"> SUM('BS Forecasts'!BJ187:BJ188)+'BS Forecasts'!BJ$197+'BS Forecasts'!BJ$206</f>
        <v>0</v>
      </c>
      <c r="BK171" s="335"/>
      <c r="BL171" s="215">
        <f xml:space="preserve"> SUM('BS Forecasts'!BL187:BL188)+'BS Forecasts'!BL$197+'BS Forecasts'!BL$206</f>
        <v>0</v>
      </c>
      <c r="BM171" s="215">
        <f xml:space="preserve"> SUM('BS Forecasts'!BM187:BM188)+'BS Forecasts'!BM$197+'BS Forecasts'!BM$206</f>
        <v>0</v>
      </c>
      <c r="BN171" s="215">
        <f xml:space="preserve"> SUM('BS Forecasts'!BN187:BN188)+'BS Forecasts'!BN$197+'BS Forecasts'!BN$206</f>
        <v>0</v>
      </c>
      <c r="BO171" s="215">
        <f xml:space="preserve"> SUM('BS Forecasts'!BO187:BO188)+'BS Forecasts'!BO$197+'BS Forecasts'!BO$206</f>
        <v>0</v>
      </c>
      <c r="BP171" s="215">
        <f xml:space="preserve"> SUM('BS Forecasts'!BP187:BP188)+'BS Forecasts'!BP$197+'BS Forecasts'!BP$206</f>
        <v>0</v>
      </c>
      <c r="BQ171" s="215">
        <f xml:space="preserve"> SUM('BS Forecasts'!BQ187:BQ188)+'BS Forecasts'!BQ$197+'BS Forecasts'!BQ$206</f>
        <v>0</v>
      </c>
      <c r="BR171" s="215">
        <f xml:space="preserve"> SUM('BS Forecasts'!BR187:BR188)+'BS Forecasts'!BR$197+'BS Forecasts'!BR$206</f>
        <v>0</v>
      </c>
      <c r="BS171" s="215">
        <f xml:space="preserve"> SUM('BS Forecasts'!BS187:BS188)+'BS Forecasts'!BS$197+'BS Forecasts'!BS$206</f>
        <v>0</v>
      </c>
      <c r="BT171" s="215">
        <f xml:space="preserve"> SUM('BS Forecasts'!BT187:BT188)+'BS Forecasts'!BT$197+'BS Forecasts'!BT$206</f>
        <v>0</v>
      </c>
      <c r="BU171" s="215">
        <f xml:space="preserve"> SUM('BS Forecasts'!BU187:BU188)+'BS Forecasts'!BU$197+'BS Forecasts'!BU$206</f>
        <v>0</v>
      </c>
      <c r="BV171" s="215">
        <f xml:space="preserve"> SUM('BS Forecasts'!BV187:BV188)+'BS Forecasts'!BV$197+'BS Forecasts'!BV$206</f>
        <v>0</v>
      </c>
      <c r="BW171" s="215">
        <f xml:space="preserve"> SUM('BS Forecasts'!BW187:BW188)+'BS Forecasts'!BW$197+'BS Forecasts'!BW$206</f>
        <v>0</v>
      </c>
      <c r="BY171" s="12"/>
      <c r="CA171" s="12"/>
      <c r="CC171" s="7">
        <f t="shared" si="294"/>
        <v>0</v>
      </c>
      <c r="CD171" s="7">
        <f t="shared" si="295"/>
        <v>0</v>
      </c>
      <c r="CE171" s="7">
        <f t="shared" si="296"/>
        <v>0</v>
      </c>
      <c r="CF171" s="12"/>
      <c r="CG171" s="352">
        <f t="shared" si="297"/>
        <v>0</v>
      </c>
      <c r="CH171" s="352">
        <f t="shared" si="297"/>
        <v>0</v>
      </c>
      <c r="CI171" s="352">
        <f t="shared" si="297"/>
        <v>0</v>
      </c>
      <c r="CJ171" s="352">
        <f t="shared" si="298"/>
        <v>0</v>
      </c>
      <c r="CK171" s="352">
        <f t="shared" si="299"/>
        <v>0</v>
      </c>
      <c r="CL171" s="352">
        <f t="shared" si="300"/>
        <v>0</v>
      </c>
      <c r="CM171" s="352">
        <f t="shared" si="301"/>
        <v>0</v>
      </c>
      <c r="ER171" s="12"/>
      <c r="ES171">
        <v>0</v>
      </c>
      <c r="ET171" s="335">
        <v>0</v>
      </c>
      <c r="EX171" s="10" t="str">
        <f t="shared" si="242"/>
        <v>FRS102 adj. - LGPS and EPP net interest charge (non-cash)</v>
      </c>
    </row>
    <row r="172" spans="1:154" x14ac:dyDescent="0.25">
      <c r="A172" s="362" cm="1">
        <f t="array" aca="1" ref="A172" ca="1">HYPERLINK(CONCATENATE("#",CELL("address",IF(SUM($CA172:$CH172)=0,A172,INDEX($CA172:$CH172,MATCH(1,$CA172:$CH172,0))))),SUM($CA172:$CH172))</f>
        <v>0</v>
      </c>
      <c r="B172" s="335"/>
      <c r="C172" s="340" t="str">
        <f>CONCATENATE("M-", 'I&amp;E Annual'!C172)</f>
        <v>M-IE-5a-5</v>
      </c>
      <c r="D172" s="134" t="s">
        <v>78</v>
      </c>
      <c r="E172" s="335"/>
      <c r="H172" s="319" t="s">
        <v>86</v>
      </c>
      <c r="S172" s="335"/>
      <c r="T172" s="25"/>
      <c r="U172" s="25"/>
      <c r="V172" s="141"/>
      <c r="W172" s="215">
        <f xml:space="preserve"> SUMIFS($AA172:$BJ172, $AA$3:$BJ$3, W$3)</f>
        <v>0</v>
      </c>
      <c r="X172" s="215">
        <f xml:space="preserve"> SUMIFS($AA172:$BJ172, $AA$3:$BJ$3, X$3)</f>
        <v>0</v>
      </c>
      <c r="Y172" s="215">
        <f xml:space="preserve"> SUMIFS($AA172:$BJ172, $AA$3:$BJ$3, Y$3)</f>
        <v>0</v>
      </c>
      <c r="AA172" s="372"/>
      <c r="AB172" s="372"/>
      <c r="AC172" s="372"/>
      <c r="AD172" s="372"/>
      <c r="AE172" s="372"/>
      <c r="AF172" s="372"/>
      <c r="AG172" s="372"/>
      <c r="AH172" s="372"/>
      <c r="AI172" s="372"/>
      <c r="AJ172" s="372"/>
      <c r="AK172" s="372"/>
      <c r="AL172" s="372"/>
      <c r="AM172" s="372"/>
      <c r="AN172" s="372"/>
      <c r="AO172" s="372"/>
      <c r="AP172" s="372"/>
      <c r="AQ172" s="372"/>
      <c r="AR172" s="372"/>
      <c r="AS172" s="372"/>
      <c r="AT172" s="372"/>
      <c r="AU172" s="372"/>
      <c r="AV172" s="372"/>
      <c r="AW172" s="372"/>
      <c r="AX172" s="372"/>
      <c r="AY172" s="372"/>
      <c r="AZ172" s="372"/>
      <c r="BA172" s="372"/>
      <c r="BB172" s="372"/>
      <c r="BC172" s="372"/>
      <c r="BD172" s="372"/>
      <c r="BE172" s="372"/>
      <c r="BF172" s="372"/>
      <c r="BG172" s="372"/>
      <c r="BH172" s="372"/>
      <c r="BI172" s="372"/>
      <c r="BJ172" s="372"/>
      <c r="BL172" s="10">
        <f>V172</f>
        <v>0</v>
      </c>
      <c r="BM172" s="10">
        <f>W172</f>
        <v>0</v>
      </c>
      <c r="BN172" s="10">
        <f>X172</f>
        <v>0</v>
      </c>
      <c r="BO172" s="10">
        <f>Y172</f>
        <v>0</v>
      </c>
      <c r="BP172" s="141"/>
      <c r="BQ172" s="141"/>
      <c r="BR172" s="141"/>
      <c r="BS172" s="141"/>
      <c r="BT172" s="141"/>
      <c r="BU172" s="141"/>
      <c r="BV172" s="141"/>
      <c r="BW172" s="141"/>
      <c r="BY172" s="12"/>
      <c r="BZ172" s="395">
        <f>IF(MIN($V172:$BW172)&lt;0, 1, 0)</f>
        <v>0</v>
      </c>
      <c r="CA172" s="12"/>
      <c r="CC172" s="7">
        <f t="shared" si="294"/>
        <v>0</v>
      </c>
      <c r="CD172" s="7">
        <f t="shared" si="295"/>
        <v>0</v>
      </c>
      <c r="CE172" s="7">
        <f t="shared" si="296"/>
        <v>0</v>
      </c>
      <c r="CF172" s="12"/>
      <c r="CG172" s="352">
        <f t="shared" si="297"/>
        <v>0</v>
      </c>
      <c r="CH172" s="352">
        <f t="shared" si="297"/>
        <v>0</v>
      </c>
      <c r="CI172" s="352">
        <f t="shared" si="297"/>
        <v>0</v>
      </c>
      <c r="CJ172" s="352">
        <f t="shared" si="298"/>
        <v>0</v>
      </c>
      <c r="CK172" s="352">
        <f t="shared" si="299"/>
        <v>0</v>
      </c>
      <c r="CL172" s="352">
        <f t="shared" si="300"/>
        <v>0</v>
      </c>
      <c r="CM172" s="352">
        <f t="shared" si="301"/>
        <v>0</v>
      </c>
      <c r="ER172" s="12"/>
      <c r="ES172" s="4">
        <v>1</v>
      </c>
      <c r="ET172" s="335">
        <v>1</v>
      </c>
      <c r="EX172" s="10" t="str">
        <f t="shared" si="242"/>
        <v>Taxation</v>
      </c>
    </row>
    <row r="173" spans="1:154" x14ac:dyDescent="0.25">
      <c r="A173" s="362" cm="1">
        <f t="array" aca="1" ref="A173" ca="1">HYPERLINK(CONCATENATE("#",CELL("address",IF(SUM($CA173:$CH173)=0,A173,INDEX($CA173:$CH173,MATCH(1,$CA173:$CH173,0))))),SUM($CA173:$CH173))</f>
        <v>0</v>
      </c>
      <c r="B173" s="335"/>
      <c r="C173" s="340" t="str">
        <f>CONCATENATE("M-", 'I&amp;E Annual'!C173)</f>
        <v>M-IE-5a</v>
      </c>
      <c r="D173" s="74" t="s">
        <v>79</v>
      </c>
      <c r="E173" s="5"/>
      <c r="G173" s="5"/>
      <c r="S173" s="280"/>
      <c r="T173" s="25"/>
      <c r="U173" s="25"/>
      <c r="V173" s="13">
        <f>SUM(V168, V170:V172)-V169</f>
        <v>0</v>
      </c>
      <c r="W173" s="13">
        <f>SUM(W168, W170:W172)-W169</f>
        <v>2061</v>
      </c>
      <c r="X173" s="13">
        <f>SUM(X168, X170:X172)-X169</f>
        <v>2128</v>
      </c>
      <c r="Y173" s="13">
        <f>SUM(Y168, Y170:Y172)-Y169</f>
        <v>2203</v>
      </c>
      <c r="Z173" s="280"/>
      <c r="AA173" s="13">
        <f t="shared" ref="AA173:BJ173" si="302">SUM(AA168, AA170:AA172)-AA169</f>
        <v>181</v>
      </c>
      <c r="AB173" s="13">
        <f t="shared" si="302"/>
        <v>157</v>
      </c>
      <c r="AC173" s="13">
        <f t="shared" si="302"/>
        <v>158</v>
      </c>
      <c r="AD173" s="13">
        <f t="shared" si="302"/>
        <v>178</v>
      </c>
      <c r="AE173" s="13">
        <f t="shared" si="302"/>
        <v>161</v>
      </c>
      <c r="AF173" s="13">
        <f t="shared" si="302"/>
        <v>160</v>
      </c>
      <c r="AG173" s="13">
        <f t="shared" si="302"/>
        <v>179</v>
      </c>
      <c r="AH173" s="13">
        <f t="shared" si="302"/>
        <v>157</v>
      </c>
      <c r="AI173" s="13">
        <f t="shared" si="302"/>
        <v>159</v>
      </c>
      <c r="AJ173" s="13">
        <f t="shared" si="302"/>
        <v>175</v>
      </c>
      <c r="AK173" s="13">
        <f t="shared" si="302"/>
        <v>198</v>
      </c>
      <c r="AL173" s="13">
        <f t="shared" si="302"/>
        <v>198</v>
      </c>
      <c r="AM173" s="13">
        <f t="shared" si="302"/>
        <v>181</v>
      </c>
      <c r="AN173" s="13">
        <f t="shared" si="302"/>
        <v>161</v>
      </c>
      <c r="AO173" s="13">
        <f t="shared" si="302"/>
        <v>161</v>
      </c>
      <c r="AP173" s="13">
        <f t="shared" si="302"/>
        <v>182</v>
      </c>
      <c r="AQ173" s="13">
        <f t="shared" si="302"/>
        <v>165</v>
      </c>
      <c r="AR173" s="13">
        <f t="shared" si="302"/>
        <v>165</v>
      </c>
      <c r="AS173" s="13">
        <f t="shared" si="302"/>
        <v>185</v>
      </c>
      <c r="AT173" s="13">
        <f t="shared" si="302"/>
        <v>164</v>
      </c>
      <c r="AU173" s="13">
        <f t="shared" si="302"/>
        <v>166</v>
      </c>
      <c r="AV173" s="13">
        <f t="shared" si="302"/>
        <v>183</v>
      </c>
      <c r="AW173" s="13">
        <f t="shared" si="302"/>
        <v>207</v>
      </c>
      <c r="AX173" s="13">
        <f t="shared" si="302"/>
        <v>208</v>
      </c>
      <c r="AY173" s="13">
        <f t="shared" si="302"/>
        <v>191</v>
      </c>
      <c r="AZ173" s="13">
        <f t="shared" si="302"/>
        <v>167</v>
      </c>
      <c r="BA173" s="13">
        <f t="shared" si="302"/>
        <v>169</v>
      </c>
      <c r="BB173" s="13">
        <f t="shared" si="302"/>
        <v>189</v>
      </c>
      <c r="BC173" s="13">
        <f t="shared" si="302"/>
        <v>172</v>
      </c>
      <c r="BD173" s="13">
        <f t="shared" si="302"/>
        <v>172</v>
      </c>
      <c r="BE173" s="13">
        <f t="shared" si="302"/>
        <v>191</v>
      </c>
      <c r="BF173" s="13">
        <f t="shared" si="302"/>
        <v>169</v>
      </c>
      <c r="BG173" s="13">
        <f t="shared" si="302"/>
        <v>172</v>
      </c>
      <c r="BH173" s="13">
        <f t="shared" si="302"/>
        <v>188</v>
      </c>
      <c r="BI173" s="13">
        <f t="shared" si="302"/>
        <v>211</v>
      </c>
      <c r="BJ173" s="13">
        <f t="shared" si="302"/>
        <v>212</v>
      </c>
      <c r="BK173" s="280"/>
      <c r="BL173" s="13">
        <f t="shared" ref="BL173:BW173" si="303">SUM(BL168, BL170:BL172)-BL169</f>
        <v>0</v>
      </c>
      <c r="BM173" s="13">
        <f t="shared" si="303"/>
        <v>2061</v>
      </c>
      <c r="BN173" s="13">
        <f t="shared" si="303"/>
        <v>2128</v>
      </c>
      <c r="BO173" s="13">
        <f t="shared" si="303"/>
        <v>2203</v>
      </c>
      <c r="BP173" s="13">
        <f t="shared" si="303"/>
        <v>0</v>
      </c>
      <c r="BQ173" s="13">
        <f t="shared" si="303"/>
        <v>0</v>
      </c>
      <c r="BR173" s="13">
        <f t="shared" si="303"/>
        <v>0</v>
      </c>
      <c r="BS173" s="13">
        <f t="shared" si="303"/>
        <v>0</v>
      </c>
      <c r="BT173" s="13">
        <f t="shared" si="303"/>
        <v>0</v>
      </c>
      <c r="BU173" s="13">
        <f t="shared" si="303"/>
        <v>0</v>
      </c>
      <c r="BV173" s="13">
        <f t="shared" si="303"/>
        <v>0</v>
      </c>
      <c r="BW173" s="13">
        <f t="shared" si="303"/>
        <v>0</v>
      </c>
      <c r="BY173" s="12"/>
      <c r="CA173" s="12"/>
      <c r="CC173" s="7">
        <f t="shared" si="294"/>
        <v>0</v>
      </c>
      <c r="CD173" s="7">
        <f t="shared" si="295"/>
        <v>0</v>
      </c>
      <c r="CE173" s="7">
        <f t="shared" si="296"/>
        <v>0</v>
      </c>
      <c r="CF173" s="12"/>
      <c r="CG173" s="352">
        <f t="shared" si="297"/>
        <v>0</v>
      </c>
      <c r="CH173" s="352">
        <f t="shared" si="297"/>
        <v>0</v>
      </c>
      <c r="CI173" s="352">
        <f t="shared" si="297"/>
        <v>0</v>
      </c>
      <c r="CJ173" s="352">
        <f t="shared" si="298"/>
        <v>0</v>
      </c>
      <c r="CK173" s="352">
        <f t="shared" si="299"/>
        <v>0</v>
      </c>
      <c r="CL173" s="352">
        <f t="shared" si="300"/>
        <v>0</v>
      </c>
      <c r="CM173" s="352">
        <f t="shared" si="301"/>
        <v>0</v>
      </c>
      <c r="ER173" s="12"/>
      <c r="ES173">
        <v>0</v>
      </c>
      <c r="ET173" s="335">
        <v>0</v>
      </c>
      <c r="EX173" s="10" t="str">
        <f t="shared" si="242"/>
        <v>Total interest, tax, depreciation and amortisation</v>
      </c>
    </row>
    <row r="174" spans="1:154" s="11" customFormat="1" ht="6.6" customHeight="1" x14ac:dyDescent="0.25">
      <c r="B174" s="335"/>
      <c r="C174" s="380"/>
      <c r="D174" s="69"/>
      <c r="E174" s="335"/>
      <c r="S174" s="335"/>
      <c r="T174" s="25"/>
      <c r="U174" s="25"/>
      <c r="W174" s="335"/>
      <c r="X174" s="335"/>
      <c r="Y174" s="335"/>
      <c r="AA174" s="335"/>
      <c r="BK174" s="280"/>
      <c r="BM174" s="6"/>
      <c r="BY174" s="42"/>
      <c r="BZ174" s="162"/>
      <c r="CA174" s="42"/>
      <c r="CC174" s="335"/>
      <c r="CD174" s="335"/>
      <c r="CE174" s="335"/>
      <c r="CF174" s="42"/>
      <c r="CG174" s="335"/>
      <c r="CH174" s="335"/>
      <c r="CI174" s="335"/>
      <c r="CJ174" s="335"/>
      <c r="CK174" s="335"/>
      <c r="CL174" s="335"/>
      <c r="CM174" s="335"/>
      <c r="ER174" s="42"/>
      <c r="ES174" s="11">
        <v>0</v>
      </c>
      <c r="ET174" s="335">
        <v>0</v>
      </c>
      <c r="EU174" s="335"/>
      <c r="EV174" s="335"/>
      <c r="EX174" s="10" t="str">
        <f t="shared" si="242"/>
        <v/>
      </c>
    </row>
    <row r="175" spans="1:154" ht="30" x14ac:dyDescent="0.25">
      <c r="A175" s="362" cm="1">
        <f t="array" aca="1" ref="A175" ca="1">HYPERLINK(CONCATENATE("#",CELL("address",IF(SUM($CA175:$CH175)=0,A175,INDEX($CA175:$CH175,MATCH(1,$CA175:$CH175,0))))),SUM($CA175:$CH175))</f>
        <v>0</v>
      </c>
      <c r="B175" s="335"/>
      <c r="C175" s="340" t="str">
        <f>CONCATENATE("M-", 'I&amp;E Annual'!C175)</f>
        <v>M-IE-5</v>
      </c>
      <c r="D175" s="74" t="s">
        <v>80</v>
      </c>
      <c r="E175" s="5"/>
      <c r="G175" s="5"/>
      <c r="S175" s="335"/>
      <c r="T175" s="25"/>
      <c r="U175" s="25"/>
      <c r="V175" s="13">
        <f>V165-V173</f>
        <v>0</v>
      </c>
      <c r="W175" s="13">
        <f>W165-W173</f>
        <v>440</v>
      </c>
      <c r="X175" s="13">
        <f>X165-X173</f>
        <v>436</v>
      </c>
      <c r="Y175" s="13">
        <f>Y165-Y173</f>
        <v>541.81000000000131</v>
      </c>
      <c r="Z175" s="335"/>
      <c r="AA175" s="13">
        <f t="shared" ref="AA175:BJ175" si="304">AA165-AA173</f>
        <v>1720</v>
      </c>
      <c r="AB175" s="13">
        <f t="shared" si="304"/>
        <v>1148</v>
      </c>
      <c r="AC175" s="13">
        <f t="shared" si="304"/>
        <v>130</v>
      </c>
      <c r="AD175" s="13">
        <f t="shared" si="304"/>
        <v>-210</v>
      </c>
      <c r="AE175" s="13">
        <f t="shared" si="304"/>
        <v>-887</v>
      </c>
      <c r="AF175" s="13">
        <f t="shared" si="304"/>
        <v>-675</v>
      </c>
      <c r="AG175" s="13">
        <f t="shared" si="304"/>
        <v>-721</v>
      </c>
      <c r="AH175" s="13">
        <f t="shared" si="304"/>
        <v>-900</v>
      </c>
      <c r="AI175" s="13">
        <f t="shared" si="304"/>
        <v>1250</v>
      </c>
      <c r="AJ175" s="13">
        <f t="shared" si="304"/>
        <v>264</v>
      </c>
      <c r="AK175" s="13">
        <f t="shared" si="304"/>
        <v>258</v>
      </c>
      <c r="AL175" s="13">
        <f t="shared" si="304"/>
        <v>-937</v>
      </c>
      <c r="AM175" s="13">
        <f t="shared" si="304"/>
        <v>1978</v>
      </c>
      <c r="AN175" s="13">
        <f t="shared" si="304"/>
        <v>1130</v>
      </c>
      <c r="AO175" s="13">
        <f t="shared" si="304"/>
        <v>125</v>
      </c>
      <c r="AP175" s="13">
        <f t="shared" si="304"/>
        <v>-442</v>
      </c>
      <c r="AQ175" s="13">
        <f t="shared" si="304"/>
        <v>-891</v>
      </c>
      <c r="AR175" s="13">
        <f t="shared" si="304"/>
        <v>-576</v>
      </c>
      <c r="AS175" s="13">
        <f t="shared" si="304"/>
        <v>-971</v>
      </c>
      <c r="AT175" s="13">
        <f t="shared" si="304"/>
        <v>-913</v>
      </c>
      <c r="AU175" s="13">
        <f t="shared" si="304"/>
        <v>1487</v>
      </c>
      <c r="AV175" s="13">
        <f t="shared" si="304"/>
        <v>368</v>
      </c>
      <c r="AW175" s="13">
        <f t="shared" si="304"/>
        <v>-54</v>
      </c>
      <c r="AX175" s="13">
        <f t="shared" si="304"/>
        <v>-805</v>
      </c>
      <c r="AY175" s="13">
        <f t="shared" si="304"/>
        <v>2023.7483333333334</v>
      </c>
      <c r="AZ175" s="13">
        <f t="shared" si="304"/>
        <v>1146.3566666666661</v>
      </c>
      <c r="BA175" s="13">
        <f t="shared" si="304"/>
        <v>132.48833333333278</v>
      </c>
      <c r="BB175" s="13">
        <f t="shared" si="304"/>
        <v>-449.61333333333323</v>
      </c>
      <c r="BC175" s="13">
        <f t="shared" si="304"/>
        <v>-910.53</v>
      </c>
      <c r="BD175" s="13">
        <f t="shared" si="304"/>
        <v>-583.22999999999979</v>
      </c>
      <c r="BE175" s="13">
        <f t="shared" si="304"/>
        <v>-990.74166666666702</v>
      </c>
      <c r="BF175" s="13">
        <f t="shared" si="304"/>
        <v>-927.5183333333332</v>
      </c>
      <c r="BG175" s="13">
        <f t="shared" si="304"/>
        <v>1540.378333333334</v>
      </c>
      <c r="BH175" s="13">
        <f t="shared" si="304"/>
        <v>417.06833333333361</v>
      </c>
      <c r="BI175" s="13">
        <f t="shared" si="304"/>
        <v>-43.806666666666388</v>
      </c>
      <c r="BJ175" s="13">
        <f t="shared" si="304"/>
        <v>-812.79000000000042</v>
      </c>
      <c r="BK175" s="335"/>
      <c r="BL175" s="13">
        <f t="shared" ref="BL175:BW175" si="305">BL165-BL173</f>
        <v>0</v>
      </c>
      <c r="BM175" s="13">
        <f t="shared" si="305"/>
        <v>440</v>
      </c>
      <c r="BN175" s="13">
        <f t="shared" si="305"/>
        <v>436</v>
      </c>
      <c r="BO175" s="13">
        <f t="shared" si="305"/>
        <v>541.81000000000131</v>
      </c>
      <c r="BP175" s="13">
        <f t="shared" si="305"/>
        <v>0</v>
      </c>
      <c r="BQ175" s="13">
        <f t="shared" si="305"/>
        <v>0</v>
      </c>
      <c r="BR175" s="13">
        <f t="shared" si="305"/>
        <v>0</v>
      </c>
      <c r="BS175" s="13">
        <f t="shared" si="305"/>
        <v>0</v>
      </c>
      <c r="BT175" s="13">
        <f t="shared" si="305"/>
        <v>0</v>
      </c>
      <c r="BU175" s="13">
        <f t="shared" si="305"/>
        <v>0</v>
      </c>
      <c r="BV175" s="13">
        <f t="shared" si="305"/>
        <v>0</v>
      </c>
      <c r="BW175" s="13">
        <f t="shared" si="305"/>
        <v>0</v>
      </c>
      <c r="BY175" s="12"/>
      <c r="CA175" s="12"/>
      <c r="CC175" s="7">
        <f>IF(SUM($CG175:$CI175)=0, 0, 1)</f>
        <v>0</v>
      </c>
      <c r="CD175" s="7">
        <f>IF(SUM($CJ175:$CL175)=0, 0, 1)</f>
        <v>0</v>
      </c>
      <c r="CE175" s="7">
        <f>IF($CM175=0, 0, 1)</f>
        <v>0</v>
      </c>
      <c r="CF175" s="12"/>
      <c r="CG175" s="352">
        <f>ROUND(W175-SUMIFS($AA175:$BJ175, $AA$3:$BJ$3, W$3), rounding)</f>
        <v>0</v>
      </c>
      <c r="CH175" s="352">
        <f>ROUND(X175-SUMIFS($AA175:$BJ175, $AA$3:$BJ$3, X$3), rounding)</f>
        <v>0</v>
      </c>
      <c r="CI175" s="352">
        <f>ROUND(Y175-SUMIFS($AA175:$BJ175, $AA$3:$BJ$3, Y$3), rounding)</f>
        <v>0</v>
      </c>
      <c r="CJ175" s="352">
        <f>ROUND($BM175-SUMIFS($AA175:$BJ175, $AA$3:$BJ$3, $BM$3), rounding)</f>
        <v>0</v>
      </c>
      <c r="CK175" s="352">
        <f>ROUND($BN175-SUMIFS($AA175:$BJ175, $AA$3:$BJ$3, $BN$3), rounding)</f>
        <v>0</v>
      </c>
      <c r="CL175" s="352">
        <f>ROUND($BO175-SUMIFS($AA175:$BJ175, $AA$3:$BJ$3, $BO$3), rounding)</f>
        <v>0</v>
      </c>
      <c r="CM175" s="352">
        <f>ROUND($V175-$BL175, rounding)</f>
        <v>0</v>
      </c>
      <c r="ER175" s="12"/>
      <c r="ES175">
        <v>0</v>
      </c>
      <c r="ET175" s="335">
        <v>0</v>
      </c>
      <c r="EX175" s="10" t="str">
        <f t="shared" si="242"/>
        <v>Surplus/(deficit) after interest, tax, depreciation and amortisation costs</v>
      </c>
    </row>
    <row r="176" spans="1:154" s="11" customFormat="1" ht="6.6" customHeight="1" x14ac:dyDescent="0.25">
      <c r="B176" s="335"/>
      <c r="C176" s="380"/>
      <c r="D176" s="69"/>
      <c r="E176" s="5"/>
      <c r="S176" s="335"/>
      <c r="T176" s="25"/>
      <c r="U176" s="25"/>
      <c r="V176" s="25"/>
      <c r="W176" s="25"/>
      <c r="X176" s="25"/>
      <c r="Y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L176" s="25"/>
      <c r="BM176" s="155"/>
      <c r="BN176" s="25"/>
      <c r="BO176" s="25"/>
      <c r="BP176" s="25"/>
      <c r="BQ176" s="25"/>
      <c r="BR176" s="25"/>
      <c r="BS176" s="25"/>
      <c r="BT176" s="25"/>
      <c r="BU176" s="25"/>
      <c r="BV176" s="25"/>
      <c r="BW176" s="25"/>
      <c r="BY176" s="42"/>
      <c r="BZ176" s="162"/>
      <c r="CA176" s="42"/>
      <c r="CC176" s="335"/>
      <c r="CD176" s="335"/>
      <c r="CE176" s="335"/>
      <c r="CF176" s="42"/>
      <c r="CG176" s="335"/>
      <c r="CH176" s="335"/>
      <c r="CI176" s="335"/>
      <c r="CJ176" s="335"/>
      <c r="CK176" s="335"/>
      <c r="CL176" s="335"/>
      <c r="CM176" s="335"/>
      <c r="ER176" s="42"/>
      <c r="ES176" s="11">
        <v>0</v>
      </c>
      <c r="ET176" s="335">
        <v>0</v>
      </c>
      <c r="EU176" s="335"/>
      <c r="EV176" s="335"/>
      <c r="EX176" s="10" t="str">
        <f t="shared" si="242"/>
        <v/>
      </c>
    </row>
    <row r="177" spans="1:154" x14ac:dyDescent="0.25">
      <c r="B177" s="5"/>
      <c r="C177" s="380"/>
      <c r="D177" s="74" t="s">
        <v>81</v>
      </c>
      <c r="E177" s="5"/>
      <c r="S177" s="335"/>
      <c r="T177" s="25"/>
      <c r="U177" s="25"/>
      <c r="V177" s="25"/>
      <c r="W177" s="25"/>
      <c r="X177" s="25"/>
      <c r="Y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L177" s="25"/>
      <c r="BM177" s="25"/>
      <c r="BN177" s="25"/>
      <c r="BO177" s="25"/>
      <c r="BP177" s="25"/>
      <c r="BQ177" s="25"/>
      <c r="BR177" s="25"/>
      <c r="BS177" s="25"/>
      <c r="BT177" s="25"/>
      <c r="BU177" s="25"/>
      <c r="BV177" s="25"/>
      <c r="BW177" s="25"/>
      <c r="BY177" s="12"/>
      <c r="CA177" s="12"/>
      <c r="CF177" s="12"/>
      <c r="ER177" s="12"/>
      <c r="ES177">
        <v>0</v>
      </c>
      <c r="ET177" s="335">
        <v>0</v>
      </c>
      <c r="EX177" s="10" t="str">
        <f t="shared" si="242"/>
        <v/>
      </c>
    </row>
    <row r="178" spans="1:154" ht="23.25" x14ac:dyDescent="0.25">
      <c r="A178" s="362" cm="1">
        <f t="array" aca="1" ref="A178" ca="1">HYPERLINK(CONCATENATE("#",CELL("address",IF(SUM($CA178:$CH178)=0,A178,INDEX($CA178:$CH178,MATCH(1,$CA178:$CH178,0))))),SUM($CA178:$CH178))</f>
        <v>0</v>
      </c>
      <c r="C178" s="340" t="str">
        <f>CONCATENATE("M-", 'I&amp;E Annual'!C178)</f>
        <v>M-IE-6a-1a</v>
      </c>
      <c r="D178" s="134" t="s">
        <v>82</v>
      </c>
      <c r="E178" s="348" t="str" cm="1">
        <f t="array" aca="1" ref="E178" ca="1">HYPERLINK(CONCATENATE("#",CELL("address",'Investing Inputs'!$D$293)),'Investing Inputs'!$D$293)</f>
        <v xml:space="preserve">Gain/Loss on Disposal </v>
      </c>
      <c r="H178" t="s">
        <v>8</v>
      </c>
      <c r="S178" s="319"/>
      <c r="T178" s="25"/>
      <c r="U178" s="25"/>
      <c r="V178" s="201">
        <f>SUM('Investing Inputs'!V$294:V$295,'Investing Inputs'!V$297,'Investing Inputs'!V$298)</f>
        <v>0</v>
      </c>
      <c r="W178" s="201">
        <f>SUM('Investing Inputs'!W$294:W$295,'Investing Inputs'!W$297,'Investing Inputs'!W$298)</f>
        <v>0</v>
      </c>
      <c r="X178" s="201">
        <f>SUM('Investing Inputs'!X$294:X$295,'Investing Inputs'!X$297,'Investing Inputs'!X$298)</f>
        <v>0</v>
      </c>
      <c r="Y178" s="201">
        <f>SUM('Investing Inputs'!Y$294:Y$295,'Investing Inputs'!Y$297,'Investing Inputs'!Y$298)</f>
        <v>0</v>
      </c>
      <c r="Z178" s="335"/>
      <c r="AA178" s="201">
        <f>SUM('Investing Inputs'!AA$294:AA$295,'Investing Inputs'!AA$297,'Investing Inputs'!AA$298)</f>
        <v>0</v>
      </c>
      <c r="AB178" s="201">
        <f>SUM('Investing Inputs'!AB$294:AB$295,'Investing Inputs'!AB$297,'Investing Inputs'!AB$298)</f>
        <v>0</v>
      </c>
      <c r="AC178" s="201">
        <f>SUM('Investing Inputs'!AC$294:AC$295,'Investing Inputs'!AC$297,'Investing Inputs'!AC$298)</f>
        <v>0</v>
      </c>
      <c r="AD178" s="201">
        <f>SUM('Investing Inputs'!AD$294:AD$295,'Investing Inputs'!AD$297,'Investing Inputs'!AD$298)</f>
        <v>0</v>
      </c>
      <c r="AE178" s="201">
        <f>SUM('Investing Inputs'!AE$294:AE$295,'Investing Inputs'!AE$297,'Investing Inputs'!AE$298)</f>
        <v>0</v>
      </c>
      <c r="AF178" s="201">
        <f>SUM('Investing Inputs'!AF$294:AF$295,'Investing Inputs'!AF$297,'Investing Inputs'!AF$298)</f>
        <v>0</v>
      </c>
      <c r="AG178" s="201">
        <f>SUM('Investing Inputs'!AG$294:AG$295,'Investing Inputs'!AG$297,'Investing Inputs'!AG$298)</f>
        <v>0</v>
      </c>
      <c r="AH178" s="201">
        <f>SUM('Investing Inputs'!AH$294:AH$295,'Investing Inputs'!AH$297,'Investing Inputs'!AH$298)</f>
        <v>0</v>
      </c>
      <c r="AI178" s="201">
        <f>SUM('Investing Inputs'!AI$294:AI$295,'Investing Inputs'!AI$297,'Investing Inputs'!AI$298)</f>
        <v>0</v>
      </c>
      <c r="AJ178" s="201">
        <f>SUM('Investing Inputs'!AJ$294:AJ$295,'Investing Inputs'!AJ$297,'Investing Inputs'!AJ$298)</f>
        <v>0</v>
      </c>
      <c r="AK178" s="201">
        <f>SUM('Investing Inputs'!AK$294:AK$295,'Investing Inputs'!AK$297,'Investing Inputs'!AK$298)</f>
        <v>0</v>
      </c>
      <c r="AL178" s="201">
        <f>SUM('Investing Inputs'!AL$294:AL$295,'Investing Inputs'!AL$297,'Investing Inputs'!AL$298)</f>
        <v>0</v>
      </c>
      <c r="AM178" s="201">
        <f>SUM('Investing Inputs'!AM$294:AM$295,'Investing Inputs'!AM$297,'Investing Inputs'!AM$298)</f>
        <v>0</v>
      </c>
      <c r="AN178" s="201">
        <f>SUM('Investing Inputs'!AN$294:AN$295,'Investing Inputs'!AN$297,'Investing Inputs'!AN$298)</f>
        <v>0</v>
      </c>
      <c r="AO178" s="201">
        <f>SUM('Investing Inputs'!AO$294:AO$295,'Investing Inputs'!AO$297,'Investing Inputs'!AO$298)</f>
        <v>0</v>
      </c>
      <c r="AP178" s="201">
        <f>SUM('Investing Inputs'!AP$294:AP$295,'Investing Inputs'!AP$297,'Investing Inputs'!AP$298)</f>
        <v>0</v>
      </c>
      <c r="AQ178" s="201">
        <f>SUM('Investing Inputs'!AQ$294:AQ$295,'Investing Inputs'!AQ$297,'Investing Inputs'!AQ$298)</f>
        <v>0</v>
      </c>
      <c r="AR178" s="201">
        <f>SUM('Investing Inputs'!AR$294:AR$295,'Investing Inputs'!AR$297,'Investing Inputs'!AR$298)</f>
        <v>0</v>
      </c>
      <c r="AS178" s="201">
        <f>SUM('Investing Inputs'!AS$294:AS$295,'Investing Inputs'!AS$297,'Investing Inputs'!AS$298)</f>
        <v>0</v>
      </c>
      <c r="AT178" s="201">
        <f>SUM('Investing Inputs'!AT$294:AT$295,'Investing Inputs'!AT$297,'Investing Inputs'!AT$298)</f>
        <v>0</v>
      </c>
      <c r="AU178" s="201">
        <f>SUM('Investing Inputs'!AU$294:AU$295,'Investing Inputs'!AU$297,'Investing Inputs'!AU$298)</f>
        <v>0</v>
      </c>
      <c r="AV178" s="201">
        <f>SUM('Investing Inputs'!AV$294:AV$295,'Investing Inputs'!AV$297,'Investing Inputs'!AV$298)</f>
        <v>0</v>
      </c>
      <c r="AW178" s="201">
        <f>SUM('Investing Inputs'!AW$294:AW$295,'Investing Inputs'!AW$297,'Investing Inputs'!AW$298)</f>
        <v>0</v>
      </c>
      <c r="AX178" s="201">
        <f>SUM('Investing Inputs'!AX$294:AX$295,'Investing Inputs'!AX$297,'Investing Inputs'!AX$298)</f>
        <v>0</v>
      </c>
      <c r="AY178" s="201">
        <f>SUM('Investing Inputs'!AY$294:AY$295,'Investing Inputs'!AY$297,'Investing Inputs'!AY$298)</f>
        <v>0</v>
      </c>
      <c r="AZ178" s="201">
        <f>SUM('Investing Inputs'!AZ$294:AZ$295,'Investing Inputs'!AZ$297,'Investing Inputs'!AZ$298)</f>
        <v>0</v>
      </c>
      <c r="BA178" s="201">
        <f>SUM('Investing Inputs'!BA$294:BA$295,'Investing Inputs'!BA$297,'Investing Inputs'!BA$298)</f>
        <v>0</v>
      </c>
      <c r="BB178" s="201">
        <f>SUM('Investing Inputs'!BB$294:BB$295,'Investing Inputs'!BB$297,'Investing Inputs'!BB$298)</f>
        <v>0</v>
      </c>
      <c r="BC178" s="201">
        <f>SUM('Investing Inputs'!BC$294:BC$295,'Investing Inputs'!BC$297,'Investing Inputs'!BC$298)</f>
        <v>0</v>
      </c>
      <c r="BD178" s="201">
        <f>SUM('Investing Inputs'!BD$294:BD$295,'Investing Inputs'!BD$297,'Investing Inputs'!BD$298)</f>
        <v>0</v>
      </c>
      <c r="BE178" s="201">
        <f>SUM('Investing Inputs'!BE$294:BE$295,'Investing Inputs'!BE$297,'Investing Inputs'!BE$298)</f>
        <v>0</v>
      </c>
      <c r="BF178" s="201">
        <f>SUM('Investing Inputs'!BF$294:BF$295,'Investing Inputs'!BF$297,'Investing Inputs'!BF$298)</f>
        <v>0</v>
      </c>
      <c r="BG178" s="201">
        <f>SUM('Investing Inputs'!BG$294:BG$295,'Investing Inputs'!BG$297,'Investing Inputs'!BG$298)</f>
        <v>0</v>
      </c>
      <c r="BH178" s="201">
        <f>SUM('Investing Inputs'!BH$294:BH$295,'Investing Inputs'!BH$297,'Investing Inputs'!BH$298)</f>
        <v>0</v>
      </c>
      <c r="BI178" s="201">
        <f>SUM('Investing Inputs'!BI$294:BI$295,'Investing Inputs'!BI$297,'Investing Inputs'!BI$298)</f>
        <v>0</v>
      </c>
      <c r="BJ178" s="201">
        <f>SUM('Investing Inputs'!BJ$294:BJ$295,'Investing Inputs'!BJ$297,'Investing Inputs'!BJ$298)</f>
        <v>0</v>
      </c>
      <c r="BK178" s="335"/>
      <c r="BL178" s="201">
        <f>SUM('Investing Inputs'!BL$294:BL$295,'Investing Inputs'!BL$297,'Investing Inputs'!BL$298)</f>
        <v>0</v>
      </c>
      <c r="BM178" s="201">
        <f>SUM('Investing Inputs'!BM$294:BM$295,'Investing Inputs'!BM$297,'Investing Inputs'!BM$298)</f>
        <v>0</v>
      </c>
      <c r="BN178" s="201">
        <f>SUM('Investing Inputs'!BN$294:BN$295,'Investing Inputs'!BN$297,'Investing Inputs'!BN$298)</f>
        <v>0</v>
      </c>
      <c r="BO178" s="201">
        <f>SUM('Investing Inputs'!BO$294:BO$295,'Investing Inputs'!BO$297,'Investing Inputs'!BO$298)</f>
        <v>0</v>
      </c>
      <c r="BP178" s="201">
        <f>SUM('Investing Inputs'!BP$294:BP$295,'Investing Inputs'!BP$297,'Investing Inputs'!BP$298)</f>
        <v>0</v>
      </c>
      <c r="BQ178" s="201">
        <f>SUM('Investing Inputs'!BQ$294:BQ$295,'Investing Inputs'!BQ$297,'Investing Inputs'!BQ$298)</f>
        <v>0</v>
      </c>
      <c r="BR178" s="201">
        <f>SUM('Investing Inputs'!BR$294:BR$295,'Investing Inputs'!BR$297,'Investing Inputs'!BR$298)</f>
        <v>0</v>
      </c>
      <c r="BS178" s="201">
        <f>SUM('Investing Inputs'!BS$294:BS$295,'Investing Inputs'!BS$297,'Investing Inputs'!BS$298)</f>
        <v>0</v>
      </c>
      <c r="BT178" s="201">
        <f>SUM('Investing Inputs'!BT$294:BT$295,'Investing Inputs'!BT$297,'Investing Inputs'!BT$298)</f>
        <v>0</v>
      </c>
      <c r="BU178" s="201">
        <f>SUM('Investing Inputs'!BU$294:BU$295,'Investing Inputs'!BU$297,'Investing Inputs'!BU$298)</f>
        <v>0</v>
      </c>
      <c r="BV178" s="201">
        <f>SUM('Investing Inputs'!BV$294:BV$295,'Investing Inputs'!BV$297,'Investing Inputs'!BV$298)</f>
        <v>0</v>
      </c>
      <c r="BW178" s="201">
        <f>SUM('Investing Inputs'!BW$294:BW$295,'Investing Inputs'!BW$297,'Investing Inputs'!BW$298)</f>
        <v>0</v>
      </c>
      <c r="BY178" s="12"/>
      <c r="CA178" s="12"/>
      <c r="CC178" s="7">
        <f t="shared" ref="CC178:CC183" si="306">IF(SUM($CG178:$CI178)=0, 0, 1)</f>
        <v>0</v>
      </c>
      <c r="CD178" s="7">
        <f t="shared" ref="CD178:CD183" si="307">IF(SUM($CJ178:$CL178)=0, 0, 1)</f>
        <v>0</v>
      </c>
      <c r="CE178" s="7">
        <f t="shared" ref="CE178:CE183" si="308">IF($CM178=0, 0, 1)</f>
        <v>0</v>
      </c>
      <c r="CF178" s="12"/>
      <c r="CG178" s="352">
        <f t="shared" ref="CG178:CI183" si="309">ROUND(W178-SUMIFS($AA178:$BJ178, $AA$3:$BJ$3, W$3), rounding)</f>
        <v>0</v>
      </c>
      <c r="CH178" s="352">
        <f t="shared" si="309"/>
        <v>0</v>
      </c>
      <c r="CI178" s="352">
        <f t="shared" si="309"/>
        <v>0</v>
      </c>
      <c r="CJ178" s="352">
        <f t="shared" ref="CJ178:CJ183" si="310">ROUND($BM178-SUMIFS($AA178:$BJ178, $AA$3:$BJ$3, $BM$3), rounding)</f>
        <v>0</v>
      </c>
      <c r="CK178" s="352">
        <f t="shared" ref="CK178:CK183" si="311">ROUND($BN178-SUMIFS($AA178:$BJ178, $AA$3:$BJ$3, $BN$3), rounding)</f>
        <v>0</v>
      </c>
      <c r="CL178" s="352">
        <f t="shared" ref="CL178:CL183" si="312">ROUND($BO178-SUMIFS($AA178:$BJ178, $AA$3:$BJ$3, $BO$3), rounding)</f>
        <v>0</v>
      </c>
      <c r="CM178" s="352">
        <f t="shared" ref="CM178:CM183" si="313">ROUND($V178-$BL178, rounding)</f>
        <v>0</v>
      </c>
      <c r="ER178" s="12"/>
      <c r="ES178">
        <v>0</v>
      </c>
      <c r="ET178" s="335">
        <v>0</v>
      </c>
      <c r="EX178" s="10" t="str">
        <f t="shared" si="242"/>
        <v>Gain/(loss) on disposal of fixed assets</v>
      </c>
    </row>
    <row r="179" spans="1:154" ht="23.25" x14ac:dyDescent="0.25">
      <c r="A179" s="362" cm="1">
        <f t="array" aca="1" ref="A179" ca="1">HYPERLINK(CONCATENATE("#",CELL("address",IF(SUM($CA179:$CH179)=0,A179,INDEX($CA179:$CH179,MATCH(1,$CA179:$CH179,0))))),SUM($CA179:$CH179))</f>
        <v>0</v>
      </c>
      <c r="C179" s="340" t="str">
        <f>CONCATENATE("M-", 'I&amp;E Annual'!C179)</f>
        <v>M-IE-6a-1b</v>
      </c>
      <c r="D179" s="134" t="s">
        <v>2378</v>
      </c>
      <c r="E179" s="348" t="str" cm="1">
        <f t="array" aca="1" ref="E179" ca="1">HYPERLINK(CONCATENATE("#",CELL("address",'Investing Inputs'!$D$296)),'Investing Inputs'!$D$293)</f>
        <v xml:space="preserve">Gain/Loss on Disposal </v>
      </c>
      <c r="H179" t="s">
        <v>8</v>
      </c>
      <c r="S179" s="67"/>
      <c r="T179" s="25"/>
      <c r="U179" s="25"/>
      <c r="V179" s="201">
        <f>'Investing Inputs'!V$296</f>
        <v>0</v>
      </c>
      <c r="W179" s="201">
        <f>'Investing Inputs'!W$296</f>
        <v>0</v>
      </c>
      <c r="X179" s="201">
        <f>'Investing Inputs'!X$296</f>
        <v>0</v>
      </c>
      <c r="Y179" s="201">
        <f>'Investing Inputs'!Y$296</f>
        <v>0</v>
      </c>
      <c r="Z179" s="67"/>
      <c r="AA179" s="10">
        <f>'Investing Inputs'!AA$296</f>
        <v>0</v>
      </c>
      <c r="AB179" s="10">
        <f>'Investing Inputs'!AB$296</f>
        <v>0</v>
      </c>
      <c r="AC179" s="10">
        <f>'Investing Inputs'!AC$296</f>
        <v>0</v>
      </c>
      <c r="AD179" s="10">
        <f>'Investing Inputs'!AD$296</f>
        <v>0</v>
      </c>
      <c r="AE179" s="10">
        <f>'Investing Inputs'!AE$296</f>
        <v>0</v>
      </c>
      <c r="AF179" s="10">
        <f>'Investing Inputs'!AF$296</f>
        <v>0</v>
      </c>
      <c r="AG179" s="10">
        <f>'Investing Inputs'!AG$296</f>
        <v>0</v>
      </c>
      <c r="AH179" s="10">
        <f>'Investing Inputs'!AH$296</f>
        <v>0</v>
      </c>
      <c r="AI179" s="10">
        <f>'Investing Inputs'!AI$296</f>
        <v>0</v>
      </c>
      <c r="AJ179" s="10">
        <f>'Investing Inputs'!AJ$296</f>
        <v>0</v>
      </c>
      <c r="AK179" s="10">
        <f>'Investing Inputs'!AK$296</f>
        <v>0</v>
      </c>
      <c r="AL179" s="10">
        <f>'Investing Inputs'!AL$296</f>
        <v>0</v>
      </c>
      <c r="AM179" s="10">
        <f>'Investing Inputs'!AM$296</f>
        <v>0</v>
      </c>
      <c r="AN179" s="10">
        <f>'Investing Inputs'!AN$296</f>
        <v>0</v>
      </c>
      <c r="AO179" s="10">
        <f>'Investing Inputs'!AO$296</f>
        <v>0</v>
      </c>
      <c r="AP179" s="10">
        <f>'Investing Inputs'!AP$296</f>
        <v>0</v>
      </c>
      <c r="AQ179" s="10">
        <f>'Investing Inputs'!AQ$296</f>
        <v>0</v>
      </c>
      <c r="AR179" s="10">
        <f>'Investing Inputs'!AR$296</f>
        <v>0</v>
      </c>
      <c r="AS179" s="10">
        <f>'Investing Inputs'!AS$296</f>
        <v>0</v>
      </c>
      <c r="AT179" s="10">
        <f>'Investing Inputs'!AT$296</f>
        <v>0</v>
      </c>
      <c r="AU179" s="10">
        <f>'Investing Inputs'!AU$296</f>
        <v>0</v>
      </c>
      <c r="AV179" s="10">
        <f>'Investing Inputs'!AV$296</f>
        <v>0</v>
      </c>
      <c r="AW179" s="10">
        <f>'Investing Inputs'!AW$296</f>
        <v>0</v>
      </c>
      <c r="AX179" s="10">
        <f>'Investing Inputs'!AX$296</f>
        <v>0</v>
      </c>
      <c r="AY179" s="10">
        <f>'Investing Inputs'!AY$296</f>
        <v>0</v>
      </c>
      <c r="AZ179" s="10">
        <f>'Investing Inputs'!AZ$296</f>
        <v>0</v>
      </c>
      <c r="BA179" s="10">
        <f>'Investing Inputs'!BA$296</f>
        <v>0</v>
      </c>
      <c r="BB179" s="10">
        <f>'Investing Inputs'!BB$296</f>
        <v>0</v>
      </c>
      <c r="BC179" s="10">
        <f>'Investing Inputs'!BC$296</f>
        <v>0</v>
      </c>
      <c r="BD179" s="10">
        <f>'Investing Inputs'!BD$296</f>
        <v>0</v>
      </c>
      <c r="BE179" s="10">
        <f>'Investing Inputs'!BE$296</f>
        <v>0</v>
      </c>
      <c r="BF179" s="10">
        <f>'Investing Inputs'!BF$296</f>
        <v>0</v>
      </c>
      <c r="BG179" s="10">
        <f>'Investing Inputs'!BG$296</f>
        <v>0</v>
      </c>
      <c r="BH179" s="10">
        <f>'Investing Inputs'!BH$296</f>
        <v>0</v>
      </c>
      <c r="BI179" s="10">
        <f>'Investing Inputs'!BI$296</f>
        <v>0</v>
      </c>
      <c r="BJ179" s="10">
        <f>'Investing Inputs'!BJ$296</f>
        <v>0</v>
      </c>
      <c r="BK179" s="335"/>
      <c r="BL179" s="10">
        <f>'Investing Inputs'!BL$296</f>
        <v>0</v>
      </c>
      <c r="BM179" s="10">
        <f>'Investing Inputs'!BM$296</f>
        <v>0</v>
      </c>
      <c r="BN179" s="10">
        <f>'Investing Inputs'!BN$296</f>
        <v>0</v>
      </c>
      <c r="BO179" s="10">
        <f>'Investing Inputs'!BO$296</f>
        <v>0</v>
      </c>
      <c r="BP179" s="10">
        <f>'Investing Inputs'!BP$296</f>
        <v>0</v>
      </c>
      <c r="BQ179" s="10">
        <f>'Investing Inputs'!BQ$296</f>
        <v>0</v>
      </c>
      <c r="BR179" s="10">
        <f>'Investing Inputs'!BR$296</f>
        <v>0</v>
      </c>
      <c r="BS179" s="10">
        <f>'Investing Inputs'!BS$296</f>
        <v>0</v>
      </c>
      <c r="BT179" s="10">
        <f>'Investing Inputs'!BT$296</f>
        <v>0</v>
      </c>
      <c r="BU179" s="10">
        <f>'Investing Inputs'!BU$296</f>
        <v>0</v>
      </c>
      <c r="BV179" s="10">
        <f>'Investing Inputs'!BV$296</f>
        <v>0</v>
      </c>
      <c r="BW179" s="10">
        <f>'Investing Inputs'!BW$296</f>
        <v>0</v>
      </c>
      <c r="BY179" s="12"/>
      <c r="CA179" s="12"/>
      <c r="CC179" s="7">
        <f t="shared" si="306"/>
        <v>0</v>
      </c>
      <c r="CD179" s="7">
        <f t="shared" si="307"/>
        <v>0</v>
      </c>
      <c r="CE179" s="7">
        <f t="shared" si="308"/>
        <v>0</v>
      </c>
      <c r="CF179" s="12"/>
      <c r="CG179" s="352">
        <f t="shared" si="309"/>
        <v>0</v>
      </c>
      <c r="CH179" s="352">
        <f t="shared" si="309"/>
        <v>0</v>
      </c>
      <c r="CI179" s="352">
        <f t="shared" si="309"/>
        <v>0</v>
      </c>
      <c r="CJ179" s="352">
        <f t="shared" si="310"/>
        <v>0</v>
      </c>
      <c r="CK179" s="352">
        <f t="shared" si="311"/>
        <v>0</v>
      </c>
      <c r="CL179" s="352">
        <f t="shared" si="312"/>
        <v>0</v>
      </c>
      <c r="CM179" s="352">
        <f t="shared" si="313"/>
        <v>0</v>
      </c>
      <c r="ER179" s="12"/>
      <c r="ES179">
        <v>0</v>
      </c>
      <c r="ET179" s="335">
        <v>0</v>
      </c>
      <c r="EX179" s="10" t="str">
        <f t="shared" si="242"/>
        <v>Gain/(loss) on Disposal of Investments</v>
      </c>
    </row>
    <row r="180" spans="1:154" s="335" customFormat="1" ht="26.45" customHeight="1" x14ac:dyDescent="0.25">
      <c r="A180" s="362" cm="1">
        <f t="array" aca="1" ref="A180" ca="1">HYPERLINK(CONCATENATE("#",CELL("address",IF(SUM($CA180:$CH180)=0,A180,INDEX($CA180:$CH180,MATCH(1,$CA180:$CH180,0))))),SUM($CA180:$CH180))</f>
        <v>0</v>
      </c>
      <c r="C180" s="340" t="str">
        <f>CONCATENATE("M-", 'I&amp;E Annual'!C180)</f>
        <v>M-IE-6a-2</v>
      </c>
      <c r="D180" s="179" t="s">
        <v>940</v>
      </c>
      <c r="E180" s="348" t="str" cm="1">
        <f t="array" aca="1" ref="E180" ca="1">HYPERLINK(CONCATENATE("#",CELL("address",'Investing Inputs'!$D$95)),'Investing Inputs'!$D$95)</f>
        <v>Investments Sub-Total</v>
      </c>
      <c r="H180" s="335" t="s">
        <v>8</v>
      </c>
      <c r="T180" s="25"/>
      <c r="U180" s="25"/>
      <c r="V180" s="10">
        <f>'Investing Inputs'!V$95</f>
        <v>0</v>
      </c>
      <c r="W180" s="10">
        <f>'Investing Inputs'!W$95</f>
        <v>0</v>
      </c>
      <c r="X180" s="10">
        <f>'Investing Inputs'!X$95</f>
        <v>0</v>
      </c>
      <c r="Y180" s="10">
        <f>'Investing Inputs'!Y$95</f>
        <v>0</v>
      </c>
      <c r="AA180" s="10">
        <f>'Investing Inputs'!AA$95</f>
        <v>0</v>
      </c>
      <c r="AB180" s="10">
        <f>'Investing Inputs'!AB$95</f>
        <v>0</v>
      </c>
      <c r="AC180" s="10">
        <f>'Investing Inputs'!AC$95</f>
        <v>0</v>
      </c>
      <c r="AD180" s="10">
        <f>'Investing Inputs'!AD$95</f>
        <v>0</v>
      </c>
      <c r="AE180" s="10">
        <f>'Investing Inputs'!AE$95</f>
        <v>0</v>
      </c>
      <c r="AF180" s="10">
        <f>'Investing Inputs'!AF$95</f>
        <v>0</v>
      </c>
      <c r="AG180" s="10">
        <f>'Investing Inputs'!AG$95</f>
        <v>0</v>
      </c>
      <c r="AH180" s="10">
        <f>'Investing Inputs'!AH$95</f>
        <v>0</v>
      </c>
      <c r="AI180" s="10">
        <f>'Investing Inputs'!AI$95</f>
        <v>0</v>
      </c>
      <c r="AJ180" s="10">
        <f>'Investing Inputs'!AJ$95</f>
        <v>0</v>
      </c>
      <c r="AK180" s="10">
        <f>'Investing Inputs'!AK$95</f>
        <v>0</v>
      </c>
      <c r="AL180" s="10">
        <f>'Investing Inputs'!AL$95</f>
        <v>0</v>
      </c>
      <c r="AM180" s="10">
        <f>'Investing Inputs'!AM$95</f>
        <v>0</v>
      </c>
      <c r="AN180" s="10">
        <f>'Investing Inputs'!AN$95</f>
        <v>0</v>
      </c>
      <c r="AO180" s="10">
        <f>'Investing Inputs'!AO$95</f>
        <v>0</v>
      </c>
      <c r="AP180" s="10">
        <f>'Investing Inputs'!AP$95</f>
        <v>0</v>
      </c>
      <c r="AQ180" s="10">
        <f>'Investing Inputs'!AQ$95</f>
        <v>0</v>
      </c>
      <c r="AR180" s="10">
        <f>'Investing Inputs'!AR$95</f>
        <v>0</v>
      </c>
      <c r="AS180" s="10">
        <f>'Investing Inputs'!AS$95</f>
        <v>0</v>
      </c>
      <c r="AT180" s="10">
        <f>'Investing Inputs'!AT$95</f>
        <v>0</v>
      </c>
      <c r="AU180" s="10">
        <f>'Investing Inputs'!AU$95</f>
        <v>0</v>
      </c>
      <c r="AV180" s="10">
        <f>'Investing Inputs'!AV$95</f>
        <v>0</v>
      </c>
      <c r="AW180" s="10">
        <f>'Investing Inputs'!AW$95</f>
        <v>0</v>
      </c>
      <c r="AX180" s="10">
        <f>'Investing Inputs'!AX$95</f>
        <v>0</v>
      </c>
      <c r="AY180" s="10">
        <f>'Investing Inputs'!AY$95</f>
        <v>0</v>
      </c>
      <c r="AZ180" s="10">
        <f>'Investing Inputs'!AZ$95</f>
        <v>0</v>
      </c>
      <c r="BA180" s="10">
        <f>'Investing Inputs'!BA$95</f>
        <v>0</v>
      </c>
      <c r="BB180" s="10">
        <f>'Investing Inputs'!BB$95</f>
        <v>0</v>
      </c>
      <c r="BC180" s="10">
        <f>'Investing Inputs'!BC$95</f>
        <v>0</v>
      </c>
      <c r="BD180" s="10">
        <f>'Investing Inputs'!BD$95</f>
        <v>0</v>
      </c>
      <c r="BE180" s="10">
        <f>'Investing Inputs'!BE$95</f>
        <v>0</v>
      </c>
      <c r="BF180" s="10">
        <f>'Investing Inputs'!BF$95</f>
        <v>0</v>
      </c>
      <c r="BG180" s="10">
        <f>'Investing Inputs'!BG$95</f>
        <v>0</v>
      </c>
      <c r="BH180" s="10">
        <f>'Investing Inputs'!BH$95</f>
        <v>0</v>
      </c>
      <c r="BI180" s="10">
        <f>'Investing Inputs'!BI$95</f>
        <v>0</v>
      </c>
      <c r="BJ180" s="10">
        <f>'Investing Inputs'!BJ$95</f>
        <v>0</v>
      </c>
      <c r="BL180" s="10">
        <f>'Investing Inputs'!BL$95</f>
        <v>0</v>
      </c>
      <c r="BM180" s="10">
        <f>'Investing Inputs'!BM$95</f>
        <v>0</v>
      </c>
      <c r="BN180" s="10">
        <f>'Investing Inputs'!BN$95</f>
        <v>0</v>
      </c>
      <c r="BO180" s="10">
        <f>'Investing Inputs'!BO$95</f>
        <v>0</v>
      </c>
      <c r="BP180" s="10">
        <f>'Investing Inputs'!BP$95</f>
        <v>0</v>
      </c>
      <c r="BQ180" s="10">
        <f>'Investing Inputs'!BQ$95</f>
        <v>0</v>
      </c>
      <c r="BR180" s="10">
        <f>'Investing Inputs'!BR$95</f>
        <v>0</v>
      </c>
      <c r="BS180" s="10">
        <f>'Investing Inputs'!BS$95</f>
        <v>0</v>
      </c>
      <c r="BT180" s="10">
        <f>'Investing Inputs'!BT$95</f>
        <v>0</v>
      </c>
      <c r="BU180" s="10">
        <f>'Investing Inputs'!BU$95</f>
        <v>0</v>
      </c>
      <c r="BV180" s="10">
        <f>'Investing Inputs'!BV$95</f>
        <v>0</v>
      </c>
      <c r="BW180" s="10">
        <f>'Investing Inputs'!BW$95</f>
        <v>0</v>
      </c>
      <c r="BY180" s="12"/>
      <c r="BZ180" s="162"/>
      <c r="CA180" s="12"/>
      <c r="CC180" s="7">
        <f t="shared" si="306"/>
        <v>0</v>
      </c>
      <c r="CD180" s="7">
        <f t="shared" si="307"/>
        <v>0</v>
      </c>
      <c r="CE180" s="7">
        <f t="shared" si="308"/>
        <v>0</v>
      </c>
      <c r="CF180" s="12"/>
      <c r="CG180" s="352">
        <f t="shared" si="309"/>
        <v>0</v>
      </c>
      <c r="CH180" s="352">
        <f t="shared" si="309"/>
        <v>0</v>
      </c>
      <c r="CI180" s="352">
        <f t="shared" si="309"/>
        <v>0</v>
      </c>
      <c r="CJ180" s="352">
        <f t="shared" si="310"/>
        <v>0</v>
      </c>
      <c r="CK180" s="352">
        <f t="shared" si="311"/>
        <v>0</v>
      </c>
      <c r="CL180" s="352">
        <f t="shared" si="312"/>
        <v>0</v>
      </c>
      <c r="CM180" s="352">
        <f t="shared" si="313"/>
        <v>0</v>
      </c>
      <c r="ER180" s="12"/>
      <c r="ES180" s="335">
        <v>0</v>
      </c>
      <c r="ET180" s="335">
        <v>0</v>
      </c>
      <c r="EX180" s="10" t="str">
        <f t="shared" si="242"/>
        <v>Surplus/(loss) on Revaluation of Investments</v>
      </c>
    </row>
    <row r="181" spans="1:154" ht="30" x14ac:dyDescent="0.25">
      <c r="A181" s="362" cm="1">
        <f t="array" aca="1" ref="A181" ca="1">HYPERLINK(CONCATENATE("#",CELL("address",IF(SUM($CA181:$CH181)=0,A181,INDEX($CA181:$CH181,MATCH(1,$CA181:$CH181,0))))),SUM($CA181:$CH181))</f>
        <v>0</v>
      </c>
      <c r="C181" s="340" t="str">
        <f>CONCATENATE("M-", 'I&amp;E Annual'!C181)</f>
        <v>M-IE-6a-3</v>
      </c>
      <c r="D181" s="134" t="s">
        <v>2510</v>
      </c>
      <c r="H181" t="s">
        <v>8</v>
      </c>
      <c r="S181" s="335"/>
      <c r="T181" s="25"/>
      <c r="U181" s="25"/>
      <c r="V181" s="141"/>
      <c r="W181" s="215">
        <f t="shared" ref="W181:Y182" si="314" xml:space="preserve"> SUMIFS($AA181:$BJ181, $AA$3:$BJ$3, W$3)</f>
        <v>0</v>
      </c>
      <c r="X181" s="215">
        <f t="shared" si="314"/>
        <v>0</v>
      </c>
      <c r="Y181" s="215">
        <f t="shared" si="314"/>
        <v>0</v>
      </c>
      <c r="Z181" s="335"/>
      <c r="AA181" s="372"/>
      <c r="AB181" s="372"/>
      <c r="AC181" s="372"/>
      <c r="AD181" s="372"/>
      <c r="AE181" s="372"/>
      <c r="AF181" s="372"/>
      <c r="AG181" s="372"/>
      <c r="AH181" s="372"/>
      <c r="AI181" s="372"/>
      <c r="AJ181" s="372"/>
      <c r="AK181" s="372"/>
      <c r="AL181" s="372"/>
      <c r="AM181" s="372"/>
      <c r="AN181" s="372"/>
      <c r="AO181" s="372"/>
      <c r="AP181" s="372"/>
      <c r="AQ181" s="372"/>
      <c r="AR181" s="372"/>
      <c r="AS181" s="372"/>
      <c r="AT181" s="372"/>
      <c r="AU181" s="372"/>
      <c r="AV181" s="372"/>
      <c r="AW181" s="372"/>
      <c r="AX181" s="372"/>
      <c r="AY181" s="372"/>
      <c r="AZ181" s="372"/>
      <c r="BA181" s="372"/>
      <c r="BB181" s="372"/>
      <c r="BC181" s="372"/>
      <c r="BD181" s="372"/>
      <c r="BE181" s="372"/>
      <c r="BF181" s="372"/>
      <c r="BG181" s="372"/>
      <c r="BH181" s="372"/>
      <c r="BI181" s="372"/>
      <c r="BJ181" s="372"/>
      <c r="BK181" s="335"/>
      <c r="BL181" s="10">
        <f t="shared" ref="BL181:BO182" si="315">V181</f>
        <v>0</v>
      </c>
      <c r="BM181" s="10">
        <f t="shared" si="315"/>
        <v>0</v>
      </c>
      <c r="BN181" s="10">
        <f t="shared" si="315"/>
        <v>0</v>
      </c>
      <c r="BO181" s="10">
        <f t="shared" si="315"/>
        <v>0</v>
      </c>
      <c r="BP181" s="141"/>
      <c r="BQ181" s="141"/>
      <c r="BR181" s="141"/>
      <c r="BS181" s="141"/>
      <c r="BT181" s="141"/>
      <c r="BU181" s="141"/>
      <c r="BV181" s="141"/>
      <c r="BW181" s="141"/>
      <c r="BY181" s="12"/>
      <c r="BZ181" s="395">
        <f>IF(MIN($V181:$BW181)&lt;0, 1, 0)</f>
        <v>0</v>
      </c>
      <c r="CA181" s="12"/>
      <c r="CC181" s="7">
        <f t="shared" si="306"/>
        <v>0</v>
      </c>
      <c r="CD181" s="7">
        <f t="shared" si="307"/>
        <v>0</v>
      </c>
      <c r="CE181" s="7">
        <f t="shared" si="308"/>
        <v>0</v>
      </c>
      <c r="CF181" s="12"/>
      <c r="CG181" s="352">
        <f t="shared" si="309"/>
        <v>0</v>
      </c>
      <c r="CH181" s="352">
        <f t="shared" si="309"/>
        <v>0</v>
      </c>
      <c r="CI181" s="352">
        <f t="shared" si="309"/>
        <v>0</v>
      </c>
      <c r="CJ181" s="352">
        <f t="shared" si="310"/>
        <v>0</v>
      </c>
      <c r="CK181" s="352">
        <f t="shared" si="311"/>
        <v>0</v>
      </c>
      <c r="CL181" s="352">
        <f t="shared" si="312"/>
        <v>0</v>
      </c>
      <c r="CM181" s="352">
        <f t="shared" si="313"/>
        <v>0</v>
      </c>
      <c r="ER181" s="12"/>
      <c r="ES181" s="4">
        <v>1</v>
      </c>
      <c r="ET181" s="335">
        <v>1</v>
      </c>
      <c r="EX181" s="10" t="str">
        <f t="shared" si="242"/>
        <v>Share of surplus / (deficit) in JVs and Associates (inc. overseas)</v>
      </c>
    </row>
    <row r="182" spans="1:154" s="335" customFormat="1" x14ac:dyDescent="0.25">
      <c r="A182" s="362" cm="1">
        <f t="array" aca="1" ref="A182" ca="1">HYPERLINK(CONCATENATE("#",CELL("address",IF(SUM($CA182:$CH182)=0,A182,INDEX($CA182:$CH182,MATCH(1,$CA182:$CH182,0))))),SUM($CA182:$CH182))</f>
        <v>0</v>
      </c>
      <c r="B182" s="93"/>
      <c r="C182" s="340" t="str">
        <f>CONCATENATE("M-", 'I&amp;E Annual'!C182)</f>
        <v>M-IE-6a-4</v>
      </c>
      <c r="D182" s="137" t="s">
        <v>1733</v>
      </c>
      <c r="H182" s="335" t="s">
        <v>8</v>
      </c>
      <c r="T182" s="25"/>
      <c r="U182" s="25"/>
      <c r="V182" s="156"/>
      <c r="W182" s="215">
        <f t="shared" si="314"/>
        <v>0</v>
      </c>
      <c r="X182" s="215">
        <f t="shared" si="314"/>
        <v>0</v>
      </c>
      <c r="Y182" s="215">
        <f t="shared" si="314"/>
        <v>0</v>
      </c>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c r="BI182" s="147"/>
      <c r="BJ182" s="147"/>
      <c r="BL182" s="153">
        <f t="shared" si="315"/>
        <v>0</v>
      </c>
      <c r="BM182" s="153">
        <f t="shared" si="315"/>
        <v>0</v>
      </c>
      <c r="BN182" s="153">
        <f t="shared" si="315"/>
        <v>0</v>
      </c>
      <c r="BO182" s="153">
        <f t="shared" si="315"/>
        <v>0</v>
      </c>
      <c r="BP182" s="156"/>
      <c r="BQ182" s="156"/>
      <c r="BR182" s="156"/>
      <c r="BS182" s="156"/>
      <c r="BT182" s="156"/>
      <c r="BU182" s="156"/>
      <c r="BV182" s="156"/>
      <c r="BW182" s="156"/>
      <c r="BY182" s="12"/>
      <c r="BZ182" s="395">
        <f>IF(MIN($V182:$BW182)&lt;0, 1, 0)</f>
        <v>0</v>
      </c>
      <c r="CA182" s="12"/>
      <c r="CC182" s="7">
        <f>IF(SUM($CG182:$CI182)=0, 0, 1)</f>
        <v>0</v>
      </c>
      <c r="CD182" s="7">
        <f>IF(SUM($CJ182:$CL182)=0, 0, 1)</f>
        <v>0</v>
      </c>
      <c r="CE182" s="7">
        <f>IF($CM182=0, 0, 1)</f>
        <v>0</v>
      </c>
      <c r="CF182" s="12"/>
      <c r="CG182" s="352">
        <f t="shared" si="309"/>
        <v>0</v>
      </c>
      <c r="CH182" s="352">
        <f t="shared" si="309"/>
        <v>0</v>
      </c>
      <c r="CI182" s="352">
        <f t="shared" si="309"/>
        <v>0</v>
      </c>
      <c r="CJ182" s="352">
        <f t="shared" si="310"/>
        <v>0</v>
      </c>
      <c r="CK182" s="352">
        <f t="shared" si="311"/>
        <v>0</v>
      </c>
      <c r="CL182" s="352">
        <f t="shared" si="312"/>
        <v>0</v>
      </c>
      <c r="CM182" s="352">
        <f t="shared" si="313"/>
        <v>0</v>
      </c>
      <c r="ER182" s="12"/>
      <c r="ES182" s="4">
        <v>1</v>
      </c>
      <c r="ET182" s="335">
        <v>1</v>
      </c>
      <c r="EX182" s="10" t="str">
        <f>IF($C182="","",$D182)</f>
        <v>Fair value of Net Assets due to merger / de-merger</v>
      </c>
    </row>
    <row r="183" spans="1:154" s="5" customFormat="1" x14ac:dyDescent="0.25">
      <c r="A183" s="362" cm="1">
        <f t="array" aca="1" ref="A183" ca="1">HYPERLINK(CONCATENATE("#",CELL("address",IF(SUM($CA183:$CH183)=0,A183,INDEX($CA183:$CH183,MATCH(1,$CA183:$CH183,0))))),SUM($CA183:$CH183))</f>
        <v>0</v>
      </c>
      <c r="C183" s="340" t="str">
        <f>CONCATENATE("M-", 'I&amp;E Annual'!C183)</f>
        <v>M-IE-6a</v>
      </c>
      <c r="D183" s="74" t="s">
        <v>83</v>
      </c>
      <c r="Q183" s="335"/>
      <c r="R183" s="335"/>
      <c r="S183" s="335"/>
      <c r="T183" s="25"/>
      <c r="U183" s="25"/>
      <c r="V183" s="13">
        <f>SUM(V178:V182)</f>
        <v>0</v>
      </c>
      <c r="W183" s="13">
        <f t="shared" ref="W183:BW183" si="316">SUM(W178:W182)</f>
        <v>0</v>
      </c>
      <c r="X183" s="13">
        <f t="shared" si="316"/>
        <v>0</v>
      </c>
      <c r="Y183" s="13">
        <f t="shared" si="316"/>
        <v>0</v>
      </c>
      <c r="Z183" s="335"/>
      <c r="AA183" s="13">
        <f t="shared" si="316"/>
        <v>0</v>
      </c>
      <c r="AB183" s="13">
        <f t="shared" si="316"/>
        <v>0</v>
      </c>
      <c r="AC183" s="13">
        <f t="shared" si="316"/>
        <v>0</v>
      </c>
      <c r="AD183" s="13">
        <f t="shared" si="316"/>
        <v>0</v>
      </c>
      <c r="AE183" s="13">
        <f t="shared" si="316"/>
        <v>0</v>
      </c>
      <c r="AF183" s="13">
        <f t="shared" si="316"/>
        <v>0</v>
      </c>
      <c r="AG183" s="13">
        <f t="shared" si="316"/>
        <v>0</v>
      </c>
      <c r="AH183" s="13">
        <f t="shared" si="316"/>
        <v>0</v>
      </c>
      <c r="AI183" s="13">
        <f t="shared" si="316"/>
        <v>0</v>
      </c>
      <c r="AJ183" s="13">
        <f t="shared" si="316"/>
        <v>0</v>
      </c>
      <c r="AK183" s="13">
        <f t="shared" si="316"/>
        <v>0</v>
      </c>
      <c r="AL183" s="13">
        <f t="shared" si="316"/>
        <v>0</v>
      </c>
      <c r="AM183" s="13">
        <f t="shared" si="316"/>
        <v>0</v>
      </c>
      <c r="AN183" s="13">
        <f t="shared" si="316"/>
        <v>0</v>
      </c>
      <c r="AO183" s="13">
        <f t="shared" si="316"/>
        <v>0</v>
      </c>
      <c r="AP183" s="13">
        <f t="shared" si="316"/>
        <v>0</v>
      </c>
      <c r="AQ183" s="13">
        <f t="shared" si="316"/>
        <v>0</v>
      </c>
      <c r="AR183" s="13">
        <f t="shared" si="316"/>
        <v>0</v>
      </c>
      <c r="AS183" s="13">
        <f t="shared" si="316"/>
        <v>0</v>
      </c>
      <c r="AT183" s="13">
        <f t="shared" si="316"/>
        <v>0</v>
      </c>
      <c r="AU183" s="13">
        <f t="shared" si="316"/>
        <v>0</v>
      </c>
      <c r="AV183" s="13">
        <f t="shared" si="316"/>
        <v>0</v>
      </c>
      <c r="AW183" s="13">
        <f t="shared" si="316"/>
        <v>0</v>
      </c>
      <c r="AX183" s="13">
        <f t="shared" si="316"/>
        <v>0</v>
      </c>
      <c r="AY183" s="13">
        <f t="shared" si="316"/>
        <v>0</v>
      </c>
      <c r="AZ183" s="13">
        <f t="shared" si="316"/>
        <v>0</v>
      </c>
      <c r="BA183" s="13">
        <f t="shared" si="316"/>
        <v>0</v>
      </c>
      <c r="BB183" s="13">
        <f t="shared" si="316"/>
        <v>0</v>
      </c>
      <c r="BC183" s="13">
        <f t="shared" si="316"/>
        <v>0</v>
      </c>
      <c r="BD183" s="13">
        <f t="shared" si="316"/>
        <v>0</v>
      </c>
      <c r="BE183" s="13">
        <f t="shared" si="316"/>
        <v>0</v>
      </c>
      <c r="BF183" s="13">
        <f t="shared" si="316"/>
        <v>0</v>
      </c>
      <c r="BG183" s="13">
        <f t="shared" si="316"/>
        <v>0</v>
      </c>
      <c r="BH183" s="13">
        <f t="shared" si="316"/>
        <v>0</v>
      </c>
      <c r="BI183" s="13">
        <f t="shared" si="316"/>
        <v>0</v>
      </c>
      <c r="BJ183" s="13">
        <f t="shared" si="316"/>
        <v>0</v>
      </c>
      <c r="BK183" s="335"/>
      <c r="BL183" s="13">
        <f t="shared" si="316"/>
        <v>0</v>
      </c>
      <c r="BM183" s="13">
        <f t="shared" si="316"/>
        <v>0</v>
      </c>
      <c r="BN183" s="13">
        <f t="shared" si="316"/>
        <v>0</v>
      </c>
      <c r="BO183" s="13">
        <f t="shared" si="316"/>
        <v>0</v>
      </c>
      <c r="BP183" s="13">
        <f t="shared" si="316"/>
        <v>0</v>
      </c>
      <c r="BQ183" s="13">
        <f t="shared" si="316"/>
        <v>0</v>
      </c>
      <c r="BR183" s="13">
        <f t="shared" si="316"/>
        <v>0</v>
      </c>
      <c r="BS183" s="13">
        <f t="shared" si="316"/>
        <v>0</v>
      </c>
      <c r="BT183" s="13">
        <f t="shared" si="316"/>
        <v>0</v>
      </c>
      <c r="BU183" s="13">
        <f t="shared" si="316"/>
        <v>0</v>
      </c>
      <c r="BV183" s="13">
        <f t="shared" si="316"/>
        <v>0</v>
      </c>
      <c r="BW183" s="13">
        <f t="shared" si="316"/>
        <v>0</v>
      </c>
      <c r="BY183" s="12"/>
      <c r="BZ183" s="162"/>
      <c r="CA183" s="12"/>
      <c r="CB183" s="11"/>
      <c r="CC183" s="7">
        <f t="shared" si="306"/>
        <v>0</v>
      </c>
      <c r="CD183" s="7">
        <f t="shared" si="307"/>
        <v>0</v>
      </c>
      <c r="CE183" s="7">
        <f t="shared" si="308"/>
        <v>0</v>
      </c>
      <c r="CF183" s="12"/>
      <c r="CG183" s="352">
        <f t="shared" si="309"/>
        <v>0</v>
      </c>
      <c r="CH183" s="352">
        <f t="shared" si="309"/>
        <v>0</v>
      </c>
      <c r="CI183" s="352">
        <f t="shared" si="309"/>
        <v>0</v>
      </c>
      <c r="CJ183" s="352">
        <f t="shared" si="310"/>
        <v>0</v>
      </c>
      <c r="CK183" s="352">
        <f t="shared" si="311"/>
        <v>0</v>
      </c>
      <c r="CL183" s="352">
        <f t="shared" si="312"/>
        <v>0</v>
      </c>
      <c r="CM183" s="352">
        <f t="shared" si="313"/>
        <v>0</v>
      </c>
      <c r="ER183" s="12"/>
      <c r="ES183" s="5">
        <v>0</v>
      </c>
      <c r="ET183" s="5">
        <v>0</v>
      </c>
      <c r="EX183" s="10" t="str">
        <f t="shared" si="242"/>
        <v>Total other gains and losses</v>
      </c>
    </row>
    <row r="184" spans="1:154" s="335" customFormat="1" ht="12" customHeight="1" x14ac:dyDescent="0.25">
      <c r="C184" s="383"/>
      <c r="D184" s="69"/>
      <c r="T184" s="25"/>
      <c r="U184" s="25"/>
      <c r="V184" s="25"/>
      <c r="W184" s="25"/>
      <c r="X184" s="25"/>
      <c r="Y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L184" s="25"/>
      <c r="BM184" s="25"/>
      <c r="BN184" s="25"/>
      <c r="BO184" s="25"/>
      <c r="BP184" s="25"/>
      <c r="BQ184" s="25"/>
      <c r="BR184" s="25"/>
      <c r="BS184" s="25"/>
      <c r="BT184" s="25"/>
      <c r="BU184" s="25"/>
      <c r="BV184" s="25"/>
      <c r="BW184" s="25"/>
      <c r="BY184" s="42"/>
      <c r="BZ184" s="162"/>
      <c r="CA184" s="42"/>
      <c r="CF184" s="42"/>
      <c r="ER184" s="42"/>
      <c r="ES184" s="335">
        <v>0</v>
      </c>
      <c r="ET184" s="335">
        <v>0</v>
      </c>
      <c r="EX184" s="10" t="str">
        <f t="shared" si="242"/>
        <v/>
      </c>
    </row>
    <row r="185" spans="1:154" s="5" customFormat="1" x14ac:dyDescent="0.25">
      <c r="A185" s="362" cm="1">
        <f t="array" aca="1" ref="A185" ca="1">HYPERLINK(CONCATENATE("#",CELL("address",IF(SUM($CA185:$CH185)=0,A185,INDEX($CA185:$CH185,MATCH(1,$CA185:$CH185,0))))),SUM($CA185:$CH185))</f>
        <v>0</v>
      </c>
      <c r="C185" s="340" t="str">
        <f>CONCATENATE("M-", 'I&amp;E Annual'!C185)</f>
        <v>M-IE-6</v>
      </c>
      <c r="D185" s="74" t="s">
        <v>84</v>
      </c>
      <c r="Q185" s="335"/>
      <c r="R185" s="335"/>
      <c r="S185"/>
      <c r="T185" s="25"/>
      <c r="U185" s="25"/>
      <c r="V185" s="13">
        <f>V175+V183</f>
        <v>0</v>
      </c>
      <c r="W185" s="13">
        <f>W175+W183</f>
        <v>440</v>
      </c>
      <c r="X185" s="13">
        <f>X175+X183</f>
        <v>436</v>
      </c>
      <c r="Y185" s="13">
        <f>Y175+Y183</f>
        <v>541.81000000000131</v>
      </c>
      <c r="Z185" s="67"/>
      <c r="AA185" s="13">
        <f t="shared" ref="AA185:BJ185" si="317">AA175+AA183</f>
        <v>1720</v>
      </c>
      <c r="AB185" s="13">
        <f t="shared" si="317"/>
        <v>1148</v>
      </c>
      <c r="AC185" s="13">
        <f t="shared" si="317"/>
        <v>130</v>
      </c>
      <c r="AD185" s="13">
        <f t="shared" si="317"/>
        <v>-210</v>
      </c>
      <c r="AE185" s="13">
        <f t="shared" si="317"/>
        <v>-887</v>
      </c>
      <c r="AF185" s="13">
        <f t="shared" si="317"/>
        <v>-675</v>
      </c>
      <c r="AG185" s="13">
        <f t="shared" si="317"/>
        <v>-721</v>
      </c>
      <c r="AH185" s="13">
        <f t="shared" si="317"/>
        <v>-900</v>
      </c>
      <c r="AI185" s="13">
        <f t="shared" si="317"/>
        <v>1250</v>
      </c>
      <c r="AJ185" s="13">
        <f t="shared" si="317"/>
        <v>264</v>
      </c>
      <c r="AK185" s="13">
        <f t="shared" si="317"/>
        <v>258</v>
      </c>
      <c r="AL185" s="13">
        <f t="shared" si="317"/>
        <v>-937</v>
      </c>
      <c r="AM185" s="13">
        <f t="shared" si="317"/>
        <v>1978</v>
      </c>
      <c r="AN185" s="13">
        <f t="shared" si="317"/>
        <v>1130</v>
      </c>
      <c r="AO185" s="13">
        <f t="shared" si="317"/>
        <v>125</v>
      </c>
      <c r="AP185" s="13">
        <f t="shared" si="317"/>
        <v>-442</v>
      </c>
      <c r="AQ185" s="13">
        <f t="shared" si="317"/>
        <v>-891</v>
      </c>
      <c r="AR185" s="13">
        <f t="shared" si="317"/>
        <v>-576</v>
      </c>
      <c r="AS185" s="13">
        <f t="shared" si="317"/>
        <v>-971</v>
      </c>
      <c r="AT185" s="13">
        <f t="shared" si="317"/>
        <v>-913</v>
      </c>
      <c r="AU185" s="13">
        <f t="shared" si="317"/>
        <v>1487</v>
      </c>
      <c r="AV185" s="13">
        <f t="shared" si="317"/>
        <v>368</v>
      </c>
      <c r="AW185" s="13">
        <f t="shared" si="317"/>
        <v>-54</v>
      </c>
      <c r="AX185" s="13">
        <f t="shared" si="317"/>
        <v>-805</v>
      </c>
      <c r="AY185" s="13">
        <f t="shared" si="317"/>
        <v>2023.7483333333334</v>
      </c>
      <c r="AZ185" s="13">
        <f t="shared" si="317"/>
        <v>1146.3566666666661</v>
      </c>
      <c r="BA185" s="13">
        <f t="shared" si="317"/>
        <v>132.48833333333278</v>
      </c>
      <c r="BB185" s="13">
        <f t="shared" si="317"/>
        <v>-449.61333333333323</v>
      </c>
      <c r="BC185" s="13">
        <f t="shared" si="317"/>
        <v>-910.53</v>
      </c>
      <c r="BD185" s="13">
        <f t="shared" si="317"/>
        <v>-583.22999999999979</v>
      </c>
      <c r="BE185" s="13">
        <f t="shared" si="317"/>
        <v>-990.74166666666702</v>
      </c>
      <c r="BF185" s="13">
        <f t="shared" si="317"/>
        <v>-927.5183333333332</v>
      </c>
      <c r="BG185" s="13">
        <f t="shared" si="317"/>
        <v>1540.378333333334</v>
      </c>
      <c r="BH185" s="13">
        <f t="shared" si="317"/>
        <v>417.06833333333361</v>
      </c>
      <c r="BI185" s="13">
        <f t="shared" si="317"/>
        <v>-43.806666666666388</v>
      </c>
      <c r="BJ185" s="13">
        <f t="shared" si="317"/>
        <v>-812.79000000000042</v>
      </c>
      <c r="BK185" s="67"/>
      <c r="BL185" s="13">
        <f t="shared" ref="BL185:BW185" si="318">BL175+BL183</f>
        <v>0</v>
      </c>
      <c r="BM185" s="13">
        <f t="shared" si="318"/>
        <v>440</v>
      </c>
      <c r="BN185" s="13">
        <f t="shared" si="318"/>
        <v>436</v>
      </c>
      <c r="BO185" s="13">
        <f t="shared" si="318"/>
        <v>541.81000000000131</v>
      </c>
      <c r="BP185" s="13">
        <f t="shared" si="318"/>
        <v>0</v>
      </c>
      <c r="BQ185" s="13">
        <f t="shared" si="318"/>
        <v>0</v>
      </c>
      <c r="BR185" s="13">
        <f t="shared" si="318"/>
        <v>0</v>
      </c>
      <c r="BS185" s="13">
        <f t="shared" si="318"/>
        <v>0</v>
      </c>
      <c r="BT185" s="13">
        <f t="shared" si="318"/>
        <v>0</v>
      </c>
      <c r="BU185" s="13">
        <f t="shared" si="318"/>
        <v>0</v>
      </c>
      <c r="BV185" s="13">
        <f t="shared" si="318"/>
        <v>0</v>
      </c>
      <c r="BW185" s="13">
        <f t="shared" si="318"/>
        <v>0</v>
      </c>
      <c r="BY185" s="12"/>
      <c r="BZ185" s="162"/>
      <c r="CA185" s="12"/>
      <c r="CB185" s="11"/>
      <c r="CC185" s="7">
        <f>IF(SUM($CG185:$CI185)=0, 0, 1)</f>
        <v>0</v>
      </c>
      <c r="CD185" s="7">
        <f>IF(SUM($CJ185:$CL185)=0, 0, 1)</f>
        <v>0</v>
      </c>
      <c r="CE185" s="7">
        <f>IF($CM185=0, 0, 1)</f>
        <v>0</v>
      </c>
      <c r="CF185" s="12"/>
      <c r="CG185" s="352">
        <f>ROUND(W185-SUMIFS($AA185:$BJ185, $AA$3:$BJ$3, W$3), rounding)</f>
        <v>0</v>
      </c>
      <c r="CH185" s="352">
        <f>ROUND(X185-SUMIFS($AA185:$BJ185, $AA$3:$BJ$3, X$3), rounding)</f>
        <v>0</v>
      </c>
      <c r="CI185" s="352">
        <f>ROUND(Y185-SUMIFS($AA185:$BJ185, $AA$3:$BJ$3, Y$3), rounding)</f>
        <v>0</v>
      </c>
      <c r="CJ185" s="352">
        <f>ROUND($BM185-SUMIFS($AA185:$BJ185, $AA$3:$BJ$3, $BM$3), rounding)</f>
        <v>0</v>
      </c>
      <c r="CK185" s="352">
        <f>ROUND($BN185-SUMIFS($AA185:$BJ185, $AA$3:$BJ$3, $BN$3), rounding)</f>
        <v>0</v>
      </c>
      <c r="CL185" s="352">
        <f>ROUND($BO185-SUMIFS($AA185:$BJ185, $AA$3:$BJ$3, $BO$3), rounding)</f>
        <v>0</v>
      </c>
      <c r="CM185" s="352">
        <f>ROUND($V185-$BL185, rounding)</f>
        <v>0</v>
      </c>
      <c r="ER185" s="12"/>
      <c r="ES185" s="5">
        <v>0</v>
      </c>
      <c r="ET185" s="5">
        <v>0</v>
      </c>
      <c r="EX185" s="10" t="str">
        <f t="shared" si="242"/>
        <v>Total surplus/(deficit) for the year</v>
      </c>
    </row>
    <row r="186" spans="1:154" s="335" customFormat="1" ht="12" customHeight="1" x14ac:dyDescent="0.25">
      <c r="C186" s="383"/>
      <c r="D186" s="69"/>
      <c r="T186" s="25"/>
      <c r="U186" s="25"/>
      <c r="V186" s="25"/>
      <c r="W186" s="25"/>
      <c r="X186" s="25"/>
      <c r="Y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L186" s="25"/>
      <c r="BM186" s="25"/>
      <c r="BN186" s="25"/>
      <c r="BO186" s="25"/>
      <c r="BP186" s="25"/>
      <c r="BQ186" s="25"/>
      <c r="BR186" s="25"/>
      <c r="BS186" s="25"/>
      <c r="BT186" s="25"/>
      <c r="BU186" s="25"/>
      <c r="BV186" s="25"/>
      <c r="BW186" s="25"/>
      <c r="BY186" s="42"/>
      <c r="BZ186" s="162"/>
      <c r="CA186" s="42"/>
      <c r="CF186" s="42"/>
      <c r="ER186" s="42"/>
      <c r="ES186" s="335">
        <v>0</v>
      </c>
      <c r="ET186" s="335">
        <v>0</v>
      </c>
      <c r="EX186" s="10" t="str">
        <f t="shared" si="242"/>
        <v/>
      </c>
    </row>
    <row r="187" spans="1:154" s="335" customFormat="1" ht="35.1" customHeight="1" x14ac:dyDescent="0.25">
      <c r="A187" s="362" cm="1">
        <f t="array" aca="1" ref="A187" ca="1">HYPERLINK(CONCATENATE("#",CELL("address",IF(SUM($CA187:$CH187)=0,A187,INDEX($CA187:$CH187,MATCH(1,$CA187:$CH187,0))))),SUM($CA187:$CH187))</f>
        <v>0</v>
      </c>
      <c r="C187" s="340" t="str">
        <f>CONCATENATE("M-", 'I&amp;E Annual'!C187)</f>
        <v>M-IE-7a</v>
      </c>
      <c r="D187" s="134" t="s">
        <v>892</v>
      </c>
      <c r="E187" s="348" t="str" cm="1">
        <f t="array" aca="1" ref="E187" ca="1">HYPERLINK(CONCATENATE("#",CELL("address",'BS Forecasts'!$D$233)),'BS Forecasts'!$D$233)</f>
        <v>Transfers to/(from) I&amp;E reserve</v>
      </c>
      <c r="F187" s="5"/>
      <c r="G187" s="5"/>
      <c r="H187" s="5"/>
      <c r="T187" s="25"/>
      <c r="U187" s="25"/>
      <c r="V187" s="201">
        <f>'BS Forecasts'!V233</f>
        <v>0</v>
      </c>
      <c r="W187" s="201">
        <f>'BS Forecasts'!W233</f>
        <v>51</v>
      </c>
      <c r="X187" s="201">
        <f>'BS Forecasts'!X233</f>
        <v>51</v>
      </c>
      <c r="Y187" s="201">
        <f>'BS Forecasts'!Y233</f>
        <v>51</v>
      </c>
      <c r="AA187" s="201">
        <f>'BS Forecasts'!AA233</f>
        <v>5</v>
      </c>
      <c r="AB187" s="201">
        <f>'BS Forecasts'!AB233</f>
        <v>5</v>
      </c>
      <c r="AC187" s="201">
        <f>'BS Forecasts'!AC233</f>
        <v>5</v>
      </c>
      <c r="AD187" s="201">
        <f>'BS Forecasts'!AD233</f>
        <v>4</v>
      </c>
      <c r="AE187" s="201">
        <f>'BS Forecasts'!AE233</f>
        <v>4</v>
      </c>
      <c r="AF187" s="201">
        <f>'BS Forecasts'!AF233</f>
        <v>4</v>
      </c>
      <c r="AG187" s="201">
        <f>'BS Forecasts'!AG233</f>
        <v>4</v>
      </c>
      <c r="AH187" s="201">
        <f>'BS Forecasts'!AH233</f>
        <v>4</v>
      </c>
      <c r="AI187" s="201">
        <f>'BS Forecasts'!AI233</f>
        <v>4</v>
      </c>
      <c r="AJ187" s="201">
        <f>'BS Forecasts'!AJ233</f>
        <v>4</v>
      </c>
      <c r="AK187" s="201">
        <f>'BS Forecasts'!AK233</f>
        <v>4</v>
      </c>
      <c r="AL187" s="201">
        <f>'BS Forecasts'!AL233</f>
        <v>4</v>
      </c>
      <c r="AM187" s="201">
        <f>'BS Forecasts'!AM233</f>
        <v>5</v>
      </c>
      <c r="AN187" s="201">
        <f>'BS Forecasts'!AN233</f>
        <v>5</v>
      </c>
      <c r="AO187" s="201">
        <f>'BS Forecasts'!AO233</f>
        <v>5</v>
      </c>
      <c r="AP187" s="201">
        <f>'BS Forecasts'!AP233</f>
        <v>4</v>
      </c>
      <c r="AQ187" s="201">
        <f>'BS Forecasts'!AQ233</f>
        <v>4</v>
      </c>
      <c r="AR187" s="201">
        <f>'BS Forecasts'!AR233</f>
        <v>4</v>
      </c>
      <c r="AS187" s="201">
        <f>'BS Forecasts'!AS233</f>
        <v>4</v>
      </c>
      <c r="AT187" s="201">
        <f>'BS Forecasts'!AT233</f>
        <v>4</v>
      </c>
      <c r="AU187" s="201">
        <f>'BS Forecasts'!AU233</f>
        <v>4</v>
      </c>
      <c r="AV187" s="201">
        <f>'BS Forecasts'!AV233</f>
        <v>4</v>
      </c>
      <c r="AW187" s="201">
        <f>'BS Forecasts'!AW233</f>
        <v>4</v>
      </c>
      <c r="AX187" s="201">
        <f>'BS Forecasts'!AX233</f>
        <v>4</v>
      </c>
      <c r="AY187" s="201">
        <f>'BS Forecasts'!AY233</f>
        <v>5</v>
      </c>
      <c r="AZ187" s="201">
        <f>'BS Forecasts'!AZ233</f>
        <v>5</v>
      </c>
      <c r="BA187" s="201">
        <f>'BS Forecasts'!BA233</f>
        <v>5</v>
      </c>
      <c r="BB187" s="201">
        <f>'BS Forecasts'!BB233</f>
        <v>4</v>
      </c>
      <c r="BC187" s="201">
        <f>'BS Forecasts'!BC233</f>
        <v>4</v>
      </c>
      <c r="BD187" s="201">
        <f>'BS Forecasts'!BD233</f>
        <v>4</v>
      </c>
      <c r="BE187" s="201">
        <f>'BS Forecasts'!BE233</f>
        <v>4</v>
      </c>
      <c r="BF187" s="201">
        <f>'BS Forecasts'!BF233</f>
        <v>4</v>
      </c>
      <c r="BG187" s="201">
        <f>'BS Forecasts'!BG233</f>
        <v>4</v>
      </c>
      <c r="BH187" s="201">
        <f>'BS Forecasts'!BH233</f>
        <v>4</v>
      </c>
      <c r="BI187" s="201">
        <f>'BS Forecasts'!BI233</f>
        <v>4</v>
      </c>
      <c r="BJ187" s="201">
        <f>'BS Forecasts'!BJ233</f>
        <v>4</v>
      </c>
      <c r="BL187" s="201">
        <f>'BS Forecasts'!BL233</f>
        <v>0</v>
      </c>
      <c r="BM187" s="201">
        <f>'BS Forecasts'!BM233</f>
        <v>51</v>
      </c>
      <c r="BN187" s="201">
        <f>'BS Forecasts'!BN233</f>
        <v>51</v>
      </c>
      <c r="BO187" s="201">
        <f>'BS Forecasts'!BO233</f>
        <v>51</v>
      </c>
      <c r="BP187" s="201">
        <f>'BS Forecasts'!BP233</f>
        <v>0</v>
      </c>
      <c r="BQ187" s="201">
        <f>'BS Forecasts'!BQ233</f>
        <v>0</v>
      </c>
      <c r="BR187" s="201">
        <f>'BS Forecasts'!BR233</f>
        <v>0</v>
      </c>
      <c r="BS187" s="201">
        <f>'BS Forecasts'!BS233</f>
        <v>0</v>
      </c>
      <c r="BT187" s="201">
        <f>'BS Forecasts'!BT233</f>
        <v>0</v>
      </c>
      <c r="BU187" s="201">
        <f>'BS Forecasts'!BU233</f>
        <v>0</v>
      </c>
      <c r="BV187" s="201">
        <f>'BS Forecasts'!BV233</f>
        <v>0</v>
      </c>
      <c r="BW187" s="201">
        <f>'BS Forecasts'!BW233</f>
        <v>0</v>
      </c>
      <c r="BY187" s="12"/>
      <c r="BZ187" s="162"/>
      <c r="CA187" s="12"/>
      <c r="CC187" s="7">
        <f t="shared" ref="CC187:CC189" si="319">IF(SUM($CG187:$CI187)=0, 0, 1)</f>
        <v>0</v>
      </c>
      <c r="CD187" s="7">
        <f t="shared" ref="CD187:CD189" si="320">IF(SUM($CJ187:$CL187)=0, 0, 1)</f>
        <v>0</v>
      </c>
      <c r="CE187" s="7">
        <f t="shared" ref="CE187:CE189" si="321">IF($CM187=0, 0, 1)</f>
        <v>0</v>
      </c>
      <c r="CF187" s="12"/>
      <c r="CG187" s="352">
        <f t="shared" ref="CG187:CI189" si="322">ROUND(W187-SUMIFS($AA187:$BJ187, $AA$3:$BJ$3, W$3), rounding)</f>
        <v>0</v>
      </c>
      <c r="CH187" s="352">
        <f t="shared" si="322"/>
        <v>0</v>
      </c>
      <c r="CI187" s="352">
        <f t="shared" si="322"/>
        <v>0</v>
      </c>
      <c r="CJ187" s="352">
        <f>ROUND($BM187-SUMIFS($AA187:$BJ187, $AA$3:$BJ$3, $BM$3), rounding)</f>
        <v>0</v>
      </c>
      <c r="CK187" s="352">
        <f>ROUND($BN187-SUMIFS($AA187:$BJ187, $AA$3:$BJ$3, $BN$3), rounding)</f>
        <v>0</v>
      </c>
      <c r="CL187" s="352">
        <f>ROUND($BO187-SUMIFS($AA187:$BJ187, $AA$3:$BJ$3, $BO$3), rounding)</f>
        <v>0</v>
      </c>
      <c r="CM187" s="352">
        <f>ROUND($V187-$BL187, rounding)</f>
        <v>0</v>
      </c>
      <c r="ER187" s="12"/>
      <c r="ES187" s="335">
        <v>0</v>
      </c>
      <c r="ET187" s="335">
        <v>0</v>
      </c>
      <c r="EX187" s="10" t="str">
        <f t="shared" si="242"/>
        <v>Transfers (to)/from revaluation reserve adjustment</v>
      </c>
    </row>
    <row r="188" spans="1:154" s="335" customFormat="1" ht="57" x14ac:dyDescent="0.25">
      <c r="A188" s="362" cm="1">
        <f t="array" aca="1" ref="A188" ca="1">HYPERLINK(CONCATENATE("#",CELL("address",IF(SUM($CA188:$CH188)=0,A188,INDEX($CA188:$CH188,MATCH(1,$CA188:$CH188,0))))),SUM($CA188:$CH188))</f>
        <v>0</v>
      </c>
      <c r="C188" s="340" t="str">
        <f>CONCATENATE("M-", 'I&amp;E Annual'!C188)</f>
        <v>M-IE-7b</v>
      </c>
      <c r="D188" s="134" t="s">
        <v>891</v>
      </c>
      <c r="E188" s="130" t="str" cm="1">
        <f t="array" aca="1" ref="E188" ca="1">HYPERLINK(CONCATENATE("#",CELL("address",'BS Forecasts'!$D$189)),'BS Forecasts'!$D$180)</f>
        <v>Local Government Pension Scheme Provision</v>
      </c>
      <c r="F188" s="470" t="str" cm="1">
        <f t="array" aca="1" ref="F188" ca="1">HYPERLINK(CONCATENATE("#",CELL("address",'BS Forecasts'!$D$199)),'BS Forecasts'!$D$194)</f>
        <v>Enhanced Pension Provision</v>
      </c>
      <c r="G188" s="470" t="str" cm="1">
        <f t="array" aca="1" ref="G188" ca="1">HYPERLINK(CONCATENATE("#",CELL("address",'BS Forecasts'!$D$208)),'BS Forecasts'!$D$203)</f>
        <v>Other Pension Provisions</v>
      </c>
      <c r="T188" s="25"/>
      <c r="U188" s="25"/>
      <c r="V188" s="201">
        <f>0-('BS Forecasts'!V189+'BS Forecasts'!V199+'BS Forecasts'!V208)</f>
        <v>0</v>
      </c>
      <c r="W188" s="201">
        <f>0-('BS Forecasts'!W189+'BS Forecasts'!W199+'BS Forecasts'!W208)</f>
        <v>-6</v>
      </c>
      <c r="X188" s="201">
        <f>0-('BS Forecasts'!X189+'BS Forecasts'!X199+'BS Forecasts'!X208)</f>
        <v>-6</v>
      </c>
      <c r="Y188" s="201">
        <f>0-('BS Forecasts'!Y189+'BS Forecasts'!Y199+'BS Forecasts'!Y208)</f>
        <v>-6</v>
      </c>
      <c r="AA188" s="201">
        <f>0-('BS Forecasts'!AA189+'BS Forecasts'!AA199+'BS Forecasts'!AA208)</f>
        <v>0</v>
      </c>
      <c r="AB188" s="201">
        <f>0-('BS Forecasts'!AB189+'BS Forecasts'!AB199+'BS Forecasts'!AB208)</f>
        <v>0</v>
      </c>
      <c r="AC188" s="201">
        <f>0-('BS Forecasts'!AC189+'BS Forecasts'!AC199+'BS Forecasts'!AC208)</f>
        <v>0</v>
      </c>
      <c r="AD188" s="201">
        <f>0-('BS Forecasts'!AD189+'BS Forecasts'!AD199+'BS Forecasts'!AD208)</f>
        <v>0</v>
      </c>
      <c r="AE188" s="201">
        <f>0-('BS Forecasts'!AE189+'BS Forecasts'!AE199+'BS Forecasts'!AE208)</f>
        <v>0</v>
      </c>
      <c r="AF188" s="201">
        <f>0-('BS Forecasts'!AF189+'BS Forecasts'!AF199+'BS Forecasts'!AF208)</f>
        <v>0</v>
      </c>
      <c r="AG188" s="201">
        <f>0-('BS Forecasts'!AG189+'BS Forecasts'!AG199+'BS Forecasts'!AG208)</f>
        <v>0</v>
      </c>
      <c r="AH188" s="201">
        <f>0-('BS Forecasts'!AH189+'BS Forecasts'!AH199+'BS Forecasts'!AH208)</f>
        <v>0</v>
      </c>
      <c r="AI188" s="201">
        <f>0-('BS Forecasts'!AI189+'BS Forecasts'!AI199+'BS Forecasts'!AI208)</f>
        <v>0</v>
      </c>
      <c r="AJ188" s="201">
        <f>0-('BS Forecasts'!AJ189+'BS Forecasts'!AJ199+'BS Forecasts'!AJ208)</f>
        <v>0</v>
      </c>
      <c r="AK188" s="201">
        <f>0-('BS Forecasts'!AK189+'BS Forecasts'!AK199+'BS Forecasts'!AK208)</f>
        <v>0</v>
      </c>
      <c r="AL188" s="201">
        <f>0-('BS Forecasts'!AL189+'BS Forecasts'!AL199+'BS Forecasts'!AL208)</f>
        <v>-6</v>
      </c>
      <c r="AM188" s="201">
        <f>0-('BS Forecasts'!AM189+'BS Forecasts'!AM199+'BS Forecasts'!AM208)</f>
        <v>0</v>
      </c>
      <c r="AN188" s="201">
        <f>0-('BS Forecasts'!AN189+'BS Forecasts'!AN199+'BS Forecasts'!AN208)</f>
        <v>0</v>
      </c>
      <c r="AO188" s="201">
        <f>0-('BS Forecasts'!AO189+'BS Forecasts'!AO199+'BS Forecasts'!AO208)</f>
        <v>0</v>
      </c>
      <c r="AP188" s="201">
        <f>0-('BS Forecasts'!AP189+'BS Forecasts'!AP199+'BS Forecasts'!AP208)</f>
        <v>0</v>
      </c>
      <c r="AQ188" s="201">
        <f>0-('BS Forecasts'!AQ189+'BS Forecasts'!AQ199+'BS Forecasts'!AQ208)</f>
        <v>0</v>
      </c>
      <c r="AR188" s="201">
        <f>0-('BS Forecasts'!AR189+'BS Forecasts'!AR199+'BS Forecasts'!AR208)</f>
        <v>0</v>
      </c>
      <c r="AS188" s="201">
        <f>0-('BS Forecasts'!AS189+'BS Forecasts'!AS199+'BS Forecasts'!AS208)</f>
        <v>0</v>
      </c>
      <c r="AT188" s="201">
        <f>0-('BS Forecasts'!AT189+'BS Forecasts'!AT199+'BS Forecasts'!AT208)</f>
        <v>0</v>
      </c>
      <c r="AU188" s="201">
        <f>0-('BS Forecasts'!AU189+'BS Forecasts'!AU199+'BS Forecasts'!AU208)</f>
        <v>0</v>
      </c>
      <c r="AV188" s="201">
        <f>0-('BS Forecasts'!AV189+'BS Forecasts'!AV199+'BS Forecasts'!AV208)</f>
        <v>0</v>
      </c>
      <c r="AW188" s="201">
        <f>0-('BS Forecasts'!AW189+'BS Forecasts'!AW199+'BS Forecasts'!AW208)</f>
        <v>0</v>
      </c>
      <c r="AX188" s="201">
        <f>0-('BS Forecasts'!AX189+'BS Forecasts'!AX199+'BS Forecasts'!AX208)</f>
        <v>-6</v>
      </c>
      <c r="AY188" s="201">
        <f>0-('BS Forecasts'!AY189+'BS Forecasts'!AY199+'BS Forecasts'!AY208)</f>
        <v>0</v>
      </c>
      <c r="AZ188" s="201">
        <f>0-('BS Forecasts'!AZ189+'BS Forecasts'!AZ199+'BS Forecasts'!AZ208)</f>
        <v>0</v>
      </c>
      <c r="BA188" s="201">
        <f>0-('BS Forecasts'!BA189+'BS Forecasts'!BA199+'BS Forecasts'!BA208)</f>
        <v>0</v>
      </c>
      <c r="BB188" s="201">
        <f>0-('BS Forecasts'!BB189+'BS Forecasts'!BB199+'BS Forecasts'!BB208)</f>
        <v>0</v>
      </c>
      <c r="BC188" s="201">
        <f>0-('BS Forecasts'!BC189+'BS Forecasts'!BC199+'BS Forecasts'!BC208)</f>
        <v>0</v>
      </c>
      <c r="BD188" s="201">
        <f>0-('BS Forecasts'!BD189+'BS Forecasts'!BD199+'BS Forecasts'!BD208)</f>
        <v>0</v>
      </c>
      <c r="BE188" s="201">
        <f>0-('BS Forecasts'!BE189+'BS Forecasts'!BE199+'BS Forecasts'!BE208)</f>
        <v>0</v>
      </c>
      <c r="BF188" s="201">
        <f>0-('BS Forecasts'!BF189+'BS Forecasts'!BF199+'BS Forecasts'!BF208)</f>
        <v>0</v>
      </c>
      <c r="BG188" s="201">
        <f>0-('BS Forecasts'!BG189+'BS Forecasts'!BG199+'BS Forecasts'!BG208)</f>
        <v>0</v>
      </c>
      <c r="BH188" s="201">
        <f>0-('BS Forecasts'!BH189+'BS Forecasts'!BH199+'BS Forecasts'!BH208)</f>
        <v>0</v>
      </c>
      <c r="BI188" s="201">
        <f>0-('BS Forecasts'!BI189+'BS Forecasts'!BI199+'BS Forecasts'!BI208)</f>
        <v>0</v>
      </c>
      <c r="BJ188" s="201">
        <f>0-('BS Forecasts'!BJ189+'BS Forecasts'!BJ199+'BS Forecasts'!BJ208)</f>
        <v>-6</v>
      </c>
      <c r="BL188" s="201">
        <f>0-('BS Forecasts'!BL189+'BS Forecasts'!BL199+'BS Forecasts'!BL208)</f>
        <v>0</v>
      </c>
      <c r="BM188" s="201">
        <f>0-('BS Forecasts'!BM189+'BS Forecasts'!BM199+'BS Forecasts'!BM208)</f>
        <v>-6</v>
      </c>
      <c r="BN188" s="201">
        <f>0-('BS Forecasts'!BN189+'BS Forecasts'!BN199+'BS Forecasts'!BN208)</f>
        <v>-6</v>
      </c>
      <c r="BO188" s="201">
        <f>0-('BS Forecasts'!BO189+'BS Forecasts'!BO199+'BS Forecasts'!BO208)</f>
        <v>-6</v>
      </c>
      <c r="BP188" s="201">
        <f>0-('BS Forecasts'!BP189+'BS Forecasts'!BP199+'BS Forecasts'!BP208)</f>
        <v>0</v>
      </c>
      <c r="BQ188" s="201">
        <f>0-('BS Forecasts'!BQ189+'BS Forecasts'!BQ199+'BS Forecasts'!BQ208)</f>
        <v>0</v>
      </c>
      <c r="BR188" s="201">
        <f>0-('BS Forecasts'!BR189+'BS Forecasts'!BR199+'BS Forecasts'!BR208)</f>
        <v>0</v>
      </c>
      <c r="BS188" s="201">
        <f>0-('BS Forecasts'!BS189+'BS Forecasts'!BS199+'BS Forecasts'!BS208)</f>
        <v>0</v>
      </c>
      <c r="BT188" s="201">
        <f>0-('BS Forecasts'!BT189+'BS Forecasts'!BT199+'BS Forecasts'!BT208)</f>
        <v>0</v>
      </c>
      <c r="BU188" s="201">
        <f>0-('BS Forecasts'!BU189+'BS Forecasts'!BU199+'BS Forecasts'!BU208)</f>
        <v>0</v>
      </c>
      <c r="BV188" s="201">
        <f>0-('BS Forecasts'!BV189+'BS Forecasts'!BV199+'BS Forecasts'!BV208)</f>
        <v>0</v>
      </c>
      <c r="BW188" s="201">
        <f>0-('BS Forecasts'!BW189+'BS Forecasts'!BW199+'BS Forecasts'!BW208)</f>
        <v>0</v>
      </c>
      <c r="BY188" s="12"/>
      <c r="BZ188" s="162"/>
      <c r="CA188" s="12"/>
      <c r="CC188" s="7">
        <f t="shared" si="319"/>
        <v>0</v>
      </c>
      <c r="CD188" s="7">
        <f t="shared" si="320"/>
        <v>0</v>
      </c>
      <c r="CE188" s="7">
        <f t="shared" si="321"/>
        <v>0</v>
      </c>
      <c r="CF188" s="12"/>
      <c r="CG188" s="352">
        <f t="shared" si="322"/>
        <v>0</v>
      </c>
      <c r="CH188" s="352">
        <f t="shared" si="322"/>
        <v>0</v>
      </c>
      <c r="CI188" s="352">
        <f t="shared" si="322"/>
        <v>0</v>
      </c>
      <c r="CJ188" s="352">
        <f>ROUND($BM188-SUMIFS($AA188:$BJ188, $AA$3:$BJ$3, $BM$3), rounding)</f>
        <v>0</v>
      </c>
      <c r="CK188" s="352">
        <f>ROUND($BN188-SUMIFS($AA188:$BJ188, $AA$3:$BJ$3, $BN$3), rounding)</f>
        <v>0</v>
      </c>
      <c r="CL188" s="352">
        <f>ROUND($BO188-SUMIFS($AA188:$BJ188, $AA$3:$BJ$3, $BO$3), rounding)</f>
        <v>0</v>
      </c>
      <c r="CM188" s="352">
        <f>ROUND($V188-$BL188, rounding)</f>
        <v>0</v>
      </c>
      <c r="ER188" s="12"/>
      <c r="ES188" s="335">
        <v>0</v>
      </c>
      <c r="ET188" s="335">
        <v>0</v>
      </c>
      <c r="EX188" s="10" t="str">
        <f t="shared" si="242"/>
        <v>Actuarial gain/(loss) on pensions adjustment</v>
      </c>
    </row>
    <row r="189" spans="1:154" s="5" customFormat="1" x14ac:dyDescent="0.25">
      <c r="A189" s="362" cm="1">
        <f t="array" aca="1" ref="A189" ca="1">HYPERLINK(CONCATENATE("#",CELL("address",IF(SUM($CA189:$CH189)=0,A189,INDEX($CA189:$CH189,MATCH(1,$CA189:$CH189,0))))),SUM($CA189:$CH189))</f>
        <v>0</v>
      </c>
      <c r="C189" s="340" t="str">
        <f>CONCATENATE("M-", 'I&amp;E Annual'!C189)</f>
        <v>M-IE-7</v>
      </c>
      <c r="D189" s="337" t="s">
        <v>890</v>
      </c>
      <c r="S189" s="335"/>
      <c r="T189" s="25"/>
      <c r="U189" s="25"/>
      <c r="V189" s="13">
        <f>V185+SUM(V187:V188)</f>
        <v>0</v>
      </c>
      <c r="W189" s="13">
        <f>W185+SUM(W187:W188)</f>
        <v>485</v>
      </c>
      <c r="X189" s="13">
        <f>X185+SUM(X187:X188)</f>
        <v>481</v>
      </c>
      <c r="Y189" s="13">
        <f>Y185+SUM(Y187:Y188)</f>
        <v>586.81000000000131</v>
      </c>
      <c r="Z189" s="335"/>
      <c r="AA189" s="13">
        <f t="shared" ref="AA189:BJ189" si="323">AA185+SUM(AA187:AA188)</f>
        <v>1725</v>
      </c>
      <c r="AB189" s="13">
        <f t="shared" si="323"/>
        <v>1153</v>
      </c>
      <c r="AC189" s="13">
        <f t="shared" si="323"/>
        <v>135</v>
      </c>
      <c r="AD189" s="13">
        <f t="shared" si="323"/>
        <v>-206</v>
      </c>
      <c r="AE189" s="13">
        <f t="shared" si="323"/>
        <v>-883</v>
      </c>
      <c r="AF189" s="13">
        <f t="shared" si="323"/>
        <v>-671</v>
      </c>
      <c r="AG189" s="13">
        <f t="shared" si="323"/>
        <v>-717</v>
      </c>
      <c r="AH189" s="13">
        <f t="shared" si="323"/>
        <v>-896</v>
      </c>
      <c r="AI189" s="13">
        <f t="shared" si="323"/>
        <v>1254</v>
      </c>
      <c r="AJ189" s="13">
        <f t="shared" si="323"/>
        <v>268</v>
      </c>
      <c r="AK189" s="13">
        <f t="shared" si="323"/>
        <v>262</v>
      </c>
      <c r="AL189" s="13">
        <f t="shared" si="323"/>
        <v>-939</v>
      </c>
      <c r="AM189" s="13">
        <f t="shared" si="323"/>
        <v>1983</v>
      </c>
      <c r="AN189" s="13">
        <f t="shared" si="323"/>
        <v>1135</v>
      </c>
      <c r="AO189" s="13">
        <f t="shared" si="323"/>
        <v>130</v>
      </c>
      <c r="AP189" s="13">
        <f t="shared" si="323"/>
        <v>-438</v>
      </c>
      <c r="AQ189" s="13">
        <f t="shared" si="323"/>
        <v>-887</v>
      </c>
      <c r="AR189" s="13">
        <f t="shared" si="323"/>
        <v>-572</v>
      </c>
      <c r="AS189" s="13">
        <f t="shared" si="323"/>
        <v>-967</v>
      </c>
      <c r="AT189" s="13">
        <f t="shared" si="323"/>
        <v>-909</v>
      </c>
      <c r="AU189" s="13">
        <f t="shared" si="323"/>
        <v>1491</v>
      </c>
      <c r="AV189" s="13">
        <f t="shared" si="323"/>
        <v>372</v>
      </c>
      <c r="AW189" s="13">
        <f t="shared" si="323"/>
        <v>-50</v>
      </c>
      <c r="AX189" s="13">
        <f t="shared" si="323"/>
        <v>-807</v>
      </c>
      <c r="AY189" s="13">
        <f t="shared" si="323"/>
        <v>2028.7483333333334</v>
      </c>
      <c r="AZ189" s="13">
        <f t="shared" si="323"/>
        <v>1151.3566666666661</v>
      </c>
      <c r="BA189" s="13">
        <f t="shared" si="323"/>
        <v>137.48833333333278</v>
      </c>
      <c r="BB189" s="13">
        <f t="shared" si="323"/>
        <v>-445.61333333333323</v>
      </c>
      <c r="BC189" s="13">
        <f t="shared" si="323"/>
        <v>-906.53</v>
      </c>
      <c r="BD189" s="13">
        <f t="shared" si="323"/>
        <v>-579.22999999999979</v>
      </c>
      <c r="BE189" s="13">
        <f t="shared" si="323"/>
        <v>-986.74166666666702</v>
      </c>
      <c r="BF189" s="13">
        <f t="shared" si="323"/>
        <v>-923.5183333333332</v>
      </c>
      <c r="BG189" s="13">
        <f t="shared" si="323"/>
        <v>1544.378333333334</v>
      </c>
      <c r="BH189" s="13">
        <f t="shared" si="323"/>
        <v>421.06833333333361</v>
      </c>
      <c r="BI189" s="13">
        <f t="shared" si="323"/>
        <v>-39.806666666666388</v>
      </c>
      <c r="BJ189" s="13">
        <f t="shared" si="323"/>
        <v>-814.79000000000042</v>
      </c>
      <c r="BK189" s="335"/>
      <c r="BL189" s="13">
        <f t="shared" ref="BL189:BW189" si="324">BL185+SUM(BL187:BL188)</f>
        <v>0</v>
      </c>
      <c r="BM189" s="13">
        <f t="shared" si="324"/>
        <v>485</v>
      </c>
      <c r="BN189" s="13">
        <f t="shared" si="324"/>
        <v>481</v>
      </c>
      <c r="BO189" s="13">
        <f t="shared" si="324"/>
        <v>586.81000000000131</v>
      </c>
      <c r="BP189" s="13">
        <f t="shared" si="324"/>
        <v>0</v>
      </c>
      <c r="BQ189" s="13">
        <f t="shared" si="324"/>
        <v>0</v>
      </c>
      <c r="BR189" s="13">
        <f t="shared" si="324"/>
        <v>0</v>
      </c>
      <c r="BS189" s="13">
        <f t="shared" si="324"/>
        <v>0</v>
      </c>
      <c r="BT189" s="13">
        <f t="shared" si="324"/>
        <v>0</v>
      </c>
      <c r="BU189" s="13">
        <f t="shared" si="324"/>
        <v>0</v>
      </c>
      <c r="BV189" s="13">
        <f t="shared" si="324"/>
        <v>0</v>
      </c>
      <c r="BW189" s="13">
        <f t="shared" si="324"/>
        <v>0</v>
      </c>
      <c r="BY189" s="338"/>
      <c r="BZ189" s="138"/>
      <c r="CA189" s="338"/>
      <c r="CC189" s="7">
        <f t="shared" si="319"/>
        <v>0</v>
      </c>
      <c r="CD189" s="7">
        <f t="shared" si="320"/>
        <v>0</v>
      </c>
      <c r="CE189" s="7">
        <f t="shared" si="321"/>
        <v>0</v>
      </c>
      <c r="CF189" s="338"/>
      <c r="CG189" s="352">
        <f t="shared" si="322"/>
        <v>0</v>
      </c>
      <c r="CH189" s="352">
        <f t="shared" si="322"/>
        <v>0</v>
      </c>
      <c r="CI189" s="352">
        <f t="shared" si="322"/>
        <v>0</v>
      </c>
      <c r="CJ189" s="352">
        <f>ROUND($BM189-SUMIFS($AA189:$BJ189, $AA$3:$BJ$3, $BM$3), rounding)</f>
        <v>0</v>
      </c>
      <c r="CK189" s="352">
        <f>ROUND($BN189-SUMIFS($AA189:$BJ189, $AA$3:$BJ$3, $BN$3), rounding)</f>
        <v>0</v>
      </c>
      <c r="CL189" s="352">
        <f>ROUND($BO189-SUMIFS($AA189:$BJ189, $AA$3:$BJ$3, $BO$3), rounding)</f>
        <v>0</v>
      </c>
      <c r="CM189" s="352">
        <f>ROUND($V189-$BL189, rounding)</f>
        <v>0</v>
      </c>
      <c r="ER189" s="338"/>
      <c r="ES189" s="5">
        <v>0</v>
      </c>
      <c r="ET189" s="5">
        <v>0</v>
      </c>
      <c r="EX189" s="10" t="str">
        <f t="shared" si="242"/>
        <v>Total Comprehensive Income</v>
      </c>
    </row>
    <row r="190" spans="1:154" s="11" customFormat="1" ht="8.1" customHeight="1" x14ac:dyDescent="0.25">
      <c r="C190" s="380"/>
      <c r="D190" s="69"/>
      <c r="S190" s="335"/>
      <c r="T190" s="25"/>
      <c r="U190" s="25"/>
      <c r="V190" s="25"/>
      <c r="W190" s="25"/>
      <c r="X190" s="25"/>
      <c r="Y190" s="25"/>
      <c r="Z190" s="33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L190" s="25"/>
      <c r="BM190" s="155"/>
      <c r="BN190" s="25"/>
      <c r="BO190" s="25"/>
      <c r="BP190" s="25"/>
      <c r="BQ190" s="25"/>
      <c r="BR190" s="25"/>
      <c r="BS190" s="25"/>
      <c r="BT190" s="25"/>
      <c r="BU190" s="25"/>
      <c r="BV190" s="25"/>
      <c r="BW190" s="25"/>
      <c r="BY190" s="42"/>
      <c r="BZ190" s="162"/>
      <c r="CA190" s="42"/>
      <c r="CC190" s="335"/>
      <c r="CD190" s="335"/>
      <c r="CE190" s="335"/>
      <c r="CF190" s="42"/>
      <c r="CG190" s="335"/>
      <c r="CH190" s="335"/>
      <c r="CI190" s="335"/>
      <c r="CJ190" s="335"/>
      <c r="CK190" s="335"/>
      <c r="CL190" s="335"/>
      <c r="CM190" s="335"/>
      <c r="ER190" s="42"/>
      <c r="ES190" s="11">
        <v>0</v>
      </c>
      <c r="ET190" s="335">
        <v>0</v>
      </c>
      <c r="EU190" s="335"/>
      <c r="EV190" s="335"/>
      <c r="EX190" s="10" t="str">
        <f t="shared" si="242"/>
        <v/>
      </c>
    </row>
    <row r="191" spans="1:154" s="332" customFormat="1" x14ac:dyDescent="0.25">
      <c r="A191" s="40"/>
      <c r="B191" s="40"/>
      <c r="C191" s="381"/>
      <c r="D191" s="99" t="s">
        <v>502</v>
      </c>
      <c r="E191" s="40"/>
      <c r="F191" s="40"/>
      <c r="G191" s="40"/>
      <c r="H191" s="40"/>
      <c r="I191" s="40"/>
      <c r="J191" s="40"/>
      <c r="K191" s="40"/>
      <c r="L191" s="40"/>
      <c r="M191" s="40"/>
      <c r="N191" s="40"/>
      <c r="O191" s="40"/>
      <c r="P191" s="40"/>
      <c r="Q191" s="40"/>
      <c r="R191" s="40"/>
      <c r="S191" s="40"/>
      <c r="T191" s="148"/>
      <c r="U191" s="148"/>
      <c r="V191" s="148"/>
      <c r="W191" s="148"/>
      <c r="X191" s="148"/>
      <c r="Y191" s="148"/>
      <c r="Z191" s="40"/>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40"/>
      <c r="BL191" s="148"/>
      <c r="BM191" s="148"/>
      <c r="BN191" s="148"/>
      <c r="BO191" s="148"/>
      <c r="BP191" s="148"/>
      <c r="BQ191" s="148"/>
      <c r="BR191" s="148"/>
      <c r="BS191" s="148"/>
      <c r="BT191" s="148"/>
      <c r="BU191" s="148"/>
      <c r="BV191" s="148"/>
      <c r="BW191" s="148"/>
      <c r="BX191" s="40"/>
      <c r="BY191" s="12"/>
      <c r="BZ191" s="162"/>
      <c r="CA191" s="12"/>
      <c r="CC191" s="335"/>
      <c r="CD191" s="335"/>
      <c r="CE191" s="335"/>
      <c r="CF191" s="12"/>
      <c r="CG191" s="335"/>
      <c r="CH191" s="335"/>
      <c r="CI191" s="335"/>
      <c r="CJ191" s="335"/>
      <c r="CK191" s="335"/>
      <c r="CL191" s="335"/>
      <c r="CM191" s="335"/>
      <c r="ER191" s="12"/>
      <c r="ES191" s="332">
        <v>0</v>
      </c>
      <c r="ET191" s="335">
        <v>0</v>
      </c>
      <c r="EU191" s="335"/>
      <c r="EV191" s="335"/>
      <c r="EX191" s="10" t="str">
        <f t="shared" si="242"/>
        <v/>
      </c>
    </row>
    <row r="192" spans="1:154" s="332" customFormat="1" ht="8.1" customHeight="1" x14ac:dyDescent="0.25">
      <c r="C192" s="380"/>
      <c r="D192" s="69"/>
      <c r="T192" s="25"/>
      <c r="U192" s="25"/>
      <c r="V192" s="25"/>
      <c r="W192" s="25"/>
      <c r="X192" s="25"/>
      <c r="Y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L192" s="25"/>
      <c r="BM192" s="155"/>
      <c r="BN192" s="25"/>
      <c r="BO192" s="25"/>
      <c r="BP192" s="25"/>
      <c r="BQ192" s="25"/>
      <c r="BR192" s="25"/>
      <c r="BS192" s="25"/>
      <c r="BT192" s="25"/>
      <c r="BU192" s="25"/>
      <c r="BV192" s="25"/>
      <c r="BW192" s="25"/>
      <c r="BY192" s="42"/>
      <c r="BZ192" s="162"/>
      <c r="CA192" s="42"/>
      <c r="CC192" s="335"/>
      <c r="CD192" s="335"/>
      <c r="CE192" s="335"/>
      <c r="CF192" s="42"/>
      <c r="CG192" s="335"/>
      <c r="CH192" s="335"/>
      <c r="CI192" s="335"/>
      <c r="CJ192" s="335"/>
      <c r="CK192" s="335"/>
      <c r="CL192" s="335"/>
      <c r="CM192" s="335"/>
      <c r="ER192" s="42"/>
      <c r="ES192" s="332">
        <v>0</v>
      </c>
      <c r="ET192" s="335">
        <v>0</v>
      </c>
      <c r="EU192" s="335"/>
      <c r="EV192" s="335"/>
      <c r="EX192" s="10" t="str">
        <f t="shared" si="242"/>
        <v/>
      </c>
    </row>
    <row r="193" spans="1:154" s="332" customFormat="1" x14ac:dyDescent="0.25">
      <c r="A193" s="362" cm="1">
        <f t="array" aca="1" ref="A193" ca="1">HYPERLINK(CONCATENATE("#",CELL("address",IF(SUM($CA193:$CH193)=0,A193,INDEX($CA193:$CH193,MATCH(1,$CA193:$CH193,0))))),SUM($CA193:$CH193))</f>
        <v>0</v>
      </c>
      <c r="C193" s="520" t="str">
        <f>CONCATENATE("M-", 'I&amp;E Annual'!C193)</f>
        <v>M-IE-4</v>
      </c>
      <c r="D193" s="69" t="str">
        <f>D$165</f>
        <v>Surplus/(deficit) before ITDA</v>
      </c>
      <c r="E193" s="335"/>
      <c r="H193" s="332" t="s">
        <v>8</v>
      </c>
      <c r="T193" s="25"/>
      <c r="U193" s="25"/>
      <c r="V193" s="10">
        <f>V$165</f>
        <v>0</v>
      </c>
      <c r="W193" s="201">
        <f>W$165</f>
        <v>2501</v>
      </c>
      <c r="X193" s="201">
        <f>X$165</f>
        <v>2564</v>
      </c>
      <c r="Y193" s="201">
        <f>Y$165</f>
        <v>2744.8100000000013</v>
      </c>
      <c r="AA193" s="10">
        <f t="shared" ref="AA193:BJ193" si="325">AA$165</f>
        <v>1901</v>
      </c>
      <c r="AB193" s="10">
        <f t="shared" si="325"/>
        <v>1305</v>
      </c>
      <c r="AC193" s="10">
        <f t="shared" si="325"/>
        <v>288</v>
      </c>
      <c r="AD193" s="10">
        <f t="shared" si="325"/>
        <v>-32</v>
      </c>
      <c r="AE193" s="10">
        <f t="shared" si="325"/>
        <v>-726</v>
      </c>
      <c r="AF193" s="10">
        <f t="shared" si="325"/>
        <v>-515</v>
      </c>
      <c r="AG193" s="10">
        <f t="shared" si="325"/>
        <v>-542</v>
      </c>
      <c r="AH193" s="10">
        <f t="shared" si="325"/>
        <v>-743</v>
      </c>
      <c r="AI193" s="10">
        <f t="shared" si="325"/>
        <v>1409</v>
      </c>
      <c r="AJ193" s="10">
        <f t="shared" si="325"/>
        <v>439</v>
      </c>
      <c r="AK193" s="10">
        <f t="shared" si="325"/>
        <v>456</v>
      </c>
      <c r="AL193" s="10">
        <f t="shared" si="325"/>
        <v>-739</v>
      </c>
      <c r="AM193" s="10">
        <f t="shared" si="325"/>
        <v>2159</v>
      </c>
      <c r="AN193" s="10">
        <f t="shared" si="325"/>
        <v>1291</v>
      </c>
      <c r="AO193" s="10">
        <f t="shared" si="325"/>
        <v>286</v>
      </c>
      <c r="AP193" s="10">
        <f t="shared" si="325"/>
        <v>-260</v>
      </c>
      <c r="AQ193" s="10">
        <f t="shared" si="325"/>
        <v>-726</v>
      </c>
      <c r="AR193" s="10">
        <f t="shared" si="325"/>
        <v>-411</v>
      </c>
      <c r="AS193" s="10">
        <f t="shared" si="325"/>
        <v>-786</v>
      </c>
      <c r="AT193" s="10">
        <f t="shared" si="325"/>
        <v>-749</v>
      </c>
      <c r="AU193" s="10">
        <f t="shared" si="325"/>
        <v>1653</v>
      </c>
      <c r="AV193" s="10">
        <f t="shared" si="325"/>
        <v>551</v>
      </c>
      <c r="AW193" s="10">
        <f t="shared" si="325"/>
        <v>153</v>
      </c>
      <c r="AX193" s="10">
        <f t="shared" si="325"/>
        <v>-597</v>
      </c>
      <c r="AY193" s="10">
        <f t="shared" si="325"/>
        <v>2214.7483333333334</v>
      </c>
      <c r="AZ193" s="10">
        <f t="shared" si="325"/>
        <v>1313.3566666666661</v>
      </c>
      <c r="BA193" s="10">
        <f t="shared" si="325"/>
        <v>301.48833333333278</v>
      </c>
      <c r="BB193" s="10">
        <f t="shared" si="325"/>
        <v>-260.61333333333323</v>
      </c>
      <c r="BC193" s="10">
        <f t="shared" si="325"/>
        <v>-738.53</v>
      </c>
      <c r="BD193" s="10">
        <f t="shared" si="325"/>
        <v>-411.22999999999979</v>
      </c>
      <c r="BE193" s="10">
        <f t="shared" si="325"/>
        <v>-799.74166666666702</v>
      </c>
      <c r="BF193" s="10">
        <f t="shared" si="325"/>
        <v>-758.5183333333332</v>
      </c>
      <c r="BG193" s="10">
        <f t="shared" si="325"/>
        <v>1712.378333333334</v>
      </c>
      <c r="BH193" s="10">
        <f t="shared" si="325"/>
        <v>605.06833333333361</v>
      </c>
      <c r="BI193" s="10">
        <f t="shared" si="325"/>
        <v>167.19333333333361</v>
      </c>
      <c r="BJ193" s="10">
        <f t="shared" si="325"/>
        <v>-600.79000000000042</v>
      </c>
      <c r="BL193" s="10">
        <f t="shared" ref="BL193:BW193" si="326">BL$165</f>
        <v>0</v>
      </c>
      <c r="BM193" s="10">
        <f t="shared" si="326"/>
        <v>2501</v>
      </c>
      <c r="BN193" s="10">
        <f t="shared" si="326"/>
        <v>2564</v>
      </c>
      <c r="BO193" s="10">
        <f t="shared" si="326"/>
        <v>2744.8100000000013</v>
      </c>
      <c r="BP193" s="10">
        <f t="shared" si="326"/>
        <v>0</v>
      </c>
      <c r="BQ193" s="10">
        <f t="shared" si="326"/>
        <v>0</v>
      </c>
      <c r="BR193" s="10">
        <f t="shared" si="326"/>
        <v>0</v>
      </c>
      <c r="BS193" s="10">
        <f t="shared" si="326"/>
        <v>0</v>
      </c>
      <c r="BT193" s="10">
        <f t="shared" si="326"/>
        <v>0</v>
      </c>
      <c r="BU193" s="10">
        <f t="shared" si="326"/>
        <v>0</v>
      </c>
      <c r="BV193" s="10">
        <f t="shared" si="326"/>
        <v>0</v>
      </c>
      <c r="BW193" s="10">
        <f t="shared" si="326"/>
        <v>0</v>
      </c>
      <c r="BY193" s="12"/>
      <c r="BZ193" s="162"/>
      <c r="CA193" s="12"/>
      <c r="CC193" s="7">
        <f t="shared" ref="CC193:CC199" si="327">IF(SUM($CG193:$CI193)=0, 0, 1)</f>
        <v>0</v>
      </c>
      <c r="CD193" s="7">
        <f t="shared" ref="CD193:CD199" si="328">IF(SUM($CJ193:$CL193)=0, 0, 1)</f>
        <v>0</v>
      </c>
      <c r="CE193" s="7">
        <f t="shared" ref="CE193:CE199" si="329">IF($CM193=0, 0, 1)</f>
        <v>0</v>
      </c>
      <c r="CF193" s="12"/>
      <c r="CG193" s="352">
        <f t="shared" ref="CG193:CI199" si="330">ROUND(W193-SUMIFS($AA193:$BJ193, $AA$3:$BJ$3, W$3), rounding)</f>
        <v>0</v>
      </c>
      <c r="CH193" s="352">
        <f t="shared" si="330"/>
        <v>0</v>
      </c>
      <c r="CI193" s="352">
        <f t="shared" si="330"/>
        <v>0</v>
      </c>
      <c r="CJ193" s="352">
        <f t="shared" ref="CJ193:CJ199" si="331">ROUND($BM193-SUMIFS($AA193:$BJ193, $AA$3:$BJ$3, $BM$3), rounding)</f>
        <v>0</v>
      </c>
      <c r="CK193" s="352">
        <f t="shared" ref="CK193:CK199" si="332">ROUND($BN193-SUMIFS($AA193:$BJ193, $AA$3:$BJ$3, $BN$3), rounding)</f>
        <v>0</v>
      </c>
      <c r="CL193" s="352">
        <f t="shared" ref="CL193:CL199" si="333">ROUND($BO193-SUMIFS($AA193:$BJ193, $AA$3:$BJ$3, $BO$3), rounding)</f>
        <v>0</v>
      </c>
      <c r="CM193" s="352">
        <f t="shared" ref="CM193:CM199" si="334">ROUND($V193-$BL193, rounding)</f>
        <v>0</v>
      </c>
      <c r="ER193" s="12"/>
      <c r="ES193" s="332">
        <v>0</v>
      </c>
      <c r="ET193" s="335">
        <v>0</v>
      </c>
      <c r="EU193" s="335"/>
      <c r="EV193" s="335"/>
      <c r="EX193" s="13" t="str">
        <f>IF($C193="","",CONCATENATE(D$191, " ",$D193))</f>
        <v>Education-Specific EBITDA Surplus/(deficit) before ITDA</v>
      </c>
    </row>
    <row r="194" spans="1:154" s="332" customFormat="1" x14ac:dyDescent="0.25">
      <c r="A194" s="362" cm="1">
        <f t="array" aca="1" ref="A194" ca="1">HYPERLINK(CONCATENATE("#",CELL("address",IF(SUM($CA194:$CH194)=0,A194,INDEX($CA194:$CH194,MATCH(1,$CA194:$CH194,0))))),SUM($CA194:$CH194))</f>
        <v>0</v>
      </c>
      <c r="B194" s="335"/>
      <c r="C194" s="520" t="str">
        <f>CONCATENATE("M-", 'I&amp;E Annual'!C194)</f>
        <v>M-IE-1i</v>
      </c>
      <c r="D194" s="69" t="str">
        <f>D$113</f>
        <v>Total Emergency Funding</v>
      </c>
      <c r="E194" s="335"/>
      <c r="H194" s="332" t="str">
        <f>H$113</f>
        <v>+ve/-ve (Cr/Dr)</v>
      </c>
      <c r="T194" s="25"/>
      <c r="U194" s="25"/>
      <c r="V194" s="10">
        <f>V$113</f>
        <v>0</v>
      </c>
      <c r="W194" s="201">
        <f>W$113</f>
        <v>0</v>
      </c>
      <c r="X194" s="201">
        <f>X$113</f>
        <v>0</v>
      </c>
      <c r="Y194" s="201">
        <f>Y$113</f>
        <v>0</v>
      </c>
      <c r="AA194" s="10">
        <f t="shared" ref="AA194:BJ194" si="335">AA$113</f>
        <v>0</v>
      </c>
      <c r="AB194" s="10">
        <f t="shared" si="335"/>
        <v>0</v>
      </c>
      <c r="AC194" s="10">
        <f t="shared" si="335"/>
        <v>0</v>
      </c>
      <c r="AD194" s="10">
        <f t="shared" si="335"/>
        <v>0</v>
      </c>
      <c r="AE194" s="10">
        <f t="shared" si="335"/>
        <v>0</v>
      </c>
      <c r="AF194" s="10">
        <f t="shared" si="335"/>
        <v>0</v>
      </c>
      <c r="AG194" s="10">
        <f t="shared" si="335"/>
        <v>0</v>
      </c>
      <c r="AH194" s="10">
        <f t="shared" si="335"/>
        <v>0</v>
      </c>
      <c r="AI194" s="10">
        <f t="shared" si="335"/>
        <v>0</v>
      </c>
      <c r="AJ194" s="10">
        <f t="shared" si="335"/>
        <v>0</v>
      </c>
      <c r="AK194" s="10">
        <f t="shared" si="335"/>
        <v>0</v>
      </c>
      <c r="AL194" s="10">
        <f t="shared" si="335"/>
        <v>0</v>
      </c>
      <c r="AM194" s="10">
        <f t="shared" si="335"/>
        <v>0</v>
      </c>
      <c r="AN194" s="10">
        <f t="shared" si="335"/>
        <v>0</v>
      </c>
      <c r="AO194" s="10">
        <f t="shared" si="335"/>
        <v>0</v>
      </c>
      <c r="AP194" s="10">
        <f t="shared" si="335"/>
        <v>0</v>
      </c>
      <c r="AQ194" s="10">
        <f t="shared" si="335"/>
        <v>0</v>
      </c>
      <c r="AR194" s="10">
        <f t="shared" si="335"/>
        <v>0</v>
      </c>
      <c r="AS194" s="10">
        <f t="shared" si="335"/>
        <v>0</v>
      </c>
      <c r="AT194" s="10">
        <f t="shared" si="335"/>
        <v>0</v>
      </c>
      <c r="AU194" s="10">
        <f t="shared" si="335"/>
        <v>0</v>
      </c>
      <c r="AV194" s="10">
        <f t="shared" si="335"/>
        <v>0</v>
      </c>
      <c r="AW194" s="10">
        <f t="shared" si="335"/>
        <v>0</v>
      </c>
      <c r="AX194" s="10">
        <f t="shared" si="335"/>
        <v>0</v>
      </c>
      <c r="AY194" s="10">
        <f t="shared" si="335"/>
        <v>0</v>
      </c>
      <c r="AZ194" s="10">
        <f t="shared" si="335"/>
        <v>0</v>
      </c>
      <c r="BA194" s="10">
        <f t="shared" si="335"/>
        <v>0</v>
      </c>
      <c r="BB194" s="10">
        <f t="shared" si="335"/>
        <v>0</v>
      </c>
      <c r="BC194" s="10">
        <f t="shared" si="335"/>
        <v>0</v>
      </c>
      <c r="BD194" s="10">
        <f t="shared" si="335"/>
        <v>0</v>
      </c>
      <c r="BE194" s="10">
        <f t="shared" si="335"/>
        <v>0</v>
      </c>
      <c r="BF194" s="10">
        <f t="shared" si="335"/>
        <v>0</v>
      </c>
      <c r="BG194" s="10">
        <f t="shared" si="335"/>
        <v>0</v>
      </c>
      <c r="BH194" s="10">
        <f t="shared" si="335"/>
        <v>0</v>
      </c>
      <c r="BI194" s="10">
        <f t="shared" si="335"/>
        <v>0</v>
      </c>
      <c r="BJ194" s="10">
        <f t="shared" si="335"/>
        <v>0</v>
      </c>
      <c r="BL194" s="10">
        <f t="shared" ref="BL194:BW194" si="336">BL$113</f>
        <v>0</v>
      </c>
      <c r="BM194" s="10">
        <f t="shared" si="336"/>
        <v>0</v>
      </c>
      <c r="BN194" s="10">
        <f t="shared" si="336"/>
        <v>0</v>
      </c>
      <c r="BO194" s="10">
        <f t="shared" si="336"/>
        <v>0</v>
      </c>
      <c r="BP194" s="10">
        <f t="shared" si="336"/>
        <v>0</v>
      </c>
      <c r="BQ194" s="10">
        <f t="shared" si="336"/>
        <v>0</v>
      </c>
      <c r="BR194" s="10">
        <f t="shared" si="336"/>
        <v>0</v>
      </c>
      <c r="BS194" s="10">
        <f t="shared" si="336"/>
        <v>0</v>
      </c>
      <c r="BT194" s="10">
        <f t="shared" si="336"/>
        <v>0</v>
      </c>
      <c r="BU194" s="10">
        <f t="shared" si="336"/>
        <v>0</v>
      </c>
      <c r="BV194" s="10">
        <f t="shared" si="336"/>
        <v>0</v>
      </c>
      <c r="BW194" s="10">
        <f t="shared" si="336"/>
        <v>0</v>
      </c>
      <c r="BY194" s="42"/>
      <c r="BZ194" s="162"/>
      <c r="CA194" s="42"/>
      <c r="CC194" s="7">
        <f t="shared" si="327"/>
        <v>0</v>
      </c>
      <c r="CD194" s="7">
        <f t="shared" si="328"/>
        <v>0</v>
      </c>
      <c r="CE194" s="7">
        <f t="shared" si="329"/>
        <v>0</v>
      </c>
      <c r="CF194" s="42"/>
      <c r="CG194" s="352">
        <f t="shared" si="330"/>
        <v>0</v>
      </c>
      <c r="CH194" s="352">
        <f t="shared" si="330"/>
        <v>0</v>
      </c>
      <c r="CI194" s="352">
        <f t="shared" si="330"/>
        <v>0</v>
      </c>
      <c r="CJ194" s="352">
        <f t="shared" si="331"/>
        <v>0</v>
      </c>
      <c r="CK194" s="352">
        <f t="shared" si="332"/>
        <v>0</v>
      </c>
      <c r="CL194" s="352">
        <f t="shared" si="333"/>
        <v>0</v>
      </c>
      <c r="CM194" s="352">
        <f t="shared" si="334"/>
        <v>0</v>
      </c>
      <c r="ER194" s="42"/>
      <c r="ES194" s="332">
        <v>0</v>
      </c>
      <c r="ET194" s="335">
        <v>0</v>
      </c>
      <c r="EU194" s="335"/>
      <c r="EV194" s="335"/>
      <c r="EX194" s="13" t="str">
        <f>IF($C194="","",CONCATENATE(D$191, " ",$D194))</f>
        <v>Education-Specific EBITDA Total Emergency Funding</v>
      </c>
    </row>
    <row r="195" spans="1:154" s="332" customFormat="1" ht="30" x14ac:dyDescent="0.25">
      <c r="A195" s="362" cm="1">
        <f t="array" aca="1" ref="A195" ca="1">HYPERLINK(CONCATENATE("#",CELL("address",IF(SUM($CA195:$CH195)=0,A195,INDEX($CA195:$CH195,MATCH(1,$CA195:$CH195,0))))),SUM($CA195:$CH195))</f>
        <v>0</v>
      </c>
      <c r="C195" s="520" t="str">
        <f>CONCATENATE("M-", 'I&amp;E Annual'!C195)</f>
        <v>M-IE-2a-9</v>
      </c>
      <c r="D195" s="69" t="str">
        <f>D$130</f>
        <v>FRS102 adj. - LGPS and EPP current service costs (non-cash)</v>
      </c>
      <c r="H195" s="332" t="str">
        <f>H$130</f>
        <v>+ve/-ve (Dr/Cr)</v>
      </c>
      <c r="T195" s="25"/>
      <c r="U195" s="25"/>
      <c r="V195" s="10">
        <f>V$130</f>
        <v>0</v>
      </c>
      <c r="W195" s="201">
        <f>W$130</f>
        <v>0</v>
      </c>
      <c r="X195" s="201">
        <f>X$130</f>
        <v>0</v>
      </c>
      <c r="Y195" s="201">
        <f>Y$130</f>
        <v>0</v>
      </c>
      <c r="AA195" s="10">
        <f t="shared" ref="AA195:BJ195" si="337">AA$130</f>
        <v>0</v>
      </c>
      <c r="AB195" s="10">
        <f t="shared" si="337"/>
        <v>0</v>
      </c>
      <c r="AC195" s="10">
        <f t="shared" si="337"/>
        <v>0</v>
      </c>
      <c r="AD195" s="10">
        <f t="shared" si="337"/>
        <v>0</v>
      </c>
      <c r="AE195" s="10">
        <f t="shared" si="337"/>
        <v>0</v>
      </c>
      <c r="AF195" s="10">
        <f t="shared" si="337"/>
        <v>0</v>
      </c>
      <c r="AG195" s="10">
        <f t="shared" si="337"/>
        <v>0</v>
      </c>
      <c r="AH195" s="10">
        <f t="shared" si="337"/>
        <v>0</v>
      </c>
      <c r="AI195" s="10">
        <f t="shared" si="337"/>
        <v>0</v>
      </c>
      <c r="AJ195" s="10">
        <f t="shared" si="337"/>
        <v>0</v>
      </c>
      <c r="AK195" s="10">
        <f t="shared" si="337"/>
        <v>0</v>
      </c>
      <c r="AL195" s="10">
        <f t="shared" si="337"/>
        <v>0</v>
      </c>
      <c r="AM195" s="10">
        <f t="shared" si="337"/>
        <v>0</v>
      </c>
      <c r="AN195" s="10">
        <f t="shared" si="337"/>
        <v>0</v>
      </c>
      <c r="AO195" s="10">
        <f t="shared" si="337"/>
        <v>0</v>
      </c>
      <c r="AP195" s="10">
        <f t="shared" si="337"/>
        <v>0</v>
      </c>
      <c r="AQ195" s="10">
        <f t="shared" si="337"/>
        <v>0</v>
      </c>
      <c r="AR195" s="10">
        <f t="shared" si="337"/>
        <v>0</v>
      </c>
      <c r="AS195" s="10">
        <f t="shared" si="337"/>
        <v>0</v>
      </c>
      <c r="AT195" s="10">
        <f t="shared" si="337"/>
        <v>0</v>
      </c>
      <c r="AU195" s="10">
        <f t="shared" si="337"/>
        <v>0</v>
      </c>
      <c r="AV195" s="10">
        <f t="shared" si="337"/>
        <v>0</v>
      </c>
      <c r="AW195" s="10">
        <f t="shared" si="337"/>
        <v>0</v>
      </c>
      <c r="AX195" s="10">
        <f t="shared" si="337"/>
        <v>0</v>
      </c>
      <c r="AY195" s="10">
        <f t="shared" si="337"/>
        <v>0</v>
      </c>
      <c r="AZ195" s="10">
        <f t="shared" si="337"/>
        <v>0</v>
      </c>
      <c r="BA195" s="10">
        <f t="shared" si="337"/>
        <v>0</v>
      </c>
      <c r="BB195" s="10">
        <f t="shared" si="337"/>
        <v>0</v>
      </c>
      <c r="BC195" s="10">
        <f t="shared" si="337"/>
        <v>0</v>
      </c>
      <c r="BD195" s="10">
        <f t="shared" si="337"/>
        <v>0</v>
      </c>
      <c r="BE195" s="10">
        <f t="shared" si="337"/>
        <v>0</v>
      </c>
      <c r="BF195" s="10">
        <f t="shared" si="337"/>
        <v>0</v>
      </c>
      <c r="BG195" s="10">
        <f t="shared" si="337"/>
        <v>0</v>
      </c>
      <c r="BH195" s="10">
        <f t="shared" si="337"/>
        <v>0</v>
      </c>
      <c r="BI195" s="10">
        <f t="shared" si="337"/>
        <v>0</v>
      </c>
      <c r="BJ195" s="10">
        <f t="shared" si="337"/>
        <v>0</v>
      </c>
      <c r="BL195" s="10">
        <f t="shared" ref="BL195:BW195" si="338">BL$130</f>
        <v>0</v>
      </c>
      <c r="BM195" s="10">
        <f t="shared" si="338"/>
        <v>0</v>
      </c>
      <c r="BN195" s="10">
        <f t="shared" si="338"/>
        <v>0</v>
      </c>
      <c r="BO195" s="10">
        <f t="shared" si="338"/>
        <v>0</v>
      </c>
      <c r="BP195" s="10">
        <f t="shared" si="338"/>
        <v>0</v>
      </c>
      <c r="BQ195" s="10">
        <f t="shared" si="338"/>
        <v>0</v>
      </c>
      <c r="BR195" s="10">
        <f t="shared" si="338"/>
        <v>0</v>
      </c>
      <c r="BS195" s="10">
        <f t="shared" si="338"/>
        <v>0</v>
      </c>
      <c r="BT195" s="10">
        <f t="shared" si="338"/>
        <v>0</v>
      </c>
      <c r="BU195" s="10">
        <f t="shared" si="338"/>
        <v>0</v>
      </c>
      <c r="BV195" s="10">
        <f t="shared" si="338"/>
        <v>0</v>
      </c>
      <c r="BW195" s="10">
        <f t="shared" si="338"/>
        <v>0</v>
      </c>
      <c r="BY195" s="12"/>
      <c r="BZ195" s="162"/>
      <c r="CA195" s="12"/>
      <c r="CC195" s="7">
        <f t="shared" si="327"/>
        <v>0</v>
      </c>
      <c r="CD195" s="7">
        <f t="shared" si="328"/>
        <v>0</v>
      </c>
      <c r="CE195" s="7">
        <f t="shared" si="329"/>
        <v>0</v>
      </c>
      <c r="CF195" s="12"/>
      <c r="CG195" s="352">
        <f t="shared" si="330"/>
        <v>0</v>
      </c>
      <c r="CH195" s="352">
        <f t="shared" si="330"/>
        <v>0</v>
      </c>
      <c r="CI195" s="352">
        <f t="shared" si="330"/>
        <v>0</v>
      </c>
      <c r="CJ195" s="352">
        <f t="shared" si="331"/>
        <v>0</v>
      </c>
      <c r="CK195" s="352">
        <f t="shared" si="332"/>
        <v>0</v>
      </c>
      <c r="CL195" s="352">
        <f t="shared" si="333"/>
        <v>0</v>
      </c>
      <c r="CM195" s="352">
        <f t="shared" si="334"/>
        <v>0</v>
      </c>
      <c r="ER195" s="12"/>
      <c r="ES195" s="332">
        <v>0</v>
      </c>
      <c r="ET195" s="335">
        <v>0</v>
      </c>
      <c r="EU195" s="335"/>
      <c r="EV195" s="335"/>
      <c r="EX195" s="13" t="str">
        <f>IF($C195="","",CONCATENATE(D$191, " ",$D195))</f>
        <v>Education-Specific EBITDA FRS102 adj. - LGPS and EPP current service costs (non-cash)</v>
      </c>
    </row>
    <row r="196" spans="1:154" s="332" customFormat="1" x14ac:dyDescent="0.25">
      <c r="A196" s="362" cm="1">
        <f t="array" aca="1" ref="A196" ca="1">HYPERLINK(CONCATENATE("#",CELL("address",IF(SUM($CA196:$CH196)=0,A196,INDEX($CA196:$CH196,MATCH(1,$CA196:$CH196,0))))),SUM($CA196:$CH196))</f>
        <v>0</v>
      </c>
      <c r="C196" s="520" t="str">
        <f>CONCATENATE("M-", 'I&amp;E Annual'!C196)</f>
        <v>M-IE-4a</v>
      </c>
      <c r="D196" s="69" t="str">
        <f>D$162</f>
        <v>Release of Capital Grants</v>
      </c>
      <c r="H196" s="332" t="str">
        <f>H$162</f>
        <v>+ve/-ve (Cr/Dr)</v>
      </c>
      <c r="T196" s="25"/>
      <c r="U196" s="25"/>
      <c r="V196" s="153">
        <f>V$162</f>
        <v>0</v>
      </c>
      <c r="W196" s="215">
        <f>W$162</f>
        <v>469</v>
      </c>
      <c r="X196" s="215">
        <f>X$162</f>
        <v>514</v>
      </c>
      <c r="Y196" s="215">
        <f>Y$162</f>
        <v>571</v>
      </c>
      <c r="AA196" s="153">
        <f t="shared" ref="AA196:BJ196" si="339">AA$162</f>
        <v>36</v>
      </c>
      <c r="AB196" s="153">
        <f t="shared" si="339"/>
        <v>38</v>
      </c>
      <c r="AC196" s="153">
        <f t="shared" si="339"/>
        <v>38</v>
      </c>
      <c r="AD196" s="153">
        <f t="shared" si="339"/>
        <v>38</v>
      </c>
      <c r="AE196" s="153">
        <f t="shared" si="339"/>
        <v>38</v>
      </c>
      <c r="AF196" s="153">
        <f t="shared" si="339"/>
        <v>38</v>
      </c>
      <c r="AG196" s="153">
        <f t="shared" si="339"/>
        <v>38</v>
      </c>
      <c r="AH196" s="153">
        <f t="shared" si="339"/>
        <v>41</v>
      </c>
      <c r="AI196" s="153">
        <f t="shared" si="339"/>
        <v>41</v>
      </c>
      <c r="AJ196" s="153">
        <f t="shared" si="339"/>
        <v>41</v>
      </c>
      <c r="AK196" s="153">
        <f t="shared" si="339"/>
        <v>41</v>
      </c>
      <c r="AL196" s="153">
        <f t="shared" si="339"/>
        <v>41</v>
      </c>
      <c r="AM196" s="153">
        <f t="shared" si="339"/>
        <v>36</v>
      </c>
      <c r="AN196" s="153">
        <f t="shared" si="339"/>
        <v>40</v>
      </c>
      <c r="AO196" s="153">
        <f t="shared" si="339"/>
        <v>40</v>
      </c>
      <c r="AP196" s="153">
        <f t="shared" si="339"/>
        <v>41</v>
      </c>
      <c r="AQ196" s="153">
        <f t="shared" si="339"/>
        <v>41</v>
      </c>
      <c r="AR196" s="153">
        <f t="shared" si="339"/>
        <v>41</v>
      </c>
      <c r="AS196" s="153">
        <f t="shared" si="339"/>
        <v>42</v>
      </c>
      <c r="AT196" s="153">
        <f t="shared" si="339"/>
        <v>46</v>
      </c>
      <c r="AU196" s="153">
        <f t="shared" si="339"/>
        <v>46</v>
      </c>
      <c r="AV196" s="153">
        <f t="shared" si="339"/>
        <v>46</v>
      </c>
      <c r="AW196" s="153">
        <f t="shared" si="339"/>
        <v>47</v>
      </c>
      <c r="AX196" s="153">
        <f t="shared" si="339"/>
        <v>48</v>
      </c>
      <c r="AY196" s="153">
        <f t="shared" si="339"/>
        <v>43</v>
      </c>
      <c r="AZ196" s="153">
        <f t="shared" si="339"/>
        <v>45</v>
      </c>
      <c r="BA196" s="153">
        <f t="shared" si="339"/>
        <v>46</v>
      </c>
      <c r="BB196" s="153">
        <f t="shared" si="339"/>
        <v>46</v>
      </c>
      <c r="BC196" s="153">
        <f t="shared" si="339"/>
        <v>46</v>
      </c>
      <c r="BD196" s="153">
        <f t="shared" si="339"/>
        <v>47</v>
      </c>
      <c r="BE196" s="153">
        <f t="shared" si="339"/>
        <v>47</v>
      </c>
      <c r="BF196" s="153">
        <f t="shared" si="339"/>
        <v>50</v>
      </c>
      <c r="BG196" s="153">
        <f t="shared" si="339"/>
        <v>50</v>
      </c>
      <c r="BH196" s="153">
        <f t="shared" si="339"/>
        <v>50</v>
      </c>
      <c r="BI196" s="153">
        <f t="shared" si="339"/>
        <v>50</v>
      </c>
      <c r="BJ196" s="153">
        <f t="shared" si="339"/>
        <v>51</v>
      </c>
      <c r="BL196" s="153">
        <f t="shared" ref="BL196:BW196" si="340">BL$162</f>
        <v>0</v>
      </c>
      <c r="BM196" s="153">
        <f t="shared" si="340"/>
        <v>469</v>
      </c>
      <c r="BN196" s="153">
        <f t="shared" si="340"/>
        <v>514</v>
      </c>
      <c r="BO196" s="153">
        <f t="shared" si="340"/>
        <v>571</v>
      </c>
      <c r="BP196" s="153">
        <f t="shared" si="340"/>
        <v>0</v>
      </c>
      <c r="BQ196" s="153">
        <f t="shared" si="340"/>
        <v>0</v>
      </c>
      <c r="BR196" s="153">
        <f t="shared" si="340"/>
        <v>0</v>
      </c>
      <c r="BS196" s="153">
        <f t="shared" si="340"/>
        <v>0</v>
      </c>
      <c r="BT196" s="153">
        <f t="shared" si="340"/>
        <v>0</v>
      </c>
      <c r="BU196" s="153">
        <f t="shared" si="340"/>
        <v>0</v>
      </c>
      <c r="BV196" s="153">
        <f t="shared" si="340"/>
        <v>0</v>
      </c>
      <c r="BW196" s="153">
        <f t="shared" si="340"/>
        <v>0</v>
      </c>
      <c r="BY196" s="42"/>
      <c r="BZ196" s="162"/>
      <c r="CA196" s="42"/>
      <c r="CC196" s="7">
        <f t="shared" si="327"/>
        <v>0</v>
      </c>
      <c r="CD196" s="7">
        <f t="shared" si="328"/>
        <v>0</v>
      </c>
      <c r="CE196" s="7">
        <f t="shared" si="329"/>
        <v>0</v>
      </c>
      <c r="CF196" s="42"/>
      <c r="CG196" s="352">
        <f t="shared" si="330"/>
        <v>0</v>
      </c>
      <c r="CH196" s="352">
        <f t="shared" si="330"/>
        <v>0</v>
      </c>
      <c r="CI196" s="352">
        <f t="shared" si="330"/>
        <v>0</v>
      </c>
      <c r="CJ196" s="352">
        <f t="shared" si="331"/>
        <v>0</v>
      </c>
      <c r="CK196" s="352">
        <f t="shared" si="332"/>
        <v>0</v>
      </c>
      <c r="CL196" s="352">
        <f t="shared" si="333"/>
        <v>0</v>
      </c>
      <c r="CM196" s="352">
        <f t="shared" si="334"/>
        <v>0</v>
      </c>
      <c r="ER196" s="42"/>
      <c r="ES196" s="332">
        <v>0</v>
      </c>
      <c r="ET196" s="335">
        <v>0</v>
      </c>
      <c r="EU196" s="335"/>
      <c r="EV196" s="335"/>
      <c r="EX196" s="13" t="str">
        <f>IF($C196="","",CONCATENATE(D$191, " ",$D196))</f>
        <v>Education-Specific EBITDA Release of Capital Grants</v>
      </c>
    </row>
    <row r="197" spans="1:154" s="332" customFormat="1" x14ac:dyDescent="0.25">
      <c r="A197" s="362" cm="1">
        <f t="array" aca="1" ref="A197" ca="1">HYPERLINK(CONCATENATE("#",CELL("address",IF(SUM($CA197:$CH197)=0,A197,INDEX($CA197:$CH197,MATCH(1,$CA197:$CH197,0))))),SUM($CA197:$CH197))</f>
        <v>0</v>
      </c>
      <c r="C197" s="520" t="str">
        <f>CONCATENATE("M-", 'I&amp;E Annual'!C197)</f>
        <v>M-IE-1j</v>
      </c>
      <c r="D197" s="69" t="str">
        <f>D$117</f>
        <v>Total gifts and donated assets</v>
      </c>
      <c r="H197" s="332" t="str">
        <f>H$117</f>
        <v>+ve/-ve (Cr/Dr)</v>
      </c>
      <c r="T197" s="25"/>
      <c r="U197" s="25"/>
      <c r="V197" s="153">
        <f>V$117</f>
        <v>0</v>
      </c>
      <c r="W197" s="215">
        <f>W$117</f>
        <v>0</v>
      </c>
      <c r="X197" s="215">
        <f>X$117</f>
        <v>0</v>
      </c>
      <c r="Y197" s="215">
        <f>Y$117</f>
        <v>0</v>
      </c>
      <c r="AA197" s="153">
        <f t="shared" ref="AA197:BJ197" si="341">AA$117</f>
        <v>0</v>
      </c>
      <c r="AB197" s="153">
        <f t="shared" si="341"/>
        <v>0</v>
      </c>
      <c r="AC197" s="153">
        <f t="shared" si="341"/>
        <v>0</v>
      </c>
      <c r="AD197" s="153">
        <f t="shared" si="341"/>
        <v>0</v>
      </c>
      <c r="AE197" s="153">
        <f t="shared" si="341"/>
        <v>0</v>
      </c>
      <c r="AF197" s="153">
        <f t="shared" si="341"/>
        <v>0</v>
      </c>
      <c r="AG197" s="153">
        <f t="shared" si="341"/>
        <v>0</v>
      </c>
      <c r="AH197" s="153">
        <f t="shared" si="341"/>
        <v>0</v>
      </c>
      <c r="AI197" s="153">
        <f t="shared" si="341"/>
        <v>0</v>
      </c>
      <c r="AJ197" s="153">
        <f t="shared" si="341"/>
        <v>0</v>
      </c>
      <c r="AK197" s="153">
        <f t="shared" si="341"/>
        <v>0</v>
      </c>
      <c r="AL197" s="153">
        <f t="shared" si="341"/>
        <v>0</v>
      </c>
      <c r="AM197" s="153">
        <f t="shared" si="341"/>
        <v>0</v>
      </c>
      <c r="AN197" s="153">
        <f t="shared" si="341"/>
        <v>0</v>
      </c>
      <c r="AO197" s="153">
        <f t="shared" si="341"/>
        <v>0</v>
      </c>
      <c r="AP197" s="153">
        <f t="shared" si="341"/>
        <v>0</v>
      </c>
      <c r="AQ197" s="153">
        <f t="shared" si="341"/>
        <v>0</v>
      </c>
      <c r="AR197" s="153">
        <f t="shared" si="341"/>
        <v>0</v>
      </c>
      <c r="AS197" s="153">
        <f t="shared" si="341"/>
        <v>0</v>
      </c>
      <c r="AT197" s="153">
        <f t="shared" si="341"/>
        <v>0</v>
      </c>
      <c r="AU197" s="153">
        <f t="shared" si="341"/>
        <v>0</v>
      </c>
      <c r="AV197" s="153">
        <f t="shared" si="341"/>
        <v>0</v>
      </c>
      <c r="AW197" s="153">
        <f t="shared" si="341"/>
        <v>0</v>
      </c>
      <c r="AX197" s="153">
        <f t="shared" si="341"/>
        <v>0</v>
      </c>
      <c r="AY197" s="153">
        <f t="shared" si="341"/>
        <v>0</v>
      </c>
      <c r="AZ197" s="153">
        <f t="shared" si="341"/>
        <v>0</v>
      </c>
      <c r="BA197" s="153">
        <f t="shared" si="341"/>
        <v>0</v>
      </c>
      <c r="BB197" s="153">
        <f t="shared" si="341"/>
        <v>0</v>
      </c>
      <c r="BC197" s="153">
        <f t="shared" si="341"/>
        <v>0</v>
      </c>
      <c r="BD197" s="153">
        <f t="shared" si="341"/>
        <v>0</v>
      </c>
      <c r="BE197" s="153">
        <f t="shared" si="341"/>
        <v>0</v>
      </c>
      <c r="BF197" s="153">
        <f t="shared" si="341"/>
        <v>0</v>
      </c>
      <c r="BG197" s="153">
        <f t="shared" si="341"/>
        <v>0</v>
      </c>
      <c r="BH197" s="153">
        <f t="shared" si="341"/>
        <v>0</v>
      </c>
      <c r="BI197" s="153">
        <f t="shared" si="341"/>
        <v>0</v>
      </c>
      <c r="BJ197" s="153">
        <f t="shared" si="341"/>
        <v>0</v>
      </c>
      <c r="BL197" s="153">
        <f t="shared" ref="BL197:BW197" si="342">BL$117</f>
        <v>0</v>
      </c>
      <c r="BM197" s="153">
        <f t="shared" si="342"/>
        <v>0</v>
      </c>
      <c r="BN197" s="153">
        <f t="shared" si="342"/>
        <v>0</v>
      </c>
      <c r="BO197" s="153">
        <f t="shared" si="342"/>
        <v>0</v>
      </c>
      <c r="BP197" s="153">
        <f t="shared" si="342"/>
        <v>0</v>
      </c>
      <c r="BQ197" s="153">
        <f t="shared" si="342"/>
        <v>0</v>
      </c>
      <c r="BR197" s="153">
        <f t="shared" si="342"/>
        <v>0</v>
      </c>
      <c r="BS197" s="153">
        <f t="shared" si="342"/>
        <v>0</v>
      </c>
      <c r="BT197" s="153">
        <f t="shared" si="342"/>
        <v>0</v>
      </c>
      <c r="BU197" s="153">
        <f t="shared" si="342"/>
        <v>0</v>
      </c>
      <c r="BV197" s="153">
        <f t="shared" si="342"/>
        <v>0</v>
      </c>
      <c r="BW197" s="153">
        <f t="shared" si="342"/>
        <v>0</v>
      </c>
      <c r="BY197" s="12"/>
      <c r="BZ197" s="162"/>
      <c r="CA197" s="12"/>
      <c r="CC197" s="7">
        <f t="shared" si="327"/>
        <v>0</v>
      </c>
      <c r="CD197" s="7">
        <f t="shared" si="328"/>
        <v>0</v>
      </c>
      <c r="CE197" s="7">
        <f t="shared" si="329"/>
        <v>0</v>
      </c>
      <c r="CF197" s="12"/>
      <c r="CG197" s="352">
        <f t="shared" si="330"/>
        <v>0</v>
      </c>
      <c r="CH197" s="352">
        <f t="shared" si="330"/>
        <v>0</v>
      </c>
      <c r="CI197" s="352">
        <f t="shared" si="330"/>
        <v>0</v>
      </c>
      <c r="CJ197" s="352">
        <f t="shared" si="331"/>
        <v>0</v>
      </c>
      <c r="CK197" s="352">
        <f t="shared" si="332"/>
        <v>0</v>
      </c>
      <c r="CL197" s="352">
        <f t="shared" si="333"/>
        <v>0</v>
      </c>
      <c r="CM197" s="352">
        <f t="shared" si="334"/>
        <v>0</v>
      </c>
      <c r="ER197" s="12"/>
      <c r="ES197" s="332">
        <v>0</v>
      </c>
      <c r="ET197" s="335">
        <v>0</v>
      </c>
      <c r="EU197" s="335"/>
      <c r="EV197" s="335"/>
      <c r="EX197" s="13" t="str">
        <f>IF($C197="","",CONCATENATE(D$191, " ",$D197))</f>
        <v>Education-Specific EBITDA Total gifts and donated assets</v>
      </c>
    </row>
    <row r="198" spans="1:154" s="332" customFormat="1" x14ac:dyDescent="0.25">
      <c r="A198" s="362" cm="1">
        <f t="array" aca="1" ref="A198" ca="1">HYPERLINK(CONCATENATE("#",CELL("address",IF(SUM($CA198:$CH198)=0,A198,INDEX($CA198:$CH198,MATCH(1,$CA198:$CH198,0))))),SUM($CA198:$CH198))</f>
        <v>0</v>
      </c>
      <c r="B198" s="335"/>
      <c r="C198" s="340" t="str">
        <f>CONCATENATE("M-", 'I&amp;E Annual'!C198)</f>
        <v>M-IE-8a</v>
      </c>
      <c r="D198" s="334" t="s">
        <v>876</v>
      </c>
      <c r="E198" s="335"/>
      <c r="F198" s="335"/>
      <c r="G198" s="335"/>
      <c r="H198" s="9" t="s">
        <v>86</v>
      </c>
      <c r="I198" s="335"/>
      <c r="J198" s="335"/>
      <c r="K198" s="335"/>
      <c r="L198" s="335"/>
      <c r="M198" s="335"/>
      <c r="N198" s="335"/>
      <c r="O198" s="335"/>
      <c r="P198" s="335"/>
      <c r="Q198" s="335"/>
      <c r="R198" s="335"/>
      <c r="S198" s="335"/>
      <c r="T198" s="25"/>
      <c r="U198" s="25"/>
      <c r="V198" s="141"/>
      <c r="W198" s="215">
        <f xml:space="preserve"> SUMIFS($AA198:$BJ198, $AA$3:$BJ$3, W$3)</f>
        <v>0</v>
      </c>
      <c r="X198" s="215">
        <f xml:space="preserve"> SUMIFS($AA198:$BJ198, $AA$3:$BJ$3, X$3)</f>
        <v>0</v>
      </c>
      <c r="Y198" s="215">
        <f xml:space="preserve"> SUMIFS($AA198:$BJ198, $AA$3:$BJ$3, Y$3)</f>
        <v>0</v>
      </c>
      <c r="Z198" s="335"/>
      <c r="AA198" s="372"/>
      <c r="AB198" s="372"/>
      <c r="AC198" s="372"/>
      <c r="AD198" s="372"/>
      <c r="AE198" s="372"/>
      <c r="AF198" s="372"/>
      <c r="AG198" s="372"/>
      <c r="AH198" s="372"/>
      <c r="AI198" s="372"/>
      <c r="AJ198" s="372"/>
      <c r="AK198" s="372"/>
      <c r="AL198" s="372"/>
      <c r="AM198" s="372"/>
      <c r="AN198" s="372"/>
      <c r="AO198" s="372"/>
      <c r="AP198" s="372"/>
      <c r="AQ198" s="372"/>
      <c r="AR198" s="372"/>
      <c r="AS198" s="372"/>
      <c r="AT198" s="372"/>
      <c r="AU198" s="372"/>
      <c r="AV198" s="372"/>
      <c r="AW198" s="372"/>
      <c r="AX198" s="372"/>
      <c r="AY198" s="372"/>
      <c r="AZ198" s="372"/>
      <c r="BA198" s="372"/>
      <c r="BB198" s="372"/>
      <c r="BC198" s="372"/>
      <c r="BD198" s="372"/>
      <c r="BE198" s="372"/>
      <c r="BF198" s="372"/>
      <c r="BG198" s="372"/>
      <c r="BH198" s="372"/>
      <c r="BI198" s="372"/>
      <c r="BJ198" s="372"/>
      <c r="BK198" s="335"/>
      <c r="BL198" s="10">
        <f>V198</f>
        <v>0</v>
      </c>
      <c r="BM198" s="10">
        <f>W198</f>
        <v>0</v>
      </c>
      <c r="BN198" s="10">
        <f>X198</f>
        <v>0</v>
      </c>
      <c r="BO198" s="10">
        <f>Y198</f>
        <v>0</v>
      </c>
      <c r="BP198" s="141"/>
      <c r="BQ198" s="141"/>
      <c r="BR198" s="141"/>
      <c r="BS198" s="141"/>
      <c r="BT198" s="141"/>
      <c r="BU198" s="141"/>
      <c r="BV198" s="141"/>
      <c r="BW198" s="141"/>
      <c r="BX198" s="335"/>
      <c r="BY198" s="42"/>
      <c r="BZ198" s="395">
        <f>IF(MIN($V198:$BW198)&lt;0, 1, 0)</f>
        <v>0</v>
      </c>
      <c r="CA198" s="42"/>
      <c r="CC198" s="7">
        <f t="shared" si="327"/>
        <v>0</v>
      </c>
      <c r="CD198" s="7">
        <f t="shared" si="328"/>
        <v>0</v>
      </c>
      <c r="CE198" s="7">
        <f t="shared" si="329"/>
        <v>0</v>
      </c>
      <c r="CF198" s="42"/>
      <c r="CG198" s="352">
        <f t="shared" si="330"/>
        <v>0</v>
      </c>
      <c r="CH198" s="352">
        <f t="shared" si="330"/>
        <v>0</v>
      </c>
      <c r="CI198" s="352">
        <f t="shared" si="330"/>
        <v>0</v>
      </c>
      <c r="CJ198" s="352">
        <f t="shared" si="331"/>
        <v>0</v>
      </c>
      <c r="CK198" s="352">
        <f t="shared" si="332"/>
        <v>0</v>
      </c>
      <c r="CL198" s="352">
        <f t="shared" si="333"/>
        <v>0</v>
      </c>
      <c r="CM198" s="352">
        <f t="shared" si="334"/>
        <v>0</v>
      </c>
      <c r="ER198" s="42"/>
      <c r="ES198" s="4">
        <v>1</v>
      </c>
      <c r="ET198" s="335">
        <v>1</v>
      </c>
      <c r="EU198" s="335"/>
      <c r="EV198" s="335"/>
      <c r="EX198" s="10" t="str">
        <f t="shared" si="242"/>
        <v>Restructuring Facility related expenditure</v>
      </c>
    </row>
    <row r="199" spans="1:154" s="332" customFormat="1" x14ac:dyDescent="0.25">
      <c r="A199" s="362" cm="1">
        <f t="array" aca="1" ref="A199" ca="1">HYPERLINK(CONCATENATE("#",CELL("address",IF(SUM($CA199:$CH199)=0,A199,INDEX($CA199:$CH199,MATCH(1,$CA199:$CH199,0))))),SUM($CA199:$CH199))</f>
        <v>0</v>
      </c>
      <c r="C199" s="340" t="str">
        <f>CONCATENATE("M-", 'I&amp;E Annual'!C199)</f>
        <v>M-IE-8</v>
      </c>
      <c r="D199" s="74" t="s">
        <v>119</v>
      </c>
      <c r="E199" s="5"/>
      <c r="F199" s="5"/>
      <c r="G199" s="5"/>
      <c r="H199" s="5" t="s">
        <v>8</v>
      </c>
      <c r="Q199" s="335"/>
      <c r="R199" s="335"/>
      <c r="T199" s="25"/>
      <c r="U199" s="25"/>
      <c r="V199" s="13">
        <f>V193-V194+V195-V196-V197+V198</f>
        <v>0</v>
      </c>
      <c r="W199" s="13">
        <f>W193-W194+W195-W196-W197+W198</f>
        <v>2032</v>
      </c>
      <c r="X199" s="13">
        <f>X193-X194+X195-X196-X197+X198</f>
        <v>2050</v>
      </c>
      <c r="Y199" s="13">
        <f>Y193-Y194+Y195-Y196-Y197+Y198</f>
        <v>2173.8100000000013</v>
      </c>
      <c r="AA199" s="13">
        <f t="shared" ref="AA199:BJ199" si="343">AA193-AA194+AA195-AA196-AA197+AA198</f>
        <v>1865</v>
      </c>
      <c r="AB199" s="13">
        <f t="shared" si="343"/>
        <v>1267</v>
      </c>
      <c r="AC199" s="13">
        <f t="shared" si="343"/>
        <v>250</v>
      </c>
      <c r="AD199" s="13">
        <f t="shared" si="343"/>
        <v>-70</v>
      </c>
      <c r="AE199" s="13">
        <f t="shared" si="343"/>
        <v>-764</v>
      </c>
      <c r="AF199" s="13">
        <f t="shared" si="343"/>
        <v>-553</v>
      </c>
      <c r="AG199" s="13">
        <f t="shared" si="343"/>
        <v>-580</v>
      </c>
      <c r="AH199" s="13">
        <f t="shared" si="343"/>
        <v>-784</v>
      </c>
      <c r="AI199" s="13">
        <f t="shared" si="343"/>
        <v>1368</v>
      </c>
      <c r="AJ199" s="13">
        <f t="shared" si="343"/>
        <v>398</v>
      </c>
      <c r="AK199" s="13">
        <f t="shared" si="343"/>
        <v>415</v>
      </c>
      <c r="AL199" s="13">
        <f t="shared" si="343"/>
        <v>-780</v>
      </c>
      <c r="AM199" s="13">
        <f t="shared" si="343"/>
        <v>2123</v>
      </c>
      <c r="AN199" s="13">
        <f t="shared" si="343"/>
        <v>1251</v>
      </c>
      <c r="AO199" s="13">
        <f t="shared" si="343"/>
        <v>246</v>
      </c>
      <c r="AP199" s="13">
        <f t="shared" si="343"/>
        <v>-301</v>
      </c>
      <c r="AQ199" s="13">
        <f t="shared" si="343"/>
        <v>-767</v>
      </c>
      <c r="AR199" s="13">
        <f t="shared" si="343"/>
        <v>-452</v>
      </c>
      <c r="AS199" s="13">
        <f t="shared" si="343"/>
        <v>-828</v>
      </c>
      <c r="AT199" s="13">
        <f t="shared" si="343"/>
        <v>-795</v>
      </c>
      <c r="AU199" s="13">
        <f t="shared" si="343"/>
        <v>1607</v>
      </c>
      <c r="AV199" s="13">
        <f t="shared" si="343"/>
        <v>505</v>
      </c>
      <c r="AW199" s="13">
        <f t="shared" si="343"/>
        <v>106</v>
      </c>
      <c r="AX199" s="13">
        <f t="shared" si="343"/>
        <v>-645</v>
      </c>
      <c r="AY199" s="13">
        <f t="shared" si="343"/>
        <v>2171.7483333333334</v>
      </c>
      <c r="AZ199" s="13">
        <f t="shared" si="343"/>
        <v>1268.3566666666661</v>
      </c>
      <c r="BA199" s="13">
        <f t="shared" si="343"/>
        <v>255.48833333333278</v>
      </c>
      <c r="BB199" s="13">
        <f t="shared" si="343"/>
        <v>-306.61333333333323</v>
      </c>
      <c r="BC199" s="13">
        <f t="shared" si="343"/>
        <v>-784.53</v>
      </c>
      <c r="BD199" s="13">
        <f t="shared" si="343"/>
        <v>-458.22999999999979</v>
      </c>
      <c r="BE199" s="13">
        <f t="shared" si="343"/>
        <v>-846.74166666666702</v>
      </c>
      <c r="BF199" s="13">
        <f t="shared" si="343"/>
        <v>-808.5183333333332</v>
      </c>
      <c r="BG199" s="13">
        <f t="shared" si="343"/>
        <v>1662.378333333334</v>
      </c>
      <c r="BH199" s="13">
        <f t="shared" si="343"/>
        <v>555.06833333333361</v>
      </c>
      <c r="BI199" s="13">
        <f t="shared" si="343"/>
        <v>117.19333333333361</v>
      </c>
      <c r="BJ199" s="13">
        <f t="shared" si="343"/>
        <v>-651.79000000000042</v>
      </c>
      <c r="BL199" s="13">
        <f t="shared" ref="BL199:BW199" si="344">BL193-BL194+BL195-BL196-BL197+BL198</f>
        <v>0</v>
      </c>
      <c r="BM199" s="13">
        <f t="shared" si="344"/>
        <v>2032</v>
      </c>
      <c r="BN199" s="13">
        <f t="shared" si="344"/>
        <v>2050</v>
      </c>
      <c r="BO199" s="13">
        <f t="shared" si="344"/>
        <v>2173.8100000000013</v>
      </c>
      <c r="BP199" s="13">
        <f t="shared" si="344"/>
        <v>0</v>
      </c>
      <c r="BQ199" s="13">
        <f t="shared" si="344"/>
        <v>0</v>
      </c>
      <c r="BR199" s="13">
        <f t="shared" si="344"/>
        <v>0</v>
      </c>
      <c r="BS199" s="13">
        <f t="shared" si="344"/>
        <v>0</v>
      </c>
      <c r="BT199" s="13">
        <f t="shared" si="344"/>
        <v>0</v>
      </c>
      <c r="BU199" s="13">
        <f t="shared" si="344"/>
        <v>0</v>
      </c>
      <c r="BV199" s="13">
        <f t="shared" si="344"/>
        <v>0</v>
      </c>
      <c r="BW199" s="13">
        <f t="shared" si="344"/>
        <v>0</v>
      </c>
      <c r="BY199" s="12"/>
      <c r="BZ199" s="162"/>
      <c r="CA199" s="12"/>
      <c r="CC199" s="7">
        <f t="shared" si="327"/>
        <v>0</v>
      </c>
      <c r="CD199" s="7">
        <f t="shared" si="328"/>
        <v>0</v>
      </c>
      <c r="CE199" s="7">
        <f t="shared" si="329"/>
        <v>0</v>
      </c>
      <c r="CF199" s="12"/>
      <c r="CG199" s="352">
        <f t="shared" si="330"/>
        <v>0</v>
      </c>
      <c r="CH199" s="352">
        <f t="shared" si="330"/>
        <v>0</v>
      </c>
      <c r="CI199" s="352">
        <f t="shared" si="330"/>
        <v>0</v>
      </c>
      <c r="CJ199" s="352">
        <f t="shared" si="331"/>
        <v>0</v>
      </c>
      <c r="CK199" s="352">
        <f t="shared" si="332"/>
        <v>0</v>
      </c>
      <c r="CL199" s="352">
        <f t="shared" si="333"/>
        <v>0</v>
      </c>
      <c r="CM199" s="352">
        <f t="shared" si="334"/>
        <v>0</v>
      </c>
      <c r="ER199" s="12"/>
      <c r="ES199" s="332">
        <v>0</v>
      </c>
      <c r="ET199" s="335">
        <v>0</v>
      </c>
      <c r="EU199" s="335"/>
      <c r="EV199" s="335"/>
      <c r="EX199" s="10" t="str">
        <f t="shared" si="242"/>
        <v>Education-specific EBITDA</v>
      </c>
    </row>
    <row r="200" spans="1:154" s="335" customFormat="1" ht="12" customHeight="1" x14ac:dyDescent="0.25">
      <c r="C200" s="383"/>
      <c r="D200" s="69"/>
      <c r="T200" s="25"/>
      <c r="U200" s="25"/>
      <c r="Z200" s="93"/>
      <c r="BM200" s="6"/>
      <c r="BY200" s="42"/>
      <c r="BZ200" s="162"/>
      <c r="CA200" s="42"/>
      <c r="CF200" s="42"/>
      <c r="ER200" s="42"/>
      <c r="EX200" s="10" t="str">
        <f t="shared" ref="EX200:EX204" si="345">IF($C200="","",$D200)</f>
        <v/>
      </c>
    </row>
    <row r="201" spans="1:154" s="5" customFormat="1" x14ac:dyDescent="0.25">
      <c r="A201" s="328"/>
      <c r="C201" s="382"/>
      <c r="D201" s="74" t="s">
        <v>2325</v>
      </c>
      <c r="E201" s="435" t="s">
        <v>1745</v>
      </c>
      <c r="R201" s="329"/>
      <c r="S201" s="335"/>
      <c r="T201" s="25"/>
      <c r="U201" s="25"/>
      <c r="V201" s="13">
        <f>1*(SUMIFS(V9:V199, $ES$9:$ES$199, 1)&lt;&gt;0)</f>
        <v>0</v>
      </c>
      <c r="W201" s="136"/>
      <c r="X201" s="136"/>
      <c r="Y201" s="136"/>
      <c r="Z201" s="93"/>
      <c r="AA201" s="136"/>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335"/>
      <c r="BL201" s="136"/>
      <c r="BM201" s="136"/>
      <c r="BN201" s="136"/>
      <c r="BO201" s="136"/>
      <c r="BP201" s="13">
        <f t="shared" ref="BP201:BW201" si="346">1*(SUMIFS(BP9:BP199, $ET$9:$ET$199, 1)&lt;&gt;0)</f>
        <v>0</v>
      </c>
      <c r="BQ201" s="13">
        <f t="shared" si="346"/>
        <v>0</v>
      </c>
      <c r="BR201" s="13">
        <f t="shared" si="346"/>
        <v>0</v>
      </c>
      <c r="BS201" s="13">
        <f t="shared" si="346"/>
        <v>0</v>
      </c>
      <c r="BT201" s="13">
        <f t="shared" si="346"/>
        <v>0</v>
      </c>
      <c r="BU201" s="13">
        <f t="shared" si="346"/>
        <v>0</v>
      </c>
      <c r="BV201" s="13">
        <f t="shared" si="346"/>
        <v>0</v>
      </c>
      <c r="BW201" s="13">
        <f t="shared" si="346"/>
        <v>0</v>
      </c>
      <c r="BY201" s="12"/>
      <c r="BZ201" s="162"/>
      <c r="CA201" s="12"/>
      <c r="CB201" s="328"/>
      <c r="CC201" s="335"/>
      <c r="CD201" s="335"/>
      <c r="CE201" s="335"/>
      <c r="CF201" s="12"/>
      <c r="ER201" s="12"/>
      <c r="EX201" s="10" t="str">
        <f t="shared" si="345"/>
        <v/>
      </c>
    </row>
    <row r="202" spans="1:154" s="5" customFormat="1" ht="15.75" x14ac:dyDescent="0.3">
      <c r="A202" s="326"/>
      <c r="B202" s="479" t="s">
        <v>335</v>
      </c>
      <c r="C202" s="382"/>
      <c r="D202" s="74" t="s">
        <v>938</v>
      </c>
      <c r="E202" s="45">
        <v>1</v>
      </c>
      <c r="R202" s="329"/>
      <c r="S202" s="335"/>
      <c r="T202" s="25"/>
      <c r="U202" s="25"/>
      <c r="V202" s="13">
        <f xml:space="preserve"> IF(V201=0, 0, 1)</f>
        <v>0</v>
      </c>
      <c r="W202" s="45">
        <f>$E202</f>
        <v>1</v>
      </c>
      <c r="X202" s="45">
        <f t="shared" ref="X202:BJ202" si="347">$E202</f>
        <v>1</v>
      </c>
      <c r="Y202" s="45">
        <f t="shared" si="347"/>
        <v>1</v>
      </c>
      <c r="Z202" s="93"/>
      <c r="AA202" s="45">
        <f t="shared" si="347"/>
        <v>1</v>
      </c>
      <c r="AB202" s="45">
        <f t="shared" si="347"/>
        <v>1</v>
      </c>
      <c r="AC202" s="45">
        <f t="shared" si="347"/>
        <v>1</v>
      </c>
      <c r="AD202" s="45">
        <f t="shared" si="347"/>
        <v>1</v>
      </c>
      <c r="AE202" s="45">
        <f t="shared" si="347"/>
        <v>1</v>
      </c>
      <c r="AF202" s="45">
        <f t="shared" si="347"/>
        <v>1</v>
      </c>
      <c r="AG202" s="45">
        <f t="shared" si="347"/>
        <v>1</v>
      </c>
      <c r="AH202" s="45">
        <f t="shared" si="347"/>
        <v>1</v>
      </c>
      <c r="AI202" s="45">
        <f t="shared" si="347"/>
        <v>1</v>
      </c>
      <c r="AJ202" s="45">
        <f t="shared" si="347"/>
        <v>1</v>
      </c>
      <c r="AK202" s="45">
        <f t="shared" si="347"/>
        <v>1</v>
      </c>
      <c r="AL202" s="45">
        <f t="shared" si="347"/>
        <v>1</v>
      </c>
      <c r="AM202" s="45">
        <f t="shared" si="347"/>
        <v>1</v>
      </c>
      <c r="AN202" s="45">
        <f t="shared" si="347"/>
        <v>1</v>
      </c>
      <c r="AO202" s="45">
        <f t="shared" si="347"/>
        <v>1</v>
      </c>
      <c r="AP202" s="45">
        <f t="shared" si="347"/>
        <v>1</v>
      </c>
      <c r="AQ202" s="45">
        <f t="shared" si="347"/>
        <v>1</v>
      </c>
      <c r="AR202" s="45">
        <f t="shared" si="347"/>
        <v>1</v>
      </c>
      <c r="AS202" s="45">
        <f t="shared" si="347"/>
        <v>1</v>
      </c>
      <c r="AT202" s="45">
        <f t="shared" si="347"/>
        <v>1</v>
      </c>
      <c r="AU202" s="45">
        <f t="shared" si="347"/>
        <v>1</v>
      </c>
      <c r="AV202" s="45">
        <f t="shared" si="347"/>
        <v>1</v>
      </c>
      <c r="AW202" s="45">
        <f t="shared" si="347"/>
        <v>1</v>
      </c>
      <c r="AX202" s="45">
        <f t="shared" si="347"/>
        <v>1</v>
      </c>
      <c r="AY202" s="45">
        <f t="shared" si="347"/>
        <v>1</v>
      </c>
      <c r="AZ202" s="45">
        <f t="shared" si="347"/>
        <v>1</v>
      </c>
      <c r="BA202" s="45">
        <f t="shared" si="347"/>
        <v>1</v>
      </c>
      <c r="BB202" s="45">
        <f t="shared" si="347"/>
        <v>1</v>
      </c>
      <c r="BC202" s="45">
        <f t="shared" si="347"/>
        <v>1</v>
      </c>
      <c r="BD202" s="45">
        <f t="shared" si="347"/>
        <v>1</v>
      </c>
      <c r="BE202" s="45">
        <f t="shared" si="347"/>
        <v>1</v>
      </c>
      <c r="BF202" s="45">
        <f t="shared" si="347"/>
        <v>1</v>
      </c>
      <c r="BG202" s="45">
        <f t="shared" si="347"/>
        <v>1</v>
      </c>
      <c r="BH202" s="45">
        <f t="shared" si="347"/>
        <v>1</v>
      </c>
      <c r="BI202" s="45">
        <f t="shared" si="347"/>
        <v>1</v>
      </c>
      <c r="BJ202" s="45">
        <f t="shared" si="347"/>
        <v>1</v>
      </c>
      <c r="BK202" s="327"/>
      <c r="BL202" s="10">
        <f>V202</f>
        <v>0</v>
      </c>
      <c r="BM202" s="10">
        <f>W202</f>
        <v>1</v>
      </c>
      <c r="BN202" s="10">
        <f>X202</f>
        <v>1</v>
      </c>
      <c r="BO202" s="10">
        <f>Y202</f>
        <v>1</v>
      </c>
      <c r="BP202" s="13">
        <f t="shared" ref="BP202:BW202" si="348">IF(SUM($BP201:$BW201)=0, 0, 1)</f>
        <v>0</v>
      </c>
      <c r="BQ202" s="13">
        <f t="shared" si="348"/>
        <v>0</v>
      </c>
      <c r="BR202" s="13">
        <f t="shared" si="348"/>
        <v>0</v>
      </c>
      <c r="BS202" s="13">
        <f t="shared" si="348"/>
        <v>0</v>
      </c>
      <c r="BT202" s="13">
        <f t="shared" si="348"/>
        <v>0</v>
      </c>
      <c r="BU202" s="13">
        <f t="shared" si="348"/>
        <v>0</v>
      </c>
      <c r="BV202" s="13">
        <f t="shared" si="348"/>
        <v>0</v>
      </c>
      <c r="BW202" s="13">
        <f t="shared" si="348"/>
        <v>0</v>
      </c>
      <c r="BY202" s="12"/>
      <c r="BZ202" s="162"/>
      <c r="CA202" s="12"/>
      <c r="CB202" s="326"/>
      <c r="CC202" s="335"/>
      <c r="CD202" s="335"/>
      <c r="CE202" s="335"/>
      <c r="CF202" s="12"/>
      <c r="CG202" s="335"/>
      <c r="CH202" s="335"/>
      <c r="CI202" s="335"/>
      <c r="CJ202" s="335"/>
      <c r="CK202" s="335"/>
      <c r="CL202" s="335"/>
      <c r="CM202" s="335"/>
      <c r="ER202" s="12"/>
      <c r="EX202" s="10" t="str">
        <f t="shared" si="345"/>
        <v/>
      </c>
    </row>
    <row r="203" spans="1:154" s="332" customFormat="1" ht="8.1" customHeight="1" x14ac:dyDescent="0.25">
      <c r="C203" s="380"/>
      <c r="D203" s="69"/>
      <c r="AA203" s="335"/>
      <c r="BM203" s="6"/>
      <c r="BY203" s="42"/>
      <c r="BZ203" s="162"/>
      <c r="CA203" s="42"/>
      <c r="CC203" s="335"/>
      <c r="CD203" s="335"/>
      <c r="CE203" s="335"/>
      <c r="CF203" s="42"/>
      <c r="CG203" s="335"/>
      <c r="CH203" s="335"/>
      <c r="CI203" s="335"/>
      <c r="CJ203" s="335"/>
      <c r="CK203" s="335"/>
      <c r="CL203" s="335"/>
      <c r="CM203" s="335"/>
      <c r="ER203" s="42"/>
      <c r="ET203" s="335"/>
      <c r="EU203" s="335"/>
      <c r="EV203" s="335"/>
      <c r="EX203" s="10" t="str">
        <f t="shared" si="345"/>
        <v/>
      </c>
    </row>
    <row r="204" spans="1:154" x14ac:dyDescent="0.25">
      <c r="A204" s="12" t="s">
        <v>88</v>
      </c>
      <c r="B204" s="12" t="s">
        <v>88</v>
      </c>
      <c r="C204" s="408" t="s">
        <v>88</v>
      </c>
      <c r="D204" s="71" t="s">
        <v>88</v>
      </c>
      <c r="E204" s="12" t="s">
        <v>88</v>
      </c>
      <c r="F204" s="12" t="s">
        <v>88</v>
      </c>
      <c r="G204" s="12" t="s">
        <v>88</v>
      </c>
      <c r="H204" s="12" t="s">
        <v>88</v>
      </c>
      <c r="I204" s="12" t="s">
        <v>88</v>
      </c>
      <c r="J204" s="12" t="s">
        <v>88</v>
      </c>
      <c r="K204" s="12" t="s">
        <v>88</v>
      </c>
      <c r="L204" s="12" t="s">
        <v>88</v>
      </c>
      <c r="M204" s="12" t="s">
        <v>88</v>
      </c>
      <c r="N204" s="12" t="s">
        <v>88</v>
      </c>
      <c r="O204" s="12" t="s">
        <v>88</v>
      </c>
      <c r="P204" s="12" t="s">
        <v>88</v>
      </c>
      <c r="Q204" s="12" t="s">
        <v>88</v>
      </c>
      <c r="R204" s="12" t="s">
        <v>88</v>
      </c>
      <c r="S204" s="12"/>
      <c r="T204" s="12" t="s">
        <v>88</v>
      </c>
      <c r="U204" s="12" t="s">
        <v>88</v>
      </c>
      <c r="V204" s="12" t="s">
        <v>88</v>
      </c>
      <c r="W204" s="12" t="s">
        <v>88</v>
      </c>
      <c r="X204" s="12"/>
      <c r="Y204" s="12"/>
      <c r="Z204" s="12" t="s">
        <v>88</v>
      </c>
      <c r="AA204" s="12" t="s">
        <v>88</v>
      </c>
      <c r="AB204" s="12" t="s">
        <v>88</v>
      </c>
      <c r="AC204" s="12" t="s">
        <v>88</v>
      </c>
      <c r="AD204" s="12" t="s">
        <v>88</v>
      </c>
      <c r="AE204" s="12" t="s">
        <v>88</v>
      </c>
      <c r="AF204" s="12" t="s">
        <v>88</v>
      </c>
      <c r="AG204" s="12" t="s">
        <v>88</v>
      </c>
      <c r="AH204" s="12" t="s">
        <v>88</v>
      </c>
      <c r="AI204" s="12" t="s">
        <v>88</v>
      </c>
      <c r="AJ204" s="12" t="s">
        <v>88</v>
      </c>
      <c r="AK204" s="12" t="s">
        <v>88</v>
      </c>
      <c r="AL204" s="12" t="s">
        <v>88</v>
      </c>
      <c r="AM204" s="12" t="s">
        <v>88</v>
      </c>
      <c r="AN204" s="12" t="s">
        <v>88</v>
      </c>
      <c r="AO204" s="12" t="s">
        <v>88</v>
      </c>
      <c r="AP204" s="12" t="s">
        <v>88</v>
      </c>
      <c r="AQ204" s="12" t="s">
        <v>88</v>
      </c>
      <c r="AR204" s="12" t="s">
        <v>88</v>
      </c>
      <c r="AS204" s="12" t="s">
        <v>88</v>
      </c>
      <c r="AT204" s="12" t="s">
        <v>88</v>
      </c>
      <c r="AU204" s="12" t="s">
        <v>88</v>
      </c>
      <c r="AV204" s="12" t="s">
        <v>88</v>
      </c>
      <c r="AW204" s="12" t="s">
        <v>88</v>
      </c>
      <c r="AX204" s="12" t="s">
        <v>88</v>
      </c>
      <c r="AY204" s="12" t="s">
        <v>88</v>
      </c>
      <c r="AZ204" s="12" t="s">
        <v>88</v>
      </c>
      <c r="BA204" s="12" t="s">
        <v>88</v>
      </c>
      <c r="BB204" s="12" t="s">
        <v>88</v>
      </c>
      <c r="BC204" s="12" t="s">
        <v>88</v>
      </c>
      <c r="BD204" s="12" t="s">
        <v>88</v>
      </c>
      <c r="BE204" s="12" t="s">
        <v>88</v>
      </c>
      <c r="BF204" s="12" t="s">
        <v>88</v>
      </c>
      <c r="BG204" s="12" t="s">
        <v>88</v>
      </c>
      <c r="BH204" s="12" t="s">
        <v>88</v>
      </c>
      <c r="BI204" s="12" t="s">
        <v>88</v>
      </c>
      <c r="BJ204" s="12" t="s">
        <v>88</v>
      </c>
      <c r="BK204" s="12" t="s">
        <v>88</v>
      </c>
      <c r="BL204" s="12" t="s">
        <v>88</v>
      </c>
      <c r="BM204" s="12" t="s">
        <v>88</v>
      </c>
      <c r="BN204" s="12" t="s">
        <v>88</v>
      </c>
      <c r="BO204" s="12" t="s">
        <v>88</v>
      </c>
      <c r="BP204" s="12" t="s">
        <v>88</v>
      </c>
      <c r="BQ204" s="12" t="s">
        <v>88</v>
      </c>
      <c r="BR204" s="12" t="s">
        <v>88</v>
      </c>
      <c r="BS204" s="12" t="s">
        <v>88</v>
      </c>
      <c r="BT204" s="12" t="s">
        <v>88</v>
      </c>
      <c r="BU204" s="12" t="s">
        <v>88</v>
      </c>
      <c r="BV204" s="12" t="s">
        <v>88</v>
      </c>
      <c r="BW204" s="12" t="s">
        <v>88</v>
      </c>
      <c r="BX204" s="12" t="s">
        <v>88</v>
      </c>
      <c r="BY204" s="12" t="s">
        <v>88</v>
      </c>
      <c r="BZ204" s="163" t="s">
        <v>88</v>
      </c>
      <c r="CA204" s="12" t="s">
        <v>88</v>
      </c>
      <c r="CB204" s="12" t="s">
        <v>88</v>
      </c>
      <c r="CC204" s="12"/>
      <c r="CD204" s="12"/>
      <c r="CE204" s="12"/>
      <c r="CF204" s="12" t="s">
        <v>88</v>
      </c>
      <c r="CG204" s="12" t="s">
        <v>88</v>
      </c>
      <c r="CH204" s="12" t="s">
        <v>88</v>
      </c>
      <c r="CI204" s="12" t="s">
        <v>88</v>
      </c>
      <c r="CJ204" s="12" t="s">
        <v>88</v>
      </c>
      <c r="CK204" s="12" t="s">
        <v>88</v>
      </c>
      <c r="CL204" s="12" t="s">
        <v>88</v>
      </c>
      <c r="CM204" s="12" t="s">
        <v>88</v>
      </c>
      <c r="CN204" s="12" t="s">
        <v>88</v>
      </c>
      <c r="CO204" s="12" t="s">
        <v>88</v>
      </c>
      <c r="CP204" s="12" t="s">
        <v>88</v>
      </c>
      <c r="CQ204" s="12" t="s">
        <v>88</v>
      </c>
      <c r="CR204" s="12" t="s">
        <v>88</v>
      </c>
      <c r="CS204" s="12" t="s">
        <v>88</v>
      </c>
      <c r="CT204" s="12" t="s">
        <v>88</v>
      </c>
      <c r="CU204" s="12" t="s">
        <v>88</v>
      </c>
      <c r="CV204" s="12" t="s">
        <v>88</v>
      </c>
      <c r="CW204" s="12" t="s">
        <v>88</v>
      </c>
      <c r="CX204" s="12" t="s">
        <v>88</v>
      </c>
      <c r="CY204" s="12" t="s">
        <v>88</v>
      </c>
      <c r="CZ204" s="12" t="s">
        <v>88</v>
      </c>
      <c r="DA204" s="12" t="s">
        <v>88</v>
      </c>
      <c r="DB204" s="12" t="s">
        <v>88</v>
      </c>
      <c r="DC204" s="12" t="s">
        <v>88</v>
      </c>
      <c r="DD204" s="12" t="s">
        <v>88</v>
      </c>
      <c r="DE204" s="12" t="s">
        <v>88</v>
      </c>
      <c r="DF204" s="12" t="s">
        <v>88</v>
      </c>
      <c r="DG204" s="12" t="s">
        <v>88</v>
      </c>
      <c r="DH204" s="12" t="s">
        <v>88</v>
      </c>
      <c r="DI204" s="12" t="s">
        <v>88</v>
      </c>
      <c r="DJ204" s="12" t="s">
        <v>88</v>
      </c>
      <c r="DK204" s="12" t="s">
        <v>88</v>
      </c>
      <c r="DL204" s="12" t="s">
        <v>88</v>
      </c>
      <c r="DM204" s="12" t="s">
        <v>88</v>
      </c>
      <c r="DN204" s="12" t="s">
        <v>88</v>
      </c>
      <c r="DO204" s="12" t="s">
        <v>88</v>
      </c>
      <c r="DP204" s="12" t="s">
        <v>88</v>
      </c>
      <c r="DQ204" s="12" t="s">
        <v>88</v>
      </c>
      <c r="DR204" s="12" t="s">
        <v>88</v>
      </c>
      <c r="DS204" s="12" t="s">
        <v>88</v>
      </c>
      <c r="DT204" s="12" t="s">
        <v>88</v>
      </c>
      <c r="DU204" s="12" t="s">
        <v>88</v>
      </c>
      <c r="DV204" s="12" t="s">
        <v>88</v>
      </c>
      <c r="DW204" s="12" t="s">
        <v>88</v>
      </c>
      <c r="DX204" s="12" t="s">
        <v>88</v>
      </c>
      <c r="DY204" s="12" t="s">
        <v>88</v>
      </c>
      <c r="DZ204" s="12" t="s">
        <v>88</v>
      </c>
      <c r="EA204" s="12" t="s">
        <v>88</v>
      </c>
      <c r="EB204" s="12" t="s">
        <v>88</v>
      </c>
      <c r="EC204" s="12" t="s">
        <v>88</v>
      </c>
      <c r="ED204" s="12" t="s">
        <v>88</v>
      </c>
      <c r="EE204" s="12" t="s">
        <v>88</v>
      </c>
      <c r="EF204" s="12" t="s">
        <v>88</v>
      </c>
      <c r="EG204" s="12" t="s">
        <v>88</v>
      </c>
      <c r="EH204" s="12" t="s">
        <v>88</v>
      </c>
      <c r="EI204" s="12" t="s">
        <v>88</v>
      </c>
      <c r="EJ204" s="12" t="s">
        <v>88</v>
      </c>
      <c r="EK204" s="12" t="s">
        <v>88</v>
      </c>
      <c r="EL204" s="12" t="s">
        <v>88</v>
      </c>
      <c r="EM204" s="12" t="s">
        <v>88</v>
      </c>
      <c r="EN204" s="12" t="s">
        <v>88</v>
      </c>
      <c r="EO204" s="12" t="s">
        <v>88</v>
      </c>
      <c r="EP204" s="12" t="s">
        <v>88</v>
      </c>
      <c r="EQ204" s="12" t="s">
        <v>88</v>
      </c>
      <c r="ER204" s="12" t="s">
        <v>88</v>
      </c>
      <c r="EX204" s="10" t="str">
        <f t="shared" si="345"/>
        <v>*</v>
      </c>
    </row>
  </sheetData>
  <sheetProtection algorithmName="SHA-512" hashValue="U9qBPiUBaryDWCiz5eFY7dp4JIgi/jA+EEpGMV8sx/idn8ydkELuujKzqhCQpawt7WRRcgRyo4Gs6Yny9eAowg==" saltValue="md2j4VbbsMd4/pYvNBEkng==" spinCount="100000" sheet="1" objects="1" scenarios="1"/>
  <mergeCells count="70">
    <mergeCell ref="CD2:CD6"/>
    <mergeCell ref="CE2:CE6"/>
    <mergeCell ref="BY1:BY6"/>
    <mergeCell ref="ER1:ER6"/>
    <mergeCell ref="CA1:CA6"/>
    <mergeCell ref="CF1:CF6"/>
    <mergeCell ref="CG2:CG6"/>
    <mergeCell ref="CH2:CH6"/>
    <mergeCell ref="CI2:CI6"/>
    <mergeCell ref="CJ2:CJ6"/>
    <mergeCell ref="CK2:CK6"/>
    <mergeCell ref="CL2:CL6"/>
    <mergeCell ref="CM2:CM6"/>
    <mergeCell ref="CN2:CN6"/>
    <mergeCell ref="CC2:CC6"/>
    <mergeCell ref="CP3:CP6"/>
    <mergeCell ref="CQ3:CQ6"/>
    <mergeCell ref="CR3:CR6"/>
    <mergeCell ref="CS3:CS6"/>
    <mergeCell ref="CU3:CU6"/>
    <mergeCell ref="CV3:CV6"/>
    <mergeCell ref="CW3:CW6"/>
    <mergeCell ref="CX3:CX6"/>
    <mergeCell ref="CY3:CY6"/>
    <mergeCell ref="CZ3:CZ6"/>
    <mergeCell ref="DA3:DA6"/>
    <mergeCell ref="DB3:DB6"/>
    <mergeCell ref="DC3:DC6"/>
    <mergeCell ref="DD3:DD6"/>
    <mergeCell ref="DE3:DE6"/>
    <mergeCell ref="DF3:DF6"/>
    <mergeCell ref="DG3:DG6"/>
    <mergeCell ref="DH3:DH6"/>
    <mergeCell ref="DI3:DI6"/>
    <mergeCell ref="DJ3:DJ6"/>
    <mergeCell ref="DK3:DK6"/>
    <mergeCell ref="DL3:DL6"/>
    <mergeCell ref="DM3:DM6"/>
    <mergeCell ref="DN3:DN6"/>
    <mergeCell ref="DO3:DO6"/>
    <mergeCell ref="DP3:DP6"/>
    <mergeCell ref="DQ3:DQ6"/>
    <mergeCell ref="DR3:DR6"/>
    <mergeCell ref="DS3:DS6"/>
    <mergeCell ref="DT3:DT6"/>
    <mergeCell ref="EC3:EC6"/>
    <mergeCell ref="EA3:EA6"/>
    <mergeCell ref="EB3:EB6"/>
    <mergeCell ref="ED3:ED6"/>
    <mergeCell ref="DU3:DU6"/>
    <mergeCell ref="DV3:DV6"/>
    <mergeCell ref="DW3:DW6"/>
    <mergeCell ref="DX3:DX6"/>
    <mergeCell ref="DY3:DY6"/>
    <mergeCell ref="ES2:ES6"/>
    <mergeCell ref="ET2:ET6"/>
    <mergeCell ref="EP3:EP6"/>
    <mergeCell ref="EQ3:EQ6"/>
    <mergeCell ref="CB2:CB6"/>
    <mergeCell ref="EK3:EK6"/>
    <mergeCell ref="EL3:EL6"/>
    <mergeCell ref="EM3:EM6"/>
    <mergeCell ref="EN3:EN6"/>
    <mergeCell ref="EO3:EO6"/>
    <mergeCell ref="EF3:EF6"/>
    <mergeCell ref="EG3:EG6"/>
    <mergeCell ref="EH3:EH6"/>
    <mergeCell ref="EI3:EI6"/>
    <mergeCell ref="EJ3:EJ6"/>
    <mergeCell ref="DZ3:DZ6"/>
  </mergeCells>
  <phoneticPr fontId="9" type="noConversion"/>
  <conditionalFormatting sqref="AB164:BJ164 AB167:BJ167 AB174:BJ174 AB176:BJ177 AB161:BJ161 AB204:BJ204 AB39:BJ40 AB28:BJ28 AB49:BJ49 AB60:BJ60 AB99:BJ100 AB108:BJ108 AB134:BJ136 AB153:BJ153 AB185:BJ185 AB190:BJ197 AB30:BJ31 AB51:BJ52 AB156:BJ157 AB199:BJ199 AB85:BJ85 AA1:BJ11 AA114:BJ114 AA103:BJ103 AA77:AX77 AA70:BJ70 AA14:BJ14 AA16:BJ20">
    <cfRule type="expression" dxfId="2664" priority="1692">
      <formula>AND(AA$4=0,AB$4=1)</formula>
    </cfRule>
  </conditionalFormatting>
  <conditionalFormatting sqref="CP61:CS61 EF61:EQ61 CU61:ED61 CB61 BZ182 A182 BZ110:BZ111 A53:A61 A110:A111 A12:A16 BZ71:BZ74 A101:A107 A71:A77 BZ77 A81:A84 A113 BZ113 BZ53:BZ59 BZ101:BZ106">
    <cfRule type="cellIs" dxfId="2663" priority="1690" operator="equal">
      <formula>0</formula>
    </cfRule>
    <cfRule type="cellIs" dxfId="2662" priority="1691" operator="greaterThan">
      <formula>0</formula>
    </cfRule>
  </conditionalFormatting>
  <conditionalFormatting sqref="BL28:BW28">
    <cfRule type="expression" dxfId="2661" priority="1679">
      <formula>AND(BL$4=0,BM$4=1)</formula>
    </cfRule>
  </conditionalFormatting>
  <conditionalFormatting sqref="CB38">
    <cfRule type="cellIs" dxfId="2660" priority="1609" operator="equal">
      <formula>0</formula>
    </cfRule>
    <cfRule type="cellIs" dxfId="2659" priority="1610" operator="greaterThan">
      <formula>0</formula>
    </cfRule>
  </conditionalFormatting>
  <conditionalFormatting sqref="CP50:CS50 EF50:EQ50 CU50:ED50 CP38:CS38 EF38:EQ38 CU38:ED38 CP29:CS29 EF29:EQ29 CU29:ED29">
    <cfRule type="cellIs" dxfId="2658" priority="1629" operator="equal">
      <formula>0</formula>
    </cfRule>
    <cfRule type="cellIs" dxfId="2657" priority="1630" operator="greaterThan">
      <formula>0</formula>
    </cfRule>
  </conditionalFormatting>
  <conditionalFormatting sqref="CQ16:CS16 EF16:EQ16 CU16:ED16">
    <cfRule type="cellIs" dxfId="2656" priority="1635" operator="equal">
      <formula>0</formula>
    </cfRule>
    <cfRule type="cellIs" dxfId="2655" priority="1636" operator="greaterThan">
      <formula>0</formula>
    </cfRule>
  </conditionalFormatting>
  <conditionalFormatting sqref="CB16">
    <cfRule type="cellIs" dxfId="2654" priority="1613" operator="equal">
      <formula>0</formula>
    </cfRule>
    <cfRule type="cellIs" dxfId="2653" priority="1614" operator="greaterThan">
      <formula>0</formula>
    </cfRule>
  </conditionalFormatting>
  <conditionalFormatting sqref="CB29">
    <cfRule type="cellIs" dxfId="2652" priority="1611" operator="equal">
      <formula>0</formula>
    </cfRule>
    <cfRule type="cellIs" dxfId="2651" priority="1612" operator="greaterThan">
      <formula>0</formula>
    </cfRule>
  </conditionalFormatting>
  <conditionalFormatting sqref="CB50">
    <cfRule type="cellIs" dxfId="2650" priority="1607" operator="equal">
      <formula>0</formula>
    </cfRule>
    <cfRule type="cellIs" dxfId="2649" priority="1608" operator="greaterThan">
      <formula>0</formula>
    </cfRule>
  </conditionalFormatting>
  <conditionalFormatting sqref="A1">
    <cfRule type="cellIs" dxfId="2648" priority="1534" operator="equal">
      <formula>0</formula>
    </cfRule>
    <cfRule type="cellIs" dxfId="2647" priority="1535" operator="greaterThan">
      <formula>0</formula>
    </cfRule>
  </conditionalFormatting>
  <conditionalFormatting sqref="AB63:BJ63">
    <cfRule type="expression" dxfId="2646" priority="1532">
      <formula>AND(AB$4=0,AC$4=1)</formula>
    </cfRule>
  </conditionalFormatting>
  <conditionalFormatting sqref="AB62:BJ62">
    <cfRule type="expression" dxfId="2645" priority="1531">
      <formula>AND(AB$4=0,AC$4=1)</formula>
    </cfRule>
  </conditionalFormatting>
  <conditionalFormatting sqref="CP68:CS68 EF68:EQ68 CU68:ED68 CB68">
    <cfRule type="cellIs" dxfId="2644" priority="1503" operator="equal">
      <formula>0</formula>
    </cfRule>
    <cfRule type="cellIs" dxfId="2643" priority="1504" operator="greaterThan">
      <formula>0</formula>
    </cfRule>
  </conditionalFormatting>
  <conditionalFormatting sqref="AB157:BJ157">
    <cfRule type="expression" dxfId="2642" priority="1497">
      <formula>AND(AB$4=0,AC$4=1)</formula>
    </cfRule>
  </conditionalFormatting>
  <conditionalFormatting sqref="AB159:BJ159">
    <cfRule type="expression" dxfId="2641" priority="1492">
      <formula>AND(AB$4=0,AC$4=1)</formula>
    </cfRule>
  </conditionalFormatting>
  <conditionalFormatting sqref="AB159:BJ159">
    <cfRule type="expression" dxfId="2640" priority="1487">
      <formula>AND(AB$4=0,AC$4=1)</formula>
    </cfRule>
  </conditionalFormatting>
  <conditionalFormatting sqref="AB191:BJ191">
    <cfRule type="expression" dxfId="2639" priority="1477">
      <formula>AND(AB$4=0,AC$4=1)</formula>
    </cfRule>
  </conditionalFormatting>
  <conditionalFormatting sqref="AB192:BJ192">
    <cfRule type="expression" dxfId="2638" priority="1470">
      <formula>AND(AB$4=0,AC$4=1)</formula>
    </cfRule>
  </conditionalFormatting>
  <conditionalFormatting sqref="AB203:BJ203">
    <cfRule type="expression" dxfId="2637" priority="1469">
      <formula>AND(AB$4=0,AC$4=1)</formula>
    </cfRule>
  </conditionalFormatting>
  <conditionalFormatting sqref="AB152:BJ152">
    <cfRule type="expression" dxfId="2636" priority="1458">
      <formula>AND(AB$4=0,AC$4=1)</formula>
    </cfRule>
  </conditionalFormatting>
  <conditionalFormatting sqref="AB166:BJ166">
    <cfRule type="expression" dxfId="2635" priority="1454">
      <formula>AND(AB$4=0,AC$4=1)</formula>
    </cfRule>
  </conditionalFormatting>
  <conditionalFormatting sqref="AB200:BJ200">
    <cfRule type="expression" dxfId="2634" priority="1442">
      <formula>AND(AB$4=0,AC$4=1)</formula>
    </cfRule>
  </conditionalFormatting>
  <conditionalFormatting sqref="AA164 AA167 AA174 AA176:AA177 AA161 AA204 AA39:AA40 AA28 AA49 AA60 AA99:AA100 AA108 AA134:AA136 AA153 AA185 AA85 AA190:AA197 AA30:AA31 AA51:AA52 AA156:AA157 AA199">
    <cfRule type="expression" dxfId="2633" priority="1395">
      <formula>AND(AA$4=0,AB$4=1)</formula>
    </cfRule>
  </conditionalFormatting>
  <conditionalFormatting sqref="AA63">
    <cfRule type="expression" dxfId="2632" priority="1394">
      <formula>AND(AA$4=0,AB$4=1)</formula>
    </cfRule>
  </conditionalFormatting>
  <conditionalFormatting sqref="AA62">
    <cfRule type="expression" dxfId="2631" priority="1393">
      <formula>AND(AA$4=0,AB$4=1)</formula>
    </cfRule>
  </conditionalFormatting>
  <conditionalFormatting sqref="AA157">
    <cfRule type="expression" dxfId="2630" priority="1392">
      <formula>AND(AA$4=0,AB$4=1)</formula>
    </cfRule>
  </conditionalFormatting>
  <conditionalFormatting sqref="AA159">
    <cfRule type="expression" dxfId="2629" priority="1391">
      <formula>AND(AA$4=0,AB$4=1)</formula>
    </cfRule>
  </conditionalFormatting>
  <conditionalFormatting sqref="AA159">
    <cfRule type="expression" dxfId="2628" priority="1390">
      <formula>AND(AA$4=0,AB$4=1)</formula>
    </cfRule>
  </conditionalFormatting>
  <conditionalFormatting sqref="AA191">
    <cfRule type="expression" dxfId="2627" priority="1389">
      <formula>AND(AA$4=0,AB$4=1)</formula>
    </cfRule>
  </conditionalFormatting>
  <conditionalFormatting sqref="AA192">
    <cfRule type="expression" dxfId="2626" priority="1388">
      <formula>AND(AA$4=0,AB$4=1)</formula>
    </cfRule>
  </conditionalFormatting>
  <conditionalFormatting sqref="AA203">
    <cfRule type="expression" dxfId="2625" priority="1387">
      <formula>AND(AA$4=0,AB$4=1)</formula>
    </cfRule>
  </conditionalFormatting>
  <conditionalFormatting sqref="AA152">
    <cfRule type="expression" dxfId="2624" priority="1386">
      <formula>AND(AA$4=0,AB$4=1)</formula>
    </cfRule>
  </conditionalFormatting>
  <conditionalFormatting sqref="AA166">
    <cfRule type="expression" dxfId="2623" priority="1385">
      <formula>AND(AA$4=0,AB$4=1)</formula>
    </cfRule>
  </conditionalFormatting>
  <conditionalFormatting sqref="AA200">
    <cfRule type="expression" dxfId="2622" priority="1384">
      <formula>AND(AA$4=0,AB$4=1)</formula>
    </cfRule>
  </conditionalFormatting>
  <conditionalFormatting sqref="AA21:BJ21">
    <cfRule type="expression" dxfId="2621" priority="1374">
      <formula>AND(AA$4=0,AB$4=1)</formula>
    </cfRule>
  </conditionalFormatting>
  <conditionalFormatting sqref="AA22:BJ22">
    <cfRule type="expression" dxfId="2620" priority="1367">
      <formula>AND(AA$4=0,AB$4=1)</formula>
    </cfRule>
  </conditionalFormatting>
  <conditionalFormatting sqref="AA23:BJ23">
    <cfRule type="expression" dxfId="2619" priority="1360">
      <formula>AND(AA$4=0,AB$4=1)</formula>
    </cfRule>
  </conditionalFormatting>
  <conditionalFormatting sqref="AA27:BJ27">
    <cfRule type="expression" dxfId="2618" priority="1353">
      <formula>AND(AA$4=0,AB$4=1)</formula>
    </cfRule>
  </conditionalFormatting>
  <conditionalFormatting sqref="AA29:BJ29">
    <cfRule type="expression" dxfId="2617" priority="1346">
      <formula>AND(AA$4=0,AB$4=1)</formula>
    </cfRule>
  </conditionalFormatting>
  <conditionalFormatting sqref="AA32:BJ32">
    <cfRule type="expression" dxfId="2616" priority="1339">
      <formula>AND(AA$4=0,AB$4=1)</formula>
    </cfRule>
  </conditionalFormatting>
  <conditionalFormatting sqref="AA36:BJ36">
    <cfRule type="expression" dxfId="2615" priority="1332">
      <formula>AND(AA$4=0,AB$4=1)</formula>
    </cfRule>
  </conditionalFormatting>
  <conditionalFormatting sqref="AA38:BJ38">
    <cfRule type="expression" dxfId="2614" priority="1325">
      <formula>AND(AA$4=0,AB$4=1)</formula>
    </cfRule>
  </conditionalFormatting>
  <conditionalFormatting sqref="AA41:BJ41">
    <cfRule type="expression" dxfId="2613" priority="1311">
      <formula>AND(AA$4=0,AB$4=1)</formula>
    </cfRule>
  </conditionalFormatting>
  <conditionalFormatting sqref="AA42:BJ42">
    <cfRule type="expression" dxfId="2612" priority="1304">
      <formula>AND(AA$4=0,AB$4=1)</formula>
    </cfRule>
  </conditionalFormatting>
  <conditionalFormatting sqref="AA43:BJ43">
    <cfRule type="expression" dxfId="2611" priority="1297">
      <formula>AND(AA$4=0,AB$4=1)</formula>
    </cfRule>
  </conditionalFormatting>
  <conditionalFormatting sqref="AA44:BJ44">
    <cfRule type="expression" dxfId="2610" priority="1290">
      <formula>AND(AA$4=0,AB$4=1)</formula>
    </cfRule>
  </conditionalFormatting>
  <conditionalFormatting sqref="AA48:BJ48">
    <cfRule type="expression" dxfId="2609" priority="1283">
      <formula>AND(AA$4=0,AB$4=1)</formula>
    </cfRule>
  </conditionalFormatting>
  <conditionalFormatting sqref="AA50:BJ50">
    <cfRule type="expression" dxfId="2608" priority="1276">
      <formula>AND(AA$4=0,AB$4=1)</formula>
    </cfRule>
  </conditionalFormatting>
  <conditionalFormatting sqref="AA53:BJ53">
    <cfRule type="expression" dxfId="2607" priority="1269">
      <formula>AND(AA$4=0,AB$4=1)</formula>
    </cfRule>
  </conditionalFormatting>
  <conditionalFormatting sqref="AA54:BJ54">
    <cfRule type="expression" dxfId="2606" priority="1262">
      <formula>AND(AA$4=0,AB$4=1)</formula>
    </cfRule>
  </conditionalFormatting>
  <conditionalFormatting sqref="AA55:BJ55">
    <cfRule type="expression" dxfId="2605" priority="1255">
      <formula>AND(AA$4=0,AB$4=1)</formula>
    </cfRule>
  </conditionalFormatting>
  <conditionalFormatting sqref="AA59:BJ59">
    <cfRule type="expression" dxfId="2604" priority="1234">
      <formula>AND(AA$4=0,AB$4=1)</formula>
    </cfRule>
  </conditionalFormatting>
  <conditionalFormatting sqref="AA61:BJ61">
    <cfRule type="expression" dxfId="2603" priority="1227">
      <formula>AND(AA$4=0,AB$4=1)</formula>
    </cfRule>
  </conditionalFormatting>
  <conditionalFormatting sqref="AA64:BJ64">
    <cfRule type="expression" dxfId="2602" priority="1220">
      <formula>AND(AA$4=0,AB$4=1)</formula>
    </cfRule>
  </conditionalFormatting>
  <conditionalFormatting sqref="AA65:BJ65">
    <cfRule type="expression" dxfId="2601" priority="1213">
      <formula>AND(AA$4=0,AB$4=1)</formula>
    </cfRule>
  </conditionalFormatting>
  <conditionalFormatting sqref="AA66:BJ66">
    <cfRule type="expression" dxfId="2600" priority="1206">
      <formula>AND(AA$4=0,AB$4=1)</formula>
    </cfRule>
  </conditionalFormatting>
  <conditionalFormatting sqref="AA68:BJ68">
    <cfRule type="expression" dxfId="2599" priority="1199">
      <formula>AND(AA$4=0,AB$4=1)</formula>
    </cfRule>
  </conditionalFormatting>
  <conditionalFormatting sqref="AA71:AL71">
    <cfRule type="expression" dxfId="2598" priority="1192">
      <formula>AND(AA$4=0,AB$4=1)</formula>
    </cfRule>
  </conditionalFormatting>
  <conditionalFormatting sqref="AA72:AL72">
    <cfRule type="expression" dxfId="2597" priority="1185">
      <formula>AND(AA$4=0,AB$4=1)</formula>
    </cfRule>
  </conditionalFormatting>
  <conditionalFormatting sqref="AA73:AX73">
    <cfRule type="expression" dxfId="2596" priority="1178">
      <formula>AND(AA$4=0,AB$4=1)</formula>
    </cfRule>
  </conditionalFormatting>
  <conditionalFormatting sqref="AA74:AX74">
    <cfRule type="expression" dxfId="2595" priority="1164">
      <formula>AND(AA$4=0,AB$4=1)</formula>
    </cfRule>
  </conditionalFormatting>
  <conditionalFormatting sqref="AA75:AX75">
    <cfRule type="expression" dxfId="2594" priority="1157">
      <formula>AND(AA$4=0,AB$4=1)</formula>
    </cfRule>
  </conditionalFormatting>
  <conditionalFormatting sqref="AA76:AX77">
    <cfRule type="expression" dxfId="2593" priority="1150">
      <formula>AND(AA$4=0,AB$4=1)</formula>
    </cfRule>
  </conditionalFormatting>
  <conditionalFormatting sqref="AA87:BJ87">
    <cfRule type="expression" dxfId="2592" priority="1143">
      <formula>AND(AA$4=0,AB$4=1)</formula>
    </cfRule>
  </conditionalFormatting>
  <conditionalFormatting sqref="AA88:AL88 AY88:BJ88">
    <cfRule type="expression" dxfId="2591" priority="1136">
      <formula>AND(AA$4=0,AB$4=1)</formula>
    </cfRule>
  </conditionalFormatting>
  <conditionalFormatting sqref="AA89:AL89 AY89:BJ89">
    <cfRule type="expression" dxfId="2590" priority="1129">
      <formula>AND(AA$4=0,AB$4=1)</formula>
    </cfRule>
  </conditionalFormatting>
  <conditionalFormatting sqref="AA90:AL90 AY90:BJ90">
    <cfRule type="expression" dxfId="2589" priority="1122">
      <formula>AND(AA$4=0,AB$4=1)</formula>
    </cfRule>
  </conditionalFormatting>
  <conditionalFormatting sqref="AA91:AL91 AY91:BJ91">
    <cfRule type="expression" dxfId="2588" priority="1115">
      <formula>AND(AA$4=0,AB$4=1)</formula>
    </cfRule>
  </conditionalFormatting>
  <conditionalFormatting sqref="AA92:AL92 AY92:BJ92">
    <cfRule type="expression" dxfId="2587" priority="1108">
      <formula>AND(AA$4=0,AB$4=1)</formula>
    </cfRule>
  </conditionalFormatting>
  <conditionalFormatting sqref="AA93:AL93 AY93:BJ93">
    <cfRule type="expression" dxfId="2586" priority="1101">
      <formula>AND(AA$4=0,AB$4=1)</formula>
    </cfRule>
  </conditionalFormatting>
  <conditionalFormatting sqref="AA94:AL94 AY94:BJ94">
    <cfRule type="expression" dxfId="2585" priority="1094">
      <formula>AND(AA$4=0,AB$4=1)</formula>
    </cfRule>
  </conditionalFormatting>
  <conditionalFormatting sqref="AA101:BJ101">
    <cfRule type="expression" dxfId="2584" priority="1087">
      <formula>AND(AA$4=0,AB$4=1)</formula>
    </cfRule>
  </conditionalFormatting>
  <conditionalFormatting sqref="AA102:BJ102">
    <cfRule type="expression" dxfId="2583" priority="1080">
      <formula>AND(AA$4=0,AB$4=1)</formula>
    </cfRule>
  </conditionalFormatting>
  <conditionalFormatting sqref="AA110:BJ110">
    <cfRule type="expression" dxfId="2582" priority="1066">
      <formula>AND(AA$4=0,AB$4=1)</formula>
    </cfRule>
  </conditionalFormatting>
  <conditionalFormatting sqref="AA111:BJ111">
    <cfRule type="expression" dxfId="2581" priority="1059">
      <formula>AND(AA$4=0,AB$4=1)</formula>
    </cfRule>
  </conditionalFormatting>
  <conditionalFormatting sqref="AA77:AX77">
    <cfRule type="expression" dxfId="2580" priority="1052">
      <formula>AND(AA$4=0,AB$4=1)</formula>
    </cfRule>
  </conditionalFormatting>
  <conditionalFormatting sqref="AA115:BJ115">
    <cfRule type="expression" dxfId="2579" priority="1045">
      <formula>AND(AA$4=0,AB$4=1)</formula>
    </cfRule>
  </conditionalFormatting>
  <conditionalFormatting sqref="AA122:AL122 AY122:BJ129">
    <cfRule type="expression" dxfId="2578" priority="1038">
      <formula>AND(AA$4=0,AB$4=1)</formula>
    </cfRule>
  </conditionalFormatting>
  <conditionalFormatting sqref="AA123:AL123">
    <cfRule type="expression" dxfId="2577" priority="1031">
      <formula>AND(AA$4=0,AB$4=1)</formula>
    </cfRule>
  </conditionalFormatting>
  <conditionalFormatting sqref="AA124:AL124">
    <cfRule type="expression" dxfId="2576" priority="1024">
      <formula>AND(AA$4=0,AB$4=1)</formula>
    </cfRule>
  </conditionalFormatting>
  <conditionalFormatting sqref="AA125:AL125">
    <cfRule type="expression" dxfId="2575" priority="1017">
      <formula>AND(AA$4=0,AB$4=1)</formula>
    </cfRule>
  </conditionalFormatting>
  <conditionalFormatting sqref="AA126:AL126">
    <cfRule type="expression" dxfId="2574" priority="1010">
      <formula>AND(AA$4=0,AB$4=1)</formula>
    </cfRule>
  </conditionalFormatting>
  <conditionalFormatting sqref="AA127:AL127">
    <cfRule type="expression" dxfId="2573" priority="1003">
      <formula>AND(AA$4=0,AB$4=1)</formula>
    </cfRule>
  </conditionalFormatting>
  <conditionalFormatting sqref="AA128:AX128">
    <cfRule type="expression" dxfId="2572" priority="996">
      <formula>AND(AA$4=0,AB$4=1)</formula>
    </cfRule>
  </conditionalFormatting>
  <conditionalFormatting sqref="AA129:AX129">
    <cfRule type="expression" dxfId="2571" priority="989">
      <formula>AND(AA$4=0,AB$4=1)</formula>
    </cfRule>
  </conditionalFormatting>
  <conditionalFormatting sqref="AA137:AL137 AY137:BJ146">
    <cfRule type="expression" dxfId="2570" priority="982">
      <formula>AND(AA$4=0,AB$4=1)</formula>
    </cfRule>
  </conditionalFormatting>
  <conditionalFormatting sqref="AA138:AL138">
    <cfRule type="expression" dxfId="2569" priority="975">
      <formula>AND(AA$4=0,AB$4=1)</formula>
    </cfRule>
  </conditionalFormatting>
  <conditionalFormatting sqref="AA139:AL139">
    <cfRule type="expression" dxfId="2568" priority="968">
      <formula>AND(AA$4=0,AB$4=1)</formula>
    </cfRule>
  </conditionalFormatting>
  <conditionalFormatting sqref="AA140:AL140">
    <cfRule type="expression" dxfId="2567" priority="961">
      <formula>AND(AA$4=0,AB$4=1)</formula>
    </cfRule>
  </conditionalFormatting>
  <conditionalFormatting sqref="AA141:AL141">
    <cfRule type="expression" dxfId="2566" priority="954">
      <formula>AND(AA$4=0,AB$4=1)</formula>
    </cfRule>
  </conditionalFormatting>
  <conditionalFormatting sqref="AA142:AL142">
    <cfRule type="expression" dxfId="2565" priority="947">
      <formula>AND(AA$4=0,AB$4=1)</formula>
    </cfRule>
  </conditionalFormatting>
  <conditionalFormatting sqref="AA143:AL143">
    <cfRule type="expression" dxfId="2564" priority="940">
      <formula>AND(AA$4=0,AB$4=1)</formula>
    </cfRule>
  </conditionalFormatting>
  <conditionalFormatting sqref="AA144:AX144">
    <cfRule type="expression" dxfId="2563" priority="933">
      <formula>AND(AA$4=0,AB$4=1)</formula>
    </cfRule>
  </conditionalFormatting>
  <conditionalFormatting sqref="AA145:AX145">
    <cfRule type="expression" dxfId="2562" priority="926">
      <formula>AND(AA$4=0,AB$4=1)</formula>
    </cfRule>
  </conditionalFormatting>
  <conditionalFormatting sqref="AA146:AX146">
    <cfRule type="expression" dxfId="2561" priority="919">
      <formula>AND(AA$4=0,AB$4=1)</formula>
    </cfRule>
  </conditionalFormatting>
  <conditionalFormatting sqref="AA154:BJ154">
    <cfRule type="expression" dxfId="2560" priority="912">
      <formula>AND(AA$4=0,AB$4=1)</formula>
    </cfRule>
  </conditionalFormatting>
  <conditionalFormatting sqref="AA169:BJ169">
    <cfRule type="expression" dxfId="2559" priority="898">
      <formula>AND(AA$4=0,AB$4=1)</formula>
    </cfRule>
  </conditionalFormatting>
  <conditionalFormatting sqref="AA172:BJ172">
    <cfRule type="expression" dxfId="2558" priority="891">
      <formula>AND(AA$4=0,AB$4=1)</formula>
    </cfRule>
  </conditionalFormatting>
  <conditionalFormatting sqref="AA181:BJ182">
    <cfRule type="expression" dxfId="2557" priority="884">
      <formula>AND(AA$4=0,AB$4=1)</formula>
    </cfRule>
  </conditionalFormatting>
  <conditionalFormatting sqref="AA198:BJ198">
    <cfRule type="expression" dxfId="2556" priority="877">
      <formula>AND(AA$4=0,AB$4=1)</formula>
    </cfRule>
  </conditionalFormatting>
  <conditionalFormatting sqref="AA182:BJ182">
    <cfRule type="expression" dxfId="2555" priority="851">
      <formula>AND(AA$4=0,AB$4=1)</formula>
    </cfRule>
  </conditionalFormatting>
  <conditionalFormatting sqref="CG11:CJ11 CG182:CM182 CG53:CM61 CG110:CM111 CG12:CM16 CG101:CM107 CG71:CM77 CG81:CM84 CG113:CM113">
    <cfRule type="cellIs" dxfId="2554" priority="842" operator="lessThan">
      <formula>0</formula>
    </cfRule>
    <cfRule type="cellIs" dxfId="2553" priority="843" operator="greaterThan">
      <formula>0</formula>
    </cfRule>
    <cfRule type="cellIs" dxfId="2552" priority="844" operator="equal">
      <formula>0</formula>
    </cfRule>
  </conditionalFormatting>
  <conditionalFormatting sqref="CL11">
    <cfRule type="cellIs" dxfId="2551" priority="836" operator="lessThan">
      <formula>0</formula>
    </cfRule>
    <cfRule type="cellIs" dxfId="2550" priority="837" operator="greaterThan">
      <formula>0</formula>
    </cfRule>
    <cfRule type="cellIs" dxfId="2549" priority="838" operator="equal">
      <formula>0</formula>
    </cfRule>
  </conditionalFormatting>
  <conditionalFormatting sqref="CK11">
    <cfRule type="cellIs" dxfId="2548" priority="839" operator="lessThan">
      <formula>0</formula>
    </cfRule>
    <cfRule type="cellIs" dxfId="2547" priority="840" operator="greaterThan">
      <formula>0</formula>
    </cfRule>
    <cfRule type="cellIs" dxfId="2546" priority="841" operator="equal">
      <formula>0</formula>
    </cfRule>
  </conditionalFormatting>
  <conditionalFormatting sqref="CM11">
    <cfRule type="cellIs" dxfId="2545" priority="824" operator="lessThan">
      <formula>0</formula>
    </cfRule>
    <cfRule type="cellIs" dxfId="2544" priority="825" operator="greaterThan">
      <formula>0</formula>
    </cfRule>
    <cfRule type="cellIs" dxfId="2543" priority="826" operator="equal">
      <formula>0</formula>
    </cfRule>
  </conditionalFormatting>
  <conditionalFormatting sqref="CN16">
    <cfRule type="cellIs" dxfId="2542" priority="764" operator="lessThan">
      <formula>0</formula>
    </cfRule>
    <cfRule type="cellIs" dxfId="2541" priority="765" operator="greaterThan">
      <formula>0</formula>
    </cfRule>
    <cfRule type="cellIs" dxfId="2540" priority="766" operator="equal">
      <formula>0</formula>
    </cfRule>
  </conditionalFormatting>
  <conditionalFormatting sqref="CN38">
    <cfRule type="cellIs" dxfId="2539" priority="744" operator="lessThan">
      <formula>0</formula>
    </cfRule>
    <cfRule type="cellIs" dxfId="2538" priority="745" operator="greaterThan">
      <formula>0</formula>
    </cfRule>
    <cfRule type="cellIs" dxfId="2537" priority="746" operator="equal">
      <formula>0</formula>
    </cfRule>
  </conditionalFormatting>
  <conditionalFormatting sqref="CP16">
    <cfRule type="cellIs" dxfId="2536" priority="759" operator="equal">
      <formula>0</formula>
    </cfRule>
    <cfRule type="cellIs" dxfId="2535" priority="760" operator="greaterThan">
      <formula>0</formula>
    </cfRule>
  </conditionalFormatting>
  <conditionalFormatting sqref="CN29">
    <cfRule type="cellIs" dxfId="2534" priority="756" operator="lessThan">
      <formula>0</formula>
    </cfRule>
    <cfRule type="cellIs" dxfId="2533" priority="757" operator="greaterThan">
      <formula>0</formula>
    </cfRule>
    <cfRule type="cellIs" dxfId="2532" priority="758" operator="equal">
      <formula>0</formula>
    </cfRule>
  </conditionalFormatting>
  <conditionalFormatting sqref="CN68">
    <cfRule type="cellIs" dxfId="2531" priority="753" operator="lessThan">
      <formula>0</formula>
    </cfRule>
    <cfRule type="cellIs" dxfId="2530" priority="754" operator="greaterThan">
      <formula>0</formula>
    </cfRule>
    <cfRule type="cellIs" dxfId="2529" priority="755" operator="equal">
      <formula>0</formula>
    </cfRule>
  </conditionalFormatting>
  <conditionalFormatting sqref="CN61">
    <cfRule type="cellIs" dxfId="2528" priority="750" operator="lessThan">
      <formula>0</formula>
    </cfRule>
    <cfRule type="cellIs" dxfId="2527" priority="751" operator="greaterThan">
      <formula>0</formula>
    </cfRule>
    <cfRule type="cellIs" dxfId="2526" priority="752" operator="equal">
      <formula>0</formula>
    </cfRule>
  </conditionalFormatting>
  <conditionalFormatting sqref="CN50">
    <cfRule type="cellIs" dxfId="2525" priority="747" operator="lessThan">
      <formula>0</formula>
    </cfRule>
    <cfRule type="cellIs" dxfId="2524" priority="748" operator="greaterThan">
      <formula>0</formula>
    </cfRule>
    <cfRule type="cellIs" dxfId="2523" priority="749" operator="equal">
      <formula>0</formula>
    </cfRule>
  </conditionalFormatting>
  <conditionalFormatting sqref="CC182:CE182 CC53:CE61 CC110:CE111 CC11:CE16 CC101:CE107 CC71:CE77 CC81:CE84 CC113:CE113">
    <cfRule type="cellIs" dxfId="2522" priority="742" operator="equal">
      <formula>0</formula>
    </cfRule>
    <cfRule type="cellIs" dxfId="2521" priority="743" operator="equal">
      <formula>1</formula>
    </cfRule>
  </conditionalFormatting>
  <conditionalFormatting sqref="A2">
    <cfRule type="cellIs" dxfId="2520" priority="732" operator="equal">
      <formula>0</formula>
    </cfRule>
    <cfRule type="cellIs" dxfId="2519" priority="733" operator="greaterThan">
      <formula>0</formula>
    </cfRule>
  </conditionalFormatting>
  <conditionalFormatting sqref="A11">
    <cfRule type="cellIs" dxfId="2518" priority="730" operator="equal">
      <formula>0</formula>
    </cfRule>
    <cfRule type="cellIs" dxfId="2517" priority="731" operator="greaterThan">
      <formula>0</formula>
    </cfRule>
  </conditionalFormatting>
  <conditionalFormatting sqref="BZ2 BZ182 BZ110:BZ111 BZ71:BZ74 BZ77 BZ113 BZ11:BZ13 BZ53:BZ59 BZ101:BZ106">
    <cfRule type="cellIs" dxfId="2516" priority="728" operator="greaterThan">
      <formula>0</formula>
    </cfRule>
    <cfRule type="cellIs" dxfId="2515" priority="729" operator="equal">
      <formula>0</formula>
    </cfRule>
  </conditionalFormatting>
  <conditionalFormatting sqref="BZ15">
    <cfRule type="cellIs" dxfId="2514" priority="724" operator="equal">
      <formula>0</formula>
    </cfRule>
    <cfRule type="cellIs" dxfId="2513" priority="725" operator="greaterThan">
      <formula>0</formula>
    </cfRule>
  </conditionalFormatting>
  <conditionalFormatting sqref="BZ14:BZ15">
    <cfRule type="cellIs" dxfId="2512" priority="722" operator="greaterThan">
      <formula>0</formula>
    </cfRule>
    <cfRule type="cellIs" dxfId="2511" priority="723" operator="equal">
      <formula>0</formula>
    </cfRule>
  </conditionalFormatting>
  <conditionalFormatting sqref="BZ16">
    <cfRule type="cellIs" dxfId="2510" priority="720" operator="equal">
      <formula>0</formula>
    </cfRule>
    <cfRule type="cellIs" dxfId="2509" priority="721" operator="greaterThan">
      <formula>0</formula>
    </cfRule>
  </conditionalFormatting>
  <conditionalFormatting sqref="BZ16">
    <cfRule type="cellIs" dxfId="2508" priority="718" operator="greaterThan">
      <formula>0</formula>
    </cfRule>
    <cfRule type="cellIs" dxfId="2507" priority="719" operator="equal">
      <formula>0</formula>
    </cfRule>
  </conditionalFormatting>
  <conditionalFormatting sqref="BZ19:BZ26">
    <cfRule type="cellIs" dxfId="2506" priority="716" operator="equal">
      <formula>0</formula>
    </cfRule>
    <cfRule type="cellIs" dxfId="2505" priority="717" operator="greaterThan">
      <formula>0</formula>
    </cfRule>
  </conditionalFormatting>
  <conditionalFormatting sqref="BZ19:BZ26">
    <cfRule type="cellIs" dxfId="2504" priority="714" operator="greaterThan">
      <formula>0</formula>
    </cfRule>
    <cfRule type="cellIs" dxfId="2503" priority="715" operator="equal">
      <formula>0</formula>
    </cfRule>
  </conditionalFormatting>
  <conditionalFormatting sqref="BZ32:BZ35">
    <cfRule type="cellIs" dxfId="2502" priority="712" operator="equal">
      <formula>0</formula>
    </cfRule>
    <cfRule type="cellIs" dxfId="2501" priority="713" operator="greaterThan">
      <formula>0</formula>
    </cfRule>
  </conditionalFormatting>
  <conditionalFormatting sqref="BZ32:BZ35">
    <cfRule type="cellIs" dxfId="2500" priority="710" operator="greaterThan">
      <formula>0</formula>
    </cfRule>
    <cfRule type="cellIs" dxfId="2499" priority="711" operator="equal">
      <formula>0</formula>
    </cfRule>
  </conditionalFormatting>
  <conditionalFormatting sqref="BZ28">
    <cfRule type="cellIs" dxfId="2498" priority="708" operator="equal">
      <formula>0</formula>
    </cfRule>
    <cfRule type="cellIs" dxfId="2497" priority="709" operator="greaterThan">
      <formula>0</formula>
    </cfRule>
  </conditionalFormatting>
  <conditionalFormatting sqref="BZ27:BZ28">
    <cfRule type="cellIs" dxfId="2496" priority="706" operator="greaterThan">
      <formula>0</formula>
    </cfRule>
    <cfRule type="cellIs" dxfId="2495" priority="707" operator="equal">
      <formula>0</formula>
    </cfRule>
  </conditionalFormatting>
  <conditionalFormatting sqref="BZ29">
    <cfRule type="cellIs" dxfId="2494" priority="704" operator="equal">
      <formula>0</formula>
    </cfRule>
    <cfRule type="cellIs" dxfId="2493" priority="705" operator="greaterThan">
      <formula>0</formula>
    </cfRule>
  </conditionalFormatting>
  <conditionalFormatting sqref="BZ29">
    <cfRule type="cellIs" dxfId="2492" priority="702" operator="greaterThan">
      <formula>0</formula>
    </cfRule>
    <cfRule type="cellIs" dxfId="2491" priority="703" operator="equal">
      <formula>0</formula>
    </cfRule>
  </conditionalFormatting>
  <conditionalFormatting sqref="BZ37">
    <cfRule type="cellIs" dxfId="2490" priority="700" operator="equal">
      <formula>0</formula>
    </cfRule>
    <cfRule type="cellIs" dxfId="2489" priority="701" operator="greaterThan">
      <formula>0</formula>
    </cfRule>
  </conditionalFormatting>
  <conditionalFormatting sqref="BZ36:BZ37">
    <cfRule type="cellIs" dxfId="2488" priority="698" operator="greaterThan">
      <formula>0</formula>
    </cfRule>
    <cfRule type="cellIs" dxfId="2487" priority="699" operator="equal">
      <formula>0</formula>
    </cfRule>
  </conditionalFormatting>
  <conditionalFormatting sqref="BZ38">
    <cfRule type="cellIs" dxfId="2486" priority="696" operator="equal">
      <formula>0</formula>
    </cfRule>
    <cfRule type="cellIs" dxfId="2485" priority="697" operator="greaterThan">
      <formula>0</formula>
    </cfRule>
  </conditionalFormatting>
  <conditionalFormatting sqref="BZ38">
    <cfRule type="cellIs" dxfId="2484" priority="694" operator="greaterThan">
      <formula>0</formula>
    </cfRule>
    <cfRule type="cellIs" dxfId="2483" priority="695" operator="equal">
      <formula>0</formula>
    </cfRule>
  </conditionalFormatting>
  <conditionalFormatting sqref="BZ42">
    <cfRule type="cellIs" dxfId="2482" priority="692" operator="equal">
      <formula>0</formula>
    </cfRule>
    <cfRule type="cellIs" dxfId="2481" priority="693" operator="greaterThan">
      <formula>0</formula>
    </cfRule>
  </conditionalFormatting>
  <conditionalFormatting sqref="BZ41:BZ42">
    <cfRule type="cellIs" dxfId="2480" priority="690" operator="greaterThan">
      <formula>0</formula>
    </cfRule>
    <cfRule type="cellIs" dxfId="2479" priority="691" operator="equal">
      <formula>0</formula>
    </cfRule>
  </conditionalFormatting>
  <conditionalFormatting sqref="BZ43">
    <cfRule type="cellIs" dxfId="2478" priority="688" operator="equal">
      <formula>0</formula>
    </cfRule>
    <cfRule type="cellIs" dxfId="2477" priority="689" operator="greaterThan">
      <formula>0</formula>
    </cfRule>
  </conditionalFormatting>
  <conditionalFormatting sqref="BZ43">
    <cfRule type="cellIs" dxfId="2476" priority="686" operator="greaterThan">
      <formula>0</formula>
    </cfRule>
    <cfRule type="cellIs" dxfId="2475" priority="687" operator="equal">
      <formula>0</formula>
    </cfRule>
  </conditionalFormatting>
  <conditionalFormatting sqref="BZ44:BZ47">
    <cfRule type="cellIs" dxfId="2474" priority="684" operator="equal">
      <formula>0</formula>
    </cfRule>
    <cfRule type="cellIs" dxfId="2473" priority="685" operator="greaterThan">
      <formula>0</formula>
    </cfRule>
  </conditionalFormatting>
  <conditionalFormatting sqref="BZ44:BZ47">
    <cfRule type="cellIs" dxfId="2472" priority="682" operator="greaterThan">
      <formula>0</formula>
    </cfRule>
    <cfRule type="cellIs" dxfId="2471" priority="683" operator="equal">
      <formula>0</formula>
    </cfRule>
  </conditionalFormatting>
  <conditionalFormatting sqref="BZ48">
    <cfRule type="cellIs" dxfId="2470" priority="680" operator="equal">
      <formula>0</formula>
    </cfRule>
    <cfRule type="cellIs" dxfId="2469" priority="681" operator="greaterThan">
      <formula>0</formula>
    </cfRule>
  </conditionalFormatting>
  <conditionalFormatting sqref="BZ48">
    <cfRule type="cellIs" dxfId="2468" priority="678" operator="greaterThan">
      <formula>0</formula>
    </cfRule>
    <cfRule type="cellIs" dxfId="2467" priority="679" operator="equal">
      <formula>0</formula>
    </cfRule>
  </conditionalFormatting>
  <conditionalFormatting sqref="BZ49">
    <cfRule type="cellIs" dxfId="2466" priority="676" operator="equal">
      <formula>0</formula>
    </cfRule>
    <cfRule type="cellIs" dxfId="2465" priority="677" operator="greaterThan">
      <formula>0</formula>
    </cfRule>
  </conditionalFormatting>
  <conditionalFormatting sqref="BZ49">
    <cfRule type="cellIs" dxfId="2464" priority="674" operator="greaterThan">
      <formula>0</formula>
    </cfRule>
    <cfRule type="cellIs" dxfId="2463" priority="675" operator="equal">
      <formula>0</formula>
    </cfRule>
  </conditionalFormatting>
  <conditionalFormatting sqref="BZ50">
    <cfRule type="cellIs" dxfId="2462" priority="672" operator="equal">
      <formula>0</formula>
    </cfRule>
    <cfRule type="cellIs" dxfId="2461" priority="673" operator="greaterThan">
      <formula>0</formula>
    </cfRule>
  </conditionalFormatting>
  <conditionalFormatting sqref="BZ50">
    <cfRule type="cellIs" dxfId="2460" priority="670" operator="greaterThan">
      <formula>0</formula>
    </cfRule>
    <cfRule type="cellIs" dxfId="2459" priority="671" operator="equal">
      <formula>0</formula>
    </cfRule>
  </conditionalFormatting>
  <conditionalFormatting sqref="BZ61">
    <cfRule type="cellIs" dxfId="2458" priority="660" operator="equal">
      <formula>0</formula>
    </cfRule>
    <cfRule type="cellIs" dxfId="2457" priority="661" operator="greaterThan">
      <formula>0</formula>
    </cfRule>
  </conditionalFormatting>
  <conditionalFormatting sqref="BZ61">
    <cfRule type="cellIs" dxfId="2456" priority="658" operator="greaterThan">
      <formula>0</formula>
    </cfRule>
    <cfRule type="cellIs" dxfId="2455" priority="659" operator="equal">
      <formula>0</formula>
    </cfRule>
  </conditionalFormatting>
  <conditionalFormatting sqref="BZ60">
    <cfRule type="cellIs" dxfId="2454" priority="664" operator="equal">
      <formula>0</formula>
    </cfRule>
    <cfRule type="cellIs" dxfId="2453" priority="665" operator="greaterThan">
      <formula>0</formula>
    </cfRule>
  </conditionalFormatting>
  <conditionalFormatting sqref="BZ60">
    <cfRule type="cellIs" dxfId="2452" priority="662" operator="greaterThan">
      <formula>0</formula>
    </cfRule>
    <cfRule type="cellIs" dxfId="2451" priority="663" operator="equal">
      <formula>0</formula>
    </cfRule>
  </conditionalFormatting>
  <conditionalFormatting sqref="BZ64:BZ68">
    <cfRule type="cellIs" dxfId="2450" priority="652" operator="equal">
      <formula>0</formula>
    </cfRule>
    <cfRule type="cellIs" dxfId="2449" priority="653" operator="greaterThan">
      <formula>0</formula>
    </cfRule>
  </conditionalFormatting>
  <conditionalFormatting sqref="BZ64:BZ68">
    <cfRule type="cellIs" dxfId="2448" priority="650" operator="greaterThan">
      <formula>0</formula>
    </cfRule>
    <cfRule type="cellIs" dxfId="2447" priority="651" operator="equal">
      <formula>0</formula>
    </cfRule>
  </conditionalFormatting>
  <conditionalFormatting sqref="BZ75:BZ77">
    <cfRule type="cellIs" dxfId="2446" priority="644" operator="equal">
      <formula>0</formula>
    </cfRule>
    <cfRule type="cellIs" dxfId="2445" priority="645" operator="greaterThan">
      <formula>0</formula>
    </cfRule>
  </conditionalFormatting>
  <conditionalFormatting sqref="BZ75:BZ77">
    <cfRule type="cellIs" dxfId="2444" priority="642" operator="greaterThan">
      <formula>0</formula>
    </cfRule>
    <cfRule type="cellIs" dxfId="2443" priority="643" operator="equal">
      <formula>0</formula>
    </cfRule>
  </conditionalFormatting>
  <conditionalFormatting sqref="BZ84">
    <cfRule type="cellIs" dxfId="2442" priority="640" operator="equal">
      <formula>0</formula>
    </cfRule>
    <cfRule type="cellIs" dxfId="2441" priority="641" operator="greaterThan">
      <formula>0</formula>
    </cfRule>
  </conditionalFormatting>
  <conditionalFormatting sqref="BZ84">
    <cfRule type="cellIs" dxfId="2440" priority="638" operator="greaterThan">
      <formula>0</formula>
    </cfRule>
    <cfRule type="cellIs" dxfId="2439" priority="639" operator="equal">
      <formula>0</formula>
    </cfRule>
  </conditionalFormatting>
  <conditionalFormatting sqref="BZ87:BZ97">
    <cfRule type="cellIs" dxfId="2438" priority="636" operator="equal">
      <formula>0</formula>
    </cfRule>
    <cfRule type="cellIs" dxfId="2437" priority="637" operator="greaterThan">
      <formula>0</formula>
    </cfRule>
  </conditionalFormatting>
  <conditionalFormatting sqref="BZ87:BZ97">
    <cfRule type="cellIs" dxfId="2436" priority="634" operator="greaterThan">
      <formula>0</formula>
    </cfRule>
    <cfRule type="cellIs" dxfId="2435" priority="635" operator="equal">
      <formula>0</formula>
    </cfRule>
  </conditionalFormatting>
  <conditionalFormatting sqref="BZ98">
    <cfRule type="cellIs" dxfId="2434" priority="632" operator="equal">
      <formula>0</formula>
    </cfRule>
    <cfRule type="cellIs" dxfId="2433" priority="633" operator="greaterThan">
      <formula>0</formula>
    </cfRule>
  </conditionalFormatting>
  <conditionalFormatting sqref="BZ98">
    <cfRule type="cellIs" dxfId="2432" priority="630" operator="greaterThan">
      <formula>0</formula>
    </cfRule>
    <cfRule type="cellIs" dxfId="2431" priority="631" operator="equal">
      <formula>0</formula>
    </cfRule>
  </conditionalFormatting>
  <conditionalFormatting sqref="A193:A199 A187:A189 A185 A178:A183 A175 A168:A173 A165 A162:A163 A160 A158 A154:A156 A137:A151 A122:A134 A119 A115:A117 A87:A98 A64:A68 A41:A50 A32:A38 A19:A29">
    <cfRule type="cellIs" dxfId="2430" priority="554" operator="equal">
      <formula>0</formula>
    </cfRule>
    <cfRule type="cellIs" dxfId="2429" priority="555" operator="greaterThan">
      <formula>0</formula>
    </cfRule>
  </conditionalFormatting>
  <conditionalFormatting sqref="BZ107">
    <cfRule type="cellIs" dxfId="2428" priority="624" operator="equal">
      <formula>0</formula>
    </cfRule>
    <cfRule type="cellIs" dxfId="2427" priority="625" operator="greaterThan">
      <formula>0</formula>
    </cfRule>
  </conditionalFormatting>
  <conditionalFormatting sqref="BZ107">
    <cfRule type="cellIs" dxfId="2426" priority="622" operator="greaterThan">
      <formula>0</formula>
    </cfRule>
    <cfRule type="cellIs" dxfId="2425" priority="623" operator="equal">
      <formula>0</formula>
    </cfRule>
  </conditionalFormatting>
  <conditionalFormatting sqref="BZ115:BZ117">
    <cfRule type="cellIs" dxfId="2424" priority="616" operator="equal">
      <formula>0</formula>
    </cfRule>
    <cfRule type="cellIs" dxfId="2423" priority="617" operator="greaterThan">
      <formula>0</formula>
    </cfRule>
  </conditionalFormatting>
  <conditionalFormatting sqref="BZ115:BZ117">
    <cfRule type="cellIs" dxfId="2422" priority="614" operator="greaterThan">
      <formula>0</formula>
    </cfRule>
    <cfRule type="cellIs" dxfId="2421" priority="615" operator="equal">
      <formula>0</formula>
    </cfRule>
  </conditionalFormatting>
  <conditionalFormatting sqref="BZ122:BZ129">
    <cfRule type="cellIs" dxfId="2420" priority="612" operator="equal">
      <formula>0</formula>
    </cfRule>
    <cfRule type="cellIs" dxfId="2419" priority="613" operator="greaterThan">
      <formula>0</formula>
    </cfRule>
  </conditionalFormatting>
  <conditionalFormatting sqref="BZ122:BZ129">
    <cfRule type="cellIs" dxfId="2418" priority="610" operator="greaterThan">
      <formula>0</formula>
    </cfRule>
    <cfRule type="cellIs" dxfId="2417" priority="611" operator="equal">
      <formula>0</formula>
    </cfRule>
  </conditionalFormatting>
  <conditionalFormatting sqref="BZ137:BZ146">
    <cfRule type="cellIs" dxfId="2416" priority="604" operator="equal">
      <formula>0</formula>
    </cfRule>
    <cfRule type="cellIs" dxfId="2415" priority="605" operator="greaterThan">
      <formula>0</formula>
    </cfRule>
  </conditionalFormatting>
  <conditionalFormatting sqref="BZ137:BZ146">
    <cfRule type="cellIs" dxfId="2414" priority="602" operator="greaterThan">
      <formula>0</formula>
    </cfRule>
    <cfRule type="cellIs" dxfId="2413" priority="603" operator="equal">
      <formula>0</formula>
    </cfRule>
  </conditionalFormatting>
  <conditionalFormatting sqref="BZ151">
    <cfRule type="cellIs" dxfId="2412" priority="600" operator="equal">
      <formula>0</formula>
    </cfRule>
    <cfRule type="cellIs" dxfId="2411" priority="601" operator="greaterThan">
      <formula>0</formula>
    </cfRule>
  </conditionalFormatting>
  <conditionalFormatting sqref="BZ151">
    <cfRule type="cellIs" dxfId="2410" priority="598" operator="greaterThan">
      <formula>0</formula>
    </cfRule>
    <cfRule type="cellIs" dxfId="2409" priority="599" operator="equal">
      <formula>0</formula>
    </cfRule>
  </conditionalFormatting>
  <conditionalFormatting sqref="BZ154:BZ156">
    <cfRule type="cellIs" dxfId="2408" priority="596" operator="equal">
      <formula>0</formula>
    </cfRule>
    <cfRule type="cellIs" dxfId="2407" priority="597" operator="greaterThan">
      <formula>0</formula>
    </cfRule>
  </conditionalFormatting>
  <conditionalFormatting sqref="BZ154:BZ156">
    <cfRule type="cellIs" dxfId="2406" priority="594" operator="greaterThan">
      <formula>0</formula>
    </cfRule>
    <cfRule type="cellIs" dxfId="2405" priority="595" operator="equal">
      <formula>0</formula>
    </cfRule>
  </conditionalFormatting>
  <conditionalFormatting sqref="BZ169">
    <cfRule type="cellIs" dxfId="2404" priority="588" operator="equal">
      <formula>0</formula>
    </cfRule>
    <cfRule type="cellIs" dxfId="2403" priority="589" operator="greaterThan">
      <formula>0</formula>
    </cfRule>
  </conditionalFormatting>
  <conditionalFormatting sqref="BZ169">
    <cfRule type="cellIs" dxfId="2402" priority="586" operator="greaterThan">
      <formula>0</formula>
    </cfRule>
    <cfRule type="cellIs" dxfId="2401" priority="587" operator="equal">
      <formula>0</formula>
    </cfRule>
  </conditionalFormatting>
  <conditionalFormatting sqref="BZ172">
    <cfRule type="cellIs" dxfId="2400" priority="580" operator="equal">
      <formula>0</formula>
    </cfRule>
    <cfRule type="cellIs" dxfId="2399" priority="581" operator="greaterThan">
      <formula>0</formula>
    </cfRule>
  </conditionalFormatting>
  <conditionalFormatting sqref="BZ172">
    <cfRule type="cellIs" dxfId="2398" priority="578" operator="greaterThan">
      <formula>0</formula>
    </cfRule>
    <cfRule type="cellIs" dxfId="2397" priority="579" operator="equal">
      <formula>0</formula>
    </cfRule>
  </conditionalFormatting>
  <conditionalFormatting sqref="BZ198">
    <cfRule type="cellIs" dxfId="2396" priority="576" operator="equal">
      <formula>0</formula>
    </cfRule>
    <cfRule type="cellIs" dxfId="2395" priority="577" operator="greaterThan">
      <formula>0</formula>
    </cfRule>
  </conditionalFormatting>
  <conditionalFormatting sqref="BZ198">
    <cfRule type="cellIs" dxfId="2394" priority="574" operator="greaterThan">
      <formula>0</formula>
    </cfRule>
    <cfRule type="cellIs" dxfId="2393" priority="575" operator="equal">
      <formula>0</formula>
    </cfRule>
  </conditionalFormatting>
  <conditionalFormatting sqref="BZ181:BZ182">
    <cfRule type="cellIs" dxfId="2392" priority="572" operator="equal">
      <formula>0</formula>
    </cfRule>
    <cfRule type="cellIs" dxfId="2391" priority="573" operator="greaterThan">
      <formula>0</formula>
    </cfRule>
  </conditionalFormatting>
  <conditionalFormatting sqref="BZ181:BZ182">
    <cfRule type="cellIs" dxfId="2390" priority="570" operator="greaterThan">
      <formula>0</formula>
    </cfRule>
    <cfRule type="cellIs" dxfId="2389" priority="571" operator="equal">
      <formula>0</formula>
    </cfRule>
  </conditionalFormatting>
  <conditionalFormatting sqref="CG193:CJ199 CG187:CJ189 CG185:CJ185 CG178:CJ183 CG175:CJ175 CG168:CJ173 CG165:CJ165 CG162:CJ163 CG160:CJ160 CG158:CJ158 CG154:CJ156 CG137:CJ151 CG122:CJ134 CG119:CJ119 CG115:CJ117 CG87:CJ98 CG64:CJ68 CG41:CJ50 CG32:CJ38 CG19:CJ29">
    <cfRule type="cellIs" dxfId="2388" priority="567" operator="lessThan">
      <formula>0</formula>
    </cfRule>
    <cfRule type="cellIs" dxfId="2387" priority="568" operator="greaterThan">
      <formula>0</formula>
    </cfRule>
    <cfRule type="cellIs" dxfId="2386" priority="569" operator="equal">
      <formula>0</formula>
    </cfRule>
  </conditionalFormatting>
  <conditionalFormatting sqref="CL193:CL199 CL187:CL189 CL185 CL178:CL183 CL175 CL168:CL173 CL165 CL162:CL163 CL160 CL158 CL154:CL156 CL137:CL151 CL122:CL134 CL119 CL115:CL117 CL87:CL98 CL64:CL68 CL41:CL50 CL32:CL38 CL19:CL29">
    <cfRule type="cellIs" dxfId="2385" priority="561" operator="lessThan">
      <formula>0</formula>
    </cfRule>
    <cfRule type="cellIs" dxfId="2384" priority="562" operator="greaterThan">
      <formula>0</formula>
    </cfRule>
    <cfRule type="cellIs" dxfId="2383" priority="563" operator="equal">
      <formula>0</formula>
    </cfRule>
  </conditionalFormatting>
  <conditionalFormatting sqref="CK193:CK199 CK187:CK189 CK185 CK178:CK183 CK175 CK168:CK173 CK165 CK162:CK163 CK160 CK158 CK154:CK156 CK137:CK151 CK122:CK134 CK119 CK115:CK117 CK87:CK98 CK64:CK68 CK41:CK50 CK32:CK38 CK19:CK29">
    <cfRule type="cellIs" dxfId="2382" priority="564" operator="lessThan">
      <formula>0</formula>
    </cfRule>
    <cfRule type="cellIs" dxfId="2381" priority="565" operator="greaterThan">
      <formula>0</formula>
    </cfRule>
    <cfRule type="cellIs" dxfId="2380" priority="566" operator="equal">
      <formula>0</formula>
    </cfRule>
  </conditionalFormatting>
  <conditionalFormatting sqref="CM193:CM199 CM187:CM189 CM185 CM178:CM183 CM175 CM168:CM173 CM165 CM162:CM163 CM160 CM158 CM154:CM156 CM137:CM151 CM122:CM134 CM119 CM115:CM117 CM87:CM98 CM64:CM68 CM41:CM50 CM32:CM38 CM19:CM29">
    <cfRule type="cellIs" dxfId="2379" priority="558" operator="lessThan">
      <formula>0</formula>
    </cfRule>
    <cfRule type="cellIs" dxfId="2378" priority="559" operator="greaterThan">
      <formula>0</formula>
    </cfRule>
    <cfRule type="cellIs" dxfId="2377" priority="560" operator="equal">
      <formula>0</formula>
    </cfRule>
  </conditionalFormatting>
  <conditionalFormatting sqref="CC193:CE199 CC187:CE189 CC185:CE185 CC178:CE183 CC175:CE175 CC168:CE173 CC165:CE165 CC162:CE163 CC160:CE160 CC158:CE158 CC154:CE156 CC137:CE151 CC122:CE134 CC119:CE119 CC115:CE117 CC87:CE98 CC64:CE68 CC41:CE50 CC32:CE38 CC19:CE29">
    <cfRule type="cellIs" dxfId="2376" priority="556" operator="equal">
      <formula>0</formula>
    </cfRule>
    <cfRule type="cellIs" dxfId="2375" priority="557" operator="equal">
      <formula>1</formula>
    </cfRule>
  </conditionalFormatting>
  <conditionalFormatting sqref="A78">
    <cfRule type="cellIs" dxfId="2374" priority="465" operator="equal">
      <formula>0</formula>
    </cfRule>
    <cfRule type="cellIs" dxfId="2373" priority="466" operator="greaterThan">
      <formula>0</formula>
    </cfRule>
  </conditionalFormatting>
  <conditionalFormatting sqref="AA78:AX78">
    <cfRule type="expression" dxfId="2372" priority="464">
      <formula>AND(AA$4=0,AB$4=1)</formula>
    </cfRule>
  </conditionalFormatting>
  <conditionalFormatting sqref="CG78:CM78">
    <cfRule type="cellIs" dxfId="2371" priority="455" operator="lessThan">
      <formula>0</formula>
    </cfRule>
    <cfRule type="cellIs" dxfId="2370" priority="456" operator="greaterThan">
      <formula>0</formula>
    </cfRule>
    <cfRule type="cellIs" dxfId="2369" priority="457" operator="equal">
      <formula>0</formula>
    </cfRule>
  </conditionalFormatting>
  <conditionalFormatting sqref="CC78:CE78">
    <cfRule type="cellIs" dxfId="2368" priority="453" operator="equal">
      <formula>0</formula>
    </cfRule>
    <cfRule type="cellIs" dxfId="2367" priority="454" operator="equal">
      <formula>1</formula>
    </cfRule>
  </conditionalFormatting>
  <conditionalFormatting sqref="BZ78">
    <cfRule type="cellIs" dxfId="2366" priority="451" operator="equal">
      <formula>0</formula>
    </cfRule>
    <cfRule type="cellIs" dxfId="2365" priority="452" operator="greaterThan">
      <formula>0</formula>
    </cfRule>
  </conditionalFormatting>
  <conditionalFormatting sqref="BZ78">
    <cfRule type="cellIs" dxfId="2364" priority="449" operator="greaterThan">
      <formula>0</formula>
    </cfRule>
    <cfRule type="cellIs" dxfId="2363" priority="450" operator="equal">
      <formula>0</formula>
    </cfRule>
  </conditionalFormatting>
  <conditionalFormatting sqref="A79">
    <cfRule type="cellIs" dxfId="2362" priority="447" operator="equal">
      <formula>0</formula>
    </cfRule>
    <cfRule type="cellIs" dxfId="2361" priority="448" operator="greaterThan">
      <formula>0</formula>
    </cfRule>
  </conditionalFormatting>
  <conditionalFormatting sqref="AA79:AX79">
    <cfRule type="expression" dxfId="2360" priority="446">
      <formula>AND(AA$4=0,AB$4=1)</formula>
    </cfRule>
  </conditionalFormatting>
  <conditionalFormatting sqref="CG79:CM79">
    <cfRule type="cellIs" dxfId="2359" priority="437" operator="lessThan">
      <formula>0</formula>
    </cfRule>
    <cfRule type="cellIs" dxfId="2358" priority="438" operator="greaterThan">
      <formula>0</formula>
    </cfRule>
    <cfRule type="cellIs" dxfId="2357" priority="439" operator="equal">
      <formula>0</formula>
    </cfRule>
  </conditionalFormatting>
  <conditionalFormatting sqref="CC79:CE79">
    <cfRule type="cellIs" dxfId="2356" priority="435" operator="equal">
      <formula>0</formula>
    </cfRule>
    <cfRule type="cellIs" dxfId="2355" priority="436" operator="equal">
      <formula>1</formula>
    </cfRule>
  </conditionalFormatting>
  <conditionalFormatting sqref="BZ79:BZ83">
    <cfRule type="cellIs" dxfId="2354" priority="433" operator="equal">
      <formula>0</formula>
    </cfRule>
    <cfRule type="cellIs" dxfId="2353" priority="434" operator="greaterThan">
      <formula>0</formula>
    </cfRule>
  </conditionalFormatting>
  <conditionalFormatting sqref="BZ79:BZ83">
    <cfRule type="cellIs" dxfId="2352" priority="431" operator="greaterThan">
      <formula>0</formula>
    </cfRule>
    <cfRule type="cellIs" dxfId="2351" priority="432" operator="equal">
      <formula>0</formula>
    </cfRule>
  </conditionalFormatting>
  <conditionalFormatting sqref="A80">
    <cfRule type="cellIs" dxfId="2350" priority="429" operator="equal">
      <formula>0</formula>
    </cfRule>
    <cfRule type="cellIs" dxfId="2349" priority="430" operator="greaterThan">
      <formula>0</formula>
    </cfRule>
  </conditionalFormatting>
  <conditionalFormatting sqref="AA80:AX80">
    <cfRule type="expression" dxfId="2348" priority="428">
      <formula>AND(AA$4=0,AB$4=1)</formula>
    </cfRule>
  </conditionalFormatting>
  <conditionalFormatting sqref="CG80:CM80">
    <cfRule type="cellIs" dxfId="2347" priority="419" operator="lessThan">
      <formula>0</formula>
    </cfRule>
    <cfRule type="cellIs" dxfId="2346" priority="420" operator="greaterThan">
      <formula>0</formula>
    </cfRule>
    <cfRule type="cellIs" dxfId="2345" priority="421" operator="equal">
      <formula>0</formula>
    </cfRule>
  </conditionalFormatting>
  <conditionalFormatting sqref="CC80:CE80">
    <cfRule type="cellIs" dxfId="2344" priority="417" operator="equal">
      <formula>0</formula>
    </cfRule>
    <cfRule type="cellIs" dxfId="2343" priority="418" operator="equal">
      <formula>1</formula>
    </cfRule>
  </conditionalFormatting>
  <conditionalFormatting sqref="BZ112 A112">
    <cfRule type="cellIs" dxfId="2342" priority="411" operator="equal">
      <formula>0</formula>
    </cfRule>
    <cfRule type="cellIs" dxfId="2341" priority="412" operator="greaterThan">
      <formula>0</formula>
    </cfRule>
  </conditionalFormatting>
  <conditionalFormatting sqref="AA112:BJ112">
    <cfRule type="expression" dxfId="2340" priority="410">
      <formula>AND(AA$4=0,AB$4=1)</formula>
    </cfRule>
  </conditionalFormatting>
  <conditionalFormatting sqref="CG112:CM112">
    <cfRule type="cellIs" dxfId="2339" priority="401" operator="lessThan">
      <formula>0</formula>
    </cfRule>
    <cfRule type="cellIs" dxfId="2338" priority="402" operator="greaterThan">
      <formula>0</formula>
    </cfRule>
    <cfRule type="cellIs" dxfId="2337" priority="403" operator="equal">
      <formula>0</formula>
    </cfRule>
  </conditionalFormatting>
  <conditionalFormatting sqref="CC112:CE112">
    <cfRule type="cellIs" dxfId="2336" priority="399" operator="equal">
      <formula>0</formula>
    </cfRule>
    <cfRule type="cellIs" dxfId="2335" priority="400" operator="equal">
      <formula>1</formula>
    </cfRule>
  </conditionalFormatting>
  <conditionalFormatting sqref="BZ112">
    <cfRule type="cellIs" dxfId="2334" priority="397" operator="greaterThan">
      <formula>0</formula>
    </cfRule>
    <cfRule type="cellIs" dxfId="2333" priority="398" operator="equal">
      <formula>0</formula>
    </cfRule>
  </conditionalFormatting>
  <conditionalFormatting sqref="AB69:BJ69">
    <cfRule type="expression" dxfId="2332" priority="396">
      <formula>AND(AB$4=0,AC$4=1)</formula>
    </cfRule>
  </conditionalFormatting>
  <conditionalFormatting sqref="AA69">
    <cfRule type="expression" dxfId="2331" priority="395">
      <formula>AND(AA$4=0,AB$4=1)</formula>
    </cfRule>
  </conditionalFormatting>
  <conditionalFormatting sqref="BZ131:BZ133">
    <cfRule type="cellIs" dxfId="2330" priority="393" operator="equal">
      <formula>0</formula>
    </cfRule>
    <cfRule type="cellIs" dxfId="2329" priority="394" operator="greaterThan">
      <formula>0</formula>
    </cfRule>
  </conditionalFormatting>
  <conditionalFormatting sqref="BZ131:BZ133">
    <cfRule type="cellIs" dxfId="2328" priority="391" operator="greaterThan">
      <formula>0</formula>
    </cfRule>
    <cfRule type="cellIs" dxfId="2327" priority="392" operator="equal">
      <formula>0</formula>
    </cfRule>
  </conditionalFormatting>
  <conditionalFormatting sqref="BZ148:BZ150">
    <cfRule type="cellIs" dxfId="2326" priority="389" operator="equal">
      <formula>0</formula>
    </cfRule>
    <cfRule type="cellIs" dxfId="2325" priority="390" operator="greaterThan">
      <formula>0</formula>
    </cfRule>
  </conditionalFormatting>
  <conditionalFormatting sqref="BZ148:BZ150">
    <cfRule type="cellIs" dxfId="2324" priority="387" operator="greaterThan">
      <formula>0</formula>
    </cfRule>
    <cfRule type="cellIs" dxfId="2323" priority="388" operator="equal">
      <formula>0</formula>
    </cfRule>
  </conditionalFormatting>
  <conditionalFormatting sqref="AM71:AX71">
    <cfRule type="expression" dxfId="2322" priority="367">
      <formula>AND(AM$4=0,AN$4=1)</formula>
    </cfRule>
  </conditionalFormatting>
  <conditionalFormatting sqref="AM72:AX72">
    <cfRule type="expression" dxfId="2321" priority="360">
      <formula>AND(AM$4=0,AN$4=1)</formula>
    </cfRule>
  </conditionalFormatting>
  <conditionalFormatting sqref="AM88:AX88">
    <cfRule type="expression" dxfId="2320" priority="304">
      <formula>AND(AM$4=0,AN$4=1)</formula>
    </cfRule>
  </conditionalFormatting>
  <conditionalFormatting sqref="AM89:AX89">
    <cfRule type="expression" dxfId="2319" priority="297">
      <formula>AND(AM$4=0,AN$4=1)</formula>
    </cfRule>
  </conditionalFormatting>
  <conditionalFormatting sqref="AM90:AX90">
    <cfRule type="expression" dxfId="2318" priority="290">
      <formula>AND(AM$4=0,AN$4=1)</formula>
    </cfRule>
  </conditionalFormatting>
  <conditionalFormatting sqref="AM91:AX91">
    <cfRule type="expression" dxfId="2317" priority="283">
      <formula>AND(AM$4=0,AN$4=1)</formula>
    </cfRule>
  </conditionalFormatting>
  <conditionalFormatting sqref="AM92:AX92">
    <cfRule type="expression" dxfId="2316" priority="276">
      <formula>AND(AM$4=0,AN$4=1)</formula>
    </cfRule>
  </conditionalFormatting>
  <conditionalFormatting sqref="AM93:AX93">
    <cfRule type="expression" dxfId="2315" priority="269">
      <formula>AND(AM$4=0,AN$4=1)</formula>
    </cfRule>
  </conditionalFormatting>
  <conditionalFormatting sqref="AM94:AX94">
    <cfRule type="expression" dxfId="2314" priority="262">
      <formula>AND(AM$4=0,AN$4=1)</formula>
    </cfRule>
  </conditionalFormatting>
  <conditionalFormatting sqref="AM122:AX122">
    <cfRule type="expression" dxfId="2313" priority="213">
      <formula>AND(AM$4=0,AN$4=1)</formula>
    </cfRule>
  </conditionalFormatting>
  <conditionalFormatting sqref="AM123:AX123">
    <cfRule type="expression" dxfId="2312" priority="206">
      <formula>AND(AM$4=0,AN$4=1)</formula>
    </cfRule>
  </conditionalFormatting>
  <conditionalFormatting sqref="AM124:AX124">
    <cfRule type="expression" dxfId="2311" priority="199">
      <formula>AND(AM$4=0,AN$4=1)</formula>
    </cfRule>
  </conditionalFormatting>
  <conditionalFormatting sqref="AM125:AX125">
    <cfRule type="expression" dxfId="2310" priority="192">
      <formula>AND(AM$4=0,AN$4=1)</formula>
    </cfRule>
  </conditionalFormatting>
  <conditionalFormatting sqref="AM126:AX126">
    <cfRule type="expression" dxfId="2309" priority="185">
      <formula>AND(AM$4=0,AN$4=1)</formula>
    </cfRule>
  </conditionalFormatting>
  <conditionalFormatting sqref="AM127:AX127">
    <cfRule type="expression" dxfId="2308" priority="178">
      <formula>AND(AM$4=0,AN$4=1)</formula>
    </cfRule>
  </conditionalFormatting>
  <conditionalFormatting sqref="AM137:AX137">
    <cfRule type="expression" dxfId="2307" priority="122">
      <formula>AND(AM$4=0,AN$4=1)</formula>
    </cfRule>
  </conditionalFormatting>
  <conditionalFormatting sqref="AM138:AX138">
    <cfRule type="expression" dxfId="2306" priority="115">
      <formula>AND(AM$4=0,AN$4=1)</formula>
    </cfRule>
  </conditionalFormatting>
  <conditionalFormatting sqref="AM139:AX139">
    <cfRule type="expression" dxfId="2305" priority="108">
      <formula>AND(AM$4=0,AN$4=1)</formula>
    </cfRule>
  </conditionalFormatting>
  <conditionalFormatting sqref="AM140:AX140">
    <cfRule type="expression" dxfId="2304" priority="101">
      <formula>AND(AM$4=0,AN$4=1)</formula>
    </cfRule>
  </conditionalFormatting>
  <conditionalFormatting sqref="AM141:AX141">
    <cfRule type="expression" dxfId="2303" priority="94">
      <formula>AND(AM$4=0,AN$4=1)</formula>
    </cfRule>
  </conditionalFormatting>
  <conditionalFormatting sqref="AM142:AX142">
    <cfRule type="expression" dxfId="2302" priority="87">
      <formula>AND(AM$4=0,AN$4=1)</formula>
    </cfRule>
  </conditionalFormatting>
  <conditionalFormatting sqref="AM143:AX143">
    <cfRule type="expression" dxfId="2301" priority="80">
      <formula>AND(AM$4=0,AN$4=1)</formula>
    </cfRule>
  </conditionalFormatting>
  <conditionalFormatting sqref="AY77:BJ77">
    <cfRule type="expression" dxfId="2300" priority="73">
      <formula>AND(AY$4=0,AZ$4=1)</formula>
    </cfRule>
  </conditionalFormatting>
  <conditionalFormatting sqref="AY73:BJ73">
    <cfRule type="expression" dxfId="2299" priority="70">
      <formula>AND(AY$4=0,AZ$4=1)</formula>
    </cfRule>
  </conditionalFormatting>
  <conditionalFormatting sqref="AY74:BJ74">
    <cfRule type="expression" dxfId="2298" priority="63">
      <formula>AND(AY$4=0,AZ$4=1)</formula>
    </cfRule>
  </conditionalFormatting>
  <conditionalFormatting sqref="AY75:BJ75">
    <cfRule type="expression" dxfId="2297" priority="56">
      <formula>AND(AY$4=0,AZ$4=1)</formula>
    </cfRule>
  </conditionalFormatting>
  <conditionalFormatting sqref="AY76:BJ77">
    <cfRule type="expression" dxfId="2296" priority="49">
      <formula>AND(AY$4=0,AZ$4=1)</formula>
    </cfRule>
  </conditionalFormatting>
  <conditionalFormatting sqref="AY77:BJ77">
    <cfRule type="expression" dxfId="2295" priority="42">
      <formula>AND(AY$4=0,AZ$4=1)</formula>
    </cfRule>
  </conditionalFormatting>
  <conditionalFormatting sqref="AY78:BJ78">
    <cfRule type="expression" dxfId="2294" priority="35">
      <formula>AND(AY$4=0,AZ$4=1)</formula>
    </cfRule>
  </conditionalFormatting>
  <conditionalFormatting sqref="AY79:BJ79">
    <cfRule type="expression" dxfId="2293" priority="28">
      <formula>AND(AY$4=0,AZ$4=1)</formula>
    </cfRule>
  </conditionalFormatting>
  <conditionalFormatting sqref="AY80:BJ80">
    <cfRule type="expression" dxfId="2292" priority="21">
      <formula>AND(AY$4=0,AZ$4=1)</formula>
    </cfRule>
  </conditionalFormatting>
  <conditionalFormatting sqref="AY71:BJ71">
    <cfRule type="expression" dxfId="2291" priority="14">
      <formula>AND(AY$4=0,AZ$4=1)</formula>
    </cfRule>
  </conditionalFormatting>
  <conditionalFormatting sqref="AY72:BJ72">
    <cfRule type="expression" dxfId="2290" priority="7">
      <formula>AND(AY$4=0,AZ$4=1)</formula>
    </cfRule>
  </conditionalFormatting>
  <dataValidations disablePrompts="1" count="38">
    <dataValidation allowBlank="1" showInputMessage="1" promptTitle="ESFA 16-19 programme funding" prompt="Includes care standards funding, condition of funding reduction and transitional protection/formula protection funding." sqref="B19" xr:uid="{F1578580-0B50-4581-AE5D-BB3D013AE1A8}"/>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20" xr:uid="{8FF364DE-06B0-4348-BF5D-A5BBE4737E93}"/>
    <dataValidation allowBlank="1" showInputMessage="1" promptTitle="Other Funding" prompt="To include income from local authorities and schools for 14-19 partnerships." sqref="B23" xr:uid="{7A9C83AA-B3AE-44AB-8A74-C8C285B1F15F}"/>
    <dataValidation allowBlank="1" showInputMessage="1" promptTitle="Subcontracted in Apprenticeships" prompt="Including from other Training Providers." sqref="B36" xr:uid="{8F898E55-72B1-480A-B4CA-D7DCAAD13B09}"/>
    <dataValidation allowBlank="1" showInputMessage="1" promptTitle="AEB Grant - ESFA" prompt="AEB clawbacks / reconciliation to be entered via the 'BS Inputs'" sqref="B41" xr:uid="{769581D6-5898-40A4-87DF-D90D8926C0C0}"/>
    <dataValidation allowBlank="1" showInputMessage="1" promptTitle="AEB Funding - Devolv Authorities" prompt="AEB clawbacks / reconciliation to be entered via the 'BS Inputs'" sqref="B43" xr:uid="{EB3ECEAD-D69A-4FB8-8B08-82D3EC62BD48}"/>
    <dataValidation allowBlank="1" showInputMessage="1" promptTitle="AEB Procured - ESFA" prompt="This line should be used for funding associated with the standalone procured AEB contracts that were awarded from July 2017 onwards." sqref="B42" xr:uid="{C0FD2576-1869-4560-8768-0334AFEB639E}"/>
    <dataValidation allowBlank="1" showInputMessage="1" promptTitle="OfS Grants" prompt="To include income received directly from OfS for prescribed HE, including that transferred from ESFA." sqref="B54" xr:uid="{3F7B0658-E395-47B5-A076-BB0265BC6217}"/>
    <dataValidation allowBlank="1" showInputMessage="1" promptTitle="Subcontracted in HE" prompt="To include income from HE institutions for the provision of higher education courses." sqref="B59" xr:uid="{B266EF5F-F3A4-410D-B534-EC769FFE7D7A}"/>
    <dataValidation allowBlank="1" showInputMessage="1" promptTitle="Other European Funding" prompt="Colleges receiving funds (from European structural funds) before incurring costs should recognise a current liability for the unspent proportion of the grant." sqref="B65" xr:uid="{C7068C57-7996-408C-8C91-3199936C728F}"/>
    <dataValidation allowBlank="1" showInputMessage="1" promptTitle="Other income from education" prompt="Include all funding from employers including co-investment payments and any amounts above the funding band." sqref="B74 B77:B80" xr:uid="{B459D3B2-55A7-4DF5-8F77-0808340D97C7}"/>
    <dataValidation allowBlank="1" showInputMessage="1" promptTitle="Other income from non-learning" prompt="To include miscellaneous income, for example VAT recovered if recorded separately in the accounts." sqref="B101" xr:uid="{6496CE4D-6A4F-49DF-93A4-6D5C53514A00}"/>
    <dataValidation allowBlank="1" showInputMessage="1" promptTitle="Endowment income" prompt="To include income from endowments as defined in the FE/HE SORP." sqref="B102" xr:uid="{112E543B-0447-4180-B56F-82D8D87A7245}"/>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115" xr:uid="{F1A5DF25-C0F8-4779-B2C2-C13D41D0ECBF}"/>
    <dataValidation allowBlank="1" showInputMessage="1" promptTitle="Teaching Staff" prompt="To include basic pay costs, overtime, other allowances and additions, employer pension costs and employer NI cost." sqref="B122" xr:uid="{E0C0DE31-F746-4E24-BC03-6D0063D443BE}"/>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23" xr:uid="{9C8DC3D1-56D6-4D9C-ADA1-B901E22EF8CD}"/>
    <dataValidation allowBlank="1" showInputMessage="1" promptTitle="Teaching and other support staff" prompt="To include, for example, library staff, learning support staff, college nurses, welfare officers, recreation tutors, careers officers and counsellors." sqref="B124" xr:uid="{95F7D637-FFBD-4D99-BC82-0BF11BD4961B}"/>
    <dataValidation allowBlank="1" showInputMessage="1" promptTitle="Administration staff" prompt="To include, for example, finance, HR, timetabling and data entry staff." sqref="B125" xr:uid="{554CAB72-B623-47DE-A40B-6429365A9867}"/>
    <dataValidation allowBlank="1" showInputMessage="1" promptTitle="Operational &amp; maintenance staff" prompt="To include, for example, cleaning, caretaking and security staff, maintenance staff and health and safety officers." sqref="B126" xr:uid="{223C3998-2B3D-4782-8106-A9916F8E9B9D}"/>
    <dataValidation allowBlank="1" showInputMessage="1" promptTitle="Commercial Staff costs" prompt="To include staff costs from income generating activities such as catering, creche, farming, residences and conferences." sqref="B127" xr:uid="{0F41BB00-C4F6-4D43-8C65-F0C12BA46ED4}"/>
    <dataValidation allowBlank="1" showInputMessage="1" promptTitle="Other Staff Costs" prompt="To include, for example, marketing staff and exam officers." sqref="B129" xr:uid="{4DE8B004-AB7A-48A5-AABA-187F80B64F72}"/>
    <dataValidation allowBlank="1" showInputMessage="1" promptTitle="Teaching costs" prompt="To include, for example, materials, consumables, equipment, training functions such as hairdressing, marketing, prison contracts and partnership." sqref="B137" xr:uid="{E947913B-616E-47E5-A452-14EFD2D57E14}"/>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38" xr:uid="{80EF5C9D-2D99-4D57-9472-874929817F5B}"/>
    <dataValidation allowBlank="1" showInputMessage="1" promptTitle="Administration Costs" prompt="To include, for example, IT, professional fees, insurance premiums, travel and subsistence, recruitment and bank charges." sqref="B139" xr:uid="{87E8A484-9DC8-4FE7-AEED-1A36C753FE5E}"/>
    <dataValidation allowBlank="1" showInputMessage="1" promptTitle="Operational &amp; maintenance costs" prompt="To include, e.g. heating, lighting, cleaning, caretaking, water charges, security, insurance, waste disposal and national non-domestic rates. From a maintenance perspective, this could include unblocking drains, repairing breakages and planned maintenance" sqref="B140" xr:uid="{0E9FC7FF-1B1E-4DA5-AA33-0C1D4D078150}"/>
    <dataValidation allowBlank="1" showInputMessage="1" promptTitle="Bad debt provision costs" prompt="This is the value of debts provided for in the period." sqref="B145" xr:uid="{9A9F53B7-13B5-4702-A68A-85CCDF0B459B}"/>
    <dataValidation allowBlank="1" showInputMessage="1" promptTitle="Other operating expenditure" prompt="This could include one-off costs ahead of merger." sqref="B146" xr:uid="{DB625AAE-C2E3-414D-AC94-B7B2216CBBFD}"/>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69" xr:uid="{78DAB4BA-A9F1-4835-83A5-E4E2F9F39711}"/>
    <dataValidation allowBlank="1" showInputMessage="1" promptTitle="Other operating expenditure" prompt="Per FRS102, LGPS employer contributions must be replaced with current service costs, past service costs, curtailments and settlements in staff costs" sqref="B130 B147" xr:uid="{CCF9EF17-9181-439C-B2DC-83B503E5544D}"/>
    <dataValidation allowBlank="1" showInputMessage="1" promptTitle="FRS102 adj." prompt="Per FRS102, LGPS employer contributions must be replaced with current service costs, past service costs, curtailments and settlements in staff costs" sqref="B130 B147" xr:uid="{003A9877-A88F-4962-81D2-2D90949822B6}"/>
    <dataValidation allowBlank="1" showInputMessage="1" promptTitle="Reconciliation to 4 year values" prompt="Checks if the monthly amounts = annual amounts on the 4 Year timeline._x000a__x000a_Refer to Differences section (columns CG - CI) in case of flags." sqref="CC7" xr:uid="{82B18519-900B-4981-B60C-0803CF82C6F2}"/>
    <dataValidation allowBlank="1" showInputMessage="1" promptTitle="Reconciliation to 12 year values" prompt="Checks if the monthly amounts = annual amounts on the 12 Year timeline for all 3 years._x000a__x000a_Refer to Differences section (columns CJ - CL) in case of flags." sqref="CD7" xr:uid="{551F0BF6-3B1A-4AD4-8144-73B97F93F3E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E7" xr:uid="{8B19229C-E5E0-47AA-9771-0841CD801456}"/>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BZ7" xr:uid="{384F038C-03B9-42BE-9154-6F0683D9612B}"/>
    <dataValidation allowBlank="1" showInputMessage="1" promptTitle="Subcontracted out income check" prompt="Checks if subcontracted out income exceeds total income._x000a__x000a_Refer to Differences section (columns CN - EQ) in case of error flags." sqref="CB7" xr:uid="{3E3965EE-59DD-4C61-9E79-B94F96C8B149}"/>
    <dataValidation allowBlank="1" showInputMessage="1" promptTitle="Full cost provision" prompt="Excludes HE and provision to international students" sqref="B71" xr:uid="{07125DC4-3B04-4DAE-91C7-EF78AD9EE56A}"/>
    <dataValidation allowBlank="1" showInputMessage="1" promptTitle="International students fees" prompt="Fees for provision delivered in the UK to international students" sqref="B73" xr:uid="{6D95EC3C-5125-440D-BBEF-F75A841F3A9E}"/>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202" xr:uid="{FEEDA1FD-21D9-4763-8972-B708113ABE68}"/>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423" id="{B6DFBA60-7428-4932-9026-16FD5B4A0376}">
            <xm:f>AND('Cover Sheet'!$E$29=0, AA$4=0, AB$4=0)</xm:f>
            <x14:dxf>
              <fill>
                <patternFill>
                  <bgColor theme="0"/>
                </patternFill>
              </fill>
            </x14:dxf>
          </x14:cfRule>
          <xm:sqref>AA11:BJ11 AA103:BJ103 AA77:AX77</xm:sqref>
        </x14:conditionalFormatting>
        <x14:conditionalFormatting xmlns:xm="http://schemas.microsoft.com/office/excel/2006/main">
          <x14:cfRule type="expression" priority="1422" id="{CE9DF597-AC18-4F3C-96DF-8CE75DB88873}">
            <xm:f>AND('Cover Sheet'!$E$29=0, AA$4=0, AB$4=0)</xm:f>
            <x14:dxf>
              <fill>
                <patternFill>
                  <bgColor theme="0" tint="-0.14996795556505021"/>
                </patternFill>
              </fill>
            </x14:dxf>
          </x14:cfRule>
          <xm:sqref>AA103:BJ103 AA77:AX77</xm:sqref>
        </x14:conditionalFormatting>
        <x14:conditionalFormatting xmlns:xm="http://schemas.microsoft.com/office/excel/2006/main">
          <x14:cfRule type="expression" priority="1421" id="{A8D8FBF3-3DE8-4E07-8FB0-87B249CBC758}">
            <xm:f>AND('Cover Sheet'!$E$29=0, AA$4=0, AB$4=0)</xm:f>
            <x14:dxf>
              <fill>
                <patternFill>
                  <bgColor theme="0" tint="-0.14996795556505021"/>
                </patternFill>
              </fill>
            </x14:dxf>
          </x14:cfRule>
          <xm:sqref>AA14:BJ14</xm:sqref>
        </x14:conditionalFormatting>
        <x14:conditionalFormatting xmlns:xm="http://schemas.microsoft.com/office/excel/2006/main">
          <x14:cfRule type="expression" priority="1420" id="{9E1C89A7-3398-4597-A857-5E8B0796FD67}">
            <xm:f>AND('Cover Sheet'!$E$29=0, AA$4=0, AB$4=0)</xm:f>
            <x14:dxf>
              <fill>
                <patternFill>
                  <bgColor theme="0" tint="-0.14996795556505021"/>
                </patternFill>
              </fill>
            </x14:dxf>
          </x14:cfRule>
          <xm:sqref>AA16:BJ16</xm:sqref>
        </x14:conditionalFormatting>
        <x14:conditionalFormatting xmlns:xm="http://schemas.microsoft.com/office/excel/2006/main">
          <x14:cfRule type="expression" priority="1419" id="{DB94EE7A-84DB-44E1-B25A-DFB0F1F6FAD8}">
            <xm:f>AND('Cover Sheet'!$E$29=0, AA$4=0, AB$4=0)</xm:f>
            <x14:dxf>
              <fill>
                <patternFill>
                  <bgColor theme="0" tint="-0.14996795556505021"/>
                </patternFill>
              </fill>
            </x14:dxf>
          </x14:cfRule>
          <xm:sqref>AA19:BJ19</xm:sqref>
        </x14:conditionalFormatting>
        <x14:conditionalFormatting xmlns:xm="http://schemas.microsoft.com/office/excel/2006/main">
          <x14:cfRule type="expression" priority="1418" id="{DBC4CC26-FC84-41DD-89EF-856977ACB1D0}">
            <xm:f>AND('Cover Sheet'!$E$29=0, AA$4=0, AB$4=0)</xm:f>
            <x14:dxf>
              <fill>
                <patternFill>
                  <bgColor theme="0" tint="-0.14996795556505021"/>
                </patternFill>
              </fill>
            </x14:dxf>
          </x14:cfRule>
          <xm:sqref>AA20:BJ20</xm:sqref>
        </x14:conditionalFormatting>
        <x14:conditionalFormatting xmlns:xm="http://schemas.microsoft.com/office/excel/2006/main">
          <x14:cfRule type="expression" priority="1416" id="{19C47FBC-55DF-4AC6-AFD8-C7CFB484F94B}">
            <xm:f>AND('Cover Sheet'!$E$29=0, AA$4=0, AB$4=0)</xm:f>
            <x14:dxf>
              <fill>
                <patternFill>
                  <bgColor theme="0" tint="-0.14996795556505021"/>
                </patternFill>
              </fill>
            </x14:dxf>
          </x14:cfRule>
          <xm:sqref>AA14:BJ14</xm:sqref>
        </x14:conditionalFormatting>
        <x14:conditionalFormatting xmlns:xm="http://schemas.microsoft.com/office/excel/2006/main">
          <x14:cfRule type="expression" priority="1415" id="{00CE3AA2-25A7-4077-A36B-E20CBAED7282}">
            <xm:f>AND('Cover Sheet'!$E$29=0, AA$4=0, AB$4=0)</xm:f>
            <x14:dxf>
              <fill>
                <patternFill>
                  <bgColor theme="0"/>
                </patternFill>
              </fill>
            </x14:dxf>
          </x14:cfRule>
          <xm:sqref>AA14:BJ14</xm:sqref>
        </x14:conditionalFormatting>
        <x14:conditionalFormatting xmlns:xm="http://schemas.microsoft.com/office/excel/2006/main">
          <x14:cfRule type="expression" priority="1414" id="{FB8249FB-7110-4499-8F78-95984A4FC2B4}">
            <xm:f>AND('Cover Sheet'!$E$29=0, AA$4=0, AB$4=0)</xm:f>
            <x14:dxf>
              <fill>
                <patternFill>
                  <bgColor theme="0" tint="-0.14996795556505021"/>
                </patternFill>
              </fill>
            </x14:dxf>
          </x14:cfRule>
          <xm:sqref>AA16:BJ16</xm:sqref>
        </x14:conditionalFormatting>
        <x14:conditionalFormatting xmlns:xm="http://schemas.microsoft.com/office/excel/2006/main">
          <x14:cfRule type="expression" priority="1413" id="{C1CE3BCA-F60B-4BC4-B78E-FCE3B63DDD00}">
            <xm:f>AND('Cover Sheet'!$E$29=0, AA$4=0, AB$4=0)</xm:f>
            <x14:dxf>
              <fill>
                <patternFill>
                  <bgColor theme="0" tint="-0.14996795556505021"/>
                </patternFill>
              </fill>
            </x14:dxf>
          </x14:cfRule>
          <xm:sqref>AA16:BJ16</xm:sqref>
        </x14:conditionalFormatting>
        <x14:conditionalFormatting xmlns:xm="http://schemas.microsoft.com/office/excel/2006/main">
          <x14:cfRule type="expression" priority="1412" id="{F7B5A652-5E72-4E07-81B0-244E8926CED2}">
            <xm:f>AND('Cover Sheet'!$E$29=0, AA$4=0, AB$4=0)</xm:f>
            <x14:dxf>
              <fill>
                <patternFill>
                  <bgColor theme="0"/>
                </patternFill>
              </fill>
            </x14:dxf>
          </x14:cfRule>
          <xm:sqref>AA16:BJ16</xm:sqref>
        </x14:conditionalFormatting>
        <x14:conditionalFormatting xmlns:xm="http://schemas.microsoft.com/office/excel/2006/main">
          <x14:cfRule type="expression" priority="1411" id="{50949DD2-0840-45BB-9EEF-9E7F486CA497}">
            <xm:f>AND('Cover Sheet'!$E$29=0, AA$4=0, AB$4=0)</xm:f>
            <x14:dxf>
              <fill>
                <patternFill>
                  <bgColor theme="0" tint="-0.14996795556505021"/>
                </patternFill>
              </fill>
            </x14:dxf>
          </x14:cfRule>
          <xm:sqref>AA19:BJ19</xm:sqref>
        </x14:conditionalFormatting>
        <x14:conditionalFormatting xmlns:xm="http://schemas.microsoft.com/office/excel/2006/main">
          <x14:cfRule type="expression" priority="1410" id="{AC0495B9-BACC-42B6-AFD1-050DB8CEE427}">
            <xm:f>AND('Cover Sheet'!$E$29=0, AA$4=0, AB$4=0)</xm:f>
            <x14:dxf>
              <fill>
                <patternFill>
                  <bgColor theme="0" tint="-0.14996795556505021"/>
                </patternFill>
              </fill>
            </x14:dxf>
          </x14:cfRule>
          <xm:sqref>AA19:BJ19</xm:sqref>
        </x14:conditionalFormatting>
        <x14:conditionalFormatting xmlns:xm="http://schemas.microsoft.com/office/excel/2006/main">
          <x14:cfRule type="expression" priority="1409" id="{71A8D8EA-C18F-46A8-AAD4-B97796665B66}">
            <xm:f>AND('Cover Sheet'!$E$29=0, AA$4=0, AB$4=0)</xm:f>
            <x14:dxf>
              <fill>
                <patternFill>
                  <bgColor theme="0" tint="-0.14996795556505021"/>
                </patternFill>
              </fill>
            </x14:dxf>
          </x14:cfRule>
          <xm:sqref>AA19:BJ19</xm:sqref>
        </x14:conditionalFormatting>
        <x14:conditionalFormatting xmlns:xm="http://schemas.microsoft.com/office/excel/2006/main">
          <x14:cfRule type="expression" priority="1408" id="{1C1938ED-DF1F-4A4A-A8C6-E8C0DD8063C5}">
            <xm:f>AND('Cover Sheet'!$E$29=0, AA$4=0, AB$4=0)</xm:f>
            <x14:dxf>
              <fill>
                <patternFill>
                  <bgColor theme="0"/>
                </patternFill>
              </fill>
            </x14:dxf>
          </x14:cfRule>
          <xm:sqref>AA19:BJ19</xm:sqref>
        </x14:conditionalFormatting>
        <x14:conditionalFormatting xmlns:xm="http://schemas.microsoft.com/office/excel/2006/main">
          <x14:cfRule type="expression" priority="1407" id="{CEE71904-5191-4996-BB17-A216F2DCF91E}">
            <xm:f>AND('Cover Sheet'!$E$29=0, AA$4=0, AB$4=0)</xm:f>
            <x14:dxf>
              <fill>
                <patternFill>
                  <bgColor theme="0" tint="-0.14996795556505021"/>
                </patternFill>
              </fill>
            </x14:dxf>
          </x14:cfRule>
          <xm:sqref>AA20:BJ20</xm:sqref>
        </x14:conditionalFormatting>
        <x14:conditionalFormatting xmlns:xm="http://schemas.microsoft.com/office/excel/2006/main">
          <x14:cfRule type="expression" priority="1406" id="{CBFE4C06-8FDB-4BED-AA36-420C4EF0FD66}">
            <xm:f>AND('Cover Sheet'!$E$29=0, AA$4=0, AB$4=0)</xm:f>
            <x14:dxf>
              <fill>
                <patternFill>
                  <bgColor theme="0" tint="-0.14996795556505021"/>
                </patternFill>
              </fill>
            </x14:dxf>
          </x14:cfRule>
          <xm:sqref>AA20:BJ20</xm:sqref>
        </x14:conditionalFormatting>
        <x14:conditionalFormatting xmlns:xm="http://schemas.microsoft.com/office/excel/2006/main">
          <x14:cfRule type="expression" priority="1405" id="{ED0091AA-F386-43D7-9097-B9421B666CD3}">
            <xm:f>AND('Cover Sheet'!$E$29=0, AA$4=0, AB$4=0)</xm:f>
            <x14:dxf>
              <fill>
                <patternFill>
                  <bgColor theme="0" tint="-0.14996795556505021"/>
                </patternFill>
              </fill>
            </x14:dxf>
          </x14:cfRule>
          <xm:sqref>AA20:BJ20</xm:sqref>
        </x14:conditionalFormatting>
        <x14:conditionalFormatting xmlns:xm="http://schemas.microsoft.com/office/excel/2006/main">
          <x14:cfRule type="expression" priority="1404" id="{8BD29E83-0545-4140-816D-D18843BA0D48}">
            <xm:f>AND('Cover Sheet'!$E$29=0, AA$4=0, AB$4=0)</xm:f>
            <x14:dxf>
              <fill>
                <patternFill>
                  <bgColor theme="0" tint="-0.14996795556505021"/>
                </patternFill>
              </fill>
            </x14:dxf>
          </x14:cfRule>
          <xm:sqref>AA20:BJ20</xm:sqref>
        </x14:conditionalFormatting>
        <x14:conditionalFormatting xmlns:xm="http://schemas.microsoft.com/office/excel/2006/main">
          <x14:cfRule type="expression" priority="1403" id="{7204CB2D-B37A-4F72-B0AB-AA9CC353A0C1}">
            <xm:f>AND('Cover Sheet'!$E$29=0, AA$4=0, AB$4=0)</xm:f>
            <x14:dxf>
              <fill>
                <patternFill>
                  <bgColor theme="0"/>
                </patternFill>
              </fill>
            </x14:dxf>
          </x14:cfRule>
          <xm:sqref>AA20:BJ20</xm:sqref>
        </x14:conditionalFormatting>
        <x14:conditionalFormatting xmlns:xm="http://schemas.microsoft.com/office/excel/2006/main">
          <x14:cfRule type="expression" priority="1373" id="{23489AF9-0178-4137-B80F-268F104AAF1A}">
            <xm:f>AND('Cover Sheet'!$E$29=0, AA$4=0, AB$4=0)</xm:f>
            <x14:dxf>
              <fill>
                <patternFill>
                  <bgColor theme="0" tint="-0.14996795556505021"/>
                </patternFill>
              </fill>
            </x14:dxf>
          </x14:cfRule>
          <xm:sqref>AA21:BJ21</xm:sqref>
        </x14:conditionalFormatting>
        <x14:conditionalFormatting xmlns:xm="http://schemas.microsoft.com/office/excel/2006/main">
          <x14:cfRule type="expression" priority="1372" id="{FC60140C-E7AB-4FD9-AEE8-8BC32272E658}">
            <xm:f>AND('Cover Sheet'!$E$29=0, AA$4=0, AB$4=0)</xm:f>
            <x14:dxf>
              <fill>
                <patternFill>
                  <bgColor theme="0" tint="-0.14996795556505021"/>
                </patternFill>
              </fill>
            </x14:dxf>
          </x14:cfRule>
          <xm:sqref>AA21:BJ21</xm:sqref>
        </x14:conditionalFormatting>
        <x14:conditionalFormatting xmlns:xm="http://schemas.microsoft.com/office/excel/2006/main">
          <x14:cfRule type="expression" priority="1371" id="{42166088-4DE5-40D2-A88C-1E51E8D89FB7}">
            <xm:f>AND('Cover Sheet'!$E$29=0, AA$4=0, AB$4=0)</xm:f>
            <x14:dxf>
              <fill>
                <patternFill>
                  <bgColor theme="0" tint="-0.14996795556505021"/>
                </patternFill>
              </fill>
            </x14:dxf>
          </x14:cfRule>
          <xm:sqref>AA21:BJ21</xm:sqref>
        </x14:conditionalFormatting>
        <x14:conditionalFormatting xmlns:xm="http://schemas.microsoft.com/office/excel/2006/main">
          <x14:cfRule type="expression" priority="1370" id="{FB51D829-5C26-42C2-9952-64EEBE02F276}">
            <xm:f>AND('Cover Sheet'!$E$29=0, AA$4=0, AB$4=0)</xm:f>
            <x14:dxf>
              <fill>
                <patternFill>
                  <bgColor theme="0" tint="-0.14996795556505021"/>
                </patternFill>
              </fill>
            </x14:dxf>
          </x14:cfRule>
          <xm:sqref>AA21:BJ21</xm:sqref>
        </x14:conditionalFormatting>
        <x14:conditionalFormatting xmlns:xm="http://schemas.microsoft.com/office/excel/2006/main">
          <x14:cfRule type="expression" priority="1369" id="{FFA35871-3C0C-400B-8E4E-DE7BF6BABDCF}">
            <xm:f>AND('Cover Sheet'!$E$29=0, AA$4=0, AB$4=0)</xm:f>
            <x14:dxf>
              <fill>
                <patternFill>
                  <bgColor theme="0" tint="-0.14996795556505021"/>
                </patternFill>
              </fill>
            </x14:dxf>
          </x14:cfRule>
          <xm:sqref>AA21:BJ21</xm:sqref>
        </x14:conditionalFormatting>
        <x14:conditionalFormatting xmlns:xm="http://schemas.microsoft.com/office/excel/2006/main">
          <x14:cfRule type="expression" priority="1368" id="{B1339196-BF78-4F26-A926-AF22384E3E6F}">
            <xm:f>AND('Cover Sheet'!$E$29=0, AA$4=0, AB$4=0)</xm:f>
            <x14:dxf>
              <fill>
                <patternFill>
                  <bgColor theme="0"/>
                </patternFill>
              </fill>
            </x14:dxf>
          </x14:cfRule>
          <xm:sqref>AA21:BJ21</xm:sqref>
        </x14:conditionalFormatting>
        <x14:conditionalFormatting xmlns:xm="http://schemas.microsoft.com/office/excel/2006/main">
          <x14:cfRule type="expression" priority="1366" id="{71643511-777F-4304-AF33-C298F653D3DB}">
            <xm:f>AND('Cover Sheet'!$E$29=0, AA$4=0, AB$4=0)</xm:f>
            <x14:dxf>
              <fill>
                <patternFill>
                  <bgColor theme="0" tint="-0.14996795556505021"/>
                </patternFill>
              </fill>
            </x14:dxf>
          </x14:cfRule>
          <xm:sqref>AA22:BJ22</xm:sqref>
        </x14:conditionalFormatting>
        <x14:conditionalFormatting xmlns:xm="http://schemas.microsoft.com/office/excel/2006/main">
          <x14:cfRule type="expression" priority="1365" id="{FAFCA7E7-8432-498C-854F-A13C56308652}">
            <xm:f>AND('Cover Sheet'!$E$29=0, AA$4=0, AB$4=0)</xm:f>
            <x14:dxf>
              <fill>
                <patternFill>
                  <bgColor theme="0" tint="-0.14996795556505021"/>
                </patternFill>
              </fill>
            </x14:dxf>
          </x14:cfRule>
          <xm:sqref>AA22:BJ22</xm:sqref>
        </x14:conditionalFormatting>
        <x14:conditionalFormatting xmlns:xm="http://schemas.microsoft.com/office/excel/2006/main">
          <x14:cfRule type="expression" priority="1364" id="{B7524869-5ECD-4FEA-9701-C1F1250E4448}">
            <xm:f>AND('Cover Sheet'!$E$29=0, AA$4=0, AB$4=0)</xm:f>
            <x14:dxf>
              <fill>
                <patternFill>
                  <bgColor theme="0" tint="-0.14996795556505021"/>
                </patternFill>
              </fill>
            </x14:dxf>
          </x14:cfRule>
          <xm:sqref>AA22:BJ22</xm:sqref>
        </x14:conditionalFormatting>
        <x14:conditionalFormatting xmlns:xm="http://schemas.microsoft.com/office/excel/2006/main">
          <x14:cfRule type="expression" priority="1363" id="{8713756E-1EFD-47D1-BCD2-4F26A7D7E1FD}">
            <xm:f>AND('Cover Sheet'!$E$29=0, AA$4=0, AB$4=0)</xm:f>
            <x14:dxf>
              <fill>
                <patternFill>
                  <bgColor theme="0" tint="-0.14996795556505021"/>
                </patternFill>
              </fill>
            </x14:dxf>
          </x14:cfRule>
          <xm:sqref>AA22:BJ22</xm:sqref>
        </x14:conditionalFormatting>
        <x14:conditionalFormatting xmlns:xm="http://schemas.microsoft.com/office/excel/2006/main">
          <x14:cfRule type="expression" priority="1362" id="{0D76C117-987F-445D-850E-6D6090FCC4C9}">
            <xm:f>AND('Cover Sheet'!$E$29=0, AA$4=0, AB$4=0)</xm:f>
            <x14:dxf>
              <fill>
                <patternFill>
                  <bgColor theme="0" tint="-0.14996795556505021"/>
                </patternFill>
              </fill>
            </x14:dxf>
          </x14:cfRule>
          <xm:sqref>AA22:BJ22</xm:sqref>
        </x14:conditionalFormatting>
        <x14:conditionalFormatting xmlns:xm="http://schemas.microsoft.com/office/excel/2006/main">
          <x14:cfRule type="expression" priority="1361" id="{595CB6CC-FB6F-4C1E-8674-F79845AB6AD4}">
            <xm:f>AND('Cover Sheet'!$E$29=0, AA$4=0, AB$4=0)</xm:f>
            <x14:dxf>
              <fill>
                <patternFill>
                  <bgColor theme="0"/>
                </patternFill>
              </fill>
            </x14:dxf>
          </x14:cfRule>
          <xm:sqref>AA22:BJ22</xm:sqref>
        </x14:conditionalFormatting>
        <x14:conditionalFormatting xmlns:xm="http://schemas.microsoft.com/office/excel/2006/main">
          <x14:cfRule type="expression" priority="1359" id="{E0105486-BDE3-43CA-BBBB-DFBA2D9DBD54}">
            <xm:f>AND('Cover Sheet'!$E$29=0, AA$4=0, AB$4=0)</xm:f>
            <x14:dxf>
              <fill>
                <patternFill>
                  <bgColor theme="0" tint="-0.14996795556505021"/>
                </patternFill>
              </fill>
            </x14:dxf>
          </x14:cfRule>
          <xm:sqref>AA23:BJ23</xm:sqref>
        </x14:conditionalFormatting>
        <x14:conditionalFormatting xmlns:xm="http://schemas.microsoft.com/office/excel/2006/main">
          <x14:cfRule type="expression" priority="1358" id="{EE7D7371-36AB-4249-A0B9-EDDC551C5982}">
            <xm:f>AND('Cover Sheet'!$E$29=0, AA$4=0, AB$4=0)</xm:f>
            <x14:dxf>
              <fill>
                <patternFill>
                  <bgColor theme="0" tint="-0.14996795556505021"/>
                </patternFill>
              </fill>
            </x14:dxf>
          </x14:cfRule>
          <xm:sqref>AA23:BJ23</xm:sqref>
        </x14:conditionalFormatting>
        <x14:conditionalFormatting xmlns:xm="http://schemas.microsoft.com/office/excel/2006/main">
          <x14:cfRule type="expression" priority="1357" id="{AD5C8305-7546-4AEC-BC04-8F1B2223D2BA}">
            <xm:f>AND('Cover Sheet'!$E$29=0, AA$4=0, AB$4=0)</xm:f>
            <x14:dxf>
              <fill>
                <patternFill>
                  <bgColor theme="0" tint="-0.14996795556505021"/>
                </patternFill>
              </fill>
            </x14:dxf>
          </x14:cfRule>
          <xm:sqref>AA23:BJ23</xm:sqref>
        </x14:conditionalFormatting>
        <x14:conditionalFormatting xmlns:xm="http://schemas.microsoft.com/office/excel/2006/main">
          <x14:cfRule type="expression" priority="1356" id="{F0E558D4-6B81-4E41-9A81-30B1C87EB0E8}">
            <xm:f>AND('Cover Sheet'!$E$29=0, AA$4=0, AB$4=0)</xm:f>
            <x14:dxf>
              <fill>
                <patternFill>
                  <bgColor theme="0" tint="-0.14996795556505021"/>
                </patternFill>
              </fill>
            </x14:dxf>
          </x14:cfRule>
          <xm:sqref>AA23:BJ23</xm:sqref>
        </x14:conditionalFormatting>
        <x14:conditionalFormatting xmlns:xm="http://schemas.microsoft.com/office/excel/2006/main">
          <x14:cfRule type="expression" priority="1355" id="{1247B5F3-2F88-40F6-8EC2-F1774F91C48C}">
            <xm:f>AND('Cover Sheet'!$E$29=0, AA$4=0, AB$4=0)</xm:f>
            <x14:dxf>
              <fill>
                <patternFill>
                  <bgColor theme="0" tint="-0.14996795556505021"/>
                </patternFill>
              </fill>
            </x14:dxf>
          </x14:cfRule>
          <xm:sqref>AA23:BJ23</xm:sqref>
        </x14:conditionalFormatting>
        <x14:conditionalFormatting xmlns:xm="http://schemas.microsoft.com/office/excel/2006/main">
          <x14:cfRule type="expression" priority="1354" id="{94AE6C9D-F831-4B41-80AE-219493AFCC6C}">
            <xm:f>AND('Cover Sheet'!$E$29=0, AA$4=0, AB$4=0)</xm:f>
            <x14:dxf>
              <fill>
                <patternFill>
                  <bgColor theme="0"/>
                </patternFill>
              </fill>
            </x14:dxf>
          </x14:cfRule>
          <xm:sqref>AA23:BJ23</xm:sqref>
        </x14:conditionalFormatting>
        <x14:conditionalFormatting xmlns:xm="http://schemas.microsoft.com/office/excel/2006/main">
          <x14:cfRule type="expression" priority="1352" id="{DBFAB838-1AC0-4352-BBB9-B063F28BD84E}">
            <xm:f>AND('Cover Sheet'!$E$29=0, AA$4=0, AB$4=0)</xm:f>
            <x14:dxf>
              <fill>
                <patternFill>
                  <bgColor theme="0" tint="-0.14996795556505021"/>
                </patternFill>
              </fill>
            </x14:dxf>
          </x14:cfRule>
          <xm:sqref>AA27:BJ27</xm:sqref>
        </x14:conditionalFormatting>
        <x14:conditionalFormatting xmlns:xm="http://schemas.microsoft.com/office/excel/2006/main">
          <x14:cfRule type="expression" priority="1351" id="{2FB14BED-A167-4B68-B02A-DE87E8E1D0F0}">
            <xm:f>AND('Cover Sheet'!$E$29=0, AA$4=0, AB$4=0)</xm:f>
            <x14:dxf>
              <fill>
                <patternFill>
                  <bgColor theme="0" tint="-0.14996795556505021"/>
                </patternFill>
              </fill>
            </x14:dxf>
          </x14:cfRule>
          <xm:sqref>AA27:BJ27</xm:sqref>
        </x14:conditionalFormatting>
        <x14:conditionalFormatting xmlns:xm="http://schemas.microsoft.com/office/excel/2006/main">
          <x14:cfRule type="expression" priority="1350" id="{753F9CF7-EDF0-4FF3-B730-87E0C412F5B4}">
            <xm:f>AND('Cover Sheet'!$E$29=0, AA$4=0, AB$4=0)</xm:f>
            <x14:dxf>
              <fill>
                <patternFill>
                  <bgColor theme="0" tint="-0.14996795556505021"/>
                </patternFill>
              </fill>
            </x14:dxf>
          </x14:cfRule>
          <xm:sqref>AA27:BJ27</xm:sqref>
        </x14:conditionalFormatting>
        <x14:conditionalFormatting xmlns:xm="http://schemas.microsoft.com/office/excel/2006/main">
          <x14:cfRule type="expression" priority="1349" id="{7DFC2207-C8D5-4793-872D-51795E3E18CA}">
            <xm:f>AND('Cover Sheet'!$E$29=0, AA$4=0, AB$4=0)</xm:f>
            <x14:dxf>
              <fill>
                <patternFill>
                  <bgColor theme="0" tint="-0.14996795556505021"/>
                </patternFill>
              </fill>
            </x14:dxf>
          </x14:cfRule>
          <xm:sqref>AA27:BJ27</xm:sqref>
        </x14:conditionalFormatting>
        <x14:conditionalFormatting xmlns:xm="http://schemas.microsoft.com/office/excel/2006/main">
          <x14:cfRule type="expression" priority="1348" id="{0CE51DAC-A37E-4F5E-B7C4-3C269BD685C4}">
            <xm:f>AND('Cover Sheet'!$E$29=0, AA$4=0, AB$4=0)</xm:f>
            <x14:dxf>
              <fill>
                <patternFill>
                  <bgColor theme="0" tint="-0.14996795556505021"/>
                </patternFill>
              </fill>
            </x14:dxf>
          </x14:cfRule>
          <xm:sqref>AA27:BJ27</xm:sqref>
        </x14:conditionalFormatting>
        <x14:conditionalFormatting xmlns:xm="http://schemas.microsoft.com/office/excel/2006/main">
          <x14:cfRule type="expression" priority="1347" id="{4D8B2E21-C7C0-4F20-A283-A4127FDDA390}">
            <xm:f>AND('Cover Sheet'!$E$29=0, AA$4=0, AB$4=0)</xm:f>
            <x14:dxf>
              <fill>
                <patternFill>
                  <bgColor theme="0"/>
                </patternFill>
              </fill>
            </x14:dxf>
          </x14:cfRule>
          <xm:sqref>AA27:BJ27</xm:sqref>
        </x14:conditionalFormatting>
        <x14:conditionalFormatting xmlns:xm="http://schemas.microsoft.com/office/excel/2006/main">
          <x14:cfRule type="expression" priority="1345" id="{A3EC2256-84CB-4757-AFE1-01C1A01E890A}">
            <xm:f>AND('Cover Sheet'!$E$29=0, AA$4=0, AB$4=0)</xm:f>
            <x14:dxf>
              <fill>
                <patternFill>
                  <bgColor theme="0" tint="-0.14996795556505021"/>
                </patternFill>
              </fill>
            </x14:dxf>
          </x14:cfRule>
          <xm:sqref>AA29:BJ29</xm:sqref>
        </x14:conditionalFormatting>
        <x14:conditionalFormatting xmlns:xm="http://schemas.microsoft.com/office/excel/2006/main">
          <x14:cfRule type="expression" priority="1344" id="{A1E952B2-AEC9-4AB9-89A9-F6F2A21AC499}">
            <xm:f>AND('Cover Sheet'!$E$29=0, AA$4=0, AB$4=0)</xm:f>
            <x14:dxf>
              <fill>
                <patternFill>
                  <bgColor theme="0" tint="-0.14996795556505021"/>
                </patternFill>
              </fill>
            </x14:dxf>
          </x14:cfRule>
          <xm:sqref>AA29:BJ29</xm:sqref>
        </x14:conditionalFormatting>
        <x14:conditionalFormatting xmlns:xm="http://schemas.microsoft.com/office/excel/2006/main">
          <x14:cfRule type="expression" priority="1343" id="{DF978A28-1489-448F-B95D-B356927713CB}">
            <xm:f>AND('Cover Sheet'!$E$29=0, AA$4=0, AB$4=0)</xm:f>
            <x14:dxf>
              <fill>
                <patternFill>
                  <bgColor theme="0" tint="-0.14996795556505021"/>
                </patternFill>
              </fill>
            </x14:dxf>
          </x14:cfRule>
          <xm:sqref>AA29:BJ29</xm:sqref>
        </x14:conditionalFormatting>
        <x14:conditionalFormatting xmlns:xm="http://schemas.microsoft.com/office/excel/2006/main">
          <x14:cfRule type="expression" priority="1342" id="{C99F68B9-0688-4AB4-9378-FEDC19264C5B}">
            <xm:f>AND('Cover Sheet'!$E$29=0, AA$4=0, AB$4=0)</xm:f>
            <x14:dxf>
              <fill>
                <patternFill>
                  <bgColor theme="0" tint="-0.14996795556505021"/>
                </patternFill>
              </fill>
            </x14:dxf>
          </x14:cfRule>
          <xm:sqref>AA29:BJ29</xm:sqref>
        </x14:conditionalFormatting>
        <x14:conditionalFormatting xmlns:xm="http://schemas.microsoft.com/office/excel/2006/main">
          <x14:cfRule type="expression" priority="1341" id="{D52DB8AA-6A51-48D9-915F-3CFA09860B1D}">
            <xm:f>AND('Cover Sheet'!$E$29=0, AA$4=0, AB$4=0)</xm:f>
            <x14:dxf>
              <fill>
                <patternFill>
                  <bgColor theme="0" tint="-0.14996795556505021"/>
                </patternFill>
              </fill>
            </x14:dxf>
          </x14:cfRule>
          <xm:sqref>AA29:BJ29</xm:sqref>
        </x14:conditionalFormatting>
        <x14:conditionalFormatting xmlns:xm="http://schemas.microsoft.com/office/excel/2006/main">
          <x14:cfRule type="expression" priority="1340" id="{CC7AF685-0925-4556-9E84-3D90F5D4EF01}">
            <xm:f>AND('Cover Sheet'!$E$29=0, AA$4=0, AB$4=0)</xm:f>
            <x14:dxf>
              <fill>
                <patternFill>
                  <bgColor theme="0"/>
                </patternFill>
              </fill>
            </x14:dxf>
          </x14:cfRule>
          <xm:sqref>AA29:BJ29</xm:sqref>
        </x14:conditionalFormatting>
        <x14:conditionalFormatting xmlns:xm="http://schemas.microsoft.com/office/excel/2006/main">
          <x14:cfRule type="expression" priority="1338" id="{41D9CBD7-5D1B-4926-825C-354F57D66C6A}">
            <xm:f>AND('Cover Sheet'!$E$29=0, AA$4=0, AB$4=0)</xm:f>
            <x14:dxf>
              <fill>
                <patternFill>
                  <bgColor theme="0" tint="-0.14996795556505021"/>
                </patternFill>
              </fill>
            </x14:dxf>
          </x14:cfRule>
          <xm:sqref>AA32:BJ32</xm:sqref>
        </x14:conditionalFormatting>
        <x14:conditionalFormatting xmlns:xm="http://schemas.microsoft.com/office/excel/2006/main">
          <x14:cfRule type="expression" priority="1337" id="{F1B8D5BA-826E-4DF9-9CB2-5503BF12ECC6}">
            <xm:f>AND('Cover Sheet'!$E$29=0, AA$4=0, AB$4=0)</xm:f>
            <x14:dxf>
              <fill>
                <patternFill>
                  <bgColor theme="0" tint="-0.14996795556505021"/>
                </patternFill>
              </fill>
            </x14:dxf>
          </x14:cfRule>
          <xm:sqref>AA32:BJ32</xm:sqref>
        </x14:conditionalFormatting>
        <x14:conditionalFormatting xmlns:xm="http://schemas.microsoft.com/office/excel/2006/main">
          <x14:cfRule type="expression" priority="1336" id="{63432DF8-E561-474F-B8DA-56C29F309478}">
            <xm:f>AND('Cover Sheet'!$E$29=0, AA$4=0, AB$4=0)</xm:f>
            <x14:dxf>
              <fill>
                <patternFill>
                  <bgColor theme="0" tint="-0.14996795556505021"/>
                </patternFill>
              </fill>
            </x14:dxf>
          </x14:cfRule>
          <xm:sqref>AA32:BJ32</xm:sqref>
        </x14:conditionalFormatting>
        <x14:conditionalFormatting xmlns:xm="http://schemas.microsoft.com/office/excel/2006/main">
          <x14:cfRule type="expression" priority="1335" id="{9FEFC79F-3A05-4AAA-AAB3-E2B3A60A551A}">
            <xm:f>AND('Cover Sheet'!$E$29=0, AA$4=0, AB$4=0)</xm:f>
            <x14:dxf>
              <fill>
                <patternFill>
                  <bgColor theme="0" tint="-0.14996795556505021"/>
                </patternFill>
              </fill>
            </x14:dxf>
          </x14:cfRule>
          <xm:sqref>AA32:BJ32</xm:sqref>
        </x14:conditionalFormatting>
        <x14:conditionalFormatting xmlns:xm="http://schemas.microsoft.com/office/excel/2006/main">
          <x14:cfRule type="expression" priority="1334" id="{1FB5615A-C4C8-4D11-915A-67C27BFCBA0E}">
            <xm:f>AND('Cover Sheet'!$E$29=0, AA$4=0, AB$4=0)</xm:f>
            <x14:dxf>
              <fill>
                <patternFill>
                  <bgColor theme="0" tint="-0.14996795556505021"/>
                </patternFill>
              </fill>
            </x14:dxf>
          </x14:cfRule>
          <xm:sqref>AA32:BJ32</xm:sqref>
        </x14:conditionalFormatting>
        <x14:conditionalFormatting xmlns:xm="http://schemas.microsoft.com/office/excel/2006/main">
          <x14:cfRule type="expression" priority="1333" id="{7BEE7FAB-ECDA-4649-B124-5E58526FF2CE}">
            <xm:f>AND('Cover Sheet'!$E$29=0, AA$4=0, AB$4=0)</xm:f>
            <x14:dxf>
              <fill>
                <patternFill>
                  <bgColor theme="0"/>
                </patternFill>
              </fill>
            </x14:dxf>
          </x14:cfRule>
          <xm:sqref>AA32:BJ32</xm:sqref>
        </x14:conditionalFormatting>
        <x14:conditionalFormatting xmlns:xm="http://schemas.microsoft.com/office/excel/2006/main">
          <x14:cfRule type="expression" priority="1331" id="{BAFFB591-6882-47EB-8D7D-54996D34ACA2}">
            <xm:f>AND('Cover Sheet'!$E$29=0, AA$4=0, AB$4=0)</xm:f>
            <x14:dxf>
              <fill>
                <patternFill>
                  <bgColor theme="0" tint="-0.14996795556505021"/>
                </patternFill>
              </fill>
            </x14:dxf>
          </x14:cfRule>
          <xm:sqref>AA36:BJ36</xm:sqref>
        </x14:conditionalFormatting>
        <x14:conditionalFormatting xmlns:xm="http://schemas.microsoft.com/office/excel/2006/main">
          <x14:cfRule type="expression" priority="1330" id="{3417D401-7DE9-4D35-B76C-252E77FBBAF3}">
            <xm:f>AND('Cover Sheet'!$E$29=0, AA$4=0, AB$4=0)</xm:f>
            <x14:dxf>
              <fill>
                <patternFill>
                  <bgColor theme="0" tint="-0.14996795556505021"/>
                </patternFill>
              </fill>
            </x14:dxf>
          </x14:cfRule>
          <xm:sqref>AA36:BJ36</xm:sqref>
        </x14:conditionalFormatting>
        <x14:conditionalFormatting xmlns:xm="http://schemas.microsoft.com/office/excel/2006/main">
          <x14:cfRule type="expression" priority="1329" id="{00ACE8DE-3D07-4CE4-A665-C3F2994C68F5}">
            <xm:f>AND('Cover Sheet'!$E$29=0, AA$4=0, AB$4=0)</xm:f>
            <x14:dxf>
              <fill>
                <patternFill>
                  <bgColor theme="0" tint="-0.14996795556505021"/>
                </patternFill>
              </fill>
            </x14:dxf>
          </x14:cfRule>
          <xm:sqref>AA36:BJ36</xm:sqref>
        </x14:conditionalFormatting>
        <x14:conditionalFormatting xmlns:xm="http://schemas.microsoft.com/office/excel/2006/main">
          <x14:cfRule type="expression" priority="1328" id="{D179CB6E-75E0-4692-BC69-FB3B5292625E}">
            <xm:f>AND('Cover Sheet'!$E$29=0, AA$4=0, AB$4=0)</xm:f>
            <x14:dxf>
              <fill>
                <patternFill>
                  <bgColor theme="0" tint="-0.14996795556505021"/>
                </patternFill>
              </fill>
            </x14:dxf>
          </x14:cfRule>
          <xm:sqref>AA36:BJ36</xm:sqref>
        </x14:conditionalFormatting>
        <x14:conditionalFormatting xmlns:xm="http://schemas.microsoft.com/office/excel/2006/main">
          <x14:cfRule type="expression" priority="1327" id="{A6A88A0E-4191-4615-93F7-8ABDB8B61144}">
            <xm:f>AND('Cover Sheet'!$E$29=0, AA$4=0, AB$4=0)</xm:f>
            <x14:dxf>
              <fill>
                <patternFill>
                  <bgColor theme="0" tint="-0.14996795556505021"/>
                </patternFill>
              </fill>
            </x14:dxf>
          </x14:cfRule>
          <xm:sqref>AA36:BJ36</xm:sqref>
        </x14:conditionalFormatting>
        <x14:conditionalFormatting xmlns:xm="http://schemas.microsoft.com/office/excel/2006/main">
          <x14:cfRule type="expression" priority="1326" id="{B31F62C6-649B-4AA6-93A7-E8EA8117EC36}">
            <xm:f>AND('Cover Sheet'!$E$29=0, AA$4=0, AB$4=0)</xm:f>
            <x14:dxf>
              <fill>
                <patternFill>
                  <bgColor theme="0"/>
                </patternFill>
              </fill>
            </x14:dxf>
          </x14:cfRule>
          <xm:sqref>AA36:BJ36</xm:sqref>
        </x14:conditionalFormatting>
        <x14:conditionalFormatting xmlns:xm="http://schemas.microsoft.com/office/excel/2006/main">
          <x14:cfRule type="expression" priority="1324" id="{77BD4654-96A7-4D92-9268-DD34C50EA40E}">
            <xm:f>AND('Cover Sheet'!$E$29=0, AA$4=0, AB$4=0)</xm:f>
            <x14:dxf>
              <fill>
                <patternFill>
                  <bgColor theme="0" tint="-0.14996795556505021"/>
                </patternFill>
              </fill>
            </x14:dxf>
          </x14:cfRule>
          <xm:sqref>AA38:BJ38</xm:sqref>
        </x14:conditionalFormatting>
        <x14:conditionalFormatting xmlns:xm="http://schemas.microsoft.com/office/excel/2006/main">
          <x14:cfRule type="expression" priority="1323" id="{E5D22B2D-AF83-4403-A1B3-0446E26DAFDB}">
            <xm:f>AND('Cover Sheet'!$E$29=0, AA$4=0, AB$4=0)</xm:f>
            <x14:dxf>
              <fill>
                <patternFill>
                  <bgColor theme="0" tint="-0.14996795556505021"/>
                </patternFill>
              </fill>
            </x14:dxf>
          </x14:cfRule>
          <xm:sqref>AA38:BJ38</xm:sqref>
        </x14:conditionalFormatting>
        <x14:conditionalFormatting xmlns:xm="http://schemas.microsoft.com/office/excel/2006/main">
          <x14:cfRule type="expression" priority="1322" id="{310DCE0C-333D-4B82-BA37-C3A61B01662F}">
            <xm:f>AND('Cover Sheet'!$E$29=0, AA$4=0, AB$4=0)</xm:f>
            <x14:dxf>
              <fill>
                <patternFill>
                  <bgColor theme="0" tint="-0.14996795556505021"/>
                </patternFill>
              </fill>
            </x14:dxf>
          </x14:cfRule>
          <xm:sqref>AA38:BJ38</xm:sqref>
        </x14:conditionalFormatting>
        <x14:conditionalFormatting xmlns:xm="http://schemas.microsoft.com/office/excel/2006/main">
          <x14:cfRule type="expression" priority="1321" id="{7965A250-6767-498B-B14F-24344742CA4C}">
            <xm:f>AND('Cover Sheet'!$E$29=0, AA$4=0, AB$4=0)</xm:f>
            <x14:dxf>
              <fill>
                <patternFill>
                  <bgColor theme="0" tint="-0.14996795556505021"/>
                </patternFill>
              </fill>
            </x14:dxf>
          </x14:cfRule>
          <xm:sqref>AA38:BJ38</xm:sqref>
        </x14:conditionalFormatting>
        <x14:conditionalFormatting xmlns:xm="http://schemas.microsoft.com/office/excel/2006/main">
          <x14:cfRule type="expression" priority="1320" id="{6C6DEE9D-3E16-4E09-B19F-6CE3B5B3B4E5}">
            <xm:f>AND('Cover Sheet'!$E$29=0, AA$4=0, AB$4=0)</xm:f>
            <x14:dxf>
              <fill>
                <patternFill>
                  <bgColor theme="0" tint="-0.14996795556505021"/>
                </patternFill>
              </fill>
            </x14:dxf>
          </x14:cfRule>
          <xm:sqref>AA38:BJ38</xm:sqref>
        </x14:conditionalFormatting>
        <x14:conditionalFormatting xmlns:xm="http://schemas.microsoft.com/office/excel/2006/main">
          <x14:cfRule type="expression" priority="1319" id="{801D5CC8-A21F-4722-9CCE-06BBF1A878EB}">
            <xm:f>AND('Cover Sheet'!$E$29=0, AA$4=0, AB$4=0)</xm:f>
            <x14:dxf>
              <fill>
                <patternFill>
                  <bgColor theme="0"/>
                </patternFill>
              </fill>
            </x14:dxf>
          </x14:cfRule>
          <xm:sqref>AA38:BJ38</xm:sqref>
        </x14:conditionalFormatting>
        <x14:conditionalFormatting xmlns:xm="http://schemas.microsoft.com/office/excel/2006/main">
          <x14:cfRule type="expression" priority="1310" id="{E7DC6D06-FC05-4134-9BA3-0FE05CEAEE3F}">
            <xm:f>AND('Cover Sheet'!$E$29=0, AA$4=0, AB$4=0)</xm:f>
            <x14:dxf>
              <fill>
                <patternFill>
                  <bgColor theme="0" tint="-0.14996795556505021"/>
                </patternFill>
              </fill>
            </x14:dxf>
          </x14:cfRule>
          <xm:sqref>AA41:BJ41</xm:sqref>
        </x14:conditionalFormatting>
        <x14:conditionalFormatting xmlns:xm="http://schemas.microsoft.com/office/excel/2006/main">
          <x14:cfRule type="expression" priority="1309" id="{E5B5D595-A6F8-4AFC-9B99-B7C911CA7447}">
            <xm:f>AND('Cover Sheet'!$E$29=0, AA$4=0, AB$4=0)</xm:f>
            <x14:dxf>
              <fill>
                <patternFill>
                  <bgColor theme="0" tint="-0.14996795556505021"/>
                </patternFill>
              </fill>
            </x14:dxf>
          </x14:cfRule>
          <xm:sqref>AA41:BJ41</xm:sqref>
        </x14:conditionalFormatting>
        <x14:conditionalFormatting xmlns:xm="http://schemas.microsoft.com/office/excel/2006/main">
          <x14:cfRule type="expression" priority="1308" id="{D76A9D9F-2639-4245-B53F-22723F348A7A}">
            <xm:f>AND('Cover Sheet'!$E$29=0, AA$4=0, AB$4=0)</xm:f>
            <x14:dxf>
              <fill>
                <patternFill>
                  <bgColor theme="0" tint="-0.14996795556505021"/>
                </patternFill>
              </fill>
            </x14:dxf>
          </x14:cfRule>
          <xm:sqref>AA41:BJ41</xm:sqref>
        </x14:conditionalFormatting>
        <x14:conditionalFormatting xmlns:xm="http://schemas.microsoft.com/office/excel/2006/main">
          <x14:cfRule type="expression" priority="1307" id="{98C76A32-B4CC-4A70-9CE5-58E824A82149}">
            <xm:f>AND('Cover Sheet'!$E$29=0, AA$4=0, AB$4=0)</xm:f>
            <x14:dxf>
              <fill>
                <patternFill>
                  <bgColor theme="0" tint="-0.14996795556505021"/>
                </patternFill>
              </fill>
            </x14:dxf>
          </x14:cfRule>
          <xm:sqref>AA41:BJ41</xm:sqref>
        </x14:conditionalFormatting>
        <x14:conditionalFormatting xmlns:xm="http://schemas.microsoft.com/office/excel/2006/main">
          <x14:cfRule type="expression" priority="1306" id="{604D2809-C568-4805-AE58-11F8742A018D}">
            <xm:f>AND('Cover Sheet'!$E$29=0, AA$4=0, AB$4=0)</xm:f>
            <x14:dxf>
              <fill>
                <patternFill>
                  <bgColor theme="0" tint="-0.14996795556505021"/>
                </patternFill>
              </fill>
            </x14:dxf>
          </x14:cfRule>
          <xm:sqref>AA41:BJ41</xm:sqref>
        </x14:conditionalFormatting>
        <x14:conditionalFormatting xmlns:xm="http://schemas.microsoft.com/office/excel/2006/main">
          <x14:cfRule type="expression" priority="1305" id="{6F4B9B9B-C87F-4DEB-80A2-57CE666A5011}">
            <xm:f>AND('Cover Sheet'!$E$29=0, AA$4=0, AB$4=0)</xm:f>
            <x14:dxf>
              <fill>
                <patternFill>
                  <bgColor theme="0"/>
                </patternFill>
              </fill>
            </x14:dxf>
          </x14:cfRule>
          <xm:sqref>AA41:BJ41</xm:sqref>
        </x14:conditionalFormatting>
        <x14:conditionalFormatting xmlns:xm="http://schemas.microsoft.com/office/excel/2006/main">
          <x14:cfRule type="expression" priority="1303" id="{7BFDC495-B940-48CA-8B3E-14F7967FBCD5}">
            <xm:f>AND('Cover Sheet'!$E$29=0, AA$4=0, AB$4=0)</xm:f>
            <x14:dxf>
              <fill>
                <patternFill>
                  <bgColor theme="0" tint="-0.14996795556505021"/>
                </patternFill>
              </fill>
            </x14:dxf>
          </x14:cfRule>
          <xm:sqref>AA42:BJ42</xm:sqref>
        </x14:conditionalFormatting>
        <x14:conditionalFormatting xmlns:xm="http://schemas.microsoft.com/office/excel/2006/main">
          <x14:cfRule type="expression" priority="1302" id="{CAE0D278-450D-4061-A691-BBDBF38292C2}">
            <xm:f>AND('Cover Sheet'!$E$29=0, AA$4=0, AB$4=0)</xm:f>
            <x14:dxf>
              <fill>
                <patternFill>
                  <bgColor theme="0" tint="-0.14996795556505021"/>
                </patternFill>
              </fill>
            </x14:dxf>
          </x14:cfRule>
          <xm:sqref>AA42:BJ42</xm:sqref>
        </x14:conditionalFormatting>
        <x14:conditionalFormatting xmlns:xm="http://schemas.microsoft.com/office/excel/2006/main">
          <x14:cfRule type="expression" priority="1301" id="{18F2DB85-A22B-489C-AD3A-BD748CFE2BF0}">
            <xm:f>AND('Cover Sheet'!$E$29=0, AA$4=0, AB$4=0)</xm:f>
            <x14:dxf>
              <fill>
                <patternFill>
                  <bgColor theme="0" tint="-0.14996795556505021"/>
                </patternFill>
              </fill>
            </x14:dxf>
          </x14:cfRule>
          <xm:sqref>AA42:BJ42</xm:sqref>
        </x14:conditionalFormatting>
        <x14:conditionalFormatting xmlns:xm="http://schemas.microsoft.com/office/excel/2006/main">
          <x14:cfRule type="expression" priority="1300" id="{7F9AF78F-ABC2-4CF7-AD52-9052D9D7109F}">
            <xm:f>AND('Cover Sheet'!$E$29=0, AA$4=0, AB$4=0)</xm:f>
            <x14:dxf>
              <fill>
                <patternFill>
                  <bgColor theme="0" tint="-0.14996795556505021"/>
                </patternFill>
              </fill>
            </x14:dxf>
          </x14:cfRule>
          <xm:sqref>AA42:BJ42</xm:sqref>
        </x14:conditionalFormatting>
        <x14:conditionalFormatting xmlns:xm="http://schemas.microsoft.com/office/excel/2006/main">
          <x14:cfRule type="expression" priority="1299" id="{A14D71B2-6FE5-4DD1-9CBA-F119F173E9E0}">
            <xm:f>AND('Cover Sheet'!$E$29=0, AA$4=0, AB$4=0)</xm:f>
            <x14:dxf>
              <fill>
                <patternFill>
                  <bgColor theme="0" tint="-0.14996795556505021"/>
                </patternFill>
              </fill>
            </x14:dxf>
          </x14:cfRule>
          <xm:sqref>AA42:BJ42</xm:sqref>
        </x14:conditionalFormatting>
        <x14:conditionalFormatting xmlns:xm="http://schemas.microsoft.com/office/excel/2006/main">
          <x14:cfRule type="expression" priority="1298" id="{DEDC4650-3186-44E0-B466-3CB90CE8F084}">
            <xm:f>AND('Cover Sheet'!$E$29=0, AA$4=0, AB$4=0)</xm:f>
            <x14:dxf>
              <fill>
                <patternFill>
                  <bgColor theme="0"/>
                </patternFill>
              </fill>
            </x14:dxf>
          </x14:cfRule>
          <xm:sqref>AA42:BJ42</xm:sqref>
        </x14:conditionalFormatting>
        <x14:conditionalFormatting xmlns:xm="http://schemas.microsoft.com/office/excel/2006/main">
          <x14:cfRule type="expression" priority="1296" id="{4C16C5F5-F4E0-4B9C-93CD-64D78EDD99E6}">
            <xm:f>AND('Cover Sheet'!$E$29=0, AA$4=0, AB$4=0)</xm:f>
            <x14:dxf>
              <fill>
                <patternFill>
                  <bgColor theme="0" tint="-0.14996795556505021"/>
                </patternFill>
              </fill>
            </x14:dxf>
          </x14:cfRule>
          <xm:sqref>AA43:BJ43</xm:sqref>
        </x14:conditionalFormatting>
        <x14:conditionalFormatting xmlns:xm="http://schemas.microsoft.com/office/excel/2006/main">
          <x14:cfRule type="expression" priority="1295" id="{3EF5FFD0-4EAB-40D0-9743-B6002B1E3F04}">
            <xm:f>AND('Cover Sheet'!$E$29=0, AA$4=0, AB$4=0)</xm:f>
            <x14:dxf>
              <fill>
                <patternFill>
                  <bgColor theme="0" tint="-0.14996795556505021"/>
                </patternFill>
              </fill>
            </x14:dxf>
          </x14:cfRule>
          <xm:sqref>AA43:BJ43</xm:sqref>
        </x14:conditionalFormatting>
        <x14:conditionalFormatting xmlns:xm="http://schemas.microsoft.com/office/excel/2006/main">
          <x14:cfRule type="expression" priority="1294" id="{3BC1959D-074E-42FE-A3D1-21CCE3855662}">
            <xm:f>AND('Cover Sheet'!$E$29=0, AA$4=0, AB$4=0)</xm:f>
            <x14:dxf>
              <fill>
                <patternFill>
                  <bgColor theme="0" tint="-0.14996795556505021"/>
                </patternFill>
              </fill>
            </x14:dxf>
          </x14:cfRule>
          <xm:sqref>AA43:BJ43</xm:sqref>
        </x14:conditionalFormatting>
        <x14:conditionalFormatting xmlns:xm="http://schemas.microsoft.com/office/excel/2006/main">
          <x14:cfRule type="expression" priority="1293" id="{232D19AD-219B-41C9-95A2-3ED12D1C2273}">
            <xm:f>AND('Cover Sheet'!$E$29=0, AA$4=0, AB$4=0)</xm:f>
            <x14:dxf>
              <fill>
                <patternFill>
                  <bgColor theme="0" tint="-0.14996795556505021"/>
                </patternFill>
              </fill>
            </x14:dxf>
          </x14:cfRule>
          <xm:sqref>AA43:BJ43</xm:sqref>
        </x14:conditionalFormatting>
        <x14:conditionalFormatting xmlns:xm="http://schemas.microsoft.com/office/excel/2006/main">
          <x14:cfRule type="expression" priority="1292" id="{01CCE79B-9ACD-4CF6-A189-3BFC467623DA}">
            <xm:f>AND('Cover Sheet'!$E$29=0, AA$4=0, AB$4=0)</xm:f>
            <x14:dxf>
              <fill>
                <patternFill>
                  <bgColor theme="0" tint="-0.14996795556505021"/>
                </patternFill>
              </fill>
            </x14:dxf>
          </x14:cfRule>
          <xm:sqref>AA43:BJ43</xm:sqref>
        </x14:conditionalFormatting>
        <x14:conditionalFormatting xmlns:xm="http://schemas.microsoft.com/office/excel/2006/main">
          <x14:cfRule type="expression" priority="1291" id="{9D32A394-3665-408D-9F0D-353B65F5EC7E}">
            <xm:f>AND('Cover Sheet'!$E$29=0, AA$4=0, AB$4=0)</xm:f>
            <x14:dxf>
              <fill>
                <patternFill>
                  <bgColor theme="0"/>
                </patternFill>
              </fill>
            </x14:dxf>
          </x14:cfRule>
          <xm:sqref>AA43:BJ43</xm:sqref>
        </x14:conditionalFormatting>
        <x14:conditionalFormatting xmlns:xm="http://schemas.microsoft.com/office/excel/2006/main">
          <x14:cfRule type="expression" priority="1289" id="{6400401E-1C2C-475E-911E-8ED762D7D226}">
            <xm:f>AND('Cover Sheet'!$E$29=0, AA$4=0, AB$4=0)</xm:f>
            <x14:dxf>
              <fill>
                <patternFill>
                  <bgColor theme="0" tint="-0.14996795556505021"/>
                </patternFill>
              </fill>
            </x14:dxf>
          </x14:cfRule>
          <xm:sqref>AA44:BJ44</xm:sqref>
        </x14:conditionalFormatting>
        <x14:conditionalFormatting xmlns:xm="http://schemas.microsoft.com/office/excel/2006/main">
          <x14:cfRule type="expression" priority="1288" id="{AFFEE319-4E16-4514-BE67-FB07016BCD63}">
            <xm:f>AND('Cover Sheet'!$E$29=0, AA$4=0, AB$4=0)</xm:f>
            <x14:dxf>
              <fill>
                <patternFill>
                  <bgColor theme="0" tint="-0.14996795556505021"/>
                </patternFill>
              </fill>
            </x14:dxf>
          </x14:cfRule>
          <xm:sqref>AA44:BJ44</xm:sqref>
        </x14:conditionalFormatting>
        <x14:conditionalFormatting xmlns:xm="http://schemas.microsoft.com/office/excel/2006/main">
          <x14:cfRule type="expression" priority="1287" id="{D6851070-386C-4518-904C-AE8F25127E00}">
            <xm:f>AND('Cover Sheet'!$E$29=0, AA$4=0, AB$4=0)</xm:f>
            <x14:dxf>
              <fill>
                <patternFill>
                  <bgColor theme="0" tint="-0.14996795556505021"/>
                </patternFill>
              </fill>
            </x14:dxf>
          </x14:cfRule>
          <xm:sqref>AA44:BJ44</xm:sqref>
        </x14:conditionalFormatting>
        <x14:conditionalFormatting xmlns:xm="http://schemas.microsoft.com/office/excel/2006/main">
          <x14:cfRule type="expression" priority="1286" id="{649FFFD9-1939-42E4-B7EA-40E0EE3C7DBB}">
            <xm:f>AND('Cover Sheet'!$E$29=0, AA$4=0, AB$4=0)</xm:f>
            <x14:dxf>
              <fill>
                <patternFill>
                  <bgColor theme="0" tint="-0.14996795556505021"/>
                </patternFill>
              </fill>
            </x14:dxf>
          </x14:cfRule>
          <xm:sqref>AA44:BJ44</xm:sqref>
        </x14:conditionalFormatting>
        <x14:conditionalFormatting xmlns:xm="http://schemas.microsoft.com/office/excel/2006/main">
          <x14:cfRule type="expression" priority="1285" id="{699BC178-A890-42AC-9130-382EE9FC7CC9}">
            <xm:f>AND('Cover Sheet'!$E$29=0, AA$4=0, AB$4=0)</xm:f>
            <x14:dxf>
              <fill>
                <patternFill>
                  <bgColor theme="0" tint="-0.14996795556505021"/>
                </patternFill>
              </fill>
            </x14:dxf>
          </x14:cfRule>
          <xm:sqref>AA44:BJ44</xm:sqref>
        </x14:conditionalFormatting>
        <x14:conditionalFormatting xmlns:xm="http://schemas.microsoft.com/office/excel/2006/main">
          <x14:cfRule type="expression" priority="1284" id="{2872022A-3746-4CB6-AD51-59F10CA84EE3}">
            <xm:f>AND('Cover Sheet'!$E$29=0, AA$4=0, AB$4=0)</xm:f>
            <x14:dxf>
              <fill>
                <patternFill>
                  <bgColor theme="0"/>
                </patternFill>
              </fill>
            </x14:dxf>
          </x14:cfRule>
          <xm:sqref>AA44:BJ44</xm:sqref>
        </x14:conditionalFormatting>
        <x14:conditionalFormatting xmlns:xm="http://schemas.microsoft.com/office/excel/2006/main">
          <x14:cfRule type="expression" priority="1282" id="{32A933FD-487A-4E92-AC39-D6461B12BE7C}">
            <xm:f>AND('Cover Sheet'!$E$29=0, AA$4=0, AB$4=0)</xm:f>
            <x14:dxf>
              <fill>
                <patternFill>
                  <bgColor theme="0" tint="-0.14996795556505021"/>
                </patternFill>
              </fill>
            </x14:dxf>
          </x14:cfRule>
          <xm:sqref>AA48:BJ48</xm:sqref>
        </x14:conditionalFormatting>
        <x14:conditionalFormatting xmlns:xm="http://schemas.microsoft.com/office/excel/2006/main">
          <x14:cfRule type="expression" priority="1281" id="{774F4295-157A-4F3E-ABFE-3D2427AE175F}">
            <xm:f>AND('Cover Sheet'!$E$29=0, AA$4=0, AB$4=0)</xm:f>
            <x14:dxf>
              <fill>
                <patternFill>
                  <bgColor theme="0" tint="-0.14996795556505021"/>
                </patternFill>
              </fill>
            </x14:dxf>
          </x14:cfRule>
          <xm:sqref>AA48:BJ48</xm:sqref>
        </x14:conditionalFormatting>
        <x14:conditionalFormatting xmlns:xm="http://schemas.microsoft.com/office/excel/2006/main">
          <x14:cfRule type="expression" priority="1280" id="{7FD20C6F-26C4-4482-819E-BFE59829FAEB}">
            <xm:f>AND('Cover Sheet'!$E$29=0, AA$4=0, AB$4=0)</xm:f>
            <x14:dxf>
              <fill>
                <patternFill>
                  <bgColor theme="0" tint="-0.14996795556505021"/>
                </patternFill>
              </fill>
            </x14:dxf>
          </x14:cfRule>
          <xm:sqref>AA48:BJ48</xm:sqref>
        </x14:conditionalFormatting>
        <x14:conditionalFormatting xmlns:xm="http://schemas.microsoft.com/office/excel/2006/main">
          <x14:cfRule type="expression" priority="1279" id="{234E0E03-AC67-46C2-912C-E0FFD858DA3E}">
            <xm:f>AND('Cover Sheet'!$E$29=0, AA$4=0, AB$4=0)</xm:f>
            <x14:dxf>
              <fill>
                <patternFill>
                  <bgColor theme="0" tint="-0.14996795556505021"/>
                </patternFill>
              </fill>
            </x14:dxf>
          </x14:cfRule>
          <xm:sqref>AA48:BJ48</xm:sqref>
        </x14:conditionalFormatting>
        <x14:conditionalFormatting xmlns:xm="http://schemas.microsoft.com/office/excel/2006/main">
          <x14:cfRule type="expression" priority="1278" id="{1FD00DAD-2377-45C2-BC64-AC49EB59727B}">
            <xm:f>AND('Cover Sheet'!$E$29=0, AA$4=0, AB$4=0)</xm:f>
            <x14:dxf>
              <fill>
                <patternFill>
                  <bgColor theme="0" tint="-0.14996795556505021"/>
                </patternFill>
              </fill>
            </x14:dxf>
          </x14:cfRule>
          <xm:sqref>AA48:BJ48</xm:sqref>
        </x14:conditionalFormatting>
        <x14:conditionalFormatting xmlns:xm="http://schemas.microsoft.com/office/excel/2006/main">
          <x14:cfRule type="expression" priority="1277" id="{4B716AD9-87FF-4839-AF05-6C1FBF4F8443}">
            <xm:f>AND('Cover Sheet'!$E$29=0, AA$4=0, AB$4=0)</xm:f>
            <x14:dxf>
              <fill>
                <patternFill>
                  <bgColor theme="0"/>
                </patternFill>
              </fill>
            </x14:dxf>
          </x14:cfRule>
          <xm:sqref>AA48:BJ48</xm:sqref>
        </x14:conditionalFormatting>
        <x14:conditionalFormatting xmlns:xm="http://schemas.microsoft.com/office/excel/2006/main">
          <x14:cfRule type="expression" priority="1275" id="{30CE2D06-3C0C-417E-AD3E-C0EDDBF908DC}">
            <xm:f>AND('Cover Sheet'!$E$29=0, AA$4=0, AB$4=0)</xm:f>
            <x14:dxf>
              <fill>
                <patternFill>
                  <bgColor theme="0" tint="-0.14996795556505021"/>
                </patternFill>
              </fill>
            </x14:dxf>
          </x14:cfRule>
          <xm:sqref>AA50:BJ50</xm:sqref>
        </x14:conditionalFormatting>
        <x14:conditionalFormatting xmlns:xm="http://schemas.microsoft.com/office/excel/2006/main">
          <x14:cfRule type="expression" priority="1274" id="{DD5DA8BD-CD68-4A13-8595-665ED2451A94}">
            <xm:f>AND('Cover Sheet'!$E$29=0, AA$4=0, AB$4=0)</xm:f>
            <x14:dxf>
              <fill>
                <patternFill>
                  <bgColor theme="0" tint="-0.14996795556505021"/>
                </patternFill>
              </fill>
            </x14:dxf>
          </x14:cfRule>
          <xm:sqref>AA50:BJ50</xm:sqref>
        </x14:conditionalFormatting>
        <x14:conditionalFormatting xmlns:xm="http://schemas.microsoft.com/office/excel/2006/main">
          <x14:cfRule type="expression" priority="1273" id="{D5E43D2F-F90B-4213-AA40-B1D41AF27F60}">
            <xm:f>AND('Cover Sheet'!$E$29=0, AA$4=0, AB$4=0)</xm:f>
            <x14:dxf>
              <fill>
                <patternFill>
                  <bgColor theme="0" tint="-0.14996795556505021"/>
                </patternFill>
              </fill>
            </x14:dxf>
          </x14:cfRule>
          <xm:sqref>AA50:BJ50</xm:sqref>
        </x14:conditionalFormatting>
        <x14:conditionalFormatting xmlns:xm="http://schemas.microsoft.com/office/excel/2006/main">
          <x14:cfRule type="expression" priority="1272" id="{E5CC3E73-B53F-45F5-9D3B-10EDB13A7D98}">
            <xm:f>AND('Cover Sheet'!$E$29=0, AA$4=0, AB$4=0)</xm:f>
            <x14:dxf>
              <fill>
                <patternFill>
                  <bgColor theme="0" tint="-0.14996795556505021"/>
                </patternFill>
              </fill>
            </x14:dxf>
          </x14:cfRule>
          <xm:sqref>AA50:BJ50</xm:sqref>
        </x14:conditionalFormatting>
        <x14:conditionalFormatting xmlns:xm="http://schemas.microsoft.com/office/excel/2006/main">
          <x14:cfRule type="expression" priority="1271" id="{48CCDD0D-B41C-49BC-B71B-688A6C5A7EC6}">
            <xm:f>AND('Cover Sheet'!$E$29=0, AA$4=0, AB$4=0)</xm:f>
            <x14:dxf>
              <fill>
                <patternFill>
                  <bgColor theme="0" tint="-0.14996795556505021"/>
                </patternFill>
              </fill>
            </x14:dxf>
          </x14:cfRule>
          <xm:sqref>AA50:BJ50</xm:sqref>
        </x14:conditionalFormatting>
        <x14:conditionalFormatting xmlns:xm="http://schemas.microsoft.com/office/excel/2006/main">
          <x14:cfRule type="expression" priority="1270" id="{EE4910F6-4EF7-4E1B-988B-2ABD33AB4D58}">
            <xm:f>AND('Cover Sheet'!$E$29=0, AA$4=0, AB$4=0)</xm:f>
            <x14:dxf>
              <fill>
                <patternFill>
                  <bgColor theme="0"/>
                </patternFill>
              </fill>
            </x14:dxf>
          </x14:cfRule>
          <xm:sqref>AA50:BJ50</xm:sqref>
        </x14:conditionalFormatting>
        <x14:conditionalFormatting xmlns:xm="http://schemas.microsoft.com/office/excel/2006/main">
          <x14:cfRule type="expression" priority="1268" id="{B13BDD3D-6F49-48B6-962F-5E461A17DFBC}">
            <xm:f>AND('Cover Sheet'!$E$29=0, AA$4=0, AB$4=0)</xm:f>
            <x14:dxf>
              <fill>
                <patternFill>
                  <bgColor theme="0" tint="-0.14996795556505021"/>
                </patternFill>
              </fill>
            </x14:dxf>
          </x14:cfRule>
          <xm:sqref>AA53:BJ53</xm:sqref>
        </x14:conditionalFormatting>
        <x14:conditionalFormatting xmlns:xm="http://schemas.microsoft.com/office/excel/2006/main">
          <x14:cfRule type="expression" priority="1267" id="{BA55B7D7-8099-4B22-BBF5-8B9497D9E107}">
            <xm:f>AND('Cover Sheet'!$E$29=0, AA$4=0, AB$4=0)</xm:f>
            <x14:dxf>
              <fill>
                <patternFill>
                  <bgColor theme="0" tint="-0.14996795556505021"/>
                </patternFill>
              </fill>
            </x14:dxf>
          </x14:cfRule>
          <xm:sqref>AA53:BJ53</xm:sqref>
        </x14:conditionalFormatting>
        <x14:conditionalFormatting xmlns:xm="http://schemas.microsoft.com/office/excel/2006/main">
          <x14:cfRule type="expression" priority="1266" id="{C98221DB-C034-46E8-818E-CC170F8EBD70}">
            <xm:f>AND('Cover Sheet'!$E$29=0, AA$4=0, AB$4=0)</xm:f>
            <x14:dxf>
              <fill>
                <patternFill>
                  <bgColor theme="0" tint="-0.14996795556505021"/>
                </patternFill>
              </fill>
            </x14:dxf>
          </x14:cfRule>
          <xm:sqref>AA53:BJ53</xm:sqref>
        </x14:conditionalFormatting>
        <x14:conditionalFormatting xmlns:xm="http://schemas.microsoft.com/office/excel/2006/main">
          <x14:cfRule type="expression" priority="1265" id="{84F96BD0-AC27-4B25-B537-8D03E26BE949}">
            <xm:f>AND('Cover Sheet'!$E$29=0, AA$4=0, AB$4=0)</xm:f>
            <x14:dxf>
              <fill>
                <patternFill>
                  <bgColor theme="0" tint="-0.14996795556505021"/>
                </patternFill>
              </fill>
            </x14:dxf>
          </x14:cfRule>
          <xm:sqref>AA53:BJ53</xm:sqref>
        </x14:conditionalFormatting>
        <x14:conditionalFormatting xmlns:xm="http://schemas.microsoft.com/office/excel/2006/main">
          <x14:cfRule type="expression" priority="1264" id="{163CA478-A263-4C87-AD7B-7B8B6A4BB86C}">
            <xm:f>AND('Cover Sheet'!$E$29=0, AA$4=0, AB$4=0)</xm:f>
            <x14:dxf>
              <fill>
                <patternFill>
                  <bgColor theme="0" tint="-0.14996795556505021"/>
                </patternFill>
              </fill>
            </x14:dxf>
          </x14:cfRule>
          <xm:sqref>AA53:BJ53</xm:sqref>
        </x14:conditionalFormatting>
        <x14:conditionalFormatting xmlns:xm="http://schemas.microsoft.com/office/excel/2006/main">
          <x14:cfRule type="expression" priority="1263" id="{A1429F22-E10B-45E3-8474-27B8F5D2F32C}">
            <xm:f>AND('Cover Sheet'!$E$29=0, AA$4=0, AB$4=0)</xm:f>
            <x14:dxf>
              <fill>
                <patternFill>
                  <bgColor theme="0"/>
                </patternFill>
              </fill>
            </x14:dxf>
          </x14:cfRule>
          <xm:sqref>AA53:BJ53</xm:sqref>
        </x14:conditionalFormatting>
        <x14:conditionalFormatting xmlns:xm="http://schemas.microsoft.com/office/excel/2006/main">
          <x14:cfRule type="expression" priority="1261" id="{FAAB1587-491D-40CD-906C-498DEE7DAA82}">
            <xm:f>AND('Cover Sheet'!$E$29=0, AA$4=0, AB$4=0)</xm:f>
            <x14:dxf>
              <fill>
                <patternFill>
                  <bgColor theme="0" tint="-0.14996795556505021"/>
                </patternFill>
              </fill>
            </x14:dxf>
          </x14:cfRule>
          <xm:sqref>AA54:BJ54</xm:sqref>
        </x14:conditionalFormatting>
        <x14:conditionalFormatting xmlns:xm="http://schemas.microsoft.com/office/excel/2006/main">
          <x14:cfRule type="expression" priority="1260" id="{91B51848-4F47-4D2C-962F-6939D5C6A34C}">
            <xm:f>AND('Cover Sheet'!$E$29=0, AA$4=0, AB$4=0)</xm:f>
            <x14:dxf>
              <fill>
                <patternFill>
                  <bgColor theme="0" tint="-0.14996795556505021"/>
                </patternFill>
              </fill>
            </x14:dxf>
          </x14:cfRule>
          <xm:sqref>AA54:BJ54</xm:sqref>
        </x14:conditionalFormatting>
        <x14:conditionalFormatting xmlns:xm="http://schemas.microsoft.com/office/excel/2006/main">
          <x14:cfRule type="expression" priority="1259" id="{06ADD65A-F07A-471C-AD20-7373A97A23FC}">
            <xm:f>AND('Cover Sheet'!$E$29=0, AA$4=0, AB$4=0)</xm:f>
            <x14:dxf>
              <fill>
                <patternFill>
                  <bgColor theme="0" tint="-0.14996795556505021"/>
                </patternFill>
              </fill>
            </x14:dxf>
          </x14:cfRule>
          <xm:sqref>AA54:BJ54</xm:sqref>
        </x14:conditionalFormatting>
        <x14:conditionalFormatting xmlns:xm="http://schemas.microsoft.com/office/excel/2006/main">
          <x14:cfRule type="expression" priority="1258" id="{37F31D31-6DB4-46EA-8EB3-D3BBA878A471}">
            <xm:f>AND('Cover Sheet'!$E$29=0, AA$4=0, AB$4=0)</xm:f>
            <x14:dxf>
              <fill>
                <patternFill>
                  <bgColor theme="0" tint="-0.14996795556505021"/>
                </patternFill>
              </fill>
            </x14:dxf>
          </x14:cfRule>
          <xm:sqref>AA54:BJ54</xm:sqref>
        </x14:conditionalFormatting>
        <x14:conditionalFormatting xmlns:xm="http://schemas.microsoft.com/office/excel/2006/main">
          <x14:cfRule type="expression" priority="1257" id="{4F1DDB3D-61FC-40E8-8A92-4F644B643536}">
            <xm:f>AND('Cover Sheet'!$E$29=0, AA$4=0, AB$4=0)</xm:f>
            <x14:dxf>
              <fill>
                <patternFill>
                  <bgColor theme="0" tint="-0.14996795556505021"/>
                </patternFill>
              </fill>
            </x14:dxf>
          </x14:cfRule>
          <xm:sqref>AA54:BJ54</xm:sqref>
        </x14:conditionalFormatting>
        <x14:conditionalFormatting xmlns:xm="http://schemas.microsoft.com/office/excel/2006/main">
          <x14:cfRule type="expression" priority="1256" id="{C6801199-3710-489F-B184-50A3E9E4F90D}">
            <xm:f>AND('Cover Sheet'!$E$29=0, AA$4=0, AB$4=0)</xm:f>
            <x14:dxf>
              <fill>
                <patternFill>
                  <bgColor theme="0"/>
                </patternFill>
              </fill>
            </x14:dxf>
          </x14:cfRule>
          <xm:sqref>AA54:BJ54</xm:sqref>
        </x14:conditionalFormatting>
        <x14:conditionalFormatting xmlns:xm="http://schemas.microsoft.com/office/excel/2006/main">
          <x14:cfRule type="expression" priority="1254" id="{3EB8D2FD-0629-4CD6-A379-4AB7C9D2F397}">
            <xm:f>AND('Cover Sheet'!$E$29=0, AA$4=0, AB$4=0)</xm:f>
            <x14:dxf>
              <fill>
                <patternFill>
                  <bgColor theme="0" tint="-0.14996795556505021"/>
                </patternFill>
              </fill>
            </x14:dxf>
          </x14:cfRule>
          <xm:sqref>AA55:BJ55</xm:sqref>
        </x14:conditionalFormatting>
        <x14:conditionalFormatting xmlns:xm="http://schemas.microsoft.com/office/excel/2006/main">
          <x14:cfRule type="expression" priority="1253" id="{B0203BCE-B476-4A6C-B143-7B518DE4FB7F}">
            <xm:f>AND('Cover Sheet'!$E$29=0, AA$4=0, AB$4=0)</xm:f>
            <x14:dxf>
              <fill>
                <patternFill>
                  <bgColor theme="0" tint="-0.14996795556505021"/>
                </patternFill>
              </fill>
            </x14:dxf>
          </x14:cfRule>
          <xm:sqref>AA55:BJ55</xm:sqref>
        </x14:conditionalFormatting>
        <x14:conditionalFormatting xmlns:xm="http://schemas.microsoft.com/office/excel/2006/main">
          <x14:cfRule type="expression" priority="1252" id="{CA6A687C-FE92-4483-8C2E-6883915AC969}">
            <xm:f>AND('Cover Sheet'!$E$29=0, AA$4=0, AB$4=0)</xm:f>
            <x14:dxf>
              <fill>
                <patternFill>
                  <bgColor theme="0" tint="-0.14996795556505021"/>
                </patternFill>
              </fill>
            </x14:dxf>
          </x14:cfRule>
          <xm:sqref>AA55:BJ55</xm:sqref>
        </x14:conditionalFormatting>
        <x14:conditionalFormatting xmlns:xm="http://schemas.microsoft.com/office/excel/2006/main">
          <x14:cfRule type="expression" priority="1251" id="{1FECC54E-8577-45D4-A93E-66A64D86C0BD}">
            <xm:f>AND('Cover Sheet'!$E$29=0, AA$4=0, AB$4=0)</xm:f>
            <x14:dxf>
              <fill>
                <patternFill>
                  <bgColor theme="0" tint="-0.14996795556505021"/>
                </patternFill>
              </fill>
            </x14:dxf>
          </x14:cfRule>
          <xm:sqref>AA55:BJ55</xm:sqref>
        </x14:conditionalFormatting>
        <x14:conditionalFormatting xmlns:xm="http://schemas.microsoft.com/office/excel/2006/main">
          <x14:cfRule type="expression" priority="1250" id="{ABF10BD0-A9B2-40BF-98A8-A0C3975AD4B3}">
            <xm:f>AND('Cover Sheet'!$E$29=0, AA$4=0, AB$4=0)</xm:f>
            <x14:dxf>
              <fill>
                <patternFill>
                  <bgColor theme="0" tint="-0.14996795556505021"/>
                </patternFill>
              </fill>
            </x14:dxf>
          </x14:cfRule>
          <xm:sqref>AA55:BJ55</xm:sqref>
        </x14:conditionalFormatting>
        <x14:conditionalFormatting xmlns:xm="http://schemas.microsoft.com/office/excel/2006/main">
          <x14:cfRule type="expression" priority="1249" id="{9A74C88F-2A6A-4E82-9C5C-3F48108C8DFA}">
            <xm:f>AND('Cover Sheet'!$E$29=0, AA$4=0, AB$4=0)</xm:f>
            <x14:dxf>
              <fill>
                <patternFill>
                  <bgColor theme="0"/>
                </patternFill>
              </fill>
            </x14:dxf>
          </x14:cfRule>
          <xm:sqref>AA55:BJ55</xm:sqref>
        </x14:conditionalFormatting>
        <x14:conditionalFormatting xmlns:xm="http://schemas.microsoft.com/office/excel/2006/main">
          <x14:cfRule type="expression" priority="1233" id="{1F75971F-75BF-4BB1-AD92-CF41149A9FD7}">
            <xm:f>AND('Cover Sheet'!$E$29=0, AA$4=0, AB$4=0)</xm:f>
            <x14:dxf>
              <fill>
                <patternFill>
                  <bgColor theme="0" tint="-0.14996795556505021"/>
                </patternFill>
              </fill>
            </x14:dxf>
          </x14:cfRule>
          <xm:sqref>AA59:BJ59</xm:sqref>
        </x14:conditionalFormatting>
        <x14:conditionalFormatting xmlns:xm="http://schemas.microsoft.com/office/excel/2006/main">
          <x14:cfRule type="expression" priority="1232" id="{10E7078A-4171-4CD3-9E15-608B4A727072}">
            <xm:f>AND('Cover Sheet'!$E$29=0, AA$4=0, AB$4=0)</xm:f>
            <x14:dxf>
              <fill>
                <patternFill>
                  <bgColor theme="0" tint="-0.14996795556505021"/>
                </patternFill>
              </fill>
            </x14:dxf>
          </x14:cfRule>
          <xm:sqref>AA59:BJ59</xm:sqref>
        </x14:conditionalFormatting>
        <x14:conditionalFormatting xmlns:xm="http://schemas.microsoft.com/office/excel/2006/main">
          <x14:cfRule type="expression" priority="1231" id="{275C15AF-51DF-4C60-8090-DA2ADCB7B636}">
            <xm:f>AND('Cover Sheet'!$E$29=0, AA$4=0, AB$4=0)</xm:f>
            <x14:dxf>
              <fill>
                <patternFill>
                  <bgColor theme="0" tint="-0.14996795556505021"/>
                </patternFill>
              </fill>
            </x14:dxf>
          </x14:cfRule>
          <xm:sqref>AA59:BJ59</xm:sqref>
        </x14:conditionalFormatting>
        <x14:conditionalFormatting xmlns:xm="http://schemas.microsoft.com/office/excel/2006/main">
          <x14:cfRule type="expression" priority="1230" id="{5C16A929-5EB7-41A5-BBD2-3856511C8DAF}">
            <xm:f>AND('Cover Sheet'!$E$29=0, AA$4=0, AB$4=0)</xm:f>
            <x14:dxf>
              <fill>
                <patternFill>
                  <bgColor theme="0" tint="-0.14996795556505021"/>
                </patternFill>
              </fill>
            </x14:dxf>
          </x14:cfRule>
          <xm:sqref>AA59:BJ59</xm:sqref>
        </x14:conditionalFormatting>
        <x14:conditionalFormatting xmlns:xm="http://schemas.microsoft.com/office/excel/2006/main">
          <x14:cfRule type="expression" priority="1229" id="{29703494-3E9D-470D-ABEF-BA0BFC989FA9}">
            <xm:f>AND('Cover Sheet'!$E$29=0, AA$4=0, AB$4=0)</xm:f>
            <x14:dxf>
              <fill>
                <patternFill>
                  <bgColor theme="0" tint="-0.14996795556505021"/>
                </patternFill>
              </fill>
            </x14:dxf>
          </x14:cfRule>
          <xm:sqref>AA59:BJ59</xm:sqref>
        </x14:conditionalFormatting>
        <x14:conditionalFormatting xmlns:xm="http://schemas.microsoft.com/office/excel/2006/main">
          <x14:cfRule type="expression" priority="1228" id="{640DE4DB-20BA-428C-B9F7-2502E05C2F34}">
            <xm:f>AND('Cover Sheet'!$E$29=0, AA$4=0, AB$4=0)</xm:f>
            <x14:dxf>
              <fill>
                <patternFill>
                  <bgColor theme="0"/>
                </patternFill>
              </fill>
            </x14:dxf>
          </x14:cfRule>
          <xm:sqref>AA59:BJ59</xm:sqref>
        </x14:conditionalFormatting>
        <x14:conditionalFormatting xmlns:xm="http://schemas.microsoft.com/office/excel/2006/main">
          <x14:cfRule type="expression" priority="1226" id="{F9D61BB5-3AD7-4B85-8C9A-459FA49ED752}">
            <xm:f>AND('Cover Sheet'!$E$29=0, AA$4=0, AB$4=0)</xm:f>
            <x14:dxf>
              <fill>
                <patternFill>
                  <bgColor theme="0" tint="-0.14996795556505021"/>
                </patternFill>
              </fill>
            </x14:dxf>
          </x14:cfRule>
          <xm:sqref>AA61:BJ61</xm:sqref>
        </x14:conditionalFormatting>
        <x14:conditionalFormatting xmlns:xm="http://schemas.microsoft.com/office/excel/2006/main">
          <x14:cfRule type="expression" priority="1225" id="{9CADE599-3F91-4F8F-828B-C631FE893F07}">
            <xm:f>AND('Cover Sheet'!$E$29=0, AA$4=0, AB$4=0)</xm:f>
            <x14:dxf>
              <fill>
                <patternFill>
                  <bgColor theme="0" tint="-0.14996795556505021"/>
                </patternFill>
              </fill>
            </x14:dxf>
          </x14:cfRule>
          <xm:sqref>AA61:BJ61</xm:sqref>
        </x14:conditionalFormatting>
        <x14:conditionalFormatting xmlns:xm="http://schemas.microsoft.com/office/excel/2006/main">
          <x14:cfRule type="expression" priority="1224" id="{49084980-6798-4245-9C40-B366E5A9B4A3}">
            <xm:f>AND('Cover Sheet'!$E$29=0, AA$4=0, AB$4=0)</xm:f>
            <x14:dxf>
              <fill>
                <patternFill>
                  <bgColor theme="0" tint="-0.14996795556505021"/>
                </patternFill>
              </fill>
            </x14:dxf>
          </x14:cfRule>
          <xm:sqref>AA61:BJ61</xm:sqref>
        </x14:conditionalFormatting>
        <x14:conditionalFormatting xmlns:xm="http://schemas.microsoft.com/office/excel/2006/main">
          <x14:cfRule type="expression" priority="1223" id="{B0B2BCEE-E218-4B46-B114-E690C7D3AB2C}">
            <xm:f>AND('Cover Sheet'!$E$29=0, AA$4=0, AB$4=0)</xm:f>
            <x14:dxf>
              <fill>
                <patternFill>
                  <bgColor theme="0" tint="-0.14996795556505021"/>
                </patternFill>
              </fill>
            </x14:dxf>
          </x14:cfRule>
          <xm:sqref>AA61:BJ61</xm:sqref>
        </x14:conditionalFormatting>
        <x14:conditionalFormatting xmlns:xm="http://schemas.microsoft.com/office/excel/2006/main">
          <x14:cfRule type="expression" priority="1222" id="{9213C64E-EF7A-415C-A623-5DA054157AC7}">
            <xm:f>AND('Cover Sheet'!$E$29=0, AA$4=0, AB$4=0)</xm:f>
            <x14:dxf>
              <fill>
                <patternFill>
                  <bgColor theme="0" tint="-0.14996795556505021"/>
                </patternFill>
              </fill>
            </x14:dxf>
          </x14:cfRule>
          <xm:sqref>AA61:BJ61</xm:sqref>
        </x14:conditionalFormatting>
        <x14:conditionalFormatting xmlns:xm="http://schemas.microsoft.com/office/excel/2006/main">
          <x14:cfRule type="expression" priority="1221" id="{2C75C7CC-A0F8-4BA1-BE6E-FB13A0EB6CD0}">
            <xm:f>AND('Cover Sheet'!$E$29=0, AA$4=0, AB$4=0)</xm:f>
            <x14:dxf>
              <fill>
                <patternFill>
                  <bgColor theme="0"/>
                </patternFill>
              </fill>
            </x14:dxf>
          </x14:cfRule>
          <xm:sqref>AA61:BJ61</xm:sqref>
        </x14:conditionalFormatting>
        <x14:conditionalFormatting xmlns:xm="http://schemas.microsoft.com/office/excel/2006/main">
          <x14:cfRule type="expression" priority="1219" id="{5FAC7775-0D84-4363-BB69-3EF5F6BFCA55}">
            <xm:f>AND('Cover Sheet'!$E$29=0, AA$4=0, AB$4=0)</xm:f>
            <x14:dxf>
              <fill>
                <patternFill>
                  <bgColor theme="0" tint="-0.14996795556505021"/>
                </patternFill>
              </fill>
            </x14:dxf>
          </x14:cfRule>
          <xm:sqref>AA64:BJ64</xm:sqref>
        </x14:conditionalFormatting>
        <x14:conditionalFormatting xmlns:xm="http://schemas.microsoft.com/office/excel/2006/main">
          <x14:cfRule type="expression" priority="1218" id="{D1F1B47C-E76E-432F-9587-800BCE45B88F}">
            <xm:f>AND('Cover Sheet'!$E$29=0, AA$4=0, AB$4=0)</xm:f>
            <x14:dxf>
              <fill>
                <patternFill>
                  <bgColor theme="0" tint="-0.14996795556505021"/>
                </patternFill>
              </fill>
            </x14:dxf>
          </x14:cfRule>
          <xm:sqref>AA64:BJ64</xm:sqref>
        </x14:conditionalFormatting>
        <x14:conditionalFormatting xmlns:xm="http://schemas.microsoft.com/office/excel/2006/main">
          <x14:cfRule type="expression" priority="1217" id="{570C4C5B-B04B-4DB2-AF48-0F8D1FABCE82}">
            <xm:f>AND('Cover Sheet'!$E$29=0, AA$4=0, AB$4=0)</xm:f>
            <x14:dxf>
              <fill>
                <patternFill>
                  <bgColor theme="0" tint="-0.14996795556505021"/>
                </patternFill>
              </fill>
            </x14:dxf>
          </x14:cfRule>
          <xm:sqref>AA64:BJ64</xm:sqref>
        </x14:conditionalFormatting>
        <x14:conditionalFormatting xmlns:xm="http://schemas.microsoft.com/office/excel/2006/main">
          <x14:cfRule type="expression" priority="1216" id="{267B3C8F-B1D8-4811-BCDF-290C5EB15F61}">
            <xm:f>AND('Cover Sheet'!$E$29=0, AA$4=0, AB$4=0)</xm:f>
            <x14:dxf>
              <fill>
                <patternFill>
                  <bgColor theme="0" tint="-0.14996795556505021"/>
                </patternFill>
              </fill>
            </x14:dxf>
          </x14:cfRule>
          <xm:sqref>AA64:BJ64</xm:sqref>
        </x14:conditionalFormatting>
        <x14:conditionalFormatting xmlns:xm="http://schemas.microsoft.com/office/excel/2006/main">
          <x14:cfRule type="expression" priority="1215" id="{B9F90BA5-8B53-4056-B533-C8F64F704FE5}">
            <xm:f>AND('Cover Sheet'!$E$29=0, AA$4=0, AB$4=0)</xm:f>
            <x14:dxf>
              <fill>
                <patternFill>
                  <bgColor theme="0" tint="-0.14996795556505021"/>
                </patternFill>
              </fill>
            </x14:dxf>
          </x14:cfRule>
          <xm:sqref>AA64:BJ64</xm:sqref>
        </x14:conditionalFormatting>
        <x14:conditionalFormatting xmlns:xm="http://schemas.microsoft.com/office/excel/2006/main">
          <x14:cfRule type="expression" priority="1214" id="{97309E75-62C4-4492-B8D3-0933CEB5DCAB}">
            <xm:f>AND('Cover Sheet'!$E$29=0, AA$4=0, AB$4=0)</xm:f>
            <x14:dxf>
              <fill>
                <patternFill>
                  <bgColor theme="0"/>
                </patternFill>
              </fill>
            </x14:dxf>
          </x14:cfRule>
          <xm:sqref>AA64:BJ64</xm:sqref>
        </x14:conditionalFormatting>
        <x14:conditionalFormatting xmlns:xm="http://schemas.microsoft.com/office/excel/2006/main">
          <x14:cfRule type="expression" priority="1212" id="{998179BD-F3CD-436F-8481-22F03E9F7C03}">
            <xm:f>AND('Cover Sheet'!$E$29=0, AA$4=0, AB$4=0)</xm:f>
            <x14:dxf>
              <fill>
                <patternFill>
                  <bgColor theme="0" tint="-0.14996795556505021"/>
                </patternFill>
              </fill>
            </x14:dxf>
          </x14:cfRule>
          <xm:sqref>AA65:BJ65</xm:sqref>
        </x14:conditionalFormatting>
        <x14:conditionalFormatting xmlns:xm="http://schemas.microsoft.com/office/excel/2006/main">
          <x14:cfRule type="expression" priority="1211" id="{4A5490A6-FFA3-4367-94B9-FB92BEB54C01}">
            <xm:f>AND('Cover Sheet'!$E$29=0, AA$4=0, AB$4=0)</xm:f>
            <x14:dxf>
              <fill>
                <patternFill>
                  <bgColor theme="0" tint="-0.14996795556505021"/>
                </patternFill>
              </fill>
            </x14:dxf>
          </x14:cfRule>
          <xm:sqref>AA65:BJ65</xm:sqref>
        </x14:conditionalFormatting>
        <x14:conditionalFormatting xmlns:xm="http://schemas.microsoft.com/office/excel/2006/main">
          <x14:cfRule type="expression" priority="1210" id="{281882A2-3E15-46FD-A46A-03775F06E156}">
            <xm:f>AND('Cover Sheet'!$E$29=0, AA$4=0, AB$4=0)</xm:f>
            <x14:dxf>
              <fill>
                <patternFill>
                  <bgColor theme="0" tint="-0.14996795556505021"/>
                </patternFill>
              </fill>
            </x14:dxf>
          </x14:cfRule>
          <xm:sqref>AA65:BJ65</xm:sqref>
        </x14:conditionalFormatting>
        <x14:conditionalFormatting xmlns:xm="http://schemas.microsoft.com/office/excel/2006/main">
          <x14:cfRule type="expression" priority="1209" id="{6CE7DCD2-D8CF-4CBA-BB85-578DF9FB418D}">
            <xm:f>AND('Cover Sheet'!$E$29=0, AA$4=0, AB$4=0)</xm:f>
            <x14:dxf>
              <fill>
                <patternFill>
                  <bgColor theme="0" tint="-0.14996795556505021"/>
                </patternFill>
              </fill>
            </x14:dxf>
          </x14:cfRule>
          <xm:sqref>AA65:BJ65</xm:sqref>
        </x14:conditionalFormatting>
        <x14:conditionalFormatting xmlns:xm="http://schemas.microsoft.com/office/excel/2006/main">
          <x14:cfRule type="expression" priority="1208" id="{2D4CF4B3-24F3-445A-8FC6-885D7D8E780F}">
            <xm:f>AND('Cover Sheet'!$E$29=0, AA$4=0, AB$4=0)</xm:f>
            <x14:dxf>
              <fill>
                <patternFill>
                  <bgColor theme="0" tint="-0.14996795556505021"/>
                </patternFill>
              </fill>
            </x14:dxf>
          </x14:cfRule>
          <xm:sqref>AA65:BJ65</xm:sqref>
        </x14:conditionalFormatting>
        <x14:conditionalFormatting xmlns:xm="http://schemas.microsoft.com/office/excel/2006/main">
          <x14:cfRule type="expression" priority="1207" id="{39F5CCB7-CE6A-413E-AAE4-7484E83AC16A}">
            <xm:f>AND('Cover Sheet'!$E$29=0, AA$4=0, AB$4=0)</xm:f>
            <x14:dxf>
              <fill>
                <patternFill>
                  <bgColor theme="0"/>
                </patternFill>
              </fill>
            </x14:dxf>
          </x14:cfRule>
          <xm:sqref>AA65:BJ65</xm:sqref>
        </x14:conditionalFormatting>
        <x14:conditionalFormatting xmlns:xm="http://schemas.microsoft.com/office/excel/2006/main">
          <x14:cfRule type="expression" priority="1205" id="{724EDE9E-8354-4D20-8E84-F7D7D26C4980}">
            <xm:f>AND('Cover Sheet'!$E$29=0, AA$4=0, AB$4=0)</xm:f>
            <x14:dxf>
              <fill>
                <patternFill>
                  <bgColor theme="0" tint="-0.14996795556505021"/>
                </patternFill>
              </fill>
            </x14:dxf>
          </x14:cfRule>
          <xm:sqref>AA66:BJ66</xm:sqref>
        </x14:conditionalFormatting>
        <x14:conditionalFormatting xmlns:xm="http://schemas.microsoft.com/office/excel/2006/main">
          <x14:cfRule type="expression" priority="1204" id="{3289FC76-EE23-4115-9673-171AD3DC37A1}">
            <xm:f>AND('Cover Sheet'!$E$29=0, AA$4=0, AB$4=0)</xm:f>
            <x14:dxf>
              <fill>
                <patternFill>
                  <bgColor theme="0" tint="-0.14996795556505021"/>
                </patternFill>
              </fill>
            </x14:dxf>
          </x14:cfRule>
          <xm:sqref>AA66:BJ66</xm:sqref>
        </x14:conditionalFormatting>
        <x14:conditionalFormatting xmlns:xm="http://schemas.microsoft.com/office/excel/2006/main">
          <x14:cfRule type="expression" priority="1203" id="{FAD5D1BA-1807-44D3-B0C3-C321AC2056A1}">
            <xm:f>AND('Cover Sheet'!$E$29=0, AA$4=0, AB$4=0)</xm:f>
            <x14:dxf>
              <fill>
                <patternFill>
                  <bgColor theme="0" tint="-0.14996795556505021"/>
                </patternFill>
              </fill>
            </x14:dxf>
          </x14:cfRule>
          <xm:sqref>AA66:BJ66</xm:sqref>
        </x14:conditionalFormatting>
        <x14:conditionalFormatting xmlns:xm="http://schemas.microsoft.com/office/excel/2006/main">
          <x14:cfRule type="expression" priority="1202" id="{F0080278-5376-4A10-BD3E-F90597A30108}">
            <xm:f>AND('Cover Sheet'!$E$29=0, AA$4=0, AB$4=0)</xm:f>
            <x14:dxf>
              <fill>
                <patternFill>
                  <bgColor theme="0" tint="-0.14996795556505021"/>
                </patternFill>
              </fill>
            </x14:dxf>
          </x14:cfRule>
          <xm:sqref>AA66:BJ66</xm:sqref>
        </x14:conditionalFormatting>
        <x14:conditionalFormatting xmlns:xm="http://schemas.microsoft.com/office/excel/2006/main">
          <x14:cfRule type="expression" priority="1201" id="{A2E47E1F-608C-4D34-BC06-704AFD4F85AE}">
            <xm:f>AND('Cover Sheet'!$E$29=0, AA$4=0, AB$4=0)</xm:f>
            <x14:dxf>
              <fill>
                <patternFill>
                  <bgColor theme="0" tint="-0.14996795556505021"/>
                </patternFill>
              </fill>
            </x14:dxf>
          </x14:cfRule>
          <xm:sqref>AA66:BJ66</xm:sqref>
        </x14:conditionalFormatting>
        <x14:conditionalFormatting xmlns:xm="http://schemas.microsoft.com/office/excel/2006/main">
          <x14:cfRule type="expression" priority="1200" id="{4A4A89C6-08A6-4C90-B838-4D476A74364C}">
            <xm:f>AND('Cover Sheet'!$E$29=0, AA$4=0, AB$4=0)</xm:f>
            <x14:dxf>
              <fill>
                <patternFill>
                  <bgColor theme="0"/>
                </patternFill>
              </fill>
            </x14:dxf>
          </x14:cfRule>
          <xm:sqref>AA66:BJ66</xm:sqref>
        </x14:conditionalFormatting>
        <x14:conditionalFormatting xmlns:xm="http://schemas.microsoft.com/office/excel/2006/main">
          <x14:cfRule type="expression" priority="1198" id="{A5E905DF-52E8-443D-81AA-E3C03EF26CB0}">
            <xm:f>AND('Cover Sheet'!$E$29=0, AA$4=0, AB$4=0)</xm:f>
            <x14:dxf>
              <fill>
                <patternFill>
                  <bgColor theme="0" tint="-0.14996795556505021"/>
                </patternFill>
              </fill>
            </x14:dxf>
          </x14:cfRule>
          <xm:sqref>AA68:BJ68</xm:sqref>
        </x14:conditionalFormatting>
        <x14:conditionalFormatting xmlns:xm="http://schemas.microsoft.com/office/excel/2006/main">
          <x14:cfRule type="expression" priority="1197" id="{53789719-644B-4918-8B4C-2327775C3762}">
            <xm:f>AND('Cover Sheet'!$E$29=0, AA$4=0, AB$4=0)</xm:f>
            <x14:dxf>
              <fill>
                <patternFill>
                  <bgColor theme="0" tint="-0.14996795556505021"/>
                </patternFill>
              </fill>
            </x14:dxf>
          </x14:cfRule>
          <xm:sqref>AA68:BJ68</xm:sqref>
        </x14:conditionalFormatting>
        <x14:conditionalFormatting xmlns:xm="http://schemas.microsoft.com/office/excel/2006/main">
          <x14:cfRule type="expression" priority="1196" id="{1D0B8F0E-3444-4884-9B50-CB4426AEDB21}">
            <xm:f>AND('Cover Sheet'!$E$29=0, AA$4=0, AB$4=0)</xm:f>
            <x14:dxf>
              <fill>
                <patternFill>
                  <bgColor theme="0" tint="-0.14996795556505021"/>
                </patternFill>
              </fill>
            </x14:dxf>
          </x14:cfRule>
          <xm:sqref>AA68:BJ68</xm:sqref>
        </x14:conditionalFormatting>
        <x14:conditionalFormatting xmlns:xm="http://schemas.microsoft.com/office/excel/2006/main">
          <x14:cfRule type="expression" priority="1195" id="{5AA59F28-4B66-4805-A07B-0A13BC5F9758}">
            <xm:f>AND('Cover Sheet'!$E$29=0, AA$4=0, AB$4=0)</xm:f>
            <x14:dxf>
              <fill>
                <patternFill>
                  <bgColor theme="0" tint="-0.14996795556505021"/>
                </patternFill>
              </fill>
            </x14:dxf>
          </x14:cfRule>
          <xm:sqref>AA68:BJ68</xm:sqref>
        </x14:conditionalFormatting>
        <x14:conditionalFormatting xmlns:xm="http://schemas.microsoft.com/office/excel/2006/main">
          <x14:cfRule type="expression" priority="1194" id="{B6860984-A482-48C0-967F-7C7DE4D21065}">
            <xm:f>AND('Cover Sheet'!$E$29=0, AA$4=0, AB$4=0)</xm:f>
            <x14:dxf>
              <fill>
                <patternFill>
                  <bgColor theme="0" tint="-0.14996795556505021"/>
                </patternFill>
              </fill>
            </x14:dxf>
          </x14:cfRule>
          <xm:sqref>AA68:BJ68</xm:sqref>
        </x14:conditionalFormatting>
        <x14:conditionalFormatting xmlns:xm="http://schemas.microsoft.com/office/excel/2006/main">
          <x14:cfRule type="expression" priority="1193" id="{02CE113A-DF20-48E2-81AD-006D3E9D5A72}">
            <xm:f>AND('Cover Sheet'!$E$29=0, AA$4=0, AB$4=0)</xm:f>
            <x14:dxf>
              <fill>
                <patternFill>
                  <bgColor theme="0"/>
                </patternFill>
              </fill>
            </x14:dxf>
          </x14:cfRule>
          <xm:sqref>AA68:BJ68</xm:sqref>
        </x14:conditionalFormatting>
        <x14:conditionalFormatting xmlns:xm="http://schemas.microsoft.com/office/excel/2006/main">
          <x14:cfRule type="expression" priority="1191" id="{51897815-0751-44FD-AE3F-EB04659CDA2A}">
            <xm:f>AND('Cover Sheet'!$E$29=0, AA$4=0, AB$4=0)</xm:f>
            <x14:dxf>
              <fill>
                <patternFill>
                  <bgColor theme="0" tint="-0.14996795556505021"/>
                </patternFill>
              </fill>
            </x14:dxf>
          </x14:cfRule>
          <xm:sqref>AA71:AL71</xm:sqref>
        </x14:conditionalFormatting>
        <x14:conditionalFormatting xmlns:xm="http://schemas.microsoft.com/office/excel/2006/main">
          <x14:cfRule type="expression" priority="1190" id="{2530B86A-40EE-4A10-9542-6B16C8E43A03}">
            <xm:f>AND('Cover Sheet'!$E$29=0, AA$4=0, AB$4=0)</xm:f>
            <x14:dxf>
              <fill>
                <patternFill>
                  <bgColor theme="0" tint="-0.14996795556505021"/>
                </patternFill>
              </fill>
            </x14:dxf>
          </x14:cfRule>
          <xm:sqref>AA71:AL71</xm:sqref>
        </x14:conditionalFormatting>
        <x14:conditionalFormatting xmlns:xm="http://schemas.microsoft.com/office/excel/2006/main">
          <x14:cfRule type="expression" priority="1189" id="{61DBEDF5-90D3-483E-ABF4-69B426874093}">
            <xm:f>AND('Cover Sheet'!$E$29=0, AA$4=0, AB$4=0)</xm:f>
            <x14:dxf>
              <fill>
                <patternFill>
                  <bgColor theme="0" tint="-0.14996795556505021"/>
                </patternFill>
              </fill>
            </x14:dxf>
          </x14:cfRule>
          <xm:sqref>AA71:AL71</xm:sqref>
        </x14:conditionalFormatting>
        <x14:conditionalFormatting xmlns:xm="http://schemas.microsoft.com/office/excel/2006/main">
          <x14:cfRule type="expression" priority="1188" id="{B36C204A-3CA2-4D63-B1D5-C07EA3A864F6}">
            <xm:f>AND('Cover Sheet'!$E$29=0, AA$4=0, AB$4=0)</xm:f>
            <x14:dxf>
              <fill>
                <patternFill>
                  <bgColor theme="0" tint="-0.14996795556505021"/>
                </patternFill>
              </fill>
            </x14:dxf>
          </x14:cfRule>
          <xm:sqref>AA71:AL71</xm:sqref>
        </x14:conditionalFormatting>
        <x14:conditionalFormatting xmlns:xm="http://schemas.microsoft.com/office/excel/2006/main">
          <x14:cfRule type="expression" priority="1187" id="{ACAF3F6F-0A8B-4BFC-A449-C63FEEE9517E}">
            <xm:f>AND('Cover Sheet'!$E$29=0, AA$4=0, AB$4=0)</xm:f>
            <x14:dxf>
              <fill>
                <patternFill>
                  <bgColor theme="0" tint="-0.14996795556505021"/>
                </patternFill>
              </fill>
            </x14:dxf>
          </x14:cfRule>
          <xm:sqref>AA71:AL71</xm:sqref>
        </x14:conditionalFormatting>
        <x14:conditionalFormatting xmlns:xm="http://schemas.microsoft.com/office/excel/2006/main">
          <x14:cfRule type="expression" priority="1186" id="{7AE73E73-B2F7-4A70-848B-91894AC49581}">
            <xm:f>AND('Cover Sheet'!$E$29=0, AA$4=0, AB$4=0)</xm:f>
            <x14:dxf>
              <fill>
                <patternFill>
                  <bgColor theme="0"/>
                </patternFill>
              </fill>
            </x14:dxf>
          </x14:cfRule>
          <xm:sqref>AA71:AL71</xm:sqref>
        </x14:conditionalFormatting>
        <x14:conditionalFormatting xmlns:xm="http://schemas.microsoft.com/office/excel/2006/main">
          <x14:cfRule type="expression" priority="1184" id="{EA7121EB-4B27-427E-A369-DF422BA75818}">
            <xm:f>AND('Cover Sheet'!$E$29=0, AA$4=0, AB$4=0)</xm:f>
            <x14:dxf>
              <fill>
                <patternFill>
                  <bgColor theme="0" tint="-0.14996795556505021"/>
                </patternFill>
              </fill>
            </x14:dxf>
          </x14:cfRule>
          <xm:sqref>AA72:AL72</xm:sqref>
        </x14:conditionalFormatting>
        <x14:conditionalFormatting xmlns:xm="http://schemas.microsoft.com/office/excel/2006/main">
          <x14:cfRule type="expression" priority="1183" id="{D0C827A0-1B1B-4841-AF05-E5FFC57671EF}">
            <xm:f>AND('Cover Sheet'!$E$29=0, AA$4=0, AB$4=0)</xm:f>
            <x14:dxf>
              <fill>
                <patternFill>
                  <bgColor theme="0" tint="-0.14996795556505021"/>
                </patternFill>
              </fill>
            </x14:dxf>
          </x14:cfRule>
          <xm:sqref>AA72:AL72</xm:sqref>
        </x14:conditionalFormatting>
        <x14:conditionalFormatting xmlns:xm="http://schemas.microsoft.com/office/excel/2006/main">
          <x14:cfRule type="expression" priority="1182" id="{314AB7F8-E8D7-45CB-909B-71759F708B55}">
            <xm:f>AND('Cover Sheet'!$E$29=0, AA$4=0, AB$4=0)</xm:f>
            <x14:dxf>
              <fill>
                <patternFill>
                  <bgColor theme="0" tint="-0.14996795556505021"/>
                </patternFill>
              </fill>
            </x14:dxf>
          </x14:cfRule>
          <xm:sqref>AA72:AL72</xm:sqref>
        </x14:conditionalFormatting>
        <x14:conditionalFormatting xmlns:xm="http://schemas.microsoft.com/office/excel/2006/main">
          <x14:cfRule type="expression" priority="1181" id="{1AA30603-7E24-4DB0-AC9C-A0005CDAE629}">
            <xm:f>AND('Cover Sheet'!$E$29=0, AA$4=0, AB$4=0)</xm:f>
            <x14:dxf>
              <fill>
                <patternFill>
                  <bgColor theme="0" tint="-0.14996795556505021"/>
                </patternFill>
              </fill>
            </x14:dxf>
          </x14:cfRule>
          <xm:sqref>AA72:AL72</xm:sqref>
        </x14:conditionalFormatting>
        <x14:conditionalFormatting xmlns:xm="http://schemas.microsoft.com/office/excel/2006/main">
          <x14:cfRule type="expression" priority="1180" id="{BEA376E3-2E09-4288-9C35-91634A610FF7}">
            <xm:f>AND('Cover Sheet'!$E$29=0, AA$4=0, AB$4=0)</xm:f>
            <x14:dxf>
              <fill>
                <patternFill>
                  <bgColor theme="0" tint="-0.14996795556505021"/>
                </patternFill>
              </fill>
            </x14:dxf>
          </x14:cfRule>
          <xm:sqref>AA72:AL72</xm:sqref>
        </x14:conditionalFormatting>
        <x14:conditionalFormatting xmlns:xm="http://schemas.microsoft.com/office/excel/2006/main">
          <x14:cfRule type="expression" priority="1179" id="{FE489307-0AAD-4C9C-B6EB-8FF458AEAF43}">
            <xm:f>AND('Cover Sheet'!$E$29=0, AA$4=0, AB$4=0)</xm:f>
            <x14:dxf>
              <fill>
                <patternFill>
                  <bgColor theme="0"/>
                </patternFill>
              </fill>
            </x14:dxf>
          </x14:cfRule>
          <xm:sqref>AA72:AL72</xm:sqref>
        </x14:conditionalFormatting>
        <x14:conditionalFormatting xmlns:xm="http://schemas.microsoft.com/office/excel/2006/main">
          <x14:cfRule type="expression" priority="1177" id="{0656A03E-C7B6-4DCE-A02B-777F5B5F1FC1}">
            <xm:f>AND('Cover Sheet'!$E$29=0, AA$4=0, AB$4=0)</xm:f>
            <x14:dxf>
              <fill>
                <patternFill>
                  <bgColor theme="0" tint="-0.14996795556505021"/>
                </patternFill>
              </fill>
            </x14:dxf>
          </x14:cfRule>
          <xm:sqref>AA73:AX73</xm:sqref>
        </x14:conditionalFormatting>
        <x14:conditionalFormatting xmlns:xm="http://schemas.microsoft.com/office/excel/2006/main">
          <x14:cfRule type="expression" priority="1176" id="{6DF58E04-EBA9-4ECB-B72E-C90F5F4F2742}">
            <xm:f>AND('Cover Sheet'!$E$29=0, AA$4=0, AB$4=0)</xm:f>
            <x14:dxf>
              <fill>
                <patternFill>
                  <bgColor theme="0" tint="-0.14996795556505021"/>
                </patternFill>
              </fill>
            </x14:dxf>
          </x14:cfRule>
          <xm:sqref>AA73:AX73</xm:sqref>
        </x14:conditionalFormatting>
        <x14:conditionalFormatting xmlns:xm="http://schemas.microsoft.com/office/excel/2006/main">
          <x14:cfRule type="expression" priority="1175" id="{BBAAEB1B-5561-49EC-A3E5-6D011BCE8099}">
            <xm:f>AND('Cover Sheet'!$E$29=0, AA$4=0, AB$4=0)</xm:f>
            <x14:dxf>
              <fill>
                <patternFill>
                  <bgColor theme="0" tint="-0.14996795556505021"/>
                </patternFill>
              </fill>
            </x14:dxf>
          </x14:cfRule>
          <xm:sqref>AA73:AX73</xm:sqref>
        </x14:conditionalFormatting>
        <x14:conditionalFormatting xmlns:xm="http://schemas.microsoft.com/office/excel/2006/main">
          <x14:cfRule type="expression" priority="1174" id="{AF0C0C9D-9D34-4B72-BD96-CE6A137C2A13}">
            <xm:f>AND('Cover Sheet'!$E$29=0, AA$4=0, AB$4=0)</xm:f>
            <x14:dxf>
              <fill>
                <patternFill>
                  <bgColor theme="0" tint="-0.14996795556505021"/>
                </patternFill>
              </fill>
            </x14:dxf>
          </x14:cfRule>
          <xm:sqref>AA73:AX73</xm:sqref>
        </x14:conditionalFormatting>
        <x14:conditionalFormatting xmlns:xm="http://schemas.microsoft.com/office/excel/2006/main">
          <x14:cfRule type="expression" priority="1173" id="{DCF64898-D093-4258-88BE-3EBC5230AC06}">
            <xm:f>AND('Cover Sheet'!$E$29=0, AA$4=0, AB$4=0)</xm:f>
            <x14:dxf>
              <fill>
                <patternFill>
                  <bgColor theme="0" tint="-0.14996795556505021"/>
                </patternFill>
              </fill>
            </x14:dxf>
          </x14:cfRule>
          <xm:sqref>AA73:AX73</xm:sqref>
        </x14:conditionalFormatting>
        <x14:conditionalFormatting xmlns:xm="http://schemas.microsoft.com/office/excel/2006/main">
          <x14:cfRule type="expression" priority="1172" id="{6FA4C248-6D4F-48FC-ABD5-E4ABEAEAF58A}">
            <xm:f>AND('Cover Sheet'!$E$29=0, AA$4=0, AB$4=0)</xm:f>
            <x14:dxf>
              <fill>
                <patternFill>
                  <bgColor theme="0"/>
                </patternFill>
              </fill>
            </x14:dxf>
          </x14:cfRule>
          <xm:sqref>AA73:AX73</xm:sqref>
        </x14:conditionalFormatting>
        <x14:conditionalFormatting xmlns:xm="http://schemas.microsoft.com/office/excel/2006/main">
          <x14:cfRule type="expression" priority="1163" id="{2783F5BD-3E62-4F92-8D44-5AC81553355D}">
            <xm:f>AND('Cover Sheet'!$E$29=0, AA$4=0, AB$4=0)</xm:f>
            <x14:dxf>
              <fill>
                <patternFill>
                  <bgColor theme="0" tint="-0.14996795556505021"/>
                </patternFill>
              </fill>
            </x14:dxf>
          </x14:cfRule>
          <xm:sqref>AA74:AX74</xm:sqref>
        </x14:conditionalFormatting>
        <x14:conditionalFormatting xmlns:xm="http://schemas.microsoft.com/office/excel/2006/main">
          <x14:cfRule type="expression" priority="1162" id="{66024757-5615-4D43-AAA3-9293A0DB60C7}">
            <xm:f>AND('Cover Sheet'!$E$29=0, AA$4=0, AB$4=0)</xm:f>
            <x14:dxf>
              <fill>
                <patternFill>
                  <bgColor theme="0" tint="-0.14996795556505021"/>
                </patternFill>
              </fill>
            </x14:dxf>
          </x14:cfRule>
          <xm:sqref>AA74:AX74</xm:sqref>
        </x14:conditionalFormatting>
        <x14:conditionalFormatting xmlns:xm="http://schemas.microsoft.com/office/excel/2006/main">
          <x14:cfRule type="expression" priority="1161" id="{283EC381-2CCC-465D-A667-2380BFE9F6D1}">
            <xm:f>AND('Cover Sheet'!$E$29=0, AA$4=0, AB$4=0)</xm:f>
            <x14:dxf>
              <fill>
                <patternFill>
                  <bgColor theme="0" tint="-0.14996795556505021"/>
                </patternFill>
              </fill>
            </x14:dxf>
          </x14:cfRule>
          <xm:sqref>AA74:AX74</xm:sqref>
        </x14:conditionalFormatting>
        <x14:conditionalFormatting xmlns:xm="http://schemas.microsoft.com/office/excel/2006/main">
          <x14:cfRule type="expression" priority="1160" id="{986F121A-9E06-4740-86C4-036127B79BF2}">
            <xm:f>AND('Cover Sheet'!$E$29=0, AA$4=0, AB$4=0)</xm:f>
            <x14:dxf>
              <fill>
                <patternFill>
                  <bgColor theme="0" tint="-0.14996795556505021"/>
                </patternFill>
              </fill>
            </x14:dxf>
          </x14:cfRule>
          <xm:sqref>AA74:AX74</xm:sqref>
        </x14:conditionalFormatting>
        <x14:conditionalFormatting xmlns:xm="http://schemas.microsoft.com/office/excel/2006/main">
          <x14:cfRule type="expression" priority="1159" id="{8A6E3181-1C8B-456A-A26D-AFC798507283}">
            <xm:f>AND('Cover Sheet'!$E$29=0, AA$4=0, AB$4=0)</xm:f>
            <x14:dxf>
              <fill>
                <patternFill>
                  <bgColor theme="0" tint="-0.14996795556505021"/>
                </patternFill>
              </fill>
            </x14:dxf>
          </x14:cfRule>
          <xm:sqref>AA74:AX74</xm:sqref>
        </x14:conditionalFormatting>
        <x14:conditionalFormatting xmlns:xm="http://schemas.microsoft.com/office/excel/2006/main">
          <x14:cfRule type="expression" priority="1158" id="{190667B8-E00F-4DFE-946C-A68A1ABAE3EB}">
            <xm:f>AND('Cover Sheet'!$E$29=0, AA$4=0, AB$4=0)</xm:f>
            <x14:dxf>
              <fill>
                <patternFill>
                  <bgColor theme="0"/>
                </patternFill>
              </fill>
            </x14:dxf>
          </x14:cfRule>
          <xm:sqref>AA74:AX74</xm:sqref>
        </x14:conditionalFormatting>
        <x14:conditionalFormatting xmlns:xm="http://schemas.microsoft.com/office/excel/2006/main">
          <x14:cfRule type="expression" priority="1156" id="{A1AC0C1F-791E-4760-99F3-EBC7FD299D34}">
            <xm:f>AND('Cover Sheet'!$E$29=0, AA$4=0, AB$4=0)</xm:f>
            <x14:dxf>
              <fill>
                <patternFill>
                  <bgColor theme="0" tint="-0.14996795556505021"/>
                </patternFill>
              </fill>
            </x14:dxf>
          </x14:cfRule>
          <xm:sqref>AA75:AX75</xm:sqref>
        </x14:conditionalFormatting>
        <x14:conditionalFormatting xmlns:xm="http://schemas.microsoft.com/office/excel/2006/main">
          <x14:cfRule type="expression" priority="1155" id="{C5C1F3A8-1EBB-4CBB-B5C8-C969193836D6}">
            <xm:f>AND('Cover Sheet'!$E$29=0, AA$4=0, AB$4=0)</xm:f>
            <x14:dxf>
              <fill>
                <patternFill>
                  <bgColor theme="0" tint="-0.14996795556505021"/>
                </patternFill>
              </fill>
            </x14:dxf>
          </x14:cfRule>
          <xm:sqref>AA75:AX75</xm:sqref>
        </x14:conditionalFormatting>
        <x14:conditionalFormatting xmlns:xm="http://schemas.microsoft.com/office/excel/2006/main">
          <x14:cfRule type="expression" priority="1154" id="{E74E9E9C-0D77-4AD3-92B3-BBB72EF8B38B}">
            <xm:f>AND('Cover Sheet'!$E$29=0, AA$4=0, AB$4=0)</xm:f>
            <x14:dxf>
              <fill>
                <patternFill>
                  <bgColor theme="0" tint="-0.14996795556505021"/>
                </patternFill>
              </fill>
            </x14:dxf>
          </x14:cfRule>
          <xm:sqref>AA75:AX75</xm:sqref>
        </x14:conditionalFormatting>
        <x14:conditionalFormatting xmlns:xm="http://schemas.microsoft.com/office/excel/2006/main">
          <x14:cfRule type="expression" priority="1153" id="{B68B2E9C-47C4-4119-A39D-C33783268CB8}">
            <xm:f>AND('Cover Sheet'!$E$29=0, AA$4=0, AB$4=0)</xm:f>
            <x14:dxf>
              <fill>
                <patternFill>
                  <bgColor theme="0" tint="-0.14996795556505021"/>
                </patternFill>
              </fill>
            </x14:dxf>
          </x14:cfRule>
          <xm:sqref>AA75:AX75</xm:sqref>
        </x14:conditionalFormatting>
        <x14:conditionalFormatting xmlns:xm="http://schemas.microsoft.com/office/excel/2006/main">
          <x14:cfRule type="expression" priority="1152" id="{29680381-8058-4060-8414-ABECBE04C1A2}">
            <xm:f>AND('Cover Sheet'!$E$29=0, AA$4=0, AB$4=0)</xm:f>
            <x14:dxf>
              <fill>
                <patternFill>
                  <bgColor theme="0" tint="-0.14996795556505021"/>
                </patternFill>
              </fill>
            </x14:dxf>
          </x14:cfRule>
          <xm:sqref>AA75:AX75</xm:sqref>
        </x14:conditionalFormatting>
        <x14:conditionalFormatting xmlns:xm="http://schemas.microsoft.com/office/excel/2006/main">
          <x14:cfRule type="expression" priority="1151" id="{A5CAA36D-5324-493E-977A-19B54F18F782}">
            <xm:f>AND('Cover Sheet'!$E$29=0, AA$4=0, AB$4=0)</xm:f>
            <x14:dxf>
              <fill>
                <patternFill>
                  <bgColor theme="0"/>
                </patternFill>
              </fill>
            </x14:dxf>
          </x14:cfRule>
          <xm:sqref>AA75:AX75</xm:sqref>
        </x14:conditionalFormatting>
        <x14:conditionalFormatting xmlns:xm="http://schemas.microsoft.com/office/excel/2006/main">
          <x14:cfRule type="expression" priority="1149" id="{22C07FAB-ACF2-4F78-A570-29D3DA326807}">
            <xm:f>AND('Cover Sheet'!$E$29=0, AA$4=0, AB$4=0)</xm:f>
            <x14:dxf>
              <fill>
                <patternFill>
                  <bgColor theme="0" tint="-0.14996795556505021"/>
                </patternFill>
              </fill>
            </x14:dxf>
          </x14:cfRule>
          <xm:sqref>AA76:AX77</xm:sqref>
        </x14:conditionalFormatting>
        <x14:conditionalFormatting xmlns:xm="http://schemas.microsoft.com/office/excel/2006/main">
          <x14:cfRule type="expression" priority="1148" id="{6B3E2478-1004-400C-883E-428126E01319}">
            <xm:f>AND('Cover Sheet'!$E$29=0, AA$4=0, AB$4=0)</xm:f>
            <x14:dxf>
              <fill>
                <patternFill>
                  <bgColor theme="0" tint="-0.14996795556505021"/>
                </patternFill>
              </fill>
            </x14:dxf>
          </x14:cfRule>
          <xm:sqref>AA76:AX77</xm:sqref>
        </x14:conditionalFormatting>
        <x14:conditionalFormatting xmlns:xm="http://schemas.microsoft.com/office/excel/2006/main">
          <x14:cfRule type="expression" priority="1147" id="{910130F2-9CEC-4B3A-A2EF-2977E5F97B98}">
            <xm:f>AND('Cover Sheet'!$E$29=0, AA$4=0, AB$4=0)</xm:f>
            <x14:dxf>
              <fill>
                <patternFill>
                  <bgColor theme="0" tint="-0.14996795556505021"/>
                </patternFill>
              </fill>
            </x14:dxf>
          </x14:cfRule>
          <xm:sqref>AA76:AX77</xm:sqref>
        </x14:conditionalFormatting>
        <x14:conditionalFormatting xmlns:xm="http://schemas.microsoft.com/office/excel/2006/main">
          <x14:cfRule type="expression" priority="1146" id="{43D68710-EC04-4E08-8C10-EEA62B783649}">
            <xm:f>AND('Cover Sheet'!$E$29=0, AA$4=0, AB$4=0)</xm:f>
            <x14:dxf>
              <fill>
                <patternFill>
                  <bgColor theme="0" tint="-0.14996795556505021"/>
                </patternFill>
              </fill>
            </x14:dxf>
          </x14:cfRule>
          <xm:sqref>AA76:AX77</xm:sqref>
        </x14:conditionalFormatting>
        <x14:conditionalFormatting xmlns:xm="http://schemas.microsoft.com/office/excel/2006/main">
          <x14:cfRule type="expression" priority="1145" id="{E76A841F-9441-4CCD-B8CD-B27FC1186DF1}">
            <xm:f>AND('Cover Sheet'!$E$29=0, AA$4=0, AB$4=0)</xm:f>
            <x14:dxf>
              <fill>
                <patternFill>
                  <bgColor theme="0" tint="-0.14996795556505021"/>
                </patternFill>
              </fill>
            </x14:dxf>
          </x14:cfRule>
          <xm:sqref>AA76:AX77</xm:sqref>
        </x14:conditionalFormatting>
        <x14:conditionalFormatting xmlns:xm="http://schemas.microsoft.com/office/excel/2006/main">
          <x14:cfRule type="expression" priority="1144" id="{520E6371-AFBD-4798-8E05-70F18AFA0BFC}">
            <xm:f>AND('Cover Sheet'!$E$29=0, AA$4=0, AB$4=0)</xm:f>
            <x14:dxf>
              <fill>
                <patternFill>
                  <bgColor theme="0"/>
                </patternFill>
              </fill>
            </x14:dxf>
          </x14:cfRule>
          <xm:sqref>AA76:AX77</xm:sqref>
        </x14:conditionalFormatting>
        <x14:conditionalFormatting xmlns:xm="http://schemas.microsoft.com/office/excel/2006/main">
          <x14:cfRule type="expression" priority="1142" id="{443FD1B6-6D6C-468E-B56B-C9A1040F429D}">
            <xm:f>AND('Cover Sheet'!$E$29=0, AA$4=0, AB$4=0)</xm:f>
            <x14:dxf>
              <fill>
                <patternFill>
                  <bgColor theme="0" tint="-0.14996795556505021"/>
                </patternFill>
              </fill>
            </x14:dxf>
          </x14:cfRule>
          <xm:sqref>AA87:BJ87</xm:sqref>
        </x14:conditionalFormatting>
        <x14:conditionalFormatting xmlns:xm="http://schemas.microsoft.com/office/excel/2006/main">
          <x14:cfRule type="expression" priority="1141" id="{C3391B48-EF6A-4FCD-BFA4-9B3E9E91A1F6}">
            <xm:f>AND('Cover Sheet'!$E$29=0, AA$4=0, AB$4=0)</xm:f>
            <x14:dxf>
              <fill>
                <patternFill>
                  <bgColor theme="0" tint="-0.14996795556505021"/>
                </patternFill>
              </fill>
            </x14:dxf>
          </x14:cfRule>
          <xm:sqref>AA87:BJ87</xm:sqref>
        </x14:conditionalFormatting>
        <x14:conditionalFormatting xmlns:xm="http://schemas.microsoft.com/office/excel/2006/main">
          <x14:cfRule type="expression" priority="1140" id="{E5F25EFE-79B5-4326-A976-320EE630B3C3}">
            <xm:f>AND('Cover Sheet'!$E$29=0, AA$4=0, AB$4=0)</xm:f>
            <x14:dxf>
              <fill>
                <patternFill>
                  <bgColor theme="0" tint="-0.14996795556505021"/>
                </patternFill>
              </fill>
            </x14:dxf>
          </x14:cfRule>
          <xm:sqref>AA87:BJ87</xm:sqref>
        </x14:conditionalFormatting>
        <x14:conditionalFormatting xmlns:xm="http://schemas.microsoft.com/office/excel/2006/main">
          <x14:cfRule type="expression" priority="1139" id="{30BDB1B0-D597-469C-BDC5-2F49E193B8A1}">
            <xm:f>AND('Cover Sheet'!$E$29=0, AA$4=0, AB$4=0)</xm:f>
            <x14:dxf>
              <fill>
                <patternFill>
                  <bgColor theme="0" tint="-0.14996795556505021"/>
                </patternFill>
              </fill>
            </x14:dxf>
          </x14:cfRule>
          <xm:sqref>AA87:BJ87</xm:sqref>
        </x14:conditionalFormatting>
        <x14:conditionalFormatting xmlns:xm="http://schemas.microsoft.com/office/excel/2006/main">
          <x14:cfRule type="expression" priority="1138" id="{9B11F0B2-73BD-4AD8-AF03-BB55D2C3A715}">
            <xm:f>AND('Cover Sheet'!$E$29=0, AA$4=0, AB$4=0)</xm:f>
            <x14:dxf>
              <fill>
                <patternFill>
                  <bgColor theme="0" tint="-0.14996795556505021"/>
                </patternFill>
              </fill>
            </x14:dxf>
          </x14:cfRule>
          <xm:sqref>AA87:BJ87</xm:sqref>
        </x14:conditionalFormatting>
        <x14:conditionalFormatting xmlns:xm="http://schemas.microsoft.com/office/excel/2006/main">
          <x14:cfRule type="expression" priority="1137" id="{482274C5-3631-4EF1-9678-0C336C6D05AB}">
            <xm:f>AND('Cover Sheet'!$E$29=0, AA$4=0, AB$4=0)</xm:f>
            <x14:dxf>
              <fill>
                <patternFill>
                  <bgColor theme="0"/>
                </patternFill>
              </fill>
            </x14:dxf>
          </x14:cfRule>
          <xm:sqref>AA87:BJ87</xm:sqref>
        </x14:conditionalFormatting>
        <x14:conditionalFormatting xmlns:xm="http://schemas.microsoft.com/office/excel/2006/main">
          <x14:cfRule type="expression" priority="1135" id="{4DA01143-4AC6-4335-956B-E189195971B9}">
            <xm:f>AND('Cover Sheet'!$E$29=0, AA$4=0, AB$4=0)</xm:f>
            <x14:dxf>
              <fill>
                <patternFill>
                  <bgColor theme="0" tint="-0.14996795556505021"/>
                </patternFill>
              </fill>
            </x14:dxf>
          </x14:cfRule>
          <xm:sqref>AA88:AL88 AY88:BJ88</xm:sqref>
        </x14:conditionalFormatting>
        <x14:conditionalFormatting xmlns:xm="http://schemas.microsoft.com/office/excel/2006/main">
          <x14:cfRule type="expression" priority="1134" id="{8B73F56E-3C94-4155-8D6C-0FF28DA604D6}">
            <xm:f>AND('Cover Sheet'!$E$29=0, AA$4=0, AB$4=0)</xm:f>
            <x14:dxf>
              <fill>
                <patternFill>
                  <bgColor theme="0" tint="-0.14996795556505021"/>
                </patternFill>
              </fill>
            </x14:dxf>
          </x14:cfRule>
          <xm:sqref>AA88:AL88 AY88:BJ88</xm:sqref>
        </x14:conditionalFormatting>
        <x14:conditionalFormatting xmlns:xm="http://schemas.microsoft.com/office/excel/2006/main">
          <x14:cfRule type="expression" priority="1133" id="{4C598B09-DA17-4582-A09C-0FF913FD3BEA}">
            <xm:f>AND('Cover Sheet'!$E$29=0, AA$4=0, AB$4=0)</xm:f>
            <x14:dxf>
              <fill>
                <patternFill>
                  <bgColor theme="0" tint="-0.14996795556505021"/>
                </patternFill>
              </fill>
            </x14:dxf>
          </x14:cfRule>
          <xm:sqref>AA88:AL88 AY88:BJ88</xm:sqref>
        </x14:conditionalFormatting>
        <x14:conditionalFormatting xmlns:xm="http://schemas.microsoft.com/office/excel/2006/main">
          <x14:cfRule type="expression" priority="1132" id="{7B196C38-200E-4DB8-A5F9-94515778164B}">
            <xm:f>AND('Cover Sheet'!$E$29=0, AA$4=0, AB$4=0)</xm:f>
            <x14:dxf>
              <fill>
                <patternFill>
                  <bgColor theme="0" tint="-0.14996795556505021"/>
                </patternFill>
              </fill>
            </x14:dxf>
          </x14:cfRule>
          <xm:sqref>AA88:AL88 AY88:BJ88</xm:sqref>
        </x14:conditionalFormatting>
        <x14:conditionalFormatting xmlns:xm="http://schemas.microsoft.com/office/excel/2006/main">
          <x14:cfRule type="expression" priority="1131" id="{3AFD89D6-7BA3-4065-AA10-973CD8F987AB}">
            <xm:f>AND('Cover Sheet'!$E$29=0, AA$4=0, AB$4=0)</xm:f>
            <x14:dxf>
              <fill>
                <patternFill>
                  <bgColor theme="0" tint="-0.14996795556505021"/>
                </patternFill>
              </fill>
            </x14:dxf>
          </x14:cfRule>
          <xm:sqref>AA88:AL88 AY88:BJ88</xm:sqref>
        </x14:conditionalFormatting>
        <x14:conditionalFormatting xmlns:xm="http://schemas.microsoft.com/office/excel/2006/main">
          <x14:cfRule type="expression" priority="1130" id="{BE9776D2-4E83-4C1E-83B7-231A58F7FC85}">
            <xm:f>AND('Cover Sheet'!$E$29=0, AA$4=0, AB$4=0)</xm:f>
            <x14:dxf>
              <fill>
                <patternFill>
                  <bgColor theme="0"/>
                </patternFill>
              </fill>
            </x14:dxf>
          </x14:cfRule>
          <xm:sqref>AA88:AL88 AY88:BJ88</xm:sqref>
        </x14:conditionalFormatting>
        <x14:conditionalFormatting xmlns:xm="http://schemas.microsoft.com/office/excel/2006/main">
          <x14:cfRule type="expression" priority="1128" id="{BE3C8DD9-43F1-4B8C-B4C6-AC038B37B1BD}">
            <xm:f>AND('Cover Sheet'!$E$29=0, AA$4=0, AB$4=0)</xm:f>
            <x14:dxf>
              <fill>
                <patternFill>
                  <bgColor theme="0" tint="-0.14996795556505021"/>
                </patternFill>
              </fill>
            </x14:dxf>
          </x14:cfRule>
          <xm:sqref>AA89:AL89 AY89:BJ89</xm:sqref>
        </x14:conditionalFormatting>
        <x14:conditionalFormatting xmlns:xm="http://schemas.microsoft.com/office/excel/2006/main">
          <x14:cfRule type="expression" priority="1127" id="{CD262F31-62DF-4A56-A66F-061324E61E20}">
            <xm:f>AND('Cover Sheet'!$E$29=0, AA$4=0, AB$4=0)</xm:f>
            <x14:dxf>
              <fill>
                <patternFill>
                  <bgColor theme="0" tint="-0.14996795556505021"/>
                </patternFill>
              </fill>
            </x14:dxf>
          </x14:cfRule>
          <xm:sqref>AA89:AL89 AY89:BJ89</xm:sqref>
        </x14:conditionalFormatting>
        <x14:conditionalFormatting xmlns:xm="http://schemas.microsoft.com/office/excel/2006/main">
          <x14:cfRule type="expression" priority="1126" id="{3C119AC6-6CD0-4938-A1BA-D29275557572}">
            <xm:f>AND('Cover Sheet'!$E$29=0, AA$4=0, AB$4=0)</xm:f>
            <x14:dxf>
              <fill>
                <patternFill>
                  <bgColor theme="0" tint="-0.14996795556505021"/>
                </patternFill>
              </fill>
            </x14:dxf>
          </x14:cfRule>
          <xm:sqref>AA89:AL89 AY89:BJ89</xm:sqref>
        </x14:conditionalFormatting>
        <x14:conditionalFormatting xmlns:xm="http://schemas.microsoft.com/office/excel/2006/main">
          <x14:cfRule type="expression" priority="1125" id="{87EABC11-7AF1-45C7-92EC-DF1FDA76BA59}">
            <xm:f>AND('Cover Sheet'!$E$29=0, AA$4=0, AB$4=0)</xm:f>
            <x14:dxf>
              <fill>
                <patternFill>
                  <bgColor theme="0" tint="-0.14996795556505021"/>
                </patternFill>
              </fill>
            </x14:dxf>
          </x14:cfRule>
          <xm:sqref>AA89:AL89 AY89:BJ89</xm:sqref>
        </x14:conditionalFormatting>
        <x14:conditionalFormatting xmlns:xm="http://schemas.microsoft.com/office/excel/2006/main">
          <x14:cfRule type="expression" priority="1124" id="{19078BDD-79AC-4132-B090-C4FE19C7B5BD}">
            <xm:f>AND('Cover Sheet'!$E$29=0, AA$4=0, AB$4=0)</xm:f>
            <x14:dxf>
              <fill>
                <patternFill>
                  <bgColor theme="0" tint="-0.14996795556505021"/>
                </patternFill>
              </fill>
            </x14:dxf>
          </x14:cfRule>
          <xm:sqref>AA89:AL89 AY89:BJ89</xm:sqref>
        </x14:conditionalFormatting>
        <x14:conditionalFormatting xmlns:xm="http://schemas.microsoft.com/office/excel/2006/main">
          <x14:cfRule type="expression" priority="1123" id="{7729F14B-FE36-4AB1-B3CF-D27B09880E47}">
            <xm:f>AND('Cover Sheet'!$E$29=0, AA$4=0, AB$4=0)</xm:f>
            <x14:dxf>
              <fill>
                <patternFill>
                  <bgColor theme="0"/>
                </patternFill>
              </fill>
            </x14:dxf>
          </x14:cfRule>
          <xm:sqref>AA89:AL89 AY89:BJ89</xm:sqref>
        </x14:conditionalFormatting>
        <x14:conditionalFormatting xmlns:xm="http://schemas.microsoft.com/office/excel/2006/main">
          <x14:cfRule type="expression" priority="1121" id="{FD4B4526-E497-427A-B939-6FE3845A358D}">
            <xm:f>AND('Cover Sheet'!$E$29=0, AA$4=0, AB$4=0)</xm:f>
            <x14:dxf>
              <fill>
                <patternFill>
                  <bgColor theme="0" tint="-0.14996795556505021"/>
                </patternFill>
              </fill>
            </x14:dxf>
          </x14:cfRule>
          <xm:sqref>AA90:AL90 AY90:BJ90</xm:sqref>
        </x14:conditionalFormatting>
        <x14:conditionalFormatting xmlns:xm="http://schemas.microsoft.com/office/excel/2006/main">
          <x14:cfRule type="expression" priority="1120" id="{641E1EDC-5184-4D7B-B5E4-E12924391EB1}">
            <xm:f>AND('Cover Sheet'!$E$29=0, AA$4=0, AB$4=0)</xm:f>
            <x14:dxf>
              <fill>
                <patternFill>
                  <bgColor theme="0" tint="-0.14996795556505021"/>
                </patternFill>
              </fill>
            </x14:dxf>
          </x14:cfRule>
          <xm:sqref>AA90:AL90 AY90:BJ90</xm:sqref>
        </x14:conditionalFormatting>
        <x14:conditionalFormatting xmlns:xm="http://schemas.microsoft.com/office/excel/2006/main">
          <x14:cfRule type="expression" priority="1119" id="{454B4FD9-155D-4151-B139-86D12AF3AB3C}">
            <xm:f>AND('Cover Sheet'!$E$29=0, AA$4=0, AB$4=0)</xm:f>
            <x14:dxf>
              <fill>
                <patternFill>
                  <bgColor theme="0" tint="-0.14996795556505021"/>
                </patternFill>
              </fill>
            </x14:dxf>
          </x14:cfRule>
          <xm:sqref>AA90:AL90 AY90:BJ90</xm:sqref>
        </x14:conditionalFormatting>
        <x14:conditionalFormatting xmlns:xm="http://schemas.microsoft.com/office/excel/2006/main">
          <x14:cfRule type="expression" priority="1118" id="{603A796E-374C-42D6-AC05-192BFAECBB5B}">
            <xm:f>AND('Cover Sheet'!$E$29=0, AA$4=0, AB$4=0)</xm:f>
            <x14:dxf>
              <fill>
                <patternFill>
                  <bgColor theme="0" tint="-0.14996795556505021"/>
                </patternFill>
              </fill>
            </x14:dxf>
          </x14:cfRule>
          <xm:sqref>AA90:AL90 AY90:BJ90</xm:sqref>
        </x14:conditionalFormatting>
        <x14:conditionalFormatting xmlns:xm="http://schemas.microsoft.com/office/excel/2006/main">
          <x14:cfRule type="expression" priority="1117" id="{54433AA2-61C1-48BD-94AB-09566FC6A6D8}">
            <xm:f>AND('Cover Sheet'!$E$29=0, AA$4=0, AB$4=0)</xm:f>
            <x14:dxf>
              <fill>
                <patternFill>
                  <bgColor theme="0" tint="-0.14996795556505021"/>
                </patternFill>
              </fill>
            </x14:dxf>
          </x14:cfRule>
          <xm:sqref>AA90:AL90 AY90:BJ90</xm:sqref>
        </x14:conditionalFormatting>
        <x14:conditionalFormatting xmlns:xm="http://schemas.microsoft.com/office/excel/2006/main">
          <x14:cfRule type="expression" priority="1116" id="{834C3077-1869-443A-B518-64D1F7470679}">
            <xm:f>AND('Cover Sheet'!$E$29=0, AA$4=0, AB$4=0)</xm:f>
            <x14:dxf>
              <fill>
                <patternFill>
                  <bgColor theme="0"/>
                </patternFill>
              </fill>
            </x14:dxf>
          </x14:cfRule>
          <xm:sqref>AA90:AL90 AY90:BJ90</xm:sqref>
        </x14:conditionalFormatting>
        <x14:conditionalFormatting xmlns:xm="http://schemas.microsoft.com/office/excel/2006/main">
          <x14:cfRule type="expression" priority="1114" id="{E5BDE6F4-3BF2-44C5-A8D8-49ECF864FD6C}">
            <xm:f>AND('Cover Sheet'!$E$29=0, AA$4=0, AB$4=0)</xm:f>
            <x14:dxf>
              <fill>
                <patternFill>
                  <bgColor theme="0" tint="-0.14996795556505021"/>
                </patternFill>
              </fill>
            </x14:dxf>
          </x14:cfRule>
          <xm:sqref>AA91:AL91 AY91:BJ91</xm:sqref>
        </x14:conditionalFormatting>
        <x14:conditionalFormatting xmlns:xm="http://schemas.microsoft.com/office/excel/2006/main">
          <x14:cfRule type="expression" priority="1113" id="{3F306D5C-86E9-4B1A-950E-D552083CE4C5}">
            <xm:f>AND('Cover Sheet'!$E$29=0, AA$4=0, AB$4=0)</xm:f>
            <x14:dxf>
              <fill>
                <patternFill>
                  <bgColor theme="0" tint="-0.14996795556505021"/>
                </patternFill>
              </fill>
            </x14:dxf>
          </x14:cfRule>
          <xm:sqref>AA91:AL91 AY91:BJ91</xm:sqref>
        </x14:conditionalFormatting>
        <x14:conditionalFormatting xmlns:xm="http://schemas.microsoft.com/office/excel/2006/main">
          <x14:cfRule type="expression" priority="1112" id="{E98C74CB-9E26-466A-AEA5-9DB54F8ACE6D}">
            <xm:f>AND('Cover Sheet'!$E$29=0, AA$4=0, AB$4=0)</xm:f>
            <x14:dxf>
              <fill>
                <patternFill>
                  <bgColor theme="0" tint="-0.14996795556505021"/>
                </patternFill>
              </fill>
            </x14:dxf>
          </x14:cfRule>
          <xm:sqref>AA91:AL91 AY91:BJ91</xm:sqref>
        </x14:conditionalFormatting>
        <x14:conditionalFormatting xmlns:xm="http://schemas.microsoft.com/office/excel/2006/main">
          <x14:cfRule type="expression" priority="1111" id="{113DD2DA-6802-4A46-A85A-CCDBB1B0DE43}">
            <xm:f>AND('Cover Sheet'!$E$29=0, AA$4=0, AB$4=0)</xm:f>
            <x14:dxf>
              <fill>
                <patternFill>
                  <bgColor theme="0" tint="-0.14996795556505021"/>
                </patternFill>
              </fill>
            </x14:dxf>
          </x14:cfRule>
          <xm:sqref>AA91:AL91 AY91:BJ91</xm:sqref>
        </x14:conditionalFormatting>
        <x14:conditionalFormatting xmlns:xm="http://schemas.microsoft.com/office/excel/2006/main">
          <x14:cfRule type="expression" priority="1110" id="{74B0E10F-721D-4250-85AA-C1F845B90C95}">
            <xm:f>AND('Cover Sheet'!$E$29=0, AA$4=0, AB$4=0)</xm:f>
            <x14:dxf>
              <fill>
                <patternFill>
                  <bgColor theme="0" tint="-0.14996795556505021"/>
                </patternFill>
              </fill>
            </x14:dxf>
          </x14:cfRule>
          <xm:sqref>AA91:AL91 AY91:BJ91</xm:sqref>
        </x14:conditionalFormatting>
        <x14:conditionalFormatting xmlns:xm="http://schemas.microsoft.com/office/excel/2006/main">
          <x14:cfRule type="expression" priority="1109" id="{5BCD3BD0-C2AB-4100-A9CA-5D3713DCE567}">
            <xm:f>AND('Cover Sheet'!$E$29=0, AA$4=0, AB$4=0)</xm:f>
            <x14:dxf>
              <fill>
                <patternFill>
                  <bgColor theme="0"/>
                </patternFill>
              </fill>
            </x14:dxf>
          </x14:cfRule>
          <xm:sqref>AA91:AL91 AY91:BJ91</xm:sqref>
        </x14:conditionalFormatting>
        <x14:conditionalFormatting xmlns:xm="http://schemas.microsoft.com/office/excel/2006/main">
          <x14:cfRule type="expression" priority="1107" id="{4790FF3D-E776-40DE-80D7-0569B71D2E40}">
            <xm:f>AND('Cover Sheet'!$E$29=0, AA$4=0, AB$4=0)</xm:f>
            <x14:dxf>
              <fill>
                <patternFill>
                  <bgColor theme="0" tint="-0.14996795556505021"/>
                </patternFill>
              </fill>
            </x14:dxf>
          </x14:cfRule>
          <xm:sqref>AA92:AL92 AY92:BJ92</xm:sqref>
        </x14:conditionalFormatting>
        <x14:conditionalFormatting xmlns:xm="http://schemas.microsoft.com/office/excel/2006/main">
          <x14:cfRule type="expression" priority="1106" id="{CF541AC9-4BAA-4010-B23B-6F476D9DDFCF}">
            <xm:f>AND('Cover Sheet'!$E$29=0, AA$4=0, AB$4=0)</xm:f>
            <x14:dxf>
              <fill>
                <patternFill>
                  <bgColor theme="0" tint="-0.14996795556505021"/>
                </patternFill>
              </fill>
            </x14:dxf>
          </x14:cfRule>
          <xm:sqref>AA92:AL92 AY92:BJ92</xm:sqref>
        </x14:conditionalFormatting>
        <x14:conditionalFormatting xmlns:xm="http://schemas.microsoft.com/office/excel/2006/main">
          <x14:cfRule type="expression" priority="1105" id="{E54F3D80-F235-4B4F-BF70-407A70AE7FB7}">
            <xm:f>AND('Cover Sheet'!$E$29=0, AA$4=0, AB$4=0)</xm:f>
            <x14:dxf>
              <fill>
                <patternFill>
                  <bgColor theme="0" tint="-0.14996795556505021"/>
                </patternFill>
              </fill>
            </x14:dxf>
          </x14:cfRule>
          <xm:sqref>AA92:AL92 AY92:BJ92</xm:sqref>
        </x14:conditionalFormatting>
        <x14:conditionalFormatting xmlns:xm="http://schemas.microsoft.com/office/excel/2006/main">
          <x14:cfRule type="expression" priority="1104" id="{AF34A79F-7412-48D9-8DD8-3615FFE6A73A}">
            <xm:f>AND('Cover Sheet'!$E$29=0, AA$4=0, AB$4=0)</xm:f>
            <x14:dxf>
              <fill>
                <patternFill>
                  <bgColor theme="0" tint="-0.14996795556505021"/>
                </patternFill>
              </fill>
            </x14:dxf>
          </x14:cfRule>
          <xm:sqref>AA92:AL92 AY92:BJ92</xm:sqref>
        </x14:conditionalFormatting>
        <x14:conditionalFormatting xmlns:xm="http://schemas.microsoft.com/office/excel/2006/main">
          <x14:cfRule type="expression" priority="1103" id="{8F4E5B23-D218-43D1-9C4D-126FC0509470}">
            <xm:f>AND('Cover Sheet'!$E$29=0, AA$4=0, AB$4=0)</xm:f>
            <x14:dxf>
              <fill>
                <patternFill>
                  <bgColor theme="0" tint="-0.14996795556505021"/>
                </patternFill>
              </fill>
            </x14:dxf>
          </x14:cfRule>
          <xm:sqref>AA92:AL92 AY92:BJ92</xm:sqref>
        </x14:conditionalFormatting>
        <x14:conditionalFormatting xmlns:xm="http://schemas.microsoft.com/office/excel/2006/main">
          <x14:cfRule type="expression" priority="1102" id="{7BE1DF8D-618C-4BB1-8E0E-218FB738BA3A}">
            <xm:f>AND('Cover Sheet'!$E$29=0, AA$4=0, AB$4=0)</xm:f>
            <x14:dxf>
              <fill>
                <patternFill>
                  <bgColor theme="0"/>
                </patternFill>
              </fill>
            </x14:dxf>
          </x14:cfRule>
          <xm:sqref>AA92:AL92 AY92:BJ92</xm:sqref>
        </x14:conditionalFormatting>
        <x14:conditionalFormatting xmlns:xm="http://schemas.microsoft.com/office/excel/2006/main">
          <x14:cfRule type="expression" priority="1100" id="{506EE4DB-0762-4EDD-B639-754B9B17319B}">
            <xm:f>AND('Cover Sheet'!$E$29=0, AA$4=0, AB$4=0)</xm:f>
            <x14:dxf>
              <fill>
                <patternFill>
                  <bgColor theme="0" tint="-0.14996795556505021"/>
                </patternFill>
              </fill>
            </x14:dxf>
          </x14:cfRule>
          <xm:sqref>AA93:AL93 AY93:BJ93</xm:sqref>
        </x14:conditionalFormatting>
        <x14:conditionalFormatting xmlns:xm="http://schemas.microsoft.com/office/excel/2006/main">
          <x14:cfRule type="expression" priority="1099" id="{59BBBB0A-20C7-4E4B-9B32-0BDAD97272F2}">
            <xm:f>AND('Cover Sheet'!$E$29=0, AA$4=0, AB$4=0)</xm:f>
            <x14:dxf>
              <fill>
                <patternFill>
                  <bgColor theme="0" tint="-0.14996795556505021"/>
                </patternFill>
              </fill>
            </x14:dxf>
          </x14:cfRule>
          <xm:sqref>AA93:AL93 AY93:BJ93</xm:sqref>
        </x14:conditionalFormatting>
        <x14:conditionalFormatting xmlns:xm="http://schemas.microsoft.com/office/excel/2006/main">
          <x14:cfRule type="expression" priority="1098" id="{8CB1BE44-4620-471A-ACC1-BAA8BCCC1F9F}">
            <xm:f>AND('Cover Sheet'!$E$29=0, AA$4=0, AB$4=0)</xm:f>
            <x14:dxf>
              <fill>
                <patternFill>
                  <bgColor theme="0" tint="-0.14996795556505021"/>
                </patternFill>
              </fill>
            </x14:dxf>
          </x14:cfRule>
          <xm:sqref>AA93:AL93 AY93:BJ93</xm:sqref>
        </x14:conditionalFormatting>
        <x14:conditionalFormatting xmlns:xm="http://schemas.microsoft.com/office/excel/2006/main">
          <x14:cfRule type="expression" priority="1097" id="{FD0B93BA-A84E-4F0F-AA6F-B4E6A15D9DE7}">
            <xm:f>AND('Cover Sheet'!$E$29=0, AA$4=0, AB$4=0)</xm:f>
            <x14:dxf>
              <fill>
                <patternFill>
                  <bgColor theme="0" tint="-0.14996795556505021"/>
                </patternFill>
              </fill>
            </x14:dxf>
          </x14:cfRule>
          <xm:sqref>AA93:AL93 AY93:BJ93</xm:sqref>
        </x14:conditionalFormatting>
        <x14:conditionalFormatting xmlns:xm="http://schemas.microsoft.com/office/excel/2006/main">
          <x14:cfRule type="expression" priority="1096" id="{05A0E9F1-C0C6-4AE6-84B7-83B1423B6DBD}">
            <xm:f>AND('Cover Sheet'!$E$29=0, AA$4=0, AB$4=0)</xm:f>
            <x14:dxf>
              <fill>
                <patternFill>
                  <bgColor theme="0" tint="-0.14996795556505021"/>
                </patternFill>
              </fill>
            </x14:dxf>
          </x14:cfRule>
          <xm:sqref>AA93:AL93 AY93:BJ93</xm:sqref>
        </x14:conditionalFormatting>
        <x14:conditionalFormatting xmlns:xm="http://schemas.microsoft.com/office/excel/2006/main">
          <x14:cfRule type="expression" priority="1095" id="{F5541BE2-B0DE-4F2F-BE20-D777DD6FBE0D}">
            <xm:f>AND('Cover Sheet'!$E$29=0, AA$4=0, AB$4=0)</xm:f>
            <x14:dxf>
              <fill>
                <patternFill>
                  <bgColor theme="0"/>
                </patternFill>
              </fill>
            </x14:dxf>
          </x14:cfRule>
          <xm:sqref>AA93:AL93 AY93:BJ93</xm:sqref>
        </x14:conditionalFormatting>
        <x14:conditionalFormatting xmlns:xm="http://schemas.microsoft.com/office/excel/2006/main">
          <x14:cfRule type="expression" priority="1093" id="{A1D7AFA3-8548-4DB6-918B-6545E4659E47}">
            <xm:f>AND('Cover Sheet'!$E$29=0, AA$4=0, AB$4=0)</xm:f>
            <x14:dxf>
              <fill>
                <patternFill>
                  <bgColor theme="0" tint="-0.14996795556505021"/>
                </patternFill>
              </fill>
            </x14:dxf>
          </x14:cfRule>
          <xm:sqref>AA94:AL94 AY94:BJ94</xm:sqref>
        </x14:conditionalFormatting>
        <x14:conditionalFormatting xmlns:xm="http://schemas.microsoft.com/office/excel/2006/main">
          <x14:cfRule type="expression" priority="1092" id="{E14B89BF-6BE3-4042-9F3B-AB70FA84472B}">
            <xm:f>AND('Cover Sheet'!$E$29=0, AA$4=0, AB$4=0)</xm:f>
            <x14:dxf>
              <fill>
                <patternFill>
                  <bgColor theme="0" tint="-0.14996795556505021"/>
                </patternFill>
              </fill>
            </x14:dxf>
          </x14:cfRule>
          <xm:sqref>AA94:AL94 AY94:BJ94</xm:sqref>
        </x14:conditionalFormatting>
        <x14:conditionalFormatting xmlns:xm="http://schemas.microsoft.com/office/excel/2006/main">
          <x14:cfRule type="expression" priority="1091" id="{4B47F9C4-EEBF-4ADD-9FFC-813BB2E74F27}">
            <xm:f>AND('Cover Sheet'!$E$29=0, AA$4=0, AB$4=0)</xm:f>
            <x14:dxf>
              <fill>
                <patternFill>
                  <bgColor theme="0" tint="-0.14996795556505021"/>
                </patternFill>
              </fill>
            </x14:dxf>
          </x14:cfRule>
          <xm:sqref>AA94:AL94 AY94:BJ94</xm:sqref>
        </x14:conditionalFormatting>
        <x14:conditionalFormatting xmlns:xm="http://schemas.microsoft.com/office/excel/2006/main">
          <x14:cfRule type="expression" priority="1090" id="{15D8D37E-CACB-42D6-9B9A-39CA526E0164}">
            <xm:f>AND('Cover Sheet'!$E$29=0, AA$4=0, AB$4=0)</xm:f>
            <x14:dxf>
              <fill>
                <patternFill>
                  <bgColor theme="0" tint="-0.14996795556505021"/>
                </patternFill>
              </fill>
            </x14:dxf>
          </x14:cfRule>
          <xm:sqref>AA94:AL94 AY94:BJ94</xm:sqref>
        </x14:conditionalFormatting>
        <x14:conditionalFormatting xmlns:xm="http://schemas.microsoft.com/office/excel/2006/main">
          <x14:cfRule type="expression" priority="1089" id="{C8C49EEA-424A-41FE-BA81-120DD5BE39C7}">
            <xm:f>AND('Cover Sheet'!$E$29=0, AA$4=0, AB$4=0)</xm:f>
            <x14:dxf>
              <fill>
                <patternFill>
                  <bgColor theme="0" tint="-0.14996795556505021"/>
                </patternFill>
              </fill>
            </x14:dxf>
          </x14:cfRule>
          <xm:sqref>AA94:AL94 AY94:BJ94</xm:sqref>
        </x14:conditionalFormatting>
        <x14:conditionalFormatting xmlns:xm="http://schemas.microsoft.com/office/excel/2006/main">
          <x14:cfRule type="expression" priority="1088" id="{606A4C47-03DF-4BA7-99A8-014F24D22334}">
            <xm:f>AND('Cover Sheet'!$E$29=0, AA$4=0, AB$4=0)</xm:f>
            <x14:dxf>
              <fill>
                <patternFill>
                  <bgColor theme="0"/>
                </patternFill>
              </fill>
            </x14:dxf>
          </x14:cfRule>
          <xm:sqref>AA94:AL94 AY94:BJ94</xm:sqref>
        </x14:conditionalFormatting>
        <x14:conditionalFormatting xmlns:xm="http://schemas.microsoft.com/office/excel/2006/main">
          <x14:cfRule type="expression" priority="1086" id="{B78FF34C-E827-4E6C-BB36-DEBCA1D63457}">
            <xm:f>AND('Cover Sheet'!$E$29=0, AA$4=0, AB$4=0)</xm:f>
            <x14:dxf>
              <fill>
                <patternFill>
                  <bgColor theme="0" tint="-0.14996795556505021"/>
                </patternFill>
              </fill>
            </x14:dxf>
          </x14:cfRule>
          <xm:sqref>AA101:BJ101</xm:sqref>
        </x14:conditionalFormatting>
        <x14:conditionalFormatting xmlns:xm="http://schemas.microsoft.com/office/excel/2006/main">
          <x14:cfRule type="expression" priority="1085" id="{CF710CF2-3CBF-4258-B22D-526C3483C1B6}">
            <xm:f>AND('Cover Sheet'!$E$29=0, AA$4=0, AB$4=0)</xm:f>
            <x14:dxf>
              <fill>
                <patternFill>
                  <bgColor theme="0" tint="-0.14996795556505021"/>
                </patternFill>
              </fill>
            </x14:dxf>
          </x14:cfRule>
          <xm:sqref>AA101:BJ101</xm:sqref>
        </x14:conditionalFormatting>
        <x14:conditionalFormatting xmlns:xm="http://schemas.microsoft.com/office/excel/2006/main">
          <x14:cfRule type="expression" priority="1084" id="{5C08D61A-6CF5-424A-B3ED-965DA9C3A01C}">
            <xm:f>AND('Cover Sheet'!$E$29=0, AA$4=0, AB$4=0)</xm:f>
            <x14:dxf>
              <fill>
                <patternFill>
                  <bgColor theme="0" tint="-0.14996795556505021"/>
                </patternFill>
              </fill>
            </x14:dxf>
          </x14:cfRule>
          <xm:sqref>AA101:BJ101</xm:sqref>
        </x14:conditionalFormatting>
        <x14:conditionalFormatting xmlns:xm="http://schemas.microsoft.com/office/excel/2006/main">
          <x14:cfRule type="expression" priority="1083" id="{3BB89E47-AD7F-4A29-BD33-07F878A6A913}">
            <xm:f>AND('Cover Sheet'!$E$29=0, AA$4=0, AB$4=0)</xm:f>
            <x14:dxf>
              <fill>
                <patternFill>
                  <bgColor theme="0" tint="-0.14996795556505021"/>
                </patternFill>
              </fill>
            </x14:dxf>
          </x14:cfRule>
          <xm:sqref>AA101:BJ101</xm:sqref>
        </x14:conditionalFormatting>
        <x14:conditionalFormatting xmlns:xm="http://schemas.microsoft.com/office/excel/2006/main">
          <x14:cfRule type="expression" priority="1082" id="{9A91D281-FDFE-41FB-9385-85F4B0A81D43}">
            <xm:f>AND('Cover Sheet'!$E$29=0, AA$4=0, AB$4=0)</xm:f>
            <x14:dxf>
              <fill>
                <patternFill>
                  <bgColor theme="0" tint="-0.14996795556505021"/>
                </patternFill>
              </fill>
            </x14:dxf>
          </x14:cfRule>
          <xm:sqref>AA101:BJ101</xm:sqref>
        </x14:conditionalFormatting>
        <x14:conditionalFormatting xmlns:xm="http://schemas.microsoft.com/office/excel/2006/main">
          <x14:cfRule type="expression" priority="1081" id="{4AA76074-25D7-4340-81A7-E597C17F0081}">
            <xm:f>AND('Cover Sheet'!$E$29=0, AA$4=0, AB$4=0)</xm:f>
            <x14:dxf>
              <fill>
                <patternFill>
                  <bgColor theme="0"/>
                </patternFill>
              </fill>
            </x14:dxf>
          </x14:cfRule>
          <xm:sqref>AA101:BJ101</xm:sqref>
        </x14:conditionalFormatting>
        <x14:conditionalFormatting xmlns:xm="http://schemas.microsoft.com/office/excel/2006/main">
          <x14:cfRule type="expression" priority="1079" id="{D0927F00-4999-450E-8E30-4E6309D5AFE2}">
            <xm:f>AND('Cover Sheet'!$E$29=0, AA$4=0, AB$4=0)</xm:f>
            <x14:dxf>
              <fill>
                <patternFill>
                  <bgColor theme="0" tint="-0.14996795556505021"/>
                </patternFill>
              </fill>
            </x14:dxf>
          </x14:cfRule>
          <xm:sqref>AA102:BJ102</xm:sqref>
        </x14:conditionalFormatting>
        <x14:conditionalFormatting xmlns:xm="http://schemas.microsoft.com/office/excel/2006/main">
          <x14:cfRule type="expression" priority="1078" id="{F30BD8A8-AEFF-4277-9395-D867AB49EF4C}">
            <xm:f>AND('Cover Sheet'!$E$29=0, AA$4=0, AB$4=0)</xm:f>
            <x14:dxf>
              <fill>
                <patternFill>
                  <bgColor theme="0" tint="-0.14996795556505021"/>
                </patternFill>
              </fill>
            </x14:dxf>
          </x14:cfRule>
          <xm:sqref>AA102:BJ102</xm:sqref>
        </x14:conditionalFormatting>
        <x14:conditionalFormatting xmlns:xm="http://schemas.microsoft.com/office/excel/2006/main">
          <x14:cfRule type="expression" priority="1077" id="{679B0096-227C-41A0-B9C8-FC32D43D8EB1}">
            <xm:f>AND('Cover Sheet'!$E$29=0, AA$4=0, AB$4=0)</xm:f>
            <x14:dxf>
              <fill>
                <patternFill>
                  <bgColor theme="0" tint="-0.14996795556505021"/>
                </patternFill>
              </fill>
            </x14:dxf>
          </x14:cfRule>
          <xm:sqref>AA102:BJ102</xm:sqref>
        </x14:conditionalFormatting>
        <x14:conditionalFormatting xmlns:xm="http://schemas.microsoft.com/office/excel/2006/main">
          <x14:cfRule type="expression" priority="1076" id="{838B802C-5DEE-4AC1-A403-FD8E2FE79563}">
            <xm:f>AND('Cover Sheet'!$E$29=0, AA$4=0, AB$4=0)</xm:f>
            <x14:dxf>
              <fill>
                <patternFill>
                  <bgColor theme="0" tint="-0.14996795556505021"/>
                </patternFill>
              </fill>
            </x14:dxf>
          </x14:cfRule>
          <xm:sqref>AA102:BJ102</xm:sqref>
        </x14:conditionalFormatting>
        <x14:conditionalFormatting xmlns:xm="http://schemas.microsoft.com/office/excel/2006/main">
          <x14:cfRule type="expression" priority="1075" id="{28EFAA26-5B13-4C88-8179-D9923B29823E}">
            <xm:f>AND('Cover Sheet'!$E$29=0, AA$4=0, AB$4=0)</xm:f>
            <x14:dxf>
              <fill>
                <patternFill>
                  <bgColor theme="0" tint="-0.14996795556505021"/>
                </patternFill>
              </fill>
            </x14:dxf>
          </x14:cfRule>
          <xm:sqref>AA102:BJ102</xm:sqref>
        </x14:conditionalFormatting>
        <x14:conditionalFormatting xmlns:xm="http://schemas.microsoft.com/office/excel/2006/main">
          <x14:cfRule type="expression" priority="1074" id="{C069E770-8F31-4693-A466-F766B2DDDD1E}">
            <xm:f>AND('Cover Sheet'!$E$29=0, AA$4=0, AB$4=0)</xm:f>
            <x14:dxf>
              <fill>
                <patternFill>
                  <bgColor theme="0"/>
                </patternFill>
              </fill>
            </x14:dxf>
          </x14:cfRule>
          <xm:sqref>AA102:BJ102</xm:sqref>
        </x14:conditionalFormatting>
        <x14:conditionalFormatting xmlns:xm="http://schemas.microsoft.com/office/excel/2006/main">
          <x14:cfRule type="expression" priority="1065" id="{A307ACD3-10EA-407C-9F5C-C9AA070C6D05}">
            <xm:f>AND('Cover Sheet'!$E$29=0, AA$4=0, AB$4=0)</xm:f>
            <x14:dxf>
              <fill>
                <patternFill>
                  <bgColor theme="0" tint="-0.14996795556505021"/>
                </patternFill>
              </fill>
            </x14:dxf>
          </x14:cfRule>
          <xm:sqref>AA110:BJ110</xm:sqref>
        </x14:conditionalFormatting>
        <x14:conditionalFormatting xmlns:xm="http://schemas.microsoft.com/office/excel/2006/main">
          <x14:cfRule type="expression" priority="1064" id="{F677A2D3-B298-43D7-9E0C-0AA67341D1D7}">
            <xm:f>AND('Cover Sheet'!$E$29=0, AA$4=0, AB$4=0)</xm:f>
            <x14:dxf>
              <fill>
                <patternFill>
                  <bgColor theme="0" tint="-0.14996795556505021"/>
                </patternFill>
              </fill>
            </x14:dxf>
          </x14:cfRule>
          <xm:sqref>AA110:BJ110</xm:sqref>
        </x14:conditionalFormatting>
        <x14:conditionalFormatting xmlns:xm="http://schemas.microsoft.com/office/excel/2006/main">
          <x14:cfRule type="expression" priority="1063" id="{7D3EE5F8-0BC4-478F-A3C0-D0D03BE9834F}">
            <xm:f>AND('Cover Sheet'!$E$29=0, AA$4=0, AB$4=0)</xm:f>
            <x14:dxf>
              <fill>
                <patternFill>
                  <bgColor theme="0" tint="-0.14996795556505021"/>
                </patternFill>
              </fill>
            </x14:dxf>
          </x14:cfRule>
          <xm:sqref>AA110:BJ110</xm:sqref>
        </x14:conditionalFormatting>
        <x14:conditionalFormatting xmlns:xm="http://schemas.microsoft.com/office/excel/2006/main">
          <x14:cfRule type="expression" priority="1062" id="{4A7BD26D-AC4F-45F4-9B28-BA0501E4987E}">
            <xm:f>AND('Cover Sheet'!$E$29=0, AA$4=0, AB$4=0)</xm:f>
            <x14:dxf>
              <fill>
                <patternFill>
                  <bgColor theme="0" tint="-0.14996795556505021"/>
                </patternFill>
              </fill>
            </x14:dxf>
          </x14:cfRule>
          <xm:sqref>AA110:BJ110</xm:sqref>
        </x14:conditionalFormatting>
        <x14:conditionalFormatting xmlns:xm="http://schemas.microsoft.com/office/excel/2006/main">
          <x14:cfRule type="expression" priority="1061" id="{41B2D8BA-3726-4104-A917-D12758528457}">
            <xm:f>AND('Cover Sheet'!$E$29=0, AA$4=0, AB$4=0)</xm:f>
            <x14:dxf>
              <fill>
                <patternFill>
                  <bgColor theme="0" tint="-0.14996795556505021"/>
                </patternFill>
              </fill>
            </x14:dxf>
          </x14:cfRule>
          <xm:sqref>AA110:BJ110</xm:sqref>
        </x14:conditionalFormatting>
        <x14:conditionalFormatting xmlns:xm="http://schemas.microsoft.com/office/excel/2006/main">
          <x14:cfRule type="expression" priority="1060" id="{C2D3FB09-036B-4A03-B13A-505668FC1A33}">
            <xm:f>AND('Cover Sheet'!$E$29=0, AA$4=0, AB$4=0)</xm:f>
            <x14:dxf>
              <fill>
                <patternFill>
                  <bgColor theme="0"/>
                </patternFill>
              </fill>
            </x14:dxf>
          </x14:cfRule>
          <xm:sqref>AA110:BJ110</xm:sqref>
        </x14:conditionalFormatting>
        <x14:conditionalFormatting xmlns:xm="http://schemas.microsoft.com/office/excel/2006/main">
          <x14:cfRule type="expression" priority="1058" id="{EDCF209F-55EF-4D5E-9EA7-12FB6307E421}">
            <xm:f>AND('Cover Sheet'!$E$29=0, AA$4=0, AB$4=0)</xm:f>
            <x14:dxf>
              <fill>
                <patternFill>
                  <bgColor theme="0" tint="-0.14996795556505021"/>
                </patternFill>
              </fill>
            </x14:dxf>
          </x14:cfRule>
          <xm:sqref>AA111:BJ111</xm:sqref>
        </x14:conditionalFormatting>
        <x14:conditionalFormatting xmlns:xm="http://schemas.microsoft.com/office/excel/2006/main">
          <x14:cfRule type="expression" priority="1057" id="{2DAE8C4D-204D-4690-B330-0364B3B32336}">
            <xm:f>AND('Cover Sheet'!$E$29=0, AA$4=0, AB$4=0)</xm:f>
            <x14:dxf>
              <fill>
                <patternFill>
                  <bgColor theme="0" tint="-0.14996795556505021"/>
                </patternFill>
              </fill>
            </x14:dxf>
          </x14:cfRule>
          <xm:sqref>AA111:BJ111</xm:sqref>
        </x14:conditionalFormatting>
        <x14:conditionalFormatting xmlns:xm="http://schemas.microsoft.com/office/excel/2006/main">
          <x14:cfRule type="expression" priority="1056" id="{8C517484-055E-4E7B-B089-9A6F5E1F34AE}">
            <xm:f>AND('Cover Sheet'!$E$29=0, AA$4=0, AB$4=0)</xm:f>
            <x14:dxf>
              <fill>
                <patternFill>
                  <bgColor theme="0" tint="-0.14996795556505021"/>
                </patternFill>
              </fill>
            </x14:dxf>
          </x14:cfRule>
          <xm:sqref>AA111:BJ111</xm:sqref>
        </x14:conditionalFormatting>
        <x14:conditionalFormatting xmlns:xm="http://schemas.microsoft.com/office/excel/2006/main">
          <x14:cfRule type="expression" priority="1055" id="{E5C9D4A0-4823-4434-A285-446DD4981B5D}">
            <xm:f>AND('Cover Sheet'!$E$29=0, AA$4=0, AB$4=0)</xm:f>
            <x14:dxf>
              <fill>
                <patternFill>
                  <bgColor theme="0" tint="-0.14996795556505021"/>
                </patternFill>
              </fill>
            </x14:dxf>
          </x14:cfRule>
          <xm:sqref>AA111:BJ111</xm:sqref>
        </x14:conditionalFormatting>
        <x14:conditionalFormatting xmlns:xm="http://schemas.microsoft.com/office/excel/2006/main">
          <x14:cfRule type="expression" priority="1054" id="{0D56FE01-0700-47A6-BB37-55EBB3F15DFD}">
            <xm:f>AND('Cover Sheet'!$E$29=0, AA$4=0, AB$4=0)</xm:f>
            <x14:dxf>
              <fill>
                <patternFill>
                  <bgColor theme="0" tint="-0.14996795556505021"/>
                </patternFill>
              </fill>
            </x14:dxf>
          </x14:cfRule>
          <xm:sqref>AA111:BJ111</xm:sqref>
        </x14:conditionalFormatting>
        <x14:conditionalFormatting xmlns:xm="http://schemas.microsoft.com/office/excel/2006/main">
          <x14:cfRule type="expression" priority="1053" id="{7A3F289F-E579-4D26-8D0B-98CE1BC57B1F}">
            <xm:f>AND('Cover Sheet'!$E$29=0, AA$4=0, AB$4=0)</xm:f>
            <x14:dxf>
              <fill>
                <patternFill>
                  <bgColor theme="0"/>
                </patternFill>
              </fill>
            </x14:dxf>
          </x14:cfRule>
          <xm:sqref>AA111:BJ111</xm:sqref>
        </x14:conditionalFormatting>
        <x14:conditionalFormatting xmlns:xm="http://schemas.microsoft.com/office/excel/2006/main">
          <x14:cfRule type="expression" priority="1051" id="{1D0D8C5D-6D46-46C4-A953-78FA04EB185E}">
            <xm:f>AND('Cover Sheet'!$E$29=0, AA$4=0, AB$4=0)</xm:f>
            <x14:dxf>
              <fill>
                <patternFill>
                  <bgColor theme="0" tint="-0.14996795556505021"/>
                </patternFill>
              </fill>
            </x14:dxf>
          </x14:cfRule>
          <xm:sqref>AA77:AX77</xm:sqref>
        </x14:conditionalFormatting>
        <x14:conditionalFormatting xmlns:xm="http://schemas.microsoft.com/office/excel/2006/main">
          <x14:cfRule type="expression" priority="1050" id="{E0A4DC87-59C1-4CF0-BFD1-6AC3E93C76BA}">
            <xm:f>AND('Cover Sheet'!$E$29=0, AA$4=0, AB$4=0)</xm:f>
            <x14:dxf>
              <fill>
                <patternFill>
                  <bgColor theme="0" tint="-0.14996795556505021"/>
                </patternFill>
              </fill>
            </x14:dxf>
          </x14:cfRule>
          <xm:sqref>AA77:AX77</xm:sqref>
        </x14:conditionalFormatting>
        <x14:conditionalFormatting xmlns:xm="http://schemas.microsoft.com/office/excel/2006/main">
          <x14:cfRule type="expression" priority="1049" id="{A47964D0-0BAF-489F-9F3C-F995D249E1EF}">
            <xm:f>AND('Cover Sheet'!$E$29=0, AA$4=0, AB$4=0)</xm:f>
            <x14:dxf>
              <fill>
                <patternFill>
                  <bgColor theme="0" tint="-0.14996795556505021"/>
                </patternFill>
              </fill>
            </x14:dxf>
          </x14:cfRule>
          <xm:sqref>AA77:AX77</xm:sqref>
        </x14:conditionalFormatting>
        <x14:conditionalFormatting xmlns:xm="http://schemas.microsoft.com/office/excel/2006/main">
          <x14:cfRule type="expression" priority="1048" id="{D95E17B8-9CFF-4A45-B245-FF2F6B1B516A}">
            <xm:f>AND('Cover Sheet'!$E$29=0, AA$4=0, AB$4=0)</xm:f>
            <x14:dxf>
              <fill>
                <patternFill>
                  <bgColor theme="0" tint="-0.14996795556505021"/>
                </patternFill>
              </fill>
            </x14:dxf>
          </x14:cfRule>
          <xm:sqref>AA77:AX77</xm:sqref>
        </x14:conditionalFormatting>
        <x14:conditionalFormatting xmlns:xm="http://schemas.microsoft.com/office/excel/2006/main">
          <x14:cfRule type="expression" priority="1047" id="{F3463632-EB50-41EC-98DB-498AFD18B69A}">
            <xm:f>AND('Cover Sheet'!$E$29=0, AA$4=0, AB$4=0)</xm:f>
            <x14:dxf>
              <fill>
                <patternFill>
                  <bgColor theme="0" tint="-0.14996795556505021"/>
                </patternFill>
              </fill>
            </x14:dxf>
          </x14:cfRule>
          <xm:sqref>AA77:AX77</xm:sqref>
        </x14:conditionalFormatting>
        <x14:conditionalFormatting xmlns:xm="http://schemas.microsoft.com/office/excel/2006/main">
          <x14:cfRule type="expression" priority="1046" id="{025A4FEF-10D8-4895-B38F-5139717D557E}">
            <xm:f>AND('Cover Sheet'!$E$29=0, AA$4=0, AB$4=0)</xm:f>
            <x14:dxf>
              <fill>
                <patternFill>
                  <bgColor theme="0"/>
                </patternFill>
              </fill>
            </x14:dxf>
          </x14:cfRule>
          <xm:sqref>AA77:AX77</xm:sqref>
        </x14:conditionalFormatting>
        <x14:conditionalFormatting xmlns:xm="http://schemas.microsoft.com/office/excel/2006/main">
          <x14:cfRule type="expression" priority="1044" id="{5D4888F2-5D4F-4782-B36E-22201BBA891D}">
            <xm:f>AND('Cover Sheet'!$E$29=0, AA$4=0, AB$4=0)</xm:f>
            <x14:dxf>
              <fill>
                <patternFill>
                  <bgColor theme="0" tint="-0.14996795556505021"/>
                </patternFill>
              </fill>
            </x14:dxf>
          </x14:cfRule>
          <xm:sqref>AA115:BJ115</xm:sqref>
        </x14:conditionalFormatting>
        <x14:conditionalFormatting xmlns:xm="http://schemas.microsoft.com/office/excel/2006/main">
          <x14:cfRule type="expression" priority="1043" id="{79AD4124-A0C7-4975-A65E-599B3EB38410}">
            <xm:f>AND('Cover Sheet'!$E$29=0, AA$4=0, AB$4=0)</xm:f>
            <x14:dxf>
              <fill>
                <patternFill>
                  <bgColor theme="0" tint="-0.14996795556505021"/>
                </patternFill>
              </fill>
            </x14:dxf>
          </x14:cfRule>
          <xm:sqref>AA115:BJ115</xm:sqref>
        </x14:conditionalFormatting>
        <x14:conditionalFormatting xmlns:xm="http://schemas.microsoft.com/office/excel/2006/main">
          <x14:cfRule type="expression" priority="1042" id="{5C7E8D03-EE7B-49EF-ADEB-858A8265047B}">
            <xm:f>AND('Cover Sheet'!$E$29=0, AA$4=0, AB$4=0)</xm:f>
            <x14:dxf>
              <fill>
                <patternFill>
                  <bgColor theme="0" tint="-0.14996795556505021"/>
                </patternFill>
              </fill>
            </x14:dxf>
          </x14:cfRule>
          <xm:sqref>AA115:BJ115</xm:sqref>
        </x14:conditionalFormatting>
        <x14:conditionalFormatting xmlns:xm="http://schemas.microsoft.com/office/excel/2006/main">
          <x14:cfRule type="expression" priority="1041" id="{F611EBDC-FC1E-4BEE-A99E-146339F37AC3}">
            <xm:f>AND('Cover Sheet'!$E$29=0, AA$4=0, AB$4=0)</xm:f>
            <x14:dxf>
              <fill>
                <patternFill>
                  <bgColor theme="0" tint="-0.14996795556505021"/>
                </patternFill>
              </fill>
            </x14:dxf>
          </x14:cfRule>
          <xm:sqref>AA115:BJ115</xm:sqref>
        </x14:conditionalFormatting>
        <x14:conditionalFormatting xmlns:xm="http://schemas.microsoft.com/office/excel/2006/main">
          <x14:cfRule type="expression" priority="1040" id="{5F3EF60A-E548-4474-8E17-669F91A40750}">
            <xm:f>AND('Cover Sheet'!$E$29=0, AA$4=0, AB$4=0)</xm:f>
            <x14:dxf>
              <fill>
                <patternFill>
                  <bgColor theme="0" tint="-0.14996795556505021"/>
                </patternFill>
              </fill>
            </x14:dxf>
          </x14:cfRule>
          <xm:sqref>AA115:BJ115</xm:sqref>
        </x14:conditionalFormatting>
        <x14:conditionalFormatting xmlns:xm="http://schemas.microsoft.com/office/excel/2006/main">
          <x14:cfRule type="expression" priority="1039" id="{29F31974-E300-4C7F-95EF-BAA339910187}">
            <xm:f>AND('Cover Sheet'!$E$29=0, AA$4=0, AB$4=0)</xm:f>
            <x14:dxf>
              <fill>
                <patternFill>
                  <bgColor theme="0"/>
                </patternFill>
              </fill>
            </x14:dxf>
          </x14:cfRule>
          <xm:sqref>AA115:BJ115</xm:sqref>
        </x14:conditionalFormatting>
        <x14:conditionalFormatting xmlns:xm="http://schemas.microsoft.com/office/excel/2006/main">
          <x14:cfRule type="expression" priority="1037" id="{735A3EC2-A7AC-444F-961C-4BE4B51730FE}">
            <xm:f>AND('Cover Sheet'!$E$29=0, AA$4=0, AB$4=0)</xm:f>
            <x14:dxf>
              <fill>
                <patternFill>
                  <bgColor theme="0" tint="-0.14996795556505021"/>
                </patternFill>
              </fill>
            </x14:dxf>
          </x14:cfRule>
          <xm:sqref>AA122:AL122 AY122:BJ129</xm:sqref>
        </x14:conditionalFormatting>
        <x14:conditionalFormatting xmlns:xm="http://schemas.microsoft.com/office/excel/2006/main">
          <x14:cfRule type="expression" priority="1036" id="{372FA33B-5A05-4969-8DBA-73E0A485C07D}">
            <xm:f>AND('Cover Sheet'!$E$29=0, AA$4=0, AB$4=0)</xm:f>
            <x14:dxf>
              <fill>
                <patternFill>
                  <bgColor theme="0" tint="-0.14996795556505021"/>
                </patternFill>
              </fill>
            </x14:dxf>
          </x14:cfRule>
          <xm:sqref>AA122:AL122 AY122:BJ129</xm:sqref>
        </x14:conditionalFormatting>
        <x14:conditionalFormatting xmlns:xm="http://schemas.microsoft.com/office/excel/2006/main">
          <x14:cfRule type="expression" priority="1035" id="{7280DE39-CC1F-4C0C-8A26-7A0505147B1C}">
            <xm:f>AND('Cover Sheet'!$E$29=0, AA$4=0, AB$4=0)</xm:f>
            <x14:dxf>
              <fill>
                <patternFill>
                  <bgColor theme="0" tint="-0.14996795556505021"/>
                </patternFill>
              </fill>
            </x14:dxf>
          </x14:cfRule>
          <xm:sqref>AA122:AL122 AY122:BJ129</xm:sqref>
        </x14:conditionalFormatting>
        <x14:conditionalFormatting xmlns:xm="http://schemas.microsoft.com/office/excel/2006/main">
          <x14:cfRule type="expression" priority="1034" id="{1D8FA6FB-613E-47D6-AD23-71E431D8AF4D}">
            <xm:f>AND('Cover Sheet'!$E$29=0, AA$4=0, AB$4=0)</xm:f>
            <x14:dxf>
              <fill>
                <patternFill>
                  <bgColor theme="0" tint="-0.14996795556505021"/>
                </patternFill>
              </fill>
            </x14:dxf>
          </x14:cfRule>
          <xm:sqref>AA122:AL122 AY122:BJ129</xm:sqref>
        </x14:conditionalFormatting>
        <x14:conditionalFormatting xmlns:xm="http://schemas.microsoft.com/office/excel/2006/main">
          <x14:cfRule type="expression" priority="1033" id="{F9B0E360-7812-4091-B542-654464F7DE39}">
            <xm:f>AND('Cover Sheet'!$E$29=0, AA$4=0, AB$4=0)</xm:f>
            <x14:dxf>
              <fill>
                <patternFill>
                  <bgColor theme="0" tint="-0.14996795556505021"/>
                </patternFill>
              </fill>
            </x14:dxf>
          </x14:cfRule>
          <xm:sqref>AA122:AL122 AY122:BJ129</xm:sqref>
        </x14:conditionalFormatting>
        <x14:conditionalFormatting xmlns:xm="http://schemas.microsoft.com/office/excel/2006/main">
          <x14:cfRule type="expression" priority="1032" id="{BDCD659D-AAC2-443B-ACB3-39A9BC5184A5}">
            <xm:f>AND('Cover Sheet'!$E$29=0, AA$4=0, AB$4=0)</xm:f>
            <x14:dxf>
              <fill>
                <patternFill>
                  <bgColor theme="0"/>
                </patternFill>
              </fill>
            </x14:dxf>
          </x14:cfRule>
          <xm:sqref>AA122:AL122 AY122:BJ129</xm:sqref>
        </x14:conditionalFormatting>
        <x14:conditionalFormatting xmlns:xm="http://schemas.microsoft.com/office/excel/2006/main">
          <x14:cfRule type="expression" priority="1030" id="{B30C4E14-A3ED-475A-8AE0-DADE5B284F57}">
            <xm:f>AND('Cover Sheet'!$E$29=0, AA$4=0, AB$4=0)</xm:f>
            <x14:dxf>
              <fill>
                <patternFill>
                  <bgColor theme="0" tint="-0.14996795556505021"/>
                </patternFill>
              </fill>
            </x14:dxf>
          </x14:cfRule>
          <xm:sqref>AA123:AL123</xm:sqref>
        </x14:conditionalFormatting>
        <x14:conditionalFormatting xmlns:xm="http://schemas.microsoft.com/office/excel/2006/main">
          <x14:cfRule type="expression" priority="1029" id="{D0BF04B7-57F3-4BFE-AE0B-8C7B06B2E6C5}">
            <xm:f>AND('Cover Sheet'!$E$29=0, AA$4=0, AB$4=0)</xm:f>
            <x14:dxf>
              <fill>
                <patternFill>
                  <bgColor theme="0" tint="-0.14996795556505021"/>
                </patternFill>
              </fill>
            </x14:dxf>
          </x14:cfRule>
          <xm:sqref>AA123:AL123</xm:sqref>
        </x14:conditionalFormatting>
        <x14:conditionalFormatting xmlns:xm="http://schemas.microsoft.com/office/excel/2006/main">
          <x14:cfRule type="expression" priority="1028" id="{5753C816-24E8-4B0B-9C82-9F067C1ED545}">
            <xm:f>AND('Cover Sheet'!$E$29=0, AA$4=0, AB$4=0)</xm:f>
            <x14:dxf>
              <fill>
                <patternFill>
                  <bgColor theme="0" tint="-0.14996795556505021"/>
                </patternFill>
              </fill>
            </x14:dxf>
          </x14:cfRule>
          <xm:sqref>AA123:AL123</xm:sqref>
        </x14:conditionalFormatting>
        <x14:conditionalFormatting xmlns:xm="http://schemas.microsoft.com/office/excel/2006/main">
          <x14:cfRule type="expression" priority="1027" id="{7B237F7E-E09D-4ADA-863C-81B98202FF9F}">
            <xm:f>AND('Cover Sheet'!$E$29=0, AA$4=0, AB$4=0)</xm:f>
            <x14:dxf>
              <fill>
                <patternFill>
                  <bgColor theme="0" tint="-0.14996795556505021"/>
                </patternFill>
              </fill>
            </x14:dxf>
          </x14:cfRule>
          <xm:sqref>AA123:AL123</xm:sqref>
        </x14:conditionalFormatting>
        <x14:conditionalFormatting xmlns:xm="http://schemas.microsoft.com/office/excel/2006/main">
          <x14:cfRule type="expression" priority="1026" id="{3F8DE6EF-9C9C-468B-AE00-C25D2E372F5F}">
            <xm:f>AND('Cover Sheet'!$E$29=0, AA$4=0, AB$4=0)</xm:f>
            <x14:dxf>
              <fill>
                <patternFill>
                  <bgColor theme="0" tint="-0.14996795556505021"/>
                </patternFill>
              </fill>
            </x14:dxf>
          </x14:cfRule>
          <xm:sqref>AA123:AL123</xm:sqref>
        </x14:conditionalFormatting>
        <x14:conditionalFormatting xmlns:xm="http://schemas.microsoft.com/office/excel/2006/main">
          <x14:cfRule type="expression" priority="1025" id="{56DE0C7F-5BC2-46F3-92F0-4893198F76AE}">
            <xm:f>AND('Cover Sheet'!$E$29=0, AA$4=0, AB$4=0)</xm:f>
            <x14:dxf>
              <fill>
                <patternFill>
                  <bgColor theme="0"/>
                </patternFill>
              </fill>
            </x14:dxf>
          </x14:cfRule>
          <xm:sqref>AA123:AL123</xm:sqref>
        </x14:conditionalFormatting>
        <x14:conditionalFormatting xmlns:xm="http://schemas.microsoft.com/office/excel/2006/main">
          <x14:cfRule type="expression" priority="1023" id="{98ADC6FD-1DDE-434F-AE47-75CDF5B67579}">
            <xm:f>AND('Cover Sheet'!$E$29=0, AA$4=0, AB$4=0)</xm:f>
            <x14:dxf>
              <fill>
                <patternFill>
                  <bgColor theme="0" tint="-0.14996795556505021"/>
                </patternFill>
              </fill>
            </x14:dxf>
          </x14:cfRule>
          <xm:sqref>AA124:AL124</xm:sqref>
        </x14:conditionalFormatting>
        <x14:conditionalFormatting xmlns:xm="http://schemas.microsoft.com/office/excel/2006/main">
          <x14:cfRule type="expression" priority="1022" id="{8CC183A3-D81C-4AAB-95EC-D1BA68DD40D7}">
            <xm:f>AND('Cover Sheet'!$E$29=0, AA$4=0, AB$4=0)</xm:f>
            <x14:dxf>
              <fill>
                <patternFill>
                  <bgColor theme="0" tint="-0.14996795556505021"/>
                </patternFill>
              </fill>
            </x14:dxf>
          </x14:cfRule>
          <xm:sqref>AA124:AL124</xm:sqref>
        </x14:conditionalFormatting>
        <x14:conditionalFormatting xmlns:xm="http://schemas.microsoft.com/office/excel/2006/main">
          <x14:cfRule type="expression" priority="1021" id="{19360053-B7DD-4503-ABE1-A95CC77BB73A}">
            <xm:f>AND('Cover Sheet'!$E$29=0, AA$4=0, AB$4=0)</xm:f>
            <x14:dxf>
              <fill>
                <patternFill>
                  <bgColor theme="0" tint="-0.14996795556505021"/>
                </patternFill>
              </fill>
            </x14:dxf>
          </x14:cfRule>
          <xm:sqref>AA124:AL124</xm:sqref>
        </x14:conditionalFormatting>
        <x14:conditionalFormatting xmlns:xm="http://schemas.microsoft.com/office/excel/2006/main">
          <x14:cfRule type="expression" priority="1020" id="{F58D0B4C-C245-40D9-9DBB-8D0381B7CCB7}">
            <xm:f>AND('Cover Sheet'!$E$29=0, AA$4=0, AB$4=0)</xm:f>
            <x14:dxf>
              <fill>
                <patternFill>
                  <bgColor theme="0" tint="-0.14996795556505021"/>
                </patternFill>
              </fill>
            </x14:dxf>
          </x14:cfRule>
          <xm:sqref>AA124:AL124</xm:sqref>
        </x14:conditionalFormatting>
        <x14:conditionalFormatting xmlns:xm="http://schemas.microsoft.com/office/excel/2006/main">
          <x14:cfRule type="expression" priority="1019" id="{3104B3A4-819C-4B7C-A2CC-A2BB3EB85EC0}">
            <xm:f>AND('Cover Sheet'!$E$29=0, AA$4=0, AB$4=0)</xm:f>
            <x14:dxf>
              <fill>
                <patternFill>
                  <bgColor theme="0" tint="-0.14996795556505021"/>
                </patternFill>
              </fill>
            </x14:dxf>
          </x14:cfRule>
          <xm:sqref>AA124:AL124</xm:sqref>
        </x14:conditionalFormatting>
        <x14:conditionalFormatting xmlns:xm="http://schemas.microsoft.com/office/excel/2006/main">
          <x14:cfRule type="expression" priority="1018" id="{B2947947-5B02-4C22-9EB9-DBB706FC0CCA}">
            <xm:f>AND('Cover Sheet'!$E$29=0, AA$4=0, AB$4=0)</xm:f>
            <x14:dxf>
              <fill>
                <patternFill>
                  <bgColor theme="0"/>
                </patternFill>
              </fill>
            </x14:dxf>
          </x14:cfRule>
          <xm:sqref>AA124:AL124</xm:sqref>
        </x14:conditionalFormatting>
        <x14:conditionalFormatting xmlns:xm="http://schemas.microsoft.com/office/excel/2006/main">
          <x14:cfRule type="expression" priority="1016" id="{25150E6C-1C4E-41CB-B916-78C303A8C547}">
            <xm:f>AND('Cover Sheet'!$E$29=0, AA$4=0, AB$4=0)</xm:f>
            <x14:dxf>
              <fill>
                <patternFill>
                  <bgColor theme="0" tint="-0.14996795556505021"/>
                </patternFill>
              </fill>
            </x14:dxf>
          </x14:cfRule>
          <xm:sqref>AA125:AL125</xm:sqref>
        </x14:conditionalFormatting>
        <x14:conditionalFormatting xmlns:xm="http://schemas.microsoft.com/office/excel/2006/main">
          <x14:cfRule type="expression" priority="1015" id="{43E9A9CB-1063-4E4A-AF6F-85859DEBB764}">
            <xm:f>AND('Cover Sheet'!$E$29=0, AA$4=0, AB$4=0)</xm:f>
            <x14:dxf>
              <fill>
                <patternFill>
                  <bgColor theme="0" tint="-0.14996795556505021"/>
                </patternFill>
              </fill>
            </x14:dxf>
          </x14:cfRule>
          <xm:sqref>AA125:AL125</xm:sqref>
        </x14:conditionalFormatting>
        <x14:conditionalFormatting xmlns:xm="http://schemas.microsoft.com/office/excel/2006/main">
          <x14:cfRule type="expression" priority="1014" id="{9DECCD77-A7A3-4C37-8BD5-1ED258BC601D}">
            <xm:f>AND('Cover Sheet'!$E$29=0, AA$4=0, AB$4=0)</xm:f>
            <x14:dxf>
              <fill>
                <patternFill>
                  <bgColor theme="0" tint="-0.14996795556505021"/>
                </patternFill>
              </fill>
            </x14:dxf>
          </x14:cfRule>
          <xm:sqref>AA125:AL125</xm:sqref>
        </x14:conditionalFormatting>
        <x14:conditionalFormatting xmlns:xm="http://schemas.microsoft.com/office/excel/2006/main">
          <x14:cfRule type="expression" priority="1013" id="{95DFCAAB-0CD6-4EEA-ACBC-46779F263100}">
            <xm:f>AND('Cover Sheet'!$E$29=0, AA$4=0, AB$4=0)</xm:f>
            <x14:dxf>
              <fill>
                <patternFill>
                  <bgColor theme="0" tint="-0.14996795556505021"/>
                </patternFill>
              </fill>
            </x14:dxf>
          </x14:cfRule>
          <xm:sqref>AA125:AL125</xm:sqref>
        </x14:conditionalFormatting>
        <x14:conditionalFormatting xmlns:xm="http://schemas.microsoft.com/office/excel/2006/main">
          <x14:cfRule type="expression" priority="1012" id="{7E194453-DDF0-4D29-8BE5-A65D6C497394}">
            <xm:f>AND('Cover Sheet'!$E$29=0, AA$4=0, AB$4=0)</xm:f>
            <x14:dxf>
              <fill>
                <patternFill>
                  <bgColor theme="0" tint="-0.14996795556505021"/>
                </patternFill>
              </fill>
            </x14:dxf>
          </x14:cfRule>
          <xm:sqref>AA125:AL125</xm:sqref>
        </x14:conditionalFormatting>
        <x14:conditionalFormatting xmlns:xm="http://schemas.microsoft.com/office/excel/2006/main">
          <x14:cfRule type="expression" priority="1011" id="{9995D9BD-5540-4372-B6B0-6DBF5ABE8E5F}">
            <xm:f>AND('Cover Sheet'!$E$29=0, AA$4=0, AB$4=0)</xm:f>
            <x14:dxf>
              <fill>
                <patternFill>
                  <bgColor theme="0"/>
                </patternFill>
              </fill>
            </x14:dxf>
          </x14:cfRule>
          <xm:sqref>AA125:AL125</xm:sqref>
        </x14:conditionalFormatting>
        <x14:conditionalFormatting xmlns:xm="http://schemas.microsoft.com/office/excel/2006/main">
          <x14:cfRule type="expression" priority="1009" id="{96A59725-4926-4A8D-9D47-E8544AC70CFC}">
            <xm:f>AND('Cover Sheet'!$E$29=0, AA$4=0, AB$4=0)</xm:f>
            <x14:dxf>
              <fill>
                <patternFill>
                  <bgColor theme="0" tint="-0.14996795556505021"/>
                </patternFill>
              </fill>
            </x14:dxf>
          </x14:cfRule>
          <xm:sqref>AA126:AL126</xm:sqref>
        </x14:conditionalFormatting>
        <x14:conditionalFormatting xmlns:xm="http://schemas.microsoft.com/office/excel/2006/main">
          <x14:cfRule type="expression" priority="1008" id="{1C99A108-F7FC-45E8-A254-0C2180610189}">
            <xm:f>AND('Cover Sheet'!$E$29=0, AA$4=0, AB$4=0)</xm:f>
            <x14:dxf>
              <fill>
                <patternFill>
                  <bgColor theme="0" tint="-0.14996795556505021"/>
                </patternFill>
              </fill>
            </x14:dxf>
          </x14:cfRule>
          <xm:sqref>AA126:AL126</xm:sqref>
        </x14:conditionalFormatting>
        <x14:conditionalFormatting xmlns:xm="http://schemas.microsoft.com/office/excel/2006/main">
          <x14:cfRule type="expression" priority="1007" id="{DF32E121-FC04-4CB7-A0B4-BF5AE6804F18}">
            <xm:f>AND('Cover Sheet'!$E$29=0, AA$4=0, AB$4=0)</xm:f>
            <x14:dxf>
              <fill>
                <patternFill>
                  <bgColor theme="0" tint="-0.14996795556505021"/>
                </patternFill>
              </fill>
            </x14:dxf>
          </x14:cfRule>
          <xm:sqref>AA126:AL126</xm:sqref>
        </x14:conditionalFormatting>
        <x14:conditionalFormatting xmlns:xm="http://schemas.microsoft.com/office/excel/2006/main">
          <x14:cfRule type="expression" priority="1006" id="{EC248D47-B03B-4013-87C7-6B5C2747E65E}">
            <xm:f>AND('Cover Sheet'!$E$29=0, AA$4=0, AB$4=0)</xm:f>
            <x14:dxf>
              <fill>
                <patternFill>
                  <bgColor theme="0" tint="-0.14996795556505021"/>
                </patternFill>
              </fill>
            </x14:dxf>
          </x14:cfRule>
          <xm:sqref>AA126:AL126</xm:sqref>
        </x14:conditionalFormatting>
        <x14:conditionalFormatting xmlns:xm="http://schemas.microsoft.com/office/excel/2006/main">
          <x14:cfRule type="expression" priority="1005" id="{91CE3D14-4F8E-4948-9AB9-F5A47E202DAB}">
            <xm:f>AND('Cover Sheet'!$E$29=0, AA$4=0, AB$4=0)</xm:f>
            <x14:dxf>
              <fill>
                <patternFill>
                  <bgColor theme="0" tint="-0.14996795556505021"/>
                </patternFill>
              </fill>
            </x14:dxf>
          </x14:cfRule>
          <xm:sqref>AA126:AL126</xm:sqref>
        </x14:conditionalFormatting>
        <x14:conditionalFormatting xmlns:xm="http://schemas.microsoft.com/office/excel/2006/main">
          <x14:cfRule type="expression" priority="1004" id="{DE4599A7-8B88-4DDA-B620-B05D30D18CF0}">
            <xm:f>AND('Cover Sheet'!$E$29=0, AA$4=0, AB$4=0)</xm:f>
            <x14:dxf>
              <fill>
                <patternFill>
                  <bgColor theme="0"/>
                </patternFill>
              </fill>
            </x14:dxf>
          </x14:cfRule>
          <xm:sqref>AA126:AL126</xm:sqref>
        </x14:conditionalFormatting>
        <x14:conditionalFormatting xmlns:xm="http://schemas.microsoft.com/office/excel/2006/main">
          <x14:cfRule type="expression" priority="1002" id="{B5584384-1393-4D45-A9D8-89ADA3E55348}">
            <xm:f>AND('Cover Sheet'!$E$29=0, AA$4=0, AB$4=0)</xm:f>
            <x14:dxf>
              <fill>
                <patternFill>
                  <bgColor theme="0" tint="-0.14996795556505021"/>
                </patternFill>
              </fill>
            </x14:dxf>
          </x14:cfRule>
          <xm:sqref>AA127:AL127</xm:sqref>
        </x14:conditionalFormatting>
        <x14:conditionalFormatting xmlns:xm="http://schemas.microsoft.com/office/excel/2006/main">
          <x14:cfRule type="expression" priority="1001" id="{EC03254E-4C42-48D5-9934-740E2C6B4740}">
            <xm:f>AND('Cover Sheet'!$E$29=0, AA$4=0, AB$4=0)</xm:f>
            <x14:dxf>
              <fill>
                <patternFill>
                  <bgColor theme="0" tint="-0.14996795556505021"/>
                </patternFill>
              </fill>
            </x14:dxf>
          </x14:cfRule>
          <xm:sqref>AA127:AL127</xm:sqref>
        </x14:conditionalFormatting>
        <x14:conditionalFormatting xmlns:xm="http://schemas.microsoft.com/office/excel/2006/main">
          <x14:cfRule type="expression" priority="1000" id="{DBF9CCBC-0981-43FE-BD0E-D140BAB3F408}">
            <xm:f>AND('Cover Sheet'!$E$29=0, AA$4=0, AB$4=0)</xm:f>
            <x14:dxf>
              <fill>
                <patternFill>
                  <bgColor theme="0" tint="-0.14996795556505021"/>
                </patternFill>
              </fill>
            </x14:dxf>
          </x14:cfRule>
          <xm:sqref>AA127:AL127</xm:sqref>
        </x14:conditionalFormatting>
        <x14:conditionalFormatting xmlns:xm="http://schemas.microsoft.com/office/excel/2006/main">
          <x14:cfRule type="expression" priority="999" id="{9F0CAF33-196C-4B9E-98DF-480E6DD907B3}">
            <xm:f>AND('Cover Sheet'!$E$29=0, AA$4=0, AB$4=0)</xm:f>
            <x14:dxf>
              <fill>
                <patternFill>
                  <bgColor theme="0" tint="-0.14996795556505021"/>
                </patternFill>
              </fill>
            </x14:dxf>
          </x14:cfRule>
          <xm:sqref>AA127:AL127</xm:sqref>
        </x14:conditionalFormatting>
        <x14:conditionalFormatting xmlns:xm="http://schemas.microsoft.com/office/excel/2006/main">
          <x14:cfRule type="expression" priority="998" id="{BAA49A79-8266-4D4F-987C-632651EA951F}">
            <xm:f>AND('Cover Sheet'!$E$29=0, AA$4=0, AB$4=0)</xm:f>
            <x14:dxf>
              <fill>
                <patternFill>
                  <bgColor theme="0" tint="-0.14996795556505021"/>
                </patternFill>
              </fill>
            </x14:dxf>
          </x14:cfRule>
          <xm:sqref>AA127:AL127</xm:sqref>
        </x14:conditionalFormatting>
        <x14:conditionalFormatting xmlns:xm="http://schemas.microsoft.com/office/excel/2006/main">
          <x14:cfRule type="expression" priority="997" id="{EFE556C7-6E97-45BA-90CA-078E475A48C6}">
            <xm:f>AND('Cover Sheet'!$E$29=0, AA$4=0, AB$4=0)</xm:f>
            <x14:dxf>
              <fill>
                <patternFill>
                  <bgColor theme="0"/>
                </patternFill>
              </fill>
            </x14:dxf>
          </x14:cfRule>
          <xm:sqref>AA127:AL127</xm:sqref>
        </x14:conditionalFormatting>
        <x14:conditionalFormatting xmlns:xm="http://schemas.microsoft.com/office/excel/2006/main">
          <x14:cfRule type="expression" priority="995" id="{37CBF71C-BB95-4D03-A9CC-8EEE3563CC5E}">
            <xm:f>AND('Cover Sheet'!$E$29=0, AA$4=0, AB$4=0)</xm:f>
            <x14:dxf>
              <fill>
                <patternFill>
                  <bgColor theme="0" tint="-0.14996795556505021"/>
                </patternFill>
              </fill>
            </x14:dxf>
          </x14:cfRule>
          <xm:sqref>AA128:AX128</xm:sqref>
        </x14:conditionalFormatting>
        <x14:conditionalFormatting xmlns:xm="http://schemas.microsoft.com/office/excel/2006/main">
          <x14:cfRule type="expression" priority="994" id="{3FF36D98-A06B-4ACE-BE0F-FD9800CD4496}">
            <xm:f>AND('Cover Sheet'!$E$29=0, AA$4=0, AB$4=0)</xm:f>
            <x14:dxf>
              <fill>
                <patternFill>
                  <bgColor theme="0" tint="-0.14996795556505021"/>
                </patternFill>
              </fill>
            </x14:dxf>
          </x14:cfRule>
          <xm:sqref>AA128:AX128</xm:sqref>
        </x14:conditionalFormatting>
        <x14:conditionalFormatting xmlns:xm="http://schemas.microsoft.com/office/excel/2006/main">
          <x14:cfRule type="expression" priority="993" id="{DD530D95-6487-499E-A1B2-FCD75AFFDB59}">
            <xm:f>AND('Cover Sheet'!$E$29=0, AA$4=0, AB$4=0)</xm:f>
            <x14:dxf>
              <fill>
                <patternFill>
                  <bgColor theme="0" tint="-0.14996795556505021"/>
                </patternFill>
              </fill>
            </x14:dxf>
          </x14:cfRule>
          <xm:sqref>AA128:AX128</xm:sqref>
        </x14:conditionalFormatting>
        <x14:conditionalFormatting xmlns:xm="http://schemas.microsoft.com/office/excel/2006/main">
          <x14:cfRule type="expression" priority="992" id="{4196C087-A8B4-4910-8694-C8A0C90B5357}">
            <xm:f>AND('Cover Sheet'!$E$29=0, AA$4=0, AB$4=0)</xm:f>
            <x14:dxf>
              <fill>
                <patternFill>
                  <bgColor theme="0" tint="-0.14996795556505021"/>
                </patternFill>
              </fill>
            </x14:dxf>
          </x14:cfRule>
          <xm:sqref>AA128:AX128</xm:sqref>
        </x14:conditionalFormatting>
        <x14:conditionalFormatting xmlns:xm="http://schemas.microsoft.com/office/excel/2006/main">
          <x14:cfRule type="expression" priority="991" id="{419C625F-6DE6-4D26-9CB1-67EA232ED96D}">
            <xm:f>AND('Cover Sheet'!$E$29=0, AA$4=0, AB$4=0)</xm:f>
            <x14:dxf>
              <fill>
                <patternFill>
                  <bgColor theme="0" tint="-0.14996795556505021"/>
                </patternFill>
              </fill>
            </x14:dxf>
          </x14:cfRule>
          <xm:sqref>AA128:AX128</xm:sqref>
        </x14:conditionalFormatting>
        <x14:conditionalFormatting xmlns:xm="http://schemas.microsoft.com/office/excel/2006/main">
          <x14:cfRule type="expression" priority="990" id="{5493E87B-FDFA-4615-9201-81875124EBF5}">
            <xm:f>AND('Cover Sheet'!$E$29=0, AA$4=0, AB$4=0)</xm:f>
            <x14:dxf>
              <fill>
                <patternFill>
                  <bgColor theme="0"/>
                </patternFill>
              </fill>
            </x14:dxf>
          </x14:cfRule>
          <xm:sqref>AA128:AX128</xm:sqref>
        </x14:conditionalFormatting>
        <x14:conditionalFormatting xmlns:xm="http://schemas.microsoft.com/office/excel/2006/main">
          <x14:cfRule type="expression" priority="988" id="{76F274E1-6389-4DD5-9BEA-F21EC1E2C6C0}">
            <xm:f>AND('Cover Sheet'!$E$29=0, AA$4=0, AB$4=0)</xm:f>
            <x14:dxf>
              <fill>
                <patternFill>
                  <bgColor theme="0" tint="-0.14996795556505021"/>
                </patternFill>
              </fill>
            </x14:dxf>
          </x14:cfRule>
          <xm:sqref>AA129:AX129</xm:sqref>
        </x14:conditionalFormatting>
        <x14:conditionalFormatting xmlns:xm="http://schemas.microsoft.com/office/excel/2006/main">
          <x14:cfRule type="expression" priority="987" id="{204DFEFE-9645-4CC5-9D77-79154DEA2D9B}">
            <xm:f>AND('Cover Sheet'!$E$29=0, AA$4=0, AB$4=0)</xm:f>
            <x14:dxf>
              <fill>
                <patternFill>
                  <bgColor theme="0" tint="-0.14996795556505021"/>
                </patternFill>
              </fill>
            </x14:dxf>
          </x14:cfRule>
          <xm:sqref>AA129:AX129</xm:sqref>
        </x14:conditionalFormatting>
        <x14:conditionalFormatting xmlns:xm="http://schemas.microsoft.com/office/excel/2006/main">
          <x14:cfRule type="expression" priority="986" id="{0DA2CFEF-B85E-41BE-9117-7EAEC22AA3AF}">
            <xm:f>AND('Cover Sheet'!$E$29=0, AA$4=0, AB$4=0)</xm:f>
            <x14:dxf>
              <fill>
                <patternFill>
                  <bgColor theme="0" tint="-0.14996795556505021"/>
                </patternFill>
              </fill>
            </x14:dxf>
          </x14:cfRule>
          <xm:sqref>AA129:AX129</xm:sqref>
        </x14:conditionalFormatting>
        <x14:conditionalFormatting xmlns:xm="http://schemas.microsoft.com/office/excel/2006/main">
          <x14:cfRule type="expression" priority="985" id="{B99BC52C-B4E9-4996-A688-958E0473B532}">
            <xm:f>AND('Cover Sheet'!$E$29=0, AA$4=0, AB$4=0)</xm:f>
            <x14:dxf>
              <fill>
                <patternFill>
                  <bgColor theme="0" tint="-0.14996795556505021"/>
                </patternFill>
              </fill>
            </x14:dxf>
          </x14:cfRule>
          <xm:sqref>AA129:AX129</xm:sqref>
        </x14:conditionalFormatting>
        <x14:conditionalFormatting xmlns:xm="http://schemas.microsoft.com/office/excel/2006/main">
          <x14:cfRule type="expression" priority="984" id="{2DE1DF83-8C84-4B96-A53B-697B1535060E}">
            <xm:f>AND('Cover Sheet'!$E$29=0, AA$4=0, AB$4=0)</xm:f>
            <x14:dxf>
              <fill>
                <patternFill>
                  <bgColor theme="0" tint="-0.14996795556505021"/>
                </patternFill>
              </fill>
            </x14:dxf>
          </x14:cfRule>
          <xm:sqref>AA129:AX129</xm:sqref>
        </x14:conditionalFormatting>
        <x14:conditionalFormatting xmlns:xm="http://schemas.microsoft.com/office/excel/2006/main">
          <x14:cfRule type="expression" priority="983" id="{41D4DB13-86DA-4FAC-8355-4CB6B66737AC}">
            <xm:f>AND('Cover Sheet'!$E$29=0, AA$4=0, AB$4=0)</xm:f>
            <x14:dxf>
              <fill>
                <patternFill>
                  <bgColor theme="0"/>
                </patternFill>
              </fill>
            </x14:dxf>
          </x14:cfRule>
          <xm:sqref>AA129:AX129</xm:sqref>
        </x14:conditionalFormatting>
        <x14:conditionalFormatting xmlns:xm="http://schemas.microsoft.com/office/excel/2006/main">
          <x14:cfRule type="expression" priority="981" id="{7D98BA5F-4EA4-4DEC-AA99-2CFABB503DE5}">
            <xm:f>AND('Cover Sheet'!$E$29=0, AA$4=0, AB$4=0)</xm:f>
            <x14:dxf>
              <fill>
                <patternFill>
                  <bgColor theme="0" tint="-0.14996795556505021"/>
                </patternFill>
              </fill>
            </x14:dxf>
          </x14:cfRule>
          <xm:sqref>AA137:AL137 AY137:BJ146</xm:sqref>
        </x14:conditionalFormatting>
        <x14:conditionalFormatting xmlns:xm="http://schemas.microsoft.com/office/excel/2006/main">
          <x14:cfRule type="expression" priority="980" id="{19B2F192-3EAA-4F85-87F5-81AB6840926D}">
            <xm:f>AND('Cover Sheet'!$E$29=0, AA$4=0, AB$4=0)</xm:f>
            <x14:dxf>
              <fill>
                <patternFill>
                  <bgColor theme="0" tint="-0.14996795556505021"/>
                </patternFill>
              </fill>
            </x14:dxf>
          </x14:cfRule>
          <xm:sqref>AA137:AL137 AY137:BJ146</xm:sqref>
        </x14:conditionalFormatting>
        <x14:conditionalFormatting xmlns:xm="http://schemas.microsoft.com/office/excel/2006/main">
          <x14:cfRule type="expression" priority="979" id="{F2F457C0-18AB-4CC2-A096-57E8212E9EBF}">
            <xm:f>AND('Cover Sheet'!$E$29=0, AA$4=0, AB$4=0)</xm:f>
            <x14:dxf>
              <fill>
                <patternFill>
                  <bgColor theme="0" tint="-0.14996795556505021"/>
                </patternFill>
              </fill>
            </x14:dxf>
          </x14:cfRule>
          <xm:sqref>AA137:AL137 AY137:BJ146</xm:sqref>
        </x14:conditionalFormatting>
        <x14:conditionalFormatting xmlns:xm="http://schemas.microsoft.com/office/excel/2006/main">
          <x14:cfRule type="expression" priority="978" id="{274C0E35-E2EC-40CF-A0E7-FD9CBF0F5B6E}">
            <xm:f>AND('Cover Sheet'!$E$29=0, AA$4=0, AB$4=0)</xm:f>
            <x14:dxf>
              <fill>
                <patternFill>
                  <bgColor theme="0" tint="-0.14996795556505021"/>
                </patternFill>
              </fill>
            </x14:dxf>
          </x14:cfRule>
          <xm:sqref>AA137:AL137 AY137:BJ146</xm:sqref>
        </x14:conditionalFormatting>
        <x14:conditionalFormatting xmlns:xm="http://schemas.microsoft.com/office/excel/2006/main">
          <x14:cfRule type="expression" priority="977" id="{2F0C0EA2-6490-435D-978A-633C6ECEBC16}">
            <xm:f>AND('Cover Sheet'!$E$29=0, AA$4=0, AB$4=0)</xm:f>
            <x14:dxf>
              <fill>
                <patternFill>
                  <bgColor theme="0" tint="-0.14996795556505021"/>
                </patternFill>
              </fill>
            </x14:dxf>
          </x14:cfRule>
          <xm:sqref>AA137:AL137 AY137:BJ146</xm:sqref>
        </x14:conditionalFormatting>
        <x14:conditionalFormatting xmlns:xm="http://schemas.microsoft.com/office/excel/2006/main">
          <x14:cfRule type="expression" priority="976" id="{929EF57A-9E84-45FE-BB0B-F2FF8E18F6CC}">
            <xm:f>AND('Cover Sheet'!$E$29=0, AA$4=0, AB$4=0)</xm:f>
            <x14:dxf>
              <fill>
                <patternFill>
                  <bgColor theme="0"/>
                </patternFill>
              </fill>
            </x14:dxf>
          </x14:cfRule>
          <xm:sqref>AA137:AL137 AY137:BJ146</xm:sqref>
        </x14:conditionalFormatting>
        <x14:conditionalFormatting xmlns:xm="http://schemas.microsoft.com/office/excel/2006/main">
          <x14:cfRule type="expression" priority="974" id="{A3C819F7-9CF3-4F2D-9ABD-B4809835E945}">
            <xm:f>AND('Cover Sheet'!$E$29=0, AA$4=0, AB$4=0)</xm:f>
            <x14:dxf>
              <fill>
                <patternFill>
                  <bgColor theme="0" tint="-0.14996795556505021"/>
                </patternFill>
              </fill>
            </x14:dxf>
          </x14:cfRule>
          <xm:sqref>AA138:AL138</xm:sqref>
        </x14:conditionalFormatting>
        <x14:conditionalFormatting xmlns:xm="http://schemas.microsoft.com/office/excel/2006/main">
          <x14:cfRule type="expression" priority="973" id="{798A62B6-7110-4D49-A3A8-875A981B6C32}">
            <xm:f>AND('Cover Sheet'!$E$29=0, AA$4=0, AB$4=0)</xm:f>
            <x14:dxf>
              <fill>
                <patternFill>
                  <bgColor theme="0" tint="-0.14996795556505021"/>
                </patternFill>
              </fill>
            </x14:dxf>
          </x14:cfRule>
          <xm:sqref>AA138:AL138</xm:sqref>
        </x14:conditionalFormatting>
        <x14:conditionalFormatting xmlns:xm="http://schemas.microsoft.com/office/excel/2006/main">
          <x14:cfRule type="expression" priority="972" id="{1C4070A2-AA68-4555-B37E-D279F7EE899D}">
            <xm:f>AND('Cover Sheet'!$E$29=0, AA$4=0, AB$4=0)</xm:f>
            <x14:dxf>
              <fill>
                <patternFill>
                  <bgColor theme="0" tint="-0.14996795556505021"/>
                </patternFill>
              </fill>
            </x14:dxf>
          </x14:cfRule>
          <xm:sqref>AA138:AL138</xm:sqref>
        </x14:conditionalFormatting>
        <x14:conditionalFormatting xmlns:xm="http://schemas.microsoft.com/office/excel/2006/main">
          <x14:cfRule type="expression" priority="971" id="{FE0FD8E2-D689-4DF3-9A95-57A19B4E4E6E}">
            <xm:f>AND('Cover Sheet'!$E$29=0, AA$4=0, AB$4=0)</xm:f>
            <x14:dxf>
              <fill>
                <patternFill>
                  <bgColor theme="0" tint="-0.14996795556505021"/>
                </patternFill>
              </fill>
            </x14:dxf>
          </x14:cfRule>
          <xm:sqref>AA138:AL138</xm:sqref>
        </x14:conditionalFormatting>
        <x14:conditionalFormatting xmlns:xm="http://schemas.microsoft.com/office/excel/2006/main">
          <x14:cfRule type="expression" priority="970" id="{1B478987-D3A8-42C5-98B6-D24C3D58EA6D}">
            <xm:f>AND('Cover Sheet'!$E$29=0, AA$4=0, AB$4=0)</xm:f>
            <x14:dxf>
              <fill>
                <patternFill>
                  <bgColor theme="0" tint="-0.14996795556505021"/>
                </patternFill>
              </fill>
            </x14:dxf>
          </x14:cfRule>
          <xm:sqref>AA138:AL138</xm:sqref>
        </x14:conditionalFormatting>
        <x14:conditionalFormatting xmlns:xm="http://schemas.microsoft.com/office/excel/2006/main">
          <x14:cfRule type="expression" priority="969" id="{D560DCE9-9265-412B-8E83-2CE1561AB726}">
            <xm:f>AND('Cover Sheet'!$E$29=0, AA$4=0, AB$4=0)</xm:f>
            <x14:dxf>
              <fill>
                <patternFill>
                  <bgColor theme="0"/>
                </patternFill>
              </fill>
            </x14:dxf>
          </x14:cfRule>
          <xm:sqref>AA138:AL138</xm:sqref>
        </x14:conditionalFormatting>
        <x14:conditionalFormatting xmlns:xm="http://schemas.microsoft.com/office/excel/2006/main">
          <x14:cfRule type="expression" priority="967" id="{E8B5F7D5-541A-47EF-BA96-F8879B155B17}">
            <xm:f>AND('Cover Sheet'!$E$29=0, AA$4=0, AB$4=0)</xm:f>
            <x14:dxf>
              <fill>
                <patternFill>
                  <bgColor theme="0" tint="-0.14996795556505021"/>
                </patternFill>
              </fill>
            </x14:dxf>
          </x14:cfRule>
          <xm:sqref>AA139:AL139</xm:sqref>
        </x14:conditionalFormatting>
        <x14:conditionalFormatting xmlns:xm="http://schemas.microsoft.com/office/excel/2006/main">
          <x14:cfRule type="expression" priority="966" id="{5756E9B5-809F-4474-80A4-7E42C66EC316}">
            <xm:f>AND('Cover Sheet'!$E$29=0, AA$4=0, AB$4=0)</xm:f>
            <x14:dxf>
              <fill>
                <patternFill>
                  <bgColor theme="0" tint="-0.14996795556505021"/>
                </patternFill>
              </fill>
            </x14:dxf>
          </x14:cfRule>
          <xm:sqref>AA139:AL139</xm:sqref>
        </x14:conditionalFormatting>
        <x14:conditionalFormatting xmlns:xm="http://schemas.microsoft.com/office/excel/2006/main">
          <x14:cfRule type="expression" priority="965" id="{88EC0DD8-49DE-4843-B4E9-E16017E2A80A}">
            <xm:f>AND('Cover Sheet'!$E$29=0, AA$4=0, AB$4=0)</xm:f>
            <x14:dxf>
              <fill>
                <patternFill>
                  <bgColor theme="0" tint="-0.14996795556505021"/>
                </patternFill>
              </fill>
            </x14:dxf>
          </x14:cfRule>
          <xm:sqref>AA139:AL139</xm:sqref>
        </x14:conditionalFormatting>
        <x14:conditionalFormatting xmlns:xm="http://schemas.microsoft.com/office/excel/2006/main">
          <x14:cfRule type="expression" priority="964" id="{9F40B105-EFB2-4178-82DC-4C20786CD1CB}">
            <xm:f>AND('Cover Sheet'!$E$29=0, AA$4=0, AB$4=0)</xm:f>
            <x14:dxf>
              <fill>
                <patternFill>
                  <bgColor theme="0" tint="-0.14996795556505021"/>
                </patternFill>
              </fill>
            </x14:dxf>
          </x14:cfRule>
          <xm:sqref>AA139:AL139</xm:sqref>
        </x14:conditionalFormatting>
        <x14:conditionalFormatting xmlns:xm="http://schemas.microsoft.com/office/excel/2006/main">
          <x14:cfRule type="expression" priority="963" id="{7DDA6AC9-5EAC-46EE-BAE7-04E18160E407}">
            <xm:f>AND('Cover Sheet'!$E$29=0, AA$4=0, AB$4=0)</xm:f>
            <x14:dxf>
              <fill>
                <patternFill>
                  <bgColor theme="0" tint="-0.14996795556505021"/>
                </patternFill>
              </fill>
            </x14:dxf>
          </x14:cfRule>
          <xm:sqref>AA139:AL139</xm:sqref>
        </x14:conditionalFormatting>
        <x14:conditionalFormatting xmlns:xm="http://schemas.microsoft.com/office/excel/2006/main">
          <x14:cfRule type="expression" priority="962" id="{72064C61-CE32-4E4E-8102-DE065A8D1FB1}">
            <xm:f>AND('Cover Sheet'!$E$29=0, AA$4=0, AB$4=0)</xm:f>
            <x14:dxf>
              <fill>
                <patternFill>
                  <bgColor theme="0"/>
                </patternFill>
              </fill>
            </x14:dxf>
          </x14:cfRule>
          <xm:sqref>AA139:AL139</xm:sqref>
        </x14:conditionalFormatting>
        <x14:conditionalFormatting xmlns:xm="http://schemas.microsoft.com/office/excel/2006/main">
          <x14:cfRule type="expression" priority="960" id="{837CABF3-085D-462A-8B76-4AB7DE262F60}">
            <xm:f>AND('Cover Sheet'!$E$29=0, AA$4=0, AB$4=0)</xm:f>
            <x14:dxf>
              <fill>
                <patternFill>
                  <bgColor theme="0" tint="-0.14996795556505021"/>
                </patternFill>
              </fill>
            </x14:dxf>
          </x14:cfRule>
          <xm:sqref>AA140:AL140</xm:sqref>
        </x14:conditionalFormatting>
        <x14:conditionalFormatting xmlns:xm="http://schemas.microsoft.com/office/excel/2006/main">
          <x14:cfRule type="expression" priority="959" id="{B5F314DF-65EB-46EC-B84B-CA06CF152135}">
            <xm:f>AND('Cover Sheet'!$E$29=0, AA$4=0, AB$4=0)</xm:f>
            <x14:dxf>
              <fill>
                <patternFill>
                  <bgColor theme="0" tint="-0.14996795556505021"/>
                </patternFill>
              </fill>
            </x14:dxf>
          </x14:cfRule>
          <xm:sqref>AA140:AL140</xm:sqref>
        </x14:conditionalFormatting>
        <x14:conditionalFormatting xmlns:xm="http://schemas.microsoft.com/office/excel/2006/main">
          <x14:cfRule type="expression" priority="958" id="{C446B35B-5C82-49D2-9644-09C41C4A3F9B}">
            <xm:f>AND('Cover Sheet'!$E$29=0, AA$4=0, AB$4=0)</xm:f>
            <x14:dxf>
              <fill>
                <patternFill>
                  <bgColor theme="0" tint="-0.14996795556505021"/>
                </patternFill>
              </fill>
            </x14:dxf>
          </x14:cfRule>
          <xm:sqref>AA140:AL140</xm:sqref>
        </x14:conditionalFormatting>
        <x14:conditionalFormatting xmlns:xm="http://schemas.microsoft.com/office/excel/2006/main">
          <x14:cfRule type="expression" priority="957" id="{4BAC3973-8CC4-471F-86EB-A942DE2BC960}">
            <xm:f>AND('Cover Sheet'!$E$29=0, AA$4=0, AB$4=0)</xm:f>
            <x14:dxf>
              <fill>
                <patternFill>
                  <bgColor theme="0" tint="-0.14996795556505021"/>
                </patternFill>
              </fill>
            </x14:dxf>
          </x14:cfRule>
          <xm:sqref>AA140:AL140</xm:sqref>
        </x14:conditionalFormatting>
        <x14:conditionalFormatting xmlns:xm="http://schemas.microsoft.com/office/excel/2006/main">
          <x14:cfRule type="expression" priority="956" id="{DBB04554-0490-4588-858E-304CC56B153A}">
            <xm:f>AND('Cover Sheet'!$E$29=0, AA$4=0, AB$4=0)</xm:f>
            <x14:dxf>
              <fill>
                <patternFill>
                  <bgColor theme="0" tint="-0.14996795556505021"/>
                </patternFill>
              </fill>
            </x14:dxf>
          </x14:cfRule>
          <xm:sqref>AA140:AL140</xm:sqref>
        </x14:conditionalFormatting>
        <x14:conditionalFormatting xmlns:xm="http://schemas.microsoft.com/office/excel/2006/main">
          <x14:cfRule type="expression" priority="955" id="{2CA7ACF1-5A53-4137-AF7F-3D5D526312E8}">
            <xm:f>AND('Cover Sheet'!$E$29=0, AA$4=0, AB$4=0)</xm:f>
            <x14:dxf>
              <fill>
                <patternFill>
                  <bgColor theme="0"/>
                </patternFill>
              </fill>
            </x14:dxf>
          </x14:cfRule>
          <xm:sqref>AA140:AL140</xm:sqref>
        </x14:conditionalFormatting>
        <x14:conditionalFormatting xmlns:xm="http://schemas.microsoft.com/office/excel/2006/main">
          <x14:cfRule type="expression" priority="953" id="{6A6D35C0-6EB1-4399-B1BB-6D86260CD764}">
            <xm:f>AND('Cover Sheet'!$E$29=0, AA$4=0, AB$4=0)</xm:f>
            <x14:dxf>
              <fill>
                <patternFill>
                  <bgColor theme="0" tint="-0.14996795556505021"/>
                </patternFill>
              </fill>
            </x14:dxf>
          </x14:cfRule>
          <xm:sqref>AA141:AL141</xm:sqref>
        </x14:conditionalFormatting>
        <x14:conditionalFormatting xmlns:xm="http://schemas.microsoft.com/office/excel/2006/main">
          <x14:cfRule type="expression" priority="952" id="{1ACC0E8C-452C-42EE-B785-F406FF01F240}">
            <xm:f>AND('Cover Sheet'!$E$29=0, AA$4=0, AB$4=0)</xm:f>
            <x14:dxf>
              <fill>
                <patternFill>
                  <bgColor theme="0" tint="-0.14996795556505021"/>
                </patternFill>
              </fill>
            </x14:dxf>
          </x14:cfRule>
          <xm:sqref>AA141:AL141</xm:sqref>
        </x14:conditionalFormatting>
        <x14:conditionalFormatting xmlns:xm="http://schemas.microsoft.com/office/excel/2006/main">
          <x14:cfRule type="expression" priority="951" id="{60886D96-D7F4-4AE9-9D2F-52886D4E5436}">
            <xm:f>AND('Cover Sheet'!$E$29=0, AA$4=0, AB$4=0)</xm:f>
            <x14:dxf>
              <fill>
                <patternFill>
                  <bgColor theme="0" tint="-0.14996795556505021"/>
                </patternFill>
              </fill>
            </x14:dxf>
          </x14:cfRule>
          <xm:sqref>AA141:AL141</xm:sqref>
        </x14:conditionalFormatting>
        <x14:conditionalFormatting xmlns:xm="http://schemas.microsoft.com/office/excel/2006/main">
          <x14:cfRule type="expression" priority="950" id="{8C39B398-DD24-4C28-A5BB-7653C08E0FBD}">
            <xm:f>AND('Cover Sheet'!$E$29=0, AA$4=0, AB$4=0)</xm:f>
            <x14:dxf>
              <fill>
                <patternFill>
                  <bgColor theme="0" tint="-0.14996795556505021"/>
                </patternFill>
              </fill>
            </x14:dxf>
          </x14:cfRule>
          <xm:sqref>AA141:AL141</xm:sqref>
        </x14:conditionalFormatting>
        <x14:conditionalFormatting xmlns:xm="http://schemas.microsoft.com/office/excel/2006/main">
          <x14:cfRule type="expression" priority="949" id="{0626BDB0-967E-417D-9324-111261CB65E7}">
            <xm:f>AND('Cover Sheet'!$E$29=0, AA$4=0, AB$4=0)</xm:f>
            <x14:dxf>
              <fill>
                <patternFill>
                  <bgColor theme="0" tint="-0.14996795556505021"/>
                </patternFill>
              </fill>
            </x14:dxf>
          </x14:cfRule>
          <xm:sqref>AA141:AL141</xm:sqref>
        </x14:conditionalFormatting>
        <x14:conditionalFormatting xmlns:xm="http://schemas.microsoft.com/office/excel/2006/main">
          <x14:cfRule type="expression" priority="948" id="{E8178610-B9D5-46BA-96BC-6C4E39C57094}">
            <xm:f>AND('Cover Sheet'!$E$29=0, AA$4=0, AB$4=0)</xm:f>
            <x14:dxf>
              <fill>
                <patternFill>
                  <bgColor theme="0"/>
                </patternFill>
              </fill>
            </x14:dxf>
          </x14:cfRule>
          <xm:sqref>AA141:AL141</xm:sqref>
        </x14:conditionalFormatting>
        <x14:conditionalFormatting xmlns:xm="http://schemas.microsoft.com/office/excel/2006/main">
          <x14:cfRule type="expression" priority="946" id="{9C09F8EB-A667-4E5D-B8FF-35AE6CC166B1}">
            <xm:f>AND('Cover Sheet'!$E$29=0, AA$4=0, AB$4=0)</xm:f>
            <x14:dxf>
              <fill>
                <patternFill>
                  <bgColor theme="0" tint="-0.14996795556505021"/>
                </patternFill>
              </fill>
            </x14:dxf>
          </x14:cfRule>
          <xm:sqref>AA142:AL142</xm:sqref>
        </x14:conditionalFormatting>
        <x14:conditionalFormatting xmlns:xm="http://schemas.microsoft.com/office/excel/2006/main">
          <x14:cfRule type="expression" priority="945" id="{18A8CA52-93D6-4804-9B02-26FFB70CCC93}">
            <xm:f>AND('Cover Sheet'!$E$29=0, AA$4=0, AB$4=0)</xm:f>
            <x14:dxf>
              <fill>
                <patternFill>
                  <bgColor theme="0" tint="-0.14996795556505021"/>
                </patternFill>
              </fill>
            </x14:dxf>
          </x14:cfRule>
          <xm:sqref>AA142:AL142</xm:sqref>
        </x14:conditionalFormatting>
        <x14:conditionalFormatting xmlns:xm="http://schemas.microsoft.com/office/excel/2006/main">
          <x14:cfRule type="expression" priority="944" id="{E8E53118-82CD-4760-A277-1A4F6E7008BB}">
            <xm:f>AND('Cover Sheet'!$E$29=0, AA$4=0, AB$4=0)</xm:f>
            <x14:dxf>
              <fill>
                <patternFill>
                  <bgColor theme="0" tint="-0.14996795556505021"/>
                </patternFill>
              </fill>
            </x14:dxf>
          </x14:cfRule>
          <xm:sqref>AA142:AL142</xm:sqref>
        </x14:conditionalFormatting>
        <x14:conditionalFormatting xmlns:xm="http://schemas.microsoft.com/office/excel/2006/main">
          <x14:cfRule type="expression" priority="943" id="{4BBC0CF5-25B1-4F97-B81C-476FCAFB2697}">
            <xm:f>AND('Cover Sheet'!$E$29=0, AA$4=0, AB$4=0)</xm:f>
            <x14:dxf>
              <fill>
                <patternFill>
                  <bgColor theme="0" tint="-0.14996795556505021"/>
                </patternFill>
              </fill>
            </x14:dxf>
          </x14:cfRule>
          <xm:sqref>AA142:AL142</xm:sqref>
        </x14:conditionalFormatting>
        <x14:conditionalFormatting xmlns:xm="http://schemas.microsoft.com/office/excel/2006/main">
          <x14:cfRule type="expression" priority="942" id="{A6826617-CB35-4B60-883E-FC53CE271D67}">
            <xm:f>AND('Cover Sheet'!$E$29=0, AA$4=0, AB$4=0)</xm:f>
            <x14:dxf>
              <fill>
                <patternFill>
                  <bgColor theme="0" tint="-0.14996795556505021"/>
                </patternFill>
              </fill>
            </x14:dxf>
          </x14:cfRule>
          <xm:sqref>AA142:AL142</xm:sqref>
        </x14:conditionalFormatting>
        <x14:conditionalFormatting xmlns:xm="http://schemas.microsoft.com/office/excel/2006/main">
          <x14:cfRule type="expression" priority="941" id="{4EC81D45-A572-4EAA-99BD-84F63DAF5F55}">
            <xm:f>AND('Cover Sheet'!$E$29=0, AA$4=0, AB$4=0)</xm:f>
            <x14:dxf>
              <fill>
                <patternFill>
                  <bgColor theme="0"/>
                </patternFill>
              </fill>
            </x14:dxf>
          </x14:cfRule>
          <xm:sqref>AA142:AL142</xm:sqref>
        </x14:conditionalFormatting>
        <x14:conditionalFormatting xmlns:xm="http://schemas.microsoft.com/office/excel/2006/main">
          <x14:cfRule type="expression" priority="939" id="{08A8F3B4-F3AE-4AD4-A7BE-BEAB150166BE}">
            <xm:f>AND('Cover Sheet'!$E$29=0, AA$4=0, AB$4=0)</xm:f>
            <x14:dxf>
              <fill>
                <patternFill>
                  <bgColor theme="0" tint="-0.14996795556505021"/>
                </patternFill>
              </fill>
            </x14:dxf>
          </x14:cfRule>
          <xm:sqref>AA143:AL143</xm:sqref>
        </x14:conditionalFormatting>
        <x14:conditionalFormatting xmlns:xm="http://schemas.microsoft.com/office/excel/2006/main">
          <x14:cfRule type="expression" priority="938" id="{AC787DEB-43D0-4E13-8DC9-30084EEE05C6}">
            <xm:f>AND('Cover Sheet'!$E$29=0, AA$4=0, AB$4=0)</xm:f>
            <x14:dxf>
              <fill>
                <patternFill>
                  <bgColor theme="0" tint="-0.14996795556505021"/>
                </patternFill>
              </fill>
            </x14:dxf>
          </x14:cfRule>
          <xm:sqref>AA143:AL143</xm:sqref>
        </x14:conditionalFormatting>
        <x14:conditionalFormatting xmlns:xm="http://schemas.microsoft.com/office/excel/2006/main">
          <x14:cfRule type="expression" priority="937" id="{C0FB6383-EBAE-4007-95F9-8845AFA6E8D2}">
            <xm:f>AND('Cover Sheet'!$E$29=0, AA$4=0, AB$4=0)</xm:f>
            <x14:dxf>
              <fill>
                <patternFill>
                  <bgColor theme="0" tint="-0.14996795556505021"/>
                </patternFill>
              </fill>
            </x14:dxf>
          </x14:cfRule>
          <xm:sqref>AA143:AL143</xm:sqref>
        </x14:conditionalFormatting>
        <x14:conditionalFormatting xmlns:xm="http://schemas.microsoft.com/office/excel/2006/main">
          <x14:cfRule type="expression" priority="936" id="{7BB50EF1-E3A9-4EB9-8305-DFCE2093DA48}">
            <xm:f>AND('Cover Sheet'!$E$29=0, AA$4=0, AB$4=0)</xm:f>
            <x14:dxf>
              <fill>
                <patternFill>
                  <bgColor theme="0" tint="-0.14996795556505021"/>
                </patternFill>
              </fill>
            </x14:dxf>
          </x14:cfRule>
          <xm:sqref>AA143:AL143</xm:sqref>
        </x14:conditionalFormatting>
        <x14:conditionalFormatting xmlns:xm="http://schemas.microsoft.com/office/excel/2006/main">
          <x14:cfRule type="expression" priority="935" id="{51A7781A-9813-4260-AE17-71488486ACFC}">
            <xm:f>AND('Cover Sheet'!$E$29=0, AA$4=0, AB$4=0)</xm:f>
            <x14:dxf>
              <fill>
                <patternFill>
                  <bgColor theme="0" tint="-0.14996795556505021"/>
                </patternFill>
              </fill>
            </x14:dxf>
          </x14:cfRule>
          <xm:sqref>AA143:AL143</xm:sqref>
        </x14:conditionalFormatting>
        <x14:conditionalFormatting xmlns:xm="http://schemas.microsoft.com/office/excel/2006/main">
          <x14:cfRule type="expression" priority="934" id="{CFA92E3C-313A-4E5C-8C0F-9A126337473A}">
            <xm:f>AND('Cover Sheet'!$E$29=0, AA$4=0, AB$4=0)</xm:f>
            <x14:dxf>
              <fill>
                <patternFill>
                  <bgColor theme="0"/>
                </patternFill>
              </fill>
            </x14:dxf>
          </x14:cfRule>
          <xm:sqref>AA143:AL143</xm:sqref>
        </x14:conditionalFormatting>
        <x14:conditionalFormatting xmlns:xm="http://schemas.microsoft.com/office/excel/2006/main">
          <x14:cfRule type="expression" priority="932" id="{25F0821F-995E-41E4-8993-0D11E929916F}">
            <xm:f>AND('Cover Sheet'!$E$29=0, AA$4=0, AB$4=0)</xm:f>
            <x14:dxf>
              <fill>
                <patternFill>
                  <bgColor theme="0" tint="-0.14996795556505021"/>
                </patternFill>
              </fill>
            </x14:dxf>
          </x14:cfRule>
          <xm:sqref>AA144:AX144</xm:sqref>
        </x14:conditionalFormatting>
        <x14:conditionalFormatting xmlns:xm="http://schemas.microsoft.com/office/excel/2006/main">
          <x14:cfRule type="expression" priority="931" id="{257C9836-F589-428E-BE05-9021702587E4}">
            <xm:f>AND('Cover Sheet'!$E$29=0, AA$4=0, AB$4=0)</xm:f>
            <x14:dxf>
              <fill>
                <patternFill>
                  <bgColor theme="0" tint="-0.14996795556505021"/>
                </patternFill>
              </fill>
            </x14:dxf>
          </x14:cfRule>
          <xm:sqref>AA144:AX144</xm:sqref>
        </x14:conditionalFormatting>
        <x14:conditionalFormatting xmlns:xm="http://schemas.microsoft.com/office/excel/2006/main">
          <x14:cfRule type="expression" priority="930" id="{C6EFA685-12AA-469C-A853-31FC4230A636}">
            <xm:f>AND('Cover Sheet'!$E$29=0, AA$4=0, AB$4=0)</xm:f>
            <x14:dxf>
              <fill>
                <patternFill>
                  <bgColor theme="0" tint="-0.14996795556505021"/>
                </patternFill>
              </fill>
            </x14:dxf>
          </x14:cfRule>
          <xm:sqref>AA144:AX144</xm:sqref>
        </x14:conditionalFormatting>
        <x14:conditionalFormatting xmlns:xm="http://schemas.microsoft.com/office/excel/2006/main">
          <x14:cfRule type="expression" priority="929" id="{DA5B0A45-130F-449A-846F-BBDDBBF3A20E}">
            <xm:f>AND('Cover Sheet'!$E$29=0, AA$4=0, AB$4=0)</xm:f>
            <x14:dxf>
              <fill>
                <patternFill>
                  <bgColor theme="0" tint="-0.14996795556505021"/>
                </patternFill>
              </fill>
            </x14:dxf>
          </x14:cfRule>
          <xm:sqref>AA144:AX144</xm:sqref>
        </x14:conditionalFormatting>
        <x14:conditionalFormatting xmlns:xm="http://schemas.microsoft.com/office/excel/2006/main">
          <x14:cfRule type="expression" priority="928" id="{66F4A316-F983-4C90-9943-68523CD28FE6}">
            <xm:f>AND('Cover Sheet'!$E$29=0, AA$4=0, AB$4=0)</xm:f>
            <x14:dxf>
              <fill>
                <patternFill>
                  <bgColor theme="0" tint="-0.14996795556505021"/>
                </patternFill>
              </fill>
            </x14:dxf>
          </x14:cfRule>
          <xm:sqref>AA144:AX144</xm:sqref>
        </x14:conditionalFormatting>
        <x14:conditionalFormatting xmlns:xm="http://schemas.microsoft.com/office/excel/2006/main">
          <x14:cfRule type="expression" priority="927" id="{173C8562-5703-44EC-81A0-607CD6E349C2}">
            <xm:f>AND('Cover Sheet'!$E$29=0, AA$4=0, AB$4=0)</xm:f>
            <x14:dxf>
              <fill>
                <patternFill>
                  <bgColor theme="0"/>
                </patternFill>
              </fill>
            </x14:dxf>
          </x14:cfRule>
          <xm:sqref>AA144:AX144</xm:sqref>
        </x14:conditionalFormatting>
        <x14:conditionalFormatting xmlns:xm="http://schemas.microsoft.com/office/excel/2006/main">
          <x14:cfRule type="expression" priority="925" id="{9F557191-7D37-4628-A6FC-110C20E4FDB8}">
            <xm:f>AND('Cover Sheet'!$E$29=0, AA$4=0, AB$4=0)</xm:f>
            <x14:dxf>
              <fill>
                <patternFill>
                  <bgColor theme="0" tint="-0.14996795556505021"/>
                </patternFill>
              </fill>
            </x14:dxf>
          </x14:cfRule>
          <xm:sqref>AA145:AX145</xm:sqref>
        </x14:conditionalFormatting>
        <x14:conditionalFormatting xmlns:xm="http://schemas.microsoft.com/office/excel/2006/main">
          <x14:cfRule type="expression" priority="924" id="{DE1CC896-6AC1-4391-983A-3AD44200536E}">
            <xm:f>AND('Cover Sheet'!$E$29=0, AA$4=0, AB$4=0)</xm:f>
            <x14:dxf>
              <fill>
                <patternFill>
                  <bgColor theme="0" tint="-0.14996795556505021"/>
                </patternFill>
              </fill>
            </x14:dxf>
          </x14:cfRule>
          <xm:sqref>AA145:AX145</xm:sqref>
        </x14:conditionalFormatting>
        <x14:conditionalFormatting xmlns:xm="http://schemas.microsoft.com/office/excel/2006/main">
          <x14:cfRule type="expression" priority="923" id="{E52E69DC-3C8D-44B5-90FE-1E42E7161DCC}">
            <xm:f>AND('Cover Sheet'!$E$29=0, AA$4=0, AB$4=0)</xm:f>
            <x14:dxf>
              <fill>
                <patternFill>
                  <bgColor theme="0" tint="-0.14996795556505021"/>
                </patternFill>
              </fill>
            </x14:dxf>
          </x14:cfRule>
          <xm:sqref>AA145:AX145</xm:sqref>
        </x14:conditionalFormatting>
        <x14:conditionalFormatting xmlns:xm="http://schemas.microsoft.com/office/excel/2006/main">
          <x14:cfRule type="expression" priority="922" id="{C3CCB778-385E-470C-A1BA-A4EA8D15400D}">
            <xm:f>AND('Cover Sheet'!$E$29=0, AA$4=0, AB$4=0)</xm:f>
            <x14:dxf>
              <fill>
                <patternFill>
                  <bgColor theme="0" tint="-0.14996795556505021"/>
                </patternFill>
              </fill>
            </x14:dxf>
          </x14:cfRule>
          <xm:sqref>AA145:AX145</xm:sqref>
        </x14:conditionalFormatting>
        <x14:conditionalFormatting xmlns:xm="http://schemas.microsoft.com/office/excel/2006/main">
          <x14:cfRule type="expression" priority="921" id="{E90DDF8E-F350-4142-9B73-CB90100A7ADD}">
            <xm:f>AND('Cover Sheet'!$E$29=0, AA$4=0, AB$4=0)</xm:f>
            <x14:dxf>
              <fill>
                <patternFill>
                  <bgColor theme="0" tint="-0.14996795556505021"/>
                </patternFill>
              </fill>
            </x14:dxf>
          </x14:cfRule>
          <xm:sqref>AA145:AX145</xm:sqref>
        </x14:conditionalFormatting>
        <x14:conditionalFormatting xmlns:xm="http://schemas.microsoft.com/office/excel/2006/main">
          <x14:cfRule type="expression" priority="920" id="{B82F49CD-1CE1-4C09-94DD-1C857FA73B50}">
            <xm:f>AND('Cover Sheet'!$E$29=0, AA$4=0, AB$4=0)</xm:f>
            <x14:dxf>
              <fill>
                <patternFill>
                  <bgColor theme="0"/>
                </patternFill>
              </fill>
            </x14:dxf>
          </x14:cfRule>
          <xm:sqref>AA145:AX145</xm:sqref>
        </x14:conditionalFormatting>
        <x14:conditionalFormatting xmlns:xm="http://schemas.microsoft.com/office/excel/2006/main">
          <x14:cfRule type="expression" priority="918" id="{8E17B917-750C-464B-842E-EBC0AFA154E1}">
            <xm:f>AND('Cover Sheet'!$E$29=0, AA$4=0, AB$4=0)</xm:f>
            <x14:dxf>
              <fill>
                <patternFill>
                  <bgColor theme="0" tint="-0.14996795556505021"/>
                </patternFill>
              </fill>
            </x14:dxf>
          </x14:cfRule>
          <xm:sqref>AA146:AX146</xm:sqref>
        </x14:conditionalFormatting>
        <x14:conditionalFormatting xmlns:xm="http://schemas.microsoft.com/office/excel/2006/main">
          <x14:cfRule type="expression" priority="917" id="{FD0C353B-C047-416F-B17C-A21B58EE2E56}">
            <xm:f>AND('Cover Sheet'!$E$29=0, AA$4=0, AB$4=0)</xm:f>
            <x14:dxf>
              <fill>
                <patternFill>
                  <bgColor theme="0" tint="-0.14996795556505021"/>
                </patternFill>
              </fill>
            </x14:dxf>
          </x14:cfRule>
          <xm:sqref>AA146:AX146</xm:sqref>
        </x14:conditionalFormatting>
        <x14:conditionalFormatting xmlns:xm="http://schemas.microsoft.com/office/excel/2006/main">
          <x14:cfRule type="expression" priority="916" id="{8B7111CD-395C-47DB-A8AC-97E365D7C32B}">
            <xm:f>AND('Cover Sheet'!$E$29=0, AA$4=0, AB$4=0)</xm:f>
            <x14:dxf>
              <fill>
                <patternFill>
                  <bgColor theme="0" tint="-0.14996795556505021"/>
                </patternFill>
              </fill>
            </x14:dxf>
          </x14:cfRule>
          <xm:sqref>AA146:AX146</xm:sqref>
        </x14:conditionalFormatting>
        <x14:conditionalFormatting xmlns:xm="http://schemas.microsoft.com/office/excel/2006/main">
          <x14:cfRule type="expression" priority="915" id="{2C367655-715F-4250-99F1-8DE42807FCC9}">
            <xm:f>AND('Cover Sheet'!$E$29=0, AA$4=0, AB$4=0)</xm:f>
            <x14:dxf>
              <fill>
                <patternFill>
                  <bgColor theme="0" tint="-0.14996795556505021"/>
                </patternFill>
              </fill>
            </x14:dxf>
          </x14:cfRule>
          <xm:sqref>AA146:AX146</xm:sqref>
        </x14:conditionalFormatting>
        <x14:conditionalFormatting xmlns:xm="http://schemas.microsoft.com/office/excel/2006/main">
          <x14:cfRule type="expression" priority="914" id="{222325DF-6B58-4C6A-AFC6-6E5289DA7B38}">
            <xm:f>AND('Cover Sheet'!$E$29=0, AA$4=0, AB$4=0)</xm:f>
            <x14:dxf>
              <fill>
                <patternFill>
                  <bgColor theme="0" tint="-0.14996795556505021"/>
                </patternFill>
              </fill>
            </x14:dxf>
          </x14:cfRule>
          <xm:sqref>AA146:AX146</xm:sqref>
        </x14:conditionalFormatting>
        <x14:conditionalFormatting xmlns:xm="http://schemas.microsoft.com/office/excel/2006/main">
          <x14:cfRule type="expression" priority="913" id="{02E8206E-5146-4C4B-8E54-BF980E404F25}">
            <xm:f>AND('Cover Sheet'!$E$29=0, AA$4=0, AB$4=0)</xm:f>
            <x14:dxf>
              <fill>
                <patternFill>
                  <bgColor theme="0"/>
                </patternFill>
              </fill>
            </x14:dxf>
          </x14:cfRule>
          <xm:sqref>AA146:AX146</xm:sqref>
        </x14:conditionalFormatting>
        <x14:conditionalFormatting xmlns:xm="http://schemas.microsoft.com/office/excel/2006/main">
          <x14:cfRule type="expression" priority="911" id="{5C056CB1-3FB9-4871-B1AC-5DD7B55B9932}">
            <xm:f>AND('Cover Sheet'!$E$29=0, AA$4=0, AB$4=0)</xm:f>
            <x14:dxf>
              <fill>
                <patternFill>
                  <bgColor theme="0" tint="-0.14996795556505021"/>
                </patternFill>
              </fill>
            </x14:dxf>
          </x14:cfRule>
          <xm:sqref>AA154:BJ154</xm:sqref>
        </x14:conditionalFormatting>
        <x14:conditionalFormatting xmlns:xm="http://schemas.microsoft.com/office/excel/2006/main">
          <x14:cfRule type="expression" priority="910" id="{4DCDA516-5D45-4846-B3EB-160A66CE2C46}">
            <xm:f>AND('Cover Sheet'!$E$29=0, AA$4=0, AB$4=0)</xm:f>
            <x14:dxf>
              <fill>
                <patternFill>
                  <bgColor theme="0" tint="-0.14996795556505021"/>
                </patternFill>
              </fill>
            </x14:dxf>
          </x14:cfRule>
          <xm:sqref>AA154:BJ154</xm:sqref>
        </x14:conditionalFormatting>
        <x14:conditionalFormatting xmlns:xm="http://schemas.microsoft.com/office/excel/2006/main">
          <x14:cfRule type="expression" priority="909" id="{0FBF2B4F-2C48-403F-9966-343F0E380796}">
            <xm:f>AND('Cover Sheet'!$E$29=0, AA$4=0, AB$4=0)</xm:f>
            <x14:dxf>
              <fill>
                <patternFill>
                  <bgColor theme="0" tint="-0.14996795556505021"/>
                </patternFill>
              </fill>
            </x14:dxf>
          </x14:cfRule>
          <xm:sqref>AA154:BJ154</xm:sqref>
        </x14:conditionalFormatting>
        <x14:conditionalFormatting xmlns:xm="http://schemas.microsoft.com/office/excel/2006/main">
          <x14:cfRule type="expression" priority="908" id="{3412CF03-4C64-4967-8A0B-52263F025CFB}">
            <xm:f>AND('Cover Sheet'!$E$29=0, AA$4=0, AB$4=0)</xm:f>
            <x14:dxf>
              <fill>
                <patternFill>
                  <bgColor theme="0" tint="-0.14996795556505021"/>
                </patternFill>
              </fill>
            </x14:dxf>
          </x14:cfRule>
          <xm:sqref>AA154:BJ154</xm:sqref>
        </x14:conditionalFormatting>
        <x14:conditionalFormatting xmlns:xm="http://schemas.microsoft.com/office/excel/2006/main">
          <x14:cfRule type="expression" priority="907" id="{E8C1CF68-74F4-4BE8-AB35-F0CEFCB2A9E5}">
            <xm:f>AND('Cover Sheet'!$E$29=0, AA$4=0, AB$4=0)</xm:f>
            <x14:dxf>
              <fill>
                <patternFill>
                  <bgColor theme="0" tint="-0.14996795556505021"/>
                </patternFill>
              </fill>
            </x14:dxf>
          </x14:cfRule>
          <xm:sqref>AA154:BJ154</xm:sqref>
        </x14:conditionalFormatting>
        <x14:conditionalFormatting xmlns:xm="http://schemas.microsoft.com/office/excel/2006/main">
          <x14:cfRule type="expression" priority="906" id="{B14238B2-1AE3-4560-BE80-14629E5CDF9F}">
            <xm:f>AND('Cover Sheet'!$E$29=0, AA$4=0, AB$4=0)</xm:f>
            <x14:dxf>
              <fill>
                <patternFill>
                  <bgColor theme="0"/>
                </patternFill>
              </fill>
            </x14:dxf>
          </x14:cfRule>
          <xm:sqref>AA154:BJ154</xm:sqref>
        </x14:conditionalFormatting>
        <x14:conditionalFormatting xmlns:xm="http://schemas.microsoft.com/office/excel/2006/main">
          <x14:cfRule type="expression" priority="897" id="{E9EBCCFE-4BB3-46A7-AEF0-6DA4C1D8E282}">
            <xm:f>AND('Cover Sheet'!$E$29=0, AA$4=0, AB$4=0)</xm:f>
            <x14:dxf>
              <fill>
                <patternFill>
                  <bgColor theme="0" tint="-0.14996795556505021"/>
                </patternFill>
              </fill>
            </x14:dxf>
          </x14:cfRule>
          <xm:sqref>AA169:BJ169</xm:sqref>
        </x14:conditionalFormatting>
        <x14:conditionalFormatting xmlns:xm="http://schemas.microsoft.com/office/excel/2006/main">
          <x14:cfRule type="expression" priority="896" id="{98E77747-8C41-4E11-90DE-0C2196326E8E}">
            <xm:f>AND('Cover Sheet'!$E$29=0, AA$4=0, AB$4=0)</xm:f>
            <x14:dxf>
              <fill>
                <patternFill>
                  <bgColor theme="0" tint="-0.14996795556505021"/>
                </patternFill>
              </fill>
            </x14:dxf>
          </x14:cfRule>
          <xm:sqref>AA169:BJ169</xm:sqref>
        </x14:conditionalFormatting>
        <x14:conditionalFormatting xmlns:xm="http://schemas.microsoft.com/office/excel/2006/main">
          <x14:cfRule type="expression" priority="895" id="{3555DC5A-7BB6-4C6A-A3ED-30F31016AF94}">
            <xm:f>AND('Cover Sheet'!$E$29=0, AA$4=0, AB$4=0)</xm:f>
            <x14:dxf>
              <fill>
                <patternFill>
                  <bgColor theme="0" tint="-0.14996795556505021"/>
                </patternFill>
              </fill>
            </x14:dxf>
          </x14:cfRule>
          <xm:sqref>AA169:BJ169</xm:sqref>
        </x14:conditionalFormatting>
        <x14:conditionalFormatting xmlns:xm="http://schemas.microsoft.com/office/excel/2006/main">
          <x14:cfRule type="expression" priority="894" id="{518B2BCE-6F9F-4415-88DF-8F9BA989A445}">
            <xm:f>AND('Cover Sheet'!$E$29=0, AA$4=0, AB$4=0)</xm:f>
            <x14:dxf>
              <fill>
                <patternFill>
                  <bgColor theme="0" tint="-0.14996795556505021"/>
                </patternFill>
              </fill>
            </x14:dxf>
          </x14:cfRule>
          <xm:sqref>AA169:BJ169</xm:sqref>
        </x14:conditionalFormatting>
        <x14:conditionalFormatting xmlns:xm="http://schemas.microsoft.com/office/excel/2006/main">
          <x14:cfRule type="expression" priority="893" id="{3519EB0B-8EA7-4741-9F18-8E7604D2FC2D}">
            <xm:f>AND('Cover Sheet'!$E$29=0, AA$4=0, AB$4=0)</xm:f>
            <x14:dxf>
              <fill>
                <patternFill>
                  <bgColor theme="0" tint="-0.14996795556505021"/>
                </patternFill>
              </fill>
            </x14:dxf>
          </x14:cfRule>
          <xm:sqref>AA169:BJ169</xm:sqref>
        </x14:conditionalFormatting>
        <x14:conditionalFormatting xmlns:xm="http://schemas.microsoft.com/office/excel/2006/main">
          <x14:cfRule type="expression" priority="892" id="{17D742DA-7466-48BC-9917-148953646715}">
            <xm:f>AND('Cover Sheet'!$E$29=0, AA$4=0, AB$4=0)</xm:f>
            <x14:dxf>
              <fill>
                <patternFill>
                  <bgColor theme="0"/>
                </patternFill>
              </fill>
            </x14:dxf>
          </x14:cfRule>
          <xm:sqref>AA169:BJ169</xm:sqref>
        </x14:conditionalFormatting>
        <x14:conditionalFormatting xmlns:xm="http://schemas.microsoft.com/office/excel/2006/main">
          <x14:cfRule type="expression" priority="890" id="{4E3B178B-553B-4BA4-A1FB-4D54F953FD40}">
            <xm:f>AND('Cover Sheet'!$E$29=0, AA$4=0, AB$4=0)</xm:f>
            <x14:dxf>
              <fill>
                <patternFill>
                  <bgColor theme="0" tint="-0.14996795556505021"/>
                </patternFill>
              </fill>
            </x14:dxf>
          </x14:cfRule>
          <xm:sqref>AA172:BJ172</xm:sqref>
        </x14:conditionalFormatting>
        <x14:conditionalFormatting xmlns:xm="http://schemas.microsoft.com/office/excel/2006/main">
          <x14:cfRule type="expression" priority="889" id="{16894AF7-03F7-479A-8251-D89D6566548C}">
            <xm:f>AND('Cover Sheet'!$E$29=0, AA$4=0, AB$4=0)</xm:f>
            <x14:dxf>
              <fill>
                <patternFill>
                  <bgColor theme="0" tint="-0.14996795556505021"/>
                </patternFill>
              </fill>
            </x14:dxf>
          </x14:cfRule>
          <xm:sqref>AA172:BJ172</xm:sqref>
        </x14:conditionalFormatting>
        <x14:conditionalFormatting xmlns:xm="http://schemas.microsoft.com/office/excel/2006/main">
          <x14:cfRule type="expression" priority="888" id="{6FE54D8A-0259-4EEE-BA09-6A71E3A3C767}">
            <xm:f>AND('Cover Sheet'!$E$29=0, AA$4=0, AB$4=0)</xm:f>
            <x14:dxf>
              <fill>
                <patternFill>
                  <bgColor theme="0" tint="-0.14996795556505021"/>
                </patternFill>
              </fill>
            </x14:dxf>
          </x14:cfRule>
          <xm:sqref>AA172:BJ172</xm:sqref>
        </x14:conditionalFormatting>
        <x14:conditionalFormatting xmlns:xm="http://schemas.microsoft.com/office/excel/2006/main">
          <x14:cfRule type="expression" priority="887" id="{53B20CF1-1F6E-4060-9E9B-623DD0AA653D}">
            <xm:f>AND('Cover Sheet'!$E$29=0, AA$4=0, AB$4=0)</xm:f>
            <x14:dxf>
              <fill>
                <patternFill>
                  <bgColor theme="0" tint="-0.14996795556505021"/>
                </patternFill>
              </fill>
            </x14:dxf>
          </x14:cfRule>
          <xm:sqref>AA172:BJ172</xm:sqref>
        </x14:conditionalFormatting>
        <x14:conditionalFormatting xmlns:xm="http://schemas.microsoft.com/office/excel/2006/main">
          <x14:cfRule type="expression" priority="886" id="{05846B11-F7D3-4DBD-A881-C8AFE441432E}">
            <xm:f>AND('Cover Sheet'!$E$29=0, AA$4=0, AB$4=0)</xm:f>
            <x14:dxf>
              <fill>
                <patternFill>
                  <bgColor theme="0" tint="-0.14996795556505021"/>
                </patternFill>
              </fill>
            </x14:dxf>
          </x14:cfRule>
          <xm:sqref>AA172:BJ172</xm:sqref>
        </x14:conditionalFormatting>
        <x14:conditionalFormatting xmlns:xm="http://schemas.microsoft.com/office/excel/2006/main">
          <x14:cfRule type="expression" priority="885" id="{AEEC7CE8-132A-4140-8B3D-14139AF6FFB7}">
            <xm:f>AND('Cover Sheet'!$E$29=0, AA$4=0, AB$4=0)</xm:f>
            <x14:dxf>
              <fill>
                <patternFill>
                  <bgColor theme="0"/>
                </patternFill>
              </fill>
            </x14:dxf>
          </x14:cfRule>
          <xm:sqref>AA172:BJ172</xm:sqref>
        </x14:conditionalFormatting>
        <x14:conditionalFormatting xmlns:xm="http://schemas.microsoft.com/office/excel/2006/main">
          <x14:cfRule type="expression" priority="883" id="{5B209B59-E4F7-4154-9448-4C19E10891A8}">
            <xm:f>AND('Cover Sheet'!$E$29=0, AA$4=0, AB$4=0)</xm:f>
            <x14:dxf>
              <fill>
                <patternFill>
                  <bgColor theme="0" tint="-0.14996795556505021"/>
                </patternFill>
              </fill>
            </x14:dxf>
          </x14:cfRule>
          <xm:sqref>AA181:BJ182</xm:sqref>
        </x14:conditionalFormatting>
        <x14:conditionalFormatting xmlns:xm="http://schemas.microsoft.com/office/excel/2006/main">
          <x14:cfRule type="expression" priority="882" id="{ADF11BDF-BF9E-4781-8B55-C7232A6F6727}">
            <xm:f>AND('Cover Sheet'!$E$29=0, AA$4=0, AB$4=0)</xm:f>
            <x14:dxf>
              <fill>
                <patternFill>
                  <bgColor theme="0" tint="-0.14996795556505021"/>
                </patternFill>
              </fill>
            </x14:dxf>
          </x14:cfRule>
          <xm:sqref>AA181:BJ182</xm:sqref>
        </x14:conditionalFormatting>
        <x14:conditionalFormatting xmlns:xm="http://schemas.microsoft.com/office/excel/2006/main">
          <x14:cfRule type="expression" priority="881" id="{231FBA9C-BD40-4101-8684-7916EF8E5788}">
            <xm:f>AND('Cover Sheet'!$E$29=0, AA$4=0, AB$4=0)</xm:f>
            <x14:dxf>
              <fill>
                <patternFill>
                  <bgColor theme="0" tint="-0.14996795556505021"/>
                </patternFill>
              </fill>
            </x14:dxf>
          </x14:cfRule>
          <xm:sqref>AA181:BJ182</xm:sqref>
        </x14:conditionalFormatting>
        <x14:conditionalFormatting xmlns:xm="http://schemas.microsoft.com/office/excel/2006/main">
          <x14:cfRule type="expression" priority="880" id="{E67D951C-261C-425E-ADAB-C6F2A3F66B79}">
            <xm:f>AND('Cover Sheet'!$E$29=0, AA$4=0, AB$4=0)</xm:f>
            <x14:dxf>
              <fill>
                <patternFill>
                  <bgColor theme="0" tint="-0.14996795556505021"/>
                </patternFill>
              </fill>
            </x14:dxf>
          </x14:cfRule>
          <xm:sqref>AA181:BJ182</xm:sqref>
        </x14:conditionalFormatting>
        <x14:conditionalFormatting xmlns:xm="http://schemas.microsoft.com/office/excel/2006/main">
          <x14:cfRule type="expression" priority="879" id="{0EB0D503-5019-41D8-B586-0BB38FBD5BE9}">
            <xm:f>AND('Cover Sheet'!$E$29=0, AA$4=0, AB$4=0)</xm:f>
            <x14:dxf>
              <fill>
                <patternFill>
                  <bgColor theme="0" tint="-0.14996795556505021"/>
                </patternFill>
              </fill>
            </x14:dxf>
          </x14:cfRule>
          <xm:sqref>AA181:BJ182</xm:sqref>
        </x14:conditionalFormatting>
        <x14:conditionalFormatting xmlns:xm="http://schemas.microsoft.com/office/excel/2006/main">
          <x14:cfRule type="expression" priority="878" id="{E92DF5C4-4813-4DBC-A827-F6CBA56084D8}">
            <xm:f>AND('Cover Sheet'!$E$29=0, AA$4=0, AB$4=0)</xm:f>
            <x14:dxf>
              <fill>
                <patternFill>
                  <bgColor theme="0"/>
                </patternFill>
              </fill>
            </x14:dxf>
          </x14:cfRule>
          <xm:sqref>AA181:BJ182</xm:sqref>
        </x14:conditionalFormatting>
        <x14:conditionalFormatting xmlns:xm="http://schemas.microsoft.com/office/excel/2006/main">
          <x14:cfRule type="expression" priority="876" id="{D59E5C51-29A2-4CCD-9BED-9306A8AB937E}">
            <xm:f>AND('Cover Sheet'!$E$29=0, AA$4=0, AB$4=0)</xm:f>
            <x14:dxf>
              <fill>
                <patternFill>
                  <bgColor theme="0" tint="-0.14996795556505021"/>
                </patternFill>
              </fill>
            </x14:dxf>
          </x14:cfRule>
          <xm:sqref>AA198:BJ198</xm:sqref>
        </x14:conditionalFormatting>
        <x14:conditionalFormatting xmlns:xm="http://schemas.microsoft.com/office/excel/2006/main">
          <x14:cfRule type="expression" priority="875" id="{F194B5DC-20CC-48E6-BCD6-CADA5C4A4AC7}">
            <xm:f>AND('Cover Sheet'!$E$29=0, AA$4=0, AB$4=0)</xm:f>
            <x14:dxf>
              <fill>
                <patternFill>
                  <bgColor theme="0" tint="-0.14996795556505021"/>
                </patternFill>
              </fill>
            </x14:dxf>
          </x14:cfRule>
          <xm:sqref>AA198:BJ198</xm:sqref>
        </x14:conditionalFormatting>
        <x14:conditionalFormatting xmlns:xm="http://schemas.microsoft.com/office/excel/2006/main">
          <x14:cfRule type="expression" priority="874" id="{6B54379F-80BE-4C14-82CE-69E7EB4B6DE2}">
            <xm:f>AND('Cover Sheet'!$E$29=0, AA$4=0, AB$4=0)</xm:f>
            <x14:dxf>
              <fill>
                <patternFill>
                  <bgColor theme="0" tint="-0.14996795556505021"/>
                </patternFill>
              </fill>
            </x14:dxf>
          </x14:cfRule>
          <xm:sqref>AA198:BJ198</xm:sqref>
        </x14:conditionalFormatting>
        <x14:conditionalFormatting xmlns:xm="http://schemas.microsoft.com/office/excel/2006/main">
          <x14:cfRule type="expression" priority="873" id="{F1C575BA-6849-4C9F-91D6-ACE5E20A556E}">
            <xm:f>AND('Cover Sheet'!$E$29=0, AA$4=0, AB$4=0)</xm:f>
            <x14:dxf>
              <fill>
                <patternFill>
                  <bgColor theme="0" tint="-0.14996795556505021"/>
                </patternFill>
              </fill>
            </x14:dxf>
          </x14:cfRule>
          <xm:sqref>AA198:BJ198</xm:sqref>
        </x14:conditionalFormatting>
        <x14:conditionalFormatting xmlns:xm="http://schemas.microsoft.com/office/excel/2006/main">
          <x14:cfRule type="expression" priority="872" id="{714F0F2A-85C6-43DB-B8DB-B018E3E57A62}">
            <xm:f>AND('Cover Sheet'!$E$29=0, AA$4=0, AB$4=0)</xm:f>
            <x14:dxf>
              <fill>
                <patternFill>
                  <bgColor theme="0" tint="-0.14996795556505021"/>
                </patternFill>
              </fill>
            </x14:dxf>
          </x14:cfRule>
          <xm:sqref>AA198:BJ198</xm:sqref>
        </x14:conditionalFormatting>
        <x14:conditionalFormatting xmlns:xm="http://schemas.microsoft.com/office/excel/2006/main">
          <x14:cfRule type="expression" priority="871" id="{DA953726-2919-4DC1-828C-3F73A3C966BE}">
            <xm:f>AND('Cover Sheet'!$E$29=0, AA$4=0, AB$4=0)</xm:f>
            <x14:dxf>
              <fill>
                <patternFill>
                  <bgColor theme="0"/>
                </patternFill>
              </fill>
            </x14:dxf>
          </x14:cfRule>
          <xm:sqref>AA198:BJ198</xm:sqref>
        </x14:conditionalFormatting>
        <x14:conditionalFormatting xmlns:xm="http://schemas.microsoft.com/office/excel/2006/main">
          <x14:cfRule type="expression" priority="850" id="{002C92F3-A2E5-4502-848E-D86A193F005E}">
            <xm:f>AND('Cover Sheet'!$E$29=0, AA$4=0, AB$4=0)</xm:f>
            <x14:dxf>
              <fill>
                <patternFill>
                  <bgColor theme="0" tint="-0.14996795556505021"/>
                </patternFill>
              </fill>
            </x14:dxf>
          </x14:cfRule>
          <xm:sqref>AA182:BJ182</xm:sqref>
        </x14:conditionalFormatting>
        <x14:conditionalFormatting xmlns:xm="http://schemas.microsoft.com/office/excel/2006/main">
          <x14:cfRule type="expression" priority="849" id="{A62212EC-FDB3-4A2C-9DCF-C9723ACD01F0}">
            <xm:f>AND('Cover Sheet'!$E$29=0, AA$4=0, AB$4=0)</xm:f>
            <x14:dxf>
              <fill>
                <patternFill>
                  <bgColor theme="0" tint="-0.14996795556505021"/>
                </patternFill>
              </fill>
            </x14:dxf>
          </x14:cfRule>
          <xm:sqref>AA182:BJ182</xm:sqref>
        </x14:conditionalFormatting>
        <x14:conditionalFormatting xmlns:xm="http://schemas.microsoft.com/office/excel/2006/main">
          <x14:cfRule type="expression" priority="848" id="{1F083300-B4DB-4241-A0E5-5CB3A8233A1B}">
            <xm:f>AND('Cover Sheet'!$E$29=0, AA$4=0, AB$4=0)</xm:f>
            <x14:dxf>
              <fill>
                <patternFill>
                  <bgColor theme="0" tint="-0.14996795556505021"/>
                </patternFill>
              </fill>
            </x14:dxf>
          </x14:cfRule>
          <xm:sqref>AA182:BJ182</xm:sqref>
        </x14:conditionalFormatting>
        <x14:conditionalFormatting xmlns:xm="http://schemas.microsoft.com/office/excel/2006/main">
          <x14:cfRule type="expression" priority="847" id="{71C571CC-1128-42D6-B17D-76C2EDD3C138}">
            <xm:f>AND('Cover Sheet'!$E$29=0, AA$4=0, AB$4=0)</xm:f>
            <x14:dxf>
              <fill>
                <patternFill>
                  <bgColor theme="0" tint="-0.14996795556505021"/>
                </patternFill>
              </fill>
            </x14:dxf>
          </x14:cfRule>
          <xm:sqref>AA182:BJ182</xm:sqref>
        </x14:conditionalFormatting>
        <x14:conditionalFormatting xmlns:xm="http://schemas.microsoft.com/office/excel/2006/main">
          <x14:cfRule type="expression" priority="846" id="{31C88F3B-4322-47BD-83C8-6E550595602B}">
            <xm:f>AND('Cover Sheet'!$E$29=0, AA$4=0, AB$4=0)</xm:f>
            <x14:dxf>
              <fill>
                <patternFill>
                  <bgColor theme="0" tint="-0.14996795556505021"/>
                </patternFill>
              </fill>
            </x14:dxf>
          </x14:cfRule>
          <xm:sqref>AA182:BJ182</xm:sqref>
        </x14:conditionalFormatting>
        <x14:conditionalFormatting xmlns:xm="http://schemas.microsoft.com/office/excel/2006/main">
          <x14:cfRule type="expression" priority="845" id="{07C75C33-9166-40C6-A114-55F1289D830B}">
            <xm:f>AND('Cover Sheet'!$E$29=0, AA$4=0, AB$4=0)</xm:f>
            <x14:dxf>
              <fill>
                <patternFill>
                  <bgColor theme="0"/>
                </patternFill>
              </fill>
            </x14:dxf>
          </x14:cfRule>
          <xm:sqref>AA182:BJ182</xm:sqref>
        </x14:conditionalFormatting>
        <x14:conditionalFormatting xmlns:xm="http://schemas.microsoft.com/office/excel/2006/main">
          <x14:cfRule type="expression" priority="463" id="{FADC2014-390D-439F-854F-47D101846115}">
            <xm:f>AND('Cover Sheet'!$E$29=0, AA$4=0, AB$4=0)</xm:f>
            <x14:dxf>
              <fill>
                <patternFill>
                  <bgColor theme="0" tint="-0.14996795556505021"/>
                </patternFill>
              </fill>
            </x14:dxf>
          </x14:cfRule>
          <xm:sqref>AA78:AX78</xm:sqref>
        </x14:conditionalFormatting>
        <x14:conditionalFormatting xmlns:xm="http://schemas.microsoft.com/office/excel/2006/main">
          <x14:cfRule type="expression" priority="462" id="{D9F556FF-C3C1-431F-9262-912C5C2A0E8E}">
            <xm:f>AND('Cover Sheet'!$E$29=0, AA$4=0, AB$4=0)</xm:f>
            <x14:dxf>
              <fill>
                <patternFill>
                  <bgColor theme="0" tint="-0.14996795556505021"/>
                </patternFill>
              </fill>
            </x14:dxf>
          </x14:cfRule>
          <xm:sqref>AA78:AX78</xm:sqref>
        </x14:conditionalFormatting>
        <x14:conditionalFormatting xmlns:xm="http://schemas.microsoft.com/office/excel/2006/main">
          <x14:cfRule type="expression" priority="461" id="{5D24C2CA-D4DE-4D9A-A0C0-B4830871832D}">
            <xm:f>AND('Cover Sheet'!$E$29=0, AA$4=0, AB$4=0)</xm:f>
            <x14:dxf>
              <fill>
                <patternFill>
                  <bgColor theme="0" tint="-0.14996795556505021"/>
                </patternFill>
              </fill>
            </x14:dxf>
          </x14:cfRule>
          <xm:sqref>AA78:AX78</xm:sqref>
        </x14:conditionalFormatting>
        <x14:conditionalFormatting xmlns:xm="http://schemas.microsoft.com/office/excel/2006/main">
          <x14:cfRule type="expression" priority="460" id="{889B5908-D5A0-413B-AA9E-7F44E7BF44D6}">
            <xm:f>AND('Cover Sheet'!$E$29=0, AA$4=0, AB$4=0)</xm:f>
            <x14:dxf>
              <fill>
                <patternFill>
                  <bgColor theme="0" tint="-0.14996795556505021"/>
                </patternFill>
              </fill>
            </x14:dxf>
          </x14:cfRule>
          <xm:sqref>AA78:AX78</xm:sqref>
        </x14:conditionalFormatting>
        <x14:conditionalFormatting xmlns:xm="http://schemas.microsoft.com/office/excel/2006/main">
          <x14:cfRule type="expression" priority="459" id="{29A3E9A3-C2A3-4B8B-AA79-2605FE7692BF}">
            <xm:f>AND('Cover Sheet'!$E$29=0, AA$4=0, AB$4=0)</xm:f>
            <x14:dxf>
              <fill>
                <patternFill>
                  <bgColor theme="0" tint="-0.14996795556505021"/>
                </patternFill>
              </fill>
            </x14:dxf>
          </x14:cfRule>
          <xm:sqref>AA78:AX78</xm:sqref>
        </x14:conditionalFormatting>
        <x14:conditionalFormatting xmlns:xm="http://schemas.microsoft.com/office/excel/2006/main">
          <x14:cfRule type="expression" priority="458" id="{DBDA1708-90B4-44DB-95D1-9E7285D3B1AC}">
            <xm:f>AND('Cover Sheet'!$E$29=0, AA$4=0, AB$4=0)</xm:f>
            <x14:dxf>
              <fill>
                <patternFill>
                  <bgColor theme="0"/>
                </patternFill>
              </fill>
            </x14:dxf>
          </x14:cfRule>
          <xm:sqref>AA78:AX78</xm:sqref>
        </x14:conditionalFormatting>
        <x14:conditionalFormatting xmlns:xm="http://schemas.microsoft.com/office/excel/2006/main">
          <x14:cfRule type="expression" priority="445" id="{0232FB32-E92D-40AD-A550-19F5D0D552B4}">
            <xm:f>AND('Cover Sheet'!$E$29=0, AA$4=0, AB$4=0)</xm:f>
            <x14:dxf>
              <fill>
                <patternFill>
                  <bgColor theme="0" tint="-0.14996795556505021"/>
                </patternFill>
              </fill>
            </x14:dxf>
          </x14:cfRule>
          <xm:sqref>AA79:AX79</xm:sqref>
        </x14:conditionalFormatting>
        <x14:conditionalFormatting xmlns:xm="http://schemas.microsoft.com/office/excel/2006/main">
          <x14:cfRule type="expression" priority="444" id="{B78863C1-3556-44F0-86B0-D90D3780B69A}">
            <xm:f>AND('Cover Sheet'!$E$29=0, AA$4=0, AB$4=0)</xm:f>
            <x14:dxf>
              <fill>
                <patternFill>
                  <bgColor theme="0" tint="-0.14996795556505021"/>
                </patternFill>
              </fill>
            </x14:dxf>
          </x14:cfRule>
          <xm:sqref>AA79:AX79</xm:sqref>
        </x14:conditionalFormatting>
        <x14:conditionalFormatting xmlns:xm="http://schemas.microsoft.com/office/excel/2006/main">
          <x14:cfRule type="expression" priority="443" id="{0795BB4C-FFBE-43F9-A598-00A6A37CD0F7}">
            <xm:f>AND('Cover Sheet'!$E$29=0, AA$4=0, AB$4=0)</xm:f>
            <x14:dxf>
              <fill>
                <patternFill>
                  <bgColor theme="0" tint="-0.14996795556505021"/>
                </patternFill>
              </fill>
            </x14:dxf>
          </x14:cfRule>
          <xm:sqref>AA79:AX79</xm:sqref>
        </x14:conditionalFormatting>
        <x14:conditionalFormatting xmlns:xm="http://schemas.microsoft.com/office/excel/2006/main">
          <x14:cfRule type="expression" priority="442" id="{968B5350-88DC-4189-9C51-7E70F684AB30}">
            <xm:f>AND('Cover Sheet'!$E$29=0, AA$4=0, AB$4=0)</xm:f>
            <x14:dxf>
              <fill>
                <patternFill>
                  <bgColor theme="0" tint="-0.14996795556505021"/>
                </patternFill>
              </fill>
            </x14:dxf>
          </x14:cfRule>
          <xm:sqref>AA79:AX79</xm:sqref>
        </x14:conditionalFormatting>
        <x14:conditionalFormatting xmlns:xm="http://schemas.microsoft.com/office/excel/2006/main">
          <x14:cfRule type="expression" priority="441" id="{8EEA508E-F9B1-4C3D-A302-4BFC878A8BE1}">
            <xm:f>AND('Cover Sheet'!$E$29=0, AA$4=0, AB$4=0)</xm:f>
            <x14:dxf>
              <fill>
                <patternFill>
                  <bgColor theme="0" tint="-0.14996795556505021"/>
                </patternFill>
              </fill>
            </x14:dxf>
          </x14:cfRule>
          <xm:sqref>AA79:AX79</xm:sqref>
        </x14:conditionalFormatting>
        <x14:conditionalFormatting xmlns:xm="http://schemas.microsoft.com/office/excel/2006/main">
          <x14:cfRule type="expression" priority="440" id="{C330E234-08F8-46B4-BA95-34B7460F8E4D}">
            <xm:f>AND('Cover Sheet'!$E$29=0, AA$4=0, AB$4=0)</xm:f>
            <x14:dxf>
              <fill>
                <patternFill>
                  <bgColor theme="0"/>
                </patternFill>
              </fill>
            </x14:dxf>
          </x14:cfRule>
          <xm:sqref>AA79:AX79</xm:sqref>
        </x14:conditionalFormatting>
        <x14:conditionalFormatting xmlns:xm="http://schemas.microsoft.com/office/excel/2006/main">
          <x14:cfRule type="expression" priority="427" id="{6341CBE3-5DC7-4012-8214-17E8F893FBD1}">
            <xm:f>AND('Cover Sheet'!$E$29=0, AA$4=0, AB$4=0)</xm:f>
            <x14:dxf>
              <fill>
                <patternFill>
                  <bgColor theme="0" tint="-0.14996795556505021"/>
                </patternFill>
              </fill>
            </x14:dxf>
          </x14:cfRule>
          <xm:sqref>AA80:AX80</xm:sqref>
        </x14:conditionalFormatting>
        <x14:conditionalFormatting xmlns:xm="http://schemas.microsoft.com/office/excel/2006/main">
          <x14:cfRule type="expression" priority="426" id="{EAF6CBB3-BC27-4BBA-93E6-275DABFC8516}">
            <xm:f>AND('Cover Sheet'!$E$29=0, AA$4=0, AB$4=0)</xm:f>
            <x14:dxf>
              <fill>
                <patternFill>
                  <bgColor theme="0" tint="-0.14996795556505021"/>
                </patternFill>
              </fill>
            </x14:dxf>
          </x14:cfRule>
          <xm:sqref>AA80:AX80</xm:sqref>
        </x14:conditionalFormatting>
        <x14:conditionalFormatting xmlns:xm="http://schemas.microsoft.com/office/excel/2006/main">
          <x14:cfRule type="expression" priority="425" id="{943956EC-9878-47F6-9F65-10D0F74CB680}">
            <xm:f>AND('Cover Sheet'!$E$29=0, AA$4=0, AB$4=0)</xm:f>
            <x14:dxf>
              <fill>
                <patternFill>
                  <bgColor theme="0" tint="-0.14996795556505021"/>
                </patternFill>
              </fill>
            </x14:dxf>
          </x14:cfRule>
          <xm:sqref>AA80:AX80</xm:sqref>
        </x14:conditionalFormatting>
        <x14:conditionalFormatting xmlns:xm="http://schemas.microsoft.com/office/excel/2006/main">
          <x14:cfRule type="expression" priority="424" id="{7E01B544-27C8-4B82-AA39-292E8C8CEA54}">
            <xm:f>AND('Cover Sheet'!$E$29=0, AA$4=0, AB$4=0)</xm:f>
            <x14:dxf>
              <fill>
                <patternFill>
                  <bgColor theme="0" tint="-0.14996795556505021"/>
                </patternFill>
              </fill>
            </x14:dxf>
          </x14:cfRule>
          <xm:sqref>AA80:AX80</xm:sqref>
        </x14:conditionalFormatting>
        <x14:conditionalFormatting xmlns:xm="http://schemas.microsoft.com/office/excel/2006/main">
          <x14:cfRule type="expression" priority="423" id="{5587D166-224D-4021-9B97-48340DCC9AB3}">
            <xm:f>AND('Cover Sheet'!$E$29=0, AA$4=0, AB$4=0)</xm:f>
            <x14:dxf>
              <fill>
                <patternFill>
                  <bgColor theme="0" tint="-0.14996795556505021"/>
                </patternFill>
              </fill>
            </x14:dxf>
          </x14:cfRule>
          <xm:sqref>AA80:AX80</xm:sqref>
        </x14:conditionalFormatting>
        <x14:conditionalFormatting xmlns:xm="http://schemas.microsoft.com/office/excel/2006/main">
          <x14:cfRule type="expression" priority="422" id="{D96404E8-43AB-40D6-87C3-06A1BD319AF8}">
            <xm:f>AND('Cover Sheet'!$E$29=0, AA$4=0, AB$4=0)</xm:f>
            <x14:dxf>
              <fill>
                <patternFill>
                  <bgColor theme="0"/>
                </patternFill>
              </fill>
            </x14:dxf>
          </x14:cfRule>
          <xm:sqref>AA80:AX80</xm:sqref>
        </x14:conditionalFormatting>
        <x14:conditionalFormatting xmlns:xm="http://schemas.microsoft.com/office/excel/2006/main">
          <x14:cfRule type="expression" priority="409" id="{42EAE0D4-0697-4362-B12F-0B89FEB666ED}">
            <xm:f>AND('Cover Sheet'!$E$29=0, AA$4=0, AB$4=0)</xm:f>
            <x14:dxf>
              <fill>
                <patternFill>
                  <bgColor theme="0" tint="-0.14996795556505021"/>
                </patternFill>
              </fill>
            </x14:dxf>
          </x14:cfRule>
          <xm:sqref>AA112:BJ112</xm:sqref>
        </x14:conditionalFormatting>
        <x14:conditionalFormatting xmlns:xm="http://schemas.microsoft.com/office/excel/2006/main">
          <x14:cfRule type="expression" priority="408" id="{D81BEE5A-8AAA-4501-8CFF-E000FA61BECD}">
            <xm:f>AND('Cover Sheet'!$E$29=0, AA$4=0, AB$4=0)</xm:f>
            <x14:dxf>
              <fill>
                <patternFill>
                  <bgColor theme="0" tint="-0.14996795556505021"/>
                </patternFill>
              </fill>
            </x14:dxf>
          </x14:cfRule>
          <xm:sqref>AA112:BJ112</xm:sqref>
        </x14:conditionalFormatting>
        <x14:conditionalFormatting xmlns:xm="http://schemas.microsoft.com/office/excel/2006/main">
          <x14:cfRule type="expression" priority="407" id="{67C06EFF-3641-4E5B-BE3E-B94C4404ED01}">
            <xm:f>AND('Cover Sheet'!$E$29=0, AA$4=0, AB$4=0)</xm:f>
            <x14:dxf>
              <fill>
                <patternFill>
                  <bgColor theme="0" tint="-0.14996795556505021"/>
                </patternFill>
              </fill>
            </x14:dxf>
          </x14:cfRule>
          <xm:sqref>AA112:BJ112</xm:sqref>
        </x14:conditionalFormatting>
        <x14:conditionalFormatting xmlns:xm="http://schemas.microsoft.com/office/excel/2006/main">
          <x14:cfRule type="expression" priority="406" id="{40579CD9-F5FD-44BB-8775-B6E02D0934CC}">
            <xm:f>AND('Cover Sheet'!$E$29=0, AA$4=0, AB$4=0)</xm:f>
            <x14:dxf>
              <fill>
                <patternFill>
                  <bgColor theme="0" tint="-0.14996795556505021"/>
                </patternFill>
              </fill>
            </x14:dxf>
          </x14:cfRule>
          <xm:sqref>AA112:BJ112</xm:sqref>
        </x14:conditionalFormatting>
        <x14:conditionalFormatting xmlns:xm="http://schemas.microsoft.com/office/excel/2006/main">
          <x14:cfRule type="expression" priority="405" id="{1F51A19F-B9D5-4B28-ACC7-245E8F021A25}">
            <xm:f>AND('Cover Sheet'!$E$29=0, AA$4=0, AB$4=0)</xm:f>
            <x14:dxf>
              <fill>
                <patternFill>
                  <bgColor theme="0" tint="-0.14996795556505021"/>
                </patternFill>
              </fill>
            </x14:dxf>
          </x14:cfRule>
          <xm:sqref>AA112:BJ112</xm:sqref>
        </x14:conditionalFormatting>
        <x14:conditionalFormatting xmlns:xm="http://schemas.microsoft.com/office/excel/2006/main">
          <x14:cfRule type="expression" priority="404" id="{C821A731-DCE0-4238-85E2-47FFCE1B0A7B}">
            <xm:f>AND('Cover Sheet'!$E$29=0, AA$4=0, AB$4=0)</xm:f>
            <x14:dxf>
              <fill>
                <patternFill>
                  <bgColor theme="0"/>
                </patternFill>
              </fill>
            </x14:dxf>
          </x14:cfRule>
          <xm:sqref>AA112:BJ112</xm:sqref>
        </x14:conditionalFormatting>
        <x14:conditionalFormatting xmlns:xm="http://schemas.microsoft.com/office/excel/2006/main">
          <x14:cfRule type="expression" priority="382" id="{1988704D-A67F-4A1E-9F55-B165DC2B6370}">
            <xm:f>OR($D$2='Dash Data'!$D$95, $D$2='Dash Data'!$D$96, $D$2='Dash Data'!$D$98)</xm:f>
            <x14:dxf>
              <numFmt numFmtId="14" formatCode="0.00%"/>
            </x14:dxf>
          </x14:cfRule>
          <xm:sqref>V2:Y2</xm:sqref>
        </x14:conditionalFormatting>
        <x14:conditionalFormatting xmlns:xm="http://schemas.microsoft.com/office/excel/2006/main">
          <x14:cfRule type="expression" priority="366" id="{8E436618-E1A5-429A-92AA-E64C1871F671}">
            <xm:f>AND('Cover Sheet'!$E$29=0, AM$4=0, AN$4=0)</xm:f>
            <x14:dxf>
              <fill>
                <patternFill>
                  <bgColor theme="0" tint="-0.14996795556505021"/>
                </patternFill>
              </fill>
            </x14:dxf>
          </x14:cfRule>
          <xm:sqref>AM71:AX71</xm:sqref>
        </x14:conditionalFormatting>
        <x14:conditionalFormatting xmlns:xm="http://schemas.microsoft.com/office/excel/2006/main">
          <x14:cfRule type="expression" priority="365" id="{FCB6CBF5-1DE2-4DB4-BFF0-2EB29B106445}">
            <xm:f>AND('Cover Sheet'!$E$29=0, AM$4=0, AN$4=0)</xm:f>
            <x14:dxf>
              <fill>
                <patternFill>
                  <bgColor theme="0" tint="-0.14996795556505021"/>
                </patternFill>
              </fill>
            </x14:dxf>
          </x14:cfRule>
          <xm:sqref>AM71:AX71</xm:sqref>
        </x14:conditionalFormatting>
        <x14:conditionalFormatting xmlns:xm="http://schemas.microsoft.com/office/excel/2006/main">
          <x14:cfRule type="expression" priority="364" id="{D9490D36-456B-4762-8F30-3FBCBE09CD80}">
            <xm:f>AND('Cover Sheet'!$E$29=0, AM$4=0, AN$4=0)</xm:f>
            <x14:dxf>
              <fill>
                <patternFill>
                  <bgColor theme="0" tint="-0.14996795556505021"/>
                </patternFill>
              </fill>
            </x14:dxf>
          </x14:cfRule>
          <xm:sqref>AM71:AX71</xm:sqref>
        </x14:conditionalFormatting>
        <x14:conditionalFormatting xmlns:xm="http://schemas.microsoft.com/office/excel/2006/main">
          <x14:cfRule type="expression" priority="363" id="{324F8492-A759-4D36-AE20-98BB4DFFDCB5}">
            <xm:f>AND('Cover Sheet'!$E$29=0, AM$4=0, AN$4=0)</xm:f>
            <x14:dxf>
              <fill>
                <patternFill>
                  <bgColor theme="0" tint="-0.14996795556505021"/>
                </patternFill>
              </fill>
            </x14:dxf>
          </x14:cfRule>
          <xm:sqref>AM71:AX71</xm:sqref>
        </x14:conditionalFormatting>
        <x14:conditionalFormatting xmlns:xm="http://schemas.microsoft.com/office/excel/2006/main">
          <x14:cfRule type="expression" priority="362" id="{3E564E7D-7AE4-4205-83B8-134C62655FE1}">
            <xm:f>AND('Cover Sheet'!$E$29=0, AM$4=0, AN$4=0)</xm:f>
            <x14:dxf>
              <fill>
                <patternFill>
                  <bgColor theme="0" tint="-0.14996795556505021"/>
                </patternFill>
              </fill>
            </x14:dxf>
          </x14:cfRule>
          <xm:sqref>AM71:AX71</xm:sqref>
        </x14:conditionalFormatting>
        <x14:conditionalFormatting xmlns:xm="http://schemas.microsoft.com/office/excel/2006/main">
          <x14:cfRule type="expression" priority="361" id="{30FBC5CE-7DD6-4CC3-A076-74703759D7DF}">
            <xm:f>AND('Cover Sheet'!$E$29=0, AM$4=0, AN$4=0)</xm:f>
            <x14:dxf>
              <fill>
                <patternFill>
                  <bgColor theme="0"/>
                </patternFill>
              </fill>
            </x14:dxf>
          </x14:cfRule>
          <xm:sqref>AM71:AX71</xm:sqref>
        </x14:conditionalFormatting>
        <x14:conditionalFormatting xmlns:xm="http://schemas.microsoft.com/office/excel/2006/main">
          <x14:cfRule type="expression" priority="359" id="{57BA1D88-2821-46BC-AF13-3F1D623B0E31}">
            <xm:f>AND('Cover Sheet'!$E$29=0, AM$4=0, AN$4=0)</xm:f>
            <x14:dxf>
              <fill>
                <patternFill>
                  <bgColor theme="0" tint="-0.14996795556505021"/>
                </patternFill>
              </fill>
            </x14:dxf>
          </x14:cfRule>
          <xm:sqref>AM72:AX72</xm:sqref>
        </x14:conditionalFormatting>
        <x14:conditionalFormatting xmlns:xm="http://schemas.microsoft.com/office/excel/2006/main">
          <x14:cfRule type="expression" priority="358" id="{2CA1260A-039E-4A80-B3CE-1704C0A560DC}">
            <xm:f>AND('Cover Sheet'!$E$29=0, AM$4=0, AN$4=0)</xm:f>
            <x14:dxf>
              <fill>
                <patternFill>
                  <bgColor theme="0" tint="-0.14996795556505021"/>
                </patternFill>
              </fill>
            </x14:dxf>
          </x14:cfRule>
          <xm:sqref>AM72:AX72</xm:sqref>
        </x14:conditionalFormatting>
        <x14:conditionalFormatting xmlns:xm="http://schemas.microsoft.com/office/excel/2006/main">
          <x14:cfRule type="expression" priority="357" id="{7FD236C9-B822-436B-9F11-66348FB34CFA}">
            <xm:f>AND('Cover Sheet'!$E$29=0, AM$4=0, AN$4=0)</xm:f>
            <x14:dxf>
              <fill>
                <patternFill>
                  <bgColor theme="0" tint="-0.14996795556505021"/>
                </patternFill>
              </fill>
            </x14:dxf>
          </x14:cfRule>
          <xm:sqref>AM72:AX72</xm:sqref>
        </x14:conditionalFormatting>
        <x14:conditionalFormatting xmlns:xm="http://schemas.microsoft.com/office/excel/2006/main">
          <x14:cfRule type="expression" priority="356" id="{3DCFFFE6-E808-4CFB-8FA0-A368F2084ECE}">
            <xm:f>AND('Cover Sheet'!$E$29=0, AM$4=0, AN$4=0)</xm:f>
            <x14:dxf>
              <fill>
                <patternFill>
                  <bgColor theme="0" tint="-0.14996795556505021"/>
                </patternFill>
              </fill>
            </x14:dxf>
          </x14:cfRule>
          <xm:sqref>AM72:AX72</xm:sqref>
        </x14:conditionalFormatting>
        <x14:conditionalFormatting xmlns:xm="http://schemas.microsoft.com/office/excel/2006/main">
          <x14:cfRule type="expression" priority="355" id="{A82E4AA6-76FC-4FC3-B303-C9DC91274530}">
            <xm:f>AND('Cover Sheet'!$E$29=0, AM$4=0, AN$4=0)</xm:f>
            <x14:dxf>
              <fill>
                <patternFill>
                  <bgColor theme="0" tint="-0.14996795556505021"/>
                </patternFill>
              </fill>
            </x14:dxf>
          </x14:cfRule>
          <xm:sqref>AM72:AX72</xm:sqref>
        </x14:conditionalFormatting>
        <x14:conditionalFormatting xmlns:xm="http://schemas.microsoft.com/office/excel/2006/main">
          <x14:cfRule type="expression" priority="354" id="{70E8725B-7E5E-4565-95C6-561CBB0E21F2}">
            <xm:f>AND('Cover Sheet'!$E$29=0, AM$4=0, AN$4=0)</xm:f>
            <x14:dxf>
              <fill>
                <patternFill>
                  <bgColor theme="0"/>
                </patternFill>
              </fill>
            </x14:dxf>
          </x14:cfRule>
          <xm:sqref>AM72:AX72</xm:sqref>
        </x14:conditionalFormatting>
        <x14:conditionalFormatting xmlns:xm="http://schemas.microsoft.com/office/excel/2006/main">
          <x14:cfRule type="expression" priority="303" id="{F22EFF54-3760-4E22-9303-4A8EBA1B787E}">
            <xm:f>AND('Cover Sheet'!$E$29=0, AM$4=0, AN$4=0)</xm:f>
            <x14:dxf>
              <fill>
                <patternFill>
                  <bgColor theme="0" tint="-0.14996795556505021"/>
                </patternFill>
              </fill>
            </x14:dxf>
          </x14:cfRule>
          <xm:sqref>AM88:AX88</xm:sqref>
        </x14:conditionalFormatting>
        <x14:conditionalFormatting xmlns:xm="http://schemas.microsoft.com/office/excel/2006/main">
          <x14:cfRule type="expression" priority="302" id="{383619AF-C12A-47E0-AB3C-1D602AC14B02}">
            <xm:f>AND('Cover Sheet'!$E$29=0, AM$4=0, AN$4=0)</xm:f>
            <x14:dxf>
              <fill>
                <patternFill>
                  <bgColor theme="0" tint="-0.14996795556505021"/>
                </patternFill>
              </fill>
            </x14:dxf>
          </x14:cfRule>
          <xm:sqref>AM88:AX88</xm:sqref>
        </x14:conditionalFormatting>
        <x14:conditionalFormatting xmlns:xm="http://schemas.microsoft.com/office/excel/2006/main">
          <x14:cfRule type="expression" priority="301" id="{79C328DE-16E3-4AD5-861A-8CE64A248A2E}">
            <xm:f>AND('Cover Sheet'!$E$29=0, AM$4=0, AN$4=0)</xm:f>
            <x14:dxf>
              <fill>
                <patternFill>
                  <bgColor theme="0" tint="-0.14996795556505021"/>
                </patternFill>
              </fill>
            </x14:dxf>
          </x14:cfRule>
          <xm:sqref>AM88:AX88</xm:sqref>
        </x14:conditionalFormatting>
        <x14:conditionalFormatting xmlns:xm="http://schemas.microsoft.com/office/excel/2006/main">
          <x14:cfRule type="expression" priority="300" id="{DF431D93-8BA0-493F-8C76-A1E9888E62DB}">
            <xm:f>AND('Cover Sheet'!$E$29=0, AM$4=0, AN$4=0)</xm:f>
            <x14:dxf>
              <fill>
                <patternFill>
                  <bgColor theme="0" tint="-0.14996795556505021"/>
                </patternFill>
              </fill>
            </x14:dxf>
          </x14:cfRule>
          <xm:sqref>AM88:AX88</xm:sqref>
        </x14:conditionalFormatting>
        <x14:conditionalFormatting xmlns:xm="http://schemas.microsoft.com/office/excel/2006/main">
          <x14:cfRule type="expression" priority="299" id="{3A9CA3D0-146F-4570-86FE-F57EF15AA24E}">
            <xm:f>AND('Cover Sheet'!$E$29=0, AM$4=0, AN$4=0)</xm:f>
            <x14:dxf>
              <fill>
                <patternFill>
                  <bgColor theme="0" tint="-0.14996795556505021"/>
                </patternFill>
              </fill>
            </x14:dxf>
          </x14:cfRule>
          <xm:sqref>AM88:AX88</xm:sqref>
        </x14:conditionalFormatting>
        <x14:conditionalFormatting xmlns:xm="http://schemas.microsoft.com/office/excel/2006/main">
          <x14:cfRule type="expression" priority="298" id="{E447DE27-3641-4045-86B8-0C814C80C0AF}">
            <xm:f>AND('Cover Sheet'!$E$29=0, AM$4=0, AN$4=0)</xm:f>
            <x14:dxf>
              <fill>
                <patternFill>
                  <bgColor theme="0"/>
                </patternFill>
              </fill>
            </x14:dxf>
          </x14:cfRule>
          <xm:sqref>AM88:AX88</xm:sqref>
        </x14:conditionalFormatting>
        <x14:conditionalFormatting xmlns:xm="http://schemas.microsoft.com/office/excel/2006/main">
          <x14:cfRule type="expression" priority="296" id="{A6446526-53F7-4B5B-85B8-4D2CD87F129D}">
            <xm:f>AND('Cover Sheet'!$E$29=0, AM$4=0, AN$4=0)</xm:f>
            <x14:dxf>
              <fill>
                <patternFill>
                  <bgColor theme="0" tint="-0.14996795556505021"/>
                </patternFill>
              </fill>
            </x14:dxf>
          </x14:cfRule>
          <xm:sqref>AM89:AX89</xm:sqref>
        </x14:conditionalFormatting>
        <x14:conditionalFormatting xmlns:xm="http://schemas.microsoft.com/office/excel/2006/main">
          <x14:cfRule type="expression" priority="295" id="{8C693EA5-36D6-4A9C-A3C3-421B2265213B}">
            <xm:f>AND('Cover Sheet'!$E$29=0, AM$4=0, AN$4=0)</xm:f>
            <x14:dxf>
              <fill>
                <patternFill>
                  <bgColor theme="0" tint="-0.14996795556505021"/>
                </patternFill>
              </fill>
            </x14:dxf>
          </x14:cfRule>
          <xm:sqref>AM89:AX89</xm:sqref>
        </x14:conditionalFormatting>
        <x14:conditionalFormatting xmlns:xm="http://schemas.microsoft.com/office/excel/2006/main">
          <x14:cfRule type="expression" priority="294" id="{88B78D7A-CFF2-4A75-AF54-35A095C2ACF5}">
            <xm:f>AND('Cover Sheet'!$E$29=0, AM$4=0, AN$4=0)</xm:f>
            <x14:dxf>
              <fill>
                <patternFill>
                  <bgColor theme="0" tint="-0.14996795556505021"/>
                </patternFill>
              </fill>
            </x14:dxf>
          </x14:cfRule>
          <xm:sqref>AM89:AX89</xm:sqref>
        </x14:conditionalFormatting>
        <x14:conditionalFormatting xmlns:xm="http://schemas.microsoft.com/office/excel/2006/main">
          <x14:cfRule type="expression" priority="293" id="{1C6251FB-0D66-4CAA-8C10-A897F09ABAED}">
            <xm:f>AND('Cover Sheet'!$E$29=0, AM$4=0, AN$4=0)</xm:f>
            <x14:dxf>
              <fill>
                <patternFill>
                  <bgColor theme="0" tint="-0.14996795556505021"/>
                </patternFill>
              </fill>
            </x14:dxf>
          </x14:cfRule>
          <xm:sqref>AM89:AX89</xm:sqref>
        </x14:conditionalFormatting>
        <x14:conditionalFormatting xmlns:xm="http://schemas.microsoft.com/office/excel/2006/main">
          <x14:cfRule type="expression" priority="292" id="{E8C9FE13-05AD-4396-9F64-BD52DE5C2C16}">
            <xm:f>AND('Cover Sheet'!$E$29=0, AM$4=0, AN$4=0)</xm:f>
            <x14:dxf>
              <fill>
                <patternFill>
                  <bgColor theme="0" tint="-0.14996795556505021"/>
                </patternFill>
              </fill>
            </x14:dxf>
          </x14:cfRule>
          <xm:sqref>AM89:AX89</xm:sqref>
        </x14:conditionalFormatting>
        <x14:conditionalFormatting xmlns:xm="http://schemas.microsoft.com/office/excel/2006/main">
          <x14:cfRule type="expression" priority="291" id="{61BC5A9E-F47C-45E3-857A-4AC9F0C89BBB}">
            <xm:f>AND('Cover Sheet'!$E$29=0, AM$4=0, AN$4=0)</xm:f>
            <x14:dxf>
              <fill>
                <patternFill>
                  <bgColor theme="0"/>
                </patternFill>
              </fill>
            </x14:dxf>
          </x14:cfRule>
          <xm:sqref>AM89:AX89</xm:sqref>
        </x14:conditionalFormatting>
        <x14:conditionalFormatting xmlns:xm="http://schemas.microsoft.com/office/excel/2006/main">
          <x14:cfRule type="expression" priority="289" id="{638D28B5-AC5B-4492-9B7C-9D27A01204F5}">
            <xm:f>AND('Cover Sheet'!$E$29=0, AM$4=0, AN$4=0)</xm:f>
            <x14:dxf>
              <fill>
                <patternFill>
                  <bgColor theme="0" tint="-0.14996795556505021"/>
                </patternFill>
              </fill>
            </x14:dxf>
          </x14:cfRule>
          <xm:sqref>AM90:AX90</xm:sqref>
        </x14:conditionalFormatting>
        <x14:conditionalFormatting xmlns:xm="http://schemas.microsoft.com/office/excel/2006/main">
          <x14:cfRule type="expression" priority="288" id="{E356443A-4575-445D-9521-DA3E2D491853}">
            <xm:f>AND('Cover Sheet'!$E$29=0, AM$4=0, AN$4=0)</xm:f>
            <x14:dxf>
              <fill>
                <patternFill>
                  <bgColor theme="0" tint="-0.14996795556505021"/>
                </patternFill>
              </fill>
            </x14:dxf>
          </x14:cfRule>
          <xm:sqref>AM90:AX90</xm:sqref>
        </x14:conditionalFormatting>
        <x14:conditionalFormatting xmlns:xm="http://schemas.microsoft.com/office/excel/2006/main">
          <x14:cfRule type="expression" priority="287" id="{83545781-A419-464B-882E-A5C3BD5B5E66}">
            <xm:f>AND('Cover Sheet'!$E$29=0, AM$4=0, AN$4=0)</xm:f>
            <x14:dxf>
              <fill>
                <patternFill>
                  <bgColor theme="0" tint="-0.14996795556505021"/>
                </patternFill>
              </fill>
            </x14:dxf>
          </x14:cfRule>
          <xm:sqref>AM90:AX90</xm:sqref>
        </x14:conditionalFormatting>
        <x14:conditionalFormatting xmlns:xm="http://schemas.microsoft.com/office/excel/2006/main">
          <x14:cfRule type="expression" priority="286" id="{AD37808F-5A40-42A2-90BA-CF7C3D029D29}">
            <xm:f>AND('Cover Sheet'!$E$29=0, AM$4=0, AN$4=0)</xm:f>
            <x14:dxf>
              <fill>
                <patternFill>
                  <bgColor theme="0" tint="-0.14996795556505021"/>
                </patternFill>
              </fill>
            </x14:dxf>
          </x14:cfRule>
          <xm:sqref>AM90:AX90</xm:sqref>
        </x14:conditionalFormatting>
        <x14:conditionalFormatting xmlns:xm="http://schemas.microsoft.com/office/excel/2006/main">
          <x14:cfRule type="expression" priority="285" id="{CFC13052-C88B-4FBF-8B8E-5B19516D00AE}">
            <xm:f>AND('Cover Sheet'!$E$29=0, AM$4=0, AN$4=0)</xm:f>
            <x14:dxf>
              <fill>
                <patternFill>
                  <bgColor theme="0" tint="-0.14996795556505021"/>
                </patternFill>
              </fill>
            </x14:dxf>
          </x14:cfRule>
          <xm:sqref>AM90:AX90</xm:sqref>
        </x14:conditionalFormatting>
        <x14:conditionalFormatting xmlns:xm="http://schemas.microsoft.com/office/excel/2006/main">
          <x14:cfRule type="expression" priority="284" id="{E80D7F49-B2C2-49E5-8796-349B88BFBFC4}">
            <xm:f>AND('Cover Sheet'!$E$29=0, AM$4=0, AN$4=0)</xm:f>
            <x14:dxf>
              <fill>
                <patternFill>
                  <bgColor theme="0"/>
                </patternFill>
              </fill>
            </x14:dxf>
          </x14:cfRule>
          <xm:sqref>AM90:AX90</xm:sqref>
        </x14:conditionalFormatting>
        <x14:conditionalFormatting xmlns:xm="http://schemas.microsoft.com/office/excel/2006/main">
          <x14:cfRule type="expression" priority="282" id="{1152BDF6-D0FC-4740-AC9E-CA5B926BD222}">
            <xm:f>AND('Cover Sheet'!$E$29=0, AM$4=0, AN$4=0)</xm:f>
            <x14:dxf>
              <fill>
                <patternFill>
                  <bgColor theme="0" tint="-0.14996795556505021"/>
                </patternFill>
              </fill>
            </x14:dxf>
          </x14:cfRule>
          <xm:sqref>AM91:AX91</xm:sqref>
        </x14:conditionalFormatting>
        <x14:conditionalFormatting xmlns:xm="http://schemas.microsoft.com/office/excel/2006/main">
          <x14:cfRule type="expression" priority="281" id="{20A4D2C8-5412-4D7B-A8DC-F4814A121639}">
            <xm:f>AND('Cover Sheet'!$E$29=0, AM$4=0, AN$4=0)</xm:f>
            <x14:dxf>
              <fill>
                <patternFill>
                  <bgColor theme="0" tint="-0.14996795556505021"/>
                </patternFill>
              </fill>
            </x14:dxf>
          </x14:cfRule>
          <xm:sqref>AM91:AX91</xm:sqref>
        </x14:conditionalFormatting>
        <x14:conditionalFormatting xmlns:xm="http://schemas.microsoft.com/office/excel/2006/main">
          <x14:cfRule type="expression" priority="280" id="{748307B2-DEA6-46B0-9DAA-8EB0936D5BDE}">
            <xm:f>AND('Cover Sheet'!$E$29=0, AM$4=0, AN$4=0)</xm:f>
            <x14:dxf>
              <fill>
                <patternFill>
                  <bgColor theme="0" tint="-0.14996795556505021"/>
                </patternFill>
              </fill>
            </x14:dxf>
          </x14:cfRule>
          <xm:sqref>AM91:AX91</xm:sqref>
        </x14:conditionalFormatting>
        <x14:conditionalFormatting xmlns:xm="http://schemas.microsoft.com/office/excel/2006/main">
          <x14:cfRule type="expression" priority="279" id="{5599F5E4-09E5-4E59-B157-077622725F56}">
            <xm:f>AND('Cover Sheet'!$E$29=0, AM$4=0, AN$4=0)</xm:f>
            <x14:dxf>
              <fill>
                <patternFill>
                  <bgColor theme="0" tint="-0.14996795556505021"/>
                </patternFill>
              </fill>
            </x14:dxf>
          </x14:cfRule>
          <xm:sqref>AM91:AX91</xm:sqref>
        </x14:conditionalFormatting>
        <x14:conditionalFormatting xmlns:xm="http://schemas.microsoft.com/office/excel/2006/main">
          <x14:cfRule type="expression" priority="278" id="{ACA41E0B-0907-4069-95F8-08D2F39F2E1B}">
            <xm:f>AND('Cover Sheet'!$E$29=0, AM$4=0, AN$4=0)</xm:f>
            <x14:dxf>
              <fill>
                <patternFill>
                  <bgColor theme="0" tint="-0.14996795556505021"/>
                </patternFill>
              </fill>
            </x14:dxf>
          </x14:cfRule>
          <xm:sqref>AM91:AX91</xm:sqref>
        </x14:conditionalFormatting>
        <x14:conditionalFormatting xmlns:xm="http://schemas.microsoft.com/office/excel/2006/main">
          <x14:cfRule type="expression" priority="277" id="{CD295487-B653-483E-9E37-42464027702A}">
            <xm:f>AND('Cover Sheet'!$E$29=0, AM$4=0, AN$4=0)</xm:f>
            <x14:dxf>
              <fill>
                <patternFill>
                  <bgColor theme="0"/>
                </patternFill>
              </fill>
            </x14:dxf>
          </x14:cfRule>
          <xm:sqref>AM91:AX91</xm:sqref>
        </x14:conditionalFormatting>
        <x14:conditionalFormatting xmlns:xm="http://schemas.microsoft.com/office/excel/2006/main">
          <x14:cfRule type="expression" priority="275" id="{DD8B8A19-DBF8-403B-BD5E-803152B43A8D}">
            <xm:f>AND('Cover Sheet'!$E$29=0, AM$4=0, AN$4=0)</xm:f>
            <x14:dxf>
              <fill>
                <patternFill>
                  <bgColor theme="0" tint="-0.14996795556505021"/>
                </patternFill>
              </fill>
            </x14:dxf>
          </x14:cfRule>
          <xm:sqref>AM92:AX92</xm:sqref>
        </x14:conditionalFormatting>
        <x14:conditionalFormatting xmlns:xm="http://schemas.microsoft.com/office/excel/2006/main">
          <x14:cfRule type="expression" priority="274" id="{A3CBB971-8372-415F-8FAA-76BAB7338E96}">
            <xm:f>AND('Cover Sheet'!$E$29=0, AM$4=0, AN$4=0)</xm:f>
            <x14:dxf>
              <fill>
                <patternFill>
                  <bgColor theme="0" tint="-0.14996795556505021"/>
                </patternFill>
              </fill>
            </x14:dxf>
          </x14:cfRule>
          <xm:sqref>AM92:AX92</xm:sqref>
        </x14:conditionalFormatting>
        <x14:conditionalFormatting xmlns:xm="http://schemas.microsoft.com/office/excel/2006/main">
          <x14:cfRule type="expression" priority="273" id="{5882E01D-FC20-4CF5-B6DC-97D718060F95}">
            <xm:f>AND('Cover Sheet'!$E$29=0, AM$4=0, AN$4=0)</xm:f>
            <x14:dxf>
              <fill>
                <patternFill>
                  <bgColor theme="0" tint="-0.14996795556505021"/>
                </patternFill>
              </fill>
            </x14:dxf>
          </x14:cfRule>
          <xm:sqref>AM92:AX92</xm:sqref>
        </x14:conditionalFormatting>
        <x14:conditionalFormatting xmlns:xm="http://schemas.microsoft.com/office/excel/2006/main">
          <x14:cfRule type="expression" priority="272" id="{DB169B17-0A4D-42C2-B1C4-45DAD1855E1C}">
            <xm:f>AND('Cover Sheet'!$E$29=0, AM$4=0, AN$4=0)</xm:f>
            <x14:dxf>
              <fill>
                <patternFill>
                  <bgColor theme="0" tint="-0.14996795556505021"/>
                </patternFill>
              </fill>
            </x14:dxf>
          </x14:cfRule>
          <xm:sqref>AM92:AX92</xm:sqref>
        </x14:conditionalFormatting>
        <x14:conditionalFormatting xmlns:xm="http://schemas.microsoft.com/office/excel/2006/main">
          <x14:cfRule type="expression" priority="271" id="{FD504AA2-EA71-4C32-B6EC-35311C5BC7EF}">
            <xm:f>AND('Cover Sheet'!$E$29=0, AM$4=0, AN$4=0)</xm:f>
            <x14:dxf>
              <fill>
                <patternFill>
                  <bgColor theme="0" tint="-0.14996795556505021"/>
                </patternFill>
              </fill>
            </x14:dxf>
          </x14:cfRule>
          <xm:sqref>AM92:AX92</xm:sqref>
        </x14:conditionalFormatting>
        <x14:conditionalFormatting xmlns:xm="http://schemas.microsoft.com/office/excel/2006/main">
          <x14:cfRule type="expression" priority="270" id="{59513C82-DA0B-458A-8FFA-0CB0D3C016AD}">
            <xm:f>AND('Cover Sheet'!$E$29=0, AM$4=0, AN$4=0)</xm:f>
            <x14:dxf>
              <fill>
                <patternFill>
                  <bgColor theme="0"/>
                </patternFill>
              </fill>
            </x14:dxf>
          </x14:cfRule>
          <xm:sqref>AM92:AX92</xm:sqref>
        </x14:conditionalFormatting>
        <x14:conditionalFormatting xmlns:xm="http://schemas.microsoft.com/office/excel/2006/main">
          <x14:cfRule type="expression" priority="268" id="{4E5D56D9-1FC8-44A0-92C1-D4D202D092B1}">
            <xm:f>AND('Cover Sheet'!$E$29=0, AM$4=0, AN$4=0)</xm:f>
            <x14:dxf>
              <fill>
                <patternFill>
                  <bgColor theme="0" tint="-0.14996795556505021"/>
                </patternFill>
              </fill>
            </x14:dxf>
          </x14:cfRule>
          <xm:sqref>AM93:AX93</xm:sqref>
        </x14:conditionalFormatting>
        <x14:conditionalFormatting xmlns:xm="http://schemas.microsoft.com/office/excel/2006/main">
          <x14:cfRule type="expression" priority="267" id="{5263790B-D160-4670-91AC-859C4669CC3F}">
            <xm:f>AND('Cover Sheet'!$E$29=0, AM$4=0, AN$4=0)</xm:f>
            <x14:dxf>
              <fill>
                <patternFill>
                  <bgColor theme="0" tint="-0.14996795556505021"/>
                </patternFill>
              </fill>
            </x14:dxf>
          </x14:cfRule>
          <xm:sqref>AM93:AX93</xm:sqref>
        </x14:conditionalFormatting>
        <x14:conditionalFormatting xmlns:xm="http://schemas.microsoft.com/office/excel/2006/main">
          <x14:cfRule type="expression" priority="266" id="{2228B87C-BEA2-4CDB-8B0C-810168E60685}">
            <xm:f>AND('Cover Sheet'!$E$29=0, AM$4=0, AN$4=0)</xm:f>
            <x14:dxf>
              <fill>
                <patternFill>
                  <bgColor theme="0" tint="-0.14996795556505021"/>
                </patternFill>
              </fill>
            </x14:dxf>
          </x14:cfRule>
          <xm:sqref>AM93:AX93</xm:sqref>
        </x14:conditionalFormatting>
        <x14:conditionalFormatting xmlns:xm="http://schemas.microsoft.com/office/excel/2006/main">
          <x14:cfRule type="expression" priority="265" id="{B7AB74FA-CACB-45DC-B36F-BFFED00D2A52}">
            <xm:f>AND('Cover Sheet'!$E$29=0, AM$4=0, AN$4=0)</xm:f>
            <x14:dxf>
              <fill>
                <patternFill>
                  <bgColor theme="0" tint="-0.14996795556505021"/>
                </patternFill>
              </fill>
            </x14:dxf>
          </x14:cfRule>
          <xm:sqref>AM93:AX93</xm:sqref>
        </x14:conditionalFormatting>
        <x14:conditionalFormatting xmlns:xm="http://schemas.microsoft.com/office/excel/2006/main">
          <x14:cfRule type="expression" priority="264" id="{2C2A30AE-DEA7-409B-84D9-7323DA0AD008}">
            <xm:f>AND('Cover Sheet'!$E$29=0, AM$4=0, AN$4=0)</xm:f>
            <x14:dxf>
              <fill>
                <patternFill>
                  <bgColor theme="0" tint="-0.14996795556505021"/>
                </patternFill>
              </fill>
            </x14:dxf>
          </x14:cfRule>
          <xm:sqref>AM93:AX93</xm:sqref>
        </x14:conditionalFormatting>
        <x14:conditionalFormatting xmlns:xm="http://schemas.microsoft.com/office/excel/2006/main">
          <x14:cfRule type="expression" priority="263" id="{6E280CFB-C0BF-4252-A191-6B501CC38BBE}">
            <xm:f>AND('Cover Sheet'!$E$29=0, AM$4=0, AN$4=0)</xm:f>
            <x14:dxf>
              <fill>
                <patternFill>
                  <bgColor theme="0"/>
                </patternFill>
              </fill>
            </x14:dxf>
          </x14:cfRule>
          <xm:sqref>AM93:AX93</xm:sqref>
        </x14:conditionalFormatting>
        <x14:conditionalFormatting xmlns:xm="http://schemas.microsoft.com/office/excel/2006/main">
          <x14:cfRule type="expression" priority="261" id="{AEE4E4D1-1A1E-4701-A179-C0A5DEAD4439}">
            <xm:f>AND('Cover Sheet'!$E$29=0, AM$4=0, AN$4=0)</xm:f>
            <x14:dxf>
              <fill>
                <patternFill>
                  <bgColor theme="0" tint="-0.14996795556505021"/>
                </patternFill>
              </fill>
            </x14:dxf>
          </x14:cfRule>
          <xm:sqref>AM94:AX94</xm:sqref>
        </x14:conditionalFormatting>
        <x14:conditionalFormatting xmlns:xm="http://schemas.microsoft.com/office/excel/2006/main">
          <x14:cfRule type="expression" priority="260" id="{10C2D1B0-AB46-4EE9-899D-E7F47222E3EC}">
            <xm:f>AND('Cover Sheet'!$E$29=0, AM$4=0, AN$4=0)</xm:f>
            <x14:dxf>
              <fill>
                <patternFill>
                  <bgColor theme="0" tint="-0.14996795556505021"/>
                </patternFill>
              </fill>
            </x14:dxf>
          </x14:cfRule>
          <xm:sqref>AM94:AX94</xm:sqref>
        </x14:conditionalFormatting>
        <x14:conditionalFormatting xmlns:xm="http://schemas.microsoft.com/office/excel/2006/main">
          <x14:cfRule type="expression" priority="259" id="{0326DEA1-0AEC-4E7E-ABF8-0592F66364A9}">
            <xm:f>AND('Cover Sheet'!$E$29=0, AM$4=0, AN$4=0)</xm:f>
            <x14:dxf>
              <fill>
                <patternFill>
                  <bgColor theme="0" tint="-0.14996795556505021"/>
                </patternFill>
              </fill>
            </x14:dxf>
          </x14:cfRule>
          <xm:sqref>AM94:AX94</xm:sqref>
        </x14:conditionalFormatting>
        <x14:conditionalFormatting xmlns:xm="http://schemas.microsoft.com/office/excel/2006/main">
          <x14:cfRule type="expression" priority="258" id="{4B8D9BC1-7EF7-442F-A7F1-0508D6799666}">
            <xm:f>AND('Cover Sheet'!$E$29=0, AM$4=0, AN$4=0)</xm:f>
            <x14:dxf>
              <fill>
                <patternFill>
                  <bgColor theme="0" tint="-0.14996795556505021"/>
                </patternFill>
              </fill>
            </x14:dxf>
          </x14:cfRule>
          <xm:sqref>AM94:AX94</xm:sqref>
        </x14:conditionalFormatting>
        <x14:conditionalFormatting xmlns:xm="http://schemas.microsoft.com/office/excel/2006/main">
          <x14:cfRule type="expression" priority="257" id="{77D64640-48F9-4A52-9208-F50DB852F109}">
            <xm:f>AND('Cover Sheet'!$E$29=0, AM$4=0, AN$4=0)</xm:f>
            <x14:dxf>
              <fill>
                <patternFill>
                  <bgColor theme="0" tint="-0.14996795556505021"/>
                </patternFill>
              </fill>
            </x14:dxf>
          </x14:cfRule>
          <xm:sqref>AM94:AX94</xm:sqref>
        </x14:conditionalFormatting>
        <x14:conditionalFormatting xmlns:xm="http://schemas.microsoft.com/office/excel/2006/main">
          <x14:cfRule type="expression" priority="256" id="{4F14E043-D018-458E-8B89-2B6A2A792124}">
            <xm:f>AND('Cover Sheet'!$E$29=0, AM$4=0, AN$4=0)</xm:f>
            <x14:dxf>
              <fill>
                <patternFill>
                  <bgColor theme="0"/>
                </patternFill>
              </fill>
            </x14:dxf>
          </x14:cfRule>
          <xm:sqref>AM94:AX94</xm:sqref>
        </x14:conditionalFormatting>
        <x14:conditionalFormatting xmlns:xm="http://schemas.microsoft.com/office/excel/2006/main">
          <x14:cfRule type="expression" priority="212" id="{A6B4CA04-435A-43F2-AF74-605E88EC5B77}">
            <xm:f>AND('Cover Sheet'!$E$29=0, AM$4=0, AN$4=0)</xm:f>
            <x14:dxf>
              <fill>
                <patternFill>
                  <bgColor theme="0" tint="-0.14996795556505021"/>
                </patternFill>
              </fill>
            </x14:dxf>
          </x14:cfRule>
          <xm:sqref>AM122:AX122</xm:sqref>
        </x14:conditionalFormatting>
        <x14:conditionalFormatting xmlns:xm="http://schemas.microsoft.com/office/excel/2006/main">
          <x14:cfRule type="expression" priority="211" id="{3524F7A0-39A0-4E30-93AD-B1799A0BCBC5}">
            <xm:f>AND('Cover Sheet'!$E$29=0, AM$4=0, AN$4=0)</xm:f>
            <x14:dxf>
              <fill>
                <patternFill>
                  <bgColor theme="0" tint="-0.14996795556505021"/>
                </patternFill>
              </fill>
            </x14:dxf>
          </x14:cfRule>
          <xm:sqref>AM122:AX122</xm:sqref>
        </x14:conditionalFormatting>
        <x14:conditionalFormatting xmlns:xm="http://schemas.microsoft.com/office/excel/2006/main">
          <x14:cfRule type="expression" priority="210" id="{4D10A81A-F7C3-4FA6-9263-1B4AA88A7060}">
            <xm:f>AND('Cover Sheet'!$E$29=0, AM$4=0, AN$4=0)</xm:f>
            <x14:dxf>
              <fill>
                <patternFill>
                  <bgColor theme="0" tint="-0.14996795556505021"/>
                </patternFill>
              </fill>
            </x14:dxf>
          </x14:cfRule>
          <xm:sqref>AM122:AX122</xm:sqref>
        </x14:conditionalFormatting>
        <x14:conditionalFormatting xmlns:xm="http://schemas.microsoft.com/office/excel/2006/main">
          <x14:cfRule type="expression" priority="209" id="{90AAF74C-0558-492F-8F0B-8C1D701A7375}">
            <xm:f>AND('Cover Sheet'!$E$29=0, AM$4=0, AN$4=0)</xm:f>
            <x14:dxf>
              <fill>
                <patternFill>
                  <bgColor theme="0" tint="-0.14996795556505021"/>
                </patternFill>
              </fill>
            </x14:dxf>
          </x14:cfRule>
          <xm:sqref>AM122:AX122</xm:sqref>
        </x14:conditionalFormatting>
        <x14:conditionalFormatting xmlns:xm="http://schemas.microsoft.com/office/excel/2006/main">
          <x14:cfRule type="expression" priority="208" id="{5F388F55-E0EF-407D-84CE-43F48D9EBE66}">
            <xm:f>AND('Cover Sheet'!$E$29=0, AM$4=0, AN$4=0)</xm:f>
            <x14:dxf>
              <fill>
                <patternFill>
                  <bgColor theme="0" tint="-0.14996795556505021"/>
                </patternFill>
              </fill>
            </x14:dxf>
          </x14:cfRule>
          <xm:sqref>AM122:AX122</xm:sqref>
        </x14:conditionalFormatting>
        <x14:conditionalFormatting xmlns:xm="http://schemas.microsoft.com/office/excel/2006/main">
          <x14:cfRule type="expression" priority="207" id="{54EF449D-9F93-4704-B9EF-F75C23093FD2}">
            <xm:f>AND('Cover Sheet'!$E$29=0, AM$4=0, AN$4=0)</xm:f>
            <x14:dxf>
              <fill>
                <patternFill>
                  <bgColor theme="0"/>
                </patternFill>
              </fill>
            </x14:dxf>
          </x14:cfRule>
          <xm:sqref>AM122:AX122</xm:sqref>
        </x14:conditionalFormatting>
        <x14:conditionalFormatting xmlns:xm="http://schemas.microsoft.com/office/excel/2006/main">
          <x14:cfRule type="expression" priority="205" id="{7AB5F119-130E-4C63-9552-175DEA6CABB2}">
            <xm:f>AND('Cover Sheet'!$E$29=0, AM$4=0, AN$4=0)</xm:f>
            <x14:dxf>
              <fill>
                <patternFill>
                  <bgColor theme="0" tint="-0.14996795556505021"/>
                </patternFill>
              </fill>
            </x14:dxf>
          </x14:cfRule>
          <xm:sqref>AM123:AX123</xm:sqref>
        </x14:conditionalFormatting>
        <x14:conditionalFormatting xmlns:xm="http://schemas.microsoft.com/office/excel/2006/main">
          <x14:cfRule type="expression" priority="204" id="{716F2ABB-73E6-484E-A79B-FC6E351B2354}">
            <xm:f>AND('Cover Sheet'!$E$29=0, AM$4=0, AN$4=0)</xm:f>
            <x14:dxf>
              <fill>
                <patternFill>
                  <bgColor theme="0" tint="-0.14996795556505021"/>
                </patternFill>
              </fill>
            </x14:dxf>
          </x14:cfRule>
          <xm:sqref>AM123:AX123</xm:sqref>
        </x14:conditionalFormatting>
        <x14:conditionalFormatting xmlns:xm="http://schemas.microsoft.com/office/excel/2006/main">
          <x14:cfRule type="expression" priority="203" id="{A5A8C504-7AA4-48EB-A21B-7A285D4CD58D}">
            <xm:f>AND('Cover Sheet'!$E$29=0, AM$4=0, AN$4=0)</xm:f>
            <x14:dxf>
              <fill>
                <patternFill>
                  <bgColor theme="0" tint="-0.14996795556505021"/>
                </patternFill>
              </fill>
            </x14:dxf>
          </x14:cfRule>
          <xm:sqref>AM123:AX123</xm:sqref>
        </x14:conditionalFormatting>
        <x14:conditionalFormatting xmlns:xm="http://schemas.microsoft.com/office/excel/2006/main">
          <x14:cfRule type="expression" priority="202" id="{F465984E-382B-481A-8670-719B103CCA0B}">
            <xm:f>AND('Cover Sheet'!$E$29=0, AM$4=0, AN$4=0)</xm:f>
            <x14:dxf>
              <fill>
                <patternFill>
                  <bgColor theme="0" tint="-0.14996795556505021"/>
                </patternFill>
              </fill>
            </x14:dxf>
          </x14:cfRule>
          <xm:sqref>AM123:AX123</xm:sqref>
        </x14:conditionalFormatting>
        <x14:conditionalFormatting xmlns:xm="http://schemas.microsoft.com/office/excel/2006/main">
          <x14:cfRule type="expression" priority="201" id="{0EB7F501-DD18-4007-8FC6-A867967F9F03}">
            <xm:f>AND('Cover Sheet'!$E$29=0, AM$4=0, AN$4=0)</xm:f>
            <x14:dxf>
              <fill>
                <patternFill>
                  <bgColor theme="0" tint="-0.14996795556505021"/>
                </patternFill>
              </fill>
            </x14:dxf>
          </x14:cfRule>
          <xm:sqref>AM123:AX123</xm:sqref>
        </x14:conditionalFormatting>
        <x14:conditionalFormatting xmlns:xm="http://schemas.microsoft.com/office/excel/2006/main">
          <x14:cfRule type="expression" priority="200" id="{49A33109-9C90-48B9-A3D4-D869DE4A9A21}">
            <xm:f>AND('Cover Sheet'!$E$29=0, AM$4=0, AN$4=0)</xm:f>
            <x14:dxf>
              <fill>
                <patternFill>
                  <bgColor theme="0"/>
                </patternFill>
              </fill>
            </x14:dxf>
          </x14:cfRule>
          <xm:sqref>AM123:AX123</xm:sqref>
        </x14:conditionalFormatting>
        <x14:conditionalFormatting xmlns:xm="http://schemas.microsoft.com/office/excel/2006/main">
          <x14:cfRule type="expression" priority="198" id="{37E7E51C-1350-41B0-83B6-0D943E4BA55F}">
            <xm:f>AND('Cover Sheet'!$E$29=0, AM$4=0, AN$4=0)</xm:f>
            <x14:dxf>
              <fill>
                <patternFill>
                  <bgColor theme="0" tint="-0.14996795556505021"/>
                </patternFill>
              </fill>
            </x14:dxf>
          </x14:cfRule>
          <xm:sqref>AM124:AX124</xm:sqref>
        </x14:conditionalFormatting>
        <x14:conditionalFormatting xmlns:xm="http://schemas.microsoft.com/office/excel/2006/main">
          <x14:cfRule type="expression" priority="197" id="{B3DE4CE9-9195-4190-B35B-5D4CE265FC40}">
            <xm:f>AND('Cover Sheet'!$E$29=0, AM$4=0, AN$4=0)</xm:f>
            <x14:dxf>
              <fill>
                <patternFill>
                  <bgColor theme="0" tint="-0.14996795556505021"/>
                </patternFill>
              </fill>
            </x14:dxf>
          </x14:cfRule>
          <xm:sqref>AM124:AX124</xm:sqref>
        </x14:conditionalFormatting>
        <x14:conditionalFormatting xmlns:xm="http://schemas.microsoft.com/office/excel/2006/main">
          <x14:cfRule type="expression" priority="196" id="{877EE476-38BB-421B-B4A0-28A31709487C}">
            <xm:f>AND('Cover Sheet'!$E$29=0, AM$4=0, AN$4=0)</xm:f>
            <x14:dxf>
              <fill>
                <patternFill>
                  <bgColor theme="0" tint="-0.14996795556505021"/>
                </patternFill>
              </fill>
            </x14:dxf>
          </x14:cfRule>
          <xm:sqref>AM124:AX124</xm:sqref>
        </x14:conditionalFormatting>
        <x14:conditionalFormatting xmlns:xm="http://schemas.microsoft.com/office/excel/2006/main">
          <x14:cfRule type="expression" priority="195" id="{D241D6C3-5E38-4CD4-B25B-742D467CC7BF}">
            <xm:f>AND('Cover Sheet'!$E$29=0, AM$4=0, AN$4=0)</xm:f>
            <x14:dxf>
              <fill>
                <patternFill>
                  <bgColor theme="0" tint="-0.14996795556505021"/>
                </patternFill>
              </fill>
            </x14:dxf>
          </x14:cfRule>
          <xm:sqref>AM124:AX124</xm:sqref>
        </x14:conditionalFormatting>
        <x14:conditionalFormatting xmlns:xm="http://schemas.microsoft.com/office/excel/2006/main">
          <x14:cfRule type="expression" priority="194" id="{07C71D27-9DD5-479B-8D57-4021D704B13E}">
            <xm:f>AND('Cover Sheet'!$E$29=0, AM$4=0, AN$4=0)</xm:f>
            <x14:dxf>
              <fill>
                <patternFill>
                  <bgColor theme="0" tint="-0.14996795556505021"/>
                </patternFill>
              </fill>
            </x14:dxf>
          </x14:cfRule>
          <xm:sqref>AM124:AX124</xm:sqref>
        </x14:conditionalFormatting>
        <x14:conditionalFormatting xmlns:xm="http://schemas.microsoft.com/office/excel/2006/main">
          <x14:cfRule type="expression" priority="193" id="{F64C4CDD-FF41-4B5C-98FE-2E42C5702641}">
            <xm:f>AND('Cover Sheet'!$E$29=0, AM$4=0, AN$4=0)</xm:f>
            <x14:dxf>
              <fill>
                <patternFill>
                  <bgColor theme="0"/>
                </patternFill>
              </fill>
            </x14:dxf>
          </x14:cfRule>
          <xm:sqref>AM124:AX124</xm:sqref>
        </x14:conditionalFormatting>
        <x14:conditionalFormatting xmlns:xm="http://schemas.microsoft.com/office/excel/2006/main">
          <x14:cfRule type="expression" priority="191" id="{59EFCDA4-6695-4E38-A8DE-D98E45E69206}">
            <xm:f>AND('Cover Sheet'!$E$29=0, AM$4=0, AN$4=0)</xm:f>
            <x14:dxf>
              <fill>
                <patternFill>
                  <bgColor theme="0" tint="-0.14996795556505021"/>
                </patternFill>
              </fill>
            </x14:dxf>
          </x14:cfRule>
          <xm:sqref>AM125:AX125</xm:sqref>
        </x14:conditionalFormatting>
        <x14:conditionalFormatting xmlns:xm="http://schemas.microsoft.com/office/excel/2006/main">
          <x14:cfRule type="expression" priority="190" id="{CEBF05AF-51A1-464C-8D49-61C1E5FDE8C9}">
            <xm:f>AND('Cover Sheet'!$E$29=0, AM$4=0, AN$4=0)</xm:f>
            <x14:dxf>
              <fill>
                <patternFill>
                  <bgColor theme="0" tint="-0.14996795556505021"/>
                </patternFill>
              </fill>
            </x14:dxf>
          </x14:cfRule>
          <xm:sqref>AM125:AX125</xm:sqref>
        </x14:conditionalFormatting>
        <x14:conditionalFormatting xmlns:xm="http://schemas.microsoft.com/office/excel/2006/main">
          <x14:cfRule type="expression" priority="189" id="{4F8CE034-D916-4266-A422-5FA70F2955E6}">
            <xm:f>AND('Cover Sheet'!$E$29=0, AM$4=0, AN$4=0)</xm:f>
            <x14:dxf>
              <fill>
                <patternFill>
                  <bgColor theme="0" tint="-0.14996795556505021"/>
                </patternFill>
              </fill>
            </x14:dxf>
          </x14:cfRule>
          <xm:sqref>AM125:AX125</xm:sqref>
        </x14:conditionalFormatting>
        <x14:conditionalFormatting xmlns:xm="http://schemas.microsoft.com/office/excel/2006/main">
          <x14:cfRule type="expression" priority="188" id="{5D642340-70DE-4D63-9FB5-764CBB4079DC}">
            <xm:f>AND('Cover Sheet'!$E$29=0, AM$4=0, AN$4=0)</xm:f>
            <x14:dxf>
              <fill>
                <patternFill>
                  <bgColor theme="0" tint="-0.14996795556505021"/>
                </patternFill>
              </fill>
            </x14:dxf>
          </x14:cfRule>
          <xm:sqref>AM125:AX125</xm:sqref>
        </x14:conditionalFormatting>
        <x14:conditionalFormatting xmlns:xm="http://schemas.microsoft.com/office/excel/2006/main">
          <x14:cfRule type="expression" priority="187" id="{ADE68578-CB7D-4D8B-A850-FB59ACC565F9}">
            <xm:f>AND('Cover Sheet'!$E$29=0, AM$4=0, AN$4=0)</xm:f>
            <x14:dxf>
              <fill>
                <patternFill>
                  <bgColor theme="0" tint="-0.14996795556505021"/>
                </patternFill>
              </fill>
            </x14:dxf>
          </x14:cfRule>
          <xm:sqref>AM125:AX125</xm:sqref>
        </x14:conditionalFormatting>
        <x14:conditionalFormatting xmlns:xm="http://schemas.microsoft.com/office/excel/2006/main">
          <x14:cfRule type="expression" priority="186" id="{7D9CBC78-C47F-4CCF-88D6-C7112FD1827A}">
            <xm:f>AND('Cover Sheet'!$E$29=0, AM$4=0, AN$4=0)</xm:f>
            <x14:dxf>
              <fill>
                <patternFill>
                  <bgColor theme="0"/>
                </patternFill>
              </fill>
            </x14:dxf>
          </x14:cfRule>
          <xm:sqref>AM125:AX125</xm:sqref>
        </x14:conditionalFormatting>
        <x14:conditionalFormatting xmlns:xm="http://schemas.microsoft.com/office/excel/2006/main">
          <x14:cfRule type="expression" priority="184" id="{85A1A557-4B97-482C-931D-276A2846A3AE}">
            <xm:f>AND('Cover Sheet'!$E$29=0, AM$4=0, AN$4=0)</xm:f>
            <x14:dxf>
              <fill>
                <patternFill>
                  <bgColor theme="0" tint="-0.14996795556505021"/>
                </patternFill>
              </fill>
            </x14:dxf>
          </x14:cfRule>
          <xm:sqref>AM126:AX126</xm:sqref>
        </x14:conditionalFormatting>
        <x14:conditionalFormatting xmlns:xm="http://schemas.microsoft.com/office/excel/2006/main">
          <x14:cfRule type="expression" priority="183" id="{3E80FB0B-07B2-4151-AADE-2F4897883789}">
            <xm:f>AND('Cover Sheet'!$E$29=0, AM$4=0, AN$4=0)</xm:f>
            <x14:dxf>
              <fill>
                <patternFill>
                  <bgColor theme="0" tint="-0.14996795556505021"/>
                </patternFill>
              </fill>
            </x14:dxf>
          </x14:cfRule>
          <xm:sqref>AM126:AX126</xm:sqref>
        </x14:conditionalFormatting>
        <x14:conditionalFormatting xmlns:xm="http://schemas.microsoft.com/office/excel/2006/main">
          <x14:cfRule type="expression" priority="182" id="{6B97464D-8797-47B0-84E4-C376EA174739}">
            <xm:f>AND('Cover Sheet'!$E$29=0, AM$4=0, AN$4=0)</xm:f>
            <x14:dxf>
              <fill>
                <patternFill>
                  <bgColor theme="0" tint="-0.14996795556505021"/>
                </patternFill>
              </fill>
            </x14:dxf>
          </x14:cfRule>
          <xm:sqref>AM126:AX126</xm:sqref>
        </x14:conditionalFormatting>
        <x14:conditionalFormatting xmlns:xm="http://schemas.microsoft.com/office/excel/2006/main">
          <x14:cfRule type="expression" priority="181" id="{B0AE52DD-00FF-42F0-A8FA-FB8E683509C2}">
            <xm:f>AND('Cover Sheet'!$E$29=0, AM$4=0, AN$4=0)</xm:f>
            <x14:dxf>
              <fill>
                <patternFill>
                  <bgColor theme="0" tint="-0.14996795556505021"/>
                </patternFill>
              </fill>
            </x14:dxf>
          </x14:cfRule>
          <xm:sqref>AM126:AX126</xm:sqref>
        </x14:conditionalFormatting>
        <x14:conditionalFormatting xmlns:xm="http://schemas.microsoft.com/office/excel/2006/main">
          <x14:cfRule type="expression" priority="180" id="{33C266B5-527B-4033-9C0D-B371D482DD97}">
            <xm:f>AND('Cover Sheet'!$E$29=0, AM$4=0, AN$4=0)</xm:f>
            <x14:dxf>
              <fill>
                <patternFill>
                  <bgColor theme="0" tint="-0.14996795556505021"/>
                </patternFill>
              </fill>
            </x14:dxf>
          </x14:cfRule>
          <xm:sqref>AM126:AX126</xm:sqref>
        </x14:conditionalFormatting>
        <x14:conditionalFormatting xmlns:xm="http://schemas.microsoft.com/office/excel/2006/main">
          <x14:cfRule type="expression" priority="179" id="{F4FADC79-21DA-4ACA-982B-AD1A92552D1D}">
            <xm:f>AND('Cover Sheet'!$E$29=0, AM$4=0, AN$4=0)</xm:f>
            <x14:dxf>
              <fill>
                <patternFill>
                  <bgColor theme="0"/>
                </patternFill>
              </fill>
            </x14:dxf>
          </x14:cfRule>
          <xm:sqref>AM126:AX126</xm:sqref>
        </x14:conditionalFormatting>
        <x14:conditionalFormatting xmlns:xm="http://schemas.microsoft.com/office/excel/2006/main">
          <x14:cfRule type="expression" priority="177" id="{9BCA277A-A242-4FCB-9B18-F3794FB57B1E}">
            <xm:f>AND('Cover Sheet'!$E$29=0, AM$4=0, AN$4=0)</xm:f>
            <x14:dxf>
              <fill>
                <patternFill>
                  <bgColor theme="0" tint="-0.14996795556505021"/>
                </patternFill>
              </fill>
            </x14:dxf>
          </x14:cfRule>
          <xm:sqref>AM127:AX127</xm:sqref>
        </x14:conditionalFormatting>
        <x14:conditionalFormatting xmlns:xm="http://schemas.microsoft.com/office/excel/2006/main">
          <x14:cfRule type="expression" priority="176" id="{F8863B7B-9C64-4590-B120-7249C8C5D122}">
            <xm:f>AND('Cover Sheet'!$E$29=0, AM$4=0, AN$4=0)</xm:f>
            <x14:dxf>
              <fill>
                <patternFill>
                  <bgColor theme="0" tint="-0.14996795556505021"/>
                </patternFill>
              </fill>
            </x14:dxf>
          </x14:cfRule>
          <xm:sqref>AM127:AX127</xm:sqref>
        </x14:conditionalFormatting>
        <x14:conditionalFormatting xmlns:xm="http://schemas.microsoft.com/office/excel/2006/main">
          <x14:cfRule type="expression" priority="175" id="{6AA8530E-1399-4A8F-BA6F-43EACDF8DCCA}">
            <xm:f>AND('Cover Sheet'!$E$29=0, AM$4=0, AN$4=0)</xm:f>
            <x14:dxf>
              <fill>
                <patternFill>
                  <bgColor theme="0" tint="-0.14996795556505021"/>
                </patternFill>
              </fill>
            </x14:dxf>
          </x14:cfRule>
          <xm:sqref>AM127:AX127</xm:sqref>
        </x14:conditionalFormatting>
        <x14:conditionalFormatting xmlns:xm="http://schemas.microsoft.com/office/excel/2006/main">
          <x14:cfRule type="expression" priority="174" id="{FC86C3CB-0875-4DFF-8837-719EBFBD36EF}">
            <xm:f>AND('Cover Sheet'!$E$29=0, AM$4=0, AN$4=0)</xm:f>
            <x14:dxf>
              <fill>
                <patternFill>
                  <bgColor theme="0" tint="-0.14996795556505021"/>
                </patternFill>
              </fill>
            </x14:dxf>
          </x14:cfRule>
          <xm:sqref>AM127:AX127</xm:sqref>
        </x14:conditionalFormatting>
        <x14:conditionalFormatting xmlns:xm="http://schemas.microsoft.com/office/excel/2006/main">
          <x14:cfRule type="expression" priority="173" id="{4C24F7DD-F3F8-4981-B8D4-A6CA4AFE264E}">
            <xm:f>AND('Cover Sheet'!$E$29=0, AM$4=0, AN$4=0)</xm:f>
            <x14:dxf>
              <fill>
                <patternFill>
                  <bgColor theme="0" tint="-0.14996795556505021"/>
                </patternFill>
              </fill>
            </x14:dxf>
          </x14:cfRule>
          <xm:sqref>AM127:AX127</xm:sqref>
        </x14:conditionalFormatting>
        <x14:conditionalFormatting xmlns:xm="http://schemas.microsoft.com/office/excel/2006/main">
          <x14:cfRule type="expression" priority="172" id="{411BE938-1FA9-47F2-839B-EA06113A24EA}">
            <xm:f>AND('Cover Sheet'!$E$29=0, AM$4=0, AN$4=0)</xm:f>
            <x14:dxf>
              <fill>
                <patternFill>
                  <bgColor theme="0"/>
                </patternFill>
              </fill>
            </x14:dxf>
          </x14:cfRule>
          <xm:sqref>AM127:AX127</xm:sqref>
        </x14:conditionalFormatting>
        <x14:conditionalFormatting xmlns:xm="http://schemas.microsoft.com/office/excel/2006/main">
          <x14:cfRule type="expression" priority="121" id="{2A4AB47A-078E-487C-83AC-2980D86DE10B}">
            <xm:f>AND('Cover Sheet'!$E$29=0, AM$4=0, AN$4=0)</xm:f>
            <x14:dxf>
              <fill>
                <patternFill>
                  <bgColor theme="0" tint="-0.14996795556505021"/>
                </patternFill>
              </fill>
            </x14:dxf>
          </x14:cfRule>
          <xm:sqref>AM137:AX137</xm:sqref>
        </x14:conditionalFormatting>
        <x14:conditionalFormatting xmlns:xm="http://schemas.microsoft.com/office/excel/2006/main">
          <x14:cfRule type="expression" priority="120" id="{DDF0204A-FC60-4DBD-B807-FD22895ECABE}">
            <xm:f>AND('Cover Sheet'!$E$29=0, AM$4=0, AN$4=0)</xm:f>
            <x14:dxf>
              <fill>
                <patternFill>
                  <bgColor theme="0" tint="-0.14996795556505021"/>
                </patternFill>
              </fill>
            </x14:dxf>
          </x14:cfRule>
          <xm:sqref>AM137:AX137</xm:sqref>
        </x14:conditionalFormatting>
        <x14:conditionalFormatting xmlns:xm="http://schemas.microsoft.com/office/excel/2006/main">
          <x14:cfRule type="expression" priority="119" id="{B9BB2DAB-BD09-4A69-8AE9-2F1DD4BEE60F}">
            <xm:f>AND('Cover Sheet'!$E$29=0, AM$4=0, AN$4=0)</xm:f>
            <x14:dxf>
              <fill>
                <patternFill>
                  <bgColor theme="0" tint="-0.14996795556505021"/>
                </patternFill>
              </fill>
            </x14:dxf>
          </x14:cfRule>
          <xm:sqref>AM137:AX137</xm:sqref>
        </x14:conditionalFormatting>
        <x14:conditionalFormatting xmlns:xm="http://schemas.microsoft.com/office/excel/2006/main">
          <x14:cfRule type="expression" priority="118" id="{37484BAE-203A-45E5-8CD4-E9F05D86BF68}">
            <xm:f>AND('Cover Sheet'!$E$29=0, AM$4=0, AN$4=0)</xm:f>
            <x14:dxf>
              <fill>
                <patternFill>
                  <bgColor theme="0" tint="-0.14996795556505021"/>
                </patternFill>
              </fill>
            </x14:dxf>
          </x14:cfRule>
          <xm:sqref>AM137:AX137</xm:sqref>
        </x14:conditionalFormatting>
        <x14:conditionalFormatting xmlns:xm="http://schemas.microsoft.com/office/excel/2006/main">
          <x14:cfRule type="expression" priority="117" id="{D6210D88-8CDB-4DD7-BC47-A1400002F86C}">
            <xm:f>AND('Cover Sheet'!$E$29=0, AM$4=0, AN$4=0)</xm:f>
            <x14:dxf>
              <fill>
                <patternFill>
                  <bgColor theme="0" tint="-0.14996795556505021"/>
                </patternFill>
              </fill>
            </x14:dxf>
          </x14:cfRule>
          <xm:sqref>AM137:AX137</xm:sqref>
        </x14:conditionalFormatting>
        <x14:conditionalFormatting xmlns:xm="http://schemas.microsoft.com/office/excel/2006/main">
          <x14:cfRule type="expression" priority="116" id="{3A389826-B983-4024-B135-23265A4A9BFE}">
            <xm:f>AND('Cover Sheet'!$E$29=0, AM$4=0, AN$4=0)</xm:f>
            <x14:dxf>
              <fill>
                <patternFill>
                  <bgColor theme="0"/>
                </patternFill>
              </fill>
            </x14:dxf>
          </x14:cfRule>
          <xm:sqref>AM137:AX137</xm:sqref>
        </x14:conditionalFormatting>
        <x14:conditionalFormatting xmlns:xm="http://schemas.microsoft.com/office/excel/2006/main">
          <x14:cfRule type="expression" priority="114" id="{BA3BAA69-FF37-47A4-9ECE-697607F6ECD4}">
            <xm:f>AND('Cover Sheet'!$E$29=0, AM$4=0, AN$4=0)</xm:f>
            <x14:dxf>
              <fill>
                <patternFill>
                  <bgColor theme="0" tint="-0.14996795556505021"/>
                </patternFill>
              </fill>
            </x14:dxf>
          </x14:cfRule>
          <xm:sqref>AM138:AX138</xm:sqref>
        </x14:conditionalFormatting>
        <x14:conditionalFormatting xmlns:xm="http://schemas.microsoft.com/office/excel/2006/main">
          <x14:cfRule type="expression" priority="113" id="{93B8364A-8241-4A97-85C7-7F8689610F53}">
            <xm:f>AND('Cover Sheet'!$E$29=0, AM$4=0, AN$4=0)</xm:f>
            <x14:dxf>
              <fill>
                <patternFill>
                  <bgColor theme="0" tint="-0.14996795556505021"/>
                </patternFill>
              </fill>
            </x14:dxf>
          </x14:cfRule>
          <xm:sqref>AM138:AX138</xm:sqref>
        </x14:conditionalFormatting>
        <x14:conditionalFormatting xmlns:xm="http://schemas.microsoft.com/office/excel/2006/main">
          <x14:cfRule type="expression" priority="112" id="{7CA9B54A-5E12-4DE7-8655-8D43C0BE59F7}">
            <xm:f>AND('Cover Sheet'!$E$29=0, AM$4=0, AN$4=0)</xm:f>
            <x14:dxf>
              <fill>
                <patternFill>
                  <bgColor theme="0" tint="-0.14996795556505021"/>
                </patternFill>
              </fill>
            </x14:dxf>
          </x14:cfRule>
          <xm:sqref>AM138:AX138</xm:sqref>
        </x14:conditionalFormatting>
        <x14:conditionalFormatting xmlns:xm="http://schemas.microsoft.com/office/excel/2006/main">
          <x14:cfRule type="expression" priority="111" id="{A5D6F993-EFA0-417A-BA3C-72DBFEA54605}">
            <xm:f>AND('Cover Sheet'!$E$29=0, AM$4=0, AN$4=0)</xm:f>
            <x14:dxf>
              <fill>
                <patternFill>
                  <bgColor theme="0" tint="-0.14996795556505021"/>
                </patternFill>
              </fill>
            </x14:dxf>
          </x14:cfRule>
          <xm:sqref>AM138:AX138</xm:sqref>
        </x14:conditionalFormatting>
        <x14:conditionalFormatting xmlns:xm="http://schemas.microsoft.com/office/excel/2006/main">
          <x14:cfRule type="expression" priority="110" id="{AAAABE8B-F097-4362-A273-0C7F8B1D2696}">
            <xm:f>AND('Cover Sheet'!$E$29=0, AM$4=0, AN$4=0)</xm:f>
            <x14:dxf>
              <fill>
                <patternFill>
                  <bgColor theme="0" tint="-0.14996795556505021"/>
                </patternFill>
              </fill>
            </x14:dxf>
          </x14:cfRule>
          <xm:sqref>AM138:AX138</xm:sqref>
        </x14:conditionalFormatting>
        <x14:conditionalFormatting xmlns:xm="http://schemas.microsoft.com/office/excel/2006/main">
          <x14:cfRule type="expression" priority="109" id="{AA70737A-EAA5-4B82-82A4-FFFC1E484AC2}">
            <xm:f>AND('Cover Sheet'!$E$29=0, AM$4=0, AN$4=0)</xm:f>
            <x14:dxf>
              <fill>
                <patternFill>
                  <bgColor theme="0"/>
                </patternFill>
              </fill>
            </x14:dxf>
          </x14:cfRule>
          <xm:sqref>AM138:AX138</xm:sqref>
        </x14:conditionalFormatting>
        <x14:conditionalFormatting xmlns:xm="http://schemas.microsoft.com/office/excel/2006/main">
          <x14:cfRule type="expression" priority="107" id="{A6924A37-8FEA-4DF7-BD69-C08D12ADFBD9}">
            <xm:f>AND('Cover Sheet'!$E$29=0, AM$4=0, AN$4=0)</xm:f>
            <x14:dxf>
              <fill>
                <patternFill>
                  <bgColor theme="0" tint="-0.14996795556505021"/>
                </patternFill>
              </fill>
            </x14:dxf>
          </x14:cfRule>
          <xm:sqref>AM139:AX139</xm:sqref>
        </x14:conditionalFormatting>
        <x14:conditionalFormatting xmlns:xm="http://schemas.microsoft.com/office/excel/2006/main">
          <x14:cfRule type="expression" priority="106" id="{4A5D972D-E2AD-4BCB-B98A-91CBFC673C30}">
            <xm:f>AND('Cover Sheet'!$E$29=0, AM$4=0, AN$4=0)</xm:f>
            <x14:dxf>
              <fill>
                <patternFill>
                  <bgColor theme="0" tint="-0.14996795556505021"/>
                </patternFill>
              </fill>
            </x14:dxf>
          </x14:cfRule>
          <xm:sqref>AM139:AX139</xm:sqref>
        </x14:conditionalFormatting>
        <x14:conditionalFormatting xmlns:xm="http://schemas.microsoft.com/office/excel/2006/main">
          <x14:cfRule type="expression" priority="105" id="{4AD32990-AFFF-4802-8016-5B193C8F839D}">
            <xm:f>AND('Cover Sheet'!$E$29=0, AM$4=0, AN$4=0)</xm:f>
            <x14:dxf>
              <fill>
                <patternFill>
                  <bgColor theme="0" tint="-0.14996795556505021"/>
                </patternFill>
              </fill>
            </x14:dxf>
          </x14:cfRule>
          <xm:sqref>AM139:AX139</xm:sqref>
        </x14:conditionalFormatting>
        <x14:conditionalFormatting xmlns:xm="http://schemas.microsoft.com/office/excel/2006/main">
          <x14:cfRule type="expression" priority="104" id="{A93666FC-83B4-497F-92BE-1C2A84734B8D}">
            <xm:f>AND('Cover Sheet'!$E$29=0, AM$4=0, AN$4=0)</xm:f>
            <x14:dxf>
              <fill>
                <patternFill>
                  <bgColor theme="0" tint="-0.14996795556505021"/>
                </patternFill>
              </fill>
            </x14:dxf>
          </x14:cfRule>
          <xm:sqref>AM139:AX139</xm:sqref>
        </x14:conditionalFormatting>
        <x14:conditionalFormatting xmlns:xm="http://schemas.microsoft.com/office/excel/2006/main">
          <x14:cfRule type="expression" priority="103" id="{38CEC968-3920-436D-9CCE-91990CB55B2D}">
            <xm:f>AND('Cover Sheet'!$E$29=0, AM$4=0, AN$4=0)</xm:f>
            <x14:dxf>
              <fill>
                <patternFill>
                  <bgColor theme="0" tint="-0.14996795556505021"/>
                </patternFill>
              </fill>
            </x14:dxf>
          </x14:cfRule>
          <xm:sqref>AM139:AX139</xm:sqref>
        </x14:conditionalFormatting>
        <x14:conditionalFormatting xmlns:xm="http://schemas.microsoft.com/office/excel/2006/main">
          <x14:cfRule type="expression" priority="102" id="{19CAA11B-6CCE-443D-B709-560183744B8B}">
            <xm:f>AND('Cover Sheet'!$E$29=0, AM$4=0, AN$4=0)</xm:f>
            <x14:dxf>
              <fill>
                <patternFill>
                  <bgColor theme="0"/>
                </patternFill>
              </fill>
            </x14:dxf>
          </x14:cfRule>
          <xm:sqref>AM139:AX139</xm:sqref>
        </x14:conditionalFormatting>
        <x14:conditionalFormatting xmlns:xm="http://schemas.microsoft.com/office/excel/2006/main">
          <x14:cfRule type="expression" priority="100" id="{6AA6B96F-8A02-430B-A318-6EC2514C6D26}">
            <xm:f>AND('Cover Sheet'!$E$29=0, AM$4=0, AN$4=0)</xm:f>
            <x14:dxf>
              <fill>
                <patternFill>
                  <bgColor theme="0" tint="-0.14996795556505021"/>
                </patternFill>
              </fill>
            </x14:dxf>
          </x14:cfRule>
          <xm:sqref>AM140:AX140</xm:sqref>
        </x14:conditionalFormatting>
        <x14:conditionalFormatting xmlns:xm="http://schemas.microsoft.com/office/excel/2006/main">
          <x14:cfRule type="expression" priority="99" id="{706BD949-9158-4D37-8339-9F7F719DDEA4}">
            <xm:f>AND('Cover Sheet'!$E$29=0, AM$4=0, AN$4=0)</xm:f>
            <x14:dxf>
              <fill>
                <patternFill>
                  <bgColor theme="0" tint="-0.14996795556505021"/>
                </patternFill>
              </fill>
            </x14:dxf>
          </x14:cfRule>
          <xm:sqref>AM140:AX140</xm:sqref>
        </x14:conditionalFormatting>
        <x14:conditionalFormatting xmlns:xm="http://schemas.microsoft.com/office/excel/2006/main">
          <x14:cfRule type="expression" priority="98" id="{BC1DFF29-DCDE-4570-89A5-71CE86421015}">
            <xm:f>AND('Cover Sheet'!$E$29=0, AM$4=0, AN$4=0)</xm:f>
            <x14:dxf>
              <fill>
                <patternFill>
                  <bgColor theme="0" tint="-0.14996795556505021"/>
                </patternFill>
              </fill>
            </x14:dxf>
          </x14:cfRule>
          <xm:sqref>AM140:AX140</xm:sqref>
        </x14:conditionalFormatting>
        <x14:conditionalFormatting xmlns:xm="http://schemas.microsoft.com/office/excel/2006/main">
          <x14:cfRule type="expression" priority="97" id="{C5FA7682-CB5E-4FD6-B2BE-B65F388ED21D}">
            <xm:f>AND('Cover Sheet'!$E$29=0, AM$4=0, AN$4=0)</xm:f>
            <x14:dxf>
              <fill>
                <patternFill>
                  <bgColor theme="0" tint="-0.14996795556505021"/>
                </patternFill>
              </fill>
            </x14:dxf>
          </x14:cfRule>
          <xm:sqref>AM140:AX140</xm:sqref>
        </x14:conditionalFormatting>
        <x14:conditionalFormatting xmlns:xm="http://schemas.microsoft.com/office/excel/2006/main">
          <x14:cfRule type="expression" priority="96" id="{1104D391-3F77-4D1F-AC31-D529196DA8DD}">
            <xm:f>AND('Cover Sheet'!$E$29=0, AM$4=0, AN$4=0)</xm:f>
            <x14:dxf>
              <fill>
                <patternFill>
                  <bgColor theme="0" tint="-0.14996795556505021"/>
                </patternFill>
              </fill>
            </x14:dxf>
          </x14:cfRule>
          <xm:sqref>AM140:AX140</xm:sqref>
        </x14:conditionalFormatting>
        <x14:conditionalFormatting xmlns:xm="http://schemas.microsoft.com/office/excel/2006/main">
          <x14:cfRule type="expression" priority="95" id="{CFFACAFD-89F7-43C1-9034-491260CE2D14}">
            <xm:f>AND('Cover Sheet'!$E$29=0, AM$4=0, AN$4=0)</xm:f>
            <x14:dxf>
              <fill>
                <patternFill>
                  <bgColor theme="0"/>
                </patternFill>
              </fill>
            </x14:dxf>
          </x14:cfRule>
          <xm:sqref>AM140:AX140</xm:sqref>
        </x14:conditionalFormatting>
        <x14:conditionalFormatting xmlns:xm="http://schemas.microsoft.com/office/excel/2006/main">
          <x14:cfRule type="expression" priority="93" id="{752029EF-C007-4112-90BE-081B0FF6F871}">
            <xm:f>AND('Cover Sheet'!$E$29=0, AM$4=0, AN$4=0)</xm:f>
            <x14:dxf>
              <fill>
                <patternFill>
                  <bgColor theme="0" tint="-0.14996795556505021"/>
                </patternFill>
              </fill>
            </x14:dxf>
          </x14:cfRule>
          <xm:sqref>AM141:AX141</xm:sqref>
        </x14:conditionalFormatting>
        <x14:conditionalFormatting xmlns:xm="http://schemas.microsoft.com/office/excel/2006/main">
          <x14:cfRule type="expression" priority="92" id="{CBBA0D28-7DA9-428F-828F-0447C447FA69}">
            <xm:f>AND('Cover Sheet'!$E$29=0, AM$4=0, AN$4=0)</xm:f>
            <x14:dxf>
              <fill>
                <patternFill>
                  <bgColor theme="0" tint="-0.14996795556505021"/>
                </patternFill>
              </fill>
            </x14:dxf>
          </x14:cfRule>
          <xm:sqref>AM141:AX141</xm:sqref>
        </x14:conditionalFormatting>
        <x14:conditionalFormatting xmlns:xm="http://schemas.microsoft.com/office/excel/2006/main">
          <x14:cfRule type="expression" priority="91" id="{1F586FCC-A919-457F-A5DF-34A67EE4BC7A}">
            <xm:f>AND('Cover Sheet'!$E$29=0, AM$4=0, AN$4=0)</xm:f>
            <x14:dxf>
              <fill>
                <patternFill>
                  <bgColor theme="0" tint="-0.14996795556505021"/>
                </patternFill>
              </fill>
            </x14:dxf>
          </x14:cfRule>
          <xm:sqref>AM141:AX141</xm:sqref>
        </x14:conditionalFormatting>
        <x14:conditionalFormatting xmlns:xm="http://schemas.microsoft.com/office/excel/2006/main">
          <x14:cfRule type="expression" priority="90" id="{668FDC44-5873-4155-9FA3-04B4F6066A9F}">
            <xm:f>AND('Cover Sheet'!$E$29=0, AM$4=0, AN$4=0)</xm:f>
            <x14:dxf>
              <fill>
                <patternFill>
                  <bgColor theme="0" tint="-0.14996795556505021"/>
                </patternFill>
              </fill>
            </x14:dxf>
          </x14:cfRule>
          <xm:sqref>AM141:AX141</xm:sqref>
        </x14:conditionalFormatting>
        <x14:conditionalFormatting xmlns:xm="http://schemas.microsoft.com/office/excel/2006/main">
          <x14:cfRule type="expression" priority="89" id="{0F84D74E-8ABD-431A-AADE-156207597F7C}">
            <xm:f>AND('Cover Sheet'!$E$29=0, AM$4=0, AN$4=0)</xm:f>
            <x14:dxf>
              <fill>
                <patternFill>
                  <bgColor theme="0" tint="-0.14996795556505021"/>
                </patternFill>
              </fill>
            </x14:dxf>
          </x14:cfRule>
          <xm:sqref>AM141:AX141</xm:sqref>
        </x14:conditionalFormatting>
        <x14:conditionalFormatting xmlns:xm="http://schemas.microsoft.com/office/excel/2006/main">
          <x14:cfRule type="expression" priority="88" id="{5D719B5A-CD5C-4918-8F11-CABC7EFA989B}">
            <xm:f>AND('Cover Sheet'!$E$29=0, AM$4=0, AN$4=0)</xm:f>
            <x14:dxf>
              <fill>
                <patternFill>
                  <bgColor theme="0"/>
                </patternFill>
              </fill>
            </x14:dxf>
          </x14:cfRule>
          <xm:sqref>AM141:AX141</xm:sqref>
        </x14:conditionalFormatting>
        <x14:conditionalFormatting xmlns:xm="http://schemas.microsoft.com/office/excel/2006/main">
          <x14:cfRule type="expression" priority="86" id="{35813781-2536-48AA-AA1E-BD27050C1F1E}">
            <xm:f>AND('Cover Sheet'!$E$29=0, AM$4=0, AN$4=0)</xm:f>
            <x14:dxf>
              <fill>
                <patternFill>
                  <bgColor theme="0" tint="-0.14996795556505021"/>
                </patternFill>
              </fill>
            </x14:dxf>
          </x14:cfRule>
          <xm:sqref>AM142:AX142</xm:sqref>
        </x14:conditionalFormatting>
        <x14:conditionalFormatting xmlns:xm="http://schemas.microsoft.com/office/excel/2006/main">
          <x14:cfRule type="expression" priority="85" id="{4DC45546-6375-4EF5-A710-9A62A1FE4614}">
            <xm:f>AND('Cover Sheet'!$E$29=0, AM$4=0, AN$4=0)</xm:f>
            <x14:dxf>
              <fill>
                <patternFill>
                  <bgColor theme="0" tint="-0.14996795556505021"/>
                </patternFill>
              </fill>
            </x14:dxf>
          </x14:cfRule>
          <xm:sqref>AM142:AX142</xm:sqref>
        </x14:conditionalFormatting>
        <x14:conditionalFormatting xmlns:xm="http://schemas.microsoft.com/office/excel/2006/main">
          <x14:cfRule type="expression" priority="84" id="{80EC494C-1C78-4709-B456-ECF0B39176A8}">
            <xm:f>AND('Cover Sheet'!$E$29=0, AM$4=0, AN$4=0)</xm:f>
            <x14:dxf>
              <fill>
                <patternFill>
                  <bgColor theme="0" tint="-0.14996795556505021"/>
                </patternFill>
              </fill>
            </x14:dxf>
          </x14:cfRule>
          <xm:sqref>AM142:AX142</xm:sqref>
        </x14:conditionalFormatting>
        <x14:conditionalFormatting xmlns:xm="http://schemas.microsoft.com/office/excel/2006/main">
          <x14:cfRule type="expression" priority="83" id="{39BF7F81-0BEE-470A-A523-FC1857985674}">
            <xm:f>AND('Cover Sheet'!$E$29=0, AM$4=0, AN$4=0)</xm:f>
            <x14:dxf>
              <fill>
                <patternFill>
                  <bgColor theme="0" tint="-0.14996795556505021"/>
                </patternFill>
              </fill>
            </x14:dxf>
          </x14:cfRule>
          <xm:sqref>AM142:AX142</xm:sqref>
        </x14:conditionalFormatting>
        <x14:conditionalFormatting xmlns:xm="http://schemas.microsoft.com/office/excel/2006/main">
          <x14:cfRule type="expression" priority="82" id="{21130F64-DF4B-44D4-91A0-968434F8DDFA}">
            <xm:f>AND('Cover Sheet'!$E$29=0, AM$4=0, AN$4=0)</xm:f>
            <x14:dxf>
              <fill>
                <patternFill>
                  <bgColor theme="0" tint="-0.14996795556505021"/>
                </patternFill>
              </fill>
            </x14:dxf>
          </x14:cfRule>
          <xm:sqref>AM142:AX142</xm:sqref>
        </x14:conditionalFormatting>
        <x14:conditionalFormatting xmlns:xm="http://schemas.microsoft.com/office/excel/2006/main">
          <x14:cfRule type="expression" priority="81" id="{D3D507E7-0CC6-4225-A9A9-7BCE74047EEF}">
            <xm:f>AND('Cover Sheet'!$E$29=0, AM$4=0, AN$4=0)</xm:f>
            <x14:dxf>
              <fill>
                <patternFill>
                  <bgColor theme="0"/>
                </patternFill>
              </fill>
            </x14:dxf>
          </x14:cfRule>
          <xm:sqref>AM142:AX142</xm:sqref>
        </x14:conditionalFormatting>
        <x14:conditionalFormatting xmlns:xm="http://schemas.microsoft.com/office/excel/2006/main">
          <x14:cfRule type="expression" priority="79" id="{94829917-F2A9-4D0F-BF30-A6B854929E25}">
            <xm:f>AND('Cover Sheet'!$E$29=0, AM$4=0, AN$4=0)</xm:f>
            <x14:dxf>
              <fill>
                <patternFill>
                  <bgColor theme="0" tint="-0.14996795556505021"/>
                </patternFill>
              </fill>
            </x14:dxf>
          </x14:cfRule>
          <xm:sqref>AM143:AX143</xm:sqref>
        </x14:conditionalFormatting>
        <x14:conditionalFormatting xmlns:xm="http://schemas.microsoft.com/office/excel/2006/main">
          <x14:cfRule type="expression" priority="78" id="{893A12E6-D419-43CD-8EAF-EA10427654D4}">
            <xm:f>AND('Cover Sheet'!$E$29=0, AM$4=0, AN$4=0)</xm:f>
            <x14:dxf>
              <fill>
                <patternFill>
                  <bgColor theme="0" tint="-0.14996795556505021"/>
                </patternFill>
              </fill>
            </x14:dxf>
          </x14:cfRule>
          <xm:sqref>AM143:AX143</xm:sqref>
        </x14:conditionalFormatting>
        <x14:conditionalFormatting xmlns:xm="http://schemas.microsoft.com/office/excel/2006/main">
          <x14:cfRule type="expression" priority="77" id="{CFE05C95-77CA-4442-B1F9-7DC70D4C93D6}">
            <xm:f>AND('Cover Sheet'!$E$29=0, AM$4=0, AN$4=0)</xm:f>
            <x14:dxf>
              <fill>
                <patternFill>
                  <bgColor theme="0" tint="-0.14996795556505021"/>
                </patternFill>
              </fill>
            </x14:dxf>
          </x14:cfRule>
          <xm:sqref>AM143:AX143</xm:sqref>
        </x14:conditionalFormatting>
        <x14:conditionalFormatting xmlns:xm="http://schemas.microsoft.com/office/excel/2006/main">
          <x14:cfRule type="expression" priority="76" id="{C79F92BE-2EA6-4B5E-9803-93530068D52F}">
            <xm:f>AND('Cover Sheet'!$E$29=0, AM$4=0, AN$4=0)</xm:f>
            <x14:dxf>
              <fill>
                <patternFill>
                  <bgColor theme="0" tint="-0.14996795556505021"/>
                </patternFill>
              </fill>
            </x14:dxf>
          </x14:cfRule>
          <xm:sqref>AM143:AX143</xm:sqref>
        </x14:conditionalFormatting>
        <x14:conditionalFormatting xmlns:xm="http://schemas.microsoft.com/office/excel/2006/main">
          <x14:cfRule type="expression" priority="75" id="{D8D3C57F-03BF-4FCC-A953-6ED202ED5792}">
            <xm:f>AND('Cover Sheet'!$E$29=0, AM$4=0, AN$4=0)</xm:f>
            <x14:dxf>
              <fill>
                <patternFill>
                  <bgColor theme="0" tint="-0.14996795556505021"/>
                </patternFill>
              </fill>
            </x14:dxf>
          </x14:cfRule>
          <xm:sqref>AM143:AX143</xm:sqref>
        </x14:conditionalFormatting>
        <x14:conditionalFormatting xmlns:xm="http://schemas.microsoft.com/office/excel/2006/main">
          <x14:cfRule type="expression" priority="74" id="{1FC01E87-1A83-4C35-8445-EC7082C18819}">
            <xm:f>AND('Cover Sheet'!$E$29=0, AM$4=0, AN$4=0)</xm:f>
            <x14:dxf>
              <fill>
                <patternFill>
                  <bgColor theme="0"/>
                </patternFill>
              </fill>
            </x14:dxf>
          </x14:cfRule>
          <xm:sqref>AM143:AX143</xm:sqref>
        </x14:conditionalFormatting>
        <x14:conditionalFormatting xmlns:xm="http://schemas.microsoft.com/office/excel/2006/main">
          <x14:cfRule type="expression" priority="72" id="{61BE14DC-357C-4D40-868C-F374A8C18534}">
            <xm:f>AND('Cover Sheet'!$E$29=0, AY$4=0, AZ$4=0)</xm:f>
            <x14:dxf>
              <fill>
                <patternFill>
                  <bgColor theme="0"/>
                </patternFill>
              </fill>
            </x14:dxf>
          </x14:cfRule>
          <xm:sqref>AY77:BJ77</xm:sqref>
        </x14:conditionalFormatting>
        <x14:conditionalFormatting xmlns:xm="http://schemas.microsoft.com/office/excel/2006/main">
          <x14:cfRule type="expression" priority="71" id="{6B21CDE9-9E27-44CC-9578-EF7B7E608977}">
            <xm:f>AND('Cover Sheet'!$E$29=0, AY$4=0, AZ$4=0)</xm:f>
            <x14:dxf>
              <fill>
                <patternFill>
                  <bgColor theme="0" tint="-0.14996795556505021"/>
                </patternFill>
              </fill>
            </x14:dxf>
          </x14:cfRule>
          <xm:sqref>AY77:BJ77</xm:sqref>
        </x14:conditionalFormatting>
        <x14:conditionalFormatting xmlns:xm="http://schemas.microsoft.com/office/excel/2006/main">
          <x14:cfRule type="expression" priority="69" id="{01EB4DC5-1BAB-4722-9695-21E1AD6C7A1B}">
            <xm:f>AND('Cover Sheet'!$E$29=0, AY$4=0, AZ$4=0)</xm:f>
            <x14:dxf>
              <fill>
                <patternFill>
                  <bgColor theme="0" tint="-0.14996795556505021"/>
                </patternFill>
              </fill>
            </x14:dxf>
          </x14:cfRule>
          <xm:sqref>AY73:BJ73</xm:sqref>
        </x14:conditionalFormatting>
        <x14:conditionalFormatting xmlns:xm="http://schemas.microsoft.com/office/excel/2006/main">
          <x14:cfRule type="expression" priority="68" id="{C75A1739-4ABB-485A-AE17-BB409E564FFE}">
            <xm:f>AND('Cover Sheet'!$E$29=0, AY$4=0, AZ$4=0)</xm:f>
            <x14:dxf>
              <fill>
                <patternFill>
                  <bgColor theme="0" tint="-0.14996795556505021"/>
                </patternFill>
              </fill>
            </x14:dxf>
          </x14:cfRule>
          <xm:sqref>AY73:BJ73</xm:sqref>
        </x14:conditionalFormatting>
        <x14:conditionalFormatting xmlns:xm="http://schemas.microsoft.com/office/excel/2006/main">
          <x14:cfRule type="expression" priority="67" id="{84B536BD-6B58-488E-8BCA-CC58A7CBCB72}">
            <xm:f>AND('Cover Sheet'!$E$29=0, AY$4=0, AZ$4=0)</xm:f>
            <x14:dxf>
              <fill>
                <patternFill>
                  <bgColor theme="0" tint="-0.14996795556505021"/>
                </patternFill>
              </fill>
            </x14:dxf>
          </x14:cfRule>
          <xm:sqref>AY73:BJ73</xm:sqref>
        </x14:conditionalFormatting>
        <x14:conditionalFormatting xmlns:xm="http://schemas.microsoft.com/office/excel/2006/main">
          <x14:cfRule type="expression" priority="66" id="{D6C85704-CE40-41CC-A23F-F9165F4589FC}">
            <xm:f>AND('Cover Sheet'!$E$29=0, AY$4=0, AZ$4=0)</xm:f>
            <x14:dxf>
              <fill>
                <patternFill>
                  <bgColor theme="0" tint="-0.14996795556505021"/>
                </patternFill>
              </fill>
            </x14:dxf>
          </x14:cfRule>
          <xm:sqref>AY73:BJ73</xm:sqref>
        </x14:conditionalFormatting>
        <x14:conditionalFormatting xmlns:xm="http://schemas.microsoft.com/office/excel/2006/main">
          <x14:cfRule type="expression" priority="65" id="{33ED0FB7-EC15-4819-83B2-2045930042C9}">
            <xm:f>AND('Cover Sheet'!$E$29=0, AY$4=0, AZ$4=0)</xm:f>
            <x14:dxf>
              <fill>
                <patternFill>
                  <bgColor theme="0" tint="-0.14996795556505021"/>
                </patternFill>
              </fill>
            </x14:dxf>
          </x14:cfRule>
          <xm:sqref>AY73:BJ73</xm:sqref>
        </x14:conditionalFormatting>
        <x14:conditionalFormatting xmlns:xm="http://schemas.microsoft.com/office/excel/2006/main">
          <x14:cfRule type="expression" priority="64" id="{8BF60466-EF06-4A17-9385-8414DB63215C}">
            <xm:f>AND('Cover Sheet'!$E$29=0, AY$4=0, AZ$4=0)</xm:f>
            <x14:dxf>
              <fill>
                <patternFill>
                  <bgColor theme="0"/>
                </patternFill>
              </fill>
            </x14:dxf>
          </x14:cfRule>
          <xm:sqref>AY73:BJ73</xm:sqref>
        </x14:conditionalFormatting>
        <x14:conditionalFormatting xmlns:xm="http://schemas.microsoft.com/office/excel/2006/main">
          <x14:cfRule type="expression" priority="62" id="{D7BBC196-223A-43DF-AF2F-F21D3ABE30C7}">
            <xm:f>AND('Cover Sheet'!$E$29=0, AY$4=0, AZ$4=0)</xm:f>
            <x14:dxf>
              <fill>
                <patternFill>
                  <bgColor theme="0" tint="-0.14996795556505021"/>
                </patternFill>
              </fill>
            </x14:dxf>
          </x14:cfRule>
          <xm:sqref>AY74:BJ74</xm:sqref>
        </x14:conditionalFormatting>
        <x14:conditionalFormatting xmlns:xm="http://schemas.microsoft.com/office/excel/2006/main">
          <x14:cfRule type="expression" priority="61" id="{6835DC02-C89D-4778-B92C-7AE9E7801C37}">
            <xm:f>AND('Cover Sheet'!$E$29=0, AY$4=0, AZ$4=0)</xm:f>
            <x14:dxf>
              <fill>
                <patternFill>
                  <bgColor theme="0" tint="-0.14996795556505021"/>
                </patternFill>
              </fill>
            </x14:dxf>
          </x14:cfRule>
          <xm:sqref>AY74:BJ74</xm:sqref>
        </x14:conditionalFormatting>
        <x14:conditionalFormatting xmlns:xm="http://schemas.microsoft.com/office/excel/2006/main">
          <x14:cfRule type="expression" priority="60" id="{E2FDD627-38BE-4996-A8FC-FA45E88D7DFD}">
            <xm:f>AND('Cover Sheet'!$E$29=0, AY$4=0, AZ$4=0)</xm:f>
            <x14:dxf>
              <fill>
                <patternFill>
                  <bgColor theme="0" tint="-0.14996795556505021"/>
                </patternFill>
              </fill>
            </x14:dxf>
          </x14:cfRule>
          <xm:sqref>AY74:BJ74</xm:sqref>
        </x14:conditionalFormatting>
        <x14:conditionalFormatting xmlns:xm="http://schemas.microsoft.com/office/excel/2006/main">
          <x14:cfRule type="expression" priority="59" id="{BBA4C1BC-BA1C-46AF-AEC6-7D4BEDB7B273}">
            <xm:f>AND('Cover Sheet'!$E$29=0, AY$4=0, AZ$4=0)</xm:f>
            <x14:dxf>
              <fill>
                <patternFill>
                  <bgColor theme="0" tint="-0.14996795556505021"/>
                </patternFill>
              </fill>
            </x14:dxf>
          </x14:cfRule>
          <xm:sqref>AY74:BJ74</xm:sqref>
        </x14:conditionalFormatting>
        <x14:conditionalFormatting xmlns:xm="http://schemas.microsoft.com/office/excel/2006/main">
          <x14:cfRule type="expression" priority="58" id="{F66C1B81-37F3-483B-BFCB-2A652505890E}">
            <xm:f>AND('Cover Sheet'!$E$29=0, AY$4=0, AZ$4=0)</xm:f>
            <x14:dxf>
              <fill>
                <patternFill>
                  <bgColor theme="0" tint="-0.14996795556505021"/>
                </patternFill>
              </fill>
            </x14:dxf>
          </x14:cfRule>
          <xm:sqref>AY74:BJ74</xm:sqref>
        </x14:conditionalFormatting>
        <x14:conditionalFormatting xmlns:xm="http://schemas.microsoft.com/office/excel/2006/main">
          <x14:cfRule type="expression" priority="57" id="{0B247396-E894-4F7A-802E-80C785763771}">
            <xm:f>AND('Cover Sheet'!$E$29=0, AY$4=0, AZ$4=0)</xm:f>
            <x14:dxf>
              <fill>
                <patternFill>
                  <bgColor theme="0"/>
                </patternFill>
              </fill>
            </x14:dxf>
          </x14:cfRule>
          <xm:sqref>AY74:BJ74</xm:sqref>
        </x14:conditionalFormatting>
        <x14:conditionalFormatting xmlns:xm="http://schemas.microsoft.com/office/excel/2006/main">
          <x14:cfRule type="expression" priority="55" id="{5042652E-9BA0-4D60-AC41-80A67F9E157C}">
            <xm:f>AND('Cover Sheet'!$E$29=0, AY$4=0, AZ$4=0)</xm:f>
            <x14:dxf>
              <fill>
                <patternFill>
                  <bgColor theme="0" tint="-0.14996795556505021"/>
                </patternFill>
              </fill>
            </x14:dxf>
          </x14:cfRule>
          <xm:sqref>AY75:BJ75</xm:sqref>
        </x14:conditionalFormatting>
        <x14:conditionalFormatting xmlns:xm="http://schemas.microsoft.com/office/excel/2006/main">
          <x14:cfRule type="expression" priority="54" id="{16BCF5E8-6A80-40C7-8485-543FF1A732F2}">
            <xm:f>AND('Cover Sheet'!$E$29=0, AY$4=0, AZ$4=0)</xm:f>
            <x14:dxf>
              <fill>
                <patternFill>
                  <bgColor theme="0" tint="-0.14996795556505021"/>
                </patternFill>
              </fill>
            </x14:dxf>
          </x14:cfRule>
          <xm:sqref>AY75:BJ75</xm:sqref>
        </x14:conditionalFormatting>
        <x14:conditionalFormatting xmlns:xm="http://schemas.microsoft.com/office/excel/2006/main">
          <x14:cfRule type="expression" priority="53" id="{80F45D32-B050-48F2-9623-E0852C13FB65}">
            <xm:f>AND('Cover Sheet'!$E$29=0, AY$4=0, AZ$4=0)</xm:f>
            <x14:dxf>
              <fill>
                <patternFill>
                  <bgColor theme="0" tint="-0.14996795556505021"/>
                </patternFill>
              </fill>
            </x14:dxf>
          </x14:cfRule>
          <xm:sqref>AY75:BJ75</xm:sqref>
        </x14:conditionalFormatting>
        <x14:conditionalFormatting xmlns:xm="http://schemas.microsoft.com/office/excel/2006/main">
          <x14:cfRule type="expression" priority="52" id="{9D4CF0AC-849F-401E-B168-84D328E0D32C}">
            <xm:f>AND('Cover Sheet'!$E$29=0, AY$4=0, AZ$4=0)</xm:f>
            <x14:dxf>
              <fill>
                <patternFill>
                  <bgColor theme="0" tint="-0.14996795556505021"/>
                </patternFill>
              </fill>
            </x14:dxf>
          </x14:cfRule>
          <xm:sqref>AY75:BJ75</xm:sqref>
        </x14:conditionalFormatting>
        <x14:conditionalFormatting xmlns:xm="http://schemas.microsoft.com/office/excel/2006/main">
          <x14:cfRule type="expression" priority="51" id="{49B7C8BC-81A6-4018-AB94-2ADA867849BA}">
            <xm:f>AND('Cover Sheet'!$E$29=0, AY$4=0, AZ$4=0)</xm:f>
            <x14:dxf>
              <fill>
                <patternFill>
                  <bgColor theme="0" tint="-0.14996795556505021"/>
                </patternFill>
              </fill>
            </x14:dxf>
          </x14:cfRule>
          <xm:sqref>AY75:BJ75</xm:sqref>
        </x14:conditionalFormatting>
        <x14:conditionalFormatting xmlns:xm="http://schemas.microsoft.com/office/excel/2006/main">
          <x14:cfRule type="expression" priority="50" id="{57152410-5912-4259-94D5-1F55C032FB28}">
            <xm:f>AND('Cover Sheet'!$E$29=0, AY$4=0, AZ$4=0)</xm:f>
            <x14:dxf>
              <fill>
                <patternFill>
                  <bgColor theme="0"/>
                </patternFill>
              </fill>
            </x14:dxf>
          </x14:cfRule>
          <xm:sqref>AY75:BJ75</xm:sqref>
        </x14:conditionalFormatting>
        <x14:conditionalFormatting xmlns:xm="http://schemas.microsoft.com/office/excel/2006/main">
          <x14:cfRule type="expression" priority="48" id="{5061DE0B-603B-40DC-A13C-365445F13370}">
            <xm:f>AND('Cover Sheet'!$E$29=0, AY$4=0, AZ$4=0)</xm:f>
            <x14:dxf>
              <fill>
                <patternFill>
                  <bgColor theme="0" tint="-0.14996795556505021"/>
                </patternFill>
              </fill>
            </x14:dxf>
          </x14:cfRule>
          <xm:sqref>AY76:BJ77</xm:sqref>
        </x14:conditionalFormatting>
        <x14:conditionalFormatting xmlns:xm="http://schemas.microsoft.com/office/excel/2006/main">
          <x14:cfRule type="expression" priority="47" id="{3B9562DF-8B3F-4336-BAA9-41596A50DD7A}">
            <xm:f>AND('Cover Sheet'!$E$29=0, AY$4=0, AZ$4=0)</xm:f>
            <x14:dxf>
              <fill>
                <patternFill>
                  <bgColor theme="0" tint="-0.14996795556505021"/>
                </patternFill>
              </fill>
            </x14:dxf>
          </x14:cfRule>
          <xm:sqref>AY76:BJ77</xm:sqref>
        </x14:conditionalFormatting>
        <x14:conditionalFormatting xmlns:xm="http://schemas.microsoft.com/office/excel/2006/main">
          <x14:cfRule type="expression" priority="46" id="{5713C7E6-57D7-446C-92FE-25C9D7F4DD8B}">
            <xm:f>AND('Cover Sheet'!$E$29=0, AY$4=0, AZ$4=0)</xm:f>
            <x14:dxf>
              <fill>
                <patternFill>
                  <bgColor theme="0" tint="-0.14996795556505021"/>
                </patternFill>
              </fill>
            </x14:dxf>
          </x14:cfRule>
          <xm:sqref>AY76:BJ77</xm:sqref>
        </x14:conditionalFormatting>
        <x14:conditionalFormatting xmlns:xm="http://schemas.microsoft.com/office/excel/2006/main">
          <x14:cfRule type="expression" priority="45" id="{13FE2E0A-F59B-4E0D-8527-624965C41943}">
            <xm:f>AND('Cover Sheet'!$E$29=0, AY$4=0, AZ$4=0)</xm:f>
            <x14:dxf>
              <fill>
                <patternFill>
                  <bgColor theme="0" tint="-0.14996795556505021"/>
                </patternFill>
              </fill>
            </x14:dxf>
          </x14:cfRule>
          <xm:sqref>AY76:BJ77</xm:sqref>
        </x14:conditionalFormatting>
        <x14:conditionalFormatting xmlns:xm="http://schemas.microsoft.com/office/excel/2006/main">
          <x14:cfRule type="expression" priority="44" id="{69BD8DC4-46AF-489F-A00F-54F1EE2CB1D9}">
            <xm:f>AND('Cover Sheet'!$E$29=0, AY$4=0, AZ$4=0)</xm:f>
            <x14:dxf>
              <fill>
                <patternFill>
                  <bgColor theme="0" tint="-0.14996795556505021"/>
                </patternFill>
              </fill>
            </x14:dxf>
          </x14:cfRule>
          <xm:sqref>AY76:BJ77</xm:sqref>
        </x14:conditionalFormatting>
        <x14:conditionalFormatting xmlns:xm="http://schemas.microsoft.com/office/excel/2006/main">
          <x14:cfRule type="expression" priority="43" id="{A939FAD0-C308-40D2-AD78-C35A419FD797}">
            <xm:f>AND('Cover Sheet'!$E$29=0, AY$4=0, AZ$4=0)</xm:f>
            <x14:dxf>
              <fill>
                <patternFill>
                  <bgColor theme="0"/>
                </patternFill>
              </fill>
            </x14:dxf>
          </x14:cfRule>
          <xm:sqref>AY76:BJ77</xm:sqref>
        </x14:conditionalFormatting>
        <x14:conditionalFormatting xmlns:xm="http://schemas.microsoft.com/office/excel/2006/main">
          <x14:cfRule type="expression" priority="41" id="{55A62EE1-281F-426E-8435-E39ABFAC6235}">
            <xm:f>AND('Cover Sheet'!$E$29=0, AY$4=0, AZ$4=0)</xm:f>
            <x14:dxf>
              <fill>
                <patternFill>
                  <bgColor theme="0" tint="-0.14996795556505021"/>
                </patternFill>
              </fill>
            </x14:dxf>
          </x14:cfRule>
          <xm:sqref>AY77:BJ77</xm:sqref>
        </x14:conditionalFormatting>
        <x14:conditionalFormatting xmlns:xm="http://schemas.microsoft.com/office/excel/2006/main">
          <x14:cfRule type="expression" priority="40" id="{ED9931F0-FF3D-4324-B532-9F35581C69FF}">
            <xm:f>AND('Cover Sheet'!$E$29=0, AY$4=0, AZ$4=0)</xm:f>
            <x14:dxf>
              <fill>
                <patternFill>
                  <bgColor theme="0" tint="-0.14996795556505021"/>
                </patternFill>
              </fill>
            </x14:dxf>
          </x14:cfRule>
          <xm:sqref>AY77:BJ77</xm:sqref>
        </x14:conditionalFormatting>
        <x14:conditionalFormatting xmlns:xm="http://schemas.microsoft.com/office/excel/2006/main">
          <x14:cfRule type="expression" priority="39" id="{6C3D5428-13DC-488C-8B39-8DDFA0B94A1A}">
            <xm:f>AND('Cover Sheet'!$E$29=0, AY$4=0, AZ$4=0)</xm:f>
            <x14:dxf>
              <fill>
                <patternFill>
                  <bgColor theme="0" tint="-0.14996795556505021"/>
                </patternFill>
              </fill>
            </x14:dxf>
          </x14:cfRule>
          <xm:sqref>AY77:BJ77</xm:sqref>
        </x14:conditionalFormatting>
        <x14:conditionalFormatting xmlns:xm="http://schemas.microsoft.com/office/excel/2006/main">
          <x14:cfRule type="expression" priority="38" id="{E9F936E4-F16C-4146-885F-6D9733891FA5}">
            <xm:f>AND('Cover Sheet'!$E$29=0, AY$4=0, AZ$4=0)</xm:f>
            <x14:dxf>
              <fill>
                <patternFill>
                  <bgColor theme="0" tint="-0.14996795556505021"/>
                </patternFill>
              </fill>
            </x14:dxf>
          </x14:cfRule>
          <xm:sqref>AY77:BJ77</xm:sqref>
        </x14:conditionalFormatting>
        <x14:conditionalFormatting xmlns:xm="http://schemas.microsoft.com/office/excel/2006/main">
          <x14:cfRule type="expression" priority="37" id="{25CDF826-9CF5-4D1E-B04E-40ECE33A8269}">
            <xm:f>AND('Cover Sheet'!$E$29=0, AY$4=0, AZ$4=0)</xm:f>
            <x14:dxf>
              <fill>
                <patternFill>
                  <bgColor theme="0" tint="-0.14996795556505021"/>
                </patternFill>
              </fill>
            </x14:dxf>
          </x14:cfRule>
          <xm:sqref>AY77:BJ77</xm:sqref>
        </x14:conditionalFormatting>
        <x14:conditionalFormatting xmlns:xm="http://schemas.microsoft.com/office/excel/2006/main">
          <x14:cfRule type="expression" priority="36" id="{D2D49304-C698-4682-9716-AD5ECC7AEC7B}">
            <xm:f>AND('Cover Sheet'!$E$29=0, AY$4=0, AZ$4=0)</xm:f>
            <x14:dxf>
              <fill>
                <patternFill>
                  <bgColor theme="0"/>
                </patternFill>
              </fill>
            </x14:dxf>
          </x14:cfRule>
          <xm:sqref>AY77:BJ77</xm:sqref>
        </x14:conditionalFormatting>
        <x14:conditionalFormatting xmlns:xm="http://schemas.microsoft.com/office/excel/2006/main">
          <x14:cfRule type="expression" priority="34" id="{3387C996-6910-4C5C-9D8E-3A1BC6528D6F}">
            <xm:f>AND('Cover Sheet'!$E$29=0, AY$4=0, AZ$4=0)</xm:f>
            <x14:dxf>
              <fill>
                <patternFill>
                  <bgColor theme="0" tint="-0.14996795556505021"/>
                </patternFill>
              </fill>
            </x14:dxf>
          </x14:cfRule>
          <xm:sqref>AY78:BJ78</xm:sqref>
        </x14:conditionalFormatting>
        <x14:conditionalFormatting xmlns:xm="http://schemas.microsoft.com/office/excel/2006/main">
          <x14:cfRule type="expression" priority="33" id="{45A18F52-94AF-4F9B-BD08-319A74FD34D7}">
            <xm:f>AND('Cover Sheet'!$E$29=0, AY$4=0, AZ$4=0)</xm:f>
            <x14:dxf>
              <fill>
                <patternFill>
                  <bgColor theme="0" tint="-0.14996795556505021"/>
                </patternFill>
              </fill>
            </x14:dxf>
          </x14:cfRule>
          <xm:sqref>AY78:BJ78</xm:sqref>
        </x14:conditionalFormatting>
        <x14:conditionalFormatting xmlns:xm="http://schemas.microsoft.com/office/excel/2006/main">
          <x14:cfRule type="expression" priority="32" id="{FEA1ABD7-1A27-4B8E-873D-2E0D741CF365}">
            <xm:f>AND('Cover Sheet'!$E$29=0, AY$4=0, AZ$4=0)</xm:f>
            <x14:dxf>
              <fill>
                <patternFill>
                  <bgColor theme="0" tint="-0.14996795556505021"/>
                </patternFill>
              </fill>
            </x14:dxf>
          </x14:cfRule>
          <xm:sqref>AY78:BJ78</xm:sqref>
        </x14:conditionalFormatting>
        <x14:conditionalFormatting xmlns:xm="http://schemas.microsoft.com/office/excel/2006/main">
          <x14:cfRule type="expression" priority="31" id="{15B9572F-D0E6-4144-AFFD-2637508FB15C}">
            <xm:f>AND('Cover Sheet'!$E$29=0, AY$4=0, AZ$4=0)</xm:f>
            <x14:dxf>
              <fill>
                <patternFill>
                  <bgColor theme="0" tint="-0.14996795556505021"/>
                </patternFill>
              </fill>
            </x14:dxf>
          </x14:cfRule>
          <xm:sqref>AY78:BJ78</xm:sqref>
        </x14:conditionalFormatting>
        <x14:conditionalFormatting xmlns:xm="http://schemas.microsoft.com/office/excel/2006/main">
          <x14:cfRule type="expression" priority="30" id="{F6887904-03FD-49C1-9166-465F96C7E607}">
            <xm:f>AND('Cover Sheet'!$E$29=0, AY$4=0, AZ$4=0)</xm:f>
            <x14:dxf>
              <fill>
                <patternFill>
                  <bgColor theme="0" tint="-0.14996795556505021"/>
                </patternFill>
              </fill>
            </x14:dxf>
          </x14:cfRule>
          <xm:sqref>AY78:BJ78</xm:sqref>
        </x14:conditionalFormatting>
        <x14:conditionalFormatting xmlns:xm="http://schemas.microsoft.com/office/excel/2006/main">
          <x14:cfRule type="expression" priority="29" id="{9BE3FB28-A721-4215-9404-6DE93D825E17}">
            <xm:f>AND('Cover Sheet'!$E$29=0, AY$4=0, AZ$4=0)</xm:f>
            <x14:dxf>
              <fill>
                <patternFill>
                  <bgColor theme="0"/>
                </patternFill>
              </fill>
            </x14:dxf>
          </x14:cfRule>
          <xm:sqref>AY78:BJ78</xm:sqref>
        </x14:conditionalFormatting>
        <x14:conditionalFormatting xmlns:xm="http://schemas.microsoft.com/office/excel/2006/main">
          <x14:cfRule type="expression" priority="27" id="{6B206BB1-D1FA-457C-B5A2-F5CBEA19683C}">
            <xm:f>AND('Cover Sheet'!$E$29=0, AY$4=0, AZ$4=0)</xm:f>
            <x14:dxf>
              <fill>
                <patternFill>
                  <bgColor theme="0" tint="-0.14996795556505021"/>
                </patternFill>
              </fill>
            </x14:dxf>
          </x14:cfRule>
          <xm:sqref>AY79:BJ79</xm:sqref>
        </x14:conditionalFormatting>
        <x14:conditionalFormatting xmlns:xm="http://schemas.microsoft.com/office/excel/2006/main">
          <x14:cfRule type="expression" priority="26" id="{E60E9C91-44F4-411E-AEDE-392B82F1FC8C}">
            <xm:f>AND('Cover Sheet'!$E$29=0, AY$4=0, AZ$4=0)</xm:f>
            <x14:dxf>
              <fill>
                <patternFill>
                  <bgColor theme="0" tint="-0.14996795556505021"/>
                </patternFill>
              </fill>
            </x14:dxf>
          </x14:cfRule>
          <xm:sqref>AY79:BJ79</xm:sqref>
        </x14:conditionalFormatting>
        <x14:conditionalFormatting xmlns:xm="http://schemas.microsoft.com/office/excel/2006/main">
          <x14:cfRule type="expression" priority="25" id="{2F58584D-F1E9-40F8-BBF5-1BCF3FFBAF64}">
            <xm:f>AND('Cover Sheet'!$E$29=0, AY$4=0, AZ$4=0)</xm:f>
            <x14:dxf>
              <fill>
                <patternFill>
                  <bgColor theme="0" tint="-0.14996795556505021"/>
                </patternFill>
              </fill>
            </x14:dxf>
          </x14:cfRule>
          <xm:sqref>AY79:BJ79</xm:sqref>
        </x14:conditionalFormatting>
        <x14:conditionalFormatting xmlns:xm="http://schemas.microsoft.com/office/excel/2006/main">
          <x14:cfRule type="expression" priority="24" id="{2CE1C4C1-A083-45F0-B1AF-9AE20D1644AF}">
            <xm:f>AND('Cover Sheet'!$E$29=0, AY$4=0, AZ$4=0)</xm:f>
            <x14:dxf>
              <fill>
                <patternFill>
                  <bgColor theme="0" tint="-0.14996795556505021"/>
                </patternFill>
              </fill>
            </x14:dxf>
          </x14:cfRule>
          <xm:sqref>AY79:BJ79</xm:sqref>
        </x14:conditionalFormatting>
        <x14:conditionalFormatting xmlns:xm="http://schemas.microsoft.com/office/excel/2006/main">
          <x14:cfRule type="expression" priority="23" id="{B43550A8-9E18-412E-8376-B4FFFE28A1EA}">
            <xm:f>AND('Cover Sheet'!$E$29=0, AY$4=0, AZ$4=0)</xm:f>
            <x14:dxf>
              <fill>
                <patternFill>
                  <bgColor theme="0" tint="-0.14996795556505021"/>
                </patternFill>
              </fill>
            </x14:dxf>
          </x14:cfRule>
          <xm:sqref>AY79:BJ79</xm:sqref>
        </x14:conditionalFormatting>
        <x14:conditionalFormatting xmlns:xm="http://schemas.microsoft.com/office/excel/2006/main">
          <x14:cfRule type="expression" priority="22" id="{25E81C83-7D31-409E-A23B-B489B5384007}">
            <xm:f>AND('Cover Sheet'!$E$29=0, AY$4=0, AZ$4=0)</xm:f>
            <x14:dxf>
              <fill>
                <patternFill>
                  <bgColor theme="0"/>
                </patternFill>
              </fill>
            </x14:dxf>
          </x14:cfRule>
          <xm:sqref>AY79:BJ79</xm:sqref>
        </x14:conditionalFormatting>
        <x14:conditionalFormatting xmlns:xm="http://schemas.microsoft.com/office/excel/2006/main">
          <x14:cfRule type="expression" priority="20" id="{96E2C5C0-4C97-4C30-A71E-F477EAEC1461}">
            <xm:f>AND('Cover Sheet'!$E$29=0, AY$4=0, AZ$4=0)</xm:f>
            <x14:dxf>
              <fill>
                <patternFill>
                  <bgColor theme="0" tint="-0.14996795556505021"/>
                </patternFill>
              </fill>
            </x14:dxf>
          </x14:cfRule>
          <xm:sqref>AY80:BJ80</xm:sqref>
        </x14:conditionalFormatting>
        <x14:conditionalFormatting xmlns:xm="http://schemas.microsoft.com/office/excel/2006/main">
          <x14:cfRule type="expression" priority="19" id="{7430F550-66E9-4B60-B633-F1F1D96DDA54}">
            <xm:f>AND('Cover Sheet'!$E$29=0, AY$4=0, AZ$4=0)</xm:f>
            <x14:dxf>
              <fill>
                <patternFill>
                  <bgColor theme="0" tint="-0.14996795556505021"/>
                </patternFill>
              </fill>
            </x14:dxf>
          </x14:cfRule>
          <xm:sqref>AY80:BJ80</xm:sqref>
        </x14:conditionalFormatting>
        <x14:conditionalFormatting xmlns:xm="http://schemas.microsoft.com/office/excel/2006/main">
          <x14:cfRule type="expression" priority="18" id="{800822D7-E75E-4266-A899-073E2FE5F373}">
            <xm:f>AND('Cover Sheet'!$E$29=0, AY$4=0, AZ$4=0)</xm:f>
            <x14:dxf>
              <fill>
                <patternFill>
                  <bgColor theme="0" tint="-0.14996795556505021"/>
                </patternFill>
              </fill>
            </x14:dxf>
          </x14:cfRule>
          <xm:sqref>AY80:BJ80</xm:sqref>
        </x14:conditionalFormatting>
        <x14:conditionalFormatting xmlns:xm="http://schemas.microsoft.com/office/excel/2006/main">
          <x14:cfRule type="expression" priority="17" id="{D289D954-5D5D-4BBF-A0A6-66A2729A7188}">
            <xm:f>AND('Cover Sheet'!$E$29=0, AY$4=0, AZ$4=0)</xm:f>
            <x14:dxf>
              <fill>
                <patternFill>
                  <bgColor theme="0" tint="-0.14996795556505021"/>
                </patternFill>
              </fill>
            </x14:dxf>
          </x14:cfRule>
          <xm:sqref>AY80:BJ80</xm:sqref>
        </x14:conditionalFormatting>
        <x14:conditionalFormatting xmlns:xm="http://schemas.microsoft.com/office/excel/2006/main">
          <x14:cfRule type="expression" priority="16" id="{D85E29E4-6FE9-47F2-8C16-1472B2E85BD3}">
            <xm:f>AND('Cover Sheet'!$E$29=0, AY$4=0, AZ$4=0)</xm:f>
            <x14:dxf>
              <fill>
                <patternFill>
                  <bgColor theme="0" tint="-0.14996795556505021"/>
                </patternFill>
              </fill>
            </x14:dxf>
          </x14:cfRule>
          <xm:sqref>AY80:BJ80</xm:sqref>
        </x14:conditionalFormatting>
        <x14:conditionalFormatting xmlns:xm="http://schemas.microsoft.com/office/excel/2006/main">
          <x14:cfRule type="expression" priority="15" id="{34E7B168-9044-4E68-B8D5-C42B53DE6517}">
            <xm:f>AND('Cover Sheet'!$E$29=0, AY$4=0, AZ$4=0)</xm:f>
            <x14:dxf>
              <fill>
                <patternFill>
                  <bgColor theme="0"/>
                </patternFill>
              </fill>
            </x14:dxf>
          </x14:cfRule>
          <xm:sqref>AY80:BJ80</xm:sqref>
        </x14:conditionalFormatting>
        <x14:conditionalFormatting xmlns:xm="http://schemas.microsoft.com/office/excel/2006/main">
          <x14:cfRule type="expression" priority="13" id="{75106716-208E-4CDF-AB86-9641352AEF83}">
            <xm:f>AND('Cover Sheet'!$E$29=0, AY$4=0, AZ$4=0)</xm:f>
            <x14:dxf>
              <fill>
                <patternFill>
                  <bgColor theme="0" tint="-0.14996795556505021"/>
                </patternFill>
              </fill>
            </x14:dxf>
          </x14:cfRule>
          <xm:sqref>AY71:BJ71</xm:sqref>
        </x14:conditionalFormatting>
        <x14:conditionalFormatting xmlns:xm="http://schemas.microsoft.com/office/excel/2006/main">
          <x14:cfRule type="expression" priority="12" id="{41F7A94B-701D-488F-B6BF-BB2AA55DEA9F}">
            <xm:f>AND('Cover Sheet'!$E$29=0, AY$4=0, AZ$4=0)</xm:f>
            <x14:dxf>
              <fill>
                <patternFill>
                  <bgColor theme="0" tint="-0.14996795556505021"/>
                </patternFill>
              </fill>
            </x14:dxf>
          </x14:cfRule>
          <xm:sqref>AY71:BJ71</xm:sqref>
        </x14:conditionalFormatting>
        <x14:conditionalFormatting xmlns:xm="http://schemas.microsoft.com/office/excel/2006/main">
          <x14:cfRule type="expression" priority="11" id="{A334781B-8036-407A-BCC6-92AB84AB313E}">
            <xm:f>AND('Cover Sheet'!$E$29=0, AY$4=0, AZ$4=0)</xm:f>
            <x14:dxf>
              <fill>
                <patternFill>
                  <bgColor theme="0" tint="-0.14996795556505021"/>
                </patternFill>
              </fill>
            </x14:dxf>
          </x14:cfRule>
          <xm:sqref>AY71:BJ71</xm:sqref>
        </x14:conditionalFormatting>
        <x14:conditionalFormatting xmlns:xm="http://schemas.microsoft.com/office/excel/2006/main">
          <x14:cfRule type="expression" priority="10" id="{E7BA36F3-C657-4AF6-BE31-D47FEBD5075C}">
            <xm:f>AND('Cover Sheet'!$E$29=0, AY$4=0, AZ$4=0)</xm:f>
            <x14:dxf>
              <fill>
                <patternFill>
                  <bgColor theme="0" tint="-0.14996795556505021"/>
                </patternFill>
              </fill>
            </x14:dxf>
          </x14:cfRule>
          <xm:sqref>AY71:BJ71</xm:sqref>
        </x14:conditionalFormatting>
        <x14:conditionalFormatting xmlns:xm="http://schemas.microsoft.com/office/excel/2006/main">
          <x14:cfRule type="expression" priority="9" id="{44B9E384-9D96-45F9-AFC6-58E9363A3D84}">
            <xm:f>AND('Cover Sheet'!$E$29=0, AY$4=0, AZ$4=0)</xm:f>
            <x14:dxf>
              <fill>
                <patternFill>
                  <bgColor theme="0" tint="-0.14996795556505021"/>
                </patternFill>
              </fill>
            </x14:dxf>
          </x14:cfRule>
          <xm:sqref>AY71:BJ71</xm:sqref>
        </x14:conditionalFormatting>
        <x14:conditionalFormatting xmlns:xm="http://schemas.microsoft.com/office/excel/2006/main">
          <x14:cfRule type="expression" priority="8" id="{213AD445-30A1-4F19-BB01-81EA94189037}">
            <xm:f>AND('Cover Sheet'!$E$29=0, AY$4=0, AZ$4=0)</xm:f>
            <x14:dxf>
              <fill>
                <patternFill>
                  <bgColor theme="0"/>
                </patternFill>
              </fill>
            </x14:dxf>
          </x14:cfRule>
          <xm:sqref>AY71:BJ71</xm:sqref>
        </x14:conditionalFormatting>
        <x14:conditionalFormatting xmlns:xm="http://schemas.microsoft.com/office/excel/2006/main">
          <x14:cfRule type="expression" priority="6" id="{47FB061B-C437-42E4-9555-2672FFF4D29C}">
            <xm:f>AND('Cover Sheet'!$E$29=0, AY$4=0, AZ$4=0)</xm:f>
            <x14:dxf>
              <fill>
                <patternFill>
                  <bgColor theme="0" tint="-0.14996795556505021"/>
                </patternFill>
              </fill>
            </x14:dxf>
          </x14:cfRule>
          <xm:sqref>AY72:BJ72</xm:sqref>
        </x14:conditionalFormatting>
        <x14:conditionalFormatting xmlns:xm="http://schemas.microsoft.com/office/excel/2006/main">
          <x14:cfRule type="expression" priority="5" id="{1891B507-AFCE-4B56-BB15-C7A24E65587A}">
            <xm:f>AND('Cover Sheet'!$E$29=0, AY$4=0, AZ$4=0)</xm:f>
            <x14:dxf>
              <fill>
                <patternFill>
                  <bgColor theme="0" tint="-0.14996795556505021"/>
                </patternFill>
              </fill>
            </x14:dxf>
          </x14:cfRule>
          <xm:sqref>AY72:BJ72</xm:sqref>
        </x14:conditionalFormatting>
        <x14:conditionalFormatting xmlns:xm="http://schemas.microsoft.com/office/excel/2006/main">
          <x14:cfRule type="expression" priority="4" id="{A88F9418-357F-4EFF-8CE4-35EC0CED0598}">
            <xm:f>AND('Cover Sheet'!$E$29=0, AY$4=0, AZ$4=0)</xm:f>
            <x14:dxf>
              <fill>
                <patternFill>
                  <bgColor theme="0" tint="-0.14996795556505021"/>
                </patternFill>
              </fill>
            </x14:dxf>
          </x14:cfRule>
          <xm:sqref>AY72:BJ72</xm:sqref>
        </x14:conditionalFormatting>
        <x14:conditionalFormatting xmlns:xm="http://schemas.microsoft.com/office/excel/2006/main">
          <x14:cfRule type="expression" priority="3" id="{054F6350-BA2C-483C-B0A0-1811486CDAA7}">
            <xm:f>AND('Cover Sheet'!$E$29=0, AY$4=0, AZ$4=0)</xm:f>
            <x14:dxf>
              <fill>
                <patternFill>
                  <bgColor theme="0" tint="-0.14996795556505021"/>
                </patternFill>
              </fill>
            </x14:dxf>
          </x14:cfRule>
          <xm:sqref>AY72:BJ72</xm:sqref>
        </x14:conditionalFormatting>
        <x14:conditionalFormatting xmlns:xm="http://schemas.microsoft.com/office/excel/2006/main">
          <x14:cfRule type="expression" priority="2" id="{4F057CC0-0108-489F-AFD9-86BE56744654}">
            <xm:f>AND('Cover Sheet'!$E$29=0, AY$4=0, AZ$4=0)</xm:f>
            <x14:dxf>
              <fill>
                <patternFill>
                  <bgColor theme="0" tint="-0.14996795556505021"/>
                </patternFill>
              </fill>
            </x14:dxf>
          </x14:cfRule>
          <xm:sqref>AY72:BJ72</xm:sqref>
        </x14:conditionalFormatting>
        <x14:conditionalFormatting xmlns:xm="http://schemas.microsoft.com/office/excel/2006/main">
          <x14:cfRule type="expression" priority="1" id="{C2C6FDEE-C0CB-4F4E-AAFF-4242B5CD0C05}">
            <xm:f>AND('Cover Sheet'!$E$29=0, AY$4=0, AZ$4=0)</xm:f>
            <x14:dxf>
              <fill>
                <patternFill>
                  <bgColor theme="0"/>
                </patternFill>
              </fill>
            </x14:dxf>
          </x14:cfRule>
          <xm:sqref>AY72:BJ72</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1CF58A9-8EBE-47A2-B76A-163E5F66756D}">
          <x14:formula1>
            <xm:f>'Dash Data'!$D$93:$D$100</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875EE-7FD4-4BF0-B74F-E3FD858896F7}">
  <sheetPr codeName="Sheet4">
    <tabColor rgb="FFBBF7DC"/>
    <outlinePr summaryBelow="0" summaryRight="0"/>
    <pageSetUpPr autoPageBreaks="0"/>
  </sheetPr>
  <dimension ref="A1:EX205"/>
  <sheetViews>
    <sheetView showGridLines="0" zoomScaleNormal="100" workbookViewId="0">
      <pane xSplit="8" ySplit="7" topLeftCell="I208" activePane="bottomRight" state="frozen"/>
      <selection pane="topRight"/>
      <selection pane="bottomLeft"/>
      <selection pane="bottomRight"/>
    </sheetView>
  </sheetViews>
  <sheetFormatPr defaultColWidth="8.5703125" defaultRowHeight="15" outlineLevelCol="1" x14ac:dyDescent="0.25"/>
  <cols>
    <col min="1" max="1" width="6.5703125" style="67" bestFit="1" customWidth="1"/>
    <col min="2" max="2" width="5.42578125" style="67" customWidth="1"/>
    <col min="3" max="3" width="8.42578125" style="67" bestFit="1" customWidth="1"/>
    <col min="4" max="4" width="43.5703125" style="1" customWidth="1"/>
    <col min="5" max="5" width="12.42578125" style="67" customWidth="1" outlineLevel="1"/>
    <col min="6" max="6" width="13" style="67" customWidth="1"/>
    <col min="7" max="7" width="13" style="67" customWidth="1" outlineLevel="1"/>
    <col min="8" max="8" width="15" style="67" customWidth="1" outlineLevel="1"/>
    <col min="9" max="9" width="4.85546875" style="67" bestFit="1" customWidth="1"/>
    <col min="10" max="11" width="9.42578125" style="67" customWidth="1"/>
    <col min="12" max="12" width="9.42578125" style="67" customWidth="1" collapsed="1"/>
    <col min="13" max="13" width="2.5703125" style="67" hidden="1" customWidth="1" outlineLevel="1"/>
    <col min="14" max="14" width="7.85546875" style="67" hidden="1" customWidth="1" outlineLevel="1"/>
    <col min="15" max="15" width="8" style="67" hidden="1" customWidth="1" outlineLevel="1"/>
    <col min="16" max="16" width="10.5703125" style="67" hidden="1" customWidth="1" outlineLevel="1"/>
    <col min="17" max="17" width="12" style="67" hidden="1" customWidth="1" outlineLevel="1"/>
    <col min="18" max="18" width="8.42578125" style="67" hidden="1" customWidth="1" outlineLevel="1"/>
    <col min="19" max="19" width="2.5703125" style="67" hidden="1" customWidth="1" outlineLevel="1"/>
    <col min="20" max="20" width="11.140625" style="67" hidden="1" customWidth="1" outlineLevel="1"/>
    <col min="21" max="21" width="2" style="67" bestFit="1" customWidth="1"/>
    <col min="22" max="25" width="9.42578125" style="67" bestFit="1" customWidth="1"/>
    <col min="26" max="26" width="1.42578125" style="67" customWidth="1"/>
    <col min="27" max="62" width="9.5703125" style="67" bestFit="1" customWidth="1"/>
    <col min="63" max="63" width="1.42578125" style="67" customWidth="1"/>
    <col min="64" max="75" width="9.42578125" style="67" bestFit="1" customWidth="1"/>
    <col min="76" max="76" width="1.42578125" style="67" customWidth="1"/>
    <col min="77" max="77" width="3.42578125" style="335" customWidth="1"/>
    <col min="78" max="78" width="13.42578125" style="67" customWidth="1"/>
    <col min="79" max="79" width="3.42578125" style="67" customWidth="1"/>
    <col min="80" max="80" width="13.42578125" style="335" customWidth="1"/>
    <col min="81" max="81" width="13.42578125" style="67" customWidth="1"/>
    <col min="82" max="84" width="13.42578125" style="335" customWidth="1"/>
    <col min="85" max="85" width="2.5703125" style="67" customWidth="1"/>
    <col min="86" max="89" width="9.85546875" style="335" customWidth="1"/>
    <col min="90" max="90" width="12.5703125" style="335" customWidth="1"/>
    <col min="91" max="92" width="12.5703125" style="67" customWidth="1"/>
    <col min="93" max="94" width="8.5703125" style="67" customWidth="1"/>
    <col min="95" max="150" width="8.5703125" style="67"/>
    <col min="151" max="151" width="8.5703125" style="335"/>
    <col min="152" max="152" width="8.5703125" style="67"/>
    <col min="153" max="153" width="8.5703125" style="67" collapsed="1"/>
    <col min="154" max="154" width="42.42578125" style="67" hidden="1" customWidth="1" outlineLevel="1"/>
    <col min="155" max="16380" width="8.5703125" style="67"/>
    <col min="16381" max="16384" width="2.42578125" style="67" customWidth="1"/>
  </cols>
  <sheetData>
    <row r="1" spans="1:154" x14ac:dyDescent="0.25">
      <c r="A1" s="7">
        <f ca="1">ToC!A1</f>
        <v>0</v>
      </c>
      <c r="B1" s="14" t="s">
        <v>846</v>
      </c>
      <c r="C1" s="101"/>
      <c r="D1" s="131" t="str">
        <f>CollegeNameInput</f>
        <v>HALESOWEN COLLEGE</v>
      </c>
      <c r="E1" s="14"/>
      <c r="F1" s="24"/>
      <c r="G1" s="24"/>
      <c r="H1" s="14"/>
      <c r="I1" s="14"/>
      <c r="J1" s="14" t="s">
        <v>2293</v>
      </c>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5" t="s">
        <v>1561</v>
      </c>
      <c r="CA1" s="575"/>
      <c r="CB1" s="5" t="s">
        <v>1771</v>
      </c>
      <c r="CC1" s="5"/>
      <c r="CD1" s="5"/>
      <c r="CE1" s="5" t="s">
        <v>1742</v>
      </c>
      <c r="CF1" s="5"/>
      <c r="CG1" s="575"/>
      <c r="CH1" s="5" t="s">
        <v>932</v>
      </c>
      <c r="EX1" s="5" t="s">
        <v>1563</v>
      </c>
    </row>
    <row r="2" spans="1:154" ht="14.45" customHeight="1" x14ac:dyDescent="0.25">
      <c r="A2" s="362" cm="1">
        <f t="array" aca="1" ref="A2" ca="1">HYPERLINK(CONCATENATE("#",CELL("address",IF(SUM(A$7:A$204)=0,$A$2,INDEX(A$7:A$204,MATCH(1,A$7:A$204,0))))),SUM(A$7:A$204))</f>
        <v>0</v>
      </c>
      <c r="B2" s="92" t="str" cm="1">
        <f t="array" aca="1" ref="B2" ca="1">HYPERLINK(CONCATENATE("#",CELL("address",Guide!$C$155)),Guide!$B$1)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BZ2" s="363" cm="1">
        <f t="array" aca="1" ref="BZ2" ca="1">HYPERLINK(CONCATENATE("#",CELL("address",IF(SUM(BZ$7:BZ$204)=0,$BZ$2,INDEX(BZ$7:BZ$204,MATCH(1,BZ$7:BZ$204,0))))),SUM(BZ$7:BZ$204))</f>
        <v>0</v>
      </c>
      <c r="CA2" s="575"/>
      <c r="CB2" s="576" t="s">
        <v>952</v>
      </c>
      <c r="CC2" s="576" t="s">
        <v>334</v>
      </c>
      <c r="CD2" s="576" t="s">
        <v>954</v>
      </c>
      <c r="CE2" s="576" t="s">
        <v>953</v>
      </c>
      <c r="CF2" s="576" t="s">
        <v>951</v>
      </c>
      <c r="CG2" s="575"/>
      <c r="CH2" s="580" t="s">
        <v>945</v>
      </c>
      <c r="CI2" s="583" t="s">
        <v>946</v>
      </c>
      <c r="CJ2" s="586" t="s">
        <v>947</v>
      </c>
      <c r="CK2" s="580" t="s">
        <v>948</v>
      </c>
      <c r="CL2" s="583" t="s">
        <v>949</v>
      </c>
      <c r="CM2" s="586" t="s">
        <v>950</v>
      </c>
      <c r="CN2" s="589" t="s">
        <v>2295</v>
      </c>
      <c r="EX2" s="335"/>
    </row>
    <row r="3" spans="1:154" ht="14.85" customHeight="1" x14ac:dyDescent="0.25">
      <c r="A3" s="92" t="str" cm="1">
        <f t="array" aca="1" ref="A3" ca="1">HYPERLINK(CONCATENATE("#",CELL("address",ToC!$A$1)),ToC!$C$1)</f>
        <v>ToC</v>
      </c>
      <c r="B3" s="80" t="str" cm="1">
        <f t="array" aca="1" ref="B3" ca="1">HYPERLINK(CONCATENATE("#",CELL("address",$B$8)),"I&amp;E")</f>
        <v>I&amp;E</v>
      </c>
      <c r="C3" s="14"/>
      <c r="D3" s="43" t="str">
        <f>Timeline!D3</f>
        <v>Financial Year</v>
      </c>
      <c r="E3" s="14"/>
      <c r="F3" s="14"/>
      <c r="G3" s="14"/>
      <c r="H3" s="14"/>
      <c r="I3" s="14"/>
      <c r="J3" s="14" t="str">
        <f>W3</f>
        <v>FY2021</v>
      </c>
      <c r="K3" s="14" t="str">
        <f t="shared" ref="K3:L3" si="0">X3</f>
        <v>FY2022</v>
      </c>
      <c r="L3" s="14" t="str">
        <f t="shared" si="0"/>
        <v>FY2023</v>
      </c>
      <c r="M3" s="14"/>
      <c r="N3" s="14"/>
      <c r="O3" s="14"/>
      <c r="P3" s="14"/>
      <c r="Q3" s="14"/>
      <c r="R3" s="14"/>
      <c r="S3" s="14"/>
      <c r="T3" s="14"/>
      <c r="U3" s="14"/>
      <c r="V3" s="17" t="str">
        <f>Timeline!V3</f>
        <v>FY2020</v>
      </c>
      <c r="W3" s="18"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69"/>
      <c r="CA3" s="575"/>
      <c r="CB3" s="576"/>
      <c r="CC3" s="576"/>
      <c r="CD3" s="576"/>
      <c r="CE3" s="576"/>
      <c r="CF3" s="576"/>
      <c r="CG3" s="575"/>
      <c r="CH3" s="581"/>
      <c r="CI3" s="584"/>
      <c r="CJ3" s="587"/>
      <c r="CK3" s="581"/>
      <c r="CL3" s="584"/>
      <c r="CM3" s="587"/>
      <c r="CN3" s="590"/>
      <c r="EX3" s="335"/>
    </row>
    <row r="4" spans="1:154" ht="14.85" customHeight="1" x14ac:dyDescent="0.25">
      <c r="A4" s="14"/>
      <c r="B4" s="80" t="str" cm="1">
        <f t="array" aca="1" ref="B4" ca="1">HYPERLINK(CONCATENATE("#",CELL("address",$D$160)),$D$160)</f>
        <v>Net Operating Income</v>
      </c>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20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361" t="s">
        <v>965</v>
      </c>
      <c r="CA4" s="575"/>
      <c r="CB4" s="576"/>
      <c r="CC4" s="576"/>
      <c r="CD4" s="576"/>
      <c r="CE4" s="576"/>
      <c r="CF4" s="576"/>
      <c r="CG4" s="575"/>
      <c r="CH4" s="581"/>
      <c r="CI4" s="584"/>
      <c r="CJ4" s="587"/>
      <c r="CK4" s="581"/>
      <c r="CL4" s="584"/>
      <c r="CM4" s="587"/>
      <c r="CN4" s="590"/>
      <c r="EX4" s="335"/>
    </row>
    <row r="5" spans="1:154" x14ac:dyDescent="0.25">
      <c r="A5" s="14"/>
      <c r="B5" s="80" t="str" cm="1">
        <f t="array" aca="1" ref="B5" ca="1">HYPERLINK(CONCATENATE("#",CELL("address",$D$199)),$D$191)</f>
        <v>Education-Specific EBITDA</v>
      </c>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69"/>
      <c r="CA5" s="575"/>
      <c r="CB5" s="576"/>
      <c r="CC5" s="576"/>
      <c r="CD5" s="576"/>
      <c r="CE5" s="576"/>
      <c r="CF5" s="576"/>
      <c r="CG5" s="575"/>
      <c r="CH5" s="581"/>
      <c r="CI5" s="584"/>
      <c r="CJ5" s="587"/>
      <c r="CK5" s="581"/>
      <c r="CL5" s="584"/>
      <c r="CM5" s="587"/>
      <c r="CN5" s="590"/>
      <c r="EX5" s="335"/>
    </row>
    <row r="6" spans="1:154" ht="30" x14ac:dyDescent="0.25">
      <c r="A6" s="80" t="str" cm="1">
        <f t="array" aca="1" ref="A6" ca="1">HYPERLINK(CONCATENATE("#",CELL("address",CA7)),"Check")</f>
        <v>Check</v>
      </c>
      <c r="B6" s="14"/>
      <c r="C6" s="26" t="str">
        <f>Template!$C$6</f>
        <v>Ref. No.</v>
      </c>
      <c r="D6" s="14" t="str">
        <f>Template!D6</f>
        <v>Description</v>
      </c>
      <c r="E6" s="44" t="s">
        <v>303</v>
      </c>
      <c r="F6" s="44" t="s">
        <v>304</v>
      </c>
      <c r="G6" s="26" t="s">
        <v>338</v>
      </c>
      <c r="H6" s="14" t="str">
        <f>Template!H6</f>
        <v>Signage</v>
      </c>
      <c r="I6" s="26" t="s">
        <v>2294</v>
      </c>
      <c r="J6" s="26" t="s">
        <v>2290</v>
      </c>
      <c r="K6" s="26" t="s">
        <v>2291</v>
      </c>
      <c r="L6" s="26" t="s">
        <v>2292</v>
      </c>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69"/>
      <c r="CA6" s="575"/>
      <c r="CB6" s="576"/>
      <c r="CC6" s="576"/>
      <c r="CD6" s="576"/>
      <c r="CE6" s="576"/>
      <c r="CF6" s="576"/>
      <c r="CG6" s="575"/>
      <c r="CH6" s="582"/>
      <c r="CI6" s="585"/>
      <c r="CJ6" s="588"/>
      <c r="CK6" s="582"/>
      <c r="CL6" s="585"/>
      <c r="CM6" s="588"/>
      <c r="CN6" s="591"/>
      <c r="EX6" s="335"/>
    </row>
    <row r="7" spans="1:154" ht="15.75" x14ac:dyDescent="0.3">
      <c r="B7" s="139" t="s">
        <v>2494</v>
      </c>
      <c r="E7" s="105" t="s">
        <v>335</v>
      </c>
      <c r="F7" s="335"/>
      <c r="G7" s="201" t="str">
        <f>Annual</f>
        <v>Annual</v>
      </c>
      <c r="I7" s="45">
        <f ca="1">IF(COUNTIF($G$8:$G$204,$G$7)=0, 0, 1)</f>
        <v>0</v>
      </c>
      <c r="J7" s="105" t="s">
        <v>335</v>
      </c>
      <c r="K7" s="105" t="s">
        <v>335</v>
      </c>
      <c r="L7" s="105" t="s">
        <v>335</v>
      </c>
      <c r="AA7" s="105" t="s">
        <v>335</v>
      </c>
      <c r="BM7" s="6"/>
      <c r="BY7" s="42"/>
      <c r="BZ7" s="105" t="s">
        <v>335</v>
      </c>
      <c r="CA7" s="42"/>
      <c r="CB7" s="105" t="s">
        <v>335</v>
      </c>
      <c r="CC7" s="105" t="s">
        <v>335</v>
      </c>
      <c r="CD7" s="105" t="s">
        <v>335</v>
      </c>
      <c r="CE7" s="105" t="s">
        <v>335</v>
      </c>
      <c r="CF7" s="105" t="s">
        <v>335</v>
      </c>
      <c r="CG7" s="42"/>
      <c r="EX7" s="335"/>
    </row>
    <row r="8" spans="1:154" x14ac:dyDescent="0.25">
      <c r="A8" s="40"/>
      <c r="B8" s="40"/>
      <c r="C8" s="379"/>
      <c r="D8" s="40" t="s">
        <v>877</v>
      </c>
      <c r="E8" s="148"/>
      <c r="F8" s="148"/>
      <c r="G8" s="148"/>
      <c r="H8" s="40"/>
      <c r="I8" s="148"/>
      <c r="J8" s="40"/>
      <c r="K8" s="40"/>
      <c r="L8" s="40"/>
      <c r="M8" s="40"/>
      <c r="N8" s="40"/>
      <c r="O8" s="40"/>
      <c r="P8" s="40"/>
      <c r="Q8" s="40"/>
      <c r="R8" s="40"/>
      <c r="S8" s="40"/>
      <c r="T8" s="148"/>
      <c r="U8" s="148"/>
      <c r="V8" s="148"/>
      <c r="W8" s="148"/>
      <c r="X8" s="148"/>
      <c r="Y8" s="148"/>
      <c r="Z8" s="40"/>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40"/>
      <c r="BL8" s="148"/>
      <c r="BM8" s="148"/>
      <c r="BN8" s="148"/>
      <c r="BO8" s="148"/>
      <c r="BP8" s="148"/>
      <c r="BQ8" s="148"/>
      <c r="BR8" s="148"/>
      <c r="BS8" s="148"/>
      <c r="BT8" s="148"/>
      <c r="BU8" s="148"/>
      <c r="BV8" s="148"/>
      <c r="BW8" s="148"/>
      <c r="BX8" s="40"/>
      <c r="BY8" s="12"/>
      <c r="BZ8" s="335"/>
      <c r="CA8" s="12"/>
      <c r="CC8" s="335"/>
      <c r="CG8" s="12"/>
      <c r="CM8" s="335"/>
      <c r="CN8" s="335"/>
      <c r="EX8" s="10" t="str">
        <f t="shared" ref="EX8:EX68" si="1">IF($C8="","",$D8)</f>
        <v/>
      </c>
    </row>
    <row r="9" spans="1:154" ht="22.35" customHeight="1" x14ac:dyDescent="0.25">
      <c r="A9" s="335"/>
      <c r="B9" s="335"/>
      <c r="C9" s="378"/>
      <c r="E9" s="25"/>
      <c r="F9" s="25"/>
      <c r="G9" s="25"/>
      <c r="H9" s="335"/>
      <c r="I9" s="25"/>
      <c r="J9" s="25"/>
      <c r="K9" s="335"/>
      <c r="L9" s="335"/>
      <c r="M9" s="335"/>
      <c r="N9" s="335"/>
      <c r="O9" s="335"/>
      <c r="P9" s="335"/>
      <c r="Q9" s="335"/>
      <c r="T9" s="25"/>
      <c r="U9" s="25"/>
      <c r="V9" s="25"/>
      <c r="W9" s="25"/>
      <c r="X9" s="25"/>
      <c r="Y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L9" s="25"/>
      <c r="BM9" s="155"/>
      <c r="BN9" s="25"/>
      <c r="BO9" s="25"/>
      <c r="BP9" s="25"/>
      <c r="BQ9" s="25"/>
      <c r="BR9" s="25"/>
      <c r="BS9" s="25"/>
      <c r="BT9" s="25"/>
      <c r="BU9" s="25"/>
      <c r="BV9" s="25"/>
      <c r="BW9" s="25"/>
      <c r="BY9" s="12"/>
      <c r="BZ9" s="335"/>
      <c r="CA9" s="12"/>
      <c r="CC9" s="335"/>
      <c r="CG9" s="12"/>
      <c r="CM9" s="335"/>
      <c r="CN9" s="335"/>
      <c r="EX9" s="10" t="str">
        <f t="shared" si="1"/>
        <v/>
      </c>
    </row>
    <row r="10" spans="1:154" x14ac:dyDescent="0.25">
      <c r="A10" s="335"/>
      <c r="B10" s="5"/>
      <c r="C10" s="380"/>
      <c r="D10" s="27" t="s">
        <v>9</v>
      </c>
      <c r="E10" s="25"/>
      <c r="F10" s="93"/>
      <c r="G10" s="335"/>
      <c r="H10" s="335"/>
      <c r="I10" s="25"/>
      <c r="J10" s="335"/>
      <c r="K10" s="2"/>
      <c r="L10" s="2"/>
      <c r="M10" s="2"/>
      <c r="N10" s="2"/>
      <c r="O10" s="2"/>
      <c r="P10" s="2"/>
      <c r="Q10" s="2"/>
      <c r="T10" s="335"/>
      <c r="U10" s="335"/>
      <c r="V10" s="25"/>
      <c r="W10" s="25"/>
      <c r="X10" s="25"/>
      <c r="Y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L10" s="25"/>
      <c r="BM10" s="25"/>
      <c r="BN10" s="25"/>
      <c r="BO10" s="25"/>
      <c r="BP10" s="25"/>
      <c r="BQ10" s="25"/>
      <c r="BR10" s="25"/>
      <c r="BS10" s="25"/>
      <c r="BT10" s="25"/>
      <c r="BU10" s="25"/>
      <c r="BV10" s="25"/>
      <c r="BW10" s="25"/>
      <c r="BY10" s="12"/>
      <c r="BZ10" s="335"/>
      <c r="CA10" s="12"/>
      <c r="CC10" s="335"/>
      <c r="CG10" s="12"/>
      <c r="CM10" s="335"/>
      <c r="CN10" s="335"/>
      <c r="EX10" s="10" t="str">
        <f t="shared" si="1"/>
        <v/>
      </c>
    </row>
    <row r="11" spans="1:154" x14ac:dyDescent="0.25">
      <c r="A11" s="362" cm="1">
        <f t="array" aca="1" ref="A11" ca="1">HYPERLINK(CONCATENATE("#",CELL("address",IF(SUM($CA11:$CG11)=0,A11,INDEX($CA11:$CG11,MATCH(1,$CA11:$CG11,0))))),SUM($CA11:$CG11))</f>
        <v>0</v>
      </c>
      <c r="B11" s="335"/>
      <c r="C11" s="343" t="s">
        <v>423</v>
      </c>
      <c r="D11" s="137" t="s">
        <v>1014</v>
      </c>
      <c r="E11" s="147"/>
      <c r="F11" s="98" t="str" cm="1">
        <f t="array" aca="1" ref="F11" ca="1">IF(E11="", "", HYPERLINK(CONCATENATE("#",CELL("address",INDEX('I&amp;E Profiles'!$D$9:$D$93,'I&amp;E Annual'!I11))),E11))</f>
        <v/>
      </c>
      <c r="G11" s="227" t="s">
        <v>211</v>
      </c>
      <c r="H11" s="335" t="s">
        <v>8</v>
      </c>
      <c r="I11" s="350" t="str">
        <f>IF(E11="", "", MATCH(E11, 'I&amp;E Profiles'!$D$96:$D$180,0))</f>
        <v/>
      </c>
      <c r="J11" s="215">
        <f>IF($G11=$G$7, W11,'I&amp;E Monthly'!W11)-SUMIFS('I&amp;E Monthly'!$AA11:$BJ11, 'I&amp;E Monthly'!$AA$3:$BJ$3, 'I&amp;E Annual'!W$3, 'I&amp;E Monthly'!$AA$4:$BJ$4, 0)</f>
        <v>0</v>
      </c>
      <c r="K11" s="215">
        <f>IF($G11=$G$7, X11,'I&amp;E Monthly'!X11)-SUMIFS('I&amp;E Monthly'!$AA11:$BJ11, 'I&amp;E Monthly'!$AA$3:$BJ$3, 'I&amp;E Annual'!X$3, 'I&amp;E Monthly'!$AA$4:$BJ$4, 0)</f>
        <v>0</v>
      </c>
      <c r="L11" s="215">
        <f>IF($G11=$G$7, Y11,'I&amp;E Monthly'!Y11)-SUMIFS('I&amp;E Monthly'!$AA11:$BJ11, 'I&amp;E Monthly'!$AA$3:$BJ$3, 'I&amp;E Annual'!Y$3, 'I&amp;E Monthly'!$AA$4:$BJ$4, 0)</f>
        <v>0</v>
      </c>
      <c r="Q11" s="2"/>
      <c r="R11" s="335"/>
      <c r="T11" s="335"/>
      <c r="U11" s="335"/>
      <c r="V11" s="215">
        <f>'I&amp;E Monthly'!V11</f>
        <v>0</v>
      </c>
      <c r="W11" s="147"/>
      <c r="X11" s="227"/>
      <c r="Y11" s="227"/>
      <c r="AA11" s="153" cm="1">
        <f t="array" ref="AA11">IF(OR(AA$4=0, $G11&lt;&gt; $G$7, $E11=0), 'I&amp;E Monthly'!AA11, CHOOSE(Timeline!AA$30,$J11,$K11,$L11 )*INDEX('I&amp;E Profiles'!AA$96:AA$180,$I11))</f>
        <v>0</v>
      </c>
      <c r="AB11" s="153" cm="1">
        <f t="array" ref="AB11">IF(OR(AB$4=0, $G11&lt;&gt; $G$7, $E11=0), 'I&amp;E Monthly'!AB11, CHOOSE(Timeline!AB$30,$J11,$K11,$L11 )*INDEX('I&amp;E Profiles'!AB$96:AB$180,$I11))</f>
        <v>0</v>
      </c>
      <c r="AC11" s="153" cm="1">
        <f t="array" ref="AC11">IF(OR(AC$4=0, $G11&lt;&gt; $G$7, $E11=0), 'I&amp;E Monthly'!AC11, CHOOSE(Timeline!AC$30,$J11,$K11,$L11 )*INDEX('I&amp;E Profiles'!AC$96:AC$180,$I11))</f>
        <v>0</v>
      </c>
      <c r="AD11" s="153" cm="1">
        <f t="array" ref="AD11">IF(OR(AD$4=0, $G11&lt;&gt; $G$7, $E11=0), 'I&amp;E Monthly'!AD11, CHOOSE(Timeline!AD$30,$J11,$K11,$L11 )*INDEX('I&amp;E Profiles'!AD$96:AD$180,$I11))</f>
        <v>0</v>
      </c>
      <c r="AE11" s="153" cm="1">
        <f t="array" ref="AE11">IF(OR(AE$4=0, $G11&lt;&gt; $G$7, $E11=0), 'I&amp;E Monthly'!AE11, CHOOSE(Timeline!AE$30,$J11,$K11,$L11 )*INDEX('I&amp;E Profiles'!AE$96:AE$180,$I11))</f>
        <v>0</v>
      </c>
      <c r="AF11" s="153" cm="1">
        <f t="array" ref="AF11">IF(OR(AF$4=0, $G11&lt;&gt; $G$7, $E11=0), 'I&amp;E Monthly'!AF11, CHOOSE(Timeline!AF$30,$J11,$K11,$L11 )*INDEX('I&amp;E Profiles'!AF$96:AF$180,$I11))</f>
        <v>0</v>
      </c>
      <c r="AG11" s="153" cm="1">
        <f t="array" ref="AG11">IF(OR(AG$4=0, $G11&lt;&gt; $G$7, $E11=0), 'I&amp;E Monthly'!AG11, CHOOSE(Timeline!AG$30,$J11,$K11,$L11 )*INDEX('I&amp;E Profiles'!AG$96:AG$180,$I11))</f>
        <v>0</v>
      </c>
      <c r="AH11" s="153" cm="1">
        <f t="array" ref="AH11">IF(OR(AH$4=0, $G11&lt;&gt; $G$7, $E11=0), 'I&amp;E Monthly'!AH11, CHOOSE(Timeline!AH$30,$J11,$K11,$L11 )*INDEX('I&amp;E Profiles'!AH$96:AH$180,$I11))</f>
        <v>0</v>
      </c>
      <c r="AI11" s="153" cm="1">
        <f t="array" ref="AI11">IF(OR(AI$4=0, $G11&lt;&gt; $G$7, $E11=0), 'I&amp;E Monthly'!AI11, CHOOSE(Timeline!AI$30,$J11,$K11,$L11 )*INDEX('I&amp;E Profiles'!AI$96:AI$180,$I11))</f>
        <v>0</v>
      </c>
      <c r="AJ11" s="153" cm="1">
        <f t="array" ref="AJ11">IF(OR(AJ$4=0, $G11&lt;&gt; $G$7, $E11=0), 'I&amp;E Monthly'!AJ11, CHOOSE(Timeline!AJ$30,$J11,$K11,$L11 )*INDEX('I&amp;E Profiles'!AJ$96:AJ$180,$I11))</f>
        <v>0</v>
      </c>
      <c r="AK11" s="153" cm="1">
        <f t="array" ref="AK11">IF(OR(AK$4=0, $G11&lt;&gt; $G$7, $E11=0), 'I&amp;E Monthly'!AK11, CHOOSE(Timeline!AK$30,$J11,$K11,$L11 )*INDEX('I&amp;E Profiles'!AK$96:AK$180,$I11))</f>
        <v>0</v>
      </c>
      <c r="AL11" s="153" cm="1">
        <f t="array" ref="AL11">IF(OR(AL$4=0, $G11&lt;&gt; $G$7, $E11=0), 'I&amp;E Monthly'!AL11, CHOOSE(Timeline!AL$30,$J11,$K11,$L11 )*INDEX('I&amp;E Profiles'!AL$96:AL$180,$I11))</f>
        <v>0</v>
      </c>
      <c r="AM11" s="153" cm="1">
        <f t="array" ref="AM11">IF(OR(AM$4=0, $G11&lt;&gt; $G$7, $E11=0), 'I&amp;E Monthly'!AM11, CHOOSE(Timeline!AM$30,$J11,$K11,$L11 )*INDEX('I&amp;E Profiles'!AM$96:AM$180,$I11))</f>
        <v>0</v>
      </c>
      <c r="AN11" s="153" cm="1">
        <f t="array" ref="AN11">IF(OR(AN$4=0, $G11&lt;&gt; $G$7, $E11=0), 'I&amp;E Monthly'!AN11, CHOOSE(Timeline!AN$30,$J11,$K11,$L11 )*INDEX('I&amp;E Profiles'!AN$96:AN$180,$I11))</f>
        <v>0</v>
      </c>
      <c r="AO11" s="153" cm="1">
        <f t="array" ref="AO11">IF(OR(AO$4=0, $G11&lt;&gt; $G$7, $E11=0), 'I&amp;E Monthly'!AO11, CHOOSE(Timeline!AO$30,$J11,$K11,$L11 )*INDEX('I&amp;E Profiles'!AO$96:AO$180,$I11))</f>
        <v>0</v>
      </c>
      <c r="AP11" s="153" cm="1">
        <f t="array" ref="AP11">IF(OR(AP$4=0, $G11&lt;&gt; $G$7, $E11=0), 'I&amp;E Monthly'!AP11, CHOOSE(Timeline!AP$30,$J11,$K11,$L11 )*INDEX('I&amp;E Profiles'!AP$96:AP$180,$I11))</f>
        <v>0</v>
      </c>
      <c r="AQ11" s="153" cm="1">
        <f t="array" ref="AQ11">IF(OR(AQ$4=0, $G11&lt;&gt; $G$7, $E11=0), 'I&amp;E Monthly'!AQ11, CHOOSE(Timeline!AQ$30,$J11,$K11,$L11 )*INDEX('I&amp;E Profiles'!AQ$96:AQ$180,$I11))</f>
        <v>0</v>
      </c>
      <c r="AR11" s="153" cm="1">
        <f t="array" ref="AR11">IF(OR(AR$4=0, $G11&lt;&gt; $G$7, $E11=0), 'I&amp;E Monthly'!AR11, CHOOSE(Timeline!AR$30,$J11,$K11,$L11 )*INDEX('I&amp;E Profiles'!AR$96:AR$180,$I11))</f>
        <v>0</v>
      </c>
      <c r="AS11" s="153" cm="1">
        <f t="array" ref="AS11">IF(OR(AS$4=0, $G11&lt;&gt; $G$7, $E11=0), 'I&amp;E Monthly'!AS11, CHOOSE(Timeline!AS$30,$J11,$K11,$L11 )*INDEX('I&amp;E Profiles'!AS$96:AS$180,$I11))</f>
        <v>0</v>
      </c>
      <c r="AT11" s="153" cm="1">
        <f t="array" ref="AT11">IF(OR(AT$4=0, $G11&lt;&gt; $G$7, $E11=0), 'I&amp;E Monthly'!AT11, CHOOSE(Timeline!AT$30,$J11,$K11,$L11 )*INDEX('I&amp;E Profiles'!AT$96:AT$180,$I11))</f>
        <v>0</v>
      </c>
      <c r="AU11" s="153" cm="1">
        <f t="array" ref="AU11">IF(OR(AU$4=0, $G11&lt;&gt; $G$7, $E11=0), 'I&amp;E Monthly'!AU11, CHOOSE(Timeline!AU$30,$J11,$K11,$L11 )*INDEX('I&amp;E Profiles'!AU$96:AU$180,$I11))</f>
        <v>0</v>
      </c>
      <c r="AV11" s="153" cm="1">
        <f t="array" ref="AV11">IF(OR(AV$4=0, $G11&lt;&gt; $G$7, $E11=0), 'I&amp;E Monthly'!AV11, CHOOSE(Timeline!AV$30,$J11,$K11,$L11 )*INDEX('I&amp;E Profiles'!AV$96:AV$180,$I11))</f>
        <v>0</v>
      </c>
      <c r="AW11" s="153" cm="1">
        <f t="array" ref="AW11">IF(OR(AW$4=0, $G11&lt;&gt; $G$7, $E11=0), 'I&amp;E Monthly'!AW11, CHOOSE(Timeline!AW$30,$J11,$K11,$L11 )*INDEX('I&amp;E Profiles'!AW$96:AW$180,$I11))</f>
        <v>0</v>
      </c>
      <c r="AX11" s="153" cm="1">
        <f t="array" ref="AX11">IF(OR(AX$4=0, $G11&lt;&gt; $G$7, $E11=0), 'I&amp;E Monthly'!AX11, CHOOSE(Timeline!AX$30,$J11,$K11,$L11 )*INDEX('I&amp;E Profiles'!AX$96:AX$180,$I11))</f>
        <v>0</v>
      </c>
      <c r="AY11" s="153" cm="1">
        <f t="array" ref="AY11">IF(OR(AY$4=0, $G11&lt;&gt; $G$7, $E11=0), 'I&amp;E Monthly'!AY11, CHOOSE(Timeline!AY$30,$J11,$K11,$L11 )*INDEX('I&amp;E Profiles'!AY$96:AY$180,$I11))</f>
        <v>0</v>
      </c>
      <c r="AZ11" s="153" cm="1">
        <f t="array" ref="AZ11">IF(OR(AZ$4=0, $G11&lt;&gt; $G$7, $E11=0), 'I&amp;E Monthly'!AZ11, CHOOSE(Timeline!AZ$30,$J11,$K11,$L11 )*INDEX('I&amp;E Profiles'!AZ$96:AZ$180,$I11))</f>
        <v>0</v>
      </c>
      <c r="BA11" s="153" cm="1">
        <f t="array" ref="BA11">IF(OR(BA$4=0, $G11&lt;&gt; $G$7, $E11=0), 'I&amp;E Monthly'!BA11, CHOOSE(Timeline!BA$30,$J11,$K11,$L11 )*INDEX('I&amp;E Profiles'!BA$96:BA$180,$I11))</f>
        <v>0</v>
      </c>
      <c r="BB11" s="153" cm="1">
        <f t="array" ref="BB11">IF(OR(BB$4=0, $G11&lt;&gt; $G$7, $E11=0), 'I&amp;E Monthly'!BB11, CHOOSE(Timeline!BB$30,$J11,$K11,$L11 )*INDEX('I&amp;E Profiles'!BB$96:BB$180,$I11))</f>
        <v>0</v>
      </c>
      <c r="BC11" s="153" cm="1">
        <f t="array" ref="BC11">IF(OR(BC$4=0, $G11&lt;&gt; $G$7, $E11=0), 'I&amp;E Monthly'!BC11, CHOOSE(Timeline!BC$30,$J11,$K11,$L11 )*INDEX('I&amp;E Profiles'!BC$96:BC$180,$I11))</f>
        <v>0</v>
      </c>
      <c r="BD11" s="153" cm="1">
        <f t="array" ref="BD11">IF(OR(BD$4=0, $G11&lt;&gt; $G$7, $E11=0), 'I&amp;E Monthly'!BD11, CHOOSE(Timeline!BD$30,$J11,$K11,$L11 )*INDEX('I&amp;E Profiles'!BD$96:BD$180,$I11))</f>
        <v>0</v>
      </c>
      <c r="BE11" s="153" cm="1">
        <f t="array" ref="BE11">IF(OR(BE$4=0, $G11&lt;&gt; $G$7, $E11=0), 'I&amp;E Monthly'!BE11, CHOOSE(Timeline!BE$30,$J11,$K11,$L11 )*INDEX('I&amp;E Profiles'!BE$96:BE$180,$I11))</f>
        <v>0</v>
      </c>
      <c r="BF11" s="153" cm="1">
        <f t="array" ref="BF11">IF(OR(BF$4=0, $G11&lt;&gt; $G$7, $E11=0), 'I&amp;E Monthly'!BF11, CHOOSE(Timeline!BF$30,$J11,$K11,$L11 )*INDEX('I&amp;E Profiles'!BF$96:BF$180,$I11))</f>
        <v>0</v>
      </c>
      <c r="BG11" s="153" cm="1">
        <f t="array" ref="BG11">IF(OR(BG$4=0, $G11&lt;&gt; $G$7, $E11=0), 'I&amp;E Monthly'!BG11, CHOOSE(Timeline!BG$30,$J11,$K11,$L11 )*INDEX('I&amp;E Profiles'!BG$96:BG$180,$I11))</f>
        <v>0</v>
      </c>
      <c r="BH11" s="153" cm="1">
        <f t="array" ref="BH11">IF(OR(BH$4=0, $G11&lt;&gt; $G$7, $E11=0), 'I&amp;E Monthly'!BH11, CHOOSE(Timeline!BH$30,$J11,$K11,$L11 )*INDEX('I&amp;E Profiles'!BH$96:BH$180,$I11))</f>
        <v>0</v>
      </c>
      <c r="BI11" s="153" cm="1">
        <f t="array" ref="BI11">IF(OR(BI$4=0, $G11&lt;&gt; $G$7, $E11=0), 'I&amp;E Monthly'!BI11, CHOOSE(Timeline!BI$30,$J11,$K11,$L11 )*INDEX('I&amp;E Profiles'!BI$96:BI$180,$I11))</f>
        <v>0</v>
      </c>
      <c r="BJ11" s="153" cm="1">
        <f t="array" ref="BJ11">IF(OR(BJ$4=0, $G11&lt;&gt; $G$7, $E11=0), 'I&amp;E Monthly'!BJ11, CHOOSE(Timeline!BJ$30,$J11,$K11,$L11 )*INDEX('I&amp;E Profiles'!BJ$96:BJ$180,$I11))</f>
        <v>0</v>
      </c>
      <c r="BL11" s="152">
        <f>V11</f>
        <v>0</v>
      </c>
      <c r="BM11" s="153">
        <f>SUMIFS($AA11:$BJ11, $AA$3:$BJ$3,BM$3)</f>
        <v>0</v>
      </c>
      <c r="BN11" s="153">
        <f>SUMIFS($AA11:$BJ11, $AA$3:$BJ$3,BN$3)</f>
        <v>0</v>
      </c>
      <c r="BO11" s="153">
        <f>SUMIFS($AA11:$BJ11, $AA$3:$BJ$3,BO$3)</f>
        <v>0</v>
      </c>
      <c r="BP11" s="152">
        <f>'I&amp;E Monthly'!BP11</f>
        <v>0</v>
      </c>
      <c r="BQ11" s="152">
        <f>'I&amp;E Monthly'!BQ11</f>
        <v>0</v>
      </c>
      <c r="BR11" s="152">
        <f>'I&amp;E Monthly'!BR11</f>
        <v>0</v>
      </c>
      <c r="BS11" s="152">
        <f>'I&amp;E Monthly'!BS11</f>
        <v>0</v>
      </c>
      <c r="BT11" s="152">
        <f>'I&amp;E Monthly'!BT11</f>
        <v>0</v>
      </c>
      <c r="BU11" s="152">
        <f>'I&amp;E Monthly'!BU11</f>
        <v>0</v>
      </c>
      <c r="BV11" s="152">
        <f>'I&amp;E Monthly'!BV11</f>
        <v>0</v>
      </c>
      <c r="BW11" s="152">
        <f>'I&amp;E Monthly'!BW11</f>
        <v>0</v>
      </c>
      <c r="BY11" s="12"/>
      <c r="BZ11" s="363">
        <f t="shared" ref="BZ11:BZ16" ca="1" si="2">IF(MIN($V11:$BW11)&lt;0, 1, 0)*$I$7</f>
        <v>0</v>
      </c>
      <c r="CA11" s="12"/>
      <c r="CB11" s="7">
        <f>IF(AND($G11=$G$7,$E11=""), 1, 0)</f>
        <v>0</v>
      </c>
      <c r="CC11" s="188" cm="1">
        <f t="array" ref="CC11">IF(E11="",0, IF(_xlfn.IFNA(INDEX('I&amp;E Profiles'!$D$96:$D$180, $I11), "N/A")="N/A", 1, 0))</f>
        <v>0</v>
      </c>
      <c r="CD11" s="7">
        <f t="shared" ref="CD11:CD16" si="3">IF(SUM($CH11:$CJ11)=0, 0, 1)</f>
        <v>0</v>
      </c>
      <c r="CE11" s="7">
        <f t="shared" ref="CE11:CE16" si="4">IF(SUM($CK11:$CM11)=0, 0, 1)</f>
        <v>0</v>
      </c>
      <c r="CF11" s="7">
        <f t="shared" ref="CF11:CF16" si="5">IF(CN11=0, 0, 1)</f>
        <v>0</v>
      </c>
      <c r="CG11" s="12"/>
      <c r="CH11" s="352">
        <f t="shared" ref="CH11:CJ16" si="6">IF($G11=$G$7, ROUND(W11-SUMIFS($AA11:$BJ11, $AA$3:$BJ$3, W$3), rounding), 0)</f>
        <v>0</v>
      </c>
      <c r="CI11" s="352">
        <f t="shared" si="6"/>
        <v>0</v>
      </c>
      <c r="CJ11" s="352">
        <f t="shared" si="6"/>
        <v>0</v>
      </c>
      <c r="CK11" s="352">
        <f t="shared" ref="CK11:CK16" si="7">ROUND($BM11-SUMIFS($AA11:$BJ11, $AA$3:$BJ$3, $BM$3), rounding)</f>
        <v>0</v>
      </c>
      <c r="CL11" s="352">
        <f t="shared" ref="CL11:CL16" si="8">ROUND($BN11-SUMIFS($AA11:$BJ11, $AA$3:$BJ$3, $BN$3), rounding)</f>
        <v>0</v>
      </c>
      <c r="CM11" s="352">
        <f t="shared" ref="CM11:CM16" si="9">ROUND($BO11-SUMIFS($AA11:$BJ11, $AA$3:$BJ$3, $BO$3), rounding)</f>
        <v>0</v>
      </c>
      <c r="CN11" s="352">
        <f t="shared" ref="CN11:CN16" si="10">ROUND($V11-$BL11, rounding)</f>
        <v>0</v>
      </c>
      <c r="EX11" s="10" t="str">
        <f t="shared" si="1"/>
        <v>ESFA funding: 14-16 income</v>
      </c>
    </row>
    <row r="12" spans="1:154" hidden="1" x14ac:dyDescent="0.25">
      <c r="A12" s="362" cm="1">
        <f t="array" aca="1" ref="A12" ca="1">HYPERLINK(CONCATENATE("#",CELL("address",IF(SUM($CA12:$CG12)=0,A12,INDEX($CA12:$CG12,MATCH(1,$CA12:$CG12,0))))),SUM($CA12:$CG12))</f>
        <v>0</v>
      </c>
      <c r="B12" s="335"/>
      <c r="C12" s="383"/>
      <c r="D12" s="194" t="s">
        <v>2316</v>
      </c>
      <c r="E12" s="349"/>
      <c r="F12" s="98" t="str" cm="1">
        <f t="array" aca="1" ref="F12" ca="1">IF(E12="", "", HYPERLINK(CONCATENATE("#",CELL("address",INDEX('I&amp;E Profiles'!$D$9:$D$93,'I&amp;E Annual'!I12))),E12))</f>
        <v/>
      </c>
      <c r="G12" s="349"/>
      <c r="H12" s="5"/>
      <c r="I12" s="476" t="str">
        <f>IF(E12="", "", MATCH(E12, 'I&amp;E Profiles'!$D$96:$D$180,0))</f>
        <v/>
      </c>
      <c r="J12" s="215">
        <f>IF($G12=$G$7, W12,'I&amp;E Monthly'!W12)-SUMIFS('I&amp;E Monthly'!$AA12:$BJ12, 'I&amp;E Monthly'!$AA$3:$BJ$3, 'I&amp;E Annual'!W$3, 'I&amp;E Monthly'!$AA$4:$BJ$4, 0)</f>
        <v>0</v>
      </c>
      <c r="K12" s="215">
        <f>IF($G12=$G$7, X12,'I&amp;E Monthly'!X12)-SUMIFS('I&amp;E Monthly'!$AA12:$BJ12, 'I&amp;E Monthly'!$AA$3:$BJ$3, 'I&amp;E Annual'!X$3, 'I&amp;E Monthly'!$AA$4:$BJ$4, 0)</f>
        <v>0</v>
      </c>
      <c r="L12" s="215">
        <f>IF($G12=$G$7, Y12,'I&amp;E Monthly'!Y12)-SUMIFS('I&amp;E Monthly'!$AA12:$BJ12, 'I&amp;E Monthly'!$AA$3:$BJ$3, 'I&amp;E Annual'!Y$3, 'I&amp;E Monthly'!$AA$4:$BJ$4, 0)</f>
        <v>0</v>
      </c>
      <c r="M12" s="335"/>
      <c r="N12" s="335"/>
      <c r="O12" s="335"/>
      <c r="P12" s="335"/>
      <c r="Q12" s="2"/>
      <c r="R12" s="335"/>
      <c r="S12" s="335"/>
      <c r="T12" s="335"/>
      <c r="U12" s="335"/>
      <c r="V12" s="153">
        <f>'I&amp;E Monthly'!V12</f>
        <v>0</v>
      </c>
      <c r="W12" s="349"/>
      <c r="X12" s="349"/>
      <c r="Y12" s="349"/>
      <c r="Z12" s="335"/>
      <c r="AA12" s="153" cm="1">
        <f t="array" ref="AA12">IF(OR(AA$4=0, $G12&lt;&gt; $G$7, $E12=0), 'I&amp;E Monthly'!AA12, CHOOSE(Timeline!AA$30,$J12,$K12,$L12 )*INDEX('I&amp;E Profiles'!AA$96:AA$180,$I12))</f>
        <v>0</v>
      </c>
      <c r="AB12" s="153" cm="1">
        <f t="array" ref="AB12">IF(OR(AB$4=0, $G12&lt;&gt; $G$7, $E12=0), 'I&amp;E Monthly'!AB12, CHOOSE(Timeline!AB$30,$J12,$K12,$L12 )*INDEX('I&amp;E Profiles'!AB$96:AB$180,$I12))</f>
        <v>0</v>
      </c>
      <c r="AC12" s="153" cm="1">
        <f t="array" ref="AC12">IF(OR(AC$4=0, $G12&lt;&gt; $G$7, $E12=0), 'I&amp;E Monthly'!AC12, CHOOSE(Timeline!AC$30,$J12,$K12,$L12 )*INDEX('I&amp;E Profiles'!AC$96:AC$180,$I12))</f>
        <v>0</v>
      </c>
      <c r="AD12" s="153" cm="1">
        <f t="array" ref="AD12">IF(OR(AD$4=0, $G12&lt;&gt; $G$7, $E12=0), 'I&amp;E Monthly'!AD12, CHOOSE(Timeline!AD$30,$J12,$K12,$L12 )*INDEX('I&amp;E Profiles'!AD$96:AD$180,$I12))</f>
        <v>0</v>
      </c>
      <c r="AE12" s="153" cm="1">
        <f t="array" ref="AE12">IF(OR(AE$4=0, $G12&lt;&gt; $G$7, $E12=0), 'I&amp;E Monthly'!AE12, CHOOSE(Timeline!AE$30,$J12,$K12,$L12 )*INDEX('I&amp;E Profiles'!AE$96:AE$180,$I12))</f>
        <v>0</v>
      </c>
      <c r="AF12" s="153" cm="1">
        <f t="array" ref="AF12">IF(OR(AF$4=0, $G12&lt;&gt; $G$7, $E12=0), 'I&amp;E Monthly'!AF12, CHOOSE(Timeline!AF$30,$J12,$K12,$L12 )*INDEX('I&amp;E Profiles'!AF$96:AF$180,$I12))</f>
        <v>0</v>
      </c>
      <c r="AG12" s="153" cm="1">
        <f t="array" ref="AG12">IF(OR(AG$4=0, $G12&lt;&gt; $G$7, $E12=0), 'I&amp;E Monthly'!AG12, CHOOSE(Timeline!AG$30,$J12,$K12,$L12 )*INDEX('I&amp;E Profiles'!AG$96:AG$180,$I12))</f>
        <v>0</v>
      </c>
      <c r="AH12" s="153" cm="1">
        <f t="array" ref="AH12">IF(OR(AH$4=0, $G12&lt;&gt; $G$7, $E12=0), 'I&amp;E Monthly'!AH12, CHOOSE(Timeline!AH$30,$J12,$K12,$L12 )*INDEX('I&amp;E Profiles'!AH$96:AH$180,$I12))</f>
        <v>0</v>
      </c>
      <c r="AI12" s="153" cm="1">
        <f t="array" ref="AI12">IF(OR(AI$4=0, $G12&lt;&gt; $G$7, $E12=0), 'I&amp;E Monthly'!AI12, CHOOSE(Timeline!AI$30,$J12,$K12,$L12 )*INDEX('I&amp;E Profiles'!AI$96:AI$180,$I12))</f>
        <v>0</v>
      </c>
      <c r="AJ12" s="153" cm="1">
        <f t="array" ref="AJ12">IF(OR(AJ$4=0, $G12&lt;&gt; $G$7, $E12=0), 'I&amp;E Monthly'!AJ12, CHOOSE(Timeline!AJ$30,$J12,$K12,$L12 )*INDEX('I&amp;E Profiles'!AJ$96:AJ$180,$I12))</f>
        <v>0</v>
      </c>
      <c r="AK12" s="153" cm="1">
        <f t="array" ref="AK12">IF(OR(AK$4=0, $G12&lt;&gt; $G$7, $E12=0), 'I&amp;E Monthly'!AK12, CHOOSE(Timeline!AK$30,$J12,$K12,$L12 )*INDEX('I&amp;E Profiles'!AK$96:AK$180,$I12))</f>
        <v>0</v>
      </c>
      <c r="AL12" s="153" cm="1">
        <f t="array" ref="AL12">IF(OR(AL$4=0, $G12&lt;&gt; $G$7, $E12=0), 'I&amp;E Monthly'!AL12, CHOOSE(Timeline!AL$30,$J12,$K12,$L12 )*INDEX('I&amp;E Profiles'!AL$96:AL$180,$I12))</f>
        <v>0</v>
      </c>
      <c r="AM12" s="153" cm="1">
        <f t="array" ref="AM12">IF(OR(AM$4=0, $G12&lt;&gt; $G$7, $E12=0), 'I&amp;E Monthly'!AM12, CHOOSE(Timeline!AM$30,$J12,$K12,$L12 )*INDEX('I&amp;E Profiles'!AM$96:AM$180,$I12))</f>
        <v>0</v>
      </c>
      <c r="AN12" s="153" cm="1">
        <f t="array" ref="AN12">IF(OR(AN$4=0, $G12&lt;&gt; $G$7, $E12=0), 'I&amp;E Monthly'!AN12, CHOOSE(Timeline!AN$30,$J12,$K12,$L12 )*INDEX('I&amp;E Profiles'!AN$96:AN$180,$I12))</f>
        <v>0</v>
      </c>
      <c r="AO12" s="153" cm="1">
        <f t="array" ref="AO12">IF(OR(AO$4=0, $G12&lt;&gt; $G$7, $E12=0), 'I&amp;E Monthly'!AO12, CHOOSE(Timeline!AO$30,$J12,$K12,$L12 )*INDEX('I&amp;E Profiles'!AO$96:AO$180,$I12))</f>
        <v>0</v>
      </c>
      <c r="AP12" s="153" cm="1">
        <f t="array" ref="AP12">IF(OR(AP$4=0, $G12&lt;&gt; $G$7, $E12=0), 'I&amp;E Monthly'!AP12, CHOOSE(Timeline!AP$30,$J12,$K12,$L12 )*INDEX('I&amp;E Profiles'!AP$96:AP$180,$I12))</f>
        <v>0</v>
      </c>
      <c r="AQ12" s="153" cm="1">
        <f t="array" ref="AQ12">IF(OR(AQ$4=0, $G12&lt;&gt; $G$7, $E12=0), 'I&amp;E Monthly'!AQ12, CHOOSE(Timeline!AQ$30,$J12,$K12,$L12 )*INDEX('I&amp;E Profiles'!AQ$96:AQ$180,$I12))</f>
        <v>0</v>
      </c>
      <c r="AR12" s="153" cm="1">
        <f t="array" ref="AR12">IF(OR(AR$4=0, $G12&lt;&gt; $G$7, $E12=0), 'I&amp;E Monthly'!AR12, CHOOSE(Timeline!AR$30,$J12,$K12,$L12 )*INDEX('I&amp;E Profiles'!AR$96:AR$180,$I12))</f>
        <v>0</v>
      </c>
      <c r="AS12" s="153" cm="1">
        <f t="array" ref="AS12">IF(OR(AS$4=0, $G12&lt;&gt; $G$7, $E12=0), 'I&amp;E Monthly'!AS12, CHOOSE(Timeline!AS$30,$J12,$K12,$L12 )*INDEX('I&amp;E Profiles'!AS$96:AS$180,$I12))</f>
        <v>0</v>
      </c>
      <c r="AT12" s="153" cm="1">
        <f t="array" ref="AT12">IF(OR(AT$4=0, $G12&lt;&gt; $G$7, $E12=0), 'I&amp;E Monthly'!AT12, CHOOSE(Timeline!AT$30,$J12,$K12,$L12 )*INDEX('I&amp;E Profiles'!AT$96:AT$180,$I12))</f>
        <v>0</v>
      </c>
      <c r="AU12" s="153" cm="1">
        <f t="array" ref="AU12">IF(OR(AU$4=0, $G12&lt;&gt; $G$7, $E12=0), 'I&amp;E Monthly'!AU12, CHOOSE(Timeline!AU$30,$J12,$K12,$L12 )*INDEX('I&amp;E Profiles'!AU$96:AU$180,$I12))</f>
        <v>0</v>
      </c>
      <c r="AV12" s="153" cm="1">
        <f t="array" ref="AV12">IF(OR(AV$4=0, $G12&lt;&gt; $G$7, $E12=0), 'I&amp;E Monthly'!AV12, CHOOSE(Timeline!AV$30,$J12,$K12,$L12 )*INDEX('I&amp;E Profiles'!AV$96:AV$180,$I12))</f>
        <v>0</v>
      </c>
      <c r="AW12" s="153" cm="1">
        <f t="array" ref="AW12">IF(OR(AW$4=0, $G12&lt;&gt; $G$7, $E12=0), 'I&amp;E Monthly'!AW12, CHOOSE(Timeline!AW$30,$J12,$K12,$L12 )*INDEX('I&amp;E Profiles'!AW$96:AW$180,$I12))</f>
        <v>0</v>
      </c>
      <c r="AX12" s="153" cm="1">
        <f t="array" ref="AX12">IF(OR(AX$4=0, $G12&lt;&gt; $G$7, $E12=0), 'I&amp;E Monthly'!AX12, CHOOSE(Timeline!AX$30,$J12,$K12,$L12 )*INDEX('I&amp;E Profiles'!AX$96:AX$180,$I12))</f>
        <v>0</v>
      </c>
      <c r="AY12" s="153" cm="1">
        <f t="array" ref="AY12">IF(OR(AY$4=0, $G12&lt;&gt; $G$7, $E12=0), 'I&amp;E Monthly'!AY12, CHOOSE(Timeline!AY$30,$J12,$K12,$L12 )*INDEX('I&amp;E Profiles'!AY$96:AY$180,$I12))</f>
        <v>0</v>
      </c>
      <c r="AZ12" s="153" cm="1">
        <f t="array" ref="AZ12">IF(OR(AZ$4=0, $G12&lt;&gt; $G$7, $E12=0), 'I&amp;E Monthly'!AZ12, CHOOSE(Timeline!AZ$30,$J12,$K12,$L12 )*INDEX('I&amp;E Profiles'!AZ$96:AZ$180,$I12))</f>
        <v>0</v>
      </c>
      <c r="BA12" s="153" cm="1">
        <f t="array" ref="BA12">IF(OR(BA$4=0, $G12&lt;&gt; $G$7, $E12=0), 'I&amp;E Monthly'!BA12, CHOOSE(Timeline!BA$30,$J12,$K12,$L12 )*INDEX('I&amp;E Profiles'!BA$96:BA$180,$I12))</f>
        <v>0</v>
      </c>
      <c r="BB12" s="153" cm="1">
        <f t="array" ref="BB12">IF(OR(BB$4=0, $G12&lt;&gt; $G$7, $E12=0), 'I&amp;E Monthly'!BB12, CHOOSE(Timeline!BB$30,$J12,$K12,$L12 )*INDEX('I&amp;E Profiles'!BB$96:BB$180,$I12))</f>
        <v>0</v>
      </c>
      <c r="BC12" s="153" cm="1">
        <f t="array" ref="BC12">IF(OR(BC$4=0, $G12&lt;&gt; $G$7, $E12=0), 'I&amp;E Monthly'!BC12, CHOOSE(Timeline!BC$30,$J12,$K12,$L12 )*INDEX('I&amp;E Profiles'!BC$96:BC$180,$I12))</f>
        <v>0</v>
      </c>
      <c r="BD12" s="153" cm="1">
        <f t="array" ref="BD12">IF(OR(BD$4=0, $G12&lt;&gt; $G$7, $E12=0), 'I&amp;E Monthly'!BD12, CHOOSE(Timeline!BD$30,$J12,$K12,$L12 )*INDEX('I&amp;E Profiles'!BD$96:BD$180,$I12))</f>
        <v>0</v>
      </c>
      <c r="BE12" s="153" cm="1">
        <f t="array" ref="BE12">IF(OR(BE$4=0, $G12&lt;&gt; $G$7, $E12=0), 'I&amp;E Monthly'!BE12, CHOOSE(Timeline!BE$30,$J12,$K12,$L12 )*INDEX('I&amp;E Profiles'!BE$96:BE$180,$I12))</f>
        <v>0</v>
      </c>
      <c r="BF12" s="153" cm="1">
        <f t="array" ref="BF12">IF(OR(BF$4=0, $G12&lt;&gt; $G$7, $E12=0), 'I&amp;E Monthly'!BF12, CHOOSE(Timeline!BF$30,$J12,$K12,$L12 )*INDEX('I&amp;E Profiles'!BF$96:BF$180,$I12))</f>
        <v>0</v>
      </c>
      <c r="BG12" s="153" cm="1">
        <f t="array" ref="BG12">IF(OR(BG$4=0, $G12&lt;&gt; $G$7, $E12=0), 'I&amp;E Monthly'!BG12, CHOOSE(Timeline!BG$30,$J12,$K12,$L12 )*INDEX('I&amp;E Profiles'!BG$96:BG$180,$I12))</f>
        <v>0</v>
      </c>
      <c r="BH12" s="153" cm="1">
        <f t="array" ref="BH12">IF(OR(BH$4=0, $G12&lt;&gt; $G$7, $E12=0), 'I&amp;E Monthly'!BH12, CHOOSE(Timeline!BH$30,$J12,$K12,$L12 )*INDEX('I&amp;E Profiles'!BH$96:BH$180,$I12))</f>
        <v>0</v>
      </c>
      <c r="BI12" s="153" cm="1">
        <f t="array" ref="BI12">IF(OR(BI$4=0, $G12&lt;&gt; $G$7, $E12=0), 'I&amp;E Monthly'!BI12, CHOOSE(Timeline!BI$30,$J12,$K12,$L12 )*INDEX('I&amp;E Profiles'!BI$96:BI$180,$I12))</f>
        <v>0</v>
      </c>
      <c r="BJ12" s="153" cm="1">
        <f t="array" ref="BJ12">IF(OR(BJ$4=0, $G12&lt;&gt; $G$7, $E12=0), 'I&amp;E Monthly'!BJ12, CHOOSE(Timeline!BJ$30,$J12,$K12,$L12 )*INDEX('I&amp;E Profiles'!BJ$96:BJ$180,$I12))</f>
        <v>0</v>
      </c>
      <c r="BK12" s="335"/>
      <c r="BL12" s="152">
        <f>V12</f>
        <v>0</v>
      </c>
      <c r="BM12" s="153">
        <f t="shared" ref="BM12:BO14" si="11">SUMIFS($AA12:$BJ12, $AA$3:$BJ$3,BM$3)</f>
        <v>0</v>
      </c>
      <c r="BN12" s="153">
        <f t="shared" si="11"/>
        <v>0</v>
      </c>
      <c r="BO12" s="153">
        <f t="shared" si="11"/>
        <v>0</v>
      </c>
      <c r="BP12" s="152">
        <f>'I&amp;E Monthly'!BP12</f>
        <v>0</v>
      </c>
      <c r="BQ12" s="152">
        <f>'I&amp;E Monthly'!BQ12</f>
        <v>0</v>
      </c>
      <c r="BR12" s="152">
        <f>'I&amp;E Monthly'!BR12</f>
        <v>0</v>
      </c>
      <c r="BS12" s="152">
        <f>'I&amp;E Monthly'!BS12</f>
        <v>0</v>
      </c>
      <c r="BT12" s="152">
        <f>'I&amp;E Monthly'!BT12</f>
        <v>0</v>
      </c>
      <c r="BU12" s="152">
        <f>'I&amp;E Monthly'!BU12</f>
        <v>0</v>
      </c>
      <c r="BV12" s="152">
        <f>'I&amp;E Monthly'!BV12</f>
        <v>0</v>
      </c>
      <c r="BW12" s="152">
        <f>'I&amp;E Monthly'!BW12</f>
        <v>0</v>
      </c>
      <c r="BX12" s="335"/>
      <c r="BY12" s="12"/>
      <c r="BZ12" s="363">
        <f t="shared" ca="1" si="2"/>
        <v>0</v>
      </c>
      <c r="CA12" s="12"/>
      <c r="CB12" s="7">
        <f>IF(AND($G12=$G$7,$E12=""), 1, 0)</f>
        <v>0</v>
      </c>
      <c r="CC12" s="188" cm="1">
        <f t="array" ref="CC12">IF(E12="",0, IF(_xlfn.IFNA(INDEX('I&amp;E Profiles'!$D$96:$D$180, $I12), "N/A")="N/A", 1, 0))</f>
        <v>0</v>
      </c>
      <c r="CD12" s="7">
        <f t="shared" si="3"/>
        <v>0</v>
      </c>
      <c r="CE12" s="7">
        <f t="shared" si="4"/>
        <v>0</v>
      </c>
      <c r="CF12" s="7">
        <f t="shared" si="5"/>
        <v>0</v>
      </c>
      <c r="CG12" s="12"/>
      <c r="CH12" s="352">
        <f t="shared" si="6"/>
        <v>0</v>
      </c>
      <c r="CI12" s="352">
        <f t="shared" si="6"/>
        <v>0</v>
      </c>
      <c r="CJ12" s="352">
        <f t="shared" si="6"/>
        <v>0</v>
      </c>
      <c r="CK12" s="352">
        <f t="shared" si="7"/>
        <v>0</v>
      </c>
      <c r="CL12" s="352">
        <f t="shared" si="8"/>
        <v>0</v>
      </c>
      <c r="CM12" s="352">
        <f t="shared" si="9"/>
        <v>0</v>
      </c>
      <c r="CN12" s="352">
        <f t="shared" si="10"/>
        <v>0</v>
      </c>
      <c r="EX12" s="10" t="str">
        <f t="shared" si="1"/>
        <v/>
      </c>
    </row>
    <row r="13" spans="1:154" hidden="1" x14ac:dyDescent="0.25">
      <c r="A13" s="362" cm="1">
        <f t="array" aca="1" ref="A13" ca="1">HYPERLINK(CONCATENATE("#",CELL("address",IF(SUM($CA13:$CG13)=0,A13,INDEX($CA13:$CG13,MATCH(1,$CA13:$CG13,0))))),SUM($CA13:$CG13))</f>
        <v>0</v>
      </c>
      <c r="B13" s="335"/>
      <c r="C13" s="383"/>
      <c r="D13" s="194" t="s">
        <v>2316</v>
      </c>
      <c r="E13" s="349"/>
      <c r="F13" s="98" t="str" cm="1">
        <f t="array" aca="1" ref="F13" ca="1">IF(E13="", "", HYPERLINK(CONCATENATE("#",CELL("address",INDEX('I&amp;E Profiles'!$D$9:$D$93,'I&amp;E Annual'!I13))),E13))</f>
        <v/>
      </c>
      <c r="G13" s="349"/>
      <c r="H13" s="5"/>
      <c r="I13" s="350" t="str">
        <f>IF(E13="", "", MATCH(E13, 'I&amp;E Profiles'!$D$96:$D$180,0))</f>
        <v/>
      </c>
      <c r="J13" s="215">
        <f>IF($G13=$G$7, W13,'I&amp;E Monthly'!W13)-SUMIFS('I&amp;E Monthly'!$AA13:$BJ13, 'I&amp;E Monthly'!$AA$3:$BJ$3, 'I&amp;E Annual'!W$3, 'I&amp;E Monthly'!$AA$4:$BJ$4, 0)</f>
        <v>0</v>
      </c>
      <c r="K13" s="215">
        <f>IF($G13=$G$7, X13,'I&amp;E Monthly'!X13)-SUMIFS('I&amp;E Monthly'!$AA13:$BJ13, 'I&amp;E Monthly'!$AA$3:$BJ$3, 'I&amp;E Annual'!X$3, 'I&amp;E Monthly'!$AA$4:$BJ$4, 0)</f>
        <v>0</v>
      </c>
      <c r="L13" s="215">
        <f>IF($G13=$G$7, Y13,'I&amp;E Monthly'!Y13)-SUMIFS('I&amp;E Monthly'!$AA13:$BJ13, 'I&amp;E Monthly'!$AA$3:$BJ$3, 'I&amp;E Annual'!Y$3, 'I&amp;E Monthly'!$AA$4:$BJ$4, 0)</f>
        <v>0</v>
      </c>
      <c r="M13" s="335"/>
      <c r="N13" s="335"/>
      <c r="O13" s="335"/>
      <c r="P13" s="335"/>
      <c r="Q13" s="2"/>
      <c r="R13" s="335"/>
      <c r="S13" s="335"/>
      <c r="T13" s="335"/>
      <c r="U13" s="335"/>
      <c r="V13" s="153">
        <f>'I&amp;E Monthly'!V13</f>
        <v>0</v>
      </c>
      <c r="W13" s="349"/>
      <c r="X13" s="349"/>
      <c r="Y13" s="349"/>
      <c r="Z13" s="335"/>
      <c r="AA13" s="153" cm="1">
        <f t="array" ref="AA13">IF(OR(AA$4=0, $G13&lt;&gt; $G$7, $E13=0), 'I&amp;E Monthly'!AA13, CHOOSE(Timeline!AA$30,$J13,$K13,$L13 )*INDEX('I&amp;E Profiles'!AA$96:AA$180,$I13))</f>
        <v>0</v>
      </c>
      <c r="AB13" s="153" cm="1">
        <f t="array" ref="AB13">IF(OR(AB$4=0, $G13&lt;&gt; $G$7, $E13=0), 'I&amp;E Monthly'!AB13, CHOOSE(Timeline!AB$30,$J13,$K13,$L13 )*INDEX('I&amp;E Profiles'!AB$96:AB$180,$I13))</f>
        <v>0</v>
      </c>
      <c r="AC13" s="153" cm="1">
        <f t="array" ref="AC13">IF(OR(AC$4=0, $G13&lt;&gt; $G$7, $E13=0), 'I&amp;E Monthly'!AC13, CHOOSE(Timeline!AC$30,$J13,$K13,$L13 )*INDEX('I&amp;E Profiles'!AC$96:AC$180,$I13))</f>
        <v>0</v>
      </c>
      <c r="AD13" s="153" cm="1">
        <f t="array" ref="AD13">IF(OR(AD$4=0, $G13&lt;&gt; $G$7, $E13=0), 'I&amp;E Monthly'!AD13, CHOOSE(Timeline!AD$30,$J13,$K13,$L13 )*INDEX('I&amp;E Profiles'!AD$96:AD$180,$I13))</f>
        <v>0</v>
      </c>
      <c r="AE13" s="153" cm="1">
        <f t="array" ref="AE13">IF(OR(AE$4=0, $G13&lt;&gt; $G$7, $E13=0), 'I&amp;E Monthly'!AE13, CHOOSE(Timeline!AE$30,$J13,$K13,$L13 )*INDEX('I&amp;E Profiles'!AE$96:AE$180,$I13))</f>
        <v>0</v>
      </c>
      <c r="AF13" s="153" cm="1">
        <f t="array" ref="AF13">IF(OR(AF$4=0, $G13&lt;&gt; $G$7, $E13=0), 'I&amp;E Monthly'!AF13, CHOOSE(Timeline!AF$30,$J13,$K13,$L13 )*INDEX('I&amp;E Profiles'!AF$96:AF$180,$I13))</f>
        <v>0</v>
      </c>
      <c r="AG13" s="153" cm="1">
        <f t="array" ref="AG13">IF(OR(AG$4=0, $G13&lt;&gt; $G$7, $E13=0), 'I&amp;E Monthly'!AG13, CHOOSE(Timeline!AG$30,$J13,$K13,$L13 )*INDEX('I&amp;E Profiles'!AG$96:AG$180,$I13))</f>
        <v>0</v>
      </c>
      <c r="AH13" s="153" cm="1">
        <f t="array" ref="AH13">IF(OR(AH$4=0, $G13&lt;&gt; $G$7, $E13=0), 'I&amp;E Monthly'!AH13, CHOOSE(Timeline!AH$30,$J13,$K13,$L13 )*INDEX('I&amp;E Profiles'!AH$96:AH$180,$I13))</f>
        <v>0</v>
      </c>
      <c r="AI13" s="153" cm="1">
        <f t="array" ref="AI13">IF(OR(AI$4=0, $G13&lt;&gt; $G$7, $E13=0), 'I&amp;E Monthly'!AI13, CHOOSE(Timeline!AI$30,$J13,$K13,$L13 )*INDEX('I&amp;E Profiles'!AI$96:AI$180,$I13))</f>
        <v>0</v>
      </c>
      <c r="AJ13" s="153" cm="1">
        <f t="array" ref="AJ13">IF(OR(AJ$4=0, $G13&lt;&gt; $G$7, $E13=0), 'I&amp;E Monthly'!AJ13, CHOOSE(Timeline!AJ$30,$J13,$K13,$L13 )*INDEX('I&amp;E Profiles'!AJ$96:AJ$180,$I13))</f>
        <v>0</v>
      </c>
      <c r="AK13" s="153" cm="1">
        <f t="array" ref="AK13">IF(OR(AK$4=0, $G13&lt;&gt; $G$7, $E13=0), 'I&amp;E Monthly'!AK13, CHOOSE(Timeline!AK$30,$J13,$K13,$L13 )*INDEX('I&amp;E Profiles'!AK$96:AK$180,$I13))</f>
        <v>0</v>
      </c>
      <c r="AL13" s="153" cm="1">
        <f t="array" ref="AL13">IF(OR(AL$4=0, $G13&lt;&gt; $G$7, $E13=0), 'I&amp;E Monthly'!AL13, CHOOSE(Timeline!AL$30,$J13,$K13,$L13 )*INDEX('I&amp;E Profiles'!AL$96:AL$180,$I13))</f>
        <v>0</v>
      </c>
      <c r="AM13" s="153" cm="1">
        <f t="array" ref="AM13">IF(OR(AM$4=0, $G13&lt;&gt; $G$7, $E13=0), 'I&amp;E Monthly'!AM13, CHOOSE(Timeline!AM$30,$J13,$K13,$L13 )*INDEX('I&amp;E Profiles'!AM$96:AM$180,$I13))</f>
        <v>0</v>
      </c>
      <c r="AN13" s="153" cm="1">
        <f t="array" ref="AN13">IF(OR(AN$4=0, $G13&lt;&gt; $G$7, $E13=0), 'I&amp;E Monthly'!AN13, CHOOSE(Timeline!AN$30,$J13,$K13,$L13 )*INDEX('I&amp;E Profiles'!AN$96:AN$180,$I13))</f>
        <v>0</v>
      </c>
      <c r="AO13" s="153" cm="1">
        <f t="array" ref="AO13">IF(OR(AO$4=0, $G13&lt;&gt; $G$7, $E13=0), 'I&amp;E Monthly'!AO13, CHOOSE(Timeline!AO$30,$J13,$K13,$L13 )*INDEX('I&amp;E Profiles'!AO$96:AO$180,$I13))</f>
        <v>0</v>
      </c>
      <c r="AP13" s="153" cm="1">
        <f t="array" ref="AP13">IF(OR(AP$4=0, $G13&lt;&gt; $G$7, $E13=0), 'I&amp;E Monthly'!AP13, CHOOSE(Timeline!AP$30,$J13,$K13,$L13 )*INDEX('I&amp;E Profiles'!AP$96:AP$180,$I13))</f>
        <v>0</v>
      </c>
      <c r="AQ13" s="153" cm="1">
        <f t="array" ref="AQ13">IF(OR(AQ$4=0, $G13&lt;&gt; $G$7, $E13=0), 'I&amp;E Monthly'!AQ13, CHOOSE(Timeline!AQ$30,$J13,$K13,$L13 )*INDEX('I&amp;E Profiles'!AQ$96:AQ$180,$I13))</f>
        <v>0</v>
      </c>
      <c r="AR13" s="153" cm="1">
        <f t="array" ref="AR13">IF(OR(AR$4=0, $G13&lt;&gt; $G$7, $E13=0), 'I&amp;E Monthly'!AR13, CHOOSE(Timeline!AR$30,$J13,$K13,$L13 )*INDEX('I&amp;E Profiles'!AR$96:AR$180,$I13))</f>
        <v>0</v>
      </c>
      <c r="AS13" s="153" cm="1">
        <f t="array" ref="AS13">IF(OR(AS$4=0, $G13&lt;&gt; $G$7, $E13=0), 'I&amp;E Monthly'!AS13, CHOOSE(Timeline!AS$30,$J13,$K13,$L13 )*INDEX('I&amp;E Profiles'!AS$96:AS$180,$I13))</f>
        <v>0</v>
      </c>
      <c r="AT13" s="153" cm="1">
        <f t="array" ref="AT13">IF(OR(AT$4=0, $G13&lt;&gt; $G$7, $E13=0), 'I&amp;E Monthly'!AT13, CHOOSE(Timeline!AT$30,$J13,$K13,$L13 )*INDEX('I&amp;E Profiles'!AT$96:AT$180,$I13))</f>
        <v>0</v>
      </c>
      <c r="AU13" s="153" cm="1">
        <f t="array" ref="AU13">IF(OR(AU$4=0, $G13&lt;&gt; $G$7, $E13=0), 'I&amp;E Monthly'!AU13, CHOOSE(Timeline!AU$30,$J13,$K13,$L13 )*INDEX('I&amp;E Profiles'!AU$96:AU$180,$I13))</f>
        <v>0</v>
      </c>
      <c r="AV13" s="153" cm="1">
        <f t="array" ref="AV13">IF(OR(AV$4=0, $G13&lt;&gt; $G$7, $E13=0), 'I&amp;E Monthly'!AV13, CHOOSE(Timeline!AV$30,$J13,$K13,$L13 )*INDEX('I&amp;E Profiles'!AV$96:AV$180,$I13))</f>
        <v>0</v>
      </c>
      <c r="AW13" s="153" cm="1">
        <f t="array" ref="AW13">IF(OR(AW$4=0, $G13&lt;&gt; $G$7, $E13=0), 'I&amp;E Monthly'!AW13, CHOOSE(Timeline!AW$30,$J13,$K13,$L13 )*INDEX('I&amp;E Profiles'!AW$96:AW$180,$I13))</f>
        <v>0</v>
      </c>
      <c r="AX13" s="153" cm="1">
        <f t="array" ref="AX13">IF(OR(AX$4=0, $G13&lt;&gt; $G$7, $E13=0), 'I&amp;E Monthly'!AX13, CHOOSE(Timeline!AX$30,$J13,$K13,$L13 )*INDEX('I&amp;E Profiles'!AX$96:AX$180,$I13))</f>
        <v>0</v>
      </c>
      <c r="AY13" s="153" cm="1">
        <f t="array" ref="AY13">IF(OR(AY$4=0, $G13&lt;&gt; $G$7, $E13=0), 'I&amp;E Monthly'!AY13, CHOOSE(Timeline!AY$30,$J13,$K13,$L13 )*INDEX('I&amp;E Profiles'!AY$96:AY$180,$I13))</f>
        <v>0</v>
      </c>
      <c r="AZ13" s="153" cm="1">
        <f t="array" ref="AZ13">IF(OR(AZ$4=0, $G13&lt;&gt; $G$7, $E13=0), 'I&amp;E Monthly'!AZ13, CHOOSE(Timeline!AZ$30,$J13,$K13,$L13 )*INDEX('I&amp;E Profiles'!AZ$96:AZ$180,$I13))</f>
        <v>0</v>
      </c>
      <c r="BA13" s="153" cm="1">
        <f t="array" ref="BA13">IF(OR(BA$4=0, $G13&lt;&gt; $G$7, $E13=0), 'I&amp;E Monthly'!BA13, CHOOSE(Timeline!BA$30,$J13,$K13,$L13 )*INDEX('I&amp;E Profiles'!BA$96:BA$180,$I13))</f>
        <v>0</v>
      </c>
      <c r="BB13" s="153" cm="1">
        <f t="array" ref="BB13">IF(OR(BB$4=0, $G13&lt;&gt; $G$7, $E13=0), 'I&amp;E Monthly'!BB13, CHOOSE(Timeline!BB$30,$J13,$K13,$L13 )*INDEX('I&amp;E Profiles'!BB$96:BB$180,$I13))</f>
        <v>0</v>
      </c>
      <c r="BC13" s="153" cm="1">
        <f t="array" ref="BC13">IF(OR(BC$4=0, $G13&lt;&gt; $G$7, $E13=0), 'I&amp;E Monthly'!BC13, CHOOSE(Timeline!BC$30,$J13,$K13,$L13 )*INDEX('I&amp;E Profiles'!BC$96:BC$180,$I13))</f>
        <v>0</v>
      </c>
      <c r="BD13" s="153" cm="1">
        <f t="array" ref="BD13">IF(OR(BD$4=0, $G13&lt;&gt; $G$7, $E13=0), 'I&amp;E Monthly'!BD13, CHOOSE(Timeline!BD$30,$J13,$K13,$L13 )*INDEX('I&amp;E Profiles'!BD$96:BD$180,$I13))</f>
        <v>0</v>
      </c>
      <c r="BE13" s="153" cm="1">
        <f t="array" ref="BE13">IF(OR(BE$4=0, $G13&lt;&gt; $G$7, $E13=0), 'I&amp;E Monthly'!BE13, CHOOSE(Timeline!BE$30,$J13,$K13,$L13 )*INDEX('I&amp;E Profiles'!BE$96:BE$180,$I13))</f>
        <v>0</v>
      </c>
      <c r="BF13" s="153" cm="1">
        <f t="array" ref="BF13">IF(OR(BF$4=0, $G13&lt;&gt; $G$7, $E13=0), 'I&amp;E Monthly'!BF13, CHOOSE(Timeline!BF$30,$J13,$K13,$L13 )*INDEX('I&amp;E Profiles'!BF$96:BF$180,$I13))</f>
        <v>0</v>
      </c>
      <c r="BG13" s="153" cm="1">
        <f t="array" ref="BG13">IF(OR(BG$4=0, $G13&lt;&gt; $G$7, $E13=0), 'I&amp;E Monthly'!BG13, CHOOSE(Timeline!BG$30,$J13,$K13,$L13 )*INDEX('I&amp;E Profiles'!BG$96:BG$180,$I13))</f>
        <v>0</v>
      </c>
      <c r="BH13" s="153" cm="1">
        <f t="array" ref="BH13">IF(OR(BH$4=0, $G13&lt;&gt; $G$7, $E13=0), 'I&amp;E Monthly'!BH13, CHOOSE(Timeline!BH$30,$J13,$K13,$L13 )*INDEX('I&amp;E Profiles'!BH$96:BH$180,$I13))</f>
        <v>0</v>
      </c>
      <c r="BI13" s="153" cm="1">
        <f t="array" ref="BI13">IF(OR(BI$4=0, $G13&lt;&gt; $G$7, $E13=0), 'I&amp;E Monthly'!BI13, CHOOSE(Timeline!BI$30,$J13,$K13,$L13 )*INDEX('I&amp;E Profiles'!BI$96:BI$180,$I13))</f>
        <v>0</v>
      </c>
      <c r="BJ13" s="153" cm="1">
        <f t="array" ref="BJ13">IF(OR(BJ$4=0, $G13&lt;&gt; $G$7, $E13=0), 'I&amp;E Monthly'!BJ13, CHOOSE(Timeline!BJ$30,$J13,$K13,$L13 )*INDEX('I&amp;E Profiles'!BJ$96:BJ$180,$I13))</f>
        <v>0</v>
      </c>
      <c r="BK13" s="335"/>
      <c r="BL13" s="152">
        <f>V13</f>
        <v>0</v>
      </c>
      <c r="BM13" s="153">
        <f t="shared" si="11"/>
        <v>0</v>
      </c>
      <c r="BN13" s="153">
        <f t="shared" si="11"/>
        <v>0</v>
      </c>
      <c r="BO13" s="153">
        <f t="shared" si="11"/>
        <v>0</v>
      </c>
      <c r="BP13" s="152">
        <f>'I&amp;E Monthly'!BP13</f>
        <v>0</v>
      </c>
      <c r="BQ13" s="152">
        <f>'I&amp;E Monthly'!BQ13</f>
        <v>0</v>
      </c>
      <c r="BR13" s="152">
        <f>'I&amp;E Monthly'!BR13</f>
        <v>0</v>
      </c>
      <c r="BS13" s="152">
        <f>'I&amp;E Monthly'!BS13</f>
        <v>0</v>
      </c>
      <c r="BT13" s="152">
        <f>'I&amp;E Monthly'!BT13</f>
        <v>0</v>
      </c>
      <c r="BU13" s="152">
        <f>'I&amp;E Monthly'!BU13</f>
        <v>0</v>
      </c>
      <c r="BV13" s="152">
        <f>'I&amp;E Monthly'!BV13</f>
        <v>0</v>
      </c>
      <c r="BW13" s="152">
        <f>'I&amp;E Monthly'!BW13</f>
        <v>0</v>
      </c>
      <c r="BX13" s="335"/>
      <c r="BY13" s="12"/>
      <c r="BZ13" s="363">
        <f t="shared" ca="1" si="2"/>
        <v>0</v>
      </c>
      <c r="CA13" s="12"/>
      <c r="CB13" s="7">
        <f>IF(AND($G13=$G$7,$E13=""), 1, 0)</f>
        <v>0</v>
      </c>
      <c r="CC13" s="188" cm="1">
        <f t="array" ref="CC13">IF(E13="",0, IF(_xlfn.IFNA(INDEX('I&amp;E Profiles'!$D$96:$D$180, $I13), "N/A")="N/A", 1, 0))</f>
        <v>0</v>
      </c>
      <c r="CD13" s="7">
        <f t="shared" si="3"/>
        <v>0</v>
      </c>
      <c r="CE13" s="7">
        <f t="shared" si="4"/>
        <v>0</v>
      </c>
      <c r="CF13" s="7">
        <f t="shared" si="5"/>
        <v>0</v>
      </c>
      <c r="CG13" s="12"/>
      <c r="CH13" s="352">
        <f t="shared" si="6"/>
        <v>0</v>
      </c>
      <c r="CI13" s="352">
        <f t="shared" si="6"/>
        <v>0</v>
      </c>
      <c r="CJ13" s="352">
        <f t="shared" si="6"/>
        <v>0</v>
      </c>
      <c r="CK13" s="352">
        <f t="shared" si="7"/>
        <v>0</v>
      </c>
      <c r="CL13" s="352">
        <f t="shared" si="8"/>
        <v>0</v>
      </c>
      <c r="CM13" s="352">
        <f t="shared" si="9"/>
        <v>0</v>
      </c>
      <c r="CN13" s="352">
        <f t="shared" si="10"/>
        <v>0</v>
      </c>
      <c r="EX13" s="10" t="str">
        <f t="shared" si="1"/>
        <v/>
      </c>
    </row>
    <row r="14" spans="1:154" x14ac:dyDescent="0.25">
      <c r="A14" s="362" cm="1">
        <f t="array" aca="1" ref="A14" ca="1">HYPERLINK(CONCATENATE("#",CELL("address",IF(SUM($CA14:$CG14)=0,A14,INDEX($CA14:$CG14,MATCH(1,$CA14:$CG14,0))))),SUM($CA14:$CG14))</f>
        <v>0</v>
      </c>
      <c r="B14" s="335"/>
      <c r="C14" s="343" t="s">
        <v>424</v>
      </c>
      <c r="D14" s="194" t="s">
        <v>421</v>
      </c>
      <c r="E14" s="147"/>
      <c r="F14" s="98" t="str" cm="1">
        <f t="array" aca="1" ref="F14" ca="1">IF(E14="", "", HYPERLINK(CONCATENATE("#",CELL("address",INDEX('I&amp;E Profiles'!$D$9:$D$93,'I&amp;E Annual'!I14))),E14))</f>
        <v/>
      </c>
      <c r="G14" s="147" t="s">
        <v>211</v>
      </c>
      <c r="H14" s="67" t="s">
        <v>8</v>
      </c>
      <c r="I14" s="350" t="str">
        <f>IF(E14="", "", MATCH(E14, 'I&amp;E Profiles'!$D$96:$D$180,0))</f>
        <v/>
      </c>
      <c r="J14" s="215">
        <f>IF($G14=$G$7, W14,'I&amp;E Monthly'!W14)-SUMIFS('I&amp;E Monthly'!$AA14:$BJ14, 'I&amp;E Monthly'!$AA$3:$BJ$3, 'I&amp;E Annual'!W$3, 'I&amp;E Monthly'!$AA$4:$BJ$4, 0)</f>
        <v>0</v>
      </c>
      <c r="K14" s="215">
        <f>IF($G14=$G$7, X14,'I&amp;E Monthly'!X14)-SUMIFS('I&amp;E Monthly'!$AA14:$BJ14, 'I&amp;E Monthly'!$AA$3:$BJ$3, 'I&amp;E Annual'!X$3, 'I&amp;E Monthly'!$AA$4:$BJ$4, 0)</f>
        <v>0</v>
      </c>
      <c r="L14" s="215">
        <f>IF($G14=$G$7, Y14,'I&amp;E Monthly'!Y14)-SUMIFS('I&amp;E Monthly'!$AA14:$BJ14, 'I&amp;E Monthly'!$AA$3:$BJ$3, 'I&amp;E Annual'!Y$3, 'I&amp;E Monthly'!$AA$4:$BJ$4, 0)</f>
        <v>0</v>
      </c>
      <c r="M14" s="335"/>
      <c r="N14" s="335"/>
      <c r="O14" s="335"/>
      <c r="P14" s="335"/>
      <c r="Q14" s="2"/>
      <c r="R14" s="335"/>
      <c r="S14" s="335"/>
      <c r="T14" s="335"/>
      <c r="U14" s="335"/>
      <c r="V14" s="201">
        <f>'I&amp;E Monthly'!V14</f>
        <v>0</v>
      </c>
      <c r="W14" s="354"/>
      <c r="X14" s="198"/>
      <c r="Y14" s="198"/>
      <c r="Z14" s="335"/>
      <c r="AA14" s="153" cm="1">
        <f t="array" ref="AA14">IF(OR(AA$4=0, $G14&lt;&gt; $G$7, $E14=0), 'I&amp;E Monthly'!AA14, CHOOSE(Timeline!AA$30,$J14,$K14,$L14 )*INDEX('I&amp;E Profiles'!AA$96:AA$180,$I14))</f>
        <v>0</v>
      </c>
      <c r="AB14" s="153" cm="1">
        <f t="array" ref="AB14">IF(OR(AB$4=0, $G14&lt;&gt; $G$7, $E14=0), 'I&amp;E Monthly'!AB14, CHOOSE(Timeline!AB$30,$J14,$K14,$L14 )*INDEX('I&amp;E Profiles'!AB$96:AB$180,$I14))</f>
        <v>0</v>
      </c>
      <c r="AC14" s="153" cm="1">
        <f t="array" ref="AC14">IF(OR(AC$4=0, $G14&lt;&gt; $G$7, $E14=0), 'I&amp;E Monthly'!AC14, CHOOSE(Timeline!AC$30,$J14,$K14,$L14 )*INDEX('I&amp;E Profiles'!AC$96:AC$180,$I14))</f>
        <v>0</v>
      </c>
      <c r="AD14" s="153" cm="1">
        <f t="array" ref="AD14">IF(OR(AD$4=0, $G14&lt;&gt; $G$7, $E14=0), 'I&amp;E Monthly'!AD14, CHOOSE(Timeline!AD$30,$J14,$K14,$L14 )*INDEX('I&amp;E Profiles'!AD$96:AD$180,$I14))</f>
        <v>0</v>
      </c>
      <c r="AE14" s="153" cm="1">
        <f t="array" ref="AE14">IF(OR(AE$4=0, $G14&lt;&gt; $G$7, $E14=0), 'I&amp;E Monthly'!AE14, CHOOSE(Timeline!AE$30,$J14,$K14,$L14 )*INDEX('I&amp;E Profiles'!AE$96:AE$180,$I14))</f>
        <v>0</v>
      </c>
      <c r="AF14" s="153" cm="1">
        <f t="array" ref="AF14">IF(OR(AF$4=0, $G14&lt;&gt; $G$7, $E14=0), 'I&amp;E Monthly'!AF14, CHOOSE(Timeline!AF$30,$J14,$K14,$L14 )*INDEX('I&amp;E Profiles'!AF$96:AF$180,$I14))</f>
        <v>0</v>
      </c>
      <c r="AG14" s="153" cm="1">
        <f t="array" ref="AG14">IF(OR(AG$4=0, $G14&lt;&gt; $G$7, $E14=0), 'I&amp;E Monthly'!AG14, CHOOSE(Timeline!AG$30,$J14,$K14,$L14 )*INDEX('I&amp;E Profiles'!AG$96:AG$180,$I14))</f>
        <v>0</v>
      </c>
      <c r="AH14" s="153" cm="1">
        <f t="array" ref="AH14">IF(OR(AH$4=0, $G14&lt;&gt; $G$7, $E14=0), 'I&amp;E Monthly'!AH14, CHOOSE(Timeline!AH$30,$J14,$K14,$L14 )*INDEX('I&amp;E Profiles'!AH$96:AH$180,$I14))</f>
        <v>0</v>
      </c>
      <c r="AI14" s="153" cm="1">
        <f t="array" ref="AI14">IF(OR(AI$4=0, $G14&lt;&gt; $G$7, $E14=0), 'I&amp;E Monthly'!AI14, CHOOSE(Timeline!AI$30,$J14,$K14,$L14 )*INDEX('I&amp;E Profiles'!AI$96:AI$180,$I14))</f>
        <v>0</v>
      </c>
      <c r="AJ14" s="153" cm="1">
        <f t="array" ref="AJ14">IF(OR(AJ$4=0, $G14&lt;&gt; $G$7, $E14=0), 'I&amp;E Monthly'!AJ14, CHOOSE(Timeline!AJ$30,$J14,$K14,$L14 )*INDEX('I&amp;E Profiles'!AJ$96:AJ$180,$I14))</f>
        <v>0</v>
      </c>
      <c r="AK14" s="153" cm="1">
        <f t="array" ref="AK14">IF(OR(AK$4=0, $G14&lt;&gt; $G$7, $E14=0), 'I&amp;E Monthly'!AK14, CHOOSE(Timeline!AK$30,$J14,$K14,$L14 )*INDEX('I&amp;E Profiles'!AK$96:AK$180,$I14))</f>
        <v>0</v>
      </c>
      <c r="AL14" s="153" cm="1">
        <f t="array" ref="AL14">IF(OR(AL$4=0, $G14&lt;&gt; $G$7, $E14=0), 'I&amp;E Monthly'!AL14, CHOOSE(Timeline!AL$30,$J14,$K14,$L14 )*INDEX('I&amp;E Profiles'!AL$96:AL$180,$I14))</f>
        <v>0</v>
      </c>
      <c r="AM14" s="153" cm="1">
        <f t="array" ref="AM14">IF(OR(AM$4=0, $G14&lt;&gt; $G$7, $E14=0), 'I&amp;E Monthly'!AM14, CHOOSE(Timeline!AM$30,$J14,$K14,$L14 )*INDEX('I&amp;E Profiles'!AM$96:AM$180,$I14))</f>
        <v>0</v>
      </c>
      <c r="AN14" s="153" cm="1">
        <f t="array" ref="AN14">IF(OR(AN$4=0, $G14&lt;&gt; $G$7, $E14=0), 'I&amp;E Monthly'!AN14, CHOOSE(Timeline!AN$30,$J14,$K14,$L14 )*INDEX('I&amp;E Profiles'!AN$96:AN$180,$I14))</f>
        <v>0</v>
      </c>
      <c r="AO14" s="153" cm="1">
        <f t="array" ref="AO14">IF(OR(AO$4=0, $G14&lt;&gt; $G$7, $E14=0), 'I&amp;E Monthly'!AO14, CHOOSE(Timeline!AO$30,$J14,$K14,$L14 )*INDEX('I&amp;E Profiles'!AO$96:AO$180,$I14))</f>
        <v>0</v>
      </c>
      <c r="AP14" s="153" cm="1">
        <f t="array" ref="AP14">IF(OR(AP$4=0, $G14&lt;&gt; $G$7, $E14=0), 'I&amp;E Monthly'!AP14, CHOOSE(Timeline!AP$30,$J14,$K14,$L14 )*INDEX('I&amp;E Profiles'!AP$96:AP$180,$I14))</f>
        <v>0</v>
      </c>
      <c r="AQ14" s="153" cm="1">
        <f t="array" ref="AQ14">IF(OR(AQ$4=0, $G14&lt;&gt; $G$7, $E14=0), 'I&amp;E Monthly'!AQ14, CHOOSE(Timeline!AQ$30,$J14,$K14,$L14 )*INDEX('I&amp;E Profiles'!AQ$96:AQ$180,$I14))</f>
        <v>0</v>
      </c>
      <c r="AR14" s="153" cm="1">
        <f t="array" ref="AR14">IF(OR(AR$4=0, $G14&lt;&gt; $G$7, $E14=0), 'I&amp;E Monthly'!AR14, CHOOSE(Timeline!AR$30,$J14,$K14,$L14 )*INDEX('I&amp;E Profiles'!AR$96:AR$180,$I14))</f>
        <v>0</v>
      </c>
      <c r="AS14" s="153" cm="1">
        <f t="array" ref="AS14">IF(OR(AS$4=0, $G14&lt;&gt; $G$7, $E14=0), 'I&amp;E Monthly'!AS14, CHOOSE(Timeline!AS$30,$J14,$K14,$L14 )*INDEX('I&amp;E Profiles'!AS$96:AS$180,$I14))</f>
        <v>0</v>
      </c>
      <c r="AT14" s="153" cm="1">
        <f t="array" ref="AT14">IF(OR(AT$4=0, $G14&lt;&gt; $G$7, $E14=0), 'I&amp;E Monthly'!AT14, CHOOSE(Timeline!AT$30,$J14,$K14,$L14 )*INDEX('I&amp;E Profiles'!AT$96:AT$180,$I14))</f>
        <v>0</v>
      </c>
      <c r="AU14" s="153" cm="1">
        <f t="array" ref="AU14">IF(OR(AU$4=0, $G14&lt;&gt; $G$7, $E14=0), 'I&amp;E Monthly'!AU14, CHOOSE(Timeline!AU$30,$J14,$K14,$L14 )*INDEX('I&amp;E Profiles'!AU$96:AU$180,$I14))</f>
        <v>0</v>
      </c>
      <c r="AV14" s="153" cm="1">
        <f t="array" ref="AV14">IF(OR(AV$4=0, $G14&lt;&gt; $G$7, $E14=0), 'I&amp;E Monthly'!AV14, CHOOSE(Timeline!AV$30,$J14,$K14,$L14 )*INDEX('I&amp;E Profiles'!AV$96:AV$180,$I14))</f>
        <v>0</v>
      </c>
      <c r="AW14" s="153" cm="1">
        <f t="array" ref="AW14">IF(OR(AW$4=0, $G14&lt;&gt; $G$7, $E14=0), 'I&amp;E Monthly'!AW14, CHOOSE(Timeline!AW$30,$J14,$K14,$L14 )*INDEX('I&amp;E Profiles'!AW$96:AW$180,$I14))</f>
        <v>0</v>
      </c>
      <c r="AX14" s="153" cm="1">
        <f t="array" ref="AX14">IF(OR(AX$4=0, $G14&lt;&gt; $G$7, $E14=0), 'I&amp;E Monthly'!AX14, CHOOSE(Timeline!AX$30,$J14,$K14,$L14 )*INDEX('I&amp;E Profiles'!AX$96:AX$180,$I14))</f>
        <v>0</v>
      </c>
      <c r="AY14" s="153" cm="1">
        <f t="array" ref="AY14">IF(OR(AY$4=0, $G14&lt;&gt; $G$7, $E14=0), 'I&amp;E Monthly'!AY14, CHOOSE(Timeline!AY$30,$J14,$K14,$L14 )*INDEX('I&amp;E Profiles'!AY$96:AY$180,$I14))</f>
        <v>0</v>
      </c>
      <c r="AZ14" s="153" cm="1">
        <f t="array" ref="AZ14">IF(OR(AZ$4=0, $G14&lt;&gt; $G$7, $E14=0), 'I&amp;E Monthly'!AZ14, CHOOSE(Timeline!AZ$30,$J14,$K14,$L14 )*INDEX('I&amp;E Profiles'!AZ$96:AZ$180,$I14))</f>
        <v>0</v>
      </c>
      <c r="BA14" s="153" cm="1">
        <f t="array" ref="BA14">IF(OR(BA$4=0, $G14&lt;&gt; $G$7, $E14=0), 'I&amp;E Monthly'!BA14, CHOOSE(Timeline!BA$30,$J14,$K14,$L14 )*INDEX('I&amp;E Profiles'!BA$96:BA$180,$I14))</f>
        <v>0</v>
      </c>
      <c r="BB14" s="153" cm="1">
        <f t="array" ref="BB14">IF(OR(BB$4=0, $G14&lt;&gt; $G$7, $E14=0), 'I&amp;E Monthly'!BB14, CHOOSE(Timeline!BB$30,$J14,$K14,$L14 )*INDEX('I&amp;E Profiles'!BB$96:BB$180,$I14))</f>
        <v>0</v>
      </c>
      <c r="BC14" s="153" cm="1">
        <f t="array" ref="BC14">IF(OR(BC$4=0, $G14&lt;&gt; $G$7, $E14=0), 'I&amp;E Monthly'!BC14, CHOOSE(Timeline!BC$30,$J14,$K14,$L14 )*INDEX('I&amp;E Profiles'!BC$96:BC$180,$I14))</f>
        <v>0</v>
      </c>
      <c r="BD14" s="153" cm="1">
        <f t="array" ref="BD14">IF(OR(BD$4=0, $G14&lt;&gt; $G$7, $E14=0), 'I&amp;E Monthly'!BD14, CHOOSE(Timeline!BD$30,$J14,$K14,$L14 )*INDEX('I&amp;E Profiles'!BD$96:BD$180,$I14))</f>
        <v>0</v>
      </c>
      <c r="BE14" s="153" cm="1">
        <f t="array" ref="BE14">IF(OR(BE$4=0, $G14&lt;&gt; $G$7, $E14=0), 'I&amp;E Monthly'!BE14, CHOOSE(Timeline!BE$30,$J14,$K14,$L14 )*INDEX('I&amp;E Profiles'!BE$96:BE$180,$I14))</f>
        <v>0</v>
      </c>
      <c r="BF14" s="153" cm="1">
        <f t="array" ref="BF14">IF(OR(BF$4=0, $G14&lt;&gt; $G$7, $E14=0), 'I&amp;E Monthly'!BF14, CHOOSE(Timeline!BF$30,$J14,$K14,$L14 )*INDEX('I&amp;E Profiles'!BF$96:BF$180,$I14))</f>
        <v>0</v>
      </c>
      <c r="BG14" s="153" cm="1">
        <f t="array" ref="BG14">IF(OR(BG$4=0, $G14&lt;&gt; $G$7, $E14=0), 'I&amp;E Monthly'!BG14, CHOOSE(Timeline!BG$30,$J14,$K14,$L14 )*INDEX('I&amp;E Profiles'!BG$96:BG$180,$I14))</f>
        <v>0</v>
      </c>
      <c r="BH14" s="153" cm="1">
        <f t="array" ref="BH14">IF(OR(BH$4=0, $G14&lt;&gt; $G$7, $E14=0), 'I&amp;E Monthly'!BH14, CHOOSE(Timeline!BH$30,$J14,$K14,$L14 )*INDEX('I&amp;E Profiles'!BH$96:BH$180,$I14))</f>
        <v>0</v>
      </c>
      <c r="BI14" s="153" cm="1">
        <f t="array" ref="BI14">IF(OR(BI$4=0, $G14&lt;&gt; $G$7, $E14=0), 'I&amp;E Monthly'!BI14, CHOOSE(Timeline!BI$30,$J14,$K14,$L14 )*INDEX('I&amp;E Profiles'!BI$96:BI$180,$I14))</f>
        <v>0</v>
      </c>
      <c r="BJ14" s="153" cm="1">
        <f t="array" ref="BJ14">IF(OR(BJ$4=0, $G14&lt;&gt; $G$7, $E14=0), 'I&amp;E Monthly'!BJ14, CHOOSE(Timeline!BJ$30,$J14,$K14,$L14 )*INDEX('I&amp;E Profiles'!BJ$96:BJ$180,$I14))</f>
        <v>0</v>
      </c>
      <c r="BK14" s="335"/>
      <c r="BL14" s="13">
        <f>V14</f>
        <v>0</v>
      </c>
      <c r="BM14" s="153">
        <f t="shared" si="11"/>
        <v>0</v>
      </c>
      <c r="BN14" s="153">
        <f t="shared" si="11"/>
        <v>0</v>
      </c>
      <c r="BO14" s="153">
        <f t="shared" si="11"/>
        <v>0</v>
      </c>
      <c r="BP14" s="13">
        <f>'I&amp;E Monthly'!BP14</f>
        <v>0</v>
      </c>
      <c r="BQ14" s="13">
        <f>'I&amp;E Monthly'!BQ14</f>
        <v>0</v>
      </c>
      <c r="BR14" s="13">
        <f>'I&amp;E Monthly'!BR14</f>
        <v>0</v>
      </c>
      <c r="BS14" s="13">
        <f>'I&amp;E Monthly'!BS14</f>
        <v>0</v>
      </c>
      <c r="BT14" s="13">
        <f>'I&amp;E Monthly'!BT14</f>
        <v>0</v>
      </c>
      <c r="BU14" s="13">
        <f>'I&amp;E Monthly'!BU14</f>
        <v>0</v>
      </c>
      <c r="BV14" s="13">
        <f>'I&amp;E Monthly'!BV14</f>
        <v>0</v>
      </c>
      <c r="BW14" s="13">
        <f>'I&amp;E Monthly'!BW14</f>
        <v>0</v>
      </c>
      <c r="BX14" s="335"/>
      <c r="BY14" s="12"/>
      <c r="BZ14" s="363">
        <f t="shared" ca="1" si="2"/>
        <v>0</v>
      </c>
      <c r="CA14" s="12"/>
      <c r="CB14" s="7">
        <f>IF(AND($G14=$G$7,$E14=""), 1, 0)</f>
        <v>0</v>
      </c>
      <c r="CC14" s="188" cm="1">
        <f t="array" ref="CC14">IF(E14="",0, IF(_xlfn.IFNA(INDEX('I&amp;E Profiles'!$D$96:$D$180, $I14), "N/A")="N/A", 1, 0))</f>
        <v>0</v>
      </c>
      <c r="CD14" s="7">
        <f t="shared" si="3"/>
        <v>0</v>
      </c>
      <c r="CE14" s="7">
        <f t="shared" si="4"/>
        <v>0</v>
      </c>
      <c r="CF14" s="7">
        <f t="shared" si="5"/>
        <v>0</v>
      </c>
      <c r="CG14" s="12"/>
      <c r="CH14" s="352">
        <f t="shared" si="6"/>
        <v>0</v>
      </c>
      <c r="CI14" s="352">
        <f t="shared" si="6"/>
        <v>0</v>
      </c>
      <c r="CJ14" s="352">
        <f t="shared" si="6"/>
        <v>0</v>
      </c>
      <c r="CK14" s="352">
        <f t="shared" si="7"/>
        <v>0</v>
      </c>
      <c r="CL14" s="352">
        <f t="shared" si="8"/>
        <v>0</v>
      </c>
      <c r="CM14" s="352">
        <f t="shared" si="9"/>
        <v>0</v>
      </c>
      <c r="CN14" s="352">
        <f t="shared" si="10"/>
        <v>0</v>
      </c>
      <c r="EX14" s="10" t="str">
        <f t="shared" si="1"/>
        <v>Subcontracted in: 14-16 income</v>
      </c>
    </row>
    <row r="15" spans="1:154" x14ac:dyDescent="0.25">
      <c r="A15" s="362" cm="1">
        <f t="array" aca="1" ref="A15" ca="1">HYPERLINK(CONCATENATE("#",CELL("address",IF(SUM($CA15:$CG15)=0,A15,INDEX($CA15:$CG15,MATCH(1,$CA15:$CG15,0))))),SUM($CA15:$CG15))</f>
        <v>0</v>
      </c>
      <c r="B15" s="335"/>
      <c r="C15" s="343" t="s">
        <v>834</v>
      </c>
      <c r="D15" s="433" t="s">
        <v>10</v>
      </c>
      <c r="E15" s="82"/>
      <c r="F15" s="25"/>
      <c r="G15" s="82"/>
      <c r="H15" s="335" t="s">
        <v>8</v>
      </c>
      <c r="I15" s="25"/>
      <c r="J15" s="335"/>
      <c r="K15" s="335"/>
      <c r="L15" s="335"/>
      <c r="M15" s="335"/>
      <c r="N15" s="335"/>
      <c r="O15" s="335"/>
      <c r="P15" s="335"/>
      <c r="Q15" s="2"/>
      <c r="R15" s="335"/>
      <c r="S15" s="335"/>
      <c r="T15" s="335"/>
      <c r="U15" s="335"/>
      <c r="V15" s="152">
        <f>SUM(V11:V14)</f>
        <v>0</v>
      </c>
      <c r="W15" s="152">
        <f>SUM(W11:W14)</f>
        <v>0</v>
      </c>
      <c r="X15" s="152">
        <f>SUM(X11:X14)</f>
        <v>0</v>
      </c>
      <c r="Y15" s="152">
        <f>SUM(Y11:Y14)</f>
        <v>0</v>
      </c>
      <c r="Z15" s="335"/>
      <c r="AA15" s="152">
        <f t="shared" ref="AA15:BJ15" si="12">SUM(AA11:AA14)</f>
        <v>0</v>
      </c>
      <c r="AB15" s="152">
        <f t="shared" si="12"/>
        <v>0</v>
      </c>
      <c r="AC15" s="152">
        <f t="shared" si="12"/>
        <v>0</v>
      </c>
      <c r="AD15" s="152">
        <f t="shared" si="12"/>
        <v>0</v>
      </c>
      <c r="AE15" s="152">
        <f t="shared" si="12"/>
        <v>0</v>
      </c>
      <c r="AF15" s="152">
        <f t="shared" si="12"/>
        <v>0</v>
      </c>
      <c r="AG15" s="152">
        <f t="shared" si="12"/>
        <v>0</v>
      </c>
      <c r="AH15" s="152">
        <f t="shared" si="12"/>
        <v>0</v>
      </c>
      <c r="AI15" s="152">
        <f t="shared" si="12"/>
        <v>0</v>
      </c>
      <c r="AJ15" s="152">
        <f t="shared" si="12"/>
        <v>0</v>
      </c>
      <c r="AK15" s="152">
        <f t="shared" si="12"/>
        <v>0</v>
      </c>
      <c r="AL15" s="152">
        <f t="shared" si="12"/>
        <v>0</v>
      </c>
      <c r="AM15" s="152">
        <f t="shared" si="12"/>
        <v>0</v>
      </c>
      <c r="AN15" s="152">
        <f t="shared" si="12"/>
        <v>0</v>
      </c>
      <c r="AO15" s="152">
        <f t="shared" si="12"/>
        <v>0</v>
      </c>
      <c r="AP15" s="152">
        <f t="shared" si="12"/>
        <v>0</v>
      </c>
      <c r="AQ15" s="152">
        <f t="shared" si="12"/>
        <v>0</v>
      </c>
      <c r="AR15" s="152">
        <f t="shared" si="12"/>
        <v>0</v>
      </c>
      <c r="AS15" s="152">
        <f t="shared" si="12"/>
        <v>0</v>
      </c>
      <c r="AT15" s="152">
        <f t="shared" si="12"/>
        <v>0</v>
      </c>
      <c r="AU15" s="152">
        <f t="shared" si="12"/>
        <v>0</v>
      </c>
      <c r="AV15" s="152">
        <f t="shared" si="12"/>
        <v>0</v>
      </c>
      <c r="AW15" s="152">
        <f t="shared" si="12"/>
        <v>0</v>
      </c>
      <c r="AX15" s="152">
        <f t="shared" si="12"/>
        <v>0</v>
      </c>
      <c r="AY15" s="152">
        <f t="shared" si="12"/>
        <v>0</v>
      </c>
      <c r="AZ15" s="152">
        <f t="shared" si="12"/>
        <v>0</v>
      </c>
      <c r="BA15" s="152">
        <f t="shared" si="12"/>
        <v>0</v>
      </c>
      <c r="BB15" s="152">
        <f t="shared" si="12"/>
        <v>0</v>
      </c>
      <c r="BC15" s="152">
        <f t="shared" si="12"/>
        <v>0</v>
      </c>
      <c r="BD15" s="152">
        <f t="shared" si="12"/>
        <v>0</v>
      </c>
      <c r="BE15" s="152">
        <f t="shared" si="12"/>
        <v>0</v>
      </c>
      <c r="BF15" s="152">
        <f t="shared" si="12"/>
        <v>0</v>
      </c>
      <c r="BG15" s="152">
        <f t="shared" si="12"/>
        <v>0</v>
      </c>
      <c r="BH15" s="152">
        <f t="shared" si="12"/>
        <v>0</v>
      </c>
      <c r="BI15" s="152">
        <f t="shared" si="12"/>
        <v>0</v>
      </c>
      <c r="BJ15" s="152">
        <f t="shared" si="12"/>
        <v>0</v>
      </c>
      <c r="BK15" s="335"/>
      <c r="BL15" s="152">
        <f t="shared" ref="BL15:BW15" si="13">SUM(BL11:BL14)</f>
        <v>0</v>
      </c>
      <c r="BM15" s="152">
        <f t="shared" si="13"/>
        <v>0</v>
      </c>
      <c r="BN15" s="152">
        <f t="shared" si="13"/>
        <v>0</v>
      </c>
      <c r="BO15" s="152">
        <f t="shared" si="13"/>
        <v>0</v>
      </c>
      <c r="BP15" s="152">
        <f t="shared" si="13"/>
        <v>0</v>
      </c>
      <c r="BQ15" s="152">
        <f t="shared" si="13"/>
        <v>0</v>
      </c>
      <c r="BR15" s="152">
        <f t="shared" si="13"/>
        <v>0</v>
      </c>
      <c r="BS15" s="152">
        <f t="shared" si="13"/>
        <v>0</v>
      </c>
      <c r="BT15" s="152">
        <f t="shared" si="13"/>
        <v>0</v>
      </c>
      <c r="BU15" s="152">
        <f t="shared" si="13"/>
        <v>0</v>
      </c>
      <c r="BV15" s="152">
        <f t="shared" si="13"/>
        <v>0</v>
      </c>
      <c r="BW15" s="152">
        <f t="shared" si="13"/>
        <v>0</v>
      </c>
      <c r="BX15" s="335"/>
      <c r="BY15" s="12"/>
      <c r="BZ15" s="363">
        <f t="shared" ca="1" si="2"/>
        <v>0</v>
      </c>
      <c r="CA15" s="12"/>
      <c r="CC15" s="335"/>
      <c r="CD15" s="7">
        <f t="shared" si="3"/>
        <v>0</v>
      </c>
      <c r="CE15" s="7">
        <f t="shared" si="4"/>
        <v>0</v>
      </c>
      <c r="CF15" s="7">
        <f t="shared" si="5"/>
        <v>0</v>
      </c>
      <c r="CG15" s="12"/>
      <c r="CH15" s="352">
        <f t="shared" si="6"/>
        <v>0</v>
      </c>
      <c r="CI15" s="352">
        <f t="shared" si="6"/>
        <v>0</v>
      </c>
      <c r="CJ15" s="352">
        <f t="shared" si="6"/>
        <v>0</v>
      </c>
      <c r="CK15" s="352">
        <f t="shared" si="7"/>
        <v>0</v>
      </c>
      <c r="CL15" s="352">
        <f t="shared" si="8"/>
        <v>0</v>
      </c>
      <c r="CM15" s="352">
        <f t="shared" si="9"/>
        <v>0</v>
      </c>
      <c r="CN15" s="352">
        <f t="shared" si="10"/>
        <v>0</v>
      </c>
      <c r="EX15" s="10" t="str">
        <f t="shared" si="1"/>
        <v>Total 14-16 Income</v>
      </c>
    </row>
    <row r="16" spans="1:154" x14ac:dyDescent="0.25">
      <c r="A16" s="362" cm="1">
        <f t="array" aca="1" ref="A16" ca="1">HYPERLINK(CONCATENATE("#",CELL("address",IF(SUM($CA16:$CG16)=0,A16,INDEX($CA16:$CG16,MATCH(1,$CA16:$CG16,0))))),SUM($CA16:$CG16))</f>
        <v>0</v>
      </c>
      <c r="B16" s="329"/>
      <c r="C16" s="343" t="s">
        <v>425</v>
      </c>
      <c r="D16" s="194" t="s">
        <v>422</v>
      </c>
      <c r="E16" s="147"/>
      <c r="F16" s="98" t="str" cm="1">
        <f t="array" aca="1" ref="F16" ca="1">IF(E16="", "", HYPERLINK(CONCATENATE("#",CELL("address",INDEX('I&amp;E Profiles'!$D$9:$D$93,'I&amp;E Annual'!I16))),E16))</f>
        <v/>
      </c>
      <c r="G16" s="147" t="s">
        <v>211</v>
      </c>
      <c r="H16" s="67" t="s">
        <v>8</v>
      </c>
      <c r="I16" s="350" t="str">
        <f>IF(E16="", "", MATCH(E16, 'I&amp;E Profiles'!$D$96:$D$180,0))</f>
        <v/>
      </c>
      <c r="J16" s="215">
        <f>IF($G16=$G$7, W16,'I&amp;E Monthly'!W16)-SUMIFS('I&amp;E Monthly'!$AA16:$BJ16, 'I&amp;E Monthly'!$AA$3:$BJ$3, 'I&amp;E Annual'!W$3, 'I&amp;E Monthly'!$AA$4:$BJ$4, 0)</f>
        <v>0</v>
      </c>
      <c r="K16" s="215">
        <f>IF($G16=$G$7, X16,'I&amp;E Monthly'!X16)-SUMIFS('I&amp;E Monthly'!$AA16:$BJ16, 'I&amp;E Monthly'!$AA$3:$BJ$3, 'I&amp;E Annual'!X$3, 'I&amp;E Monthly'!$AA$4:$BJ$4, 0)</f>
        <v>0</v>
      </c>
      <c r="L16" s="215">
        <f>IF($G16=$G$7, Y16,'I&amp;E Monthly'!Y16)-SUMIFS('I&amp;E Monthly'!$AA16:$BJ16, 'I&amp;E Monthly'!$AA$3:$BJ$3, 'I&amp;E Annual'!Y$3, 'I&amp;E Monthly'!$AA$4:$BJ$4, 0)</f>
        <v>0</v>
      </c>
      <c r="M16" s="335"/>
      <c r="N16" s="335"/>
      <c r="O16" s="335"/>
      <c r="P16" s="335"/>
      <c r="Q16" s="2"/>
      <c r="R16" s="335"/>
      <c r="S16" s="335"/>
      <c r="T16" s="335"/>
      <c r="U16" s="335"/>
      <c r="V16" s="215">
        <f>'I&amp;E Monthly'!V16</f>
        <v>0</v>
      </c>
      <c r="W16" s="147"/>
      <c r="X16" s="227"/>
      <c r="Y16" s="227"/>
      <c r="Z16" s="335"/>
      <c r="AA16" s="153" cm="1">
        <f t="array" ref="AA16">IF(OR(AA$4=0, $G16&lt;&gt; $G$7, $E16=0), 'I&amp;E Monthly'!AA16, CHOOSE(Timeline!AA$30,$J16,$K16,$L16 )*INDEX('I&amp;E Profiles'!AA$96:AA$180,$I16))</f>
        <v>0</v>
      </c>
      <c r="AB16" s="153" cm="1">
        <f t="array" ref="AB16">IF(OR(AB$4=0, $G16&lt;&gt; $G$7, $E16=0), 'I&amp;E Monthly'!AB16, CHOOSE(Timeline!AB$30,$J16,$K16,$L16 )*INDEX('I&amp;E Profiles'!AB$96:AB$180,$I16))</f>
        <v>0</v>
      </c>
      <c r="AC16" s="153" cm="1">
        <f t="array" ref="AC16">IF(OR(AC$4=0, $G16&lt;&gt; $G$7, $E16=0), 'I&amp;E Monthly'!AC16, CHOOSE(Timeline!AC$30,$J16,$K16,$L16 )*INDEX('I&amp;E Profiles'!AC$96:AC$180,$I16))</f>
        <v>0</v>
      </c>
      <c r="AD16" s="153" cm="1">
        <f t="array" ref="AD16">IF(OR(AD$4=0, $G16&lt;&gt; $G$7, $E16=0), 'I&amp;E Monthly'!AD16, CHOOSE(Timeline!AD$30,$J16,$K16,$L16 )*INDEX('I&amp;E Profiles'!AD$96:AD$180,$I16))</f>
        <v>0</v>
      </c>
      <c r="AE16" s="153" cm="1">
        <f t="array" ref="AE16">IF(OR(AE$4=0, $G16&lt;&gt; $G$7, $E16=0), 'I&amp;E Monthly'!AE16, CHOOSE(Timeline!AE$30,$J16,$K16,$L16 )*INDEX('I&amp;E Profiles'!AE$96:AE$180,$I16))</f>
        <v>0</v>
      </c>
      <c r="AF16" s="153" cm="1">
        <f t="array" ref="AF16">IF(OR(AF$4=0, $G16&lt;&gt; $G$7, $E16=0), 'I&amp;E Monthly'!AF16, CHOOSE(Timeline!AF$30,$J16,$K16,$L16 )*INDEX('I&amp;E Profiles'!AF$96:AF$180,$I16))</f>
        <v>0</v>
      </c>
      <c r="AG16" s="153" cm="1">
        <f t="array" ref="AG16">IF(OR(AG$4=0, $G16&lt;&gt; $G$7, $E16=0), 'I&amp;E Monthly'!AG16, CHOOSE(Timeline!AG$30,$J16,$K16,$L16 )*INDEX('I&amp;E Profiles'!AG$96:AG$180,$I16))</f>
        <v>0</v>
      </c>
      <c r="AH16" s="153" cm="1">
        <f t="array" ref="AH16">IF(OR(AH$4=0, $G16&lt;&gt; $G$7, $E16=0), 'I&amp;E Monthly'!AH16, CHOOSE(Timeline!AH$30,$J16,$K16,$L16 )*INDEX('I&amp;E Profiles'!AH$96:AH$180,$I16))</f>
        <v>0</v>
      </c>
      <c r="AI16" s="153" cm="1">
        <f t="array" ref="AI16">IF(OR(AI$4=0, $G16&lt;&gt; $G$7, $E16=0), 'I&amp;E Monthly'!AI16, CHOOSE(Timeline!AI$30,$J16,$K16,$L16 )*INDEX('I&amp;E Profiles'!AI$96:AI$180,$I16))</f>
        <v>0</v>
      </c>
      <c r="AJ16" s="153" cm="1">
        <f t="array" ref="AJ16">IF(OR(AJ$4=0, $G16&lt;&gt; $G$7, $E16=0), 'I&amp;E Monthly'!AJ16, CHOOSE(Timeline!AJ$30,$J16,$K16,$L16 )*INDEX('I&amp;E Profiles'!AJ$96:AJ$180,$I16))</f>
        <v>0</v>
      </c>
      <c r="AK16" s="153" cm="1">
        <f t="array" ref="AK16">IF(OR(AK$4=0, $G16&lt;&gt; $G$7, $E16=0), 'I&amp;E Monthly'!AK16, CHOOSE(Timeline!AK$30,$J16,$K16,$L16 )*INDEX('I&amp;E Profiles'!AK$96:AK$180,$I16))</f>
        <v>0</v>
      </c>
      <c r="AL16" s="153" cm="1">
        <f t="array" ref="AL16">IF(OR(AL$4=0, $G16&lt;&gt; $G$7, $E16=0), 'I&amp;E Monthly'!AL16, CHOOSE(Timeline!AL$30,$J16,$K16,$L16 )*INDEX('I&amp;E Profiles'!AL$96:AL$180,$I16))</f>
        <v>0</v>
      </c>
      <c r="AM16" s="153" cm="1">
        <f t="array" ref="AM16">IF(OR(AM$4=0, $G16&lt;&gt; $G$7, $E16=0), 'I&amp;E Monthly'!AM16, CHOOSE(Timeline!AM$30,$J16,$K16,$L16 )*INDEX('I&amp;E Profiles'!AM$96:AM$180,$I16))</f>
        <v>0</v>
      </c>
      <c r="AN16" s="153" cm="1">
        <f t="array" ref="AN16">IF(OR(AN$4=0, $G16&lt;&gt; $G$7, $E16=0), 'I&amp;E Monthly'!AN16, CHOOSE(Timeline!AN$30,$J16,$K16,$L16 )*INDEX('I&amp;E Profiles'!AN$96:AN$180,$I16))</f>
        <v>0</v>
      </c>
      <c r="AO16" s="153" cm="1">
        <f t="array" ref="AO16">IF(OR(AO$4=0, $G16&lt;&gt; $G$7, $E16=0), 'I&amp;E Monthly'!AO16, CHOOSE(Timeline!AO$30,$J16,$K16,$L16 )*INDEX('I&amp;E Profiles'!AO$96:AO$180,$I16))</f>
        <v>0</v>
      </c>
      <c r="AP16" s="153" cm="1">
        <f t="array" ref="AP16">IF(OR(AP$4=0, $G16&lt;&gt; $G$7, $E16=0), 'I&amp;E Monthly'!AP16, CHOOSE(Timeline!AP$30,$J16,$K16,$L16 )*INDEX('I&amp;E Profiles'!AP$96:AP$180,$I16))</f>
        <v>0</v>
      </c>
      <c r="AQ16" s="153" cm="1">
        <f t="array" ref="AQ16">IF(OR(AQ$4=0, $G16&lt;&gt; $G$7, $E16=0), 'I&amp;E Monthly'!AQ16, CHOOSE(Timeline!AQ$30,$J16,$K16,$L16 )*INDEX('I&amp;E Profiles'!AQ$96:AQ$180,$I16))</f>
        <v>0</v>
      </c>
      <c r="AR16" s="153" cm="1">
        <f t="array" ref="AR16">IF(OR(AR$4=0, $G16&lt;&gt; $G$7, $E16=0), 'I&amp;E Monthly'!AR16, CHOOSE(Timeline!AR$30,$J16,$K16,$L16 )*INDEX('I&amp;E Profiles'!AR$96:AR$180,$I16))</f>
        <v>0</v>
      </c>
      <c r="AS16" s="153" cm="1">
        <f t="array" ref="AS16">IF(OR(AS$4=0, $G16&lt;&gt; $G$7, $E16=0), 'I&amp;E Monthly'!AS16, CHOOSE(Timeline!AS$30,$J16,$K16,$L16 )*INDEX('I&amp;E Profiles'!AS$96:AS$180,$I16))</f>
        <v>0</v>
      </c>
      <c r="AT16" s="153" cm="1">
        <f t="array" ref="AT16">IF(OR(AT$4=0, $G16&lt;&gt; $G$7, $E16=0), 'I&amp;E Monthly'!AT16, CHOOSE(Timeline!AT$30,$J16,$K16,$L16 )*INDEX('I&amp;E Profiles'!AT$96:AT$180,$I16))</f>
        <v>0</v>
      </c>
      <c r="AU16" s="153" cm="1">
        <f t="array" ref="AU16">IF(OR(AU$4=0, $G16&lt;&gt; $G$7, $E16=0), 'I&amp;E Monthly'!AU16, CHOOSE(Timeline!AU$30,$J16,$K16,$L16 )*INDEX('I&amp;E Profiles'!AU$96:AU$180,$I16))</f>
        <v>0</v>
      </c>
      <c r="AV16" s="153" cm="1">
        <f t="array" ref="AV16">IF(OR(AV$4=0, $G16&lt;&gt; $G$7, $E16=0), 'I&amp;E Monthly'!AV16, CHOOSE(Timeline!AV$30,$J16,$K16,$L16 )*INDEX('I&amp;E Profiles'!AV$96:AV$180,$I16))</f>
        <v>0</v>
      </c>
      <c r="AW16" s="153" cm="1">
        <f t="array" ref="AW16">IF(OR(AW$4=0, $G16&lt;&gt; $G$7, $E16=0), 'I&amp;E Monthly'!AW16, CHOOSE(Timeline!AW$30,$J16,$K16,$L16 )*INDEX('I&amp;E Profiles'!AW$96:AW$180,$I16))</f>
        <v>0</v>
      </c>
      <c r="AX16" s="153" cm="1">
        <f t="array" ref="AX16">IF(OR(AX$4=0, $G16&lt;&gt; $G$7, $E16=0), 'I&amp;E Monthly'!AX16, CHOOSE(Timeline!AX$30,$J16,$K16,$L16 )*INDEX('I&amp;E Profiles'!AX$96:AX$180,$I16))</f>
        <v>0</v>
      </c>
      <c r="AY16" s="153" cm="1">
        <f t="array" ref="AY16">IF(OR(AY$4=0, $G16&lt;&gt; $G$7, $E16=0), 'I&amp;E Monthly'!AY16, CHOOSE(Timeline!AY$30,$J16,$K16,$L16 )*INDEX('I&amp;E Profiles'!AY$96:AY$180,$I16))</f>
        <v>0</v>
      </c>
      <c r="AZ16" s="153" cm="1">
        <f t="array" ref="AZ16">IF(OR(AZ$4=0, $G16&lt;&gt; $G$7, $E16=0), 'I&amp;E Monthly'!AZ16, CHOOSE(Timeline!AZ$30,$J16,$K16,$L16 )*INDEX('I&amp;E Profiles'!AZ$96:AZ$180,$I16))</f>
        <v>0</v>
      </c>
      <c r="BA16" s="153" cm="1">
        <f t="array" ref="BA16">IF(OR(BA$4=0, $G16&lt;&gt; $G$7, $E16=0), 'I&amp;E Monthly'!BA16, CHOOSE(Timeline!BA$30,$J16,$K16,$L16 )*INDEX('I&amp;E Profiles'!BA$96:BA$180,$I16))</f>
        <v>0</v>
      </c>
      <c r="BB16" s="153" cm="1">
        <f t="array" ref="BB16">IF(OR(BB$4=0, $G16&lt;&gt; $G$7, $E16=0), 'I&amp;E Monthly'!BB16, CHOOSE(Timeline!BB$30,$J16,$K16,$L16 )*INDEX('I&amp;E Profiles'!BB$96:BB$180,$I16))</f>
        <v>0</v>
      </c>
      <c r="BC16" s="153" cm="1">
        <f t="array" ref="BC16">IF(OR(BC$4=0, $G16&lt;&gt; $G$7, $E16=0), 'I&amp;E Monthly'!BC16, CHOOSE(Timeline!BC$30,$J16,$K16,$L16 )*INDEX('I&amp;E Profiles'!BC$96:BC$180,$I16))</f>
        <v>0</v>
      </c>
      <c r="BD16" s="153" cm="1">
        <f t="array" ref="BD16">IF(OR(BD$4=0, $G16&lt;&gt; $G$7, $E16=0), 'I&amp;E Monthly'!BD16, CHOOSE(Timeline!BD$30,$J16,$K16,$L16 )*INDEX('I&amp;E Profiles'!BD$96:BD$180,$I16))</f>
        <v>0</v>
      </c>
      <c r="BE16" s="153" cm="1">
        <f t="array" ref="BE16">IF(OR(BE$4=0, $G16&lt;&gt; $G$7, $E16=0), 'I&amp;E Monthly'!BE16, CHOOSE(Timeline!BE$30,$J16,$K16,$L16 )*INDEX('I&amp;E Profiles'!BE$96:BE$180,$I16))</f>
        <v>0</v>
      </c>
      <c r="BF16" s="153" cm="1">
        <f t="array" ref="BF16">IF(OR(BF$4=0, $G16&lt;&gt; $G$7, $E16=0), 'I&amp;E Monthly'!BF16, CHOOSE(Timeline!BF$30,$J16,$K16,$L16 )*INDEX('I&amp;E Profiles'!BF$96:BF$180,$I16))</f>
        <v>0</v>
      </c>
      <c r="BG16" s="153" cm="1">
        <f t="array" ref="BG16">IF(OR(BG$4=0, $G16&lt;&gt; $G$7, $E16=0), 'I&amp;E Monthly'!BG16, CHOOSE(Timeline!BG$30,$J16,$K16,$L16 )*INDEX('I&amp;E Profiles'!BG$96:BG$180,$I16))</f>
        <v>0</v>
      </c>
      <c r="BH16" s="153" cm="1">
        <f t="array" ref="BH16">IF(OR(BH$4=0, $G16&lt;&gt; $G$7, $E16=0), 'I&amp;E Monthly'!BH16, CHOOSE(Timeline!BH$30,$J16,$K16,$L16 )*INDEX('I&amp;E Profiles'!BH$96:BH$180,$I16))</f>
        <v>0</v>
      </c>
      <c r="BI16" s="153" cm="1">
        <f t="array" ref="BI16">IF(OR(BI$4=0, $G16&lt;&gt; $G$7, $E16=0), 'I&amp;E Monthly'!BI16, CHOOSE(Timeline!BI$30,$J16,$K16,$L16 )*INDEX('I&amp;E Profiles'!BI$96:BI$180,$I16))</f>
        <v>0</v>
      </c>
      <c r="BJ16" s="153" cm="1">
        <f t="array" ref="BJ16">IF(OR(BJ$4=0, $G16&lt;&gt; $G$7, $E16=0), 'I&amp;E Monthly'!BJ16, CHOOSE(Timeline!BJ$30,$J16,$K16,$L16 )*INDEX('I&amp;E Profiles'!BJ$96:BJ$180,$I16))</f>
        <v>0</v>
      </c>
      <c r="BK16" s="335"/>
      <c r="BL16" s="152">
        <f>V16</f>
        <v>0</v>
      </c>
      <c r="BM16" s="153">
        <f>SUMIFS($AA16:$BJ16, $AA$3:$BJ$3,BM$3)</f>
        <v>0</v>
      </c>
      <c r="BN16" s="153">
        <f>SUMIFS($AA16:$BJ16, $AA$3:$BJ$3,BN$3)</f>
        <v>0</v>
      </c>
      <c r="BO16" s="153">
        <f>SUMIFS($AA16:$BJ16, $AA$3:$BJ$3,BO$3)</f>
        <v>0</v>
      </c>
      <c r="BP16" s="152">
        <f>'I&amp;E Monthly'!BP16</f>
        <v>0</v>
      </c>
      <c r="BQ16" s="152">
        <f>'I&amp;E Monthly'!BQ16</f>
        <v>0</v>
      </c>
      <c r="BR16" s="152">
        <f>'I&amp;E Monthly'!BR16</f>
        <v>0</v>
      </c>
      <c r="BS16" s="152">
        <f>'I&amp;E Monthly'!BS16</f>
        <v>0</v>
      </c>
      <c r="BT16" s="152">
        <f>'I&amp;E Monthly'!BT16</f>
        <v>0</v>
      </c>
      <c r="BU16" s="152">
        <f>'I&amp;E Monthly'!BU16</f>
        <v>0</v>
      </c>
      <c r="BV16" s="152">
        <f>'I&amp;E Monthly'!BV16</f>
        <v>0</v>
      </c>
      <c r="BW16" s="152">
        <f>'I&amp;E Monthly'!BW16</f>
        <v>0</v>
      </c>
      <c r="BX16" s="335"/>
      <c r="BY16" s="12"/>
      <c r="BZ16" s="363">
        <f t="shared" ca="1" si="2"/>
        <v>0</v>
      </c>
      <c r="CA16" s="12"/>
      <c r="CB16" s="7">
        <f>IF(AND($G16=$G$7,$E16=""), 1, 0)</f>
        <v>0</v>
      </c>
      <c r="CC16" s="188" cm="1">
        <f t="array" ref="CC16">IF(E16="",0, IF(_xlfn.IFNA(INDEX('I&amp;E Profiles'!$D$96:$D$180, $I16), "N/A")="N/A", 1, 0))</f>
        <v>0</v>
      </c>
      <c r="CD16" s="7">
        <f t="shared" si="3"/>
        <v>0</v>
      </c>
      <c r="CE16" s="7">
        <f t="shared" si="4"/>
        <v>0</v>
      </c>
      <c r="CF16" s="7">
        <f t="shared" si="5"/>
        <v>0</v>
      </c>
      <c r="CG16" s="12"/>
      <c r="CH16" s="352">
        <f t="shared" si="6"/>
        <v>0</v>
      </c>
      <c r="CI16" s="352">
        <f t="shared" si="6"/>
        <v>0</v>
      </c>
      <c r="CJ16" s="352">
        <f t="shared" si="6"/>
        <v>0</v>
      </c>
      <c r="CK16" s="352">
        <f t="shared" si="7"/>
        <v>0</v>
      </c>
      <c r="CL16" s="352">
        <f t="shared" si="8"/>
        <v>0</v>
      </c>
      <c r="CM16" s="352">
        <f t="shared" si="9"/>
        <v>0</v>
      </c>
      <c r="CN16" s="352">
        <f t="shared" si="10"/>
        <v>0</v>
      </c>
      <c r="EX16" s="10" t="str">
        <f t="shared" si="1"/>
        <v>Of which: subcontracted out: 14-16 income</v>
      </c>
    </row>
    <row r="17" spans="1:154" ht="6.6" customHeight="1" x14ac:dyDescent="0.25">
      <c r="A17" s="335"/>
      <c r="B17" s="335"/>
      <c r="C17" s="383"/>
      <c r="D17" s="177"/>
      <c r="E17" s="25"/>
      <c r="F17" s="25"/>
      <c r="G17" s="25"/>
      <c r="I17" s="25"/>
      <c r="J17" s="335"/>
      <c r="K17" s="335"/>
      <c r="L17" s="335"/>
      <c r="M17" s="335"/>
      <c r="N17" s="335"/>
      <c r="O17" s="335"/>
      <c r="P17" s="335"/>
      <c r="Q17" s="2"/>
      <c r="R17" s="335"/>
      <c r="T17" s="335"/>
      <c r="U17" s="335"/>
      <c r="V17" s="25"/>
      <c r="W17" s="25"/>
      <c r="X17" s="25"/>
      <c r="Y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L17" s="25"/>
      <c r="BM17" s="155"/>
      <c r="BN17" s="25"/>
      <c r="BO17" s="25"/>
      <c r="BP17" s="25"/>
      <c r="BQ17" s="25"/>
      <c r="BR17" s="25"/>
      <c r="BS17" s="25"/>
      <c r="BT17" s="25"/>
      <c r="BU17" s="25"/>
      <c r="BV17" s="25"/>
      <c r="BW17" s="25"/>
      <c r="BY17" s="42"/>
      <c r="BZ17" s="335"/>
      <c r="CA17" s="42"/>
      <c r="CC17" s="335"/>
      <c r="CG17" s="42"/>
      <c r="CM17" s="335"/>
      <c r="CN17" s="335"/>
      <c r="EX17" s="10" t="str">
        <f t="shared" si="1"/>
        <v/>
      </c>
    </row>
    <row r="18" spans="1:154" x14ac:dyDescent="0.25">
      <c r="A18" s="335"/>
      <c r="B18" s="5"/>
      <c r="C18" s="383"/>
      <c r="D18" s="433" t="s">
        <v>12</v>
      </c>
      <c r="E18" s="82"/>
      <c r="F18" s="25"/>
      <c r="G18" s="25"/>
      <c r="I18" s="25"/>
      <c r="J18" s="335"/>
      <c r="Q18" s="2"/>
      <c r="R18" s="335"/>
      <c r="T18" s="335"/>
      <c r="U18" s="335"/>
      <c r="V18" s="25"/>
      <c r="W18" s="25"/>
      <c r="X18" s="25"/>
      <c r="Y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L18" s="25"/>
      <c r="BM18" s="25"/>
      <c r="BN18" s="25"/>
      <c r="BO18" s="25"/>
      <c r="BP18" s="25"/>
      <c r="BQ18" s="25"/>
      <c r="BR18" s="25"/>
      <c r="BS18" s="25"/>
      <c r="BT18" s="25"/>
      <c r="BU18" s="25"/>
      <c r="BV18" s="25"/>
      <c r="BW18" s="25"/>
      <c r="BY18" s="12"/>
      <c r="BZ18" s="335"/>
      <c r="CA18" s="12"/>
      <c r="CC18" s="335"/>
      <c r="CG18" s="12"/>
      <c r="CM18" s="335"/>
      <c r="CN18" s="335"/>
      <c r="EX18" s="10" t="str">
        <f t="shared" si="1"/>
        <v/>
      </c>
    </row>
    <row r="19" spans="1:154" ht="15.75" x14ac:dyDescent="0.3">
      <c r="A19" s="362" cm="1">
        <f t="array" aca="1" ref="A19" ca="1">HYPERLINK(CONCATENATE("#",CELL("address",IF(SUM($CA19:$CG19)=0,A19,INDEX($CA19:$CG19,MATCH(1,$CA19:$CG19,0))))),SUM($CA19:$CG19))</f>
        <v>0</v>
      </c>
      <c r="B19" s="105" t="s">
        <v>335</v>
      </c>
      <c r="C19" s="343" t="s">
        <v>429</v>
      </c>
      <c r="D19" s="194" t="s">
        <v>16</v>
      </c>
      <c r="E19" s="147"/>
      <c r="F19" s="98" t="str" cm="1">
        <f t="array" aca="1" ref="F19" ca="1">IF(E19="", "", HYPERLINK(CONCATENATE("#",CELL("address",INDEX('I&amp;E Profiles'!$D$9:$D$93,'I&amp;E Annual'!I19))),E19))</f>
        <v/>
      </c>
      <c r="G19" s="372" t="s">
        <v>211</v>
      </c>
      <c r="H19" s="67" t="s">
        <v>8</v>
      </c>
      <c r="I19" s="350" t="str">
        <f>IF(E19="", "", MATCH(E19, 'I&amp;E Profiles'!$D$96:$D$180,0))</f>
        <v/>
      </c>
      <c r="J19" s="215">
        <f>IF($G19=$G$7, W19,'I&amp;E Monthly'!W19)-SUMIFS('I&amp;E Monthly'!$AA19:$BJ19, 'I&amp;E Monthly'!$AA$3:$BJ$3, 'I&amp;E Annual'!W$3, 'I&amp;E Monthly'!$AA$4:$BJ$4, 0)</f>
        <v>1093</v>
      </c>
      <c r="K19" s="215">
        <f>IF($G19=$G$7, X19,'I&amp;E Monthly'!X19)-SUMIFS('I&amp;E Monthly'!$AA19:$BJ19, 'I&amp;E Monthly'!$AA$3:$BJ$3, 'I&amp;E Annual'!X$3, 'I&amp;E Monthly'!$AA$4:$BJ$4, 0)</f>
        <v>20295</v>
      </c>
      <c r="L19" s="215">
        <f>IF($G19=$G$7, Y19,'I&amp;E Monthly'!Y19)-SUMIFS('I&amp;E Monthly'!$AA19:$BJ19, 'I&amp;E Monthly'!$AA$3:$BJ$3, 'I&amp;E Annual'!Y$3, 'I&amp;E Monthly'!$AA$4:$BJ$4, 0)</f>
        <v>20903.849999999999</v>
      </c>
      <c r="M19" s="335"/>
      <c r="N19" s="335"/>
      <c r="O19" s="335"/>
      <c r="P19" s="335"/>
      <c r="Q19" s="2"/>
      <c r="R19" s="335"/>
      <c r="S19" s="335"/>
      <c r="T19" s="335"/>
      <c r="U19" s="335"/>
      <c r="V19" s="201">
        <f>'I&amp;E Monthly'!V19</f>
        <v>0</v>
      </c>
      <c r="W19" s="372"/>
      <c r="X19" s="198"/>
      <c r="Y19" s="198"/>
      <c r="Z19" s="335"/>
      <c r="AA19" s="153" cm="1">
        <f t="array" ref="AA19">IF(OR(AA$4=0, $G19&lt;&gt; $G$7, $E19=0), 'I&amp;E Monthly'!AA19, CHOOSE(Timeline!AA$30,$J19,$K19,$L19 )*INDEX('I&amp;E Profiles'!AA$96:AA$180,$I19))</f>
        <v>2417</v>
      </c>
      <c r="AB19" s="153" cm="1">
        <f t="array" ref="AB19">IF(OR(AB$4=0, $G19&lt;&gt; $G$7, $E19=0), 'I&amp;E Monthly'!AB19, CHOOSE(Timeline!AB$30,$J19,$K19,$L19 )*INDEX('I&amp;E Profiles'!AB$96:AB$180,$I19))</f>
        <v>1817</v>
      </c>
      <c r="AC19" s="153" cm="1">
        <f t="array" ref="AC19">IF(OR(AC$4=0, $G19&lt;&gt; $G$7, $E19=0), 'I&amp;E Monthly'!AC19, CHOOSE(Timeline!AC$30,$J19,$K19,$L19 )*INDEX('I&amp;E Profiles'!AC$96:AC$180,$I19))</f>
        <v>1840</v>
      </c>
      <c r="AD19" s="153" cm="1">
        <f t="array" ref="AD19">IF(OR(AD$4=0, $G19&lt;&gt; $G$7, $E19=0), 'I&amp;E Monthly'!AD19, CHOOSE(Timeline!AD$30,$J19,$K19,$L19 )*INDEX('I&amp;E Profiles'!AD$96:AD$180,$I19))</f>
        <v>1432</v>
      </c>
      <c r="AE19" s="153" cm="1">
        <f t="array" ref="AE19">IF(OR(AE$4=0, $G19&lt;&gt; $G$7, $E19=0), 'I&amp;E Monthly'!AE19, CHOOSE(Timeline!AE$30,$J19,$K19,$L19 )*INDEX('I&amp;E Profiles'!AE$96:AE$180,$I19))</f>
        <v>1078</v>
      </c>
      <c r="AF19" s="153" cm="1">
        <f t="array" ref="AF19">IF(OR(AF$4=0, $G19&lt;&gt; $G$7, $E19=0), 'I&amp;E Monthly'!AF19, CHOOSE(Timeline!AF$30,$J19,$K19,$L19 )*INDEX('I&amp;E Profiles'!AF$96:AF$180,$I19))</f>
        <v>1078</v>
      </c>
      <c r="AG19" s="153" cm="1">
        <f t="array" ref="AG19">IF(OR(AG$4=0, $G19&lt;&gt; $G$7, $E19=0), 'I&amp;E Monthly'!AG19, CHOOSE(Timeline!AG$30,$J19,$K19,$L19 )*INDEX('I&amp;E Profiles'!AG$96:AG$180,$I19))</f>
        <v>1001</v>
      </c>
      <c r="AH19" s="153" cm="1">
        <f t="array" ref="AH19">IF(OR(AH$4=0, $G19&lt;&gt; $G$7, $E19=0), 'I&amp;E Monthly'!AH19, CHOOSE(Timeline!AH$30,$J19,$K19,$L19 )*INDEX('I&amp;E Profiles'!AH$96:AH$180,$I19))</f>
        <v>993</v>
      </c>
      <c r="AI19" s="153" cm="1">
        <f t="array" ref="AI19">IF(OR(AI$4=0, $G19&lt;&gt; $G$7, $E19=0), 'I&amp;E Monthly'!AI19, CHOOSE(Timeline!AI$30,$J19,$K19,$L19 )*INDEX('I&amp;E Profiles'!AI$96:AI$180,$I19))</f>
        <v>2417</v>
      </c>
      <c r="AJ19" s="153" cm="1">
        <f t="array" ref="AJ19">IF(OR(AJ$4=0, $G19&lt;&gt; $G$7, $E19=0), 'I&amp;E Monthly'!AJ19, CHOOSE(Timeline!AJ$30,$J19,$K19,$L19 )*INDEX('I&amp;E Profiles'!AJ$96:AJ$180,$I19))</f>
        <v>2232</v>
      </c>
      <c r="AK19" s="153" cm="1">
        <f t="array" ref="AK19">IF(OR(AK$4=0, $G19&lt;&gt; $G$7, $E19=0), 'I&amp;E Monthly'!AK19, CHOOSE(Timeline!AK$30,$J19,$K19,$L19 )*INDEX('I&amp;E Profiles'!AK$96:AK$180,$I19))</f>
        <v>1847</v>
      </c>
      <c r="AL19" s="153" cm="1">
        <f t="array" ref="AL19">IF(OR(AL$4=0, $G19&lt;&gt; $G$7, $E19=0), 'I&amp;E Monthly'!AL19, CHOOSE(Timeline!AL$30,$J19,$K19,$L19 )*INDEX('I&amp;E Profiles'!AL$96:AL$180,$I19))</f>
        <v>1093</v>
      </c>
      <c r="AM19" s="153" cm="1">
        <f t="array" ref="AM19">IF(OR(AM$4=0, $G19&lt;&gt; $G$7, $E19=0), 'I&amp;E Monthly'!AM19, CHOOSE(Timeline!AM$30,$J19,$K19,$L19 )*INDEX('I&amp;E Profiles'!AM$96:AM$180,$I19))</f>
        <v>2549</v>
      </c>
      <c r="AN19" s="153" cm="1">
        <f t="array" ref="AN19">IF(OR(AN$4=0, $G19&lt;&gt; $G$7, $E19=0), 'I&amp;E Monthly'!AN19, CHOOSE(Timeline!AN$30,$J19,$K19,$L19 )*INDEX('I&amp;E Profiles'!AN$96:AN$180,$I19))</f>
        <v>1916</v>
      </c>
      <c r="AO19" s="153" cm="1">
        <f t="array" ref="AO19">IF(OR(AO$4=0, $G19&lt;&gt; $G$7, $E19=0), 'I&amp;E Monthly'!AO19, CHOOSE(Timeline!AO$30,$J19,$K19,$L19 )*INDEX('I&amp;E Profiles'!AO$96:AO$180,$I19))</f>
        <v>1940</v>
      </c>
      <c r="AP19" s="153" cm="1">
        <f t="array" ref="AP19">IF(OR(AP$4=0, $G19&lt;&gt; $G$7, $E19=0), 'I&amp;E Monthly'!AP19, CHOOSE(Timeline!AP$30,$J19,$K19,$L19 )*INDEX('I&amp;E Profiles'!AP$96:AP$180,$I19))</f>
        <v>1510</v>
      </c>
      <c r="AQ19" s="153" cm="1">
        <f t="array" ref="AQ19">IF(OR(AQ$4=0, $G19&lt;&gt; $G$7, $E19=0), 'I&amp;E Monthly'!AQ19, CHOOSE(Timeline!AQ$30,$J19,$K19,$L19 )*INDEX('I&amp;E Profiles'!AQ$96:AQ$180,$I19))</f>
        <v>1137</v>
      </c>
      <c r="AR19" s="153" cm="1">
        <f t="array" ref="AR19">IF(OR(AR$4=0, $G19&lt;&gt; $G$7, $E19=0), 'I&amp;E Monthly'!AR19, CHOOSE(Timeline!AR$30,$J19,$K19,$L19 )*INDEX('I&amp;E Profiles'!AR$96:AR$180,$I19))</f>
        <v>1137</v>
      </c>
      <c r="AS19" s="153" cm="1">
        <f t="array" ref="AS19">IF(OR(AS$4=0, $G19&lt;&gt; $G$7, $E19=0), 'I&amp;E Monthly'!AS19, CHOOSE(Timeline!AS$30,$J19,$K19,$L19 )*INDEX('I&amp;E Profiles'!AS$96:AS$180,$I19))</f>
        <v>1055</v>
      </c>
      <c r="AT19" s="153" cm="1">
        <f t="array" ref="AT19">IF(OR(AT$4=0, $G19&lt;&gt; $G$7, $E19=0), 'I&amp;E Monthly'!AT19, CHOOSE(Timeline!AT$30,$J19,$K19,$L19 )*INDEX('I&amp;E Profiles'!AT$96:AT$180,$I19))</f>
        <v>1047</v>
      </c>
      <c r="AU19" s="153" cm="1">
        <f t="array" ref="AU19">IF(OR(AU$4=0, $G19&lt;&gt; $G$7, $E19=0), 'I&amp;E Monthly'!AU19, CHOOSE(Timeline!AU$30,$J19,$K19,$L19 )*INDEX('I&amp;E Profiles'!AU$96:AU$180,$I19))</f>
        <v>2549</v>
      </c>
      <c r="AV19" s="153" cm="1">
        <f t="array" ref="AV19">IF(OR(AV$4=0, $G19&lt;&gt; $G$7, $E19=0), 'I&amp;E Monthly'!AV19, CHOOSE(Timeline!AV$30,$J19,$K19,$L19 )*INDEX('I&amp;E Profiles'!AV$96:AV$180,$I19))</f>
        <v>2354</v>
      </c>
      <c r="AW19" s="153" cm="1">
        <f t="array" ref="AW19">IF(OR(AW$4=0, $G19&lt;&gt; $G$7, $E19=0), 'I&amp;E Monthly'!AW19, CHOOSE(Timeline!AW$30,$J19,$K19,$L19 )*INDEX('I&amp;E Profiles'!AW$96:AW$180,$I19))</f>
        <v>1948</v>
      </c>
      <c r="AX19" s="153" cm="1">
        <f t="array" ref="AX19">IF(OR(AX$4=0, $G19&lt;&gt; $G$7, $E19=0), 'I&amp;E Monthly'!AX19, CHOOSE(Timeline!AX$30,$J19,$K19,$L19 )*INDEX('I&amp;E Profiles'!AX$96:AX$180,$I19))</f>
        <v>1153</v>
      </c>
      <c r="AY19" s="153" cm="1">
        <f t="array" ref="AY19">IF(OR(AY$4=0, $G19&lt;&gt; $G$7, $E19=0), 'I&amp;E Monthly'!AY19, CHOOSE(Timeline!AY$30,$J19,$K19,$L19 )*INDEX('I&amp;E Profiles'!AY$96:AY$180,$I19))</f>
        <v>2625.4700000000003</v>
      </c>
      <c r="AZ19" s="153" cm="1">
        <f t="array" ref="AZ19">IF(OR(AZ$4=0, $G19&lt;&gt; $G$7, $E19=0), 'I&amp;E Monthly'!AZ19, CHOOSE(Timeline!AZ$30,$J19,$K19,$L19 )*INDEX('I&amp;E Profiles'!AZ$96:AZ$180,$I19))</f>
        <v>1973.48</v>
      </c>
      <c r="BA19" s="153" cm="1">
        <f t="array" ref="BA19">IF(OR(BA$4=0, $G19&lt;&gt; $G$7, $E19=0), 'I&amp;E Monthly'!BA19, CHOOSE(Timeline!BA$30,$J19,$K19,$L19 )*INDEX('I&amp;E Profiles'!BA$96:BA$180,$I19))</f>
        <v>1998.2</v>
      </c>
      <c r="BB19" s="153" cm="1">
        <f t="array" ref="BB19">IF(OR(BB$4=0, $G19&lt;&gt; $G$7, $E19=0), 'I&amp;E Monthly'!BB19, CHOOSE(Timeline!BB$30,$J19,$K19,$L19 )*INDEX('I&amp;E Profiles'!BB$96:BB$180,$I19))</f>
        <v>1555.3</v>
      </c>
      <c r="BC19" s="153" cm="1">
        <f t="array" ref="BC19">IF(OR(BC$4=0, $G19&lt;&gt; $G$7, $E19=0), 'I&amp;E Monthly'!BC19, CHOOSE(Timeline!BC$30,$J19,$K19,$L19 )*INDEX('I&amp;E Profiles'!BC$96:BC$180,$I19))</f>
        <v>1171.1100000000001</v>
      </c>
      <c r="BD19" s="153" cm="1">
        <f t="array" ref="BD19">IF(OR(BD$4=0, $G19&lt;&gt; $G$7, $E19=0), 'I&amp;E Monthly'!BD19, CHOOSE(Timeline!BD$30,$J19,$K19,$L19 )*INDEX('I&amp;E Profiles'!BD$96:BD$180,$I19))</f>
        <v>1171.1100000000001</v>
      </c>
      <c r="BE19" s="153" cm="1">
        <f t="array" ref="BE19">IF(OR(BE$4=0, $G19&lt;&gt; $G$7, $E19=0), 'I&amp;E Monthly'!BE19, CHOOSE(Timeline!BE$30,$J19,$K19,$L19 )*INDEX('I&amp;E Profiles'!BE$96:BE$180,$I19))</f>
        <v>1086.6500000000001</v>
      </c>
      <c r="BF19" s="153" cm="1">
        <f t="array" ref="BF19">IF(OR(BF$4=0, $G19&lt;&gt; $G$7, $E19=0), 'I&amp;E Monthly'!BF19, CHOOSE(Timeline!BF$30,$J19,$K19,$L19 )*INDEX('I&amp;E Profiles'!BF$96:BF$180,$I19))</f>
        <v>1078.4100000000001</v>
      </c>
      <c r="BG19" s="153" cm="1">
        <f t="array" ref="BG19">IF(OR(BG$4=0, $G19&lt;&gt; $G$7, $E19=0), 'I&amp;E Monthly'!BG19, CHOOSE(Timeline!BG$30,$J19,$K19,$L19 )*INDEX('I&amp;E Profiles'!BG$96:BG$180,$I19))</f>
        <v>2625.4700000000003</v>
      </c>
      <c r="BH19" s="153" cm="1">
        <f t="array" ref="BH19">IF(OR(BH$4=0, $G19&lt;&gt; $G$7, $E19=0), 'I&amp;E Monthly'!BH19, CHOOSE(Timeline!BH$30,$J19,$K19,$L19 )*INDEX('I&amp;E Profiles'!BH$96:BH$180,$I19))</f>
        <v>2424.62</v>
      </c>
      <c r="BI19" s="153" cm="1">
        <f t="array" ref="BI19">IF(OR(BI$4=0, $G19&lt;&gt; $G$7, $E19=0), 'I&amp;E Monthly'!BI19, CHOOSE(Timeline!BI$30,$J19,$K19,$L19 )*INDEX('I&amp;E Profiles'!BI$96:BI$180,$I19))</f>
        <v>2006.44</v>
      </c>
      <c r="BJ19" s="153" cm="1">
        <f t="array" ref="BJ19">IF(OR(BJ$4=0, $G19&lt;&gt; $G$7, $E19=0), 'I&amp;E Monthly'!BJ19, CHOOSE(Timeline!BJ$30,$J19,$K19,$L19 )*INDEX('I&amp;E Profiles'!BJ$96:BJ$180,$I19))</f>
        <v>1187.5899999999999</v>
      </c>
      <c r="BK19" s="335"/>
      <c r="BL19" s="13">
        <f t="shared" ref="BL19:BL27" si="14">V19</f>
        <v>0</v>
      </c>
      <c r="BM19" s="153">
        <f t="shared" ref="BM19:BO27" si="15">SUMIFS($AA19:$BJ19, $AA$3:$BJ$3,BM$3)</f>
        <v>19245</v>
      </c>
      <c r="BN19" s="153">
        <f t="shared" si="15"/>
        <v>20295</v>
      </c>
      <c r="BO19" s="153">
        <f t="shared" si="15"/>
        <v>20903.849999999999</v>
      </c>
      <c r="BP19" s="13">
        <f>'I&amp;E Monthly'!BP19</f>
        <v>0</v>
      </c>
      <c r="BQ19" s="13">
        <f>'I&amp;E Monthly'!BQ19</f>
        <v>0</v>
      </c>
      <c r="BR19" s="13">
        <f>'I&amp;E Monthly'!BR19</f>
        <v>0</v>
      </c>
      <c r="BS19" s="13">
        <f>'I&amp;E Monthly'!BS19</f>
        <v>0</v>
      </c>
      <c r="BT19" s="13">
        <f>'I&amp;E Monthly'!BT19</f>
        <v>0</v>
      </c>
      <c r="BU19" s="13">
        <f>'I&amp;E Monthly'!BU19</f>
        <v>0</v>
      </c>
      <c r="BV19" s="13">
        <f>'I&amp;E Monthly'!BV19</f>
        <v>0</v>
      </c>
      <c r="BW19" s="13">
        <f>'I&amp;E Monthly'!BW19</f>
        <v>0</v>
      </c>
      <c r="BX19" s="335"/>
      <c r="BY19" s="12"/>
      <c r="BZ19" s="363">
        <f t="shared" ref="BZ19:BZ29" ca="1" si="16">IF(MIN($V19:$BW19)&lt;0, 1, 0)*$I$7</f>
        <v>0</v>
      </c>
      <c r="CA19" s="12"/>
      <c r="CB19" s="7">
        <f t="shared" ref="CB19:CB27" si="17">IF(AND($G19=$G$7,$E19=""), 1, 0)</f>
        <v>0</v>
      </c>
      <c r="CC19" s="188" cm="1">
        <f t="array" ref="CC19">IF(E19="",0, IF(_xlfn.IFNA(INDEX('I&amp;E Profiles'!$D$96:$D$180, $I19), "N/A")="N/A", 1, 0))</f>
        <v>0</v>
      </c>
      <c r="CD19" s="7">
        <f t="shared" ref="CD19:CD29" si="18">IF(SUM($CH19:$CJ19)=0, 0, 1)</f>
        <v>0</v>
      </c>
      <c r="CE19" s="7">
        <f t="shared" ref="CE19:CE29" si="19">IF(SUM($CK19:$CM19)=0, 0, 1)</f>
        <v>0</v>
      </c>
      <c r="CF19" s="7">
        <f t="shared" ref="CF19:CF29" si="20">IF(CN19=0, 0, 1)</f>
        <v>0</v>
      </c>
      <c r="CG19" s="12"/>
      <c r="CH19" s="352">
        <f t="shared" ref="CH19:CH29" si="21">IF($G19=$G$7, ROUND(W19-SUMIFS($AA19:$BJ19, $AA$3:$BJ$3, W$3), rounding), 0)</f>
        <v>0</v>
      </c>
      <c r="CI19" s="352">
        <f t="shared" ref="CI19:CI29" si="22">IF($G19=$G$7, ROUND(X19-SUMIFS($AA19:$BJ19, $AA$3:$BJ$3, X$3), rounding), 0)</f>
        <v>0</v>
      </c>
      <c r="CJ19" s="352">
        <f t="shared" ref="CJ19:CJ29" si="23">IF($G19=$G$7, ROUND(Y19-SUMIFS($AA19:$BJ19, $AA$3:$BJ$3, Y$3), rounding), 0)</f>
        <v>0</v>
      </c>
      <c r="CK19" s="352">
        <f t="shared" ref="CK19:CK29" si="24">ROUND($BM19-SUMIFS($AA19:$BJ19, $AA$3:$BJ$3, $BM$3), rounding)</f>
        <v>0</v>
      </c>
      <c r="CL19" s="352">
        <f t="shared" ref="CL19:CL29" si="25">ROUND($BN19-SUMIFS($AA19:$BJ19, $AA$3:$BJ$3, $BN$3), rounding)</f>
        <v>0</v>
      </c>
      <c r="CM19" s="352">
        <f t="shared" ref="CM19:CM29" si="26">ROUND($BO19-SUMIFS($AA19:$BJ19, $AA$3:$BJ$3, $BO$3), rounding)</f>
        <v>0</v>
      </c>
      <c r="CN19" s="352">
        <f t="shared" ref="CN19:CN29" si="27">ROUND($V19-$BL19, rounding)</f>
        <v>0</v>
      </c>
      <c r="EX19" s="10" t="str">
        <f t="shared" si="1"/>
        <v>ESFA 16-19 programme funding</v>
      </c>
    </row>
    <row r="20" spans="1:154" ht="30.75" x14ac:dyDescent="0.3">
      <c r="A20" s="362" cm="1">
        <f t="array" aca="1" ref="A20" ca="1">HYPERLINK(CONCATENATE("#",CELL("address",IF(SUM($CA20:$CG20)=0,A20,INDEX($CA20:$CG20,MATCH(1,$CA20:$CG20,0))))),SUM($CA20:$CG20))</f>
        <v>0</v>
      </c>
      <c r="B20" s="105" t="s">
        <v>335</v>
      </c>
      <c r="C20" s="343" t="s">
        <v>430</v>
      </c>
      <c r="D20" s="194" t="s">
        <v>426</v>
      </c>
      <c r="E20" s="147"/>
      <c r="F20" s="98" t="str" cm="1">
        <f t="array" aca="1" ref="F20" ca="1">IF(E20="", "", HYPERLINK(CONCATENATE("#",CELL("address",INDEX('I&amp;E Profiles'!$D$9:$D$93,'I&amp;E Annual'!I20))),E20))</f>
        <v/>
      </c>
      <c r="G20" s="147" t="s">
        <v>211</v>
      </c>
      <c r="H20" s="335" t="s">
        <v>8</v>
      </c>
      <c r="I20" s="350" t="str">
        <f>IF(E20="", "", MATCH(E20, 'I&amp;E Profiles'!$D$96:$D$180,0))</f>
        <v/>
      </c>
      <c r="J20" s="215">
        <f>IF($G20=$G$7, W20,'I&amp;E Monthly'!W20)-SUMIFS('I&amp;E Monthly'!$AA20:$BJ20, 'I&amp;E Monthly'!$AA$3:$BJ$3, 'I&amp;E Annual'!W$3, 'I&amp;E Monthly'!$AA$4:$BJ$4, 0)</f>
        <v>57</v>
      </c>
      <c r="K20" s="215">
        <f>IF($G20=$G$7, X20,'I&amp;E Monthly'!X20)-SUMIFS('I&amp;E Monthly'!$AA20:$BJ20, 'I&amp;E Monthly'!$AA$3:$BJ$3, 'I&amp;E Annual'!X$3, 'I&amp;E Monthly'!$AA$4:$BJ$4, 0)</f>
        <v>1001</v>
      </c>
      <c r="L20" s="215">
        <f>IF($G20=$G$7, Y20,'I&amp;E Monthly'!Y20)-SUMIFS('I&amp;E Monthly'!$AA20:$BJ20, 'I&amp;E Monthly'!$AA$3:$BJ$3, 'I&amp;E Annual'!Y$3, 'I&amp;E Monthly'!$AA$4:$BJ$4, 0)</f>
        <v>1001</v>
      </c>
      <c r="M20" s="335"/>
      <c r="N20" s="335"/>
      <c r="O20" s="335"/>
      <c r="P20" s="335"/>
      <c r="Q20" s="2"/>
      <c r="R20" s="335"/>
      <c r="S20" s="335"/>
      <c r="T20" s="335"/>
      <c r="U20" s="335"/>
      <c r="V20" s="201">
        <f>'I&amp;E Monthly'!V20</f>
        <v>0</v>
      </c>
      <c r="W20" s="372"/>
      <c r="X20" s="198"/>
      <c r="Y20" s="198"/>
      <c r="Z20" s="335"/>
      <c r="AA20" s="153" cm="1">
        <f t="array" ref="AA20">IF(OR(AA$4=0, $G20&lt;&gt; $G$7, $E20=0), 'I&amp;E Monthly'!AA20, CHOOSE(Timeline!AA$30,$J20,$K20,$L20 )*INDEX('I&amp;E Profiles'!AA$96:AA$180,$I20))</f>
        <v>75</v>
      </c>
      <c r="AB20" s="153" cm="1">
        <f t="array" ref="AB20">IF(OR(AB$4=0, $G20&lt;&gt; $G$7, $E20=0), 'I&amp;E Monthly'!AB20, CHOOSE(Timeline!AB$30,$J20,$K20,$L20 )*INDEX('I&amp;E Profiles'!AB$96:AB$180,$I20))</f>
        <v>56</v>
      </c>
      <c r="AC20" s="153" cm="1">
        <f t="array" ref="AC20">IF(OR(AC$4=0, $G20&lt;&gt; $G$7, $E20=0), 'I&amp;E Monthly'!AC20, CHOOSE(Timeline!AC$30,$J20,$K20,$L20 )*INDEX('I&amp;E Profiles'!AC$96:AC$180,$I20))</f>
        <v>137</v>
      </c>
      <c r="AD20" s="153" cm="1">
        <f t="array" ref="AD20">IF(OR(AD$4=0, $G20&lt;&gt; $G$7, $E20=0), 'I&amp;E Monthly'!AD20, CHOOSE(Timeline!AD$30,$J20,$K20,$L20 )*INDEX('I&amp;E Profiles'!AD$96:AD$180,$I20))</f>
        <v>204</v>
      </c>
      <c r="AE20" s="153" cm="1">
        <f t="array" ref="AE20">IF(OR(AE$4=0, $G20&lt;&gt; $G$7, $E20=0), 'I&amp;E Monthly'!AE20, CHOOSE(Timeline!AE$30,$J20,$K20,$L20 )*INDEX('I&amp;E Profiles'!AE$96:AE$180,$I20))</f>
        <v>56</v>
      </c>
      <c r="AF20" s="153" cm="1">
        <f t="array" ref="AF20">IF(OR(AF$4=0, $G20&lt;&gt; $G$7, $E20=0), 'I&amp;E Monthly'!AF20, CHOOSE(Timeline!AF$30,$J20,$K20,$L20 )*INDEX('I&amp;E Profiles'!AF$96:AF$180,$I20))</f>
        <v>56</v>
      </c>
      <c r="AG20" s="153" cm="1">
        <f t="array" ref="AG20">IF(OR(AG$4=0, $G20&lt;&gt; $G$7, $E20=0), 'I&amp;E Monthly'!AG20, CHOOSE(Timeline!AG$30,$J20,$K20,$L20 )*INDEX('I&amp;E Profiles'!AG$96:AG$180,$I20))</f>
        <v>52</v>
      </c>
      <c r="AH20" s="153" cm="1">
        <f t="array" ref="AH20">IF(OR(AH$4=0, $G20&lt;&gt; $G$7, $E20=0), 'I&amp;E Monthly'!AH20, CHOOSE(Timeline!AH$30,$J20,$K20,$L20 )*INDEX('I&amp;E Profiles'!AH$96:AH$180,$I20))</f>
        <v>52</v>
      </c>
      <c r="AI20" s="153" cm="1">
        <f t="array" ref="AI20">IF(OR(AI$4=0, $G20&lt;&gt; $G$7, $E20=0), 'I&amp;E Monthly'!AI20, CHOOSE(Timeline!AI$30,$J20,$K20,$L20 )*INDEX('I&amp;E Profiles'!AI$96:AI$180,$I20))</f>
        <v>127</v>
      </c>
      <c r="AJ20" s="153" cm="1">
        <f t="array" ref="AJ20">IF(OR(AJ$4=0, $G20&lt;&gt; $G$7, $E20=0), 'I&amp;E Monthly'!AJ20, CHOOSE(Timeline!AJ$30,$J20,$K20,$L20 )*INDEX('I&amp;E Profiles'!AJ$96:AJ$180,$I20))</f>
        <v>157</v>
      </c>
      <c r="AK20" s="153" cm="1">
        <f t="array" ref="AK20">IF(OR(AK$4=0, $G20&lt;&gt; $G$7, $E20=0), 'I&amp;E Monthly'!AK20, CHOOSE(Timeline!AK$30,$J20,$K20,$L20 )*INDEX('I&amp;E Profiles'!AK$96:AK$180,$I20))</f>
        <v>96</v>
      </c>
      <c r="AL20" s="153" cm="1">
        <f t="array" ref="AL20">IF(OR(AL$4=0, $G20&lt;&gt; $G$7, $E20=0), 'I&amp;E Monthly'!AL20, CHOOSE(Timeline!AL$30,$J20,$K20,$L20 )*INDEX('I&amp;E Profiles'!AL$96:AL$180,$I20))</f>
        <v>57</v>
      </c>
      <c r="AM20" s="153" cm="1">
        <f t="array" ref="AM20">IF(OR(AM$4=0, $G20&lt;&gt; $G$7, $E20=0), 'I&amp;E Monthly'!AM20, CHOOSE(Timeline!AM$30,$J20,$K20,$L20 )*INDEX('I&amp;E Profiles'!AM$96:AM$180,$I20))</f>
        <v>127</v>
      </c>
      <c r="AN20" s="153" cm="1">
        <f t="array" ref="AN20">IF(OR(AN$4=0, $G20&lt;&gt; $G$7, $E20=0), 'I&amp;E Monthly'!AN20, CHOOSE(Timeline!AN$30,$J20,$K20,$L20 )*INDEX('I&amp;E Profiles'!AN$96:AN$180,$I20))</f>
        <v>95</v>
      </c>
      <c r="AO20" s="153" cm="1">
        <f t="array" ref="AO20">IF(OR(AO$4=0, $G20&lt;&gt; $G$7, $E20=0), 'I&amp;E Monthly'!AO20, CHOOSE(Timeline!AO$30,$J20,$K20,$L20 )*INDEX('I&amp;E Profiles'!AO$96:AO$180,$I20))</f>
        <v>95</v>
      </c>
      <c r="AP20" s="153" cm="1">
        <f t="array" ref="AP20">IF(OR(AP$4=0, $G20&lt;&gt; $G$7, $E20=0), 'I&amp;E Monthly'!AP20, CHOOSE(Timeline!AP$30,$J20,$K20,$L20 )*INDEX('I&amp;E Profiles'!AP$96:AP$180,$I20))</f>
        <v>75</v>
      </c>
      <c r="AQ20" s="153" cm="1">
        <f t="array" ref="AQ20">IF(OR(AQ$4=0, $G20&lt;&gt; $G$7, $E20=0), 'I&amp;E Monthly'!AQ20, CHOOSE(Timeline!AQ$30,$J20,$K20,$L20 )*INDEX('I&amp;E Profiles'!AQ$96:AQ$180,$I20))</f>
        <v>56</v>
      </c>
      <c r="AR20" s="153" cm="1">
        <f t="array" ref="AR20">IF(OR(AR$4=0, $G20&lt;&gt; $G$7, $E20=0), 'I&amp;E Monthly'!AR20, CHOOSE(Timeline!AR$30,$J20,$K20,$L20 )*INDEX('I&amp;E Profiles'!AR$96:AR$180,$I20))</f>
        <v>56</v>
      </c>
      <c r="AS20" s="153" cm="1">
        <f t="array" ref="AS20">IF(OR(AS$4=0, $G20&lt;&gt; $G$7, $E20=0), 'I&amp;E Monthly'!AS20, CHOOSE(Timeline!AS$30,$J20,$K20,$L20 )*INDEX('I&amp;E Profiles'!AS$96:AS$180,$I20))</f>
        <v>51</v>
      </c>
      <c r="AT20" s="153" cm="1">
        <f t="array" ref="AT20">IF(OR(AT$4=0, $G20&lt;&gt; $G$7, $E20=0), 'I&amp;E Monthly'!AT20, CHOOSE(Timeline!AT$30,$J20,$K20,$L20 )*INDEX('I&amp;E Profiles'!AT$96:AT$180,$I20))</f>
        <v>51</v>
      </c>
      <c r="AU20" s="153" cm="1">
        <f t="array" ref="AU20">IF(OR(AU$4=0, $G20&lt;&gt; $G$7, $E20=0), 'I&amp;E Monthly'!AU20, CHOOSE(Timeline!AU$30,$J20,$K20,$L20 )*INDEX('I&amp;E Profiles'!AU$96:AU$180,$I20))</f>
        <v>126</v>
      </c>
      <c r="AV20" s="153" cm="1">
        <f t="array" ref="AV20">IF(OR(AV$4=0, $G20&lt;&gt; $G$7, $E20=0), 'I&amp;E Monthly'!AV20, CHOOSE(Timeline!AV$30,$J20,$K20,$L20 )*INDEX('I&amp;E Profiles'!AV$96:AV$180,$I20))</f>
        <v>116</v>
      </c>
      <c r="AW20" s="153" cm="1">
        <f t="array" ref="AW20">IF(OR(AW$4=0, $G20&lt;&gt; $G$7, $E20=0), 'I&amp;E Monthly'!AW20, CHOOSE(Timeline!AW$30,$J20,$K20,$L20 )*INDEX('I&amp;E Profiles'!AW$96:AW$180,$I20))</f>
        <v>96</v>
      </c>
      <c r="AX20" s="153" cm="1">
        <f t="array" ref="AX20">IF(OR(AX$4=0, $G20&lt;&gt; $G$7, $E20=0), 'I&amp;E Monthly'!AX20, CHOOSE(Timeline!AX$30,$J20,$K20,$L20 )*INDEX('I&amp;E Profiles'!AX$96:AX$180,$I20))</f>
        <v>57</v>
      </c>
      <c r="AY20" s="153" cm="1">
        <f t="array" ref="AY20">IF(OR(AY$4=0, $G20&lt;&gt; $G$7, $E20=0), 'I&amp;E Monthly'!AY20, CHOOSE(Timeline!AY$30,$J20,$K20,$L20 )*INDEX('I&amp;E Profiles'!AY$96:AY$180,$I20))</f>
        <v>127</v>
      </c>
      <c r="AZ20" s="153" cm="1">
        <f t="array" ref="AZ20">IF(OR(AZ$4=0, $G20&lt;&gt; $G$7, $E20=0), 'I&amp;E Monthly'!AZ20, CHOOSE(Timeline!AZ$30,$J20,$K20,$L20 )*INDEX('I&amp;E Profiles'!AZ$96:AZ$180,$I20))</f>
        <v>95</v>
      </c>
      <c r="BA20" s="153" cm="1">
        <f t="array" ref="BA20">IF(OR(BA$4=0, $G20&lt;&gt; $G$7, $E20=0), 'I&amp;E Monthly'!BA20, CHOOSE(Timeline!BA$30,$J20,$K20,$L20 )*INDEX('I&amp;E Profiles'!BA$96:BA$180,$I20))</f>
        <v>95</v>
      </c>
      <c r="BB20" s="153" cm="1">
        <f t="array" ref="BB20">IF(OR(BB$4=0, $G20&lt;&gt; $G$7, $E20=0), 'I&amp;E Monthly'!BB20, CHOOSE(Timeline!BB$30,$J20,$K20,$L20 )*INDEX('I&amp;E Profiles'!BB$96:BB$180,$I20))</f>
        <v>75</v>
      </c>
      <c r="BC20" s="153" cm="1">
        <f t="array" ref="BC20">IF(OR(BC$4=0, $G20&lt;&gt; $G$7, $E20=0), 'I&amp;E Monthly'!BC20, CHOOSE(Timeline!BC$30,$J20,$K20,$L20 )*INDEX('I&amp;E Profiles'!BC$96:BC$180,$I20))</f>
        <v>56</v>
      </c>
      <c r="BD20" s="153" cm="1">
        <f t="array" ref="BD20">IF(OR(BD$4=0, $G20&lt;&gt; $G$7, $E20=0), 'I&amp;E Monthly'!BD20, CHOOSE(Timeline!BD$30,$J20,$K20,$L20 )*INDEX('I&amp;E Profiles'!BD$96:BD$180,$I20))</f>
        <v>56</v>
      </c>
      <c r="BE20" s="153" cm="1">
        <f t="array" ref="BE20">IF(OR(BE$4=0, $G20&lt;&gt; $G$7, $E20=0), 'I&amp;E Monthly'!BE20, CHOOSE(Timeline!BE$30,$J20,$K20,$L20 )*INDEX('I&amp;E Profiles'!BE$96:BE$180,$I20))</f>
        <v>51</v>
      </c>
      <c r="BF20" s="153" cm="1">
        <f t="array" ref="BF20">IF(OR(BF$4=0, $G20&lt;&gt; $G$7, $E20=0), 'I&amp;E Monthly'!BF20, CHOOSE(Timeline!BF$30,$J20,$K20,$L20 )*INDEX('I&amp;E Profiles'!BF$96:BF$180,$I20))</f>
        <v>51</v>
      </c>
      <c r="BG20" s="153" cm="1">
        <f t="array" ref="BG20">IF(OR(BG$4=0, $G20&lt;&gt; $G$7, $E20=0), 'I&amp;E Monthly'!BG20, CHOOSE(Timeline!BG$30,$J20,$K20,$L20 )*INDEX('I&amp;E Profiles'!BG$96:BG$180,$I20))</f>
        <v>126</v>
      </c>
      <c r="BH20" s="153" cm="1">
        <f t="array" ref="BH20">IF(OR(BH$4=0, $G20&lt;&gt; $G$7, $E20=0), 'I&amp;E Monthly'!BH20, CHOOSE(Timeline!BH$30,$J20,$K20,$L20 )*INDEX('I&amp;E Profiles'!BH$96:BH$180,$I20))</f>
        <v>116</v>
      </c>
      <c r="BI20" s="153" cm="1">
        <f t="array" ref="BI20">IF(OR(BI$4=0, $G20&lt;&gt; $G$7, $E20=0), 'I&amp;E Monthly'!BI20, CHOOSE(Timeline!BI$30,$J20,$K20,$L20 )*INDEX('I&amp;E Profiles'!BI$96:BI$180,$I20))</f>
        <v>96</v>
      </c>
      <c r="BJ20" s="153" cm="1">
        <f t="array" ref="BJ20">IF(OR(BJ$4=0, $G20&lt;&gt; $G$7, $E20=0), 'I&amp;E Monthly'!BJ20, CHOOSE(Timeline!BJ$30,$J20,$K20,$L20 )*INDEX('I&amp;E Profiles'!BJ$96:BJ$180,$I20))</f>
        <v>57</v>
      </c>
      <c r="BK20" s="335"/>
      <c r="BL20" s="13">
        <f t="shared" si="14"/>
        <v>0</v>
      </c>
      <c r="BM20" s="153">
        <f t="shared" si="15"/>
        <v>1125</v>
      </c>
      <c r="BN20" s="153">
        <f t="shared" si="15"/>
        <v>1001</v>
      </c>
      <c r="BO20" s="153">
        <f t="shared" si="15"/>
        <v>1001</v>
      </c>
      <c r="BP20" s="13">
        <f>'I&amp;E Monthly'!BP20</f>
        <v>0</v>
      </c>
      <c r="BQ20" s="13">
        <f>'I&amp;E Monthly'!BQ20</f>
        <v>0</v>
      </c>
      <c r="BR20" s="13">
        <f>'I&amp;E Monthly'!BR20</f>
        <v>0</v>
      </c>
      <c r="BS20" s="13">
        <f>'I&amp;E Monthly'!BS20</f>
        <v>0</v>
      </c>
      <c r="BT20" s="13">
        <f>'I&amp;E Monthly'!BT20</f>
        <v>0</v>
      </c>
      <c r="BU20" s="13">
        <f>'I&amp;E Monthly'!BU20</f>
        <v>0</v>
      </c>
      <c r="BV20" s="13">
        <f>'I&amp;E Monthly'!BV20</f>
        <v>0</v>
      </c>
      <c r="BW20" s="13">
        <f>'I&amp;E Monthly'!BW20</f>
        <v>0</v>
      </c>
      <c r="BX20" s="335"/>
      <c r="BY20" s="12"/>
      <c r="BZ20" s="363">
        <f t="shared" ca="1" si="16"/>
        <v>0</v>
      </c>
      <c r="CA20" s="12"/>
      <c r="CB20" s="7">
        <f t="shared" si="17"/>
        <v>0</v>
      </c>
      <c r="CC20" s="188" cm="1">
        <f t="array" ref="CC20">IF(E20="",0, IF(_xlfn.IFNA(INDEX('I&amp;E Profiles'!$D$96:$D$180, $I20), "N/A")="N/A", 1, 0))</f>
        <v>0</v>
      </c>
      <c r="CD20" s="7">
        <f t="shared" si="18"/>
        <v>0</v>
      </c>
      <c r="CE20" s="7">
        <f t="shared" si="19"/>
        <v>0</v>
      </c>
      <c r="CF20" s="7">
        <f t="shared" si="20"/>
        <v>0</v>
      </c>
      <c r="CG20" s="12"/>
      <c r="CH20" s="352">
        <f t="shared" si="21"/>
        <v>0</v>
      </c>
      <c r="CI20" s="352">
        <f t="shared" si="22"/>
        <v>0</v>
      </c>
      <c r="CJ20" s="352">
        <f t="shared" si="23"/>
        <v>0</v>
      </c>
      <c r="CK20" s="352">
        <f t="shared" si="24"/>
        <v>0</v>
      </c>
      <c r="CL20" s="352">
        <f t="shared" si="25"/>
        <v>0</v>
      </c>
      <c r="CM20" s="352">
        <f t="shared" si="26"/>
        <v>0</v>
      </c>
      <c r="CN20" s="352">
        <f t="shared" si="27"/>
        <v>0</v>
      </c>
      <c r="EX20" s="10" t="str">
        <f t="shared" si="1"/>
        <v>ESFA 16-19  other programme funding (exc. Bursaries)</v>
      </c>
    </row>
    <row r="21" spans="1:154" x14ac:dyDescent="0.25">
      <c r="A21" s="362" cm="1">
        <f t="array" aca="1" ref="A21" ca="1">HYPERLINK(CONCATENATE("#",CELL("address",IF(SUM($CA21:$CG21)=0,A21,INDEX($CA21:$CG21,MATCH(1,$CA21:$CG21,0))))),SUM($CA21:$CG21))</f>
        <v>0</v>
      </c>
      <c r="B21" s="329"/>
      <c r="C21" s="343" t="s">
        <v>431</v>
      </c>
      <c r="D21" s="194" t="s">
        <v>17</v>
      </c>
      <c r="E21" s="147"/>
      <c r="F21" s="98" t="str" cm="1">
        <f t="array" aca="1" ref="F21" ca="1">IF(E21="", "", HYPERLINK(CONCATENATE("#",CELL("address",INDEX('I&amp;E Profiles'!$D$9:$D$93,'I&amp;E Annual'!I21))),E21))</f>
        <v/>
      </c>
      <c r="G21" s="147" t="s">
        <v>211</v>
      </c>
      <c r="H21" s="335" t="s">
        <v>8</v>
      </c>
      <c r="I21" s="350" t="str">
        <f>IF(E21="", "", MATCH(E21, 'I&amp;E Profiles'!$D$96:$D$180,0))</f>
        <v/>
      </c>
      <c r="J21" s="215">
        <f>IF($G21=$G$7, W21,'I&amp;E Monthly'!W21)-SUMIFS('I&amp;E Monthly'!$AA21:$BJ21, 'I&amp;E Monthly'!$AA$3:$BJ$3, 'I&amp;E Annual'!W$3, 'I&amp;E Monthly'!$AA$4:$BJ$4, 0)</f>
        <v>42</v>
      </c>
      <c r="K21" s="215">
        <f>IF($G21=$G$7, X21,'I&amp;E Monthly'!X21)-SUMIFS('I&amp;E Monthly'!$AA21:$BJ21, 'I&amp;E Monthly'!$AA$3:$BJ$3, 'I&amp;E Annual'!X$3, 'I&amp;E Monthly'!$AA$4:$BJ$4, 0)</f>
        <v>900</v>
      </c>
      <c r="L21" s="215">
        <f>IF($G21=$G$7, Y21,'I&amp;E Monthly'!Y21)-SUMIFS('I&amp;E Monthly'!$AA21:$BJ21, 'I&amp;E Monthly'!$AA$3:$BJ$3, 'I&amp;E Annual'!Y$3, 'I&amp;E Monthly'!$AA$4:$BJ$4, 0)</f>
        <v>1050</v>
      </c>
      <c r="M21" s="335"/>
      <c r="N21" s="335"/>
      <c r="O21" s="335"/>
      <c r="P21" s="335"/>
      <c r="Q21" s="2"/>
      <c r="R21" s="335"/>
      <c r="S21" s="335"/>
      <c r="T21" s="335"/>
      <c r="U21" s="335"/>
      <c r="V21" s="201">
        <f>'I&amp;E Monthly'!V21</f>
        <v>0</v>
      </c>
      <c r="W21" s="354"/>
      <c r="X21" s="198"/>
      <c r="Y21" s="198"/>
      <c r="Z21" s="335"/>
      <c r="AA21" s="153" cm="1">
        <f t="array" ref="AA21">IF(OR(AA$4=0, $G21&lt;&gt; $G$7, $E21=0), 'I&amp;E Monthly'!AA21, CHOOSE(Timeline!AA$30,$J21,$K21,$L21 )*INDEX('I&amp;E Profiles'!AA$96:AA$180,$I21))</f>
        <v>94</v>
      </c>
      <c r="AB21" s="153" cm="1">
        <f t="array" ref="AB21">IF(OR(AB$4=0, $G21&lt;&gt; $G$7, $E21=0), 'I&amp;E Monthly'!AB21, CHOOSE(Timeline!AB$30,$J21,$K21,$L21 )*INDEX('I&amp;E Profiles'!AB$96:AB$180,$I21))</f>
        <v>71</v>
      </c>
      <c r="AC21" s="153" cm="1">
        <f t="array" ref="AC21">IF(OR(AC$4=0, $G21&lt;&gt; $G$7, $E21=0), 'I&amp;E Monthly'!AC21, CHOOSE(Timeline!AC$30,$J21,$K21,$L21 )*INDEX('I&amp;E Profiles'!AC$96:AC$180,$I21))</f>
        <v>72</v>
      </c>
      <c r="AD21" s="153" cm="1">
        <f t="array" ref="AD21">IF(OR(AD$4=0, $G21&lt;&gt; $G$7, $E21=0), 'I&amp;E Monthly'!AD21, CHOOSE(Timeline!AD$30,$J21,$K21,$L21 )*INDEX('I&amp;E Profiles'!AD$96:AD$180,$I21))</f>
        <v>56</v>
      </c>
      <c r="AE21" s="153" cm="1">
        <f t="array" ref="AE21">IF(OR(AE$4=0, $G21&lt;&gt; $G$7, $E21=0), 'I&amp;E Monthly'!AE21, CHOOSE(Timeline!AE$30,$J21,$K21,$L21 )*INDEX('I&amp;E Profiles'!AE$96:AE$180,$I21))</f>
        <v>42</v>
      </c>
      <c r="AF21" s="153" cm="1">
        <f t="array" ref="AF21">IF(OR(AF$4=0, $G21&lt;&gt; $G$7, $E21=0), 'I&amp;E Monthly'!AF21, CHOOSE(Timeline!AF$30,$J21,$K21,$L21 )*INDEX('I&amp;E Profiles'!AF$96:AF$180,$I21))</f>
        <v>42</v>
      </c>
      <c r="AG21" s="153" cm="1">
        <f t="array" ref="AG21">IF(OR(AG$4=0, $G21&lt;&gt; $G$7, $E21=0), 'I&amp;E Monthly'!AG21, CHOOSE(Timeline!AG$30,$J21,$K21,$L21 )*INDEX('I&amp;E Profiles'!AG$96:AG$180,$I21))</f>
        <v>39</v>
      </c>
      <c r="AH21" s="153" cm="1">
        <f t="array" ref="AH21">IF(OR(AH$4=0, $G21&lt;&gt; $G$7, $E21=0), 'I&amp;E Monthly'!AH21, CHOOSE(Timeline!AH$30,$J21,$K21,$L21 )*INDEX('I&amp;E Profiles'!AH$96:AH$180,$I21))</f>
        <v>39</v>
      </c>
      <c r="AI21" s="153" cm="1">
        <f t="array" ref="AI21">IF(OR(AI$4=0, $G21&lt;&gt; $G$7, $E21=0), 'I&amp;E Monthly'!AI21, CHOOSE(Timeline!AI$30,$J21,$K21,$L21 )*INDEX('I&amp;E Profiles'!AI$96:AI$180,$I21))</f>
        <v>94</v>
      </c>
      <c r="AJ21" s="153" cm="1">
        <f t="array" ref="AJ21">IF(OR(AJ$4=0, $G21&lt;&gt; $G$7, $E21=0), 'I&amp;E Monthly'!AJ21, CHOOSE(Timeline!AJ$30,$J21,$K21,$L21 )*INDEX('I&amp;E Profiles'!AJ$96:AJ$180,$I21))</f>
        <v>87</v>
      </c>
      <c r="AK21" s="153" cm="1">
        <f t="array" ref="AK21">IF(OR(AK$4=0, $G21&lt;&gt; $G$7, $E21=0), 'I&amp;E Monthly'!AK21, CHOOSE(Timeline!AK$30,$J21,$K21,$L21 )*INDEX('I&amp;E Profiles'!AK$96:AK$180,$I21))</f>
        <v>72</v>
      </c>
      <c r="AL21" s="153" cm="1">
        <f t="array" ref="AL21">IF(OR(AL$4=0, $G21&lt;&gt; $G$7, $E21=0), 'I&amp;E Monthly'!AL21, CHOOSE(Timeline!AL$30,$J21,$K21,$L21 )*INDEX('I&amp;E Profiles'!AL$96:AL$180,$I21))</f>
        <v>42</v>
      </c>
      <c r="AM21" s="153" cm="1">
        <f t="array" ref="AM21">IF(OR(AM$4=0, $G21&lt;&gt; $G$7, $E21=0), 'I&amp;E Monthly'!AM21, CHOOSE(Timeline!AM$30,$J21,$K21,$L21 )*INDEX('I&amp;E Profiles'!AM$96:AM$180,$I21))</f>
        <v>113</v>
      </c>
      <c r="AN21" s="153" cm="1">
        <f t="array" ref="AN21">IF(OR(AN$4=0, $G21&lt;&gt; $G$7, $E21=0), 'I&amp;E Monthly'!AN21, CHOOSE(Timeline!AN$30,$J21,$K21,$L21 )*INDEX('I&amp;E Profiles'!AN$96:AN$180,$I21))</f>
        <v>85</v>
      </c>
      <c r="AO21" s="153" cm="1">
        <f t="array" ref="AO21">IF(OR(AO$4=0, $G21&lt;&gt; $G$7, $E21=0), 'I&amp;E Monthly'!AO21, CHOOSE(Timeline!AO$30,$J21,$K21,$L21 )*INDEX('I&amp;E Profiles'!AO$96:AO$180,$I21))</f>
        <v>86</v>
      </c>
      <c r="AP21" s="153" cm="1">
        <f t="array" ref="AP21">IF(OR(AP$4=0, $G21&lt;&gt; $G$7, $E21=0), 'I&amp;E Monthly'!AP21, CHOOSE(Timeline!AP$30,$J21,$K21,$L21 )*INDEX('I&amp;E Profiles'!AP$96:AP$180,$I21))</f>
        <v>67</v>
      </c>
      <c r="AQ21" s="153" cm="1">
        <f t="array" ref="AQ21">IF(OR(AQ$4=0, $G21&lt;&gt; $G$7, $E21=0), 'I&amp;E Monthly'!AQ21, CHOOSE(Timeline!AQ$30,$J21,$K21,$L21 )*INDEX('I&amp;E Profiles'!AQ$96:AQ$180,$I21))</f>
        <v>51</v>
      </c>
      <c r="AR21" s="153" cm="1">
        <f t="array" ref="AR21">IF(OR(AR$4=0, $G21&lt;&gt; $G$7, $E21=0), 'I&amp;E Monthly'!AR21, CHOOSE(Timeline!AR$30,$J21,$K21,$L21 )*INDEX('I&amp;E Profiles'!AR$96:AR$180,$I21))</f>
        <v>51</v>
      </c>
      <c r="AS21" s="153" cm="1">
        <f t="array" ref="AS21">IF(OR(AS$4=0, $G21&lt;&gt; $G$7, $E21=0), 'I&amp;E Monthly'!AS21, CHOOSE(Timeline!AS$30,$J21,$K21,$L21 )*INDEX('I&amp;E Profiles'!AS$96:AS$180,$I21))</f>
        <v>47</v>
      </c>
      <c r="AT21" s="153" cm="1">
        <f t="array" ref="AT21">IF(OR(AT$4=0, $G21&lt;&gt; $G$7, $E21=0), 'I&amp;E Monthly'!AT21, CHOOSE(Timeline!AT$30,$J21,$K21,$L21 )*INDEX('I&amp;E Profiles'!AT$96:AT$180,$I21))</f>
        <v>46</v>
      </c>
      <c r="AU21" s="153" cm="1">
        <f t="array" ref="AU21">IF(OR(AU$4=0, $G21&lt;&gt; $G$7, $E21=0), 'I&amp;E Monthly'!AU21, CHOOSE(Timeline!AU$30,$J21,$K21,$L21 )*INDEX('I&amp;E Profiles'!AU$96:AU$180,$I21))</f>
        <v>113</v>
      </c>
      <c r="AV21" s="153" cm="1">
        <f t="array" ref="AV21">IF(OR(AV$4=0, $G21&lt;&gt; $G$7, $E21=0), 'I&amp;E Monthly'!AV21, CHOOSE(Timeline!AV$30,$J21,$K21,$L21 )*INDEX('I&amp;E Profiles'!AV$96:AV$180,$I21))</f>
        <v>104</v>
      </c>
      <c r="AW21" s="153" cm="1">
        <f t="array" ref="AW21">IF(OR(AW$4=0, $G21&lt;&gt; $G$7, $E21=0), 'I&amp;E Monthly'!AW21, CHOOSE(Timeline!AW$30,$J21,$K21,$L21 )*INDEX('I&amp;E Profiles'!AW$96:AW$180,$I21))</f>
        <v>86</v>
      </c>
      <c r="AX21" s="153" cm="1">
        <f t="array" ref="AX21">IF(OR(AX$4=0, $G21&lt;&gt; $G$7, $E21=0), 'I&amp;E Monthly'!AX21, CHOOSE(Timeline!AX$30,$J21,$K21,$L21 )*INDEX('I&amp;E Profiles'!AX$96:AX$180,$I21))</f>
        <v>51</v>
      </c>
      <c r="AY21" s="153" cm="1">
        <f t="array" ref="AY21">IF(OR(AY$4=0, $G21&lt;&gt; $G$7, $E21=0), 'I&amp;E Monthly'!AY21, CHOOSE(Timeline!AY$30,$J21,$K21,$L21 )*INDEX('I&amp;E Profiles'!AY$96:AY$180,$I21))</f>
        <v>131.83333333333334</v>
      </c>
      <c r="AZ21" s="153" cm="1">
        <f t="array" ref="AZ21">IF(OR(AZ$4=0, $G21&lt;&gt; $G$7, $E21=0), 'I&amp;E Monthly'!AZ21, CHOOSE(Timeline!AZ$30,$J21,$K21,$L21 )*INDEX('I&amp;E Profiles'!AZ$96:AZ$180,$I21))</f>
        <v>99.166666666666657</v>
      </c>
      <c r="BA21" s="153" cm="1">
        <f t="array" ref="BA21">IF(OR(BA$4=0, $G21&lt;&gt; $G$7, $E21=0), 'I&amp;E Monthly'!BA21, CHOOSE(Timeline!BA$30,$J21,$K21,$L21 )*INDEX('I&amp;E Profiles'!BA$96:BA$180,$I21))</f>
        <v>100.33333333333334</v>
      </c>
      <c r="BB21" s="153" cm="1">
        <f t="array" ref="BB21">IF(OR(BB$4=0, $G21&lt;&gt; $G$7, $E21=0), 'I&amp;E Monthly'!BB21, CHOOSE(Timeline!BB$30,$J21,$K21,$L21 )*INDEX('I&amp;E Profiles'!BB$96:BB$180,$I21))</f>
        <v>78.166666666666657</v>
      </c>
      <c r="BC21" s="153" cm="1">
        <f t="array" ref="BC21">IF(OR(BC$4=0, $G21&lt;&gt; $G$7, $E21=0), 'I&amp;E Monthly'!BC21, CHOOSE(Timeline!BC$30,$J21,$K21,$L21 )*INDEX('I&amp;E Profiles'!BC$96:BC$180,$I21))</f>
        <v>59.5</v>
      </c>
      <c r="BD21" s="153" cm="1">
        <f t="array" ref="BD21">IF(OR(BD$4=0, $G21&lt;&gt; $G$7, $E21=0), 'I&amp;E Monthly'!BD21, CHOOSE(Timeline!BD$30,$J21,$K21,$L21 )*INDEX('I&amp;E Profiles'!BD$96:BD$180,$I21))</f>
        <v>59.5</v>
      </c>
      <c r="BE21" s="153" cm="1">
        <f t="array" ref="BE21">IF(OR(BE$4=0, $G21&lt;&gt; $G$7, $E21=0), 'I&amp;E Monthly'!BE21, CHOOSE(Timeline!BE$30,$J21,$K21,$L21 )*INDEX('I&amp;E Profiles'!BE$96:BE$180,$I21))</f>
        <v>54.833333333333336</v>
      </c>
      <c r="BF21" s="153" cm="1">
        <f t="array" ref="BF21">IF(OR(BF$4=0, $G21&lt;&gt; $G$7, $E21=0), 'I&amp;E Monthly'!BF21, CHOOSE(Timeline!BF$30,$J21,$K21,$L21 )*INDEX('I&amp;E Profiles'!BF$96:BF$180,$I21))</f>
        <v>53.666666666666671</v>
      </c>
      <c r="BG21" s="153" cm="1">
        <f t="array" ref="BG21">IF(OR(BG$4=0, $G21&lt;&gt; $G$7, $E21=0), 'I&amp;E Monthly'!BG21, CHOOSE(Timeline!BG$30,$J21,$K21,$L21 )*INDEX('I&amp;E Profiles'!BG$96:BG$180,$I21))</f>
        <v>131.83333333333334</v>
      </c>
      <c r="BH21" s="153" cm="1">
        <f t="array" ref="BH21">IF(OR(BH$4=0, $G21&lt;&gt; $G$7, $E21=0), 'I&amp;E Monthly'!BH21, CHOOSE(Timeline!BH$30,$J21,$K21,$L21 )*INDEX('I&amp;E Profiles'!BH$96:BH$180,$I21))</f>
        <v>121.33333333333333</v>
      </c>
      <c r="BI21" s="153" cm="1">
        <f t="array" ref="BI21">IF(OR(BI$4=0, $G21&lt;&gt; $G$7, $E21=0), 'I&amp;E Monthly'!BI21, CHOOSE(Timeline!BI$30,$J21,$K21,$L21 )*INDEX('I&amp;E Profiles'!BI$96:BI$180,$I21))</f>
        <v>100.33333333333334</v>
      </c>
      <c r="BJ21" s="153" cm="1">
        <f t="array" ref="BJ21">IF(OR(BJ$4=0, $G21&lt;&gt; $G$7, $E21=0), 'I&amp;E Monthly'!BJ21, CHOOSE(Timeline!BJ$30,$J21,$K21,$L21 )*INDEX('I&amp;E Profiles'!BJ$96:BJ$180,$I21))</f>
        <v>59.5</v>
      </c>
      <c r="BK21" s="335"/>
      <c r="BL21" s="13">
        <f t="shared" si="14"/>
        <v>0</v>
      </c>
      <c r="BM21" s="153">
        <f t="shared" si="15"/>
        <v>750</v>
      </c>
      <c r="BN21" s="153">
        <f t="shared" si="15"/>
        <v>900</v>
      </c>
      <c r="BO21" s="153">
        <f t="shared" si="15"/>
        <v>1050</v>
      </c>
      <c r="BP21" s="13">
        <f>'I&amp;E Monthly'!BP21</f>
        <v>0</v>
      </c>
      <c r="BQ21" s="13">
        <f>'I&amp;E Monthly'!BQ21</f>
        <v>0</v>
      </c>
      <c r="BR21" s="13">
        <f>'I&amp;E Monthly'!BR21</f>
        <v>0</v>
      </c>
      <c r="BS21" s="13">
        <f>'I&amp;E Monthly'!BS21</f>
        <v>0</v>
      </c>
      <c r="BT21" s="13">
        <f>'I&amp;E Monthly'!BT21</f>
        <v>0</v>
      </c>
      <c r="BU21" s="13">
        <f>'I&amp;E Monthly'!BU21</f>
        <v>0</v>
      </c>
      <c r="BV21" s="13">
        <f>'I&amp;E Monthly'!BV21</f>
        <v>0</v>
      </c>
      <c r="BW21" s="13">
        <f>'I&amp;E Monthly'!BW21</f>
        <v>0</v>
      </c>
      <c r="BX21" s="335"/>
      <c r="BY21" s="12"/>
      <c r="BZ21" s="363">
        <f t="shared" ca="1" si="16"/>
        <v>0</v>
      </c>
      <c r="CA21" s="12"/>
      <c r="CB21" s="7">
        <f t="shared" si="17"/>
        <v>0</v>
      </c>
      <c r="CC21" s="188" cm="1">
        <f t="array" ref="CC21">IF(E21="",0, IF(_xlfn.IFNA(INDEX('I&amp;E Profiles'!$D$96:$D$180, $I21), "N/A")="N/A", 1, 0))</f>
        <v>0</v>
      </c>
      <c r="CD21" s="7">
        <f t="shared" si="18"/>
        <v>0</v>
      </c>
      <c r="CE21" s="7">
        <f t="shared" si="19"/>
        <v>0</v>
      </c>
      <c r="CF21" s="7">
        <f t="shared" si="20"/>
        <v>0</v>
      </c>
      <c r="CG21" s="12"/>
      <c r="CH21" s="352">
        <f t="shared" si="21"/>
        <v>0</v>
      </c>
      <c r="CI21" s="352">
        <f t="shared" si="22"/>
        <v>0</v>
      </c>
      <c r="CJ21" s="352">
        <f t="shared" si="23"/>
        <v>0</v>
      </c>
      <c r="CK21" s="352">
        <f t="shared" si="24"/>
        <v>0</v>
      </c>
      <c r="CL21" s="352">
        <f t="shared" si="25"/>
        <v>0</v>
      </c>
      <c r="CM21" s="352">
        <f t="shared" si="26"/>
        <v>0</v>
      </c>
      <c r="CN21" s="352">
        <f t="shared" si="27"/>
        <v>0</v>
      </c>
      <c r="EX21" s="10" t="str">
        <f t="shared" si="1"/>
        <v>ESFA High Needs - element 2</v>
      </c>
    </row>
    <row r="22" spans="1:154" x14ac:dyDescent="0.25">
      <c r="A22" s="362" cm="1">
        <f t="array" aca="1" ref="A22" ca="1">HYPERLINK(CONCATENATE("#",CELL("address",IF(SUM($CA22:$CG22)=0,A22,INDEX($CA22:$CG22,MATCH(1,$CA22:$CG22,0))))),SUM($CA22:$CG22))</f>
        <v>0</v>
      </c>
      <c r="B22" s="335"/>
      <c r="C22" s="343" t="s">
        <v>432</v>
      </c>
      <c r="D22" s="194" t="s">
        <v>18</v>
      </c>
      <c r="E22" s="147"/>
      <c r="F22" s="98" t="str" cm="1">
        <f t="array" aca="1" ref="F22" ca="1">IF(E22="", "", HYPERLINK(CONCATENATE("#",CELL("address",INDEX('I&amp;E Profiles'!$D$9:$D$93,'I&amp;E Annual'!I22))),E22))</f>
        <v/>
      </c>
      <c r="G22" s="147" t="s">
        <v>211</v>
      </c>
      <c r="H22" s="67" t="s">
        <v>8</v>
      </c>
      <c r="I22" s="350" t="str">
        <f>IF(E22="", "", MATCH(E22, 'I&amp;E Profiles'!$D$96:$D$180,0))</f>
        <v/>
      </c>
      <c r="J22" s="215">
        <f>IF($G22=$G$7, W22,'I&amp;E Monthly'!W22)-SUMIFS('I&amp;E Monthly'!$AA22:$BJ22, 'I&amp;E Monthly'!$AA$3:$BJ$3, 'I&amp;E Annual'!W$3, 'I&amp;E Monthly'!$AA$4:$BJ$4, 0)</f>
        <v>10</v>
      </c>
      <c r="K22" s="215">
        <f>IF($G22=$G$7, X22,'I&amp;E Monthly'!X22)-SUMIFS('I&amp;E Monthly'!$AA22:$BJ22, 'I&amp;E Monthly'!$AA$3:$BJ$3, 'I&amp;E Annual'!X$3, 'I&amp;E Monthly'!$AA$4:$BJ$4, 0)</f>
        <v>140</v>
      </c>
      <c r="L22" s="215">
        <f>IF($G22=$G$7, Y22,'I&amp;E Monthly'!Y22)-SUMIFS('I&amp;E Monthly'!$AA22:$BJ22, 'I&amp;E Monthly'!$AA$3:$BJ$3, 'I&amp;E Annual'!Y$3, 'I&amp;E Monthly'!$AA$4:$BJ$4, 0)</f>
        <v>155</v>
      </c>
      <c r="M22" s="335"/>
      <c r="N22" s="335"/>
      <c r="O22" s="335"/>
      <c r="P22" s="335"/>
      <c r="Q22" s="2"/>
      <c r="R22" s="335"/>
      <c r="S22" s="335"/>
      <c r="T22" s="335"/>
      <c r="U22" s="335"/>
      <c r="V22" s="215">
        <f>'I&amp;E Monthly'!V22</f>
        <v>0</v>
      </c>
      <c r="W22" s="147"/>
      <c r="X22" s="227"/>
      <c r="Y22" s="227"/>
      <c r="Z22" s="335"/>
      <c r="AA22" s="153" cm="1">
        <f t="array" ref="AA22">IF(OR(AA$4=0, $G22&lt;&gt; $G$7, $E22=0), 'I&amp;E Monthly'!AA22, CHOOSE(Timeline!AA$30,$J22,$K22,$L22 )*INDEX('I&amp;E Profiles'!AA$96:AA$180,$I22))</f>
        <v>0</v>
      </c>
      <c r="AB22" s="153" cm="1">
        <f t="array" ref="AB22">IF(OR(AB$4=0, $G22&lt;&gt; $G$7, $E22=0), 'I&amp;E Monthly'!AB22, CHOOSE(Timeline!AB$30,$J22,$K22,$L22 )*INDEX('I&amp;E Profiles'!AB$96:AB$180,$I22))</f>
        <v>0</v>
      </c>
      <c r="AC22" s="153" cm="1">
        <f t="array" ref="AC22">IF(OR(AC$4=0, $G22&lt;&gt; $G$7, $E22=0), 'I&amp;E Monthly'!AC22, CHOOSE(Timeline!AC$30,$J22,$K22,$L22 )*INDEX('I&amp;E Profiles'!AC$96:AC$180,$I22))</f>
        <v>0</v>
      </c>
      <c r="AD22" s="153" cm="1">
        <f t="array" ref="AD22">IF(OR(AD$4=0, $G22&lt;&gt; $G$7, $E22=0), 'I&amp;E Monthly'!AD22, CHOOSE(Timeline!AD$30,$J22,$K22,$L22 )*INDEX('I&amp;E Profiles'!AD$96:AD$180,$I22))</f>
        <v>0</v>
      </c>
      <c r="AE22" s="153" cm="1">
        <f t="array" ref="AE22">IF(OR(AE$4=0, $G22&lt;&gt; $G$7, $E22=0), 'I&amp;E Monthly'!AE22, CHOOSE(Timeline!AE$30,$J22,$K22,$L22 )*INDEX('I&amp;E Profiles'!AE$96:AE$180,$I22))</f>
        <v>0</v>
      </c>
      <c r="AF22" s="153" cm="1">
        <f t="array" ref="AF22">IF(OR(AF$4=0, $G22&lt;&gt; $G$7, $E22=0), 'I&amp;E Monthly'!AF22, CHOOSE(Timeline!AF$30,$J22,$K22,$L22 )*INDEX('I&amp;E Profiles'!AF$96:AF$180,$I22))</f>
        <v>0</v>
      </c>
      <c r="AG22" s="153" cm="1">
        <f t="array" ref="AG22">IF(OR(AG$4=0, $G22&lt;&gt; $G$7, $E22=0), 'I&amp;E Monthly'!AG22, CHOOSE(Timeline!AG$30,$J22,$K22,$L22 )*INDEX('I&amp;E Profiles'!AG$96:AG$180,$I22))</f>
        <v>33</v>
      </c>
      <c r="AH22" s="153" cm="1">
        <f t="array" ref="AH22">IF(OR(AH$4=0, $G22&lt;&gt; $G$7, $E22=0), 'I&amp;E Monthly'!AH22, CHOOSE(Timeline!AH$30,$J22,$K22,$L22 )*INDEX('I&amp;E Profiles'!AH$96:AH$180,$I22))</f>
        <v>55</v>
      </c>
      <c r="AI22" s="153" cm="1">
        <f t="array" ref="AI22">IF(OR(AI$4=0, $G22&lt;&gt; $G$7, $E22=0), 'I&amp;E Monthly'!AI22, CHOOSE(Timeline!AI$30,$J22,$K22,$L22 )*INDEX('I&amp;E Profiles'!AI$96:AI$180,$I22))</f>
        <v>5</v>
      </c>
      <c r="AJ22" s="153" cm="1">
        <f t="array" ref="AJ22">IF(OR(AJ$4=0, $G22&lt;&gt; $G$7, $E22=0), 'I&amp;E Monthly'!AJ22, CHOOSE(Timeline!AJ$30,$J22,$K22,$L22 )*INDEX('I&amp;E Profiles'!AJ$96:AJ$180,$I22))</f>
        <v>20</v>
      </c>
      <c r="AK22" s="153" cm="1">
        <f t="array" ref="AK22">IF(OR(AK$4=0, $G22&lt;&gt; $G$7, $E22=0), 'I&amp;E Monthly'!AK22, CHOOSE(Timeline!AK$30,$J22,$K22,$L22 )*INDEX('I&amp;E Profiles'!AK$96:AK$180,$I22))</f>
        <v>0</v>
      </c>
      <c r="AL22" s="153" cm="1">
        <f t="array" ref="AL22">IF(OR(AL$4=0, $G22&lt;&gt; $G$7, $E22=0), 'I&amp;E Monthly'!AL22, CHOOSE(Timeline!AL$30,$J22,$K22,$L22 )*INDEX('I&amp;E Profiles'!AL$96:AL$180,$I22))</f>
        <v>10</v>
      </c>
      <c r="AM22" s="153" cm="1">
        <f t="array" ref="AM22">IF(OR(AM$4=0, $G22&lt;&gt; $G$7, $E22=0), 'I&amp;E Monthly'!AM22, CHOOSE(Timeline!AM$30,$J22,$K22,$L22 )*INDEX('I&amp;E Profiles'!AM$96:AM$180,$I22))</f>
        <v>0</v>
      </c>
      <c r="AN22" s="153" cm="1">
        <f t="array" ref="AN22">IF(OR(AN$4=0, $G22&lt;&gt; $G$7, $E22=0), 'I&amp;E Monthly'!AN22, CHOOSE(Timeline!AN$30,$J22,$K22,$L22 )*INDEX('I&amp;E Profiles'!AN$96:AN$180,$I22))</f>
        <v>0</v>
      </c>
      <c r="AO22" s="153" cm="1">
        <f t="array" ref="AO22">IF(OR(AO$4=0, $G22&lt;&gt; $G$7, $E22=0), 'I&amp;E Monthly'!AO22, CHOOSE(Timeline!AO$30,$J22,$K22,$L22 )*INDEX('I&amp;E Profiles'!AO$96:AO$180,$I22))</f>
        <v>0</v>
      </c>
      <c r="AP22" s="153" cm="1">
        <f t="array" ref="AP22">IF(OR(AP$4=0, $G22&lt;&gt; $G$7, $E22=0), 'I&amp;E Monthly'!AP22, CHOOSE(Timeline!AP$30,$J22,$K22,$L22 )*INDEX('I&amp;E Profiles'!AP$96:AP$180,$I22))</f>
        <v>0</v>
      </c>
      <c r="AQ22" s="153" cm="1">
        <f t="array" ref="AQ22">IF(OR(AQ$4=0, $G22&lt;&gt; $G$7, $E22=0), 'I&amp;E Monthly'!AQ22, CHOOSE(Timeline!AQ$30,$J22,$K22,$L22 )*INDEX('I&amp;E Profiles'!AQ$96:AQ$180,$I22))</f>
        <v>0</v>
      </c>
      <c r="AR22" s="153" cm="1">
        <f t="array" ref="AR22">IF(OR(AR$4=0, $G22&lt;&gt; $G$7, $E22=0), 'I&amp;E Monthly'!AR22, CHOOSE(Timeline!AR$30,$J22,$K22,$L22 )*INDEX('I&amp;E Profiles'!AR$96:AR$180,$I22))</f>
        <v>0</v>
      </c>
      <c r="AS22" s="153" cm="1">
        <f t="array" ref="AS22">IF(OR(AS$4=0, $G22&lt;&gt; $G$7, $E22=0), 'I&amp;E Monthly'!AS22, CHOOSE(Timeline!AS$30,$J22,$K22,$L22 )*INDEX('I&amp;E Profiles'!AS$96:AS$180,$I22))</f>
        <v>0</v>
      </c>
      <c r="AT22" s="153" cm="1">
        <f t="array" ref="AT22">IF(OR(AT$4=0, $G22&lt;&gt; $G$7, $E22=0), 'I&amp;E Monthly'!AT22, CHOOSE(Timeline!AT$30,$J22,$K22,$L22 )*INDEX('I&amp;E Profiles'!AT$96:AT$180,$I22))</f>
        <v>130</v>
      </c>
      <c r="AU22" s="153" cm="1">
        <f t="array" ref="AU22">IF(OR(AU$4=0, $G22&lt;&gt; $G$7, $E22=0), 'I&amp;E Monthly'!AU22, CHOOSE(Timeline!AU$30,$J22,$K22,$L22 )*INDEX('I&amp;E Profiles'!AU$96:AU$180,$I22))</f>
        <v>5</v>
      </c>
      <c r="AV22" s="153" cm="1">
        <f t="array" ref="AV22">IF(OR(AV$4=0, $G22&lt;&gt; $G$7, $E22=0), 'I&amp;E Monthly'!AV22, CHOOSE(Timeline!AV$30,$J22,$K22,$L22 )*INDEX('I&amp;E Profiles'!AV$96:AV$180,$I22))</f>
        <v>5</v>
      </c>
      <c r="AW22" s="153" cm="1">
        <f t="array" ref="AW22">IF(OR(AW$4=0, $G22&lt;&gt; $G$7, $E22=0), 'I&amp;E Monthly'!AW22, CHOOSE(Timeline!AW$30,$J22,$K22,$L22 )*INDEX('I&amp;E Profiles'!AW$96:AW$180,$I22))</f>
        <v>0</v>
      </c>
      <c r="AX22" s="153" cm="1">
        <f t="array" ref="AX22">IF(OR(AX$4=0, $G22&lt;&gt; $G$7, $E22=0), 'I&amp;E Monthly'!AX22, CHOOSE(Timeline!AX$30,$J22,$K22,$L22 )*INDEX('I&amp;E Profiles'!AX$96:AX$180,$I22))</f>
        <v>0</v>
      </c>
      <c r="AY22" s="153" cm="1">
        <f t="array" ref="AY22">IF(OR(AY$4=0, $G22&lt;&gt; $G$7, $E22=0), 'I&amp;E Monthly'!AY22, CHOOSE(Timeline!AY$30,$J22,$K22,$L22 )*INDEX('I&amp;E Profiles'!AY$96:AY$180,$I22))</f>
        <v>0</v>
      </c>
      <c r="AZ22" s="153" cm="1">
        <f t="array" ref="AZ22">IF(OR(AZ$4=0, $G22&lt;&gt; $G$7, $E22=0), 'I&amp;E Monthly'!AZ22, CHOOSE(Timeline!AZ$30,$J22,$K22,$L22 )*INDEX('I&amp;E Profiles'!AZ$96:AZ$180,$I22))</f>
        <v>0</v>
      </c>
      <c r="BA22" s="153" cm="1">
        <f t="array" ref="BA22">IF(OR(BA$4=0, $G22&lt;&gt; $G$7, $E22=0), 'I&amp;E Monthly'!BA22, CHOOSE(Timeline!BA$30,$J22,$K22,$L22 )*INDEX('I&amp;E Profiles'!BA$96:BA$180,$I22))</f>
        <v>0</v>
      </c>
      <c r="BB22" s="153" cm="1">
        <f t="array" ref="BB22">IF(OR(BB$4=0, $G22&lt;&gt; $G$7, $E22=0), 'I&amp;E Monthly'!BB22, CHOOSE(Timeline!BB$30,$J22,$K22,$L22 )*INDEX('I&amp;E Profiles'!BB$96:BB$180,$I22))</f>
        <v>0</v>
      </c>
      <c r="BC22" s="153" cm="1">
        <f t="array" ref="BC22">IF(OR(BC$4=0, $G22&lt;&gt; $G$7, $E22=0), 'I&amp;E Monthly'!BC22, CHOOSE(Timeline!BC$30,$J22,$K22,$L22 )*INDEX('I&amp;E Profiles'!BC$96:BC$180,$I22))</f>
        <v>0</v>
      </c>
      <c r="BD22" s="153" cm="1">
        <f t="array" ref="BD22">IF(OR(BD$4=0, $G22&lt;&gt; $G$7, $E22=0), 'I&amp;E Monthly'!BD22, CHOOSE(Timeline!BD$30,$J22,$K22,$L22 )*INDEX('I&amp;E Profiles'!BD$96:BD$180,$I22))</f>
        <v>0</v>
      </c>
      <c r="BE22" s="153" cm="1">
        <f t="array" ref="BE22">IF(OR(BE$4=0, $G22&lt;&gt; $G$7, $E22=0), 'I&amp;E Monthly'!BE22, CHOOSE(Timeline!BE$30,$J22,$K22,$L22 )*INDEX('I&amp;E Profiles'!BE$96:BE$180,$I22))</f>
        <v>0</v>
      </c>
      <c r="BF22" s="153" cm="1">
        <f t="array" ref="BF22">IF(OR(BF$4=0, $G22&lt;&gt; $G$7, $E22=0), 'I&amp;E Monthly'!BF22, CHOOSE(Timeline!BF$30,$J22,$K22,$L22 )*INDEX('I&amp;E Profiles'!BF$96:BF$180,$I22))</f>
        <v>140</v>
      </c>
      <c r="BG22" s="153" cm="1">
        <f t="array" ref="BG22">IF(OR(BG$4=0, $G22&lt;&gt; $G$7, $E22=0), 'I&amp;E Monthly'!BG22, CHOOSE(Timeline!BG$30,$J22,$K22,$L22 )*INDEX('I&amp;E Profiles'!BG$96:BG$180,$I22))</f>
        <v>10</v>
      </c>
      <c r="BH22" s="153" cm="1">
        <f t="array" ref="BH22">IF(OR(BH$4=0, $G22&lt;&gt; $G$7, $E22=0), 'I&amp;E Monthly'!BH22, CHOOSE(Timeline!BH$30,$J22,$K22,$L22 )*INDEX('I&amp;E Profiles'!BH$96:BH$180,$I22))</f>
        <v>5</v>
      </c>
      <c r="BI22" s="153" cm="1">
        <f t="array" ref="BI22">IF(OR(BI$4=0, $G22&lt;&gt; $G$7, $E22=0), 'I&amp;E Monthly'!BI22, CHOOSE(Timeline!BI$30,$J22,$K22,$L22 )*INDEX('I&amp;E Profiles'!BI$96:BI$180,$I22))</f>
        <v>0</v>
      </c>
      <c r="BJ22" s="153" cm="1">
        <f t="array" ref="BJ22">IF(OR(BJ$4=0, $G22&lt;&gt; $G$7, $E22=0), 'I&amp;E Monthly'!BJ22, CHOOSE(Timeline!BJ$30,$J22,$K22,$L22 )*INDEX('I&amp;E Profiles'!BJ$96:BJ$180,$I22))</f>
        <v>0</v>
      </c>
      <c r="BK22" s="335"/>
      <c r="BL22" s="152">
        <f t="shared" si="14"/>
        <v>0</v>
      </c>
      <c r="BM22" s="153">
        <f t="shared" si="15"/>
        <v>123</v>
      </c>
      <c r="BN22" s="153">
        <f t="shared" si="15"/>
        <v>140</v>
      </c>
      <c r="BO22" s="153">
        <f t="shared" si="15"/>
        <v>155</v>
      </c>
      <c r="BP22" s="152">
        <f>'I&amp;E Monthly'!BP22</f>
        <v>0</v>
      </c>
      <c r="BQ22" s="152">
        <f>'I&amp;E Monthly'!BQ22</f>
        <v>0</v>
      </c>
      <c r="BR22" s="152">
        <f>'I&amp;E Monthly'!BR22</f>
        <v>0</v>
      </c>
      <c r="BS22" s="152">
        <f>'I&amp;E Monthly'!BS22</f>
        <v>0</v>
      </c>
      <c r="BT22" s="152">
        <f>'I&amp;E Monthly'!BT22</f>
        <v>0</v>
      </c>
      <c r="BU22" s="152">
        <f>'I&amp;E Monthly'!BU22</f>
        <v>0</v>
      </c>
      <c r="BV22" s="152">
        <f>'I&amp;E Monthly'!BV22</f>
        <v>0</v>
      </c>
      <c r="BW22" s="152">
        <f>'I&amp;E Monthly'!BW22</f>
        <v>0</v>
      </c>
      <c r="BX22" s="335"/>
      <c r="BY22" s="12"/>
      <c r="BZ22" s="363">
        <f t="shared" ca="1" si="16"/>
        <v>0</v>
      </c>
      <c r="CA22" s="12"/>
      <c r="CB22" s="7">
        <f t="shared" si="17"/>
        <v>0</v>
      </c>
      <c r="CC22" s="188" cm="1">
        <f t="array" ref="CC22">IF(E22="",0, IF(_xlfn.IFNA(INDEX('I&amp;E Profiles'!$D$96:$D$180, $I22), "N/A")="N/A", 1, 0))</f>
        <v>0</v>
      </c>
      <c r="CD22" s="7">
        <f t="shared" si="18"/>
        <v>0</v>
      </c>
      <c r="CE22" s="7">
        <f t="shared" si="19"/>
        <v>0</v>
      </c>
      <c r="CF22" s="7">
        <f t="shared" si="20"/>
        <v>0</v>
      </c>
      <c r="CG22" s="12"/>
      <c r="CH22" s="352">
        <f t="shared" si="21"/>
        <v>0</v>
      </c>
      <c r="CI22" s="352">
        <f t="shared" si="22"/>
        <v>0</v>
      </c>
      <c r="CJ22" s="352">
        <f t="shared" si="23"/>
        <v>0</v>
      </c>
      <c r="CK22" s="352">
        <f t="shared" si="24"/>
        <v>0</v>
      </c>
      <c r="CL22" s="352">
        <f t="shared" si="25"/>
        <v>0</v>
      </c>
      <c r="CM22" s="352">
        <f t="shared" si="26"/>
        <v>0</v>
      </c>
      <c r="CN22" s="352">
        <f t="shared" si="27"/>
        <v>0</v>
      </c>
      <c r="EX22" s="10" t="str">
        <f t="shared" si="1"/>
        <v>Local Authority High Needs - element 3</v>
      </c>
    </row>
    <row r="23" spans="1:154" ht="30.75" x14ac:dyDescent="0.3">
      <c r="A23" s="362" cm="1">
        <f t="array" aca="1" ref="A23" ca="1">HYPERLINK(CONCATENATE("#",CELL("address",IF(SUM($CA23:$CG23)=0,A23,INDEX($CA23:$CG23,MATCH(1,$CA23:$CG23,0))))),SUM($CA23:$CG23))</f>
        <v>0</v>
      </c>
      <c r="B23" s="105" t="s">
        <v>335</v>
      </c>
      <c r="C23" s="343" t="s">
        <v>433</v>
      </c>
      <c r="D23" s="194" t="s">
        <v>19</v>
      </c>
      <c r="E23" s="147"/>
      <c r="F23" s="98" t="str" cm="1">
        <f t="array" aca="1" ref="F23" ca="1">IF(E23="", "", HYPERLINK(CONCATENATE("#",CELL("address",INDEX('I&amp;E Profiles'!$D$9:$D$93,'I&amp;E Annual'!I23))),E23))</f>
        <v/>
      </c>
      <c r="G23" s="147" t="s">
        <v>211</v>
      </c>
      <c r="H23" s="67" t="s">
        <v>8</v>
      </c>
      <c r="I23" s="350" t="str">
        <f>IF(E23="", "", MATCH(E23, 'I&amp;E Profiles'!$D$96:$D$180,0))</f>
        <v/>
      </c>
      <c r="J23" s="215">
        <f>IF($G23=$G$7, W23,'I&amp;E Monthly'!W23)-SUMIFS('I&amp;E Monthly'!$AA23:$BJ23, 'I&amp;E Monthly'!$AA$3:$BJ$3, 'I&amp;E Annual'!W$3, 'I&amp;E Monthly'!$AA$4:$BJ$4, 0)</f>
        <v>0</v>
      </c>
      <c r="K23" s="215">
        <f>IF($G23=$G$7, X23,'I&amp;E Monthly'!X23)-SUMIFS('I&amp;E Monthly'!$AA23:$BJ23, 'I&amp;E Monthly'!$AA$3:$BJ$3, 'I&amp;E Annual'!X$3, 'I&amp;E Monthly'!$AA$4:$BJ$4, 0)</f>
        <v>35</v>
      </c>
      <c r="L23" s="215">
        <f>IF($G23=$G$7, Y23,'I&amp;E Monthly'!Y23)-SUMIFS('I&amp;E Monthly'!$AA23:$BJ23, 'I&amp;E Monthly'!$AA$3:$BJ$3, 'I&amp;E Annual'!Y$3, 'I&amp;E Monthly'!$AA$4:$BJ$4, 0)</f>
        <v>35</v>
      </c>
      <c r="M23" s="335"/>
      <c r="N23" s="335"/>
      <c r="O23" s="335"/>
      <c r="P23" s="335"/>
      <c r="Q23" s="2"/>
      <c r="R23" s="335"/>
      <c r="S23" s="335"/>
      <c r="T23" s="335"/>
      <c r="U23" s="335"/>
      <c r="V23" s="215">
        <f>'I&amp;E Monthly'!V23</f>
        <v>0</v>
      </c>
      <c r="W23" s="147"/>
      <c r="X23" s="227"/>
      <c r="Y23" s="227"/>
      <c r="Z23" s="335"/>
      <c r="AA23" s="153" cm="1">
        <f t="array" ref="AA23">IF(OR(AA$4=0, $G23&lt;&gt; $G$7, $E23=0), 'I&amp;E Monthly'!AA23, CHOOSE(Timeline!AA$30,$J23,$K23,$L23 )*INDEX('I&amp;E Profiles'!AA$96:AA$180,$I23))</f>
        <v>0</v>
      </c>
      <c r="AB23" s="153" cm="1">
        <f t="array" ref="AB23">IF(OR(AB$4=0, $G23&lt;&gt; $G$7, $E23=0), 'I&amp;E Monthly'!AB23, CHOOSE(Timeline!AB$30,$J23,$K23,$L23 )*INDEX('I&amp;E Profiles'!AB$96:AB$180,$I23))</f>
        <v>0</v>
      </c>
      <c r="AC23" s="153" cm="1">
        <f t="array" ref="AC23">IF(OR(AC$4=0, $G23&lt;&gt; $G$7, $E23=0), 'I&amp;E Monthly'!AC23, CHOOSE(Timeline!AC$30,$J23,$K23,$L23 )*INDEX('I&amp;E Profiles'!AC$96:AC$180,$I23))</f>
        <v>0</v>
      </c>
      <c r="AD23" s="153" cm="1">
        <f t="array" ref="AD23">IF(OR(AD$4=0, $G23&lt;&gt; $G$7, $E23=0), 'I&amp;E Monthly'!AD23, CHOOSE(Timeline!AD$30,$J23,$K23,$L23 )*INDEX('I&amp;E Profiles'!AD$96:AD$180,$I23))</f>
        <v>0</v>
      </c>
      <c r="AE23" s="153" cm="1">
        <f t="array" ref="AE23">IF(OR(AE$4=0, $G23&lt;&gt; $G$7, $E23=0), 'I&amp;E Monthly'!AE23, CHOOSE(Timeline!AE$30,$J23,$K23,$L23 )*INDEX('I&amp;E Profiles'!AE$96:AE$180,$I23))</f>
        <v>0</v>
      </c>
      <c r="AF23" s="153" cm="1">
        <f t="array" ref="AF23">IF(OR(AF$4=0, $G23&lt;&gt; $G$7, $E23=0), 'I&amp;E Monthly'!AF23, CHOOSE(Timeline!AF$30,$J23,$K23,$L23 )*INDEX('I&amp;E Profiles'!AF$96:AF$180,$I23))</f>
        <v>10</v>
      </c>
      <c r="AG23" s="153" cm="1">
        <f t="array" ref="AG23">IF(OR(AG$4=0, $G23&lt;&gt; $G$7, $E23=0), 'I&amp;E Monthly'!AG23, CHOOSE(Timeline!AG$30,$J23,$K23,$L23 )*INDEX('I&amp;E Profiles'!AG$96:AG$180,$I23))</f>
        <v>0</v>
      </c>
      <c r="AH23" s="153" cm="1">
        <f t="array" ref="AH23">IF(OR(AH$4=0, $G23&lt;&gt; $G$7, $E23=0), 'I&amp;E Monthly'!AH23, CHOOSE(Timeline!AH$30,$J23,$K23,$L23 )*INDEX('I&amp;E Profiles'!AH$96:AH$180,$I23))</f>
        <v>11</v>
      </c>
      <c r="AI23" s="153" cm="1">
        <f t="array" ref="AI23">IF(OR(AI$4=0, $G23&lt;&gt; $G$7, $E23=0), 'I&amp;E Monthly'!AI23, CHOOSE(Timeline!AI$30,$J23,$K23,$L23 )*INDEX('I&amp;E Profiles'!AI$96:AI$180,$I23))</f>
        <v>0</v>
      </c>
      <c r="AJ23" s="153" cm="1">
        <f t="array" ref="AJ23">IF(OR(AJ$4=0, $G23&lt;&gt; $G$7, $E23=0), 'I&amp;E Monthly'!AJ23, CHOOSE(Timeline!AJ$30,$J23,$K23,$L23 )*INDEX('I&amp;E Profiles'!AJ$96:AJ$180,$I23))</f>
        <v>0</v>
      </c>
      <c r="AK23" s="153" cm="1">
        <f t="array" ref="AK23">IF(OR(AK$4=0, $G23&lt;&gt; $G$7, $E23=0), 'I&amp;E Monthly'!AK23, CHOOSE(Timeline!AK$30,$J23,$K23,$L23 )*INDEX('I&amp;E Profiles'!AK$96:AK$180,$I23))</f>
        <v>6</v>
      </c>
      <c r="AL23" s="153" cm="1">
        <f t="array" ref="AL23">IF(OR(AL$4=0, $G23&lt;&gt; $G$7, $E23=0), 'I&amp;E Monthly'!AL23, CHOOSE(Timeline!AL$30,$J23,$K23,$L23 )*INDEX('I&amp;E Profiles'!AL$96:AL$180,$I23))</f>
        <v>0</v>
      </c>
      <c r="AM23" s="153" cm="1">
        <f t="array" ref="AM23">IF(OR(AM$4=0, $G23&lt;&gt; $G$7, $E23=0), 'I&amp;E Monthly'!AM23, CHOOSE(Timeline!AM$30,$J23,$K23,$L23 )*INDEX('I&amp;E Profiles'!AM$96:AM$180,$I23))</f>
        <v>0</v>
      </c>
      <c r="AN23" s="153" cm="1">
        <f t="array" ref="AN23">IF(OR(AN$4=0, $G23&lt;&gt; $G$7, $E23=0), 'I&amp;E Monthly'!AN23, CHOOSE(Timeline!AN$30,$J23,$K23,$L23 )*INDEX('I&amp;E Profiles'!AN$96:AN$180,$I23))</f>
        <v>0</v>
      </c>
      <c r="AO23" s="153" cm="1">
        <f t="array" ref="AO23">IF(OR(AO$4=0, $G23&lt;&gt; $G$7, $E23=0), 'I&amp;E Monthly'!AO23, CHOOSE(Timeline!AO$30,$J23,$K23,$L23 )*INDEX('I&amp;E Profiles'!AO$96:AO$180,$I23))</f>
        <v>0</v>
      </c>
      <c r="AP23" s="153" cm="1">
        <f t="array" ref="AP23">IF(OR(AP$4=0, $G23&lt;&gt; $G$7, $E23=0), 'I&amp;E Monthly'!AP23, CHOOSE(Timeline!AP$30,$J23,$K23,$L23 )*INDEX('I&amp;E Profiles'!AP$96:AP$180,$I23))</f>
        <v>0</v>
      </c>
      <c r="AQ23" s="153" cm="1">
        <f t="array" ref="AQ23">IF(OR(AQ$4=0, $G23&lt;&gt; $G$7, $E23=0), 'I&amp;E Monthly'!AQ23, CHOOSE(Timeline!AQ$30,$J23,$K23,$L23 )*INDEX('I&amp;E Profiles'!AQ$96:AQ$180,$I23))</f>
        <v>12</v>
      </c>
      <c r="AR23" s="153" cm="1">
        <f t="array" ref="AR23">IF(OR(AR$4=0, $G23&lt;&gt; $G$7, $E23=0), 'I&amp;E Monthly'!AR23, CHOOSE(Timeline!AR$30,$J23,$K23,$L23 )*INDEX('I&amp;E Profiles'!AR$96:AR$180,$I23))</f>
        <v>0</v>
      </c>
      <c r="AS23" s="153" cm="1">
        <f t="array" ref="AS23">IF(OR(AS$4=0, $G23&lt;&gt; $G$7, $E23=0), 'I&amp;E Monthly'!AS23, CHOOSE(Timeline!AS$30,$J23,$K23,$L23 )*INDEX('I&amp;E Profiles'!AS$96:AS$180,$I23))</f>
        <v>0</v>
      </c>
      <c r="AT23" s="153" cm="1">
        <f t="array" ref="AT23">IF(OR(AT$4=0, $G23&lt;&gt; $G$7, $E23=0), 'I&amp;E Monthly'!AT23, CHOOSE(Timeline!AT$30,$J23,$K23,$L23 )*INDEX('I&amp;E Profiles'!AT$96:AT$180,$I23))</f>
        <v>0</v>
      </c>
      <c r="AU23" s="153" cm="1">
        <f t="array" ref="AU23">IF(OR(AU$4=0, $G23&lt;&gt; $G$7, $E23=0), 'I&amp;E Monthly'!AU23, CHOOSE(Timeline!AU$30,$J23,$K23,$L23 )*INDEX('I&amp;E Profiles'!AU$96:AU$180,$I23))</f>
        <v>12</v>
      </c>
      <c r="AV23" s="153" cm="1">
        <f t="array" ref="AV23">IF(OR(AV$4=0, $G23&lt;&gt; $G$7, $E23=0), 'I&amp;E Monthly'!AV23, CHOOSE(Timeline!AV$30,$J23,$K23,$L23 )*INDEX('I&amp;E Profiles'!AV$96:AV$180,$I23))</f>
        <v>0</v>
      </c>
      <c r="AW23" s="153" cm="1">
        <f t="array" ref="AW23">IF(OR(AW$4=0, $G23&lt;&gt; $G$7, $E23=0), 'I&amp;E Monthly'!AW23, CHOOSE(Timeline!AW$30,$J23,$K23,$L23 )*INDEX('I&amp;E Profiles'!AW$96:AW$180,$I23))</f>
        <v>0</v>
      </c>
      <c r="AX23" s="153" cm="1">
        <f t="array" ref="AX23">IF(OR(AX$4=0, $G23&lt;&gt; $G$7, $E23=0), 'I&amp;E Monthly'!AX23, CHOOSE(Timeline!AX$30,$J23,$K23,$L23 )*INDEX('I&amp;E Profiles'!AX$96:AX$180,$I23))</f>
        <v>11</v>
      </c>
      <c r="AY23" s="153" cm="1">
        <f t="array" ref="AY23">IF(OR(AY$4=0, $G23&lt;&gt; $G$7, $E23=0), 'I&amp;E Monthly'!AY23, CHOOSE(Timeline!AY$30,$J23,$K23,$L23 )*INDEX('I&amp;E Profiles'!AY$96:AY$180,$I23))</f>
        <v>0</v>
      </c>
      <c r="AZ23" s="153" cm="1">
        <f t="array" ref="AZ23">IF(OR(AZ$4=0, $G23&lt;&gt; $G$7, $E23=0), 'I&amp;E Monthly'!AZ23, CHOOSE(Timeline!AZ$30,$J23,$K23,$L23 )*INDEX('I&amp;E Profiles'!AZ$96:AZ$180,$I23))</f>
        <v>0</v>
      </c>
      <c r="BA23" s="153" cm="1">
        <f t="array" ref="BA23">IF(OR(BA$4=0, $G23&lt;&gt; $G$7, $E23=0), 'I&amp;E Monthly'!BA23, CHOOSE(Timeline!BA$30,$J23,$K23,$L23 )*INDEX('I&amp;E Profiles'!BA$96:BA$180,$I23))</f>
        <v>0</v>
      </c>
      <c r="BB23" s="153" cm="1">
        <f t="array" ref="BB23">IF(OR(BB$4=0, $G23&lt;&gt; $G$7, $E23=0), 'I&amp;E Monthly'!BB23, CHOOSE(Timeline!BB$30,$J23,$K23,$L23 )*INDEX('I&amp;E Profiles'!BB$96:BB$180,$I23))</f>
        <v>0</v>
      </c>
      <c r="BC23" s="153" cm="1">
        <f t="array" ref="BC23">IF(OR(BC$4=0, $G23&lt;&gt; $G$7, $E23=0), 'I&amp;E Monthly'!BC23, CHOOSE(Timeline!BC$30,$J23,$K23,$L23 )*INDEX('I&amp;E Profiles'!BC$96:BC$180,$I23))</f>
        <v>12</v>
      </c>
      <c r="BD23" s="153" cm="1">
        <f t="array" ref="BD23">IF(OR(BD$4=0, $G23&lt;&gt; $G$7, $E23=0), 'I&amp;E Monthly'!BD23, CHOOSE(Timeline!BD$30,$J23,$K23,$L23 )*INDEX('I&amp;E Profiles'!BD$96:BD$180,$I23))</f>
        <v>0</v>
      </c>
      <c r="BE23" s="153" cm="1">
        <f t="array" ref="BE23">IF(OR(BE$4=0, $G23&lt;&gt; $G$7, $E23=0), 'I&amp;E Monthly'!BE23, CHOOSE(Timeline!BE$30,$J23,$K23,$L23 )*INDEX('I&amp;E Profiles'!BE$96:BE$180,$I23))</f>
        <v>0</v>
      </c>
      <c r="BF23" s="153" cm="1">
        <f t="array" ref="BF23">IF(OR(BF$4=0, $G23&lt;&gt; $G$7, $E23=0), 'I&amp;E Monthly'!BF23, CHOOSE(Timeline!BF$30,$J23,$K23,$L23 )*INDEX('I&amp;E Profiles'!BF$96:BF$180,$I23))</f>
        <v>0</v>
      </c>
      <c r="BG23" s="153" cm="1">
        <f t="array" ref="BG23">IF(OR(BG$4=0, $G23&lt;&gt; $G$7, $E23=0), 'I&amp;E Monthly'!BG23, CHOOSE(Timeline!BG$30,$J23,$K23,$L23 )*INDEX('I&amp;E Profiles'!BG$96:BG$180,$I23))</f>
        <v>12</v>
      </c>
      <c r="BH23" s="153" cm="1">
        <f t="array" ref="BH23">IF(OR(BH$4=0, $G23&lt;&gt; $G$7, $E23=0), 'I&amp;E Monthly'!BH23, CHOOSE(Timeline!BH$30,$J23,$K23,$L23 )*INDEX('I&amp;E Profiles'!BH$96:BH$180,$I23))</f>
        <v>0</v>
      </c>
      <c r="BI23" s="153" cm="1">
        <f t="array" ref="BI23">IF(OR(BI$4=0, $G23&lt;&gt; $G$7, $E23=0), 'I&amp;E Monthly'!BI23, CHOOSE(Timeline!BI$30,$J23,$K23,$L23 )*INDEX('I&amp;E Profiles'!BI$96:BI$180,$I23))</f>
        <v>0</v>
      </c>
      <c r="BJ23" s="153" cm="1">
        <f t="array" ref="BJ23">IF(OR(BJ$4=0, $G23&lt;&gt; $G$7, $E23=0), 'I&amp;E Monthly'!BJ23, CHOOSE(Timeline!BJ$30,$J23,$K23,$L23 )*INDEX('I&amp;E Profiles'!BJ$96:BJ$180,$I23))</f>
        <v>11</v>
      </c>
      <c r="BK23" s="335"/>
      <c r="BL23" s="152">
        <f t="shared" si="14"/>
        <v>0</v>
      </c>
      <c r="BM23" s="153">
        <f t="shared" si="15"/>
        <v>27</v>
      </c>
      <c r="BN23" s="153">
        <f t="shared" si="15"/>
        <v>35</v>
      </c>
      <c r="BO23" s="153">
        <f t="shared" si="15"/>
        <v>35</v>
      </c>
      <c r="BP23" s="152">
        <f>'I&amp;E Monthly'!BP23</f>
        <v>0</v>
      </c>
      <c r="BQ23" s="152">
        <f>'I&amp;E Monthly'!BQ23</f>
        <v>0</v>
      </c>
      <c r="BR23" s="152">
        <f>'I&amp;E Monthly'!BR23</f>
        <v>0</v>
      </c>
      <c r="BS23" s="152">
        <f>'I&amp;E Monthly'!BS23</f>
        <v>0</v>
      </c>
      <c r="BT23" s="152">
        <f>'I&amp;E Monthly'!BT23</f>
        <v>0</v>
      </c>
      <c r="BU23" s="152">
        <f>'I&amp;E Monthly'!BU23</f>
        <v>0</v>
      </c>
      <c r="BV23" s="152">
        <f>'I&amp;E Monthly'!BV23</f>
        <v>0</v>
      </c>
      <c r="BW23" s="152">
        <f>'I&amp;E Monthly'!BW23</f>
        <v>0</v>
      </c>
      <c r="BX23" s="335"/>
      <c r="BY23" s="12"/>
      <c r="BZ23" s="363">
        <f t="shared" ca="1" si="16"/>
        <v>0</v>
      </c>
      <c r="CA23" s="12"/>
      <c r="CB23" s="7">
        <f t="shared" si="17"/>
        <v>0</v>
      </c>
      <c r="CC23" s="188" cm="1">
        <f t="array" ref="CC23">IF(E23="",0, IF(_xlfn.IFNA(INDEX('I&amp;E Profiles'!$D$96:$D$180, $I23), "N/A")="N/A", 1, 0))</f>
        <v>0</v>
      </c>
      <c r="CD23" s="7">
        <f t="shared" si="18"/>
        <v>0</v>
      </c>
      <c r="CE23" s="7">
        <f t="shared" si="19"/>
        <v>0</v>
      </c>
      <c r="CF23" s="7">
        <f t="shared" si="20"/>
        <v>0</v>
      </c>
      <c r="CG23" s="12"/>
      <c r="CH23" s="352">
        <f t="shared" si="21"/>
        <v>0</v>
      </c>
      <c r="CI23" s="352">
        <f t="shared" si="22"/>
        <v>0</v>
      </c>
      <c r="CJ23" s="352">
        <f t="shared" si="23"/>
        <v>0</v>
      </c>
      <c r="CK23" s="352">
        <f t="shared" si="24"/>
        <v>0</v>
      </c>
      <c r="CL23" s="352">
        <f t="shared" si="25"/>
        <v>0</v>
      </c>
      <c r="CM23" s="352">
        <f t="shared" si="26"/>
        <v>0</v>
      </c>
      <c r="CN23" s="352">
        <f t="shared" si="27"/>
        <v>0</v>
      </c>
      <c r="EX23" s="10" t="str">
        <f t="shared" si="1"/>
        <v>Other funding including Local Authority and schools</v>
      </c>
    </row>
    <row r="24" spans="1:154" hidden="1" x14ac:dyDescent="0.25">
      <c r="A24" s="362" cm="1">
        <f t="array" aca="1" ref="A24" ca="1">HYPERLINK(CONCATENATE("#",CELL("address",IF(SUM($CA24:$CG24)=0,A24,INDEX($CA24:$CG24,MATCH(1,$CA24:$CG24,0))))),SUM($CA24:$CG24))</f>
        <v>0</v>
      </c>
      <c r="B24" s="335"/>
      <c r="C24" s="383"/>
      <c r="D24" s="137" t="s">
        <v>2316</v>
      </c>
      <c r="E24" s="349"/>
      <c r="F24" s="98" t="str" cm="1">
        <f t="array" aca="1" ref="F24" ca="1">IF(E24="", "", HYPERLINK(CONCATENATE("#",CELL("address",INDEX('I&amp;E Profiles'!$D$9:$D$93,'I&amp;E Annual'!I24))),E24))</f>
        <v/>
      </c>
      <c r="G24" s="349"/>
      <c r="I24" s="350" t="str">
        <f>IF(E24="", "", MATCH(E24, 'I&amp;E Profiles'!$D$96:$D$180,0))</f>
        <v/>
      </c>
      <c r="J24" s="215">
        <f>IF($G24=$G$7, W24,'I&amp;E Monthly'!W24)-SUMIFS('I&amp;E Monthly'!$AA24:$BJ24, 'I&amp;E Monthly'!$AA$3:$BJ$3, 'I&amp;E Annual'!W$3, 'I&amp;E Monthly'!$AA$4:$BJ$4, 0)</f>
        <v>0</v>
      </c>
      <c r="K24" s="215">
        <f>IF($G24=$G$7, X24,'I&amp;E Monthly'!X24)-SUMIFS('I&amp;E Monthly'!$AA24:$BJ24, 'I&amp;E Monthly'!$AA$3:$BJ$3, 'I&amp;E Annual'!X$3, 'I&amp;E Monthly'!$AA$4:$BJ$4, 0)</f>
        <v>0</v>
      </c>
      <c r="L24" s="215">
        <f>IF($G24=$G$7, Y24,'I&amp;E Monthly'!Y24)-SUMIFS('I&amp;E Monthly'!$AA24:$BJ24, 'I&amp;E Monthly'!$AA$3:$BJ$3, 'I&amp;E Annual'!Y$3, 'I&amp;E Monthly'!$AA$4:$BJ$4, 0)</f>
        <v>0</v>
      </c>
      <c r="M24" s="335"/>
      <c r="N24" s="335"/>
      <c r="O24" s="335"/>
      <c r="P24" s="335"/>
      <c r="Q24" s="2"/>
      <c r="R24" s="335"/>
      <c r="S24" s="335"/>
      <c r="T24" s="335"/>
      <c r="U24" s="335"/>
      <c r="V24" s="215">
        <f>'I&amp;E Monthly'!V24</f>
        <v>0</v>
      </c>
      <c r="W24" s="349"/>
      <c r="X24" s="349"/>
      <c r="Y24" s="349"/>
      <c r="Z24" s="335"/>
      <c r="AA24" s="153" cm="1">
        <f t="array" ref="AA24">IF(OR(AA$4=0, $G24&lt;&gt; $G$7, $E24=0), 'I&amp;E Monthly'!AA24, CHOOSE(Timeline!AA$30,$J24,$K24,$L24 )*INDEX('I&amp;E Profiles'!AA$96:AA$180,$I24))</f>
        <v>0</v>
      </c>
      <c r="AB24" s="153" cm="1">
        <f t="array" ref="AB24">IF(OR(AB$4=0, $G24&lt;&gt; $G$7, $E24=0), 'I&amp;E Monthly'!AB24, CHOOSE(Timeline!AB$30,$J24,$K24,$L24 )*INDEX('I&amp;E Profiles'!AB$96:AB$180,$I24))</f>
        <v>0</v>
      </c>
      <c r="AC24" s="153" cm="1">
        <f t="array" ref="AC24">IF(OR(AC$4=0, $G24&lt;&gt; $G$7, $E24=0), 'I&amp;E Monthly'!AC24, CHOOSE(Timeline!AC$30,$J24,$K24,$L24 )*INDEX('I&amp;E Profiles'!AC$96:AC$180,$I24))</f>
        <v>0</v>
      </c>
      <c r="AD24" s="153" cm="1">
        <f t="array" ref="AD24">IF(OR(AD$4=0, $G24&lt;&gt; $G$7, $E24=0), 'I&amp;E Monthly'!AD24, CHOOSE(Timeline!AD$30,$J24,$K24,$L24 )*INDEX('I&amp;E Profiles'!AD$96:AD$180,$I24))</f>
        <v>0</v>
      </c>
      <c r="AE24" s="153" cm="1">
        <f t="array" ref="AE24">IF(OR(AE$4=0, $G24&lt;&gt; $G$7, $E24=0), 'I&amp;E Monthly'!AE24, CHOOSE(Timeline!AE$30,$J24,$K24,$L24 )*INDEX('I&amp;E Profiles'!AE$96:AE$180,$I24))</f>
        <v>0</v>
      </c>
      <c r="AF24" s="153" cm="1">
        <f t="array" ref="AF24">IF(OR(AF$4=0, $G24&lt;&gt; $G$7, $E24=0), 'I&amp;E Monthly'!AF24, CHOOSE(Timeline!AF$30,$J24,$K24,$L24 )*INDEX('I&amp;E Profiles'!AF$96:AF$180,$I24))</f>
        <v>0</v>
      </c>
      <c r="AG24" s="153" cm="1">
        <f t="array" ref="AG24">IF(OR(AG$4=0, $G24&lt;&gt; $G$7, $E24=0), 'I&amp;E Monthly'!AG24, CHOOSE(Timeline!AG$30,$J24,$K24,$L24 )*INDEX('I&amp;E Profiles'!AG$96:AG$180,$I24))</f>
        <v>0</v>
      </c>
      <c r="AH24" s="153" cm="1">
        <f t="array" ref="AH24">IF(OR(AH$4=0, $G24&lt;&gt; $G$7, $E24=0), 'I&amp;E Monthly'!AH24, CHOOSE(Timeline!AH$30,$J24,$K24,$L24 )*INDEX('I&amp;E Profiles'!AH$96:AH$180,$I24))</f>
        <v>0</v>
      </c>
      <c r="AI24" s="153" cm="1">
        <f t="array" ref="AI24">IF(OR(AI$4=0, $G24&lt;&gt; $G$7, $E24=0), 'I&amp;E Monthly'!AI24, CHOOSE(Timeline!AI$30,$J24,$K24,$L24 )*INDEX('I&amp;E Profiles'!AI$96:AI$180,$I24))</f>
        <v>0</v>
      </c>
      <c r="AJ24" s="153" cm="1">
        <f t="array" ref="AJ24">IF(OR(AJ$4=0, $G24&lt;&gt; $G$7, $E24=0), 'I&amp;E Monthly'!AJ24, CHOOSE(Timeline!AJ$30,$J24,$K24,$L24 )*INDEX('I&amp;E Profiles'!AJ$96:AJ$180,$I24))</f>
        <v>0</v>
      </c>
      <c r="AK24" s="153" cm="1">
        <f t="array" ref="AK24">IF(OR(AK$4=0, $G24&lt;&gt; $G$7, $E24=0), 'I&amp;E Monthly'!AK24, CHOOSE(Timeline!AK$30,$J24,$K24,$L24 )*INDEX('I&amp;E Profiles'!AK$96:AK$180,$I24))</f>
        <v>0</v>
      </c>
      <c r="AL24" s="153" cm="1">
        <f t="array" ref="AL24">IF(OR(AL$4=0, $G24&lt;&gt; $G$7, $E24=0), 'I&amp;E Monthly'!AL24, CHOOSE(Timeline!AL$30,$J24,$K24,$L24 )*INDEX('I&amp;E Profiles'!AL$96:AL$180,$I24))</f>
        <v>0</v>
      </c>
      <c r="AM24" s="153" cm="1">
        <f t="array" ref="AM24">IF(OR(AM$4=0, $G24&lt;&gt; $G$7, $E24=0), 'I&amp;E Monthly'!AM24, CHOOSE(Timeline!AM$30,$J24,$K24,$L24 )*INDEX('I&amp;E Profiles'!AM$96:AM$180,$I24))</f>
        <v>0</v>
      </c>
      <c r="AN24" s="153" cm="1">
        <f t="array" ref="AN24">IF(OR(AN$4=0, $G24&lt;&gt; $G$7, $E24=0), 'I&amp;E Monthly'!AN24, CHOOSE(Timeline!AN$30,$J24,$K24,$L24 )*INDEX('I&amp;E Profiles'!AN$96:AN$180,$I24))</f>
        <v>0</v>
      </c>
      <c r="AO24" s="153" cm="1">
        <f t="array" ref="AO24">IF(OR(AO$4=0, $G24&lt;&gt; $G$7, $E24=0), 'I&amp;E Monthly'!AO24, CHOOSE(Timeline!AO$30,$J24,$K24,$L24 )*INDEX('I&amp;E Profiles'!AO$96:AO$180,$I24))</f>
        <v>0</v>
      </c>
      <c r="AP24" s="153" cm="1">
        <f t="array" ref="AP24">IF(OR(AP$4=0, $G24&lt;&gt; $G$7, $E24=0), 'I&amp;E Monthly'!AP24, CHOOSE(Timeline!AP$30,$J24,$K24,$L24 )*INDEX('I&amp;E Profiles'!AP$96:AP$180,$I24))</f>
        <v>0</v>
      </c>
      <c r="AQ24" s="153" cm="1">
        <f t="array" ref="AQ24">IF(OR(AQ$4=0, $G24&lt;&gt; $G$7, $E24=0), 'I&amp;E Monthly'!AQ24, CHOOSE(Timeline!AQ$30,$J24,$K24,$L24 )*INDEX('I&amp;E Profiles'!AQ$96:AQ$180,$I24))</f>
        <v>0</v>
      </c>
      <c r="AR24" s="153" cm="1">
        <f t="array" ref="AR24">IF(OR(AR$4=0, $G24&lt;&gt; $G$7, $E24=0), 'I&amp;E Monthly'!AR24, CHOOSE(Timeline!AR$30,$J24,$K24,$L24 )*INDEX('I&amp;E Profiles'!AR$96:AR$180,$I24))</f>
        <v>0</v>
      </c>
      <c r="AS24" s="153" cm="1">
        <f t="array" ref="AS24">IF(OR(AS$4=0, $G24&lt;&gt; $G$7, $E24=0), 'I&amp;E Monthly'!AS24, CHOOSE(Timeline!AS$30,$J24,$K24,$L24 )*INDEX('I&amp;E Profiles'!AS$96:AS$180,$I24))</f>
        <v>0</v>
      </c>
      <c r="AT24" s="153" cm="1">
        <f t="array" ref="AT24">IF(OR(AT$4=0, $G24&lt;&gt; $G$7, $E24=0), 'I&amp;E Monthly'!AT24, CHOOSE(Timeline!AT$30,$J24,$K24,$L24 )*INDEX('I&amp;E Profiles'!AT$96:AT$180,$I24))</f>
        <v>0</v>
      </c>
      <c r="AU24" s="153" cm="1">
        <f t="array" ref="AU24">IF(OR(AU$4=0, $G24&lt;&gt; $G$7, $E24=0), 'I&amp;E Monthly'!AU24, CHOOSE(Timeline!AU$30,$J24,$K24,$L24 )*INDEX('I&amp;E Profiles'!AU$96:AU$180,$I24))</f>
        <v>0</v>
      </c>
      <c r="AV24" s="153" cm="1">
        <f t="array" ref="AV24">IF(OR(AV$4=0, $G24&lt;&gt; $G$7, $E24=0), 'I&amp;E Monthly'!AV24, CHOOSE(Timeline!AV$30,$J24,$K24,$L24 )*INDEX('I&amp;E Profiles'!AV$96:AV$180,$I24))</f>
        <v>0</v>
      </c>
      <c r="AW24" s="153" cm="1">
        <f t="array" ref="AW24">IF(OR(AW$4=0, $G24&lt;&gt; $G$7, $E24=0), 'I&amp;E Monthly'!AW24, CHOOSE(Timeline!AW$30,$J24,$K24,$L24 )*INDEX('I&amp;E Profiles'!AW$96:AW$180,$I24))</f>
        <v>0</v>
      </c>
      <c r="AX24" s="153" cm="1">
        <f t="array" ref="AX24">IF(OR(AX$4=0, $G24&lt;&gt; $G$7, $E24=0), 'I&amp;E Monthly'!AX24, CHOOSE(Timeline!AX$30,$J24,$K24,$L24 )*INDEX('I&amp;E Profiles'!AX$96:AX$180,$I24))</f>
        <v>0</v>
      </c>
      <c r="AY24" s="153" cm="1">
        <f t="array" ref="AY24">IF(OR(AY$4=0, $G24&lt;&gt; $G$7, $E24=0), 'I&amp;E Monthly'!AY24, CHOOSE(Timeline!AY$30,$J24,$K24,$L24 )*INDEX('I&amp;E Profiles'!AY$96:AY$180,$I24))</f>
        <v>0</v>
      </c>
      <c r="AZ24" s="153" cm="1">
        <f t="array" ref="AZ24">IF(OR(AZ$4=0, $G24&lt;&gt; $G$7, $E24=0), 'I&amp;E Monthly'!AZ24, CHOOSE(Timeline!AZ$30,$J24,$K24,$L24 )*INDEX('I&amp;E Profiles'!AZ$96:AZ$180,$I24))</f>
        <v>0</v>
      </c>
      <c r="BA24" s="153" cm="1">
        <f t="array" ref="BA24">IF(OR(BA$4=0, $G24&lt;&gt; $G$7, $E24=0), 'I&amp;E Monthly'!BA24, CHOOSE(Timeline!BA$30,$J24,$K24,$L24 )*INDEX('I&amp;E Profiles'!BA$96:BA$180,$I24))</f>
        <v>0</v>
      </c>
      <c r="BB24" s="153" cm="1">
        <f t="array" ref="BB24">IF(OR(BB$4=0, $G24&lt;&gt; $G$7, $E24=0), 'I&amp;E Monthly'!BB24, CHOOSE(Timeline!BB$30,$J24,$K24,$L24 )*INDEX('I&amp;E Profiles'!BB$96:BB$180,$I24))</f>
        <v>0</v>
      </c>
      <c r="BC24" s="153" cm="1">
        <f t="array" ref="BC24">IF(OR(BC$4=0, $G24&lt;&gt; $G$7, $E24=0), 'I&amp;E Monthly'!BC24, CHOOSE(Timeline!BC$30,$J24,$K24,$L24 )*INDEX('I&amp;E Profiles'!BC$96:BC$180,$I24))</f>
        <v>0</v>
      </c>
      <c r="BD24" s="153" cm="1">
        <f t="array" ref="BD24">IF(OR(BD$4=0, $G24&lt;&gt; $G$7, $E24=0), 'I&amp;E Monthly'!BD24, CHOOSE(Timeline!BD$30,$J24,$K24,$L24 )*INDEX('I&amp;E Profiles'!BD$96:BD$180,$I24))</f>
        <v>0</v>
      </c>
      <c r="BE24" s="153" cm="1">
        <f t="array" ref="BE24">IF(OR(BE$4=0, $G24&lt;&gt; $G$7, $E24=0), 'I&amp;E Monthly'!BE24, CHOOSE(Timeline!BE$30,$J24,$K24,$L24 )*INDEX('I&amp;E Profiles'!BE$96:BE$180,$I24))</f>
        <v>0</v>
      </c>
      <c r="BF24" s="153" cm="1">
        <f t="array" ref="BF24">IF(OR(BF$4=0, $G24&lt;&gt; $G$7, $E24=0), 'I&amp;E Monthly'!BF24, CHOOSE(Timeline!BF$30,$J24,$K24,$L24 )*INDEX('I&amp;E Profiles'!BF$96:BF$180,$I24))</f>
        <v>0</v>
      </c>
      <c r="BG24" s="153" cm="1">
        <f t="array" ref="BG24">IF(OR(BG$4=0, $G24&lt;&gt; $G$7, $E24=0), 'I&amp;E Monthly'!BG24, CHOOSE(Timeline!BG$30,$J24,$K24,$L24 )*INDEX('I&amp;E Profiles'!BG$96:BG$180,$I24))</f>
        <v>0</v>
      </c>
      <c r="BH24" s="153" cm="1">
        <f t="array" ref="BH24">IF(OR(BH$4=0, $G24&lt;&gt; $G$7, $E24=0), 'I&amp;E Monthly'!BH24, CHOOSE(Timeline!BH$30,$J24,$K24,$L24 )*INDEX('I&amp;E Profiles'!BH$96:BH$180,$I24))</f>
        <v>0</v>
      </c>
      <c r="BI24" s="153" cm="1">
        <f t="array" ref="BI24">IF(OR(BI$4=0, $G24&lt;&gt; $G$7, $E24=0), 'I&amp;E Monthly'!BI24, CHOOSE(Timeline!BI$30,$J24,$K24,$L24 )*INDEX('I&amp;E Profiles'!BI$96:BI$180,$I24))</f>
        <v>0</v>
      </c>
      <c r="BJ24" s="153" cm="1">
        <f t="array" ref="BJ24">IF(OR(BJ$4=0, $G24&lt;&gt; $G$7, $E24=0), 'I&amp;E Monthly'!BJ24, CHOOSE(Timeline!BJ$30,$J24,$K24,$L24 )*INDEX('I&amp;E Profiles'!BJ$96:BJ$180,$I24))</f>
        <v>0</v>
      </c>
      <c r="BK24" s="335"/>
      <c r="BL24" s="152">
        <f t="shared" si="14"/>
        <v>0</v>
      </c>
      <c r="BM24" s="153">
        <f t="shared" si="15"/>
        <v>0</v>
      </c>
      <c r="BN24" s="153">
        <f t="shared" si="15"/>
        <v>0</v>
      </c>
      <c r="BO24" s="153">
        <f t="shared" si="15"/>
        <v>0</v>
      </c>
      <c r="BP24" s="152">
        <f>'I&amp;E Monthly'!BP24</f>
        <v>0</v>
      </c>
      <c r="BQ24" s="152">
        <f>'I&amp;E Monthly'!BQ24</f>
        <v>0</v>
      </c>
      <c r="BR24" s="152">
        <f>'I&amp;E Monthly'!BR24</f>
        <v>0</v>
      </c>
      <c r="BS24" s="152">
        <f>'I&amp;E Monthly'!BS24</f>
        <v>0</v>
      </c>
      <c r="BT24" s="152">
        <f>'I&amp;E Monthly'!BT24</f>
        <v>0</v>
      </c>
      <c r="BU24" s="152">
        <f>'I&amp;E Monthly'!BU24</f>
        <v>0</v>
      </c>
      <c r="BV24" s="152">
        <f>'I&amp;E Monthly'!BV24</f>
        <v>0</v>
      </c>
      <c r="BW24" s="152">
        <f>'I&amp;E Monthly'!BW24</f>
        <v>0</v>
      </c>
      <c r="BX24" s="335"/>
      <c r="BY24" s="12"/>
      <c r="BZ24" s="363">
        <f t="shared" ca="1" si="16"/>
        <v>0</v>
      </c>
      <c r="CA24" s="12"/>
      <c r="CB24" s="7">
        <f t="shared" si="17"/>
        <v>0</v>
      </c>
      <c r="CC24" s="188" cm="1">
        <f t="array" ref="CC24">IF(E24="",0, IF(_xlfn.IFNA(INDEX('I&amp;E Profiles'!$D$96:$D$180, $I24), "N/A")="N/A", 1, 0))</f>
        <v>0</v>
      </c>
      <c r="CD24" s="7">
        <f t="shared" si="18"/>
        <v>0</v>
      </c>
      <c r="CE24" s="7">
        <f t="shared" si="19"/>
        <v>0</v>
      </c>
      <c r="CF24" s="7">
        <f t="shared" si="20"/>
        <v>0</v>
      </c>
      <c r="CG24" s="12"/>
      <c r="CH24" s="352">
        <f t="shared" si="21"/>
        <v>0</v>
      </c>
      <c r="CI24" s="352">
        <f t="shared" si="22"/>
        <v>0</v>
      </c>
      <c r="CJ24" s="352">
        <f t="shared" si="23"/>
        <v>0</v>
      </c>
      <c r="CK24" s="352">
        <f t="shared" si="24"/>
        <v>0</v>
      </c>
      <c r="CL24" s="352">
        <f t="shared" si="25"/>
        <v>0</v>
      </c>
      <c r="CM24" s="352">
        <f t="shared" si="26"/>
        <v>0</v>
      </c>
      <c r="CN24" s="352">
        <f t="shared" si="27"/>
        <v>0</v>
      </c>
      <c r="EX24" s="10" t="str">
        <f t="shared" si="1"/>
        <v/>
      </c>
    </row>
    <row r="25" spans="1:154" hidden="1" x14ac:dyDescent="0.25">
      <c r="A25" s="362" cm="1">
        <f t="array" aca="1" ref="A25" ca="1">HYPERLINK(CONCATENATE("#",CELL("address",IF(SUM($CA25:$CG25)=0,A25,INDEX($CA25:$CG25,MATCH(1,$CA25:$CG25,0))))),SUM($CA25:$CG25))</f>
        <v>0</v>
      </c>
      <c r="B25" s="335"/>
      <c r="C25" s="383"/>
      <c r="D25" s="137" t="s">
        <v>2316</v>
      </c>
      <c r="E25" s="136"/>
      <c r="F25" s="98" t="str" cm="1">
        <f t="array" aca="1" ref="F25" ca="1">IF(E25="", "", HYPERLINK(CONCATENATE("#",CELL("address",INDEX('I&amp;E Profiles'!$D$9:$D$93,'I&amp;E Annual'!I25))),E25))</f>
        <v/>
      </c>
      <c r="G25" s="136"/>
      <c r="I25" s="200" t="str">
        <f>IF(E25="", "", MATCH(E25, 'I&amp;E Profiles'!$D$96:$D$180,0))</f>
        <v/>
      </c>
      <c r="J25" s="215">
        <f>IF($G25=$G$7, W25,'I&amp;E Monthly'!W25)-SUMIFS('I&amp;E Monthly'!$AA25:$BJ25, 'I&amp;E Monthly'!$AA$3:$BJ$3, 'I&amp;E Annual'!W$3, 'I&amp;E Monthly'!$AA$4:$BJ$4, 0)</f>
        <v>0</v>
      </c>
      <c r="K25" s="215">
        <f>IF($G25=$G$7, X25,'I&amp;E Monthly'!X25)-SUMIFS('I&amp;E Monthly'!$AA25:$BJ25, 'I&amp;E Monthly'!$AA$3:$BJ$3, 'I&amp;E Annual'!X$3, 'I&amp;E Monthly'!$AA$4:$BJ$4, 0)</f>
        <v>0</v>
      </c>
      <c r="L25" s="215">
        <f>IF($G25=$G$7, Y25,'I&amp;E Monthly'!Y25)-SUMIFS('I&amp;E Monthly'!$AA25:$BJ25, 'I&amp;E Monthly'!$AA$3:$BJ$3, 'I&amp;E Annual'!Y$3, 'I&amp;E Monthly'!$AA$4:$BJ$4, 0)</f>
        <v>0</v>
      </c>
      <c r="M25" s="335"/>
      <c r="N25" s="335"/>
      <c r="O25" s="335"/>
      <c r="P25" s="335"/>
      <c r="Q25" s="2"/>
      <c r="R25" s="335"/>
      <c r="S25" s="335"/>
      <c r="T25" s="335"/>
      <c r="U25" s="335"/>
      <c r="V25" s="201">
        <f>'I&amp;E Monthly'!V25</f>
        <v>0</v>
      </c>
      <c r="W25" s="136"/>
      <c r="X25" s="136"/>
      <c r="Y25" s="136"/>
      <c r="Z25" s="335"/>
      <c r="AA25" s="153" cm="1">
        <f t="array" ref="AA25">IF(OR(AA$4=0, $G25&lt;&gt; $G$7, $E25=0), 'I&amp;E Monthly'!AA25, CHOOSE(Timeline!AA$30,$J25,$K25,$L25 )*INDEX('I&amp;E Profiles'!AA$96:AA$180,$I25))</f>
        <v>0</v>
      </c>
      <c r="AB25" s="153" cm="1">
        <f t="array" ref="AB25">IF(OR(AB$4=0, $G25&lt;&gt; $G$7, $E25=0), 'I&amp;E Monthly'!AB25, CHOOSE(Timeline!AB$30,$J25,$K25,$L25 )*INDEX('I&amp;E Profiles'!AB$96:AB$180,$I25))</f>
        <v>0</v>
      </c>
      <c r="AC25" s="153" cm="1">
        <f t="array" ref="AC25">IF(OR(AC$4=0, $G25&lt;&gt; $G$7, $E25=0), 'I&amp;E Monthly'!AC25, CHOOSE(Timeline!AC$30,$J25,$K25,$L25 )*INDEX('I&amp;E Profiles'!AC$96:AC$180,$I25))</f>
        <v>0</v>
      </c>
      <c r="AD25" s="153" cm="1">
        <f t="array" ref="AD25">IF(OR(AD$4=0, $G25&lt;&gt; $G$7, $E25=0), 'I&amp;E Monthly'!AD25, CHOOSE(Timeline!AD$30,$J25,$K25,$L25 )*INDEX('I&amp;E Profiles'!AD$96:AD$180,$I25))</f>
        <v>0</v>
      </c>
      <c r="AE25" s="153" cm="1">
        <f t="array" ref="AE25">IF(OR(AE$4=0, $G25&lt;&gt; $G$7, $E25=0), 'I&amp;E Monthly'!AE25, CHOOSE(Timeline!AE$30,$J25,$K25,$L25 )*INDEX('I&amp;E Profiles'!AE$96:AE$180,$I25))</f>
        <v>0</v>
      </c>
      <c r="AF25" s="153" cm="1">
        <f t="array" ref="AF25">IF(OR(AF$4=0, $G25&lt;&gt; $G$7, $E25=0), 'I&amp;E Monthly'!AF25, CHOOSE(Timeline!AF$30,$J25,$K25,$L25 )*INDEX('I&amp;E Profiles'!AF$96:AF$180,$I25))</f>
        <v>0</v>
      </c>
      <c r="AG25" s="153" cm="1">
        <f t="array" ref="AG25">IF(OR(AG$4=0, $G25&lt;&gt; $G$7, $E25=0), 'I&amp;E Monthly'!AG25, CHOOSE(Timeline!AG$30,$J25,$K25,$L25 )*INDEX('I&amp;E Profiles'!AG$96:AG$180,$I25))</f>
        <v>0</v>
      </c>
      <c r="AH25" s="153" cm="1">
        <f t="array" ref="AH25">IF(OR(AH$4=0, $G25&lt;&gt; $G$7, $E25=0), 'I&amp;E Monthly'!AH25, CHOOSE(Timeline!AH$30,$J25,$K25,$L25 )*INDEX('I&amp;E Profiles'!AH$96:AH$180,$I25))</f>
        <v>0</v>
      </c>
      <c r="AI25" s="153" cm="1">
        <f t="array" ref="AI25">IF(OR(AI$4=0, $G25&lt;&gt; $G$7, $E25=0), 'I&amp;E Monthly'!AI25, CHOOSE(Timeline!AI$30,$J25,$K25,$L25 )*INDEX('I&amp;E Profiles'!AI$96:AI$180,$I25))</f>
        <v>0</v>
      </c>
      <c r="AJ25" s="153" cm="1">
        <f t="array" ref="AJ25">IF(OR(AJ$4=0, $G25&lt;&gt; $G$7, $E25=0), 'I&amp;E Monthly'!AJ25, CHOOSE(Timeline!AJ$30,$J25,$K25,$L25 )*INDEX('I&amp;E Profiles'!AJ$96:AJ$180,$I25))</f>
        <v>0</v>
      </c>
      <c r="AK25" s="153" cm="1">
        <f t="array" ref="AK25">IF(OR(AK$4=0, $G25&lt;&gt; $G$7, $E25=0), 'I&amp;E Monthly'!AK25, CHOOSE(Timeline!AK$30,$J25,$K25,$L25 )*INDEX('I&amp;E Profiles'!AK$96:AK$180,$I25))</f>
        <v>0</v>
      </c>
      <c r="AL25" s="153" cm="1">
        <f t="array" ref="AL25">IF(OR(AL$4=0, $G25&lt;&gt; $G$7, $E25=0), 'I&amp;E Monthly'!AL25, CHOOSE(Timeline!AL$30,$J25,$K25,$L25 )*INDEX('I&amp;E Profiles'!AL$96:AL$180,$I25))</f>
        <v>0</v>
      </c>
      <c r="AM25" s="153" cm="1">
        <f t="array" ref="AM25">IF(OR(AM$4=0, $G25&lt;&gt; $G$7, $E25=0), 'I&amp;E Monthly'!AM25, CHOOSE(Timeline!AM$30,$J25,$K25,$L25 )*INDEX('I&amp;E Profiles'!AM$96:AM$180,$I25))</f>
        <v>0</v>
      </c>
      <c r="AN25" s="153" cm="1">
        <f t="array" ref="AN25">IF(OR(AN$4=0, $G25&lt;&gt; $G$7, $E25=0), 'I&amp;E Monthly'!AN25, CHOOSE(Timeline!AN$30,$J25,$K25,$L25 )*INDEX('I&amp;E Profiles'!AN$96:AN$180,$I25))</f>
        <v>0</v>
      </c>
      <c r="AO25" s="153" cm="1">
        <f t="array" ref="AO25">IF(OR(AO$4=0, $G25&lt;&gt; $G$7, $E25=0), 'I&amp;E Monthly'!AO25, CHOOSE(Timeline!AO$30,$J25,$K25,$L25 )*INDEX('I&amp;E Profiles'!AO$96:AO$180,$I25))</f>
        <v>0</v>
      </c>
      <c r="AP25" s="153" cm="1">
        <f t="array" ref="AP25">IF(OR(AP$4=0, $G25&lt;&gt; $G$7, $E25=0), 'I&amp;E Monthly'!AP25, CHOOSE(Timeline!AP$30,$J25,$K25,$L25 )*INDEX('I&amp;E Profiles'!AP$96:AP$180,$I25))</f>
        <v>0</v>
      </c>
      <c r="AQ25" s="153" cm="1">
        <f t="array" ref="AQ25">IF(OR(AQ$4=0, $G25&lt;&gt; $G$7, $E25=0), 'I&amp;E Monthly'!AQ25, CHOOSE(Timeline!AQ$30,$J25,$K25,$L25 )*INDEX('I&amp;E Profiles'!AQ$96:AQ$180,$I25))</f>
        <v>0</v>
      </c>
      <c r="AR25" s="153" cm="1">
        <f t="array" ref="AR25">IF(OR(AR$4=0, $G25&lt;&gt; $G$7, $E25=0), 'I&amp;E Monthly'!AR25, CHOOSE(Timeline!AR$30,$J25,$K25,$L25 )*INDEX('I&amp;E Profiles'!AR$96:AR$180,$I25))</f>
        <v>0</v>
      </c>
      <c r="AS25" s="153" cm="1">
        <f t="array" ref="AS25">IF(OR(AS$4=0, $G25&lt;&gt; $G$7, $E25=0), 'I&amp;E Monthly'!AS25, CHOOSE(Timeline!AS$30,$J25,$K25,$L25 )*INDEX('I&amp;E Profiles'!AS$96:AS$180,$I25))</f>
        <v>0</v>
      </c>
      <c r="AT25" s="153" cm="1">
        <f t="array" ref="AT25">IF(OR(AT$4=0, $G25&lt;&gt; $G$7, $E25=0), 'I&amp;E Monthly'!AT25, CHOOSE(Timeline!AT$30,$J25,$K25,$L25 )*INDEX('I&amp;E Profiles'!AT$96:AT$180,$I25))</f>
        <v>0</v>
      </c>
      <c r="AU25" s="153" cm="1">
        <f t="array" ref="AU25">IF(OR(AU$4=0, $G25&lt;&gt; $G$7, $E25=0), 'I&amp;E Monthly'!AU25, CHOOSE(Timeline!AU$30,$J25,$K25,$L25 )*INDEX('I&amp;E Profiles'!AU$96:AU$180,$I25))</f>
        <v>0</v>
      </c>
      <c r="AV25" s="153" cm="1">
        <f t="array" ref="AV25">IF(OR(AV$4=0, $G25&lt;&gt; $G$7, $E25=0), 'I&amp;E Monthly'!AV25, CHOOSE(Timeline!AV$30,$J25,$K25,$L25 )*INDEX('I&amp;E Profiles'!AV$96:AV$180,$I25))</f>
        <v>0</v>
      </c>
      <c r="AW25" s="153" cm="1">
        <f t="array" ref="AW25">IF(OR(AW$4=0, $G25&lt;&gt; $G$7, $E25=0), 'I&amp;E Monthly'!AW25, CHOOSE(Timeline!AW$30,$J25,$K25,$L25 )*INDEX('I&amp;E Profiles'!AW$96:AW$180,$I25))</f>
        <v>0</v>
      </c>
      <c r="AX25" s="153" cm="1">
        <f t="array" ref="AX25">IF(OR(AX$4=0, $G25&lt;&gt; $G$7, $E25=0), 'I&amp;E Monthly'!AX25, CHOOSE(Timeline!AX$30,$J25,$K25,$L25 )*INDEX('I&amp;E Profiles'!AX$96:AX$180,$I25))</f>
        <v>0</v>
      </c>
      <c r="AY25" s="153" cm="1">
        <f t="array" ref="AY25">IF(OR(AY$4=0, $G25&lt;&gt; $G$7, $E25=0), 'I&amp;E Monthly'!AY25, CHOOSE(Timeline!AY$30,$J25,$K25,$L25 )*INDEX('I&amp;E Profiles'!AY$96:AY$180,$I25))</f>
        <v>0</v>
      </c>
      <c r="AZ25" s="153" cm="1">
        <f t="array" ref="AZ25">IF(OR(AZ$4=0, $G25&lt;&gt; $G$7, $E25=0), 'I&amp;E Monthly'!AZ25, CHOOSE(Timeline!AZ$30,$J25,$K25,$L25 )*INDEX('I&amp;E Profiles'!AZ$96:AZ$180,$I25))</f>
        <v>0</v>
      </c>
      <c r="BA25" s="153" cm="1">
        <f t="array" ref="BA25">IF(OR(BA$4=0, $G25&lt;&gt; $G$7, $E25=0), 'I&amp;E Monthly'!BA25, CHOOSE(Timeline!BA$30,$J25,$K25,$L25 )*INDEX('I&amp;E Profiles'!BA$96:BA$180,$I25))</f>
        <v>0</v>
      </c>
      <c r="BB25" s="153" cm="1">
        <f t="array" ref="BB25">IF(OR(BB$4=0, $G25&lt;&gt; $G$7, $E25=0), 'I&amp;E Monthly'!BB25, CHOOSE(Timeline!BB$30,$J25,$K25,$L25 )*INDEX('I&amp;E Profiles'!BB$96:BB$180,$I25))</f>
        <v>0</v>
      </c>
      <c r="BC25" s="153" cm="1">
        <f t="array" ref="BC25">IF(OR(BC$4=0, $G25&lt;&gt; $G$7, $E25=0), 'I&amp;E Monthly'!BC25, CHOOSE(Timeline!BC$30,$J25,$K25,$L25 )*INDEX('I&amp;E Profiles'!BC$96:BC$180,$I25))</f>
        <v>0</v>
      </c>
      <c r="BD25" s="153" cm="1">
        <f t="array" ref="BD25">IF(OR(BD$4=0, $G25&lt;&gt; $G$7, $E25=0), 'I&amp;E Monthly'!BD25, CHOOSE(Timeline!BD$30,$J25,$K25,$L25 )*INDEX('I&amp;E Profiles'!BD$96:BD$180,$I25))</f>
        <v>0</v>
      </c>
      <c r="BE25" s="153" cm="1">
        <f t="array" ref="BE25">IF(OR(BE$4=0, $G25&lt;&gt; $G$7, $E25=0), 'I&amp;E Monthly'!BE25, CHOOSE(Timeline!BE$30,$J25,$K25,$L25 )*INDEX('I&amp;E Profiles'!BE$96:BE$180,$I25))</f>
        <v>0</v>
      </c>
      <c r="BF25" s="153" cm="1">
        <f t="array" ref="BF25">IF(OR(BF$4=0, $G25&lt;&gt; $G$7, $E25=0), 'I&amp;E Monthly'!BF25, CHOOSE(Timeline!BF$30,$J25,$K25,$L25 )*INDEX('I&amp;E Profiles'!BF$96:BF$180,$I25))</f>
        <v>0</v>
      </c>
      <c r="BG25" s="153" cm="1">
        <f t="array" ref="BG25">IF(OR(BG$4=0, $G25&lt;&gt; $G$7, $E25=0), 'I&amp;E Monthly'!BG25, CHOOSE(Timeline!BG$30,$J25,$K25,$L25 )*INDEX('I&amp;E Profiles'!BG$96:BG$180,$I25))</f>
        <v>0</v>
      </c>
      <c r="BH25" s="153" cm="1">
        <f t="array" ref="BH25">IF(OR(BH$4=0, $G25&lt;&gt; $G$7, $E25=0), 'I&amp;E Monthly'!BH25, CHOOSE(Timeline!BH$30,$J25,$K25,$L25 )*INDEX('I&amp;E Profiles'!BH$96:BH$180,$I25))</f>
        <v>0</v>
      </c>
      <c r="BI25" s="153" cm="1">
        <f t="array" ref="BI25">IF(OR(BI$4=0, $G25&lt;&gt; $G$7, $E25=0), 'I&amp;E Monthly'!BI25, CHOOSE(Timeline!BI$30,$J25,$K25,$L25 )*INDEX('I&amp;E Profiles'!BI$96:BI$180,$I25))</f>
        <v>0</v>
      </c>
      <c r="BJ25" s="153" cm="1">
        <f t="array" ref="BJ25">IF(OR(BJ$4=0, $G25&lt;&gt; $G$7, $E25=0), 'I&amp;E Monthly'!BJ25, CHOOSE(Timeline!BJ$30,$J25,$K25,$L25 )*INDEX('I&amp;E Profiles'!BJ$96:BJ$180,$I25))</f>
        <v>0</v>
      </c>
      <c r="BK25" s="335"/>
      <c r="BL25" s="13">
        <f t="shared" si="14"/>
        <v>0</v>
      </c>
      <c r="BM25" s="153">
        <f t="shared" si="15"/>
        <v>0</v>
      </c>
      <c r="BN25" s="153">
        <f t="shared" si="15"/>
        <v>0</v>
      </c>
      <c r="BO25" s="153">
        <f t="shared" si="15"/>
        <v>0</v>
      </c>
      <c r="BP25" s="13">
        <f>'I&amp;E Monthly'!BP25</f>
        <v>0</v>
      </c>
      <c r="BQ25" s="13">
        <f>'I&amp;E Monthly'!BQ25</f>
        <v>0</v>
      </c>
      <c r="BR25" s="13">
        <f>'I&amp;E Monthly'!BR25</f>
        <v>0</v>
      </c>
      <c r="BS25" s="13">
        <f>'I&amp;E Monthly'!BS25</f>
        <v>0</v>
      </c>
      <c r="BT25" s="13">
        <f>'I&amp;E Monthly'!BT25</f>
        <v>0</v>
      </c>
      <c r="BU25" s="13">
        <f>'I&amp;E Monthly'!BU25</f>
        <v>0</v>
      </c>
      <c r="BV25" s="13">
        <f>'I&amp;E Monthly'!BV25</f>
        <v>0</v>
      </c>
      <c r="BW25" s="13">
        <f>'I&amp;E Monthly'!BW25</f>
        <v>0</v>
      </c>
      <c r="BX25" s="335"/>
      <c r="BY25" s="12"/>
      <c r="BZ25" s="363">
        <f t="shared" ca="1" si="16"/>
        <v>0</v>
      </c>
      <c r="CA25" s="12"/>
      <c r="CB25" s="7">
        <f t="shared" si="17"/>
        <v>0</v>
      </c>
      <c r="CC25" s="188" cm="1">
        <f t="array" ref="CC25">IF(E25="",0, IF(_xlfn.IFNA(INDEX('I&amp;E Profiles'!$D$96:$D$180, $I25), "N/A")="N/A", 1, 0))</f>
        <v>0</v>
      </c>
      <c r="CD25" s="7">
        <f t="shared" si="18"/>
        <v>0</v>
      </c>
      <c r="CE25" s="7">
        <f t="shared" si="19"/>
        <v>0</v>
      </c>
      <c r="CF25" s="7">
        <f t="shared" si="20"/>
        <v>0</v>
      </c>
      <c r="CG25" s="12"/>
      <c r="CH25" s="352">
        <f t="shared" si="21"/>
        <v>0</v>
      </c>
      <c r="CI25" s="352">
        <f t="shared" si="22"/>
        <v>0</v>
      </c>
      <c r="CJ25" s="352">
        <f t="shared" si="23"/>
        <v>0</v>
      </c>
      <c r="CK25" s="352">
        <f t="shared" si="24"/>
        <v>0</v>
      </c>
      <c r="CL25" s="352">
        <f t="shared" si="25"/>
        <v>0</v>
      </c>
      <c r="CM25" s="352">
        <f t="shared" si="26"/>
        <v>0</v>
      </c>
      <c r="CN25" s="352">
        <f t="shared" si="27"/>
        <v>0</v>
      </c>
      <c r="EX25" s="10" t="str">
        <f t="shared" si="1"/>
        <v/>
      </c>
    </row>
    <row r="26" spans="1:154" hidden="1" x14ac:dyDescent="0.25">
      <c r="A26" s="362" cm="1">
        <f t="array" aca="1" ref="A26" ca="1">HYPERLINK(CONCATENATE("#",CELL("address",IF(SUM($CA26:$CG26)=0,A26,INDEX($CA26:$CG26,MATCH(1,$CA26:$CG26,0))))),SUM($CA26:$CG26))</f>
        <v>0</v>
      </c>
      <c r="B26" s="335"/>
      <c r="C26" s="383"/>
      <c r="D26" s="137" t="s">
        <v>2316</v>
      </c>
      <c r="E26" s="349"/>
      <c r="F26" s="98" t="str" cm="1">
        <f t="array" aca="1" ref="F26" ca="1">IF(E26="", "", HYPERLINK(CONCATENATE("#",CELL("address",INDEX('I&amp;E Profiles'!$D$9:$D$93,'I&amp;E Annual'!I26))),E26))</f>
        <v/>
      </c>
      <c r="G26" s="349"/>
      <c r="I26" s="350" t="str">
        <f>IF(E26="", "", MATCH(E26, 'I&amp;E Profiles'!$D$96:$D$180,0))</f>
        <v/>
      </c>
      <c r="J26" s="215">
        <f>IF($G26=$G$7, W26,'I&amp;E Monthly'!W26)-SUMIFS('I&amp;E Monthly'!$AA26:$BJ26, 'I&amp;E Monthly'!$AA$3:$BJ$3, 'I&amp;E Annual'!W$3, 'I&amp;E Monthly'!$AA$4:$BJ$4, 0)</f>
        <v>0</v>
      </c>
      <c r="K26" s="215">
        <f>IF($G26=$G$7, X26,'I&amp;E Monthly'!X26)-SUMIFS('I&amp;E Monthly'!$AA26:$BJ26, 'I&amp;E Monthly'!$AA$3:$BJ$3, 'I&amp;E Annual'!X$3, 'I&amp;E Monthly'!$AA$4:$BJ$4, 0)</f>
        <v>0</v>
      </c>
      <c r="L26" s="215">
        <f>IF($G26=$G$7, Y26,'I&amp;E Monthly'!Y26)-SUMIFS('I&amp;E Monthly'!$AA26:$BJ26, 'I&amp;E Monthly'!$AA$3:$BJ$3, 'I&amp;E Annual'!Y$3, 'I&amp;E Monthly'!$AA$4:$BJ$4, 0)</f>
        <v>0</v>
      </c>
      <c r="M26" s="335"/>
      <c r="N26" s="335"/>
      <c r="O26" s="335"/>
      <c r="P26" s="335"/>
      <c r="Q26" s="2"/>
      <c r="R26" s="335"/>
      <c r="S26" s="335"/>
      <c r="T26" s="335"/>
      <c r="U26" s="335"/>
      <c r="V26" s="201">
        <f>'I&amp;E Monthly'!V26</f>
        <v>0</v>
      </c>
      <c r="W26" s="136"/>
      <c r="X26" s="136"/>
      <c r="Y26" s="136"/>
      <c r="Z26" s="335"/>
      <c r="AA26" s="153" cm="1">
        <f t="array" ref="AA26">IF(OR(AA$4=0, $G26&lt;&gt; $G$7, $E26=0), 'I&amp;E Monthly'!AA26, CHOOSE(Timeline!AA$30,$J26,$K26,$L26 )*INDEX('I&amp;E Profiles'!AA$96:AA$180,$I26))</f>
        <v>0</v>
      </c>
      <c r="AB26" s="153" cm="1">
        <f t="array" ref="AB26">IF(OR(AB$4=0, $G26&lt;&gt; $G$7, $E26=0), 'I&amp;E Monthly'!AB26, CHOOSE(Timeline!AB$30,$J26,$K26,$L26 )*INDEX('I&amp;E Profiles'!AB$96:AB$180,$I26))</f>
        <v>0</v>
      </c>
      <c r="AC26" s="153" cm="1">
        <f t="array" ref="AC26">IF(OR(AC$4=0, $G26&lt;&gt; $G$7, $E26=0), 'I&amp;E Monthly'!AC26, CHOOSE(Timeline!AC$30,$J26,$K26,$L26 )*INDEX('I&amp;E Profiles'!AC$96:AC$180,$I26))</f>
        <v>0</v>
      </c>
      <c r="AD26" s="153" cm="1">
        <f t="array" ref="AD26">IF(OR(AD$4=0, $G26&lt;&gt; $G$7, $E26=0), 'I&amp;E Monthly'!AD26, CHOOSE(Timeline!AD$30,$J26,$K26,$L26 )*INDEX('I&amp;E Profiles'!AD$96:AD$180,$I26))</f>
        <v>0</v>
      </c>
      <c r="AE26" s="153" cm="1">
        <f t="array" ref="AE26">IF(OR(AE$4=0, $G26&lt;&gt; $G$7, $E26=0), 'I&amp;E Monthly'!AE26, CHOOSE(Timeline!AE$30,$J26,$K26,$L26 )*INDEX('I&amp;E Profiles'!AE$96:AE$180,$I26))</f>
        <v>0</v>
      </c>
      <c r="AF26" s="153" cm="1">
        <f t="array" ref="AF26">IF(OR(AF$4=0, $G26&lt;&gt; $G$7, $E26=0), 'I&amp;E Monthly'!AF26, CHOOSE(Timeline!AF$30,$J26,$K26,$L26 )*INDEX('I&amp;E Profiles'!AF$96:AF$180,$I26))</f>
        <v>0</v>
      </c>
      <c r="AG26" s="153" cm="1">
        <f t="array" ref="AG26">IF(OR(AG$4=0, $G26&lt;&gt; $G$7, $E26=0), 'I&amp;E Monthly'!AG26, CHOOSE(Timeline!AG$30,$J26,$K26,$L26 )*INDEX('I&amp;E Profiles'!AG$96:AG$180,$I26))</f>
        <v>0</v>
      </c>
      <c r="AH26" s="153" cm="1">
        <f t="array" ref="AH26">IF(OR(AH$4=0, $G26&lt;&gt; $G$7, $E26=0), 'I&amp;E Monthly'!AH26, CHOOSE(Timeline!AH$30,$J26,$K26,$L26 )*INDEX('I&amp;E Profiles'!AH$96:AH$180,$I26))</f>
        <v>0</v>
      </c>
      <c r="AI26" s="153" cm="1">
        <f t="array" ref="AI26">IF(OR(AI$4=0, $G26&lt;&gt; $G$7, $E26=0), 'I&amp;E Monthly'!AI26, CHOOSE(Timeline!AI$30,$J26,$K26,$L26 )*INDEX('I&amp;E Profiles'!AI$96:AI$180,$I26))</f>
        <v>0</v>
      </c>
      <c r="AJ26" s="153" cm="1">
        <f t="array" ref="AJ26">IF(OR(AJ$4=0, $G26&lt;&gt; $G$7, $E26=0), 'I&amp;E Monthly'!AJ26, CHOOSE(Timeline!AJ$30,$J26,$K26,$L26 )*INDEX('I&amp;E Profiles'!AJ$96:AJ$180,$I26))</f>
        <v>0</v>
      </c>
      <c r="AK26" s="153" cm="1">
        <f t="array" ref="AK26">IF(OR(AK$4=0, $G26&lt;&gt; $G$7, $E26=0), 'I&amp;E Monthly'!AK26, CHOOSE(Timeline!AK$30,$J26,$K26,$L26 )*INDEX('I&amp;E Profiles'!AK$96:AK$180,$I26))</f>
        <v>0</v>
      </c>
      <c r="AL26" s="153" cm="1">
        <f t="array" ref="AL26">IF(OR(AL$4=0, $G26&lt;&gt; $G$7, $E26=0), 'I&amp;E Monthly'!AL26, CHOOSE(Timeline!AL$30,$J26,$K26,$L26 )*INDEX('I&amp;E Profiles'!AL$96:AL$180,$I26))</f>
        <v>0</v>
      </c>
      <c r="AM26" s="153" cm="1">
        <f t="array" ref="AM26">IF(OR(AM$4=0, $G26&lt;&gt; $G$7, $E26=0), 'I&amp;E Monthly'!AM26, CHOOSE(Timeline!AM$30,$J26,$K26,$L26 )*INDEX('I&amp;E Profiles'!AM$96:AM$180,$I26))</f>
        <v>0</v>
      </c>
      <c r="AN26" s="153" cm="1">
        <f t="array" ref="AN26">IF(OR(AN$4=0, $G26&lt;&gt; $G$7, $E26=0), 'I&amp;E Monthly'!AN26, CHOOSE(Timeline!AN$30,$J26,$K26,$L26 )*INDEX('I&amp;E Profiles'!AN$96:AN$180,$I26))</f>
        <v>0</v>
      </c>
      <c r="AO26" s="153" cm="1">
        <f t="array" ref="AO26">IF(OR(AO$4=0, $G26&lt;&gt; $G$7, $E26=0), 'I&amp;E Monthly'!AO26, CHOOSE(Timeline!AO$30,$J26,$K26,$L26 )*INDEX('I&amp;E Profiles'!AO$96:AO$180,$I26))</f>
        <v>0</v>
      </c>
      <c r="AP26" s="153" cm="1">
        <f t="array" ref="AP26">IF(OR(AP$4=0, $G26&lt;&gt; $G$7, $E26=0), 'I&amp;E Monthly'!AP26, CHOOSE(Timeline!AP$30,$J26,$K26,$L26 )*INDEX('I&amp;E Profiles'!AP$96:AP$180,$I26))</f>
        <v>0</v>
      </c>
      <c r="AQ26" s="153" cm="1">
        <f t="array" ref="AQ26">IF(OR(AQ$4=0, $G26&lt;&gt; $G$7, $E26=0), 'I&amp;E Monthly'!AQ26, CHOOSE(Timeline!AQ$30,$J26,$K26,$L26 )*INDEX('I&amp;E Profiles'!AQ$96:AQ$180,$I26))</f>
        <v>0</v>
      </c>
      <c r="AR26" s="153" cm="1">
        <f t="array" ref="AR26">IF(OR(AR$4=0, $G26&lt;&gt; $G$7, $E26=0), 'I&amp;E Monthly'!AR26, CHOOSE(Timeline!AR$30,$J26,$K26,$L26 )*INDEX('I&amp;E Profiles'!AR$96:AR$180,$I26))</f>
        <v>0</v>
      </c>
      <c r="AS26" s="153" cm="1">
        <f t="array" ref="AS26">IF(OR(AS$4=0, $G26&lt;&gt; $G$7, $E26=0), 'I&amp;E Monthly'!AS26, CHOOSE(Timeline!AS$30,$J26,$K26,$L26 )*INDEX('I&amp;E Profiles'!AS$96:AS$180,$I26))</f>
        <v>0</v>
      </c>
      <c r="AT26" s="153" cm="1">
        <f t="array" ref="AT26">IF(OR(AT$4=0, $G26&lt;&gt; $G$7, $E26=0), 'I&amp;E Monthly'!AT26, CHOOSE(Timeline!AT$30,$J26,$K26,$L26 )*INDEX('I&amp;E Profiles'!AT$96:AT$180,$I26))</f>
        <v>0</v>
      </c>
      <c r="AU26" s="153" cm="1">
        <f t="array" ref="AU26">IF(OR(AU$4=0, $G26&lt;&gt; $G$7, $E26=0), 'I&amp;E Monthly'!AU26, CHOOSE(Timeline!AU$30,$J26,$K26,$L26 )*INDEX('I&amp;E Profiles'!AU$96:AU$180,$I26))</f>
        <v>0</v>
      </c>
      <c r="AV26" s="153" cm="1">
        <f t="array" ref="AV26">IF(OR(AV$4=0, $G26&lt;&gt; $G$7, $E26=0), 'I&amp;E Monthly'!AV26, CHOOSE(Timeline!AV$30,$J26,$K26,$L26 )*INDEX('I&amp;E Profiles'!AV$96:AV$180,$I26))</f>
        <v>0</v>
      </c>
      <c r="AW26" s="153" cm="1">
        <f t="array" ref="AW26">IF(OR(AW$4=0, $G26&lt;&gt; $G$7, $E26=0), 'I&amp;E Monthly'!AW26, CHOOSE(Timeline!AW$30,$J26,$K26,$L26 )*INDEX('I&amp;E Profiles'!AW$96:AW$180,$I26))</f>
        <v>0</v>
      </c>
      <c r="AX26" s="153" cm="1">
        <f t="array" ref="AX26">IF(OR(AX$4=0, $G26&lt;&gt; $G$7, $E26=0), 'I&amp;E Monthly'!AX26, CHOOSE(Timeline!AX$30,$J26,$K26,$L26 )*INDEX('I&amp;E Profiles'!AX$96:AX$180,$I26))</f>
        <v>0</v>
      </c>
      <c r="AY26" s="153" cm="1">
        <f t="array" ref="AY26">IF(OR(AY$4=0, $G26&lt;&gt; $G$7, $E26=0), 'I&amp;E Monthly'!AY26, CHOOSE(Timeline!AY$30,$J26,$K26,$L26 )*INDEX('I&amp;E Profiles'!AY$96:AY$180,$I26))</f>
        <v>0</v>
      </c>
      <c r="AZ26" s="153" cm="1">
        <f t="array" ref="AZ26">IF(OR(AZ$4=0, $G26&lt;&gt; $G$7, $E26=0), 'I&amp;E Monthly'!AZ26, CHOOSE(Timeline!AZ$30,$J26,$K26,$L26 )*INDEX('I&amp;E Profiles'!AZ$96:AZ$180,$I26))</f>
        <v>0</v>
      </c>
      <c r="BA26" s="153" cm="1">
        <f t="array" ref="BA26">IF(OR(BA$4=0, $G26&lt;&gt; $G$7, $E26=0), 'I&amp;E Monthly'!BA26, CHOOSE(Timeline!BA$30,$J26,$K26,$L26 )*INDEX('I&amp;E Profiles'!BA$96:BA$180,$I26))</f>
        <v>0</v>
      </c>
      <c r="BB26" s="153" cm="1">
        <f t="array" ref="BB26">IF(OR(BB$4=0, $G26&lt;&gt; $G$7, $E26=0), 'I&amp;E Monthly'!BB26, CHOOSE(Timeline!BB$30,$J26,$K26,$L26 )*INDEX('I&amp;E Profiles'!BB$96:BB$180,$I26))</f>
        <v>0</v>
      </c>
      <c r="BC26" s="153" cm="1">
        <f t="array" ref="BC26">IF(OR(BC$4=0, $G26&lt;&gt; $G$7, $E26=0), 'I&amp;E Monthly'!BC26, CHOOSE(Timeline!BC$30,$J26,$K26,$L26 )*INDEX('I&amp;E Profiles'!BC$96:BC$180,$I26))</f>
        <v>0</v>
      </c>
      <c r="BD26" s="153" cm="1">
        <f t="array" ref="BD26">IF(OR(BD$4=0, $G26&lt;&gt; $G$7, $E26=0), 'I&amp;E Monthly'!BD26, CHOOSE(Timeline!BD$30,$J26,$K26,$L26 )*INDEX('I&amp;E Profiles'!BD$96:BD$180,$I26))</f>
        <v>0</v>
      </c>
      <c r="BE26" s="153" cm="1">
        <f t="array" ref="BE26">IF(OR(BE$4=0, $G26&lt;&gt; $G$7, $E26=0), 'I&amp;E Monthly'!BE26, CHOOSE(Timeline!BE$30,$J26,$K26,$L26 )*INDEX('I&amp;E Profiles'!BE$96:BE$180,$I26))</f>
        <v>0</v>
      </c>
      <c r="BF26" s="153" cm="1">
        <f t="array" ref="BF26">IF(OR(BF$4=0, $G26&lt;&gt; $G$7, $E26=0), 'I&amp;E Monthly'!BF26, CHOOSE(Timeline!BF$30,$J26,$K26,$L26 )*INDEX('I&amp;E Profiles'!BF$96:BF$180,$I26))</f>
        <v>0</v>
      </c>
      <c r="BG26" s="153" cm="1">
        <f t="array" ref="BG26">IF(OR(BG$4=0, $G26&lt;&gt; $G$7, $E26=0), 'I&amp;E Monthly'!BG26, CHOOSE(Timeline!BG$30,$J26,$K26,$L26 )*INDEX('I&amp;E Profiles'!BG$96:BG$180,$I26))</f>
        <v>0</v>
      </c>
      <c r="BH26" s="153" cm="1">
        <f t="array" ref="BH26">IF(OR(BH$4=0, $G26&lt;&gt; $G$7, $E26=0), 'I&amp;E Monthly'!BH26, CHOOSE(Timeline!BH$30,$J26,$K26,$L26 )*INDEX('I&amp;E Profiles'!BH$96:BH$180,$I26))</f>
        <v>0</v>
      </c>
      <c r="BI26" s="153" cm="1">
        <f t="array" ref="BI26">IF(OR(BI$4=0, $G26&lt;&gt; $G$7, $E26=0), 'I&amp;E Monthly'!BI26, CHOOSE(Timeline!BI$30,$J26,$K26,$L26 )*INDEX('I&amp;E Profiles'!BI$96:BI$180,$I26))</f>
        <v>0</v>
      </c>
      <c r="BJ26" s="153" cm="1">
        <f t="array" ref="BJ26">IF(OR(BJ$4=0, $G26&lt;&gt; $G$7, $E26=0), 'I&amp;E Monthly'!BJ26, CHOOSE(Timeline!BJ$30,$J26,$K26,$L26 )*INDEX('I&amp;E Profiles'!BJ$96:BJ$180,$I26))</f>
        <v>0</v>
      </c>
      <c r="BK26" s="335"/>
      <c r="BL26" s="13">
        <f t="shared" si="14"/>
        <v>0</v>
      </c>
      <c r="BM26" s="153">
        <f t="shared" si="15"/>
        <v>0</v>
      </c>
      <c r="BN26" s="153">
        <f t="shared" si="15"/>
        <v>0</v>
      </c>
      <c r="BO26" s="153">
        <f t="shared" si="15"/>
        <v>0</v>
      </c>
      <c r="BP26" s="13">
        <f>'I&amp;E Monthly'!BP26</f>
        <v>0</v>
      </c>
      <c r="BQ26" s="13">
        <f>'I&amp;E Monthly'!BQ26</f>
        <v>0</v>
      </c>
      <c r="BR26" s="13">
        <f>'I&amp;E Monthly'!BR26</f>
        <v>0</v>
      </c>
      <c r="BS26" s="13">
        <f>'I&amp;E Monthly'!BS26</f>
        <v>0</v>
      </c>
      <c r="BT26" s="13">
        <f>'I&amp;E Monthly'!BT26</f>
        <v>0</v>
      </c>
      <c r="BU26" s="13">
        <f>'I&amp;E Monthly'!BU26</f>
        <v>0</v>
      </c>
      <c r="BV26" s="13">
        <f>'I&amp;E Monthly'!BV26</f>
        <v>0</v>
      </c>
      <c r="BW26" s="13">
        <f>'I&amp;E Monthly'!BW26</f>
        <v>0</v>
      </c>
      <c r="BX26" s="335"/>
      <c r="BY26" s="12"/>
      <c r="BZ26" s="363">
        <f t="shared" ca="1" si="16"/>
        <v>0</v>
      </c>
      <c r="CA26" s="12"/>
      <c r="CB26" s="7">
        <f t="shared" si="17"/>
        <v>0</v>
      </c>
      <c r="CC26" s="188" cm="1">
        <f t="array" ref="CC26">IF(E26="",0, IF(_xlfn.IFNA(INDEX('I&amp;E Profiles'!$D$96:$D$180, $I26), "N/A")="N/A", 1, 0))</f>
        <v>0</v>
      </c>
      <c r="CD26" s="7">
        <f t="shared" si="18"/>
        <v>0</v>
      </c>
      <c r="CE26" s="7">
        <f t="shared" si="19"/>
        <v>0</v>
      </c>
      <c r="CF26" s="7">
        <f t="shared" si="20"/>
        <v>0</v>
      </c>
      <c r="CG26" s="12"/>
      <c r="CH26" s="352">
        <f t="shared" si="21"/>
        <v>0</v>
      </c>
      <c r="CI26" s="352">
        <f t="shared" si="22"/>
        <v>0</v>
      </c>
      <c r="CJ26" s="352">
        <f t="shared" si="23"/>
        <v>0</v>
      </c>
      <c r="CK26" s="352">
        <f t="shared" si="24"/>
        <v>0</v>
      </c>
      <c r="CL26" s="352">
        <f t="shared" si="25"/>
        <v>0</v>
      </c>
      <c r="CM26" s="352">
        <f t="shared" si="26"/>
        <v>0</v>
      </c>
      <c r="CN26" s="352">
        <f t="shared" si="27"/>
        <v>0</v>
      </c>
      <c r="EX26" s="10" t="str">
        <f t="shared" si="1"/>
        <v/>
      </c>
    </row>
    <row r="27" spans="1:154" x14ac:dyDescent="0.25">
      <c r="A27" s="362" cm="1">
        <f t="array" aca="1" ref="A27" ca="1">HYPERLINK(CONCATENATE("#",CELL("address",IF(SUM($CA27:$CG27)=0,A27,INDEX($CA27:$CG27,MATCH(1,$CA27:$CG27,0))))),SUM($CA27:$CG27))</f>
        <v>0</v>
      </c>
      <c r="B27" s="335"/>
      <c r="C27" s="343" t="s">
        <v>434</v>
      </c>
      <c r="D27" s="194" t="s">
        <v>427</v>
      </c>
      <c r="E27" s="147"/>
      <c r="F27" s="98" t="str" cm="1">
        <f t="array" aca="1" ref="F27" ca="1">IF(E27="", "", HYPERLINK(CONCATENATE("#",CELL("address",INDEX('I&amp;E Profiles'!$D$9:$D$93,'I&amp;E Annual'!I27))),E27))</f>
        <v/>
      </c>
      <c r="G27" s="372" t="s">
        <v>211</v>
      </c>
      <c r="H27" s="67" t="s">
        <v>8</v>
      </c>
      <c r="I27" s="350" t="str">
        <f>IF(E27="", "", MATCH(E27, 'I&amp;E Profiles'!$D$96:$D$180,0))</f>
        <v/>
      </c>
      <c r="J27" s="215">
        <f>IF($G27=$G$7, W27,'I&amp;E Monthly'!W27)-SUMIFS('I&amp;E Monthly'!$AA27:$BJ27, 'I&amp;E Monthly'!$AA$3:$BJ$3, 'I&amp;E Annual'!W$3, 'I&amp;E Monthly'!$AA$4:$BJ$4, 0)</f>
        <v>0</v>
      </c>
      <c r="K27" s="215">
        <f>IF($G27=$G$7, X27,'I&amp;E Monthly'!X27)-SUMIFS('I&amp;E Monthly'!$AA27:$BJ27, 'I&amp;E Monthly'!$AA$3:$BJ$3, 'I&amp;E Annual'!X$3, 'I&amp;E Monthly'!$AA$4:$BJ$4, 0)</f>
        <v>0</v>
      </c>
      <c r="L27" s="215">
        <f>IF($G27=$G$7, Y27,'I&amp;E Monthly'!Y27)-SUMIFS('I&amp;E Monthly'!$AA27:$BJ27, 'I&amp;E Monthly'!$AA$3:$BJ$3, 'I&amp;E Annual'!Y$3, 'I&amp;E Monthly'!$AA$4:$BJ$4, 0)</f>
        <v>0</v>
      </c>
      <c r="M27" s="335"/>
      <c r="N27" s="335"/>
      <c r="O27" s="335"/>
      <c r="P27" s="335"/>
      <c r="Q27" s="2"/>
      <c r="R27" s="335"/>
      <c r="S27" s="335"/>
      <c r="T27" s="335"/>
      <c r="U27" s="335"/>
      <c r="V27" s="201">
        <f>'I&amp;E Monthly'!V27</f>
        <v>0</v>
      </c>
      <c r="W27" s="354"/>
      <c r="X27" s="198"/>
      <c r="Y27" s="198"/>
      <c r="Z27" s="335"/>
      <c r="AA27" s="153" cm="1">
        <f t="array" ref="AA27">IF(OR(AA$4=0, $G27&lt;&gt; $G$7, $E27=0), 'I&amp;E Monthly'!AA27, CHOOSE(Timeline!AA$30,$J27,$K27,$L27 )*INDEX('I&amp;E Profiles'!AA$96:AA$180,$I27))</f>
        <v>0</v>
      </c>
      <c r="AB27" s="153" cm="1">
        <f t="array" ref="AB27">IF(OR(AB$4=0, $G27&lt;&gt; $G$7, $E27=0), 'I&amp;E Monthly'!AB27, CHOOSE(Timeline!AB$30,$J27,$K27,$L27 )*INDEX('I&amp;E Profiles'!AB$96:AB$180,$I27))</f>
        <v>0</v>
      </c>
      <c r="AC27" s="153" cm="1">
        <f t="array" ref="AC27">IF(OR(AC$4=0, $G27&lt;&gt; $G$7, $E27=0), 'I&amp;E Monthly'!AC27, CHOOSE(Timeline!AC$30,$J27,$K27,$L27 )*INDEX('I&amp;E Profiles'!AC$96:AC$180,$I27))</f>
        <v>0</v>
      </c>
      <c r="AD27" s="153" cm="1">
        <f t="array" ref="AD27">IF(OR(AD$4=0, $G27&lt;&gt; $G$7, $E27=0), 'I&amp;E Monthly'!AD27, CHOOSE(Timeline!AD$30,$J27,$K27,$L27 )*INDEX('I&amp;E Profiles'!AD$96:AD$180,$I27))</f>
        <v>0</v>
      </c>
      <c r="AE27" s="153" cm="1">
        <f t="array" ref="AE27">IF(OR(AE$4=0, $G27&lt;&gt; $G$7, $E27=0), 'I&amp;E Monthly'!AE27, CHOOSE(Timeline!AE$30,$J27,$K27,$L27 )*INDEX('I&amp;E Profiles'!AE$96:AE$180,$I27))</f>
        <v>0</v>
      </c>
      <c r="AF27" s="153" cm="1">
        <f t="array" ref="AF27">IF(OR(AF$4=0, $G27&lt;&gt; $G$7, $E27=0), 'I&amp;E Monthly'!AF27, CHOOSE(Timeline!AF$30,$J27,$K27,$L27 )*INDEX('I&amp;E Profiles'!AF$96:AF$180,$I27))</f>
        <v>0</v>
      </c>
      <c r="AG27" s="153" cm="1">
        <f t="array" ref="AG27">IF(OR(AG$4=0, $G27&lt;&gt; $G$7, $E27=0), 'I&amp;E Monthly'!AG27, CHOOSE(Timeline!AG$30,$J27,$K27,$L27 )*INDEX('I&amp;E Profiles'!AG$96:AG$180,$I27))</f>
        <v>0</v>
      </c>
      <c r="AH27" s="153" cm="1">
        <f t="array" ref="AH27">IF(OR(AH$4=0, $G27&lt;&gt; $G$7, $E27=0), 'I&amp;E Monthly'!AH27, CHOOSE(Timeline!AH$30,$J27,$K27,$L27 )*INDEX('I&amp;E Profiles'!AH$96:AH$180,$I27))</f>
        <v>0</v>
      </c>
      <c r="AI27" s="153" cm="1">
        <f t="array" ref="AI27">IF(OR(AI$4=0, $G27&lt;&gt; $G$7, $E27=0), 'I&amp;E Monthly'!AI27, CHOOSE(Timeline!AI$30,$J27,$K27,$L27 )*INDEX('I&amp;E Profiles'!AI$96:AI$180,$I27))</f>
        <v>0</v>
      </c>
      <c r="AJ27" s="153" cm="1">
        <f t="array" ref="AJ27">IF(OR(AJ$4=0, $G27&lt;&gt; $G$7, $E27=0), 'I&amp;E Monthly'!AJ27, CHOOSE(Timeline!AJ$30,$J27,$K27,$L27 )*INDEX('I&amp;E Profiles'!AJ$96:AJ$180,$I27))</f>
        <v>0</v>
      </c>
      <c r="AK27" s="153" cm="1">
        <f t="array" ref="AK27">IF(OR(AK$4=0, $G27&lt;&gt; $G$7, $E27=0), 'I&amp;E Monthly'!AK27, CHOOSE(Timeline!AK$30,$J27,$K27,$L27 )*INDEX('I&amp;E Profiles'!AK$96:AK$180,$I27))</f>
        <v>0</v>
      </c>
      <c r="AL27" s="153" cm="1">
        <f t="array" ref="AL27">IF(OR(AL$4=0, $G27&lt;&gt; $G$7, $E27=0), 'I&amp;E Monthly'!AL27, CHOOSE(Timeline!AL$30,$J27,$K27,$L27 )*INDEX('I&amp;E Profiles'!AL$96:AL$180,$I27))</f>
        <v>0</v>
      </c>
      <c r="AM27" s="153" cm="1">
        <f t="array" ref="AM27">IF(OR(AM$4=0, $G27&lt;&gt; $G$7, $E27=0), 'I&amp;E Monthly'!AM27, CHOOSE(Timeline!AM$30,$J27,$K27,$L27 )*INDEX('I&amp;E Profiles'!AM$96:AM$180,$I27))</f>
        <v>0</v>
      </c>
      <c r="AN27" s="153" cm="1">
        <f t="array" ref="AN27">IF(OR(AN$4=0, $G27&lt;&gt; $G$7, $E27=0), 'I&amp;E Monthly'!AN27, CHOOSE(Timeline!AN$30,$J27,$K27,$L27 )*INDEX('I&amp;E Profiles'!AN$96:AN$180,$I27))</f>
        <v>0</v>
      </c>
      <c r="AO27" s="153" cm="1">
        <f t="array" ref="AO27">IF(OR(AO$4=0, $G27&lt;&gt; $G$7, $E27=0), 'I&amp;E Monthly'!AO27, CHOOSE(Timeline!AO$30,$J27,$K27,$L27 )*INDEX('I&amp;E Profiles'!AO$96:AO$180,$I27))</f>
        <v>0</v>
      </c>
      <c r="AP27" s="153" cm="1">
        <f t="array" ref="AP27">IF(OR(AP$4=0, $G27&lt;&gt; $G$7, $E27=0), 'I&amp;E Monthly'!AP27, CHOOSE(Timeline!AP$30,$J27,$K27,$L27 )*INDEX('I&amp;E Profiles'!AP$96:AP$180,$I27))</f>
        <v>0</v>
      </c>
      <c r="AQ27" s="153" cm="1">
        <f t="array" ref="AQ27">IF(OR(AQ$4=0, $G27&lt;&gt; $G$7, $E27=0), 'I&amp;E Monthly'!AQ27, CHOOSE(Timeline!AQ$30,$J27,$K27,$L27 )*INDEX('I&amp;E Profiles'!AQ$96:AQ$180,$I27))</f>
        <v>0</v>
      </c>
      <c r="AR27" s="153" cm="1">
        <f t="array" ref="AR27">IF(OR(AR$4=0, $G27&lt;&gt; $G$7, $E27=0), 'I&amp;E Monthly'!AR27, CHOOSE(Timeline!AR$30,$J27,$K27,$L27 )*INDEX('I&amp;E Profiles'!AR$96:AR$180,$I27))</f>
        <v>0</v>
      </c>
      <c r="AS27" s="153" cm="1">
        <f t="array" ref="AS27">IF(OR(AS$4=0, $G27&lt;&gt; $G$7, $E27=0), 'I&amp;E Monthly'!AS27, CHOOSE(Timeline!AS$30,$J27,$K27,$L27 )*INDEX('I&amp;E Profiles'!AS$96:AS$180,$I27))</f>
        <v>0</v>
      </c>
      <c r="AT27" s="153" cm="1">
        <f t="array" ref="AT27">IF(OR(AT$4=0, $G27&lt;&gt; $G$7, $E27=0), 'I&amp;E Monthly'!AT27, CHOOSE(Timeline!AT$30,$J27,$K27,$L27 )*INDEX('I&amp;E Profiles'!AT$96:AT$180,$I27))</f>
        <v>0</v>
      </c>
      <c r="AU27" s="153" cm="1">
        <f t="array" ref="AU27">IF(OR(AU$4=0, $G27&lt;&gt; $G$7, $E27=0), 'I&amp;E Monthly'!AU27, CHOOSE(Timeline!AU$30,$J27,$K27,$L27 )*INDEX('I&amp;E Profiles'!AU$96:AU$180,$I27))</f>
        <v>0</v>
      </c>
      <c r="AV27" s="153" cm="1">
        <f t="array" ref="AV27">IF(OR(AV$4=0, $G27&lt;&gt; $G$7, $E27=0), 'I&amp;E Monthly'!AV27, CHOOSE(Timeline!AV$30,$J27,$K27,$L27 )*INDEX('I&amp;E Profiles'!AV$96:AV$180,$I27))</f>
        <v>0</v>
      </c>
      <c r="AW27" s="153" cm="1">
        <f t="array" ref="AW27">IF(OR(AW$4=0, $G27&lt;&gt; $G$7, $E27=0), 'I&amp;E Monthly'!AW27, CHOOSE(Timeline!AW$30,$J27,$K27,$L27 )*INDEX('I&amp;E Profiles'!AW$96:AW$180,$I27))</f>
        <v>0</v>
      </c>
      <c r="AX27" s="153" cm="1">
        <f t="array" ref="AX27">IF(OR(AX$4=0, $G27&lt;&gt; $G$7, $E27=0), 'I&amp;E Monthly'!AX27, CHOOSE(Timeline!AX$30,$J27,$K27,$L27 )*INDEX('I&amp;E Profiles'!AX$96:AX$180,$I27))</f>
        <v>0</v>
      </c>
      <c r="AY27" s="153" cm="1">
        <f t="array" ref="AY27">IF(OR(AY$4=0, $G27&lt;&gt; $G$7, $E27=0), 'I&amp;E Monthly'!AY27, CHOOSE(Timeline!AY$30,$J27,$K27,$L27 )*INDEX('I&amp;E Profiles'!AY$96:AY$180,$I27))</f>
        <v>0</v>
      </c>
      <c r="AZ27" s="153" cm="1">
        <f t="array" ref="AZ27">IF(OR(AZ$4=0, $G27&lt;&gt; $G$7, $E27=0), 'I&amp;E Monthly'!AZ27, CHOOSE(Timeline!AZ$30,$J27,$K27,$L27 )*INDEX('I&amp;E Profiles'!AZ$96:AZ$180,$I27))</f>
        <v>0</v>
      </c>
      <c r="BA27" s="153" cm="1">
        <f t="array" ref="BA27">IF(OR(BA$4=0, $G27&lt;&gt; $G$7, $E27=0), 'I&amp;E Monthly'!BA27, CHOOSE(Timeline!BA$30,$J27,$K27,$L27 )*INDEX('I&amp;E Profiles'!BA$96:BA$180,$I27))</f>
        <v>0</v>
      </c>
      <c r="BB27" s="153" cm="1">
        <f t="array" ref="BB27">IF(OR(BB$4=0, $G27&lt;&gt; $G$7, $E27=0), 'I&amp;E Monthly'!BB27, CHOOSE(Timeline!BB$30,$J27,$K27,$L27 )*INDEX('I&amp;E Profiles'!BB$96:BB$180,$I27))</f>
        <v>0</v>
      </c>
      <c r="BC27" s="153" cm="1">
        <f t="array" ref="BC27">IF(OR(BC$4=0, $G27&lt;&gt; $G$7, $E27=0), 'I&amp;E Monthly'!BC27, CHOOSE(Timeline!BC$30,$J27,$K27,$L27 )*INDEX('I&amp;E Profiles'!BC$96:BC$180,$I27))</f>
        <v>0</v>
      </c>
      <c r="BD27" s="153" cm="1">
        <f t="array" ref="BD27">IF(OR(BD$4=0, $G27&lt;&gt; $G$7, $E27=0), 'I&amp;E Monthly'!BD27, CHOOSE(Timeline!BD$30,$J27,$K27,$L27 )*INDEX('I&amp;E Profiles'!BD$96:BD$180,$I27))</f>
        <v>0</v>
      </c>
      <c r="BE27" s="153" cm="1">
        <f t="array" ref="BE27">IF(OR(BE$4=0, $G27&lt;&gt; $G$7, $E27=0), 'I&amp;E Monthly'!BE27, CHOOSE(Timeline!BE$30,$J27,$K27,$L27 )*INDEX('I&amp;E Profiles'!BE$96:BE$180,$I27))</f>
        <v>0</v>
      </c>
      <c r="BF27" s="153" cm="1">
        <f t="array" ref="BF27">IF(OR(BF$4=0, $G27&lt;&gt; $G$7, $E27=0), 'I&amp;E Monthly'!BF27, CHOOSE(Timeline!BF$30,$J27,$K27,$L27 )*INDEX('I&amp;E Profiles'!BF$96:BF$180,$I27))</f>
        <v>0</v>
      </c>
      <c r="BG27" s="153" cm="1">
        <f t="array" ref="BG27">IF(OR(BG$4=0, $G27&lt;&gt; $G$7, $E27=0), 'I&amp;E Monthly'!BG27, CHOOSE(Timeline!BG$30,$J27,$K27,$L27 )*INDEX('I&amp;E Profiles'!BG$96:BG$180,$I27))</f>
        <v>0</v>
      </c>
      <c r="BH27" s="153" cm="1">
        <f t="array" ref="BH27">IF(OR(BH$4=0, $G27&lt;&gt; $G$7, $E27=0), 'I&amp;E Monthly'!BH27, CHOOSE(Timeline!BH$30,$J27,$K27,$L27 )*INDEX('I&amp;E Profiles'!BH$96:BH$180,$I27))</f>
        <v>0</v>
      </c>
      <c r="BI27" s="153" cm="1">
        <f t="array" ref="BI27">IF(OR(BI$4=0, $G27&lt;&gt; $G$7, $E27=0), 'I&amp;E Monthly'!BI27, CHOOSE(Timeline!BI$30,$J27,$K27,$L27 )*INDEX('I&amp;E Profiles'!BI$96:BI$180,$I27))</f>
        <v>0</v>
      </c>
      <c r="BJ27" s="153" cm="1">
        <f t="array" ref="BJ27">IF(OR(BJ$4=0, $G27&lt;&gt; $G$7, $E27=0), 'I&amp;E Monthly'!BJ27, CHOOSE(Timeline!BJ$30,$J27,$K27,$L27 )*INDEX('I&amp;E Profiles'!BJ$96:BJ$180,$I27))</f>
        <v>0</v>
      </c>
      <c r="BK27" s="335"/>
      <c r="BL27" s="13">
        <f t="shared" si="14"/>
        <v>0</v>
      </c>
      <c r="BM27" s="153">
        <f t="shared" si="15"/>
        <v>0</v>
      </c>
      <c r="BN27" s="153">
        <f t="shared" si="15"/>
        <v>0</v>
      </c>
      <c r="BO27" s="153">
        <f t="shared" si="15"/>
        <v>0</v>
      </c>
      <c r="BP27" s="13">
        <f>'I&amp;E Monthly'!BP27</f>
        <v>0</v>
      </c>
      <c r="BQ27" s="13">
        <f>'I&amp;E Monthly'!BQ27</f>
        <v>0</v>
      </c>
      <c r="BR27" s="13">
        <f>'I&amp;E Monthly'!BR27</f>
        <v>0</v>
      </c>
      <c r="BS27" s="13">
        <f>'I&amp;E Monthly'!BS27</f>
        <v>0</v>
      </c>
      <c r="BT27" s="13">
        <f>'I&amp;E Monthly'!BT27</f>
        <v>0</v>
      </c>
      <c r="BU27" s="13">
        <f>'I&amp;E Monthly'!BU27</f>
        <v>0</v>
      </c>
      <c r="BV27" s="13">
        <f>'I&amp;E Monthly'!BV27</f>
        <v>0</v>
      </c>
      <c r="BW27" s="13">
        <f>'I&amp;E Monthly'!BW27</f>
        <v>0</v>
      </c>
      <c r="BX27" s="335"/>
      <c r="BY27" s="12"/>
      <c r="BZ27" s="363">
        <f t="shared" ca="1" si="16"/>
        <v>0</v>
      </c>
      <c r="CA27" s="12"/>
      <c r="CB27" s="7">
        <f t="shared" si="17"/>
        <v>0</v>
      </c>
      <c r="CC27" s="188" cm="1">
        <f t="array" ref="CC27">IF(E27="",0, IF(_xlfn.IFNA(INDEX('I&amp;E Profiles'!$D$96:$D$180, $I27), "N/A")="N/A", 1, 0))</f>
        <v>0</v>
      </c>
      <c r="CD27" s="7">
        <f t="shared" si="18"/>
        <v>0</v>
      </c>
      <c r="CE27" s="7">
        <f t="shared" si="19"/>
        <v>0</v>
      </c>
      <c r="CF27" s="7">
        <f t="shared" si="20"/>
        <v>0</v>
      </c>
      <c r="CG27" s="12"/>
      <c r="CH27" s="352">
        <f t="shared" si="21"/>
        <v>0</v>
      </c>
      <c r="CI27" s="352">
        <f t="shared" si="22"/>
        <v>0</v>
      </c>
      <c r="CJ27" s="352">
        <f t="shared" si="23"/>
        <v>0</v>
      </c>
      <c r="CK27" s="352">
        <f t="shared" si="24"/>
        <v>0</v>
      </c>
      <c r="CL27" s="352">
        <f t="shared" si="25"/>
        <v>0</v>
      </c>
      <c r="CM27" s="352">
        <f t="shared" si="26"/>
        <v>0</v>
      </c>
      <c r="CN27" s="352">
        <f t="shared" si="27"/>
        <v>0</v>
      </c>
      <c r="EX27" s="10" t="str">
        <f t="shared" si="1"/>
        <v>Subcontracted in: 16-19 income</v>
      </c>
    </row>
    <row r="28" spans="1:154" s="5" customFormat="1" x14ac:dyDescent="0.25">
      <c r="A28" s="362" cm="1">
        <f t="array" aca="1" ref="A28" ca="1">HYPERLINK(CONCATENATE("#",CELL("address",IF(SUM($CA28:$CG28)=0,A28,INDEX($CA28:$CG28,MATCH(1,$CA28:$CG28,0))))),SUM($CA28:$CG28))</f>
        <v>0</v>
      </c>
      <c r="C28" s="343" t="s">
        <v>435</v>
      </c>
      <c r="D28" s="433" t="s">
        <v>20</v>
      </c>
      <c r="E28" s="82"/>
      <c r="F28" s="82"/>
      <c r="G28" s="82"/>
      <c r="H28" s="5" t="s">
        <v>8</v>
      </c>
      <c r="I28" s="82"/>
      <c r="Q28" s="2"/>
      <c r="R28" s="335"/>
      <c r="S28" s="67"/>
      <c r="T28" s="335"/>
      <c r="U28" s="335"/>
      <c r="V28" s="152">
        <f>SUM(V19:V27)</f>
        <v>0</v>
      </c>
      <c r="W28" s="152">
        <f>SUM(W19:W27)</f>
        <v>0</v>
      </c>
      <c r="X28" s="152">
        <f>SUM(X19:X27)</f>
        <v>0</v>
      </c>
      <c r="Y28" s="152">
        <f>SUM(Y19:Y27)</f>
        <v>0</v>
      </c>
      <c r="AA28" s="152">
        <f t="shared" ref="AA28:BJ28" si="28">SUM(AA19:AA27)</f>
        <v>2586</v>
      </c>
      <c r="AB28" s="152">
        <f t="shared" si="28"/>
        <v>1944</v>
      </c>
      <c r="AC28" s="152">
        <f t="shared" si="28"/>
        <v>2049</v>
      </c>
      <c r="AD28" s="152">
        <f t="shared" si="28"/>
        <v>1692</v>
      </c>
      <c r="AE28" s="152">
        <f t="shared" si="28"/>
        <v>1176</v>
      </c>
      <c r="AF28" s="152">
        <f t="shared" si="28"/>
        <v>1186</v>
      </c>
      <c r="AG28" s="152">
        <f t="shared" si="28"/>
        <v>1125</v>
      </c>
      <c r="AH28" s="152">
        <f t="shared" si="28"/>
        <v>1150</v>
      </c>
      <c r="AI28" s="152">
        <f t="shared" si="28"/>
        <v>2643</v>
      </c>
      <c r="AJ28" s="152">
        <f t="shared" si="28"/>
        <v>2496</v>
      </c>
      <c r="AK28" s="152">
        <f t="shared" si="28"/>
        <v>2021</v>
      </c>
      <c r="AL28" s="152">
        <f t="shared" si="28"/>
        <v>1202</v>
      </c>
      <c r="AM28" s="152">
        <f t="shared" si="28"/>
        <v>2789</v>
      </c>
      <c r="AN28" s="152">
        <f t="shared" si="28"/>
        <v>2096</v>
      </c>
      <c r="AO28" s="152">
        <f t="shared" si="28"/>
        <v>2121</v>
      </c>
      <c r="AP28" s="152">
        <f t="shared" si="28"/>
        <v>1652</v>
      </c>
      <c r="AQ28" s="152">
        <f t="shared" si="28"/>
        <v>1256</v>
      </c>
      <c r="AR28" s="152">
        <f t="shared" si="28"/>
        <v>1244</v>
      </c>
      <c r="AS28" s="152">
        <f t="shared" si="28"/>
        <v>1153</v>
      </c>
      <c r="AT28" s="152">
        <f t="shared" si="28"/>
        <v>1274</v>
      </c>
      <c r="AU28" s="152">
        <f t="shared" si="28"/>
        <v>2805</v>
      </c>
      <c r="AV28" s="152">
        <f t="shared" si="28"/>
        <v>2579</v>
      </c>
      <c r="AW28" s="152">
        <f t="shared" si="28"/>
        <v>2130</v>
      </c>
      <c r="AX28" s="152">
        <f t="shared" si="28"/>
        <v>1272</v>
      </c>
      <c r="AY28" s="152">
        <f t="shared" si="28"/>
        <v>2884.3033333333337</v>
      </c>
      <c r="AZ28" s="152">
        <f t="shared" si="28"/>
        <v>2167.6466666666665</v>
      </c>
      <c r="BA28" s="152">
        <f t="shared" si="28"/>
        <v>2193.5333333333333</v>
      </c>
      <c r="BB28" s="152">
        <f t="shared" si="28"/>
        <v>1708.4666666666667</v>
      </c>
      <c r="BC28" s="152">
        <f t="shared" si="28"/>
        <v>1298.6100000000001</v>
      </c>
      <c r="BD28" s="152">
        <f t="shared" si="28"/>
        <v>1286.6100000000001</v>
      </c>
      <c r="BE28" s="152">
        <f t="shared" si="28"/>
        <v>1192.4833333333333</v>
      </c>
      <c r="BF28" s="152">
        <f t="shared" si="28"/>
        <v>1323.0766666666668</v>
      </c>
      <c r="BG28" s="152">
        <f t="shared" si="28"/>
        <v>2905.3033333333337</v>
      </c>
      <c r="BH28" s="152">
        <f t="shared" si="28"/>
        <v>2666.9533333333334</v>
      </c>
      <c r="BI28" s="152">
        <f t="shared" si="28"/>
        <v>2202.7733333333335</v>
      </c>
      <c r="BJ28" s="152">
        <f t="shared" si="28"/>
        <v>1315.09</v>
      </c>
      <c r="BL28" s="152">
        <f t="shared" ref="BL28:BW28" si="29">SUM(BL19:BL27)</f>
        <v>0</v>
      </c>
      <c r="BM28" s="152">
        <f t="shared" si="29"/>
        <v>21270</v>
      </c>
      <c r="BN28" s="152">
        <f t="shared" si="29"/>
        <v>22371</v>
      </c>
      <c r="BO28" s="152">
        <f t="shared" si="29"/>
        <v>23144.85</v>
      </c>
      <c r="BP28" s="152">
        <f t="shared" si="29"/>
        <v>0</v>
      </c>
      <c r="BQ28" s="152">
        <f t="shared" si="29"/>
        <v>0</v>
      </c>
      <c r="BR28" s="152">
        <f t="shared" si="29"/>
        <v>0</v>
      </c>
      <c r="BS28" s="152">
        <f t="shared" si="29"/>
        <v>0</v>
      </c>
      <c r="BT28" s="152">
        <f t="shared" si="29"/>
        <v>0</v>
      </c>
      <c r="BU28" s="152">
        <f t="shared" si="29"/>
        <v>0</v>
      </c>
      <c r="BV28" s="152">
        <f t="shared" si="29"/>
        <v>0</v>
      </c>
      <c r="BW28" s="152">
        <f t="shared" si="29"/>
        <v>0</v>
      </c>
      <c r="BY28" s="12"/>
      <c r="BZ28" s="363">
        <f t="shared" ca="1" si="16"/>
        <v>0</v>
      </c>
      <c r="CA28" s="12"/>
      <c r="CB28" s="335"/>
      <c r="CC28" s="335"/>
      <c r="CD28" s="7">
        <f t="shared" si="18"/>
        <v>0</v>
      </c>
      <c r="CE28" s="7">
        <f t="shared" si="19"/>
        <v>0</v>
      </c>
      <c r="CF28" s="7">
        <f t="shared" si="20"/>
        <v>0</v>
      </c>
      <c r="CG28" s="12"/>
      <c r="CH28" s="352">
        <f t="shared" si="21"/>
        <v>0</v>
      </c>
      <c r="CI28" s="352">
        <f t="shared" si="22"/>
        <v>0</v>
      </c>
      <c r="CJ28" s="352">
        <f t="shared" si="23"/>
        <v>0</v>
      </c>
      <c r="CK28" s="352">
        <f t="shared" si="24"/>
        <v>0</v>
      </c>
      <c r="CL28" s="352">
        <f t="shared" si="25"/>
        <v>0</v>
      </c>
      <c r="CM28" s="352">
        <f t="shared" si="26"/>
        <v>0</v>
      </c>
      <c r="CN28" s="352">
        <f t="shared" si="27"/>
        <v>0</v>
      </c>
      <c r="EX28" s="10" t="str">
        <f t="shared" si="1"/>
        <v>Total 16-19 Income</v>
      </c>
    </row>
    <row r="29" spans="1:154" x14ac:dyDescent="0.25">
      <c r="A29" s="362" cm="1">
        <f t="array" aca="1" ref="A29" ca="1">HYPERLINK(CONCATENATE("#",CELL("address",IF(SUM($CA29:$CG29)=0,A29,INDEX($CA29:$CG29,MATCH(1,$CA29:$CG29,0))))),SUM($CA29:$CG29))</f>
        <v>0</v>
      </c>
      <c r="B29" s="335"/>
      <c r="C29" s="343" t="s">
        <v>436</v>
      </c>
      <c r="D29" s="194" t="s">
        <v>428</v>
      </c>
      <c r="E29" s="147"/>
      <c r="F29" s="98" t="str" cm="1">
        <f t="array" aca="1" ref="F29" ca="1">IF(E29="", "", HYPERLINK(CONCATENATE("#",CELL("address",INDEX('I&amp;E Profiles'!$D$9:$D$93,'I&amp;E Annual'!I29))),E29))</f>
        <v/>
      </c>
      <c r="G29" s="147" t="s">
        <v>211</v>
      </c>
      <c r="H29" s="67" t="s">
        <v>8</v>
      </c>
      <c r="I29" s="350" t="str">
        <f>IF(E29="", "", MATCH(E29, 'I&amp;E Profiles'!$D$96:$D$180,0))</f>
        <v/>
      </c>
      <c r="J29" s="215">
        <f>IF($G29=$G$7, W29,'I&amp;E Monthly'!W29)-SUMIFS('I&amp;E Monthly'!$AA29:$BJ29, 'I&amp;E Monthly'!$AA$3:$BJ$3, 'I&amp;E Annual'!W$3, 'I&amp;E Monthly'!$AA$4:$BJ$4, 0)</f>
        <v>0</v>
      </c>
      <c r="K29" s="215">
        <f>IF($G29=$G$7, X29,'I&amp;E Monthly'!X29)-SUMIFS('I&amp;E Monthly'!$AA29:$BJ29, 'I&amp;E Monthly'!$AA$3:$BJ$3, 'I&amp;E Annual'!X$3, 'I&amp;E Monthly'!$AA$4:$BJ$4, 0)</f>
        <v>0</v>
      </c>
      <c r="L29" s="215">
        <f>IF($G29=$G$7, Y29,'I&amp;E Monthly'!Y29)-SUMIFS('I&amp;E Monthly'!$AA29:$BJ29, 'I&amp;E Monthly'!$AA$3:$BJ$3, 'I&amp;E Annual'!Y$3, 'I&amp;E Monthly'!$AA$4:$BJ$4, 0)</f>
        <v>0</v>
      </c>
      <c r="M29" s="335"/>
      <c r="N29" s="335"/>
      <c r="O29" s="335"/>
      <c r="P29" s="335"/>
      <c r="Q29" s="2"/>
      <c r="R29" s="335"/>
      <c r="S29" s="335"/>
      <c r="T29" s="335"/>
      <c r="U29" s="335"/>
      <c r="V29" s="201">
        <f>'I&amp;E Monthly'!V29</f>
        <v>0</v>
      </c>
      <c r="W29" s="372"/>
      <c r="X29" s="198"/>
      <c r="Y29" s="198"/>
      <c r="Z29" s="335"/>
      <c r="AA29" s="153" cm="1">
        <f t="array" ref="AA29">IF(OR(AA$4=0, $G29&lt;&gt; $G$7, $E29=0), 'I&amp;E Monthly'!AA29, CHOOSE(Timeline!AA$30,$J29,$K29,$L29 )*INDEX('I&amp;E Profiles'!AA$96:AA$180,$I29))</f>
        <v>0</v>
      </c>
      <c r="AB29" s="153" cm="1">
        <f t="array" ref="AB29">IF(OR(AB$4=0, $G29&lt;&gt; $G$7, $E29=0), 'I&amp;E Monthly'!AB29, CHOOSE(Timeline!AB$30,$J29,$K29,$L29 )*INDEX('I&amp;E Profiles'!AB$96:AB$180,$I29))</f>
        <v>0</v>
      </c>
      <c r="AC29" s="153" cm="1">
        <f t="array" ref="AC29">IF(OR(AC$4=0, $G29&lt;&gt; $G$7, $E29=0), 'I&amp;E Monthly'!AC29, CHOOSE(Timeline!AC$30,$J29,$K29,$L29 )*INDEX('I&amp;E Profiles'!AC$96:AC$180,$I29))</f>
        <v>0</v>
      </c>
      <c r="AD29" s="153" cm="1">
        <f t="array" ref="AD29">IF(OR(AD$4=0, $G29&lt;&gt; $G$7, $E29=0), 'I&amp;E Monthly'!AD29, CHOOSE(Timeline!AD$30,$J29,$K29,$L29 )*INDEX('I&amp;E Profiles'!AD$96:AD$180,$I29))</f>
        <v>0</v>
      </c>
      <c r="AE29" s="153" cm="1">
        <f t="array" ref="AE29">IF(OR(AE$4=0, $G29&lt;&gt; $G$7, $E29=0), 'I&amp;E Monthly'!AE29, CHOOSE(Timeline!AE$30,$J29,$K29,$L29 )*INDEX('I&amp;E Profiles'!AE$96:AE$180,$I29))</f>
        <v>0</v>
      </c>
      <c r="AF29" s="153" cm="1">
        <f t="array" ref="AF29">IF(OR(AF$4=0, $G29&lt;&gt; $G$7, $E29=0), 'I&amp;E Monthly'!AF29, CHOOSE(Timeline!AF$30,$J29,$K29,$L29 )*INDEX('I&amp;E Profiles'!AF$96:AF$180,$I29))</f>
        <v>0</v>
      </c>
      <c r="AG29" s="153" cm="1">
        <f t="array" ref="AG29">IF(OR(AG$4=0, $G29&lt;&gt; $G$7, $E29=0), 'I&amp;E Monthly'!AG29, CHOOSE(Timeline!AG$30,$J29,$K29,$L29 )*INDEX('I&amp;E Profiles'!AG$96:AG$180,$I29))</f>
        <v>0</v>
      </c>
      <c r="AH29" s="153" cm="1">
        <f t="array" ref="AH29">IF(OR(AH$4=0, $G29&lt;&gt; $G$7, $E29=0), 'I&amp;E Monthly'!AH29, CHOOSE(Timeline!AH$30,$J29,$K29,$L29 )*INDEX('I&amp;E Profiles'!AH$96:AH$180,$I29))</f>
        <v>0</v>
      </c>
      <c r="AI29" s="153" cm="1">
        <f t="array" ref="AI29">IF(OR(AI$4=0, $G29&lt;&gt; $G$7, $E29=0), 'I&amp;E Monthly'!AI29, CHOOSE(Timeline!AI$30,$J29,$K29,$L29 )*INDEX('I&amp;E Profiles'!AI$96:AI$180,$I29))</f>
        <v>0</v>
      </c>
      <c r="AJ29" s="153" cm="1">
        <f t="array" ref="AJ29">IF(OR(AJ$4=0, $G29&lt;&gt; $G$7, $E29=0), 'I&amp;E Monthly'!AJ29, CHOOSE(Timeline!AJ$30,$J29,$K29,$L29 )*INDEX('I&amp;E Profiles'!AJ$96:AJ$180,$I29))</f>
        <v>0</v>
      </c>
      <c r="AK29" s="153" cm="1">
        <f t="array" ref="AK29">IF(OR(AK$4=0, $G29&lt;&gt; $G$7, $E29=0), 'I&amp;E Monthly'!AK29, CHOOSE(Timeline!AK$30,$J29,$K29,$L29 )*INDEX('I&amp;E Profiles'!AK$96:AK$180,$I29))</f>
        <v>0</v>
      </c>
      <c r="AL29" s="153" cm="1">
        <f t="array" ref="AL29">IF(OR(AL$4=0, $G29&lt;&gt; $G$7, $E29=0), 'I&amp;E Monthly'!AL29, CHOOSE(Timeline!AL$30,$J29,$K29,$L29 )*INDEX('I&amp;E Profiles'!AL$96:AL$180,$I29))</f>
        <v>0</v>
      </c>
      <c r="AM29" s="153" cm="1">
        <f t="array" ref="AM29">IF(OR(AM$4=0, $G29&lt;&gt; $G$7, $E29=0), 'I&amp;E Monthly'!AM29, CHOOSE(Timeline!AM$30,$J29,$K29,$L29 )*INDEX('I&amp;E Profiles'!AM$96:AM$180,$I29))</f>
        <v>0</v>
      </c>
      <c r="AN29" s="153" cm="1">
        <f t="array" ref="AN29">IF(OR(AN$4=0, $G29&lt;&gt; $G$7, $E29=0), 'I&amp;E Monthly'!AN29, CHOOSE(Timeline!AN$30,$J29,$K29,$L29 )*INDEX('I&amp;E Profiles'!AN$96:AN$180,$I29))</f>
        <v>0</v>
      </c>
      <c r="AO29" s="153" cm="1">
        <f t="array" ref="AO29">IF(OR(AO$4=0, $G29&lt;&gt; $G$7, $E29=0), 'I&amp;E Monthly'!AO29, CHOOSE(Timeline!AO$30,$J29,$K29,$L29 )*INDEX('I&amp;E Profiles'!AO$96:AO$180,$I29))</f>
        <v>0</v>
      </c>
      <c r="AP29" s="153" cm="1">
        <f t="array" ref="AP29">IF(OR(AP$4=0, $G29&lt;&gt; $G$7, $E29=0), 'I&amp;E Monthly'!AP29, CHOOSE(Timeline!AP$30,$J29,$K29,$L29 )*INDEX('I&amp;E Profiles'!AP$96:AP$180,$I29))</f>
        <v>0</v>
      </c>
      <c r="AQ29" s="153" cm="1">
        <f t="array" ref="AQ29">IF(OR(AQ$4=0, $G29&lt;&gt; $G$7, $E29=0), 'I&amp;E Monthly'!AQ29, CHOOSE(Timeline!AQ$30,$J29,$K29,$L29 )*INDEX('I&amp;E Profiles'!AQ$96:AQ$180,$I29))</f>
        <v>0</v>
      </c>
      <c r="AR29" s="153" cm="1">
        <f t="array" ref="AR29">IF(OR(AR$4=0, $G29&lt;&gt; $G$7, $E29=0), 'I&amp;E Monthly'!AR29, CHOOSE(Timeline!AR$30,$J29,$K29,$L29 )*INDEX('I&amp;E Profiles'!AR$96:AR$180,$I29))</f>
        <v>0</v>
      </c>
      <c r="AS29" s="153" cm="1">
        <f t="array" ref="AS29">IF(OR(AS$4=0, $G29&lt;&gt; $G$7, $E29=0), 'I&amp;E Monthly'!AS29, CHOOSE(Timeline!AS$30,$J29,$K29,$L29 )*INDEX('I&amp;E Profiles'!AS$96:AS$180,$I29))</f>
        <v>0</v>
      </c>
      <c r="AT29" s="153" cm="1">
        <f t="array" ref="AT29">IF(OR(AT$4=0, $G29&lt;&gt; $G$7, $E29=0), 'I&amp;E Monthly'!AT29, CHOOSE(Timeline!AT$30,$J29,$K29,$L29 )*INDEX('I&amp;E Profiles'!AT$96:AT$180,$I29))</f>
        <v>0</v>
      </c>
      <c r="AU29" s="153" cm="1">
        <f t="array" ref="AU29">IF(OR(AU$4=0, $G29&lt;&gt; $G$7, $E29=0), 'I&amp;E Monthly'!AU29, CHOOSE(Timeline!AU$30,$J29,$K29,$L29 )*INDEX('I&amp;E Profiles'!AU$96:AU$180,$I29))</f>
        <v>0</v>
      </c>
      <c r="AV29" s="153" cm="1">
        <f t="array" ref="AV29">IF(OR(AV$4=0, $G29&lt;&gt; $G$7, $E29=0), 'I&amp;E Monthly'!AV29, CHOOSE(Timeline!AV$30,$J29,$K29,$L29 )*INDEX('I&amp;E Profiles'!AV$96:AV$180,$I29))</f>
        <v>0</v>
      </c>
      <c r="AW29" s="153" cm="1">
        <f t="array" ref="AW29">IF(OR(AW$4=0, $G29&lt;&gt; $G$7, $E29=0), 'I&amp;E Monthly'!AW29, CHOOSE(Timeline!AW$30,$J29,$K29,$L29 )*INDEX('I&amp;E Profiles'!AW$96:AW$180,$I29))</f>
        <v>0</v>
      </c>
      <c r="AX29" s="153" cm="1">
        <f t="array" ref="AX29">IF(OR(AX$4=0, $G29&lt;&gt; $G$7, $E29=0), 'I&amp;E Monthly'!AX29, CHOOSE(Timeline!AX$30,$J29,$K29,$L29 )*INDEX('I&amp;E Profiles'!AX$96:AX$180,$I29))</f>
        <v>0</v>
      </c>
      <c r="AY29" s="153" cm="1">
        <f t="array" ref="AY29">IF(OR(AY$4=0, $G29&lt;&gt; $G$7, $E29=0), 'I&amp;E Monthly'!AY29, CHOOSE(Timeline!AY$30,$J29,$K29,$L29 )*INDEX('I&amp;E Profiles'!AY$96:AY$180,$I29))</f>
        <v>0</v>
      </c>
      <c r="AZ29" s="153" cm="1">
        <f t="array" ref="AZ29">IF(OR(AZ$4=0, $G29&lt;&gt; $G$7, $E29=0), 'I&amp;E Monthly'!AZ29, CHOOSE(Timeline!AZ$30,$J29,$K29,$L29 )*INDEX('I&amp;E Profiles'!AZ$96:AZ$180,$I29))</f>
        <v>0</v>
      </c>
      <c r="BA29" s="153" cm="1">
        <f t="array" ref="BA29">IF(OR(BA$4=0, $G29&lt;&gt; $G$7, $E29=0), 'I&amp;E Monthly'!BA29, CHOOSE(Timeline!BA$30,$J29,$K29,$L29 )*INDEX('I&amp;E Profiles'!BA$96:BA$180,$I29))</f>
        <v>0</v>
      </c>
      <c r="BB29" s="153" cm="1">
        <f t="array" ref="BB29">IF(OR(BB$4=0, $G29&lt;&gt; $G$7, $E29=0), 'I&amp;E Monthly'!BB29, CHOOSE(Timeline!BB$30,$J29,$K29,$L29 )*INDEX('I&amp;E Profiles'!BB$96:BB$180,$I29))</f>
        <v>0</v>
      </c>
      <c r="BC29" s="153" cm="1">
        <f t="array" ref="BC29">IF(OR(BC$4=0, $G29&lt;&gt; $G$7, $E29=0), 'I&amp;E Monthly'!BC29, CHOOSE(Timeline!BC$30,$J29,$K29,$L29 )*INDEX('I&amp;E Profiles'!BC$96:BC$180,$I29))</f>
        <v>0</v>
      </c>
      <c r="BD29" s="153" cm="1">
        <f t="array" ref="BD29">IF(OR(BD$4=0, $G29&lt;&gt; $G$7, $E29=0), 'I&amp;E Monthly'!BD29, CHOOSE(Timeline!BD$30,$J29,$K29,$L29 )*INDEX('I&amp;E Profiles'!BD$96:BD$180,$I29))</f>
        <v>0</v>
      </c>
      <c r="BE29" s="153" cm="1">
        <f t="array" ref="BE29">IF(OR(BE$4=0, $G29&lt;&gt; $G$7, $E29=0), 'I&amp;E Monthly'!BE29, CHOOSE(Timeline!BE$30,$J29,$K29,$L29 )*INDEX('I&amp;E Profiles'!BE$96:BE$180,$I29))</f>
        <v>0</v>
      </c>
      <c r="BF29" s="153" cm="1">
        <f t="array" ref="BF29">IF(OR(BF$4=0, $G29&lt;&gt; $G$7, $E29=0), 'I&amp;E Monthly'!BF29, CHOOSE(Timeline!BF$30,$J29,$K29,$L29 )*INDEX('I&amp;E Profiles'!BF$96:BF$180,$I29))</f>
        <v>0</v>
      </c>
      <c r="BG29" s="153" cm="1">
        <f t="array" ref="BG29">IF(OR(BG$4=0, $G29&lt;&gt; $G$7, $E29=0), 'I&amp;E Monthly'!BG29, CHOOSE(Timeline!BG$30,$J29,$K29,$L29 )*INDEX('I&amp;E Profiles'!BG$96:BG$180,$I29))</f>
        <v>0</v>
      </c>
      <c r="BH29" s="153" cm="1">
        <f t="array" ref="BH29">IF(OR(BH$4=0, $G29&lt;&gt; $G$7, $E29=0), 'I&amp;E Monthly'!BH29, CHOOSE(Timeline!BH$30,$J29,$K29,$L29 )*INDEX('I&amp;E Profiles'!BH$96:BH$180,$I29))</f>
        <v>0</v>
      </c>
      <c r="BI29" s="153" cm="1">
        <f t="array" ref="BI29">IF(OR(BI$4=0, $G29&lt;&gt; $G$7, $E29=0), 'I&amp;E Monthly'!BI29, CHOOSE(Timeline!BI$30,$J29,$K29,$L29 )*INDEX('I&amp;E Profiles'!BI$96:BI$180,$I29))</f>
        <v>0</v>
      </c>
      <c r="BJ29" s="153" cm="1">
        <f t="array" ref="BJ29">IF(OR(BJ$4=0, $G29&lt;&gt; $G$7, $E29=0), 'I&amp;E Monthly'!BJ29, CHOOSE(Timeline!BJ$30,$J29,$K29,$L29 )*INDEX('I&amp;E Profiles'!BJ$96:BJ$180,$I29))</f>
        <v>0</v>
      </c>
      <c r="BK29" s="335"/>
      <c r="BL29" s="13">
        <f>V29</f>
        <v>0</v>
      </c>
      <c r="BM29" s="153">
        <f>SUMIFS($AA29:$BJ29, $AA$3:$BJ$3,BM$3)</f>
        <v>0</v>
      </c>
      <c r="BN29" s="153">
        <f>SUMIFS($AA29:$BJ29, $AA$3:$BJ$3,BN$3)</f>
        <v>0</v>
      </c>
      <c r="BO29" s="153">
        <f>SUMIFS($AA29:$BJ29, $AA$3:$BJ$3,BO$3)</f>
        <v>0</v>
      </c>
      <c r="BP29" s="13">
        <f>'I&amp;E Monthly'!BP29</f>
        <v>0</v>
      </c>
      <c r="BQ29" s="13">
        <f>'I&amp;E Monthly'!BQ29</f>
        <v>0</v>
      </c>
      <c r="BR29" s="13">
        <f>'I&amp;E Monthly'!BR29</f>
        <v>0</v>
      </c>
      <c r="BS29" s="13">
        <f>'I&amp;E Monthly'!BS29</f>
        <v>0</v>
      </c>
      <c r="BT29" s="13">
        <f>'I&amp;E Monthly'!BT29</f>
        <v>0</v>
      </c>
      <c r="BU29" s="13">
        <f>'I&amp;E Monthly'!BU29</f>
        <v>0</v>
      </c>
      <c r="BV29" s="13">
        <f>'I&amp;E Monthly'!BV29</f>
        <v>0</v>
      </c>
      <c r="BW29" s="13">
        <f>'I&amp;E Monthly'!BW29</f>
        <v>0</v>
      </c>
      <c r="BX29" s="335"/>
      <c r="BY29" s="12"/>
      <c r="BZ29" s="363">
        <f t="shared" ca="1" si="16"/>
        <v>0</v>
      </c>
      <c r="CA29" s="12"/>
      <c r="CB29" s="7">
        <f>IF(AND($G29=$G$7,$E29=""), 1, 0)</f>
        <v>0</v>
      </c>
      <c r="CC29" s="188" cm="1">
        <f t="array" ref="CC29">IF(E29="",0, IF(_xlfn.IFNA(INDEX('I&amp;E Profiles'!$D$96:$D$180, $I29), "N/A")="N/A", 1, 0))</f>
        <v>0</v>
      </c>
      <c r="CD29" s="7">
        <f t="shared" si="18"/>
        <v>0</v>
      </c>
      <c r="CE29" s="7">
        <f t="shared" si="19"/>
        <v>0</v>
      </c>
      <c r="CF29" s="7">
        <f t="shared" si="20"/>
        <v>0</v>
      </c>
      <c r="CG29" s="12"/>
      <c r="CH29" s="352">
        <f t="shared" si="21"/>
        <v>0</v>
      </c>
      <c r="CI29" s="352">
        <f t="shared" si="22"/>
        <v>0</v>
      </c>
      <c r="CJ29" s="352">
        <f t="shared" si="23"/>
        <v>0</v>
      </c>
      <c r="CK29" s="352">
        <f t="shared" si="24"/>
        <v>0</v>
      </c>
      <c r="CL29" s="352">
        <f t="shared" si="25"/>
        <v>0</v>
      </c>
      <c r="CM29" s="352">
        <f t="shared" si="26"/>
        <v>0</v>
      </c>
      <c r="CN29" s="352">
        <f t="shared" si="27"/>
        <v>0</v>
      </c>
      <c r="EX29" s="10" t="str">
        <f t="shared" si="1"/>
        <v>Of which: subcontracted out 16-19 income</v>
      </c>
    </row>
    <row r="30" spans="1:154" ht="6.6" customHeight="1" x14ac:dyDescent="0.25">
      <c r="A30" s="335"/>
      <c r="B30" s="335"/>
      <c r="C30" s="383"/>
      <c r="D30" s="177"/>
      <c r="E30" s="25"/>
      <c r="F30" s="25"/>
      <c r="G30" s="25"/>
      <c r="I30" s="25"/>
      <c r="J30" s="335"/>
      <c r="Q30" s="2"/>
      <c r="R30" s="335"/>
      <c r="T30" s="335"/>
      <c r="U30" s="335"/>
      <c r="V30" s="25"/>
      <c r="W30" s="25"/>
      <c r="X30" s="25"/>
      <c r="Y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L30" s="25"/>
      <c r="BM30" s="155"/>
      <c r="BN30" s="25"/>
      <c r="BO30" s="25"/>
      <c r="BP30" s="25"/>
      <c r="BQ30" s="25"/>
      <c r="BR30" s="25"/>
      <c r="BS30" s="25"/>
      <c r="BT30" s="25"/>
      <c r="BU30" s="25"/>
      <c r="BV30" s="25"/>
      <c r="BW30" s="25"/>
      <c r="BY30" s="42"/>
      <c r="BZ30" s="335"/>
      <c r="CA30" s="42"/>
      <c r="CC30" s="335"/>
      <c r="CG30" s="42"/>
      <c r="CH30" s="352"/>
      <c r="CI30" s="352"/>
      <c r="CJ30" s="352"/>
      <c r="CK30" s="352"/>
      <c r="CM30" s="335"/>
      <c r="CN30" s="335"/>
      <c r="EX30" s="10" t="str">
        <f t="shared" si="1"/>
        <v/>
      </c>
    </row>
    <row r="31" spans="1:154" x14ac:dyDescent="0.25">
      <c r="A31" s="335"/>
      <c r="B31" s="5"/>
      <c r="C31" s="383"/>
      <c r="D31" s="433" t="s">
        <v>21</v>
      </c>
      <c r="E31" s="82"/>
      <c r="F31" s="25"/>
      <c r="G31" s="25"/>
      <c r="I31" s="25"/>
      <c r="J31" s="25"/>
      <c r="Q31" s="2"/>
      <c r="R31" s="335"/>
      <c r="T31" s="335"/>
      <c r="U31" s="335"/>
      <c r="V31" s="25"/>
      <c r="W31" s="25"/>
      <c r="X31" s="25"/>
      <c r="Y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L31" s="25"/>
      <c r="BM31" s="25"/>
      <c r="BN31" s="25"/>
      <c r="BO31" s="25"/>
      <c r="BP31" s="25"/>
      <c r="BQ31" s="25"/>
      <c r="BR31" s="25"/>
      <c r="BS31" s="25"/>
      <c r="BT31" s="25"/>
      <c r="BU31" s="25"/>
      <c r="BV31" s="25"/>
      <c r="BW31" s="25"/>
      <c r="BY31" s="12"/>
      <c r="BZ31" s="335"/>
      <c r="CA31" s="12"/>
      <c r="CC31" s="335"/>
      <c r="CG31" s="12"/>
      <c r="CH31" s="352"/>
      <c r="CI31" s="352"/>
      <c r="CJ31" s="352"/>
      <c r="CK31" s="352"/>
      <c r="CM31" s="335"/>
      <c r="CN31" s="335"/>
      <c r="EX31" s="10" t="str">
        <f t="shared" si="1"/>
        <v/>
      </c>
    </row>
    <row r="32" spans="1:154" x14ac:dyDescent="0.25">
      <c r="A32" s="362" cm="1">
        <f t="array" aca="1" ref="A32" ca="1">HYPERLINK(CONCATENATE("#",CELL("address",IF(SUM($CA32:$CG32)=0,A32,INDEX($CA32:$CG32,MATCH(1,$CA32:$CG32,0))))),SUM($CA32:$CG32))</f>
        <v>0</v>
      </c>
      <c r="B32" s="335"/>
      <c r="C32" s="343" t="s">
        <v>441</v>
      </c>
      <c r="D32" s="194" t="s">
        <v>437</v>
      </c>
      <c r="E32" s="147"/>
      <c r="F32" s="98" t="str" cm="1">
        <f t="array" aca="1" ref="F32" ca="1">IF(E32="", "", HYPERLINK(CONCATENATE("#",CELL("address",INDEX('I&amp;E Profiles'!$D$9:$D$93,'I&amp;E Annual'!I32))),E32))</f>
        <v/>
      </c>
      <c r="G32" s="147" t="s">
        <v>211</v>
      </c>
      <c r="H32" s="67" t="s">
        <v>8</v>
      </c>
      <c r="I32" s="350" t="str">
        <f>IF(E32="", "", MATCH(E32, 'I&amp;E Profiles'!$D$96:$D$180,0))</f>
        <v/>
      </c>
      <c r="J32" s="215">
        <f>IF($G32=$G$7, W32,'I&amp;E Monthly'!W32)-SUMIFS('I&amp;E Monthly'!$AA32:$BJ32, 'I&amp;E Monthly'!$AA$3:$BJ$3, 'I&amp;E Annual'!W$3, 'I&amp;E Monthly'!$AA$4:$BJ$4, 0)</f>
        <v>40</v>
      </c>
      <c r="K32" s="215">
        <f>IF($G32=$G$7, X32,'I&amp;E Monthly'!X32)-SUMIFS('I&amp;E Monthly'!$AA32:$BJ32, 'I&amp;E Monthly'!$AA$3:$BJ$3, 'I&amp;E Annual'!X$3, 'I&amp;E Monthly'!$AA$4:$BJ$4, 0)</f>
        <v>615</v>
      </c>
      <c r="L32" s="215">
        <f>IF($G32=$G$7, Y32,'I&amp;E Monthly'!Y32)-SUMIFS('I&amp;E Monthly'!$AA32:$BJ32, 'I&amp;E Monthly'!$AA$3:$BJ$3, 'I&amp;E Annual'!Y$3, 'I&amp;E Monthly'!$AA$4:$BJ$4, 0)</f>
        <v>638.89</v>
      </c>
      <c r="M32" s="335"/>
      <c r="N32" s="335"/>
      <c r="O32" s="335"/>
      <c r="P32" s="335"/>
      <c r="Q32" s="2"/>
      <c r="R32" s="335"/>
      <c r="S32" s="335"/>
      <c r="T32" s="335"/>
      <c r="U32" s="335"/>
      <c r="V32" s="215">
        <f>'I&amp;E Monthly'!V32</f>
        <v>0</v>
      </c>
      <c r="W32" s="147"/>
      <c r="X32" s="227"/>
      <c r="Y32" s="227"/>
      <c r="Z32" s="335"/>
      <c r="AA32" s="153" cm="1">
        <f t="array" ref="AA32">IF(OR(AA$4=0, $G32&lt;&gt; $G$7, $E32=0), 'I&amp;E Monthly'!AA32, CHOOSE(Timeline!AA$30,$J32,$K32,$L32 )*INDEX('I&amp;E Profiles'!AA$96:AA$180,$I32))</f>
        <v>0</v>
      </c>
      <c r="AB32" s="153" cm="1">
        <f t="array" ref="AB32">IF(OR(AB$4=0, $G32&lt;&gt; $G$7, $E32=0), 'I&amp;E Monthly'!AB32, CHOOSE(Timeline!AB$30,$J32,$K32,$L32 )*INDEX('I&amp;E Profiles'!AB$96:AB$180,$I32))</f>
        <v>32</v>
      </c>
      <c r="AC32" s="153" cm="1">
        <f t="array" ref="AC32">IF(OR(AC$4=0, $G32&lt;&gt; $G$7, $E32=0), 'I&amp;E Monthly'!AC32, CHOOSE(Timeline!AC$30,$J32,$K32,$L32 )*INDEX('I&amp;E Profiles'!AC$96:AC$180,$I32))</f>
        <v>41</v>
      </c>
      <c r="AD32" s="153" cm="1">
        <f t="array" ref="AD32">IF(OR(AD$4=0, $G32&lt;&gt; $G$7, $E32=0), 'I&amp;E Monthly'!AD32, CHOOSE(Timeline!AD$30,$J32,$K32,$L32 )*INDEX('I&amp;E Profiles'!AD$96:AD$180,$I32))</f>
        <v>65</v>
      </c>
      <c r="AE32" s="153" cm="1">
        <f t="array" ref="AE32">IF(OR(AE$4=0, $G32&lt;&gt; $G$7, $E32=0), 'I&amp;E Monthly'!AE32, CHOOSE(Timeline!AE$30,$J32,$K32,$L32 )*INDEX('I&amp;E Profiles'!AE$96:AE$180,$I32))</f>
        <v>69</v>
      </c>
      <c r="AF32" s="153" cm="1">
        <f t="array" ref="AF32">IF(OR(AF$4=0, $G32&lt;&gt; $G$7, $E32=0), 'I&amp;E Monthly'!AF32, CHOOSE(Timeline!AF$30,$J32,$K32,$L32 )*INDEX('I&amp;E Profiles'!AF$96:AF$180,$I32))</f>
        <v>38</v>
      </c>
      <c r="AG32" s="153" cm="1">
        <f t="array" ref="AG32">IF(OR(AG$4=0, $G32&lt;&gt; $G$7, $E32=0), 'I&amp;E Monthly'!AG32, CHOOSE(Timeline!AG$30,$J32,$K32,$L32 )*INDEX('I&amp;E Profiles'!AG$96:AG$180,$I32))</f>
        <v>51</v>
      </c>
      <c r="AH32" s="153" cm="1">
        <f t="array" ref="AH32">IF(OR(AH$4=0, $G32&lt;&gt; $G$7, $E32=0), 'I&amp;E Monthly'!AH32, CHOOSE(Timeline!AH$30,$J32,$K32,$L32 )*INDEX('I&amp;E Profiles'!AH$96:AH$180,$I32))</f>
        <v>39</v>
      </c>
      <c r="AI32" s="153" cm="1">
        <f t="array" ref="AI32">IF(OR(AI$4=0, $G32&lt;&gt; $G$7, $E32=0), 'I&amp;E Monthly'!AI32, CHOOSE(Timeline!AI$30,$J32,$K32,$L32 )*INDEX('I&amp;E Profiles'!AI$96:AI$180,$I32))</f>
        <v>45</v>
      </c>
      <c r="AJ32" s="153" cm="1">
        <f t="array" ref="AJ32">IF(OR(AJ$4=0, $G32&lt;&gt; $G$7, $E32=0), 'I&amp;E Monthly'!AJ32, CHOOSE(Timeline!AJ$30,$J32,$K32,$L32 )*INDEX('I&amp;E Profiles'!AJ$96:AJ$180,$I32))</f>
        <v>49</v>
      </c>
      <c r="AK32" s="153" cm="1">
        <f t="array" ref="AK32">IF(OR(AK$4=0, $G32&lt;&gt; $G$7, $E32=0), 'I&amp;E Monthly'!AK32, CHOOSE(Timeline!AK$30,$J32,$K32,$L32 )*INDEX('I&amp;E Profiles'!AK$96:AK$180,$I32))</f>
        <v>40</v>
      </c>
      <c r="AL32" s="153" cm="1">
        <f t="array" ref="AL32">IF(OR(AL$4=0, $G32&lt;&gt; $G$7, $E32=0), 'I&amp;E Monthly'!AL32, CHOOSE(Timeline!AL$30,$J32,$K32,$L32 )*INDEX('I&amp;E Profiles'!AL$96:AL$180,$I32))</f>
        <v>40</v>
      </c>
      <c r="AM32" s="153" cm="1">
        <f t="array" ref="AM32">IF(OR(AM$4=0, $G32&lt;&gt; $G$7, $E32=0), 'I&amp;E Monthly'!AM32, CHOOSE(Timeline!AM$30,$J32,$K32,$L32 )*INDEX('I&amp;E Profiles'!AM$96:AM$180,$I32))</f>
        <v>36</v>
      </c>
      <c r="AN32" s="153" cm="1">
        <f t="array" ref="AN32">IF(OR(AN$4=0, $G32&lt;&gt; $G$7, $E32=0), 'I&amp;E Monthly'!AN32, CHOOSE(Timeline!AN$30,$J32,$K32,$L32 )*INDEX('I&amp;E Profiles'!AN$96:AN$180,$I32))</f>
        <v>40</v>
      </c>
      <c r="AO32" s="153" cm="1">
        <f t="array" ref="AO32">IF(OR(AO$4=0, $G32&lt;&gt; $G$7, $E32=0), 'I&amp;E Monthly'!AO32, CHOOSE(Timeline!AO$30,$J32,$K32,$L32 )*INDEX('I&amp;E Profiles'!AO$96:AO$180,$I32))</f>
        <v>40</v>
      </c>
      <c r="AP32" s="153" cm="1">
        <f t="array" ref="AP32">IF(OR(AP$4=0, $G32&lt;&gt; $G$7, $E32=0), 'I&amp;E Monthly'!AP32, CHOOSE(Timeline!AP$30,$J32,$K32,$L32 )*INDEX('I&amp;E Profiles'!AP$96:AP$180,$I32))</f>
        <v>45</v>
      </c>
      <c r="AQ32" s="153" cm="1">
        <f t="array" ref="AQ32">IF(OR(AQ$4=0, $G32&lt;&gt; $G$7, $E32=0), 'I&amp;E Monthly'!AQ32, CHOOSE(Timeline!AQ$30,$J32,$K32,$L32 )*INDEX('I&amp;E Profiles'!AQ$96:AQ$180,$I32))</f>
        <v>49</v>
      </c>
      <c r="AR32" s="153" cm="1">
        <f t="array" ref="AR32">IF(OR(AR$4=0, $G32&lt;&gt; $G$7, $E32=0), 'I&amp;E Monthly'!AR32, CHOOSE(Timeline!AR$30,$J32,$K32,$L32 )*INDEX('I&amp;E Profiles'!AR$96:AR$180,$I32))</f>
        <v>55</v>
      </c>
      <c r="AS32" s="153" cm="1">
        <f t="array" ref="AS32">IF(OR(AS$4=0, $G32&lt;&gt; $G$7, $E32=0), 'I&amp;E Monthly'!AS32, CHOOSE(Timeline!AS$30,$J32,$K32,$L32 )*INDEX('I&amp;E Profiles'!AS$96:AS$180,$I32))</f>
        <v>55</v>
      </c>
      <c r="AT32" s="153" cm="1">
        <f t="array" ref="AT32">IF(OR(AT$4=0, $G32&lt;&gt; $G$7, $E32=0), 'I&amp;E Monthly'!AT32, CHOOSE(Timeline!AT$30,$J32,$K32,$L32 )*INDEX('I&amp;E Profiles'!AT$96:AT$180,$I32))</f>
        <v>55</v>
      </c>
      <c r="AU32" s="153" cm="1">
        <f t="array" ref="AU32">IF(OR(AU$4=0, $G32&lt;&gt; $G$7, $E32=0), 'I&amp;E Monthly'!AU32, CHOOSE(Timeline!AU$30,$J32,$K32,$L32 )*INDEX('I&amp;E Profiles'!AU$96:AU$180,$I32))</f>
        <v>55</v>
      </c>
      <c r="AV32" s="153" cm="1">
        <f t="array" ref="AV32">IF(OR(AV$4=0, $G32&lt;&gt; $G$7, $E32=0), 'I&amp;E Monthly'!AV32, CHOOSE(Timeline!AV$30,$J32,$K32,$L32 )*INDEX('I&amp;E Profiles'!AV$96:AV$180,$I32))</f>
        <v>55</v>
      </c>
      <c r="AW32" s="153" cm="1">
        <f t="array" ref="AW32">IF(OR(AW$4=0, $G32&lt;&gt; $G$7, $E32=0), 'I&amp;E Monthly'!AW32, CHOOSE(Timeline!AW$30,$J32,$K32,$L32 )*INDEX('I&amp;E Profiles'!AW$96:AW$180,$I32))</f>
        <v>65</v>
      </c>
      <c r="AX32" s="153" cm="1">
        <f t="array" ref="AX32">IF(OR(AX$4=0, $G32&lt;&gt; $G$7, $E32=0), 'I&amp;E Monthly'!AX32, CHOOSE(Timeline!AX$30,$J32,$K32,$L32 )*INDEX('I&amp;E Profiles'!AX$96:AX$180,$I32))</f>
        <v>65</v>
      </c>
      <c r="AY32" s="153" cm="1">
        <f t="array" ref="AY32">IF(OR(AY$4=0, $G32&lt;&gt; $G$7, $E32=0), 'I&amp;E Monthly'!AY32, CHOOSE(Timeline!AY$30,$J32,$K32,$L32 )*INDEX('I&amp;E Profiles'!AY$96:AY$180,$I32))</f>
        <v>36.54</v>
      </c>
      <c r="AZ32" s="153" cm="1">
        <f t="array" ref="AZ32">IF(OR(AZ$4=0, $G32&lt;&gt; $G$7, $E32=0), 'I&amp;E Monthly'!AZ32, CHOOSE(Timeline!AZ$30,$J32,$K32,$L32 )*INDEX('I&amp;E Profiles'!AZ$96:AZ$180,$I32))</f>
        <v>40.599999999999994</v>
      </c>
      <c r="BA32" s="153" cm="1">
        <f t="array" ref="BA32">IF(OR(BA$4=0, $G32&lt;&gt; $G$7, $E32=0), 'I&amp;E Monthly'!BA32, CHOOSE(Timeline!BA$30,$J32,$K32,$L32 )*INDEX('I&amp;E Profiles'!BA$96:BA$180,$I32))</f>
        <v>40.599999999999994</v>
      </c>
      <c r="BB32" s="153" cm="1">
        <f t="array" ref="BB32">IF(OR(BB$4=0, $G32&lt;&gt; $G$7, $E32=0), 'I&amp;E Monthly'!BB32, CHOOSE(Timeline!BB$30,$J32,$K32,$L32 )*INDEX('I&amp;E Profiles'!BB$96:BB$180,$I32))</f>
        <v>45.674999999999997</v>
      </c>
      <c r="BC32" s="153" cm="1">
        <f t="array" ref="BC32">IF(OR(BC$4=0, $G32&lt;&gt; $G$7, $E32=0), 'I&amp;E Monthly'!BC32, CHOOSE(Timeline!BC$30,$J32,$K32,$L32 )*INDEX('I&amp;E Profiles'!BC$96:BC$180,$I32))</f>
        <v>50.224999999999994</v>
      </c>
      <c r="BD32" s="153" cm="1">
        <f t="array" ref="BD32">IF(OR(BD$4=0, $G32&lt;&gt; $G$7, $E32=0), 'I&amp;E Monthly'!BD32, CHOOSE(Timeline!BD$30,$J32,$K32,$L32 )*INDEX('I&amp;E Profiles'!BD$96:BD$180,$I32))</f>
        <v>57.75</v>
      </c>
      <c r="BE32" s="153" cm="1">
        <f t="array" ref="BE32">IF(OR(BE$4=0, $G32&lt;&gt; $G$7, $E32=0), 'I&amp;E Monthly'!BE32, CHOOSE(Timeline!BE$30,$J32,$K32,$L32 )*INDEX('I&amp;E Profiles'!BE$96:BE$180,$I32))</f>
        <v>57.75</v>
      </c>
      <c r="BF32" s="153" cm="1">
        <f t="array" ref="BF32">IF(OR(BF$4=0, $G32&lt;&gt; $G$7, $E32=0), 'I&amp;E Monthly'!BF32, CHOOSE(Timeline!BF$30,$J32,$K32,$L32 )*INDEX('I&amp;E Profiles'!BF$96:BF$180,$I32))</f>
        <v>57.75</v>
      </c>
      <c r="BG32" s="153" cm="1">
        <f t="array" ref="BG32">IF(OR(BG$4=0, $G32&lt;&gt; $G$7, $E32=0), 'I&amp;E Monthly'!BG32, CHOOSE(Timeline!BG$30,$J32,$K32,$L32 )*INDEX('I&amp;E Profiles'!BG$96:BG$180,$I32))</f>
        <v>57.75</v>
      </c>
      <c r="BH32" s="153" cm="1">
        <f t="array" ref="BH32">IF(OR(BH$4=0, $G32&lt;&gt; $G$7, $E32=0), 'I&amp;E Monthly'!BH32, CHOOSE(Timeline!BH$30,$J32,$K32,$L32 )*INDEX('I&amp;E Profiles'!BH$96:BH$180,$I32))</f>
        <v>57.75</v>
      </c>
      <c r="BI32" s="153" cm="1">
        <f t="array" ref="BI32">IF(OR(BI$4=0, $G32&lt;&gt; $G$7, $E32=0), 'I&amp;E Monthly'!BI32, CHOOSE(Timeline!BI$30,$J32,$K32,$L32 )*INDEX('I&amp;E Profiles'!BI$96:BI$180,$I32))</f>
        <v>68.25</v>
      </c>
      <c r="BJ32" s="153" cm="1">
        <f t="array" ref="BJ32">IF(OR(BJ$4=0, $G32&lt;&gt; $G$7, $E32=0), 'I&amp;E Monthly'!BJ32, CHOOSE(Timeline!BJ$30,$J32,$K32,$L32 )*INDEX('I&amp;E Profiles'!BJ$96:BJ$180,$I32))</f>
        <v>68.25</v>
      </c>
      <c r="BK32" s="335"/>
      <c r="BL32" s="152">
        <f>V32</f>
        <v>0</v>
      </c>
      <c r="BM32" s="153">
        <f t="shared" ref="BM32:BO36" si="30">SUMIFS($AA32:$BJ32, $AA$3:$BJ$3,BM$3)</f>
        <v>509</v>
      </c>
      <c r="BN32" s="153">
        <f t="shared" si="30"/>
        <v>615</v>
      </c>
      <c r="BO32" s="153">
        <f t="shared" si="30"/>
        <v>638.89</v>
      </c>
      <c r="BP32" s="152">
        <f>'I&amp;E Monthly'!BP32</f>
        <v>0</v>
      </c>
      <c r="BQ32" s="152">
        <f>'I&amp;E Monthly'!BQ32</f>
        <v>0</v>
      </c>
      <c r="BR32" s="152">
        <f>'I&amp;E Monthly'!BR32</f>
        <v>0</v>
      </c>
      <c r="BS32" s="152">
        <f>'I&amp;E Monthly'!BS32</f>
        <v>0</v>
      </c>
      <c r="BT32" s="152">
        <f>'I&amp;E Monthly'!BT32</f>
        <v>0</v>
      </c>
      <c r="BU32" s="152">
        <f>'I&amp;E Monthly'!BU32</f>
        <v>0</v>
      </c>
      <c r="BV32" s="152">
        <f>'I&amp;E Monthly'!BV32</f>
        <v>0</v>
      </c>
      <c r="BW32" s="152">
        <f>'I&amp;E Monthly'!BW32</f>
        <v>0</v>
      </c>
      <c r="BX32" s="335"/>
      <c r="BY32" s="12"/>
      <c r="BZ32" s="363">
        <f t="shared" ref="BZ32:BZ38" ca="1" si="31">IF(MIN($V32:$BW32)&lt;0, 1, 0)*$I$7</f>
        <v>0</v>
      </c>
      <c r="CA32" s="12"/>
      <c r="CB32" s="7">
        <f>IF(AND($G32=$G$7,$E32=""), 1, 0)</f>
        <v>0</v>
      </c>
      <c r="CC32" s="188" cm="1">
        <f t="array" ref="CC32">IF(E32="",0, IF(_xlfn.IFNA(INDEX('I&amp;E Profiles'!$D$96:$D$180, $I32), "N/A")="N/A", 1, 0))</f>
        <v>0</v>
      </c>
      <c r="CD32" s="7">
        <f t="shared" ref="CD32:CD38" si="32">IF(SUM($CH32:$CJ32)=0, 0, 1)</f>
        <v>0</v>
      </c>
      <c r="CE32" s="7">
        <f t="shared" ref="CE32:CE38" si="33">IF(SUM($CK32:$CM32)=0, 0, 1)</f>
        <v>0</v>
      </c>
      <c r="CF32" s="7">
        <f t="shared" ref="CF32:CF38" si="34">IF(CN32=0, 0, 1)</f>
        <v>0</v>
      </c>
      <c r="CG32" s="12"/>
      <c r="CH32" s="352">
        <f t="shared" ref="CH32:CJ38" si="35">IF($G32=$G$7, ROUND(W32-SUMIFS($AA32:$BJ32, $AA$3:$BJ$3, W$3), rounding), 0)</f>
        <v>0</v>
      </c>
      <c r="CI32" s="352">
        <f t="shared" si="35"/>
        <v>0</v>
      </c>
      <c r="CJ32" s="352">
        <f t="shared" si="35"/>
        <v>0</v>
      </c>
      <c r="CK32" s="352">
        <f t="shared" ref="CK32:CK38" si="36">ROUND($BM32-SUMIFS($AA32:$BJ32, $AA$3:$BJ$3, $BM$3), rounding)</f>
        <v>0</v>
      </c>
      <c r="CL32" s="352">
        <f t="shared" ref="CL32:CL38" si="37">ROUND($BN32-SUMIFS($AA32:$BJ32, $AA$3:$BJ$3, $BN$3), rounding)</f>
        <v>0</v>
      </c>
      <c r="CM32" s="352">
        <f t="shared" ref="CM32:CM38" si="38">ROUND($BO32-SUMIFS($AA32:$BJ32, $AA$3:$BJ$3, $BO$3), rounding)</f>
        <v>0</v>
      </c>
      <c r="CN32" s="352">
        <f t="shared" ref="CN32:CN38" si="39">ROUND($V32-$BL32, rounding)</f>
        <v>0</v>
      </c>
      <c r="EX32" s="10" t="str">
        <f t="shared" si="1"/>
        <v>Total apprenticeship programme funding</v>
      </c>
    </row>
    <row r="33" spans="1:154" hidden="1" x14ac:dyDescent="0.25">
      <c r="A33" s="362" cm="1">
        <f t="array" aca="1" ref="A33" ca="1">HYPERLINK(CONCATENATE("#",CELL("address",IF(SUM($CA33:$CG33)=0,A33,INDEX($CA33:$CG33,MATCH(1,$CA33:$CG33,0))))),SUM($CA33:$CG33))</f>
        <v>0</v>
      </c>
      <c r="B33" s="335"/>
      <c r="C33" s="383"/>
      <c r="D33" s="137" t="s">
        <v>2316</v>
      </c>
      <c r="E33" s="349"/>
      <c r="F33" s="98" t="str" cm="1">
        <f t="array" aca="1" ref="F33" ca="1">IF(E33="", "", HYPERLINK(CONCATENATE("#",CELL("address",INDEX('I&amp;E Profiles'!$D$9:$D$93,'I&amp;E Annual'!I33))),E33))</f>
        <v/>
      </c>
      <c r="G33" s="349"/>
      <c r="I33" s="350" t="str">
        <f>IF(E33="", "", MATCH(E33, 'I&amp;E Profiles'!$D$96:$D$180,0))</f>
        <v/>
      </c>
      <c r="J33" s="215">
        <f>IF($G33=$G$7, W33,'I&amp;E Monthly'!W33)-SUMIFS('I&amp;E Monthly'!$AA33:$BJ33, 'I&amp;E Monthly'!$AA$3:$BJ$3, 'I&amp;E Annual'!W$3, 'I&amp;E Monthly'!$AA$4:$BJ$4, 0)</f>
        <v>0</v>
      </c>
      <c r="K33" s="215">
        <f>IF($G33=$G$7, X33,'I&amp;E Monthly'!X33)-SUMIFS('I&amp;E Monthly'!$AA33:$BJ33, 'I&amp;E Monthly'!$AA$3:$BJ$3, 'I&amp;E Annual'!X$3, 'I&amp;E Monthly'!$AA$4:$BJ$4, 0)</f>
        <v>0</v>
      </c>
      <c r="L33" s="215">
        <f>IF($G33=$G$7, Y33,'I&amp;E Monthly'!Y33)-SUMIFS('I&amp;E Monthly'!$AA33:$BJ33, 'I&amp;E Monthly'!$AA$3:$BJ$3, 'I&amp;E Annual'!Y$3, 'I&amp;E Monthly'!$AA$4:$BJ$4, 0)</f>
        <v>0</v>
      </c>
      <c r="M33" s="335"/>
      <c r="N33" s="335"/>
      <c r="O33" s="335"/>
      <c r="P33" s="335"/>
      <c r="Q33" s="2"/>
      <c r="R33" s="335"/>
      <c r="S33" s="335"/>
      <c r="T33" s="335"/>
      <c r="U33" s="335"/>
      <c r="V33" s="201">
        <f>'I&amp;E Monthly'!V33</f>
        <v>0</v>
      </c>
      <c r="W33" s="136"/>
      <c r="X33" s="136"/>
      <c r="Y33" s="136"/>
      <c r="Z33" s="335"/>
      <c r="AA33" s="153" cm="1">
        <f t="array" ref="AA33">IF(OR(AA$4=0, $G33&lt;&gt; $G$7, $E33=0), 'I&amp;E Monthly'!AA33, CHOOSE(Timeline!AA$30,$J33,$K33,$L33 )*INDEX('I&amp;E Profiles'!AA$96:AA$180,$I33))</f>
        <v>0</v>
      </c>
      <c r="AB33" s="153" cm="1">
        <f t="array" ref="AB33">IF(OR(AB$4=0, $G33&lt;&gt; $G$7, $E33=0), 'I&amp;E Monthly'!AB33, CHOOSE(Timeline!AB$30,$J33,$K33,$L33 )*INDEX('I&amp;E Profiles'!AB$96:AB$180,$I33))</f>
        <v>0</v>
      </c>
      <c r="AC33" s="153" cm="1">
        <f t="array" ref="AC33">IF(OR(AC$4=0, $G33&lt;&gt; $G$7, $E33=0), 'I&amp;E Monthly'!AC33, CHOOSE(Timeline!AC$30,$J33,$K33,$L33 )*INDEX('I&amp;E Profiles'!AC$96:AC$180,$I33))</f>
        <v>0</v>
      </c>
      <c r="AD33" s="153" cm="1">
        <f t="array" ref="AD33">IF(OR(AD$4=0, $G33&lt;&gt; $G$7, $E33=0), 'I&amp;E Monthly'!AD33, CHOOSE(Timeline!AD$30,$J33,$K33,$L33 )*INDEX('I&amp;E Profiles'!AD$96:AD$180,$I33))</f>
        <v>0</v>
      </c>
      <c r="AE33" s="153" cm="1">
        <f t="array" ref="AE33">IF(OR(AE$4=0, $G33&lt;&gt; $G$7, $E33=0), 'I&amp;E Monthly'!AE33, CHOOSE(Timeline!AE$30,$J33,$K33,$L33 )*INDEX('I&amp;E Profiles'!AE$96:AE$180,$I33))</f>
        <v>0</v>
      </c>
      <c r="AF33" s="153" cm="1">
        <f t="array" ref="AF33">IF(OR(AF$4=0, $G33&lt;&gt; $G$7, $E33=0), 'I&amp;E Monthly'!AF33, CHOOSE(Timeline!AF$30,$J33,$K33,$L33 )*INDEX('I&amp;E Profiles'!AF$96:AF$180,$I33))</f>
        <v>0</v>
      </c>
      <c r="AG33" s="153" cm="1">
        <f t="array" ref="AG33">IF(OR(AG$4=0, $G33&lt;&gt; $G$7, $E33=0), 'I&amp;E Monthly'!AG33, CHOOSE(Timeline!AG$30,$J33,$K33,$L33 )*INDEX('I&amp;E Profiles'!AG$96:AG$180,$I33))</f>
        <v>0</v>
      </c>
      <c r="AH33" s="153" cm="1">
        <f t="array" ref="AH33">IF(OR(AH$4=0, $G33&lt;&gt; $G$7, $E33=0), 'I&amp;E Monthly'!AH33, CHOOSE(Timeline!AH$30,$J33,$K33,$L33 )*INDEX('I&amp;E Profiles'!AH$96:AH$180,$I33))</f>
        <v>0</v>
      </c>
      <c r="AI33" s="153" cm="1">
        <f t="array" ref="AI33">IF(OR(AI$4=0, $G33&lt;&gt; $G$7, $E33=0), 'I&amp;E Monthly'!AI33, CHOOSE(Timeline!AI$30,$J33,$K33,$L33 )*INDEX('I&amp;E Profiles'!AI$96:AI$180,$I33))</f>
        <v>0</v>
      </c>
      <c r="AJ33" s="153" cm="1">
        <f t="array" ref="AJ33">IF(OR(AJ$4=0, $G33&lt;&gt; $G$7, $E33=0), 'I&amp;E Monthly'!AJ33, CHOOSE(Timeline!AJ$30,$J33,$K33,$L33 )*INDEX('I&amp;E Profiles'!AJ$96:AJ$180,$I33))</f>
        <v>0</v>
      </c>
      <c r="AK33" s="153" cm="1">
        <f t="array" ref="AK33">IF(OR(AK$4=0, $G33&lt;&gt; $G$7, $E33=0), 'I&amp;E Monthly'!AK33, CHOOSE(Timeline!AK$30,$J33,$K33,$L33 )*INDEX('I&amp;E Profiles'!AK$96:AK$180,$I33))</f>
        <v>0</v>
      </c>
      <c r="AL33" s="153" cm="1">
        <f t="array" ref="AL33">IF(OR(AL$4=0, $G33&lt;&gt; $G$7, $E33=0), 'I&amp;E Monthly'!AL33, CHOOSE(Timeline!AL$30,$J33,$K33,$L33 )*INDEX('I&amp;E Profiles'!AL$96:AL$180,$I33))</f>
        <v>0</v>
      </c>
      <c r="AM33" s="153" cm="1">
        <f t="array" ref="AM33">IF(OR(AM$4=0, $G33&lt;&gt; $G$7, $E33=0), 'I&amp;E Monthly'!AM33, CHOOSE(Timeline!AM$30,$J33,$K33,$L33 )*INDEX('I&amp;E Profiles'!AM$96:AM$180,$I33))</f>
        <v>0</v>
      </c>
      <c r="AN33" s="153" cm="1">
        <f t="array" ref="AN33">IF(OR(AN$4=0, $G33&lt;&gt; $G$7, $E33=0), 'I&amp;E Monthly'!AN33, CHOOSE(Timeline!AN$30,$J33,$K33,$L33 )*INDEX('I&amp;E Profiles'!AN$96:AN$180,$I33))</f>
        <v>0</v>
      </c>
      <c r="AO33" s="153" cm="1">
        <f t="array" ref="AO33">IF(OR(AO$4=0, $G33&lt;&gt; $G$7, $E33=0), 'I&amp;E Monthly'!AO33, CHOOSE(Timeline!AO$30,$J33,$K33,$L33 )*INDEX('I&amp;E Profiles'!AO$96:AO$180,$I33))</f>
        <v>0</v>
      </c>
      <c r="AP33" s="153" cm="1">
        <f t="array" ref="AP33">IF(OR(AP$4=0, $G33&lt;&gt; $G$7, $E33=0), 'I&amp;E Monthly'!AP33, CHOOSE(Timeline!AP$30,$J33,$K33,$L33 )*INDEX('I&amp;E Profiles'!AP$96:AP$180,$I33))</f>
        <v>0</v>
      </c>
      <c r="AQ33" s="153" cm="1">
        <f t="array" ref="AQ33">IF(OR(AQ$4=0, $G33&lt;&gt; $G$7, $E33=0), 'I&amp;E Monthly'!AQ33, CHOOSE(Timeline!AQ$30,$J33,$K33,$L33 )*INDEX('I&amp;E Profiles'!AQ$96:AQ$180,$I33))</f>
        <v>0</v>
      </c>
      <c r="AR33" s="153" cm="1">
        <f t="array" ref="AR33">IF(OR(AR$4=0, $G33&lt;&gt; $G$7, $E33=0), 'I&amp;E Monthly'!AR33, CHOOSE(Timeline!AR$30,$J33,$K33,$L33 )*INDEX('I&amp;E Profiles'!AR$96:AR$180,$I33))</f>
        <v>0</v>
      </c>
      <c r="AS33" s="153" cm="1">
        <f t="array" ref="AS33">IF(OR(AS$4=0, $G33&lt;&gt; $G$7, $E33=0), 'I&amp;E Monthly'!AS33, CHOOSE(Timeline!AS$30,$J33,$K33,$L33 )*INDEX('I&amp;E Profiles'!AS$96:AS$180,$I33))</f>
        <v>0</v>
      </c>
      <c r="AT33" s="153" cm="1">
        <f t="array" ref="AT33">IF(OR(AT$4=0, $G33&lt;&gt; $G$7, $E33=0), 'I&amp;E Monthly'!AT33, CHOOSE(Timeline!AT$30,$J33,$K33,$L33 )*INDEX('I&amp;E Profiles'!AT$96:AT$180,$I33))</f>
        <v>0</v>
      </c>
      <c r="AU33" s="153" cm="1">
        <f t="array" ref="AU33">IF(OR(AU$4=0, $G33&lt;&gt; $G$7, $E33=0), 'I&amp;E Monthly'!AU33, CHOOSE(Timeline!AU$30,$J33,$K33,$L33 )*INDEX('I&amp;E Profiles'!AU$96:AU$180,$I33))</f>
        <v>0</v>
      </c>
      <c r="AV33" s="153" cm="1">
        <f t="array" ref="AV33">IF(OR(AV$4=0, $G33&lt;&gt; $G$7, $E33=0), 'I&amp;E Monthly'!AV33, CHOOSE(Timeline!AV$30,$J33,$K33,$L33 )*INDEX('I&amp;E Profiles'!AV$96:AV$180,$I33))</f>
        <v>0</v>
      </c>
      <c r="AW33" s="153" cm="1">
        <f t="array" ref="AW33">IF(OR(AW$4=0, $G33&lt;&gt; $G$7, $E33=0), 'I&amp;E Monthly'!AW33, CHOOSE(Timeline!AW$30,$J33,$K33,$L33 )*INDEX('I&amp;E Profiles'!AW$96:AW$180,$I33))</f>
        <v>0</v>
      </c>
      <c r="AX33" s="153" cm="1">
        <f t="array" ref="AX33">IF(OR(AX$4=0, $G33&lt;&gt; $G$7, $E33=0), 'I&amp;E Monthly'!AX33, CHOOSE(Timeline!AX$30,$J33,$K33,$L33 )*INDEX('I&amp;E Profiles'!AX$96:AX$180,$I33))</f>
        <v>0</v>
      </c>
      <c r="AY33" s="153" cm="1">
        <f t="array" ref="AY33">IF(OR(AY$4=0, $G33&lt;&gt; $G$7, $E33=0), 'I&amp;E Monthly'!AY33, CHOOSE(Timeline!AY$30,$J33,$K33,$L33 )*INDEX('I&amp;E Profiles'!AY$96:AY$180,$I33))</f>
        <v>0</v>
      </c>
      <c r="AZ33" s="153" cm="1">
        <f t="array" ref="AZ33">IF(OR(AZ$4=0, $G33&lt;&gt; $G$7, $E33=0), 'I&amp;E Monthly'!AZ33, CHOOSE(Timeline!AZ$30,$J33,$K33,$L33 )*INDEX('I&amp;E Profiles'!AZ$96:AZ$180,$I33))</f>
        <v>0</v>
      </c>
      <c r="BA33" s="153" cm="1">
        <f t="array" ref="BA33">IF(OR(BA$4=0, $G33&lt;&gt; $G$7, $E33=0), 'I&amp;E Monthly'!BA33, CHOOSE(Timeline!BA$30,$J33,$K33,$L33 )*INDEX('I&amp;E Profiles'!BA$96:BA$180,$I33))</f>
        <v>0</v>
      </c>
      <c r="BB33" s="153" cm="1">
        <f t="array" ref="BB33">IF(OR(BB$4=0, $G33&lt;&gt; $G$7, $E33=0), 'I&amp;E Monthly'!BB33, CHOOSE(Timeline!BB$30,$J33,$K33,$L33 )*INDEX('I&amp;E Profiles'!BB$96:BB$180,$I33))</f>
        <v>0</v>
      </c>
      <c r="BC33" s="153" cm="1">
        <f t="array" ref="BC33">IF(OR(BC$4=0, $G33&lt;&gt; $G$7, $E33=0), 'I&amp;E Monthly'!BC33, CHOOSE(Timeline!BC$30,$J33,$K33,$L33 )*INDEX('I&amp;E Profiles'!BC$96:BC$180,$I33))</f>
        <v>0</v>
      </c>
      <c r="BD33" s="153" cm="1">
        <f t="array" ref="BD33">IF(OR(BD$4=0, $G33&lt;&gt; $G$7, $E33=0), 'I&amp;E Monthly'!BD33, CHOOSE(Timeline!BD$30,$J33,$K33,$L33 )*INDEX('I&amp;E Profiles'!BD$96:BD$180,$I33))</f>
        <v>0</v>
      </c>
      <c r="BE33" s="153" cm="1">
        <f t="array" ref="BE33">IF(OR(BE$4=0, $G33&lt;&gt; $G$7, $E33=0), 'I&amp;E Monthly'!BE33, CHOOSE(Timeline!BE$30,$J33,$K33,$L33 )*INDEX('I&amp;E Profiles'!BE$96:BE$180,$I33))</f>
        <v>0</v>
      </c>
      <c r="BF33" s="153" cm="1">
        <f t="array" ref="BF33">IF(OR(BF$4=0, $G33&lt;&gt; $G$7, $E33=0), 'I&amp;E Monthly'!BF33, CHOOSE(Timeline!BF$30,$J33,$K33,$L33 )*INDEX('I&amp;E Profiles'!BF$96:BF$180,$I33))</f>
        <v>0</v>
      </c>
      <c r="BG33" s="153" cm="1">
        <f t="array" ref="BG33">IF(OR(BG$4=0, $G33&lt;&gt; $G$7, $E33=0), 'I&amp;E Monthly'!BG33, CHOOSE(Timeline!BG$30,$J33,$K33,$L33 )*INDEX('I&amp;E Profiles'!BG$96:BG$180,$I33))</f>
        <v>0</v>
      </c>
      <c r="BH33" s="153" cm="1">
        <f t="array" ref="BH33">IF(OR(BH$4=0, $G33&lt;&gt; $G$7, $E33=0), 'I&amp;E Monthly'!BH33, CHOOSE(Timeline!BH$30,$J33,$K33,$L33 )*INDEX('I&amp;E Profiles'!BH$96:BH$180,$I33))</f>
        <v>0</v>
      </c>
      <c r="BI33" s="153" cm="1">
        <f t="array" ref="BI33">IF(OR(BI$4=0, $G33&lt;&gt; $G$7, $E33=0), 'I&amp;E Monthly'!BI33, CHOOSE(Timeline!BI$30,$J33,$K33,$L33 )*INDEX('I&amp;E Profiles'!BI$96:BI$180,$I33))</f>
        <v>0</v>
      </c>
      <c r="BJ33" s="153" cm="1">
        <f t="array" ref="BJ33">IF(OR(BJ$4=0, $G33&lt;&gt; $G$7, $E33=0), 'I&amp;E Monthly'!BJ33, CHOOSE(Timeline!BJ$30,$J33,$K33,$L33 )*INDEX('I&amp;E Profiles'!BJ$96:BJ$180,$I33))</f>
        <v>0</v>
      </c>
      <c r="BK33" s="335"/>
      <c r="BL33" s="13">
        <f>V33</f>
        <v>0</v>
      </c>
      <c r="BM33" s="153">
        <f t="shared" si="30"/>
        <v>0</v>
      </c>
      <c r="BN33" s="153">
        <f t="shared" si="30"/>
        <v>0</v>
      </c>
      <c r="BO33" s="153">
        <f t="shared" si="30"/>
        <v>0</v>
      </c>
      <c r="BP33" s="13">
        <f>'I&amp;E Monthly'!BP33</f>
        <v>0</v>
      </c>
      <c r="BQ33" s="13">
        <f>'I&amp;E Monthly'!BQ33</f>
        <v>0</v>
      </c>
      <c r="BR33" s="13">
        <f>'I&amp;E Monthly'!BR33</f>
        <v>0</v>
      </c>
      <c r="BS33" s="13">
        <f>'I&amp;E Monthly'!BS33</f>
        <v>0</v>
      </c>
      <c r="BT33" s="13">
        <f>'I&amp;E Monthly'!BT33</f>
        <v>0</v>
      </c>
      <c r="BU33" s="13">
        <f>'I&amp;E Monthly'!BU33</f>
        <v>0</v>
      </c>
      <c r="BV33" s="13">
        <f>'I&amp;E Monthly'!BV33</f>
        <v>0</v>
      </c>
      <c r="BW33" s="13">
        <f>'I&amp;E Monthly'!BW33</f>
        <v>0</v>
      </c>
      <c r="BX33" s="335"/>
      <c r="BY33" s="12"/>
      <c r="BZ33" s="363">
        <f t="shared" ca="1" si="31"/>
        <v>0</v>
      </c>
      <c r="CA33" s="12"/>
      <c r="CB33" s="7">
        <f>IF(AND($G33=$G$7,$E33=""), 1, 0)</f>
        <v>0</v>
      </c>
      <c r="CC33" s="188" cm="1">
        <f t="array" ref="CC33">IF(E33="",0, IF(_xlfn.IFNA(INDEX('I&amp;E Profiles'!$D$96:$D$180, $I33), "N/A")="N/A", 1, 0))</f>
        <v>0</v>
      </c>
      <c r="CD33" s="7">
        <f t="shared" si="32"/>
        <v>0</v>
      </c>
      <c r="CE33" s="7">
        <f t="shared" si="33"/>
        <v>0</v>
      </c>
      <c r="CF33" s="7">
        <f t="shared" si="34"/>
        <v>0</v>
      </c>
      <c r="CG33" s="12"/>
      <c r="CH33" s="352">
        <f t="shared" si="35"/>
        <v>0</v>
      </c>
      <c r="CI33" s="352">
        <f t="shared" si="35"/>
        <v>0</v>
      </c>
      <c r="CJ33" s="352">
        <f t="shared" si="35"/>
        <v>0</v>
      </c>
      <c r="CK33" s="352">
        <f t="shared" si="36"/>
        <v>0</v>
      </c>
      <c r="CL33" s="352">
        <f t="shared" si="37"/>
        <v>0</v>
      </c>
      <c r="CM33" s="352">
        <f t="shared" si="38"/>
        <v>0</v>
      </c>
      <c r="CN33" s="352">
        <f t="shared" si="39"/>
        <v>0</v>
      </c>
      <c r="EX33" s="10" t="str">
        <f t="shared" si="1"/>
        <v/>
      </c>
    </row>
    <row r="34" spans="1:154" hidden="1" x14ac:dyDescent="0.25">
      <c r="A34" s="362" cm="1">
        <f t="array" aca="1" ref="A34" ca="1">HYPERLINK(CONCATENATE("#",CELL("address",IF(SUM($CA34:$CG34)=0,A34,INDEX($CA34:$CG34,MATCH(1,$CA34:$CG34,0))))),SUM($CA34:$CG34))</f>
        <v>0</v>
      </c>
      <c r="B34" s="335"/>
      <c r="C34" s="383"/>
      <c r="D34" s="137" t="s">
        <v>2316</v>
      </c>
      <c r="E34" s="136"/>
      <c r="F34" s="98" t="str" cm="1">
        <f t="array" aca="1" ref="F34" ca="1">IF(E34="", "", HYPERLINK(CONCATENATE("#",CELL("address",INDEX('I&amp;E Profiles'!$D$9:$D$93,'I&amp;E Annual'!I34))),E34))</f>
        <v/>
      </c>
      <c r="G34" s="136"/>
      <c r="I34" s="200" t="str">
        <f>IF(E34="", "", MATCH(E34, 'I&amp;E Profiles'!$D$96:$D$180,0))</f>
        <v/>
      </c>
      <c r="J34" s="215">
        <f>IF($G34=$G$7, W34,'I&amp;E Monthly'!W34)-SUMIFS('I&amp;E Monthly'!$AA34:$BJ34, 'I&amp;E Monthly'!$AA$3:$BJ$3, 'I&amp;E Annual'!W$3, 'I&amp;E Monthly'!$AA$4:$BJ$4, 0)</f>
        <v>0</v>
      </c>
      <c r="K34" s="215">
        <f>IF($G34=$G$7, X34,'I&amp;E Monthly'!X34)-SUMIFS('I&amp;E Monthly'!$AA34:$BJ34, 'I&amp;E Monthly'!$AA$3:$BJ$3, 'I&amp;E Annual'!X$3, 'I&amp;E Monthly'!$AA$4:$BJ$4, 0)</f>
        <v>0</v>
      </c>
      <c r="L34" s="215">
        <f>IF($G34=$G$7, Y34,'I&amp;E Monthly'!Y34)-SUMIFS('I&amp;E Monthly'!$AA34:$BJ34, 'I&amp;E Monthly'!$AA$3:$BJ$3, 'I&amp;E Annual'!Y$3, 'I&amp;E Monthly'!$AA$4:$BJ$4, 0)</f>
        <v>0</v>
      </c>
      <c r="M34" s="335"/>
      <c r="N34" s="335"/>
      <c r="O34" s="335"/>
      <c r="P34" s="335"/>
      <c r="Q34" s="2"/>
      <c r="R34" s="335"/>
      <c r="S34" s="335"/>
      <c r="T34" s="335"/>
      <c r="U34" s="335"/>
      <c r="V34" s="201">
        <f>'I&amp;E Monthly'!V34</f>
        <v>0</v>
      </c>
      <c r="W34" s="136"/>
      <c r="X34" s="136"/>
      <c r="Y34" s="136"/>
      <c r="Z34" s="335"/>
      <c r="AA34" s="153" cm="1">
        <f t="array" ref="AA34">IF(OR(AA$4=0, $G34&lt;&gt; $G$7, $E34=0), 'I&amp;E Monthly'!AA34, CHOOSE(Timeline!AA$30,$J34,$K34,$L34 )*INDEX('I&amp;E Profiles'!AA$96:AA$180,$I34))</f>
        <v>0</v>
      </c>
      <c r="AB34" s="153" cm="1">
        <f t="array" ref="AB34">IF(OR(AB$4=0, $G34&lt;&gt; $G$7, $E34=0), 'I&amp;E Monthly'!AB34, CHOOSE(Timeline!AB$30,$J34,$K34,$L34 )*INDEX('I&amp;E Profiles'!AB$96:AB$180,$I34))</f>
        <v>0</v>
      </c>
      <c r="AC34" s="153" cm="1">
        <f t="array" ref="AC34">IF(OR(AC$4=0, $G34&lt;&gt; $G$7, $E34=0), 'I&amp;E Monthly'!AC34, CHOOSE(Timeline!AC$30,$J34,$K34,$L34 )*INDEX('I&amp;E Profiles'!AC$96:AC$180,$I34))</f>
        <v>0</v>
      </c>
      <c r="AD34" s="153" cm="1">
        <f t="array" ref="AD34">IF(OR(AD$4=0, $G34&lt;&gt; $G$7, $E34=0), 'I&amp;E Monthly'!AD34, CHOOSE(Timeline!AD$30,$J34,$K34,$L34 )*INDEX('I&amp;E Profiles'!AD$96:AD$180,$I34))</f>
        <v>0</v>
      </c>
      <c r="AE34" s="153" cm="1">
        <f t="array" ref="AE34">IF(OR(AE$4=0, $G34&lt;&gt; $G$7, $E34=0), 'I&amp;E Monthly'!AE34, CHOOSE(Timeline!AE$30,$J34,$K34,$L34 )*INDEX('I&amp;E Profiles'!AE$96:AE$180,$I34))</f>
        <v>0</v>
      </c>
      <c r="AF34" s="153" cm="1">
        <f t="array" ref="AF34">IF(OR(AF$4=0, $G34&lt;&gt; $G$7, $E34=0), 'I&amp;E Monthly'!AF34, CHOOSE(Timeline!AF$30,$J34,$K34,$L34 )*INDEX('I&amp;E Profiles'!AF$96:AF$180,$I34))</f>
        <v>0</v>
      </c>
      <c r="AG34" s="153" cm="1">
        <f t="array" ref="AG34">IF(OR(AG$4=0, $G34&lt;&gt; $G$7, $E34=0), 'I&amp;E Monthly'!AG34, CHOOSE(Timeline!AG$30,$J34,$K34,$L34 )*INDEX('I&amp;E Profiles'!AG$96:AG$180,$I34))</f>
        <v>0</v>
      </c>
      <c r="AH34" s="153" cm="1">
        <f t="array" ref="AH34">IF(OR(AH$4=0, $G34&lt;&gt; $G$7, $E34=0), 'I&amp;E Monthly'!AH34, CHOOSE(Timeline!AH$30,$J34,$K34,$L34 )*INDEX('I&amp;E Profiles'!AH$96:AH$180,$I34))</f>
        <v>0</v>
      </c>
      <c r="AI34" s="153" cm="1">
        <f t="array" ref="AI34">IF(OR(AI$4=0, $G34&lt;&gt; $G$7, $E34=0), 'I&amp;E Monthly'!AI34, CHOOSE(Timeline!AI$30,$J34,$K34,$L34 )*INDEX('I&amp;E Profiles'!AI$96:AI$180,$I34))</f>
        <v>0</v>
      </c>
      <c r="AJ34" s="153" cm="1">
        <f t="array" ref="AJ34">IF(OR(AJ$4=0, $G34&lt;&gt; $G$7, $E34=0), 'I&amp;E Monthly'!AJ34, CHOOSE(Timeline!AJ$30,$J34,$K34,$L34 )*INDEX('I&amp;E Profiles'!AJ$96:AJ$180,$I34))</f>
        <v>0</v>
      </c>
      <c r="AK34" s="153" cm="1">
        <f t="array" ref="AK34">IF(OR(AK$4=0, $G34&lt;&gt; $G$7, $E34=0), 'I&amp;E Monthly'!AK34, CHOOSE(Timeline!AK$30,$J34,$K34,$L34 )*INDEX('I&amp;E Profiles'!AK$96:AK$180,$I34))</f>
        <v>0</v>
      </c>
      <c r="AL34" s="153" cm="1">
        <f t="array" ref="AL34">IF(OR(AL$4=0, $G34&lt;&gt; $G$7, $E34=0), 'I&amp;E Monthly'!AL34, CHOOSE(Timeline!AL$30,$J34,$K34,$L34 )*INDEX('I&amp;E Profiles'!AL$96:AL$180,$I34))</f>
        <v>0</v>
      </c>
      <c r="AM34" s="153" cm="1">
        <f t="array" ref="AM34">IF(OR(AM$4=0, $G34&lt;&gt; $G$7, $E34=0), 'I&amp;E Monthly'!AM34, CHOOSE(Timeline!AM$30,$J34,$K34,$L34 )*INDEX('I&amp;E Profiles'!AM$96:AM$180,$I34))</f>
        <v>0</v>
      </c>
      <c r="AN34" s="153" cm="1">
        <f t="array" ref="AN34">IF(OR(AN$4=0, $G34&lt;&gt; $G$7, $E34=0), 'I&amp;E Monthly'!AN34, CHOOSE(Timeline!AN$30,$J34,$K34,$L34 )*INDEX('I&amp;E Profiles'!AN$96:AN$180,$I34))</f>
        <v>0</v>
      </c>
      <c r="AO34" s="153" cm="1">
        <f t="array" ref="AO34">IF(OR(AO$4=0, $G34&lt;&gt; $G$7, $E34=0), 'I&amp;E Monthly'!AO34, CHOOSE(Timeline!AO$30,$J34,$K34,$L34 )*INDEX('I&amp;E Profiles'!AO$96:AO$180,$I34))</f>
        <v>0</v>
      </c>
      <c r="AP34" s="153" cm="1">
        <f t="array" ref="AP34">IF(OR(AP$4=0, $G34&lt;&gt; $G$7, $E34=0), 'I&amp;E Monthly'!AP34, CHOOSE(Timeline!AP$30,$J34,$K34,$L34 )*INDEX('I&amp;E Profiles'!AP$96:AP$180,$I34))</f>
        <v>0</v>
      </c>
      <c r="AQ34" s="153" cm="1">
        <f t="array" ref="AQ34">IF(OR(AQ$4=0, $G34&lt;&gt; $G$7, $E34=0), 'I&amp;E Monthly'!AQ34, CHOOSE(Timeline!AQ$30,$J34,$K34,$L34 )*INDEX('I&amp;E Profiles'!AQ$96:AQ$180,$I34))</f>
        <v>0</v>
      </c>
      <c r="AR34" s="153" cm="1">
        <f t="array" ref="AR34">IF(OR(AR$4=0, $G34&lt;&gt; $G$7, $E34=0), 'I&amp;E Monthly'!AR34, CHOOSE(Timeline!AR$30,$J34,$K34,$L34 )*INDEX('I&amp;E Profiles'!AR$96:AR$180,$I34))</f>
        <v>0</v>
      </c>
      <c r="AS34" s="153" cm="1">
        <f t="array" ref="AS34">IF(OR(AS$4=0, $G34&lt;&gt; $G$7, $E34=0), 'I&amp;E Monthly'!AS34, CHOOSE(Timeline!AS$30,$J34,$K34,$L34 )*INDEX('I&amp;E Profiles'!AS$96:AS$180,$I34))</f>
        <v>0</v>
      </c>
      <c r="AT34" s="153" cm="1">
        <f t="array" ref="AT34">IF(OR(AT$4=0, $G34&lt;&gt; $G$7, $E34=0), 'I&amp;E Monthly'!AT34, CHOOSE(Timeline!AT$30,$J34,$K34,$L34 )*INDEX('I&amp;E Profiles'!AT$96:AT$180,$I34))</f>
        <v>0</v>
      </c>
      <c r="AU34" s="153" cm="1">
        <f t="array" ref="AU34">IF(OR(AU$4=0, $G34&lt;&gt; $G$7, $E34=0), 'I&amp;E Monthly'!AU34, CHOOSE(Timeline!AU$30,$J34,$K34,$L34 )*INDEX('I&amp;E Profiles'!AU$96:AU$180,$I34))</f>
        <v>0</v>
      </c>
      <c r="AV34" s="153" cm="1">
        <f t="array" ref="AV34">IF(OR(AV$4=0, $G34&lt;&gt; $G$7, $E34=0), 'I&amp;E Monthly'!AV34, CHOOSE(Timeline!AV$30,$J34,$K34,$L34 )*INDEX('I&amp;E Profiles'!AV$96:AV$180,$I34))</f>
        <v>0</v>
      </c>
      <c r="AW34" s="153" cm="1">
        <f t="array" ref="AW34">IF(OR(AW$4=0, $G34&lt;&gt; $G$7, $E34=0), 'I&amp;E Monthly'!AW34, CHOOSE(Timeline!AW$30,$J34,$K34,$L34 )*INDEX('I&amp;E Profiles'!AW$96:AW$180,$I34))</f>
        <v>0</v>
      </c>
      <c r="AX34" s="153" cm="1">
        <f t="array" ref="AX34">IF(OR(AX$4=0, $G34&lt;&gt; $G$7, $E34=0), 'I&amp;E Monthly'!AX34, CHOOSE(Timeline!AX$30,$J34,$K34,$L34 )*INDEX('I&amp;E Profiles'!AX$96:AX$180,$I34))</f>
        <v>0</v>
      </c>
      <c r="AY34" s="153" cm="1">
        <f t="array" ref="AY34">IF(OR(AY$4=0, $G34&lt;&gt; $G$7, $E34=0), 'I&amp;E Monthly'!AY34, CHOOSE(Timeline!AY$30,$J34,$K34,$L34 )*INDEX('I&amp;E Profiles'!AY$96:AY$180,$I34))</f>
        <v>0</v>
      </c>
      <c r="AZ34" s="153" cm="1">
        <f t="array" ref="AZ34">IF(OR(AZ$4=0, $G34&lt;&gt; $G$7, $E34=0), 'I&amp;E Monthly'!AZ34, CHOOSE(Timeline!AZ$30,$J34,$K34,$L34 )*INDEX('I&amp;E Profiles'!AZ$96:AZ$180,$I34))</f>
        <v>0</v>
      </c>
      <c r="BA34" s="153" cm="1">
        <f t="array" ref="BA34">IF(OR(BA$4=0, $G34&lt;&gt; $G$7, $E34=0), 'I&amp;E Monthly'!BA34, CHOOSE(Timeline!BA$30,$J34,$K34,$L34 )*INDEX('I&amp;E Profiles'!BA$96:BA$180,$I34))</f>
        <v>0</v>
      </c>
      <c r="BB34" s="153" cm="1">
        <f t="array" ref="BB34">IF(OR(BB$4=0, $G34&lt;&gt; $G$7, $E34=0), 'I&amp;E Monthly'!BB34, CHOOSE(Timeline!BB$30,$J34,$K34,$L34 )*INDEX('I&amp;E Profiles'!BB$96:BB$180,$I34))</f>
        <v>0</v>
      </c>
      <c r="BC34" s="153" cm="1">
        <f t="array" ref="BC34">IF(OR(BC$4=0, $G34&lt;&gt; $G$7, $E34=0), 'I&amp;E Monthly'!BC34, CHOOSE(Timeline!BC$30,$J34,$K34,$L34 )*INDEX('I&amp;E Profiles'!BC$96:BC$180,$I34))</f>
        <v>0</v>
      </c>
      <c r="BD34" s="153" cm="1">
        <f t="array" ref="BD34">IF(OR(BD$4=0, $G34&lt;&gt; $G$7, $E34=0), 'I&amp;E Monthly'!BD34, CHOOSE(Timeline!BD$30,$J34,$K34,$L34 )*INDEX('I&amp;E Profiles'!BD$96:BD$180,$I34))</f>
        <v>0</v>
      </c>
      <c r="BE34" s="153" cm="1">
        <f t="array" ref="BE34">IF(OR(BE$4=0, $G34&lt;&gt; $G$7, $E34=0), 'I&amp;E Monthly'!BE34, CHOOSE(Timeline!BE$30,$J34,$K34,$L34 )*INDEX('I&amp;E Profiles'!BE$96:BE$180,$I34))</f>
        <v>0</v>
      </c>
      <c r="BF34" s="153" cm="1">
        <f t="array" ref="BF34">IF(OR(BF$4=0, $G34&lt;&gt; $G$7, $E34=0), 'I&amp;E Monthly'!BF34, CHOOSE(Timeline!BF$30,$J34,$K34,$L34 )*INDEX('I&amp;E Profiles'!BF$96:BF$180,$I34))</f>
        <v>0</v>
      </c>
      <c r="BG34" s="153" cm="1">
        <f t="array" ref="BG34">IF(OR(BG$4=0, $G34&lt;&gt; $G$7, $E34=0), 'I&amp;E Monthly'!BG34, CHOOSE(Timeline!BG$30,$J34,$K34,$L34 )*INDEX('I&amp;E Profiles'!BG$96:BG$180,$I34))</f>
        <v>0</v>
      </c>
      <c r="BH34" s="153" cm="1">
        <f t="array" ref="BH34">IF(OR(BH$4=0, $G34&lt;&gt; $G$7, $E34=0), 'I&amp;E Monthly'!BH34, CHOOSE(Timeline!BH$30,$J34,$K34,$L34 )*INDEX('I&amp;E Profiles'!BH$96:BH$180,$I34))</f>
        <v>0</v>
      </c>
      <c r="BI34" s="153" cm="1">
        <f t="array" ref="BI34">IF(OR(BI$4=0, $G34&lt;&gt; $G$7, $E34=0), 'I&amp;E Monthly'!BI34, CHOOSE(Timeline!BI$30,$J34,$K34,$L34 )*INDEX('I&amp;E Profiles'!BI$96:BI$180,$I34))</f>
        <v>0</v>
      </c>
      <c r="BJ34" s="153" cm="1">
        <f t="array" ref="BJ34">IF(OR(BJ$4=0, $G34&lt;&gt; $G$7, $E34=0), 'I&amp;E Monthly'!BJ34, CHOOSE(Timeline!BJ$30,$J34,$K34,$L34 )*INDEX('I&amp;E Profiles'!BJ$96:BJ$180,$I34))</f>
        <v>0</v>
      </c>
      <c r="BK34" s="335"/>
      <c r="BL34" s="13">
        <f>V34</f>
        <v>0</v>
      </c>
      <c r="BM34" s="153">
        <f t="shared" si="30"/>
        <v>0</v>
      </c>
      <c r="BN34" s="153">
        <f t="shared" si="30"/>
        <v>0</v>
      </c>
      <c r="BO34" s="153">
        <f t="shared" si="30"/>
        <v>0</v>
      </c>
      <c r="BP34" s="13">
        <f>'I&amp;E Monthly'!BP34</f>
        <v>0</v>
      </c>
      <c r="BQ34" s="13">
        <f>'I&amp;E Monthly'!BQ34</f>
        <v>0</v>
      </c>
      <c r="BR34" s="13">
        <f>'I&amp;E Monthly'!BR34</f>
        <v>0</v>
      </c>
      <c r="BS34" s="13">
        <f>'I&amp;E Monthly'!BS34</f>
        <v>0</v>
      </c>
      <c r="BT34" s="13">
        <f>'I&amp;E Monthly'!BT34</f>
        <v>0</v>
      </c>
      <c r="BU34" s="13">
        <f>'I&amp;E Monthly'!BU34</f>
        <v>0</v>
      </c>
      <c r="BV34" s="13">
        <f>'I&amp;E Monthly'!BV34</f>
        <v>0</v>
      </c>
      <c r="BW34" s="13">
        <f>'I&amp;E Monthly'!BW34</f>
        <v>0</v>
      </c>
      <c r="BX34" s="335"/>
      <c r="BY34" s="12"/>
      <c r="BZ34" s="363">
        <f t="shared" ca="1" si="31"/>
        <v>0</v>
      </c>
      <c r="CA34" s="12"/>
      <c r="CB34" s="7">
        <f>IF(AND($G34=$G$7,$E34=""), 1, 0)</f>
        <v>0</v>
      </c>
      <c r="CC34" s="188" cm="1">
        <f t="array" ref="CC34">IF(E34="",0, IF(_xlfn.IFNA(INDEX('I&amp;E Profiles'!$D$96:$D$180, $I34), "N/A")="N/A", 1, 0))</f>
        <v>0</v>
      </c>
      <c r="CD34" s="7">
        <f t="shared" si="32"/>
        <v>0</v>
      </c>
      <c r="CE34" s="7">
        <f t="shared" si="33"/>
        <v>0</v>
      </c>
      <c r="CF34" s="7">
        <f t="shared" si="34"/>
        <v>0</v>
      </c>
      <c r="CG34" s="12"/>
      <c r="CH34" s="352">
        <f t="shared" si="35"/>
        <v>0</v>
      </c>
      <c r="CI34" s="352">
        <f t="shared" si="35"/>
        <v>0</v>
      </c>
      <c r="CJ34" s="352">
        <f t="shared" si="35"/>
        <v>0</v>
      </c>
      <c r="CK34" s="352">
        <f t="shared" si="36"/>
        <v>0</v>
      </c>
      <c r="CL34" s="352">
        <f t="shared" si="37"/>
        <v>0</v>
      </c>
      <c r="CM34" s="352">
        <f t="shared" si="38"/>
        <v>0</v>
      </c>
      <c r="CN34" s="352">
        <f t="shared" si="39"/>
        <v>0</v>
      </c>
      <c r="EX34" s="10" t="str">
        <f t="shared" si="1"/>
        <v/>
      </c>
    </row>
    <row r="35" spans="1:154" hidden="1" x14ac:dyDescent="0.25">
      <c r="A35" s="362" cm="1">
        <f t="array" aca="1" ref="A35" ca="1">HYPERLINK(CONCATENATE("#",CELL("address",IF(SUM($CA35:$CG35)=0,A35,INDEX($CA35:$CG35,MATCH(1,$CA35:$CG35,0))))),SUM($CA35:$CG35))</f>
        <v>0</v>
      </c>
      <c r="B35" s="335"/>
      <c r="C35" s="383"/>
      <c r="D35" s="137" t="s">
        <v>2316</v>
      </c>
      <c r="E35" s="136"/>
      <c r="F35" s="98" t="str" cm="1">
        <f t="array" aca="1" ref="F35" ca="1">IF(E35="", "", HYPERLINK(CONCATENATE("#",CELL("address",INDEX('I&amp;E Profiles'!$D$9:$D$93,'I&amp;E Annual'!I35))),E35))</f>
        <v/>
      </c>
      <c r="G35" s="136"/>
      <c r="I35" s="200" t="str">
        <f>IF(E35="", "", MATCH(E35, 'I&amp;E Profiles'!$D$96:$D$180,0))</f>
        <v/>
      </c>
      <c r="J35" s="215">
        <f>IF($G35=$G$7, W35,'I&amp;E Monthly'!W35)-SUMIFS('I&amp;E Monthly'!$AA35:$BJ35, 'I&amp;E Monthly'!$AA$3:$BJ$3, 'I&amp;E Annual'!W$3, 'I&amp;E Monthly'!$AA$4:$BJ$4, 0)</f>
        <v>0</v>
      </c>
      <c r="K35" s="215">
        <f>IF($G35=$G$7, X35,'I&amp;E Monthly'!X35)-SUMIFS('I&amp;E Monthly'!$AA35:$BJ35, 'I&amp;E Monthly'!$AA$3:$BJ$3, 'I&amp;E Annual'!X$3, 'I&amp;E Monthly'!$AA$4:$BJ$4, 0)</f>
        <v>0</v>
      </c>
      <c r="L35" s="215">
        <f>IF($G35=$G$7, Y35,'I&amp;E Monthly'!Y35)-SUMIFS('I&amp;E Monthly'!$AA35:$BJ35, 'I&amp;E Monthly'!$AA$3:$BJ$3, 'I&amp;E Annual'!Y$3, 'I&amp;E Monthly'!$AA$4:$BJ$4, 0)</f>
        <v>0</v>
      </c>
      <c r="M35" s="335"/>
      <c r="N35" s="335"/>
      <c r="O35" s="335"/>
      <c r="P35" s="335"/>
      <c r="Q35" s="2"/>
      <c r="R35" s="335"/>
      <c r="S35" s="335"/>
      <c r="T35" s="335"/>
      <c r="U35" s="335"/>
      <c r="V35" s="201">
        <f>'I&amp;E Monthly'!V35</f>
        <v>0</v>
      </c>
      <c r="W35" s="136"/>
      <c r="X35" s="136"/>
      <c r="Y35" s="136"/>
      <c r="Z35" s="335"/>
      <c r="AA35" s="153" cm="1">
        <f t="array" ref="AA35">IF(OR(AA$4=0, $G35&lt;&gt; $G$7, $E35=0), 'I&amp;E Monthly'!AA35, CHOOSE(Timeline!AA$30,$J35,$K35,$L35 )*INDEX('I&amp;E Profiles'!AA$96:AA$180,$I35))</f>
        <v>0</v>
      </c>
      <c r="AB35" s="153" cm="1">
        <f t="array" ref="AB35">IF(OR(AB$4=0, $G35&lt;&gt; $G$7, $E35=0), 'I&amp;E Monthly'!AB35, CHOOSE(Timeline!AB$30,$J35,$K35,$L35 )*INDEX('I&amp;E Profiles'!AB$96:AB$180,$I35))</f>
        <v>0</v>
      </c>
      <c r="AC35" s="153" cm="1">
        <f t="array" ref="AC35">IF(OR(AC$4=0, $G35&lt;&gt; $G$7, $E35=0), 'I&amp;E Monthly'!AC35, CHOOSE(Timeline!AC$30,$J35,$K35,$L35 )*INDEX('I&amp;E Profiles'!AC$96:AC$180,$I35))</f>
        <v>0</v>
      </c>
      <c r="AD35" s="153" cm="1">
        <f t="array" ref="AD35">IF(OR(AD$4=0, $G35&lt;&gt; $G$7, $E35=0), 'I&amp;E Monthly'!AD35, CHOOSE(Timeline!AD$30,$J35,$K35,$L35 )*INDEX('I&amp;E Profiles'!AD$96:AD$180,$I35))</f>
        <v>0</v>
      </c>
      <c r="AE35" s="153" cm="1">
        <f t="array" ref="AE35">IF(OR(AE$4=0, $G35&lt;&gt; $G$7, $E35=0), 'I&amp;E Monthly'!AE35, CHOOSE(Timeline!AE$30,$J35,$K35,$L35 )*INDEX('I&amp;E Profiles'!AE$96:AE$180,$I35))</f>
        <v>0</v>
      </c>
      <c r="AF35" s="153" cm="1">
        <f t="array" ref="AF35">IF(OR(AF$4=0, $G35&lt;&gt; $G$7, $E35=0), 'I&amp;E Monthly'!AF35, CHOOSE(Timeline!AF$30,$J35,$K35,$L35 )*INDEX('I&amp;E Profiles'!AF$96:AF$180,$I35))</f>
        <v>0</v>
      </c>
      <c r="AG35" s="153" cm="1">
        <f t="array" ref="AG35">IF(OR(AG$4=0, $G35&lt;&gt; $G$7, $E35=0), 'I&amp;E Monthly'!AG35, CHOOSE(Timeline!AG$30,$J35,$K35,$L35 )*INDEX('I&amp;E Profiles'!AG$96:AG$180,$I35))</f>
        <v>0</v>
      </c>
      <c r="AH35" s="153" cm="1">
        <f t="array" ref="AH35">IF(OR(AH$4=0, $G35&lt;&gt; $G$7, $E35=0), 'I&amp;E Monthly'!AH35, CHOOSE(Timeline!AH$30,$J35,$K35,$L35 )*INDEX('I&amp;E Profiles'!AH$96:AH$180,$I35))</f>
        <v>0</v>
      </c>
      <c r="AI35" s="153" cm="1">
        <f t="array" ref="AI35">IF(OR(AI$4=0, $G35&lt;&gt; $G$7, $E35=0), 'I&amp;E Monthly'!AI35, CHOOSE(Timeline!AI$30,$J35,$K35,$L35 )*INDEX('I&amp;E Profiles'!AI$96:AI$180,$I35))</f>
        <v>0</v>
      </c>
      <c r="AJ35" s="153" cm="1">
        <f t="array" ref="AJ35">IF(OR(AJ$4=0, $G35&lt;&gt; $G$7, $E35=0), 'I&amp;E Monthly'!AJ35, CHOOSE(Timeline!AJ$30,$J35,$K35,$L35 )*INDEX('I&amp;E Profiles'!AJ$96:AJ$180,$I35))</f>
        <v>0</v>
      </c>
      <c r="AK35" s="153" cm="1">
        <f t="array" ref="AK35">IF(OR(AK$4=0, $G35&lt;&gt; $G$7, $E35=0), 'I&amp;E Monthly'!AK35, CHOOSE(Timeline!AK$30,$J35,$K35,$L35 )*INDEX('I&amp;E Profiles'!AK$96:AK$180,$I35))</f>
        <v>0</v>
      </c>
      <c r="AL35" s="153" cm="1">
        <f t="array" ref="AL35">IF(OR(AL$4=0, $G35&lt;&gt; $G$7, $E35=0), 'I&amp;E Monthly'!AL35, CHOOSE(Timeline!AL$30,$J35,$K35,$L35 )*INDEX('I&amp;E Profiles'!AL$96:AL$180,$I35))</f>
        <v>0</v>
      </c>
      <c r="AM35" s="153" cm="1">
        <f t="array" ref="AM35">IF(OR(AM$4=0, $G35&lt;&gt; $G$7, $E35=0), 'I&amp;E Monthly'!AM35, CHOOSE(Timeline!AM$30,$J35,$K35,$L35 )*INDEX('I&amp;E Profiles'!AM$96:AM$180,$I35))</f>
        <v>0</v>
      </c>
      <c r="AN35" s="153" cm="1">
        <f t="array" ref="AN35">IF(OR(AN$4=0, $G35&lt;&gt; $G$7, $E35=0), 'I&amp;E Monthly'!AN35, CHOOSE(Timeline!AN$30,$J35,$K35,$L35 )*INDEX('I&amp;E Profiles'!AN$96:AN$180,$I35))</f>
        <v>0</v>
      </c>
      <c r="AO35" s="153" cm="1">
        <f t="array" ref="AO35">IF(OR(AO$4=0, $G35&lt;&gt; $G$7, $E35=0), 'I&amp;E Monthly'!AO35, CHOOSE(Timeline!AO$30,$J35,$K35,$L35 )*INDEX('I&amp;E Profiles'!AO$96:AO$180,$I35))</f>
        <v>0</v>
      </c>
      <c r="AP35" s="153" cm="1">
        <f t="array" ref="AP35">IF(OR(AP$4=0, $G35&lt;&gt; $G$7, $E35=0), 'I&amp;E Monthly'!AP35, CHOOSE(Timeline!AP$30,$J35,$K35,$L35 )*INDEX('I&amp;E Profiles'!AP$96:AP$180,$I35))</f>
        <v>0</v>
      </c>
      <c r="AQ35" s="153" cm="1">
        <f t="array" ref="AQ35">IF(OR(AQ$4=0, $G35&lt;&gt; $G$7, $E35=0), 'I&amp;E Monthly'!AQ35, CHOOSE(Timeline!AQ$30,$J35,$K35,$L35 )*INDEX('I&amp;E Profiles'!AQ$96:AQ$180,$I35))</f>
        <v>0</v>
      </c>
      <c r="AR35" s="153" cm="1">
        <f t="array" ref="AR35">IF(OR(AR$4=0, $G35&lt;&gt; $G$7, $E35=0), 'I&amp;E Monthly'!AR35, CHOOSE(Timeline!AR$30,$J35,$K35,$L35 )*INDEX('I&amp;E Profiles'!AR$96:AR$180,$I35))</f>
        <v>0</v>
      </c>
      <c r="AS35" s="153" cm="1">
        <f t="array" ref="AS35">IF(OR(AS$4=0, $G35&lt;&gt; $G$7, $E35=0), 'I&amp;E Monthly'!AS35, CHOOSE(Timeline!AS$30,$J35,$K35,$L35 )*INDEX('I&amp;E Profiles'!AS$96:AS$180,$I35))</f>
        <v>0</v>
      </c>
      <c r="AT35" s="153" cm="1">
        <f t="array" ref="AT35">IF(OR(AT$4=0, $G35&lt;&gt; $G$7, $E35=0), 'I&amp;E Monthly'!AT35, CHOOSE(Timeline!AT$30,$J35,$K35,$L35 )*INDEX('I&amp;E Profiles'!AT$96:AT$180,$I35))</f>
        <v>0</v>
      </c>
      <c r="AU35" s="153" cm="1">
        <f t="array" ref="AU35">IF(OR(AU$4=0, $G35&lt;&gt; $G$7, $E35=0), 'I&amp;E Monthly'!AU35, CHOOSE(Timeline!AU$30,$J35,$K35,$L35 )*INDEX('I&amp;E Profiles'!AU$96:AU$180,$I35))</f>
        <v>0</v>
      </c>
      <c r="AV35" s="153" cm="1">
        <f t="array" ref="AV35">IF(OR(AV$4=0, $G35&lt;&gt; $G$7, $E35=0), 'I&amp;E Monthly'!AV35, CHOOSE(Timeline!AV$30,$J35,$K35,$L35 )*INDEX('I&amp;E Profiles'!AV$96:AV$180,$I35))</f>
        <v>0</v>
      </c>
      <c r="AW35" s="153" cm="1">
        <f t="array" ref="AW35">IF(OR(AW$4=0, $G35&lt;&gt; $G$7, $E35=0), 'I&amp;E Monthly'!AW35, CHOOSE(Timeline!AW$30,$J35,$K35,$L35 )*INDEX('I&amp;E Profiles'!AW$96:AW$180,$I35))</f>
        <v>0</v>
      </c>
      <c r="AX35" s="153" cm="1">
        <f t="array" ref="AX35">IF(OR(AX$4=0, $G35&lt;&gt; $G$7, $E35=0), 'I&amp;E Monthly'!AX35, CHOOSE(Timeline!AX$30,$J35,$K35,$L35 )*INDEX('I&amp;E Profiles'!AX$96:AX$180,$I35))</f>
        <v>0</v>
      </c>
      <c r="AY35" s="153" cm="1">
        <f t="array" ref="AY35">IF(OR(AY$4=0, $G35&lt;&gt; $G$7, $E35=0), 'I&amp;E Monthly'!AY35, CHOOSE(Timeline!AY$30,$J35,$K35,$L35 )*INDEX('I&amp;E Profiles'!AY$96:AY$180,$I35))</f>
        <v>0</v>
      </c>
      <c r="AZ35" s="153" cm="1">
        <f t="array" ref="AZ35">IF(OR(AZ$4=0, $G35&lt;&gt; $G$7, $E35=0), 'I&amp;E Monthly'!AZ35, CHOOSE(Timeline!AZ$30,$J35,$K35,$L35 )*INDEX('I&amp;E Profiles'!AZ$96:AZ$180,$I35))</f>
        <v>0</v>
      </c>
      <c r="BA35" s="153" cm="1">
        <f t="array" ref="BA35">IF(OR(BA$4=0, $G35&lt;&gt; $G$7, $E35=0), 'I&amp;E Monthly'!BA35, CHOOSE(Timeline!BA$30,$J35,$K35,$L35 )*INDEX('I&amp;E Profiles'!BA$96:BA$180,$I35))</f>
        <v>0</v>
      </c>
      <c r="BB35" s="153" cm="1">
        <f t="array" ref="BB35">IF(OR(BB$4=0, $G35&lt;&gt; $G$7, $E35=0), 'I&amp;E Monthly'!BB35, CHOOSE(Timeline!BB$30,$J35,$K35,$L35 )*INDEX('I&amp;E Profiles'!BB$96:BB$180,$I35))</f>
        <v>0</v>
      </c>
      <c r="BC35" s="153" cm="1">
        <f t="array" ref="BC35">IF(OR(BC$4=0, $G35&lt;&gt; $G$7, $E35=0), 'I&amp;E Monthly'!BC35, CHOOSE(Timeline!BC$30,$J35,$K35,$L35 )*INDEX('I&amp;E Profiles'!BC$96:BC$180,$I35))</f>
        <v>0</v>
      </c>
      <c r="BD35" s="153" cm="1">
        <f t="array" ref="BD35">IF(OR(BD$4=0, $G35&lt;&gt; $G$7, $E35=0), 'I&amp;E Monthly'!BD35, CHOOSE(Timeline!BD$30,$J35,$K35,$L35 )*INDEX('I&amp;E Profiles'!BD$96:BD$180,$I35))</f>
        <v>0</v>
      </c>
      <c r="BE35" s="153" cm="1">
        <f t="array" ref="BE35">IF(OR(BE$4=0, $G35&lt;&gt; $G$7, $E35=0), 'I&amp;E Monthly'!BE35, CHOOSE(Timeline!BE$30,$J35,$K35,$L35 )*INDEX('I&amp;E Profiles'!BE$96:BE$180,$I35))</f>
        <v>0</v>
      </c>
      <c r="BF35" s="153" cm="1">
        <f t="array" ref="BF35">IF(OR(BF$4=0, $G35&lt;&gt; $G$7, $E35=0), 'I&amp;E Monthly'!BF35, CHOOSE(Timeline!BF$30,$J35,$K35,$L35 )*INDEX('I&amp;E Profiles'!BF$96:BF$180,$I35))</f>
        <v>0</v>
      </c>
      <c r="BG35" s="153" cm="1">
        <f t="array" ref="BG35">IF(OR(BG$4=0, $G35&lt;&gt; $G$7, $E35=0), 'I&amp;E Monthly'!BG35, CHOOSE(Timeline!BG$30,$J35,$K35,$L35 )*INDEX('I&amp;E Profiles'!BG$96:BG$180,$I35))</f>
        <v>0</v>
      </c>
      <c r="BH35" s="153" cm="1">
        <f t="array" ref="BH35">IF(OR(BH$4=0, $G35&lt;&gt; $G$7, $E35=0), 'I&amp;E Monthly'!BH35, CHOOSE(Timeline!BH$30,$J35,$K35,$L35 )*INDEX('I&amp;E Profiles'!BH$96:BH$180,$I35))</f>
        <v>0</v>
      </c>
      <c r="BI35" s="153" cm="1">
        <f t="array" ref="BI35">IF(OR(BI$4=0, $G35&lt;&gt; $G$7, $E35=0), 'I&amp;E Monthly'!BI35, CHOOSE(Timeline!BI$30,$J35,$K35,$L35 )*INDEX('I&amp;E Profiles'!BI$96:BI$180,$I35))</f>
        <v>0</v>
      </c>
      <c r="BJ35" s="153" cm="1">
        <f t="array" ref="BJ35">IF(OR(BJ$4=0, $G35&lt;&gt; $G$7, $E35=0), 'I&amp;E Monthly'!BJ35, CHOOSE(Timeline!BJ$30,$J35,$K35,$L35 )*INDEX('I&amp;E Profiles'!BJ$96:BJ$180,$I35))</f>
        <v>0</v>
      </c>
      <c r="BK35" s="335"/>
      <c r="BL35" s="13">
        <f>V35</f>
        <v>0</v>
      </c>
      <c r="BM35" s="153">
        <f t="shared" si="30"/>
        <v>0</v>
      </c>
      <c r="BN35" s="153">
        <f t="shared" si="30"/>
        <v>0</v>
      </c>
      <c r="BO35" s="153">
        <f t="shared" si="30"/>
        <v>0</v>
      </c>
      <c r="BP35" s="13">
        <f>'I&amp;E Monthly'!BP35</f>
        <v>0</v>
      </c>
      <c r="BQ35" s="13">
        <f>'I&amp;E Monthly'!BQ35</f>
        <v>0</v>
      </c>
      <c r="BR35" s="13">
        <f>'I&amp;E Monthly'!BR35</f>
        <v>0</v>
      </c>
      <c r="BS35" s="13">
        <f>'I&amp;E Monthly'!BS35</f>
        <v>0</v>
      </c>
      <c r="BT35" s="13">
        <f>'I&amp;E Monthly'!BT35</f>
        <v>0</v>
      </c>
      <c r="BU35" s="13">
        <f>'I&amp;E Monthly'!BU35</f>
        <v>0</v>
      </c>
      <c r="BV35" s="13">
        <f>'I&amp;E Monthly'!BV35</f>
        <v>0</v>
      </c>
      <c r="BW35" s="13">
        <f>'I&amp;E Monthly'!BW35</f>
        <v>0</v>
      </c>
      <c r="BX35" s="335"/>
      <c r="BY35" s="12"/>
      <c r="BZ35" s="363">
        <f t="shared" ca="1" si="31"/>
        <v>0</v>
      </c>
      <c r="CA35" s="12"/>
      <c r="CB35" s="7">
        <f>IF(AND($G35=$G$7,$E35=""), 1, 0)</f>
        <v>0</v>
      </c>
      <c r="CC35" s="188" cm="1">
        <f t="array" ref="CC35">IF(E35="",0, IF(_xlfn.IFNA(INDEX('I&amp;E Profiles'!$D$96:$D$180, $I35), "N/A")="N/A", 1, 0))</f>
        <v>0</v>
      </c>
      <c r="CD35" s="7">
        <f t="shared" si="32"/>
        <v>0</v>
      </c>
      <c r="CE35" s="7">
        <f t="shared" si="33"/>
        <v>0</v>
      </c>
      <c r="CF35" s="7">
        <f t="shared" si="34"/>
        <v>0</v>
      </c>
      <c r="CG35" s="12"/>
      <c r="CH35" s="352">
        <f t="shared" si="35"/>
        <v>0</v>
      </c>
      <c r="CI35" s="352">
        <f t="shared" si="35"/>
        <v>0</v>
      </c>
      <c r="CJ35" s="352">
        <f t="shared" si="35"/>
        <v>0</v>
      </c>
      <c r="CK35" s="352">
        <f t="shared" si="36"/>
        <v>0</v>
      </c>
      <c r="CL35" s="352">
        <f t="shared" si="37"/>
        <v>0</v>
      </c>
      <c r="CM35" s="352">
        <f t="shared" si="38"/>
        <v>0</v>
      </c>
      <c r="CN35" s="352">
        <f t="shared" si="39"/>
        <v>0</v>
      </c>
      <c r="EX35" s="10" t="str">
        <f t="shared" si="1"/>
        <v/>
      </c>
    </row>
    <row r="36" spans="1:154" ht="15.75" x14ac:dyDescent="0.3">
      <c r="A36" s="362" cm="1">
        <f t="array" aca="1" ref="A36" ca="1">HYPERLINK(CONCATENATE("#",CELL("address",IF(SUM($CA36:$CG36)=0,A36,INDEX($CA36:$CG36,MATCH(1,$CA36:$CG36,0))))),SUM($CA36:$CG36))</f>
        <v>0</v>
      </c>
      <c r="B36" s="105" t="s">
        <v>335</v>
      </c>
      <c r="C36" s="343" t="s">
        <v>442</v>
      </c>
      <c r="D36" s="194" t="s">
        <v>439</v>
      </c>
      <c r="E36" s="147"/>
      <c r="F36" s="98" t="str" cm="1">
        <f t="array" aca="1" ref="F36" ca="1">IF(E36="", "", HYPERLINK(CONCATENATE("#",CELL("address",INDEX('I&amp;E Profiles'!$D$9:$D$93,'I&amp;E Annual'!I36))),E36))</f>
        <v/>
      </c>
      <c r="G36" s="372" t="s">
        <v>211</v>
      </c>
      <c r="H36" s="335" t="s">
        <v>8</v>
      </c>
      <c r="I36" s="350" t="str">
        <f>IF(E36="", "", MATCH(E36, 'I&amp;E Profiles'!$D$96:$D$180,0))</f>
        <v/>
      </c>
      <c r="J36" s="215">
        <f>IF($G36=$G$7, W36,'I&amp;E Monthly'!W36)-SUMIFS('I&amp;E Monthly'!$AA36:$BJ36, 'I&amp;E Monthly'!$AA$3:$BJ$3, 'I&amp;E Annual'!W$3, 'I&amp;E Monthly'!$AA$4:$BJ$4, 0)</f>
        <v>0</v>
      </c>
      <c r="K36" s="215">
        <f>IF($G36=$G$7, X36,'I&amp;E Monthly'!X36)-SUMIFS('I&amp;E Monthly'!$AA36:$BJ36, 'I&amp;E Monthly'!$AA$3:$BJ$3, 'I&amp;E Annual'!X$3, 'I&amp;E Monthly'!$AA$4:$BJ$4, 0)</f>
        <v>0</v>
      </c>
      <c r="L36" s="215">
        <f>IF($G36=$G$7, Y36,'I&amp;E Monthly'!Y36)-SUMIFS('I&amp;E Monthly'!$AA36:$BJ36, 'I&amp;E Monthly'!$AA$3:$BJ$3, 'I&amp;E Annual'!Y$3, 'I&amp;E Monthly'!$AA$4:$BJ$4, 0)</f>
        <v>0</v>
      </c>
      <c r="M36" s="335"/>
      <c r="N36" s="335"/>
      <c r="O36" s="335"/>
      <c r="P36" s="335"/>
      <c r="Q36" s="2"/>
      <c r="R36" s="335"/>
      <c r="S36" s="335"/>
      <c r="T36" s="335"/>
      <c r="U36" s="335"/>
      <c r="V36" s="201">
        <f>'I&amp;E Monthly'!V36</f>
        <v>0</v>
      </c>
      <c r="W36" s="354"/>
      <c r="X36" s="198"/>
      <c r="Y36" s="198"/>
      <c r="Z36" s="335"/>
      <c r="AA36" s="153" cm="1">
        <f t="array" ref="AA36">IF(OR(AA$4=0, $G36&lt;&gt; $G$7, $E36=0), 'I&amp;E Monthly'!AA36, CHOOSE(Timeline!AA$30,$J36,$K36,$L36 )*INDEX('I&amp;E Profiles'!AA$96:AA$180,$I36))</f>
        <v>0</v>
      </c>
      <c r="AB36" s="153" cm="1">
        <f t="array" ref="AB36">IF(OR(AB$4=0, $G36&lt;&gt; $G$7, $E36=0), 'I&amp;E Monthly'!AB36, CHOOSE(Timeline!AB$30,$J36,$K36,$L36 )*INDEX('I&amp;E Profiles'!AB$96:AB$180,$I36))</f>
        <v>0</v>
      </c>
      <c r="AC36" s="153" cm="1">
        <f t="array" ref="AC36">IF(OR(AC$4=0, $G36&lt;&gt; $G$7, $E36=0), 'I&amp;E Monthly'!AC36, CHOOSE(Timeline!AC$30,$J36,$K36,$L36 )*INDEX('I&amp;E Profiles'!AC$96:AC$180,$I36))</f>
        <v>0</v>
      </c>
      <c r="AD36" s="153" cm="1">
        <f t="array" ref="AD36">IF(OR(AD$4=0, $G36&lt;&gt; $G$7, $E36=0), 'I&amp;E Monthly'!AD36, CHOOSE(Timeline!AD$30,$J36,$K36,$L36 )*INDEX('I&amp;E Profiles'!AD$96:AD$180,$I36))</f>
        <v>0</v>
      </c>
      <c r="AE36" s="153" cm="1">
        <f t="array" ref="AE36">IF(OR(AE$4=0, $G36&lt;&gt; $G$7, $E36=0), 'I&amp;E Monthly'!AE36, CHOOSE(Timeline!AE$30,$J36,$K36,$L36 )*INDEX('I&amp;E Profiles'!AE$96:AE$180,$I36))</f>
        <v>0</v>
      </c>
      <c r="AF36" s="153" cm="1">
        <f t="array" ref="AF36">IF(OR(AF$4=0, $G36&lt;&gt; $G$7, $E36=0), 'I&amp;E Monthly'!AF36, CHOOSE(Timeline!AF$30,$J36,$K36,$L36 )*INDEX('I&amp;E Profiles'!AF$96:AF$180,$I36))</f>
        <v>0</v>
      </c>
      <c r="AG36" s="153" cm="1">
        <f t="array" ref="AG36">IF(OR(AG$4=0, $G36&lt;&gt; $G$7, $E36=0), 'I&amp;E Monthly'!AG36, CHOOSE(Timeline!AG$30,$J36,$K36,$L36 )*INDEX('I&amp;E Profiles'!AG$96:AG$180,$I36))</f>
        <v>0</v>
      </c>
      <c r="AH36" s="153" cm="1">
        <f t="array" ref="AH36">IF(OR(AH$4=0, $G36&lt;&gt; $G$7, $E36=0), 'I&amp;E Monthly'!AH36, CHOOSE(Timeline!AH$30,$J36,$K36,$L36 )*INDEX('I&amp;E Profiles'!AH$96:AH$180,$I36))</f>
        <v>0</v>
      </c>
      <c r="AI36" s="153" cm="1">
        <f t="array" ref="AI36">IF(OR(AI$4=0, $G36&lt;&gt; $G$7, $E36=0), 'I&amp;E Monthly'!AI36, CHOOSE(Timeline!AI$30,$J36,$K36,$L36 )*INDEX('I&amp;E Profiles'!AI$96:AI$180,$I36))</f>
        <v>0</v>
      </c>
      <c r="AJ36" s="153" cm="1">
        <f t="array" ref="AJ36">IF(OR(AJ$4=0, $G36&lt;&gt; $G$7, $E36=0), 'I&amp;E Monthly'!AJ36, CHOOSE(Timeline!AJ$30,$J36,$K36,$L36 )*INDEX('I&amp;E Profiles'!AJ$96:AJ$180,$I36))</f>
        <v>0</v>
      </c>
      <c r="AK36" s="153" cm="1">
        <f t="array" ref="AK36">IF(OR(AK$4=0, $G36&lt;&gt; $G$7, $E36=0), 'I&amp;E Monthly'!AK36, CHOOSE(Timeline!AK$30,$J36,$K36,$L36 )*INDEX('I&amp;E Profiles'!AK$96:AK$180,$I36))</f>
        <v>0</v>
      </c>
      <c r="AL36" s="153" cm="1">
        <f t="array" ref="AL36">IF(OR(AL$4=0, $G36&lt;&gt; $G$7, $E36=0), 'I&amp;E Monthly'!AL36, CHOOSE(Timeline!AL$30,$J36,$K36,$L36 )*INDEX('I&amp;E Profiles'!AL$96:AL$180,$I36))</f>
        <v>0</v>
      </c>
      <c r="AM36" s="153" cm="1">
        <f t="array" ref="AM36">IF(OR(AM$4=0, $G36&lt;&gt; $G$7, $E36=0), 'I&amp;E Monthly'!AM36, CHOOSE(Timeline!AM$30,$J36,$K36,$L36 )*INDEX('I&amp;E Profiles'!AM$96:AM$180,$I36))</f>
        <v>0</v>
      </c>
      <c r="AN36" s="153" cm="1">
        <f t="array" ref="AN36">IF(OR(AN$4=0, $G36&lt;&gt; $G$7, $E36=0), 'I&amp;E Monthly'!AN36, CHOOSE(Timeline!AN$30,$J36,$K36,$L36 )*INDEX('I&amp;E Profiles'!AN$96:AN$180,$I36))</f>
        <v>0</v>
      </c>
      <c r="AO36" s="153" cm="1">
        <f t="array" ref="AO36">IF(OR(AO$4=0, $G36&lt;&gt; $G$7, $E36=0), 'I&amp;E Monthly'!AO36, CHOOSE(Timeline!AO$30,$J36,$K36,$L36 )*INDEX('I&amp;E Profiles'!AO$96:AO$180,$I36))</f>
        <v>0</v>
      </c>
      <c r="AP36" s="153" cm="1">
        <f t="array" ref="AP36">IF(OR(AP$4=0, $G36&lt;&gt; $G$7, $E36=0), 'I&amp;E Monthly'!AP36, CHOOSE(Timeline!AP$30,$J36,$K36,$L36 )*INDEX('I&amp;E Profiles'!AP$96:AP$180,$I36))</f>
        <v>0</v>
      </c>
      <c r="AQ36" s="153" cm="1">
        <f t="array" ref="AQ36">IF(OR(AQ$4=0, $G36&lt;&gt; $G$7, $E36=0), 'I&amp;E Monthly'!AQ36, CHOOSE(Timeline!AQ$30,$J36,$K36,$L36 )*INDEX('I&amp;E Profiles'!AQ$96:AQ$180,$I36))</f>
        <v>0</v>
      </c>
      <c r="AR36" s="153" cm="1">
        <f t="array" ref="AR36">IF(OR(AR$4=0, $G36&lt;&gt; $G$7, $E36=0), 'I&amp;E Monthly'!AR36, CHOOSE(Timeline!AR$30,$J36,$K36,$L36 )*INDEX('I&amp;E Profiles'!AR$96:AR$180,$I36))</f>
        <v>0</v>
      </c>
      <c r="AS36" s="153" cm="1">
        <f t="array" ref="AS36">IF(OR(AS$4=0, $G36&lt;&gt; $G$7, $E36=0), 'I&amp;E Monthly'!AS36, CHOOSE(Timeline!AS$30,$J36,$K36,$L36 )*INDEX('I&amp;E Profiles'!AS$96:AS$180,$I36))</f>
        <v>0</v>
      </c>
      <c r="AT36" s="153" cm="1">
        <f t="array" ref="AT36">IF(OR(AT$4=0, $G36&lt;&gt; $G$7, $E36=0), 'I&amp;E Monthly'!AT36, CHOOSE(Timeline!AT$30,$J36,$K36,$L36 )*INDEX('I&amp;E Profiles'!AT$96:AT$180,$I36))</f>
        <v>0</v>
      </c>
      <c r="AU36" s="153" cm="1">
        <f t="array" ref="AU36">IF(OR(AU$4=0, $G36&lt;&gt; $G$7, $E36=0), 'I&amp;E Monthly'!AU36, CHOOSE(Timeline!AU$30,$J36,$K36,$L36 )*INDEX('I&amp;E Profiles'!AU$96:AU$180,$I36))</f>
        <v>0</v>
      </c>
      <c r="AV36" s="153" cm="1">
        <f t="array" ref="AV36">IF(OR(AV$4=0, $G36&lt;&gt; $G$7, $E36=0), 'I&amp;E Monthly'!AV36, CHOOSE(Timeline!AV$30,$J36,$K36,$L36 )*INDEX('I&amp;E Profiles'!AV$96:AV$180,$I36))</f>
        <v>0</v>
      </c>
      <c r="AW36" s="153" cm="1">
        <f t="array" ref="AW36">IF(OR(AW$4=0, $G36&lt;&gt; $G$7, $E36=0), 'I&amp;E Monthly'!AW36, CHOOSE(Timeline!AW$30,$J36,$K36,$L36 )*INDEX('I&amp;E Profiles'!AW$96:AW$180,$I36))</f>
        <v>0</v>
      </c>
      <c r="AX36" s="153" cm="1">
        <f t="array" ref="AX36">IF(OR(AX$4=0, $G36&lt;&gt; $G$7, $E36=0), 'I&amp;E Monthly'!AX36, CHOOSE(Timeline!AX$30,$J36,$K36,$L36 )*INDEX('I&amp;E Profiles'!AX$96:AX$180,$I36))</f>
        <v>0</v>
      </c>
      <c r="AY36" s="153" cm="1">
        <f t="array" ref="AY36">IF(OR(AY$4=0, $G36&lt;&gt; $G$7, $E36=0), 'I&amp;E Monthly'!AY36, CHOOSE(Timeline!AY$30,$J36,$K36,$L36 )*INDEX('I&amp;E Profiles'!AY$96:AY$180,$I36))</f>
        <v>0</v>
      </c>
      <c r="AZ36" s="153" cm="1">
        <f t="array" ref="AZ36">IF(OR(AZ$4=0, $G36&lt;&gt; $G$7, $E36=0), 'I&amp;E Monthly'!AZ36, CHOOSE(Timeline!AZ$30,$J36,$K36,$L36 )*INDEX('I&amp;E Profiles'!AZ$96:AZ$180,$I36))</f>
        <v>0</v>
      </c>
      <c r="BA36" s="153" cm="1">
        <f t="array" ref="BA36">IF(OR(BA$4=0, $G36&lt;&gt; $G$7, $E36=0), 'I&amp;E Monthly'!BA36, CHOOSE(Timeline!BA$30,$J36,$K36,$L36 )*INDEX('I&amp;E Profiles'!BA$96:BA$180,$I36))</f>
        <v>0</v>
      </c>
      <c r="BB36" s="153" cm="1">
        <f t="array" ref="BB36">IF(OR(BB$4=0, $G36&lt;&gt; $G$7, $E36=0), 'I&amp;E Monthly'!BB36, CHOOSE(Timeline!BB$30,$J36,$K36,$L36 )*INDEX('I&amp;E Profiles'!BB$96:BB$180,$I36))</f>
        <v>0</v>
      </c>
      <c r="BC36" s="153" cm="1">
        <f t="array" ref="BC36">IF(OR(BC$4=0, $G36&lt;&gt; $G$7, $E36=0), 'I&amp;E Monthly'!BC36, CHOOSE(Timeline!BC$30,$J36,$K36,$L36 )*INDEX('I&amp;E Profiles'!BC$96:BC$180,$I36))</f>
        <v>0</v>
      </c>
      <c r="BD36" s="153" cm="1">
        <f t="array" ref="BD36">IF(OR(BD$4=0, $G36&lt;&gt; $G$7, $E36=0), 'I&amp;E Monthly'!BD36, CHOOSE(Timeline!BD$30,$J36,$K36,$L36 )*INDEX('I&amp;E Profiles'!BD$96:BD$180,$I36))</f>
        <v>0</v>
      </c>
      <c r="BE36" s="153" cm="1">
        <f t="array" ref="BE36">IF(OR(BE$4=0, $G36&lt;&gt; $G$7, $E36=0), 'I&amp;E Monthly'!BE36, CHOOSE(Timeline!BE$30,$J36,$K36,$L36 )*INDEX('I&amp;E Profiles'!BE$96:BE$180,$I36))</f>
        <v>0</v>
      </c>
      <c r="BF36" s="153" cm="1">
        <f t="array" ref="BF36">IF(OR(BF$4=0, $G36&lt;&gt; $G$7, $E36=0), 'I&amp;E Monthly'!BF36, CHOOSE(Timeline!BF$30,$J36,$K36,$L36 )*INDEX('I&amp;E Profiles'!BF$96:BF$180,$I36))</f>
        <v>0</v>
      </c>
      <c r="BG36" s="153" cm="1">
        <f t="array" ref="BG36">IF(OR(BG$4=0, $G36&lt;&gt; $G$7, $E36=0), 'I&amp;E Monthly'!BG36, CHOOSE(Timeline!BG$30,$J36,$K36,$L36 )*INDEX('I&amp;E Profiles'!BG$96:BG$180,$I36))</f>
        <v>0</v>
      </c>
      <c r="BH36" s="153" cm="1">
        <f t="array" ref="BH36">IF(OR(BH$4=0, $G36&lt;&gt; $G$7, $E36=0), 'I&amp;E Monthly'!BH36, CHOOSE(Timeline!BH$30,$J36,$K36,$L36 )*INDEX('I&amp;E Profiles'!BH$96:BH$180,$I36))</f>
        <v>0</v>
      </c>
      <c r="BI36" s="153" cm="1">
        <f t="array" ref="BI36">IF(OR(BI$4=0, $G36&lt;&gt; $G$7, $E36=0), 'I&amp;E Monthly'!BI36, CHOOSE(Timeline!BI$30,$J36,$K36,$L36 )*INDEX('I&amp;E Profiles'!BI$96:BI$180,$I36))</f>
        <v>0</v>
      </c>
      <c r="BJ36" s="153" cm="1">
        <f t="array" ref="BJ36">IF(OR(BJ$4=0, $G36&lt;&gt; $G$7, $E36=0), 'I&amp;E Monthly'!BJ36, CHOOSE(Timeline!BJ$30,$J36,$K36,$L36 )*INDEX('I&amp;E Profiles'!BJ$96:BJ$180,$I36))</f>
        <v>0</v>
      </c>
      <c r="BK36" s="335"/>
      <c r="BL36" s="13">
        <f>V36</f>
        <v>0</v>
      </c>
      <c r="BM36" s="153">
        <f t="shared" si="30"/>
        <v>0</v>
      </c>
      <c r="BN36" s="153">
        <f t="shared" si="30"/>
        <v>0</v>
      </c>
      <c r="BO36" s="153">
        <f t="shared" si="30"/>
        <v>0</v>
      </c>
      <c r="BP36" s="13">
        <f>'I&amp;E Monthly'!BP36</f>
        <v>0</v>
      </c>
      <c r="BQ36" s="13">
        <f>'I&amp;E Monthly'!BQ36</f>
        <v>0</v>
      </c>
      <c r="BR36" s="13">
        <f>'I&amp;E Monthly'!BR36</f>
        <v>0</v>
      </c>
      <c r="BS36" s="13">
        <f>'I&amp;E Monthly'!BS36</f>
        <v>0</v>
      </c>
      <c r="BT36" s="13">
        <f>'I&amp;E Monthly'!BT36</f>
        <v>0</v>
      </c>
      <c r="BU36" s="13">
        <f>'I&amp;E Monthly'!BU36</f>
        <v>0</v>
      </c>
      <c r="BV36" s="13">
        <f>'I&amp;E Monthly'!BV36</f>
        <v>0</v>
      </c>
      <c r="BW36" s="13">
        <f>'I&amp;E Monthly'!BW36</f>
        <v>0</v>
      </c>
      <c r="BX36" s="335"/>
      <c r="BY36" s="12"/>
      <c r="BZ36" s="363">
        <f t="shared" ca="1" si="31"/>
        <v>0</v>
      </c>
      <c r="CA36" s="12"/>
      <c r="CB36" s="7">
        <f>IF(AND($G36=$G$7,$E36=""), 1, 0)</f>
        <v>0</v>
      </c>
      <c r="CC36" s="188" cm="1">
        <f t="array" ref="CC36">IF(E36="",0, IF(_xlfn.IFNA(INDEX('I&amp;E Profiles'!$D$96:$D$180, $I36), "N/A")="N/A", 1, 0))</f>
        <v>0</v>
      </c>
      <c r="CD36" s="7">
        <f t="shared" si="32"/>
        <v>0</v>
      </c>
      <c r="CE36" s="7">
        <f t="shared" si="33"/>
        <v>0</v>
      </c>
      <c r="CF36" s="7">
        <f t="shared" si="34"/>
        <v>0</v>
      </c>
      <c r="CG36" s="12"/>
      <c r="CH36" s="352">
        <f t="shared" si="35"/>
        <v>0</v>
      </c>
      <c r="CI36" s="352">
        <f t="shared" si="35"/>
        <v>0</v>
      </c>
      <c r="CJ36" s="352">
        <f t="shared" si="35"/>
        <v>0</v>
      </c>
      <c r="CK36" s="352">
        <f t="shared" si="36"/>
        <v>0</v>
      </c>
      <c r="CL36" s="352">
        <f t="shared" si="37"/>
        <v>0</v>
      </c>
      <c r="CM36" s="352">
        <f t="shared" si="38"/>
        <v>0</v>
      </c>
      <c r="CN36" s="352">
        <f t="shared" si="39"/>
        <v>0</v>
      </c>
      <c r="EX36" s="10" t="str">
        <f t="shared" si="1"/>
        <v>Subcontracted in: Apprenticeship income</v>
      </c>
    </row>
    <row r="37" spans="1:154" s="5" customFormat="1" x14ac:dyDescent="0.25">
      <c r="A37" s="362" cm="1">
        <f t="array" aca="1" ref="A37" ca="1">HYPERLINK(CONCATENATE("#",CELL("address",IF(SUM($CA37:$CG37)=0,A37,INDEX($CA37:$CG37,MATCH(1,$CA37:$CG37,0))))),SUM($CA37:$CG37))</f>
        <v>0</v>
      </c>
      <c r="C37" s="343" t="s">
        <v>443</v>
      </c>
      <c r="D37" s="433" t="s">
        <v>22</v>
      </c>
      <c r="E37" s="82"/>
      <c r="F37" s="25"/>
      <c r="G37" s="82"/>
      <c r="H37" s="67" t="s">
        <v>8</v>
      </c>
      <c r="I37" s="82"/>
      <c r="J37" s="82"/>
      <c r="Q37" s="2"/>
      <c r="R37" s="335"/>
      <c r="S37" s="67"/>
      <c r="T37" s="335"/>
      <c r="U37" s="335"/>
      <c r="V37" s="13">
        <f xml:space="preserve"> SUM(V32:V36)</f>
        <v>0</v>
      </c>
      <c r="W37" s="13">
        <f xml:space="preserve"> SUM(W32:W36)</f>
        <v>0</v>
      </c>
      <c r="X37" s="13">
        <f xml:space="preserve"> SUM(X32:X36)</f>
        <v>0</v>
      </c>
      <c r="Y37" s="13">
        <f xml:space="preserve"> SUM(Y32:Y36)</f>
        <v>0</v>
      </c>
      <c r="Z37" s="67"/>
      <c r="AA37" s="13">
        <f t="shared" ref="AA37:BJ37" si="40" xml:space="preserve"> SUM(AA32:AA36)</f>
        <v>0</v>
      </c>
      <c r="AB37" s="13">
        <f t="shared" si="40"/>
        <v>32</v>
      </c>
      <c r="AC37" s="13">
        <f t="shared" si="40"/>
        <v>41</v>
      </c>
      <c r="AD37" s="13">
        <f t="shared" si="40"/>
        <v>65</v>
      </c>
      <c r="AE37" s="13">
        <f t="shared" si="40"/>
        <v>69</v>
      </c>
      <c r="AF37" s="13">
        <f t="shared" si="40"/>
        <v>38</v>
      </c>
      <c r="AG37" s="13">
        <f t="shared" si="40"/>
        <v>51</v>
      </c>
      <c r="AH37" s="13">
        <f t="shared" si="40"/>
        <v>39</v>
      </c>
      <c r="AI37" s="13">
        <f t="shared" si="40"/>
        <v>45</v>
      </c>
      <c r="AJ37" s="13">
        <f t="shared" si="40"/>
        <v>49</v>
      </c>
      <c r="AK37" s="13">
        <f t="shared" si="40"/>
        <v>40</v>
      </c>
      <c r="AL37" s="13">
        <f t="shared" si="40"/>
        <v>40</v>
      </c>
      <c r="AM37" s="13">
        <f t="shared" si="40"/>
        <v>36</v>
      </c>
      <c r="AN37" s="13">
        <f t="shared" si="40"/>
        <v>40</v>
      </c>
      <c r="AO37" s="13">
        <f t="shared" si="40"/>
        <v>40</v>
      </c>
      <c r="AP37" s="13">
        <f t="shared" si="40"/>
        <v>45</v>
      </c>
      <c r="AQ37" s="13">
        <f t="shared" si="40"/>
        <v>49</v>
      </c>
      <c r="AR37" s="13">
        <f t="shared" si="40"/>
        <v>55</v>
      </c>
      <c r="AS37" s="13">
        <f t="shared" si="40"/>
        <v>55</v>
      </c>
      <c r="AT37" s="13">
        <f t="shared" si="40"/>
        <v>55</v>
      </c>
      <c r="AU37" s="13">
        <f t="shared" si="40"/>
        <v>55</v>
      </c>
      <c r="AV37" s="13">
        <f t="shared" si="40"/>
        <v>55</v>
      </c>
      <c r="AW37" s="13">
        <f t="shared" si="40"/>
        <v>65</v>
      </c>
      <c r="AX37" s="13">
        <f t="shared" si="40"/>
        <v>65</v>
      </c>
      <c r="AY37" s="13">
        <f t="shared" si="40"/>
        <v>36.54</v>
      </c>
      <c r="AZ37" s="13">
        <f t="shared" si="40"/>
        <v>40.599999999999994</v>
      </c>
      <c r="BA37" s="13">
        <f t="shared" si="40"/>
        <v>40.599999999999994</v>
      </c>
      <c r="BB37" s="13">
        <f t="shared" si="40"/>
        <v>45.674999999999997</v>
      </c>
      <c r="BC37" s="13">
        <f t="shared" si="40"/>
        <v>50.224999999999994</v>
      </c>
      <c r="BD37" s="13">
        <f t="shared" si="40"/>
        <v>57.75</v>
      </c>
      <c r="BE37" s="13">
        <f t="shared" si="40"/>
        <v>57.75</v>
      </c>
      <c r="BF37" s="13">
        <f t="shared" si="40"/>
        <v>57.75</v>
      </c>
      <c r="BG37" s="13">
        <f t="shared" si="40"/>
        <v>57.75</v>
      </c>
      <c r="BH37" s="13">
        <f t="shared" si="40"/>
        <v>57.75</v>
      </c>
      <c r="BI37" s="13">
        <f t="shared" si="40"/>
        <v>68.25</v>
      </c>
      <c r="BJ37" s="13">
        <f t="shared" si="40"/>
        <v>68.25</v>
      </c>
      <c r="BK37" s="67"/>
      <c r="BL37" s="13">
        <f t="shared" ref="BL37:BW37" si="41" xml:space="preserve"> SUM(BL32:BL36)</f>
        <v>0</v>
      </c>
      <c r="BM37" s="13">
        <f t="shared" si="41"/>
        <v>509</v>
      </c>
      <c r="BN37" s="13">
        <f t="shared" si="41"/>
        <v>615</v>
      </c>
      <c r="BO37" s="13">
        <f t="shared" si="41"/>
        <v>638.89</v>
      </c>
      <c r="BP37" s="13">
        <f t="shared" si="41"/>
        <v>0</v>
      </c>
      <c r="BQ37" s="13">
        <f t="shared" si="41"/>
        <v>0</v>
      </c>
      <c r="BR37" s="13">
        <f t="shared" si="41"/>
        <v>0</v>
      </c>
      <c r="BS37" s="13">
        <f t="shared" si="41"/>
        <v>0</v>
      </c>
      <c r="BT37" s="13">
        <f t="shared" si="41"/>
        <v>0</v>
      </c>
      <c r="BU37" s="13">
        <f t="shared" si="41"/>
        <v>0</v>
      </c>
      <c r="BV37" s="13">
        <f t="shared" si="41"/>
        <v>0</v>
      </c>
      <c r="BW37" s="13">
        <f t="shared" si="41"/>
        <v>0</v>
      </c>
      <c r="BY37" s="12"/>
      <c r="BZ37" s="363">
        <f t="shared" ca="1" si="31"/>
        <v>0</v>
      </c>
      <c r="CA37" s="12"/>
      <c r="CB37" s="335"/>
      <c r="CC37" s="335"/>
      <c r="CD37" s="7">
        <f t="shared" si="32"/>
        <v>0</v>
      </c>
      <c r="CE37" s="7">
        <f t="shared" si="33"/>
        <v>0</v>
      </c>
      <c r="CF37" s="7">
        <f t="shared" si="34"/>
        <v>0</v>
      </c>
      <c r="CG37" s="12"/>
      <c r="CH37" s="352">
        <f t="shared" si="35"/>
        <v>0</v>
      </c>
      <c r="CI37" s="352">
        <f t="shared" si="35"/>
        <v>0</v>
      </c>
      <c r="CJ37" s="352">
        <f t="shared" si="35"/>
        <v>0</v>
      </c>
      <c r="CK37" s="352">
        <f t="shared" si="36"/>
        <v>0</v>
      </c>
      <c r="CL37" s="352">
        <f t="shared" si="37"/>
        <v>0</v>
      </c>
      <c r="CM37" s="352">
        <f t="shared" si="38"/>
        <v>0</v>
      </c>
      <c r="CN37" s="352">
        <f t="shared" si="39"/>
        <v>0</v>
      </c>
      <c r="EX37" s="10" t="str">
        <f t="shared" si="1"/>
        <v>Total Apprenticeships Income</v>
      </c>
    </row>
    <row r="38" spans="1:154" ht="30" x14ac:dyDescent="0.25">
      <c r="A38" s="362" cm="1">
        <f t="array" aca="1" ref="A38" ca="1">HYPERLINK(CONCATENATE("#",CELL("address",IF(SUM($CA38:$CG38)=0,A38,INDEX($CA38:$CG38,MATCH(1,$CA38:$CG38,0))))),SUM($CA38:$CG38))</f>
        <v>0</v>
      </c>
      <c r="B38" s="335"/>
      <c r="C38" s="343" t="s">
        <v>444</v>
      </c>
      <c r="D38" s="194" t="s">
        <v>440</v>
      </c>
      <c r="E38" s="147"/>
      <c r="F38" s="98" t="str" cm="1">
        <f t="array" aca="1" ref="F38" ca="1">IF(E38="", "", HYPERLINK(CONCATENATE("#",CELL("address",INDEX('I&amp;E Profiles'!$D$9:$D$93,'I&amp;E Annual'!I38))),E38))</f>
        <v/>
      </c>
      <c r="G38" s="147" t="s">
        <v>211</v>
      </c>
      <c r="H38" s="67" t="s">
        <v>8</v>
      </c>
      <c r="I38" s="350" t="str">
        <f>IF(E38="", "", MATCH(E38, 'I&amp;E Profiles'!$D$96:$D$180,0))</f>
        <v/>
      </c>
      <c r="J38" s="215">
        <f>IF($G38=$G$7, W38,'I&amp;E Monthly'!W38)-SUMIFS('I&amp;E Monthly'!$AA38:$BJ38, 'I&amp;E Monthly'!$AA$3:$BJ$3, 'I&amp;E Annual'!W$3, 'I&amp;E Monthly'!$AA$4:$BJ$4, 0)</f>
        <v>0</v>
      </c>
      <c r="K38" s="215">
        <f>IF($G38=$G$7, X38,'I&amp;E Monthly'!X38)-SUMIFS('I&amp;E Monthly'!$AA38:$BJ38, 'I&amp;E Monthly'!$AA$3:$BJ$3, 'I&amp;E Annual'!X$3, 'I&amp;E Monthly'!$AA$4:$BJ$4, 0)</f>
        <v>0</v>
      </c>
      <c r="L38" s="215">
        <f>IF($G38=$G$7, Y38,'I&amp;E Monthly'!Y38)-SUMIFS('I&amp;E Monthly'!$AA38:$BJ38, 'I&amp;E Monthly'!$AA$3:$BJ$3, 'I&amp;E Annual'!Y$3, 'I&amp;E Monthly'!$AA$4:$BJ$4, 0)</f>
        <v>0</v>
      </c>
      <c r="M38" s="335"/>
      <c r="N38" s="335"/>
      <c r="O38" s="335"/>
      <c r="P38" s="335"/>
      <c r="Q38" s="2"/>
      <c r="R38" s="335"/>
      <c r="S38" s="335"/>
      <c r="T38" s="335"/>
      <c r="U38" s="335"/>
      <c r="V38" s="201">
        <f>'I&amp;E Monthly'!V38</f>
        <v>0</v>
      </c>
      <c r="W38" s="354"/>
      <c r="X38" s="198"/>
      <c r="Y38" s="198"/>
      <c r="Z38" s="335"/>
      <c r="AA38" s="153" cm="1">
        <f t="array" ref="AA38">IF(OR(AA$4=0, $G38&lt;&gt; $G$7, $E38=0), 'I&amp;E Monthly'!AA38, CHOOSE(Timeline!AA$30,$J38,$K38,$L38 )*INDEX('I&amp;E Profiles'!AA$96:AA$180,$I38))</f>
        <v>0</v>
      </c>
      <c r="AB38" s="153" cm="1">
        <f t="array" ref="AB38">IF(OR(AB$4=0, $G38&lt;&gt; $G$7, $E38=0), 'I&amp;E Monthly'!AB38, CHOOSE(Timeline!AB$30,$J38,$K38,$L38 )*INDEX('I&amp;E Profiles'!AB$96:AB$180,$I38))</f>
        <v>0</v>
      </c>
      <c r="AC38" s="153" cm="1">
        <f t="array" ref="AC38">IF(OR(AC$4=0, $G38&lt;&gt; $G$7, $E38=0), 'I&amp;E Monthly'!AC38, CHOOSE(Timeline!AC$30,$J38,$K38,$L38 )*INDEX('I&amp;E Profiles'!AC$96:AC$180,$I38))</f>
        <v>0</v>
      </c>
      <c r="AD38" s="153" cm="1">
        <f t="array" ref="AD38">IF(OR(AD$4=0, $G38&lt;&gt; $G$7, $E38=0), 'I&amp;E Monthly'!AD38, CHOOSE(Timeline!AD$30,$J38,$K38,$L38 )*INDEX('I&amp;E Profiles'!AD$96:AD$180,$I38))</f>
        <v>0</v>
      </c>
      <c r="AE38" s="153" cm="1">
        <f t="array" ref="AE38">IF(OR(AE$4=0, $G38&lt;&gt; $G$7, $E38=0), 'I&amp;E Monthly'!AE38, CHOOSE(Timeline!AE$30,$J38,$K38,$L38 )*INDEX('I&amp;E Profiles'!AE$96:AE$180,$I38))</f>
        <v>0</v>
      </c>
      <c r="AF38" s="153" cm="1">
        <f t="array" ref="AF38">IF(OR(AF$4=0, $G38&lt;&gt; $G$7, $E38=0), 'I&amp;E Monthly'!AF38, CHOOSE(Timeline!AF$30,$J38,$K38,$L38 )*INDEX('I&amp;E Profiles'!AF$96:AF$180,$I38))</f>
        <v>0</v>
      </c>
      <c r="AG38" s="153" cm="1">
        <f t="array" ref="AG38">IF(OR(AG$4=0, $G38&lt;&gt; $G$7, $E38=0), 'I&amp;E Monthly'!AG38, CHOOSE(Timeline!AG$30,$J38,$K38,$L38 )*INDEX('I&amp;E Profiles'!AG$96:AG$180,$I38))</f>
        <v>0</v>
      </c>
      <c r="AH38" s="153" cm="1">
        <f t="array" ref="AH38">IF(OR(AH$4=0, $G38&lt;&gt; $G$7, $E38=0), 'I&amp;E Monthly'!AH38, CHOOSE(Timeline!AH$30,$J38,$K38,$L38 )*INDEX('I&amp;E Profiles'!AH$96:AH$180,$I38))</f>
        <v>0</v>
      </c>
      <c r="AI38" s="153" cm="1">
        <f t="array" ref="AI38">IF(OR(AI$4=0, $G38&lt;&gt; $G$7, $E38=0), 'I&amp;E Monthly'!AI38, CHOOSE(Timeline!AI$30,$J38,$K38,$L38 )*INDEX('I&amp;E Profiles'!AI$96:AI$180,$I38))</f>
        <v>0</v>
      </c>
      <c r="AJ38" s="153" cm="1">
        <f t="array" ref="AJ38">IF(OR(AJ$4=0, $G38&lt;&gt; $G$7, $E38=0), 'I&amp;E Monthly'!AJ38, CHOOSE(Timeline!AJ$30,$J38,$K38,$L38 )*INDEX('I&amp;E Profiles'!AJ$96:AJ$180,$I38))</f>
        <v>0</v>
      </c>
      <c r="AK38" s="153" cm="1">
        <f t="array" ref="AK38">IF(OR(AK$4=0, $G38&lt;&gt; $G$7, $E38=0), 'I&amp;E Monthly'!AK38, CHOOSE(Timeline!AK$30,$J38,$K38,$L38 )*INDEX('I&amp;E Profiles'!AK$96:AK$180,$I38))</f>
        <v>0</v>
      </c>
      <c r="AL38" s="153" cm="1">
        <f t="array" ref="AL38">IF(OR(AL$4=0, $G38&lt;&gt; $G$7, $E38=0), 'I&amp;E Monthly'!AL38, CHOOSE(Timeline!AL$30,$J38,$K38,$L38 )*INDEX('I&amp;E Profiles'!AL$96:AL$180,$I38))</f>
        <v>0</v>
      </c>
      <c r="AM38" s="153" cm="1">
        <f t="array" ref="AM38">IF(OR(AM$4=0, $G38&lt;&gt; $G$7, $E38=0), 'I&amp;E Monthly'!AM38, CHOOSE(Timeline!AM$30,$J38,$K38,$L38 )*INDEX('I&amp;E Profiles'!AM$96:AM$180,$I38))</f>
        <v>0</v>
      </c>
      <c r="AN38" s="153" cm="1">
        <f t="array" ref="AN38">IF(OR(AN$4=0, $G38&lt;&gt; $G$7, $E38=0), 'I&amp;E Monthly'!AN38, CHOOSE(Timeline!AN$30,$J38,$K38,$L38 )*INDEX('I&amp;E Profiles'!AN$96:AN$180,$I38))</f>
        <v>0</v>
      </c>
      <c r="AO38" s="153" cm="1">
        <f t="array" ref="AO38">IF(OR(AO$4=0, $G38&lt;&gt; $G$7, $E38=0), 'I&amp;E Monthly'!AO38, CHOOSE(Timeline!AO$30,$J38,$K38,$L38 )*INDEX('I&amp;E Profiles'!AO$96:AO$180,$I38))</f>
        <v>0</v>
      </c>
      <c r="AP38" s="153" cm="1">
        <f t="array" ref="AP38">IF(OR(AP$4=0, $G38&lt;&gt; $G$7, $E38=0), 'I&amp;E Monthly'!AP38, CHOOSE(Timeline!AP$30,$J38,$K38,$L38 )*INDEX('I&amp;E Profiles'!AP$96:AP$180,$I38))</f>
        <v>0</v>
      </c>
      <c r="AQ38" s="153" cm="1">
        <f t="array" ref="AQ38">IF(OR(AQ$4=0, $G38&lt;&gt; $G$7, $E38=0), 'I&amp;E Monthly'!AQ38, CHOOSE(Timeline!AQ$30,$J38,$K38,$L38 )*INDEX('I&amp;E Profiles'!AQ$96:AQ$180,$I38))</f>
        <v>0</v>
      </c>
      <c r="AR38" s="153" cm="1">
        <f t="array" ref="AR38">IF(OR(AR$4=0, $G38&lt;&gt; $G$7, $E38=0), 'I&amp;E Monthly'!AR38, CHOOSE(Timeline!AR$30,$J38,$K38,$L38 )*INDEX('I&amp;E Profiles'!AR$96:AR$180,$I38))</f>
        <v>0</v>
      </c>
      <c r="AS38" s="153" cm="1">
        <f t="array" ref="AS38">IF(OR(AS$4=0, $G38&lt;&gt; $G$7, $E38=0), 'I&amp;E Monthly'!AS38, CHOOSE(Timeline!AS$30,$J38,$K38,$L38 )*INDEX('I&amp;E Profiles'!AS$96:AS$180,$I38))</f>
        <v>0</v>
      </c>
      <c r="AT38" s="153" cm="1">
        <f t="array" ref="AT38">IF(OR(AT$4=0, $G38&lt;&gt; $G$7, $E38=0), 'I&amp;E Monthly'!AT38, CHOOSE(Timeline!AT$30,$J38,$K38,$L38 )*INDEX('I&amp;E Profiles'!AT$96:AT$180,$I38))</f>
        <v>0</v>
      </c>
      <c r="AU38" s="153" cm="1">
        <f t="array" ref="AU38">IF(OR(AU$4=0, $G38&lt;&gt; $G$7, $E38=0), 'I&amp;E Monthly'!AU38, CHOOSE(Timeline!AU$30,$J38,$K38,$L38 )*INDEX('I&amp;E Profiles'!AU$96:AU$180,$I38))</f>
        <v>0</v>
      </c>
      <c r="AV38" s="153" cm="1">
        <f t="array" ref="AV38">IF(OR(AV$4=0, $G38&lt;&gt; $G$7, $E38=0), 'I&amp;E Monthly'!AV38, CHOOSE(Timeline!AV$30,$J38,$K38,$L38 )*INDEX('I&amp;E Profiles'!AV$96:AV$180,$I38))</f>
        <v>0</v>
      </c>
      <c r="AW38" s="153" cm="1">
        <f t="array" ref="AW38">IF(OR(AW$4=0, $G38&lt;&gt; $G$7, $E38=0), 'I&amp;E Monthly'!AW38, CHOOSE(Timeline!AW$30,$J38,$K38,$L38 )*INDEX('I&amp;E Profiles'!AW$96:AW$180,$I38))</f>
        <v>0</v>
      </c>
      <c r="AX38" s="153" cm="1">
        <f t="array" ref="AX38">IF(OR(AX$4=0, $G38&lt;&gt; $G$7, $E38=0), 'I&amp;E Monthly'!AX38, CHOOSE(Timeline!AX$30,$J38,$K38,$L38 )*INDEX('I&amp;E Profiles'!AX$96:AX$180,$I38))</f>
        <v>0</v>
      </c>
      <c r="AY38" s="153" cm="1">
        <f t="array" ref="AY38">IF(OR(AY$4=0, $G38&lt;&gt; $G$7, $E38=0), 'I&amp;E Monthly'!AY38, CHOOSE(Timeline!AY$30,$J38,$K38,$L38 )*INDEX('I&amp;E Profiles'!AY$96:AY$180,$I38))</f>
        <v>0</v>
      </c>
      <c r="AZ38" s="153" cm="1">
        <f t="array" ref="AZ38">IF(OR(AZ$4=0, $G38&lt;&gt; $G$7, $E38=0), 'I&amp;E Monthly'!AZ38, CHOOSE(Timeline!AZ$30,$J38,$K38,$L38 )*INDEX('I&amp;E Profiles'!AZ$96:AZ$180,$I38))</f>
        <v>0</v>
      </c>
      <c r="BA38" s="153" cm="1">
        <f t="array" ref="BA38">IF(OR(BA$4=0, $G38&lt;&gt; $G$7, $E38=0), 'I&amp;E Monthly'!BA38, CHOOSE(Timeline!BA$30,$J38,$K38,$L38 )*INDEX('I&amp;E Profiles'!BA$96:BA$180,$I38))</f>
        <v>0</v>
      </c>
      <c r="BB38" s="153" cm="1">
        <f t="array" ref="BB38">IF(OR(BB$4=0, $G38&lt;&gt; $G$7, $E38=0), 'I&amp;E Monthly'!BB38, CHOOSE(Timeline!BB$30,$J38,$K38,$L38 )*INDEX('I&amp;E Profiles'!BB$96:BB$180,$I38))</f>
        <v>0</v>
      </c>
      <c r="BC38" s="153" cm="1">
        <f t="array" ref="BC38">IF(OR(BC$4=0, $G38&lt;&gt; $G$7, $E38=0), 'I&amp;E Monthly'!BC38, CHOOSE(Timeline!BC$30,$J38,$K38,$L38 )*INDEX('I&amp;E Profiles'!BC$96:BC$180,$I38))</f>
        <v>0</v>
      </c>
      <c r="BD38" s="153" cm="1">
        <f t="array" ref="BD38">IF(OR(BD$4=0, $G38&lt;&gt; $G$7, $E38=0), 'I&amp;E Monthly'!BD38, CHOOSE(Timeline!BD$30,$J38,$K38,$L38 )*INDEX('I&amp;E Profiles'!BD$96:BD$180,$I38))</f>
        <v>0</v>
      </c>
      <c r="BE38" s="153" cm="1">
        <f t="array" ref="BE38">IF(OR(BE$4=0, $G38&lt;&gt; $G$7, $E38=0), 'I&amp;E Monthly'!BE38, CHOOSE(Timeline!BE$30,$J38,$K38,$L38 )*INDEX('I&amp;E Profiles'!BE$96:BE$180,$I38))</f>
        <v>0</v>
      </c>
      <c r="BF38" s="153" cm="1">
        <f t="array" ref="BF38">IF(OR(BF$4=0, $G38&lt;&gt; $G$7, $E38=0), 'I&amp;E Monthly'!BF38, CHOOSE(Timeline!BF$30,$J38,$K38,$L38 )*INDEX('I&amp;E Profiles'!BF$96:BF$180,$I38))</f>
        <v>0</v>
      </c>
      <c r="BG38" s="153" cm="1">
        <f t="array" ref="BG38">IF(OR(BG$4=0, $G38&lt;&gt; $G$7, $E38=0), 'I&amp;E Monthly'!BG38, CHOOSE(Timeline!BG$30,$J38,$K38,$L38 )*INDEX('I&amp;E Profiles'!BG$96:BG$180,$I38))</f>
        <v>0</v>
      </c>
      <c r="BH38" s="153" cm="1">
        <f t="array" ref="BH38">IF(OR(BH$4=0, $G38&lt;&gt; $G$7, $E38=0), 'I&amp;E Monthly'!BH38, CHOOSE(Timeline!BH$30,$J38,$K38,$L38 )*INDEX('I&amp;E Profiles'!BH$96:BH$180,$I38))</f>
        <v>0</v>
      </c>
      <c r="BI38" s="153" cm="1">
        <f t="array" ref="BI38">IF(OR(BI$4=0, $G38&lt;&gt; $G$7, $E38=0), 'I&amp;E Monthly'!BI38, CHOOSE(Timeline!BI$30,$J38,$K38,$L38 )*INDEX('I&amp;E Profiles'!BI$96:BI$180,$I38))</f>
        <v>0</v>
      </c>
      <c r="BJ38" s="153" cm="1">
        <f t="array" ref="BJ38">IF(OR(BJ$4=0, $G38&lt;&gt; $G$7, $E38=0), 'I&amp;E Monthly'!BJ38, CHOOSE(Timeline!BJ$30,$J38,$K38,$L38 )*INDEX('I&amp;E Profiles'!BJ$96:BJ$180,$I38))</f>
        <v>0</v>
      </c>
      <c r="BK38" s="335"/>
      <c r="BL38" s="13">
        <f>V38</f>
        <v>0</v>
      </c>
      <c r="BM38" s="153">
        <f>SUMIFS($AA38:$BJ38, $AA$3:$BJ$3,BM$3)</f>
        <v>0</v>
      </c>
      <c r="BN38" s="153">
        <f>SUMIFS($AA38:$BJ38, $AA$3:$BJ$3,BN$3)</f>
        <v>0</v>
      </c>
      <c r="BO38" s="153">
        <f>SUMIFS($AA38:$BJ38, $AA$3:$BJ$3,BO$3)</f>
        <v>0</v>
      </c>
      <c r="BP38" s="13">
        <f>'I&amp;E Monthly'!BP38</f>
        <v>0</v>
      </c>
      <c r="BQ38" s="13">
        <f>'I&amp;E Monthly'!BQ38</f>
        <v>0</v>
      </c>
      <c r="BR38" s="13">
        <f>'I&amp;E Monthly'!BR38</f>
        <v>0</v>
      </c>
      <c r="BS38" s="13">
        <f>'I&amp;E Monthly'!BS38</f>
        <v>0</v>
      </c>
      <c r="BT38" s="13">
        <f>'I&amp;E Monthly'!BT38</f>
        <v>0</v>
      </c>
      <c r="BU38" s="13">
        <f>'I&amp;E Monthly'!BU38</f>
        <v>0</v>
      </c>
      <c r="BV38" s="13">
        <f>'I&amp;E Monthly'!BV38</f>
        <v>0</v>
      </c>
      <c r="BW38" s="13">
        <f>'I&amp;E Monthly'!BW38</f>
        <v>0</v>
      </c>
      <c r="BX38" s="335"/>
      <c r="BY38" s="12"/>
      <c r="BZ38" s="363">
        <f t="shared" ca="1" si="31"/>
        <v>0</v>
      </c>
      <c r="CA38" s="12"/>
      <c r="CB38" s="7">
        <f>IF(AND($G38=$G$7,$E38=""), 1, 0)</f>
        <v>0</v>
      </c>
      <c r="CC38" s="188" cm="1">
        <f t="array" ref="CC38">IF(E38="",0, IF(_xlfn.IFNA(INDEX('I&amp;E Profiles'!$D$96:$D$180, $I38), "N/A")="N/A", 1, 0))</f>
        <v>0</v>
      </c>
      <c r="CD38" s="7">
        <f t="shared" si="32"/>
        <v>0</v>
      </c>
      <c r="CE38" s="7">
        <f t="shared" si="33"/>
        <v>0</v>
      </c>
      <c r="CF38" s="7">
        <f t="shared" si="34"/>
        <v>0</v>
      </c>
      <c r="CG38" s="12"/>
      <c r="CH38" s="352">
        <f t="shared" si="35"/>
        <v>0</v>
      </c>
      <c r="CI38" s="352">
        <f t="shared" si="35"/>
        <v>0</v>
      </c>
      <c r="CJ38" s="352">
        <f t="shared" si="35"/>
        <v>0</v>
      </c>
      <c r="CK38" s="352">
        <f t="shared" si="36"/>
        <v>0</v>
      </c>
      <c r="CL38" s="352">
        <f t="shared" si="37"/>
        <v>0</v>
      </c>
      <c r="CM38" s="352">
        <f t="shared" si="38"/>
        <v>0</v>
      </c>
      <c r="CN38" s="352">
        <f t="shared" si="39"/>
        <v>0</v>
      </c>
      <c r="EX38" s="10" t="str">
        <f t="shared" si="1"/>
        <v>Of which: subcontracted out Apprenticeship income</v>
      </c>
    </row>
    <row r="39" spans="1:154" ht="6.6" customHeight="1" x14ac:dyDescent="0.25">
      <c r="A39" s="335"/>
      <c r="B39" s="335"/>
      <c r="C39" s="383"/>
      <c r="D39" s="177"/>
      <c r="E39" s="25"/>
      <c r="F39" s="25"/>
      <c r="G39" s="25"/>
      <c r="I39" s="25"/>
      <c r="J39" s="25"/>
      <c r="Q39" s="2"/>
      <c r="R39" s="335"/>
      <c r="T39" s="335"/>
      <c r="U39" s="335"/>
      <c r="V39" s="25"/>
      <c r="W39" s="25"/>
      <c r="X39" s="25"/>
      <c r="Y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L39" s="25"/>
      <c r="BM39" s="155"/>
      <c r="BN39" s="25"/>
      <c r="BO39" s="25"/>
      <c r="BP39" s="25"/>
      <c r="BQ39" s="25"/>
      <c r="BR39" s="25"/>
      <c r="BS39" s="25"/>
      <c r="BT39" s="25"/>
      <c r="BU39" s="25"/>
      <c r="BV39" s="25"/>
      <c r="BW39" s="25"/>
      <c r="BY39" s="42"/>
      <c r="BZ39" s="335"/>
      <c r="CA39" s="42"/>
      <c r="CC39" s="335"/>
      <c r="CG39" s="42"/>
      <c r="CH39" s="352"/>
      <c r="CI39" s="352"/>
      <c r="CJ39" s="352"/>
      <c r="CK39" s="352"/>
      <c r="CM39" s="335"/>
      <c r="CN39" s="335"/>
      <c r="EX39" s="10" t="str">
        <f t="shared" si="1"/>
        <v/>
      </c>
    </row>
    <row r="40" spans="1:154" ht="30" x14ac:dyDescent="0.25">
      <c r="A40" s="335"/>
      <c r="B40" s="5"/>
      <c r="C40" s="383"/>
      <c r="D40" s="433" t="s">
        <v>445</v>
      </c>
      <c r="E40" s="82"/>
      <c r="F40" s="25"/>
      <c r="G40" s="25"/>
      <c r="I40" s="25"/>
      <c r="J40" s="25"/>
      <c r="Q40" s="2"/>
      <c r="R40" s="335"/>
      <c r="T40" s="335"/>
      <c r="U40" s="335"/>
      <c r="V40" s="25"/>
      <c r="W40" s="25"/>
      <c r="X40" s="25"/>
      <c r="Y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L40" s="25"/>
      <c r="BM40" s="25"/>
      <c r="BN40" s="25"/>
      <c r="BO40" s="25"/>
      <c r="BP40" s="25"/>
      <c r="BQ40" s="25"/>
      <c r="BR40" s="25"/>
      <c r="BS40" s="25"/>
      <c r="BT40" s="25"/>
      <c r="BU40" s="25"/>
      <c r="BV40" s="25"/>
      <c r="BW40" s="25"/>
      <c r="BY40" s="12"/>
      <c r="BZ40" s="335"/>
      <c r="CA40" s="12"/>
      <c r="CC40" s="335"/>
      <c r="CG40" s="12"/>
      <c r="CH40" s="352"/>
      <c r="CI40" s="352"/>
      <c r="CJ40" s="352"/>
      <c r="CK40" s="352"/>
      <c r="CM40" s="335"/>
      <c r="CN40" s="335"/>
      <c r="EX40" s="10" t="str">
        <f t="shared" si="1"/>
        <v/>
      </c>
    </row>
    <row r="41" spans="1:154" ht="15.75" x14ac:dyDescent="0.3">
      <c r="A41" s="362" cm="1">
        <f t="array" aca="1" ref="A41" ca="1">HYPERLINK(CONCATENATE("#",CELL("address",IF(SUM($CA41:$CG41)=0,A41,INDEX($CA41:$CG41,MATCH(1,$CA41:$CG41,0))))),SUM($CA41:$CG41))</f>
        <v>0</v>
      </c>
      <c r="B41" s="105" t="s">
        <v>335</v>
      </c>
      <c r="C41" s="343" t="s">
        <v>448</v>
      </c>
      <c r="D41" s="194" t="s">
        <v>23</v>
      </c>
      <c r="E41" s="147"/>
      <c r="F41" s="98" t="str" cm="1">
        <f t="array" aca="1" ref="F41" ca="1">IF(E41="", "", HYPERLINK(CONCATENATE("#",CELL("address",INDEX('I&amp;E Profiles'!$D$9:$D$93,'I&amp;E Annual'!I41))),E41))</f>
        <v/>
      </c>
      <c r="G41" s="147" t="s">
        <v>211</v>
      </c>
      <c r="H41" s="67" t="s">
        <v>8</v>
      </c>
      <c r="I41" s="350" t="str">
        <f>IF(E41="", "", MATCH(E41, 'I&amp;E Profiles'!$D$96:$D$180,0))</f>
        <v/>
      </c>
      <c r="J41" s="215">
        <f>IF($G41=$G$7, W41,'I&amp;E Monthly'!W41)-SUMIFS('I&amp;E Monthly'!$AA41:$BJ41, 'I&amp;E Monthly'!$AA$3:$BJ$3, 'I&amp;E Annual'!W$3, 'I&amp;E Monthly'!$AA$4:$BJ$4, 0)</f>
        <v>5</v>
      </c>
      <c r="K41" s="215">
        <f>IF($G41=$G$7, X41,'I&amp;E Monthly'!X41)-SUMIFS('I&amp;E Monthly'!$AA41:$BJ41, 'I&amp;E Monthly'!$AA$3:$BJ$3, 'I&amp;E Annual'!X$3, 'I&amp;E Monthly'!$AA$4:$BJ$4, 0)</f>
        <v>81</v>
      </c>
      <c r="L41" s="215">
        <f>IF($G41=$G$7, Y41,'I&amp;E Monthly'!Y41)-SUMIFS('I&amp;E Monthly'!$AA41:$BJ41, 'I&amp;E Monthly'!$AA$3:$BJ$3, 'I&amp;E Annual'!Y$3, 'I&amp;E Monthly'!$AA$4:$BJ$4, 0)</f>
        <v>81</v>
      </c>
      <c r="M41" s="335"/>
      <c r="N41" s="335"/>
      <c r="O41" s="335"/>
      <c r="P41" s="335"/>
      <c r="Q41" s="2"/>
      <c r="R41" s="335"/>
      <c r="S41" s="335"/>
      <c r="T41" s="335"/>
      <c r="U41" s="335"/>
      <c r="V41" s="215">
        <f>'I&amp;E Monthly'!V41</f>
        <v>0</v>
      </c>
      <c r="W41" s="147"/>
      <c r="X41" s="227"/>
      <c r="Y41" s="227"/>
      <c r="Z41" s="335"/>
      <c r="AA41" s="153" cm="1">
        <f t="array" ref="AA41">IF(OR(AA$4=0, $G41&lt;&gt; $G$7, $E41=0), 'I&amp;E Monthly'!AA41, CHOOSE(Timeline!AA$30,$J41,$K41,$L41 )*INDEX('I&amp;E Profiles'!AA$96:AA$180,$I41))</f>
        <v>8</v>
      </c>
      <c r="AB41" s="153" cm="1">
        <f t="array" ref="AB41">IF(OR(AB$4=0, $G41&lt;&gt; $G$7, $E41=0), 'I&amp;E Monthly'!AB41, CHOOSE(Timeline!AB$30,$J41,$K41,$L41 )*INDEX('I&amp;E Profiles'!AB$96:AB$180,$I41))</f>
        <v>5</v>
      </c>
      <c r="AC41" s="153" cm="1">
        <f t="array" ref="AC41">IF(OR(AC$4=0, $G41&lt;&gt; $G$7, $E41=0), 'I&amp;E Monthly'!AC41, CHOOSE(Timeline!AC$30,$J41,$K41,$L41 )*INDEX('I&amp;E Profiles'!AC$96:AC$180,$I41))</f>
        <v>5</v>
      </c>
      <c r="AD41" s="153" cm="1">
        <f t="array" ref="AD41">IF(OR(AD$4=0, $G41&lt;&gt; $G$7, $E41=0), 'I&amp;E Monthly'!AD41, CHOOSE(Timeline!AD$30,$J41,$K41,$L41 )*INDEX('I&amp;E Profiles'!AD$96:AD$180,$I41))</f>
        <v>4</v>
      </c>
      <c r="AE41" s="153" cm="1">
        <f t="array" ref="AE41">IF(OR(AE$4=0, $G41&lt;&gt; $G$7, $E41=0), 'I&amp;E Monthly'!AE41, CHOOSE(Timeline!AE$30,$J41,$K41,$L41 )*INDEX('I&amp;E Profiles'!AE$96:AE$180,$I41))</f>
        <v>3</v>
      </c>
      <c r="AF41" s="153" cm="1">
        <f t="array" ref="AF41">IF(OR(AF$4=0, $G41&lt;&gt; $G$7, $E41=0), 'I&amp;E Monthly'!AF41, CHOOSE(Timeline!AF$30,$J41,$K41,$L41 )*INDEX('I&amp;E Profiles'!AF$96:AF$180,$I41))</f>
        <v>4</v>
      </c>
      <c r="AG41" s="153" cm="1">
        <f t="array" ref="AG41">IF(OR(AG$4=0, $G41&lt;&gt; $G$7, $E41=0), 'I&amp;E Monthly'!AG41, CHOOSE(Timeline!AG$30,$J41,$K41,$L41 )*INDEX('I&amp;E Profiles'!AG$96:AG$180,$I41))</f>
        <v>3</v>
      </c>
      <c r="AH41" s="153" cm="1">
        <f t="array" ref="AH41">IF(OR(AH$4=0, $G41&lt;&gt; $G$7, $E41=0), 'I&amp;E Monthly'!AH41, CHOOSE(Timeline!AH$30,$J41,$K41,$L41 )*INDEX('I&amp;E Profiles'!AH$96:AH$180,$I41))</f>
        <v>3</v>
      </c>
      <c r="AI41" s="153" cm="1">
        <f t="array" ref="AI41">IF(OR(AI$4=0, $G41&lt;&gt; $G$7, $E41=0), 'I&amp;E Monthly'!AI41, CHOOSE(Timeline!AI$30,$J41,$K41,$L41 )*INDEX('I&amp;E Profiles'!AI$96:AI$180,$I41))</f>
        <v>7</v>
      </c>
      <c r="AJ41" s="153" cm="1">
        <f t="array" ref="AJ41">IF(OR(AJ$4=0, $G41&lt;&gt; $G$7, $E41=0), 'I&amp;E Monthly'!AJ41, CHOOSE(Timeline!AJ$30,$J41,$K41,$L41 )*INDEX('I&amp;E Profiles'!AJ$96:AJ$180,$I41))</f>
        <v>6</v>
      </c>
      <c r="AK41" s="153" cm="1">
        <f t="array" ref="AK41">IF(OR(AK$4=0, $G41&lt;&gt; $G$7, $E41=0), 'I&amp;E Monthly'!AK41, CHOOSE(Timeline!AK$30,$J41,$K41,$L41 )*INDEX('I&amp;E Profiles'!AK$96:AK$180,$I41))</f>
        <v>5</v>
      </c>
      <c r="AL41" s="153" cm="1">
        <f t="array" ref="AL41">IF(OR(AL$4=0, $G41&lt;&gt; $G$7, $E41=0), 'I&amp;E Monthly'!AL41, CHOOSE(Timeline!AL$30,$J41,$K41,$L41 )*INDEX('I&amp;E Profiles'!AL$96:AL$180,$I41))</f>
        <v>5</v>
      </c>
      <c r="AM41" s="153" cm="1">
        <f t="array" ref="AM41">IF(OR(AM$4=0, $G41&lt;&gt; $G$7, $E41=0), 'I&amp;E Monthly'!AM41, CHOOSE(Timeline!AM$30,$J41,$K41,$L41 )*INDEX('I&amp;E Profiles'!AM$96:AM$180,$I41))</f>
        <v>9</v>
      </c>
      <c r="AN41" s="153" cm="1">
        <f t="array" ref="AN41">IF(OR(AN$4=0, $G41&lt;&gt; $G$7, $E41=0), 'I&amp;E Monthly'!AN41, CHOOSE(Timeline!AN$30,$J41,$K41,$L41 )*INDEX('I&amp;E Profiles'!AN$96:AN$180,$I41))</f>
        <v>7</v>
      </c>
      <c r="AO41" s="153" cm="1">
        <f t="array" ref="AO41">IF(OR(AO$4=0, $G41&lt;&gt; $G$7, $E41=0), 'I&amp;E Monthly'!AO41, CHOOSE(Timeline!AO$30,$J41,$K41,$L41 )*INDEX('I&amp;E Profiles'!AO$96:AO$180,$I41))</f>
        <v>7</v>
      </c>
      <c r="AP41" s="153" cm="1">
        <f t="array" ref="AP41">IF(OR(AP$4=0, $G41&lt;&gt; $G$7, $E41=0), 'I&amp;E Monthly'!AP41, CHOOSE(Timeline!AP$30,$J41,$K41,$L41 )*INDEX('I&amp;E Profiles'!AP$96:AP$180,$I41))</f>
        <v>6</v>
      </c>
      <c r="AQ41" s="153" cm="1">
        <f t="array" ref="AQ41">IF(OR(AQ$4=0, $G41&lt;&gt; $G$7, $E41=0), 'I&amp;E Monthly'!AQ41, CHOOSE(Timeline!AQ$30,$J41,$K41,$L41 )*INDEX('I&amp;E Profiles'!AQ$96:AQ$180,$I41))</f>
        <v>5</v>
      </c>
      <c r="AR41" s="153" cm="1">
        <f t="array" ref="AR41">IF(OR(AR$4=0, $G41&lt;&gt; $G$7, $E41=0), 'I&amp;E Monthly'!AR41, CHOOSE(Timeline!AR$30,$J41,$K41,$L41 )*INDEX('I&amp;E Profiles'!AR$96:AR$180,$I41))</f>
        <v>5</v>
      </c>
      <c r="AS41" s="153" cm="1">
        <f t="array" ref="AS41">IF(OR(AS$4=0, $G41&lt;&gt; $G$7, $E41=0), 'I&amp;E Monthly'!AS41, CHOOSE(Timeline!AS$30,$J41,$K41,$L41 )*INDEX('I&amp;E Profiles'!AS$96:AS$180,$I41))</f>
        <v>5</v>
      </c>
      <c r="AT41" s="153" cm="1">
        <f t="array" ref="AT41">IF(OR(AT$4=0, $G41&lt;&gt; $G$7, $E41=0), 'I&amp;E Monthly'!AT41, CHOOSE(Timeline!AT$30,$J41,$K41,$L41 )*INDEX('I&amp;E Profiles'!AT$96:AT$180,$I41))</f>
        <v>4</v>
      </c>
      <c r="AU41" s="153" cm="1">
        <f t="array" ref="AU41">IF(OR(AU$4=0, $G41&lt;&gt; $G$7, $E41=0), 'I&amp;E Monthly'!AU41, CHOOSE(Timeline!AU$30,$J41,$K41,$L41 )*INDEX('I&amp;E Profiles'!AU$96:AU$180,$I41))</f>
        <v>9</v>
      </c>
      <c r="AV41" s="153" cm="1">
        <f t="array" ref="AV41">IF(OR(AV$4=0, $G41&lt;&gt; $G$7, $E41=0), 'I&amp;E Monthly'!AV41, CHOOSE(Timeline!AV$30,$J41,$K41,$L41 )*INDEX('I&amp;E Profiles'!AV$96:AV$180,$I41))</f>
        <v>9</v>
      </c>
      <c r="AW41" s="153" cm="1">
        <f t="array" ref="AW41">IF(OR(AW$4=0, $G41&lt;&gt; $G$7, $E41=0), 'I&amp;E Monthly'!AW41, CHOOSE(Timeline!AW$30,$J41,$K41,$L41 )*INDEX('I&amp;E Profiles'!AW$96:AW$180,$I41))</f>
        <v>8</v>
      </c>
      <c r="AX41" s="153" cm="1">
        <f t="array" ref="AX41">IF(OR(AX$4=0, $G41&lt;&gt; $G$7, $E41=0), 'I&amp;E Monthly'!AX41, CHOOSE(Timeline!AX$30,$J41,$K41,$L41 )*INDEX('I&amp;E Profiles'!AX$96:AX$180,$I41))</f>
        <v>7</v>
      </c>
      <c r="AY41" s="153" cm="1">
        <f t="array" ref="AY41">IF(OR(AY$4=0, $G41&lt;&gt; $G$7, $E41=0), 'I&amp;E Monthly'!AY41, CHOOSE(Timeline!AY$30,$J41,$K41,$L41 )*INDEX('I&amp;E Profiles'!AY$96:AY$180,$I41))</f>
        <v>9</v>
      </c>
      <c r="AZ41" s="153" cm="1">
        <f t="array" ref="AZ41">IF(OR(AZ$4=0, $G41&lt;&gt; $G$7, $E41=0), 'I&amp;E Monthly'!AZ41, CHOOSE(Timeline!AZ$30,$J41,$K41,$L41 )*INDEX('I&amp;E Profiles'!AZ$96:AZ$180,$I41))</f>
        <v>7</v>
      </c>
      <c r="BA41" s="153" cm="1">
        <f t="array" ref="BA41">IF(OR(BA$4=0, $G41&lt;&gt; $G$7, $E41=0), 'I&amp;E Monthly'!BA41, CHOOSE(Timeline!BA$30,$J41,$K41,$L41 )*INDEX('I&amp;E Profiles'!BA$96:BA$180,$I41))</f>
        <v>7</v>
      </c>
      <c r="BB41" s="153" cm="1">
        <f t="array" ref="BB41">IF(OR(BB$4=0, $G41&lt;&gt; $G$7, $E41=0), 'I&amp;E Monthly'!BB41, CHOOSE(Timeline!BB$30,$J41,$K41,$L41 )*INDEX('I&amp;E Profiles'!BB$96:BB$180,$I41))</f>
        <v>6</v>
      </c>
      <c r="BC41" s="153" cm="1">
        <f t="array" ref="BC41">IF(OR(BC$4=0, $G41&lt;&gt; $G$7, $E41=0), 'I&amp;E Monthly'!BC41, CHOOSE(Timeline!BC$30,$J41,$K41,$L41 )*INDEX('I&amp;E Profiles'!BC$96:BC$180,$I41))</f>
        <v>5</v>
      </c>
      <c r="BD41" s="153" cm="1">
        <f t="array" ref="BD41">IF(OR(BD$4=0, $G41&lt;&gt; $G$7, $E41=0), 'I&amp;E Monthly'!BD41, CHOOSE(Timeline!BD$30,$J41,$K41,$L41 )*INDEX('I&amp;E Profiles'!BD$96:BD$180,$I41))</f>
        <v>5</v>
      </c>
      <c r="BE41" s="153" cm="1">
        <f t="array" ref="BE41">IF(OR(BE$4=0, $G41&lt;&gt; $G$7, $E41=0), 'I&amp;E Monthly'!BE41, CHOOSE(Timeline!BE$30,$J41,$K41,$L41 )*INDEX('I&amp;E Profiles'!BE$96:BE$180,$I41))</f>
        <v>5</v>
      </c>
      <c r="BF41" s="153" cm="1">
        <f t="array" ref="BF41">IF(OR(BF$4=0, $G41&lt;&gt; $G$7, $E41=0), 'I&amp;E Monthly'!BF41, CHOOSE(Timeline!BF$30,$J41,$K41,$L41 )*INDEX('I&amp;E Profiles'!BF$96:BF$180,$I41))</f>
        <v>4</v>
      </c>
      <c r="BG41" s="153" cm="1">
        <f t="array" ref="BG41">IF(OR(BG$4=0, $G41&lt;&gt; $G$7, $E41=0), 'I&amp;E Monthly'!BG41, CHOOSE(Timeline!BG$30,$J41,$K41,$L41 )*INDEX('I&amp;E Profiles'!BG$96:BG$180,$I41))</f>
        <v>9</v>
      </c>
      <c r="BH41" s="153" cm="1">
        <f t="array" ref="BH41">IF(OR(BH$4=0, $G41&lt;&gt; $G$7, $E41=0), 'I&amp;E Monthly'!BH41, CHOOSE(Timeline!BH$30,$J41,$K41,$L41 )*INDEX('I&amp;E Profiles'!BH$96:BH$180,$I41))</f>
        <v>9</v>
      </c>
      <c r="BI41" s="153" cm="1">
        <f t="array" ref="BI41">IF(OR(BI$4=0, $G41&lt;&gt; $G$7, $E41=0), 'I&amp;E Monthly'!BI41, CHOOSE(Timeline!BI$30,$J41,$K41,$L41 )*INDEX('I&amp;E Profiles'!BI$96:BI$180,$I41))</f>
        <v>8</v>
      </c>
      <c r="BJ41" s="153" cm="1">
        <f t="array" ref="BJ41">IF(OR(BJ$4=0, $G41&lt;&gt; $G$7, $E41=0), 'I&amp;E Monthly'!BJ41, CHOOSE(Timeline!BJ$30,$J41,$K41,$L41 )*INDEX('I&amp;E Profiles'!BJ$96:BJ$180,$I41))</f>
        <v>7</v>
      </c>
      <c r="BK41" s="335"/>
      <c r="BL41" s="152">
        <f t="shared" ref="BL41:BL48" si="42">V41</f>
        <v>0</v>
      </c>
      <c r="BM41" s="153">
        <f t="shared" ref="BM41:BO48" si="43">SUMIFS($AA41:$BJ41, $AA$3:$BJ$3,BM$3)</f>
        <v>58</v>
      </c>
      <c r="BN41" s="153">
        <f t="shared" si="43"/>
        <v>81</v>
      </c>
      <c r="BO41" s="153">
        <f t="shared" si="43"/>
        <v>81</v>
      </c>
      <c r="BP41" s="152">
        <f>'I&amp;E Monthly'!BP41</f>
        <v>0</v>
      </c>
      <c r="BQ41" s="152">
        <f>'I&amp;E Monthly'!BQ41</f>
        <v>0</v>
      </c>
      <c r="BR41" s="152">
        <f>'I&amp;E Monthly'!BR41</f>
        <v>0</v>
      </c>
      <c r="BS41" s="152">
        <f>'I&amp;E Monthly'!BS41</f>
        <v>0</v>
      </c>
      <c r="BT41" s="152">
        <f>'I&amp;E Monthly'!BT41</f>
        <v>0</v>
      </c>
      <c r="BU41" s="152">
        <f>'I&amp;E Monthly'!BU41</f>
        <v>0</v>
      </c>
      <c r="BV41" s="152">
        <f>'I&amp;E Monthly'!BV41</f>
        <v>0</v>
      </c>
      <c r="BW41" s="152">
        <f>'I&amp;E Monthly'!BW41</f>
        <v>0</v>
      </c>
      <c r="BX41" s="335"/>
      <c r="BY41" s="12"/>
      <c r="BZ41" s="363">
        <f t="shared" ref="BZ41:BZ50" ca="1" si="44">IF(MIN($V41:$BW41)&lt;0, 1, 0)*$I$7</f>
        <v>0</v>
      </c>
      <c r="CA41" s="12"/>
      <c r="CB41" s="7">
        <f t="shared" ref="CB41:CB48" si="45">IF(AND($G41=$G$7,$E41=""), 1, 0)</f>
        <v>0</v>
      </c>
      <c r="CC41" s="188" cm="1">
        <f t="array" ref="CC41">IF(E41="",0, IF(_xlfn.IFNA(INDEX('I&amp;E Profiles'!$D$96:$D$180, $I41), "N/A")="N/A", 1, 0))</f>
        <v>0</v>
      </c>
      <c r="CD41" s="7">
        <f t="shared" ref="CD41:CD50" si="46">IF(SUM($CH41:$CJ41)=0, 0, 1)</f>
        <v>0</v>
      </c>
      <c r="CE41" s="7">
        <f t="shared" ref="CE41:CE50" si="47">IF(SUM($CK41:$CM41)=0, 0, 1)</f>
        <v>0</v>
      </c>
      <c r="CF41" s="7">
        <f t="shared" ref="CF41:CF50" si="48">IF(CN41=0, 0, 1)</f>
        <v>0</v>
      </c>
      <c r="CG41" s="12"/>
      <c r="CH41" s="352">
        <f t="shared" ref="CH41:CH50" si="49">IF($G41=$G$7, ROUND(W41-SUMIFS($AA41:$BJ41, $AA$3:$BJ$3, W$3), rounding), 0)</f>
        <v>0</v>
      </c>
      <c r="CI41" s="352">
        <f t="shared" ref="CI41:CI50" si="50">IF($G41=$G$7, ROUND(X41-SUMIFS($AA41:$BJ41, $AA$3:$BJ$3, X$3), rounding), 0)</f>
        <v>0</v>
      </c>
      <c r="CJ41" s="352">
        <f t="shared" ref="CJ41:CJ50" si="51">IF($G41=$G$7, ROUND(Y41-SUMIFS($AA41:$BJ41, $AA$3:$BJ$3, Y$3), rounding), 0)</f>
        <v>0</v>
      </c>
      <c r="CK41" s="352">
        <f t="shared" ref="CK41:CK50" si="52">ROUND($BM41-SUMIFS($AA41:$BJ41, $AA$3:$BJ$3, $BM$3), rounding)</f>
        <v>0</v>
      </c>
      <c r="CL41" s="352">
        <f t="shared" ref="CL41:CL50" si="53">ROUND($BN41-SUMIFS($AA41:$BJ41, $AA$3:$BJ$3, $BN$3), rounding)</f>
        <v>0</v>
      </c>
      <c r="CM41" s="352">
        <f t="shared" ref="CM41:CM50" si="54">ROUND($BO41-SUMIFS($AA41:$BJ41, $AA$3:$BJ$3, $BO$3), rounding)</f>
        <v>0</v>
      </c>
      <c r="CN41" s="352">
        <f t="shared" ref="CN41:CN50" si="55">ROUND($V41-$BL41, rounding)</f>
        <v>0</v>
      </c>
      <c r="EX41" s="10" t="str">
        <f t="shared" si="1"/>
        <v>AEB Grant - ESFA</v>
      </c>
    </row>
    <row r="42" spans="1:154" ht="15.75" x14ac:dyDescent="0.3">
      <c r="A42" s="362" cm="1">
        <f t="array" aca="1" ref="A42" ca="1">HYPERLINK(CONCATENATE("#",CELL("address",IF(SUM($CA42:$CG42)=0,A42,INDEX($CA42:$CG42,MATCH(1,$CA42:$CG42,0))))),SUM($CA42:$CG42))</f>
        <v>0</v>
      </c>
      <c r="B42" s="105" t="s">
        <v>335</v>
      </c>
      <c r="C42" s="343" t="s">
        <v>449</v>
      </c>
      <c r="D42" s="194" t="s">
        <v>24</v>
      </c>
      <c r="E42" s="147"/>
      <c r="F42" s="98" t="str" cm="1">
        <f t="array" aca="1" ref="F42" ca="1">IF(E42="", "", HYPERLINK(CONCATENATE("#",CELL("address",INDEX('I&amp;E Profiles'!$D$9:$D$93,'I&amp;E Annual'!I42))),E42))</f>
        <v/>
      </c>
      <c r="G42" s="147" t="s">
        <v>211</v>
      </c>
      <c r="H42" s="67" t="s">
        <v>8</v>
      </c>
      <c r="I42" s="350" t="str">
        <f>IF(E42="", "", MATCH(E42, 'I&amp;E Profiles'!$D$96:$D$180,0))</f>
        <v/>
      </c>
      <c r="J42" s="215">
        <f>IF($G42=$G$7, W42,'I&amp;E Monthly'!W42)-SUMIFS('I&amp;E Monthly'!$AA42:$BJ42, 'I&amp;E Monthly'!$AA$3:$BJ$3, 'I&amp;E Annual'!W$3, 'I&amp;E Monthly'!$AA$4:$BJ$4, 0)</f>
        <v>0</v>
      </c>
      <c r="K42" s="215">
        <f>IF($G42=$G$7, X42,'I&amp;E Monthly'!X42)-SUMIFS('I&amp;E Monthly'!$AA42:$BJ42, 'I&amp;E Monthly'!$AA$3:$BJ$3, 'I&amp;E Annual'!X$3, 'I&amp;E Monthly'!$AA$4:$BJ$4, 0)</f>
        <v>0</v>
      </c>
      <c r="L42" s="215">
        <f>IF($G42=$G$7, Y42,'I&amp;E Monthly'!Y42)-SUMIFS('I&amp;E Monthly'!$AA42:$BJ42, 'I&amp;E Monthly'!$AA$3:$BJ$3, 'I&amp;E Annual'!Y$3, 'I&amp;E Monthly'!$AA$4:$BJ$4, 0)</f>
        <v>0</v>
      </c>
      <c r="M42" s="335"/>
      <c r="N42" s="335"/>
      <c r="O42" s="335"/>
      <c r="P42" s="335"/>
      <c r="Q42" s="2"/>
      <c r="R42" s="335"/>
      <c r="S42" s="335"/>
      <c r="T42" s="335"/>
      <c r="U42" s="335"/>
      <c r="V42" s="215">
        <f>'I&amp;E Monthly'!V42</f>
        <v>0</v>
      </c>
      <c r="W42" s="147"/>
      <c r="X42" s="227"/>
      <c r="Y42" s="227"/>
      <c r="Z42" s="335"/>
      <c r="AA42" s="153" cm="1">
        <f t="array" ref="AA42">IF(OR(AA$4=0, $G42&lt;&gt; $G$7, $E42=0), 'I&amp;E Monthly'!AA42, CHOOSE(Timeline!AA$30,$J42,$K42,$L42 )*INDEX('I&amp;E Profiles'!AA$96:AA$180,$I42))</f>
        <v>0</v>
      </c>
      <c r="AB42" s="153" cm="1">
        <f t="array" ref="AB42">IF(OR(AB$4=0, $G42&lt;&gt; $G$7, $E42=0), 'I&amp;E Monthly'!AB42, CHOOSE(Timeline!AB$30,$J42,$K42,$L42 )*INDEX('I&amp;E Profiles'!AB$96:AB$180,$I42))</f>
        <v>0</v>
      </c>
      <c r="AC42" s="153" cm="1">
        <f t="array" ref="AC42">IF(OR(AC$4=0, $G42&lt;&gt; $G$7, $E42=0), 'I&amp;E Monthly'!AC42, CHOOSE(Timeline!AC$30,$J42,$K42,$L42 )*INDEX('I&amp;E Profiles'!AC$96:AC$180,$I42))</f>
        <v>0</v>
      </c>
      <c r="AD42" s="153" cm="1">
        <f t="array" ref="AD42">IF(OR(AD$4=0, $G42&lt;&gt; $G$7, $E42=0), 'I&amp;E Monthly'!AD42, CHOOSE(Timeline!AD$30,$J42,$K42,$L42 )*INDEX('I&amp;E Profiles'!AD$96:AD$180,$I42))</f>
        <v>0</v>
      </c>
      <c r="AE42" s="153" cm="1">
        <f t="array" ref="AE42">IF(OR(AE$4=0, $G42&lt;&gt; $G$7, $E42=0), 'I&amp;E Monthly'!AE42, CHOOSE(Timeline!AE$30,$J42,$K42,$L42 )*INDEX('I&amp;E Profiles'!AE$96:AE$180,$I42))</f>
        <v>0</v>
      </c>
      <c r="AF42" s="153" cm="1">
        <f t="array" ref="AF42">IF(OR(AF$4=0, $G42&lt;&gt; $G$7, $E42=0), 'I&amp;E Monthly'!AF42, CHOOSE(Timeline!AF$30,$J42,$K42,$L42 )*INDEX('I&amp;E Profiles'!AF$96:AF$180,$I42))</f>
        <v>0</v>
      </c>
      <c r="AG42" s="153" cm="1">
        <f t="array" ref="AG42">IF(OR(AG$4=0, $G42&lt;&gt; $G$7, $E42=0), 'I&amp;E Monthly'!AG42, CHOOSE(Timeline!AG$30,$J42,$K42,$L42 )*INDEX('I&amp;E Profiles'!AG$96:AG$180,$I42))</f>
        <v>0</v>
      </c>
      <c r="AH42" s="153" cm="1">
        <f t="array" ref="AH42">IF(OR(AH$4=0, $G42&lt;&gt; $G$7, $E42=0), 'I&amp;E Monthly'!AH42, CHOOSE(Timeline!AH$30,$J42,$K42,$L42 )*INDEX('I&amp;E Profiles'!AH$96:AH$180,$I42))</f>
        <v>0</v>
      </c>
      <c r="AI42" s="153" cm="1">
        <f t="array" ref="AI42">IF(OR(AI$4=0, $G42&lt;&gt; $G$7, $E42=0), 'I&amp;E Monthly'!AI42, CHOOSE(Timeline!AI$30,$J42,$K42,$L42 )*INDEX('I&amp;E Profiles'!AI$96:AI$180,$I42))</f>
        <v>0</v>
      </c>
      <c r="AJ42" s="153" cm="1">
        <f t="array" ref="AJ42">IF(OR(AJ$4=0, $G42&lt;&gt; $G$7, $E42=0), 'I&amp;E Monthly'!AJ42, CHOOSE(Timeline!AJ$30,$J42,$K42,$L42 )*INDEX('I&amp;E Profiles'!AJ$96:AJ$180,$I42))</f>
        <v>0</v>
      </c>
      <c r="AK42" s="153" cm="1">
        <f t="array" ref="AK42">IF(OR(AK$4=0, $G42&lt;&gt; $G$7, $E42=0), 'I&amp;E Monthly'!AK42, CHOOSE(Timeline!AK$30,$J42,$K42,$L42 )*INDEX('I&amp;E Profiles'!AK$96:AK$180,$I42))</f>
        <v>0</v>
      </c>
      <c r="AL42" s="153" cm="1">
        <f t="array" ref="AL42">IF(OR(AL$4=0, $G42&lt;&gt; $G$7, $E42=0), 'I&amp;E Monthly'!AL42, CHOOSE(Timeline!AL$30,$J42,$K42,$L42 )*INDEX('I&amp;E Profiles'!AL$96:AL$180,$I42))</f>
        <v>0</v>
      </c>
      <c r="AM42" s="153" cm="1">
        <f t="array" ref="AM42">IF(OR(AM$4=0, $G42&lt;&gt; $G$7, $E42=0), 'I&amp;E Monthly'!AM42, CHOOSE(Timeline!AM$30,$J42,$K42,$L42 )*INDEX('I&amp;E Profiles'!AM$96:AM$180,$I42))</f>
        <v>0</v>
      </c>
      <c r="AN42" s="153" cm="1">
        <f t="array" ref="AN42">IF(OR(AN$4=0, $G42&lt;&gt; $G$7, $E42=0), 'I&amp;E Monthly'!AN42, CHOOSE(Timeline!AN$30,$J42,$K42,$L42 )*INDEX('I&amp;E Profiles'!AN$96:AN$180,$I42))</f>
        <v>0</v>
      </c>
      <c r="AO42" s="153" cm="1">
        <f t="array" ref="AO42">IF(OR(AO$4=0, $G42&lt;&gt; $G$7, $E42=0), 'I&amp;E Monthly'!AO42, CHOOSE(Timeline!AO$30,$J42,$K42,$L42 )*INDEX('I&amp;E Profiles'!AO$96:AO$180,$I42))</f>
        <v>0</v>
      </c>
      <c r="AP42" s="153" cm="1">
        <f t="array" ref="AP42">IF(OR(AP$4=0, $G42&lt;&gt; $G$7, $E42=0), 'I&amp;E Monthly'!AP42, CHOOSE(Timeline!AP$30,$J42,$K42,$L42 )*INDEX('I&amp;E Profiles'!AP$96:AP$180,$I42))</f>
        <v>0</v>
      </c>
      <c r="AQ42" s="153" cm="1">
        <f t="array" ref="AQ42">IF(OR(AQ$4=0, $G42&lt;&gt; $G$7, $E42=0), 'I&amp;E Monthly'!AQ42, CHOOSE(Timeline!AQ$30,$J42,$K42,$L42 )*INDEX('I&amp;E Profiles'!AQ$96:AQ$180,$I42))</f>
        <v>0</v>
      </c>
      <c r="AR42" s="153" cm="1">
        <f t="array" ref="AR42">IF(OR(AR$4=0, $G42&lt;&gt; $G$7, $E42=0), 'I&amp;E Monthly'!AR42, CHOOSE(Timeline!AR$30,$J42,$K42,$L42 )*INDEX('I&amp;E Profiles'!AR$96:AR$180,$I42))</f>
        <v>0</v>
      </c>
      <c r="AS42" s="153" cm="1">
        <f t="array" ref="AS42">IF(OR(AS$4=0, $G42&lt;&gt; $G$7, $E42=0), 'I&amp;E Monthly'!AS42, CHOOSE(Timeline!AS$30,$J42,$K42,$L42 )*INDEX('I&amp;E Profiles'!AS$96:AS$180,$I42))</f>
        <v>0</v>
      </c>
      <c r="AT42" s="153" cm="1">
        <f t="array" ref="AT42">IF(OR(AT$4=0, $G42&lt;&gt; $G$7, $E42=0), 'I&amp;E Monthly'!AT42, CHOOSE(Timeline!AT$30,$J42,$K42,$L42 )*INDEX('I&amp;E Profiles'!AT$96:AT$180,$I42))</f>
        <v>0</v>
      </c>
      <c r="AU42" s="153" cm="1">
        <f t="array" ref="AU42">IF(OR(AU$4=0, $G42&lt;&gt; $G$7, $E42=0), 'I&amp;E Monthly'!AU42, CHOOSE(Timeline!AU$30,$J42,$K42,$L42 )*INDEX('I&amp;E Profiles'!AU$96:AU$180,$I42))</f>
        <v>0</v>
      </c>
      <c r="AV42" s="153" cm="1">
        <f t="array" ref="AV42">IF(OR(AV$4=0, $G42&lt;&gt; $G$7, $E42=0), 'I&amp;E Monthly'!AV42, CHOOSE(Timeline!AV$30,$J42,$K42,$L42 )*INDEX('I&amp;E Profiles'!AV$96:AV$180,$I42))</f>
        <v>0</v>
      </c>
      <c r="AW42" s="153" cm="1">
        <f t="array" ref="AW42">IF(OR(AW$4=0, $G42&lt;&gt; $G$7, $E42=0), 'I&amp;E Monthly'!AW42, CHOOSE(Timeline!AW$30,$J42,$K42,$L42 )*INDEX('I&amp;E Profiles'!AW$96:AW$180,$I42))</f>
        <v>0</v>
      </c>
      <c r="AX42" s="153" cm="1">
        <f t="array" ref="AX42">IF(OR(AX$4=0, $G42&lt;&gt; $G$7, $E42=0), 'I&amp;E Monthly'!AX42, CHOOSE(Timeline!AX$30,$J42,$K42,$L42 )*INDEX('I&amp;E Profiles'!AX$96:AX$180,$I42))</f>
        <v>0</v>
      </c>
      <c r="AY42" s="153" cm="1">
        <f t="array" ref="AY42">IF(OR(AY$4=0, $G42&lt;&gt; $G$7, $E42=0), 'I&amp;E Monthly'!AY42, CHOOSE(Timeline!AY$30,$J42,$K42,$L42 )*INDEX('I&amp;E Profiles'!AY$96:AY$180,$I42))</f>
        <v>0</v>
      </c>
      <c r="AZ42" s="153" cm="1">
        <f t="array" ref="AZ42">IF(OR(AZ$4=0, $G42&lt;&gt; $G$7, $E42=0), 'I&amp;E Monthly'!AZ42, CHOOSE(Timeline!AZ$30,$J42,$K42,$L42 )*INDEX('I&amp;E Profiles'!AZ$96:AZ$180,$I42))</f>
        <v>0</v>
      </c>
      <c r="BA42" s="153" cm="1">
        <f t="array" ref="BA42">IF(OR(BA$4=0, $G42&lt;&gt; $G$7, $E42=0), 'I&amp;E Monthly'!BA42, CHOOSE(Timeline!BA$30,$J42,$K42,$L42 )*INDEX('I&amp;E Profiles'!BA$96:BA$180,$I42))</f>
        <v>0</v>
      </c>
      <c r="BB42" s="153" cm="1">
        <f t="array" ref="BB42">IF(OR(BB$4=0, $G42&lt;&gt; $G$7, $E42=0), 'I&amp;E Monthly'!BB42, CHOOSE(Timeline!BB$30,$J42,$K42,$L42 )*INDEX('I&amp;E Profiles'!BB$96:BB$180,$I42))</f>
        <v>0</v>
      </c>
      <c r="BC42" s="153" cm="1">
        <f t="array" ref="BC42">IF(OR(BC$4=0, $G42&lt;&gt; $G$7, $E42=0), 'I&amp;E Monthly'!BC42, CHOOSE(Timeline!BC$30,$J42,$K42,$L42 )*INDEX('I&amp;E Profiles'!BC$96:BC$180,$I42))</f>
        <v>0</v>
      </c>
      <c r="BD42" s="153" cm="1">
        <f t="array" ref="BD42">IF(OR(BD$4=0, $G42&lt;&gt; $G$7, $E42=0), 'I&amp;E Monthly'!BD42, CHOOSE(Timeline!BD$30,$J42,$K42,$L42 )*INDEX('I&amp;E Profiles'!BD$96:BD$180,$I42))</f>
        <v>0</v>
      </c>
      <c r="BE42" s="153" cm="1">
        <f t="array" ref="BE42">IF(OR(BE$4=0, $G42&lt;&gt; $G$7, $E42=0), 'I&amp;E Monthly'!BE42, CHOOSE(Timeline!BE$30,$J42,$K42,$L42 )*INDEX('I&amp;E Profiles'!BE$96:BE$180,$I42))</f>
        <v>0</v>
      </c>
      <c r="BF42" s="153" cm="1">
        <f t="array" ref="BF42">IF(OR(BF$4=0, $G42&lt;&gt; $G$7, $E42=0), 'I&amp;E Monthly'!BF42, CHOOSE(Timeline!BF$30,$J42,$K42,$L42 )*INDEX('I&amp;E Profiles'!BF$96:BF$180,$I42))</f>
        <v>0</v>
      </c>
      <c r="BG42" s="153" cm="1">
        <f t="array" ref="BG42">IF(OR(BG$4=0, $G42&lt;&gt; $G$7, $E42=0), 'I&amp;E Monthly'!BG42, CHOOSE(Timeline!BG$30,$J42,$K42,$L42 )*INDEX('I&amp;E Profiles'!BG$96:BG$180,$I42))</f>
        <v>0</v>
      </c>
      <c r="BH42" s="153" cm="1">
        <f t="array" ref="BH42">IF(OR(BH$4=0, $G42&lt;&gt; $G$7, $E42=0), 'I&amp;E Monthly'!BH42, CHOOSE(Timeline!BH$30,$J42,$K42,$L42 )*INDEX('I&amp;E Profiles'!BH$96:BH$180,$I42))</f>
        <v>0</v>
      </c>
      <c r="BI42" s="153" cm="1">
        <f t="array" ref="BI42">IF(OR(BI$4=0, $G42&lt;&gt; $G$7, $E42=0), 'I&amp;E Monthly'!BI42, CHOOSE(Timeline!BI$30,$J42,$K42,$L42 )*INDEX('I&amp;E Profiles'!BI$96:BI$180,$I42))</f>
        <v>0</v>
      </c>
      <c r="BJ42" s="153" cm="1">
        <f t="array" ref="BJ42">IF(OR(BJ$4=0, $G42&lt;&gt; $G$7, $E42=0), 'I&amp;E Monthly'!BJ42, CHOOSE(Timeline!BJ$30,$J42,$K42,$L42 )*INDEX('I&amp;E Profiles'!BJ$96:BJ$180,$I42))</f>
        <v>0</v>
      </c>
      <c r="BK42" s="335"/>
      <c r="BL42" s="152">
        <f t="shared" si="42"/>
        <v>0</v>
      </c>
      <c r="BM42" s="153">
        <f t="shared" si="43"/>
        <v>0</v>
      </c>
      <c r="BN42" s="153">
        <f t="shared" si="43"/>
        <v>0</v>
      </c>
      <c r="BO42" s="153">
        <f t="shared" si="43"/>
        <v>0</v>
      </c>
      <c r="BP42" s="152">
        <f>'I&amp;E Monthly'!BP42</f>
        <v>0</v>
      </c>
      <c r="BQ42" s="152">
        <f>'I&amp;E Monthly'!BQ42</f>
        <v>0</v>
      </c>
      <c r="BR42" s="152">
        <f>'I&amp;E Monthly'!BR42</f>
        <v>0</v>
      </c>
      <c r="BS42" s="152">
        <f>'I&amp;E Monthly'!BS42</f>
        <v>0</v>
      </c>
      <c r="BT42" s="152">
        <f>'I&amp;E Monthly'!BT42</f>
        <v>0</v>
      </c>
      <c r="BU42" s="152">
        <f>'I&amp;E Monthly'!BU42</f>
        <v>0</v>
      </c>
      <c r="BV42" s="152">
        <f>'I&amp;E Monthly'!BV42</f>
        <v>0</v>
      </c>
      <c r="BW42" s="152">
        <f>'I&amp;E Monthly'!BW42</f>
        <v>0</v>
      </c>
      <c r="BX42" s="335"/>
      <c r="BY42" s="12"/>
      <c r="BZ42" s="363">
        <f t="shared" ca="1" si="44"/>
        <v>0</v>
      </c>
      <c r="CA42" s="12"/>
      <c r="CB42" s="7">
        <f t="shared" si="45"/>
        <v>0</v>
      </c>
      <c r="CC42" s="188" cm="1">
        <f t="array" ref="CC42">IF(E42="",0, IF(_xlfn.IFNA(INDEX('I&amp;E Profiles'!$D$96:$D$180, $I42), "N/A")="N/A", 1, 0))</f>
        <v>0</v>
      </c>
      <c r="CD42" s="7">
        <f t="shared" si="46"/>
        <v>0</v>
      </c>
      <c r="CE42" s="7">
        <f t="shared" si="47"/>
        <v>0</v>
      </c>
      <c r="CF42" s="7">
        <f t="shared" si="48"/>
        <v>0</v>
      </c>
      <c r="CG42" s="12"/>
      <c r="CH42" s="352">
        <f t="shared" si="49"/>
        <v>0</v>
      </c>
      <c r="CI42" s="352">
        <f t="shared" si="50"/>
        <v>0</v>
      </c>
      <c r="CJ42" s="352">
        <f t="shared" si="51"/>
        <v>0</v>
      </c>
      <c r="CK42" s="352">
        <f t="shared" si="52"/>
        <v>0</v>
      </c>
      <c r="CL42" s="352">
        <f t="shared" si="53"/>
        <v>0</v>
      </c>
      <c r="CM42" s="352">
        <f t="shared" si="54"/>
        <v>0</v>
      </c>
      <c r="CN42" s="352">
        <f t="shared" si="55"/>
        <v>0</v>
      </c>
      <c r="EX42" s="10" t="str">
        <f t="shared" si="1"/>
        <v>AEB Procured - ESFA</v>
      </c>
    </row>
    <row r="43" spans="1:154" ht="15.75" x14ac:dyDescent="0.3">
      <c r="A43" s="362" cm="1">
        <f t="array" aca="1" ref="A43" ca="1">HYPERLINK(CONCATENATE("#",CELL("address",IF(SUM($CA43:$CG43)=0,A43,INDEX($CA43:$CG43,MATCH(1,$CA43:$CG43,0))))),SUM($CA43:$CG43))</f>
        <v>0</v>
      </c>
      <c r="B43" s="105" t="s">
        <v>335</v>
      </c>
      <c r="C43" s="343" t="s">
        <v>450</v>
      </c>
      <c r="D43" s="194" t="s">
        <v>446</v>
      </c>
      <c r="E43" s="147"/>
      <c r="F43" s="98" t="str" cm="1">
        <f t="array" aca="1" ref="F43" ca="1">IF(E43="", "", HYPERLINK(CONCATENATE("#",CELL("address",INDEX('I&amp;E Profiles'!$D$9:$D$93,'I&amp;E Annual'!I43))),E43))</f>
        <v/>
      </c>
      <c r="G43" s="147" t="s">
        <v>211</v>
      </c>
      <c r="H43" s="67" t="s">
        <v>8</v>
      </c>
      <c r="I43" s="350" t="str">
        <f>IF(E43="", "", MATCH(E43, 'I&amp;E Profiles'!$D$96:$D$180,0))</f>
        <v/>
      </c>
      <c r="J43" s="215">
        <f>IF($G43=$G$7, W43,'I&amp;E Monthly'!W43)-SUMIFS('I&amp;E Monthly'!$AA43:$BJ43, 'I&amp;E Monthly'!$AA$3:$BJ$3, 'I&amp;E Annual'!W$3, 'I&amp;E Monthly'!$AA$4:$BJ$4, 0)</f>
        <v>68</v>
      </c>
      <c r="K43" s="215">
        <f>IF($G43=$G$7, X43,'I&amp;E Monthly'!X43)-SUMIFS('I&amp;E Monthly'!$AA43:$BJ43, 'I&amp;E Monthly'!$AA$3:$BJ$3, 'I&amp;E Annual'!X$3, 'I&amp;E Monthly'!$AA$4:$BJ$4, 0)</f>
        <v>1416</v>
      </c>
      <c r="L43" s="215">
        <f>IF($G43=$G$7, Y43,'I&amp;E Monthly'!Y43)-SUMIFS('I&amp;E Monthly'!$AA43:$BJ43, 'I&amp;E Monthly'!$AA$3:$BJ$3, 'I&amp;E Annual'!Y$3, 'I&amp;E Monthly'!$AA$4:$BJ$4, 0)</f>
        <v>1486.3999999999996</v>
      </c>
      <c r="M43" s="335"/>
      <c r="N43" s="335"/>
      <c r="O43" s="335"/>
      <c r="P43" s="335"/>
      <c r="Q43" s="2"/>
      <c r="R43" s="335"/>
      <c r="S43" s="335"/>
      <c r="T43" s="335"/>
      <c r="U43" s="335"/>
      <c r="V43" s="215">
        <f>'I&amp;E Monthly'!V43</f>
        <v>0</v>
      </c>
      <c r="W43" s="147"/>
      <c r="X43" s="227"/>
      <c r="Y43" s="227"/>
      <c r="Z43" s="335"/>
      <c r="AA43" s="153" cm="1">
        <f t="array" ref="AA43">IF(OR(AA$4=0, $G43&lt;&gt; $G$7, $E43=0), 'I&amp;E Monthly'!AA43, CHOOSE(Timeline!AA$30,$J43,$K43,$L43 )*INDEX('I&amp;E Profiles'!AA$96:AA$180,$I43))</f>
        <v>204</v>
      </c>
      <c r="AB43" s="153" cm="1">
        <f t="array" ref="AB43">IF(OR(AB$4=0, $G43&lt;&gt; $G$7, $E43=0), 'I&amp;E Monthly'!AB43, CHOOSE(Timeline!AB$30,$J43,$K43,$L43 )*INDEX('I&amp;E Profiles'!AB$96:AB$180,$I43))</f>
        <v>121</v>
      </c>
      <c r="AC43" s="153" cm="1">
        <f t="array" ref="AC43">IF(OR(AC$4=0, $G43&lt;&gt; $G$7, $E43=0), 'I&amp;E Monthly'!AC43, CHOOSE(Timeline!AC$30,$J43,$K43,$L43 )*INDEX('I&amp;E Profiles'!AC$96:AC$180,$I43))</f>
        <v>123</v>
      </c>
      <c r="AD43" s="153" cm="1">
        <f t="array" ref="AD43">IF(OR(AD$4=0, $G43&lt;&gt; $G$7, $E43=0), 'I&amp;E Monthly'!AD43, CHOOSE(Timeline!AD$30,$J43,$K43,$L43 )*INDEX('I&amp;E Profiles'!AD$96:AD$180,$I43))</f>
        <v>100</v>
      </c>
      <c r="AE43" s="153" cm="1">
        <f t="array" ref="AE43">IF(OR(AE$4=0, $G43&lt;&gt; $G$7, $E43=0), 'I&amp;E Monthly'!AE43, CHOOSE(Timeline!AE$30,$J43,$K43,$L43 )*INDEX('I&amp;E Profiles'!AE$96:AE$180,$I43))</f>
        <v>80</v>
      </c>
      <c r="AF43" s="153" cm="1">
        <f t="array" ref="AF43">IF(OR(AF$4=0, $G43&lt;&gt; $G$7, $E43=0), 'I&amp;E Monthly'!AF43, CHOOSE(Timeline!AF$30,$J43,$K43,$L43 )*INDEX('I&amp;E Profiles'!AF$96:AF$180,$I43))</f>
        <v>105</v>
      </c>
      <c r="AG43" s="153" cm="1">
        <f t="array" ref="AG43">IF(OR(AG$4=0, $G43&lt;&gt; $G$7, $E43=0), 'I&amp;E Monthly'!AG43, CHOOSE(Timeline!AG$30,$J43,$K43,$L43 )*INDEX('I&amp;E Profiles'!AG$96:AG$180,$I43))</f>
        <v>76</v>
      </c>
      <c r="AH43" s="153" cm="1">
        <f t="array" ref="AH43">IF(OR(AH$4=0, $G43&lt;&gt; $G$7, $E43=0), 'I&amp;E Monthly'!AH43, CHOOSE(Timeline!AH$30,$J43,$K43,$L43 )*INDEX('I&amp;E Profiles'!AH$96:AH$180,$I43))</f>
        <v>76</v>
      </c>
      <c r="AI43" s="153" cm="1">
        <f t="array" ref="AI43">IF(OR(AI$4=0, $G43&lt;&gt; $G$7, $E43=0), 'I&amp;E Monthly'!AI43, CHOOSE(Timeline!AI$30,$J43,$K43,$L43 )*INDEX('I&amp;E Profiles'!AI$96:AI$180,$I43))</f>
        <v>181</v>
      </c>
      <c r="AJ43" s="153" cm="1">
        <f t="array" ref="AJ43">IF(OR(AJ$4=0, $G43&lt;&gt; $G$7, $E43=0), 'I&amp;E Monthly'!AJ43, CHOOSE(Timeline!AJ$30,$J43,$K43,$L43 )*INDEX('I&amp;E Profiles'!AJ$96:AJ$180,$I43))</f>
        <v>145</v>
      </c>
      <c r="AK43" s="153" cm="1">
        <f t="array" ref="AK43">IF(OR(AK$4=0, $G43&lt;&gt; $G$7, $E43=0), 'I&amp;E Monthly'!AK43, CHOOSE(Timeline!AK$30,$J43,$K43,$L43 )*INDEX('I&amp;E Profiles'!AK$96:AK$180,$I43))</f>
        <v>124</v>
      </c>
      <c r="AL43" s="153" cm="1">
        <f t="array" ref="AL43">IF(OR(AL$4=0, $G43&lt;&gt; $G$7, $E43=0), 'I&amp;E Monthly'!AL43, CHOOSE(Timeline!AL$30,$J43,$K43,$L43 )*INDEX('I&amp;E Profiles'!AL$96:AL$180,$I43))</f>
        <v>68</v>
      </c>
      <c r="AM43" s="153" cm="1">
        <f t="array" ref="AM43">IF(OR(AM$4=0, $G43&lt;&gt; $G$7, $E43=0), 'I&amp;E Monthly'!AM43, CHOOSE(Timeline!AM$30,$J43,$K43,$L43 )*INDEX('I&amp;E Profiles'!AM$96:AM$180,$I43))</f>
        <v>206</v>
      </c>
      <c r="AN43" s="153" cm="1">
        <f t="array" ref="AN43">IF(OR(AN$4=0, $G43&lt;&gt; $G$7, $E43=0), 'I&amp;E Monthly'!AN43, CHOOSE(Timeline!AN$30,$J43,$K43,$L43 )*INDEX('I&amp;E Profiles'!AN$96:AN$180,$I43))</f>
        <v>122</v>
      </c>
      <c r="AO43" s="153" cm="1">
        <f t="array" ref="AO43">IF(OR(AO$4=0, $G43&lt;&gt; $G$7, $E43=0), 'I&amp;E Monthly'!AO43, CHOOSE(Timeline!AO$30,$J43,$K43,$L43 )*INDEX('I&amp;E Profiles'!AO$96:AO$180,$I43))</f>
        <v>124</v>
      </c>
      <c r="AP43" s="153" cm="1">
        <f t="array" ref="AP43">IF(OR(AP$4=0, $G43&lt;&gt; $G$7, $E43=0), 'I&amp;E Monthly'!AP43, CHOOSE(Timeline!AP$30,$J43,$K43,$L43 )*INDEX('I&amp;E Profiles'!AP$96:AP$180,$I43))</f>
        <v>101</v>
      </c>
      <c r="AQ43" s="153" cm="1">
        <f t="array" ref="AQ43">IF(OR(AQ$4=0, $G43&lt;&gt; $G$7, $E43=0), 'I&amp;E Monthly'!AQ43, CHOOSE(Timeline!AQ$30,$J43,$K43,$L43 )*INDEX('I&amp;E Profiles'!AQ$96:AQ$180,$I43))</f>
        <v>81</v>
      </c>
      <c r="AR43" s="153" cm="1">
        <f t="array" ref="AR43">IF(OR(AR$4=0, $G43&lt;&gt; $G$7, $E43=0), 'I&amp;E Monthly'!AR43, CHOOSE(Timeline!AR$30,$J43,$K43,$L43 )*INDEX('I&amp;E Profiles'!AR$96:AR$180,$I43))</f>
        <v>106</v>
      </c>
      <c r="AS43" s="153" cm="1">
        <f t="array" ref="AS43">IF(OR(AS$4=0, $G43&lt;&gt; $G$7, $E43=0), 'I&amp;E Monthly'!AS43, CHOOSE(Timeline!AS$30,$J43,$K43,$L43 )*INDEX('I&amp;E Profiles'!AS$96:AS$180,$I43))</f>
        <v>77</v>
      </c>
      <c r="AT43" s="153" cm="1">
        <f t="array" ref="AT43">IF(OR(AT$4=0, $G43&lt;&gt; $G$7, $E43=0), 'I&amp;E Monthly'!AT43, CHOOSE(Timeline!AT$30,$J43,$K43,$L43 )*INDEX('I&amp;E Profiles'!AT$96:AT$180,$I43))</f>
        <v>77</v>
      </c>
      <c r="AU43" s="153" cm="1">
        <f t="array" ref="AU43">IF(OR(AU$4=0, $G43&lt;&gt; $G$7, $E43=0), 'I&amp;E Monthly'!AU43, CHOOSE(Timeline!AU$30,$J43,$K43,$L43 )*INDEX('I&amp;E Profiles'!AU$96:AU$180,$I43))</f>
        <v>182</v>
      </c>
      <c r="AV43" s="153" cm="1">
        <f t="array" ref="AV43">IF(OR(AV$4=0, $G43&lt;&gt; $G$7, $E43=0), 'I&amp;E Monthly'!AV43, CHOOSE(Timeline!AV$30,$J43,$K43,$L43 )*INDEX('I&amp;E Profiles'!AV$96:AV$180,$I43))</f>
        <v>146</v>
      </c>
      <c r="AW43" s="153" cm="1">
        <f t="array" ref="AW43">IF(OR(AW$4=0, $G43&lt;&gt; $G$7, $E43=0), 'I&amp;E Monthly'!AW43, CHOOSE(Timeline!AW$30,$J43,$K43,$L43 )*INDEX('I&amp;E Profiles'!AW$96:AW$180,$I43))</f>
        <v>125</v>
      </c>
      <c r="AX43" s="153" cm="1">
        <f t="array" ref="AX43">IF(OR(AX$4=0, $G43&lt;&gt; $G$7, $E43=0), 'I&amp;E Monthly'!AX43, CHOOSE(Timeline!AX$30,$J43,$K43,$L43 )*INDEX('I&amp;E Profiles'!AX$96:AX$180,$I43))</f>
        <v>69</v>
      </c>
      <c r="AY43" s="153" cm="1">
        <f t="array" ref="AY43">IF(OR(AY$4=0, $G43&lt;&gt; $G$7, $E43=0), 'I&amp;E Monthly'!AY43, CHOOSE(Timeline!AY$30,$J43,$K43,$L43 )*INDEX('I&amp;E Profiles'!AY$96:AY$180,$I43))</f>
        <v>211.14999999999998</v>
      </c>
      <c r="AZ43" s="153" cm="1">
        <f t="array" ref="AZ43">IF(OR(AZ$4=0, $G43&lt;&gt; $G$7, $E43=0), 'I&amp;E Monthly'!AZ43, CHOOSE(Timeline!AZ$30,$J43,$K43,$L43 )*INDEX('I&amp;E Profiles'!AZ$96:AZ$180,$I43))</f>
        <v>125.04999999999998</v>
      </c>
      <c r="BA43" s="153" cm="1">
        <f t="array" ref="BA43">IF(OR(BA$4=0, $G43&lt;&gt; $G$7, $E43=0), 'I&amp;E Monthly'!BA43, CHOOSE(Timeline!BA$30,$J43,$K43,$L43 )*INDEX('I&amp;E Profiles'!BA$96:BA$180,$I43))</f>
        <v>127.1</v>
      </c>
      <c r="BB43" s="153" cm="1">
        <f t="array" ref="BB43">IF(OR(BB$4=0, $G43&lt;&gt; $G$7, $E43=0), 'I&amp;E Monthly'!BB43, CHOOSE(Timeline!BB$30,$J43,$K43,$L43 )*INDEX('I&amp;E Profiles'!BB$96:BB$180,$I43))</f>
        <v>103.52499999999999</v>
      </c>
      <c r="BC43" s="153" cm="1">
        <f t="array" ref="BC43">IF(OR(BC$4=0, $G43&lt;&gt; $G$7, $E43=0), 'I&amp;E Monthly'!BC43, CHOOSE(Timeline!BC$30,$J43,$K43,$L43 )*INDEX('I&amp;E Profiles'!BC$96:BC$180,$I43))</f>
        <v>83.024999999999991</v>
      </c>
      <c r="BD43" s="153" cm="1">
        <f t="array" ref="BD43">IF(OR(BD$4=0, $G43&lt;&gt; $G$7, $E43=0), 'I&amp;E Monthly'!BD43, CHOOSE(Timeline!BD$30,$J43,$K43,$L43 )*INDEX('I&amp;E Profiles'!BD$96:BD$180,$I43))</f>
        <v>108.64999999999999</v>
      </c>
      <c r="BE43" s="153" cm="1">
        <f t="array" ref="BE43">IF(OR(BE$4=0, $G43&lt;&gt; $G$7, $E43=0), 'I&amp;E Monthly'!BE43, CHOOSE(Timeline!BE$30,$J43,$K43,$L43 )*INDEX('I&amp;E Profiles'!BE$96:BE$180,$I43))</f>
        <v>78.924999999999997</v>
      </c>
      <c r="BF43" s="153" cm="1">
        <f t="array" ref="BF43">IF(OR(BF$4=0, $G43&lt;&gt; $G$7, $E43=0), 'I&amp;E Monthly'!BF43, CHOOSE(Timeline!BF$30,$J43,$K43,$L43 )*INDEX('I&amp;E Profiles'!BF$96:BF$180,$I43))</f>
        <v>78.924999999999997</v>
      </c>
      <c r="BG43" s="153" cm="1">
        <f t="array" ref="BG43">IF(OR(BG$4=0, $G43&lt;&gt; $G$7, $E43=0), 'I&amp;E Monthly'!BG43, CHOOSE(Timeline!BG$30,$J43,$K43,$L43 )*INDEX('I&amp;E Profiles'!BG$96:BG$180,$I43))</f>
        <v>196.54999999999998</v>
      </c>
      <c r="BH43" s="153" cm="1">
        <f t="array" ref="BH43">IF(OR(BH$4=0, $G43&lt;&gt; $G$7, $E43=0), 'I&amp;E Monthly'!BH43, CHOOSE(Timeline!BH$30,$J43,$K43,$L43 )*INDEX('I&amp;E Profiles'!BH$96:BH$180,$I43))</f>
        <v>174.64999999999998</v>
      </c>
      <c r="BI43" s="153" cm="1">
        <f t="array" ref="BI43">IF(OR(BI$4=0, $G43&lt;&gt; $G$7, $E43=0), 'I&amp;E Monthly'!BI43, CHOOSE(Timeline!BI$30,$J43,$K43,$L43 )*INDEX('I&amp;E Profiles'!BI$96:BI$180,$I43))</f>
        <v>128.125</v>
      </c>
      <c r="BJ43" s="153" cm="1">
        <f t="array" ref="BJ43">IF(OR(BJ$4=0, $G43&lt;&gt; $G$7, $E43=0), 'I&amp;E Monthly'!BJ43, CHOOSE(Timeline!BJ$30,$J43,$K43,$L43 )*INDEX('I&amp;E Profiles'!BJ$96:BJ$180,$I43))</f>
        <v>70.724999999999994</v>
      </c>
      <c r="BK43" s="335"/>
      <c r="BL43" s="152">
        <f t="shared" si="42"/>
        <v>0</v>
      </c>
      <c r="BM43" s="153">
        <f t="shared" si="43"/>
        <v>1403</v>
      </c>
      <c r="BN43" s="153">
        <f t="shared" si="43"/>
        <v>1416</v>
      </c>
      <c r="BO43" s="153">
        <f t="shared" si="43"/>
        <v>1486.3999999999996</v>
      </c>
      <c r="BP43" s="152">
        <f>'I&amp;E Monthly'!BP43</f>
        <v>0</v>
      </c>
      <c r="BQ43" s="152">
        <f>'I&amp;E Monthly'!BQ43</f>
        <v>0</v>
      </c>
      <c r="BR43" s="152">
        <f>'I&amp;E Monthly'!BR43</f>
        <v>0</v>
      </c>
      <c r="BS43" s="152">
        <f>'I&amp;E Monthly'!BS43</f>
        <v>0</v>
      </c>
      <c r="BT43" s="152">
        <f>'I&amp;E Monthly'!BT43</f>
        <v>0</v>
      </c>
      <c r="BU43" s="152">
        <f>'I&amp;E Monthly'!BU43</f>
        <v>0</v>
      </c>
      <c r="BV43" s="152">
        <f>'I&amp;E Monthly'!BV43</f>
        <v>0</v>
      </c>
      <c r="BW43" s="152">
        <f>'I&amp;E Monthly'!BW43</f>
        <v>0</v>
      </c>
      <c r="BX43" s="335"/>
      <c r="BY43" s="12"/>
      <c r="BZ43" s="363">
        <f t="shared" ca="1" si="44"/>
        <v>0</v>
      </c>
      <c r="CA43" s="12"/>
      <c r="CB43" s="7">
        <f t="shared" si="45"/>
        <v>0</v>
      </c>
      <c r="CC43" s="188" cm="1">
        <f t="array" ref="CC43">IF(E43="",0, IF(_xlfn.IFNA(INDEX('I&amp;E Profiles'!$D$96:$D$180, $I43), "N/A")="N/A", 1, 0))</f>
        <v>0</v>
      </c>
      <c r="CD43" s="7">
        <f t="shared" si="46"/>
        <v>0</v>
      </c>
      <c r="CE43" s="7">
        <f t="shared" si="47"/>
        <v>0</v>
      </c>
      <c r="CF43" s="7">
        <f t="shared" si="48"/>
        <v>0</v>
      </c>
      <c r="CG43" s="12"/>
      <c r="CH43" s="352">
        <f t="shared" si="49"/>
        <v>0</v>
      </c>
      <c r="CI43" s="352">
        <f t="shared" si="50"/>
        <v>0</v>
      </c>
      <c r="CJ43" s="352">
        <f t="shared" si="51"/>
        <v>0</v>
      </c>
      <c r="CK43" s="352">
        <f t="shared" si="52"/>
        <v>0</v>
      </c>
      <c r="CL43" s="352">
        <f t="shared" si="53"/>
        <v>0</v>
      </c>
      <c r="CM43" s="352">
        <f t="shared" si="54"/>
        <v>0</v>
      </c>
      <c r="CN43" s="352">
        <f t="shared" si="55"/>
        <v>0</v>
      </c>
      <c r="EX43" s="10" t="str">
        <f t="shared" si="1"/>
        <v>AEB Funding - Devolved Authorities</v>
      </c>
    </row>
    <row r="44" spans="1:154" x14ac:dyDescent="0.25">
      <c r="A44" s="362" cm="1">
        <f t="array" aca="1" ref="A44" ca="1">HYPERLINK(CONCATENATE("#",CELL("address",IF(SUM($CA44:$CG44)=0,A44,INDEX($CA44:$CG44,MATCH(1,$CA44:$CG44,0))))),SUM($CA44:$CG44))</f>
        <v>0</v>
      </c>
      <c r="B44" s="93"/>
      <c r="C44" s="343" t="s">
        <v>451</v>
      </c>
      <c r="D44" s="194" t="s">
        <v>25</v>
      </c>
      <c r="E44" s="147"/>
      <c r="F44" s="98" t="str" cm="1">
        <f t="array" aca="1" ref="F44" ca="1">IF(E44="", "", HYPERLINK(CONCATENATE("#",CELL("address",INDEX('I&amp;E Profiles'!$D$9:$D$93,'I&amp;E Annual'!I44))),E44))</f>
        <v/>
      </c>
      <c r="G44" s="147" t="s">
        <v>211</v>
      </c>
      <c r="H44" s="67" t="s">
        <v>8</v>
      </c>
      <c r="I44" s="350" t="str">
        <f>IF(E44="", "", MATCH(E44, 'I&amp;E Profiles'!$D$96:$D$180,0))</f>
        <v/>
      </c>
      <c r="J44" s="215">
        <f>IF($G44=$G$7, W44,'I&amp;E Monthly'!W44)-SUMIFS('I&amp;E Monthly'!$AA44:$BJ44, 'I&amp;E Monthly'!$AA$3:$BJ$3, 'I&amp;E Annual'!W$3, 'I&amp;E Monthly'!$AA$4:$BJ$4, 0)</f>
        <v>0</v>
      </c>
      <c r="K44" s="215">
        <f>IF($G44=$G$7, X44,'I&amp;E Monthly'!X44)-SUMIFS('I&amp;E Monthly'!$AA44:$BJ44, 'I&amp;E Monthly'!$AA$3:$BJ$3, 'I&amp;E Annual'!X$3, 'I&amp;E Monthly'!$AA$4:$BJ$4, 0)</f>
        <v>0</v>
      </c>
      <c r="L44" s="215">
        <f>IF($G44=$G$7, Y44,'I&amp;E Monthly'!Y44)-SUMIFS('I&amp;E Monthly'!$AA44:$BJ44, 'I&amp;E Monthly'!$AA$3:$BJ$3, 'I&amp;E Annual'!Y$3, 'I&amp;E Monthly'!$AA$4:$BJ$4, 0)</f>
        <v>0</v>
      </c>
      <c r="M44" s="335"/>
      <c r="N44" s="335"/>
      <c r="O44" s="335"/>
      <c r="P44" s="335"/>
      <c r="Q44" s="2"/>
      <c r="R44" s="335"/>
      <c r="S44" s="335"/>
      <c r="T44" s="335"/>
      <c r="U44" s="335"/>
      <c r="V44" s="215">
        <f>'I&amp;E Monthly'!V44</f>
        <v>0</v>
      </c>
      <c r="W44" s="147"/>
      <c r="X44" s="227"/>
      <c r="Y44" s="227"/>
      <c r="Z44" s="335"/>
      <c r="AA44" s="153" cm="1">
        <f t="array" ref="AA44">IF(OR(AA$4=0, $G44&lt;&gt; $G$7, $E44=0), 'I&amp;E Monthly'!AA44, CHOOSE(Timeline!AA$30,$J44,$K44,$L44 )*INDEX('I&amp;E Profiles'!AA$96:AA$180,$I44))</f>
        <v>0</v>
      </c>
      <c r="AB44" s="153" cm="1">
        <f t="array" ref="AB44">IF(OR(AB$4=0, $G44&lt;&gt; $G$7, $E44=0), 'I&amp;E Monthly'!AB44, CHOOSE(Timeline!AB$30,$J44,$K44,$L44 )*INDEX('I&amp;E Profiles'!AB$96:AB$180,$I44))</f>
        <v>0</v>
      </c>
      <c r="AC44" s="153" cm="1">
        <f t="array" ref="AC44">IF(OR(AC$4=0, $G44&lt;&gt; $G$7, $E44=0), 'I&amp;E Monthly'!AC44, CHOOSE(Timeline!AC$30,$J44,$K44,$L44 )*INDEX('I&amp;E Profiles'!AC$96:AC$180,$I44))</f>
        <v>0</v>
      </c>
      <c r="AD44" s="153" cm="1">
        <f t="array" ref="AD44">IF(OR(AD$4=0, $G44&lt;&gt; $G$7, $E44=0), 'I&amp;E Monthly'!AD44, CHOOSE(Timeline!AD$30,$J44,$K44,$L44 )*INDEX('I&amp;E Profiles'!AD$96:AD$180,$I44))</f>
        <v>0</v>
      </c>
      <c r="AE44" s="153" cm="1">
        <f t="array" ref="AE44">IF(OR(AE$4=0, $G44&lt;&gt; $G$7, $E44=0), 'I&amp;E Monthly'!AE44, CHOOSE(Timeline!AE$30,$J44,$K44,$L44 )*INDEX('I&amp;E Profiles'!AE$96:AE$180,$I44))</f>
        <v>0</v>
      </c>
      <c r="AF44" s="153" cm="1">
        <f t="array" ref="AF44">IF(OR(AF$4=0, $G44&lt;&gt; $G$7, $E44=0), 'I&amp;E Monthly'!AF44, CHOOSE(Timeline!AF$30,$J44,$K44,$L44 )*INDEX('I&amp;E Profiles'!AF$96:AF$180,$I44))</f>
        <v>0</v>
      </c>
      <c r="AG44" s="153" cm="1">
        <f t="array" ref="AG44">IF(OR(AG$4=0, $G44&lt;&gt; $G$7, $E44=0), 'I&amp;E Monthly'!AG44, CHOOSE(Timeline!AG$30,$J44,$K44,$L44 )*INDEX('I&amp;E Profiles'!AG$96:AG$180,$I44))</f>
        <v>0</v>
      </c>
      <c r="AH44" s="153" cm="1">
        <f t="array" ref="AH44">IF(OR(AH$4=0, $G44&lt;&gt; $G$7, $E44=0), 'I&amp;E Monthly'!AH44, CHOOSE(Timeline!AH$30,$J44,$K44,$L44 )*INDEX('I&amp;E Profiles'!AH$96:AH$180,$I44))</f>
        <v>0</v>
      </c>
      <c r="AI44" s="153" cm="1">
        <f t="array" ref="AI44">IF(OR(AI$4=0, $G44&lt;&gt; $G$7, $E44=0), 'I&amp;E Monthly'!AI44, CHOOSE(Timeline!AI$30,$J44,$K44,$L44 )*INDEX('I&amp;E Profiles'!AI$96:AI$180,$I44))</f>
        <v>0</v>
      </c>
      <c r="AJ44" s="153" cm="1">
        <f t="array" ref="AJ44">IF(OR(AJ$4=0, $G44&lt;&gt; $G$7, $E44=0), 'I&amp;E Monthly'!AJ44, CHOOSE(Timeline!AJ$30,$J44,$K44,$L44 )*INDEX('I&amp;E Profiles'!AJ$96:AJ$180,$I44))</f>
        <v>0</v>
      </c>
      <c r="AK44" s="153" cm="1">
        <f t="array" ref="AK44">IF(OR(AK$4=0, $G44&lt;&gt; $G$7, $E44=0), 'I&amp;E Monthly'!AK44, CHOOSE(Timeline!AK$30,$J44,$K44,$L44 )*INDEX('I&amp;E Profiles'!AK$96:AK$180,$I44))</f>
        <v>0</v>
      </c>
      <c r="AL44" s="153" cm="1">
        <f t="array" ref="AL44">IF(OR(AL$4=0, $G44&lt;&gt; $G$7, $E44=0), 'I&amp;E Monthly'!AL44, CHOOSE(Timeline!AL$30,$J44,$K44,$L44 )*INDEX('I&amp;E Profiles'!AL$96:AL$180,$I44))</f>
        <v>0</v>
      </c>
      <c r="AM44" s="153" cm="1">
        <f t="array" ref="AM44">IF(OR(AM$4=0, $G44&lt;&gt; $G$7, $E44=0), 'I&amp;E Monthly'!AM44, CHOOSE(Timeline!AM$30,$J44,$K44,$L44 )*INDEX('I&amp;E Profiles'!AM$96:AM$180,$I44))</f>
        <v>0</v>
      </c>
      <c r="AN44" s="153" cm="1">
        <f t="array" ref="AN44">IF(OR(AN$4=0, $G44&lt;&gt; $G$7, $E44=0), 'I&amp;E Monthly'!AN44, CHOOSE(Timeline!AN$30,$J44,$K44,$L44 )*INDEX('I&amp;E Profiles'!AN$96:AN$180,$I44))</f>
        <v>0</v>
      </c>
      <c r="AO44" s="153" cm="1">
        <f t="array" ref="AO44">IF(OR(AO$4=0, $G44&lt;&gt; $G$7, $E44=0), 'I&amp;E Monthly'!AO44, CHOOSE(Timeline!AO$30,$J44,$K44,$L44 )*INDEX('I&amp;E Profiles'!AO$96:AO$180,$I44))</f>
        <v>0</v>
      </c>
      <c r="AP44" s="153" cm="1">
        <f t="array" ref="AP44">IF(OR(AP$4=0, $G44&lt;&gt; $G$7, $E44=0), 'I&amp;E Monthly'!AP44, CHOOSE(Timeline!AP$30,$J44,$K44,$L44 )*INDEX('I&amp;E Profiles'!AP$96:AP$180,$I44))</f>
        <v>0</v>
      </c>
      <c r="AQ44" s="153" cm="1">
        <f t="array" ref="AQ44">IF(OR(AQ$4=0, $G44&lt;&gt; $G$7, $E44=0), 'I&amp;E Monthly'!AQ44, CHOOSE(Timeline!AQ$30,$J44,$K44,$L44 )*INDEX('I&amp;E Profiles'!AQ$96:AQ$180,$I44))</f>
        <v>0</v>
      </c>
      <c r="AR44" s="153" cm="1">
        <f t="array" ref="AR44">IF(OR(AR$4=0, $G44&lt;&gt; $G$7, $E44=0), 'I&amp;E Monthly'!AR44, CHOOSE(Timeline!AR$30,$J44,$K44,$L44 )*INDEX('I&amp;E Profiles'!AR$96:AR$180,$I44))</f>
        <v>0</v>
      </c>
      <c r="AS44" s="153" cm="1">
        <f t="array" ref="AS44">IF(OR(AS$4=0, $G44&lt;&gt; $G$7, $E44=0), 'I&amp;E Monthly'!AS44, CHOOSE(Timeline!AS$30,$J44,$K44,$L44 )*INDEX('I&amp;E Profiles'!AS$96:AS$180,$I44))</f>
        <v>0</v>
      </c>
      <c r="AT44" s="153" cm="1">
        <f t="array" ref="AT44">IF(OR(AT$4=0, $G44&lt;&gt; $G$7, $E44=0), 'I&amp;E Monthly'!AT44, CHOOSE(Timeline!AT$30,$J44,$K44,$L44 )*INDEX('I&amp;E Profiles'!AT$96:AT$180,$I44))</f>
        <v>0</v>
      </c>
      <c r="AU44" s="153" cm="1">
        <f t="array" ref="AU44">IF(OR(AU$4=0, $G44&lt;&gt; $G$7, $E44=0), 'I&amp;E Monthly'!AU44, CHOOSE(Timeline!AU$30,$J44,$K44,$L44 )*INDEX('I&amp;E Profiles'!AU$96:AU$180,$I44))</f>
        <v>0</v>
      </c>
      <c r="AV44" s="153" cm="1">
        <f t="array" ref="AV44">IF(OR(AV$4=0, $G44&lt;&gt; $G$7, $E44=0), 'I&amp;E Monthly'!AV44, CHOOSE(Timeline!AV$30,$J44,$K44,$L44 )*INDEX('I&amp;E Profiles'!AV$96:AV$180,$I44))</f>
        <v>0</v>
      </c>
      <c r="AW44" s="153" cm="1">
        <f t="array" ref="AW44">IF(OR(AW$4=0, $G44&lt;&gt; $G$7, $E44=0), 'I&amp;E Monthly'!AW44, CHOOSE(Timeline!AW$30,$J44,$K44,$L44 )*INDEX('I&amp;E Profiles'!AW$96:AW$180,$I44))</f>
        <v>0</v>
      </c>
      <c r="AX44" s="153" cm="1">
        <f t="array" ref="AX44">IF(OR(AX$4=0, $G44&lt;&gt; $G$7, $E44=0), 'I&amp;E Monthly'!AX44, CHOOSE(Timeline!AX$30,$J44,$K44,$L44 )*INDEX('I&amp;E Profiles'!AX$96:AX$180,$I44))</f>
        <v>0</v>
      </c>
      <c r="AY44" s="153" cm="1">
        <f t="array" ref="AY44">IF(OR(AY$4=0, $G44&lt;&gt; $G$7, $E44=0), 'I&amp;E Monthly'!AY44, CHOOSE(Timeline!AY$30,$J44,$K44,$L44 )*INDEX('I&amp;E Profiles'!AY$96:AY$180,$I44))</f>
        <v>0</v>
      </c>
      <c r="AZ44" s="153" cm="1">
        <f t="array" ref="AZ44">IF(OR(AZ$4=0, $G44&lt;&gt; $G$7, $E44=0), 'I&amp;E Monthly'!AZ44, CHOOSE(Timeline!AZ$30,$J44,$K44,$L44 )*INDEX('I&amp;E Profiles'!AZ$96:AZ$180,$I44))</f>
        <v>0</v>
      </c>
      <c r="BA44" s="153" cm="1">
        <f t="array" ref="BA44">IF(OR(BA$4=0, $G44&lt;&gt; $G$7, $E44=0), 'I&amp;E Monthly'!BA44, CHOOSE(Timeline!BA$30,$J44,$K44,$L44 )*INDEX('I&amp;E Profiles'!BA$96:BA$180,$I44))</f>
        <v>0</v>
      </c>
      <c r="BB44" s="153" cm="1">
        <f t="array" ref="BB44">IF(OR(BB$4=0, $G44&lt;&gt; $G$7, $E44=0), 'I&amp;E Monthly'!BB44, CHOOSE(Timeline!BB$30,$J44,$K44,$L44 )*INDEX('I&amp;E Profiles'!BB$96:BB$180,$I44))</f>
        <v>0</v>
      </c>
      <c r="BC44" s="153" cm="1">
        <f t="array" ref="BC44">IF(OR(BC$4=0, $G44&lt;&gt; $G$7, $E44=0), 'I&amp;E Monthly'!BC44, CHOOSE(Timeline!BC$30,$J44,$K44,$L44 )*INDEX('I&amp;E Profiles'!BC$96:BC$180,$I44))</f>
        <v>0</v>
      </c>
      <c r="BD44" s="153" cm="1">
        <f t="array" ref="BD44">IF(OR(BD$4=0, $G44&lt;&gt; $G$7, $E44=0), 'I&amp;E Monthly'!BD44, CHOOSE(Timeline!BD$30,$J44,$K44,$L44 )*INDEX('I&amp;E Profiles'!BD$96:BD$180,$I44))</f>
        <v>0</v>
      </c>
      <c r="BE44" s="153" cm="1">
        <f t="array" ref="BE44">IF(OR(BE$4=0, $G44&lt;&gt; $G$7, $E44=0), 'I&amp;E Monthly'!BE44, CHOOSE(Timeline!BE$30,$J44,$K44,$L44 )*INDEX('I&amp;E Profiles'!BE$96:BE$180,$I44))</f>
        <v>0</v>
      </c>
      <c r="BF44" s="153" cm="1">
        <f t="array" ref="BF44">IF(OR(BF$4=0, $G44&lt;&gt; $G$7, $E44=0), 'I&amp;E Monthly'!BF44, CHOOSE(Timeline!BF$30,$J44,$K44,$L44 )*INDEX('I&amp;E Profiles'!BF$96:BF$180,$I44))</f>
        <v>0</v>
      </c>
      <c r="BG44" s="153" cm="1">
        <f t="array" ref="BG44">IF(OR(BG$4=0, $G44&lt;&gt; $G$7, $E44=0), 'I&amp;E Monthly'!BG44, CHOOSE(Timeline!BG$30,$J44,$K44,$L44 )*INDEX('I&amp;E Profiles'!BG$96:BG$180,$I44))</f>
        <v>0</v>
      </c>
      <c r="BH44" s="153" cm="1">
        <f t="array" ref="BH44">IF(OR(BH$4=0, $G44&lt;&gt; $G$7, $E44=0), 'I&amp;E Monthly'!BH44, CHOOSE(Timeline!BH$30,$J44,$K44,$L44 )*INDEX('I&amp;E Profiles'!BH$96:BH$180,$I44))</f>
        <v>0</v>
      </c>
      <c r="BI44" s="153" cm="1">
        <f t="array" ref="BI44">IF(OR(BI$4=0, $G44&lt;&gt; $G$7, $E44=0), 'I&amp;E Monthly'!BI44, CHOOSE(Timeline!BI$30,$J44,$K44,$L44 )*INDEX('I&amp;E Profiles'!BI$96:BI$180,$I44))</f>
        <v>0</v>
      </c>
      <c r="BJ44" s="153" cm="1">
        <f t="array" ref="BJ44">IF(OR(BJ$4=0, $G44&lt;&gt; $G$7, $E44=0), 'I&amp;E Monthly'!BJ44, CHOOSE(Timeline!BJ$30,$J44,$K44,$L44 )*INDEX('I&amp;E Profiles'!BJ$96:BJ$180,$I44))</f>
        <v>0</v>
      </c>
      <c r="BK44" s="335"/>
      <c r="BL44" s="152">
        <f t="shared" si="42"/>
        <v>0</v>
      </c>
      <c r="BM44" s="153">
        <f t="shared" si="43"/>
        <v>0</v>
      </c>
      <c r="BN44" s="153">
        <f t="shared" si="43"/>
        <v>0</v>
      </c>
      <c r="BO44" s="153">
        <f t="shared" si="43"/>
        <v>0</v>
      </c>
      <c r="BP44" s="152">
        <f>'I&amp;E Monthly'!BP44</f>
        <v>0</v>
      </c>
      <c r="BQ44" s="152">
        <f>'I&amp;E Monthly'!BQ44</f>
        <v>0</v>
      </c>
      <c r="BR44" s="152">
        <f>'I&amp;E Monthly'!BR44</f>
        <v>0</v>
      </c>
      <c r="BS44" s="152">
        <f>'I&amp;E Monthly'!BS44</f>
        <v>0</v>
      </c>
      <c r="BT44" s="152">
        <f>'I&amp;E Monthly'!BT44</f>
        <v>0</v>
      </c>
      <c r="BU44" s="152">
        <f>'I&amp;E Monthly'!BU44</f>
        <v>0</v>
      </c>
      <c r="BV44" s="152">
        <f>'I&amp;E Monthly'!BV44</f>
        <v>0</v>
      </c>
      <c r="BW44" s="152">
        <f>'I&amp;E Monthly'!BW44</f>
        <v>0</v>
      </c>
      <c r="BX44" s="335"/>
      <c r="BY44" s="12"/>
      <c r="BZ44" s="363">
        <f t="shared" ca="1" si="44"/>
        <v>0</v>
      </c>
      <c r="CA44" s="12"/>
      <c r="CB44" s="7">
        <f t="shared" si="45"/>
        <v>0</v>
      </c>
      <c r="CC44" s="188" cm="1">
        <f t="array" ref="CC44">IF(E44="",0, IF(_xlfn.IFNA(INDEX('I&amp;E Profiles'!$D$96:$D$180, $I44), "N/A")="N/A", 1, 0))</f>
        <v>0</v>
      </c>
      <c r="CD44" s="7">
        <f t="shared" si="46"/>
        <v>0</v>
      </c>
      <c r="CE44" s="7">
        <f t="shared" si="47"/>
        <v>0</v>
      </c>
      <c r="CF44" s="7">
        <f t="shared" si="48"/>
        <v>0</v>
      </c>
      <c r="CG44" s="12"/>
      <c r="CH44" s="352">
        <f t="shared" si="49"/>
        <v>0</v>
      </c>
      <c r="CI44" s="352">
        <f t="shared" si="50"/>
        <v>0</v>
      </c>
      <c r="CJ44" s="352">
        <f t="shared" si="51"/>
        <v>0</v>
      </c>
      <c r="CK44" s="352">
        <f t="shared" si="52"/>
        <v>0</v>
      </c>
      <c r="CL44" s="352">
        <f t="shared" si="53"/>
        <v>0</v>
      </c>
      <c r="CM44" s="352">
        <f t="shared" si="54"/>
        <v>0</v>
      </c>
      <c r="CN44" s="352">
        <f t="shared" si="55"/>
        <v>0</v>
      </c>
      <c r="EX44" s="10" t="str">
        <f t="shared" si="1"/>
        <v>Advanced Learner Loans income (excl. bursary)</v>
      </c>
    </row>
    <row r="45" spans="1:154" hidden="1" x14ac:dyDescent="0.25">
      <c r="A45" s="362" cm="1">
        <f t="array" aca="1" ref="A45" ca="1">HYPERLINK(CONCATENATE("#",CELL("address",IF(SUM($CA45:$CG45)=0,A45,INDEX($CA45:$CG45,MATCH(1,$CA45:$CG45,0))))),SUM($CA45:$CG45))</f>
        <v>0</v>
      </c>
      <c r="B45" s="93"/>
      <c r="C45" s="383"/>
      <c r="D45" s="137" t="s">
        <v>2316</v>
      </c>
      <c r="E45" s="136"/>
      <c r="F45" s="98" t="str" cm="1">
        <f t="array" aca="1" ref="F45" ca="1">IF(E45="", "", HYPERLINK(CONCATENATE("#",CELL("address",INDEX('I&amp;E Profiles'!$D$9:$D$93,'I&amp;E Annual'!I45))),E45))</f>
        <v/>
      </c>
      <c r="G45" s="136"/>
      <c r="I45" s="200" t="str">
        <f>IF(E45="", "", MATCH(E45, 'I&amp;E Profiles'!$D$96:$D$180,0))</f>
        <v/>
      </c>
      <c r="J45" s="215">
        <f>IF($G45=$G$7, W45,'I&amp;E Monthly'!W45)-SUMIFS('I&amp;E Monthly'!$AA45:$BJ45, 'I&amp;E Monthly'!$AA$3:$BJ$3, 'I&amp;E Annual'!W$3, 'I&amp;E Monthly'!$AA$4:$BJ$4, 0)</f>
        <v>0</v>
      </c>
      <c r="K45" s="215">
        <f>IF($G45=$G$7, X45,'I&amp;E Monthly'!X45)-SUMIFS('I&amp;E Monthly'!$AA45:$BJ45, 'I&amp;E Monthly'!$AA$3:$BJ$3, 'I&amp;E Annual'!X$3, 'I&amp;E Monthly'!$AA$4:$BJ$4, 0)</f>
        <v>0</v>
      </c>
      <c r="L45" s="215">
        <f>IF($G45=$G$7, Y45,'I&amp;E Monthly'!Y45)-SUMIFS('I&amp;E Monthly'!$AA45:$BJ45, 'I&amp;E Monthly'!$AA$3:$BJ$3, 'I&amp;E Annual'!Y$3, 'I&amp;E Monthly'!$AA$4:$BJ$4, 0)</f>
        <v>0</v>
      </c>
      <c r="M45" s="335"/>
      <c r="N45" s="335"/>
      <c r="O45" s="335"/>
      <c r="P45" s="335"/>
      <c r="Q45" s="2"/>
      <c r="R45" s="335"/>
      <c r="S45" s="335"/>
      <c r="T45" s="335"/>
      <c r="U45" s="335"/>
      <c r="V45" s="201">
        <f>'I&amp;E Monthly'!V45</f>
        <v>0</v>
      </c>
      <c r="W45" s="136"/>
      <c r="X45" s="136"/>
      <c r="Y45" s="136"/>
      <c r="Z45" s="335"/>
      <c r="AA45" s="153" cm="1">
        <f t="array" ref="AA45">IF(OR(AA$4=0, $G45&lt;&gt; $G$7, $E45=0), 'I&amp;E Monthly'!AA45, CHOOSE(Timeline!AA$30,$J45,$K45,$L45 )*INDEX('I&amp;E Profiles'!AA$96:AA$180,$I45))</f>
        <v>0</v>
      </c>
      <c r="AB45" s="153" cm="1">
        <f t="array" ref="AB45">IF(OR(AB$4=0, $G45&lt;&gt; $G$7, $E45=0), 'I&amp;E Monthly'!AB45, CHOOSE(Timeline!AB$30,$J45,$K45,$L45 )*INDEX('I&amp;E Profiles'!AB$96:AB$180,$I45))</f>
        <v>0</v>
      </c>
      <c r="AC45" s="153" cm="1">
        <f t="array" ref="AC45">IF(OR(AC$4=0, $G45&lt;&gt; $G$7, $E45=0), 'I&amp;E Monthly'!AC45, CHOOSE(Timeline!AC$30,$J45,$K45,$L45 )*INDEX('I&amp;E Profiles'!AC$96:AC$180,$I45))</f>
        <v>0</v>
      </c>
      <c r="AD45" s="153" cm="1">
        <f t="array" ref="AD45">IF(OR(AD$4=0, $G45&lt;&gt; $G$7, $E45=0), 'I&amp;E Monthly'!AD45, CHOOSE(Timeline!AD$30,$J45,$K45,$L45 )*INDEX('I&amp;E Profiles'!AD$96:AD$180,$I45))</f>
        <v>0</v>
      </c>
      <c r="AE45" s="153" cm="1">
        <f t="array" ref="AE45">IF(OR(AE$4=0, $G45&lt;&gt; $G$7, $E45=0), 'I&amp;E Monthly'!AE45, CHOOSE(Timeline!AE$30,$J45,$K45,$L45 )*INDEX('I&amp;E Profiles'!AE$96:AE$180,$I45))</f>
        <v>0</v>
      </c>
      <c r="AF45" s="153" cm="1">
        <f t="array" ref="AF45">IF(OR(AF$4=0, $G45&lt;&gt; $G$7, $E45=0), 'I&amp;E Monthly'!AF45, CHOOSE(Timeline!AF$30,$J45,$K45,$L45 )*INDEX('I&amp;E Profiles'!AF$96:AF$180,$I45))</f>
        <v>0</v>
      </c>
      <c r="AG45" s="153" cm="1">
        <f t="array" ref="AG45">IF(OR(AG$4=0, $G45&lt;&gt; $G$7, $E45=0), 'I&amp;E Monthly'!AG45, CHOOSE(Timeline!AG$30,$J45,$K45,$L45 )*INDEX('I&amp;E Profiles'!AG$96:AG$180,$I45))</f>
        <v>0</v>
      </c>
      <c r="AH45" s="153" cm="1">
        <f t="array" ref="AH45">IF(OR(AH$4=0, $G45&lt;&gt; $G$7, $E45=0), 'I&amp;E Monthly'!AH45, CHOOSE(Timeline!AH$30,$J45,$K45,$L45 )*INDEX('I&amp;E Profiles'!AH$96:AH$180,$I45))</f>
        <v>0</v>
      </c>
      <c r="AI45" s="153" cm="1">
        <f t="array" ref="AI45">IF(OR(AI$4=0, $G45&lt;&gt; $G$7, $E45=0), 'I&amp;E Monthly'!AI45, CHOOSE(Timeline!AI$30,$J45,$K45,$L45 )*INDEX('I&amp;E Profiles'!AI$96:AI$180,$I45))</f>
        <v>0</v>
      </c>
      <c r="AJ45" s="153" cm="1">
        <f t="array" ref="AJ45">IF(OR(AJ$4=0, $G45&lt;&gt; $G$7, $E45=0), 'I&amp;E Monthly'!AJ45, CHOOSE(Timeline!AJ$30,$J45,$K45,$L45 )*INDEX('I&amp;E Profiles'!AJ$96:AJ$180,$I45))</f>
        <v>0</v>
      </c>
      <c r="AK45" s="153" cm="1">
        <f t="array" ref="AK45">IF(OR(AK$4=0, $G45&lt;&gt; $G$7, $E45=0), 'I&amp;E Monthly'!AK45, CHOOSE(Timeline!AK$30,$J45,$K45,$L45 )*INDEX('I&amp;E Profiles'!AK$96:AK$180,$I45))</f>
        <v>0</v>
      </c>
      <c r="AL45" s="153" cm="1">
        <f t="array" ref="AL45">IF(OR(AL$4=0, $G45&lt;&gt; $G$7, $E45=0), 'I&amp;E Monthly'!AL45, CHOOSE(Timeline!AL$30,$J45,$K45,$L45 )*INDEX('I&amp;E Profiles'!AL$96:AL$180,$I45))</f>
        <v>0</v>
      </c>
      <c r="AM45" s="153" cm="1">
        <f t="array" ref="AM45">IF(OR(AM$4=0, $G45&lt;&gt; $G$7, $E45=0), 'I&amp;E Monthly'!AM45, CHOOSE(Timeline!AM$30,$J45,$K45,$L45 )*INDEX('I&amp;E Profiles'!AM$96:AM$180,$I45))</f>
        <v>0</v>
      </c>
      <c r="AN45" s="153" cm="1">
        <f t="array" ref="AN45">IF(OR(AN$4=0, $G45&lt;&gt; $G$7, $E45=0), 'I&amp;E Monthly'!AN45, CHOOSE(Timeline!AN$30,$J45,$K45,$L45 )*INDEX('I&amp;E Profiles'!AN$96:AN$180,$I45))</f>
        <v>0</v>
      </c>
      <c r="AO45" s="153" cm="1">
        <f t="array" ref="AO45">IF(OR(AO$4=0, $G45&lt;&gt; $G$7, $E45=0), 'I&amp;E Monthly'!AO45, CHOOSE(Timeline!AO$30,$J45,$K45,$L45 )*INDEX('I&amp;E Profiles'!AO$96:AO$180,$I45))</f>
        <v>0</v>
      </c>
      <c r="AP45" s="153" cm="1">
        <f t="array" ref="AP45">IF(OR(AP$4=0, $G45&lt;&gt; $G$7, $E45=0), 'I&amp;E Monthly'!AP45, CHOOSE(Timeline!AP$30,$J45,$K45,$L45 )*INDEX('I&amp;E Profiles'!AP$96:AP$180,$I45))</f>
        <v>0</v>
      </c>
      <c r="AQ45" s="153" cm="1">
        <f t="array" ref="AQ45">IF(OR(AQ$4=0, $G45&lt;&gt; $G$7, $E45=0), 'I&amp;E Monthly'!AQ45, CHOOSE(Timeline!AQ$30,$J45,$K45,$L45 )*INDEX('I&amp;E Profiles'!AQ$96:AQ$180,$I45))</f>
        <v>0</v>
      </c>
      <c r="AR45" s="153" cm="1">
        <f t="array" ref="AR45">IF(OR(AR$4=0, $G45&lt;&gt; $G$7, $E45=0), 'I&amp;E Monthly'!AR45, CHOOSE(Timeline!AR$30,$J45,$K45,$L45 )*INDEX('I&amp;E Profiles'!AR$96:AR$180,$I45))</f>
        <v>0</v>
      </c>
      <c r="AS45" s="153" cm="1">
        <f t="array" ref="AS45">IF(OR(AS$4=0, $G45&lt;&gt; $G$7, $E45=0), 'I&amp;E Monthly'!AS45, CHOOSE(Timeline!AS$30,$J45,$K45,$L45 )*INDEX('I&amp;E Profiles'!AS$96:AS$180,$I45))</f>
        <v>0</v>
      </c>
      <c r="AT45" s="153" cm="1">
        <f t="array" ref="AT45">IF(OR(AT$4=0, $G45&lt;&gt; $G$7, $E45=0), 'I&amp;E Monthly'!AT45, CHOOSE(Timeline!AT$30,$J45,$K45,$L45 )*INDEX('I&amp;E Profiles'!AT$96:AT$180,$I45))</f>
        <v>0</v>
      </c>
      <c r="AU45" s="153" cm="1">
        <f t="array" ref="AU45">IF(OR(AU$4=0, $G45&lt;&gt; $G$7, $E45=0), 'I&amp;E Monthly'!AU45, CHOOSE(Timeline!AU$30,$J45,$K45,$L45 )*INDEX('I&amp;E Profiles'!AU$96:AU$180,$I45))</f>
        <v>0</v>
      </c>
      <c r="AV45" s="153" cm="1">
        <f t="array" ref="AV45">IF(OR(AV$4=0, $G45&lt;&gt; $G$7, $E45=0), 'I&amp;E Monthly'!AV45, CHOOSE(Timeline!AV$30,$J45,$K45,$L45 )*INDEX('I&amp;E Profiles'!AV$96:AV$180,$I45))</f>
        <v>0</v>
      </c>
      <c r="AW45" s="153" cm="1">
        <f t="array" ref="AW45">IF(OR(AW$4=0, $G45&lt;&gt; $G$7, $E45=0), 'I&amp;E Monthly'!AW45, CHOOSE(Timeline!AW$30,$J45,$K45,$L45 )*INDEX('I&amp;E Profiles'!AW$96:AW$180,$I45))</f>
        <v>0</v>
      </c>
      <c r="AX45" s="153" cm="1">
        <f t="array" ref="AX45">IF(OR(AX$4=0, $G45&lt;&gt; $G$7, $E45=0), 'I&amp;E Monthly'!AX45, CHOOSE(Timeline!AX$30,$J45,$K45,$L45 )*INDEX('I&amp;E Profiles'!AX$96:AX$180,$I45))</f>
        <v>0</v>
      </c>
      <c r="AY45" s="153" cm="1">
        <f t="array" ref="AY45">IF(OR(AY$4=0, $G45&lt;&gt; $G$7, $E45=0), 'I&amp;E Monthly'!AY45, CHOOSE(Timeline!AY$30,$J45,$K45,$L45 )*INDEX('I&amp;E Profiles'!AY$96:AY$180,$I45))</f>
        <v>0</v>
      </c>
      <c r="AZ45" s="153" cm="1">
        <f t="array" ref="AZ45">IF(OR(AZ$4=0, $G45&lt;&gt; $G$7, $E45=0), 'I&amp;E Monthly'!AZ45, CHOOSE(Timeline!AZ$30,$J45,$K45,$L45 )*INDEX('I&amp;E Profiles'!AZ$96:AZ$180,$I45))</f>
        <v>0</v>
      </c>
      <c r="BA45" s="153" cm="1">
        <f t="array" ref="BA45">IF(OR(BA$4=0, $G45&lt;&gt; $G$7, $E45=0), 'I&amp;E Monthly'!BA45, CHOOSE(Timeline!BA$30,$J45,$K45,$L45 )*INDEX('I&amp;E Profiles'!BA$96:BA$180,$I45))</f>
        <v>0</v>
      </c>
      <c r="BB45" s="153" cm="1">
        <f t="array" ref="BB45">IF(OR(BB$4=0, $G45&lt;&gt; $G$7, $E45=0), 'I&amp;E Monthly'!BB45, CHOOSE(Timeline!BB$30,$J45,$K45,$L45 )*INDEX('I&amp;E Profiles'!BB$96:BB$180,$I45))</f>
        <v>0</v>
      </c>
      <c r="BC45" s="153" cm="1">
        <f t="array" ref="BC45">IF(OR(BC$4=0, $G45&lt;&gt; $G$7, $E45=0), 'I&amp;E Monthly'!BC45, CHOOSE(Timeline!BC$30,$J45,$K45,$L45 )*INDEX('I&amp;E Profiles'!BC$96:BC$180,$I45))</f>
        <v>0</v>
      </c>
      <c r="BD45" s="153" cm="1">
        <f t="array" ref="BD45">IF(OR(BD$4=0, $G45&lt;&gt; $G$7, $E45=0), 'I&amp;E Monthly'!BD45, CHOOSE(Timeline!BD$30,$J45,$K45,$L45 )*INDEX('I&amp;E Profiles'!BD$96:BD$180,$I45))</f>
        <v>0</v>
      </c>
      <c r="BE45" s="153" cm="1">
        <f t="array" ref="BE45">IF(OR(BE$4=0, $G45&lt;&gt; $G$7, $E45=0), 'I&amp;E Monthly'!BE45, CHOOSE(Timeline!BE$30,$J45,$K45,$L45 )*INDEX('I&amp;E Profiles'!BE$96:BE$180,$I45))</f>
        <v>0</v>
      </c>
      <c r="BF45" s="153" cm="1">
        <f t="array" ref="BF45">IF(OR(BF$4=0, $G45&lt;&gt; $G$7, $E45=0), 'I&amp;E Monthly'!BF45, CHOOSE(Timeline!BF$30,$J45,$K45,$L45 )*INDEX('I&amp;E Profiles'!BF$96:BF$180,$I45))</f>
        <v>0</v>
      </c>
      <c r="BG45" s="153" cm="1">
        <f t="array" ref="BG45">IF(OR(BG$4=0, $G45&lt;&gt; $G$7, $E45=0), 'I&amp;E Monthly'!BG45, CHOOSE(Timeline!BG$30,$J45,$K45,$L45 )*INDEX('I&amp;E Profiles'!BG$96:BG$180,$I45))</f>
        <v>0</v>
      </c>
      <c r="BH45" s="153" cm="1">
        <f t="array" ref="BH45">IF(OR(BH$4=0, $G45&lt;&gt; $G$7, $E45=0), 'I&amp;E Monthly'!BH45, CHOOSE(Timeline!BH$30,$J45,$K45,$L45 )*INDEX('I&amp;E Profiles'!BH$96:BH$180,$I45))</f>
        <v>0</v>
      </c>
      <c r="BI45" s="153" cm="1">
        <f t="array" ref="BI45">IF(OR(BI$4=0, $G45&lt;&gt; $G$7, $E45=0), 'I&amp;E Monthly'!BI45, CHOOSE(Timeline!BI$30,$J45,$K45,$L45 )*INDEX('I&amp;E Profiles'!BI$96:BI$180,$I45))</f>
        <v>0</v>
      </c>
      <c r="BJ45" s="153" cm="1">
        <f t="array" ref="BJ45">IF(OR(BJ$4=0, $G45&lt;&gt; $G$7, $E45=0), 'I&amp;E Monthly'!BJ45, CHOOSE(Timeline!BJ$30,$J45,$K45,$L45 )*INDEX('I&amp;E Profiles'!BJ$96:BJ$180,$I45))</f>
        <v>0</v>
      </c>
      <c r="BK45" s="335"/>
      <c r="BL45" s="13">
        <f t="shared" si="42"/>
        <v>0</v>
      </c>
      <c r="BM45" s="153">
        <f t="shared" si="43"/>
        <v>0</v>
      </c>
      <c r="BN45" s="153">
        <f t="shared" si="43"/>
        <v>0</v>
      </c>
      <c r="BO45" s="153">
        <f t="shared" si="43"/>
        <v>0</v>
      </c>
      <c r="BP45" s="13">
        <f>'I&amp;E Monthly'!BP45</f>
        <v>0</v>
      </c>
      <c r="BQ45" s="13">
        <f>'I&amp;E Monthly'!BQ45</f>
        <v>0</v>
      </c>
      <c r="BR45" s="13">
        <f>'I&amp;E Monthly'!BR45</f>
        <v>0</v>
      </c>
      <c r="BS45" s="13">
        <f>'I&amp;E Monthly'!BS45</f>
        <v>0</v>
      </c>
      <c r="BT45" s="13">
        <f>'I&amp;E Monthly'!BT45</f>
        <v>0</v>
      </c>
      <c r="BU45" s="13">
        <f>'I&amp;E Monthly'!BU45</f>
        <v>0</v>
      </c>
      <c r="BV45" s="13">
        <f>'I&amp;E Monthly'!BV45</f>
        <v>0</v>
      </c>
      <c r="BW45" s="13">
        <f>'I&amp;E Monthly'!BW45</f>
        <v>0</v>
      </c>
      <c r="BX45" s="335"/>
      <c r="BY45" s="12"/>
      <c r="BZ45" s="363">
        <f t="shared" ca="1" si="44"/>
        <v>0</v>
      </c>
      <c r="CA45" s="12"/>
      <c r="CB45" s="7">
        <f t="shared" si="45"/>
        <v>0</v>
      </c>
      <c r="CC45" s="188" cm="1">
        <f t="array" ref="CC45">IF(E45="",0, IF(_xlfn.IFNA(INDEX('I&amp;E Profiles'!$D$96:$D$180, $I45), "N/A")="N/A", 1, 0))</f>
        <v>0</v>
      </c>
      <c r="CD45" s="7">
        <f t="shared" si="46"/>
        <v>0</v>
      </c>
      <c r="CE45" s="7">
        <f t="shared" si="47"/>
        <v>0</v>
      </c>
      <c r="CF45" s="7">
        <f t="shared" si="48"/>
        <v>0</v>
      </c>
      <c r="CG45" s="12"/>
      <c r="CH45" s="352">
        <f t="shared" si="49"/>
        <v>0</v>
      </c>
      <c r="CI45" s="352">
        <f t="shared" si="50"/>
        <v>0</v>
      </c>
      <c r="CJ45" s="352">
        <f t="shared" si="51"/>
        <v>0</v>
      </c>
      <c r="CK45" s="352">
        <f t="shared" si="52"/>
        <v>0</v>
      </c>
      <c r="CL45" s="352">
        <f t="shared" si="53"/>
        <v>0</v>
      </c>
      <c r="CM45" s="352">
        <f t="shared" si="54"/>
        <v>0</v>
      </c>
      <c r="CN45" s="352">
        <f t="shared" si="55"/>
        <v>0</v>
      </c>
      <c r="EX45" s="10" t="str">
        <f t="shared" si="1"/>
        <v/>
      </c>
    </row>
    <row r="46" spans="1:154" hidden="1" x14ac:dyDescent="0.25">
      <c r="A46" s="362" cm="1">
        <f t="array" aca="1" ref="A46" ca="1">HYPERLINK(CONCATENATE("#",CELL("address",IF(SUM($CA46:$CG46)=0,A46,INDEX($CA46:$CG46,MATCH(1,$CA46:$CG46,0))))),SUM($CA46:$CG46))</f>
        <v>0</v>
      </c>
      <c r="B46" s="93"/>
      <c r="C46" s="383"/>
      <c r="D46" s="137" t="s">
        <v>2316</v>
      </c>
      <c r="E46" s="136"/>
      <c r="F46" s="98" t="str" cm="1">
        <f t="array" aca="1" ref="F46" ca="1">IF(E46="", "", HYPERLINK(CONCATENATE("#",CELL("address",INDEX('I&amp;E Profiles'!$D$9:$D$93,'I&amp;E Annual'!I46))),E46))</f>
        <v/>
      </c>
      <c r="G46" s="136"/>
      <c r="I46" s="200" t="str">
        <f>IF(E46="", "", MATCH(E46, 'I&amp;E Profiles'!$D$96:$D$180,0))</f>
        <v/>
      </c>
      <c r="J46" s="215">
        <f>IF($G46=$G$7, W46,'I&amp;E Monthly'!W46)-SUMIFS('I&amp;E Monthly'!$AA46:$BJ46, 'I&amp;E Monthly'!$AA$3:$BJ$3, 'I&amp;E Annual'!W$3, 'I&amp;E Monthly'!$AA$4:$BJ$4, 0)</f>
        <v>0</v>
      </c>
      <c r="K46" s="215">
        <f>IF($G46=$G$7, X46,'I&amp;E Monthly'!X46)-SUMIFS('I&amp;E Monthly'!$AA46:$BJ46, 'I&amp;E Monthly'!$AA$3:$BJ$3, 'I&amp;E Annual'!X$3, 'I&amp;E Monthly'!$AA$4:$BJ$4, 0)</f>
        <v>0</v>
      </c>
      <c r="L46" s="215">
        <f>IF($G46=$G$7, Y46,'I&amp;E Monthly'!Y46)-SUMIFS('I&amp;E Monthly'!$AA46:$BJ46, 'I&amp;E Monthly'!$AA$3:$BJ$3, 'I&amp;E Annual'!Y$3, 'I&amp;E Monthly'!$AA$4:$BJ$4, 0)</f>
        <v>0</v>
      </c>
      <c r="M46" s="335"/>
      <c r="N46" s="335"/>
      <c r="O46" s="335"/>
      <c r="P46" s="335"/>
      <c r="Q46" s="2"/>
      <c r="R46" s="335"/>
      <c r="S46" s="335"/>
      <c r="T46" s="335"/>
      <c r="U46" s="335"/>
      <c r="V46" s="201">
        <f>'I&amp;E Monthly'!V46</f>
        <v>0</v>
      </c>
      <c r="W46" s="136"/>
      <c r="X46" s="136"/>
      <c r="Y46" s="136"/>
      <c r="Z46" s="335"/>
      <c r="AA46" s="153" cm="1">
        <f t="array" ref="AA46">IF(OR(AA$4=0, $G46&lt;&gt; $G$7, $E46=0), 'I&amp;E Monthly'!AA46, CHOOSE(Timeline!AA$30,$J46,$K46,$L46 )*INDEX('I&amp;E Profiles'!AA$96:AA$180,$I46))</f>
        <v>0</v>
      </c>
      <c r="AB46" s="153" cm="1">
        <f t="array" ref="AB46">IF(OR(AB$4=0, $G46&lt;&gt; $G$7, $E46=0), 'I&amp;E Monthly'!AB46, CHOOSE(Timeline!AB$30,$J46,$K46,$L46 )*INDEX('I&amp;E Profiles'!AB$96:AB$180,$I46))</f>
        <v>0</v>
      </c>
      <c r="AC46" s="153" cm="1">
        <f t="array" ref="AC46">IF(OR(AC$4=0, $G46&lt;&gt; $G$7, $E46=0), 'I&amp;E Monthly'!AC46, CHOOSE(Timeline!AC$30,$J46,$K46,$L46 )*INDEX('I&amp;E Profiles'!AC$96:AC$180,$I46))</f>
        <v>0</v>
      </c>
      <c r="AD46" s="153" cm="1">
        <f t="array" ref="AD46">IF(OR(AD$4=0, $G46&lt;&gt; $G$7, $E46=0), 'I&amp;E Monthly'!AD46, CHOOSE(Timeline!AD$30,$J46,$K46,$L46 )*INDEX('I&amp;E Profiles'!AD$96:AD$180,$I46))</f>
        <v>0</v>
      </c>
      <c r="AE46" s="153" cm="1">
        <f t="array" ref="AE46">IF(OR(AE$4=0, $G46&lt;&gt; $G$7, $E46=0), 'I&amp;E Monthly'!AE46, CHOOSE(Timeline!AE$30,$J46,$K46,$L46 )*INDEX('I&amp;E Profiles'!AE$96:AE$180,$I46))</f>
        <v>0</v>
      </c>
      <c r="AF46" s="153" cm="1">
        <f t="array" ref="AF46">IF(OR(AF$4=0, $G46&lt;&gt; $G$7, $E46=0), 'I&amp;E Monthly'!AF46, CHOOSE(Timeline!AF$30,$J46,$K46,$L46 )*INDEX('I&amp;E Profiles'!AF$96:AF$180,$I46))</f>
        <v>0</v>
      </c>
      <c r="AG46" s="153" cm="1">
        <f t="array" ref="AG46">IF(OR(AG$4=0, $G46&lt;&gt; $G$7, $E46=0), 'I&amp;E Monthly'!AG46, CHOOSE(Timeline!AG$30,$J46,$K46,$L46 )*INDEX('I&amp;E Profiles'!AG$96:AG$180,$I46))</f>
        <v>0</v>
      </c>
      <c r="AH46" s="153" cm="1">
        <f t="array" ref="AH46">IF(OR(AH$4=0, $G46&lt;&gt; $G$7, $E46=0), 'I&amp;E Monthly'!AH46, CHOOSE(Timeline!AH$30,$J46,$K46,$L46 )*INDEX('I&amp;E Profiles'!AH$96:AH$180,$I46))</f>
        <v>0</v>
      </c>
      <c r="AI46" s="153" cm="1">
        <f t="array" ref="AI46">IF(OR(AI$4=0, $G46&lt;&gt; $G$7, $E46=0), 'I&amp;E Monthly'!AI46, CHOOSE(Timeline!AI$30,$J46,$K46,$L46 )*INDEX('I&amp;E Profiles'!AI$96:AI$180,$I46))</f>
        <v>0</v>
      </c>
      <c r="AJ46" s="153" cm="1">
        <f t="array" ref="AJ46">IF(OR(AJ$4=0, $G46&lt;&gt; $G$7, $E46=0), 'I&amp;E Monthly'!AJ46, CHOOSE(Timeline!AJ$30,$J46,$K46,$L46 )*INDEX('I&amp;E Profiles'!AJ$96:AJ$180,$I46))</f>
        <v>0</v>
      </c>
      <c r="AK46" s="153" cm="1">
        <f t="array" ref="AK46">IF(OR(AK$4=0, $G46&lt;&gt; $G$7, $E46=0), 'I&amp;E Monthly'!AK46, CHOOSE(Timeline!AK$30,$J46,$K46,$L46 )*INDEX('I&amp;E Profiles'!AK$96:AK$180,$I46))</f>
        <v>0</v>
      </c>
      <c r="AL46" s="153" cm="1">
        <f t="array" ref="AL46">IF(OR(AL$4=0, $G46&lt;&gt; $G$7, $E46=0), 'I&amp;E Monthly'!AL46, CHOOSE(Timeline!AL$30,$J46,$K46,$L46 )*INDEX('I&amp;E Profiles'!AL$96:AL$180,$I46))</f>
        <v>0</v>
      </c>
      <c r="AM46" s="153" cm="1">
        <f t="array" ref="AM46">IF(OR(AM$4=0, $G46&lt;&gt; $G$7, $E46=0), 'I&amp;E Monthly'!AM46, CHOOSE(Timeline!AM$30,$J46,$K46,$L46 )*INDEX('I&amp;E Profiles'!AM$96:AM$180,$I46))</f>
        <v>0</v>
      </c>
      <c r="AN46" s="153" cm="1">
        <f t="array" ref="AN46">IF(OR(AN$4=0, $G46&lt;&gt; $G$7, $E46=0), 'I&amp;E Monthly'!AN46, CHOOSE(Timeline!AN$30,$J46,$K46,$L46 )*INDEX('I&amp;E Profiles'!AN$96:AN$180,$I46))</f>
        <v>0</v>
      </c>
      <c r="AO46" s="153" cm="1">
        <f t="array" ref="AO46">IF(OR(AO$4=0, $G46&lt;&gt; $G$7, $E46=0), 'I&amp;E Monthly'!AO46, CHOOSE(Timeline!AO$30,$J46,$K46,$L46 )*INDEX('I&amp;E Profiles'!AO$96:AO$180,$I46))</f>
        <v>0</v>
      </c>
      <c r="AP46" s="153" cm="1">
        <f t="array" ref="AP46">IF(OR(AP$4=0, $G46&lt;&gt; $G$7, $E46=0), 'I&amp;E Monthly'!AP46, CHOOSE(Timeline!AP$30,$J46,$K46,$L46 )*INDEX('I&amp;E Profiles'!AP$96:AP$180,$I46))</f>
        <v>0</v>
      </c>
      <c r="AQ46" s="153" cm="1">
        <f t="array" ref="AQ46">IF(OR(AQ$4=0, $G46&lt;&gt; $G$7, $E46=0), 'I&amp;E Monthly'!AQ46, CHOOSE(Timeline!AQ$30,$J46,$K46,$L46 )*INDEX('I&amp;E Profiles'!AQ$96:AQ$180,$I46))</f>
        <v>0</v>
      </c>
      <c r="AR46" s="153" cm="1">
        <f t="array" ref="AR46">IF(OR(AR$4=0, $G46&lt;&gt; $G$7, $E46=0), 'I&amp;E Monthly'!AR46, CHOOSE(Timeline!AR$30,$J46,$K46,$L46 )*INDEX('I&amp;E Profiles'!AR$96:AR$180,$I46))</f>
        <v>0</v>
      </c>
      <c r="AS46" s="153" cm="1">
        <f t="array" ref="AS46">IF(OR(AS$4=0, $G46&lt;&gt; $G$7, $E46=0), 'I&amp;E Monthly'!AS46, CHOOSE(Timeline!AS$30,$J46,$K46,$L46 )*INDEX('I&amp;E Profiles'!AS$96:AS$180,$I46))</f>
        <v>0</v>
      </c>
      <c r="AT46" s="153" cm="1">
        <f t="array" ref="AT46">IF(OR(AT$4=0, $G46&lt;&gt; $G$7, $E46=0), 'I&amp;E Monthly'!AT46, CHOOSE(Timeline!AT$30,$J46,$K46,$L46 )*INDEX('I&amp;E Profiles'!AT$96:AT$180,$I46))</f>
        <v>0</v>
      </c>
      <c r="AU46" s="153" cm="1">
        <f t="array" ref="AU46">IF(OR(AU$4=0, $G46&lt;&gt; $G$7, $E46=0), 'I&amp;E Monthly'!AU46, CHOOSE(Timeline!AU$30,$J46,$K46,$L46 )*INDEX('I&amp;E Profiles'!AU$96:AU$180,$I46))</f>
        <v>0</v>
      </c>
      <c r="AV46" s="153" cm="1">
        <f t="array" ref="AV46">IF(OR(AV$4=0, $G46&lt;&gt; $G$7, $E46=0), 'I&amp;E Monthly'!AV46, CHOOSE(Timeline!AV$30,$J46,$K46,$L46 )*INDEX('I&amp;E Profiles'!AV$96:AV$180,$I46))</f>
        <v>0</v>
      </c>
      <c r="AW46" s="153" cm="1">
        <f t="array" ref="AW46">IF(OR(AW$4=0, $G46&lt;&gt; $G$7, $E46=0), 'I&amp;E Monthly'!AW46, CHOOSE(Timeline!AW$30,$J46,$K46,$L46 )*INDEX('I&amp;E Profiles'!AW$96:AW$180,$I46))</f>
        <v>0</v>
      </c>
      <c r="AX46" s="153" cm="1">
        <f t="array" ref="AX46">IF(OR(AX$4=0, $G46&lt;&gt; $G$7, $E46=0), 'I&amp;E Monthly'!AX46, CHOOSE(Timeline!AX$30,$J46,$K46,$L46 )*INDEX('I&amp;E Profiles'!AX$96:AX$180,$I46))</f>
        <v>0</v>
      </c>
      <c r="AY46" s="153" cm="1">
        <f t="array" ref="AY46">IF(OR(AY$4=0, $G46&lt;&gt; $G$7, $E46=0), 'I&amp;E Monthly'!AY46, CHOOSE(Timeline!AY$30,$J46,$K46,$L46 )*INDEX('I&amp;E Profiles'!AY$96:AY$180,$I46))</f>
        <v>0</v>
      </c>
      <c r="AZ46" s="153" cm="1">
        <f t="array" ref="AZ46">IF(OR(AZ$4=0, $G46&lt;&gt; $G$7, $E46=0), 'I&amp;E Monthly'!AZ46, CHOOSE(Timeline!AZ$30,$J46,$K46,$L46 )*INDEX('I&amp;E Profiles'!AZ$96:AZ$180,$I46))</f>
        <v>0</v>
      </c>
      <c r="BA46" s="153" cm="1">
        <f t="array" ref="BA46">IF(OR(BA$4=0, $G46&lt;&gt; $G$7, $E46=0), 'I&amp;E Monthly'!BA46, CHOOSE(Timeline!BA$30,$J46,$K46,$L46 )*INDEX('I&amp;E Profiles'!BA$96:BA$180,$I46))</f>
        <v>0</v>
      </c>
      <c r="BB46" s="153" cm="1">
        <f t="array" ref="BB46">IF(OR(BB$4=0, $G46&lt;&gt; $G$7, $E46=0), 'I&amp;E Monthly'!BB46, CHOOSE(Timeline!BB$30,$J46,$K46,$L46 )*INDEX('I&amp;E Profiles'!BB$96:BB$180,$I46))</f>
        <v>0</v>
      </c>
      <c r="BC46" s="153" cm="1">
        <f t="array" ref="BC46">IF(OR(BC$4=0, $G46&lt;&gt; $G$7, $E46=0), 'I&amp;E Monthly'!BC46, CHOOSE(Timeline!BC$30,$J46,$K46,$L46 )*INDEX('I&amp;E Profiles'!BC$96:BC$180,$I46))</f>
        <v>0</v>
      </c>
      <c r="BD46" s="153" cm="1">
        <f t="array" ref="BD46">IF(OR(BD$4=0, $G46&lt;&gt; $G$7, $E46=0), 'I&amp;E Monthly'!BD46, CHOOSE(Timeline!BD$30,$J46,$K46,$L46 )*INDEX('I&amp;E Profiles'!BD$96:BD$180,$I46))</f>
        <v>0</v>
      </c>
      <c r="BE46" s="153" cm="1">
        <f t="array" ref="BE46">IF(OR(BE$4=0, $G46&lt;&gt; $G$7, $E46=0), 'I&amp;E Monthly'!BE46, CHOOSE(Timeline!BE$30,$J46,$K46,$L46 )*INDEX('I&amp;E Profiles'!BE$96:BE$180,$I46))</f>
        <v>0</v>
      </c>
      <c r="BF46" s="153" cm="1">
        <f t="array" ref="BF46">IF(OR(BF$4=0, $G46&lt;&gt; $G$7, $E46=0), 'I&amp;E Monthly'!BF46, CHOOSE(Timeline!BF$30,$J46,$K46,$L46 )*INDEX('I&amp;E Profiles'!BF$96:BF$180,$I46))</f>
        <v>0</v>
      </c>
      <c r="BG46" s="153" cm="1">
        <f t="array" ref="BG46">IF(OR(BG$4=0, $G46&lt;&gt; $G$7, $E46=0), 'I&amp;E Monthly'!BG46, CHOOSE(Timeline!BG$30,$J46,$K46,$L46 )*INDEX('I&amp;E Profiles'!BG$96:BG$180,$I46))</f>
        <v>0</v>
      </c>
      <c r="BH46" s="153" cm="1">
        <f t="array" ref="BH46">IF(OR(BH$4=0, $G46&lt;&gt; $G$7, $E46=0), 'I&amp;E Monthly'!BH46, CHOOSE(Timeline!BH$30,$J46,$K46,$L46 )*INDEX('I&amp;E Profiles'!BH$96:BH$180,$I46))</f>
        <v>0</v>
      </c>
      <c r="BI46" s="153" cm="1">
        <f t="array" ref="BI46">IF(OR(BI$4=0, $G46&lt;&gt; $G$7, $E46=0), 'I&amp;E Monthly'!BI46, CHOOSE(Timeline!BI$30,$J46,$K46,$L46 )*INDEX('I&amp;E Profiles'!BI$96:BI$180,$I46))</f>
        <v>0</v>
      </c>
      <c r="BJ46" s="153" cm="1">
        <f t="array" ref="BJ46">IF(OR(BJ$4=0, $G46&lt;&gt; $G$7, $E46=0), 'I&amp;E Monthly'!BJ46, CHOOSE(Timeline!BJ$30,$J46,$K46,$L46 )*INDEX('I&amp;E Profiles'!BJ$96:BJ$180,$I46))</f>
        <v>0</v>
      </c>
      <c r="BK46" s="335"/>
      <c r="BL46" s="13">
        <f t="shared" si="42"/>
        <v>0</v>
      </c>
      <c r="BM46" s="153">
        <f t="shared" si="43"/>
        <v>0</v>
      </c>
      <c r="BN46" s="153">
        <f t="shared" si="43"/>
        <v>0</v>
      </c>
      <c r="BO46" s="153">
        <f t="shared" si="43"/>
        <v>0</v>
      </c>
      <c r="BP46" s="13">
        <f>'I&amp;E Monthly'!BP46</f>
        <v>0</v>
      </c>
      <c r="BQ46" s="13">
        <f>'I&amp;E Monthly'!BQ46</f>
        <v>0</v>
      </c>
      <c r="BR46" s="13">
        <f>'I&amp;E Monthly'!BR46</f>
        <v>0</v>
      </c>
      <c r="BS46" s="13">
        <f>'I&amp;E Monthly'!BS46</f>
        <v>0</v>
      </c>
      <c r="BT46" s="13">
        <f>'I&amp;E Monthly'!BT46</f>
        <v>0</v>
      </c>
      <c r="BU46" s="13">
        <f>'I&amp;E Monthly'!BU46</f>
        <v>0</v>
      </c>
      <c r="BV46" s="13">
        <f>'I&amp;E Monthly'!BV46</f>
        <v>0</v>
      </c>
      <c r="BW46" s="13">
        <f>'I&amp;E Monthly'!BW46</f>
        <v>0</v>
      </c>
      <c r="BX46" s="335"/>
      <c r="BY46" s="12"/>
      <c r="BZ46" s="363">
        <f t="shared" ca="1" si="44"/>
        <v>0</v>
      </c>
      <c r="CA46" s="12"/>
      <c r="CB46" s="7">
        <f t="shared" si="45"/>
        <v>0</v>
      </c>
      <c r="CC46" s="188" cm="1">
        <f t="array" ref="CC46">IF(E46="",0, IF(_xlfn.IFNA(INDEX('I&amp;E Profiles'!$D$96:$D$180, $I46), "N/A")="N/A", 1, 0))</f>
        <v>0</v>
      </c>
      <c r="CD46" s="7">
        <f t="shared" si="46"/>
        <v>0</v>
      </c>
      <c r="CE46" s="7">
        <f t="shared" si="47"/>
        <v>0</v>
      </c>
      <c r="CF46" s="7">
        <f t="shared" si="48"/>
        <v>0</v>
      </c>
      <c r="CG46" s="12"/>
      <c r="CH46" s="352">
        <f t="shared" si="49"/>
        <v>0</v>
      </c>
      <c r="CI46" s="352">
        <f t="shared" si="50"/>
        <v>0</v>
      </c>
      <c r="CJ46" s="352">
        <f t="shared" si="51"/>
        <v>0</v>
      </c>
      <c r="CK46" s="352">
        <f t="shared" si="52"/>
        <v>0</v>
      </c>
      <c r="CL46" s="352">
        <f t="shared" si="53"/>
        <v>0</v>
      </c>
      <c r="CM46" s="352">
        <f t="shared" si="54"/>
        <v>0</v>
      </c>
      <c r="CN46" s="352">
        <f t="shared" si="55"/>
        <v>0</v>
      </c>
      <c r="EX46" s="10" t="str">
        <f t="shared" si="1"/>
        <v/>
      </c>
    </row>
    <row r="47" spans="1:154" hidden="1" x14ac:dyDescent="0.25">
      <c r="A47" s="362" cm="1">
        <f t="array" aca="1" ref="A47" ca="1">HYPERLINK(CONCATENATE("#",CELL("address",IF(SUM($CA47:$CG47)=0,A47,INDEX($CA47:$CG47,MATCH(1,$CA47:$CG47,0))))),SUM($CA47:$CG47))</f>
        <v>0</v>
      </c>
      <c r="B47" s="93"/>
      <c r="C47" s="383"/>
      <c r="D47" s="137" t="s">
        <v>2316</v>
      </c>
      <c r="E47" s="136"/>
      <c r="F47" s="98" t="str" cm="1">
        <f t="array" aca="1" ref="F47" ca="1">IF(E47="", "", HYPERLINK(CONCATENATE("#",CELL("address",INDEX('I&amp;E Profiles'!$D$9:$D$93,'I&amp;E Annual'!I47))),E47))</f>
        <v/>
      </c>
      <c r="G47" s="136"/>
      <c r="I47" s="200" t="str">
        <f>IF(E47="", "", MATCH(E47, 'I&amp;E Profiles'!$D$96:$D$180,0))</f>
        <v/>
      </c>
      <c r="J47" s="215">
        <f>IF($G47=$G$7, W47,'I&amp;E Monthly'!W47)-SUMIFS('I&amp;E Monthly'!$AA47:$BJ47, 'I&amp;E Monthly'!$AA$3:$BJ$3, 'I&amp;E Annual'!W$3, 'I&amp;E Monthly'!$AA$4:$BJ$4, 0)</f>
        <v>0</v>
      </c>
      <c r="K47" s="215">
        <f>IF($G47=$G$7, X47,'I&amp;E Monthly'!X47)-SUMIFS('I&amp;E Monthly'!$AA47:$BJ47, 'I&amp;E Monthly'!$AA$3:$BJ$3, 'I&amp;E Annual'!X$3, 'I&amp;E Monthly'!$AA$4:$BJ$4, 0)</f>
        <v>0</v>
      </c>
      <c r="L47" s="215">
        <f>IF($G47=$G$7, Y47,'I&amp;E Monthly'!Y47)-SUMIFS('I&amp;E Monthly'!$AA47:$BJ47, 'I&amp;E Monthly'!$AA$3:$BJ$3, 'I&amp;E Annual'!Y$3, 'I&amp;E Monthly'!$AA$4:$BJ$4, 0)</f>
        <v>0</v>
      </c>
      <c r="M47" s="335"/>
      <c r="N47" s="335"/>
      <c r="O47" s="335"/>
      <c r="P47" s="335"/>
      <c r="Q47" s="2"/>
      <c r="R47" s="335"/>
      <c r="S47" s="335"/>
      <c r="T47" s="335"/>
      <c r="U47" s="335"/>
      <c r="V47" s="201">
        <f>'I&amp;E Monthly'!V47</f>
        <v>0</v>
      </c>
      <c r="W47" s="136"/>
      <c r="X47" s="136"/>
      <c r="Y47" s="136"/>
      <c r="Z47" s="335"/>
      <c r="AA47" s="153" cm="1">
        <f t="array" ref="AA47">IF(OR(AA$4=0, $G47&lt;&gt; $G$7, $E47=0), 'I&amp;E Monthly'!AA47, CHOOSE(Timeline!AA$30,$J47,$K47,$L47 )*INDEX('I&amp;E Profiles'!AA$96:AA$180,$I47))</f>
        <v>0</v>
      </c>
      <c r="AB47" s="153" cm="1">
        <f t="array" ref="AB47">IF(OR(AB$4=0, $G47&lt;&gt; $G$7, $E47=0), 'I&amp;E Monthly'!AB47, CHOOSE(Timeline!AB$30,$J47,$K47,$L47 )*INDEX('I&amp;E Profiles'!AB$96:AB$180,$I47))</f>
        <v>0</v>
      </c>
      <c r="AC47" s="153" cm="1">
        <f t="array" ref="AC47">IF(OR(AC$4=0, $G47&lt;&gt; $G$7, $E47=0), 'I&amp;E Monthly'!AC47, CHOOSE(Timeline!AC$30,$J47,$K47,$L47 )*INDEX('I&amp;E Profiles'!AC$96:AC$180,$I47))</f>
        <v>0</v>
      </c>
      <c r="AD47" s="153" cm="1">
        <f t="array" ref="AD47">IF(OR(AD$4=0, $G47&lt;&gt; $G$7, $E47=0), 'I&amp;E Monthly'!AD47, CHOOSE(Timeline!AD$30,$J47,$K47,$L47 )*INDEX('I&amp;E Profiles'!AD$96:AD$180,$I47))</f>
        <v>0</v>
      </c>
      <c r="AE47" s="153" cm="1">
        <f t="array" ref="AE47">IF(OR(AE$4=0, $G47&lt;&gt; $G$7, $E47=0), 'I&amp;E Monthly'!AE47, CHOOSE(Timeline!AE$30,$J47,$K47,$L47 )*INDEX('I&amp;E Profiles'!AE$96:AE$180,$I47))</f>
        <v>0</v>
      </c>
      <c r="AF47" s="153" cm="1">
        <f t="array" ref="AF47">IF(OR(AF$4=0, $G47&lt;&gt; $G$7, $E47=0), 'I&amp;E Monthly'!AF47, CHOOSE(Timeline!AF$30,$J47,$K47,$L47 )*INDEX('I&amp;E Profiles'!AF$96:AF$180,$I47))</f>
        <v>0</v>
      </c>
      <c r="AG47" s="153" cm="1">
        <f t="array" ref="AG47">IF(OR(AG$4=0, $G47&lt;&gt; $G$7, $E47=0), 'I&amp;E Monthly'!AG47, CHOOSE(Timeline!AG$30,$J47,$K47,$L47 )*INDEX('I&amp;E Profiles'!AG$96:AG$180,$I47))</f>
        <v>0</v>
      </c>
      <c r="AH47" s="153" cm="1">
        <f t="array" ref="AH47">IF(OR(AH$4=0, $G47&lt;&gt; $G$7, $E47=0), 'I&amp;E Monthly'!AH47, CHOOSE(Timeline!AH$30,$J47,$K47,$L47 )*INDEX('I&amp;E Profiles'!AH$96:AH$180,$I47))</f>
        <v>0</v>
      </c>
      <c r="AI47" s="153" cm="1">
        <f t="array" ref="AI47">IF(OR(AI$4=0, $G47&lt;&gt; $G$7, $E47=0), 'I&amp;E Monthly'!AI47, CHOOSE(Timeline!AI$30,$J47,$K47,$L47 )*INDEX('I&amp;E Profiles'!AI$96:AI$180,$I47))</f>
        <v>0</v>
      </c>
      <c r="AJ47" s="153" cm="1">
        <f t="array" ref="AJ47">IF(OR(AJ$4=0, $G47&lt;&gt; $G$7, $E47=0), 'I&amp;E Monthly'!AJ47, CHOOSE(Timeline!AJ$30,$J47,$K47,$L47 )*INDEX('I&amp;E Profiles'!AJ$96:AJ$180,$I47))</f>
        <v>0</v>
      </c>
      <c r="AK47" s="153" cm="1">
        <f t="array" ref="AK47">IF(OR(AK$4=0, $G47&lt;&gt; $G$7, $E47=0), 'I&amp;E Monthly'!AK47, CHOOSE(Timeline!AK$30,$J47,$K47,$L47 )*INDEX('I&amp;E Profiles'!AK$96:AK$180,$I47))</f>
        <v>0</v>
      </c>
      <c r="AL47" s="153" cm="1">
        <f t="array" ref="AL47">IF(OR(AL$4=0, $G47&lt;&gt; $G$7, $E47=0), 'I&amp;E Monthly'!AL47, CHOOSE(Timeline!AL$30,$J47,$K47,$L47 )*INDEX('I&amp;E Profiles'!AL$96:AL$180,$I47))</f>
        <v>0</v>
      </c>
      <c r="AM47" s="153" cm="1">
        <f t="array" ref="AM47">IF(OR(AM$4=0, $G47&lt;&gt; $G$7, $E47=0), 'I&amp;E Monthly'!AM47, CHOOSE(Timeline!AM$30,$J47,$K47,$L47 )*INDEX('I&amp;E Profiles'!AM$96:AM$180,$I47))</f>
        <v>0</v>
      </c>
      <c r="AN47" s="153" cm="1">
        <f t="array" ref="AN47">IF(OR(AN$4=0, $G47&lt;&gt; $G$7, $E47=0), 'I&amp;E Monthly'!AN47, CHOOSE(Timeline!AN$30,$J47,$K47,$L47 )*INDEX('I&amp;E Profiles'!AN$96:AN$180,$I47))</f>
        <v>0</v>
      </c>
      <c r="AO47" s="153" cm="1">
        <f t="array" ref="AO47">IF(OR(AO$4=0, $G47&lt;&gt; $G$7, $E47=0), 'I&amp;E Monthly'!AO47, CHOOSE(Timeline!AO$30,$J47,$K47,$L47 )*INDEX('I&amp;E Profiles'!AO$96:AO$180,$I47))</f>
        <v>0</v>
      </c>
      <c r="AP47" s="153" cm="1">
        <f t="array" ref="AP47">IF(OR(AP$4=0, $G47&lt;&gt; $G$7, $E47=0), 'I&amp;E Monthly'!AP47, CHOOSE(Timeline!AP$30,$J47,$K47,$L47 )*INDEX('I&amp;E Profiles'!AP$96:AP$180,$I47))</f>
        <v>0</v>
      </c>
      <c r="AQ47" s="153" cm="1">
        <f t="array" ref="AQ47">IF(OR(AQ$4=0, $G47&lt;&gt; $G$7, $E47=0), 'I&amp;E Monthly'!AQ47, CHOOSE(Timeline!AQ$30,$J47,$K47,$L47 )*INDEX('I&amp;E Profiles'!AQ$96:AQ$180,$I47))</f>
        <v>0</v>
      </c>
      <c r="AR47" s="153" cm="1">
        <f t="array" ref="AR47">IF(OR(AR$4=0, $G47&lt;&gt; $G$7, $E47=0), 'I&amp;E Monthly'!AR47, CHOOSE(Timeline!AR$30,$J47,$K47,$L47 )*INDEX('I&amp;E Profiles'!AR$96:AR$180,$I47))</f>
        <v>0</v>
      </c>
      <c r="AS47" s="153" cm="1">
        <f t="array" ref="AS47">IF(OR(AS$4=0, $G47&lt;&gt; $G$7, $E47=0), 'I&amp;E Monthly'!AS47, CHOOSE(Timeline!AS$30,$J47,$K47,$L47 )*INDEX('I&amp;E Profiles'!AS$96:AS$180,$I47))</f>
        <v>0</v>
      </c>
      <c r="AT47" s="153" cm="1">
        <f t="array" ref="AT47">IF(OR(AT$4=0, $G47&lt;&gt; $G$7, $E47=0), 'I&amp;E Monthly'!AT47, CHOOSE(Timeline!AT$30,$J47,$K47,$L47 )*INDEX('I&amp;E Profiles'!AT$96:AT$180,$I47))</f>
        <v>0</v>
      </c>
      <c r="AU47" s="153" cm="1">
        <f t="array" ref="AU47">IF(OR(AU$4=0, $G47&lt;&gt; $G$7, $E47=0), 'I&amp;E Monthly'!AU47, CHOOSE(Timeline!AU$30,$J47,$K47,$L47 )*INDEX('I&amp;E Profiles'!AU$96:AU$180,$I47))</f>
        <v>0</v>
      </c>
      <c r="AV47" s="153" cm="1">
        <f t="array" ref="AV47">IF(OR(AV$4=0, $G47&lt;&gt; $G$7, $E47=0), 'I&amp;E Monthly'!AV47, CHOOSE(Timeline!AV$30,$J47,$K47,$L47 )*INDEX('I&amp;E Profiles'!AV$96:AV$180,$I47))</f>
        <v>0</v>
      </c>
      <c r="AW47" s="153" cm="1">
        <f t="array" ref="AW47">IF(OR(AW$4=0, $G47&lt;&gt; $G$7, $E47=0), 'I&amp;E Monthly'!AW47, CHOOSE(Timeline!AW$30,$J47,$K47,$L47 )*INDEX('I&amp;E Profiles'!AW$96:AW$180,$I47))</f>
        <v>0</v>
      </c>
      <c r="AX47" s="153" cm="1">
        <f t="array" ref="AX47">IF(OR(AX$4=0, $G47&lt;&gt; $G$7, $E47=0), 'I&amp;E Monthly'!AX47, CHOOSE(Timeline!AX$30,$J47,$K47,$L47 )*INDEX('I&amp;E Profiles'!AX$96:AX$180,$I47))</f>
        <v>0</v>
      </c>
      <c r="AY47" s="153" cm="1">
        <f t="array" ref="AY47">IF(OR(AY$4=0, $G47&lt;&gt; $G$7, $E47=0), 'I&amp;E Monthly'!AY47, CHOOSE(Timeline!AY$30,$J47,$K47,$L47 )*INDEX('I&amp;E Profiles'!AY$96:AY$180,$I47))</f>
        <v>0</v>
      </c>
      <c r="AZ47" s="153" cm="1">
        <f t="array" ref="AZ47">IF(OR(AZ$4=0, $G47&lt;&gt; $G$7, $E47=0), 'I&amp;E Monthly'!AZ47, CHOOSE(Timeline!AZ$30,$J47,$K47,$L47 )*INDEX('I&amp;E Profiles'!AZ$96:AZ$180,$I47))</f>
        <v>0</v>
      </c>
      <c r="BA47" s="153" cm="1">
        <f t="array" ref="BA47">IF(OR(BA$4=0, $G47&lt;&gt; $G$7, $E47=0), 'I&amp;E Monthly'!BA47, CHOOSE(Timeline!BA$30,$J47,$K47,$L47 )*INDEX('I&amp;E Profiles'!BA$96:BA$180,$I47))</f>
        <v>0</v>
      </c>
      <c r="BB47" s="153" cm="1">
        <f t="array" ref="BB47">IF(OR(BB$4=0, $G47&lt;&gt; $G$7, $E47=0), 'I&amp;E Monthly'!BB47, CHOOSE(Timeline!BB$30,$J47,$K47,$L47 )*INDEX('I&amp;E Profiles'!BB$96:BB$180,$I47))</f>
        <v>0</v>
      </c>
      <c r="BC47" s="153" cm="1">
        <f t="array" ref="BC47">IF(OR(BC$4=0, $G47&lt;&gt; $G$7, $E47=0), 'I&amp;E Monthly'!BC47, CHOOSE(Timeline!BC$30,$J47,$K47,$L47 )*INDEX('I&amp;E Profiles'!BC$96:BC$180,$I47))</f>
        <v>0</v>
      </c>
      <c r="BD47" s="153" cm="1">
        <f t="array" ref="BD47">IF(OR(BD$4=0, $G47&lt;&gt; $G$7, $E47=0), 'I&amp;E Monthly'!BD47, CHOOSE(Timeline!BD$30,$J47,$K47,$L47 )*INDEX('I&amp;E Profiles'!BD$96:BD$180,$I47))</f>
        <v>0</v>
      </c>
      <c r="BE47" s="153" cm="1">
        <f t="array" ref="BE47">IF(OR(BE$4=0, $G47&lt;&gt; $G$7, $E47=0), 'I&amp;E Monthly'!BE47, CHOOSE(Timeline!BE$30,$J47,$K47,$L47 )*INDEX('I&amp;E Profiles'!BE$96:BE$180,$I47))</f>
        <v>0</v>
      </c>
      <c r="BF47" s="153" cm="1">
        <f t="array" ref="BF47">IF(OR(BF$4=0, $G47&lt;&gt; $G$7, $E47=0), 'I&amp;E Monthly'!BF47, CHOOSE(Timeline!BF$30,$J47,$K47,$L47 )*INDEX('I&amp;E Profiles'!BF$96:BF$180,$I47))</f>
        <v>0</v>
      </c>
      <c r="BG47" s="153" cm="1">
        <f t="array" ref="BG47">IF(OR(BG$4=0, $G47&lt;&gt; $G$7, $E47=0), 'I&amp;E Monthly'!BG47, CHOOSE(Timeline!BG$30,$J47,$K47,$L47 )*INDEX('I&amp;E Profiles'!BG$96:BG$180,$I47))</f>
        <v>0</v>
      </c>
      <c r="BH47" s="153" cm="1">
        <f t="array" ref="BH47">IF(OR(BH$4=0, $G47&lt;&gt; $G$7, $E47=0), 'I&amp;E Monthly'!BH47, CHOOSE(Timeline!BH$30,$J47,$K47,$L47 )*INDEX('I&amp;E Profiles'!BH$96:BH$180,$I47))</f>
        <v>0</v>
      </c>
      <c r="BI47" s="153" cm="1">
        <f t="array" ref="BI47">IF(OR(BI$4=0, $G47&lt;&gt; $G$7, $E47=0), 'I&amp;E Monthly'!BI47, CHOOSE(Timeline!BI$30,$J47,$K47,$L47 )*INDEX('I&amp;E Profiles'!BI$96:BI$180,$I47))</f>
        <v>0</v>
      </c>
      <c r="BJ47" s="153" cm="1">
        <f t="array" ref="BJ47">IF(OR(BJ$4=0, $G47&lt;&gt; $G$7, $E47=0), 'I&amp;E Monthly'!BJ47, CHOOSE(Timeline!BJ$30,$J47,$K47,$L47 )*INDEX('I&amp;E Profiles'!BJ$96:BJ$180,$I47))</f>
        <v>0</v>
      </c>
      <c r="BK47" s="335"/>
      <c r="BL47" s="13">
        <f t="shared" si="42"/>
        <v>0</v>
      </c>
      <c r="BM47" s="153">
        <f t="shared" si="43"/>
        <v>0</v>
      </c>
      <c r="BN47" s="153">
        <f t="shared" si="43"/>
        <v>0</v>
      </c>
      <c r="BO47" s="153">
        <f t="shared" si="43"/>
        <v>0</v>
      </c>
      <c r="BP47" s="13">
        <f>'I&amp;E Monthly'!BP47</f>
        <v>0</v>
      </c>
      <c r="BQ47" s="13">
        <f>'I&amp;E Monthly'!BQ47</f>
        <v>0</v>
      </c>
      <c r="BR47" s="13">
        <f>'I&amp;E Monthly'!BR47</f>
        <v>0</v>
      </c>
      <c r="BS47" s="13">
        <f>'I&amp;E Monthly'!BS47</f>
        <v>0</v>
      </c>
      <c r="BT47" s="13">
        <f>'I&amp;E Monthly'!BT47</f>
        <v>0</v>
      </c>
      <c r="BU47" s="13">
        <f>'I&amp;E Monthly'!BU47</f>
        <v>0</v>
      </c>
      <c r="BV47" s="13">
        <f>'I&amp;E Monthly'!BV47</f>
        <v>0</v>
      </c>
      <c r="BW47" s="13">
        <f>'I&amp;E Monthly'!BW47</f>
        <v>0</v>
      </c>
      <c r="BX47" s="335"/>
      <c r="BY47" s="12"/>
      <c r="BZ47" s="363">
        <f t="shared" ca="1" si="44"/>
        <v>0</v>
      </c>
      <c r="CA47" s="12"/>
      <c r="CB47" s="7">
        <f t="shared" si="45"/>
        <v>0</v>
      </c>
      <c r="CC47" s="188" cm="1">
        <f t="array" ref="CC47">IF(E47="",0, IF(_xlfn.IFNA(INDEX('I&amp;E Profiles'!$D$96:$D$180, $I47), "N/A")="N/A", 1, 0))</f>
        <v>0</v>
      </c>
      <c r="CD47" s="7">
        <f t="shared" si="46"/>
        <v>0</v>
      </c>
      <c r="CE47" s="7">
        <f t="shared" si="47"/>
        <v>0</v>
      </c>
      <c r="CF47" s="7">
        <f t="shared" si="48"/>
        <v>0</v>
      </c>
      <c r="CG47" s="12"/>
      <c r="CH47" s="352">
        <f t="shared" si="49"/>
        <v>0</v>
      </c>
      <c r="CI47" s="352">
        <f t="shared" si="50"/>
        <v>0</v>
      </c>
      <c r="CJ47" s="352">
        <f t="shared" si="51"/>
        <v>0</v>
      </c>
      <c r="CK47" s="352">
        <f t="shared" si="52"/>
        <v>0</v>
      </c>
      <c r="CL47" s="352">
        <f t="shared" si="53"/>
        <v>0</v>
      </c>
      <c r="CM47" s="352">
        <f t="shared" si="54"/>
        <v>0</v>
      </c>
      <c r="CN47" s="352">
        <f t="shared" si="55"/>
        <v>0</v>
      </c>
      <c r="EX47" s="10" t="str">
        <f t="shared" si="1"/>
        <v/>
      </c>
    </row>
    <row r="48" spans="1:154" ht="30" x14ac:dyDescent="0.25">
      <c r="A48" s="362" cm="1">
        <f t="array" aca="1" ref="A48" ca="1">HYPERLINK(CONCATENATE("#",CELL("address",IF(SUM($CA48:$CG48)=0,A48,INDEX($CA48:$CG48,MATCH(1,$CA48:$CG48,0))))),SUM($CA48:$CG48))</f>
        <v>0</v>
      </c>
      <c r="B48" s="93"/>
      <c r="C48" s="343" t="s">
        <v>452</v>
      </c>
      <c r="D48" s="194" t="s">
        <v>26</v>
      </c>
      <c r="E48" s="147"/>
      <c r="F48" s="98" t="str" cm="1">
        <f t="array" aca="1" ref="F48" ca="1">IF(E48="", "", HYPERLINK(CONCATENATE("#",CELL("address",INDEX('I&amp;E Profiles'!$D$9:$D$93,'I&amp;E Annual'!I48))),E48))</f>
        <v/>
      </c>
      <c r="G48" s="372" t="s">
        <v>211</v>
      </c>
      <c r="H48" s="67" t="s">
        <v>8</v>
      </c>
      <c r="I48" s="350" t="str">
        <f>IF(E48="", "", MATCH(E48, 'I&amp;E Profiles'!$D$96:$D$180,0))</f>
        <v/>
      </c>
      <c r="J48" s="215">
        <f>IF($G48=$G$7, W48,'I&amp;E Monthly'!W48)-SUMIFS('I&amp;E Monthly'!$AA48:$BJ48, 'I&amp;E Monthly'!$AA$3:$BJ$3, 'I&amp;E Annual'!W$3, 'I&amp;E Monthly'!$AA$4:$BJ$4, 0)</f>
        <v>0</v>
      </c>
      <c r="K48" s="215">
        <f>IF($G48=$G$7, X48,'I&amp;E Monthly'!X48)-SUMIFS('I&amp;E Monthly'!$AA48:$BJ48, 'I&amp;E Monthly'!$AA$3:$BJ$3, 'I&amp;E Annual'!X$3, 'I&amp;E Monthly'!$AA$4:$BJ$4, 0)</f>
        <v>0</v>
      </c>
      <c r="L48" s="215">
        <f>IF($G48=$G$7, Y48,'I&amp;E Monthly'!Y48)-SUMIFS('I&amp;E Monthly'!$AA48:$BJ48, 'I&amp;E Monthly'!$AA$3:$BJ$3, 'I&amp;E Annual'!Y$3, 'I&amp;E Monthly'!$AA$4:$BJ$4, 0)</f>
        <v>0</v>
      </c>
      <c r="M48" s="335"/>
      <c r="N48" s="335"/>
      <c r="O48" s="335"/>
      <c r="P48" s="335"/>
      <c r="Q48" s="2"/>
      <c r="R48" s="335"/>
      <c r="S48" s="335"/>
      <c r="T48" s="335"/>
      <c r="U48" s="335"/>
      <c r="V48" s="201">
        <f>'I&amp;E Monthly'!V48</f>
        <v>0</v>
      </c>
      <c r="W48" s="354"/>
      <c r="X48" s="198"/>
      <c r="Y48" s="198"/>
      <c r="Z48" s="335"/>
      <c r="AA48" s="153" cm="1">
        <f t="array" ref="AA48">IF(OR(AA$4=0, $G48&lt;&gt; $G$7, $E48=0), 'I&amp;E Monthly'!AA48, CHOOSE(Timeline!AA$30,$J48,$K48,$L48 )*INDEX('I&amp;E Profiles'!AA$96:AA$180,$I48))</f>
        <v>0</v>
      </c>
      <c r="AB48" s="153" cm="1">
        <f t="array" ref="AB48">IF(OR(AB$4=0, $G48&lt;&gt; $G$7, $E48=0), 'I&amp;E Monthly'!AB48, CHOOSE(Timeline!AB$30,$J48,$K48,$L48 )*INDEX('I&amp;E Profiles'!AB$96:AB$180,$I48))</f>
        <v>0</v>
      </c>
      <c r="AC48" s="153" cm="1">
        <f t="array" ref="AC48">IF(OR(AC$4=0, $G48&lt;&gt; $G$7, $E48=0), 'I&amp;E Monthly'!AC48, CHOOSE(Timeline!AC$30,$J48,$K48,$L48 )*INDEX('I&amp;E Profiles'!AC$96:AC$180,$I48))</f>
        <v>0</v>
      </c>
      <c r="AD48" s="153" cm="1">
        <f t="array" ref="AD48">IF(OR(AD$4=0, $G48&lt;&gt; $G$7, $E48=0), 'I&amp;E Monthly'!AD48, CHOOSE(Timeline!AD$30,$J48,$K48,$L48 )*INDEX('I&amp;E Profiles'!AD$96:AD$180,$I48))</f>
        <v>0</v>
      </c>
      <c r="AE48" s="153" cm="1">
        <f t="array" ref="AE48">IF(OR(AE$4=0, $G48&lt;&gt; $G$7, $E48=0), 'I&amp;E Monthly'!AE48, CHOOSE(Timeline!AE$30,$J48,$K48,$L48 )*INDEX('I&amp;E Profiles'!AE$96:AE$180,$I48))</f>
        <v>0</v>
      </c>
      <c r="AF48" s="153" cm="1">
        <f t="array" ref="AF48">IF(OR(AF$4=0, $G48&lt;&gt; $G$7, $E48=0), 'I&amp;E Monthly'!AF48, CHOOSE(Timeline!AF$30,$J48,$K48,$L48 )*INDEX('I&amp;E Profiles'!AF$96:AF$180,$I48))</f>
        <v>0</v>
      </c>
      <c r="AG48" s="153" cm="1">
        <f t="array" ref="AG48">IF(OR(AG$4=0, $G48&lt;&gt; $G$7, $E48=0), 'I&amp;E Monthly'!AG48, CHOOSE(Timeline!AG$30,$J48,$K48,$L48 )*INDEX('I&amp;E Profiles'!AG$96:AG$180,$I48))</f>
        <v>0</v>
      </c>
      <c r="AH48" s="153" cm="1">
        <f t="array" ref="AH48">IF(OR(AH$4=0, $G48&lt;&gt; $G$7, $E48=0), 'I&amp;E Monthly'!AH48, CHOOSE(Timeline!AH$30,$J48,$K48,$L48 )*INDEX('I&amp;E Profiles'!AH$96:AH$180,$I48))</f>
        <v>0</v>
      </c>
      <c r="AI48" s="153" cm="1">
        <f t="array" ref="AI48">IF(OR(AI$4=0, $G48&lt;&gt; $G$7, $E48=0), 'I&amp;E Monthly'!AI48, CHOOSE(Timeline!AI$30,$J48,$K48,$L48 )*INDEX('I&amp;E Profiles'!AI$96:AI$180,$I48))</f>
        <v>0</v>
      </c>
      <c r="AJ48" s="153" cm="1">
        <f t="array" ref="AJ48">IF(OR(AJ$4=0, $G48&lt;&gt; $G$7, $E48=0), 'I&amp;E Monthly'!AJ48, CHOOSE(Timeline!AJ$30,$J48,$K48,$L48 )*INDEX('I&amp;E Profiles'!AJ$96:AJ$180,$I48))</f>
        <v>0</v>
      </c>
      <c r="AK48" s="153" cm="1">
        <f t="array" ref="AK48">IF(OR(AK$4=0, $G48&lt;&gt; $G$7, $E48=0), 'I&amp;E Monthly'!AK48, CHOOSE(Timeline!AK$30,$J48,$K48,$L48 )*INDEX('I&amp;E Profiles'!AK$96:AK$180,$I48))</f>
        <v>0</v>
      </c>
      <c r="AL48" s="153" cm="1">
        <f t="array" ref="AL48">IF(OR(AL$4=0, $G48&lt;&gt; $G$7, $E48=0), 'I&amp;E Monthly'!AL48, CHOOSE(Timeline!AL$30,$J48,$K48,$L48 )*INDEX('I&amp;E Profiles'!AL$96:AL$180,$I48))</f>
        <v>0</v>
      </c>
      <c r="AM48" s="153" cm="1">
        <f t="array" ref="AM48">IF(OR(AM$4=0, $G48&lt;&gt; $G$7, $E48=0), 'I&amp;E Monthly'!AM48, CHOOSE(Timeline!AM$30,$J48,$K48,$L48 )*INDEX('I&amp;E Profiles'!AM$96:AM$180,$I48))</f>
        <v>0</v>
      </c>
      <c r="AN48" s="153" cm="1">
        <f t="array" ref="AN48">IF(OR(AN$4=0, $G48&lt;&gt; $G$7, $E48=0), 'I&amp;E Monthly'!AN48, CHOOSE(Timeline!AN$30,$J48,$K48,$L48 )*INDEX('I&amp;E Profiles'!AN$96:AN$180,$I48))</f>
        <v>0</v>
      </c>
      <c r="AO48" s="153" cm="1">
        <f t="array" ref="AO48">IF(OR(AO$4=0, $G48&lt;&gt; $G$7, $E48=0), 'I&amp;E Monthly'!AO48, CHOOSE(Timeline!AO$30,$J48,$K48,$L48 )*INDEX('I&amp;E Profiles'!AO$96:AO$180,$I48))</f>
        <v>0</v>
      </c>
      <c r="AP48" s="153" cm="1">
        <f t="array" ref="AP48">IF(OR(AP$4=0, $G48&lt;&gt; $G$7, $E48=0), 'I&amp;E Monthly'!AP48, CHOOSE(Timeline!AP$30,$J48,$K48,$L48 )*INDEX('I&amp;E Profiles'!AP$96:AP$180,$I48))</f>
        <v>0</v>
      </c>
      <c r="AQ48" s="153" cm="1">
        <f t="array" ref="AQ48">IF(OR(AQ$4=0, $G48&lt;&gt; $G$7, $E48=0), 'I&amp;E Monthly'!AQ48, CHOOSE(Timeline!AQ$30,$J48,$K48,$L48 )*INDEX('I&amp;E Profiles'!AQ$96:AQ$180,$I48))</f>
        <v>0</v>
      </c>
      <c r="AR48" s="153" cm="1">
        <f t="array" ref="AR48">IF(OR(AR$4=0, $G48&lt;&gt; $G$7, $E48=0), 'I&amp;E Monthly'!AR48, CHOOSE(Timeline!AR$30,$J48,$K48,$L48 )*INDEX('I&amp;E Profiles'!AR$96:AR$180,$I48))</f>
        <v>0</v>
      </c>
      <c r="AS48" s="153" cm="1">
        <f t="array" ref="AS48">IF(OR(AS$4=0, $G48&lt;&gt; $G$7, $E48=0), 'I&amp;E Monthly'!AS48, CHOOSE(Timeline!AS$30,$J48,$K48,$L48 )*INDEX('I&amp;E Profiles'!AS$96:AS$180,$I48))</f>
        <v>0</v>
      </c>
      <c r="AT48" s="153" cm="1">
        <f t="array" ref="AT48">IF(OR(AT$4=0, $G48&lt;&gt; $G$7, $E48=0), 'I&amp;E Monthly'!AT48, CHOOSE(Timeline!AT$30,$J48,$K48,$L48 )*INDEX('I&amp;E Profiles'!AT$96:AT$180,$I48))</f>
        <v>0</v>
      </c>
      <c r="AU48" s="153" cm="1">
        <f t="array" ref="AU48">IF(OR(AU$4=0, $G48&lt;&gt; $G$7, $E48=0), 'I&amp;E Monthly'!AU48, CHOOSE(Timeline!AU$30,$J48,$K48,$L48 )*INDEX('I&amp;E Profiles'!AU$96:AU$180,$I48))</f>
        <v>0</v>
      </c>
      <c r="AV48" s="153" cm="1">
        <f t="array" ref="AV48">IF(OR(AV$4=0, $G48&lt;&gt; $G$7, $E48=0), 'I&amp;E Monthly'!AV48, CHOOSE(Timeline!AV$30,$J48,$K48,$L48 )*INDEX('I&amp;E Profiles'!AV$96:AV$180,$I48))</f>
        <v>0</v>
      </c>
      <c r="AW48" s="153" cm="1">
        <f t="array" ref="AW48">IF(OR(AW$4=0, $G48&lt;&gt; $G$7, $E48=0), 'I&amp;E Monthly'!AW48, CHOOSE(Timeline!AW$30,$J48,$K48,$L48 )*INDEX('I&amp;E Profiles'!AW$96:AW$180,$I48))</f>
        <v>0</v>
      </c>
      <c r="AX48" s="153" cm="1">
        <f t="array" ref="AX48">IF(OR(AX$4=0, $G48&lt;&gt; $G$7, $E48=0), 'I&amp;E Monthly'!AX48, CHOOSE(Timeline!AX$30,$J48,$K48,$L48 )*INDEX('I&amp;E Profiles'!AX$96:AX$180,$I48))</f>
        <v>0</v>
      </c>
      <c r="AY48" s="153" cm="1">
        <f t="array" ref="AY48">IF(OR(AY$4=0, $G48&lt;&gt; $G$7, $E48=0), 'I&amp;E Monthly'!AY48, CHOOSE(Timeline!AY$30,$J48,$K48,$L48 )*INDEX('I&amp;E Profiles'!AY$96:AY$180,$I48))</f>
        <v>0</v>
      </c>
      <c r="AZ48" s="153" cm="1">
        <f t="array" ref="AZ48">IF(OR(AZ$4=0, $G48&lt;&gt; $G$7, $E48=0), 'I&amp;E Monthly'!AZ48, CHOOSE(Timeline!AZ$30,$J48,$K48,$L48 )*INDEX('I&amp;E Profiles'!AZ$96:AZ$180,$I48))</f>
        <v>0</v>
      </c>
      <c r="BA48" s="153" cm="1">
        <f t="array" ref="BA48">IF(OR(BA$4=0, $G48&lt;&gt; $G$7, $E48=0), 'I&amp;E Monthly'!BA48, CHOOSE(Timeline!BA$30,$J48,$K48,$L48 )*INDEX('I&amp;E Profiles'!BA$96:BA$180,$I48))</f>
        <v>0</v>
      </c>
      <c r="BB48" s="153" cm="1">
        <f t="array" ref="BB48">IF(OR(BB$4=0, $G48&lt;&gt; $G$7, $E48=0), 'I&amp;E Monthly'!BB48, CHOOSE(Timeline!BB$30,$J48,$K48,$L48 )*INDEX('I&amp;E Profiles'!BB$96:BB$180,$I48))</f>
        <v>0</v>
      </c>
      <c r="BC48" s="153" cm="1">
        <f t="array" ref="BC48">IF(OR(BC$4=0, $G48&lt;&gt; $G$7, $E48=0), 'I&amp;E Monthly'!BC48, CHOOSE(Timeline!BC$30,$J48,$K48,$L48 )*INDEX('I&amp;E Profiles'!BC$96:BC$180,$I48))</f>
        <v>0</v>
      </c>
      <c r="BD48" s="153" cm="1">
        <f t="array" ref="BD48">IF(OR(BD$4=0, $G48&lt;&gt; $G$7, $E48=0), 'I&amp;E Monthly'!BD48, CHOOSE(Timeline!BD$30,$J48,$K48,$L48 )*INDEX('I&amp;E Profiles'!BD$96:BD$180,$I48))</f>
        <v>0</v>
      </c>
      <c r="BE48" s="153" cm="1">
        <f t="array" ref="BE48">IF(OR(BE$4=0, $G48&lt;&gt; $G$7, $E48=0), 'I&amp;E Monthly'!BE48, CHOOSE(Timeline!BE$30,$J48,$K48,$L48 )*INDEX('I&amp;E Profiles'!BE$96:BE$180,$I48))</f>
        <v>0</v>
      </c>
      <c r="BF48" s="153" cm="1">
        <f t="array" ref="BF48">IF(OR(BF$4=0, $G48&lt;&gt; $G$7, $E48=0), 'I&amp;E Monthly'!BF48, CHOOSE(Timeline!BF$30,$J48,$K48,$L48 )*INDEX('I&amp;E Profiles'!BF$96:BF$180,$I48))</f>
        <v>0</v>
      </c>
      <c r="BG48" s="153" cm="1">
        <f t="array" ref="BG48">IF(OR(BG$4=0, $G48&lt;&gt; $G$7, $E48=0), 'I&amp;E Monthly'!BG48, CHOOSE(Timeline!BG$30,$J48,$K48,$L48 )*INDEX('I&amp;E Profiles'!BG$96:BG$180,$I48))</f>
        <v>0</v>
      </c>
      <c r="BH48" s="153" cm="1">
        <f t="array" ref="BH48">IF(OR(BH$4=0, $G48&lt;&gt; $G$7, $E48=0), 'I&amp;E Monthly'!BH48, CHOOSE(Timeline!BH$30,$J48,$K48,$L48 )*INDEX('I&amp;E Profiles'!BH$96:BH$180,$I48))</f>
        <v>0</v>
      </c>
      <c r="BI48" s="153" cm="1">
        <f t="array" ref="BI48">IF(OR(BI$4=0, $G48&lt;&gt; $G$7, $E48=0), 'I&amp;E Monthly'!BI48, CHOOSE(Timeline!BI$30,$J48,$K48,$L48 )*INDEX('I&amp;E Profiles'!BI$96:BI$180,$I48))</f>
        <v>0</v>
      </c>
      <c r="BJ48" s="153" cm="1">
        <f t="array" ref="BJ48">IF(OR(BJ$4=0, $G48&lt;&gt; $G$7, $E48=0), 'I&amp;E Monthly'!BJ48, CHOOSE(Timeline!BJ$30,$J48,$K48,$L48 )*INDEX('I&amp;E Profiles'!BJ$96:BJ$180,$I48))</f>
        <v>0</v>
      </c>
      <c r="BK48" s="335"/>
      <c r="BL48" s="13">
        <f t="shared" si="42"/>
        <v>0</v>
      </c>
      <c r="BM48" s="153">
        <f t="shared" si="43"/>
        <v>0</v>
      </c>
      <c r="BN48" s="153">
        <f t="shared" si="43"/>
        <v>0</v>
      </c>
      <c r="BO48" s="153">
        <f t="shared" si="43"/>
        <v>0</v>
      </c>
      <c r="BP48" s="13">
        <f>'I&amp;E Monthly'!BP48</f>
        <v>0</v>
      </c>
      <c r="BQ48" s="13">
        <f>'I&amp;E Monthly'!BQ48</f>
        <v>0</v>
      </c>
      <c r="BR48" s="13">
        <f>'I&amp;E Monthly'!BR48</f>
        <v>0</v>
      </c>
      <c r="BS48" s="13">
        <f>'I&amp;E Monthly'!BS48</f>
        <v>0</v>
      </c>
      <c r="BT48" s="13">
        <f>'I&amp;E Monthly'!BT48</f>
        <v>0</v>
      </c>
      <c r="BU48" s="13">
        <f>'I&amp;E Monthly'!BU48</f>
        <v>0</v>
      </c>
      <c r="BV48" s="13">
        <f>'I&amp;E Monthly'!BV48</f>
        <v>0</v>
      </c>
      <c r="BW48" s="13">
        <f>'I&amp;E Monthly'!BW48</f>
        <v>0</v>
      </c>
      <c r="BX48" s="335"/>
      <c r="BY48" s="12"/>
      <c r="BZ48" s="363">
        <f t="shared" ca="1" si="44"/>
        <v>0</v>
      </c>
      <c r="CA48" s="12"/>
      <c r="CB48" s="7">
        <f t="shared" si="45"/>
        <v>0</v>
      </c>
      <c r="CC48" s="188" cm="1">
        <f t="array" ref="CC48">IF(E48="",0, IF(_xlfn.IFNA(INDEX('I&amp;E Profiles'!$D$96:$D$180, $I48), "N/A")="N/A", 1, 0))</f>
        <v>0</v>
      </c>
      <c r="CD48" s="7">
        <f t="shared" si="46"/>
        <v>0</v>
      </c>
      <c r="CE48" s="7">
        <f t="shared" si="47"/>
        <v>0</v>
      </c>
      <c r="CF48" s="7">
        <f t="shared" si="48"/>
        <v>0</v>
      </c>
      <c r="CG48" s="12"/>
      <c r="CH48" s="352">
        <f t="shared" si="49"/>
        <v>0</v>
      </c>
      <c r="CI48" s="352">
        <f t="shared" si="50"/>
        <v>0</v>
      </c>
      <c r="CJ48" s="352">
        <f t="shared" si="51"/>
        <v>0</v>
      </c>
      <c r="CK48" s="352">
        <f t="shared" si="52"/>
        <v>0</v>
      </c>
      <c r="CL48" s="352">
        <f t="shared" si="53"/>
        <v>0</v>
      </c>
      <c r="CM48" s="352">
        <f t="shared" si="54"/>
        <v>0</v>
      </c>
      <c r="CN48" s="352">
        <f t="shared" si="55"/>
        <v>0</v>
      </c>
      <c r="EX48" s="10" t="str">
        <f t="shared" si="1"/>
        <v>Subcontracted in - Adult Education and Training Income</v>
      </c>
    </row>
    <row r="49" spans="1:154" s="5" customFormat="1" ht="30" x14ac:dyDescent="0.25">
      <c r="A49" s="362" cm="1">
        <f t="array" aca="1" ref="A49" ca="1">HYPERLINK(CONCATENATE("#",CELL("address",IF(SUM($CA49:$CG49)=0,A49,INDEX($CA49:$CG49,MATCH(1,$CA49:$CG49,0))))),SUM($CA49:$CG49))</f>
        <v>0</v>
      </c>
      <c r="B49" s="189"/>
      <c r="C49" s="343" t="s">
        <v>453</v>
      </c>
      <c r="D49" s="433" t="s">
        <v>447</v>
      </c>
      <c r="E49" s="82"/>
      <c r="F49" s="82"/>
      <c r="G49" s="82"/>
      <c r="I49" s="82"/>
      <c r="J49" s="82"/>
      <c r="Q49" s="2"/>
      <c r="R49" s="335"/>
      <c r="S49" s="67"/>
      <c r="T49" s="335"/>
      <c r="U49" s="335"/>
      <c r="V49" s="13">
        <f>SUM(V41:V48)</f>
        <v>0</v>
      </c>
      <c r="W49" s="13">
        <f>SUM(W41:W48)</f>
        <v>0</v>
      </c>
      <c r="X49" s="13">
        <f>SUM(X41:X48)</f>
        <v>0</v>
      </c>
      <c r="Y49" s="13">
        <f>SUM(Y41:Y48)</f>
        <v>0</v>
      </c>
      <c r="Z49" s="67"/>
      <c r="AA49" s="13">
        <f t="shared" ref="AA49:BJ49" si="56">SUM(AA41:AA48)</f>
        <v>212</v>
      </c>
      <c r="AB49" s="13">
        <f t="shared" si="56"/>
        <v>126</v>
      </c>
      <c r="AC49" s="13">
        <f t="shared" si="56"/>
        <v>128</v>
      </c>
      <c r="AD49" s="13">
        <f t="shared" si="56"/>
        <v>104</v>
      </c>
      <c r="AE49" s="13">
        <f t="shared" si="56"/>
        <v>83</v>
      </c>
      <c r="AF49" s="13">
        <f t="shared" si="56"/>
        <v>109</v>
      </c>
      <c r="AG49" s="13">
        <f t="shared" si="56"/>
        <v>79</v>
      </c>
      <c r="AH49" s="13">
        <f t="shared" si="56"/>
        <v>79</v>
      </c>
      <c r="AI49" s="13">
        <f t="shared" si="56"/>
        <v>188</v>
      </c>
      <c r="AJ49" s="13">
        <f t="shared" si="56"/>
        <v>151</v>
      </c>
      <c r="AK49" s="13">
        <f t="shared" si="56"/>
        <v>129</v>
      </c>
      <c r="AL49" s="13">
        <f t="shared" si="56"/>
        <v>73</v>
      </c>
      <c r="AM49" s="13">
        <f t="shared" si="56"/>
        <v>215</v>
      </c>
      <c r="AN49" s="13">
        <f t="shared" si="56"/>
        <v>129</v>
      </c>
      <c r="AO49" s="13">
        <f t="shared" si="56"/>
        <v>131</v>
      </c>
      <c r="AP49" s="13">
        <f t="shared" si="56"/>
        <v>107</v>
      </c>
      <c r="AQ49" s="13">
        <f t="shared" si="56"/>
        <v>86</v>
      </c>
      <c r="AR49" s="13">
        <f t="shared" si="56"/>
        <v>111</v>
      </c>
      <c r="AS49" s="13">
        <f t="shared" si="56"/>
        <v>82</v>
      </c>
      <c r="AT49" s="13">
        <f t="shared" si="56"/>
        <v>81</v>
      </c>
      <c r="AU49" s="13">
        <f t="shared" si="56"/>
        <v>191</v>
      </c>
      <c r="AV49" s="13">
        <f t="shared" si="56"/>
        <v>155</v>
      </c>
      <c r="AW49" s="13">
        <f t="shared" si="56"/>
        <v>133</v>
      </c>
      <c r="AX49" s="13">
        <f t="shared" si="56"/>
        <v>76</v>
      </c>
      <c r="AY49" s="13">
        <f t="shared" si="56"/>
        <v>220.14999999999998</v>
      </c>
      <c r="AZ49" s="13">
        <f t="shared" si="56"/>
        <v>132.04999999999998</v>
      </c>
      <c r="BA49" s="13">
        <f t="shared" si="56"/>
        <v>134.1</v>
      </c>
      <c r="BB49" s="13">
        <f t="shared" si="56"/>
        <v>109.52499999999999</v>
      </c>
      <c r="BC49" s="13">
        <f t="shared" si="56"/>
        <v>88.024999999999991</v>
      </c>
      <c r="BD49" s="13">
        <f t="shared" si="56"/>
        <v>113.64999999999999</v>
      </c>
      <c r="BE49" s="13">
        <f t="shared" si="56"/>
        <v>83.924999999999997</v>
      </c>
      <c r="BF49" s="13">
        <f t="shared" si="56"/>
        <v>82.924999999999997</v>
      </c>
      <c r="BG49" s="13">
        <f t="shared" si="56"/>
        <v>205.54999999999998</v>
      </c>
      <c r="BH49" s="13">
        <f t="shared" si="56"/>
        <v>183.64999999999998</v>
      </c>
      <c r="BI49" s="13">
        <f t="shared" si="56"/>
        <v>136.125</v>
      </c>
      <c r="BJ49" s="13">
        <f t="shared" si="56"/>
        <v>77.724999999999994</v>
      </c>
      <c r="BK49" s="67"/>
      <c r="BL49" s="13">
        <f t="shared" ref="BL49:BW49" si="57">SUM(BL41:BL48)</f>
        <v>0</v>
      </c>
      <c r="BM49" s="13">
        <f t="shared" si="57"/>
        <v>1461</v>
      </c>
      <c r="BN49" s="13">
        <f t="shared" si="57"/>
        <v>1497</v>
      </c>
      <c r="BO49" s="13">
        <f t="shared" si="57"/>
        <v>1567.3999999999996</v>
      </c>
      <c r="BP49" s="13">
        <f t="shared" si="57"/>
        <v>0</v>
      </c>
      <c r="BQ49" s="13">
        <f t="shared" si="57"/>
        <v>0</v>
      </c>
      <c r="BR49" s="13">
        <f t="shared" si="57"/>
        <v>0</v>
      </c>
      <c r="BS49" s="13">
        <f t="shared" si="57"/>
        <v>0</v>
      </c>
      <c r="BT49" s="13">
        <f t="shared" si="57"/>
        <v>0</v>
      </c>
      <c r="BU49" s="13">
        <f t="shared" si="57"/>
        <v>0</v>
      </c>
      <c r="BV49" s="13">
        <f t="shared" si="57"/>
        <v>0</v>
      </c>
      <c r="BW49" s="13">
        <f t="shared" si="57"/>
        <v>0</v>
      </c>
      <c r="BY49" s="12"/>
      <c r="BZ49" s="363">
        <f t="shared" ca="1" si="44"/>
        <v>0</v>
      </c>
      <c r="CA49" s="12"/>
      <c r="CB49" s="335"/>
      <c r="CC49" s="335"/>
      <c r="CD49" s="7">
        <f t="shared" si="46"/>
        <v>0</v>
      </c>
      <c r="CE49" s="7">
        <f t="shared" si="47"/>
        <v>0</v>
      </c>
      <c r="CF49" s="7">
        <f t="shared" si="48"/>
        <v>0</v>
      </c>
      <c r="CG49" s="12"/>
      <c r="CH49" s="352">
        <f t="shared" si="49"/>
        <v>0</v>
      </c>
      <c r="CI49" s="352">
        <f t="shared" si="50"/>
        <v>0</v>
      </c>
      <c r="CJ49" s="352">
        <f t="shared" si="51"/>
        <v>0</v>
      </c>
      <c r="CK49" s="352">
        <f t="shared" si="52"/>
        <v>0</v>
      </c>
      <c r="CL49" s="352">
        <f t="shared" si="53"/>
        <v>0</v>
      </c>
      <c r="CM49" s="352">
        <f t="shared" si="54"/>
        <v>0</v>
      </c>
      <c r="CN49" s="352">
        <f t="shared" si="55"/>
        <v>0</v>
      </c>
      <c r="EX49" s="10" t="str">
        <f t="shared" si="1"/>
        <v>Total Adult Education and Training Income (Excluding clawbacks)</v>
      </c>
    </row>
    <row r="50" spans="1:154" ht="30" x14ac:dyDescent="0.25">
      <c r="A50" s="362" cm="1">
        <f t="array" aca="1" ref="A50" ca="1">HYPERLINK(CONCATENATE("#",CELL("address",IF(SUM($CA50:$CG50)=0,A50,INDEX($CA50:$CG50,MATCH(1,$CA50:$CG50,0))))),SUM($CA50:$CG50))</f>
        <v>0</v>
      </c>
      <c r="B50" s="93"/>
      <c r="C50" s="343" t="s">
        <v>454</v>
      </c>
      <c r="D50" s="194" t="s">
        <v>2506</v>
      </c>
      <c r="E50" s="147"/>
      <c r="F50" s="98" t="str" cm="1">
        <f t="array" aca="1" ref="F50" ca="1">IF(E50="", "", HYPERLINK(CONCATENATE("#",CELL("address",INDEX('I&amp;E Profiles'!$D$9:$D$93,'I&amp;E Annual'!I50))),E50))</f>
        <v/>
      </c>
      <c r="G50" s="147" t="s">
        <v>211</v>
      </c>
      <c r="H50" s="67" t="s">
        <v>8</v>
      </c>
      <c r="I50" s="350" t="str">
        <f>IF(E50="", "", MATCH(E50, 'I&amp;E Profiles'!$D$96:$D$180,0))</f>
        <v/>
      </c>
      <c r="J50" s="215">
        <f>IF($G50=$G$7, W50,'I&amp;E Monthly'!W50)-SUMIFS('I&amp;E Monthly'!$AA50:$BJ50, 'I&amp;E Monthly'!$AA$3:$BJ$3, 'I&amp;E Annual'!W$3, 'I&amp;E Monthly'!$AA$4:$BJ$4, 0)</f>
        <v>0</v>
      </c>
      <c r="K50" s="215">
        <f>IF($G50=$G$7, X50,'I&amp;E Monthly'!X50)-SUMIFS('I&amp;E Monthly'!$AA50:$BJ50, 'I&amp;E Monthly'!$AA$3:$BJ$3, 'I&amp;E Annual'!X$3, 'I&amp;E Monthly'!$AA$4:$BJ$4, 0)</f>
        <v>0</v>
      </c>
      <c r="L50" s="215">
        <f>IF($G50=$G$7, Y50,'I&amp;E Monthly'!Y50)-SUMIFS('I&amp;E Monthly'!$AA50:$BJ50, 'I&amp;E Monthly'!$AA$3:$BJ$3, 'I&amp;E Annual'!Y$3, 'I&amp;E Monthly'!$AA$4:$BJ$4, 0)</f>
        <v>0</v>
      </c>
      <c r="M50" s="335"/>
      <c r="N50" s="335"/>
      <c r="O50" s="335"/>
      <c r="P50" s="335"/>
      <c r="Q50" s="2"/>
      <c r="R50" s="335"/>
      <c r="S50" s="335"/>
      <c r="T50" s="335"/>
      <c r="U50" s="335"/>
      <c r="V50" s="201">
        <f>'I&amp;E Monthly'!V50</f>
        <v>0</v>
      </c>
      <c r="W50" s="354"/>
      <c r="X50" s="198"/>
      <c r="Y50" s="198"/>
      <c r="Z50" s="335"/>
      <c r="AA50" s="153" cm="1">
        <f t="array" ref="AA50">IF(OR(AA$4=0, $G50&lt;&gt; $G$7, $E50=0), 'I&amp;E Monthly'!AA50, CHOOSE(Timeline!AA$30,$J50,$K50,$L50 )*INDEX('I&amp;E Profiles'!AA$96:AA$180,$I50))</f>
        <v>0</v>
      </c>
      <c r="AB50" s="153" cm="1">
        <f t="array" ref="AB50">IF(OR(AB$4=0, $G50&lt;&gt; $G$7, $E50=0), 'I&amp;E Monthly'!AB50, CHOOSE(Timeline!AB$30,$J50,$K50,$L50 )*INDEX('I&amp;E Profiles'!AB$96:AB$180,$I50))</f>
        <v>0</v>
      </c>
      <c r="AC50" s="153" cm="1">
        <f t="array" ref="AC50">IF(OR(AC$4=0, $G50&lt;&gt; $G$7, $E50=0), 'I&amp;E Monthly'!AC50, CHOOSE(Timeline!AC$30,$J50,$K50,$L50 )*INDEX('I&amp;E Profiles'!AC$96:AC$180,$I50))</f>
        <v>0</v>
      </c>
      <c r="AD50" s="153" cm="1">
        <f t="array" ref="AD50">IF(OR(AD$4=0, $G50&lt;&gt; $G$7, $E50=0), 'I&amp;E Monthly'!AD50, CHOOSE(Timeline!AD$30,$J50,$K50,$L50 )*INDEX('I&amp;E Profiles'!AD$96:AD$180,$I50))</f>
        <v>0</v>
      </c>
      <c r="AE50" s="153" cm="1">
        <f t="array" ref="AE50">IF(OR(AE$4=0, $G50&lt;&gt; $G$7, $E50=0), 'I&amp;E Monthly'!AE50, CHOOSE(Timeline!AE$30,$J50,$K50,$L50 )*INDEX('I&amp;E Profiles'!AE$96:AE$180,$I50))</f>
        <v>0</v>
      </c>
      <c r="AF50" s="153" cm="1">
        <f t="array" ref="AF50">IF(OR(AF$4=0, $G50&lt;&gt; $G$7, $E50=0), 'I&amp;E Monthly'!AF50, CHOOSE(Timeline!AF$30,$J50,$K50,$L50 )*INDEX('I&amp;E Profiles'!AF$96:AF$180,$I50))</f>
        <v>0</v>
      </c>
      <c r="AG50" s="153" cm="1">
        <f t="array" ref="AG50">IF(OR(AG$4=0, $G50&lt;&gt; $G$7, $E50=0), 'I&amp;E Monthly'!AG50, CHOOSE(Timeline!AG$30,$J50,$K50,$L50 )*INDEX('I&amp;E Profiles'!AG$96:AG$180,$I50))</f>
        <v>0</v>
      </c>
      <c r="AH50" s="153" cm="1">
        <f t="array" ref="AH50">IF(OR(AH$4=0, $G50&lt;&gt; $G$7, $E50=0), 'I&amp;E Monthly'!AH50, CHOOSE(Timeline!AH$30,$J50,$K50,$L50 )*INDEX('I&amp;E Profiles'!AH$96:AH$180,$I50))</f>
        <v>0</v>
      </c>
      <c r="AI50" s="153" cm="1">
        <f t="array" ref="AI50">IF(OR(AI$4=0, $G50&lt;&gt; $G$7, $E50=0), 'I&amp;E Monthly'!AI50, CHOOSE(Timeline!AI$30,$J50,$K50,$L50 )*INDEX('I&amp;E Profiles'!AI$96:AI$180,$I50))</f>
        <v>0</v>
      </c>
      <c r="AJ50" s="153" cm="1">
        <f t="array" ref="AJ50">IF(OR(AJ$4=0, $G50&lt;&gt; $G$7, $E50=0), 'I&amp;E Monthly'!AJ50, CHOOSE(Timeline!AJ$30,$J50,$K50,$L50 )*INDEX('I&amp;E Profiles'!AJ$96:AJ$180,$I50))</f>
        <v>0</v>
      </c>
      <c r="AK50" s="153" cm="1">
        <f t="array" ref="AK50">IF(OR(AK$4=0, $G50&lt;&gt; $G$7, $E50=0), 'I&amp;E Monthly'!AK50, CHOOSE(Timeline!AK$30,$J50,$K50,$L50 )*INDEX('I&amp;E Profiles'!AK$96:AK$180,$I50))</f>
        <v>0</v>
      </c>
      <c r="AL50" s="153" cm="1">
        <f t="array" ref="AL50">IF(OR(AL$4=0, $G50&lt;&gt; $G$7, $E50=0), 'I&amp;E Monthly'!AL50, CHOOSE(Timeline!AL$30,$J50,$K50,$L50 )*INDEX('I&amp;E Profiles'!AL$96:AL$180,$I50))</f>
        <v>0</v>
      </c>
      <c r="AM50" s="153" cm="1">
        <f t="array" ref="AM50">IF(OR(AM$4=0, $G50&lt;&gt; $G$7, $E50=0), 'I&amp;E Monthly'!AM50, CHOOSE(Timeline!AM$30,$J50,$K50,$L50 )*INDEX('I&amp;E Profiles'!AM$96:AM$180,$I50))</f>
        <v>0</v>
      </c>
      <c r="AN50" s="153" cm="1">
        <f t="array" ref="AN50">IF(OR(AN$4=0, $G50&lt;&gt; $G$7, $E50=0), 'I&amp;E Monthly'!AN50, CHOOSE(Timeline!AN$30,$J50,$K50,$L50 )*INDEX('I&amp;E Profiles'!AN$96:AN$180,$I50))</f>
        <v>0</v>
      </c>
      <c r="AO50" s="153" cm="1">
        <f t="array" ref="AO50">IF(OR(AO$4=0, $G50&lt;&gt; $G$7, $E50=0), 'I&amp;E Monthly'!AO50, CHOOSE(Timeline!AO$30,$J50,$K50,$L50 )*INDEX('I&amp;E Profiles'!AO$96:AO$180,$I50))</f>
        <v>0</v>
      </c>
      <c r="AP50" s="153" cm="1">
        <f t="array" ref="AP50">IF(OR(AP$4=0, $G50&lt;&gt; $G$7, $E50=0), 'I&amp;E Monthly'!AP50, CHOOSE(Timeline!AP$30,$J50,$K50,$L50 )*INDEX('I&amp;E Profiles'!AP$96:AP$180,$I50))</f>
        <v>0</v>
      </c>
      <c r="AQ50" s="153" cm="1">
        <f t="array" ref="AQ50">IF(OR(AQ$4=0, $G50&lt;&gt; $G$7, $E50=0), 'I&amp;E Monthly'!AQ50, CHOOSE(Timeline!AQ$30,$J50,$K50,$L50 )*INDEX('I&amp;E Profiles'!AQ$96:AQ$180,$I50))</f>
        <v>0</v>
      </c>
      <c r="AR50" s="153" cm="1">
        <f t="array" ref="AR50">IF(OR(AR$4=0, $G50&lt;&gt; $G$7, $E50=0), 'I&amp;E Monthly'!AR50, CHOOSE(Timeline!AR$30,$J50,$K50,$L50 )*INDEX('I&amp;E Profiles'!AR$96:AR$180,$I50))</f>
        <v>0</v>
      </c>
      <c r="AS50" s="153" cm="1">
        <f t="array" ref="AS50">IF(OR(AS$4=0, $G50&lt;&gt; $G$7, $E50=0), 'I&amp;E Monthly'!AS50, CHOOSE(Timeline!AS$30,$J50,$K50,$L50 )*INDEX('I&amp;E Profiles'!AS$96:AS$180,$I50))</f>
        <v>0</v>
      </c>
      <c r="AT50" s="153" cm="1">
        <f t="array" ref="AT50">IF(OR(AT$4=0, $G50&lt;&gt; $G$7, $E50=0), 'I&amp;E Monthly'!AT50, CHOOSE(Timeline!AT$30,$J50,$K50,$L50 )*INDEX('I&amp;E Profiles'!AT$96:AT$180,$I50))</f>
        <v>0</v>
      </c>
      <c r="AU50" s="153" cm="1">
        <f t="array" ref="AU50">IF(OR(AU$4=0, $G50&lt;&gt; $G$7, $E50=0), 'I&amp;E Monthly'!AU50, CHOOSE(Timeline!AU$30,$J50,$K50,$L50 )*INDEX('I&amp;E Profiles'!AU$96:AU$180,$I50))</f>
        <v>0</v>
      </c>
      <c r="AV50" s="153" cm="1">
        <f t="array" ref="AV50">IF(OR(AV$4=0, $G50&lt;&gt; $G$7, $E50=0), 'I&amp;E Monthly'!AV50, CHOOSE(Timeline!AV$30,$J50,$K50,$L50 )*INDEX('I&amp;E Profiles'!AV$96:AV$180,$I50))</f>
        <v>0</v>
      </c>
      <c r="AW50" s="153" cm="1">
        <f t="array" ref="AW50">IF(OR(AW$4=0, $G50&lt;&gt; $G$7, $E50=0), 'I&amp;E Monthly'!AW50, CHOOSE(Timeline!AW$30,$J50,$K50,$L50 )*INDEX('I&amp;E Profiles'!AW$96:AW$180,$I50))</f>
        <v>0</v>
      </c>
      <c r="AX50" s="153" cm="1">
        <f t="array" ref="AX50">IF(OR(AX$4=0, $G50&lt;&gt; $G$7, $E50=0), 'I&amp;E Monthly'!AX50, CHOOSE(Timeline!AX$30,$J50,$K50,$L50 )*INDEX('I&amp;E Profiles'!AX$96:AX$180,$I50))</f>
        <v>0</v>
      </c>
      <c r="AY50" s="153" cm="1">
        <f t="array" ref="AY50">IF(OR(AY$4=0, $G50&lt;&gt; $G$7, $E50=0), 'I&amp;E Monthly'!AY50, CHOOSE(Timeline!AY$30,$J50,$K50,$L50 )*INDEX('I&amp;E Profiles'!AY$96:AY$180,$I50))</f>
        <v>0</v>
      </c>
      <c r="AZ50" s="153" cm="1">
        <f t="array" ref="AZ50">IF(OR(AZ$4=0, $G50&lt;&gt; $G$7, $E50=0), 'I&amp;E Monthly'!AZ50, CHOOSE(Timeline!AZ$30,$J50,$K50,$L50 )*INDEX('I&amp;E Profiles'!AZ$96:AZ$180,$I50))</f>
        <v>0</v>
      </c>
      <c r="BA50" s="153" cm="1">
        <f t="array" ref="BA50">IF(OR(BA$4=0, $G50&lt;&gt; $G$7, $E50=0), 'I&amp;E Monthly'!BA50, CHOOSE(Timeline!BA$30,$J50,$K50,$L50 )*INDEX('I&amp;E Profiles'!BA$96:BA$180,$I50))</f>
        <v>0</v>
      </c>
      <c r="BB50" s="153" cm="1">
        <f t="array" ref="BB50">IF(OR(BB$4=0, $G50&lt;&gt; $G$7, $E50=0), 'I&amp;E Monthly'!BB50, CHOOSE(Timeline!BB$30,$J50,$K50,$L50 )*INDEX('I&amp;E Profiles'!BB$96:BB$180,$I50))</f>
        <v>0</v>
      </c>
      <c r="BC50" s="153" cm="1">
        <f t="array" ref="BC50">IF(OR(BC$4=0, $G50&lt;&gt; $G$7, $E50=0), 'I&amp;E Monthly'!BC50, CHOOSE(Timeline!BC$30,$J50,$K50,$L50 )*INDEX('I&amp;E Profiles'!BC$96:BC$180,$I50))</f>
        <v>0</v>
      </c>
      <c r="BD50" s="153" cm="1">
        <f t="array" ref="BD50">IF(OR(BD$4=0, $G50&lt;&gt; $G$7, $E50=0), 'I&amp;E Monthly'!BD50, CHOOSE(Timeline!BD$30,$J50,$K50,$L50 )*INDEX('I&amp;E Profiles'!BD$96:BD$180,$I50))</f>
        <v>0</v>
      </c>
      <c r="BE50" s="153" cm="1">
        <f t="array" ref="BE50">IF(OR(BE$4=0, $G50&lt;&gt; $G$7, $E50=0), 'I&amp;E Monthly'!BE50, CHOOSE(Timeline!BE$30,$J50,$K50,$L50 )*INDEX('I&amp;E Profiles'!BE$96:BE$180,$I50))</f>
        <v>0</v>
      </c>
      <c r="BF50" s="153" cm="1">
        <f t="array" ref="BF50">IF(OR(BF$4=0, $G50&lt;&gt; $G$7, $E50=0), 'I&amp;E Monthly'!BF50, CHOOSE(Timeline!BF$30,$J50,$K50,$L50 )*INDEX('I&amp;E Profiles'!BF$96:BF$180,$I50))</f>
        <v>0</v>
      </c>
      <c r="BG50" s="153" cm="1">
        <f t="array" ref="BG50">IF(OR(BG$4=0, $G50&lt;&gt; $G$7, $E50=0), 'I&amp;E Monthly'!BG50, CHOOSE(Timeline!BG$30,$J50,$K50,$L50 )*INDEX('I&amp;E Profiles'!BG$96:BG$180,$I50))</f>
        <v>0</v>
      </c>
      <c r="BH50" s="153" cm="1">
        <f t="array" ref="BH50">IF(OR(BH$4=0, $G50&lt;&gt; $G$7, $E50=0), 'I&amp;E Monthly'!BH50, CHOOSE(Timeline!BH$30,$J50,$K50,$L50 )*INDEX('I&amp;E Profiles'!BH$96:BH$180,$I50))</f>
        <v>0</v>
      </c>
      <c r="BI50" s="153" cm="1">
        <f t="array" ref="BI50">IF(OR(BI$4=0, $G50&lt;&gt; $G$7, $E50=0), 'I&amp;E Monthly'!BI50, CHOOSE(Timeline!BI$30,$J50,$K50,$L50 )*INDEX('I&amp;E Profiles'!BI$96:BI$180,$I50))</f>
        <v>0</v>
      </c>
      <c r="BJ50" s="153" cm="1">
        <f t="array" ref="BJ50">IF(OR(BJ$4=0, $G50&lt;&gt; $G$7, $E50=0), 'I&amp;E Monthly'!BJ50, CHOOSE(Timeline!BJ$30,$J50,$K50,$L50 )*INDEX('I&amp;E Profiles'!BJ$96:BJ$180,$I50))</f>
        <v>0</v>
      </c>
      <c r="BK50" s="335"/>
      <c r="BL50" s="13">
        <f>V50</f>
        <v>0</v>
      </c>
      <c r="BM50" s="153">
        <f>SUMIFS($AA50:$BJ50, $AA$3:$BJ$3,BM$3)</f>
        <v>0</v>
      </c>
      <c r="BN50" s="153">
        <f>SUMIFS($AA50:$BJ50, $AA$3:$BJ$3,BN$3)</f>
        <v>0</v>
      </c>
      <c r="BO50" s="153">
        <f>SUMIFS($AA50:$BJ50, $AA$3:$BJ$3,BO$3)</f>
        <v>0</v>
      </c>
      <c r="BP50" s="13">
        <f>'I&amp;E Monthly'!BP50</f>
        <v>0</v>
      </c>
      <c r="BQ50" s="13">
        <f>'I&amp;E Monthly'!BQ50</f>
        <v>0</v>
      </c>
      <c r="BR50" s="13">
        <f>'I&amp;E Monthly'!BR50</f>
        <v>0</v>
      </c>
      <c r="BS50" s="13">
        <f>'I&amp;E Monthly'!BS50</f>
        <v>0</v>
      </c>
      <c r="BT50" s="13">
        <f>'I&amp;E Monthly'!BT50</f>
        <v>0</v>
      </c>
      <c r="BU50" s="13">
        <f>'I&amp;E Monthly'!BU50</f>
        <v>0</v>
      </c>
      <c r="BV50" s="13">
        <f>'I&amp;E Monthly'!BV50</f>
        <v>0</v>
      </c>
      <c r="BW50" s="13">
        <f>'I&amp;E Monthly'!BW50</f>
        <v>0</v>
      </c>
      <c r="BX50" s="335"/>
      <c r="BY50" s="12"/>
      <c r="BZ50" s="363">
        <f t="shared" ca="1" si="44"/>
        <v>0</v>
      </c>
      <c r="CA50" s="12"/>
      <c r="CB50" s="7">
        <f>IF(AND($G50=$G$7,$E50=""), 1, 0)</f>
        <v>0</v>
      </c>
      <c r="CC50" s="188" cm="1">
        <f t="array" ref="CC50">IF(E50="",0, IF(_xlfn.IFNA(INDEX('I&amp;E Profiles'!$D$96:$D$180, $I50), "N/A")="N/A", 1, 0))</f>
        <v>0</v>
      </c>
      <c r="CD50" s="7">
        <f t="shared" si="46"/>
        <v>0</v>
      </c>
      <c r="CE50" s="7">
        <f t="shared" si="47"/>
        <v>0</v>
      </c>
      <c r="CF50" s="7">
        <f t="shared" si="48"/>
        <v>0</v>
      </c>
      <c r="CG50" s="12"/>
      <c r="CH50" s="352">
        <f t="shared" si="49"/>
        <v>0</v>
      </c>
      <c r="CI50" s="352">
        <f t="shared" si="50"/>
        <v>0</v>
      </c>
      <c r="CJ50" s="352">
        <f t="shared" si="51"/>
        <v>0</v>
      </c>
      <c r="CK50" s="352">
        <f t="shared" si="52"/>
        <v>0</v>
      </c>
      <c r="CL50" s="352">
        <f t="shared" si="53"/>
        <v>0</v>
      </c>
      <c r="CM50" s="352">
        <f t="shared" si="54"/>
        <v>0</v>
      </c>
      <c r="CN50" s="352">
        <f t="shared" si="55"/>
        <v>0</v>
      </c>
      <c r="EX50" s="10" t="str">
        <f t="shared" si="1"/>
        <v>Of which: subcontracted out Adult Education and Training Income</v>
      </c>
    </row>
    <row r="51" spans="1:154" ht="6.6" customHeight="1" x14ac:dyDescent="0.25">
      <c r="A51" s="335"/>
      <c r="B51" s="93"/>
      <c r="C51" s="383"/>
      <c r="D51" s="177"/>
      <c r="E51" s="25"/>
      <c r="F51" s="25"/>
      <c r="G51" s="25"/>
      <c r="I51" s="25"/>
      <c r="J51" s="25"/>
      <c r="Q51" s="2"/>
      <c r="R51" s="335"/>
      <c r="T51" s="335"/>
      <c r="U51" s="335"/>
      <c r="V51" s="25"/>
      <c r="W51" s="25"/>
      <c r="X51" s="25"/>
      <c r="Y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L51" s="25"/>
      <c r="BM51" s="155"/>
      <c r="BN51" s="25"/>
      <c r="BO51" s="25"/>
      <c r="BP51" s="25"/>
      <c r="BQ51" s="25"/>
      <c r="BR51" s="25"/>
      <c r="BS51" s="25"/>
      <c r="BT51" s="25"/>
      <c r="BU51" s="25"/>
      <c r="BV51" s="25"/>
      <c r="BW51" s="25"/>
      <c r="BY51" s="42"/>
      <c r="BZ51" s="335"/>
      <c r="CA51" s="42"/>
      <c r="CC51" s="335"/>
      <c r="CG51" s="42"/>
      <c r="CH51" s="352"/>
      <c r="CI51" s="352"/>
      <c r="CJ51" s="352"/>
      <c r="CK51" s="352"/>
      <c r="CM51" s="335"/>
      <c r="CN51" s="335"/>
      <c r="EX51" s="10" t="str">
        <f t="shared" si="1"/>
        <v/>
      </c>
    </row>
    <row r="52" spans="1:154" x14ac:dyDescent="0.25">
      <c r="A52" s="335"/>
      <c r="B52" s="336"/>
      <c r="C52" s="383"/>
      <c r="D52" s="433" t="s">
        <v>27</v>
      </c>
      <c r="E52" s="82"/>
      <c r="F52" s="25"/>
      <c r="G52" s="25"/>
      <c r="I52" s="25"/>
      <c r="J52" s="25"/>
      <c r="Q52" s="2"/>
      <c r="R52" s="335"/>
      <c r="T52" s="335"/>
      <c r="U52" s="335"/>
      <c r="V52" s="25"/>
      <c r="W52" s="25"/>
      <c r="X52" s="25"/>
      <c r="Y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L52" s="25"/>
      <c r="BM52" s="25"/>
      <c r="BN52" s="25"/>
      <c r="BO52" s="25"/>
      <c r="BP52" s="25"/>
      <c r="BQ52" s="25"/>
      <c r="BR52" s="25"/>
      <c r="BS52" s="25"/>
      <c r="BT52" s="25"/>
      <c r="BU52" s="25"/>
      <c r="BV52" s="25"/>
      <c r="BW52" s="25"/>
      <c r="BY52" s="12"/>
      <c r="BZ52" s="335"/>
      <c r="CA52" s="12"/>
      <c r="CC52" s="335"/>
      <c r="CG52" s="12"/>
      <c r="CH52" s="352"/>
      <c r="CI52" s="352"/>
      <c r="CJ52" s="352"/>
      <c r="CK52" s="352"/>
      <c r="CM52" s="335"/>
      <c r="CN52" s="335"/>
      <c r="EX52" s="10" t="str">
        <f t="shared" si="1"/>
        <v/>
      </c>
    </row>
    <row r="53" spans="1:154" x14ac:dyDescent="0.25">
      <c r="A53" s="362" cm="1">
        <f t="array" aca="1" ref="A53" ca="1">HYPERLINK(CONCATENATE("#",CELL("address",IF(SUM($CA53:$CG53)=0,A53,INDEX($CA53:$CG53,MATCH(1,$CA53:$CG53,0))))),SUM($CA53:$CG53))</f>
        <v>0</v>
      </c>
      <c r="B53" s="93"/>
      <c r="C53" s="343" t="s">
        <v>455</v>
      </c>
      <c r="D53" s="194" t="s">
        <v>28</v>
      </c>
      <c r="E53" s="147"/>
      <c r="F53" s="98" t="str" cm="1">
        <f t="array" aca="1" ref="F53" ca="1">IF(E53="", "", HYPERLINK(CONCATENATE("#",CELL("address",INDEX('I&amp;E Profiles'!$D$9:$D$93,'I&amp;E Annual'!I53))),E53))</f>
        <v/>
      </c>
      <c r="G53" s="372" t="s">
        <v>211</v>
      </c>
      <c r="H53" s="67" t="s">
        <v>8</v>
      </c>
      <c r="I53" s="350" t="str">
        <f>IF(E53="", "", MATCH(E53, 'I&amp;E Profiles'!$D$96:$D$180,0))</f>
        <v/>
      </c>
      <c r="J53" s="215">
        <f>IF($G53=$G$7, W53,'I&amp;E Monthly'!W53)-SUMIFS('I&amp;E Monthly'!$AA53:$BJ53, 'I&amp;E Monthly'!$AA$3:$BJ$3, 'I&amp;E Annual'!W$3, 'I&amp;E Monthly'!$AA$4:$BJ$4, 0)</f>
        <v>0</v>
      </c>
      <c r="K53" s="215">
        <f>IF($G53=$G$7, X53,'I&amp;E Monthly'!X53)-SUMIFS('I&amp;E Monthly'!$AA53:$BJ53, 'I&amp;E Monthly'!$AA$3:$BJ$3, 'I&amp;E Annual'!X$3, 'I&amp;E Monthly'!$AA$4:$BJ$4, 0)</f>
        <v>0</v>
      </c>
      <c r="L53" s="215">
        <f>IF($G53=$G$7, Y53,'I&amp;E Monthly'!Y53)-SUMIFS('I&amp;E Monthly'!$AA53:$BJ53, 'I&amp;E Monthly'!$AA$3:$BJ$3, 'I&amp;E Annual'!Y$3, 'I&amp;E Monthly'!$AA$4:$BJ$4, 0)</f>
        <v>0</v>
      </c>
      <c r="M53" s="335"/>
      <c r="N53" s="335"/>
      <c r="O53" s="335"/>
      <c r="P53" s="335"/>
      <c r="Q53" s="2"/>
      <c r="R53" s="335"/>
      <c r="S53" s="335"/>
      <c r="T53" s="335"/>
      <c r="U53" s="335"/>
      <c r="V53" s="201">
        <f>'I&amp;E Monthly'!V53</f>
        <v>0</v>
      </c>
      <c r="W53" s="372"/>
      <c r="X53" s="198"/>
      <c r="Y53" s="198"/>
      <c r="Z53" s="335"/>
      <c r="AA53" s="153" cm="1">
        <f t="array" ref="AA53">IF(OR(AA$4=0, $G53&lt;&gt; $G$7, $E53=0), 'I&amp;E Monthly'!AA53, CHOOSE(Timeline!AA$30,$J53,$K53,$L53 )*INDEX('I&amp;E Profiles'!AA$96:AA$180,$I53))</f>
        <v>0</v>
      </c>
      <c r="AB53" s="153" cm="1">
        <f t="array" ref="AB53">IF(OR(AB$4=0, $G53&lt;&gt; $G$7, $E53=0), 'I&amp;E Monthly'!AB53, CHOOSE(Timeline!AB$30,$J53,$K53,$L53 )*INDEX('I&amp;E Profiles'!AB$96:AB$180,$I53))</f>
        <v>0</v>
      </c>
      <c r="AC53" s="153" cm="1">
        <f t="array" ref="AC53">IF(OR(AC$4=0, $G53&lt;&gt; $G$7, $E53=0), 'I&amp;E Monthly'!AC53, CHOOSE(Timeline!AC$30,$J53,$K53,$L53 )*INDEX('I&amp;E Profiles'!AC$96:AC$180,$I53))</f>
        <v>0</v>
      </c>
      <c r="AD53" s="153" cm="1">
        <f t="array" ref="AD53">IF(OR(AD$4=0, $G53&lt;&gt; $G$7, $E53=0), 'I&amp;E Monthly'!AD53, CHOOSE(Timeline!AD$30,$J53,$K53,$L53 )*INDEX('I&amp;E Profiles'!AD$96:AD$180,$I53))</f>
        <v>0</v>
      </c>
      <c r="AE53" s="153" cm="1">
        <f t="array" ref="AE53">IF(OR(AE$4=0, $G53&lt;&gt; $G$7, $E53=0), 'I&amp;E Monthly'!AE53, CHOOSE(Timeline!AE$30,$J53,$K53,$L53 )*INDEX('I&amp;E Profiles'!AE$96:AE$180,$I53))</f>
        <v>0</v>
      </c>
      <c r="AF53" s="153" cm="1">
        <f t="array" ref="AF53">IF(OR(AF$4=0, $G53&lt;&gt; $G$7, $E53=0), 'I&amp;E Monthly'!AF53, CHOOSE(Timeline!AF$30,$J53,$K53,$L53 )*INDEX('I&amp;E Profiles'!AF$96:AF$180,$I53))</f>
        <v>0</v>
      </c>
      <c r="AG53" s="153" cm="1">
        <f t="array" ref="AG53">IF(OR(AG$4=0, $G53&lt;&gt; $G$7, $E53=0), 'I&amp;E Monthly'!AG53, CHOOSE(Timeline!AG$30,$J53,$K53,$L53 )*INDEX('I&amp;E Profiles'!AG$96:AG$180,$I53))</f>
        <v>0</v>
      </c>
      <c r="AH53" s="153" cm="1">
        <f t="array" ref="AH53">IF(OR(AH$4=0, $G53&lt;&gt; $G$7, $E53=0), 'I&amp;E Monthly'!AH53, CHOOSE(Timeline!AH$30,$J53,$K53,$L53 )*INDEX('I&amp;E Profiles'!AH$96:AH$180,$I53))</f>
        <v>0</v>
      </c>
      <c r="AI53" s="153" cm="1">
        <f t="array" ref="AI53">IF(OR(AI$4=0, $G53&lt;&gt; $G$7, $E53=0), 'I&amp;E Monthly'!AI53, CHOOSE(Timeline!AI$30,$J53,$K53,$L53 )*INDEX('I&amp;E Profiles'!AI$96:AI$180,$I53))</f>
        <v>0</v>
      </c>
      <c r="AJ53" s="153" cm="1">
        <f t="array" ref="AJ53">IF(OR(AJ$4=0, $G53&lt;&gt; $G$7, $E53=0), 'I&amp;E Monthly'!AJ53, CHOOSE(Timeline!AJ$30,$J53,$K53,$L53 )*INDEX('I&amp;E Profiles'!AJ$96:AJ$180,$I53))</f>
        <v>0</v>
      </c>
      <c r="AK53" s="153" cm="1">
        <f t="array" ref="AK53">IF(OR(AK$4=0, $G53&lt;&gt; $G$7, $E53=0), 'I&amp;E Monthly'!AK53, CHOOSE(Timeline!AK$30,$J53,$K53,$L53 )*INDEX('I&amp;E Profiles'!AK$96:AK$180,$I53))</f>
        <v>0</v>
      </c>
      <c r="AL53" s="153" cm="1">
        <f t="array" ref="AL53">IF(OR(AL$4=0, $G53&lt;&gt; $G$7, $E53=0), 'I&amp;E Monthly'!AL53, CHOOSE(Timeline!AL$30,$J53,$K53,$L53 )*INDEX('I&amp;E Profiles'!AL$96:AL$180,$I53))</f>
        <v>0</v>
      </c>
      <c r="AM53" s="153" cm="1">
        <f t="array" ref="AM53">IF(OR(AM$4=0, $G53&lt;&gt; $G$7, $E53=0), 'I&amp;E Monthly'!AM53, CHOOSE(Timeline!AM$30,$J53,$K53,$L53 )*INDEX('I&amp;E Profiles'!AM$96:AM$180,$I53))</f>
        <v>0</v>
      </c>
      <c r="AN53" s="153" cm="1">
        <f t="array" ref="AN53">IF(OR(AN$4=0, $G53&lt;&gt; $G$7, $E53=0), 'I&amp;E Monthly'!AN53, CHOOSE(Timeline!AN$30,$J53,$K53,$L53 )*INDEX('I&amp;E Profiles'!AN$96:AN$180,$I53))</f>
        <v>0</v>
      </c>
      <c r="AO53" s="153" cm="1">
        <f t="array" ref="AO53">IF(OR(AO$4=0, $G53&lt;&gt; $G$7, $E53=0), 'I&amp;E Monthly'!AO53, CHOOSE(Timeline!AO$30,$J53,$K53,$L53 )*INDEX('I&amp;E Profiles'!AO$96:AO$180,$I53))</f>
        <v>0</v>
      </c>
      <c r="AP53" s="153" cm="1">
        <f t="array" ref="AP53">IF(OR(AP$4=0, $G53&lt;&gt; $G$7, $E53=0), 'I&amp;E Monthly'!AP53, CHOOSE(Timeline!AP$30,$J53,$K53,$L53 )*INDEX('I&amp;E Profiles'!AP$96:AP$180,$I53))</f>
        <v>0</v>
      </c>
      <c r="AQ53" s="153" cm="1">
        <f t="array" ref="AQ53">IF(OR(AQ$4=0, $G53&lt;&gt; $G$7, $E53=0), 'I&amp;E Monthly'!AQ53, CHOOSE(Timeline!AQ$30,$J53,$K53,$L53 )*INDEX('I&amp;E Profiles'!AQ$96:AQ$180,$I53))</f>
        <v>0</v>
      </c>
      <c r="AR53" s="153" cm="1">
        <f t="array" ref="AR53">IF(OR(AR$4=0, $G53&lt;&gt; $G$7, $E53=0), 'I&amp;E Monthly'!AR53, CHOOSE(Timeline!AR$30,$J53,$K53,$L53 )*INDEX('I&amp;E Profiles'!AR$96:AR$180,$I53))</f>
        <v>0</v>
      </c>
      <c r="AS53" s="153" cm="1">
        <f t="array" ref="AS53">IF(OR(AS$4=0, $G53&lt;&gt; $G$7, $E53=0), 'I&amp;E Monthly'!AS53, CHOOSE(Timeline!AS$30,$J53,$K53,$L53 )*INDEX('I&amp;E Profiles'!AS$96:AS$180,$I53))</f>
        <v>0</v>
      </c>
      <c r="AT53" s="153" cm="1">
        <f t="array" ref="AT53">IF(OR(AT$4=0, $G53&lt;&gt; $G$7, $E53=0), 'I&amp;E Monthly'!AT53, CHOOSE(Timeline!AT$30,$J53,$K53,$L53 )*INDEX('I&amp;E Profiles'!AT$96:AT$180,$I53))</f>
        <v>0</v>
      </c>
      <c r="AU53" s="153" cm="1">
        <f t="array" ref="AU53">IF(OR(AU$4=0, $G53&lt;&gt; $G$7, $E53=0), 'I&amp;E Monthly'!AU53, CHOOSE(Timeline!AU$30,$J53,$K53,$L53 )*INDEX('I&amp;E Profiles'!AU$96:AU$180,$I53))</f>
        <v>0</v>
      </c>
      <c r="AV53" s="153" cm="1">
        <f t="array" ref="AV53">IF(OR(AV$4=0, $G53&lt;&gt; $G$7, $E53=0), 'I&amp;E Monthly'!AV53, CHOOSE(Timeline!AV$30,$J53,$K53,$L53 )*INDEX('I&amp;E Profiles'!AV$96:AV$180,$I53))</f>
        <v>0</v>
      </c>
      <c r="AW53" s="153" cm="1">
        <f t="array" ref="AW53">IF(OR(AW$4=0, $G53&lt;&gt; $G$7, $E53=0), 'I&amp;E Monthly'!AW53, CHOOSE(Timeline!AW$30,$J53,$K53,$L53 )*INDEX('I&amp;E Profiles'!AW$96:AW$180,$I53))</f>
        <v>0</v>
      </c>
      <c r="AX53" s="153" cm="1">
        <f t="array" ref="AX53">IF(OR(AX$4=0, $G53&lt;&gt; $G$7, $E53=0), 'I&amp;E Monthly'!AX53, CHOOSE(Timeline!AX$30,$J53,$K53,$L53 )*INDEX('I&amp;E Profiles'!AX$96:AX$180,$I53))</f>
        <v>0</v>
      </c>
      <c r="AY53" s="153" cm="1">
        <f t="array" ref="AY53">IF(OR(AY$4=0, $G53&lt;&gt; $G$7, $E53=0), 'I&amp;E Monthly'!AY53, CHOOSE(Timeline!AY$30,$J53,$K53,$L53 )*INDEX('I&amp;E Profiles'!AY$96:AY$180,$I53))</f>
        <v>0</v>
      </c>
      <c r="AZ53" s="153" cm="1">
        <f t="array" ref="AZ53">IF(OR(AZ$4=0, $G53&lt;&gt; $G$7, $E53=0), 'I&amp;E Monthly'!AZ53, CHOOSE(Timeline!AZ$30,$J53,$K53,$L53 )*INDEX('I&amp;E Profiles'!AZ$96:AZ$180,$I53))</f>
        <v>0</v>
      </c>
      <c r="BA53" s="153" cm="1">
        <f t="array" ref="BA53">IF(OR(BA$4=0, $G53&lt;&gt; $G$7, $E53=0), 'I&amp;E Monthly'!BA53, CHOOSE(Timeline!BA$30,$J53,$K53,$L53 )*INDEX('I&amp;E Profiles'!BA$96:BA$180,$I53))</f>
        <v>0</v>
      </c>
      <c r="BB53" s="153" cm="1">
        <f t="array" ref="BB53">IF(OR(BB$4=0, $G53&lt;&gt; $G$7, $E53=0), 'I&amp;E Monthly'!BB53, CHOOSE(Timeline!BB$30,$J53,$K53,$L53 )*INDEX('I&amp;E Profiles'!BB$96:BB$180,$I53))</f>
        <v>0</v>
      </c>
      <c r="BC53" s="153" cm="1">
        <f t="array" ref="BC53">IF(OR(BC$4=0, $G53&lt;&gt; $G$7, $E53=0), 'I&amp;E Monthly'!BC53, CHOOSE(Timeline!BC$30,$J53,$K53,$L53 )*INDEX('I&amp;E Profiles'!BC$96:BC$180,$I53))</f>
        <v>0</v>
      </c>
      <c r="BD53" s="153" cm="1">
        <f t="array" ref="BD53">IF(OR(BD$4=0, $G53&lt;&gt; $G$7, $E53=0), 'I&amp;E Monthly'!BD53, CHOOSE(Timeline!BD$30,$J53,$K53,$L53 )*INDEX('I&amp;E Profiles'!BD$96:BD$180,$I53))</f>
        <v>0</v>
      </c>
      <c r="BE53" s="153" cm="1">
        <f t="array" ref="BE53">IF(OR(BE$4=0, $G53&lt;&gt; $G$7, $E53=0), 'I&amp;E Monthly'!BE53, CHOOSE(Timeline!BE$30,$J53,$K53,$L53 )*INDEX('I&amp;E Profiles'!BE$96:BE$180,$I53))</f>
        <v>0</v>
      </c>
      <c r="BF53" s="153" cm="1">
        <f t="array" ref="BF53">IF(OR(BF$4=0, $G53&lt;&gt; $G$7, $E53=0), 'I&amp;E Monthly'!BF53, CHOOSE(Timeline!BF$30,$J53,$K53,$L53 )*INDEX('I&amp;E Profiles'!BF$96:BF$180,$I53))</f>
        <v>0</v>
      </c>
      <c r="BG53" s="153" cm="1">
        <f t="array" ref="BG53">IF(OR(BG$4=0, $G53&lt;&gt; $G$7, $E53=0), 'I&amp;E Monthly'!BG53, CHOOSE(Timeline!BG$30,$J53,$K53,$L53 )*INDEX('I&amp;E Profiles'!BG$96:BG$180,$I53))</f>
        <v>0</v>
      </c>
      <c r="BH53" s="153" cm="1">
        <f t="array" ref="BH53">IF(OR(BH$4=0, $G53&lt;&gt; $G$7, $E53=0), 'I&amp;E Monthly'!BH53, CHOOSE(Timeline!BH$30,$J53,$K53,$L53 )*INDEX('I&amp;E Profiles'!BH$96:BH$180,$I53))</f>
        <v>0</v>
      </c>
      <c r="BI53" s="153" cm="1">
        <f t="array" ref="BI53">IF(OR(BI$4=0, $G53&lt;&gt; $G$7, $E53=0), 'I&amp;E Monthly'!BI53, CHOOSE(Timeline!BI$30,$J53,$K53,$L53 )*INDEX('I&amp;E Profiles'!BI$96:BI$180,$I53))</f>
        <v>0</v>
      </c>
      <c r="BJ53" s="153" cm="1">
        <f t="array" ref="BJ53">IF(OR(BJ$4=0, $G53&lt;&gt; $G$7, $E53=0), 'I&amp;E Monthly'!BJ53, CHOOSE(Timeline!BJ$30,$J53,$K53,$L53 )*INDEX('I&amp;E Profiles'!BJ$96:BJ$180,$I53))</f>
        <v>0</v>
      </c>
      <c r="BK53" s="335"/>
      <c r="BL53" s="13">
        <f t="shared" ref="BL53:BL59" si="58">V53</f>
        <v>0</v>
      </c>
      <c r="BM53" s="153">
        <f t="shared" ref="BM53:BO59" si="59">SUMIFS($AA53:$BJ53, $AA$3:$BJ$3,BM$3)</f>
        <v>0</v>
      </c>
      <c r="BN53" s="153">
        <f t="shared" si="59"/>
        <v>0</v>
      </c>
      <c r="BO53" s="153">
        <f t="shared" si="59"/>
        <v>0</v>
      </c>
      <c r="BP53" s="13">
        <f>'I&amp;E Monthly'!BP53</f>
        <v>0</v>
      </c>
      <c r="BQ53" s="13">
        <f>'I&amp;E Monthly'!BQ53</f>
        <v>0</v>
      </c>
      <c r="BR53" s="13">
        <f>'I&amp;E Monthly'!BR53</f>
        <v>0</v>
      </c>
      <c r="BS53" s="13">
        <f>'I&amp;E Monthly'!BS53</f>
        <v>0</v>
      </c>
      <c r="BT53" s="13">
        <f>'I&amp;E Monthly'!BT53</f>
        <v>0</v>
      </c>
      <c r="BU53" s="13">
        <f>'I&amp;E Monthly'!BU53</f>
        <v>0</v>
      </c>
      <c r="BV53" s="13">
        <f>'I&amp;E Monthly'!BV53</f>
        <v>0</v>
      </c>
      <c r="BW53" s="13">
        <f>'I&amp;E Monthly'!BW53</f>
        <v>0</v>
      </c>
      <c r="BX53" s="335"/>
      <c r="BY53" s="12"/>
      <c r="BZ53" s="363">
        <f t="shared" ref="BZ53:BZ61" ca="1" si="60">IF(MIN($V53:$BW53)&lt;0, 1, 0)*$I$7</f>
        <v>0</v>
      </c>
      <c r="CA53" s="12"/>
      <c r="CB53" s="7">
        <f t="shared" ref="CB53:CB59" si="61">IF(AND($G53=$G$7,$E53=""), 1, 0)</f>
        <v>0</v>
      </c>
      <c r="CC53" s="188" cm="1">
        <f t="array" ref="CC53">IF(E53="",0, IF(_xlfn.IFNA(INDEX('I&amp;E Profiles'!$D$96:$D$180, $I53), "N/A")="N/A", 1, 0))</f>
        <v>0</v>
      </c>
      <c r="CD53" s="7">
        <f t="shared" ref="CD53:CD61" si="62">IF(SUM($CH53:$CJ53)=0, 0, 1)</f>
        <v>0</v>
      </c>
      <c r="CE53" s="7">
        <f t="shared" ref="CE53:CE61" si="63">IF(SUM($CK53:$CM53)=0, 0, 1)</f>
        <v>0</v>
      </c>
      <c r="CF53" s="7">
        <f t="shared" ref="CF53:CF61" si="64">IF(CN53=0, 0, 1)</f>
        <v>0</v>
      </c>
      <c r="CG53" s="12"/>
      <c r="CH53" s="352">
        <f t="shared" ref="CH53:CH61" si="65">IF($G53=$G$7, ROUND(W53-SUMIFS($AA53:$BJ53, $AA$3:$BJ$3, W$3), rounding), 0)</f>
        <v>0</v>
      </c>
      <c r="CI53" s="352">
        <f t="shared" ref="CI53:CI61" si="66">IF($G53=$G$7, ROUND(X53-SUMIFS($AA53:$BJ53, $AA$3:$BJ$3, X$3), rounding), 0)</f>
        <v>0</v>
      </c>
      <c r="CJ53" s="352">
        <f t="shared" ref="CJ53:CJ61" si="67">IF($G53=$G$7, ROUND(Y53-SUMIFS($AA53:$BJ53, $AA$3:$BJ$3, Y$3), rounding), 0)</f>
        <v>0</v>
      </c>
      <c r="CK53" s="352">
        <f t="shared" ref="CK53:CK61" si="68">ROUND($BM53-SUMIFS($AA53:$BJ53, $AA$3:$BJ$3, $BM$3), rounding)</f>
        <v>0</v>
      </c>
      <c r="CL53" s="352">
        <f t="shared" ref="CL53:CL61" si="69">ROUND($BN53-SUMIFS($AA53:$BJ53, $AA$3:$BJ$3, $BN$3), rounding)</f>
        <v>0</v>
      </c>
      <c r="CM53" s="352">
        <f t="shared" ref="CM53:CM61" si="70">ROUND($BO53-SUMIFS($AA53:$BJ53, $AA$3:$BJ$3, $BO$3), rounding)</f>
        <v>0</v>
      </c>
      <c r="CN53" s="352">
        <f t="shared" ref="CN53:CN61" si="71">ROUND($V53-$BL53, rounding)</f>
        <v>0</v>
      </c>
      <c r="EX53" s="10" t="str">
        <f t="shared" si="1"/>
        <v xml:space="preserve">HE loans </v>
      </c>
    </row>
    <row r="54" spans="1:154" ht="15.75" x14ac:dyDescent="0.3">
      <c r="A54" s="362" cm="1">
        <f t="array" aca="1" ref="A54" ca="1">HYPERLINK(CONCATENATE("#",CELL("address",IF(SUM($CA54:$CG54)=0,A54,INDEX($CA54:$CG54,MATCH(1,$CA54:$CG54,0))))),SUM($CA54:$CG54))</f>
        <v>0</v>
      </c>
      <c r="B54" s="105" t="s">
        <v>335</v>
      </c>
      <c r="C54" s="343" t="s">
        <v>456</v>
      </c>
      <c r="D54" s="194" t="s">
        <v>30</v>
      </c>
      <c r="E54" s="147"/>
      <c r="F54" s="98" t="str" cm="1">
        <f t="array" aca="1" ref="F54" ca="1">IF(E54="", "", HYPERLINK(CONCATENATE("#",CELL("address",INDEX('I&amp;E Profiles'!$D$9:$D$93,'I&amp;E Annual'!I54))),E54))</f>
        <v/>
      </c>
      <c r="G54" s="147" t="s">
        <v>211</v>
      </c>
      <c r="H54" s="67" t="s">
        <v>8</v>
      </c>
      <c r="I54" s="350" t="str">
        <f>IF(E54="", "", MATCH(E54, 'I&amp;E Profiles'!$D$96:$D$180,0))</f>
        <v/>
      </c>
      <c r="J54" s="215">
        <f>IF($G54=$G$7, W54,'I&amp;E Monthly'!W54)-SUMIFS('I&amp;E Monthly'!$AA54:$BJ54, 'I&amp;E Monthly'!$AA$3:$BJ$3, 'I&amp;E Annual'!W$3, 'I&amp;E Monthly'!$AA$4:$BJ$4, 0)</f>
        <v>12</v>
      </c>
      <c r="K54" s="215">
        <f>IF($G54=$G$7, X54,'I&amp;E Monthly'!X54)-SUMIFS('I&amp;E Monthly'!$AA54:$BJ54, 'I&amp;E Monthly'!$AA$3:$BJ$3, 'I&amp;E Annual'!X$3, 'I&amp;E Monthly'!$AA$4:$BJ$4, 0)</f>
        <v>130</v>
      </c>
      <c r="L54" s="215">
        <f>IF($G54=$G$7, Y54,'I&amp;E Monthly'!Y54)-SUMIFS('I&amp;E Monthly'!$AA54:$BJ54, 'I&amp;E Monthly'!$AA$3:$BJ$3, 'I&amp;E Annual'!Y$3, 'I&amp;E Monthly'!$AA$4:$BJ$4, 0)</f>
        <v>150</v>
      </c>
      <c r="M54" s="335"/>
      <c r="N54" s="335"/>
      <c r="O54" s="335"/>
      <c r="P54" s="335"/>
      <c r="Q54" s="2"/>
      <c r="R54" s="335"/>
      <c r="S54" s="335"/>
      <c r="T54" s="335"/>
      <c r="U54" s="335"/>
      <c r="V54" s="215">
        <f>'I&amp;E Monthly'!V54</f>
        <v>0</v>
      </c>
      <c r="W54" s="147"/>
      <c r="X54" s="227"/>
      <c r="Y54" s="227"/>
      <c r="Z54" s="335"/>
      <c r="AA54" s="153" cm="1">
        <f t="array" ref="AA54">IF(OR(AA$4=0, $G54&lt;&gt; $G$7, $E54=0), 'I&amp;E Monthly'!AA54, CHOOSE(Timeline!AA$30,$J54,$K54,$L54 )*INDEX('I&amp;E Profiles'!AA$96:AA$180,$I54))</f>
        <v>22</v>
      </c>
      <c r="AB54" s="153" cm="1">
        <f t="array" ref="AB54">IF(OR(AB$4=0, $G54&lt;&gt; $G$7, $E54=0), 'I&amp;E Monthly'!AB54, CHOOSE(Timeline!AB$30,$J54,$K54,$L54 )*INDEX('I&amp;E Profiles'!AB$96:AB$180,$I54))</f>
        <v>22</v>
      </c>
      <c r="AC54" s="153" cm="1">
        <f t="array" ref="AC54">IF(OR(AC$4=0, $G54&lt;&gt; $G$7, $E54=0), 'I&amp;E Monthly'!AC54, CHOOSE(Timeline!AC$30,$J54,$K54,$L54 )*INDEX('I&amp;E Profiles'!AC$96:AC$180,$I54))</f>
        <v>0</v>
      </c>
      <c r="AD54" s="153" cm="1">
        <f t="array" ref="AD54">IF(OR(AD$4=0, $G54&lt;&gt; $G$7, $E54=0), 'I&amp;E Monthly'!AD54, CHOOSE(Timeline!AD$30,$J54,$K54,$L54 )*INDEX('I&amp;E Profiles'!AD$96:AD$180,$I54))</f>
        <v>15</v>
      </c>
      <c r="AE54" s="153" cm="1">
        <f t="array" ref="AE54">IF(OR(AE$4=0, $G54&lt;&gt; $G$7, $E54=0), 'I&amp;E Monthly'!AE54, CHOOSE(Timeline!AE$30,$J54,$K54,$L54 )*INDEX('I&amp;E Profiles'!AE$96:AE$180,$I54))</f>
        <v>15</v>
      </c>
      <c r="AF54" s="153" cm="1">
        <f t="array" ref="AF54">IF(OR(AF$4=0, $G54&lt;&gt; $G$7, $E54=0), 'I&amp;E Monthly'!AF54, CHOOSE(Timeline!AF$30,$J54,$K54,$L54 )*INDEX('I&amp;E Profiles'!AF$96:AF$180,$I54))</f>
        <v>15</v>
      </c>
      <c r="AG54" s="153" cm="1">
        <f t="array" ref="AG54">IF(OR(AG$4=0, $G54&lt;&gt; $G$7, $E54=0), 'I&amp;E Monthly'!AG54, CHOOSE(Timeline!AG$30,$J54,$K54,$L54 )*INDEX('I&amp;E Profiles'!AG$96:AG$180,$I54))</f>
        <v>11</v>
      </c>
      <c r="AH54" s="153" cm="1">
        <f t="array" ref="AH54">IF(OR(AH$4=0, $G54&lt;&gt; $G$7, $E54=0), 'I&amp;E Monthly'!AH54, CHOOSE(Timeline!AH$30,$J54,$K54,$L54 )*INDEX('I&amp;E Profiles'!AH$96:AH$180,$I54))</f>
        <v>0</v>
      </c>
      <c r="AI54" s="153" cm="1">
        <f t="array" ref="AI54">IF(OR(AI$4=0, $G54&lt;&gt; $G$7, $E54=0), 'I&amp;E Monthly'!AI54, CHOOSE(Timeline!AI$30,$J54,$K54,$L54 )*INDEX('I&amp;E Profiles'!AI$96:AI$180,$I54))</f>
        <v>12</v>
      </c>
      <c r="AJ54" s="153" cm="1">
        <f t="array" ref="AJ54">IF(OR(AJ$4=0, $G54&lt;&gt; $G$7, $E54=0), 'I&amp;E Monthly'!AJ54, CHOOSE(Timeline!AJ$30,$J54,$K54,$L54 )*INDEX('I&amp;E Profiles'!AJ$96:AJ$180,$I54))</f>
        <v>12</v>
      </c>
      <c r="AK54" s="153" cm="1">
        <f t="array" ref="AK54">IF(OR(AK$4=0, $G54&lt;&gt; $G$7, $E54=0), 'I&amp;E Monthly'!AK54, CHOOSE(Timeline!AK$30,$J54,$K54,$L54 )*INDEX('I&amp;E Profiles'!AK$96:AK$180,$I54))</f>
        <v>12</v>
      </c>
      <c r="AL54" s="153" cm="1">
        <f t="array" ref="AL54">IF(OR(AL$4=0, $G54&lt;&gt; $G$7, $E54=0), 'I&amp;E Monthly'!AL54, CHOOSE(Timeline!AL$30,$J54,$K54,$L54 )*INDEX('I&amp;E Profiles'!AL$96:AL$180,$I54))</f>
        <v>12</v>
      </c>
      <c r="AM54" s="153" cm="1">
        <f t="array" ref="AM54">IF(OR(AM$4=0, $G54&lt;&gt; $G$7, $E54=0), 'I&amp;E Monthly'!AM54, CHOOSE(Timeline!AM$30,$J54,$K54,$L54 )*INDEX('I&amp;E Profiles'!AM$96:AM$180,$I54))</f>
        <v>20</v>
      </c>
      <c r="AN54" s="153" cm="1">
        <f t="array" ref="AN54">IF(OR(AN$4=0, $G54&lt;&gt; $G$7, $E54=0), 'I&amp;E Monthly'!AN54, CHOOSE(Timeline!AN$30,$J54,$K54,$L54 )*INDEX('I&amp;E Profiles'!AN$96:AN$180,$I54))</f>
        <v>19</v>
      </c>
      <c r="AO54" s="153" cm="1">
        <f t="array" ref="AO54">IF(OR(AO$4=0, $G54&lt;&gt; $G$7, $E54=0), 'I&amp;E Monthly'!AO54, CHOOSE(Timeline!AO$30,$J54,$K54,$L54 )*INDEX('I&amp;E Profiles'!AO$96:AO$180,$I54))</f>
        <v>0</v>
      </c>
      <c r="AP54" s="153" cm="1">
        <f t="array" ref="AP54">IF(OR(AP$4=0, $G54&lt;&gt; $G$7, $E54=0), 'I&amp;E Monthly'!AP54, CHOOSE(Timeline!AP$30,$J54,$K54,$L54 )*INDEX('I&amp;E Profiles'!AP$96:AP$180,$I54))</f>
        <v>13</v>
      </c>
      <c r="AQ54" s="153" cm="1">
        <f t="array" ref="AQ54">IF(OR(AQ$4=0, $G54&lt;&gt; $G$7, $E54=0), 'I&amp;E Monthly'!AQ54, CHOOSE(Timeline!AQ$30,$J54,$K54,$L54 )*INDEX('I&amp;E Profiles'!AQ$96:AQ$180,$I54))</f>
        <v>13</v>
      </c>
      <c r="AR54" s="153" cm="1">
        <f t="array" ref="AR54">IF(OR(AR$4=0, $G54&lt;&gt; $G$7, $E54=0), 'I&amp;E Monthly'!AR54, CHOOSE(Timeline!AR$30,$J54,$K54,$L54 )*INDEX('I&amp;E Profiles'!AR$96:AR$180,$I54))</f>
        <v>13</v>
      </c>
      <c r="AS54" s="153" cm="1">
        <f t="array" ref="AS54">IF(OR(AS$4=0, $G54&lt;&gt; $G$7, $E54=0), 'I&amp;E Monthly'!AS54, CHOOSE(Timeline!AS$30,$J54,$K54,$L54 )*INDEX('I&amp;E Profiles'!AS$96:AS$180,$I54))</f>
        <v>10</v>
      </c>
      <c r="AT54" s="153" cm="1">
        <f t="array" ref="AT54">IF(OR(AT$4=0, $G54&lt;&gt; $G$7, $E54=0), 'I&amp;E Monthly'!AT54, CHOOSE(Timeline!AT$30,$J54,$K54,$L54 )*INDEX('I&amp;E Profiles'!AT$96:AT$180,$I54))</f>
        <v>0</v>
      </c>
      <c r="AU54" s="153" cm="1">
        <f t="array" ref="AU54">IF(OR(AU$4=0, $G54&lt;&gt; $G$7, $E54=0), 'I&amp;E Monthly'!AU54, CHOOSE(Timeline!AU$30,$J54,$K54,$L54 )*INDEX('I&amp;E Profiles'!AU$96:AU$180,$I54))</f>
        <v>11</v>
      </c>
      <c r="AV54" s="153" cm="1">
        <f t="array" ref="AV54">IF(OR(AV$4=0, $G54&lt;&gt; $G$7, $E54=0), 'I&amp;E Monthly'!AV54, CHOOSE(Timeline!AV$30,$J54,$K54,$L54 )*INDEX('I&amp;E Profiles'!AV$96:AV$180,$I54))</f>
        <v>11</v>
      </c>
      <c r="AW54" s="153" cm="1">
        <f t="array" ref="AW54">IF(OR(AW$4=0, $G54&lt;&gt; $G$7, $E54=0), 'I&amp;E Monthly'!AW54, CHOOSE(Timeline!AW$30,$J54,$K54,$L54 )*INDEX('I&amp;E Profiles'!AW$96:AW$180,$I54))</f>
        <v>10</v>
      </c>
      <c r="AX54" s="153" cm="1">
        <f t="array" ref="AX54">IF(OR(AX$4=0, $G54&lt;&gt; $G$7, $E54=0), 'I&amp;E Monthly'!AX54, CHOOSE(Timeline!AX$30,$J54,$K54,$L54 )*INDEX('I&amp;E Profiles'!AX$96:AX$180,$I54))</f>
        <v>10</v>
      </c>
      <c r="AY54" s="153" cm="1">
        <f t="array" ref="AY54">IF(OR(AY$4=0, $G54&lt;&gt; $G$7, $E54=0), 'I&amp;E Monthly'!AY54, CHOOSE(Timeline!AY$30,$J54,$K54,$L54 )*INDEX('I&amp;E Profiles'!AY$96:AY$180,$I54))</f>
        <v>22</v>
      </c>
      <c r="AZ54" s="153" cm="1">
        <f t="array" ref="AZ54">IF(OR(AZ$4=0, $G54&lt;&gt; $G$7, $E54=0), 'I&amp;E Monthly'!AZ54, CHOOSE(Timeline!AZ$30,$J54,$K54,$L54 )*INDEX('I&amp;E Profiles'!AZ$96:AZ$180,$I54))</f>
        <v>21</v>
      </c>
      <c r="BA54" s="153" cm="1">
        <f t="array" ref="BA54">IF(OR(BA$4=0, $G54&lt;&gt; $G$7, $E54=0), 'I&amp;E Monthly'!BA54, CHOOSE(Timeline!BA$30,$J54,$K54,$L54 )*INDEX('I&amp;E Profiles'!BA$96:BA$180,$I54))</f>
        <v>0</v>
      </c>
      <c r="BB54" s="153" cm="1">
        <f t="array" ref="BB54">IF(OR(BB$4=0, $G54&lt;&gt; $G$7, $E54=0), 'I&amp;E Monthly'!BB54, CHOOSE(Timeline!BB$30,$J54,$K54,$L54 )*INDEX('I&amp;E Profiles'!BB$96:BB$180,$I54))</f>
        <v>15</v>
      </c>
      <c r="BC54" s="153" cm="1">
        <f t="array" ref="BC54">IF(OR(BC$4=0, $G54&lt;&gt; $G$7, $E54=0), 'I&amp;E Monthly'!BC54, CHOOSE(Timeline!BC$30,$J54,$K54,$L54 )*INDEX('I&amp;E Profiles'!BC$96:BC$180,$I54))</f>
        <v>15</v>
      </c>
      <c r="BD54" s="153" cm="1">
        <f t="array" ref="BD54">IF(OR(BD$4=0, $G54&lt;&gt; $G$7, $E54=0), 'I&amp;E Monthly'!BD54, CHOOSE(Timeline!BD$30,$J54,$K54,$L54 )*INDEX('I&amp;E Profiles'!BD$96:BD$180,$I54))</f>
        <v>15</v>
      </c>
      <c r="BE54" s="153" cm="1">
        <f t="array" ref="BE54">IF(OR(BE$4=0, $G54&lt;&gt; $G$7, $E54=0), 'I&amp;E Monthly'!BE54, CHOOSE(Timeline!BE$30,$J54,$K54,$L54 )*INDEX('I&amp;E Profiles'!BE$96:BE$180,$I54))</f>
        <v>12</v>
      </c>
      <c r="BF54" s="153" cm="1">
        <f t="array" ref="BF54">IF(OR(BF$4=0, $G54&lt;&gt; $G$7, $E54=0), 'I&amp;E Monthly'!BF54, CHOOSE(Timeline!BF$30,$J54,$K54,$L54 )*INDEX('I&amp;E Profiles'!BF$96:BF$180,$I54))</f>
        <v>0</v>
      </c>
      <c r="BG54" s="153" cm="1">
        <f t="array" ref="BG54">IF(OR(BG$4=0, $G54&lt;&gt; $G$7, $E54=0), 'I&amp;E Monthly'!BG54, CHOOSE(Timeline!BG$30,$J54,$K54,$L54 )*INDEX('I&amp;E Profiles'!BG$96:BG$180,$I54))</f>
        <v>13</v>
      </c>
      <c r="BH54" s="153" cm="1">
        <f t="array" ref="BH54">IF(OR(BH$4=0, $G54&lt;&gt; $G$7, $E54=0), 'I&amp;E Monthly'!BH54, CHOOSE(Timeline!BH$30,$J54,$K54,$L54 )*INDEX('I&amp;E Profiles'!BH$96:BH$180,$I54))</f>
        <v>13</v>
      </c>
      <c r="BI54" s="153" cm="1">
        <f t="array" ref="BI54">IF(OR(BI$4=0, $G54&lt;&gt; $G$7, $E54=0), 'I&amp;E Monthly'!BI54, CHOOSE(Timeline!BI$30,$J54,$K54,$L54 )*INDEX('I&amp;E Profiles'!BI$96:BI$180,$I54))</f>
        <v>12</v>
      </c>
      <c r="BJ54" s="153" cm="1">
        <f t="array" ref="BJ54">IF(OR(BJ$4=0, $G54&lt;&gt; $G$7, $E54=0), 'I&amp;E Monthly'!BJ54, CHOOSE(Timeline!BJ$30,$J54,$K54,$L54 )*INDEX('I&amp;E Profiles'!BJ$96:BJ$180,$I54))</f>
        <v>12</v>
      </c>
      <c r="BK54" s="335"/>
      <c r="BL54" s="152">
        <f t="shared" si="58"/>
        <v>0</v>
      </c>
      <c r="BM54" s="153">
        <f t="shared" si="59"/>
        <v>148</v>
      </c>
      <c r="BN54" s="153">
        <f t="shared" si="59"/>
        <v>130</v>
      </c>
      <c r="BO54" s="153">
        <f t="shared" si="59"/>
        <v>150</v>
      </c>
      <c r="BP54" s="152">
        <f>'I&amp;E Monthly'!BP54</f>
        <v>0</v>
      </c>
      <c r="BQ54" s="152">
        <f>'I&amp;E Monthly'!BQ54</f>
        <v>0</v>
      </c>
      <c r="BR54" s="152">
        <f>'I&amp;E Monthly'!BR54</f>
        <v>0</v>
      </c>
      <c r="BS54" s="152">
        <f>'I&amp;E Monthly'!BS54</f>
        <v>0</v>
      </c>
      <c r="BT54" s="152">
        <f>'I&amp;E Monthly'!BT54</f>
        <v>0</v>
      </c>
      <c r="BU54" s="152">
        <f>'I&amp;E Monthly'!BU54</f>
        <v>0</v>
      </c>
      <c r="BV54" s="152">
        <f>'I&amp;E Monthly'!BV54</f>
        <v>0</v>
      </c>
      <c r="BW54" s="152">
        <f>'I&amp;E Monthly'!BW54</f>
        <v>0</v>
      </c>
      <c r="BX54" s="335"/>
      <c r="BY54" s="12"/>
      <c r="BZ54" s="363">
        <f t="shared" ca="1" si="60"/>
        <v>0</v>
      </c>
      <c r="CA54" s="12"/>
      <c r="CB54" s="7">
        <f t="shared" si="61"/>
        <v>0</v>
      </c>
      <c r="CC54" s="188" cm="1">
        <f t="array" ref="CC54">IF(E54="",0, IF(_xlfn.IFNA(INDEX('I&amp;E Profiles'!$D$96:$D$180, $I54), "N/A")="N/A", 1, 0))</f>
        <v>0</v>
      </c>
      <c r="CD54" s="7">
        <f t="shared" si="62"/>
        <v>0</v>
      </c>
      <c r="CE54" s="7">
        <f t="shared" si="63"/>
        <v>0</v>
      </c>
      <c r="CF54" s="7">
        <f t="shared" si="64"/>
        <v>0</v>
      </c>
      <c r="CG54" s="12"/>
      <c r="CH54" s="352">
        <f t="shared" si="65"/>
        <v>0</v>
      </c>
      <c r="CI54" s="352">
        <f t="shared" si="66"/>
        <v>0</v>
      </c>
      <c r="CJ54" s="352">
        <f t="shared" si="67"/>
        <v>0</v>
      </c>
      <c r="CK54" s="352">
        <f t="shared" si="68"/>
        <v>0</v>
      </c>
      <c r="CL54" s="352">
        <f t="shared" si="69"/>
        <v>0</v>
      </c>
      <c r="CM54" s="352">
        <f t="shared" si="70"/>
        <v>0</v>
      </c>
      <c r="CN54" s="352">
        <f t="shared" si="71"/>
        <v>0</v>
      </c>
      <c r="EX54" s="10" t="str">
        <f t="shared" si="1"/>
        <v>OfS grants</v>
      </c>
    </row>
    <row r="55" spans="1:154" x14ac:dyDescent="0.25">
      <c r="A55" s="362" cm="1">
        <f t="array" aca="1" ref="A55" ca="1">HYPERLINK(CONCATENATE("#",CELL("address",IF(SUM($CA55:$CG55)=0,A55,INDEX($CA55:$CG55,MATCH(1,$CA55:$CG55,0))))),SUM($CA55:$CG55))</f>
        <v>0</v>
      </c>
      <c r="B55" s="93"/>
      <c r="C55" s="343" t="s">
        <v>457</v>
      </c>
      <c r="D55" s="194" t="s">
        <v>2507</v>
      </c>
      <c r="E55" s="147"/>
      <c r="F55" s="98" t="str" cm="1">
        <f t="array" aca="1" ref="F55" ca="1">IF(E55="", "", HYPERLINK(CONCATENATE("#",CELL("address",INDEX('I&amp;E Profiles'!$D$9:$D$93,'I&amp;E Annual'!I55))),E55))</f>
        <v/>
      </c>
      <c r="G55" s="147" t="s">
        <v>211</v>
      </c>
      <c r="H55" s="67" t="s">
        <v>8</v>
      </c>
      <c r="I55" s="350" t="str">
        <f>IF(E55="", "", MATCH(E55, 'I&amp;E Profiles'!$D$96:$D$180,0))</f>
        <v/>
      </c>
      <c r="J55" s="215">
        <f>IF($G55=$G$7, W55,'I&amp;E Monthly'!W55)-SUMIFS('I&amp;E Monthly'!$AA55:$BJ55, 'I&amp;E Monthly'!$AA$3:$BJ$3, 'I&amp;E Annual'!W$3, 'I&amp;E Monthly'!$AA$4:$BJ$4, 0)</f>
        <v>0</v>
      </c>
      <c r="K55" s="215">
        <f>IF($G55=$G$7, X55,'I&amp;E Monthly'!X55)-SUMIFS('I&amp;E Monthly'!$AA55:$BJ55, 'I&amp;E Monthly'!$AA$3:$BJ$3, 'I&amp;E Annual'!X$3, 'I&amp;E Monthly'!$AA$4:$BJ$4, 0)</f>
        <v>0</v>
      </c>
      <c r="L55" s="215">
        <f>IF($G55=$G$7, Y55,'I&amp;E Monthly'!Y55)-SUMIFS('I&amp;E Monthly'!$AA55:$BJ55, 'I&amp;E Monthly'!$AA$3:$BJ$3, 'I&amp;E Annual'!Y$3, 'I&amp;E Monthly'!$AA$4:$BJ$4, 0)</f>
        <v>0</v>
      </c>
      <c r="M55" s="335"/>
      <c r="N55" s="335"/>
      <c r="O55" s="335"/>
      <c r="P55" s="335"/>
      <c r="Q55" s="2"/>
      <c r="R55" s="335"/>
      <c r="S55" s="335"/>
      <c r="T55" s="335"/>
      <c r="U55" s="335"/>
      <c r="V55" s="215">
        <f>'I&amp;E Monthly'!V55</f>
        <v>0</v>
      </c>
      <c r="W55" s="147"/>
      <c r="X55" s="227"/>
      <c r="Y55" s="227"/>
      <c r="Z55" s="335"/>
      <c r="AA55" s="153" cm="1">
        <f t="array" ref="AA55">IF(OR(AA$4=0, $G55&lt;&gt; $G$7, $E55=0), 'I&amp;E Monthly'!AA55, CHOOSE(Timeline!AA$30,$J55,$K55,$L55 )*INDEX('I&amp;E Profiles'!AA$96:AA$180,$I55))</f>
        <v>0</v>
      </c>
      <c r="AB55" s="153" cm="1">
        <f t="array" ref="AB55">IF(OR(AB$4=0, $G55&lt;&gt; $G$7, $E55=0), 'I&amp;E Monthly'!AB55, CHOOSE(Timeline!AB$30,$J55,$K55,$L55 )*INDEX('I&amp;E Profiles'!AB$96:AB$180,$I55))</f>
        <v>0</v>
      </c>
      <c r="AC55" s="153" cm="1">
        <f t="array" ref="AC55">IF(OR(AC$4=0, $G55&lt;&gt; $G$7, $E55=0), 'I&amp;E Monthly'!AC55, CHOOSE(Timeline!AC$30,$J55,$K55,$L55 )*INDEX('I&amp;E Profiles'!AC$96:AC$180,$I55))</f>
        <v>0</v>
      </c>
      <c r="AD55" s="153" cm="1">
        <f t="array" ref="AD55">IF(OR(AD$4=0, $G55&lt;&gt; $G$7, $E55=0), 'I&amp;E Monthly'!AD55, CHOOSE(Timeline!AD$30,$J55,$K55,$L55 )*INDEX('I&amp;E Profiles'!AD$96:AD$180,$I55))</f>
        <v>0</v>
      </c>
      <c r="AE55" s="153" cm="1">
        <f t="array" ref="AE55">IF(OR(AE$4=0, $G55&lt;&gt; $G$7, $E55=0), 'I&amp;E Monthly'!AE55, CHOOSE(Timeline!AE$30,$J55,$K55,$L55 )*INDEX('I&amp;E Profiles'!AE$96:AE$180,$I55))</f>
        <v>0</v>
      </c>
      <c r="AF55" s="153" cm="1">
        <f t="array" ref="AF55">IF(OR(AF$4=0, $G55&lt;&gt; $G$7, $E55=0), 'I&amp;E Monthly'!AF55, CHOOSE(Timeline!AF$30,$J55,$K55,$L55 )*INDEX('I&amp;E Profiles'!AF$96:AF$180,$I55))</f>
        <v>0</v>
      </c>
      <c r="AG55" s="153" cm="1">
        <f t="array" ref="AG55">IF(OR(AG$4=0, $G55&lt;&gt; $G$7, $E55=0), 'I&amp;E Monthly'!AG55, CHOOSE(Timeline!AG$30,$J55,$K55,$L55 )*INDEX('I&amp;E Profiles'!AG$96:AG$180,$I55))</f>
        <v>0</v>
      </c>
      <c r="AH55" s="153" cm="1">
        <f t="array" ref="AH55">IF(OR(AH$4=0, $G55&lt;&gt; $G$7, $E55=0), 'I&amp;E Monthly'!AH55, CHOOSE(Timeline!AH$30,$J55,$K55,$L55 )*INDEX('I&amp;E Profiles'!AH$96:AH$180,$I55))</f>
        <v>0</v>
      </c>
      <c r="AI55" s="153" cm="1">
        <f t="array" ref="AI55">IF(OR(AI$4=0, $G55&lt;&gt; $G$7, $E55=0), 'I&amp;E Monthly'!AI55, CHOOSE(Timeline!AI$30,$J55,$K55,$L55 )*INDEX('I&amp;E Profiles'!AI$96:AI$180,$I55))</f>
        <v>0</v>
      </c>
      <c r="AJ55" s="153" cm="1">
        <f t="array" ref="AJ55">IF(OR(AJ$4=0, $G55&lt;&gt; $G$7, $E55=0), 'I&amp;E Monthly'!AJ55, CHOOSE(Timeline!AJ$30,$J55,$K55,$L55 )*INDEX('I&amp;E Profiles'!AJ$96:AJ$180,$I55))</f>
        <v>0</v>
      </c>
      <c r="AK55" s="153" cm="1">
        <f t="array" ref="AK55">IF(OR(AK$4=0, $G55&lt;&gt; $G$7, $E55=0), 'I&amp;E Monthly'!AK55, CHOOSE(Timeline!AK$30,$J55,$K55,$L55 )*INDEX('I&amp;E Profiles'!AK$96:AK$180,$I55))</f>
        <v>0</v>
      </c>
      <c r="AL55" s="153" cm="1">
        <f t="array" ref="AL55">IF(OR(AL$4=0, $G55&lt;&gt; $G$7, $E55=0), 'I&amp;E Monthly'!AL55, CHOOSE(Timeline!AL$30,$J55,$K55,$L55 )*INDEX('I&amp;E Profiles'!AL$96:AL$180,$I55))</f>
        <v>0</v>
      </c>
      <c r="AM55" s="153" cm="1">
        <f t="array" ref="AM55">IF(OR(AM$4=0, $G55&lt;&gt; $G$7, $E55=0), 'I&amp;E Monthly'!AM55, CHOOSE(Timeline!AM$30,$J55,$K55,$L55 )*INDEX('I&amp;E Profiles'!AM$96:AM$180,$I55))</f>
        <v>0</v>
      </c>
      <c r="AN55" s="153" cm="1">
        <f t="array" ref="AN55">IF(OR(AN$4=0, $G55&lt;&gt; $G$7, $E55=0), 'I&amp;E Monthly'!AN55, CHOOSE(Timeline!AN$30,$J55,$K55,$L55 )*INDEX('I&amp;E Profiles'!AN$96:AN$180,$I55))</f>
        <v>0</v>
      </c>
      <c r="AO55" s="153" cm="1">
        <f t="array" ref="AO55">IF(OR(AO$4=0, $G55&lt;&gt; $G$7, $E55=0), 'I&amp;E Monthly'!AO55, CHOOSE(Timeline!AO$30,$J55,$K55,$L55 )*INDEX('I&amp;E Profiles'!AO$96:AO$180,$I55))</f>
        <v>0</v>
      </c>
      <c r="AP55" s="153" cm="1">
        <f t="array" ref="AP55">IF(OR(AP$4=0, $G55&lt;&gt; $G$7, $E55=0), 'I&amp;E Monthly'!AP55, CHOOSE(Timeline!AP$30,$J55,$K55,$L55 )*INDEX('I&amp;E Profiles'!AP$96:AP$180,$I55))</f>
        <v>0</v>
      </c>
      <c r="AQ55" s="153" cm="1">
        <f t="array" ref="AQ55">IF(OR(AQ$4=0, $G55&lt;&gt; $G$7, $E55=0), 'I&amp;E Monthly'!AQ55, CHOOSE(Timeline!AQ$30,$J55,$K55,$L55 )*INDEX('I&amp;E Profiles'!AQ$96:AQ$180,$I55))</f>
        <v>0</v>
      </c>
      <c r="AR55" s="153" cm="1">
        <f t="array" ref="AR55">IF(OR(AR$4=0, $G55&lt;&gt; $G$7, $E55=0), 'I&amp;E Monthly'!AR55, CHOOSE(Timeline!AR$30,$J55,$K55,$L55 )*INDEX('I&amp;E Profiles'!AR$96:AR$180,$I55))</f>
        <v>0</v>
      </c>
      <c r="AS55" s="153" cm="1">
        <f t="array" ref="AS55">IF(OR(AS$4=0, $G55&lt;&gt; $G$7, $E55=0), 'I&amp;E Monthly'!AS55, CHOOSE(Timeline!AS$30,$J55,$K55,$L55 )*INDEX('I&amp;E Profiles'!AS$96:AS$180,$I55))</f>
        <v>0</v>
      </c>
      <c r="AT55" s="153" cm="1">
        <f t="array" ref="AT55">IF(OR(AT$4=0, $G55&lt;&gt; $G$7, $E55=0), 'I&amp;E Monthly'!AT55, CHOOSE(Timeline!AT$30,$J55,$K55,$L55 )*INDEX('I&amp;E Profiles'!AT$96:AT$180,$I55))</f>
        <v>0</v>
      </c>
      <c r="AU55" s="153" cm="1">
        <f t="array" ref="AU55">IF(OR(AU$4=0, $G55&lt;&gt; $G$7, $E55=0), 'I&amp;E Monthly'!AU55, CHOOSE(Timeline!AU$30,$J55,$K55,$L55 )*INDEX('I&amp;E Profiles'!AU$96:AU$180,$I55))</f>
        <v>0</v>
      </c>
      <c r="AV55" s="153" cm="1">
        <f t="array" ref="AV55">IF(OR(AV$4=0, $G55&lt;&gt; $G$7, $E55=0), 'I&amp;E Monthly'!AV55, CHOOSE(Timeline!AV$30,$J55,$K55,$L55 )*INDEX('I&amp;E Profiles'!AV$96:AV$180,$I55))</f>
        <v>0</v>
      </c>
      <c r="AW55" s="153" cm="1">
        <f t="array" ref="AW55">IF(OR(AW$4=0, $G55&lt;&gt; $G$7, $E55=0), 'I&amp;E Monthly'!AW55, CHOOSE(Timeline!AW$30,$J55,$K55,$L55 )*INDEX('I&amp;E Profiles'!AW$96:AW$180,$I55))</f>
        <v>0</v>
      </c>
      <c r="AX55" s="153" cm="1">
        <f t="array" ref="AX55">IF(OR(AX$4=0, $G55&lt;&gt; $G$7, $E55=0), 'I&amp;E Monthly'!AX55, CHOOSE(Timeline!AX$30,$J55,$K55,$L55 )*INDEX('I&amp;E Profiles'!AX$96:AX$180,$I55))</f>
        <v>0</v>
      </c>
      <c r="AY55" s="153" cm="1">
        <f t="array" ref="AY55">IF(OR(AY$4=0, $G55&lt;&gt; $G$7, $E55=0), 'I&amp;E Monthly'!AY55, CHOOSE(Timeline!AY$30,$J55,$K55,$L55 )*INDEX('I&amp;E Profiles'!AY$96:AY$180,$I55))</f>
        <v>0</v>
      </c>
      <c r="AZ55" s="153" cm="1">
        <f t="array" ref="AZ55">IF(OR(AZ$4=0, $G55&lt;&gt; $G$7, $E55=0), 'I&amp;E Monthly'!AZ55, CHOOSE(Timeline!AZ$30,$J55,$K55,$L55 )*INDEX('I&amp;E Profiles'!AZ$96:AZ$180,$I55))</f>
        <v>0</v>
      </c>
      <c r="BA55" s="153" cm="1">
        <f t="array" ref="BA55">IF(OR(BA$4=0, $G55&lt;&gt; $G$7, $E55=0), 'I&amp;E Monthly'!BA55, CHOOSE(Timeline!BA$30,$J55,$K55,$L55 )*INDEX('I&amp;E Profiles'!BA$96:BA$180,$I55))</f>
        <v>0</v>
      </c>
      <c r="BB55" s="153" cm="1">
        <f t="array" ref="BB55">IF(OR(BB$4=0, $G55&lt;&gt; $G$7, $E55=0), 'I&amp;E Monthly'!BB55, CHOOSE(Timeline!BB$30,$J55,$K55,$L55 )*INDEX('I&amp;E Profiles'!BB$96:BB$180,$I55))</f>
        <v>0</v>
      </c>
      <c r="BC55" s="153" cm="1">
        <f t="array" ref="BC55">IF(OR(BC$4=0, $G55&lt;&gt; $G$7, $E55=0), 'I&amp;E Monthly'!BC55, CHOOSE(Timeline!BC$30,$J55,$K55,$L55 )*INDEX('I&amp;E Profiles'!BC$96:BC$180,$I55))</f>
        <v>0</v>
      </c>
      <c r="BD55" s="153" cm="1">
        <f t="array" ref="BD55">IF(OR(BD$4=0, $G55&lt;&gt; $G$7, $E55=0), 'I&amp;E Monthly'!BD55, CHOOSE(Timeline!BD$30,$J55,$K55,$L55 )*INDEX('I&amp;E Profiles'!BD$96:BD$180,$I55))</f>
        <v>0</v>
      </c>
      <c r="BE55" s="153" cm="1">
        <f t="array" ref="BE55">IF(OR(BE$4=0, $G55&lt;&gt; $G$7, $E55=0), 'I&amp;E Monthly'!BE55, CHOOSE(Timeline!BE$30,$J55,$K55,$L55 )*INDEX('I&amp;E Profiles'!BE$96:BE$180,$I55))</f>
        <v>0</v>
      </c>
      <c r="BF55" s="153" cm="1">
        <f t="array" ref="BF55">IF(OR(BF$4=0, $G55&lt;&gt; $G$7, $E55=0), 'I&amp;E Monthly'!BF55, CHOOSE(Timeline!BF$30,$J55,$K55,$L55 )*INDEX('I&amp;E Profiles'!BF$96:BF$180,$I55))</f>
        <v>0</v>
      </c>
      <c r="BG55" s="153" cm="1">
        <f t="array" ref="BG55">IF(OR(BG$4=0, $G55&lt;&gt; $G$7, $E55=0), 'I&amp;E Monthly'!BG55, CHOOSE(Timeline!BG$30,$J55,$K55,$L55 )*INDEX('I&amp;E Profiles'!BG$96:BG$180,$I55))</f>
        <v>0</v>
      </c>
      <c r="BH55" s="153" cm="1">
        <f t="array" ref="BH55">IF(OR(BH$4=0, $G55&lt;&gt; $G$7, $E55=0), 'I&amp;E Monthly'!BH55, CHOOSE(Timeline!BH$30,$J55,$K55,$L55 )*INDEX('I&amp;E Profiles'!BH$96:BH$180,$I55))</f>
        <v>0</v>
      </c>
      <c r="BI55" s="153" cm="1">
        <f t="array" ref="BI55">IF(OR(BI$4=0, $G55&lt;&gt; $G$7, $E55=0), 'I&amp;E Monthly'!BI55, CHOOSE(Timeline!BI$30,$J55,$K55,$L55 )*INDEX('I&amp;E Profiles'!BI$96:BI$180,$I55))</f>
        <v>0</v>
      </c>
      <c r="BJ55" s="153" cm="1">
        <f t="array" ref="BJ55">IF(OR(BJ$4=0, $G55&lt;&gt; $G$7, $E55=0), 'I&amp;E Monthly'!BJ55, CHOOSE(Timeline!BJ$30,$J55,$K55,$L55 )*INDEX('I&amp;E Profiles'!BJ$96:BJ$180,$I55))</f>
        <v>0</v>
      </c>
      <c r="BK55" s="335"/>
      <c r="BL55" s="152">
        <f t="shared" si="58"/>
        <v>0</v>
      </c>
      <c r="BM55" s="153">
        <f t="shared" si="59"/>
        <v>0</v>
      </c>
      <c r="BN55" s="153">
        <f t="shared" si="59"/>
        <v>0</v>
      </c>
      <c r="BO55" s="153">
        <f t="shared" si="59"/>
        <v>0</v>
      </c>
      <c r="BP55" s="152">
        <f>'I&amp;E Monthly'!BP55</f>
        <v>0</v>
      </c>
      <c r="BQ55" s="152">
        <f>'I&amp;E Monthly'!BQ55</f>
        <v>0</v>
      </c>
      <c r="BR55" s="152">
        <f>'I&amp;E Monthly'!BR55</f>
        <v>0</v>
      </c>
      <c r="BS55" s="152">
        <f>'I&amp;E Monthly'!BS55</f>
        <v>0</v>
      </c>
      <c r="BT55" s="152">
        <f>'I&amp;E Monthly'!BT55</f>
        <v>0</v>
      </c>
      <c r="BU55" s="152">
        <f>'I&amp;E Monthly'!BU55</f>
        <v>0</v>
      </c>
      <c r="BV55" s="152">
        <f>'I&amp;E Monthly'!BV55</f>
        <v>0</v>
      </c>
      <c r="BW55" s="152">
        <f>'I&amp;E Monthly'!BW55</f>
        <v>0</v>
      </c>
      <c r="BX55" s="335"/>
      <c r="BY55" s="12"/>
      <c r="BZ55" s="363">
        <f t="shared" ca="1" si="60"/>
        <v>0</v>
      </c>
      <c r="CA55" s="12"/>
      <c r="CB55" s="7">
        <f t="shared" si="61"/>
        <v>0</v>
      </c>
      <c r="CC55" s="188" cm="1">
        <f t="array" ref="CC55">IF(E55="",0, IF(_xlfn.IFNA(INDEX('I&amp;E Profiles'!$D$96:$D$180, $I55), "N/A")="N/A", 1, 0))</f>
        <v>0</v>
      </c>
      <c r="CD55" s="7">
        <f t="shared" si="62"/>
        <v>0</v>
      </c>
      <c r="CE55" s="7">
        <f t="shared" si="63"/>
        <v>0</v>
      </c>
      <c r="CF55" s="7">
        <f t="shared" si="64"/>
        <v>0</v>
      </c>
      <c r="CG55" s="12"/>
      <c r="CH55" s="352">
        <f t="shared" si="65"/>
        <v>0</v>
      </c>
      <c r="CI55" s="352">
        <f t="shared" si="66"/>
        <v>0</v>
      </c>
      <c r="CJ55" s="352">
        <f t="shared" si="67"/>
        <v>0</v>
      </c>
      <c r="CK55" s="352">
        <f t="shared" si="68"/>
        <v>0</v>
      </c>
      <c r="CL55" s="352">
        <f t="shared" si="69"/>
        <v>0</v>
      </c>
      <c r="CM55" s="352">
        <f t="shared" si="70"/>
        <v>0</v>
      </c>
      <c r="CN55" s="352">
        <f t="shared" si="71"/>
        <v>0</v>
      </c>
      <c r="EX55" s="10" t="str">
        <f t="shared" si="1"/>
        <v>Other HE income (excl. fees)</v>
      </c>
    </row>
    <row r="56" spans="1:154" hidden="1" x14ac:dyDescent="0.25">
      <c r="A56" s="362" cm="1">
        <f t="array" aca="1" ref="A56" ca="1">HYPERLINK(CONCATENATE("#",CELL("address",IF(SUM($CA56:$CG56)=0,A56,INDEX($CA56:$CG56,MATCH(1,$CA56:$CG56,0))))),SUM($CA56:$CG56))</f>
        <v>0</v>
      </c>
      <c r="B56" s="93"/>
      <c r="C56" s="383"/>
      <c r="D56" s="137" t="s">
        <v>2316</v>
      </c>
      <c r="E56" s="349"/>
      <c r="F56" s="98" t="str" cm="1">
        <f t="array" aca="1" ref="F56" ca="1">IF(E56="", "", HYPERLINK(CONCATENATE("#",CELL("address",INDEX('I&amp;E Profiles'!$D$9:$D$93,'I&amp;E Annual'!I56))),E56))</f>
        <v/>
      </c>
      <c r="G56" s="349"/>
      <c r="I56" s="350" t="str">
        <f>IF(E56="", "", MATCH(E56, 'I&amp;E Profiles'!$D$96:$D$180,0))</f>
        <v/>
      </c>
      <c r="J56" s="215">
        <f>IF($G56=$G$7, W56,'I&amp;E Monthly'!W56)-SUMIFS('I&amp;E Monthly'!$AA56:$BJ56, 'I&amp;E Monthly'!$AA$3:$BJ$3, 'I&amp;E Annual'!W$3, 'I&amp;E Monthly'!$AA$4:$BJ$4, 0)</f>
        <v>0</v>
      </c>
      <c r="K56" s="215">
        <f>IF($G56=$G$7, X56,'I&amp;E Monthly'!X56)-SUMIFS('I&amp;E Monthly'!$AA56:$BJ56, 'I&amp;E Monthly'!$AA$3:$BJ$3, 'I&amp;E Annual'!X$3, 'I&amp;E Monthly'!$AA$4:$BJ$4, 0)</f>
        <v>0</v>
      </c>
      <c r="L56" s="215">
        <f>IF($G56=$G$7, Y56,'I&amp;E Monthly'!Y56)-SUMIFS('I&amp;E Monthly'!$AA56:$BJ56, 'I&amp;E Monthly'!$AA$3:$BJ$3, 'I&amp;E Annual'!Y$3, 'I&amp;E Monthly'!$AA$4:$BJ$4, 0)</f>
        <v>0</v>
      </c>
      <c r="M56" s="335"/>
      <c r="N56" s="335"/>
      <c r="O56" s="335"/>
      <c r="P56" s="335"/>
      <c r="Q56" s="2"/>
      <c r="R56" s="335"/>
      <c r="S56" s="335"/>
      <c r="T56" s="335"/>
      <c r="U56" s="335"/>
      <c r="V56" s="201">
        <f>'I&amp;E Monthly'!V56</f>
        <v>0</v>
      </c>
      <c r="W56" s="136"/>
      <c r="X56" s="136"/>
      <c r="Y56" s="136"/>
      <c r="Z56" s="335"/>
      <c r="AA56" s="153" cm="1">
        <f t="array" ref="AA56">IF(OR(AA$4=0, $G56&lt;&gt; $G$7, $E56=0), 'I&amp;E Monthly'!AA56, CHOOSE(Timeline!AA$30,$J56,$K56,$L56 )*INDEX('I&amp;E Profiles'!AA$96:AA$180,$I56))</f>
        <v>0</v>
      </c>
      <c r="AB56" s="153" cm="1">
        <f t="array" ref="AB56">IF(OR(AB$4=0, $G56&lt;&gt; $G$7, $E56=0), 'I&amp;E Monthly'!AB56, CHOOSE(Timeline!AB$30,$J56,$K56,$L56 )*INDEX('I&amp;E Profiles'!AB$96:AB$180,$I56))</f>
        <v>0</v>
      </c>
      <c r="AC56" s="153" cm="1">
        <f t="array" ref="AC56">IF(OR(AC$4=0, $G56&lt;&gt; $G$7, $E56=0), 'I&amp;E Monthly'!AC56, CHOOSE(Timeline!AC$30,$J56,$K56,$L56 )*INDEX('I&amp;E Profiles'!AC$96:AC$180,$I56))</f>
        <v>0</v>
      </c>
      <c r="AD56" s="153" cm="1">
        <f t="array" ref="AD56">IF(OR(AD$4=0, $G56&lt;&gt; $G$7, $E56=0), 'I&amp;E Monthly'!AD56, CHOOSE(Timeline!AD$30,$J56,$K56,$L56 )*INDEX('I&amp;E Profiles'!AD$96:AD$180,$I56))</f>
        <v>0</v>
      </c>
      <c r="AE56" s="153" cm="1">
        <f t="array" ref="AE56">IF(OR(AE$4=0, $G56&lt;&gt; $G$7, $E56=0), 'I&amp;E Monthly'!AE56, CHOOSE(Timeline!AE$30,$J56,$K56,$L56 )*INDEX('I&amp;E Profiles'!AE$96:AE$180,$I56))</f>
        <v>0</v>
      </c>
      <c r="AF56" s="153" cm="1">
        <f t="array" ref="AF56">IF(OR(AF$4=0, $G56&lt;&gt; $G$7, $E56=0), 'I&amp;E Monthly'!AF56, CHOOSE(Timeline!AF$30,$J56,$K56,$L56 )*INDEX('I&amp;E Profiles'!AF$96:AF$180,$I56))</f>
        <v>0</v>
      </c>
      <c r="AG56" s="153" cm="1">
        <f t="array" ref="AG56">IF(OR(AG$4=0, $G56&lt;&gt; $G$7, $E56=0), 'I&amp;E Monthly'!AG56, CHOOSE(Timeline!AG$30,$J56,$K56,$L56 )*INDEX('I&amp;E Profiles'!AG$96:AG$180,$I56))</f>
        <v>0</v>
      </c>
      <c r="AH56" s="153" cm="1">
        <f t="array" ref="AH56">IF(OR(AH$4=0, $G56&lt;&gt; $G$7, $E56=0), 'I&amp;E Monthly'!AH56, CHOOSE(Timeline!AH$30,$J56,$K56,$L56 )*INDEX('I&amp;E Profiles'!AH$96:AH$180,$I56))</f>
        <v>0</v>
      </c>
      <c r="AI56" s="153" cm="1">
        <f t="array" ref="AI56">IF(OR(AI$4=0, $G56&lt;&gt; $G$7, $E56=0), 'I&amp;E Monthly'!AI56, CHOOSE(Timeline!AI$30,$J56,$K56,$L56 )*INDEX('I&amp;E Profiles'!AI$96:AI$180,$I56))</f>
        <v>0</v>
      </c>
      <c r="AJ56" s="153" cm="1">
        <f t="array" ref="AJ56">IF(OR(AJ$4=0, $G56&lt;&gt; $G$7, $E56=0), 'I&amp;E Monthly'!AJ56, CHOOSE(Timeline!AJ$30,$J56,$K56,$L56 )*INDEX('I&amp;E Profiles'!AJ$96:AJ$180,$I56))</f>
        <v>0</v>
      </c>
      <c r="AK56" s="153" cm="1">
        <f t="array" ref="AK56">IF(OR(AK$4=0, $G56&lt;&gt; $G$7, $E56=0), 'I&amp;E Monthly'!AK56, CHOOSE(Timeline!AK$30,$J56,$K56,$L56 )*INDEX('I&amp;E Profiles'!AK$96:AK$180,$I56))</f>
        <v>0</v>
      </c>
      <c r="AL56" s="153" cm="1">
        <f t="array" ref="AL56">IF(OR(AL$4=0, $G56&lt;&gt; $G$7, $E56=0), 'I&amp;E Monthly'!AL56, CHOOSE(Timeline!AL$30,$J56,$K56,$L56 )*INDEX('I&amp;E Profiles'!AL$96:AL$180,$I56))</f>
        <v>0</v>
      </c>
      <c r="AM56" s="153" cm="1">
        <f t="array" ref="AM56">IF(OR(AM$4=0, $G56&lt;&gt; $G$7, $E56=0), 'I&amp;E Monthly'!AM56, CHOOSE(Timeline!AM$30,$J56,$K56,$L56 )*INDEX('I&amp;E Profiles'!AM$96:AM$180,$I56))</f>
        <v>0</v>
      </c>
      <c r="AN56" s="153" cm="1">
        <f t="array" ref="AN56">IF(OR(AN$4=0, $G56&lt;&gt; $G$7, $E56=0), 'I&amp;E Monthly'!AN56, CHOOSE(Timeline!AN$30,$J56,$K56,$L56 )*INDEX('I&amp;E Profiles'!AN$96:AN$180,$I56))</f>
        <v>0</v>
      </c>
      <c r="AO56" s="153" cm="1">
        <f t="array" ref="AO56">IF(OR(AO$4=0, $G56&lt;&gt; $G$7, $E56=0), 'I&amp;E Monthly'!AO56, CHOOSE(Timeline!AO$30,$J56,$K56,$L56 )*INDEX('I&amp;E Profiles'!AO$96:AO$180,$I56))</f>
        <v>0</v>
      </c>
      <c r="AP56" s="153" cm="1">
        <f t="array" ref="AP56">IF(OR(AP$4=0, $G56&lt;&gt; $G$7, $E56=0), 'I&amp;E Monthly'!AP56, CHOOSE(Timeline!AP$30,$J56,$K56,$L56 )*INDEX('I&amp;E Profiles'!AP$96:AP$180,$I56))</f>
        <v>0</v>
      </c>
      <c r="AQ56" s="153" cm="1">
        <f t="array" ref="AQ56">IF(OR(AQ$4=0, $G56&lt;&gt; $G$7, $E56=0), 'I&amp;E Monthly'!AQ56, CHOOSE(Timeline!AQ$30,$J56,$K56,$L56 )*INDEX('I&amp;E Profiles'!AQ$96:AQ$180,$I56))</f>
        <v>0</v>
      </c>
      <c r="AR56" s="153" cm="1">
        <f t="array" ref="AR56">IF(OR(AR$4=0, $G56&lt;&gt; $G$7, $E56=0), 'I&amp;E Monthly'!AR56, CHOOSE(Timeline!AR$30,$J56,$K56,$L56 )*INDEX('I&amp;E Profiles'!AR$96:AR$180,$I56))</f>
        <v>0</v>
      </c>
      <c r="AS56" s="153" cm="1">
        <f t="array" ref="AS56">IF(OR(AS$4=0, $G56&lt;&gt; $G$7, $E56=0), 'I&amp;E Monthly'!AS56, CHOOSE(Timeline!AS$30,$J56,$K56,$L56 )*INDEX('I&amp;E Profiles'!AS$96:AS$180,$I56))</f>
        <v>0</v>
      </c>
      <c r="AT56" s="153" cm="1">
        <f t="array" ref="AT56">IF(OR(AT$4=0, $G56&lt;&gt; $G$7, $E56=0), 'I&amp;E Monthly'!AT56, CHOOSE(Timeline!AT$30,$J56,$K56,$L56 )*INDEX('I&amp;E Profiles'!AT$96:AT$180,$I56))</f>
        <v>0</v>
      </c>
      <c r="AU56" s="153" cm="1">
        <f t="array" ref="AU56">IF(OR(AU$4=0, $G56&lt;&gt; $G$7, $E56=0), 'I&amp;E Monthly'!AU56, CHOOSE(Timeline!AU$30,$J56,$K56,$L56 )*INDEX('I&amp;E Profiles'!AU$96:AU$180,$I56))</f>
        <v>0</v>
      </c>
      <c r="AV56" s="153" cm="1">
        <f t="array" ref="AV56">IF(OR(AV$4=0, $G56&lt;&gt; $G$7, $E56=0), 'I&amp;E Monthly'!AV56, CHOOSE(Timeline!AV$30,$J56,$K56,$L56 )*INDEX('I&amp;E Profiles'!AV$96:AV$180,$I56))</f>
        <v>0</v>
      </c>
      <c r="AW56" s="153" cm="1">
        <f t="array" ref="AW56">IF(OR(AW$4=0, $G56&lt;&gt; $G$7, $E56=0), 'I&amp;E Monthly'!AW56, CHOOSE(Timeline!AW$30,$J56,$K56,$L56 )*INDEX('I&amp;E Profiles'!AW$96:AW$180,$I56))</f>
        <v>0</v>
      </c>
      <c r="AX56" s="153" cm="1">
        <f t="array" ref="AX56">IF(OR(AX$4=0, $G56&lt;&gt; $G$7, $E56=0), 'I&amp;E Monthly'!AX56, CHOOSE(Timeline!AX$30,$J56,$K56,$L56 )*INDEX('I&amp;E Profiles'!AX$96:AX$180,$I56))</f>
        <v>0</v>
      </c>
      <c r="AY56" s="153" cm="1">
        <f t="array" ref="AY56">IF(OR(AY$4=0, $G56&lt;&gt; $G$7, $E56=0), 'I&amp;E Monthly'!AY56, CHOOSE(Timeline!AY$30,$J56,$K56,$L56 )*INDEX('I&amp;E Profiles'!AY$96:AY$180,$I56))</f>
        <v>0</v>
      </c>
      <c r="AZ56" s="153" cm="1">
        <f t="array" ref="AZ56">IF(OR(AZ$4=0, $G56&lt;&gt; $G$7, $E56=0), 'I&amp;E Monthly'!AZ56, CHOOSE(Timeline!AZ$30,$J56,$K56,$L56 )*INDEX('I&amp;E Profiles'!AZ$96:AZ$180,$I56))</f>
        <v>0</v>
      </c>
      <c r="BA56" s="153" cm="1">
        <f t="array" ref="BA56">IF(OR(BA$4=0, $G56&lt;&gt; $G$7, $E56=0), 'I&amp;E Monthly'!BA56, CHOOSE(Timeline!BA$30,$J56,$K56,$L56 )*INDEX('I&amp;E Profiles'!BA$96:BA$180,$I56))</f>
        <v>0</v>
      </c>
      <c r="BB56" s="153" cm="1">
        <f t="array" ref="BB56">IF(OR(BB$4=0, $G56&lt;&gt; $G$7, $E56=0), 'I&amp;E Monthly'!BB56, CHOOSE(Timeline!BB$30,$J56,$K56,$L56 )*INDEX('I&amp;E Profiles'!BB$96:BB$180,$I56))</f>
        <v>0</v>
      </c>
      <c r="BC56" s="153" cm="1">
        <f t="array" ref="BC56">IF(OR(BC$4=0, $G56&lt;&gt; $G$7, $E56=0), 'I&amp;E Monthly'!BC56, CHOOSE(Timeline!BC$30,$J56,$K56,$L56 )*INDEX('I&amp;E Profiles'!BC$96:BC$180,$I56))</f>
        <v>0</v>
      </c>
      <c r="BD56" s="153" cm="1">
        <f t="array" ref="BD56">IF(OR(BD$4=0, $G56&lt;&gt; $G$7, $E56=0), 'I&amp;E Monthly'!BD56, CHOOSE(Timeline!BD$30,$J56,$K56,$L56 )*INDEX('I&amp;E Profiles'!BD$96:BD$180,$I56))</f>
        <v>0</v>
      </c>
      <c r="BE56" s="153" cm="1">
        <f t="array" ref="BE56">IF(OR(BE$4=0, $G56&lt;&gt; $G$7, $E56=0), 'I&amp;E Monthly'!BE56, CHOOSE(Timeline!BE$30,$J56,$K56,$L56 )*INDEX('I&amp;E Profiles'!BE$96:BE$180,$I56))</f>
        <v>0</v>
      </c>
      <c r="BF56" s="153" cm="1">
        <f t="array" ref="BF56">IF(OR(BF$4=0, $G56&lt;&gt; $G$7, $E56=0), 'I&amp;E Monthly'!BF56, CHOOSE(Timeline!BF$30,$J56,$K56,$L56 )*INDEX('I&amp;E Profiles'!BF$96:BF$180,$I56))</f>
        <v>0</v>
      </c>
      <c r="BG56" s="153" cm="1">
        <f t="array" ref="BG56">IF(OR(BG$4=0, $G56&lt;&gt; $G$7, $E56=0), 'I&amp;E Monthly'!BG56, CHOOSE(Timeline!BG$30,$J56,$K56,$L56 )*INDEX('I&amp;E Profiles'!BG$96:BG$180,$I56))</f>
        <v>0</v>
      </c>
      <c r="BH56" s="153" cm="1">
        <f t="array" ref="BH56">IF(OR(BH$4=0, $G56&lt;&gt; $G$7, $E56=0), 'I&amp;E Monthly'!BH56, CHOOSE(Timeline!BH$30,$J56,$K56,$L56 )*INDEX('I&amp;E Profiles'!BH$96:BH$180,$I56))</f>
        <v>0</v>
      </c>
      <c r="BI56" s="153" cm="1">
        <f t="array" ref="BI56">IF(OR(BI$4=0, $G56&lt;&gt; $G$7, $E56=0), 'I&amp;E Monthly'!BI56, CHOOSE(Timeline!BI$30,$J56,$K56,$L56 )*INDEX('I&amp;E Profiles'!BI$96:BI$180,$I56))</f>
        <v>0</v>
      </c>
      <c r="BJ56" s="153" cm="1">
        <f t="array" ref="BJ56">IF(OR(BJ$4=0, $G56&lt;&gt; $G$7, $E56=0), 'I&amp;E Monthly'!BJ56, CHOOSE(Timeline!BJ$30,$J56,$K56,$L56 )*INDEX('I&amp;E Profiles'!BJ$96:BJ$180,$I56))</f>
        <v>0</v>
      </c>
      <c r="BK56" s="335"/>
      <c r="BL56" s="13">
        <f t="shared" si="58"/>
        <v>0</v>
      </c>
      <c r="BM56" s="153">
        <f t="shared" si="59"/>
        <v>0</v>
      </c>
      <c r="BN56" s="153">
        <f t="shared" si="59"/>
        <v>0</v>
      </c>
      <c r="BO56" s="153">
        <f t="shared" si="59"/>
        <v>0</v>
      </c>
      <c r="BP56" s="13">
        <f>'I&amp;E Monthly'!BP56</f>
        <v>0</v>
      </c>
      <c r="BQ56" s="13">
        <f>'I&amp;E Monthly'!BQ56</f>
        <v>0</v>
      </c>
      <c r="BR56" s="13">
        <f>'I&amp;E Monthly'!BR56</f>
        <v>0</v>
      </c>
      <c r="BS56" s="13">
        <f>'I&amp;E Monthly'!BS56</f>
        <v>0</v>
      </c>
      <c r="BT56" s="13">
        <f>'I&amp;E Monthly'!BT56</f>
        <v>0</v>
      </c>
      <c r="BU56" s="13">
        <f>'I&amp;E Monthly'!BU56</f>
        <v>0</v>
      </c>
      <c r="BV56" s="13">
        <f>'I&amp;E Monthly'!BV56</f>
        <v>0</v>
      </c>
      <c r="BW56" s="13">
        <f>'I&amp;E Monthly'!BW56</f>
        <v>0</v>
      </c>
      <c r="BX56" s="335"/>
      <c r="BY56" s="12"/>
      <c r="BZ56" s="363">
        <f t="shared" ca="1" si="60"/>
        <v>0</v>
      </c>
      <c r="CA56" s="12"/>
      <c r="CB56" s="7">
        <f t="shared" si="61"/>
        <v>0</v>
      </c>
      <c r="CC56" s="188" cm="1">
        <f t="array" ref="CC56">IF(E56="",0, IF(_xlfn.IFNA(INDEX('I&amp;E Profiles'!$D$96:$D$180, $I56), "N/A")="N/A", 1, 0))</f>
        <v>0</v>
      </c>
      <c r="CD56" s="7">
        <f t="shared" si="62"/>
        <v>0</v>
      </c>
      <c r="CE56" s="7">
        <f t="shared" si="63"/>
        <v>0</v>
      </c>
      <c r="CF56" s="7">
        <f t="shared" si="64"/>
        <v>0</v>
      </c>
      <c r="CG56" s="12"/>
      <c r="CH56" s="352">
        <f t="shared" si="65"/>
        <v>0</v>
      </c>
      <c r="CI56" s="352">
        <f t="shared" si="66"/>
        <v>0</v>
      </c>
      <c r="CJ56" s="352">
        <f t="shared" si="67"/>
        <v>0</v>
      </c>
      <c r="CK56" s="352">
        <f t="shared" si="68"/>
        <v>0</v>
      </c>
      <c r="CL56" s="352">
        <f t="shared" si="69"/>
        <v>0</v>
      </c>
      <c r="CM56" s="352">
        <f t="shared" si="70"/>
        <v>0</v>
      </c>
      <c r="CN56" s="352">
        <f t="shared" si="71"/>
        <v>0</v>
      </c>
      <c r="EX56" s="10" t="str">
        <f t="shared" si="1"/>
        <v/>
      </c>
    </row>
    <row r="57" spans="1:154" hidden="1" x14ac:dyDescent="0.25">
      <c r="A57" s="362" cm="1">
        <f t="array" aca="1" ref="A57" ca="1">HYPERLINK(CONCATENATE("#",CELL("address",IF(SUM($CA57:$CG57)=0,A57,INDEX($CA57:$CG57,MATCH(1,$CA57:$CG57,0))))),SUM($CA57:$CG57))</f>
        <v>0</v>
      </c>
      <c r="B57" s="93"/>
      <c r="C57" s="383"/>
      <c r="D57" s="137" t="s">
        <v>2316</v>
      </c>
      <c r="E57" s="136"/>
      <c r="F57" s="98" t="str" cm="1">
        <f t="array" aca="1" ref="F57" ca="1">IF(E57="", "", HYPERLINK(CONCATENATE("#",CELL("address",INDEX('I&amp;E Profiles'!$D$9:$D$93,'I&amp;E Annual'!I57))),E57))</f>
        <v/>
      </c>
      <c r="G57" s="136"/>
      <c r="I57" s="200" t="str">
        <f>IF(E57="", "", MATCH(E57, 'I&amp;E Profiles'!$D$96:$D$180,0))</f>
        <v/>
      </c>
      <c r="J57" s="215">
        <f>IF($G57=$G$7, W57,'I&amp;E Monthly'!W57)-SUMIFS('I&amp;E Monthly'!$AA57:$BJ57, 'I&amp;E Monthly'!$AA$3:$BJ$3, 'I&amp;E Annual'!W$3, 'I&amp;E Monthly'!$AA$4:$BJ$4, 0)</f>
        <v>0</v>
      </c>
      <c r="K57" s="215">
        <f>IF($G57=$G$7, X57,'I&amp;E Monthly'!X57)-SUMIFS('I&amp;E Monthly'!$AA57:$BJ57, 'I&amp;E Monthly'!$AA$3:$BJ$3, 'I&amp;E Annual'!X$3, 'I&amp;E Monthly'!$AA$4:$BJ$4, 0)</f>
        <v>0</v>
      </c>
      <c r="L57" s="215">
        <f>IF($G57=$G$7, Y57,'I&amp;E Monthly'!Y57)-SUMIFS('I&amp;E Monthly'!$AA57:$BJ57, 'I&amp;E Monthly'!$AA$3:$BJ$3, 'I&amp;E Annual'!Y$3, 'I&amp;E Monthly'!$AA$4:$BJ$4, 0)</f>
        <v>0</v>
      </c>
      <c r="M57" s="335"/>
      <c r="N57" s="335"/>
      <c r="O57" s="335"/>
      <c r="P57" s="335"/>
      <c r="Q57" s="2"/>
      <c r="R57" s="335"/>
      <c r="S57" s="335"/>
      <c r="T57" s="335"/>
      <c r="U57" s="335"/>
      <c r="V57" s="201">
        <f>'I&amp;E Monthly'!V57</f>
        <v>0</v>
      </c>
      <c r="W57" s="136"/>
      <c r="X57" s="136"/>
      <c r="Y57" s="136"/>
      <c r="Z57" s="335"/>
      <c r="AA57" s="153" cm="1">
        <f t="array" ref="AA57">IF(OR(AA$4=0, $G57&lt;&gt; $G$7, $E57=0), 'I&amp;E Monthly'!AA57, CHOOSE(Timeline!AA$30,$J57,$K57,$L57 )*INDEX('I&amp;E Profiles'!AA$96:AA$180,$I57))</f>
        <v>0</v>
      </c>
      <c r="AB57" s="153" cm="1">
        <f t="array" ref="AB57">IF(OR(AB$4=0, $G57&lt;&gt; $G$7, $E57=0), 'I&amp;E Monthly'!AB57, CHOOSE(Timeline!AB$30,$J57,$K57,$L57 )*INDEX('I&amp;E Profiles'!AB$96:AB$180,$I57))</f>
        <v>0</v>
      </c>
      <c r="AC57" s="153" cm="1">
        <f t="array" ref="AC57">IF(OR(AC$4=0, $G57&lt;&gt; $G$7, $E57=0), 'I&amp;E Monthly'!AC57, CHOOSE(Timeline!AC$30,$J57,$K57,$L57 )*INDEX('I&amp;E Profiles'!AC$96:AC$180,$I57))</f>
        <v>0</v>
      </c>
      <c r="AD57" s="153" cm="1">
        <f t="array" ref="AD57">IF(OR(AD$4=0, $G57&lt;&gt; $G$7, $E57=0), 'I&amp;E Monthly'!AD57, CHOOSE(Timeline!AD$30,$J57,$K57,$L57 )*INDEX('I&amp;E Profiles'!AD$96:AD$180,$I57))</f>
        <v>0</v>
      </c>
      <c r="AE57" s="153" cm="1">
        <f t="array" ref="AE57">IF(OR(AE$4=0, $G57&lt;&gt; $G$7, $E57=0), 'I&amp;E Monthly'!AE57, CHOOSE(Timeline!AE$30,$J57,$K57,$L57 )*INDEX('I&amp;E Profiles'!AE$96:AE$180,$I57))</f>
        <v>0</v>
      </c>
      <c r="AF57" s="153" cm="1">
        <f t="array" ref="AF57">IF(OR(AF$4=0, $G57&lt;&gt; $G$7, $E57=0), 'I&amp;E Monthly'!AF57, CHOOSE(Timeline!AF$30,$J57,$K57,$L57 )*INDEX('I&amp;E Profiles'!AF$96:AF$180,$I57))</f>
        <v>0</v>
      </c>
      <c r="AG57" s="153" cm="1">
        <f t="array" ref="AG57">IF(OR(AG$4=0, $G57&lt;&gt; $G$7, $E57=0), 'I&amp;E Monthly'!AG57, CHOOSE(Timeline!AG$30,$J57,$K57,$L57 )*INDEX('I&amp;E Profiles'!AG$96:AG$180,$I57))</f>
        <v>0</v>
      </c>
      <c r="AH57" s="153" cm="1">
        <f t="array" ref="AH57">IF(OR(AH$4=0, $G57&lt;&gt; $G$7, $E57=0), 'I&amp;E Monthly'!AH57, CHOOSE(Timeline!AH$30,$J57,$K57,$L57 )*INDEX('I&amp;E Profiles'!AH$96:AH$180,$I57))</f>
        <v>0</v>
      </c>
      <c r="AI57" s="153" cm="1">
        <f t="array" ref="AI57">IF(OR(AI$4=0, $G57&lt;&gt; $G$7, $E57=0), 'I&amp;E Monthly'!AI57, CHOOSE(Timeline!AI$30,$J57,$K57,$L57 )*INDEX('I&amp;E Profiles'!AI$96:AI$180,$I57))</f>
        <v>0</v>
      </c>
      <c r="AJ57" s="153" cm="1">
        <f t="array" ref="AJ57">IF(OR(AJ$4=0, $G57&lt;&gt; $G$7, $E57=0), 'I&amp;E Monthly'!AJ57, CHOOSE(Timeline!AJ$30,$J57,$K57,$L57 )*INDEX('I&amp;E Profiles'!AJ$96:AJ$180,$I57))</f>
        <v>0</v>
      </c>
      <c r="AK57" s="153" cm="1">
        <f t="array" ref="AK57">IF(OR(AK$4=0, $G57&lt;&gt; $G$7, $E57=0), 'I&amp;E Monthly'!AK57, CHOOSE(Timeline!AK$30,$J57,$K57,$L57 )*INDEX('I&amp;E Profiles'!AK$96:AK$180,$I57))</f>
        <v>0</v>
      </c>
      <c r="AL57" s="153" cm="1">
        <f t="array" ref="AL57">IF(OR(AL$4=0, $G57&lt;&gt; $G$7, $E57=0), 'I&amp;E Monthly'!AL57, CHOOSE(Timeline!AL$30,$J57,$K57,$L57 )*INDEX('I&amp;E Profiles'!AL$96:AL$180,$I57))</f>
        <v>0</v>
      </c>
      <c r="AM57" s="153" cm="1">
        <f t="array" ref="AM57">IF(OR(AM$4=0, $G57&lt;&gt; $G$7, $E57=0), 'I&amp;E Monthly'!AM57, CHOOSE(Timeline!AM$30,$J57,$K57,$L57 )*INDEX('I&amp;E Profiles'!AM$96:AM$180,$I57))</f>
        <v>0</v>
      </c>
      <c r="AN57" s="153" cm="1">
        <f t="array" ref="AN57">IF(OR(AN$4=0, $G57&lt;&gt; $G$7, $E57=0), 'I&amp;E Monthly'!AN57, CHOOSE(Timeline!AN$30,$J57,$K57,$L57 )*INDEX('I&amp;E Profiles'!AN$96:AN$180,$I57))</f>
        <v>0</v>
      </c>
      <c r="AO57" s="153" cm="1">
        <f t="array" ref="AO57">IF(OR(AO$4=0, $G57&lt;&gt; $G$7, $E57=0), 'I&amp;E Monthly'!AO57, CHOOSE(Timeline!AO$30,$J57,$K57,$L57 )*INDEX('I&amp;E Profiles'!AO$96:AO$180,$I57))</f>
        <v>0</v>
      </c>
      <c r="AP57" s="153" cm="1">
        <f t="array" ref="AP57">IF(OR(AP$4=0, $G57&lt;&gt; $G$7, $E57=0), 'I&amp;E Monthly'!AP57, CHOOSE(Timeline!AP$30,$J57,$K57,$L57 )*INDEX('I&amp;E Profiles'!AP$96:AP$180,$I57))</f>
        <v>0</v>
      </c>
      <c r="AQ57" s="153" cm="1">
        <f t="array" ref="AQ57">IF(OR(AQ$4=0, $G57&lt;&gt; $G$7, $E57=0), 'I&amp;E Monthly'!AQ57, CHOOSE(Timeline!AQ$30,$J57,$K57,$L57 )*INDEX('I&amp;E Profiles'!AQ$96:AQ$180,$I57))</f>
        <v>0</v>
      </c>
      <c r="AR57" s="153" cm="1">
        <f t="array" ref="AR57">IF(OR(AR$4=0, $G57&lt;&gt; $G$7, $E57=0), 'I&amp;E Monthly'!AR57, CHOOSE(Timeline!AR$30,$J57,$K57,$L57 )*INDEX('I&amp;E Profiles'!AR$96:AR$180,$I57))</f>
        <v>0</v>
      </c>
      <c r="AS57" s="153" cm="1">
        <f t="array" ref="AS57">IF(OR(AS$4=0, $G57&lt;&gt; $G$7, $E57=0), 'I&amp;E Monthly'!AS57, CHOOSE(Timeline!AS$30,$J57,$K57,$L57 )*INDEX('I&amp;E Profiles'!AS$96:AS$180,$I57))</f>
        <v>0</v>
      </c>
      <c r="AT57" s="153" cm="1">
        <f t="array" ref="AT57">IF(OR(AT$4=0, $G57&lt;&gt; $G$7, $E57=0), 'I&amp;E Monthly'!AT57, CHOOSE(Timeline!AT$30,$J57,$K57,$L57 )*INDEX('I&amp;E Profiles'!AT$96:AT$180,$I57))</f>
        <v>0</v>
      </c>
      <c r="AU57" s="153" cm="1">
        <f t="array" ref="AU57">IF(OR(AU$4=0, $G57&lt;&gt; $G$7, $E57=0), 'I&amp;E Monthly'!AU57, CHOOSE(Timeline!AU$30,$J57,$K57,$L57 )*INDEX('I&amp;E Profiles'!AU$96:AU$180,$I57))</f>
        <v>0</v>
      </c>
      <c r="AV57" s="153" cm="1">
        <f t="array" ref="AV57">IF(OR(AV$4=0, $G57&lt;&gt; $G$7, $E57=0), 'I&amp;E Monthly'!AV57, CHOOSE(Timeline!AV$30,$J57,$K57,$L57 )*INDEX('I&amp;E Profiles'!AV$96:AV$180,$I57))</f>
        <v>0</v>
      </c>
      <c r="AW57" s="153" cm="1">
        <f t="array" ref="AW57">IF(OR(AW$4=0, $G57&lt;&gt; $G$7, $E57=0), 'I&amp;E Monthly'!AW57, CHOOSE(Timeline!AW$30,$J57,$K57,$L57 )*INDEX('I&amp;E Profiles'!AW$96:AW$180,$I57))</f>
        <v>0</v>
      </c>
      <c r="AX57" s="153" cm="1">
        <f t="array" ref="AX57">IF(OR(AX$4=0, $G57&lt;&gt; $G$7, $E57=0), 'I&amp;E Monthly'!AX57, CHOOSE(Timeline!AX$30,$J57,$K57,$L57 )*INDEX('I&amp;E Profiles'!AX$96:AX$180,$I57))</f>
        <v>0</v>
      </c>
      <c r="AY57" s="153" cm="1">
        <f t="array" ref="AY57">IF(OR(AY$4=0, $G57&lt;&gt; $G$7, $E57=0), 'I&amp;E Monthly'!AY57, CHOOSE(Timeline!AY$30,$J57,$K57,$L57 )*INDEX('I&amp;E Profiles'!AY$96:AY$180,$I57))</f>
        <v>0</v>
      </c>
      <c r="AZ57" s="153" cm="1">
        <f t="array" ref="AZ57">IF(OR(AZ$4=0, $G57&lt;&gt; $G$7, $E57=0), 'I&amp;E Monthly'!AZ57, CHOOSE(Timeline!AZ$30,$J57,$K57,$L57 )*INDEX('I&amp;E Profiles'!AZ$96:AZ$180,$I57))</f>
        <v>0</v>
      </c>
      <c r="BA57" s="153" cm="1">
        <f t="array" ref="BA57">IF(OR(BA$4=0, $G57&lt;&gt; $G$7, $E57=0), 'I&amp;E Monthly'!BA57, CHOOSE(Timeline!BA$30,$J57,$K57,$L57 )*INDEX('I&amp;E Profiles'!BA$96:BA$180,$I57))</f>
        <v>0</v>
      </c>
      <c r="BB57" s="153" cm="1">
        <f t="array" ref="BB57">IF(OR(BB$4=0, $G57&lt;&gt; $G$7, $E57=0), 'I&amp;E Monthly'!BB57, CHOOSE(Timeline!BB$30,$J57,$K57,$L57 )*INDEX('I&amp;E Profiles'!BB$96:BB$180,$I57))</f>
        <v>0</v>
      </c>
      <c r="BC57" s="153" cm="1">
        <f t="array" ref="BC57">IF(OR(BC$4=0, $G57&lt;&gt; $G$7, $E57=0), 'I&amp;E Monthly'!BC57, CHOOSE(Timeline!BC$30,$J57,$K57,$L57 )*INDEX('I&amp;E Profiles'!BC$96:BC$180,$I57))</f>
        <v>0</v>
      </c>
      <c r="BD57" s="153" cm="1">
        <f t="array" ref="BD57">IF(OR(BD$4=0, $G57&lt;&gt; $G$7, $E57=0), 'I&amp;E Monthly'!BD57, CHOOSE(Timeline!BD$30,$J57,$K57,$L57 )*INDEX('I&amp;E Profiles'!BD$96:BD$180,$I57))</f>
        <v>0</v>
      </c>
      <c r="BE57" s="153" cm="1">
        <f t="array" ref="BE57">IF(OR(BE$4=0, $G57&lt;&gt; $G$7, $E57=0), 'I&amp;E Monthly'!BE57, CHOOSE(Timeline!BE$30,$J57,$K57,$L57 )*INDEX('I&amp;E Profiles'!BE$96:BE$180,$I57))</f>
        <v>0</v>
      </c>
      <c r="BF57" s="153" cm="1">
        <f t="array" ref="BF57">IF(OR(BF$4=0, $G57&lt;&gt; $G$7, $E57=0), 'I&amp;E Monthly'!BF57, CHOOSE(Timeline!BF$30,$J57,$K57,$L57 )*INDEX('I&amp;E Profiles'!BF$96:BF$180,$I57))</f>
        <v>0</v>
      </c>
      <c r="BG57" s="153" cm="1">
        <f t="array" ref="BG57">IF(OR(BG$4=0, $G57&lt;&gt; $G$7, $E57=0), 'I&amp;E Monthly'!BG57, CHOOSE(Timeline!BG$30,$J57,$K57,$L57 )*INDEX('I&amp;E Profiles'!BG$96:BG$180,$I57))</f>
        <v>0</v>
      </c>
      <c r="BH57" s="153" cm="1">
        <f t="array" ref="BH57">IF(OR(BH$4=0, $G57&lt;&gt; $G$7, $E57=0), 'I&amp;E Monthly'!BH57, CHOOSE(Timeline!BH$30,$J57,$K57,$L57 )*INDEX('I&amp;E Profiles'!BH$96:BH$180,$I57))</f>
        <v>0</v>
      </c>
      <c r="BI57" s="153" cm="1">
        <f t="array" ref="BI57">IF(OR(BI$4=0, $G57&lt;&gt; $G$7, $E57=0), 'I&amp;E Monthly'!BI57, CHOOSE(Timeline!BI$30,$J57,$K57,$L57 )*INDEX('I&amp;E Profiles'!BI$96:BI$180,$I57))</f>
        <v>0</v>
      </c>
      <c r="BJ57" s="153" cm="1">
        <f t="array" ref="BJ57">IF(OR(BJ$4=0, $G57&lt;&gt; $G$7, $E57=0), 'I&amp;E Monthly'!BJ57, CHOOSE(Timeline!BJ$30,$J57,$K57,$L57 )*INDEX('I&amp;E Profiles'!BJ$96:BJ$180,$I57))</f>
        <v>0</v>
      </c>
      <c r="BK57" s="335"/>
      <c r="BL57" s="13">
        <f t="shared" si="58"/>
        <v>0</v>
      </c>
      <c r="BM57" s="153">
        <f t="shared" si="59"/>
        <v>0</v>
      </c>
      <c r="BN57" s="153">
        <f t="shared" si="59"/>
        <v>0</v>
      </c>
      <c r="BO57" s="153">
        <f t="shared" si="59"/>
        <v>0</v>
      </c>
      <c r="BP57" s="13">
        <f>'I&amp;E Monthly'!BP57</f>
        <v>0</v>
      </c>
      <c r="BQ57" s="13">
        <f>'I&amp;E Monthly'!BQ57</f>
        <v>0</v>
      </c>
      <c r="BR57" s="13">
        <f>'I&amp;E Monthly'!BR57</f>
        <v>0</v>
      </c>
      <c r="BS57" s="13">
        <f>'I&amp;E Monthly'!BS57</f>
        <v>0</v>
      </c>
      <c r="BT57" s="13">
        <f>'I&amp;E Monthly'!BT57</f>
        <v>0</v>
      </c>
      <c r="BU57" s="13">
        <f>'I&amp;E Monthly'!BU57</f>
        <v>0</v>
      </c>
      <c r="BV57" s="13">
        <f>'I&amp;E Monthly'!BV57</f>
        <v>0</v>
      </c>
      <c r="BW57" s="13">
        <f>'I&amp;E Monthly'!BW57</f>
        <v>0</v>
      </c>
      <c r="BX57" s="335"/>
      <c r="BY57" s="12"/>
      <c r="BZ57" s="363">
        <f t="shared" ca="1" si="60"/>
        <v>0</v>
      </c>
      <c r="CA57" s="12"/>
      <c r="CB57" s="7">
        <f t="shared" si="61"/>
        <v>0</v>
      </c>
      <c r="CC57" s="188" cm="1">
        <f t="array" ref="CC57">IF(E57="",0, IF(_xlfn.IFNA(INDEX('I&amp;E Profiles'!$D$96:$D$180, $I57), "N/A")="N/A", 1, 0))</f>
        <v>0</v>
      </c>
      <c r="CD57" s="7">
        <f t="shared" si="62"/>
        <v>0</v>
      </c>
      <c r="CE57" s="7">
        <f t="shared" si="63"/>
        <v>0</v>
      </c>
      <c r="CF57" s="7">
        <f t="shared" si="64"/>
        <v>0</v>
      </c>
      <c r="CG57" s="12"/>
      <c r="CH57" s="352">
        <f t="shared" si="65"/>
        <v>0</v>
      </c>
      <c r="CI57" s="352">
        <f t="shared" si="66"/>
        <v>0</v>
      </c>
      <c r="CJ57" s="352">
        <f t="shared" si="67"/>
        <v>0</v>
      </c>
      <c r="CK57" s="352">
        <f t="shared" si="68"/>
        <v>0</v>
      </c>
      <c r="CL57" s="352">
        <f t="shared" si="69"/>
        <v>0</v>
      </c>
      <c r="CM57" s="352">
        <f t="shared" si="70"/>
        <v>0</v>
      </c>
      <c r="CN57" s="352">
        <f t="shared" si="71"/>
        <v>0</v>
      </c>
      <c r="EX57" s="10" t="str">
        <f t="shared" si="1"/>
        <v/>
      </c>
    </row>
    <row r="58" spans="1:154" hidden="1" x14ac:dyDescent="0.25">
      <c r="A58" s="362" cm="1">
        <f t="array" aca="1" ref="A58" ca="1">HYPERLINK(CONCATENATE("#",CELL("address",IF(SUM($CA58:$CG58)=0,A58,INDEX($CA58:$CG58,MATCH(1,$CA58:$CG58,0))))),SUM($CA58:$CG58))</f>
        <v>0</v>
      </c>
      <c r="B58" s="93"/>
      <c r="C58" s="383"/>
      <c r="D58" s="137" t="s">
        <v>2316</v>
      </c>
      <c r="E58" s="349"/>
      <c r="F58" s="98" t="str" cm="1">
        <f t="array" aca="1" ref="F58" ca="1">IF(E58="", "", HYPERLINK(CONCATENATE("#",CELL("address",INDEX('I&amp;E Profiles'!$D$9:$D$93,'I&amp;E Annual'!I58))),E58))</f>
        <v/>
      </c>
      <c r="G58" s="349"/>
      <c r="I58" s="350" t="str">
        <f>IF(E58="", "", MATCH(E58, 'I&amp;E Profiles'!$D$96:$D$180,0))</f>
        <v/>
      </c>
      <c r="J58" s="215">
        <f>IF($G58=$G$7, W58,'I&amp;E Monthly'!W58)-SUMIFS('I&amp;E Monthly'!$AA58:$BJ58, 'I&amp;E Monthly'!$AA$3:$BJ$3, 'I&amp;E Annual'!W$3, 'I&amp;E Monthly'!$AA$4:$BJ$4, 0)</f>
        <v>0</v>
      </c>
      <c r="K58" s="215">
        <f>IF($G58=$G$7, X58,'I&amp;E Monthly'!X58)-SUMIFS('I&amp;E Monthly'!$AA58:$BJ58, 'I&amp;E Monthly'!$AA$3:$BJ$3, 'I&amp;E Annual'!X$3, 'I&amp;E Monthly'!$AA$4:$BJ$4, 0)</f>
        <v>0</v>
      </c>
      <c r="L58" s="215">
        <f>IF($G58=$G$7, Y58,'I&amp;E Monthly'!Y58)-SUMIFS('I&amp;E Monthly'!$AA58:$BJ58, 'I&amp;E Monthly'!$AA$3:$BJ$3, 'I&amp;E Annual'!Y$3, 'I&amp;E Monthly'!$AA$4:$BJ$4, 0)</f>
        <v>0</v>
      </c>
      <c r="M58" s="335"/>
      <c r="N58" s="335"/>
      <c r="O58" s="335"/>
      <c r="P58" s="335"/>
      <c r="Q58" s="2"/>
      <c r="R58" s="335"/>
      <c r="S58" s="335"/>
      <c r="T58" s="335"/>
      <c r="U58" s="335"/>
      <c r="V58" s="201">
        <f>'I&amp;E Monthly'!V58</f>
        <v>0</v>
      </c>
      <c r="W58" s="136"/>
      <c r="X58" s="136"/>
      <c r="Y58" s="136"/>
      <c r="Z58" s="335"/>
      <c r="AA58" s="153" cm="1">
        <f t="array" ref="AA58">IF(OR(AA$4=0, $G58&lt;&gt; $G$7, $E58=0), 'I&amp;E Monthly'!AA58, CHOOSE(Timeline!AA$30,$J58,$K58,$L58 )*INDEX('I&amp;E Profiles'!AA$96:AA$180,$I58))</f>
        <v>0</v>
      </c>
      <c r="AB58" s="153" cm="1">
        <f t="array" ref="AB58">IF(OR(AB$4=0, $G58&lt;&gt; $G$7, $E58=0), 'I&amp;E Monthly'!AB58, CHOOSE(Timeline!AB$30,$J58,$K58,$L58 )*INDEX('I&amp;E Profiles'!AB$96:AB$180,$I58))</f>
        <v>0</v>
      </c>
      <c r="AC58" s="153" cm="1">
        <f t="array" ref="AC58">IF(OR(AC$4=0, $G58&lt;&gt; $G$7, $E58=0), 'I&amp;E Monthly'!AC58, CHOOSE(Timeline!AC$30,$J58,$K58,$L58 )*INDEX('I&amp;E Profiles'!AC$96:AC$180,$I58))</f>
        <v>0</v>
      </c>
      <c r="AD58" s="153" cm="1">
        <f t="array" ref="AD58">IF(OR(AD$4=0, $G58&lt;&gt; $G$7, $E58=0), 'I&amp;E Monthly'!AD58, CHOOSE(Timeline!AD$30,$J58,$K58,$L58 )*INDEX('I&amp;E Profiles'!AD$96:AD$180,$I58))</f>
        <v>0</v>
      </c>
      <c r="AE58" s="153" cm="1">
        <f t="array" ref="AE58">IF(OR(AE$4=0, $G58&lt;&gt; $G$7, $E58=0), 'I&amp;E Monthly'!AE58, CHOOSE(Timeline!AE$30,$J58,$K58,$L58 )*INDEX('I&amp;E Profiles'!AE$96:AE$180,$I58))</f>
        <v>0</v>
      </c>
      <c r="AF58" s="153" cm="1">
        <f t="array" ref="AF58">IF(OR(AF$4=0, $G58&lt;&gt; $G$7, $E58=0), 'I&amp;E Monthly'!AF58, CHOOSE(Timeline!AF$30,$J58,$K58,$L58 )*INDEX('I&amp;E Profiles'!AF$96:AF$180,$I58))</f>
        <v>0</v>
      </c>
      <c r="AG58" s="153" cm="1">
        <f t="array" ref="AG58">IF(OR(AG$4=0, $G58&lt;&gt; $G$7, $E58=0), 'I&amp;E Monthly'!AG58, CHOOSE(Timeline!AG$30,$J58,$K58,$L58 )*INDEX('I&amp;E Profiles'!AG$96:AG$180,$I58))</f>
        <v>0</v>
      </c>
      <c r="AH58" s="153" cm="1">
        <f t="array" ref="AH58">IF(OR(AH$4=0, $G58&lt;&gt; $G$7, $E58=0), 'I&amp;E Monthly'!AH58, CHOOSE(Timeline!AH$30,$J58,$K58,$L58 )*INDEX('I&amp;E Profiles'!AH$96:AH$180,$I58))</f>
        <v>0</v>
      </c>
      <c r="AI58" s="153" cm="1">
        <f t="array" ref="AI58">IF(OR(AI$4=0, $G58&lt;&gt; $G$7, $E58=0), 'I&amp;E Monthly'!AI58, CHOOSE(Timeline!AI$30,$J58,$K58,$L58 )*INDEX('I&amp;E Profiles'!AI$96:AI$180,$I58))</f>
        <v>0</v>
      </c>
      <c r="AJ58" s="153" cm="1">
        <f t="array" ref="AJ58">IF(OR(AJ$4=0, $G58&lt;&gt; $G$7, $E58=0), 'I&amp;E Monthly'!AJ58, CHOOSE(Timeline!AJ$30,$J58,$K58,$L58 )*INDEX('I&amp;E Profiles'!AJ$96:AJ$180,$I58))</f>
        <v>0</v>
      </c>
      <c r="AK58" s="153" cm="1">
        <f t="array" ref="AK58">IF(OR(AK$4=0, $G58&lt;&gt; $G$7, $E58=0), 'I&amp;E Monthly'!AK58, CHOOSE(Timeline!AK$30,$J58,$K58,$L58 )*INDEX('I&amp;E Profiles'!AK$96:AK$180,$I58))</f>
        <v>0</v>
      </c>
      <c r="AL58" s="153" cm="1">
        <f t="array" ref="AL58">IF(OR(AL$4=0, $G58&lt;&gt; $G$7, $E58=0), 'I&amp;E Monthly'!AL58, CHOOSE(Timeline!AL$30,$J58,$K58,$L58 )*INDEX('I&amp;E Profiles'!AL$96:AL$180,$I58))</f>
        <v>0</v>
      </c>
      <c r="AM58" s="153" cm="1">
        <f t="array" ref="AM58">IF(OR(AM$4=0, $G58&lt;&gt; $G$7, $E58=0), 'I&amp;E Monthly'!AM58, CHOOSE(Timeline!AM$30,$J58,$K58,$L58 )*INDEX('I&amp;E Profiles'!AM$96:AM$180,$I58))</f>
        <v>0</v>
      </c>
      <c r="AN58" s="153" cm="1">
        <f t="array" ref="AN58">IF(OR(AN$4=0, $G58&lt;&gt; $G$7, $E58=0), 'I&amp;E Monthly'!AN58, CHOOSE(Timeline!AN$30,$J58,$K58,$L58 )*INDEX('I&amp;E Profiles'!AN$96:AN$180,$I58))</f>
        <v>0</v>
      </c>
      <c r="AO58" s="153" cm="1">
        <f t="array" ref="AO58">IF(OR(AO$4=0, $G58&lt;&gt; $G$7, $E58=0), 'I&amp;E Monthly'!AO58, CHOOSE(Timeline!AO$30,$J58,$K58,$L58 )*INDEX('I&amp;E Profiles'!AO$96:AO$180,$I58))</f>
        <v>0</v>
      </c>
      <c r="AP58" s="153" cm="1">
        <f t="array" ref="AP58">IF(OR(AP$4=0, $G58&lt;&gt; $G$7, $E58=0), 'I&amp;E Monthly'!AP58, CHOOSE(Timeline!AP$30,$J58,$K58,$L58 )*INDEX('I&amp;E Profiles'!AP$96:AP$180,$I58))</f>
        <v>0</v>
      </c>
      <c r="AQ58" s="153" cm="1">
        <f t="array" ref="AQ58">IF(OR(AQ$4=0, $G58&lt;&gt; $G$7, $E58=0), 'I&amp;E Monthly'!AQ58, CHOOSE(Timeline!AQ$30,$J58,$K58,$L58 )*INDEX('I&amp;E Profiles'!AQ$96:AQ$180,$I58))</f>
        <v>0</v>
      </c>
      <c r="AR58" s="153" cm="1">
        <f t="array" ref="AR58">IF(OR(AR$4=0, $G58&lt;&gt; $G$7, $E58=0), 'I&amp;E Monthly'!AR58, CHOOSE(Timeline!AR$30,$J58,$K58,$L58 )*INDEX('I&amp;E Profiles'!AR$96:AR$180,$I58))</f>
        <v>0</v>
      </c>
      <c r="AS58" s="153" cm="1">
        <f t="array" ref="AS58">IF(OR(AS$4=0, $G58&lt;&gt; $G$7, $E58=0), 'I&amp;E Monthly'!AS58, CHOOSE(Timeline!AS$30,$J58,$K58,$L58 )*INDEX('I&amp;E Profiles'!AS$96:AS$180,$I58))</f>
        <v>0</v>
      </c>
      <c r="AT58" s="153" cm="1">
        <f t="array" ref="AT58">IF(OR(AT$4=0, $G58&lt;&gt; $G$7, $E58=0), 'I&amp;E Monthly'!AT58, CHOOSE(Timeline!AT$30,$J58,$K58,$L58 )*INDEX('I&amp;E Profiles'!AT$96:AT$180,$I58))</f>
        <v>0</v>
      </c>
      <c r="AU58" s="153" cm="1">
        <f t="array" ref="AU58">IF(OR(AU$4=0, $G58&lt;&gt; $G$7, $E58=0), 'I&amp;E Monthly'!AU58, CHOOSE(Timeline!AU$30,$J58,$K58,$L58 )*INDEX('I&amp;E Profiles'!AU$96:AU$180,$I58))</f>
        <v>0</v>
      </c>
      <c r="AV58" s="153" cm="1">
        <f t="array" ref="AV58">IF(OR(AV$4=0, $G58&lt;&gt; $G$7, $E58=0), 'I&amp;E Monthly'!AV58, CHOOSE(Timeline!AV$30,$J58,$K58,$L58 )*INDEX('I&amp;E Profiles'!AV$96:AV$180,$I58))</f>
        <v>0</v>
      </c>
      <c r="AW58" s="153" cm="1">
        <f t="array" ref="AW58">IF(OR(AW$4=0, $G58&lt;&gt; $G$7, $E58=0), 'I&amp;E Monthly'!AW58, CHOOSE(Timeline!AW$30,$J58,$K58,$L58 )*INDEX('I&amp;E Profiles'!AW$96:AW$180,$I58))</f>
        <v>0</v>
      </c>
      <c r="AX58" s="153" cm="1">
        <f t="array" ref="AX58">IF(OR(AX$4=0, $G58&lt;&gt; $G$7, $E58=0), 'I&amp;E Monthly'!AX58, CHOOSE(Timeline!AX$30,$J58,$K58,$L58 )*INDEX('I&amp;E Profiles'!AX$96:AX$180,$I58))</f>
        <v>0</v>
      </c>
      <c r="AY58" s="153" cm="1">
        <f t="array" ref="AY58">IF(OR(AY$4=0, $G58&lt;&gt; $G$7, $E58=0), 'I&amp;E Monthly'!AY58, CHOOSE(Timeline!AY$30,$J58,$K58,$L58 )*INDEX('I&amp;E Profiles'!AY$96:AY$180,$I58))</f>
        <v>0</v>
      </c>
      <c r="AZ58" s="153" cm="1">
        <f t="array" ref="AZ58">IF(OR(AZ$4=0, $G58&lt;&gt; $G$7, $E58=0), 'I&amp;E Monthly'!AZ58, CHOOSE(Timeline!AZ$30,$J58,$K58,$L58 )*INDEX('I&amp;E Profiles'!AZ$96:AZ$180,$I58))</f>
        <v>0</v>
      </c>
      <c r="BA58" s="153" cm="1">
        <f t="array" ref="BA58">IF(OR(BA$4=0, $G58&lt;&gt; $G$7, $E58=0), 'I&amp;E Monthly'!BA58, CHOOSE(Timeline!BA$30,$J58,$K58,$L58 )*INDEX('I&amp;E Profiles'!BA$96:BA$180,$I58))</f>
        <v>0</v>
      </c>
      <c r="BB58" s="153" cm="1">
        <f t="array" ref="BB58">IF(OR(BB$4=0, $G58&lt;&gt; $G$7, $E58=0), 'I&amp;E Monthly'!BB58, CHOOSE(Timeline!BB$30,$J58,$K58,$L58 )*INDEX('I&amp;E Profiles'!BB$96:BB$180,$I58))</f>
        <v>0</v>
      </c>
      <c r="BC58" s="153" cm="1">
        <f t="array" ref="BC58">IF(OR(BC$4=0, $G58&lt;&gt; $G$7, $E58=0), 'I&amp;E Monthly'!BC58, CHOOSE(Timeline!BC$30,$J58,$K58,$L58 )*INDEX('I&amp;E Profiles'!BC$96:BC$180,$I58))</f>
        <v>0</v>
      </c>
      <c r="BD58" s="153" cm="1">
        <f t="array" ref="BD58">IF(OR(BD$4=0, $G58&lt;&gt; $G$7, $E58=0), 'I&amp;E Monthly'!BD58, CHOOSE(Timeline!BD$30,$J58,$K58,$L58 )*INDEX('I&amp;E Profiles'!BD$96:BD$180,$I58))</f>
        <v>0</v>
      </c>
      <c r="BE58" s="153" cm="1">
        <f t="array" ref="BE58">IF(OR(BE$4=0, $G58&lt;&gt; $G$7, $E58=0), 'I&amp;E Monthly'!BE58, CHOOSE(Timeline!BE$30,$J58,$K58,$L58 )*INDEX('I&amp;E Profiles'!BE$96:BE$180,$I58))</f>
        <v>0</v>
      </c>
      <c r="BF58" s="153" cm="1">
        <f t="array" ref="BF58">IF(OR(BF$4=0, $G58&lt;&gt; $G$7, $E58=0), 'I&amp;E Monthly'!BF58, CHOOSE(Timeline!BF$30,$J58,$K58,$L58 )*INDEX('I&amp;E Profiles'!BF$96:BF$180,$I58))</f>
        <v>0</v>
      </c>
      <c r="BG58" s="153" cm="1">
        <f t="array" ref="BG58">IF(OR(BG$4=0, $G58&lt;&gt; $G$7, $E58=0), 'I&amp;E Monthly'!BG58, CHOOSE(Timeline!BG$30,$J58,$K58,$L58 )*INDEX('I&amp;E Profiles'!BG$96:BG$180,$I58))</f>
        <v>0</v>
      </c>
      <c r="BH58" s="153" cm="1">
        <f t="array" ref="BH58">IF(OR(BH$4=0, $G58&lt;&gt; $G$7, $E58=0), 'I&amp;E Monthly'!BH58, CHOOSE(Timeline!BH$30,$J58,$K58,$L58 )*INDEX('I&amp;E Profiles'!BH$96:BH$180,$I58))</f>
        <v>0</v>
      </c>
      <c r="BI58" s="153" cm="1">
        <f t="array" ref="BI58">IF(OR(BI$4=0, $G58&lt;&gt; $G$7, $E58=0), 'I&amp;E Monthly'!BI58, CHOOSE(Timeline!BI$30,$J58,$K58,$L58 )*INDEX('I&amp;E Profiles'!BI$96:BI$180,$I58))</f>
        <v>0</v>
      </c>
      <c r="BJ58" s="153" cm="1">
        <f t="array" ref="BJ58">IF(OR(BJ$4=0, $G58&lt;&gt; $G$7, $E58=0), 'I&amp;E Monthly'!BJ58, CHOOSE(Timeline!BJ$30,$J58,$K58,$L58 )*INDEX('I&amp;E Profiles'!BJ$96:BJ$180,$I58))</f>
        <v>0</v>
      </c>
      <c r="BK58" s="335"/>
      <c r="BL58" s="13">
        <f t="shared" si="58"/>
        <v>0</v>
      </c>
      <c r="BM58" s="153">
        <f t="shared" si="59"/>
        <v>0</v>
      </c>
      <c r="BN58" s="153">
        <f t="shared" si="59"/>
        <v>0</v>
      </c>
      <c r="BO58" s="153">
        <f t="shared" si="59"/>
        <v>0</v>
      </c>
      <c r="BP58" s="13">
        <f>'I&amp;E Monthly'!BP58</f>
        <v>0</v>
      </c>
      <c r="BQ58" s="13">
        <f>'I&amp;E Monthly'!BQ58</f>
        <v>0</v>
      </c>
      <c r="BR58" s="13">
        <f>'I&amp;E Monthly'!BR58</f>
        <v>0</v>
      </c>
      <c r="BS58" s="13">
        <f>'I&amp;E Monthly'!BS58</f>
        <v>0</v>
      </c>
      <c r="BT58" s="13">
        <f>'I&amp;E Monthly'!BT58</f>
        <v>0</v>
      </c>
      <c r="BU58" s="13">
        <f>'I&amp;E Monthly'!BU58</f>
        <v>0</v>
      </c>
      <c r="BV58" s="13">
        <f>'I&amp;E Monthly'!BV58</f>
        <v>0</v>
      </c>
      <c r="BW58" s="13">
        <f>'I&amp;E Monthly'!BW58</f>
        <v>0</v>
      </c>
      <c r="BX58" s="335"/>
      <c r="BY58" s="12"/>
      <c r="BZ58" s="363">
        <f t="shared" ca="1" si="60"/>
        <v>0</v>
      </c>
      <c r="CA58" s="12"/>
      <c r="CB58" s="7">
        <f t="shared" si="61"/>
        <v>0</v>
      </c>
      <c r="CC58" s="188" cm="1">
        <f t="array" ref="CC58">IF(E58="",0, IF(_xlfn.IFNA(INDEX('I&amp;E Profiles'!$D$96:$D$180, $I58), "N/A")="N/A", 1, 0))</f>
        <v>0</v>
      </c>
      <c r="CD58" s="7">
        <f t="shared" si="62"/>
        <v>0</v>
      </c>
      <c r="CE58" s="7">
        <f t="shared" si="63"/>
        <v>0</v>
      </c>
      <c r="CF58" s="7">
        <f t="shared" si="64"/>
        <v>0</v>
      </c>
      <c r="CG58" s="12"/>
      <c r="CH58" s="352">
        <f t="shared" si="65"/>
        <v>0</v>
      </c>
      <c r="CI58" s="352">
        <f t="shared" si="66"/>
        <v>0</v>
      </c>
      <c r="CJ58" s="352">
        <f t="shared" si="67"/>
        <v>0</v>
      </c>
      <c r="CK58" s="352">
        <f t="shared" si="68"/>
        <v>0</v>
      </c>
      <c r="CL58" s="352">
        <f t="shared" si="69"/>
        <v>0</v>
      </c>
      <c r="CM58" s="352">
        <f t="shared" si="70"/>
        <v>0</v>
      </c>
      <c r="CN58" s="352">
        <f t="shared" si="71"/>
        <v>0</v>
      </c>
      <c r="EX58" s="10" t="str">
        <f t="shared" si="1"/>
        <v/>
      </c>
    </row>
    <row r="59" spans="1:154" ht="15.75" x14ac:dyDescent="0.3">
      <c r="A59" s="362" cm="1">
        <f t="array" aca="1" ref="A59" ca="1">HYPERLINK(CONCATENATE("#",CELL("address",IF(SUM($CA59:$CG59)=0,A59,INDEX($CA59:$CG59,MATCH(1,$CA59:$CG59,0))))),SUM($CA59:$CG59))</f>
        <v>0</v>
      </c>
      <c r="B59" s="105" t="s">
        <v>335</v>
      </c>
      <c r="C59" s="343" t="s">
        <v>458</v>
      </c>
      <c r="D59" s="194" t="s">
        <v>29</v>
      </c>
      <c r="E59" s="147"/>
      <c r="F59" s="98" t="str" cm="1">
        <f t="array" aca="1" ref="F59" ca="1">IF(E59="", "", HYPERLINK(CONCATENATE("#",CELL("address",INDEX('I&amp;E Profiles'!$D$9:$D$93,'I&amp;E Annual'!I59))),E59))</f>
        <v/>
      </c>
      <c r="G59" s="147" t="s">
        <v>211</v>
      </c>
      <c r="H59" s="67" t="s">
        <v>8</v>
      </c>
      <c r="I59" s="350" t="str">
        <f>IF(E59="", "", MATCH(E59, 'I&amp;E Profiles'!$D$96:$D$180,0))</f>
        <v/>
      </c>
      <c r="J59" s="215">
        <f>IF($G59=$G$7, W59,'I&amp;E Monthly'!W59)-SUMIFS('I&amp;E Monthly'!$AA59:$BJ59, 'I&amp;E Monthly'!$AA$3:$BJ$3, 'I&amp;E Annual'!W$3, 'I&amp;E Monthly'!$AA$4:$BJ$4, 0)</f>
        <v>0</v>
      </c>
      <c r="K59" s="215">
        <f>IF($G59=$G$7, X59,'I&amp;E Monthly'!X59)-SUMIFS('I&amp;E Monthly'!$AA59:$BJ59, 'I&amp;E Monthly'!$AA$3:$BJ$3, 'I&amp;E Annual'!X$3, 'I&amp;E Monthly'!$AA$4:$BJ$4, 0)</f>
        <v>620</v>
      </c>
      <c r="L59" s="215">
        <f>IF($G59=$G$7, Y59,'I&amp;E Monthly'!Y59)-SUMIFS('I&amp;E Monthly'!$AA59:$BJ59, 'I&amp;E Monthly'!$AA$3:$BJ$3, 'I&amp;E Annual'!Y$3, 'I&amp;E Monthly'!$AA$4:$BJ$4, 0)</f>
        <v>645</v>
      </c>
      <c r="M59" s="335"/>
      <c r="N59" s="335"/>
      <c r="O59" s="335"/>
      <c r="P59" s="335"/>
      <c r="Q59" s="2"/>
      <c r="R59" s="335"/>
      <c r="S59" s="335"/>
      <c r="T59" s="335"/>
      <c r="U59" s="335"/>
      <c r="V59" s="201">
        <f>'I&amp;E Monthly'!V59</f>
        <v>0</v>
      </c>
      <c r="W59" s="354"/>
      <c r="X59" s="198"/>
      <c r="Y59" s="198"/>
      <c r="Z59" s="335"/>
      <c r="AA59" s="153" cm="1">
        <f t="array" ref="AA59">IF(OR(AA$4=0, $G59&lt;&gt; $G$7, $E59=0), 'I&amp;E Monthly'!AA59, CHOOSE(Timeline!AA$30,$J59,$K59,$L59 )*INDEX('I&amp;E Profiles'!AA$96:AA$180,$I59))</f>
        <v>0</v>
      </c>
      <c r="AB59" s="153" cm="1">
        <f t="array" ref="AB59">IF(OR(AB$4=0, $G59&lt;&gt; $G$7, $E59=0), 'I&amp;E Monthly'!AB59, CHOOSE(Timeline!AB$30,$J59,$K59,$L59 )*INDEX('I&amp;E Profiles'!AB$96:AB$180,$I59))</f>
        <v>0</v>
      </c>
      <c r="AC59" s="153" cm="1">
        <f t="array" ref="AC59">IF(OR(AC$4=0, $G59&lt;&gt; $G$7, $E59=0), 'I&amp;E Monthly'!AC59, CHOOSE(Timeline!AC$30,$J59,$K59,$L59 )*INDEX('I&amp;E Profiles'!AC$96:AC$180,$I59))</f>
        <v>0</v>
      </c>
      <c r="AD59" s="153" cm="1">
        <f t="array" ref="AD59">IF(OR(AD$4=0, $G59&lt;&gt; $G$7, $E59=0), 'I&amp;E Monthly'!AD59, CHOOSE(Timeline!AD$30,$J59,$K59,$L59 )*INDEX('I&amp;E Profiles'!AD$96:AD$180,$I59))</f>
        <v>0</v>
      </c>
      <c r="AE59" s="153" cm="1">
        <f t="array" ref="AE59">IF(OR(AE$4=0, $G59&lt;&gt; $G$7, $E59=0), 'I&amp;E Monthly'!AE59, CHOOSE(Timeline!AE$30,$J59,$K59,$L59 )*INDEX('I&amp;E Profiles'!AE$96:AE$180,$I59))</f>
        <v>0</v>
      </c>
      <c r="AF59" s="153" cm="1">
        <f t="array" ref="AF59">IF(OR(AF$4=0, $G59&lt;&gt; $G$7, $E59=0), 'I&amp;E Monthly'!AF59, CHOOSE(Timeline!AF$30,$J59,$K59,$L59 )*INDEX('I&amp;E Profiles'!AF$96:AF$180,$I59))</f>
        <v>0</v>
      </c>
      <c r="AG59" s="153" cm="1">
        <f t="array" ref="AG59">IF(OR(AG$4=0, $G59&lt;&gt; $G$7, $E59=0), 'I&amp;E Monthly'!AG59, CHOOSE(Timeline!AG$30,$J59,$K59,$L59 )*INDEX('I&amp;E Profiles'!AG$96:AG$180,$I59))</f>
        <v>0</v>
      </c>
      <c r="AH59" s="153" cm="1">
        <f t="array" ref="AH59">IF(OR(AH$4=0, $G59&lt;&gt; $G$7, $E59=0), 'I&amp;E Monthly'!AH59, CHOOSE(Timeline!AH$30,$J59,$K59,$L59 )*INDEX('I&amp;E Profiles'!AH$96:AH$180,$I59))</f>
        <v>0</v>
      </c>
      <c r="AI59" s="153" cm="1">
        <f t="array" ref="AI59">IF(OR(AI$4=0, $G59&lt;&gt; $G$7, $E59=0), 'I&amp;E Monthly'!AI59, CHOOSE(Timeline!AI$30,$J59,$K59,$L59 )*INDEX('I&amp;E Profiles'!AI$96:AI$180,$I59))</f>
        <v>0</v>
      </c>
      <c r="AJ59" s="153" cm="1">
        <f t="array" ref="AJ59">IF(OR(AJ$4=0, $G59&lt;&gt; $G$7, $E59=0), 'I&amp;E Monthly'!AJ59, CHOOSE(Timeline!AJ$30,$J59,$K59,$L59 )*INDEX('I&amp;E Profiles'!AJ$96:AJ$180,$I59))</f>
        <v>0</v>
      </c>
      <c r="AK59" s="153" cm="1">
        <f t="array" ref="AK59">IF(OR(AK$4=0, $G59&lt;&gt; $G$7, $E59=0), 'I&amp;E Monthly'!AK59, CHOOSE(Timeline!AK$30,$J59,$K59,$L59 )*INDEX('I&amp;E Profiles'!AK$96:AK$180,$I59))</f>
        <v>603</v>
      </c>
      <c r="AL59" s="153" cm="1">
        <f t="array" ref="AL59">IF(OR(AL$4=0, $G59&lt;&gt; $G$7, $E59=0), 'I&amp;E Monthly'!AL59, CHOOSE(Timeline!AL$30,$J59,$K59,$L59 )*INDEX('I&amp;E Profiles'!AL$96:AL$180,$I59))</f>
        <v>0</v>
      </c>
      <c r="AM59" s="153" cm="1">
        <f t="array" ref="AM59">IF(OR(AM$4=0, $G59&lt;&gt; $G$7, $E59=0), 'I&amp;E Monthly'!AM59, CHOOSE(Timeline!AM$30,$J59,$K59,$L59 )*INDEX('I&amp;E Profiles'!AM$96:AM$180,$I59))</f>
        <v>0</v>
      </c>
      <c r="AN59" s="153" cm="1">
        <f t="array" ref="AN59">IF(OR(AN$4=0, $G59&lt;&gt; $G$7, $E59=0), 'I&amp;E Monthly'!AN59, CHOOSE(Timeline!AN$30,$J59,$K59,$L59 )*INDEX('I&amp;E Profiles'!AN$96:AN$180,$I59))</f>
        <v>0</v>
      </c>
      <c r="AO59" s="153" cm="1">
        <f t="array" ref="AO59">IF(OR(AO$4=0, $G59&lt;&gt; $G$7, $E59=0), 'I&amp;E Monthly'!AO59, CHOOSE(Timeline!AO$30,$J59,$K59,$L59 )*INDEX('I&amp;E Profiles'!AO$96:AO$180,$I59))</f>
        <v>0</v>
      </c>
      <c r="AP59" s="153" cm="1">
        <f t="array" ref="AP59">IF(OR(AP$4=0, $G59&lt;&gt; $G$7, $E59=0), 'I&amp;E Monthly'!AP59, CHOOSE(Timeline!AP$30,$J59,$K59,$L59 )*INDEX('I&amp;E Profiles'!AP$96:AP$180,$I59))</f>
        <v>0</v>
      </c>
      <c r="AQ59" s="153" cm="1">
        <f t="array" ref="AQ59">IF(OR(AQ$4=0, $G59&lt;&gt; $G$7, $E59=0), 'I&amp;E Monthly'!AQ59, CHOOSE(Timeline!AQ$30,$J59,$K59,$L59 )*INDEX('I&amp;E Profiles'!AQ$96:AQ$180,$I59))</f>
        <v>0</v>
      </c>
      <c r="AR59" s="153" cm="1">
        <f t="array" ref="AR59">IF(OR(AR$4=0, $G59&lt;&gt; $G$7, $E59=0), 'I&amp;E Monthly'!AR59, CHOOSE(Timeline!AR$30,$J59,$K59,$L59 )*INDEX('I&amp;E Profiles'!AR$96:AR$180,$I59))</f>
        <v>207</v>
      </c>
      <c r="AS59" s="153" cm="1">
        <f t="array" ref="AS59">IF(OR(AS$4=0, $G59&lt;&gt; $G$7, $E59=0), 'I&amp;E Monthly'!AS59, CHOOSE(Timeline!AS$30,$J59,$K59,$L59 )*INDEX('I&amp;E Profiles'!AS$96:AS$180,$I59))</f>
        <v>0</v>
      </c>
      <c r="AT59" s="153" cm="1">
        <f t="array" ref="AT59">IF(OR(AT$4=0, $G59&lt;&gt; $G$7, $E59=0), 'I&amp;E Monthly'!AT59, CHOOSE(Timeline!AT$30,$J59,$K59,$L59 )*INDEX('I&amp;E Profiles'!AT$96:AT$180,$I59))</f>
        <v>0</v>
      </c>
      <c r="AU59" s="153" cm="1">
        <f t="array" ref="AU59">IF(OR(AU$4=0, $G59&lt;&gt; $G$7, $E59=0), 'I&amp;E Monthly'!AU59, CHOOSE(Timeline!AU$30,$J59,$K59,$L59 )*INDEX('I&amp;E Profiles'!AU$96:AU$180,$I59))</f>
        <v>207</v>
      </c>
      <c r="AV59" s="153" cm="1">
        <f t="array" ref="AV59">IF(OR(AV$4=0, $G59&lt;&gt; $G$7, $E59=0), 'I&amp;E Monthly'!AV59, CHOOSE(Timeline!AV$30,$J59,$K59,$L59 )*INDEX('I&amp;E Profiles'!AV$96:AV$180,$I59))</f>
        <v>0</v>
      </c>
      <c r="AW59" s="153" cm="1">
        <f t="array" ref="AW59">IF(OR(AW$4=0, $G59&lt;&gt; $G$7, $E59=0), 'I&amp;E Monthly'!AW59, CHOOSE(Timeline!AW$30,$J59,$K59,$L59 )*INDEX('I&amp;E Profiles'!AW$96:AW$180,$I59))</f>
        <v>0</v>
      </c>
      <c r="AX59" s="153" cm="1">
        <f t="array" ref="AX59">IF(OR(AX$4=0, $G59&lt;&gt; $G$7, $E59=0), 'I&amp;E Monthly'!AX59, CHOOSE(Timeline!AX$30,$J59,$K59,$L59 )*INDEX('I&amp;E Profiles'!AX$96:AX$180,$I59))</f>
        <v>206</v>
      </c>
      <c r="AY59" s="153" cm="1">
        <f t="array" ref="AY59">IF(OR(AY$4=0, $G59&lt;&gt; $G$7, $E59=0), 'I&amp;E Monthly'!AY59, CHOOSE(Timeline!AY$30,$J59,$K59,$L59 )*INDEX('I&amp;E Profiles'!AY$96:AY$180,$I59))</f>
        <v>0</v>
      </c>
      <c r="AZ59" s="153" cm="1">
        <f t="array" ref="AZ59">IF(OR(AZ$4=0, $G59&lt;&gt; $G$7, $E59=0), 'I&amp;E Monthly'!AZ59, CHOOSE(Timeline!AZ$30,$J59,$K59,$L59 )*INDEX('I&amp;E Profiles'!AZ$96:AZ$180,$I59))</f>
        <v>0</v>
      </c>
      <c r="BA59" s="153" cm="1">
        <f t="array" ref="BA59">IF(OR(BA$4=0, $G59&lt;&gt; $G$7, $E59=0), 'I&amp;E Monthly'!BA59, CHOOSE(Timeline!BA$30,$J59,$K59,$L59 )*INDEX('I&amp;E Profiles'!BA$96:BA$180,$I59))</f>
        <v>0</v>
      </c>
      <c r="BB59" s="153" cm="1">
        <f t="array" ref="BB59">IF(OR(BB$4=0, $G59&lt;&gt; $G$7, $E59=0), 'I&amp;E Monthly'!BB59, CHOOSE(Timeline!BB$30,$J59,$K59,$L59 )*INDEX('I&amp;E Profiles'!BB$96:BB$180,$I59))</f>
        <v>0</v>
      </c>
      <c r="BC59" s="153" cm="1">
        <f t="array" ref="BC59">IF(OR(BC$4=0, $G59&lt;&gt; $G$7, $E59=0), 'I&amp;E Monthly'!BC59, CHOOSE(Timeline!BC$30,$J59,$K59,$L59 )*INDEX('I&amp;E Profiles'!BC$96:BC$180,$I59))</f>
        <v>0</v>
      </c>
      <c r="BD59" s="153" cm="1">
        <f t="array" ref="BD59">IF(OR(BD$4=0, $G59&lt;&gt; $G$7, $E59=0), 'I&amp;E Monthly'!BD59, CHOOSE(Timeline!BD$30,$J59,$K59,$L59 )*INDEX('I&amp;E Profiles'!BD$96:BD$180,$I59))</f>
        <v>217</v>
      </c>
      <c r="BE59" s="153" cm="1">
        <f t="array" ref="BE59">IF(OR(BE$4=0, $G59&lt;&gt; $G$7, $E59=0), 'I&amp;E Monthly'!BE59, CHOOSE(Timeline!BE$30,$J59,$K59,$L59 )*INDEX('I&amp;E Profiles'!BE$96:BE$180,$I59))</f>
        <v>0</v>
      </c>
      <c r="BF59" s="153" cm="1">
        <f t="array" ref="BF59">IF(OR(BF$4=0, $G59&lt;&gt; $G$7, $E59=0), 'I&amp;E Monthly'!BF59, CHOOSE(Timeline!BF$30,$J59,$K59,$L59 )*INDEX('I&amp;E Profiles'!BF$96:BF$180,$I59))</f>
        <v>0</v>
      </c>
      <c r="BG59" s="153" cm="1">
        <f t="array" ref="BG59">IF(OR(BG$4=0, $G59&lt;&gt; $G$7, $E59=0), 'I&amp;E Monthly'!BG59, CHOOSE(Timeline!BG$30,$J59,$K59,$L59 )*INDEX('I&amp;E Profiles'!BG$96:BG$180,$I59))</f>
        <v>212</v>
      </c>
      <c r="BH59" s="153" cm="1">
        <f t="array" ref="BH59">IF(OR(BH$4=0, $G59&lt;&gt; $G$7, $E59=0), 'I&amp;E Monthly'!BH59, CHOOSE(Timeline!BH$30,$J59,$K59,$L59 )*INDEX('I&amp;E Profiles'!BH$96:BH$180,$I59))</f>
        <v>0</v>
      </c>
      <c r="BI59" s="153" cm="1">
        <f t="array" ref="BI59">IF(OR(BI$4=0, $G59&lt;&gt; $G$7, $E59=0), 'I&amp;E Monthly'!BI59, CHOOSE(Timeline!BI$30,$J59,$K59,$L59 )*INDEX('I&amp;E Profiles'!BI$96:BI$180,$I59))</f>
        <v>0</v>
      </c>
      <c r="BJ59" s="153" cm="1">
        <f t="array" ref="BJ59">IF(OR(BJ$4=0, $G59&lt;&gt; $G$7, $E59=0), 'I&amp;E Monthly'!BJ59, CHOOSE(Timeline!BJ$30,$J59,$K59,$L59 )*INDEX('I&amp;E Profiles'!BJ$96:BJ$180,$I59))</f>
        <v>216</v>
      </c>
      <c r="BK59" s="335"/>
      <c r="BL59" s="13">
        <f t="shared" si="58"/>
        <v>0</v>
      </c>
      <c r="BM59" s="153">
        <f t="shared" si="59"/>
        <v>603</v>
      </c>
      <c r="BN59" s="153">
        <f t="shared" si="59"/>
        <v>620</v>
      </c>
      <c r="BO59" s="153">
        <f t="shared" si="59"/>
        <v>645</v>
      </c>
      <c r="BP59" s="13">
        <f>'I&amp;E Monthly'!BP59</f>
        <v>0</v>
      </c>
      <c r="BQ59" s="13">
        <f>'I&amp;E Monthly'!BQ59</f>
        <v>0</v>
      </c>
      <c r="BR59" s="13">
        <f>'I&amp;E Monthly'!BR59</f>
        <v>0</v>
      </c>
      <c r="BS59" s="13">
        <f>'I&amp;E Monthly'!BS59</f>
        <v>0</v>
      </c>
      <c r="BT59" s="13">
        <f>'I&amp;E Monthly'!BT59</f>
        <v>0</v>
      </c>
      <c r="BU59" s="13">
        <f>'I&amp;E Monthly'!BU59</f>
        <v>0</v>
      </c>
      <c r="BV59" s="13">
        <f>'I&amp;E Monthly'!BV59</f>
        <v>0</v>
      </c>
      <c r="BW59" s="13">
        <f>'I&amp;E Monthly'!BW59</f>
        <v>0</v>
      </c>
      <c r="BX59" s="335"/>
      <c r="BY59" s="12"/>
      <c r="BZ59" s="363">
        <f t="shared" ca="1" si="60"/>
        <v>0</v>
      </c>
      <c r="CA59" s="12"/>
      <c r="CB59" s="7">
        <f t="shared" si="61"/>
        <v>0</v>
      </c>
      <c r="CC59" s="188" cm="1">
        <f t="array" ref="CC59">IF(E59="",0, IF(_xlfn.IFNA(INDEX('I&amp;E Profiles'!$D$96:$D$180, $I59), "N/A")="N/A", 1, 0))</f>
        <v>0</v>
      </c>
      <c r="CD59" s="7">
        <f t="shared" si="62"/>
        <v>0</v>
      </c>
      <c r="CE59" s="7">
        <f t="shared" si="63"/>
        <v>0</v>
      </c>
      <c r="CF59" s="7">
        <f t="shared" si="64"/>
        <v>0</v>
      </c>
      <c r="CG59" s="12"/>
      <c r="CH59" s="352">
        <f t="shared" si="65"/>
        <v>0</v>
      </c>
      <c r="CI59" s="352">
        <f t="shared" si="66"/>
        <v>0</v>
      </c>
      <c r="CJ59" s="352">
        <f t="shared" si="67"/>
        <v>0</v>
      </c>
      <c r="CK59" s="352">
        <f t="shared" si="68"/>
        <v>0</v>
      </c>
      <c r="CL59" s="352">
        <f t="shared" si="69"/>
        <v>0</v>
      </c>
      <c r="CM59" s="352">
        <f t="shared" si="70"/>
        <v>0</v>
      </c>
      <c r="CN59" s="352">
        <f t="shared" si="71"/>
        <v>0</v>
      </c>
      <c r="EX59" s="10" t="str">
        <f t="shared" si="1"/>
        <v>Subcontracted in - HE (Franchised)</v>
      </c>
    </row>
    <row r="60" spans="1:154" x14ac:dyDescent="0.25">
      <c r="A60" s="362" cm="1">
        <f t="array" aca="1" ref="A60" ca="1">HYPERLINK(CONCATENATE("#",CELL("address",IF(SUM($CA60:$CG60)=0,A60,INDEX($CA60:$CG60,MATCH(1,$CA60:$CG60,0))))),SUM($CA60:$CG60))</f>
        <v>0</v>
      </c>
      <c r="B60" s="93"/>
      <c r="C60" s="343" t="s">
        <v>459</v>
      </c>
      <c r="D60" s="433" t="s">
        <v>31</v>
      </c>
      <c r="E60" s="82"/>
      <c r="F60" s="25"/>
      <c r="G60" s="82"/>
      <c r="I60" s="25"/>
      <c r="J60" s="25"/>
      <c r="Q60" s="2"/>
      <c r="R60" s="335"/>
      <c r="T60" s="335"/>
      <c r="U60" s="335"/>
      <c r="V60" s="13">
        <f>SUM(V53:V59)</f>
        <v>0</v>
      </c>
      <c r="W60" s="13">
        <f>SUM(W53:W59)</f>
        <v>0</v>
      </c>
      <c r="X60" s="13">
        <f>SUM(X53:X59)</f>
        <v>0</v>
      </c>
      <c r="Y60" s="13">
        <f>SUM(Y53:Y59)</f>
        <v>0</v>
      </c>
      <c r="AA60" s="13">
        <f t="shared" ref="AA60:BJ60" si="72">SUM(AA53:AA59)</f>
        <v>22</v>
      </c>
      <c r="AB60" s="13">
        <f t="shared" si="72"/>
        <v>22</v>
      </c>
      <c r="AC60" s="13">
        <f t="shared" si="72"/>
        <v>0</v>
      </c>
      <c r="AD60" s="13">
        <f t="shared" si="72"/>
        <v>15</v>
      </c>
      <c r="AE60" s="13">
        <f t="shared" si="72"/>
        <v>15</v>
      </c>
      <c r="AF60" s="13">
        <f t="shared" si="72"/>
        <v>15</v>
      </c>
      <c r="AG60" s="13">
        <f t="shared" si="72"/>
        <v>11</v>
      </c>
      <c r="AH60" s="13">
        <f t="shared" si="72"/>
        <v>0</v>
      </c>
      <c r="AI60" s="13">
        <f t="shared" si="72"/>
        <v>12</v>
      </c>
      <c r="AJ60" s="13">
        <f t="shared" si="72"/>
        <v>12</v>
      </c>
      <c r="AK60" s="13">
        <f t="shared" si="72"/>
        <v>615</v>
      </c>
      <c r="AL60" s="13">
        <f t="shared" si="72"/>
        <v>12</v>
      </c>
      <c r="AM60" s="13">
        <f t="shared" si="72"/>
        <v>20</v>
      </c>
      <c r="AN60" s="13">
        <f t="shared" si="72"/>
        <v>19</v>
      </c>
      <c r="AO60" s="13">
        <f t="shared" si="72"/>
        <v>0</v>
      </c>
      <c r="AP60" s="13">
        <f t="shared" si="72"/>
        <v>13</v>
      </c>
      <c r="AQ60" s="13">
        <f t="shared" si="72"/>
        <v>13</v>
      </c>
      <c r="AR60" s="13">
        <f t="shared" si="72"/>
        <v>220</v>
      </c>
      <c r="AS60" s="13">
        <f t="shared" si="72"/>
        <v>10</v>
      </c>
      <c r="AT60" s="13">
        <f t="shared" si="72"/>
        <v>0</v>
      </c>
      <c r="AU60" s="13">
        <f t="shared" si="72"/>
        <v>218</v>
      </c>
      <c r="AV60" s="13">
        <f t="shared" si="72"/>
        <v>11</v>
      </c>
      <c r="AW60" s="13">
        <f t="shared" si="72"/>
        <v>10</v>
      </c>
      <c r="AX60" s="13">
        <f t="shared" si="72"/>
        <v>216</v>
      </c>
      <c r="AY60" s="13">
        <f t="shared" si="72"/>
        <v>22</v>
      </c>
      <c r="AZ60" s="13">
        <f t="shared" si="72"/>
        <v>21</v>
      </c>
      <c r="BA60" s="13">
        <f t="shared" si="72"/>
        <v>0</v>
      </c>
      <c r="BB60" s="13">
        <f t="shared" si="72"/>
        <v>15</v>
      </c>
      <c r="BC60" s="13">
        <f t="shared" si="72"/>
        <v>15</v>
      </c>
      <c r="BD60" s="13">
        <f t="shared" si="72"/>
        <v>232</v>
      </c>
      <c r="BE60" s="13">
        <f t="shared" si="72"/>
        <v>12</v>
      </c>
      <c r="BF60" s="13">
        <f t="shared" si="72"/>
        <v>0</v>
      </c>
      <c r="BG60" s="13">
        <f t="shared" si="72"/>
        <v>225</v>
      </c>
      <c r="BH60" s="13">
        <f t="shared" si="72"/>
        <v>13</v>
      </c>
      <c r="BI60" s="13">
        <f t="shared" si="72"/>
        <v>12</v>
      </c>
      <c r="BJ60" s="13">
        <f t="shared" si="72"/>
        <v>228</v>
      </c>
      <c r="BL60" s="13">
        <f t="shared" ref="BL60:BW60" si="73">SUM(BL53:BL59)</f>
        <v>0</v>
      </c>
      <c r="BM60" s="13">
        <f t="shared" si="73"/>
        <v>751</v>
      </c>
      <c r="BN60" s="13">
        <f t="shared" si="73"/>
        <v>750</v>
      </c>
      <c r="BO60" s="13">
        <f t="shared" si="73"/>
        <v>795</v>
      </c>
      <c r="BP60" s="13">
        <f t="shared" si="73"/>
        <v>0</v>
      </c>
      <c r="BQ60" s="13">
        <f t="shared" si="73"/>
        <v>0</v>
      </c>
      <c r="BR60" s="13">
        <f t="shared" si="73"/>
        <v>0</v>
      </c>
      <c r="BS60" s="13">
        <f t="shared" si="73"/>
        <v>0</v>
      </c>
      <c r="BT60" s="13">
        <f t="shared" si="73"/>
        <v>0</v>
      </c>
      <c r="BU60" s="13">
        <f t="shared" si="73"/>
        <v>0</v>
      </c>
      <c r="BV60" s="13">
        <f t="shared" si="73"/>
        <v>0</v>
      </c>
      <c r="BW60" s="13">
        <f t="shared" si="73"/>
        <v>0</v>
      </c>
      <c r="BY60" s="12"/>
      <c r="BZ60" s="363">
        <f t="shared" ca="1" si="60"/>
        <v>0</v>
      </c>
      <c r="CA60" s="12"/>
      <c r="CC60" s="335"/>
      <c r="CD60" s="7">
        <f t="shared" si="62"/>
        <v>0</v>
      </c>
      <c r="CE60" s="7">
        <f t="shared" si="63"/>
        <v>0</v>
      </c>
      <c r="CF60" s="7">
        <f t="shared" si="64"/>
        <v>0</v>
      </c>
      <c r="CG60" s="12"/>
      <c r="CH60" s="352">
        <f t="shared" si="65"/>
        <v>0</v>
      </c>
      <c r="CI60" s="352">
        <f t="shared" si="66"/>
        <v>0</v>
      </c>
      <c r="CJ60" s="352">
        <f t="shared" si="67"/>
        <v>0</v>
      </c>
      <c r="CK60" s="352">
        <f t="shared" si="68"/>
        <v>0</v>
      </c>
      <c r="CL60" s="352">
        <f t="shared" si="69"/>
        <v>0</v>
      </c>
      <c r="CM60" s="352">
        <f t="shared" si="70"/>
        <v>0</v>
      </c>
      <c r="CN60" s="352">
        <f t="shared" si="71"/>
        <v>0</v>
      </c>
      <c r="EX60" s="10" t="str">
        <f t="shared" si="1"/>
        <v>Total HE Income</v>
      </c>
    </row>
    <row r="61" spans="1:154" x14ac:dyDescent="0.25">
      <c r="A61" s="362" cm="1">
        <f t="array" aca="1" ref="A61" ca="1">HYPERLINK(CONCATENATE("#",CELL("address",IF(SUM($CA61:$CG61)=0,A61,INDEX($CA61:$CG61,MATCH(1,$CA61:$CG61,0))))),SUM($CA61:$CG61))</f>
        <v>0</v>
      </c>
      <c r="B61" s="93"/>
      <c r="C61" s="343" t="s">
        <v>460</v>
      </c>
      <c r="D61" s="194" t="s">
        <v>11</v>
      </c>
      <c r="E61" s="147"/>
      <c r="F61" s="98" t="str" cm="1">
        <f t="array" aca="1" ref="F61" ca="1">IF(E61="", "", HYPERLINK(CONCATENATE("#",CELL("address",INDEX('I&amp;E Profiles'!$D$9:$D$93,'I&amp;E Annual'!I61))),E61))</f>
        <v/>
      </c>
      <c r="G61" s="147" t="s">
        <v>211</v>
      </c>
      <c r="H61" s="67" t="s">
        <v>8</v>
      </c>
      <c r="I61" s="350" t="str">
        <f>IF(E61="", "", MATCH(E61, 'I&amp;E Profiles'!$D$96:$D$180,0))</f>
        <v/>
      </c>
      <c r="J61" s="215">
        <f>IF($G61=$G$7, W61,'I&amp;E Monthly'!W61)-SUMIFS('I&amp;E Monthly'!$AA61:$BJ61, 'I&amp;E Monthly'!$AA$3:$BJ$3, 'I&amp;E Annual'!W$3, 'I&amp;E Monthly'!$AA$4:$BJ$4, 0)</f>
        <v>0</v>
      </c>
      <c r="K61" s="215">
        <f>IF($G61=$G$7, X61,'I&amp;E Monthly'!X61)-SUMIFS('I&amp;E Monthly'!$AA61:$BJ61, 'I&amp;E Monthly'!$AA$3:$BJ$3, 'I&amp;E Annual'!X$3, 'I&amp;E Monthly'!$AA$4:$BJ$4, 0)</f>
        <v>0</v>
      </c>
      <c r="L61" s="215">
        <f>IF($G61=$G$7, Y61,'I&amp;E Monthly'!Y61)-SUMIFS('I&amp;E Monthly'!$AA61:$BJ61, 'I&amp;E Monthly'!$AA$3:$BJ$3, 'I&amp;E Annual'!Y$3, 'I&amp;E Monthly'!$AA$4:$BJ$4, 0)</f>
        <v>0</v>
      </c>
      <c r="M61" s="335"/>
      <c r="N61" s="335"/>
      <c r="O61" s="335"/>
      <c r="P61" s="335"/>
      <c r="Q61" s="2"/>
      <c r="R61" s="335"/>
      <c r="S61" s="335"/>
      <c r="T61" s="335"/>
      <c r="U61" s="335"/>
      <c r="V61" s="215">
        <f>'I&amp;E Monthly'!V61</f>
        <v>0</v>
      </c>
      <c r="W61" s="147"/>
      <c r="X61" s="227"/>
      <c r="Y61" s="227"/>
      <c r="Z61" s="335"/>
      <c r="AA61" s="153" cm="1">
        <f t="array" ref="AA61">IF(OR(AA$4=0, $G61&lt;&gt; $G$7, $E61=0), 'I&amp;E Monthly'!AA61, CHOOSE(Timeline!AA$30,$J61,$K61,$L61 )*INDEX('I&amp;E Profiles'!AA$96:AA$180,$I61))</f>
        <v>0</v>
      </c>
      <c r="AB61" s="153" cm="1">
        <f t="array" ref="AB61">IF(OR(AB$4=0, $G61&lt;&gt; $G$7, $E61=0), 'I&amp;E Monthly'!AB61, CHOOSE(Timeline!AB$30,$J61,$K61,$L61 )*INDEX('I&amp;E Profiles'!AB$96:AB$180,$I61))</f>
        <v>0</v>
      </c>
      <c r="AC61" s="153" cm="1">
        <f t="array" ref="AC61">IF(OR(AC$4=0, $G61&lt;&gt; $G$7, $E61=0), 'I&amp;E Monthly'!AC61, CHOOSE(Timeline!AC$30,$J61,$K61,$L61 )*INDEX('I&amp;E Profiles'!AC$96:AC$180,$I61))</f>
        <v>0</v>
      </c>
      <c r="AD61" s="153" cm="1">
        <f t="array" ref="AD61">IF(OR(AD$4=0, $G61&lt;&gt; $G$7, $E61=0), 'I&amp;E Monthly'!AD61, CHOOSE(Timeline!AD$30,$J61,$K61,$L61 )*INDEX('I&amp;E Profiles'!AD$96:AD$180,$I61))</f>
        <v>0</v>
      </c>
      <c r="AE61" s="153" cm="1">
        <f t="array" ref="AE61">IF(OR(AE$4=0, $G61&lt;&gt; $G$7, $E61=0), 'I&amp;E Monthly'!AE61, CHOOSE(Timeline!AE$30,$J61,$K61,$L61 )*INDEX('I&amp;E Profiles'!AE$96:AE$180,$I61))</f>
        <v>0</v>
      </c>
      <c r="AF61" s="153" cm="1">
        <f t="array" ref="AF61">IF(OR(AF$4=0, $G61&lt;&gt; $G$7, $E61=0), 'I&amp;E Monthly'!AF61, CHOOSE(Timeline!AF$30,$J61,$K61,$L61 )*INDEX('I&amp;E Profiles'!AF$96:AF$180,$I61))</f>
        <v>0</v>
      </c>
      <c r="AG61" s="153" cm="1">
        <f t="array" ref="AG61">IF(OR(AG$4=0, $G61&lt;&gt; $G$7, $E61=0), 'I&amp;E Monthly'!AG61, CHOOSE(Timeline!AG$30,$J61,$K61,$L61 )*INDEX('I&amp;E Profiles'!AG$96:AG$180,$I61))</f>
        <v>0</v>
      </c>
      <c r="AH61" s="153" cm="1">
        <f t="array" ref="AH61">IF(OR(AH$4=0, $G61&lt;&gt; $G$7, $E61=0), 'I&amp;E Monthly'!AH61, CHOOSE(Timeline!AH$30,$J61,$K61,$L61 )*INDEX('I&amp;E Profiles'!AH$96:AH$180,$I61))</f>
        <v>0</v>
      </c>
      <c r="AI61" s="153" cm="1">
        <f t="array" ref="AI61">IF(OR(AI$4=0, $G61&lt;&gt; $G$7, $E61=0), 'I&amp;E Monthly'!AI61, CHOOSE(Timeline!AI$30,$J61,$K61,$L61 )*INDEX('I&amp;E Profiles'!AI$96:AI$180,$I61))</f>
        <v>0</v>
      </c>
      <c r="AJ61" s="153" cm="1">
        <f t="array" ref="AJ61">IF(OR(AJ$4=0, $G61&lt;&gt; $G$7, $E61=0), 'I&amp;E Monthly'!AJ61, CHOOSE(Timeline!AJ$30,$J61,$K61,$L61 )*INDEX('I&amp;E Profiles'!AJ$96:AJ$180,$I61))</f>
        <v>0</v>
      </c>
      <c r="AK61" s="153" cm="1">
        <f t="array" ref="AK61">IF(OR(AK$4=0, $G61&lt;&gt; $G$7, $E61=0), 'I&amp;E Monthly'!AK61, CHOOSE(Timeline!AK$30,$J61,$K61,$L61 )*INDEX('I&amp;E Profiles'!AK$96:AK$180,$I61))</f>
        <v>0</v>
      </c>
      <c r="AL61" s="153" cm="1">
        <f t="array" ref="AL61">IF(OR(AL$4=0, $G61&lt;&gt; $G$7, $E61=0), 'I&amp;E Monthly'!AL61, CHOOSE(Timeline!AL$30,$J61,$K61,$L61 )*INDEX('I&amp;E Profiles'!AL$96:AL$180,$I61))</f>
        <v>0</v>
      </c>
      <c r="AM61" s="153" cm="1">
        <f t="array" ref="AM61">IF(OR(AM$4=0, $G61&lt;&gt; $G$7, $E61=0), 'I&amp;E Monthly'!AM61, CHOOSE(Timeline!AM$30,$J61,$K61,$L61 )*INDEX('I&amp;E Profiles'!AM$96:AM$180,$I61))</f>
        <v>0</v>
      </c>
      <c r="AN61" s="153" cm="1">
        <f t="array" ref="AN61">IF(OR(AN$4=0, $G61&lt;&gt; $G$7, $E61=0), 'I&amp;E Monthly'!AN61, CHOOSE(Timeline!AN$30,$J61,$K61,$L61 )*INDEX('I&amp;E Profiles'!AN$96:AN$180,$I61))</f>
        <v>0</v>
      </c>
      <c r="AO61" s="153" cm="1">
        <f t="array" ref="AO61">IF(OR(AO$4=0, $G61&lt;&gt; $G$7, $E61=0), 'I&amp;E Monthly'!AO61, CHOOSE(Timeline!AO$30,$J61,$K61,$L61 )*INDEX('I&amp;E Profiles'!AO$96:AO$180,$I61))</f>
        <v>0</v>
      </c>
      <c r="AP61" s="153" cm="1">
        <f t="array" ref="AP61">IF(OR(AP$4=0, $G61&lt;&gt; $G$7, $E61=0), 'I&amp;E Monthly'!AP61, CHOOSE(Timeline!AP$30,$J61,$K61,$L61 )*INDEX('I&amp;E Profiles'!AP$96:AP$180,$I61))</f>
        <v>0</v>
      </c>
      <c r="AQ61" s="153" cm="1">
        <f t="array" ref="AQ61">IF(OR(AQ$4=0, $G61&lt;&gt; $G$7, $E61=0), 'I&amp;E Monthly'!AQ61, CHOOSE(Timeline!AQ$30,$J61,$K61,$L61 )*INDEX('I&amp;E Profiles'!AQ$96:AQ$180,$I61))</f>
        <v>0</v>
      </c>
      <c r="AR61" s="153" cm="1">
        <f t="array" ref="AR61">IF(OR(AR$4=0, $G61&lt;&gt; $G$7, $E61=0), 'I&amp;E Monthly'!AR61, CHOOSE(Timeline!AR$30,$J61,$K61,$L61 )*INDEX('I&amp;E Profiles'!AR$96:AR$180,$I61))</f>
        <v>0</v>
      </c>
      <c r="AS61" s="153" cm="1">
        <f t="array" ref="AS61">IF(OR(AS$4=0, $G61&lt;&gt; $G$7, $E61=0), 'I&amp;E Monthly'!AS61, CHOOSE(Timeline!AS$30,$J61,$K61,$L61 )*INDEX('I&amp;E Profiles'!AS$96:AS$180,$I61))</f>
        <v>0</v>
      </c>
      <c r="AT61" s="153" cm="1">
        <f t="array" ref="AT61">IF(OR(AT$4=0, $G61&lt;&gt; $G$7, $E61=0), 'I&amp;E Monthly'!AT61, CHOOSE(Timeline!AT$30,$J61,$K61,$L61 )*INDEX('I&amp;E Profiles'!AT$96:AT$180,$I61))</f>
        <v>0</v>
      </c>
      <c r="AU61" s="153" cm="1">
        <f t="array" ref="AU61">IF(OR(AU$4=0, $G61&lt;&gt; $G$7, $E61=0), 'I&amp;E Monthly'!AU61, CHOOSE(Timeline!AU$30,$J61,$K61,$L61 )*INDEX('I&amp;E Profiles'!AU$96:AU$180,$I61))</f>
        <v>0</v>
      </c>
      <c r="AV61" s="153" cm="1">
        <f t="array" ref="AV61">IF(OR(AV$4=0, $G61&lt;&gt; $G$7, $E61=0), 'I&amp;E Monthly'!AV61, CHOOSE(Timeline!AV$30,$J61,$K61,$L61 )*INDEX('I&amp;E Profiles'!AV$96:AV$180,$I61))</f>
        <v>0</v>
      </c>
      <c r="AW61" s="153" cm="1">
        <f t="array" ref="AW61">IF(OR(AW$4=0, $G61&lt;&gt; $G$7, $E61=0), 'I&amp;E Monthly'!AW61, CHOOSE(Timeline!AW$30,$J61,$K61,$L61 )*INDEX('I&amp;E Profiles'!AW$96:AW$180,$I61))</f>
        <v>0</v>
      </c>
      <c r="AX61" s="153" cm="1">
        <f t="array" ref="AX61">IF(OR(AX$4=0, $G61&lt;&gt; $G$7, $E61=0), 'I&amp;E Monthly'!AX61, CHOOSE(Timeline!AX$30,$J61,$K61,$L61 )*INDEX('I&amp;E Profiles'!AX$96:AX$180,$I61))</f>
        <v>0</v>
      </c>
      <c r="AY61" s="153" cm="1">
        <f t="array" ref="AY61">IF(OR(AY$4=0, $G61&lt;&gt; $G$7, $E61=0), 'I&amp;E Monthly'!AY61, CHOOSE(Timeline!AY$30,$J61,$K61,$L61 )*INDEX('I&amp;E Profiles'!AY$96:AY$180,$I61))</f>
        <v>0</v>
      </c>
      <c r="AZ61" s="153" cm="1">
        <f t="array" ref="AZ61">IF(OR(AZ$4=0, $G61&lt;&gt; $G$7, $E61=0), 'I&amp;E Monthly'!AZ61, CHOOSE(Timeline!AZ$30,$J61,$K61,$L61 )*INDEX('I&amp;E Profiles'!AZ$96:AZ$180,$I61))</f>
        <v>0</v>
      </c>
      <c r="BA61" s="153" cm="1">
        <f t="array" ref="BA61">IF(OR(BA$4=0, $G61&lt;&gt; $G$7, $E61=0), 'I&amp;E Monthly'!BA61, CHOOSE(Timeline!BA$30,$J61,$K61,$L61 )*INDEX('I&amp;E Profiles'!BA$96:BA$180,$I61))</f>
        <v>0</v>
      </c>
      <c r="BB61" s="153" cm="1">
        <f t="array" ref="BB61">IF(OR(BB$4=0, $G61&lt;&gt; $G$7, $E61=0), 'I&amp;E Monthly'!BB61, CHOOSE(Timeline!BB$30,$J61,$K61,$L61 )*INDEX('I&amp;E Profiles'!BB$96:BB$180,$I61))</f>
        <v>0</v>
      </c>
      <c r="BC61" s="153" cm="1">
        <f t="array" ref="BC61">IF(OR(BC$4=0, $G61&lt;&gt; $G$7, $E61=0), 'I&amp;E Monthly'!BC61, CHOOSE(Timeline!BC$30,$J61,$K61,$L61 )*INDEX('I&amp;E Profiles'!BC$96:BC$180,$I61))</f>
        <v>0</v>
      </c>
      <c r="BD61" s="153" cm="1">
        <f t="array" ref="BD61">IF(OR(BD$4=0, $G61&lt;&gt; $G$7, $E61=0), 'I&amp;E Monthly'!BD61, CHOOSE(Timeline!BD$30,$J61,$K61,$L61 )*INDEX('I&amp;E Profiles'!BD$96:BD$180,$I61))</f>
        <v>0</v>
      </c>
      <c r="BE61" s="153" cm="1">
        <f t="array" ref="BE61">IF(OR(BE$4=0, $G61&lt;&gt; $G$7, $E61=0), 'I&amp;E Monthly'!BE61, CHOOSE(Timeline!BE$30,$J61,$K61,$L61 )*INDEX('I&amp;E Profiles'!BE$96:BE$180,$I61))</f>
        <v>0</v>
      </c>
      <c r="BF61" s="153" cm="1">
        <f t="array" ref="BF61">IF(OR(BF$4=0, $G61&lt;&gt; $G$7, $E61=0), 'I&amp;E Monthly'!BF61, CHOOSE(Timeline!BF$30,$J61,$K61,$L61 )*INDEX('I&amp;E Profiles'!BF$96:BF$180,$I61))</f>
        <v>0</v>
      </c>
      <c r="BG61" s="153" cm="1">
        <f t="array" ref="BG61">IF(OR(BG$4=0, $G61&lt;&gt; $G$7, $E61=0), 'I&amp;E Monthly'!BG61, CHOOSE(Timeline!BG$30,$J61,$K61,$L61 )*INDEX('I&amp;E Profiles'!BG$96:BG$180,$I61))</f>
        <v>0</v>
      </c>
      <c r="BH61" s="153" cm="1">
        <f t="array" ref="BH61">IF(OR(BH$4=0, $G61&lt;&gt; $G$7, $E61=0), 'I&amp;E Monthly'!BH61, CHOOSE(Timeline!BH$30,$J61,$K61,$L61 )*INDEX('I&amp;E Profiles'!BH$96:BH$180,$I61))</f>
        <v>0</v>
      </c>
      <c r="BI61" s="153" cm="1">
        <f t="array" ref="BI61">IF(OR(BI$4=0, $G61&lt;&gt; $G$7, $E61=0), 'I&amp;E Monthly'!BI61, CHOOSE(Timeline!BI$30,$J61,$K61,$L61 )*INDEX('I&amp;E Profiles'!BI$96:BI$180,$I61))</f>
        <v>0</v>
      </c>
      <c r="BJ61" s="153" cm="1">
        <f t="array" ref="BJ61">IF(OR(BJ$4=0, $G61&lt;&gt; $G$7, $E61=0), 'I&amp;E Monthly'!BJ61, CHOOSE(Timeline!BJ$30,$J61,$K61,$L61 )*INDEX('I&amp;E Profiles'!BJ$96:BJ$180,$I61))</f>
        <v>0</v>
      </c>
      <c r="BK61" s="335"/>
      <c r="BL61" s="152">
        <f>V61</f>
        <v>0</v>
      </c>
      <c r="BM61" s="153">
        <f>SUMIFS($AA61:$BJ61, $AA$3:$BJ$3,BM$3)</f>
        <v>0</v>
      </c>
      <c r="BN61" s="153">
        <f>SUMIFS($AA61:$BJ61, $AA$3:$BJ$3,BN$3)</f>
        <v>0</v>
      </c>
      <c r="BO61" s="153">
        <f>SUMIFS($AA61:$BJ61, $AA$3:$BJ$3,BO$3)</f>
        <v>0</v>
      </c>
      <c r="BP61" s="152">
        <f>'I&amp;E Monthly'!BP61</f>
        <v>0</v>
      </c>
      <c r="BQ61" s="152">
        <f>'I&amp;E Monthly'!BQ61</f>
        <v>0</v>
      </c>
      <c r="BR61" s="152">
        <f>'I&amp;E Monthly'!BR61</f>
        <v>0</v>
      </c>
      <c r="BS61" s="152">
        <f>'I&amp;E Monthly'!BS61</f>
        <v>0</v>
      </c>
      <c r="BT61" s="152">
        <f>'I&amp;E Monthly'!BT61</f>
        <v>0</v>
      </c>
      <c r="BU61" s="152">
        <f>'I&amp;E Monthly'!BU61</f>
        <v>0</v>
      </c>
      <c r="BV61" s="152">
        <f>'I&amp;E Monthly'!BV61</f>
        <v>0</v>
      </c>
      <c r="BW61" s="152">
        <f>'I&amp;E Monthly'!BW61</f>
        <v>0</v>
      </c>
      <c r="BX61" s="335"/>
      <c r="BY61" s="12"/>
      <c r="BZ61" s="363">
        <f t="shared" ca="1" si="60"/>
        <v>0</v>
      </c>
      <c r="CA61" s="12"/>
      <c r="CB61" s="7">
        <f>IF(AND($G61=$G$7,$E61=""), 1, 0)</f>
        <v>0</v>
      </c>
      <c r="CC61" s="188" cm="1">
        <f t="array" ref="CC61">IF(E61="",0, IF(_xlfn.IFNA(INDEX('I&amp;E Profiles'!$D$96:$D$180, $I61), "N/A")="N/A", 1, 0))</f>
        <v>0</v>
      </c>
      <c r="CD61" s="7">
        <f t="shared" si="62"/>
        <v>0</v>
      </c>
      <c r="CE61" s="7">
        <f t="shared" si="63"/>
        <v>0</v>
      </c>
      <c r="CF61" s="7">
        <f t="shared" si="64"/>
        <v>0</v>
      </c>
      <c r="CG61" s="12"/>
      <c r="CH61" s="352">
        <f t="shared" si="65"/>
        <v>0</v>
      </c>
      <c r="CI61" s="352">
        <f t="shared" si="66"/>
        <v>0</v>
      </c>
      <c r="CJ61" s="352">
        <f t="shared" si="67"/>
        <v>0</v>
      </c>
      <c r="CK61" s="352">
        <f t="shared" si="68"/>
        <v>0</v>
      </c>
      <c r="CL61" s="352">
        <f t="shared" si="69"/>
        <v>0</v>
      </c>
      <c r="CM61" s="352">
        <f t="shared" si="70"/>
        <v>0</v>
      </c>
      <c r="CN61" s="352">
        <f t="shared" si="71"/>
        <v>0</v>
      </c>
      <c r="EX61" s="10" t="str">
        <f t="shared" si="1"/>
        <v>Of which: subcontracted out</v>
      </c>
    </row>
    <row r="62" spans="1:154" s="323" customFormat="1" ht="6.6" customHeight="1" x14ac:dyDescent="0.25">
      <c r="A62" s="335"/>
      <c r="B62" s="93"/>
      <c r="C62" s="383"/>
      <c r="D62" s="177"/>
      <c r="E62" s="25"/>
      <c r="F62" s="25"/>
      <c r="G62" s="335"/>
      <c r="I62" s="335"/>
      <c r="J62" s="335"/>
      <c r="Q62" s="2"/>
      <c r="R62" s="335"/>
      <c r="T62" s="335"/>
      <c r="U62" s="335"/>
      <c r="V62" s="25"/>
      <c r="W62" s="25"/>
      <c r="X62" s="25"/>
      <c r="Y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L62" s="25"/>
      <c r="BM62" s="155"/>
      <c r="BN62" s="25"/>
      <c r="BO62" s="25"/>
      <c r="BP62" s="25"/>
      <c r="BQ62" s="25"/>
      <c r="BR62" s="25"/>
      <c r="BS62" s="25"/>
      <c r="BT62" s="25"/>
      <c r="BU62" s="25"/>
      <c r="BV62" s="25"/>
      <c r="BW62" s="25"/>
      <c r="BY62" s="42"/>
      <c r="BZ62" s="335"/>
      <c r="CA62" s="42"/>
      <c r="CB62" s="335"/>
      <c r="CC62" s="335"/>
      <c r="CD62" s="335"/>
      <c r="CE62" s="335"/>
      <c r="CF62" s="335"/>
      <c r="CG62" s="42"/>
      <c r="CH62" s="335"/>
      <c r="CI62" s="335"/>
      <c r="CJ62" s="335"/>
      <c r="CK62" s="335"/>
      <c r="CL62" s="335"/>
      <c r="CM62" s="335"/>
      <c r="CN62" s="335"/>
      <c r="EU62" s="335"/>
      <c r="EX62" s="10" t="str">
        <f t="shared" si="1"/>
        <v/>
      </c>
    </row>
    <row r="63" spans="1:154" s="323" customFormat="1" x14ac:dyDescent="0.25">
      <c r="A63" s="335"/>
      <c r="B63" s="336"/>
      <c r="C63" s="383"/>
      <c r="D63" s="433" t="s">
        <v>848</v>
      </c>
      <c r="E63" s="82"/>
      <c r="F63" s="25"/>
      <c r="G63" s="25"/>
      <c r="I63" s="25"/>
      <c r="J63" s="25"/>
      <c r="Q63" s="2"/>
      <c r="R63" s="335"/>
      <c r="T63" s="335"/>
      <c r="U63" s="335"/>
      <c r="V63" s="25"/>
      <c r="W63" s="25"/>
      <c r="X63" s="25"/>
      <c r="Y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L63" s="25"/>
      <c r="BM63" s="25"/>
      <c r="BN63" s="25"/>
      <c r="BO63" s="25"/>
      <c r="BP63" s="25"/>
      <c r="BQ63" s="25"/>
      <c r="BR63" s="25"/>
      <c r="BS63" s="25"/>
      <c r="BT63" s="25"/>
      <c r="BU63" s="25"/>
      <c r="BV63" s="25"/>
      <c r="BW63" s="25"/>
      <c r="BY63" s="12"/>
      <c r="BZ63" s="335"/>
      <c r="CA63" s="12"/>
      <c r="CB63" s="335"/>
      <c r="CC63" s="335"/>
      <c r="CD63" s="335"/>
      <c r="CE63" s="335"/>
      <c r="CF63" s="335"/>
      <c r="CG63" s="12"/>
      <c r="CH63" s="335"/>
      <c r="CI63" s="335"/>
      <c r="CJ63" s="335"/>
      <c r="CK63" s="335"/>
      <c r="CL63" s="335"/>
      <c r="CM63" s="335"/>
      <c r="CN63" s="335"/>
      <c r="EU63" s="335"/>
      <c r="EX63" s="10" t="str">
        <f t="shared" si="1"/>
        <v/>
      </c>
    </row>
    <row r="64" spans="1:154" s="323" customFormat="1" x14ac:dyDescent="0.25">
      <c r="A64" s="362" cm="1">
        <f t="array" aca="1" ref="A64" ca="1">HYPERLINK(CONCATENATE("#",CELL("address",IF(SUM($CA64:$CG64)=0,A64,INDEX($CA64:$CG64,MATCH(1,$CA64:$CG64,0))))),SUM($CA64:$CG64))</f>
        <v>0</v>
      </c>
      <c r="B64" s="93"/>
      <c r="C64" s="343" t="s">
        <v>854</v>
      </c>
      <c r="D64" s="194" t="s">
        <v>849</v>
      </c>
      <c r="E64" s="147"/>
      <c r="F64" s="98" t="str" cm="1">
        <f t="array" aca="1" ref="F64" ca="1">IF(E64="", "", HYPERLINK(CONCATENATE("#",CELL("address",INDEX('I&amp;E Profiles'!$D$9:$D$93,'I&amp;E Annual'!I64))),E64))</f>
        <v/>
      </c>
      <c r="G64" s="147" t="s">
        <v>211</v>
      </c>
      <c r="H64" s="323" t="s">
        <v>8</v>
      </c>
      <c r="I64" s="350" t="str">
        <f>IF(E64="", "", MATCH(E64, 'I&amp;E Profiles'!$D$96:$D$180,0))</f>
        <v/>
      </c>
      <c r="J64" s="215">
        <f>IF($G64=$G$7, W64,'I&amp;E Monthly'!W64)-SUMIFS('I&amp;E Monthly'!$AA64:$BJ64, 'I&amp;E Monthly'!$AA$3:$BJ$3, 'I&amp;E Annual'!W$3, 'I&amp;E Monthly'!$AA$4:$BJ$4, 0)</f>
        <v>0</v>
      </c>
      <c r="K64" s="215">
        <f>IF($G64=$G$7, X64,'I&amp;E Monthly'!X64)-SUMIFS('I&amp;E Monthly'!$AA64:$BJ64, 'I&amp;E Monthly'!$AA$3:$BJ$3, 'I&amp;E Annual'!X$3, 'I&amp;E Monthly'!$AA$4:$BJ$4, 0)</f>
        <v>0</v>
      </c>
      <c r="L64" s="215">
        <f>IF($G64=$G$7, Y64,'I&amp;E Monthly'!Y64)-SUMIFS('I&amp;E Monthly'!$AA64:$BJ64, 'I&amp;E Monthly'!$AA$3:$BJ$3, 'I&amp;E Annual'!Y$3, 'I&amp;E Monthly'!$AA$4:$BJ$4, 0)</f>
        <v>0</v>
      </c>
      <c r="M64" s="335"/>
      <c r="N64" s="335"/>
      <c r="O64" s="335"/>
      <c r="P64" s="335"/>
      <c r="Q64" s="2"/>
      <c r="R64" s="335"/>
      <c r="S64" s="335"/>
      <c r="T64" s="335"/>
      <c r="U64" s="335"/>
      <c r="V64" s="215">
        <f>'I&amp;E Monthly'!V64</f>
        <v>0</v>
      </c>
      <c r="W64" s="147"/>
      <c r="X64" s="227"/>
      <c r="Y64" s="227"/>
      <c r="Z64" s="335"/>
      <c r="AA64" s="153" cm="1">
        <f t="array" ref="AA64">IF(OR(AA$4=0, $G64&lt;&gt; $G$7, $E64=0), 'I&amp;E Monthly'!AA64, CHOOSE(Timeline!AA$30,$J64,$K64,$L64 )*INDEX('I&amp;E Profiles'!AA$96:AA$180,$I64))</f>
        <v>0</v>
      </c>
      <c r="AB64" s="153" cm="1">
        <f t="array" ref="AB64">IF(OR(AB$4=0, $G64&lt;&gt; $G$7, $E64=0), 'I&amp;E Monthly'!AB64, CHOOSE(Timeline!AB$30,$J64,$K64,$L64 )*INDEX('I&amp;E Profiles'!AB$96:AB$180,$I64))</f>
        <v>0</v>
      </c>
      <c r="AC64" s="153" cm="1">
        <f t="array" ref="AC64">IF(OR(AC$4=0, $G64&lt;&gt; $G$7, $E64=0), 'I&amp;E Monthly'!AC64, CHOOSE(Timeline!AC$30,$J64,$K64,$L64 )*INDEX('I&amp;E Profiles'!AC$96:AC$180,$I64))</f>
        <v>0</v>
      </c>
      <c r="AD64" s="153" cm="1">
        <f t="array" ref="AD64">IF(OR(AD$4=0, $G64&lt;&gt; $G$7, $E64=0), 'I&amp;E Monthly'!AD64, CHOOSE(Timeline!AD$30,$J64,$K64,$L64 )*INDEX('I&amp;E Profiles'!AD$96:AD$180,$I64))</f>
        <v>0</v>
      </c>
      <c r="AE64" s="153" cm="1">
        <f t="array" ref="AE64">IF(OR(AE$4=0, $G64&lt;&gt; $G$7, $E64=0), 'I&amp;E Monthly'!AE64, CHOOSE(Timeline!AE$30,$J64,$K64,$L64 )*INDEX('I&amp;E Profiles'!AE$96:AE$180,$I64))</f>
        <v>0</v>
      </c>
      <c r="AF64" s="153" cm="1">
        <f t="array" ref="AF64">IF(OR(AF$4=0, $G64&lt;&gt; $G$7, $E64=0), 'I&amp;E Monthly'!AF64, CHOOSE(Timeline!AF$30,$J64,$K64,$L64 )*INDEX('I&amp;E Profiles'!AF$96:AF$180,$I64))</f>
        <v>0</v>
      </c>
      <c r="AG64" s="153" cm="1">
        <f t="array" ref="AG64">IF(OR(AG$4=0, $G64&lt;&gt; $G$7, $E64=0), 'I&amp;E Monthly'!AG64, CHOOSE(Timeline!AG$30,$J64,$K64,$L64 )*INDEX('I&amp;E Profiles'!AG$96:AG$180,$I64))</f>
        <v>0</v>
      </c>
      <c r="AH64" s="153" cm="1">
        <f t="array" ref="AH64">IF(OR(AH$4=0, $G64&lt;&gt; $G$7, $E64=0), 'I&amp;E Monthly'!AH64, CHOOSE(Timeline!AH$30,$J64,$K64,$L64 )*INDEX('I&amp;E Profiles'!AH$96:AH$180,$I64))</f>
        <v>0</v>
      </c>
      <c r="AI64" s="153" cm="1">
        <f t="array" ref="AI64">IF(OR(AI$4=0, $G64&lt;&gt; $G$7, $E64=0), 'I&amp;E Monthly'!AI64, CHOOSE(Timeline!AI$30,$J64,$K64,$L64 )*INDEX('I&amp;E Profiles'!AI$96:AI$180,$I64))</f>
        <v>0</v>
      </c>
      <c r="AJ64" s="153" cm="1">
        <f t="array" ref="AJ64">IF(OR(AJ$4=0, $G64&lt;&gt; $G$7, $E64=0), 'I&amp;E Monthly'!AJ64, CHOOSE(Timeline!AJ$30,$J64,$K64,$L64 )*INDEX('I&amp;E Profiles'!AJ$96:AJ$180,$I64))</f>
        <v>0</v>
      </c>
      <c r="AK64" s="153" cm="1">
        <f t="array" ref="AK64">IF(OR(AK$4=0, $G64&lt;&gt; $G$7, $E64=0), 'I&amp;E Monthly'!AK64, CHOOSE(Timeline!AK$30,$J64,$K64,$L64 )*INDEX('I&amp;E Profiles'!AK$96:AK$180,$I64))</f>
        <v>0</v>
      </c>
      <c r="AL64" s="153" cm="1">
        <f t="array" ref="AL64">IF(OR(AL$4=0, $G64&lt;&gt; $G$7, $E64=0), 'I&amp;E Monthly'!AL64, CHOOSE(Timeline!AL$30,$J64,$K64,$L64 )*INDEX('I&amp;E Profiles'!AL$96:AL$180,$I64))</f>
        <v>0</v>
      </c>
      <c r="AM64" s="153" cm="1">
        <f t="array" ref="AM64">IF(OR(AM$4=0, $G64&lt;&gt; $G$7, $E64=0), 'I&amp;E Monthly'!AM64, CHOOSE(Timeline!AM$30,$J64,$K64,$L64 )*INDEX('I&amp;E Profiles'!AM$96:AM$180,$I64))</f>
        <v>0</v>
      </c>
      <c r="AN64" s="153" cm="1">
        <f t="array" ref="AN64">IF(OR(AN$4=0, $G64&lt;&gt; $G$7, $E64=0), 'I&amp;E Monthly'!AN64, CHOOSE(Timeline!AN$30,$J64,$K64,$L64 )*INDEX('I&amp;E Profiles'!AN$96:AN$180,$I64))</f>
        <v>0</v>
      </c>
      <c r="AO64" s="153" cm="1">
        <f t="array" ref="AO64">IF(OR(AO$4=0, $G64&lt;&gt; $G$7, $E64=0), 'I&amp;E Monthly'!AO64, CHOOSE(Timeline!AO$30,$J64,$K64,$L64 )*INDEX('I&amp;E Profiles'!AO$96:AO$180,$I64))</f>
        <v>0</v>
      </c>
      <c r="AP64" s="153" cm="1">
        <f t="array" ref="AP64">IF(OR(AP$4=0, $G64&lt;&gt; $G$7, $E64=0), 'I&amp;E Monthly'!AP64, CHOOSE(Timeline!AP$30,$J64,$K64,$L64 )*INDEX('I&amp;E Profiles'!AP$96:AP$180,$I64))</f>
        <v>0</v>
      </c>
      <c r="AQ64" s="153" cm="1">
        <f t="array" ref="AQ64">IF(OR(AQ$4=0, $G64&lt;&gt; $G$7, $E64=0), 'I&amp;E Monthly'!AQ64, CHOOSE(Timeline!AQ$30,$J64,$K64,$L64 )*INDEX('I&amp;E Profiles'!AQ$96:AQ$180,$I64))</f>
        <v>0</v>
      </c>
      <c r="AR64" s="153" cm="1">
        <f t="array" ref="AR64">IF(OR(AR$4=0, $G64&lt;&gt; $G$7, $E64=0), 'I&amp;E Monthly'!AR64, CHOOSE(Timeline!AR$30,$J64,$K64,$L64 )*INDEX('I&amp;E Profiles'!AR$96:AR$180,$I64))</f>
        <v>0</v>
      </c>
      <c r="AS64" s="153" cm="1">
        <f t="array" ref="AS64">IF(OR(AS$4=0, $G64&lt;&gt; $G$7, $E64=0), 'I&amp;E Monthly'!AS64, CHOOSE(Timeline!AS$30,$J64,$K64,$L64 )*INDEX('I&amp;E Profiles'!AS$96:AS$180,$I64))</f>
        <v>0</v>
      </c>
      <c r="AT64" s="153" cm="1">
        <f t="array" ref="AT64">IF(OR(AT$4=0, $G64&lt;&gt; $G$7, $E64=0), 'I&amp;E Monthly'!AT64, CHOOSE(Timeline!AT$30,$J64,$K64,$L64 )*INDEX('I&amp;E Profiles'!AT$96:AT$180,$I64))</f>
        <v>0</v>
      </c>
      <c r="AU64" s="153" cm="1">
        <f t="array" ref="AU64">IF(OR(AU$4=0, $G64&lt;&gt; $G$7, $E64=0), 'I&amp;E Monthly'!AU64, CHOOSE(Timeline!AU$30,$J64,$K64,$L64 )*INDEX('I&amp;E Profiles'!AU$96:AU$180,$I64))</f>
        <v>0</v>
      </c>
      <c r="AV64" s="153" cm="1">
        <f t="array" ref="AV64">IF(OR(AV$4=0, $G64&lt;&gt; $G$7, $E64=0), 'I&amp;E Monthly'!AV64, CHOOSE(Timeline!AV$30,$J64,$K64,$L64 )*INDEX('I&amp;E Profiles'!AV$96:AV$180,$I64))</f>
        <v>0</v>
      </c>
      <c r="AW64" s="153" cm="1">
        <f t="array" ref="AW64">IF(OR(AW$4=0, $G64&lt;&gt; $G$7, $E64=0), 'I&amp;E Monthly'!AW64, CHOOSE(Timeline!AW$30,$J64,$K64,$L64 )*INDEX('I&amp;E Profiles'!AW$96:AW$180,$I64))</f>
        <v>0</v>
      </c>
      <c r="AX64" s="153" cm="1">
        <f t="array" ref="AX64">IF(OR(AX$4=0, $G64&lt;&gt; $G$7, $E64=0), 'I&amp;E Monthly'!AX64, CHOOSE(Timeline!AX$30,$J64,$K64,$L64 )*INDEX('I&amp;E Profiles'!AX$96:AX$180,$I64))</f>
        <v>0</v>
      </c>
      <c r="AY64" s="153" cm="1">
        <f t="array" ref="AY64">IF(OR(AY$4=0, $G64&lt;&gt; $G$7, $E64=0), 'I&amp;E Monthly'!AY64, CHOOSE(Timeline!AY$30,$J64,$K64,$L64 )*INDEX('I&amp;E Profiles'!AY$96:AY$180,$I64))</f>
        <v>0</v>
      </c>
      <c r="AZ64" s="153" cm="1">
        <f t="array" ref="AZ64">IF(OR(AZ$4=0, $G64&lt;&gt; $G$7, $E64=0), 'I&amp;E Monthly'!AZ64, CHOOSE(Timeline!AZ$30,$J64,$K64,$L64 )*INDEX('I&amp;E Profiles'!AZ$96:AZ$180,$I64))</f>
        <v>0</v>
      </c>
      <c r="BA64" s="153" cm="1">
        <f t="array" ref="BA64">IF(OR(BA$4=0, $G64&lt;&gt; $G$7, $E64=0), 'I&amp;E Monthly'!BA64, CHOOSE(Timeline!BA$30,$J64,$K64,$L64 )*INDEX('I&amp;E Profiles'!BA$96:BA$180,$I64))</f>
        <v>0</v>
      </c>
      <c r="BB64" s="153" cm="1">
        <f t="array" ref="BB64">IF(OR(BB$4=0, $G64&lt;&gt; $G$7, $E64=0), 'I&amp;E Monthly'!BB64, CHOOSE(Timeline!BB$30,$J64,$K64,$L64 )*INDEX('I&amp;E Profiles'!BB$96:BB$180,$I64))</f>
        <v>0</v>
      </c>
      <c r="BC64" s="153" cm="1">
        <f t="array" ref="BC64">IF(OR(BC$4=0, $G64&lt;&gt; $G$7, $E64=0), 'I&amp;E Monthly'!BC64, CHOOSE(Timeline!BC$30,$J64,$K64,$L64 )*INDEX('I&amp;E Profiles'!BC$96:BC$180,$I64))</f>
        <v>0</v>
      </c>
      <c r="BD64" s="153" cm="1">
        <f t="array" ref="BD64">IF(OR(BD$4=0, $G64&lt;&gt; $G$7, $E64=0), 'I&amp;E Monthly'!BD64, CHOOSE(Timeline!BD$30,$J64,$K64,$L64 )*INDEX('I&amp;E Profiles'!BD$96:BD$180,$I64))</f>
        <v>0</v>
      </c>
      <c r="BE64" s="153" cm="1">
        <f t="array" ref="BE64">IF(OR(BE$4=0, $G64&lt;&gt; $G$7, $E64=0), 'I&amp;E Monthly'!BE64, CHOOSE(Timeline!BE$30,$J64,$K64,$L64 )*INDEX('I&amp;E Profiles'!BE$96:BE$180,$I64))</f>
        <v>0</v>
      </c>
      <c r="BF64" s="153" cm="1">
        <f t="array" ref="BF64">IF(OR(BF$4=0, $G64&lt;&gt; $G$7, $E64=0), 'I&amp;E Monthly'!BF64, CHOOSE(Timeline!BF$30,$J64,$K64,$L64 )*INDEX('I&amp;E Profiles'!BF$96:BF$180,$I64))</f>
        <v>0</v>
      </c>
      <c r="BG64" s="153" cm="1">
        <f t="array" ref="BG64">IF(OR(BG$4=0, $G64&lt;&gt; $G$7, $E64=0), 'I&amp;E Monthly'!BG64, CHOOSE(Timeline!BG$30,$J64,$K64,$L64 )*INDEX('I&amp;E Profiles'!BG$96:BG$180,$I64))</f>
        <v>0</v>
      </c>
      <c r="BH64" s="153" cm="1">
        <f t="array" ref="BH64">IF(OR(BH$4=0, $G64&lt;&gt; $G$7, $E64=0), 'I&amp;E Monthly'!BH64, CHOOSE(Timeline!BH$30,$J64,$K64,$L64 )*INDEX('I&amp;E Profiles'!BH$96:BH$180,$I64))</f>
        <v>0</v>
      </c>
      <c r="BI64" s="153" cm="1">
        <f t="array" ref="BI64">IF(OR(BI$4=0, $G64&lt;&gt; $G$7, $E64=0), 'I&amp;E Monthly'!BI64, CHOOSE(Timeline!BI$30,$J64,$K64,$L64 )*INDEX('I&amp;E Profiles'!BI$96:BI$180,$I64))</f>
        <v>0</v>
      </c>
      <c r="BJ64" s="153" cm="1">
        <f t="array" ref="BJ64">IF(OR(BJ$4=0, $G64&lt;&gt; $G$7, $E64=0), 'I&amp;E Monthly'!BJ64, CHOOSE(Timeline!BJ$30,$J64,$K64,$L64 )*INDEX('I&amp;E Profiles'!BJ$96:BJ$180,$I64))</f>
        <v>0</v>
      </c>
      <c r="BK64" s="335"/>
      <c r="BL64" s="152">
        <f>V64</f>
        <v>0</v>
      </c>
      <c r="BM64" s="153">
        <f t="shared" ref="BM64:BO66" si="74">SUMIFS($AA64:$BJ64, $AA$3:$BJ$3,BM$3)</f>
        <v>0</v>
      </c>
      <c r="BN64" s="153">
        <f t="shared" si="74"/>
        <v>0</v>
      </c>
      <c r="BO64" s="153">
        <f t="shared" si="74"/>
        <v>0</v>
      </c>
      <c r="BP64" s="152">
        <f>'I&amp;E Monthly'!BP64</f>
        <v>0</v>
      </c>
      <c r="BQ64" s="152">
        <f>'I&amp;E Monthly'!BQ64</f>
        <v>0</v>
      </c>
      <c r="BR64" s="152">
        <f>'I&amp;E Monthly'!BR64</f>
        <v>0</v>
      </c>
      <c r="BS64" s="152">
        <f>'I&amp;E Monthly'!BS64</f>
        <v>0</v>
      </c>
      <c r="BT64" s="152">
        <f>'I&amp;E Monthly'!BT64</f>
        <v>0</v>
      </c>
      <c r="BU64" s="152">
        <f>'I&amp;E Monthly'!BU64</f>
        <v>0</v>
      </c>
      <c r="BV64" s="152">
        <f>'I&amp;E Monthly'!BV64</f>
        <v>0</v>
      </c>
      <c r="BW64" s="152">
        <f>'I&amp;E Monthly'!BW64</f>
        <v>0</v>
      </c>
      <c r="BX64" s="335"/>
      <c r="BY64" s="12"/>
      <c r="BZ64" s="363">
        <f ca="1">IF(MIN($V64:$BW64)&lt;0, 1, 0)*$I$7</f>
        <v>0</v>
      </c>
      <c r="CA64" s="12"/>
      <c r="CB64" s="7">
        <f>IF(AND($G64=$G$7,$E64=""), 1, 0)</f>
        <v>0</v>
      </c>
      <c r="CC64" s="188" cm="1">
        <f t="array" ref="CC64">IF(E64="",0, IF(_xlfn.IFNA(INDEX('I&amp;E Profiles'!$D$96:$D$180, $I64), "N/A")="N/A", 1, 0))</f>
        <v>0</v>
      </c>
      <c r="CD64" s="7">
        <f>IF(SUM($CH64:$CJ64)=0, 0, 1)</f>
        <v>0</v>
      </c>
      <c r="CE64" s="7">
        <f>IF(SUM($CK64:$CM64)=0, 0, 1)</f>
        <v>0</v>
      </c>
      <c r="CF64" s="7">
        <f>IF(CN64=0, 0, 1)</f>
        <v>0</v>
      </c>
      <c r="CG64" s="12"/>
      <c r="CH64" s="352">
        <f t="shared" ref="CH64:CJ68" si="75">IF($G64=$G$7, ROUND(W64-SUMIFS($AA64:$BJ64, $AA$3:$BJ$3, W$3), rounding), 0)</f>
        <v>0</v>
      </c>
      <c r="CI64" s="352">
        <f t="shared" si="75"/>
        <v>0</v>
      </c>
      <c r="CJ64" s="352">
        <f t="shared" si="75"/>
        <v>0</v>
      </c>
      <c r="CK64" s="352">
        <f>ROUND($BM64-SUMIFS($AA64:$BJ64, $AA$3:$BJ$3, $BM$3), rounding)</f>
        <v>0</v>
      </c>
      <c r="CL64" s="352">
        <f>ROUND($BN64-SUMIFS($AA64:$BJ64, $AA$3:$BJ$3, $BN$3), rounding)</f>
        <v>0</v>
      </c>
      <c r="CM64" s="352">
        <f>ROUND($BO64-SUMIFS($AA64:$BJ64, $AA$3:$BJ$3, $BO$3), rounding)</f>
        <v>0</v>
      </c>
      <c r="CN64" s="352">
        <f>ROUND($V64-$BL64, rounding)</f>
        <v>0</v>
      </c>
      <c r="EU64" s="335"/>
      <c r="EX64" s="10" t="str">
        <f t="shared" si="1"/>
        <v>ESFA - European Social Fund - direct</v>
      </c>
    </row>
    <row r="65" spans="1:154" s="323" customFormat="1" ht="15.75" x14ac:dyDescent="0.3">
      <c r="A65" s="362" cm="1">
        <f t="array" aca="1" ref="A65" ca="1">HYPERLINK(CONCATENATE("#",CELL("address",IF(SUM($CA65:$CG65)=0,A65,INDEX($CA65:$CG65,MATCH(1,$CA65:$CG65,0))))),SUM($CA65:$CG65))</f>
        <v>0</v>
      </c>
      <c r="B65" s="105" t="s">
        <v>335</v>
      </c>
      <c r="C65" s="343" t="s">
        <v>855</v>
      </c>
      <c r="D65" s="194" t="s">
        <v>850</v>
      </c>
      <c r="E65" s="147"/>
      <c r="F65" s="98" t="str" cm="1">
        <f t="array" aca="1" ref="F65" ca="1">IF(E65="", "", HYPERLINK(CONCATENATE("#",CELL("address",INDEX('I&amp;E Profiles'!$D$9:$D$93,'I&amp;E Annual'!I65))),E65))</f>
        <v/>
      </c>
      <c r="G65" s="372" t="s">
        <v>211</v>
      </c>
      <c r="H65" s="323" t="s">
        <v>8</v>
      </c>
      <c r="I65" s="350" t="str">
        <f>IF(E65="", "", MATCH(E65, 'I&amp;E Profiles'!$D$96:$D$180,0))</f>
        <v/>
      </c>
      <c r="J65" s="215">
        <f>IF($G65=$G$7, W65,'I&amp;E Monthly'!W65)-SUMIFS('I&amp;E Monthly'!$AA65:$BJ65, 'I&amp;E Monthly'!$AA$3:$BJ$3, 'I&amp;E Annual'!W$3, 'I&amp;E Monthly'!$AA$4:$BJ$4, 0)</f>
        <v>0</v>
      </c>
      <c r="K65" s="215">
        <f>IF($G65=$G$7, X65,'I&amp;E Monthly'!X65)-SUMIFS('I&amp;E Monthly'!$AA65:$BJ65, 'I&amp;E Monthly'!$AA$3:$BJ$3, 'I&amp;E Annual'!X$3, 'I&amp;E Monthly'!$AA$4:$BJ$4, 0)</f>
        <v>0</v>
      </c>
      <c r="L65" s="215">
        <f>IF($G65=$G$7, Y65,'I&amp;E Monthly'!Y65)-SUMIFS('I&amp;E Monthly'!$AA65:$BJ65, 'I&amp;E Monthly'!$AA$3:$BJ$3, 'I&amp;E Annual'!Y$3, 'I&amp;E Monthly'!$AA$4:$BJ$4, 0)</f>
        <v>0</v>
      </c>
      <c r="M65" s="335"/>
      <c r="N65" s="335"/>
      <c r="O65" s="335"/>
      <c r="P65" s="335"/>
      <c r="Q65" s="2"/>
      <c r="R65" s="335"/>
      <c r="S65" s="335"/>
      <c r="T65" s="335"/>
      <c r="U65" s="335"/>
      <c r="V65" s="201">
        <f>'I&amp;E Monthly'!V65</f>
        <v>0</v>
      </c>
      <c r="W65" s="354"/>
      <c r="X65" s="198"/>
      <c r="Y65" s="198"/>
      <c r="Z65" s="335"/>
      <c r="AA65" s="153" cm="1">
        <f t="array" ref="AA65">IF(OR(AA$4=0, $G65&lt;&gt; $G$7, $E65=0), 'I&amp;E Monthly'!AA65, CHOOSE(Timeline!AA$30,$J65,$K65,$L65 )*INDEX('I&amp;E Profiles'!AA$96:AA$180,$I65))</f>
        <v>0</v>
      </c>
      <c r="AB65" s="153" cm="1">
        <f t="array" ref="AB65">IF(OR(AB$4=0, $G65&lt;&gt; $G$7, $E65=0), 'I&amp;E Monthly'!AB65, CHOOSE(Timeline!AB$30,$J65,$K65,$L65 )*INDEX('I&amp;E Profiles'!AB$96:AB$180,$I65))</f>
        <v>0</v>
      </c>
      <c r="AC65" s="153" cm="1">
        <f t="array" ref="AC65">IF(OR(AC$4=0, $G65&lt;&gt; $G$7, $E65=0), 'I&amp;E Monthly'!AC65, CHOOSE(Timeline!AC$30,$J65,$K65,$L65 )*INDEX('I&amp;E Profiles'!AC$96:AC$180,$I65))</f>
        <v>0</v>
      </c>
      <c r="AD65" s="153" cm="1">
        <f t="array" ref="AD65">IF(OR(AD$4=0, $G65&lt;&gt; $G$7, $E65=0), 'I&amp;E Monthly'!AD65, CHOOSE(Timeline!AD$30,$J65,$K65,$L65 )*INDEX('I&amp;E Profiles'!AD$96:AD$180,$I65))</f>
        <v>0</v>
      </c>
      <c r="AE65" s="153" cm="1">
        <f t="array" ref="AE65">IF(OR(AE$4=0, $G65&lt;&gt; $G$7, $E65=0), 'I&amp;E Monthly'!AE65, CHOOSE(Timeline!AE$30,$J65,$K65,$L65 )*INDEX('I&amp;E Profiles'!AE$96:AE$180,$I65))</f>
        <v>0</v>
      </c>
      <c r="AF65" s="153" cm="1">
        <f t="array" ref="AF65">IF(OR(AF$4=0, $G65&lt;&gt; $G$7, $E65=0), 'I&amp;E Monthly'!AF65, CHOOSE(Timeline!AF$30,$J65,$K65,$L65 )*INDEX('I&amp;E Profiles'!AF$96:AF$180,$I65))</f>
        <v>0</v>
      </c>
      <c r="AG65" s="153" cm="1">
        <f t="array" ref="AG65">IF(OR(AG$4=0, $G65&lt;&gt; $G$7, $E65=0), 'I&amp;E Monthly'!AG65, CHOOSE(Timeline!AG$30,$J65,$K65,$L65 )*INDEX('I&amp;E Profiles'!AG$96:AG$180,$I65))</f>
        <v>8</v>
      </c>
      <c r="AH65" s="153" cm="1">
        <f t="array" ref="AH65">IF(OR(AH$4=0, $G65&lt;&gt; $G$7, $E65=0), 'I&amp;E Monthly'!AH65, CHOOSE(Timeline!AH$30,$J65,$K65,$L65 )*INDEX('I&amp;E Profiles'!AH$96:AH$180,$I65))</f>
        <v>0</v>
      </c>
      <c r="AI65" s="153" cm="1">
        <f t="array" ref="AI65">IF(OR(AI$4=0, $G65&lt;&gt; $G$7, $E65=0), 'I&amp;E Monthly'!AI65, CHOOSE(Timeline!AI$30,$J65,$K65,$L65 )*INDEX('I&amp;E Profiles'!AI$96:AI$180,$I65))</f>
        <v>0</v>
      </c>
      <c r="AJ65" s="153" cm="1">
        <f t="array" ref="AJ65">IF(OR(AJ$4=0, $G65&lt;&gt; $G$7, $E65=0), 'I&amp;E Monthly'!AJ65, CHOOSE(Timeline!AJ$30,$J65,$K65,$L65 )*INDEX('I&amp;E Profiles'!AJ$96:AJ$180,$I65))</f>
        <v>0</v>
      </c>
      <c r="AK65" s="153" cm="1">
        <f t="array" ref="AK65">IF(OR(AK$4=0, $G65&lt;&gt; $G$7, $E65=0), 'I&amp;E Monthly'!AK65, CHOOSE(Timeline!AK$30,$J65,$K65,$L65 )*INDEX('I&amp;E Profiles'!AK$96:AK$180,$I65))</f>
        <v>0</v>
      </c>
      <c r="AL65" s="153" cm="1">
        <f t="array" ref="AL65">IF(OR(AL$4=0, $G65&lt;&gt; $G$7, $E65=0), 'I&amp;E Monthly'!AL65, CHOOSE(Timeline!AL$30,$J65,$K65,$L65 )*INDEX('I&amp;E Profiles'!AL$96:AL$180,$I65))</f>
        <v>0</v>
      </c>
      <c r="AM65" s="153" cm="1">
        <f t="array" ref="AM65">IF(OR(AM$4=0, $G65&lt;&gt; $G$7, $E65=0), 'I&amp;E Monthly'!AM65, CHOOSE(Timeline!AM$30,$J65,$K65,$L65 )*INDEX('I&amp;E Profiles'!AM$96:AM$180,$I65))</f>
        <v>0</v>
      </c>
      <c r="AN65" s="153" cm="1">
        <f t="array" ref="AN65">IF(OR(AN$4=0, $G65&lt;&gt; $G$7, $E65=0), 'I&amp;E Monthly'!AN65, CHOOSE(Timeline!AN$30,$J65,$K65,$L65 )*INDEX('I&amp;E Profiles'!AN$96:AN$180,$I65))</f>
        <v>0</v>
      </c>
      <c r="AO65" s="153" cm="1">
        <f t="array" ref="AO65">IF(OR(AO$4=0, $G65&lt;&gt; $G$7, $E65=0), 'I&amp;E Monthly'!AO65, CHOOSE(Timeline!AO$30,$J65,$K65,$L65 )*INDEX('I&amp;E Profiles'!AO$96:AO$180,$I65))</f>
        <v>0</v>
      </c>
      <c r="AP65" s="153" cm="1">
        <f t="array" ref="AP65">IF(OR(AP$4=0, $G65&lt;&gt; $G$7, $E65=0), 'I&amp;E Monthly'!AP65, CHOOSE(Timeline!AP$30,$J65,$K65,$L65 )*INDEX('I&amp;E Profiles'!AP$96:AP$180,$I65))</f>
        <v>0</v>
      </c>
      <c r="AQ65" s="153" cm="1">
        <f t="array" ref="AQ65">IF(OR(AQ$4=0, $G65&lt;&gt; $G$7, $E65=0), 'I&amp;E Monthly'!AQ65, CHOOSE(Timeline!AQ$30,$J65,$K65,$L65 )*INDEX('I&amp;E Profiles'!AQ$96:AQ$180,$I65))</f>
        <v>0</v>
      </c>
      <c r="AR65" s="153" cm="1">
        <f t="array" ref="AR65">IF(OR(AR$4=0, $G65&lt;&gt; $G$7, $E65=0), 'I&amp;E Monthly'!AR65, CHOOSE(Timeline!AR$30,$J65,$K65,$L65 )*INDEX('I&amp;E Profiles'!AR$96:AR$180,$I65))</f>
        <v>0</v>
      </c>
      <c r="AS65" s="153" cm="1">
        <f t="array" ref="AS65">IF(OR(AS$4=0, $G65&lt;&gt; $G$7, $E65=0), 'I&amp;E Monthly'!AS65, CHOOSE(Timeline!AS$30,$J65,$K65,$L65 )*INDEX('I&amp;E Profiles'!AS$96:AS$180,$I65))</f>
        <v>0</v>
      </c>
      <c r="AT65" s="153" cm="1">
        <f t="array" ref="AT65">IF(OR(AT$4=0, $G65&lt;&gt; $G$7, $E65=0), 'I&amp;E Monthly'!AT65, CHOOSE(Timeline!AT$30,$J65,$K65,$L65 )*INDEX('I&amp;E Profiles'!AT$96:AT$180,$I65))</f>
        <v>0</v>
      </c>
      <c r="AU65" s="153" cm="1">
        <f t="array" ref="AU65">IF(OR(AU$4=0, $G65&lt;&gt; $G$7, $E65=0), 'I&amp;E Monthly'!AU65, CHOOSE(Timeline!AU$30,$J65,$K65,$L65 )*INDEX('I&amp;E Profiles'!AU$96:AU$180,$I65))</f>
        <v>0</v>
      </c>
      <c r="AV65" s="153" cm="1">
        <f t="array" ref="AV65">IF(OR(AV$4=0, $G65&lt;&gt; $G$7, $E65=0), 'I&amp;E Monthly'!AV65, CHOOSE(Timeline!AV$30,$J65,$K65,$L65 )*INDEX('I&amp;E Profiles'!AV$96:AV$180,$I65))</f>
        <v>0</v>
      </c>
      <c r="AW65" s="153" cm="1">
        <f t="array" ref="AW65">IF(OR(AW$4=0, $G65&lt;&gt; $G$7, $E65=0), 'I&amp;E Monthly'!AW65, CHOOSE(Timeline!AW$30,$J65,$K65,$L65 )*INDEX('I&amp;E Profiles'!AW$96:AW$180,$I65))</f>
        <v>0</v>
      </c>
      <c r="AX65" s="153" cm="1">
        <f t="array" ref="AX65">IF(OR(AX$4=0, $G65&lt;&gt; $G$7, $E65=0), 'I&amp;E Monthly'!AX65, CHOOSE(Timeline!AX$30,$J65,$K65,$L65 )*INDEX('I&amp;E Profiles'!AX$96:AX$180,$I65))</f>
        <v>0</v>
      </c>
      <c r="AY65" s="153" cm="1">
        <f t="array" ref="AY65">IF(OR(AY$4=0, $G65&lt;&gt; $G$7, $E65=0), 'I&amp;E Monthly'!AY65, CHOOSE(Timeline!AY$30,$J65,$K65,$L65 )*INDEX('I&amp;E Profiles'!AY$96:AY$180,$I65))</f>
        <v>0</v>
      </c>
      <c r="AZ65" s="153" cm="1">
        <f t="array" ref="AZ65">IF(OR(AZ$4=0, $G65&lt;&gt; $G$7, $E65=0), 'I&amp;E Monthly'!AZ65, CHOOSE(Timeline!AZ$30,$J65,$K65,$L65 )*INDEX('I&amp;E Profiles'!AZ$96:AZ$180,$I65))</f>
        <v>0</v>
      </c>
      <c r="BA65" s="153" cm="1">
        <f t="array" ref="BA65">IF(OR(BA$4=0, $G65&lt;&gt; $G$7, $E65=0), 'I&amp;E Monthly'!BA65, CHOOSE(Timeline!BA$30,$J65,$K65,$L65 )*INDEX('I&amp;E Profiles'!BA$96:BA$180,$I65))</f>
        <v>0</v>
      </c>
      <c r="BB65" s="153" cm="1">
        <f t="array" ref="BB65">IF(OR(BB$4=0, $G65&lt;&gt; $G$7, $E65=0), 'I&amp;E Monthly'!BB65, CHOOSE(Timeline!BB$30,$J65,$K65,$L65 )*INDEX('I&amp;E Profiles'!BB$96:BB$180,$I65))</f>
        <v>0</v>
      </c>
      <c r="BC65" s="153" cm="1">
        <f t="array" ref="BC65">IF(OR(BC$4=0, $G65&lt;&gt; $G$7, $E65=0), 'I&amp;E Monthly'!BC65, CHOOSE(Timeline!BC$30,$J65,$K65,$L65 )*INDEX('I&amp;E Profiles'!BC$96:BC$180,$I65))</f>
        <v>0</v>
      </c>
      <c r="BD65" s="153" cm="1">
        <f t="array" ref="BD65">IF(OR(BD$4=0, $G65&lt;&gt; $G$7, $E65=0), 'I&amp;E Monthly'!BD65, CHOOSE(Timeline!BD$30,$J65,$K65,$L65 )*INDEX('I&amp;E Profiles'!BD$96:BD$180,$I65))</f>
        <v>0</v>
      </c>
      <c r="BE65" s="153" cm="1">
        <f t="array" ref="BE65">IF(OR(BE$4=0, $G65&lt;&gt; $G$7, $E65=0), 'I&amp;E Monthly'!BE65, CHOOSE(Timeline!BE$30,$J65,$K65,$L65 )*INDEX('I&amp;E Profiles'!BE$96:BE$180,$I65))</f>
        <v>0</v>
      </c>
      <c r="BF65" s="153" cm="1">
        <f t="array" ref="BF65">IF(OR(BF$4=0, $G65&lt;&gt; $G$7, $E65=0), 'I&amp;E Monthly'!BF65, CHOOSE(Timeline!BF$30,$J65,$K65,$L65 )*INDEX('I&amp;E Profiles'!BF$96:BF$180,$I65))</f>
        <v>0</v>
      </c>
      <c r="BG65" s="153" cm="1">
        <f t="array" ref="BG65">IF(OR(BG$4=0, $G65&lt;&gt; $G$7, $E65=0), 'I&amp;E Monthly'!BG65, CHOOSE(Timeline!BG$30,$J65,$K65,$L65 )*INDEX('I&amp;E Profiles'!BG$96:BG$180,$I65))</f>
        <v>0</v>
      </c>
      <c r="BH65" s="153" cm="1">
        <f t="array" ref="BH65">IF(OR(BH$4=0, $G65&lt;&gt; $G$7, $E65=0), 'I&amp;E Monthly'!BH65, CHOOSE(Timeline!BH$30,$J65,$K65,$L65 )*INDEX('I&amp;E Profiles'!BH$96:BH$180,$I65))</f>
        <v>0</v>
      </c>
      <c r="BI65" s="153" cm="1">
        <f t="array" ref="BI65">IF(OR(BI$4=0, $G65&lt;&gt; $G$7, $E65=0), 'I&amp;E Monthly'!BI65, CHOOSE(Timeline!BI$30,$J65,$K65,$L65 )*INDEX('I&amp;E Profiles'!BI$96:BI$180,$I65))</f>
        <v>0</v>
      </c>
      <c r="BJ65" s="153" cm="1">
        <f t="array" ref="BJ65">IF(OR(BJ$4=0, $G65&lt;&gt; $G$7, $E65=0), 'I&amp;E Monthly'!BJ65, CHOOSE(Timeline!BJ$30,$J65,$K65,$L65 )*INDEX('I&amp;E Profiles'!BJ$96:BJ$180,$I65))</f>
        <v>0</v>
      </c>
      <c r="BK65" s="335"/>
      <c r="BL65" s="13">
        <f>V65</f>
        <v>0</v>
      </c>
      <c r="BM65" s="153">
        <f t="shared" si="74"/>
        <v>8</v>
      </c>
      <c r="BN65" s="153">
        <f t="shared" si="74"/>
        <v>0</v>
      </c>
      <c r="BO65" s="153">
        <f t="shared" si="74"/>
        <v>0</v>
      </c>
      <c r="BP65" s="13">
        <f>'I&amp;E Monthly'!BP65</f>
        <v>0</v>
      </c>
      <c r="BQ65" s="13">
        <f>'I&amp;E Monthly'!BQ65</f>
        <v>0</v>
      </c>
      <c r="BR65" s="13">
        <f>'I&amp;E Monthly'!BR65</f>
        <v>0</v>
      </c>
      <c r="BS65" s="13">
        <f>'I&amp;E Monthly'!BS65</f>
        <v>0</v>
      </c>
      <c r="BT65" s="13">
        <f>'I&amp;E Monthly'!BT65</f>
        <v>0</v>
      </c>
      <c r="BU65" s="13">
        <f>'I&amp;E Monthly'!BU65</f>
        <v>0</v>
      </c>
      <c r="BV65" s="13">
        <f>'I&amp;E Monthly'!BV65</f>
        <v>0</v>
      </c>
      <c r="BW65" s="13">
        <f>'I&amp;E Monthly'!BW65</f>
        <v>0</v>
      </c>
      <c r="BX65" s="335"/>
      <c r="BY65" s="12"/>
      <c r="BZ65" s="363">
        <f ca="1">IF(MIN($V65:$BW65)&lt;0, 1, 0)*$I$7</f>
        <v>0</v>
      </c>
      <c r="CA65" s="12"/>
      <c r="CB65" s="7">
        <f>IF(AND($G65=$G$7,$E65=""), 1, 0)</f>
        <v>0</v>
      </c>
      <c r="CC65" s="188" cm="1">
        <f t="array" ref="CC65">IF(E65="",0, IF(_xlfn.IFNA(INDEX('I&amp;E Profiles'!$D$96:$D$180, $I65), "N/A")="N/A", 1, 0))</f>
        <v>0</v>
      </c>
      <c r="CD65" s="7">
        <f>IF(SUM($CH65:$CJ65)=0, 0, 1)</f>
        <v>0</v>
      </c>
      <c r="CE65" s="7">
        <f>IF(SUM($CK65:$CM65)=0, 0, 1)</f>
        <v>0</v>
      </c>
      <c r="CF65" s="7">
        <f>IF(CN65=0, 0, 1)</f>
        <v>0</v>
      </c>
      <c r="CG65" s="12"/>
      <c r="CH65" s="352">
        <f t="shared" si="75"/>
        <v>0</v>
      </c>
      <c r="CI65" s="352">
        <f t="shared" si="75"/>
        <v>0</v>
      </c>
      <c r="CJ65" s="352">
        <f t="shared" si="75"/>
        <v>0</v>
      </c>
      <c r="CK65" s="352">
        <f>ROUND($BM65-SUMIFS($AA65:$BJ65, $AA$3:$BJ$3, $BM$3), rounding)</f>
        <v>0</v>
      </c>
      <c r="CL65" s="352">
        <f>ROUND($BN65-SUMIFS($AA65:$BJ65, $AA$3:$BJ$3, $BN$3), rounding)</f>
        <v>0</v>
      </c>
      <c r="CM65" s="352">
        <f>ROUND($BO65-SUMIFS($AA65:$BJ65, $AA$3:$BJ$3, $BO$3), rounding)</f>
        <v>0</v>
      </c>
      <c r="CN65" s="352">
        <f>ROUND($V65-$BL65, rounding)</f>
        <v>0</v>
      </c>
      <c r="EU65" s="335"/>
      <c r="EX65" s="10" t="str">
        <f t="shared" si="1"/>
        <v>Other European Funding</v>
      </c>
    </row>
    <row r="66" spans="1:154" s="323" customFormat="1" x14ac:dyDescent="0.25">
      <c r="A66" s="362" cm="1">
        <f t="array" aca="1" ref="A66" ca="1">HYPERLINK(CONCATENATE("#",CELL("address",IF(SUM($CA66:$CG66)=0,A66,INDEX($CA66:$CG66,MATCH(1,$CA66:$CG66,0))))),SUM($CA66:$CG66))</f>
        <v>0</v>
      </c>
      <c r="B66" s="93"/>
      <c r="C66" s="343" t="s">
        <v>856</v>
      </c>
      <c r="D66" s="194" t="s">
        <v>851</v>
      </c>
      <c r="E66" s="147"/>
      <c r="F66" s="98" t="str" cm="1">
        <f t="array" aca="1" ref="F66" ca="1">IF(E66="", "", HYPERLINK(CONCATENATE("#",CELL("address",INDEX('I&amp;E Profiles'!$D$9:$D$93,'I&amp;E Annual'!I66))),E66))</f>
        <v/>
      </c>
      <c r="G66" s="147" t="s">
        <v>211</v>
      </c>
      <c r="H66" s="323" t="s">
        <v>8</v>
      </c>
      <c r="I66" s="350" t="str">
        <f>IF(E66="", "", MATCH(E66, 'I&amp;E Profiles'!$D$96:$D$180,0))</f>
        <v/>
      </c>
      <c r="J66" s="215">
        <f>IF($G66=$G$7, W66,'I&amp;E Monthly'!W66)-SUMIFS('I&amp;E Monthly'!$AA66:$BJ66, 'I&amp;E Monthly'!$AA$3:$BJ$3, 'I&amp;E Annual'!W$3, 'I&amp;E Monthly'!$AA$4:$BJ$4, 0)</f>
        <v>0</v>
      </c>
      <c r="K66" s="215">
        <f>IF($G66=$G$7, X66,'I&amp;E Monthly'!X66)-SUMIFS('I&amp;E Monthly'!$AA66:$BJ66, 'I&amp;E Monthly'!$AA$3:$BJ$3, 'I&amp;E Annual'!X$3, 'I&amp;E Monthly'!$AA$4:$BJ$4, 0)</f>
        <v>0</v>
      </c>
      <c r="L66" s="215">
        <f>IF($G66=$G$7, Y66,'I&amp;E Monthly'!Y66)-SUMIFS('I&amp;E Monthly'!$AA66:$BJ66, 'I&amp;E Monthly'!$AA$3:$BJ$3, 'I&amp;E Annual'!Y$3, 'I&amp;E Monthly'!$AA$4:$BJ$4, 0)</f>
        <v>0</v>
      </c>
      <c r="M66" s="335"/>
      <c r="N66" s="335"/>
      <c r="O66" s="335"/>
      <c r="P66" s="335"/>
      <c r="Q66" s="2"/>
      <c r="R66" s="335"/>
      <c r="S66" s="335"/>
      <c r="T66" s="335"/>
      <c r="U66" s="335"/>
      <c r="V66" s="201">
        <f>'I&amp;E Monthly'!V66</f>
        <v>0</v>
      </c>
      <c r="W66" s="354"/>
      <c r="X66" s="198"/>
      <c r="Y66" s="198"/>
      <c r="Z66" s="335"/>
      <c r="AA66" s="153" cm="1">
        <f t="array" ref="AA66">IF(OR(AA$4=0, $G66&lt;&gt; $G$7, $E66=0), 'I&amp;E Monthly'!AA66, CHOOSE(Timeline!AA$30,$J66,$K66,$L66 )*INDEX('I&amp;E Profiles'!AA$96:AA$180,$I66))</f>
        <v>0</v>
      </c>
      <c r="AB66" s="153" cm="1">
        <f t="array" ref="AB66">IF(OR(AB$4=0, $G66&lt;&gt; $G$7, $E66=0), 'I&amp;E Monthly'!AB66, CHOOSE(Timeline!AB$30,$J66,$K66,$L66 )*INDEX('I&amp;E Profiles'!AB$96:AB$180,$I66))</f>
        <v>0</v>
      </c>
      <c r="AC66" s="153" cm="1">
        <f t="array" ref="AC66">IF(OR(AC$4=0, $G66&lt;&gt; $G$7, $E66=0), 'I&amp;E Monthly'!AC66, CHOOSE(Timeline!AC$30,$J66,$K66,$L66 )*INDEX('I&amp;E Profiles'!AC$96:AC$180,$I66))</f>
        <v>0</v>
      </c>
      <c r="AD66" s="153" cm="1">
        <f t="array" ref="AD66">IF(OR(AD$4=0, $G66&lt;&gt; $G$7, $E66=0), 'I&amp;E Monthly'!AD66, CHOOSE(Timeline!AD$30,$J66,$K66,$L66 )*INDEX('I&amp;E Profiles'!AD$96:AD$180,$I66))</f>
        <v>0</v>
      </c>
      <c r="AE66" s="153" cm="1">
        <f t="array" ref="AE66">IF(OR(AE$4=0, $G66&lt;&gt; $G$7, $E66=0), 'I&amp;E Monthly'!AE66, CHOOSE(Timeline!AE$30,$J66,$K66,$L66 )*INDEX('I&amp;E Profiles'!AE$96:AE$180,$I66))</f>
        <v>0</v>
      </c>
      <c r="AF66" s="153" cm="1">
        <f t="array" ref="AF66">IF(OR(AF$4=0, $G66&lt;&gt; $G$7, $E66=0), 'I&amp;E Monthly'!AF66, CHOOSE(Timeline!AF$30,$J66,$K66,$L66 )*INDEX('I&amp;E Profiles'!AF$96:AF$180,$I66))</f>
        <v>0</v>
      </c>
      <c r="AG66" s="153" cm="1">
        <f t="array" ref="AG66">IF(OR(AG$4=0, $G66&lt;&gt; $G$7, $E66=0), 'I&amp;E Monthly'!AG66, CHOOSE(Timeline!AG$30,$J66,$K66,$L66 )*INDEX('I&amp;E Profiles'!AG$96:AG$180,$I66))</f>
        <v>0</v>
      </c>
      <c r="AH66" s="153" cm="1">
        <f t="array" ref="AH66">IF(OR(AH$4=0, $G66&lt;&gt; $G$7, $E66=0), 'I&amp;E Monthly'!AH66, CHOOSE(Timeline!AH$30,$J66,$K66,$L66 )*INDEX('I&amp;E Profiles'!AH$96:AH$180,$I66))</f>
        <v>0</v>
      </c>
      <c r="AI66" s="153" cm="1">
        <f t="array" ref="AI66">IF(OR(AI$4=0, $G66&lt;&gt; $G$7, $E66=0), 'I&amp;E Monthly'!AI66, CHOOSE(Timeline!AI$30,$J66,$K66,$L66 )*INDEX('I&amp;E Profiles'!AI$96:AI$180,$I66))</f>
        <v>0</v>
      </c>
      <c r="AJ66" s="153" cm="1">
        <f t="array" ref="AJ66">IF(OR(AJ$4=0, $G66&lt;&gt; $G$7, $E66=0), 'I&amp;E Monthly'!AJ66, CHOOSE(Timeline!AJ$30,$J66,$K66,$L66 )*INDEX('I&amp;E Profiles'!AJ$96:AJ$180,$I66))</f>
        <v>0</v>
      </c>
      <c r="AK66" s="153" cm="1">
        <f t="array" ref="AK66">IF(OR(AK$4=0, $G66&lt;&gt; $G$7, $E66=0), 'I&amp;E Monthly'!AK66, CHOOSE(Timeline!AK$30,$J66,$K66,$L66 )*INDEX('I&amp;E Profiles'!AK$96:AK$180,$I66))</f>
        <v>0</v>
      </c>
      <c r="AL66" s="153" cm="1">
        <f t="array" ref="AL66">IF(OR(AL$4=0, $G66&lt;&gt; $G$7, $E66=0), 'I&amp;E Monthly'!AL66, CHOOSE(Timeline!AL$30,$J66,$K66,$L66 )*INDEX('I&amp;E Profiles'!AL$96:AL$180,$I66))</f>
        <v>0</v>
      </c>
      <c r="AM66" s="153" cm="1">
        <f t="array" ref="AM66">IF(OR(AM$4=0, $G66&lt;&gt; $G$7, $E66=0), 'I&amp;E Monthly'!AM66, CHOOSE(Timeline!AM$30,$J66,$K66,$L66 )*INDEX('I&amp;E Profiles'!AM$96:AM$180,$I66))</f>
        <v>0</v>
      </c>
      <c r="AN66" s="153" cm="1">
        <f t="array" ref="AN66">IF(OR(AN$4=0, $G66&lt;&gt; $G$7, $E66=0), 'I&amp;E Monthly'!AN66, CHOOSE(Timeline!AN$30,$J66,$K66,$L66 )*INDEX('I&amp;E Profiles'!AN$96:AN$180,$I66))</f>
        <v>0</v>
      </c>
      <c r="AO66" s="153" cm="1">
        <f t="array" ref="AO66">IF(OR(AO$4=0, $G66&lt;&gt; $G$7, $E66=0), 'I&amp;E Monthly'!AO66, CHOOSE(Timeline!AO$30,$J66,$K66,$L66 )*INDEX('I&amp;E Profiles'!AO$96:AO$180,$I66))</f>
        <v>0</v>
      </c>
      <c r="AP66" s="153" cm="1">
        <f t="array" ref="AP66">IF(OR(AP$4=0, $G66&lt;&gt; $G$7, $E66=0), 'I&amp;E Monthly'!AP66, CHOOSE(Timeline!AP$30,$J66,$K66,$L66 )*INDEX('I&amp;E Profiles'!AP$96:AP$180,$I66))</f>
        <v>0</v>
      </c>
      <c r="AQ66" s="153" cm="1">
        <f t="array" ref="AQ66">IF(OR(AQ$4=0, $G66&lt;&gt; $G$7, $E66=0), 'I&amp;E Monthly'!AQ66, CHOOSE(Timeline!AQ$30,$J66,$K66,$L66 )*INDEX('I&amp;E Profiles'!AQ$96:AQ$180,$I66))</f>
        <v>0</v>
      </c>
      <c r="AR66" s="153" cm="1">
        <f t="array" ref="AR66">IF(OR(AR$4=0, $G66&lt;&gt; $G$7, $E66=0), 'I&amp;E Monthly'!AR66, CHOOSE(Timeline!AR$30,$J66,$K66,$L66 )*INDEX('I&amp;E Profiles'!AR$96:AR$180,$I66))</f>
        <v>0</v>
      </c>
      <c r="AS66" s="153" cm="1">
        <f t="array" ref="AS66">IF(OR(AS$4=0, $G66&lt;&gt; $G$7, $E66=0), 'I&amp;E Monthly'!AS66, CHOOSE(Timeline!AS$30,$J66,$K66,$L66 )*INDEX('I&amp;E Profiles'!AS$96:AS$180,$I66))</f>
        <v>0</v>
      </c>
      <c r="AT66" s="153" cm="1">
        <f t="array" ref="AT66">IF(OR(AT$4=0, $G66&lt;&gt; $G$7, $E66=0), 'I&amp;E Monthly'!AT66, CHOOSE(Timeline!AT$30,$J66,$K66,$L66 )*INDEX('I&amp;E Profiles'!AT$96:AT$180,$I66))</f>
        <v>0</v>
      </c>
      <c r="AU66" s="153" cm="1">
        <f t="array" ref="AU66">IF(OR(AU$4=0, $G66&lt;&gt; $G$7, $E66=0), 'I&amp;E Monthly'!AU66, CHOOSE(Timeline!AU$30,$J66,$K66,$L66 )*INDEX('I&amp;E Profiles'!AU$96:AU$180,$I66))</f>
        <v>0</v>
      </c>
      <c r="AV66" s="153" cm="1">
        <f t="array" ref="AV66">IF(OR(AV$4=0, $G66&lt;&gt; $G$7, $E66=0), 'I&amp;E Monthly'!AV66, CHOOSE(Timeline!AV$30,$J66,$K66,$L66 )*INDEX('I&amp;E Profiles'!AV$96:AV$180,$I66))</f>
        <v>0</v>
      </c>
      <c r="AW66" s="153" cm="1">
        <f t="array" ref="AW66">IF(OR(AW$4=0, $G66&lt;&gt; $G$7, $E66=0), 'I&amp;E Monthly'!AW66, CHOOSE(Timeline!AW$30,$J66,$K66,$L66 )*INDEX('I&amp;E Profiles'!AW$96:AW$180,$I66))</f>
        <v>0</v>
      </c>
      <c r="AX66" s="153" cm="1">
        <f t="array" ref="AX66">IF(OR(AX$4=0, $G66&lt;&gt; $G$7, $E66=0), 'I&amp;E Monthly'!AX66, CHOOSE(Timeline!AX$30,$J66,$K66,$L66 )*INDEX('I&amp;E Profiles'!AX$96:AX$180,$I66))</f>
        <v>0</v>
      </c>
      <c r="AY66" s="153" cm="1">
        <f t="array" ref="AY66">IF(OR(AY$4=0, $G66&lt;&gt; $G$7, $E66=0), 'I&amp;E Monthly'!AY66, CHOOSE(Timeline!AY$30,$J66,$K66,$L66 )*INDEX('I&amp;E Profiles'!AY$96:AY$180,$I66))</f>
        <v>0</v>
      </c>
      <c r="AZ66" s="153" cm="1">
        <f t="array" ref="AZ66">IF(OR(AZ$4=0, $G66&lt;&gt; $G$7, $E66=0), 'I&amp;E Monthly'!AZ66, CHOOSE(Timeline!AZ$30,$J66,$K66,$L66 )*INDEX('I&amp;E Profiles'!AZ$96:AZ$180,$I66))</f>
        <v>0</v>
      </c>
      <c r="BA66" s="153" cm="1">
        <f t="array" ref="BA66">IF(OR(BA$4=0, $G66&lt;&gt; $G$7, $E66=0), 'I&amp;E Monthly'!BA66, CHOOSE(Timeline!BA$30,$J66,$K66,$L66 )*INDEX('I&amp;E Profiles'!BA$96:BA$180,$I66))</f>
        <v>0</v>
      </c>
      <c r="BB66" s="153" cm="1">
        <f t="array" ref="BB66">IF(OR(BB$4=0, $G66&lt;&gt; $G$7, $E66=0), 'I&amp;E Monthly'!BB66, CHOOSE(Timeline!BB$30,$J66,$K66,$L66 )*INDEX('I&amp;E Profiles'!BB$96:BB$180,$I66))</f>
        <v>0</v>
      </c>
      <c r="BC66" s="153" cm="1">
        <f t="array" ref="BC66">IF(OR(BC$4=0, $G66&lt;&gt; $G$7, $E66=0), 'I&amp;E Monthly'!BC66, CHOOSE(Timeline!BC$30,$J66,$K66,$L66 )*INDEX('I&amp;E Profiles'!BC$96:BC$180,$I66))</f>
        <v>0</v>
      </c>
      <c r="BD66" s="153" cm="1">
        <f t="array" ref="BD66">IF(OR(BD$4=0, $G66&lt;&gt; $G$7, $E66=0), 'I&amp;E Monthly'!BD66, CHOOSE(Timeline!BD$30,$J66,$K66,$L66 )*INDEX('I&amp;E Profiles'!BD$96:BD$180,$I66))</f>
        <v>0</v>
      </c>
      <c r="BE66" s="153" cm="1">
        <f t="array" ref="BE66">IF(OR(BE$4=0, $G66&lt;&gt; $G$7, $E66=0), 'I&amp;E Monthly'!BE66, CHOOSE(Timeline!BE$30,$J66,$K66,$L66 )*INDEX('I&amp;E Profiles'!BE$96:BE$180,$I66))</f>
        <v>0</v>
      </c>
      <c r="BF66" s="153" cm="1">
        <f t="array" ref="BF66">IF(OR(BF$4=0, $G66&lt;&gt; $G$7, $E66=0), 'I&amp;E Monthly'!BF66, CHOOSE(Timeline!BF$30,$J66,$K66,$L66 )*INDEX('I&amp;E Profiles'!BF$96:BF$180,$I66))</f>
        <v>0</v>
      </c>
      <c r="BG66" s="153" cm="1">
        <f t="array" ref="BG66">IF(OR(BG$4=0, $G66&lt;&gt; $G$7, $E66=0), 'I&amp;E Monthly'!BG66, CHOOSE(Timeline!BG$30,$J66,$K66,$L66 )*INDEX('I&amp;E Profiles'!BG$96:BG$180,$I66))</f>
        <v>0</v>
      </c>
      <c r="BH66" s="153" cm="1">
        <f t="array" ref="BH66">IF(OR(BH$4=0, $G66&lt;&gt; $G$7, $E66=0), 'I&amp;E Monthly'!BH66, CHOOSE(Timeline!BH$30,$J66,$K66,$L66 )*INDEX('I&amp;E Profiles'!BH$96:BH$180,$I66))</f>
        <v>0</v>
      </c>
      <c r="BI66" s="153" cm="1">
        <f t="array" ref="BI66">IF(OR(BI$4=0, $G66&lt;&gt; $G$7, $E66=0), 'I&amp;E Monthly'!BI66, CHOOSE(Timeline!BI$30,$J66,$K66,$L66 )*INDEX('I&amp;E Profiles'!BI$96:BI$180,$I66))</f>
        <v>0</v>
      </c>
      <c r="BJ66" s="153" cm="1">
        <f t="array" ref="BJ66">IF(OR(BJ$4=0, $G66&lt;&gt; $G$7, $E66=0), 'I&amp;E Monthly'!BJ66, CHOOSE(Timeline!BJ$30,$J66,$K66,$L66 )*INDEX('I&amp;E Profiles'!BJ$96:BJ$180,$I66))</f>
        <v>0</v>
      </c>
      <c r="BK66" s="335"/>
      <c r="BL66" s="13">
        <f>V66</f>
        <v>0</v>
      </c>
      <c r="BM66" s="153">
        <f t="shared" si="74"/>
        <v>0</v>
      </c>
      <c r="BN66" s="153">
        <f t="shared" si="74"/>
        <v>0</v>
      </c>
      <c r="BO66" s="153">
        <f t="shared" si="74"/>
        <v>0</v>
      </c>
      <c r="BP66" s="13">
        <f>'I&amp;E Monthly'!BP66</f>
        <v>0</v>
      </c>
      <c r="BQ66" s="13">
        <f>'I&amp;E Monthly'!BQ66</f>
        <v>0</v>
      </c>
      <c r="BR66" s="13">
        <f>'I&amp;E Monthly'!BR66</f>
        <v>0</v>
      </c>
      <c r="BS66" s="13">
        <f>'I&amp;E Monthly'!BS66</f>
        <v>0</v>
      </c>
      <c r="BT66" s="13">
        <f>'I&amp;E Monthly'!BT66</f>
        <v>0</v>
      </c>
      <c r="BU66" s="13">
        <f>'I&amp;E Monthly'!BU66</f>
        <v>0</v>
      </c>
      <c r="BV66" s="13">
        <f>'I&amp;E Monthly'!BV66</f>
        <v>0</v>
      </c>
      <c r="BW66" s="13">
        <f>'I&amp;E Monthly'!BW66</f>
        <v>0</v>
      </c>
      <c r="BX66" s="335"/>
      <c r="BY66" s="12"/>
      <c r="BZ66" s="363">
        <f ca="1">IF(MIN($V66:$BW66)&lt;0, 1, 0)*$I$7</f>
        <v>0</v>
      </c>
      <c r="CA66" s="12"/>
      <c r="CB66" s="7">
        <f>IF(AND($G66=$G$7,$E66=""), 1, 0)</f>
        <v>0</v>
      </c>
      <c r="CC66" s="188" cm="1">
        <f t="array" ref="CC66">IF(E66="",0, IF(_xlfn.IFNA(INDEX('I&amp;E Profiles'!$D$96:$D$180, $I66), "N/A")="N/A", 1, 0))</f>
        <v>0</v>
      </c>
      <c r="CD66" s="7">
        <f>IF(SUM($CH66:$CJ66)=0, 0, 1)</f>
        <v>0</v>
      </c>
      <c r="CE66" s="7">
        <f>IF(SUM($CK66:$CM66)=0, 0, 1)</f>
        <v>0</v>
      </c>
      <c r="CF66" s="7">
        <f>IF(CN66=0, 0, 1)</f>
        <v>0</v>
      </c>
      <c r="CG66" s="12"/>
      <c r="CH66" s="352">
        <f t="shared" si="75"/>
        <v>0</v>
      </c>
      <c r="CI66" s="352">
        <f t="shared" si="75"/>
        <v>0</v>
      </c>
      <c r="CJ66" s="352">
        <f t="shared" si="75"/>
        <v>0</v>
      </c>
      <c r="CK66" s="352">
        <f>ROUND($BM66-SUMIFS($AA66:$BJ66, $AA$3:$BJ$3, $BM$3), rounding)</f>
        <v>0</v>
      </c>
      <c r="CL66" s="352">
        <f>ROUND($BN66-SUMIFS($AA66:$BJ66, $AA$3:$BJ$3, $BN$3), rounding)</f>
        <v>0</v>
      </c>
      <c r="CM66" s="352">
        <f>ROUND($BO66-SUMIFS($AA66:$BJ66, $AA$3:$BJ$3, $BO$3), rounding)</f>
        <v>0</v>
      </c>
      <c r="CN66" s="352">
        <f>ROUND($V66-$BL66, rounding)</f>
        <v>0</v>
      </c>
      <c r="EU66" s="335"/>
      <c r="EX66" s="10" t="str">
        <f t="shared" si="1"/>
        <v>Subcontracted in - European Funding</v>
      </c>
    </row>
    <row r="67" spans="1:154" s="323" customFormat="1" x14ac:dyDescent="0.25">
      <c r="A67" s="362" cm="1">
        <f t="array" aca="1" ref="A67" ca="1">HYPERLINK(CONCATENATE("#",CELL("address",IF(SUM($CA67:$CG67)=0,A67,INDEX($CA67:$CG67,MATCH(1,$CA67:$CG67,0))))),SUM($CA67:$CG67))</f>
        <v>0</v>
      </c>
      <c r="B67" s="93"/>
      <c r="C67" s="343" t="s">
        <v>857</v>
      </c>
      <c r="D67" s="432" t="s">
        <v>852</v>
      </c>
      <c r="E67" s="25"/>
      <c r="F67" s="25"/>
      <c r="G67" s="25"/>
      <c r="H67" s="323" t="s">
        <v>8</v>
      </c>
      <c r="I67" s="25"/>
      <c r="J67" s="25"/>
      <c r="Q67" s="2"/>
      <c r="R67" s="335"/>
      <c r="T67" s="335"/>
      <c r="U67" s="335"/>
      <c r="V67" s="13">
        <f>SUM(V64:V66)</f>
        <v>0</v>
      </c>
      <c r="W67" s="13">
        <f>SUM(W64:W66)</f>
        <v>0</v>
      </c>
      <c r="X67" s="13">
        <f>SUM(X64:X66)</f>
        <v>0</v>
      </c>
      <c r="Y67" s="13">
        <f>SUM(Y64:Y66)</f>
        <v>0</v>
      </c>
      <c r="AA67" s="13">
        <f t="shared" ref="AA67:BJ67" si="76">SUM(AA64:AA66)</f>
        <v>0</v>
      </c>
      <c r="AB67" s="13">
        <f t="shared" si="76"/>
        <v>0</v>
      </c>
      <c r="AC67" s="13">
        <f t="shared" si="76"/>
        <v>0</v>
      </c>
      <c r="AD67" s="13">
        <f t="shared" si="76"/>
        <v>0</v>
      </c>
      <c r="AE67" s="13">
        <f t="shared" si="76"/>
        <v>0</v>
      </c>
      <c r="AF67" s="13">
        <f t="shared" si="76"/>
        <v>0</v>
      </c>
      <c r="AG67" s="13">
        <f t="shared" si="76"/>
        <v>8</v>
      </c>
      <c r="AH67" s="13">
        <f t="shared" si="76"/>
        <v>0</v>
      </c>
      <c r="AI67" s="13">
        <f t="shared" si="76"/>
        <v>0</v>
      </c>
      <c r="AJ67" s="13">
        <f t="shared" si="76"/>
        <v>0</v>
      </c>
      <c r="AK67" s="13">
        <f t="shared" si="76"/>
        <v>0</v>
      </c>
      <c r="AL67" s="13">
        <f t="shared" si="76"/>
        <v>0</v>
      </c>
      <c r="AM67" s="13">
        <f t="shared" si="76"/>
        <v>0</v>
      </c>
      <c r="AN67" s="13">
        <f t="shared" si="76"/>
        <v>0</v>
      </c>
      <c r="AO67" s="13">
        <f t="shared" si="76"/>
        <v>0</v>
      </c>
      <c r="AP67" s="13">
        <f t="shared" si="76"/>
        <v>0</v>
      </c>
      <c r="AQ67" s="13">
        <f t="shared" si="76"/>
        <v>0</v>
      </c>
      <c r="AR67" s="13">
        <f t="shared" si="76"/>
        <v>0</v>
      </c>
      <c r="AS67" s="13">
        <f t="shared" si="76"/>
        <v>0</v>
      </c>
      <c r="AT67" s="13">
        <f t="shared" si="76"/>
        <v>0</v>
      </c>
      <c r="AU67" s="13">
        <f t="shared" si="76"/>
        <v>0</v>
      </c>
      <c r="AV67" s="13">
        <f t="shared" si="76"/>
        <v>0</v>
      </c>
      <c r="AW67" s="13">
        <f t="shared" si="76"/>
        <v>0</v>
      </c>
      <c r="AX67" s="13">
        <f t="shared" si="76"/>
        <v>0</v>
      </c>
      <c r="AY67" s="13">
        <f t="shared" si="76"/>
        <v>0</v>
      </c>
      <c r="AZ67" s="13">
        <f t="shared" si="76"/>
        <v>0</v>
      </c>
      <c r="BA67" s="13">
        <f t="shared" si="76"/>
        <v>0</v>
      </c>
      <c r="BB67" s="13">
        <f t="shared" si="76"/>
        <v>0</v>
      </c>
      <c r="BC67" s="13">
        <f t="shared" si="76"/>
        <v>0</v>
      </c>
      <c r="BD67" s="13">
        <f t="shared" si="76"/>
        <v>0</v>
      </c>
      <c r="BE67" s="13">
        <f t="shared" si="76"/>
        <v>0</v>
      </c>
      <c r="BF67" s="13">
        <f t="shared" si="76"/>
        <v>0</v>
      </c>
      <c r="BG67" s="13">
        <f t="shared" si="76"/>
        <v>0</v>
      </c>
      <c r="BH67" s="13">
        <f t="shared" si="76"/>
        <v>0</v>
      </c>
      <c r="BI67" s="13">
        <f t="shared" si="76"/>
        <v>0</v>
      </c>
      <c r="BJ67" s="13">
        <f t="shared" si="76"/>
        <v>0</v>
      </c>
      <c r="BL67" s="13">
        <f t="shared" ref="BL67:BW67" si="77">SUM(BL64:BL66)</f>
        <v>0</v>
      </c>
      <c r="BM67" s="13">
        <f t="shared" si="77"/>
        <v>8</v>
      </c>
      <c r="BN67" s="13">
        <f t="shared" si="77"/>
        <v>0</v>
      </c>
      <c r="BO67" s="13">
        <f t="shared" si="77"/>
        <v>0</v>
      </c>
      <c r="BP67" s="13">
        <f t="shared" si="77"/>
        <v>0</v>
      </c>
      <c r="BQ67" s="13">
        <f t="shared" si="77"/>
        <v>0</v>
      </c>
      <c r="BR67" s="13">
        <f t="shared" si="77"/>
        <v>0</v>
      </c>
      <c r="BS67" s="13">
        <f t="shared" si="77"/>
        <v>0</v>
      </c>
      <c r="BT67" s="13">
        <f t="shared" si="77"/>
        <v>0</v>
      </c>
      <c r="BU67" s="13">
        <f t="shared" si="77"/>
        <v>0</v>
      </c>
      <c r="BV67" s="13">
        <f t="shared" si="77"/>
        <v>0</v>
      </c>
      <c r="BW67" s="13">
        <f t="shared" si="77"/>
        <v>0</v>
      </c>
      <c r="BY67" s="12"/>
      <c r="BZ67" s="363">
        <f ca="1">IF(MIN($V67:$BW67)&lt;0, 1, 0)*$I$7</f>
        <v>0</v>
      </c>
      <c r="CA67" s="12"/>
      <c r="CB67" s="335"/>
      <c r="CC67" s="335"/>
      <c r="CD67" s="7">
        <f>IF(SUM($CH67:$CJ67)=0, 0, 1)</f>
        <v>0</v>
      </c>
      <c r="CE67" s="7">
        <f>IF(SUM($CK67:$CM67)=0, 0, 1)</f>
        <v>0</v>
      </c>
      <c r="CF67" s="7">
        <f>IF(CN67=0, 0, 1)</f>
        <v>0</v>
      </c>
      <c r="CG67" s="12"/>
      <c r="CH67" s="352">
        <f t="shared" si="75"/>
        <v>0</v>
      </c>
      <c r="CI67" s="352">
        <f t="shared" si="75"/>
        <v>0</v>
      </c>
      <c r="CJ67" s="352">
        <f t="shared" si="75"/>
        <v>0</v>
      </c>
      <c r="CK67" s="352">
        <f>ROUND($BM67-SUMIFS($AA67:$BJ67, $AA$3:$BJ$3, $BM$3), rounding)</f>
        <v>0</v>
      </c>
      <c r="CL67" s="352">
        <f>ROUND($BN67-SUMIFS($AA67:$BJ67, $AA$3:$BJ$3, $BN$3), rounding)</f>
        <v>0</v>
      </c>
      <c r="CM67" s="352">
        <f>ROUND($BO67-SUMIFS($AA67:$BJ67, $AA$3:$BJ$3, $BO$3), rounding)</f>
        <v>0</v>
      </c>
      <c r="CN67" s="352">
        <f>ROUND($V67-$BL67, rounding)</f>
        <v>0</v>
      </c>
      <c r="EU67" s="335"/>
      <c r="EX67" s="10" t="str">
        <f t="shared" si="1"/>
        <v>Total European Funding</v>
      </c>
    </row>
    <row r="68" spans="1:154" s="323" customFormat="1" ht="30" x14ac:dyDescent="0.25">
      <c r="A68" s="362" cm="1">
        <f t="array" aca="1" ref="A68" ca="1">HYPERLINK(CONCATENATE("#",CELL("address",IF(SUM($CA68:$CG68)=0,A68,INDEX($CA68:$CG68,MATCH(1,$CA68:$CG68,0))))),SUM($CA68:$CG68))</f>
        <v>0</v>
      </c>
      <c r="B68" s="93"/>
      <c r="C68" s="343" t="s">
        <v>858</v>
      </c>
      <c r="D68" s="194" t="s">
        <v>853</v>
      </c>
      <c r="E68" s="147"/>
      <c r="F68" s="98" t="str" cm="1">
        <f t="array" aca="1" ref="F68" ca="1">IF(E68="", "", HYPERLINK(CONCATENATE("#",CELL("address",INDEX('I&amp;E Profiles'!$D$9:$D$93,'I&amp;E Annual'!I68))),E68))</f>
        <v/>
      </c>
      <c r="G68" s="147" t="s">
        <v>211</v>
      </c>
      <c r="H68" s="323" t="s">
        <v>8</v>
      </c>
      <c r="I68" s="350" t="str">
        <f>IF(E68="", "", MATCH(E68, 'I&amp;E Profiles'!$D$96:$D$180,0))</f>
        <v/>
      </c>
      <c r="J68" s="215">
        <f>IF($G68=$G$7, W68,'I&amp;E Monthly'!W68)-SUMIFS('I&amp;E Monthly'!$AA68:$BJ68, 'I&amp;E Monthly'!$AA$3:$BJ$3, 'I&amp;E Annual'!W$3, 'I&amp;E Monthly'!$AA$4:$BJ$4, 0)</f>
        <v>0</v>
      </c>
      <c r="K68" s="215">
        <f>IF($G68=$G$7, X68,'I&amp;E Monthly'!X68)-SUMIFS('I&amp;E Monthly'!$AA68:$BJ68, 'I&amp;E Monthly'!$AA$3:$BJ$3, 'I&amp;E Annual'!X$3, 'I&amp;E Monthly'!$AA$4:$BJ$4, 0)</f>
        <v>0</v>
      </c>
      <c r="L68" s="215">
        <f>IF($G68=$G$7, Y68,'I&amp;E Monthly'!Y68)-SUMIFS('I&amp;E Monthly'!$AA68:$BJ68, 'I&amp;E Monthly'!$AA$3:$BJ$3, 'I&amp;E Annual'!Y$3, 'I&amp;E Monthly'!$AA$4:$BJ$4, 0)</f>
        <v>0</v>
      </c>
      <c r="M68" s="335"/>
      <c r="N68" s="335"/>
      <c r="O68" s="335"/>
      <c r="P68" s="335"/>
      <c r="Q68" s="2"/>
      <c r="R68" s="335"/>
      <c r="S68" s="335"/>
      <c r="T68" s="335"/>
      <c r="U68" s="335"/>
      <c r="V68" s="215">
        <f>'I&amp;E Monthly'!V68</f>
        <v>0</v>
      </c>
      <c r="W68" s="147"/>
      <c r="X68" s="227"/>
      <c r="Y68" s="227"/>
      <c r="Z68" s="335"/>
      <c r="AA68" s="153" cm="1">
        <f t="array" ref="AA68">IF(OR(AA$4=0, $G68&lt;&gt; $G$7, $E68=0), 'I&amp;E Monthly'!AA68, CHOOSE(Timeline!AA$30,$J68,$K68,$L68 )*INDEX('I&amp;E Profiles'!AA$96:AA$180,$I68))</f>
        <v>0</v>
      </c>
      <c r="AB68" s="153" cm="1">
        <f t="array" ref="AB68">IF(OR(AB$4=0, $G68&lt;&gt; $G$7, $E68=0), 'I&amp;E Monthly'!AB68, CHOOSE(Timeline!AB$30,$J68,$K68,$L68 )*INDEX('I&amp;E Profiles'!AB$96:AB$180,$I68))</f>
        <v>0</v>
      </c>
      <c r="AC68" s="153" cm="1">
        <f t="array" ref="AC68">IF(OR(AC$4=0, $G68&lt;&gt; $G$7, $E68=0), 'I&amp;E Monthly'!AC68, CHOOSE(Timeline!AC$30,$J68,$K68,$L68 )*INDEX('I&amp;E Profiles'!AC$96:AC$180,$I68))</f>
        <v>0</v>
      </c>
      <c r="AD68" s="153" cm="1">
        <f t="array" ref="AD68">IF(OR(AD$4=0, $G68&lt;&gt; $G$7, $E68=0), 'I&amp;E Monthly'!AD68, CHOOSE(Timeline!AD$30,$J68,$K68,$L68 )*INDEX('I&amp;E Profiles'!AD$96:AD$180,$I68))</f>
        <v>0</v>
      </c>
      <c r="AE68" s="153" cm="1">
        <f t="array" ref="AE68">IF(OR(AE$4=0, $G68&lt;&gt; $G$7, $E68=0), 'I&amp;E Monthly'!AE68, CHOOSE(Timeline!AE$30,$J68,$K68,$L68 )*INDEX('I&amp;E Profiles'!AE$96:AE$180,$I68))</f>
        <v>0</v>
      </c>
      <c r="AF68" s="153" cm="1">
        <f t="array" ref="AF68">IF(OR(AF$4=0, $G68&lt;&gt; $G$7, $E68=0), 'I&amp;E Monthly'!AF68, CHOOSE(Timeline!AF$30,$J68,$K68,$L68 )*INDEX('I&amp;E Profiles'!AF$96:AF$180,$I68))</f>
        <v>0</v>
      </c>
      <c r="AG68" s="153" cm="1">
        <f t="array" ref="AG68">IF(OR(AG$4=0, $G68&lt;&gt; $G$7, $E68=0), 'I&amp;E Monthly'!AG68, CHOOSE(Timeline!AG$30,$J68,$K68,$L68 )*INDEX('I&amp;E Profiles'!AG$96:AG$180,$I68))</f>
        <v>0</v>
      </c>
      <c r="AH68" s="153" cm="1">
        <f t="array" ref="AH68">IF(OR(AH$4=0, $G68&lt;&gt; $G$7, $E68=0), 'I&amp;E Monthly'!AH68, CHOOSE(Timeline!AH$30,$J68,$K68,$L68 )*INDEX('I&amp;E Profiles'!AH$96:AH$180,$I68))</f>
        <v>0</v>
      </c>
      <c r="AI68" s="153" cm="1">
        <f t="array" ref="AI68">IF(OR(AI$4=0, $G68&lt;&gt; $G$7, $E68=0), 'I&amp;E Monthly'!AI68, CHOOSE(Timeline!AI$30,$J68,$K68,$L68 )*INDEX('I&amp;E Profiles'!AI$96:AI$180,$I68))</f>
        <v>0</v>
      </c>
      <c r="AJ68" s="153" cm="1">
        <f t="array" ref="AJ68">IF(OR(AJ$4=0, $G68&lt;&gt; $G$7, $E68=0), 'I&amp;E Monthly'!AJ68, CHOOSE(Timeline!AJ$30,$J68,$K68,$L68 )*INDEX('I&amp;E Profiles'!AJ$96:AJ$180,$I68))</f>
        <v>0</v>
      </c>
      <c r="AK68" s="153" cm="1">
        <f t="array" ref="AK68">IF(OR(AK$4=0, $G68&lt;&gt; $G$7, $E68=0), 'I&amp;E Monthly'!AK68, CHOOSE(Timeline!AK$30,$J68,$K68,$L68 )*INDEX('I&amp;E Profiles'!AK$96:AK$180,$I68))</f>
        <v>0</v>
      </c>
      <c r="AL68" s="153" cm="1">
        <f t="array" ref="AL68">IF(OR(AL$4=0, $G68&lt;&gt; $G$7, $E68=0), 'I&amp;E Monthly'!AL68, CHOOSE(Timeline!AL$30,$J68,$K68,$L68 )*INDEX('I&amp;E Profiles'!AL$96:AL$180,$I68))</f>
        <v>0</v>
      </c>
      <c r="AM68" s="153" cm="1">
        <f t="array" ref="AM68">IF(OR(AM$4=0, $G68&lt;&gt; $G$7, $E68=0), 'I&amp;E Monthly'!AM68, CHOOSE(Timeline!AM$30,$J68,$K68,$L68 )*INDEX('I&amp;E Profiles'!AM$96:AM$180,$I68))</f>
        <v>0</v>
      </c>
      <c r="AN68" s="153" cm="1">
        <f t="array" ref="AN68">IF(OR(AN$4=0, $G68&lt;&gt; $G$7, $E68=0), 'I&amp;E Monthly'!AN68, CHOOSE(Timeline!AN$30,$J68,$K68,$L68 )*INDEX('I&amp;E Profiles'!AN$96:AN$180,$I68))</f>
        <v>0</v>
      </c>
      <c r="AO68" s="153" cm="1">
        <f t="array" ref="AO68">IF(OR(AO$4=0, $G68&lt;&gt; $G$7, $E68=0), 'I&amp;E Monthly'!AO68, CHOOSE(Timeline!AO$30,$J68,$K68,$L68 )*INDEX('I&amp;E Profiles'!AO$96:AO$180,$I68))</f>
        <v>0</v>
      </c>
      <c r="AP68" s="153" cm="1">
        <f t="array" ref="AP68">IF(OR(AP$4=0, $G68&lt;&gt; $G$7, $E68=0), 'I&amp;E Monthly'!AP68, CHOOSE(Timeline!AP$30,$J68,$K68,$L68 )*INDEX('I&amp;E Profiles'!AP$96:AP$180,$I68))</f>
        <v>0</v>
      </c>
      <c r="AQ68" s="153" cm="1">
        <f t="array" ref="AQ68">IF(OR(AQ$4=0, $G68&lt;&gt; $G$7, $E68=0), 'I&amp;E Monthly'!AQ68, CHOOSE(Timeline!AQ$30,$J68,$K68,$L68 )*INDEX('I&amp;E Profiles'!AQ$96:AQ$180,$I68))</f>
        <v>0</v>
      </c>
      <c r="AR68" s="153" cm="1">
        <f t="array" ref="AR68">IF(OR(AR$4=0, $G68&lt;&gt; $G$7, $E68=0), 'I&amp;E Monthly'!AR68, CHOOSE(Timeline!AR$30,$J68,$K68,$L68 )*INDEX('I&amp;E Profiles'!AR$96:AR$180,$I68))</f>
        <v>0</v>
      </c>
      <c r="AS68" s="153" cm="1">
        <f t="array" ref="AS68">IF(OR(AS$4=0, $G68&lt;&gt; $G$7, $E68=0), 'I&amp;E Monthly'!AS68, CHOOSE(Timeline!AS$30,$J68,$K68,$L68 )*INDEX('I&amp;E Profiles'!AS$96:AS$180,$I68))</f>
        <v>0</v>
      </c>
      <c r="AT68" s="153" cm="1">
        <f t="array" ref="AT68">IF(OR(AT$4=0, $G68&lt;&gt; $G$7, $E68=0), 'I&amp;E Monthly'!AT68, CHOOSE(Timeline!AT$30,$J68,$K68,$L68 )*INDEX('I&amp;E Profiles'!AT$96:AT$180,$I68))</f>
        <v>0</v>
      </c>
      <c r="AU68" s="153" cm="1">
        <f t="array" ref="AU68">IF(OR(AU$4=0, $G68&lt;&gt; $G$7, $E68=0), 'I&amp;E Monthly'!AU68, CHOOSE(Timeline!AU$30,$J68,$K68,$L68 )*INDEX('I&amp;E Profiles'!AU$96:AU$180,$I68))</f>
        <v>0</v>
      </c>
      <c r="AV68" s="153" cm="1">
        <f t="array" ref="AV68">IF(OR(AV$4=0, $G68&lt;&gt; $G$7, $E68=0), 'I&amp;E Monthly'!AV68, CHOOSE(Timeline!AV$30,$J68,$K68,$L68 )*INDEX('I&amp;E Profiles'!AV$96:AV$180,$I68))</f>
        <v>0</v>
      </c>
      <c r="AW68" s="153" cm="1">
        <f t="array" ref="AW68">IF(OR(AW$4=0, $G68&lt;&gt; $G$7, $E68=0), 'I&amp;E Monthly'!AW68, CHOOSE(Timeline!AW$30,$J68,$K68,$L68 )*INDEX('I&amp;E Profiles'!AW$96:AW$180,$I68))</f>
        <v>0</v>
      </c>
      <c r="AX68" s="153" cm="1">
        <f t="array" ref="AX68">IF(OR(AX$4=0, $G68&lt;&gt; $G$7, $E68=0), 'I&amp;E Monthly'!AX68, CHOOSE(Timeline!AX$30,$J68,$K68,$L68 )*INDEX('I&amp;E Profiles'!AX$96:AX$180,$I68))</f>
        <v>0</v>
      </c>
      <c r="AY68" s="153" cm="1">
        <f t="array" ref="AY68">IF(OR(AY$4=0, $G68&lt;&gt; $G$7, $E68=0), 'I&amp;E Monthly'!AY68, CHOOSE(Timeline!AY$30,$J68,$K68,$L68 )*INDEX('I&amp;E Profiles'!AY$96:AY$180,$I68))</f>
        <v>0</v>
      </c>
      <c r="AZ68" s="153" cm="1">
        <f t="array" ref="AZ68">IF(OR(AZ$4=0, $G68&lt;&gt; $G$7, $E68=0), 'I&amp;E Monthly'!AZ68, CHOOSE(Timeline!AZ$30,$J68,$K68,$L68 )*INDEX('I&amp;E Profiles'!AZ$96:AZ$180,$I68))</f>
        <v>0</v>
      </c>
      <c r="BA68" s="153" cm="1">
        <f t="array" ref="BA68">IF(OR(BA$4=0, $G68&lt;&gt; $G$7, $E68=0), 'I&amp;E Monthly'!BA68, CHOOSE(Timeline!BA$30,$J68,$K68,$L68 )*INDEX('I&amp;E Profiles'!BA$96:BA$180,$I68))</f>
        <v>0</v>
      </c>
      <c r="BB68" s="153" cm="1">
        <f t="array" ref="BB68">IF(OR(BB$4=0, $G68&lt;&gt; $G$7, $E68=0), 'I&amp;E Monthly'!BB68, CHOOSE(Timeline!BB$30,$J68,$K68,$L68 )*INDEX('I&amp;E Profiles'!BB$96:BB$180,$I68))</f>
        <v>0</v>
      </c>
      <c r="BC68" s="153" cm="1">
        <f t="array" ref="BC68">IF(OR(BC$4=0, $G68&lt;&gt; $G$7, $E68=0), 'I&amp;E Monthly'!BC68, CHOOSE(Timeline!BC$30,$J68,$K68,$L68 )*INDEX('I&amp;E Profiles'!BC$96:BC$180,$I68))</f>
        <v>0</v>
      </c>
      <c r="BD68" s="153" cm="1">
        <f t="array" ref="BD68">IF(OR(BD$4=0, $G68&lt;&gt; $G$7, $E68=0), 'I&amp;E Monthly'!BD68, CHOOSE(Timeline!BD$30,$J68,$K68,$L68 )*INDEX('I&amp;E Profiles'!BD$96:BD$180,$I68))</f>
        <v>0</v>
      </c>
      <c r="BE68" s="153" cm="1">
        <f t="array" ref="BE68">IF(OR(BE$4=0, $G68&lt;&gt; $G$7, $E68=0), 'I&amp;E Monthly'!BE68, CHOOSE(Timeline!BE$30,$J68,$K68,$L68 )*INDEX('I&amp;E Profiles'!BE$96:BE$180,$I68))</f>
        <v>0</v>
      </c>
      <c r="BF68" s="153" cm="1">
        <f t="array" ref="BF68">IF(OR(BF$4=0, $G68&lt;&gt; $G$7, $E68=0), 'I&amp;E Monthly'!BF68, CHOOSE(Timeline!BF$30,$J68,$K68,$L68 )*INDEX('I&amp;E Profiles'!BF$96:BF$180,$I68))</f>
        <v>0</v>
      </c>
      <c r="BG68" s="153" cm="1">
        <f t="array" ref="BG68">IF(OR(BG$4=0, $G68&lt;&gt; $G$7, $E68=0), 'I&amp;E Monthly'!BG68, CHOOSE(Timeline!BG$30,$J68,$K68,$L68 )*INDEX('I&amp;E Profiles'!BG$96:BG$180,$I68))</f>
        <v>0</v>
      </c>
      <c r="BH68" s="153" cm="1">
        <f t="array" ref="BH68">IF(OR(BH$4=0, $G68&lt;&gt; $G$7, $E68=0), 'I&amp;E Monthly'!BH68, CHOOSE(Timeline!BH$30,$J68,$K68,$L68 )*INDEX('I&amp;E Profiles'!BH$96:BH$180,$I68))</f>
        <v>0</v>
      </c>
      <c r="BI68" s="153" cm="1">
        <f t="array" ref="BI68">IF(OR(BI$4=0, $G68&lt;&gt; $G$7, $E68=0), 'I&amp;E Monthly'!BI68, CHOOSE(Timeline!BI$30,$J68,$K68,$L68 )*INDEX('I&amp;E Profiles'!BI$96:BI$180,$I68))</f>
        <v>0</v>
      </c>
      <c r="BJ68" s="153" cm="1">
        <f t="array" ref="BJ68">IF(OR(BJ$4=0, $G68&lt;&gt; $G$7, $E68=0), 'I&amp;E Monthly'!BJ68, CHOOSE(Timeline!BJ$30,$J68,$K68,$L68 )*INDEX('I&amp;E Profiles'!BJ$96:BJ$180,$I68))</f>
        <v>0</v>
      </c>
      <c r="BK68" s="335"/>
      <c r="BL68" s="152">
        <f>V68</f>
        <v>0</v>
      </c>
      <c r="BM68" s="153">
        <f>SUMIFS($AA68:$BJ68, $AA$3:$BJ$3,BM$3)</f>
        <v>0</v>
      </c>
      <c r="BN68" s="153">
        <f>SUMIFS($AA68:$BJ68, $AA$3:$BJ$3,BN$3)</f>
        <v>0</v>
      </c>
      <c r="BO68" s="153">
        <f>SUMIFS($AA68:$BJ68, $AA$3:$BJ$3,BO$3)</f>
        <v>0</v>
      </c>
      <c r="BP68" s="152">
        <f>'I&amp;E Monthly'!BP68</f>
        <v>0</v>
      </c>
      <c r="BQ68" s="152">
        <f>'I&amp;E Monthly'!BQ68</f>
        <v>0</v>
      </c>
      <c r="BR68" s="152">
        <f>'I&amp;E Monthly'!BR68</f>
        <v>0</v>
      </c>
      <c r="BS68" s="152">
        <f>'I&amp;E Monthly'!BS68</f>
        <v>0</v>
      </c>
      <c r="BT68" s="152">
        <f>'I&amp;E Monthly'!BT68</f>
        <v>0</v>
      </c>
      <c r="BU68" s="152">
        <f>'I&amp;E Monthly'!BU68</f>
        <v>0</v>
      </c>
      <c r="BV68" s="152">
        <f>'I&amp;E Monthly'!BV68</f>
        <v>0</v>
      </c>
      <c r="BW68" s="152">
        <f>'I&amp;E Monthly'!BW68</f>
        <v>0</v>
      </c>
      <c r="BX68" s="335"/>
      <c r="BY68" s="12"/>
      <c r="BZ68" s="363">
        <f ca="1">IF(MIN($V68:$BW68)&lt;0, 1, 0)*$I$7</f>
        <v>0</v>
      </c>
      <c r="CA68" s="12"/>
      <c r="CB68" s="7">
        <f>IF(AND($G68=$G$7,$E68=""), 1, 0)</f>
        <v>0</v>
      </c>
      <c r="CC68" s="188" cm="1">
        <f t="array" ref="CC68">IF(E68="",0, IF(_xlfn.IFNA(INDEX('I&amp;E Profiles'!$D$96:$D$180, $I68), "N/A")="N/A", 1, 0))</f>
        <v>0</v>
      </c>
      <c r="CD68" s="7">
        <f>IF(SUM($CH68:$CJ68)=0, 0, 1)</f>
        <v>0</v>
      </c>
      <c r="CE68" s="7">
        <f>IF(SUM($CK68:$CM68)=0, 0, 1)</f>
        <v>0</v>
      </c>
      <c r="CF68" s="7">
        <f>IF(CN68=0, 0, 1)</f>
        <v>0</v>
      </c>
      <c r="CG68" s="12"/>
      <c r="CH68" s="352">
        <f t="shared" si="75"/>
        <v>0</v>
      </c>
      <c r="CI68" s="352">
        <f t="shared" si="75"/>
        <v>0</v>
      </c>
      <c r="CJ68" s="352">
        <f t="shared" si="75"/>
        <v>0</v>
      </c>
      <c r="CK68" s="352">
        <f>ROUND($BM68-SUMIFS($AA68:$BJ68, $AA$3:$BJ$3, $BM$3), rounding)</f>
        <v>0</v>
      </c>
      <c r="CL68" s="352">
        <f>ROUND($BN68-SUMIFS($AA68:$BJ68, $AA$3:$BJ$3, $BN$3), rounding)</f>
        <v>0</v>
      </c>
      <c r="CM68" s="352">
        <f>ROUND($BO68-SUMIFS($AA68:$BJ68, $AA$3:$BJ$3, $BO$3), rounding)</f>
        <v>0</v>
      </c>
      <c r="CN68" s="352">
        <f>ROUND($V68-$BL68, rounding)</f>
        <v>0</v>
      </c>
      <c r="EU68" s="335"/>
      <c r="EX68" s="10" t="str">
        <f t="shared" si="1"/>
        <v>Of which: subcontracted out European Funding income</v>
      </c>
    </row>
    <row r="69" spans="1:154" s="335" customFormat="1" ht="6.6" customHeight="1" x14ac:dyDescent="0.25">
      <c r="B69" s="93"/>
      <c r="C69" s="383"/>
      <c r="D69" s="177"/>
      <c r="E69" s="25"/>
      <c r="F69" s="25"/>
      <c r="G69" s="25"/>
      <c r="I69" s="25"/>
      <c r="J69" s="25"/>
      <c r="Q69" s="2"/>
      <c r="V69" s="25"/>
      <c r="W69" s="25"/>
      <c r="X69" s="25"/>
      <c r="Y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L69" s="25"/>
      <c r="BM69" s="155"/>
      <c r="BN69" s="25"/>
      <c r="BO69" s="25"/>
      <c r="BP69" s="25"/>
      <c r="BQ69" s="25"/>
      <c r="BR69" s="25"/>
      <c r="BS69" s="25"/>
      <c r="BT69" s="25"/>
      <c r="BU69" s="25"/>
      <c r="BV69" s="25"/>
      <c r="BW69" s="25"/>
      <c r="BY69" s="42"/>
      <c r="CA69" s="42"/>
      <c r="CG69" s="42"/>
      <c r="EX69" s="10" t="str">
        <f t="shared" ref="EX69:EX134" si="78">IF($C69="","",$D69)</f>
        <v/>
      </c>
    </row>
    <row r="70" spans="1:154" ht="30" x14ac:dyDescent="0.25">
      <c r="A70" s="335"/>
      <c r="B70" s="336"/>
      <c r="C70" s="383"/>
      <c r="D70" s="433" t="s">
        <v>32</v>
      </c>
      <c r="E70" s="82"/>
      <c r="F70" s="25"/>
      <c r="G70" s="25"/>
      <c r="I70" s="25"/>
      <c r="J70" s="335"/>
      <c r="Q70" s="2"/>
      <c r="R70" s="335"/>
      <c r="T70" s="335"/>
      <c r="U70" s="335"/>
      <c r="V70" s="25"/>
      <c r="W70" s="25"/>
      <c r="X70" s="25"/>
      <c r="Y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L70" s="25"/>
      <c r="BM70" s="25"/>
      <c r="BN70" s="25"/>
      <c r="BO70" s="25"/>
      <c r="BP70" s="25"/>
      <c r="BQ70" s="25"/>
      <c r="BR70" s="25"/>
      <c r="BS70" s="25"/>
      <c r="BT70" s="25"/>
      <c r="BU70" s="25"/>
      <c r="BV70" s="25"/>
      <c r="BW70" s="25"/>
      <c r="BY70" s="12"/>
      <c r="BZ70" s="335"/>
      <c r="CA70" s="12"/>
      <c r="CC70" s="335"/>
      <c r="CG70" s="12"/>
      <c r="CM70" s="335"/>
      <c r="CN70" s="335"/>
      <c r="EX70" s="10" t="str">
        <f t="shared" si="78"/>
        <v/>
      </c>
    </row>
    <row r="71" spans="1:154" ht="15.75" x14ac:dyDescent="0.3">
      <c r="A71" s="362" cm="1">
        <f t="array" aca="1" ref="A71" ca="1">HYPERLINK(CONCATENATE("#",CELL("address",IF(SUM($CA71:$CG71)=0,A71,INDEX($CA71:$CG71,MATCH(1,$CA71:$CG71,0))))),SUM($CA71:$CG71))</f>
        <v>0</v>
      </c>
      <c r="B71" s="479" t="s">
        <v>335</v>
      </c>
      <c r="C71" s="343" t="s">
        <v>462</v>
      </c>
      <c r="D71" s="194" t="s">
        <v>2277</v>
      </c>
      <c r="E71" s="147"/>
      <c r="F71" s="98" t="str" cm="1">
        <f t="array" aca="1" ref="F71" ca="1">IF(E71="", "", HYPERLINK(CONCATENATE("#",CELL("address",INDEX('I&amp;E Profiles'!$D$9:$D$93,'I&amp;E Annual'!I71))),E71))</f>
        <v/>
      </c>
      <c r="G71" s="147" t="s">
        <v>211</v>
      </c>
      <c r="H71" s="67" t="s">
        <v>8</v>
      </c>
      <c r="I71" s="350" t="str">
        <f>IF(E71="", "", MATCH(E71, 'I&amp;E Profiles'!$D$96:$D$180,0))</f>
        <v/>
      </c>
      <c r="J71" s="215">
        <f>IF($G71=$G$7, W71,'I&amp;E Monthly'!W71)-SUMIFS('I&amp;E Monthly'!$AA71:$BJ71, 'I&amp;E Monthly'!$AA$3:$BJ$3, 'I&amp;E Annual'!W$3, 'I&amp;E Monthly'!$AA$4:$BJ$4, 0)</f>
        <v>-50</v>
      </c>
      <c r="K71" s="215">
        <f>IF($G71=$G$7, X71,'I&amp;E Monthly'!X71)-SUMIFS('I&amp;E Monthly'!$AA71:$BJ71, 'I&amp;E Monthly'!$AA$3:$BJ$3, 'I&amp;E Annual'!X$3, 'I&amp;E Monthly'!$AA$4:$BJ$4, 0)</f>
        <v>365</v>
      </c>
      <c r="L71" s="215">
        <f>IF($G71=$G$7, Y71,'I&amp;E Monthly'!Y71)-SUMIFS('I&amp;E Monthly'!$AA71:$BJ71, 'I&amp;E Monthly'!$AA$3:$BJ$3, 'I&amp;E Annual'!Y$3, 'I&amp;E Monthly'!$AA$4:$BJ$4, 0)</f>
        <v>365</v>
      </c>
      <c r="M71" s="335"/>
      <c r="N71" s="335"/>
      <c r="O71" s="335"/>
      <c r="P71" s="335"/>
      <c r="Q71" s="2"/>
      <c r="R71" s="335"/>
      <c r="S71" s="335"/>
      <c r="T71" s="335"/>
      <c r="U71" s="335"/>
      <c r="V71" s="201">
        <f>'I&amp;E Monthly'!V71</f>
        <v>0</v>
      </c>
      <c r="W71" s="372"/>
      <c r="X71" s="198"/>
      <c r="Y71" s="198"/>
      <c r="Z71" s="335"/>
      <c r="AA71" s="153" cm="1">
        <f t="array" ref="AA71">IF(OR(AA$4=0, $G71&lt;&gt; $G$7, $E71=0), 'I&amp;E Monthly'!AA71, CHOOSE(Timeline!AA$30,$J71,$K71,$L71 )*INDEX('I&amp;E Profiles'!AA$96:AA$180,$I71))</f>
        <v>67</v>
      </c>
      <c r="AB71" s="153" cm="1">
        <f t="array" ref="AB71">IF(OR(AB$4=0, $G71&lt;&gt; $G$7, $E71=0), 'I&amp;E Monthly'!AB71, CHOOSE(Timeline!AB$30,$J71,$K71,$L71 )*INDEX('I&amp;E Profiles'!AB$96:AB$180,$I71))</f>
        <v>274</v>
      </c>
      <c r="AC71" s="153" cm="1">
        <f t="array" ref="AC71">IF(OR(AC$4=0, $G71&lt;&gt; $G$7, $E71=0), 'I&amp;E Monthly'!AC71, CHOOSE(Timeline!AC$30,$J71,$K71,$L71 )*INDEX('I&amp;E Profiles'!AC$96:AC$180,$I71))</f>
        <v>47</v>
      </c>
      <c r="AD71" s="153" cm="1">
        <f t="array" ref="AD71">IF(OR(AD$4=0, $G71&lt;&gt; $G$7, $E71=0), 'I&amp;E Monthly'!AD71, CHOOSE(Timeline!AD$30,$J71,$K71,$L71 )*INDEX('I&amp;E Profiles'!AD$96:AD$180,$I71))</f>
        <v>57</v>
      </c>
      <c r="AE71" s="153" cm="1">
        <f t="array" ref="AE71">IF(OR(AE$4=0, $G71&lt;&gt; $G$7, $E71=0), 'I&amp;E Monthly'!AE71, CHOOSE(Timeline!AE$30,$J71,$K71,$L71 )*INDEX('I&amp;E Profiles'!AE$96:AE$180,$I71))</f>
        <v>-22</v>
      </c>
      <c r="AF71" s="153" cm="1">
        <f t="array" ref="AF71">IF(OR(AF$4=0, $G71&lt;&gt; $G$7, $E71=0), 'I&amp;E Monthly'!AF71, CHOOSE(Timeline!AF$30,$J71,$K71,$L71 )*INDEX('I&amp;E Profiles'!AF$96:AF$180,$I71))</f>
        <v>0</v>
      </c>
      <c r="AG71" s="153" cm="1">
        <f t="array" ref="AG71">IF(OR(AG$4=0, $G71&lt;&gt; $G$7, $E71=0), 'I&amp;E Monthly'!AG71, CHOOSE(Timeline!AG$30,$J71,$K71,$L71 )*INDEX('I&amp;E Profiles'!AG$96:AG$180,$I71))</f>
        <v>-10</v>
      </c>
      <c r="AH71" s="153" cm="1">
        <f t="array" ref="AH71">IF(OR(AH$4=0, $G71&lt;&gt; $G$7, $E71=0), 'I&amp;E Monthly'!AH71, CHOOSE(Timeline!AH$30,$J71,$K71,$L71 )*INDEX('I&amp;E Profiles'!AH$96:AH$180,$I71))</f>
        <v>21</v>
      </c>
      <c r="AI71" s="153" cm="1">
        <f t="array" ref="AI71">IF(OR(AI$4=0, $G71&lt;&gt; $G$7, $E71=0), 'I&amp;E Monthly'!AI71, CHOOSE(Timeline!AI$30,$J71,$K71,$L71 )*INDEX('I&amp;E Profiles'!AI$96:AI$180,$I71))</f>
        <v>5</v>
      </c>
      <c r="AJ71" s="153" cm="1">
        <f t="array" ref="AJ71">IF(OR(AJ$4=0, $G71&lt;&gt; $G$7, $E71=0), 'I&amp;E Monthly'!AJ71, CHOOSE(Timeline!AJ$30,$J71,$K71,$L71 )*INDEX('I&amp;E Profiles'!AJ$96:AJ$180,$I71))</f>
        <v>8</v>
      </c>
      <c r="AK71" s="153" cm="1">
        <f t="array" ref="AK71">IF(OR(AK$4=0, $G71&lt;&gt; $G$7, $E71=0), 'I&amp;E Monthly'!AK71, CHOOSE(Timeline!AK$30,$J71,$K71,$L71 )*INDEX('I&amp;E Profiles'!AK$96:AK$180,$I71))</f>
        <v>6</v>
      </c>
      <c r="AL71" s="153" cm="1">
        <f t="array" ref="AL71">IF(OR(AL$4=0, $G71&lt;&gt; $G$7, $E71=0), 'I&amp;E Monthly'!AL71, CHOOSE(Timeline!AL$30,$J71,$K71,$L71 )*INDEX('I&amp;E Profiles'!AL$96:AL$180,$I71))</f>
        <v>-50</v>
      </c>
      <c r="AM71" s="153" cm="1">
        <f t="array" ref="AM71">IF(OR(AM$4=0, $G71&lt;&gt; $G$7, $E71=0), 'I&amp;E Monthly'!AM71, CHOOSE(Timeline!AM$30,$J71,$K71,$L71 )*INDEX('I&amp;E Profiles'!AM$96:AM$180,$I71))</f>
        <v>47</v>
      </c>
      <c r="AN71" s="153" cm="1">
        <f t="array" ref="AN71">IF(OR(AN$4=0, $G71&lt;&gt; $G$7, $E71=0), 'I&amp;E Monthly'!AN71, CHOOSE(Timeline!AN$30,$J71,$K71,$L71 )*INDEX('I&amp;E Profiles'!AN$96:AN$180,$I71))</f>
        <v>224</v>
      </c>
      <c r="AO71" s="153" cm="1">
        <f t="array" ref="AO71">IF(OR(AO$4=0, $G71&lt;&gt; $G$7, $E71=0), 'I&amp;E Monthly'!AO71, CHOOSE(Timeline!AO$30,$J71,$K71,$L71 )*INDEX('I&amp;E Profiles'!AO$96:AO$180,$I71))</f>
        <v>47</v>
      </c>
      <c r="AP71" s="153" cm="1">
        <f t="array" ref="AP71">IF(OR(AP$4=0, $G71&lt;&gt; $G$7, $E71=0), 'I&amp;E Monthly'!AP71, CHOOSE(Timeline!AP$30,$J71,$K71,$L71 )*INDEX('I&amp;E Profiles'!AP$96:AP$180,$I71))</f>
        <v>57</v>
      </c>
      <c r="AQ71" s="153" cm="1">
        <f t="array" ref="AQ71">IF(OR(AQ$4=0, $G71&lt;&gt; $G$7, $E71=0), 'I&amp;E Monthly'!AQ71, CHOOSE(Timeline!AQ$30,$J71,$K71,$L71 )*INDEX('I&amp;E Profiles'!AQ$96:AQ$180,$I71))</f>
        <v>0</v>
      </c>
      <c r="AR71" s="153" cm="1">
        <f t="array" ref="AR71">IF(OR(AR$4=0, $G71&lt;&gt; $G$7, $E71=0), 'I&amp;E Monthly'!AR71, CHOOSE(Timeline!AR$30,$J71,$K71,$L71 )*INDEX('I&amp;E Profiles'!AR$96:AR$180,$I71))</f>
        <v>0</v>
      </c>
      <c r="AS71" s="153" cm="1">
        <f t="array" ref="AS71">IF(OR(AS$4=0, $G71&lt;&gt; $G$7, $E71=0), 'I&amp;E Monthly'!AS71, CHOOSE(Timeline!AS$30,$J71,$K71,$L71 )*INDEX('I&amp;E Profiles'!AS$96:AS$180,$I71))</f>
        <v>0</v>
      </c>
      <c r="AT71" s="153" cm="1">
        <f t="array" ref="AT71">IF(OR(AT$4=0, $G71&lt;&gt; $G$7, $E71=0), 'I&amp;E Monthly'!AT71, CHOOSE(Timeline!AT$30,$J71,$K71,$L71 )*INDEX('I&amp;E Profiles'!AT$96:AT$180,$I71))</f>
        <v>21</v>
      </c>
      <c r="AU71" s="153" cm="1">
        <f t="array" ref="AU71">IF(OR(AU$4=0, $G71&lt;&gt; $G$7, $E71=0), 'I&amp;E Monthly'!AU71, CHOOSE(Timeline!AU$30,$J71,$K71,$L71 )*INDEX('I&amp;E Profiles'!AU$96:AU$180,$I71))</f>
        <v>5</v>
      </c>
      <c r="AV71" s="153" cm="1">
        <f t="array" ref="AV71">IF(OR(AV$4=0, $G71&lt;&gt; $G$7, $E71=0), 'I&amp;E Monthly'!AV71, CHOOSE(Timeline!AV$30,$J71,$K71,$L71 )*INDEX('I&amp;E Profiles'!AV$96:AV$180,$I71))</f>
        <v>8</v>
      </c>
      <c r="AW71" s="153" cm="1">
        <f t="array" ref="AW71">IF(OR(AW$4=0, $G71&lt;&gt; $G$7, $E71=0), 'I&amp;E Monthly'!AW71, CHOOSE(Timeline!AW$30,$J71,$K71,$L71 )*INDEX('I&amp;E Profiles'!AW$96:AW$180,$I71))</f>
        <v>6</v>
      </c>
      <c r="AX71" s="153" cm="1">
        <f t="array" ref="AX71">IF(OR(AX$4=0, $G71&lt;&gt; $G$7, $E71=0), 'I&amp;E Monthly'!AX71, CHOOSE(Timeline!AX$30,$J71,$K71,$L71 )*INDEX('I&amp;E Profiles'!AX$96:AX$180,$I71))</f>
        <v>-50</v>
      </c>
      <c r="AY71" s="153" cm="1">
        <f t="array" ref="AY71">IF(OR(AY$4=0, $G71&lt;&gt; $G$7, $E71=0), 'I&amp;E Monthly'!AY71, CHOOSE(Timeline!AY$30,$J71,$K71,$L71 )*INDEX('I&amp;E Profiles'!AY$96:AY$180,$I71))</f>
        <v>47</v>
      </c>
      <c r="AZ71" s="153" cm="1">
        <f t="array" ref="AZ71">IF(OR(AZ$4=0, $G71&lt;&gt; $G$7, $E71=0), 'I&amp;E Monthly'!AZ71, CHOOSE(Timeline!AZ$30,$J71,$K71,$L71 )*INDEX('I&amp;E Profiles'!AZ$96:AZ$180,$I71))</f>
        <v>224</v>
      </c>
      <c r="BA71" s="153" cm="1">
        <f t="array" ref="BA71">IF(OR(BA$4=0, $G71&lt;&gt; $G$7, $E71=0), 'I&amp;E Monthly'!BA71, CHOOSE(Timeline!BA$30,$J71,$K71,$L71 )*INDEX('I&amp;E Profiles'!BA$96:BA$180,$I71))</f>
        <v>47</v>
      </c>
      <c r="BB71" s="153" cm="1">
        <f t="array" ref="BB71">IF(OR(BB$4=0, $G71&lt;&gt; $G$7, $E71=0), 'I&amp;E Monthly'!BB71, CHOOSE(Timeline!BB$30,$J71,$K71,$L71 )*INDEX('I&amp;E Profiles'!BB$96:BB$180,$I71))</f>
        <v>57</v>
      </c>
      <c r="BC71" s="153" cm="1">
        <f t="array" ref="BC71">IF(OR(BC$4=0, $G71&lt;&gt; $G$7, $E71=0), 'I&amp;E Monthly'!BC71, CHOOSE(Timeline!BC$30,$J71,$K71,$L71 )*INDEX('I&amp;E Profiles'!BC$96:BC$180,$I71))</f>
        <v>0</v>
      </c>
      <c r="BD71" s="153" cm="1">
        <f t="array" ref="BD71">IF(OR(BD$4=0, $G71&lt;&gt; $G$7, $E71=0), 'I&amp;E Monthly'!BD71, CHOOSE(Timeline!BD$30,$J71,$K71,$L71 )*INDEX('I&amp;E Profiles'!BD$96:BD$180,$I71))</f>
        <v>0</v>
      </c>
      <c r="BE71" s="153" cm="1">
        <f t="array" ref="BE71">IF(OR(BE$4=0, $G71&lt;&gt; $G$7, $E71=0), 'I&amp;E Monthly'!BE71, CHOOSE(Timeline!BE$30,$J71,$K71,$L71 )*INDEX('I&amp;E Profiles'!BE$96:BE$180,$I71))</f>
        <v>0</v>
      </c>
      <c r="BF71" s="153" cm="1">
        <f t="array" ref="BF71">IF(OR(BF$4=0, $G71&lt;&gt; $G$7, $E71=0), 'I&amp;E Monthly'!BF71, CHOOSE(Timeline!BF$30,$J71,$K71,$L71 )*INDEX('I&amp;E Profiles'!BF$96:BF$180,$I71))</f>
        <v>21</v>
      </c>
      <c r="BG71" s="153" cm="1">
        <f t="array" ref="BG71">IF(OR(BG$4=0, $G71&lt;&gt; $G$7, $E71=0), 'I&amp;E Monthly'!BG71, CHOOSE(Timeline!BG$30,$J71,$K71,$L71 )*INDEX('I&amp;E Profiles'!BG$96:BG$180,$I71))</f>
        <v>5</v>
      </c>
      <c r="BH71" s="153" cm="1">
        <f t="array" ref="BH71">IF(OR(BH$4=0, $G71&lt;&gt; $G$7, $E71=0), 'I&amp;E Monthly'!BH71, CHOOSE(Timeline!BH$30,$J71,$K71,$L71 )*INDEX('I&amp;E Profiles'!BH$96:BH$180,$I71))</f>
        <v>8</v>
      </c>
      <c r="BI71" s="153" cm="1">
        <f t="array" ref="BI71">IF(OR(BI$4=0, $G71&lt;&gt; $G$7, $E71=0), 'I&amp;E Monthly'!BI71, CHOOSE(Timeline!BI$30,$J71,$K71,$L71 )*INDEX('I&amp;E Profiles'!BI$96:BI$180,$I71))</f>
        <v>6</v>
      </c>
      <c r="BJ71" s="153" cm="1">
        <f t="array" ref="BJ71">IF(OR(BJ$4=0, $G71&lt;&gt; $G$7, $E71=0), 'I&amp;E Monthly'!BJ71, CHOOSE(Timeline!BJ$30,$J71,$K71,$L71 )*INDEX('I&amp;E Profiles'!BJ$96:BJ$180,$I71))</f>
        <v>-50</v>
      </c>
      <c r="BK71" s="25"/>
      <c r="BL71" s="13">
        <f t="shared" ref="BL71:BL83" si="79">V71</f>
        <v>0</v>
      </c>
      <c r="BM71" s="153">
        <f t="shared" ref="BM71:BO83" si="80">SUMIFS($AA71:$BJ71, $AA$3:$BJ$3,BM$3)</f>
        <v>403</v>
      </c>
      <c r="BN71" s="153">
        <f t="shared" si="80"/>
        <v>365</v>
      </c>
      <c r="BO71" s="153">
        <f t="shared" si="80"/>
        <v>365</v>
      </c>
      <c r="BP71" s="13">
        <f>'I&amp;E Monthly'!BP71</f>
        <v>0</v>
      </c>
      <c r="BQ71" s="13">
        <f>'I&amp;E Monthly'!BQ71</f>
        <v>0</v>
      </c>
      <c r="BR71" s="13">
        <f>'I&amp;E Monthly'!BR71</f>
        <v>0</v>
      </c>
      <c r="BS71" s="13">
        <f>'I&amp;E Monthly'!BS71</f>
        <v>0</v>
      </c>
      <c r="BT71" s="13">
        <f>'I&amp;E Monthly'!BT71</f>
        <v>0</v>
      </c>
      <c r="BU71" s="13">
        <f>'I&amp;E Monthly'!BU71</f>
        <v>0</v>
      </c>
      <c r="BV71" s="13">
        <f>'I&amp;E Monthly'!BV71</f>
        <v>0</v>
      </c>
      <c r="BW71" s="13">
        <f>'I&amp;E Monthly'!BW71</f>
        <v>0</v>
      </c>
      <c r="BX71" s="335"/>
      <c r="BY71" s="12"/>
      <c r="BZ71" s="363">
        <f t="shared" ref="BZ71:BZ84" ca="1" si="81">IF(MIN($V71:$BW71)&lt;0, 1, 0)*$I$7</f>
        <v>0</v>
      </c>
      <c r="CA71" s="12"/>
      <c r="CB71" s="7">
        <f t="shared" ref="CB71:CB83" si="82">IF(AND($G71=$G$7,$E71=""), 1, 0)</f>
        <v>0</v>
      </c>
      <c r="CC71" s="188" cm="1">
        <f t="array" ref="CC71">IF(E71="",0, IF(_xlfn.IFNA(INDEX('I&amp;E Profiles'!$D$96:$D$180, $I71), "N/A")="N/A", 1, 0))</f>
        <v>0</v>
      </c>
      <c r="CD71" s="7">
        <f t="shared" ref="CD71:CD84" si="83">IF(SUM($CH71:$CJ71)=0, 0, 1)</f>
        <v>0</v>
      </c>
      <c r="CE71" s="7">
        <f t="shared" ref="CE71:CE84" si="84">IF(SUM($CK71:$CM71)=0, 0, 1)</f>
        <v>0</v>
      </c>
      <c r="CF71" s="7">
        <f t="shared" ref="CF71:CF84" si="85">IF(CN71=0, 0, 1)</f>
        <v>0</v>
      </c>
      <c r="CG71" s="12"/>
      <c r="CH71" s="352">
        <f t="shared" ref="CH71:CH84" si="86">IF($G71=$G$7, ROUND(W71-SUMIFS($AA71:$BJ71, $AA$3:$BJ$3, W$3), rounding), 0)</f>
        <v>0</v>
      </c>
      <c r="CI71" s="352">
        <f t="shared" ref="CI71:CI84" si="87">IF($G71=$G$7, ROUND(X71-SUMIFS($AA71:$BJ71, $AA$3:$BJ$3, X$3), rounding), 0)</f>
        <v>0</v>
      </c>
      <c r="CJ71" s="352">
        <f t="shared" ref="CJ71:CJ84" si="88">IF($G71=$G$7, ROUND(Y71-SUMIFS($AA71:$BJ71, $AA$3:$BJ$3, Y$3), rounding), 0)</f>
        <v>0</v>
      </c>
      <c r="CK71" s="352">
        <f t="shared" ref="CK71:CK84" si="89">ROUND($BM71-SUMIFS($AA71:$BJ71, $AA$3:$BJ$3, $BM$3), rounding)</f>
        <v>0</v>
      </c>
      <c r="CL71" s="352">
        <f t="shared" ref="CL71:CL84" si="90">ROUND($BN71-SUMIFS($AA71:$BJ71, $AA$3:$BJ$3, $BN$3), rounding)</f>
        <v>0</v>
      </c>
      <c r="CM71" s="352">
        <f t="shared" ref="CM71:CM84" si="91">ROUND($BO71-SUMIFS($AA71:$BJ71, $AA$3:$BJ$3, $BO$3), rounding)</f>
        <v>0</v>
      </c>
      <c r="CN71" s="352">
        <f t="shared" ref="CN71:CN84" si="92">ROUND($V71-$BL71, rounding)</f>
        <v>0</v>
      </c>
      <c r="EX71" s="10" t="str">
        <f t="shared" si="78"/>
        <v>Full cost provision</v>
      </c>
    </row>
    <row r="72" spans="1:154" x14ac:dyDescent="0.25">
      <c r="A72" s="362" cm="1">
        <f t="array" aca="1" ref="A72" ca="1">HYPERLINK(CONCATENATE("#",CELL("address",IF(SUM($CA72:$CG72)=0,A72,INDEX($CA72:$CG72,MATCH(1,$CA72:$CG72,0))))),SUM($CA72:$CG72))</f>
        <v>0</v>
      </c>
      <c r="B72" s="93"/>
      <c r="C72" s="343" t="s">
        <v>463</v>
      </c>
      <c r="D72" s="194" t="s">
        <v>2278</v>
      </c>
      <c r="E72" s="147"/>
      <c r="F72" s="98" t="str" cm="1">
        <f t="array" aca="1" ref="F72" ca="1">IF(E72="", "", HYPERLINK(CONCATENATE("#",CELL("address",INDEX('I&amp;E Profiles'!$D$9:$D$93,'I&amp;E Annual'!I72))),E72))</f>
        <v/>
      </c>
      <c r="G72" s="147" t="s">
        <v>211</v>
      </c>
      <c r="H72" s="335" t="s">
        <v>8</v>
      </c>
      <c r="I72" s="350" t="str">
        <f>IF(E72="", "", MATCH(E72, 'I&amp;E Profiles'!$D$96:$D$180,0))</f>
        <v/>
      </c>
      <c r="J72" s="215">
        <f>IF($G72=$G$7, W72,'I&amp;E Monthly'!W72)-SUMIFS('I&amp;E Monthly'!$AA72:$BJ72, 'I&amp;E Monthly'!$AA$3:$BJ$3, 'I&amp;E Annual'!W$3, 'I&amp;E Monthly'!$AA$4:$BJ$4, 0)</f>
        <v>-50</v>
      </c>
      <c r="K72" s="215">
        <f>IF($G72=$G$7, X72,'I&amp;E Monthly'!X72)-SUMIFS('I&amp;E Monthly'!$AA72:$BJ72, 'I&amp;E Monthly'!$AA$3:$BJ$3, 'I&amp;E Annual'!X$3, 'I&amp;E Monthly'!$AA$4:$BJ$4, 0)</f>
        <v>376</v>
      </c>
      <c r="L72" s="215">
        <f>IF($G72=$G$7, Y72,'I&amp;E Monthly'!Y72)-SUMIFS('I&amp;E Monthly'!$AA72:$BJ72, 'I&amp;E Monthly'!$AA$3:$BJ$3, 'I&amp;E Annual'!Y$3, 'I&amp;E Monthly'!$AA$4:$BJ$4, 0)</f>
        <v>376</v>
      </c>
      <c r="M72" s="335"/>
      <c r="N72" s="335"/>
      <c r="O72" s="335"/>
      <c r="P72" s="335"/>
      <c r="Q72" s="2"/>
      <c r="R72" s="335"/>
      <c r="S72" s="335"/>
      <c r="T72" s="335"/>
      <c r="U72" s="335"/>
      <c r="V72" s="215">
        <f>'I&amp;E Monthly'!V72</f>
        <v>0</v>
      </c>
      <c r="W72" s="147"/>
      <c r="X72" s="227"/>
      <c r="Y72" s="227"/>
      <c r="Z72" s="335"/>
      <c r="AA72" s="153" cm="1">
        <f t="array" ref="AA72">IF(OR(AA$4=0, $G72&lt;&gt; $G$7, $E72=0), 'I&amp;E Monthly'!AA72, CHOOSE(Timeline!AA$30,$J72,$K72,$L72 )*INDEX('I&amp;E Profiles'!AA$96:AA$180,$I72))</f>
        <v>0</v>
      </c>
      <c r="AB72" s="153" cm="1">
        <f t="array" ref="AB72">IF(OR(AB$4=0, $G72&lt;&gt; $G$7, $E72=0), 'I&amp;E Monthly'!AB72, CHOOSE(Timeline!AB$30,$J72,$K72,$L72 )*INDEX('I&amp;E Profiles'!AB$96:AB$180,$I72))</f>
        <v>317</v>
      </c>
      <c r="AC72" s="153" cm="1">
        <f t="array" ref="AC72">IF(OR(AC$4=0, $G72&lt;&gt; $G$7, $E72=0), 'I&amp;E Monthly'!AC72, CHOOSE(Timeline!AC$30,$J72,$K72,$L72 )*INDEX('I&amp;E Profiles'!AC$96:AC$180,$I72))</f>
        <v>87</v>
      </c>
      <c r="AD72" s="153" cm="1">
        <f t="array" ref="AD72">IF(OR(AD$4=0, $G72&lt;&gt; $G$7, $E72=0), 'I&amp;E Monthly'!AD72, CHOOSE(Timeline!AD$30,$J72,$K72,$L72 )*INDEX('I&amp;E Profiles'!AD$96:AD$180,$I72))</f>
        <v>80</v>
      </c>
      <c r="AE72" s="153" cm="1">
        <f t="array" ref="AE72">IF(OR(AE$4=0, $G72&lt;&gt; $G$7, $E72=0), 'I&amp;E Monthly'!AE72, CHOOSE(Timeline!AE$30,$J72,$K72,$L72 )*INDEX('I&amp;E Profiles'!AE$96:AE$180,$I72))</f>
        <v>-5</v>
      </c>
      <c r="AF72" s="153" cm="1">
        <f t="array" ref="AF72">IF(OR(AF$4=0, $G72&lt;&gt; $G$7, $E72=0), 'I&amp;E Monthly'!AF72, CHOOSE(Timeline!AF$30,$J72,$K72,$L72 )*INDEX('I&amp;E Profiles'!AF$96:AF$180,$I72))</f>
        <v>0</v>
      </c>
      <c r="AG72" s="153" cm="1">
        <f t="array" ref="AG72">IF(OR(AG$4=0, $G72&lt;&gt; $G$7, $E72=0), 'I&amp;E Monthly'!AG72, CHOOSE(Timeline!AG$30,$J72,$K72,$L72 )*INDEX('I&amp;E Profiles'!AG$96:AG$180,$I72))</f>
        <v>-10</v>
      </c>
      <c r="AH72" s="153" cm="1">
        <f t="array" ref="AH72">IF(OR(AH$4=0, $G72&lt;&gt; $G$7, $E72=0), 'I&amp;E Monthly'!AH72, CHOOSE(Timeline!AH$30,$J72,$K72,$L72 )*INDEX('I&amp;E Profiles'!AH$96:AH$180,$I72))</f>
        <v>-2</v>
      </c>
      <c r="AI72" s="153" cm="1">
        <f t="array" ref="AI72">IF(OR(AI$4=0, $G72&lt;&gt; $G$7, $E72=0), 'I&amp;E Monthly'!AI72, CHOOSE(Timeline!AI$30,$J72,$K72,$L72 )*INDEX('I&amp;E Profiles'!AI$96:AI$180,$I72))</f>
        <v>11</v>
      </c>
      <c r="AJ72" s="153" cm="1">
        <f t="array" ref="AJ72">IF(OR(AJ$4=0, $G72&lt;&gt; $G$7, $E72=0), 'I&amp;E Monthly'!AJ72, CHOOSE(Timeline!AJ$30,$J72,$K72,$L72 )*INDEX('I&amp;E Profiles'!AJ$96:AJ$180,$I72))</f>
        <v>8</v>
      </c>
      <c r="AK72" s="153" cm="1">
        <f t="array" ref="AK72">IF(OR(AK$4=0, $G72&lt;&gt; $G$7, $E72=0), 'I&amp;E Monthly'!AK72, CHOOSE(Timeline!AK$30,$J72,$K72,$L72 )*INDEX('I&amp;E Profiles'!AK$96:AK$180,$I72))</f>
        <v>0</v>
      </c>
      <c r="AL72" s="153" cm="1">
        <f t="array" ref="AL72">IF(OR(AL$4=0, $G72&lt;&gt; $G$7, $E72=0), 'I&amp;E Monthly'!AL72, CHOOSE(Timeline!AL$30,$J72,$K72,$L72 )*INDEX('I&amp;E Profiles'!AL$96:AL$180,$I72))</f>
        <v>-50</v>
      </c>
      <c r="AM72" s="153" cm="1">
        <f t="array" ref="AM72">IF(OR(AM$4=0, $G72&lt;&gt; $G$7, $E72=0), 'I&amp;E Monthly'!AM72, CHOOSE(Timeline!AM$30,$J72,$K72,$L72 )*INDEX('I&amp;E Profiles'!AM$96:AM$180,$I72))</f>
        <v>0</v>
      </c>
      <c r="AN72" s="153" cm="1">
        <f t="array" ref="AN72">IF(OR(AN$4=0, $G72&lt;&gt; $G$7, $E72=0), 'I&amp;E Monthly'!AN72, CHOOSE(Timeline!AN$30,$J72,$K72,$L72 )*INDEX('I&amp;E Profiles'!AN$96:AN$180,$I72))</f>
        <v>267</v>
      </c>
      <c r="AO72" s="153" cm="1">
        <f t="array" ref="AO72">IF(OR(AO$4=0, $G72&lt;&gt; $G$7, $E72=0), 'I&amp;E Monthly'!AO72, CHOOSE(Timeline!AO$30,$J72,$K72,$L72 )*INDEX('I&amp;E Profiles'!AO$96:AO$180,$I72))</f>
        <v>70</v>
      </c>
      <c r="AP72" s="153" cm="1">
        <f t="array" ref="AP72">IF(OR(AP$4=0, $G72&lt;&gt; $G$7, $E72=0), 'I&amp;E Monthly'!AP72, CHOOSE(Timeline!AP$30,$J72,$K72,$L72 )*INDEX('I&amp;E Profiles'!AP$96:AP$180,$I72))</f>
        <v>70</v>
      </c>
      <c r="AQ72" s="153" cm="1">
        <f t="array" ref="AQ72">IF(OR(AQ$4=0, $G72&lt;&gt; $G$7, $E72=0), 'I&amp;E Monthly'!AQ72, CHOOSE(Timeline!AQ$30,$J72,$K72,$L72 )*INDEX('I&amp;E Profiles'!AQ$96:AQ$180,$I72))</f>
        <v>0</v>
      </c>
      <c r="AR72" s="153" cm="1">
        <f t="array" ref="AR72">IF(OR(AR$4=0, $G72&lt;&gt; $G$7, $E72=0), 'I&amp;E Monthly'!AR72, CHOOSE(Timeline!AR$30,$J72,$K72,$L72 )*INDEX('I&amp;E Profiles'!AR$96:AR$180,$I72))</f>
        <v>0</v>
      </c>
      <c r="AS72" s="153" cm="1">
        <f t="array" ref="AS72">IF(OR(AS$4=0, $G72&lt;&gt; $G$7, $E72=0), 'I&amp;E Monthly'!AS72, CHOOSE(Timeline!AS$30,$J72,$K72,$L72 )*INDEX('I&amp;E Profiles'!AS$96:AS$180,$I72))</f>
        <v>0</v>
      </c>
      <c r="AT72" s="153" cm="1">
        <f t="array" ref="AT72">IF(OR(AT$4=0, $G72&lt;&gt; $G$7, $E72=0), 'I&amp;E Monthly'!AT72, CHOOSE(Timeline!AT$30,$J72,$K72,$L72 )*INDEX('I&amp;E Profiles'!AT$96:AT$180,$I72))</f>
        <v>0</v>
      </c>
      <c r="AU72" s="153" cm="1">
        <f t="array" ref="AU72">IF(OR(AU$4=0, $G72&lt;&gt; $G$7, $E72=0), 'I&amp;E Monthly'!AU72, CHOOSE(Timeline!AU$30,$J72,$K72,$L72 )*INDEX('I&amp;E Profiles'!AU$96:AU$180,$I72))</f>
        <v>11</v>
      </c>
      <c r="AV72" s="153" cm="1">
        <f t="array" ref="AV72">IF(OR(AV$4=0, $G72&lt;&gt; $G$7, $E72=0), 'I&amp;E Monthly'!AV72, CHOOSE(Timeline!AV$30,$J72,$K72,$L72 )*INDEX('I&amp;E Profiles'!AV$96:AV$180,$I72))</f>
        <v>8</v>
      </c>
      <c r="AW72" s="153" cm="1">
        <f t="array" ref="AW72">IF(OR(AW$4=0, $G72&lt;&gt; $G$7, $E72=0), 'I&amp;E Monthly'!AW72, CHOOSE(Timeline!AW$30,$J72,$K72,$L72 )*INDEX('I&amp;E Profiles'!AW$96:AW$180,$I72))</f>
        <v>0</v>
      </c>
      <c r="AX72" s="153" cm="1">
        <f t="array" ref="AX72">IF(OR(AX$4=0, $G72&lt;&gt; $G$7, $E72=0), 'I&amp;E Monthly'!AX72, CHOOSE(Timeline!AX$30,$J72,$K72,$L72 )*INDEX('I&amp;E Profiles'!AX$96:AX$180,$I72))</f>
        <v>-50</v>
      </c>
      <c r="AY72" s="153" cm="1">
        <f t="array" ref="AY72">IF(OR(AY$4=0, $G72&lt;&gt; $G$7, $E72=0), 'I&amp;E Monthly'!AY72, CHOOSE(Timeline!AY$30,$J72,$K72,$L72 )*INDEX('I&amp;E Profiles'!AY$96:AY$180,$I72))</f>
        <v>0</v>
      </c>
      <c r="AZ72" s="153" cm="1">
        <f t="array" ref="AZ72">IF(OR(AZ$4=0, $G72&lt;&gt; $G$7, $E72=0), 'I&amp;E Monthly'!AZ72, CHOOSE(Timeline!AZ$30,$J72,$K72,$L72 )*INDEX('I&amp;E Profiles'!AZ$96:AZ$180,$I72))</f>
        <v>267</v>
      </c>
      <c r="BA72" s="153" cm="1">
        <f t="array" ref="BA72">IF(OR(BA$4=0, $G72&lt;&gt; $G$7, $E72=0), 'I&amp;E Monthly'!BA72, CHOOSE(Timeline!BA$30,$J72,$K72,$L72 )*INDEX('I&amp;E Profiles'!BA$96:BA$180,$I72))</f>
        <v>70</v>
      </c>
      <c r="BB72" s="153" cm="1">
        <f t="array" ref="BB72">IF(OR(BB$4=0, $G72&lt;&gt; $G$7, $E72=0), 'I&amp;E Monthly'!BB72, CHOOSE(Timeline!BB$30,$J72,$K72,$L72 )*INDEX('I&amp;E Profiles'!BB$96:BB$180,$I72))</f>
        <v>70</v>
      </c>
      <c r="BC72" s="153" cm="1">
        <f t="array" ref="BC72">IF(OR(BC$4=0, $G72&lt;&gt; $G$7, $E72=0), 'I&amp;E Monthly'!BC72, CHOOSE(Timeline!BC$30,$J72,$K72,$L72 )*INDEX('I&amp;E Profiles'!BC$96:BC$180,$I72))</f>
        <v>0</v>
      </c>
      <c r="BD72" s="153" cm="1">
        <f t="array" ref="BD72">IF(OR(BD$4=0, $G72&lt;&gt; $G$7, $E72=0), 'I&amp;E Monthly'!BD72, CHOOSE(Timeline!BD$30,$J72,$K72,$L72 )*INDEX('I&amp;E Profiles'!BD$96:BD$180,$I72))</f>
        <v>0</v>
      </c>
      <c r="BE72" s="153" cm="1">
        <f t="array" ref="BE72">IF(OR(BE$4=0, $G72&lt;&gt; $G$7, $E72=0), 'I&amp;E Monthly'!BE72, CHOOSE(Timeline!BE$30,$J72,$K72,$L72 )*INDEX('I&amp;E Profiles'!BE$96:BE$180,$I72))</f>
        <v>0</v>
      </c>
      <c r="BF72" s="153" cm="1">
        <f t="array" ref="BF72">IF(OR(BF$4=0, $G72&lt;&gt; $G$7, $E72=0), 'I&amp;E Monthly'!BF72, CHOOSE(Timeline!BF$30,$J72,$K72,$L72 )*INDEX('I&amp;E Profiles'!BF$96:BF$180,$I72))</f>
        <v>0</v>
      </c>
      <c r="BG72" s="153" cm="1">
        <f t="array" ref="BG72">IF(OR(BG$4=0, $G72&lt;&gt; $G$7, $E72=0), 'I&amp;E Monthly'!BG72, CHOOSE(Timeline!BG$30,$J72,$K72,$L72 )*INDEX('I&amp;E Profiles'!BG$96:BG$180,$I72))</f>
        <v>11</v>
      </c>
      <c r="BH72" s="153" cm="1">
        <f t="array" ref="BH72">IF(OR(BH$4=0, $G72&lt;&gt; $G$7, $E72=0), 'I&amp;E Monthly'!BH72, CHOOSE(Timeline!BH$30,$J72,$K72,$L72 )*INDEX('I&amp;E Profiles'!BH$96:BH$180,$I72))</f>
        <v>8</v>
      </c>
      <c r="BI72" s="153" cm="1">
        <f t="array" ref="BI72">IF(OR(BI$4=0, $G72&lt;&gt; $G$7, $E72=0), 'I&amp;E Monthly'!BI72, CHOOSE(Timeline!BI$30,$J72,$K72,$L72 )*INDEX('I&amp;E Profiles'!BI$96:BI$180,$I72))</f>
        <v>0</v>
      </c>
      <c r="BJ72" s="153" cm="1">
        <f t="array" ref="BJ72">IF(OR(BJ$4=0, $G72&lt;&gt; $G$7, $E72=0), 'I&amp;E Monthly'!BJ72, CHOOSE(Timeline!BJ$30,$J72,$K72,$L72 )*INDEX('I&amp;E Profiles'!BJ$96:BJ$180,$I72))</f>
        <v>-50</v>
      </c>
      <c r="BK72" s="335"/>
      <c r="BL72" s="152">
        <f t="shared" si="79"/>
        <v>0</v>
      </c>
      <c r="BM72" s="153">
        <f t="shared" si="80"/>
        <v>436</v>
      </c>
      <c r="BN72" s="153">
        <f t="shared" si="80"/>
        <v>376</v>
      </c>
      <c r="BO72" s="153">
        <f t="shared" si="80"/>
        <v>376</v>
      </c>
      <c r="BP72" s="152">
        <f>'I&amp;E Monthly'!BP72</f>
        <v>0</v>
      </c>
      <c r="BQ72" s="152">
        <f>'I&amp;E Monthly'!BQ72</f>
        <v>0</v>
      </c>
      <c r="BR72" s="152">
        <f>'I&amp;E Monthly'!BR72</f>
        <v>0</v>
      </c>
      <c r="BS72" s="152">
        <f>'I&amp;E Monthly'!BS72</f>
        <v>0</v>
      </c>
      <c r="BT72" s="152">
        <f>'I&amp;E Monthly'!BT72</f>
        <v>0</v>
      </c>
      <c r="BU72" s="152">
        <f>'I&amp;E Monthly'!BU72</f>
        <v>0</v>
      </c>
      <c r="BV72" s="152">
        <f>'I&amp;E Monthly'!BV72</f>
        <v>0</v>
      </c>
      <c r="BW72" s="152">
        <f>'I&amp;E Monthly'!BW72</f>
        <v>0</v>
      </c>
      <c r="BX72" s="335"/>
      <c r="BY72" s="12"/>
      <c r="BZ72" s="363">
        <f t="shared" ca="1" si="81"/>
        <v>0</v>
      </c>
      <c r="CA72" s="12"/>
      <c r="CB72" s="7">
        <f t="shared" si="82"/>
        <v>0</v>
      </c>
      <c r="CC72" s="188" cm="1">
        <f t="array" ref="CC72">IF(E72="",0, IF(_xlfn.IFNA(INDEX('I&amp;E Profiles'!$D$96:$D$180, $I72), "N/A")="N/A", 1, 0))</f>
        <v>0</v>
      </c>
      <c r="CD72" s="7">
        <f t="shared" si="83"/>
        <v>0</v>
      </c>
      <c r="CE72" s="7">
        <f t="shared" si="84"/>
        <v>0</v>
      </c>
      <c r="CF72" s="7">
        <f t="shared" si="85"/>
        <v>0</v>
      </c>
      <c r="CG72" s="12"/>
      <c r="CH72" s="352">
        <f t="shared" si="86"/>
        <v>0</v>
      </c>
      <c r="CI72" s="352">
        <f t="shared" si="87"/>
        <v>0</v>
      </c>
      <c r="CJ72" s="352">
        <f t="shared" si="88"/>
        <v>0</v>
      </c>
      <c r="CK72" s="352">
        <f t="shared" si="89"/>
        <v>0</v>
      </c>
      <c r="CL72" s="352">
        <f t="shared" si="90"/>
        <v>0</v>
      </c>
      <c r="CM72" s="352">
        <f t="shared" si="91"/>
        <v>0</v>
      </c>
      <c r="CN72" s="352">
        <f t="shared" si="92"/>
        <v>0</v>
      </c>
      <c r="EX72" s="10" t="str">
        <f t="shared" si="78"/>
        <v>HE home student fees (not loans)</v>
      </c>
    </row>
    <row r="73" spans="1:154" ht="15.75" x14ac:dyDescent="0.3">
      <c r="A73" s="362" cm="1">
        <f t="array" aca="1" ref="A73" ca="1">HYPERLINK(CONCATENATE("#",CELL("address",IF(SUM($CA73:$CG73)=0,A73,INDEX($CA73:$CG73,MATCH(1,$CA73:$CG73,0))))),SUM($CA73:$CG73))</f>
        <v>0</v>
      </c>
      <c r="B73" s="479" t="s">
        <v>335</v>
      </c>
      <c r="C73" s="343" t="s">
        <v>464</v>
      </c>
      <c r="D73" s="194" t="s">
        <v>2279</v>
      </c>
      <c r="E73" s="147"/>
      <c r="F73" s="98" t="str" cm="1">
        <f t="array" aca="1" ref="F73" ca="1">IF(E73="", "", HYPERLINK(CONCATENATE("#",CELL("address",INDEX('I&amp;E Profiles'!$D$9:$D$93,'I&amp;E Annual'!I73))),E73))</f>
        <v/>
      </c>
      <c r="G73" s="147" t="s">
        <v>211</v>
      </c>
      <c r="H73" s="67" t="s">
        <v>8</v>
      </c>
      <c r="I73" s="350" t="str">
        <f>IF(E73="", "", MATCH(E73, 'I&amp;E Profiles'!$D$96:$D$180,0))</f>
        <v/>
      </c>
      <c r="J73" s="215">
        <f>IF($G73=$G$7, W73,'I&amp;E Monthly'!W73)-SUMIFS('I&amp;E Monthly'!$AA73:$BJ73, 'I&amp;E Monthly'!$AA$3:$BJ$3, 'I&amp;E Annual'!W$3, 'I&amp;E Monthly'!$AA$4:$BJ$4, 0)</f>
        <v>0</v>
      </c>
      <c r="K73" s="215">
        <f>IF($G73=$G$7, X73,'I&amp;E Monthly'!X73)-SUMIFS('I&amp;E Monthly'!$AA73:$BJ73, 'I&amp;E Monthly'!$AA$3:$BJ$3, 'I&amp;E Annual'!X$3, 'I&amp;E Monthly'!$AA$4:$BJ$4, 0)</f>
        <v>0</v>
      </c>
      <c r="L73" s="215">
        <f>IF($G73=$G$7, Y73,'I&amp;E Monthly'!Y73)-SUMIFS('I&amp;E Monthly'!$AA73:$BJ73, 'I&amp;E Monthly'!$AA$3:$BJ$3, 'I&amp;E Annual'!Y$3, 'I&amp;E Monthly'!$AA$4:$BJ$4, 0)</f>
        <v>0</v>
      </c>
      <c r="M73" s="335"/>
      <c r="N73" s="335"/>
      <c r="O73" s="335"/>
      <c r="P73" s="335"/>
      <c r="Q73" s="2"/>
      <c r="R73" s="335"/>
      <c r="S73" s="335"/>
      <c r="T73" s="335"/>
      <c r="U73" s="335"/>
      <c r="V73" s="215">
        <f>'I&amp;E Monthly'!V73</f>
        <v>0</v>
      </c>
      <c r="W73" s="147"/>
      <c r="X73" s="227"/>
      <c r="Y73" s="227"/>
      <c r="Z73" s="335"/>
      <c r="AA73" s="153" cm="1">
        <f t="array" ref="AA73">IF(OR(AA$4=0, $G73&lt;&gt; $G$7, $E73=0), 'I&amp;E Monthly'!AA73, CHOOSE(Timeline!AA$30,$J73,$K73,$L73 )*INDEX('I&amp;E Profiles'!AA$96:AA$180,$I73))</f>
        <v>0</v>
      </c>
      <c r="AB73" s="153" cm="1">
        <f t="array" ref="AB73">IF(OR(AB$4=0, $G73&lt;&gt; $G$7, $E73=0), 'I&amp;E Monthly'!AB73, CHOOSE(Timeline!AB$30,$J73,$K73,$L73 )*INDEX('I&amp;E Profiles'!AB$96:AB$180,$I73))</f>
        <v>0</v>
      </c>
      <c r="AC73" s="153" cm="1">
        <f t="array" ref="AC73">IF(OR(AC$4=0, $G73&lt;&gt; $G$7, $E73=0), 'I&amp;E Monthly'!AC73, CHOOSE(Timeline!AC$30,$J73,$K73,$L73 )*INDEX('I&amp;E Profiles'!AC$96:AC$180,$I73))</f>
        <v>0</v>
      </c>
      <c r="AD73" s="153" cm="1">
        <f t="array" ref="AD73">IF(OR(AD$4=0, $G73&lt;&gt; $G$7, $E73=0), 'I&amp;E Monthly'!AD73, CHOOSE(Timeline!AD$30,$J73,$K73,$L73 )*INDEX('I&amp;E Profiles'!AD$96:AD$180,$I73))</f>
        <v>0</v>
      </c>
      <c r="AE73" s="153" cm="1">
        <f t="array" ref="AE73">IF(OR(AE$4=0, $G73&lt;&gt; $G$7, $E73=0), 'I&amp;E Monthly'!AE73, CHOOSE(Timeline!AE$30,$J73,$K73,$L73 )*INDEX('I&amp;E Profiles'!AE$96:AE$180,$I73))</f>
        <v>0</v>
      </c>
      <c r="AF73" s="153" cm="1">
        <f t="array" ref="AF73">IF(OR(AF$4=0, $G73&lt;&gt; $G$7, $E73=0), 'I&amp;E Monthly'!AF73, CHOOSE(Timeline!AF$30,$J73,$K73,$L73 )*INDEX('I&amp;E Profiles'!AF$96:AF$180,$I73))</f>
        <v>0</v>
      </c>
      <c r="AG73" s="153" cm="1">
        <f t="array" ref="AG73">IF(OR(AG$4=0, $G73&lt;&gt; $G$7, $E73=0), 'I&amp;E Monthly'!AG73, CHOOSE(Timeline!AG$30,$J73,$K73,$L73 )*INDEX('I&amp;E Profiles'!AG$96:AG$180,$I73))</f>
        <v>0</v>
      </c>
      <c r="AH73" s="153" cm="1">
        <f t="array" ref="AH73">IF(OR(AH$4=0, $G73&lt;&gt; $G$7, $E73=0), 'I&amp;E Monthly'!AH73, CHOOSE(Timeline!AH$30,$J73,$K73,$L73 )*INDEX('I&amp;E Profiles'!AH$96:AH$180,$I73))</f>
        <v>0</v>
      </c>
      <c r="AI73" s="153" cm="1">
        <f t="array" ref="AI73">IF(OR(AI$4=0, $G73&lt;&gt; $G$7, $E73=0), 'I&amp;E Monthly'!AI73, CHOOSE(Timeline!AI$30,$J73,$K73,$L73 )*INDEX('I&amp;E Profiles'!AI$96:AI$180,$I73))</f>
        <v>0</v>
      </c>
      <c r="AJ73" s="153" cm="1">
        <f t="array" ref="AJ73">IF(OR(AJ$4=0, $G73&lt;&gt; $G$7, $E73=0), 'I&amp;E Monthly'!AJ73, CHOOSE(Timeline!AJ$30,$J73,$K73,$L73 )*INDEX('I&amp;E Profiles'!AJ$96:AJ$180,$I73))</f>
        <v>0</v>
      </c>
      <c r="AK73" s="153" cm="1">
        <f t="array" ref="AK73">IF(OR(AK$4=0, $G73&lt;&gt; $G$7, $E73=0), 'I&amp;E Monthly'!AK73, CHOOSE(Timeline!AK$30,$J73,$K73,$L73 )*INDEX('I&amp;E Profiles'!AK$96:AK$180,$I73))</f>
        <v>0</v>
      </c>
      <c r="AL73" s="153" cm="1">
        <f t="array" ref="AL73">IF(OR(AL$4=0, $G73&lt;&gt; $G$7, $E73=0), 'I&amp;E Monthly'!AL73, CHOOSE(Timeline!AL$30,$J73,$K73,$L73 )*INDEX('I&amp;E Profiles'!AL$96:AL$180,$I73))</f>
        <v>0</v>
      </c>
      <c r="AM73" s="153" cm="1">
        <f t="array" ref="AM73">IF(OR(AM$4=0, $G73&lt;&gt; $G$7, $E73=0), 'I&amp;E Monthly'!AM73, CHOOSE(Timeline!AM$30,$J73,$K73,$L73 )*INDEX('I&amp;E Profiles'!AM$96:AM$180,$I73))</f>
        <v>0</v>
      </c>
      <c r="AN73" s="153" cm="1">
        <f t="array" ref="AN73">IF(OR(AN$4=0, $G73&lt;&gt; $G$7, $E73=0), 'I&amp;E Monthly'!AN73, CHOOSE(Timeline!AN$30,$J73,$K73,$L73 )*INDEX('I&amp;E Profiles'!AN$96:AN$180,$I73))</f>
        <v>0</v>
      </c>
      <c r="AO73" s="153" cm="1">
        <f t="array" ref="AO73">IF(OR(AO$4=0, $G73&lt;&gt; $G$7, $E73=0), 'I&amp;E Monthly'!AO73, CHOOSE(Timeline!AO$30,$J73,$K73,$L73 )*INDEX('I&amp;E Profiles'!AO$96:AO$180,$I73))</f>
        <v>0</v>
      </c>
      <c r="AP73" s="153" cm="1">
        <f t="array" ref="AP73">IF(OR(AP$4=0, $G73&lt;&gt; $G$7, $E73=0), 'I&amp;E Monthly'!AP73, CHOOSE(Timeline!AP$30,$J73,$K73,$L73 )*INDEX('I&amp;E Profiles'!AP$96:AP$180,$I73))</f>
        <v>0</v>
      </c>
      <c r="AQ73" s="153" cm="1">
        <f t="array" ref="AQ73">IF(OR(AQ$4=0, $G73&lt;&gt; $G$7, $E73=0), 'I&amp;E Monthly'!AQ73, CHOOSE(Timeline!AQ$30,$J73,$K73,$L73 )*INDEX('I&amp;E Profiles'!AQ$96:AQ$180,$I73))</f>
        <v>0</v>
      </c>
      <c r="AR73" s="153" cm="1">
        <f t="array" ref="AR73">IF(OR(AR$4=0, $G73&lt;&gt; $G$7, $E73=0), 'I&amp;E Monthly'!AR73, CHOOSE(Timeline!AR$30,$J73,$K73,$L73 )*INDEX('I&amp;E Profiles'!AR$96:AR$180,$I73))</f>
        <v>0</v>
      </c>
      <c r="AS73" s="153" cm="1">
        <f t="array" ref="AS73">IF(OR(AS$4=0, $G73&lt;&gt; $G$7, $E73=0), 'I&amp;E Monthly'!AS73, CHOOSE(Timeline!AS$30,$J73,$K73,$L73 )*INDEX('I&amp;E Profiles'!AS$96:AS$180,$I73))</f>
        <v>0</v>
      </c>
      <c r="AT73" s="153" cm="1">
        <f t="array" ref="AT73">IF(OR(AT$4=0, $G73&lt;&gt; $G$7, $E73=0), 'I&amp;E Monthly'!AT73, CHOOSE(Timeline!AT$30,$J73,$K73,$L73 )*INDEX('I&amp;E Profiles'!AT$96:AT$180,$I73))</f>
        <v>0</v>
      </c>
      <c r="AU73" s="153" cm="1">
        <f t="array" ref="AU73">IF(OR(AU$4=0, $G73&lt;&gt; $G$7, $E73=0), 'I&amp;E Monthly'!AU73, CHOOSE(Timeline!AU$30,$J73,$K73,$L73 )*INDEX('I&amp;E Profiles'!AU$96:AU$180,$I73))</f>
        <v>0</v>
      </c>
      <c r="AV73" s="153" cm="1">
        <f t="array" ref="AV73">IF(OR(AV$4=0, $G73&lt;&gt; $G$7, $E73=0), 'I&amp;E Monthly'!AV73, CHOOSE(Timeline!AV$30,$J73,$K73,$L73 )*INDEX('I&amp;E Profiles'!AV$96:AV$180,$I73))</f>
        <v>0</v>
      </c>
      <c r="AW73" s="153" cm="1">
        <f t="array" ref="AW73">IF(OR(AW$4=0, $G73&lt;&gt; $G$7, $E73=0), 'I&amp;E Monthly'!AW73, CHOOSE(Timeline!AW$30,$J73,$K73,$L73 )*INDEX('I&amp;E Profiles'!AW$96:AW$180,$I73))</f>
        <v>0</v>
      </c>
      <c r="AX73" s="153" cm="1">
        <f t="array" ref="AX73">IF(OR(AX$4=0, $G73&lt;&gt; $G$7, $E73=0), 'I&amp;E Monthly'!AX73, CHOOSE(Timeline!AX$30,$J73,$K73,$L73 )*INDEX('I&amp;E Profiles'!AX$96:AX$180,$I73))</f>
        <v>0</v>
      </c>
      <c r="AY73" s="153" cm="1">
        <f t="array" ref="AY73">IF(OR(AY$4=0, $G73&lt;&gt; $G$7, $E73=0), 'I&amp;E Monthly'!AY73, CHOOSE(Timeline!AY$30,$J73,$K73,$L73 )*INDEX('I&amp;E Profiles'!AY$96:AY$180,$I73))</f>
        <v>0</v>
      </c>
      <c r="AZ73" s="153" cm="1">
        <f t="array" ref="AZ73">IF(OR(AZ$4=0, $G73&lt;&gt; $G$7, $E73=0), 'I&amp;E Monthly'!AZ73, CHOOSE(Timeline!AZ$30,$J73,$K73,$L73 )*INDEX('I&amp;E Profiles'!AZ$96:AZ$180,$I73))</f>
        <v>0</v>
      </c>
      <c r="BA73" s="153" cm="1">
        <f t="array" ref="BA73">IF(OR(BA$4=0, $G73&lt;&gt; $G$7, $E73=0), 'I&amp;E Monthly'!BA73, CHOOSE(Timeline!BA$30,$J73,$K73,$L73 )*INDEX('I&amp;E Profiles'!BA$96:BA$180,$I73))</f>
        <v>0</v>
      </c>
      <c r="BB73" s="153" cm="1">
        <f t="array" ref="BB73">IF(OR(BB$4=0, $G73&lt;&gt; $G$7, $E73=0), 'I&amp;E Monthly'!BB73, CHOOSE(Timeline!BB$30,$J73,$K73,$L73 )*INDEX('I&amp;E Profiles'!BB$96:BB$180,$I73))</f>
        <v>0</v>
      </c>
      <c r="BC73" s="153" cm="1">
        <f t="array" ref="BC73">IF(OR(BC$4=0, $G73&lt;&gt; $G$7, $E73=0), 'I&amp;E Monthly'!BC73, CHOOSE(Timeline!BC$30,$J73,$K73,$L73 )*INDEX('I&amp;E Profiles'!BC$96:BC$180,$I73))</f>
        <v>0</v>
      </c>
      <c r="BD73" s="153" cm="1">
        <f t="array" ref="BD73">IF(OR(BD$4=0, $G73&lt;&gt; $G$7, $E73=0), 'I&amp;E Monthly'!BD73, CHOOSE(Timeline!BD$30,$J73,$K73,$L73 )*INDEX('I&amp;E Profiles'!BD$96:BD$180,$I73))</f>
        <v>0</v>
      </c>
      <c r="BE73" s="153" cm="1">
        <f t="array" ref="BE73">IF(OR(BE$4=0, $G73&lt;&gt; $G$7, $E73=0), 'I&amp;E Monthly'!BE73, CHOOSE(Timeline!BE$30,$J73,$K73,$L73 )*INDEX('I&amp;E Profiles'!BE$96:BE$180,$I73))</f>
        <v>0</v>
      </c>
      <c r="BF73" s="153" cm="1">
        <f t="array" ref="BF73">IF(OR(BF$4=0, $G73&lt;&gt; $G$7, $E73=0), 'I&amp;E Monthly'!BF73, CHOOSE(Timeline!BF$30,$J73,$K73,$L73 )*INDEX('I&amp;E Profiles'!BF$96:BF$180,$I73))</f>
        <v>0</v>
      </c>
      <c r="BG73" s="153" cm="1">
        <f t="array" ref="BG73">IF(OR(BG$4=0, $G73&lt;&gt; $G$7, $E73=0), 'I&amp;E Monthly'!BG73, CHOOSE(Timeline!BG$30,$J73,$K73,$L73 )*INDEX('I&amp;E Profiles'!BG$96:BG$180,$I73))</f>
        <v>0</v>
      </c>
      <c r="BH73" s="153" cm="1">
        <f t="array" ref="BH73">IF(OR(BH$4=0, $G73&lt;&gt; $G$7, $E73=0), 'I&amp;E Monthly'!BH73, CHOOSE(Timeline!BH$30,$J73,$K73,$L73 )*INDEX('I&amp;E Profiles'!BH$96:BH$180,$I73))</f>
        <v>0</v>
      </c>
      <c r="BI73" s="153" cm="1">
        <f t="array" ref="BI73">IF(OR(BI$4=0, $G73&lt;&gt; $G$7, $E73=0), 'I&amp;E Monthly'!BI73, CHOOSE(Timeline!BI$30,$J73,$K73,$L73 )*INDEX('I&amp;E Profiles'!BI$96:BI$180,$I73))</f>
        <v>0</v>
      </c>
      <c r="BJ73" s="153" cm="1">
        <f t="array" ref="BJ73">IF(OR(BJ$4=0, $G73&lt;&gt; $G$7, $E73=0), 'I&amp;E Monthly'!BJ73, CHOOSE(Timeline!BJ$30,$J73,$K73,$L73 )*INDEX('I&amp;E Profiles'!BJ$96:BJ$180,$I73))</f>
        <v>0</v>
      </c>
      <c r="BK73" s="335"/>
      <c r="BL73" s="152">
        <f t="shared" si="79"/>
        <v>0</v>
      </c>
      <c r="BM73" s="153">
        <f t="shared" si="80"/>
        <v>0</v>
      </c>
      <c r="BN73" s="153">
        <f t="shared" si="80"/>
        <v>0</v>
      </c>
      <c r="BO73" s="153">
        <f t="shared" si="80"/>
        <v>0</v>
      </c>
      <c r="BP73" s="152">
        <f>'I&amp;E Monthly'!BP73</f>
        <v>0</v>
      </c>
      <c r="BQ73" s="152">
        <f>'I&amp;E Monthly'!BQ73</f>
        <v>0</v>
      </c>
      <c r="BR73" s="152">
        <f>'I&amp;E Monthly'!BR73</f>
        <v>0</v>
      </c>
      <c r="BS73" s="152">
        <f>'I&amp;E Monthly'!BS73</f>
        <v>0</v>
      </c>
      <c r="BT73" s="152">
        <f>'I&amp;E Monthly'!BT73</f>
        <v>0</v>
      </c>
      <c r="BU73" s="152">
        <f>'I&amp;E Monthly'!BU73</f>
        <v>0</v>
      </c>
      <c r="BV73" s="152">
        <f>'I&amp;E Monthly'!BV73</f>
        <v>0</v>
      </c>
      <c r="BW73" s="152">
        <f>'I&amp;E Monthly'!BW73</f>
        <v>0</v>
      </c>
      <c r="BX73" s="335"/>
      <c r="BY73" s="12"/>
      <c r="BZ73" s="363">
        <f t="shared" ca="1" si="81"/>
        <v>0</v>
      </c>
      <c r="CA73" s="12"/>
      <c r="CB73" s="7">
        <f t="shared" si="82"/>
        <v>0</v>
      </c>
      <c r="CC73" s="188" cm="1">
        <f t="array" ref="CC73">IF(E73="",0, IF(_xlfn.IFNA(INDEX('I&amp;E Profiles'!$D$96:$D$180, $I73), "N/A")="N/A", 1, 0))</f>
        <v>0</v>
      </c>
      <c r="CD73" s="7">
        <f t="shared" si="83"/>
        <v>0</v>
      </c>
      <c r="CE73" s="7">
        <f t="shared" si="84"/>
        <v>0</v>
      </c>
      <c r="CF73" s="7">
        <f t="shared" si="85"/>
        <v>0</v>
      </c>
      <c r="CG73" s="12"/>
      <c r="CH73" s="352">
        <f t="shared" si="86"/>
        <v>0</v>
      </c>
      <c r="CI73" s="352">
        <f t="shared" si="87"/>
        <v>0</v>
      </c>
      <c r="CJ73" s="352">
        <f t="shared" si="88"/>
        <v>0</v>
      </c>
      <c r="CK73" s="352">
        <f t="shared" si="89"/>
        <v>0</v>
      </c>
      <c r="CL73" s="352">
        <f t="shared" si="90"/>
        <v>0</v>
      </c>
      <c r="CM73" s="352">
        <f t="shared" si="91"/>
        <v>0</v>
      </c>
      <c r="CN73" s="352">
        <f t="shared" si="92"/>
        <v>0</v>
      </c>
      <c r="EX73" s="10" t="str">
        <f t="shared" si="78"/>
        <v>International students - fee income</v>
      </c>
    </row>
    <row r="74" spans="1:154" ht="30.75" x14ac:dyDescent="0.3">
      <c r="A74" s="362" cm="1">
        <f t="array" aca="1" ref="A74" ca="1">HYPERLINK(CONCATENATE("#",CELL("address",IF(SUM($CA74:$CG74)=0,A74,INDEX($CA74:$CG74,MATCH(1,$CA74:$CG74,0))))),SUM($CA74:$CG74))</f>
        <v>0</v>
      </c>
      <c r="B74" s="479" t="s">
        <v>335</v>
      </c>
      <c r="C74" s="343" t="s">
        <v>465</v>
      </c>
      <c r="D74" s="194" t="s">
        <v>438</v>
      </c>
      <c r="E74" s="147"/>
      <c r="F74" s="98" t="str" cm="1">
        <f t="array" aca="1" ref="F74" ca="1">IF(E74="", "", HYPERLINK(CONCATENATE("#",CELL("address",INDEX('I&amp;E Profiles'!$D$9:$D$93,'I&amp;E Annual'!I74))),E74))</f>
        <v/>
      </c>
      <c r="G74" s="147" t="s">
        <v>211</v>
      </c>
      <c r="H74" s="67" t="s">
        <v>8</v>
      </c>
      <c r="I74" s="350" t="str">
        <f>IF(E74="", "", MATCH(E74, 'I&amp;E Profiles'!$D$96:$D$180,0))</f>
        <v/>
      </c>
      <c r="J74" s="215">
        <f>IF($G74=$G$7, W74,'I&amp;E Monthly'!W74)-SUMIFS('I&amp;E Monthly'!$AA74:$BJ74, 'I&amp;E Monthly'!$AA$3:$BJ$3, 'I&amp;E Annual'!W$3, 'I&amp;E Monthly'!$AA$4:$BJ$4, 0)</f>
        <v>0</v>
      </c>
      <c r="K74" s="215">
        <f>IF($G74=$G$7, X74,'I&amp;E Monthly'!X74)-SUMIFS('I&amp;E Monthly'!$AA74:$BJ74, 'I&amp;E Monthly'!$AA$3:$BJ$3, 'I&amp;E Annual'!X$3, 'I&amp;E Monthly'!$AA$4:$BJ$4, 0)</f>
        <v>25</v>
      </c>
      <c r="L74" s="215">
        <f>IF($G74=$G$7, Y74,'I&amp;E Monthly'!Y74)-SUMIFS('I&amp;E Monthly'!$AA74:$BJ74, 'I&amp;E Monthly'!$AA$3:$BJ$3, 'I&amp;E Annual'!Y$3, 'I&amp;E Monthly'!$AA$4:$BJ$4, 0)</f>
        <v>25</v>
      </c>
      <c r="M74" s="335"/>
      <c r="N74" s="335"/>
      <c r="O74" s="335"/>
      <c r="P74" s="335"/>
      <c r="Q74" s="2"/>
      <c r="R74" s="335"/>
      <c r="S74" s="335"/>
      <c r="T74" s="335"/>
      <c r="U74" s="335"/>
      <c r="V74" s="215">
        <f>'I&amp;E Monthly'!V74</f>
        <v>0</v>
      </c>
      <c r="W74" s="147"/>
      <c r="X74" s="227"/>
      <c r="Y74" s="227"/>
      <c r="Z74" s="335"/>
      <c r="AA74" s="153" cm="1">
        <f t="array" ref="AA74">IF(OR(AA$4=0, $G74&lt;&gt; $G$7, $E74=0), 'I&amp;E Monthly'!AA74, CHOOSE(Timeline!AA$30,$J74,$K74,$L74 )*INDEX('I&amp;E Profiles'!AA$96:AA$180,$I74))</f>
        <v>0</v>
      </c>
      <c r="AB74" s="153" cm="1">
        <f t="array" ref="AB74">IF(OR(AB$4=0, $G74&lt;&gt; $G$7, $E74=0), 'I&amp;E Monthly'!AB74, CHOOSE(Timeline!AB$30,$J74,$K74,$L74 )*INDEX('I&amp;E Profiles'!AB$96:AB$180,$I74))</f>
        <v>1</v>
      </c>
      <c r="AC74" s="153" cm="1">
        <f t="array" ref="AC74">IF(OR(AC$4=0, $G74&lt;&gt; $G$7, $E74=0), 'I&amp;E Monthly'!AC74, CHOOSE(Timeline!AC$30,$J74,$K74,$L74 )*INDEX('I&amp;E Profiles'!AC$96:AC$180,$I74))</f>
        <v>0</v>
      </c>
      <c r="AD74" s="153" cm="1">
        <f t="array" ref="AD74">IF(OR(AD$4=0, $G74&lt;&gt; $G$7, $E74=0), 'I&amp;E Monthly'!AD74, CHOOSE(Timeline!AD$30,$J74,$K74,$L74 )*INDEX('I&amp;E Profiles'!AD$96:AD$180,$I74))</f>
        <v>0</v>
      </c>
      <c r="AE74" s="153" cm="1">
        <f t="array" ref="AE74">IF(OR(AE$4=0, $G74&lt;&gt; $G$7, $E74=0), 'I&amp;E Monthly'!AE74, CHOOSE(Timeline!AE$30,$J74,$K74,$L74 )*INDEX('I&amp;E Profiles'!AE$96:AE$180,$I74))</f>
        <v>0</v>
      </c>
      <c r="AF74" s="153" cm="1">
        <f t="array" ref="AF74">IF(OR(AF$4=0, $G74&lt;&gt; $G$7, $E74=0), 'I&amp;E Monthly'!AF74, CHOOSE(Timeline!AF$30,$J74,$K74,$L74 )*INDEX('I&amp;E Profiles'!AF$96:AF$180,$I74))</f>
        <v>7</v>
      </c>
      <c r="AG74" s="153" cm="1">
        <f t="array" ref="AG74">IF(OR(AG$4=0, $G74&lt;&gt; $G$7, $E74=0), 'I&amp;E Monthly'!AG74, CHOOSE(Timeline!AG$30,$J74,$K74,$L74 )*INDEX('I&amp;E Profiles'!AG$96:AG$180,$I74))</f>
        <v>0</v>
      </c>
      <c r="AH74" s="153" cm="1">
        <f t="array" ref="AH74">IF(OR(AH$4=0, $G74&lt;&gt; $G$7, $E74=0), 'I&amp;E Monthly'!AH74, CHOOSE(Timeline!AH$30,$J74,$K74,$L74 )*INDEX('I&amp;E Profiles'!AH$96:AH$180,$I74))</f>
        <v>-3</v>
      </c>
      <c r="AI74" s="153" cm="1">
        <f t="array" ref="AI74">IF(OR(AI$4=0, $G74&lt;&gt; $G$7, $E74=0), 'I&amp;E Monthly'!AI74, CHOOSE(Timeline!AI$30,$J74,$K74,$L74 )*INDEX('I&amp;E Profiles'!AI$96:AI$180,$I74))</f>
        <v>0</v>
      </c>
      <c r="AJ74" s="153" cm="1">
        <f t="array" ref="AJ74">IF(OR(AJ$4=0, $G74&lt;&gt; $G$7, $E74=0), 'I&amp;E Monthly'!AJ74, CHOOSE(Timeline!AJ$30,$J74,$K74,$L74 )*INDEX('I&amp;E Profiles'!AJ$96:AJ$180,$I74))</f>
        <v>1</v>
      </c>
      <c r="AK74" s="153" cm="1">
        <f t="array" ref="AK74">IF(OR(AK$4=0, $G74&lt;&gt; $G$7, $E74=0), 'I&amp;E Monthly'!AK74, CHOOSE(Timeline!AK$30,$J74,$K74,$L74 )*INDEX('I&amp;E Profiles'!AK$96:AK$180,$I74))</f>
        <v>1</v>
      </c>
      <c r="AL74" s="153" cm="1">
        <f t="array" ref="AL74">IF(OR(AL$4=0, $G74&lt;&gt; $G$7, $E74=0), 'I&amp;E Monthly'!AL74, CHOOSE(Timeline!AL$30,$J74,$K74,$L74 )*INDEX('I&amp;E Profiles'!AL$96:AL$180,$I74))</f>
        <v>0</v>
      </c>
      <c r="AM74" s="153" cm="1">
        <f t="array" ref="AM74">IF(OR(AM$4=0, $G74&lt;&gt; $G$7, $E74=0), 'I&amp;E Monthly'!AM74, CHOOSE(Timeline!AM$30,$J74,$K74,$L74 )*INDEX('I&amp;E Profiles'!AM$96:AM$180,$I74))</f>
        <v>2</v>
      </c>
      <c r="AN74" s="153" cm="1">
        <f t="array" ref="AN74">IF(OR(AN$4=0, $G74&lt;&gt; $G$7, $E74=0), 'I&amp;E Monthly'!AN74, CHOOSE(Timeline!AN$30,$J74,$K74,$L74 )*INDEX('I&amp;E Profiles'!AN$96:AN$180,$I74))</f>
        <v>2</v>
      </c>
      <c r="AO74" s="153" cm="1">
        <f t="array" ref="AO74">IF(OR(AO$4=0, $G74&lt;&gt; $G$7, $E74=0), 'I&amp;E Monthly'!AO74, CHOOSE(Timeline!AO$30,$J74,$K74,$L74 )*INDEX('I&amp;E Profiles'!AO$96:AO$180,$I74))</f>
        <v>2</v>
      </c>
      <c r="AP74" s="153" cm="1">
        <f t="array" ref="AP74">IF(OR(AP$4=0, $G74&lt;&gt; $G$7, $E74=0), 'I&amp;E Monthly'!AP74, CHOOSE(Timeline!AP$30,$J74,$K74,$L74 )*INDEX('I&amp;E Profiles'!AP$96:AP$180,$I74))</f>
        <v>2</v>
      </c>
      <c r="AQ74" s="153" cm="1">
        <f t="array" ref="AQ74">IF(OR(AQ$4=0, $G74&lt;&gt; $G$7, $E74=0), 'I&amp;E Monthly'!AQ74, CHOOSE(Timeline!AQ$30,$J74,$K74,$L74 )*INDEX('I&amp;E Profiles'!AQ$96:AQ$180,$I74))</f>
        <v>2</v>
      </c>
      <c r="AR74" s="153" cm="1">
        <f t="array" ref="AR74">IF(OR(AR$4=0, $G74&lt;&gt; $G$7, $E74=0), 'I&amp;E Monthly'!AR74, CHOOSE(Timeline!AR$30,$J74,$K74,$L74 )*INDEX('I&amp;E Profiles'!AR$96:AR$180,$I74))</f>
        <v>2</v>
      </c>
      <c r="AS74" s="153" cm="1">
        <f t="array" ref="AS74">IF(OR(AS$4=0, $G74&lt;&gt; $G$7, $E74=0), 'I&amp;E Monthly'!AS74, CHOOSE(Timeline!AS$30,$J74,$K74,$L74 )*INDEX('I&amp;E Profiles'!AS$96:AS$180,$I74))</f>
        <v>2</v>
      </c>
      <c r="AT74" s="153" cm="1">
        <f t="array" ref="AT74">IF(OR(AT$4=0, $G74&lt;&gt; $G$7, $E74=0), 'I&amp;E Monthly'!AT74, CHOOSE(Timeline!AT$30,$J74,$K74,$L74 )*INDEX('I&amp;E Profiles'!AT$96:AT$180,$I74))</f>
        <v>2</v>
      </c>
      <c r="AU74" s="153" cm="1">
        <f t="array" ref="AU74">IF(OR(AU$4=0, $G74&lt;&gt; $G$7, $E74=0), 'I&amp;E Monthly'!AU74, CHOOSE(Timeline!AU$30,$J74,$K74,$L74 )*INDEX('I&amp;E Profiles'!AU$96:AU$180,$I74))</f>
        <v>2</v>
      </c>
      <c r="AV74" s="153" cm="1">
        <f t="array" ref="AV74">IF(OR(AV$4=0, $G74&lt;&gt; $G$7, $E74=0), 'I&amp;E Monthly'!AV74, CHOOSE(Timeline!AV$30,$J74,$K74,$L74 )*INDEX('I&amp;E Profiles'!AV$96:AV$180,$I74))</f>
        <v>2</v>
      </c>
      <c r="AW74" s="153" cm="1">
        <f t="array" ref="AW74">IF(OR(AW$4=0, $G74&lt;&gt; $G$7, $E74=0), 'I&amp;E Monthly'!AW74, CHOOSE(Timeline!AW$30,$J74,$K74,$L74 )*INDEX('I&amp;E Profiles'!AW$96:AW$180,$I74))</f>
        <v>2</v>
      </c>
      <c r="AX74" s="153" cm="1">
        <f t="array" ref="AX74">IF(OR(AX$4=0, $G74&lt;&gt; $G$7, $E74=0), 'I&amp;E Monthly'!AX74, CHOOSE(Timeline!AX$30,$J74,$K74,$L74 )*INDEX('I&amp;E Profiles'!AX$96:AX$180,$I74))</f>
        <v>3</v>
      </c>
      <c r="AY74" s="153" cm="1">
        <f t="array" ref="AY74">IF(OR(AY$4=0, $G74&lt;&gt; $G$7, $E74=0), 'I&amp;E Monthly'!AY74, CHOOSE(Timeline!AY$30,$J74,$K74,$L74 )*INDEX('I&amp;E Profiles'!AY$96:AY$180,$I74))</f>
        <v>2</v>
      </c>
      <c r="AZ74" s="153" cm="1">
        <f t="array" ref="AZ74">IF(OR(AZ$4=0, $G74&lt;&gt; $G$7, $E74=0), 'I&amp;E Monthly'!AZ74, CHOOSE(Timeline!AZ$30,$J74,$K74,$L74 )*INDEX('I&amp;E Profiles'!AZ$96:AZ$180,$I74))</f>
        <v>2</v>
      </c>
      <c r="BA74" s="153" cm="1">
        <f t="array" ref="BA74">IF(OR(BA$4=0, $G74&lt;&gt; $G$7, $E74=0), 'I&amp;E Monthly'!BA74, CHOOSE(Timeline!BA$30,$J74,$K74,$L74 )*INDEX('I&amp;E Profiles'!BA$96:BA$180,$I74))</f>
        <v>2</v>
      </c>
      <c r="BB74" s="153" cm="1">
        <f t="array" ref="BB74">IF(OR(BB$4=0, $G74&lt;&gt; $G$7, $E74=0), 'I&amp;E Monthly'!BB74, CHOOSE(Timeline!BB$30,$J74,$K74,$L74 )*INDEX('I&amp;E Profiles'!BB$96:BB$180,$I74))</f>
        <v>2</v>
      </c>
      <c r="BC74" s="153" cm="1">
        <f t="array" ref="BC74">IF(OR(BC$4=0, $G74&lt;&gt; $G$7, $E74=0), 'I&amp;E Monthly'!BC74, CHOOSE(Timeline!BC$30,$J74,$K74,$L74 )*INDEX('I&amp;E Profiles'!BC$96:BC$180,$I74))</f>
        <v>2</v>
      </c>
      <c r="BD74" s="153" cm="1">
        <f t="array" ref="BD74">IF(OR(BD$4=0, $G74&lt;&gt; $G$7, $E74=0), 'I&amp;E Monthly'!BD74, CHOOSE(Timeline!BD$30,$J74,$K74,$L74 )*INDEX('I&amp;E Profiles'!BD$96:BD$180,$I74))</f>
        <v>2</v>
      </c>
      <c r="BE74" s="153" cm="1">
        <f t="array" ref="BE74">IF(OR(BE$4=0, $G74&lt;&gt; $G$7, $E74=0), 'I&amp;E Monthly'!BE74, CHOOSE(Timeline!BE$30,$J74,$K74,$L74 )*INDEX('I&amp;E Profiles'!BE$96:BE$180,$I74))</f>
        <v>2</v>
      </c>
      <c r="BF74" s="153" cm="1">
        <f t="array" ref="BF74">IF(OR(BF$4=0, $G74&lt;&gt; $G$7, $E74=0), 'I&amp;E Monthly'!BF74, CHOOSE(Timeline!BF$30,$J74,$K74,$L74 )*INDEX('I&amp;E Profiles'!BF$96:BF$180,$I74))</f>
        <v>2</v>
      </c>
      <c r="BG74" s="153" cm="1">
        <f t="array" ref="BG74">IF(OR(BG$4=0, $G74&lt;&gt; $G$7, $E74=0), 'I&amp;E Monthly'!BG74, CHOOSE(Timeline!BG$30,$J74,$K74,$L74 )*INDEX('I&amp;E Profiles'!BG$96:BG$180,$I74))</f>
        <v>2</v>
      </c>
      <c r="BH74" s="153" cm="1">
        <f t="array" ref="BH74">IF(OR(BH$4=0, $G74&lt;&gt; $G$7, $E74=0), 'I&amp;E Monthly'!BH74, CHOOSE(Timeline!BH$30,$J74,$K74,$L74 )*INDEX('I&amp;E Profiles'!BH$96:BH$180,$I74))</f>
        <v>2</v>
      </c>
      <c r="BI74" s="153" cm="1">
        <f t="array" ref="BI74">IF(OR(BI$4=0, $G74&lt;&gt; $G$7, $E74=0), 'I&amp;E Monthly'!BI74, CHOOSE(Timeline!BI$30,$J74,$K74,$L74 )*INDEX('I&amp;E Profiles'!BI$96:BI$180,$I74))</f>
        <v>2</v>
      </c>
      <c r="BJ74" s="153" cm="1">
        <f t="array" ref="BJ74">IF(OR(BJ$4=0, $G74&lt;&gt; $G$7, $E74=0), 'I&amp;E Monthly'!BJ74, CHOOSE(Timeline!BJ$30,$J74,$K74,$L74 )*INDEX('I&amp;E Profiles'!BJ$96:BJ$180,$I74))</f>
        <v>3</v>
      </c>
      <c r="BK74" s="335"/>
      <c r="BL74" s="152">
        <f t="shared" si="79"/>
        <v>0</v>
      </c>
      <c r="BM74" s="153">
        <f t="shared" si="80"/>
        <v>7</v>
      </c>
      <c r="BN74" s="153">
        <f t="shared" si="80"/>
        <v>25</v>
      </c>
      <c r="BO74" s="153">
        <f t="shared" si="80"/>
        <v>25</v>
      </c>
      <c r="BP74" s="152">
        <f>'I&amp;E Monthly'!BP74</f>
        <v>0</v>
      </c>
      <c r="BQ74" s="152">
        <f>'I&amp;E Monthly'!BQ74</f>
        <v>0</v>
      </c>
      <c r="BR74" s="152">
        <f>'I&amp;E Monthly'!BR74</f>
        <v>0</v>
      </c>
      <c r="BS74" s="152">
        <f>'I&amp;E Monthly'!BS74</f>
        <v>0</v>
      </c>
      <c r="BT74" s="152">
        <f>'I&amp;E Monthly'!BT74</f>
        <v>0</v>
      </c>
      <c r="BU74" s="152">
        <f>'I&amp;E Monthly'!BU74</f>
        <v>0</v>
      </c>
      <c r="BV74" s="152">
        <f>'I&amp;E Monthly'!BV74</f>
        <v>0</v>
      </c>
      <c r="BW74" s="152">
        <f>'I&amp;E Monthly'!BW74</f>
        <v>0</v>
      </c>
      <c r="BX74" s="335"/>
      <c r="BY74" s="12"/>
      <c r="BZ74" s="363">
        <f t="shared" ca="1" si="81"/>
        <v>0</v>
      </c>
      <c r="CA74" s="12"/>
      <c r="CB74" s="7">
        <f t="shared" si="82"/>
        <v>0</v>
      </c>
      <c r="CC74" s="188" cm="1">
        <f t="array" ref="CC74">IF(E74="",0, IF(_xlfn.IFNA(INDEX('I&amp;E Profiles'!$D$96:$D$180, $I74), "N/A")="N/A", 1, 0))</f>
        <v>0</v>
      </c>
      <c r="CD74" s="7">
        <f t="shared" si="83"/>
        <v>0</v>
      </c>
      <c r="CE74" s="7">
        <f t="shared" si="84"/>
        <v>0</v>
      </c>
      <c r="CF74" s="7">
        <f t="shared" si="85"/>
        <v>0</v>
      </c>
      <c r="CG74" s="12"/>
      <c r="CH74" s="352">
        <f t="shared" si="86"/>
        <v>0</v>
      </c>
      <c r="CI74" s="352">
        <f t="shared" si="87"/>
        <v>0</v>
      </c>
      <c r="CJ74" s="352">
        <f t="shared" si="88"/>
        <v>0</v>
      </c>
      <c r="CK74" s="352">
        <f t="shared" si="89"/>
        <v>0</v>
      </c>
      <c r="CL74" s="352">
        <f t="shared" si="90"/>
        <v>0</v>
      </c>
      <c r="CM74" s="352">
        <f t="shared" si="91"/>
        <v>0</v>
      </c>
      <c r="CN74" s="352">
        <f t="shared" si="92"/>
        <v>0</v>
      </c>
      <c r="EX74" s="10" t="str">
        <f t="shared" si="78"/>
        <v>Total employer contributions contracted apprenticeships</v>
      </c>
    </row>
    <row r="75" spans="1:154" ht="30" x14ac:dyDescent="0.25">
      <c r="A75" s="362" cm="1">
        <f t="array" aca="1" ref="A75" ca="1">HYPERLINK(CONCATENATE("#",CELL("address",IF(SUM($CA75:$CG75)=0,A75,INDEX($CA75:$CG75,MATCH(1,$CA75:$CG75,0))))),SUM($CA75:$CG75))</f>
        <v>0</v>
      </c>
      <c r="B75" s="93"/>
      <c r="C75" s="343" t="s">
        <v>466</v>
      </c>
      <c r="D75" s="194" t="s">
        <v>2280</v>
      </c>
      <c r="E75" s="147"/>
      <c r="F75" s="98" t="str" cm="1">
        <f t="array" aca="1" ref="F75" ca="1">IF(E75="", "", HYPERLINK(CONCATENATE("#",CELL("address",INDEX('I&amp;E Profiles'!$D$9:$D$93,'I&amp;E Annual'!I75))),E75))</f>
        <v/>
      </c>
      <c r="G75" s="372" t="s">
        <v>211</v>
      </c>
      <c r="H75" s="67" t="s">
        <v>8</v>
      </c>
      <c r="I75" s="350" t="str">
        <f>IF(E75="", "", MATCH(E75, 'I&amp;E Profiles'!$D$96:$D$180,0))</f>
        <v/>
      </c>
      <c r="J75" s="215">
        <f>IF($G75=$G$7, W75,'I&amp;E Monthly'!W75)-SUMIFS('I&amp;E Monthly'!$AA75:$BJ75, 'I&amp;E Monthly'!$AA$3:$BJ$3, 'I&amp;E Annual'!W$3, 'I&amp;E Monthly'!$AA$4:$BJ$4, 0)</f>
        <v>0</v>
      </c>
      <c r="K75" s="215">
        <f>IF($G75=$G$7, X75,'I&amp;E Monthly'!X75)-SUMIFS('I&amp;E Monthly'!$AA75:$BJ75, 'I&amp;E Monthly'!$AA$3:$BJ$3, 'I&amp;E Annual'!X$3, 'I&amp;E Monthly'!$AA$4:$BJ$4, 0)</f>
        <v>0</v>
      </c>
      <c r="L75" s="215">
        <f>IF($G75=$G$7, Y75,'I&amp;E Monthly'!Y75)-SUMIFS('I&amp;E Monthly'!$AA75:$BJ75, 'I&amp;E Monthly'!$AA$3:$BJ$3, 'I&amp;E Annual'!Y$3, 'I&amp;E Monthly'!$AA$4:$BJ$4, 0)</f>
        <v>0</v>
      </c>
      <c r="M75" s="335"/>
      <c r="N75" s="335"/>
      <c r="O75" s="335"/>
      <c r="P75" s="335"/>
      <c r="Q75" s="2"/>
      <c r="R75" s="335"/>
      <c r="S75" s="335"/>
      <c r="T75" s="335"/>
      <c r="U75" s="335"/>
      <c r="V75" s="201">
        <f>'I&amp;E Monthly'!V75</f>
        <v>0</v>
      </c>
      <c r="W75" s="354"/>
      <c r="X75" s="198"/>
      <c r="Y75" s="198"/>
      <c r="Z75" s="335"/>
      <c r="AA75" s="153" cm="1">
        <f t="array" ref="AA75">IF(OR(AA$4=0, $G75&lt;&gt; $G$7, $E75=0), 'I&amp;E Monthly'!AA75, CHOOSE(Timeline!AA$30,$J75,$K75,$L75 )*INDEX('I&amp;E Profiles'!AA$96:AA$180,$I75))</f>
        <v>0</v>
      </c>
      <c r="AB75" s="153" cm="1">
        <f t="array" ref="AB75">IF(OR(AB$4=0, $G75&lt;&gt; $G$7, $E75=0), 'I&amp;E Monthly'!AB75, CHOOSE(Timeline!AB$30,$J75,$K75,$L75 )*INDEX('I&amp;E Profiles'!AB$96:AB$180,$I75))</f>
        <v>0</v>
      </c>
      <c r="AC75" s="153" cm="1">
        <f t="array" ref="AC75">IF(OR(AC$4=0, $G75&lt;&gt; $G$7, $E75=0), 'I&amp;E Monthly'!AC75, CHOOSE(Timeline!AC$30,$J75,$K75,$L75 )*INDEX('I&amp;E Profiles'!AC$96:AC$180,$I75))</f>
        <v>0</v>
      </c>
      <c r="AD75" s="153" cm="1">
        <f t="array" ref="AD75">IF(OR(AD$4=0, $G75&lt;&gt; $G$7, $E75=0), 'I&amp;E Monthly'!AD75, CHOOSE(Timeline!AD$30,$J75,$K75,$L75 )*INDEX('I&amp;E Profiles'!AD$96:AD$180,$I75))</f>
        <v>0</v>
      </c>
      <c r="AE75" s="153" cm="1">
        <f t="array" ref="AE75">IF(OR(AE$4=0, $G75&lt;&gt; $G$7, $E75=0), 'I&amp;E Monthly'!AE75, CHOOSE(Timeline!AE$30,$J75,$K75,$L75 )*INDEX('I&amp;E Profiles'!AE$96:AE$180,$I75))</f>
        <v>0</v>
      </c>
      <c r="AF75" s="153" cm="1">
        <f t="array" ref="AF75">IF(OR(AF$4=0, $G75&lt;&gt; $G$7, $E75=0), 'I&amp;E Monthly'!AF75, CHOOSE(Timeline!AF$30,$J75,$K75,$L75 )*INDEX('I&amp;E Profiles'!AF$96:AF$180,$I75))</f>
        <v>0</v>
      </c>
      <c r="AG75" s="153" cm="1">
        <f t="array" ref="AG75">IF(OR(AG$4=0, $G75&lt;&gt; $G$7, $E75=0), 'I&amp;E Monthly'!AG75, CHOOSE(Timeline!AG$30,$J75,$K75,$L75 )*INDEX('I&amp;E Profiles'!AG$96:AG$180,$I75))</f>
        <v>0</v>
      </c>
      <c r="AH75" s="153" cm="1">
        <f t="array" ref="AH75">IF(OR(AH$4=0, $G75&lt;&gt; $G$7, $E75=0), 'I&amp;E Monthly'!AH75, CHOOSE(Timeline!AH$30,$J75,$K75,$L75 )*INDEX('I&amp;E Profiles'!AH$96:AH$180,$I75))</f>
        <v>0</v>
      </c>
      <c r="AI75" s="153" cm="1">
        <f t="array" ref="AI75">IF(OR(AI$4=0, $G75&lt;&gt; $G$7, $E75=0), 'I&amp;E Monthly'!AI75, CHOOSE(Timeline!AI$30,$J75,$K75,$L75 )*INDEX('I&amp;E Profiles'!AI$96:AI$180,$I75))</f>
        <v>0</v>
      </c>
      <c r="AJ75" s="153" cm="1">
        <f t="array" ref="AJ75">IF(OR(AJ$4=0, $G75&lt;&gt; $G$7, $E75=0), 'I&amp;E Monthly'!AJ75, CHOOSE(Timeline!AJ$30,$J75,$K75,$L75 )*INDEX('I&amp;E Profiles'!AJ$96:AJ$180,$I75))</f>
        <v>0</v>
      </c>
      <c r="AK75" s="153" cm="1">
        <f t="array" ref="AK75">IF(OR(AK$4=0, $G75&lt;&gt; $G$7, $E75=0), 'I&amp;E Monthly'!AK75, CHOOSE(Timeline!AK$30,$J75,$K75,$L75 )*INDEX('I&amp;E Profiles'!AK$96:AK$180,$I75))</f>
        <v>0</v>
      </c>
      <c r="AL75" s="153" cm="1">
        <f t="array" ref="AL75">IF(OR(AL$4=0, $G75&lt;&gt; $G$7, $E75=0), 'I&amp;E Monthly'!AL75, CHOOSE(Timeline!AL$30,$J75,$K75,$L75 )*INDEX('I&amp;E Profiles'!AL$96:AL$180,$I75))</f>
        <v>0</v>
      </c>
      <c r="AM75" s="153" cm="1">
        <f t="array" ref="AM75">IF(OR(AM$4=0, $G75&lt;&gt; $G$7, $E75=0), 'I&amp;E Monthly'!AM75, CHOOSE(Timeline!AM$30,$J75,$K75,$L75 )*INDEX('I&amp;E Profiles'!AM$96:AM$180,$I75))</f>
        <v>0</v>
      </c>
      <c r="AN75" s="153" cm="1">
        <f t="array" ref="AN75">IF(OR(AN$4=0, $G75&lt;&gt; $G$7, $E75=0), 'I&amp;E Monthly'!AN75, CHOOSE(Timeline!AN$30,$J75,$K75,$L75 )*INDEX('I&amp;E Profiles'!AN$96:AN$180,$I75))</f>
        <v>0</v>
      </c>
      <c r="AO75" s="153" cm="1">
        <f t="array" ref="AO75">IF(OR(AO$4=0, $G75&lt;&gt; $G$7, $E75=0), 'I&amp;E Monthly'!AO75, CHOOSE(Timeline!AO$30,$J75,$K75,$L75 )*INDEX('I&amp;E Profiles'!AO$96:AO$180,$I75))</f>
        <v>0</v>
      </c>
      <c r="AP75" s="153" cm="1">
        <f t="array" ref="AP75">IF(OR(AP$4=0, $G75&lt;&gt; $G$7, $E75=0), 'I&amp;E Monthly'!AP75, CHOOSE(Timeline!AP$30,$J75,$K75,$L75 )*INDEX('I&amp;E Profiles'!AP$96:AP$180,$I75))</f>
        <v>0</v>
      </c>
      <c r="AQ75" s="153" cm="1">
        <f t="array" ref="AQ75">IF(OR(AQ$4=0, $G75&lt;&gt; $G$7, $E75=0), 'I&amp;E Monthly'!AQ75, CHOOSE(Timeline!AQ$30,$J75,$K75,$L75 )*INDEX('I&amp;E Profiles'!AQ$96:AQ$180,$I75))</f>
        <v>0</v>
      </c>
      <c r="AR75" s="153" cm="1">
        <f t="array" ref="AR75">IF(OR(AR$4=0, $G75&lt;&gt; $G$7, $E75=0), 'I&amp;E Monthly'!AR75, CHOOSE(Timeline!AR$30,$J75,$K75,$L75 )*INDEX('I&amp;E Profiles'!AR$96:AR$180,$I75))</f>
        <v>0</v>
      </c>
      <c r="AS75" s="153" cm="1">
        <f t="array" ref="AS75">IF(OR(AS$4=0, $G75&lt;&gt; $G$7, $E75=0), 'I&amp;E Monthly'!AS75, CHOOSE(Timeline!AS$30,$J75,$K75,$L75 )*INDEX('I&amp;E Profiles'!AS$96:AS$180,$I75))</f>
        <v>0</v>
      </c>
      <c r="AT75" s="153" cm="1">
        <f t="array" ref="AT75">IF(OR(AT$4=0, $G75&lt;&gt; $G$7, $E75=0), 'I&amp;E Monthly'!AT75, CHOOSE(Timeline!AT$30,$J75,$K75,$L75 )*INDEX('I&amp;E Profiles'!AT$96:AT$180,$I75))</f>
        <v>0</v>
      </c>
      <c r="AU75" s="153" cm="1">
        <f t="array" ref="AU75">IF(OR(AU$4=0, $G75&lt;&gt; $G$7, $E75=0), 'I&amp;E Monthly'!AU75, CHOOSE(Timeline!AU$30,$J75,$K75,$L75 )*INDEX('I&amp;E Profiles'!AU$96:AU$180,$I75))</f>
        <v>0</v>
      </c>
      <c r="AV75" s="153" cm="1">
        <f t="array" ref="AV75">IF(OR(AV$4=0, $G75&lt;&gt; $G$7, $E75=0), 'I&amp;E Monthly'!AV75, CHOOSE(Timeline!AV$30,$J75,$K75,$L75 )*INDEX('I&amp;E Profiles'!AV$96:AV$180,$I75))</f>
        <v>0</v>
      </c>
      <c r="AW75" s="153" cm="1">
        <f t="array" ref="AW75">IF(OR(AW$4=0, $G75&lt;&gt; $G$7, $E75=0), 'I&amp;E Monthly'!AW75, CHOOSE(Timeline!AW$30,$J75,$K75,$L75 )*INDEX('I&amp;E Profiles'!AW$96:AW$180,$I75))</f>
        <v>0</v>
      </c>
      <c r="AX75" s="153" cm="1">
        <f t="array" ref="AX75">IF(OR(AX$4=0, $G75&lt;&gt; $G$7, $E75=0), 'I&amp;E Monthly'!AX75, CHOOSE(Timeline!AX$30,$J75,$K75,$L75 )*INDEX('I&amp;E Profiles'!AX$96:AX$180,$I75))</f>
        <v>0</v>
      </c>
      <c r="AY75" s="153" cm="1">
        <f t="array" ref="AY75">IF(OR(AY$4=0, $G75&lt;&gt; $G$7, $E75=0), 'I&amp;E Monthly'!AY75, CHOOSE(Timeline!AY$30,$J75,$K75,$L75 )*INDEX('I&amp;E Profiles'!AY$96:AY$180,$I75))</f>
        <v>0</v>
      </c>
      <c r="AZ75" s="153" cm="1">
        <f t="array" ref="AZ75">IF(OR(AZ$4=0, $G75&lt;&gt; $G$7, $E75=0), 'I&amp;E Monthly'!AZ75, CHOOSE(Timeline!AZ$30,$J75,$K75,$L75 )*INDEX('I&amp;E Profiles'!AZ$96:AZ$180,$I75))</f>
        <v>0</v>
      </c>
      <c r="BA75" s="153" cm="1">
        <f t="array" ref="BA75">IF(OR(BA$4=0, $G75&lt;&gt; $G$7, $E75=0), 'I&amp;E Monthly'!BA75, CHOOSE(Timeline!BA$30,$J75,$K75,$L75 )*INDEX('I&amp;E Profiles'!BA$96:BA$180,$I75))</f>
        <v>0</v>
      </c>
      <c r="BB75" s="153" cm="1">
        <f t="array" ref="BB75">IF(OR(BB$4=0, $G75&lt;&gt; $G$7, $E75=0), 'I&amp;E Monthly'!BB75, CHOOSE(Timeline!BB$30,$J75,$K75,$L75 )*INDEX('I&amp;E Profiles'!BB$96:BB$180,$I75))</f>
        <v>0</v>
      </c>
      <c r="BC75" s="153" cm="1">
        <f t="array" ref="BC75">IF(OR(BC$4=0, $G75&lt;&gt; $G$7, $E75=0), 'I&amp;E Monthly'!BC75, CHOOSE(Timeline!BC$30,$J75,$K75,$L75 )*INDEX('I&amp;E Profiles'!BC$96:BC$180,$I75))</f>
        <v>0</v>
      </c>
      <c r="BD75" s="153" cm="1">
        <f t="array" ref="BD75">IF(OR(BD$4=0, $G75&lt;&gt; $G$7, $E75=0), 'I&amp;E Monthly'!BD75, CHOOSE(Timeline!BD$30,$J75,$K75,$L75 )*INDEX('I&amp;E Profiles'!BD$96:BD$180,$I75))</f>
        <v>0</v>
      </c>
      <c r="BE75" s="153" cm="1">
        <f t="array" ref="BE75">IF(OR(BE$4=0, $G75&lt;&gt; $G$7, $E75=0), 'I&amp;E Monthly'!BE75, CHOOSE(Timeline!BE$30,$J75,$K75,$L75 )*INDEX('I&amp;E Profiles'!BE$96:BE$180,$I75))</f>
        <v>0</v>
      </c>
      <c r="BF75" s="153" cm="1">
        <f t="array" ref="BF75">IF(OR(BF$4=0, $G75&lt;&gt; $G$7, $E75=0), 'I&amp;E Monthly'!BF75, CHOOSE(Timeline!BF$30,$J75,$K75,$L75 )*INDEX('I&amp;E Profiles'!BF$96:BF$180,$I75))</f>
        <v>0</v>
      </c>
      <c r="BG75" s="153" cm="1">
        <f t="array" ref="BG75">IF(OR(BG$4=0, $G75&lt;&gt; $G$7, $E75=0), 'I&amp;E Monthly'!BG75, CHOOSE(Timeline!BG$30,$J75,$K75,$L75 )*INDEX('I&amp;E Profiles'!BG$96:BG$180,$I75))</f>
        <v>0</v>
      </c>
      <c r="BH75" s="153" cm="1">
        <f t="array" ref="BH75">IF(OR(BH$4=0, $G75&lt;&gt; $G$7, $E75=0), 'I&amp;E Monthly'!BH75, CHOOSE(Timeline!BH$30,$J75,$K75,$L75 )*INDEX('I&amp;E Profiles'!BH$96:BH$180,$I75))</f>
        <v>0</v>
      </c>
      <c r="BI75" s="153" cm="1">
        <f t="array" ref="BI75">IF(OR(BI$4=0, $G75&lt;&gt; $G$7, $E75=0), 'I&amp;E Monthly'!BI75, CHOOSE(Timeline!BI$30,$J75,$K75,$L75 )*INDEX('I&amp;E Profiles'!BI$96:BI$180,$I75))</f>
        <v>0</v>
      </c>
      <c r="BJ75" s="153" cm="1">
        <f t="array" ref="BJ75">IF(OR(BJ$4=0, $G75&lt;&gt; $G$7, $E75=0), 'I&amp;E Monthly'!BJ75, CHOOSE(Timeline!BJ$30,$J75,$K75,$L75 )*INDEX('I&amp;E Profiles'!BJ$96:BJ$180,$I75))</f>
        <v>0</v>
      </c>
      <c r="BK75" s="335"/>
      <c r="BL75" s="13">
        <f t="shared" si="79"/>
        <v>0</v>
      </c>
      <c r="BM75" s="153">
        <f t="shared" si="80"/>
        <v>0</v>
      </c>
      <c r="BN75" s="153">
        <f t="shared" si="80"/>
        <v>0</v>
      </c>
      <c r="BO75" s="153">
        <f t="shared" si="80"/>
        <v>0</v>
      </c>
      <c r="BP75" s="13">
        <f>'I&amp;E Monthly'!BP75</f>
        <v>0</v>
      </c>
      <c r="BQ75" s="13">
        <f>'I&amp;E Monthly'!BQ75</f>
        <v>0</v>
      </c>
      <c r="BR75" s="13">
        <f>'I&amp;E Monthly'!BR75</f>
        <v>0</v>
      </c>
      <c r="BS75" s="13">
        <f>'I&amp;E Monthly'!BS75</f>
        <v>0</v>
      </c>
      <c r="BT75" s="13">
        <f>'I&amp;E Monthly'!BT75</f>
        <v>0</v>
      </c>
      <c r="BU75" s="13">
        <f>'I&amp;E Monthly'!BU75</f>
        <v>0</v>
      </c>
      <c r="BV75" s="13">
        <f>'I&amp;E Monthly'!BV75</f>
        <v>0</v>
      </c>
      <c r="BW75" s="13">
        <f>'I&amp;E Monthly'!BW75</f>
        <v>0</v>
      </c>
      <c r="BX75" s="335"/>
      <c r="BY75" s="12"/>
      <c r="BZ75" s="363">
        <f t="shared" ca="1" si="81"/>
        <v>0</v>
      </c>
      <c r="CA75" s="12"/>
      <c r="CB75" s="7">
        <f t="shared" si="82"/>
        <v>0</v>
      </c>
      <c r="CC75" s="188" cm="1">
        <f t="array" ref="CC75">IF(E75="",0, IF(_xlfn.IFNA(INDEX('I&amp;E Profiles'!$D$96:$D$180, $I75), "N/A")="N/A", 1, 0))</f>
        <v>0</v>
      </c>
      <c r="CD75" s="7">
        <f t="shared" si="83"/>
        <v>0</v>
      </c>
      <c r="CE75" s="7">
        <f t="shared" si="84"/>
        <v>0</v>
      </c>
      <c r="CF75" s="7">
        <f t="shared" si="85"/>
        <v>0</v>
      </c>
      <c r="CG75" s="12"/>
      <c r="CH75" s="352">
        <f t="shared" si="86"/>
        <v>0</v>
      </c>
      <c r="CI75" s="352">
        <f t="shared" si="87"/>
        <v>0</v>
      </c>
      <c r="CJ75" s="352">
        <f t="shared" si="88"/>
        <v>0</v>
      </c>
      <c r="CK75" s="352">
        <f t="shared" si="89"/>
        <v>0</v>
      </c>
      <c r="CL75" s="352">
        <f t="shared" si="90"/>
        <v>0</v>
      </c>
      <c r="CM75" s="352">
        <f t="shared" si="91"/>
        <v>0</v>
      </c>
      <c r="CN75" s="352">
        <f t="shared" si="92"/>
        <v>0</v>
      </c>
      <c r="EX75" s="10" t="str">
        <f t="shared" si="78"/>
        <v>Other fees (including non-apprenticeship co-funded)</v>
      </c>
    </row>
    <row r="76" spans="1:154" x14ac:dyDescent="0.25">
      <c r="A76" s="362" cm="1">
        <f t="array" aca="1" ref="A76" ca="1">HYPERLINK(CONCATENATE("#",CELL("address",IF(SUM($CA76:$CG76)=0,A76,INDEX($CA76:$CG76,MATCH(1,$CA76:$CG76,0))))),SUM($CA76:$CG76))</f>
        <v>0</v>
      </c>
      <c r="B76" s="335"/>
      <c r="C76" s="343" t="s">
        <v>467</v>
      </c>
      <c r="D76" s="434" t="s">
        <v>2281</v>
      </c>
      <c r="E76" s="147"/>
      <c r="F76" s="98" t="str" cm="1">
        <f t="array" aca="1" ref="F76" ca="1">IF(E76="", "", HYPERLINK(CONCATENATE("#",CELL("address",INDEX('I&amp;E Profiles'!$D$9:$D$93,'I&amp;E Annual'!I76))),E76))</f>
        <v/>
      </c>
      <c r="G76" s="372" t="s">
        <v>211</v>
      </c>
      <c r="H76" s="67" t="s">
        <v>8</v>
      </c>
      <c r="I76" s="350" t="str">
        <f>IF(E76="", "", MATCH(E76, 'I&amp;E Profiles'!$D$96:$D$180,0))</f>
        <v/>
      </c>
      <c r="J76" s="215">
        <f>IF($G76=$G$7, W76,'I&amp;E Monthly'!W76)-SUMIFS('I&amp;E Monthly'!$AA76:$BJ76, 'I&amp;E Monthly'!$AA$3:$BJ$3, 'I&amp;E Annual'!W$3, 'I&amp;E Monthly'!$AA$4:$BJ$4, 0)</f>
        <v>0</v>
      </c>
      <c r="K76" s="215">
        <f>IF($G76=$G$7, X76,'I&amp;E Monthly'!X76)-SUMIFS('I&amp;E Monthly'!$AA76:$BJ76, 'I&amp;E Monthly'!$AA$3:$BJ$3, 'I&amp;E Annual'!X$3, 'I&amp;E Monthly'!$AA$4:$BJ$4, 0)</f>
        <v>0</v>
      </c>
      <c r="L76" s="215">
        <f>IF($G76=$G$7, Y76,'I&amp;E Monthly'!Y76)-SUMIFS('I&amp;E Monthly'!$AA76:$BJ76, 'I&amp;E Monthly'!$AA$3:$BJ$3, 'I&amp;E Annual'!Y$3, 'I&amp;E Monthly'!$AA$4:$BJ$4, 0)</f>
        <v>0</v>
      </c>
      <c r="M76" s="335"/>
      <c r="N76" s="335"/>
      <c r="O76" s="335"/>
      <c r="P76" s="335"/>
      <c r="Q76" s="2"/>
      <c r="R76" s="335"/>
      <c r="S76" s="335"/>
      <c r="T76" s="335"/>
      <c r="U76" s="335"/>
      <c r="V76" s="201">
        <f>'I&amp;E Monthly'!V76</f>
        <v>0</v>
      </c>
      <c r="W76" s="354"/>
      <c r="X76" s="198"/>
      <c r="Y76" s="198"/>
      <c r="Z76" s="335"/>
      <c r="AA76" s="153" cm="1">
        <f t="array" ref="AA76">IF(OR(AA$4=0, $G76&lt;&gt; $G$7, $E76=0), 'I&amp;E Monthly'!AA76, CHOOSE(Timeline!AA$30,$J76,$K76,$L76 )*INDEX('I&amp;E Profiles'!AA$96:AA$180,$I76))</f>
        <v>0</v>
      </c>
      <c r="AB76" s="153" cm="1">
        <f t="array" ref="AB76">IF(OR(AB$4=0, $G76&lt;&gt; $G$7, $E76=0), 'I&amp;E Monthly'!AB76, CHOOSE(Timeline!AB$30,$J76,$K76,$L76 )*INDEX('I&amp;E Profiles'!AB$96:AB$180,$I76))</f>
        <v>0</v>
      </c>
      <c r="AC76" s="153" cm="1">
        <f t="array" ref="AC76">IF(OR(AC$4=0, $G76&lt;&gt; $G$7, $E76=0), 'I&amp;E Monthly'!AC76, CHOOSE(Timeline!AC$30,$J76,$K76,$L76 )*INDEX('I&amp;E Profiles'!AC$96:AC$180,$I76))</f>
        <v>0</v>
      </c>
      <c r="AD76" s="153" cm="1">
        <f t="array" ref="AD76">IF(OR(AD$4=0, $G76&lt;&gt; $G$7, $E76=0), 'I&amp;E Monthly'!AD76, CHOOSE(Timeline!AD$30,$J76,$K76,$L76 )*INDEX('I&amp;E Profiles'!AD$96:AD$180,$I76))</f>
        <v>0</v>
      </c>
      <c r="AE76" s="153" cm="1">
        <f t="array" ref="AE76">IF(OR(AE$4=0, $G76&lt;&gt; $G$7, $E76=0), 'I&amp;E Monthly'!AE76, CHOOSE(Timeline!AE$30,$J76,$K76,$L76 )*INDEX('I&amp;E Profiles'!AE$96:AE$180,$I76))</f>
        <v>0</v>
      </c>
      <c r="AF76" s="153" cm="1">
        <f t="array" ref="AF76">IF(OR(AF$4=0, $G76&lt;&gt; $G$7, $E76=0), 'I&amp;E Monthly'!AF76, CHOOSE(Timeline!AF$30,$J76,$K76,$L76 )*INDEX('I&amp;E Profiles'!AF$96:AF$180,$I76))</f>
        <v>0</v>
      </c>
      <c r="AG76" s="153" cm="1">
        <f t="array" ref="AG76">IF(OR(AG$4=0, $G76&lt;&gt; $G$7, $E76=0), 'I&amp;E Monthly'!AG76, CHOOSE(Timeline!AG$30,$J76,$K76,$L76 )*INDEX('I&amp;E Profiles'!AG$96:AG$180,$I76))</f>
        <v>0</v>
      </c>
      <c r="AH76" s="153" cm="1">
        <f t="array" ref="AH76">IF(OR(AH$4=0, $G76&lt;&gt; $G$7, $E76=0), 'I&amp;E Monthly'!AH76, CHOOSE(Timeline!AH$30,$J76,$K76,$L76 )*INDEX('I&amp;E Profiles'!AH$96:AH$180,$I76))</f>
        <v>0</v>
      </c>
      <c r="AI76" s="153" cm="1">
        <f t="array" ref="AI76">IF(OR(AI$4=0, $G76&lt;&gt; $G$7, $E76=0), 'I&amp;E Monthly'!AI76, CHOOSE(Timeline!AI$30,$J76,$K76,$L76 )*INDEX('I&amp;E Profiles'!AI$96:AI$180,$I76))</f>
        <v>0</v>
      </c>
      <c r="AJ76" s="153" cm="1">
        <f t="array" ref="AJ76">IF(OR(AJ$4=0, $G76&lt;&gt; $G$7, $E76=0), 'I&amp;E Monthly'!AJ76, CHOOSE(Timeline!AJ$30,$J76,$K76,$L76 )*INDEX('I&amp;E Profiles'!AJ$96:AJ$180,$I76))</f>
        <v>0</v>
      </c>
      <c r="AK76" s="153" cm="1">
        <f t="array" ref="AK76">IF(OR(AK$4=0, $G76&lt;&gt; $G$7, $E76=0), 'I&amp;E Monthly'!AK76, CHOOSE(Timeline!AK$30,$J76,$K76,$L76 )*INDEX('I&amp;E Profiles'!AK$96:AK$180,$I76))</f>
        <v>0</v>
      </c>
      <c r="AL76" s="153" cm="1">
        <f t="array" ref="AL76">IF(OR(AL$4=0, $G76&lt;&gt; $G$7, $E76=0), 'I&amp;E Monthly'!AL76, CHOOSE(Timeline!AL$30,$J76,$K76,$L76 )*INDEX('I&amp;E Profiles'!AL$96:AL$180,$I76))</f>
        <v>0</v>
      </c>
      <c r="AM76" s="153" cm="1">
        <f t="array" ref="AM76">IF(OR(AM$4=0, $G76&lt;&gt; $G$7, $E76=0), 'I&amp;E Monthly'!AM76, CHOOSE(Timeline!AM$30,$J76,$K76,$L76 )*INDEX('I&amp;E Profiles'!AM$96:AM$180,$I76))</f>
        <v>0</v>
      </c>
      <c r="AN76" s="153" cm="1">
        <f t="array" ref="AN76">IF(OR(AN$4=0, $G76&lt;&gt; $G$7, $E76=0), 'I&amp;E Monthly'!AN76, CHOOSE(Timeline!AN$30,$J76,$K76,$L76 )*INDEX('I&amp;E Profiles'!AN$96:AN$180,$I76))</f>
        <v>0</v>
      </c>
      <c r="AO76" s="153" cm="1">
        <f t="array" ref="AO76">IF(OR(AO$4=0, $G76&lt;&gt; $G$7, $E76=0), 'I&amp;E Monthly'!AO76, CHOOSE(Timeline!AO$30,$J76,$K76,$L76 )*INDEX('I&amp;E Profiles'!AO$96:AO$180,$I76))</f>
        <v>0</v>
      </c>
      <c r="AP76" s="153" cm="1">
        <f t="array" ref="AP76">IF(OR(AP$4=0, $G76&lt;&gt; $G$7, $E76=0), 'I&amp;E Monthly'!AP76, CHOOSE(Timeline!AP$30,$J76,$K76,$L76 )*INDEX('I&amp;E Profiles'!AP$96:AP$180,$I76))</f>
        <v>0</v>
      </c>
      <c r="AQ76" s="153" cm="1">
        <f t="array" ref="AQ76">IF(OR(AQ$4=0, $G76&lt;&gt; $G$7, $E76=0), 'I&amp;E Monthly'!AQ76, CHOOSE(Timeline!AQ$30,$J76,$K76,$L76 )*INDEX('I&amp;E Profiles'!AQ$96:AQ$180,$I76))</f>
        <v>0</v>
      </c>
      <c r="AR76" s="153" cm="1">
        <f t="array" ref="AR76">IF(OR(AR$4=0, $G76&lt;&gt; $G$7, $E76=0), 'I&amp;E Monthly'!AR76, CHOOSE(Timeline!AR$30,$J76,$K76,$L76 )*INDEX('I&amp;E Profiles'!AR$96:AR$180,$I76))</f>
        <v>0</v>
      </c>
      <c r="AS76" s="153" cm="1">
        <f t="array" ref="AS76">IF(OR(AS$4=0, $G76&lt;&gt; $G$7, $E76=0), 'I&amp;E Monthly'!AS76, CHOOSE(Timeline!AS$30,$J76,$K76,$L76 )*INDEX('I&amp;E Profiles'!AS$96:AS$180,$I76))</f>
        <v>0</v>
      </c>
      <c r="AT76" s="153" cm="1">
        <f t="array" ref="AT76">IF(OR(AT$4=0, $G76&lt;&gt; $G$7, $E76=0), 'I&amp;E Monthly'!AT76, CHOOSE(Timeline!AT$30,$J76,$K76,$L76 )*INDEX('I&amp;E Profiles'!AT$96:AT$180,$I76))</f>
        <v>0</v>
      </c>
      <c r="AU76" s="153" cm="1">
        <f t="array" ref="AU76">IF(OR(AU$4=0, $G76&lt;&gt; $G$7, $E76=0), 'I&amp;E Monthly'!AU76, CHOOSE(Timeline!AU$30,$J76,$K76,$L76 )*INDEX('I&amp;E Profiles'!AU$96:AU$180,$I76))</f>
        <v>0</v>
      </c>
      <c r="AV76" s="153" cm="1">
        <f t="array" ref="AV76">IF(OR(AV$4=0, $G76&lt;&gt; $G$7, $E76=0), 'I&amp;E Monthly'!AV76, CHOOSE(Timeline!AV$30,$J76,$K76,$L76 )*INDEX('I&amp;E Profiles'!AV$96:AV$180,$I76))</f>
        <v>0</v>
      </c>
      <c r="AW76" s="153" cm="1">
        <f t="array" ref="AW76">IF(OR(AW$4=0, $G76&lt;&gt; $G$7, $E76=0), 'I&amp;E Monthly'!AW76, CHOOSE(Timeline!AW$30,$J76,$K76,$L76 )*INDEX('I&amp;E Profiles'!AW$96:AW$180,$I76))</f>
        <v>0</v>
      </c>
      <c r="AX76" s="153" cm="1">
        <f t="array" ref="AX76">IF(OR(AX$4=0, $G76&lt;&gt; $G$7, $E76=0), 'I&amp;E Monthly'!AX76, CHOOSE(Timeline!AX$30,$J76,$K76,$L76 )*INDEX('I&amp;E Profiles'!AX$96:AX$180,$I76))</f>
        <v>0</v>
      </c>
      <c r="AY76" s="153" cm="1">
        <f t="array" ref="AY76">IF(OR(AY$4=0, $G76&lt;&gt; $G$7, $E76=0), 'I&amp;E Monthly'!AY76, CHOOSE(Timeline!AY$30,$J76,$K76,$L76 )*INDEX('I&amp;E Profiles'!AY$96:AY$180,$I76))</f>
        <v>0</v>
      </c>
      <c r="AZ76" s="153" cm="1">
        <f t="array" ref="AZ76">IF(OR(AZ$4=0, $G76&lt;&gt; $G$7, $E76=0), 'I&amp;E Monthly'!AZ76, CHOOSE(Timeline!AZ$30,$J76,$K76,$L76 )*INDEX('I&amp;E Profiles'!AZ$96:AZ$180,$I76))</f>
        <v>0</v>
      </c>
      <c r="BA76" s="153" cm="1">
        <f t="array" ref="BA76">IF(OR(BA$4=0, $G76&lt;&gt; $G$7, $E76=0), 'I&amp;E Monthly'!BA76, CHOOSE(Timeline!BA$30,$J76,$K76,$L76 )*INDEX('I&amp;E Profiles'!BA$96:BA$180,$I76))</f>
        <v>0</v>
      </c>
      <c r="BB76" s="153" cm="1">
        <f t="array" ref="BB76">IF(OR(BB$4=0, $G76&lt;&gt; $G$7, $E76=0), 'I&amp;E Monthly'!BB76, CHOOSE(Timeline!BB$30,$J76,$K76,$L76 )*INDEX('I&amp;E Profiles'!BB$96:BB$180,$I76))</f>
        <v>0</v>
      </c>
      <c r="BC76" s="153" cm="1">
        <f t="array" ref="BC76">IF(OR(BC$4=0, $G76&lt;&gt; $G$7, $E76=0), 'I&amp;E Monthly'!BC76, CHOOSE(Timeline!BC$30,$J76,$K76,$L76 )*INDEX('I&amp;E Profiles'!BC$96:BC$180,$I76))</f>
        <v>0</v>
      </c>
      <c r="BD76" s="153" cm="1">
        <f t="array" ref="BD76">IF(OR(BD$4=0, $G76&lt;&gt; $G$7, $E76=0), 'I&amp;E Monthly'!BD76, CHOOSE(Timeline!BD$30,$J76,$K76,$L76 )*INDEX('I&amp;E Profiles'!BD$96:BD$180,$I76))</f>
        <v>0</v>
      </c>
      <c r="BE76" s="153" cm="1">
        <f t="array" ref="BE76">IF(OR(BE$4=0, $G76&lt;&gt; $G$7, $E76=0), 'I&amp;E Monthly'!BE76, CHOOSE(Timeline!BE$30,$J76,$K76,$L76 )*INDEX('I&amp;E Profiles'!BE$96:BE$180,$I76))</f>
        <v>0</v>
      </c>
      <c r="BF76" s="153" cm="1">
        <f t="array" ref="BF76">IF(OR(BF$4=0, $G76&lt;&gt; $G$7, $E76=0), 'I&amp;E Monthly'!BF76, CHOOSE(Timeline!BF$30,$J76,$K76,$L76 )*INDEX('I&amp;E Profiles'!BF$96:BF$180,$I76))</f>
        <v>0</v>
      </c>
      <c r="BG76" s="153" cm="1">
        <f t="array" ref="BG76">IF(OR(BG$4=0, $G76&lt;&gt; $G$7, $E76=0), 'I&amp;E Monthly'!BG76, CHOOSE(Timeline!BG$30,$J76,$K76,$L76 )*INDEX('I&amp;E Profiles'!BG$96:BG$180,$I76))</f>
        <v>0</v>
      </c>
      <c r="BH76" s="153" cm="1">
        <f t="array" ref="BH76">IF(OR(BH$4=0, $G76&lt;&gt; $G$7, $E76=0), 'I&amp;E Monthly'!BH76, CHOOSE(Timeline!BH$30,$J76,$K76,$L76 )*INDEX('I&amp;E Profiles'!BH$96:BH$180,$I76))</f>
        <v>0</v>
      </c>
      <c r="BI76" s="153" cm="1">
        <f t="array" ref="BI76">IF(OR(BI$4=0, $G76&lt;&gt; $G$7, $E76=0), 'I&amp;E Monthly'!BI76, CHOOSE(Timeline!BI$30,$J76,$K76,$L76 )*INDEX('I&amp;E Profiles'!BI$96:BI$180,$I76))</f>
        <v>0</v>
      </c>
      <c r="BJ76" s="153" cm="1">
        <f t="array" ref="BJ76">IF(OR(BJ$4=0, $G76&lt;&gt; $G$7, $E76=0), 'I&amp;E Monthly'!BJ76, CHOOSE(Timeline!BJ$30,$J76,$K76,$L76 )*INDEX('I&amp;E Profiles'!BJ$96:BJ$180,$I76))</f>
        <v>0</v>
      </c>
      <c r="BK76" s="335"/>
      <c r="BL76" s="13">
        <f t="shared" si="79"/>
        <v>0</v>
      </c>
      <c r="BM76" s="153">
        <f t="shared" si="80"/>
        <v>0</v>
      </c>
      <c r="BN76" s="153">
        <f t="shared" si="80"/>
        <v>0</v>
      </c>
      <c r="BO76" s="153">
        <f t="shared" si="80"/>
        <v>0</v>
      </c>
      <c r="BP76" s="13">
        <f>'I&amp;E Monthly'!BP76</f>
        <v>0</v>
      </c>
      <c r="BQ76" s="13">
        <f>'I&amp;E Monthly'!BQ76</f>
        <v>0</v>
      </c>
      <c r="BR76" s="13">
        <f>'I&amp;E Monthly'!BR76</f>
        <v>0</v>
      </c>
      <c r="BS76" s="13">
        <f>'I&amp;E Monthly'!BS76</f>
        <v>0</v>
      </c>
      <c r="BT76" s="13">
        <f>'I&amp;E Monthly'!BT76</f>
        <v>0</v>
      </c>
      <c r="BU76" s="13">
        <f>'I&amp;E Monthly'!BU76</f>
        <v>0</v>
      </c>
      <c r="BV76" s="13">
        <f>'I&amp;E Monthly'!BV76</f>
        <v>0</v>
      </c>
      <c r="BW76" s="13">
        <f>'I&amp;E Monthly'!BW76</f>
        <v>0</v>
      </c>
      <c r="BX76" s="335"/>
      <c r="BY76" s="12"/>
      <c r="BZ76" s="363">
        <f t="shared" ca="1" si="81"/>
        <v>0</v>
      </c>
      <c r="CA76" s="12"/>
      <c r="CB76" s="7">
        <f t="shared" si="82"/>
        <v>0</v>
      </c>
      <c r="CC76" s="188" cm="1">
        <f t="array" ref="CC76">IF(E76="",0, IF(_xlfn.IFNA(INDEX('I&amp;E Profiles'!$D$96:$D$180, $I76), "N/A")="N/A", 1, 0))</f>
        <v>0</v>
      </c>
      <c r="CD76" s="7">
        <f t="shared" si="83"/>
        <v>0</v>
      </c>
      <c r="CE76" s="7">
        <f t="shared" si="84"/>
        <v>0</v>
      </c>
      <c r="CF76" s="7">
        <f t="shared" si="85"/>
        <v>0</v>
      </c>
      <c r="CG76" s="12"/>
      <c r="CH76" s="352">
        <f t="shared" si="86"/>
        <v>0</v>
      </c>
      <c r="CI76" s="352">
        <f t="shared" si="87"/>
        <v>0</v>
      </c>
      <c r="CJ76" s="352">
        <f t="shared" si="88"/>
        <v>0</v>
      </c>
      <c r="CK76" s="352">
        <f t="shared" si="89"/>
        <v>0</v>
      </c>
      <c r="CL76" s="352">
        <f t="shared" si="90"/>
        <v>0</v>
      </c>
      <c r="CM76" s="352">
        <f t="shared" si="91"/>
        <v>0</v>
      </c>
      <c r="CN76" s="352">
        <f t="shared" si="92"/>
        <v>0</v>
      </c>
      <c r="EX76" s="10" t="str">
        <f t="shared" si="78"/>
        <v>LEP learning provision activities</v>
      </c>
    </row>
    <row r="77" spans="1:154" ht="30" x14ac:dyDescent="0.25">
      <c r="A77" s="362" cm="1">
        <f t="array" aca="1" ref="A77" ca="1">HYPERLINK(CONCATENATE("#",CELL("address",IF(SUM($CA77:$CG77)=0,A77,INDEX($CA77:$CG77,MATCH(1,$CA77:$CG77,0))))),SUM($CA77:$CG77))</f>
        <v>0</v>
      </c>
      <c r="B77" s="93"/>
      <c r="C77" s="343" t="s">
        <v>833</v>
      </c>
      <c r="D77" s="194" t="s">
        <v>461</v>
      </c>
      <c r="E77" s="147"/>
      <c r="F77" s="98" t="str" cm="1">
        <f t="array" aca="1" ref="F77" ca="1">IF(E77="", "", HYPERLINK(CONCATENATE("#",CELL("address",INDEX('I&amp;E Profiles'!$D$9:$D$93,'I&amp;E Annual'!I77))),E77))</f>
        <v/>
      </c>
      <c r="G77" s="147" t="s">
        <v>211</v>
      </c>
      <c r="H77" s="319" t="s">
        <v>8</v>
      </c>
      <c r="I77" s="350" t="str">
        <f>IF(E77="", "", MATCH(E77, 'I&amp;E Profiles'!$D$96:$D$180,0))</f>
        <v/>
      </c>
      <c r="J77" s="215">
        <f>IF($G77=$G$7, W77,'I&amp;E Monthly'!W77)-SUMIFS('I&amp;E Monthly'!$AA77:$BJ77, 'I&amp;E Monthly'!$AA$3:$BJ$3, 'I&amp;E Annual'!W$3, 'I&amp;E Monthly'!$AA$4:$BJ$4, 0)</f>
        <v>0</v>
      </c>
      <c r="K77" s="215">
        <f>IF($G77=$G$7, X77,'I&amp;E Monthly'!X77)-SUMIFS('I&amp;E Monthly'!$AA77:$BJ77, 'I&amp;E Monthly'!$AA$3:$BJ$3, 'I&amp;E Annual'!X$3, 'I&amp;E Monthly'!$AA$4:$BJ$4, 0)</f>
        <v>1060</v>
      </c>
      <c r="L77" s="215">
        <f>IF($G77=$G$7, Y77,'I&amp;E Monthly'!Y77)-SUMIFS('I&amp;E Monthly'!$AA77:$BJ77, 'I&amp;E Monthly'!$AA$3:$BJ$3, 'I&amp;E Annual'!Y$3, 'I&amp;E Monthly'!$AA$4:$BJ$4, 0)</f>
        <v>1060</v>
      </c>
      <c r="M77" s="335"/>
      <c r="N77" s="335"/>
      <c r="O77" s="335"/>
      <c r="P77" s="335"/>
      <c r="Q77" s="2"/>
      <c r="R77" s="335"/>
      <c r="S77" s="335"/>
      <c r="T77" s="335"/>
      <c r="U77" s="335"/>
      <c r="V77" s="215">
        <f>'I&amp;E Monthly'!V77</f>
        <v>0</v>
      </c>
      <c r="W77" s="147"/>
      <c r="X77" s="227"/>
      <c r="Y77" s="227"/>
      <c r="Z77" s="335"/>
      <c r="AA77" s="153" cm="1">
        <f t="array" ref="AA77">IF(OR(AA$4=0, $G77&lt;&gt; $G$7, $E77=0), 'I&amp;E Monthly'!AA77, CHOOSE(Timeline!AA$30,$J77,$K77,$L77 )*INDEX('I&amp;E Profiles'!AA$96:AA$180,$I77))</f>
        <v>573</v>
      </c>
      <c r="AB77" s="153" cm="1">
        <f t="array" ref="AB77">IF(OR(AB$4=0, $G77&lt;&gt; $G$7, $E77=0), 'I&amp;E Monthly'!AB77, CHOOSE(Timeline!AB$30,$J77,$K77,$L77 )*INDEX('I&amp;E Profiles'!AB$96:AB$180,$I77))</f>
        <v>0</v>
      </c>
      <c r="AC77" s="153" cm="1">
        <f t="array" ref="AC77">IF(OR(AC$4=0, $G77&lt;&gt; $G$7, $E77=0), 'I&amp;E Monthly'!AC77, CHOOSE(Timeline!AC$30,$J77,$K77,$L77 )*INDEX('I&amp;E Profiles'!AC$96:AC$180,$I77))</f>
        <v>0</v>
      </c>
      <c r="AD77" s="153" cm="1">
        <f t="array" ref="AD77">IF(OR(AD$4=0, $G77&lt;&gt; $G$7, $E77=0), 'I&amp;E Monthly'!AD77, CHOOSE(Timeline!AD$30,$J77,$K77,$L77 )*INDEX('I&amp;E Profiles'!AD$96:AD$180,$I77))</f>
        <v>0</v>
      </c>
      <c r="AE77" s="153" cm="1">
        <f t="array" ref="AE77">IF(OR(AE$4=0, $G77&lt;&gt; $G$7, $E77=0), 'I&amp;E Monthly'!AE77, CHOOSE(Timeline!AE$30,$J77,$K77,$L77 )*INDEX('I&amp;E Profiles'!AE$96:AE$180,$I77))</f>
        <v>0</v>
      </c>
      <c r="AF77" s="153" cm="1">
        <f t="array" ref="AF77">IF(OR(AF$4=0, $G77&lt;&gt; $G$7, $E77=0), 'I&amp;E Monthly'!AF77, CHOOSE(Timeline!AF$30,$J77,$K77,$L77 )*INDEX('I&amp;E Profiles'!AF$96:AF$180,$I77))</f>
        <v>0</v>
      </c>
      <c r="AG77" s="153" cm="1">
        <f t="array" ref="AG77">IF(OR(AG$4=0, $G77&lt;&gt; $G$7, $E77=0), 'I&amp;E Monthly'!AG77, CHOOSE(Timeline!AG$30,$J77,$K77,$L77 )*INDEX('I&amp;E Profiles'!AG$96:AG$180,$I77))</f>
        <v>0</v>
      </c>
      <c r="AH77" s="153" cm="1">
        <f t="array" ref="AH77">IF(OR(AH$4=0, $G77&lt;&gt; $G$7, $E77=0), 'I&amp;E Monthly'!AH77, CHOOSE(Timeline!AH$30,$J77,$K77,$L77 )*INDEX('I&amp;E Profiles'!AH$96:AH$180,$I77))</f>
        <v>0</v>
      </c>
      <c r="AI77" s="153" cm="1">
        <f t="array" ref="AI77">IF(OR(AI$4=0, $G77&lt;&gt; $G$7, $E77=0), 'I&amp;E Monthly'!AI77, CHOOSE(Timeline!AI$30,$J77,$K77,$L77 )*INDEX('I&amp;E Profiles'!AI$96:AI$180,$I77))</f>
        <v>308</v>
      </c>
      <c r="AJ77" s="153" cm="1">
        <f t="array" ref="AJ77">IF(OR(AJ$4=0, $G77&lt;&gt; $G$7, $E77=0), 'I&amp;E Monthly'!AJ77, CHOOSE(Timeline!AJ$30,$J77,$K77,$L77 )*INDEX('I&amp;E Profiles'!AJ$96:AJ$180,$I77))</f>
        <v>0</v>
      </c>
      <c r="AK77" s="153" cm="1">
        <f t="array" ref="AK77">IF(OR(AK$4=0, $G77&lt;&gt; $G$7, $E77=0), 'I&amp;E Monthly'!AK77, CHOOSE(Timeline!AK$30,$J77,$K77,$L77 )*INDEX('I&amp;E Profiles'!AK$96:AK$180,$I77))</f>
        <v>0</v>
      </c>
      <c r="AL77" s="153" cm="1">
        <f t="array" ref="AL77">IF(OR(AL$4=0, $G77&lt;&gt; $G$7, $E77=0), 'I&amp;E Monthly'!AL77, CHOOSE(Timeline!AL$30,$J77,$K77,$L77 )*INDEX('I&amp;E Profiles'!AL$96:AL$180,$I77))</f>
        <v>0</v>
      </c>
      <c r="AM77" s="153" cm="1">
        <f t="array" ref="AM77">IF(OR(AM$4=0, $G77&lt;&gt; $G$7, $E77=0), 'I&amp;E Monthly'!AM77, CHOOSE(Timeline!AM$30,$J77,$K77,$L77 )*INDEX('I&amp;E Profiles'!AM$96:AM$180,$I77))</f>
        <v>700</v>
      </c>
      <c r="AN77" s="153" cm="1">
        <f t="array" ref="AN77">IF(OR(AN$4=0, $G77&lt;&gt; $G$7, $E77=0), 'I&amp;E Monthly'!AN77, CHOOSE(Timeline!AN$30,$J77,$K77,$L77 )*INDEX('I&amp;E Profiles'!AN$96:AN$180,$I77))</f>
        <v>0</v>
      </c>
      <c r="AO77" s="153" cm="1">
        <f t="array" ref="AO77">IF(OR(AO$4=0, $G77&lt;&gt; $G$7, $E77=0), 'I&amp;E Monthly'!AO77, CHOOSE(Timeline!AO$30,$J77,$K77,$L77 )*INDEX('I&amp;E Profiles'!AO$96:AO$180,$I77))</f>
        <v>0</v>
      </c>
      <c r="AP77" s="153" cm="1">
        <f t="array" ref="AP77">IF(OR(AP$4=0, $G77&lt;&gt; $G$7, $E77=0), 'I&amp;E Monthly'!AP77, CHOOSE(Timeline!AP$30,$J77,$K77,$L77 )*INDEX('I&amp;E Profiles'!AP$96:AP$180,$I77))</f>
        <v>0</v>
      </c>
      <c r="AQ77" s="153" cm="1">
        <f t="array" ref="AQ77">IF(OR(AQ$4=0, $G77&lt;&gt; $G$7, $E77=0), 'I&amp;E Monthly'!AQ77, CHOOSE(Timeline!AQ$30,$J77,$K77,$L77 )*INDEX('I&amp;E Profiles'!AQ$96:AQ$180,$I77))</f>
        <v>0</v>
      </c>
      <c r="AR77" s="153" cm="1">
        <f t="array" ref="AR77">IF(OR(AR$4=0, $G77&lt;&gt; $G$7, $E77=0), 'I&amp;E Monthly'!AR77, CHOOSE(Timeline!AR$30,$J77,$K77,$L77 )*INDEX('I&amp;E Profiles'!AR$96:AR$180,$I77))</f>
        <v>0</v>
      </c>
      <c r="AS77" s="153" cm="1">
        <f t="array" ref="AS77">IF(OR(AS$4=0, $G77&lt;&gt; $G$7, $E77=0), 'I&amp;E Monthly'!AS77, CHOOSE(Timeline!AS$30,$J77,$K77,$L77 )*INDEX('I&amp;E Profiles'!AS$96:AS$180,$I77))</f>
        <v>0</v>
      </c>
      <c r="AT77" s="153" cm="1">
        <f t="array" ref="AT77">IF(OR(AT$4=0, $G77&lt;&gt; $G$7, $E77=0), 'I&amp;E Monthly'!AT77, CHOOSE(Timeline!AT$30,$J77,$K77,$L77 )*INDEX('I&amp;E Profiles'!AT$96:AT$180,$I77))</f>
        <v>0</v>
      </c>
      <c r="AU77" s="153" cm="1">
        <f t="array" ref="AU77">IF(OR(AU$4=0, $G77&lt;&gt; $G$7, $E77=0), 'I&amp;E Monthly'!AU77, CHOOSE(Timeline!AU$30,$J77,$K77,$L77 )*INDEX('I&amp;E Profiles'!AU$96:AU$180,$I77))</f>
        <v>360</v>
      </c>
      <c r="AV77" s="153" cm="1">
        <f t="array" ref="AV77">IF(OR(AV$4=0, $G77&lt;&gt; $G$7, $E77=0), 'I&amp;E Monthly'!AV77, CHOOSE(Timeline!AV$30,$J77,$K77,$L77 )*INDEX('I&amp;E Profiles'!AV$96:AV$180,$I77))</f>
        <v>0</v>
      </c>
      <c r="AW77" s="153" cm="1">
        <f t="array" ref="AW77">IF(OR(AW$4=0, $G77&lt;&gt; $G$7, $E77=0), 'I&amp;E Monthly'!AW77, CHOOSE(Timeline!AW$30,$J77,$K77,$L77 )*INDEX('I&amp;E Profiles'!AW$96:AW$180,$I77))</f>
        <v>0</v>
      </c>
      <c r="AX77" s="153" cm="1">
        <f t="array" ref="AX77">IF(OR(AX$4=0, $G77&lt;&gt; $G$7, $E77=0), 'I&amp;E Monthly'!AX77, CHOOSE(Timeline!AX$30,$J77,$K77,$L77 )*INDEX('I&amp;E Profiles'!AX$96:AX$180,$I77))</f>
        <v>0</v>
      </c>
      <c r="AY77" s="153" cm="1">
        <f t="array" ref="AY77">IF(OR(AY$4=0, $G77&lt;&gt; $G$7, $E77=0), 'I&amp;E Monthly'!AY77, CHOOSE(Timeline!AY$30,$J77,$K77,$L77 )*INDEX('I&amp;E Profiles'!AY$96:AY$180,$I77))</f>
        <v>700</v>
      </c>
      <c r="AZ77" s="153" cm="1">
        <f t="array" ref="AZ77">IF(OR(AZ$4=0, $G77&lt;&gt; $G$7, $E77=0), 'I&amp;E Monthly'!AZ77, CHOOSE(Timeline!AZ$30,$J77,$K77,$L77 )*INDEX('I&amp;E Profiles'!AZ$96:AZ$180,$I77))</f>
        <v>0</v>
      </c>
      <c r="BA77" s="153" cm="1">
        <f t="array" ref="BA77">IF(OR(BA$4=0, $G77&lt;&gt; $G$7, $E77=0), 'I&amp;E Monthly'!BA77, CHOOSE(Timeline!BA$30,$J77,$K77,$L77 )*INDEX('I&amp;E Profiles'!BA$96:BA$180,$I77))</f>
        <v>0</v>
      </c>
      <c r="BB77" s="153" cm="1">
        <f t="array" ref="BB77">IF(OR(BB$4=0, $G77&lt;&gt; $G$7, $E77=0), 'I&amp;E Monthly'!BB77, CHOOSE(Timeline!BB$30,$J77,$K77,$L77 )*INDEX('I&amp;E Profiles'!BB$96:BB$180,$I77))</f>
        <v>0</v>
      </c>
      <c r="BC77" s="153" cm="1">
        <f t="array" ref="BC77">IF(OR(BC$4=0, $G77&lt;&gt; $G$7, $E77=0), 'I&amp;E Monthly'!BC77, CHOOSE(Timeline!BC$30,$J77,$K77,$L77 )*INDEX('I&amp;E Profiles'!BC$96:BC$180,$I77))</f>
        <v>0</v>
      </c>
      <c r="BD77" s="153" cm="1">
        <f t="array" ref="BD77">IF(OR(BD$4=0, $G77&lt;&gt; $G$7, $E77=0), 'I&amp;E Monthly'!BD77, CHOOSE(Timeline!BD$30,$J77,$K77,$L77 )*INDEX('I&amp;E Profiles'!BD$96:BD$180,$I77))</f>
        <v>0</v>
      </c>
      <c r="BE77" s="153" cm="1">
        <f t="array" ref="BE77">IF(OR(BE$4=0, $G77&lt;&gt; $G$7, $E77=0), 'I&amp;E Monthly'!BE77, CHOOSE(Timeline!BE$30,$J77,$K77,$L77 )*INDEX('I&amp;E Profiles'!BE$96:BE$180,$I77))</f>
        <v>0</v>
      </c>
      <c r="BF77" s="153" cm="1">
        <f t="array" ref="BF77">IF(OR(BF$4=0, $G77&lt;&gt; $G$7, $E77=0), 'I&amp;E Monthly'!BF77, CHOOSE(Timeline!BF$30,$J77,$K77,$L77 )*INDEX('I&amp;E Profiles'!BF$96:BF$180,$I77))</f>
        <v>0</v>
      </c>
      <c r="BG77" s="153" cm="1">
        <f t="array" ref="BG77">IF(OR(BG$4=0, $G77&lt;&gt; $G$7, $E77=0), 'I&amp;E Monthly'!BG77, CHOOSE(Timeline!BG$30,$J77,$K77,$L77 )*INDEX('I&amp;E Profiles'!BG$96:BG$180,$I77))</f>
        <v>360</v>
      </c>
      <c r="BH77" s="153" cm="1">
        <f t="array" ref="BH77">IF(OR(BH$4=0, $G77&lt;&gt; $G$7, $E77=0), 'I&amp;E Monthly'!BH77, CHOOSE(Timeline!BH$30,$J77,$K77,$L77 )*INDEX('I&amp;E Profiles'!BH$96:BH$180,$I77))</f>
        <v>0</v>
      </c>
      <c r="BI77" s="153" cm="1">
        <f t="array" ref="BI77">IF(OR(BI$4=0, $G77&lt;&gt; $G$7, $E77=0), 'I&amp;E Monthly'!BI77, CHOOSE(Timeline!BI$30,$J77,$K77,$L77 )*INDEX('I&amp;E Profiles'!BI$96:BI$180,$I77))</f>
        <v>0</v>
      </c>
      <c r="BJ77" s="153" cm="1">
        <f t="array" ref="BJ77">IF(OR(BJ$4=0, $G77&lt;&gt; $G$7, $E77=0), 'I&amp;E Monthly'!BJ77, CHOOSE(Timeline!BJ$30,$J77,$K77,$L77 )*INDEX('I&amp;E Profiles'!BJ$96:BJ$180,$I77))</f>
        <v>0</v>
      </c>
      <c r="BK77" s="335"/>
      <c r="BL77" s="152">
        <f t="shared" si="79"/>
        <v>0</v>
      </c>
      <c r="BM77" s="153">
        <f t="shared" si="80"/>
        <v>881</v>
      </c>
      <c r="BN77" s="153">
        <f t="shared" si="80"/>
        <v>1060</v>
      </c>
      <c r="BO77" s="153">
        <f t="shared" si="80"/>
        <v>1060</v>
      </c>
      <c r="BP77" s="152">
        <f>'I&amp;E Monthly'!BP77</f>
        <v>0</v>
      </c>
      <c r="BQ77" s="152">
        <f>'I&amp;E Monthly'!BQ77</f>
        <v>0</v>
      </c>
      <c r="BR77" s="152">
        <f>'I&amp;E Monthly'!BR77</f>
        <v>0</v>
      </c>
      <c r="BS77" s="152">
        <f>'I&amp;E Monthly'!BS77</f>
        <v>0</v>
      </c>
      <c r="BT77" s="152">
        <f>'I&amp;E Monthly'!BT77</f>
        <v>0</v>
      </c>
      <c r="BU77" s="152">
        <f>'I&amp;E Monthly'!BU77</f>
        <v>0</v>
      </c>
      <c r="BV77" s="152">
        <f>'I&amp;E Monthly'!BV77</f>
        <v>0</v>
      </c>
      <c r="BW77" s="152">
        <f>'I&amp;E Monthly'!BW77</f>
        <v>0</v>
      </c>
      <c r="BX77" s="335"/>
      <c r="BY77" s="12"/>
      <c r="BZ77" s="363">
        <f t="shared" ca="1" si="81"/>
        <v>0</v>
      </c>
      <c r="CA77" s="12"/>
      <c r="CB77" s="7">
        <f t="shared" si="82"/>
        <v>0</v>
      </c>
      <c r="CC77" s="188" cm="1">
        <f t="array" ref="CC77">IF(E77="",0, IF(_xlfn.IFNA(INDEX('I&amp;E Profiles'!$D$96:$D$180, $I77), "N/A")="N/A", 1, 0))</f>
        <v>0</v>
      </c>
      <c r="CD77" s="7">
        <f t="shared" si="83"/>
        <v>0</v>
      </c>
      <c r="CE77" s="7">
        <f t="shared" si="84"/>
        <v>0</v>
      </c>
      <c r="CF77" s="7">
        <f t="shared" si="85"/>
        <v>0</v>
      </c>
      <c r="CG77" s="12"/>
      <c r="CH77" s="352">
        <f t="shared" si="86"/>
        <v>0</v>
      </c>
      <c r="CI77" s="352">
        <f t="shared" si="87"/>
        <v>0</v>
      </c>
      <c r="CJ77" s="352">
        <f t="shared" si="88"/>
        <v>0</v>
      </c>
      <c r="CK77" s="352">
        <f t="shared" si="89"/>
        <v>0</v>
      </c>
      <c r="CL77" s="352">
        <f t="shared" si="90"/>
        <v>0</v>
      </c>
      <c r="CM77" s="352">
        <f t="shared" si="91"/>
        <v>0</v>
      </c>
      <c r="CN77" s="352">
        <f t="shared" si="92"/>
        <v>0</v>
      </c>
      <c r="EX77" s="10" t="str">
        <f>IF($C77="","",$D77)</f>
        <v>Bursaries - net income (5% admin fee, ALLB and Free Meals)</v>
      </c>
    </row>
    <row r="78" spans="1:154" s="335" customFormat="1" x14ac:dyDescent="0.25">
      <c r="A78" s="362" cm="1">
        <f t="array" aca="1" ref="A78" ca="1">HYPERLINK(CONCATENATE("#",CELL("address",IF(SUM($CA78:$CG78)=0,A78,INDEX($CA78:$CG78,MATCH(1,$CA78:$CG78,0))))),SUM($CA78:$CG78))</f>
        <v>0</v>
      </c>
      <c r="C78" s="343" t="s">
        <v>1744</v>
      </c>
      <c r="D78" s="434" t="s">
        <v>33</v>
      </c>
      <c r="E78" s="147"/>
      <c r="F78" s="98" t="str" cm="1">
        <f t="array" aca="1" ref="F78" ca="1">IF(E78="", "", HYPERLINK(CONCATENATE("#",CELL("address",INDEX('I&amp;E Profiles'!$D$9:$D$93,'I&amp;E Annual'!I78))),E78))</f>
        <v/>
      </c>
      <c r="G78" s="372" t="s">
        <v>211</v>
      </c>
      <c r="H78" s="335" t="s">
        <v>8</v>
      </c>
      <c r="I78" s="350" t="str">
        <f>IF(E78="", "", MATCH(E78, 'I&amp;E Profiles'!$D$96:$D$180,0))</f>
        <v/>
      </c>
      <c r="J78" s="215">
        <f>IF($G78=$G$7, W78,'I&amp;E Monthly'!W78)-SUMIFS('I&amp;E Monthly'!$AA78:$BJ78, 'I&amp;E Monthly'!$AA$3:$BJ$3, 'I&amp;E Annual'!W$3, 'I&amp;E Monthly'!$AA$4:$BJ$4, 0)</f>
        <v>0</v>
      </c>
      <c r="K78" s="215">
        <f>IF($G78=$G$7, X78,'I&amp;E Monthly'!X78)-SUMIFS('I&amp;E Monthly'!$AA78:$BJ78, 'I&amp;E Monthly'!$AA$3:$BJ$3, 'I&amp;E Annual'!X$3, 'I&amp;E Monthly'!$AA$4:$BJ$4, 0)</f>
        <v>609</v>
      </c>
      <c r="L78" s="215">
        <f>IF($G78=$G$7, Y78,'I&amp;E Monthly'!Y78)-SUMIFS('I&amp;E Monthly'!$AA78:$BJ78, 'I&amp;E Monthly'!$AA$3:$BJ$3, 'I&amp;E Annual'!Y$3, 'I&amp;E Monthly'!$AA$4:$BJ$4, 0)</f>
        <v>609</v>
      </c>
      <c r="Q78" s="2"/>
      <c r="V78" s="201">
        <f>'I&amp;E Monthly'!V78</f>
        <v>0</v>
      </c>
      <c r="W78" s="372"/>
      <c r="X78" s="198"/>
      <c r="Y78" s="198"/>
      <c r="AA78" s="153" cm="1">
        <f t="array" ref="AA78">IF(OR(AA$4=0, $G78&lt;&gt; $G$7, $E78=0), 'I&amp;E Monthly'!AA78, CHOOSE(Timeline!AA$30,$J78,$K78,$L78 )*INDEX('I&amp;E Profiles'!AA$96:AA$180,$I78))</f>
        <v>0</v>
      </c>
      <c r="AB78" s="153" cm="1">
        <f t="array" ref="AB78">IF(OR(AB$4=0, $G78&lt;&gt; $G$7, $E78=0), 'I&amp;E Monthly'!AB78, CHOOSE(Timeline!AB$30,$J78,$K78,$L78 )*INDEX('I&amp;E Profiles'!AB$96:AB$180,$I78))</f>
        <v>438</v>
      </c>
      <c r="AC78" s="153" cm="1">
        <f t="array" ref="AC78">IF(OR(AC$4=0, $G78&lt;&gt; $G$7, $E78=0), 'I&amp;E Monthly'!AC78, CHOOSE(Timeline!AC$30,$J78,$K78,$L78 )*INDEX('I&amp;E Profiles'!AC$96:AC$180,$I78))</f>
        <v>0</v>
      </c>
      <c r="AD78" s="153" cm="1">
        <f t="array" ref="AD78">IF(OR(AD$4=0, $G78&lt;&gt; $G$7, $E78=0), 'I&amp;E Monthly'!AD78, CHOOSE(Timeline!AD$30,$J78,$K78,$L78 )*INDEX('I&amp;E Profiles'!AD$96:AD$180,$I78))</f>
        <v>0</v>
      </c>
      <c r="AE78" s="153" cm="1">
        <f t="array" ref="AE78">IF(OR(AE$4=0, $G78&lt;&gt; $G$7, $E78=0), 'I&amp;E Monthly'!AE78, CHOOSE(Timeline!AE$30,$J78,$K78,$L78 )*INDEX('I&amp;E Profiles'!AE$96:AE$180,$I78))</f>
        <v>0</v>
      </c>
      <c r="AF78" s="153" cm="1">
        <f t="array" ref="AF78">IF(OR(AF$4=0, $G78&lt;&gt; $G$7, $E78=0), 'I&amp;E Monthly'!AF78, CHOOSE(Timeline!AF$30,$J78,$K78,$L78 )*INDEX('I&amp;E Profiles'!AF$96:AF$180,$I78))</f>
        <v>0</v>
      </c>
      <c r="AG78" s="153" cm="1">
        <f t="array" ref="AG78">IF(OR(AG$4=0, $G78&lt;&gt; $G$7, $E78=0), 'I&amp;E Monthly'!AG78, CHOOSE(Timeline!AG$30,$J78,$K78,$L78 )*INDEX('I&amp;E Profiles'!AG$96:AG$180,$I78))</f>
        <v>0</v>
      </c>
      <c r="AH78" s="153" cm="1">
        <f t="array" ref="AH78">IF(OR(AH$4=0, $G78&lt;&gt; $G$7, $E78=0), 'I&amp;E Monthly'!AH78, CHOOSE(Timeline!AH$30,$J78,$K78,$L78 )*INDEX('I&amp;E Profiles'!AH$96:AH$180,$I78))</f>
        <v>0</v>
      </c>
      <c r="AI78" s="153" cm="1">
        <f t="array" ref="AI78">IF(OR(AI$4=0, $G78&lt;&gt; $G$7, $E78=0), 'I&amp;E Monthly'!AI78, CHOOSE(Timeline!AI$30,$J78,$K78,$L78 )*INDEX('I&amp;E Profiles'!AI$96:AI$180,$I78))</f>
        <v>219</v>
      </c>
      <c r="AJ78" s="153" cm="1">
        <f t="array" ref="AJ78">IF(OR(AJ$4=0, $G78&lt;&gt; $G$7, $E78=0), 'I&amp;E Monthly'!AJ78, CHOOSE(Timeline!AJ$30,$J78,$K78,$L78 )*INDEX('I&amp;E Profiles'!AJ$96:AJ$180,$I78))</f>
        <v>0</v>
      </c>
      <c r="AK78" s="153" cm="1">
        <f t="array" ref="AK78">IF(OR(AK$4=0, $G78&lt;&gt; $G$7, $E78=0), 'I&amp;E Monthly'!AK78, CHOOSE(Timeline!AK$30,$J78,$K78,$L78 )*INDEX('I&amp;E Profiles'!AK$96:AK$180,$I78))</f>
        <v>0</v>
      </c>
      <c r="AL78" s="153" cm="1">
        <f t="array" ref="AL78">IF(OR(AL$4=0, $G78&lt;&gt; $G$7, $E78=0), 'I&amp;E Monthly'!AL78, CHOOSE(Timeline!AL$30,$J78,$K78,$L78 )*INDEX('I&amp;E Profiles'!AL$96:AL$180,$I78))</f>
        <v>0</v>
      </c>
      <c r="AM78" s="153" cm="1">
        <f t="array" ref="AM78">IF(OR(AM$4=0, $G78&lt;&gt; $G$7, $E78=0), 'I&amp;E Monthly'!AM78, CHOOSE(Timeline!AM$30,$J78,$K78,$L78 )*INDEX('I&amp;E Profiles'!AM$96:AM$180,$I78))</f>
        <v>0</v>
      </c>
      <c r="AN78" s="153" cm="1">
        <f t="array" ref="AN78">IF(OR(AN$4=0, $G78&lt;&gt; $G$7, $E78=0), 'I&amp;E Monthly'!AN78, CHOOSE(Timeline!AN$30,$J78,$K78,$L78 )*INDEX('I&amp;E Profiles'!AN$96:AN$180,$I78))</f>
        <v>406</v>
      </c>
      <c r="AO78" s="153" cm="1">
        <f t="array" ref="AO78">IF(OR(AO$4=0, $G78&lt;&gt; $G$7, $E78=0), 'I&amp;E Monthly'!AO78, CHOOSE(Timeline!AO$30,$J78,$K78,$L78 )*INDEX('I&amp;E Profiles'!AO$96:AO$180,$I78))</f>
        <v>0</v>
      </c>
      <c r="AP78" s="153" cm="1">
        <f t="array" ref="AP78">IF(OR(AP$4=0, $G78&lt;&gt; $G$7, $E78=0), 'I&amp;E Monthly'!AP78, CHOOSE(Timeline!AP$30,$J78,$K78,$L78 )*INDEX('I&amp;E Profiles'!AP$96:AP$180,$I78))</f>
        <v>0</v>
      </c>
      <c r="AQ78" s="153" cm="1">
        <f t="array" ref="AQ78">IF(OR(AQ$4=0, $G78&lt;&gt; $G$7, $E78=0), 'I&amp;E Monthly'!AQ78, CHOOSE(Timeline!AQ$30,$J78,$K78,$L78 )*INDEX('I&amp;E Profiles'!AQ$96:AQ$180,$I78))</f>
        <v>0</v>
      </c>
      <c r="AR78" s="153" cm="1">
        <f t="array" ref="AR78">IF(OR(AR$4=0, $G78&lt;&gt; $G$7, $E78=0), 'I&amp;E Monthly'!AR78, CHOOSE(Timeline!AR$30,$J78,$K78,$L78 )*INDEX('I&amp;E Profiles'!AR$96:AR$180,$I78))</f>
        <v>0</v>
      </c>
      <c r="AS78" s="153" cm="1">
        <f t="array" ref="AS78">IF(OR(AS$4=0, $G78&lt;&gt; $G$7, $E78=0), 'I&amp;E Monthly'!AS78, CHOOSE(Timeline!AS$30,$J78,$K78,$L78 )*INDEX('I&amp;E Profiles'!AS$96:AS$180,$I78))</f>
        <v>0</v>
      </c>
      <c r="AT78" s="153" cm="1">
        <f t="array" ref="AT78">IF(OR(AT$4=0, $G78&lt;&gt; $G$7, $E78=0), 'I&amp;E Monthly'!AT78, CHOOSE(Timeline!AT$30,$J78,$K78,$L78 )*INDEX('I&amp;E Profiles'!AT$96:AT$180,$I78))</f>
        <v>0</v>
      </c>
      <c r="AU78" s="153" cm="1">
        <f t="array" ref="AU78">IF(OR(AU$4=0, $G78&lt;&gt; $G$7, $E78=0), 'I&amp;E Monthly'!AU78, CHOOSE(Timeline!AU$30,$J78,$K78,$L78 )*INDEX('I&amp;E Profiles'!AU$96:AU$180,$I78))</f>
        <v>203</v>
      </c>
      <c r="AV78" s="153" cm="1">
        <f t="array" ref="AV78">IF(OR(AV$4=0, $G78&lt;&gt; $G$7, $E78=0), 'I&amp;E Monthly'!AV78, CHOOSE(Timeline!AV$30,$J78,$K78,$L78 )*INDEX('I&amp;E Profiles'!AV$96:AV$180,$I78))</f>
        <v>0</v>
      </c>
      <c r="AW78" s="153" cm="1">
        <f t="array" ref="AW78">IF(OR(AW$4=0, $G78&lt;&gt; $G$7, $E78=0), 'I&amp;E Monthly'!AW78, CHOOSE(Timeline!AW$30,$J78,$K78,$L78 )*INDEX('I&amp;E Profiles'!AW$96:AW$180,$I78))</f>
        <v>0</v>
      </c>
      <c r="AX78" s="153" cm="1">
        <f t="array" ref="AX78">IF(OR(AX$4=0, $G78&lt;&gt; $G$7, $E78=0), 'I&amp;E Monthly'!AX78, CHOOSE(Timeline!AX$30,$J78,$K78,$L78 )*INDEX('I&amp;E Profiles'!AX$96:AX$180,$I78))</f>
        <v>0</v>
      </c>
      <c r="AY78" s="153" cm="1">
        <f t="array" ref="AY78">IF(OR(AY$4=0, $G78&lt;&gt; $G$7, $E78=0), 'I&amp;E Monthly'!AY78, CHOOSE(Timeline!AY$30,$J78,$K78,$L78 )*INDEX('I&amp;E Profiles'!AY$96:AY$180,$I78))</f>
        <v>0</v>
      </c>
      <c r="AZ78" s="153" cm="1">
        <f t="array" ref="AZ78">IF(OR(AZ$4=0, $G78&lt;&gt; $G$7, $E78=0), 'I&amp;E Monthly'!AZ78, CHOOSE(Timeline!AZ$30,$J78,$K78,$L78 )*INDEX('I&amp;E Profiles'!AZ$96:AZ$180,$I78))</f>
        <v>406</v>
      </c>
      <c r="BA78" s="153" cm="1">
        <f t="array" ref="BA78">IF(OR(BA$4=0, $G78&lt;&gt; $G$7, $E78=0), 'I&amp;E Monthly'!BA78, CHOOSE(Timeline!BA$30,$J78,$K78,$L78 )*INDEX('I&amp;E Profiles'!BA$96:BA$180,$I78))</f>
        <v>0</v>
      </c>
      <c r="BB78" s="153" cm="1">
        <f t="array" ref="BB78">IF(OR(BB$4=0, $G78&lt;&gt; $G$7, $E78=0), 'I&amp;E Monthly'!BB78, CHOOSE(Timeline!BB$30,$J78,$K78,$L78 )*INDEX('I&amp;E Profiles'!BB$96:BB$180,$I78))</f>
        <v>0</v>
      </c>
      <c r="BC78" s="153" cm="1">
        <f t="array" ref="BC78">IF(OR(BC$4=0, $G78&lt;&gt; $G$7, $E78=0), 'I&amp;E Monthly'!BC78, CHOOSE(Timeline!BC$30,$J78,$K78,$L78 )*INDEX('I&amp;E Profiles'!BC$96:BC$180,$I78))</f>
        <v>0</v>
      </c>
      <c r="BD78" s="153" cm="1">
        <f t="array" ref="BD78">IF(OR(BD$4=0, $G78&lt;&gt; $G$7, $E78=0), 'I&amp;E Monthly'!BD78, CHOOSE(Timeline!BD$30,$J78,$K78,$L78 )*INDEX('I&amp;E Profiles'!BD$96:BD$180,$I78))</f>
        <v>0</v>
      </c>
      <c r="BE78" s="153" cm="1">
        <f t="array" ref="BE78">IF(OR(BE$4=0, $G78&lt;&gt; $G$7, $E78=0), 'I&amp;E Monthly'!BE78, CHOOSE(Timeline!BE$30,$J78,$K78,$L78 )*INDEX('I&amp;E Profiles'!BE$96:BE$180,$I78))</f>
        <v>0</v>
      </c>
      <c r="BF78" s="153" cm="1">
        <f t="array" ref="BF78">IF(OR(BF$4=0, $G78&lt;&gt; $G$7, $E78=0), 'I&amp;E Monthly'!BF78, CHOOSE(Timeline!BF$30,$J78,$K78,$L78 )*INDEX('I&amp;E Profiles'!BF$96:BF$180,$I78))</f>
        <v>0</v>
      </c>
      <c r="BG78" s="153" cm="1">
        <f t="array" ref="BG78">IF(OR(BG$4=0, $G78&lt;&gt; $G$7, $E78=0), 'I&amp;E Monthly'!BG78, CHOOSE(Timeline!BG$30,$J78,$K78,$L78 )*INDEX('I&amp;E Profiles'!BG$96:BG$180,$I78))</f>
        <v>203</v>
      </c>
      <c r="BH78" s="153" cm="1">
        <f t="array" ref="BH78">IF(OR(BH$4=0, $G78&lt;&gt; $G$7, $E78=0), 'I&amp;E Monthly'!BH78, CHOOSE(Timeline!BH$30,$J78,$K78,$L78 )*INDEX('I&amp;E Profiles'!BH$96:BH$180,$I78))</f>
        <v>0</v>
      </c>
      <c r="BI78" s="153" cm="1">
        <f t="array" ref="BI78">IF(OR(BI$4=0, $G78&lt;&gt; $G$7, $E78=0), 'I&amp;E Monthly'!BI78, CHOOSE(Timeline!BI$30,$J78,$K78,$L78 )*INDEX('I&amp;E Profiles'!BI$96:BI$180,$I78))</f>
        <v>0</v>
      </c>
      <c r="BJ78" s="153" cm="1">
        <f t="array" ref="BJ78">IF(OR(BJ$4=0, $G78&lt;&gt; $G$7, $E78=0), 'I&amp;E Monthly'!BJ78, CHOOSE(Timeline!BJ$30,$J78,$K78,$L78 )*INDEX('I&amp;E Profiles'!BJ$96:BJ$180,$I78))</f>
        <v>0</v>
      </c>
      <c r="BL78" s="13">
        <f t="shared" si="79"/>
        <v>0</v>
      </c>
      <c r="BM78" s="153">
        <f t="shared" si="80"/>
        <v>657</v>
      </c>
      <c r="BN78" s="153">
        <f t="shared" si="80"/>
        <v>609</v>
      </c>
      <c r="BO78" s="153">
        <f t="shared" si="80"/>
        <v>609</v>
      </c>
      <c r="BP78" s="13">
        <f>'I&amp;E Monthly'!BP78</f>
        <v>0</v>
      </c>
      <c r="BQ78" s="13">
        <f>'I&amp;E Monthly'!BQ78</f>
        <v>0</v>
      </c>
      <c r="BR78" s="13">
        <f>'I&amp;E Monthly'!BR78</f>
        <v>0</v>
      </c>
      <c r="BS78" s="13">
        <f>'I&amp;E Monthly'!BS78</f>
        <v>0</v>
      </c>
      <c r="BT78" s="13">
        <f>'I&amp;E Monthly'!BT78</f>
        <v>0</v>
      </c>
      <c r="BU78" s="13">
        <f>'I&amp;E Monthly'!BU78</f>
        <v>0</v>
      </c>
      <c r="BV78" s="13">
        <f>'I&amp;E Monthly'!BV78</f>
        <v>0</v>
      </c>
      <c r="BW78" s="13">
        <f>'I&amp;E Monthly'!BW78</f>
        <v>0</v>
      </c>
      <c r="BY78" s="12"/>
      <c r="BZ78" s="363">
        <f t="shared" ca="1" si="81"/>
        <v>0</v>
      </c>
      <c r="CA78" s="12"/>
      <c r="CB78" s="7">
        <f t="shared" si="82"/>
        <v>0</v>
      </c>
      <c r="CC78" s="188" cm="1">
        <f t="array" ref="CC78">IF(E78="",0, IF(_xlfn.IFNA(INDEX('I&amp;E Profiles'!$D$96:$D$180, $I78), "N/A")="N/A", 1, 0))</f>
        <v>0</v>
      </c>
      <c r="CD78" s="7">
        <f t="shared" si="83"/>
        <v>0</v>
      </c>
      <c r="CE78" s="7">
        <f t="shared" si="84"/>
        <v>0</v>
      </c>
      <c r="CF78" s="7">
        <f t="shared" si="85"/>
        <v>0</v>
      </c>
      <c r="CG78" s="12"/>
      <c r="CH78" s="352">
        <f t="shared" si="86"/>
        <v>0</v>
      </c>
      <c r="CI78" s="352">
        <f t="shared" si="87"/>
        <v>0</v>
      </c>
      <c r="CJ78" s="352">
        <f t="shared" si="88"/>
        <v>0</v>
      </c>
      <c r="CK78" s="352">
        <f t="shared" si="89"/>
        <v>0</v>
      </c>
      <c r="CL78" s="352">
        <f t="shared" si="90"/>
        <v>0</v>
      </c>
      <c r="CM78" s="352">
        <f t="shared" si="91"/>
        <v>0</v>
      </c>
      <c r="CN78" s="352">
        <f t="shared" si="92"/>
        <v>0</v>
      </c>
      <c r="EX78" s="10" t="str">
        <f t="shared" si="78"/>
        <v>ESFA Teachers Pension Scheme grant</v>
      </c>
    </row>
    <row r="79" spans="1:154" s="335" customFormat="1" x14ac:dyDescent="0.25">
      <c r="A79" s="362" cm="1">
        <f t="array" aca="1" ref="A79" ca="1">HYPERLINK(CONCATENATE("#",CELL("address",IF(SUM($CA79:$CG79)=0,A79,INDEX($CA79:$CG79,MATCH(1,$CA79:$CG79,0))))),SUM($CA79:$CG79))</f>
        <v>0</v>
      </c>
      <c r="C79" s="343" t="s">
        <v>2283</v>
      </c>
      <c r="D79" s="434" t="s">
        <v>1743</v>
      </c>
      <c r="E79" s="147"/>
      <c r="F79" s="98" t="str" cm="1">
        <f t="array" aca="1" ref="F79" ca="1">IF(E79="", "", HYPERLINK(CONCATENATE("#",CELL("address",INDEX('I&amp;E Profiles'!$D$9:$D$93,'I&amp;E Annual'!I79))),E79))</f>
        <v/>
      </c>
      <c r="G79" s="372" t="s">
        <v>211</v>
      </c>
      <c r="H79" s="335" t="s">
        <v>8</v>
      </c>
      <c r="I79" s="350" t="str">
        <f>IF(E79="", "", MATCH(E79, 'I&amp;E Profiles'!$D$96:$D$180,0))</f>
        <v/>
      </c>
      <c r="J79" s="215">
        <f>IF($G79=$G$7, W79,'I&amp;E Monthly'!W79)-SUMIFS('I&amp;E Monthly'!$AA79:$BJ79, 'I&amp;E Monthly'!$AA$3:$BJ$3, 'I&amp;E Annual'!W$3, 'I&amp;E Monthly'!$AA$4:$BJ$4, 0)</f>
        <v>0</v>
      </c>
      <c r="K79" s="215">
        <f>IF($G79=$G$7, X79,'I&amp;E Monthly'!X79)-SUMIFS('I&amp;E Monthly'!$AA79:$BJ79, 'I&amp;E Monthly'!$AA$3:$BJ$3, 'I&amp;E Annual'!X$3, 'I&amp;E Monthly'!$AA$4:$BJ$4, 0)</f>
        <v>80</v>
      </c>
      <c r="L79" s="215">
        <f>IF($G79=$G$7, Y79,'I&amp;E Monthly'!Y79)-SUMIFS('I&amp;E Monthly'!$AA79:$BJ79, 'I&amp;E Monthly'!$AA$3:$BJ$3, 'I&amp;E Annual'!Y$3, 'I&amp;E Monthly'!$AA$4:$BJ$4, 0)</f>
        <v>80</v>
      </c>
      <c r="Q79" s="2"/>
      <c r="V79" s="201">
        <f>'I&amp;E Monthly'!V79</f>
        <v>0</v>
      </c>
      <c r="W79" s="372"/>
      <c r="X79" s="198"/>
      <c r="Y79" s="198"/>
      <c r="AA79" s="153" cm="1">
        <f t="array" ref="AA79">IF(OR(AA$4=0, $G79&lt;&gt; $G$7, $E79=0), 'I&amp;E Monthly'!AA79, CHOOSE(Timeline!AA$30,$J79,$K79,$L79 )*INDEX('I&amp;E Profiles'!AA$96:AA$180,$I79))</f>
        <v>0</v>
      </c>
      <c r="AB79" s="153" cm="1">
        <f t="array" ref="AB79">IF(OR(AB$4=0, $G79&lt;&gt; $G$7, $E79=0), 'I&amp;E Monthly'!AB79, CHOOSE(Timeline!AB$30,$J79,$K79,$L79 )*INDEX('I&amp;E Profiles'!AB$96:AB$180,$I79))</f>
        <v>0</v>
      </c>
      <c r="AC79" s="153" cm="1">
        <f t="array" ref="AC79">IF(OR(AC$4=0, $G79&lt;&gt; $G$7, $E79=0), 'I&amp;E Monthly'!AC79, CHOOSE(Timeline!AC$30,$J79,$K79,$L79 )*INDEX('I&amp;E Profiles'!AC$96:AC$180,$I79))</f>
        <v>0</v>
      </c>
      <c r="AD79" s="153" cm="1">
        <f t="array" ref="AD79">IF(OR(AD$4=0, $G79&lt;&gt; $G$7, $E79=0), 'I&amp;E Monthly'!AD79, CHOOSE(Timeline!AD$30,$J79,$K79,$L79 )*INDEX('I&amp;E Profiles'!AD$96:AD$180,$I79))</f>
        <v>0</v>
      </c>
      <c r="AE79" s="153" cm="1">
        <f t="array" ref="AE79">IF(OR(AE$4=0, $G79&lt;&gt; $G$7, $E79=0), 'I&amp;E Monthly'!AE79, CHOOSE(Timeline!AE$30,$J79,$K79,$L79 )*INDEX('I&amp;E Profiles'!AE$96:AE$180,$I79))</f>
        <v>0</v>
      </c>
      <c r="AF79" s="153" cm="1">
        <f t="array" ref="AF79">IF(OR(AF$4=0, $G79&lt;&gt; $G$7, $E79=0), 'I&amp;E Monthly'!AF79, CHOOSE(Timeline!AF$30,$J79,$K79,$L79 )*INDEX('I&amp;E Profiles'!AF$96:AF$180,$I79))</f>
        <v>0</v>
      </c>
      <c r="AG79" s="153" cm="1">
        <f t="array" ref="AG79">IF(OR(AG$4=0, $G79&lt;&gt; $G$7, $E79=0), 'I&amp;E Monthly'!AG79, CHOOSE(Timeline!AG$30,$J79,$K79,$L79 )*INDEX('I&amp;E Profiles'!AG$96:AG$180,$I79))</f>
        <v>4</v>
      </c>
      <c r="AH79" s="153" cm="1">
        <f t="array" ref="AH79">IF(OR(AH$4=0, $G79&lt;&gt; $G$7, $E79=0), 'I&amp;E Monthly'!AH79, CHOOSE(Timeline!AH$30,$J79,$K79,$L79 )*INDEX('I&amp;E Profiles'!AH$96:AH$180,$I79))</f>
        <v>40</v>
      </c>
      <c r="AI79" s="153" cm="1">
        <f t="array" ref="AI79">IF(OR(AI$4=0, $G79&lt;&gt; $G$7, $E79=0), 'I&amp;E Monthly'!AI79, CHOOSE(Timeline!AI$30,$J79,$K79,$L79 )*INDEX('I&amp;E Profiles'!AI$96:AI$180,$I79))</f>
        <v>4</v>
      </c>
      <c r="AJ79" s="153" cm="1">
        <f t="array" ref="AJ79">IF(OR(AJ$4=0, $G79&lt;&gt; $G$7, $E79=0), 'I&amp;E Monthly'!AJ79, CHOOSE(Timeline!AJ$30,$J79,$K79,$L79 )*INDEX('I&amp;E Profiles'!AJ$96:AJ$180,$I79))</f>
        <v>4</v>
      </c>
      <c r="AK79" s="153" cm="1">
        <f t="array" ref="AK79">IF(OR(AK$4=0, $G79&lt;&gt; $G$7, $E79=0), 'I&amp;E Monthly'!AK79, CHOOSE(Timeline!AK$30,$J79,$K79,$L79 )*INDEX('I&amp;E Profiles'!AK$96:AK$180,$I79))</f>
        <v>0</v>
      </c>
      <c r="AL79" s="153" cm="1">
        <f t="array" ref="AL79">IF(OR(AL$4=0, $G79&lt;&gt; $G$7, $E79=0), 'I&amp;E Monthly'!AL79, CHOOSE(Timeline!AL$30,$J79,$K79,$L79 )*INDEX('I&amp;E Profiles'!AL$96:AL$180,$I79))</f>
        <v>0</v>
      </c>
      <c r="AM79" s="153" cm="1">
        <f t="array" ref="AM79">IF(OR(AM$4=0, $G79&lt;&gt; $G$7, $E79=0), 'I&amp;E Monthly'!AM79, CHOOSE(Timeline!AM$30,$J79,$K79,$L79 )*INDEX('I&amp;E Profiles'!AM$96:AM$180,$I79))</f>
        <v>0</v>
      </c>
      <c r="AN79" s="153" cm="1">
        <f t="array" ref="AN79">IF(OR(AN$4=0, $G79&lt;&gt; $G$7, $E79=0), 'I&amp;E Monthly'!AN79, CHOOSE(Timeline!AN$30,$J79,$K79,$L79 )*INDEX('I&amp;E Profiles'!AN$96:AN$180,$I79))</f>
        <v>0</v>
      </c>
      <c r="AO79" s="153" cm="1">
        <f t="array" ref="AO79">IF(OR(AO$4=0, $G79&lt;&gt; $G$7, $E79=0), 'I&amp;E Monthly'!AO79, CHOOSE(Timeline!AO$30,$J79,$K79,$L79 )*INDEX('I&amp;E Profiles'!AO$96:AO$180,$I79))</f>
        <v>0</v>
      </c>
      <c r="AP79" s="153" cm="1">
        <f t="array" ref="AP79">IF(OR(AP$4=0, $G79&lt;&gt; $G$7, $E79=0), 'I&amp;E Monthly'!AP79, CHOOSE(Timeline!AP$30,$J79,$K79,$L79 )*INDEX('I&amp;E Profiles'!AP$96:AP$180,$I79))</f>
        <v>0</v>
      </c>
      <c r="AQ79" s="153" cm="1">
        <f t="array" ref="AQ79">IF(OR(AQ$4=0, $G79&lt;&gt; $G$7, $E79=0), 'I&amp;E Monthly'!AQ79, CHOOSE(Timeline!AQ$30,$J79,$K79,$L79 )*INDEX('I&amp;E Profiles'!AQ$96:AQ$180,$I79))</f>
        <v>0</v>
      </c>
      <c r="AR79" s="153" cm="1">
        <f t="array" ref="AR79">IF(OR(AR$4=0, $G79&lt;&gt; $G$7, $E79=0), 'I&amp;E Monthly'!AR79, CHOOSE(Timeline!AR$30,$J79,$K79,$L79 )*INDEX('I&amp;E Profiles'!AR$96:AR$180,$I79))</f>
        <v>0</v>
      </c>
      <c r="AS79" s="153" cm="1">
        <f t="array" ref="AS79">IF(OR(AS$4=0, $G79&lt;&gt; $G$7, $E79=0), 'I&amp;E Monthly'!AS79, CHOOSE(Timeline!AS$30,$J79,$K79,$L79 )*INDEX('I&amp;E Profiles'!AS$96:AS$180,$I79))</f>
        <v>20</v>
      </c>
      <c r="AT79" s="153" cm="1">
        <f t="array" ref="AT79">IF(OR(AT$4=0, $G79&lt;&gt; $G$7, $E79=0), 'I&amp;E Monthly'!AT79, CHOOSE(Timeline!AT$30,$J79,$K79,$L79 )*INDEX('I&amp;E Profiles'!AT$96:AT$180,$I79))</f>
        <v>20</v>
      </c>
      <c r="AU79" s="153" cm="1">
        <f t="array" ref="AU79">IF(OR(AU$4=0, $G79&lt;&gt; $G$7, $E79=0), 'I&amp;E Monthly'!AU79, CHOOSE(Timeline!AU$30,$J79,$K79,$L79 )*INDEX('I&amp;E Profiles'!AU$96:AU$180,$I79))</f>
        <v>20</v>
      </c>
      <c r="AV79" s="153" cm="1">
        <f t="array" ref="AV79">IF(OR(AV$4=0, $G79&lt;&gt; $G$7, $E79=0), 'I&amp;E Monthly'!AV79, CHOOSE(Timeline!AV$30,$J79,$K79,$L79 )*INDEX('I&amp;E Profiles'!AV$96:AV$180,$I79))</f>
        <v>20</v>
      </c>
      <c r="AW79" s="153" cm="1">
        <f t="array" ref="AW79">IF(OR(AW$4=0, $G79&lt;&gt; $G$7, $E79=0), 'I&amp;E Monthly'!AW79, CHOOSE(Timeline!AW$30,$J79,$K79,$L79 )*INDEX('I&amp;E Profiles'!AW$96:AW$180,$I79))</f>
        <v>0</v>
      </c>
      <c r="AX79" s="153" cm="1">
        <f t="array" ref="AX79">IF(OR(AX$4=0, $G79&lt;&gt; $G$7, $E79=0), 'I&amp;E Monthly'!AX79, CHOOSE(Timeline!AX$30,$J79,$K79,$L79 )*INDEX('I&amp;E Profiles'!AX$96:AX$180,$I79))</f>
        <v>0</v>
      </c>
      <c r="AY79" s="153" cm="1">
        <f t="array" ref="AY79">IF(OR(AY$4=0, $G79&lt;&gt; $G$7, $E79=0), 'I&amp;E Monthly'!AY79, CHOOSE(Timeline!AY$30,$J79,$K79,$L79 )*INDEX('I&amp;E Profiles'!AY$96:AY$180,$I79))</f>
        <v>0</v>
      </c>
      <c r="AZ79" s="153" cm="1">
        <f t="array" ref="AZ79">IF(OR(AZ$4=0, $G79&lt;&gt; $G$7, $E79=0), 'I&amp;E Monthly'!AZ79, CHOOSE(Timeline!AZ$30,$J79,$K79,$L79 )*INDEX('I&amp;E Profiles'!AZ$96:AZ$180,$I79))</f>
        <v>0</v>
      </c>
      <c r="BA79" s="153" cm="1">
        <f t="array" ref="BA79">IF(OR(BA$4=0, $G79&lt;&gt; $G$7, $E79=0), 'I&amp;E Monthly'!BA79, CHOOSE(Timeline!BA$30,$J79,$K79,$L79 )*INDEX('I&amp;E Profiles'!BA$96:BA$180,$I79))</f>
        <v>0</v>
      </c>
      <c r="BB79" s="153" cm="1">
        <f t="array" ref="BB79">IF(OR(BB$4=0, $G79&lt;&gt; $G$7, $E79=0), 'I&amp;E Monthly'!BB79, CHOOSE(Timeline!BB$30,$J79,$K79,$L79 )*INDEX('I&amp;E Profiles'!BB$96:BB$180,$I79))</f>
        <v>0</v>
      </c>
      <c r="BC79" s="153" cm="1">
        <f t="array" ref="BC79">IF(OR(BC$4=0, $G79&lt;&gt; $G$7, $E79=0), 'I&amp;E Monthly'!BC79, CHOOSE(Timeline!BC$30,$J79,$K79,$L79 )*INDEX('I&amp;E Profiles'!BC$96:BC$180,$I79))</f>
        <v>0</v>
      </c>
      <c r="BD79" s="153" cm="1">
        <f t="array" ref="BD79">IF(OR(BD$4=0, $G79&lt;&gt; $G$7, $E79=0), 'I&amp;E Monthly'!BD79, CHOOSE(Timeline!BD$30,$J79,$K79,$L79 )*INDEX('I&amp;E Profiles'!BD$96:BD$180,$I79))</f>
        <v>0</v>
      </c>
      <c r="BE79" s="153" cm="1">
        <f t="array" ref="BE79">IF(OR(BE$4=0, $G79&lt;&gt; $G$7, $E79=0), 'I&amp;E Monthly'!BE79, CHOOSE(Timeline!BE$30,$J79,$K79,$L79 )*INDEX('I&amp;E Profiles'!BE$96:BE$180,$I79))</f>
        <v>20</v>
      </c>
      <c r="BF79" s="153" cm="1">
        <f t="array" ref="BF79">IF(OR(BF$4=0, $G79&lt;&gt; $G$7, $E79=0), 'I&amp;E Monthly'!BF79, CHOOSE(Timeline!BF$30,$J79,$K79,$L79 )*INDEX('I&amp;E Profiles'!BF$96:BF$180,$I79))</f>
        <v>20</v>
      </c>
      <c r="BG79" s="153" cm="1">
        <f t="array" ref="BG79">IF(OR(BG$4=0, $G79&lt;&gt; $G$7, $E79=0), 'I&amp;E Monthly'!BG79, CHOOSE(Timeline!BG$30,$J79,$K79,$L79 )*INDEX('I&amp;E Profiles'!BG$96:BG$180,$I79))</f>
        <v>20</v>
      </c>
      <c r="BH79" s="153" cm="1">
        <f t="array" ref="BH79">IF(OR(BH$4=0, $G79&lt;&gt; $G$7, $E79=0), 'I&amp;E Monthly'!BH79, CHOOSE(Timeline!BH$30,$J79,$K79,$L79 )*INDEX('I&amp;E Profiles'!BH$96:BH$180,$I79))</f>
        <v>20</v>
      </c>
      <c r="BI79" s="153" cm="1">
        <f t="array" ref="BI79">IF(OR(BI$4=0, $G79&lt;&gt; $G$7, $E79=0), 'I&amp;E Monthly'!BI79, CHOOSE(Timeline!BI$30,$J79,$K79,$L79 )*INDEX('I&amp;E Profiles'!BI$96:BI$180,$I79))</f>
        <v>0</v>
      </c>
      <c r="BJ79" s="153" cm="1">
        <f t="array" ref="BJ79">IF(OR(BJ$4=0, $G79&lt;&gt; $G$7, $E79=0), 'I&amp;E Monthly'!BJ79, CHOOSE(Timeline!BJ$30,$J79,$K79,$L79 )*INDEX('I&amp;E Profiles'!BJ$96:BJ$180,$I79))</f>
        <v>0</v>
      </c>
      <c r="BL79" s="13">
        <f t="shared" si="79"/>
        <v>0</v>
      </c>
      <c r="BM79" s="153">
        <f t="shared" si="80"/>
        <v>52</v>
      </c>
      <c r="BN79" s="153">
        <f t="shared" si="80"/>
        <v>80</v>
      </c>
      <c r="BO79" s="153">
        <f t="shared" si="80"/>
        <v>80</v>
      </c>
      <c r="BP79" s="13">
        <f>'I&amp;E Monthly'!BP79</f>
        <v>0</v>
      </c>
      <c r="BQ79" s="13">
        <f>'I&amp;E Monthly'!BQ79</f>
        <v>0</v>
      </c>
      <c r="BR79" s="13">
        <f>'I&amp;E Monthly'!BR79</f>
        <v>0</v>
      </c>
      <c r="BS79" s="13">
        <f>'I&amp;E Monthly'!BS79</f>
        <v>0</v>
      </c>
      <c r="BT79" s="13">
        <f>'I&amp;E Monthly'!BT79</f>
        <v>0</v>
      </c>
      <c r="BU79" s="13">
        <f>'I&amp;E Monthly'!BU79</f>
        <v>0</v>
      </c>
      <c r="BV79" s="13">
        <f>'I&amp;E Monthly'!BV79</f>
        <v>0</v>
      </c>
      <c r="BW79" s="13">
        <f>'I&amp;E Monthly'!BW79</f>
        <v>0</v>
      </c>
      <c r="BY79" s="12"/>
      <c r="BZ79" s="363">
        <f t="shared" ca="1" si="81"/>
        <v>0</v>
      </c>
      <c r="CA79" s="12"/>
      <c r="CB79" s="7">
        <f t="shared" si="82"/>
        <v>0</v>
      </c>
      <c r="CC79" s="188" cm="1">
        <f t="array" ref="CC79">IF(E79="",0, IF(_xlfn.IFNA(INDEX('I&amp;E Profiles'!$D$96:$D$180, $I79), "N/A")="N/A", 1, 0))</f>
        <v>0</v>
      </c>
      <c r="CD79" s="7">
        <f t="shared" si="83"/>
        <v>0</v>
      </c>
      <c r="CE79" s="7">
        <f t="shared" si="84"/>
        <v>0</v>
      </c>
      <c r="CF79" s="7">
        <f t="shared" si="85"/>
        <v>0</v>
      </c>
      <c r="CG79" s="12"/>
      <c r="CH79" s="352">
        <f t="shared" si="86"/>
        <v>0</v>
      </c>
      <c r="CI79" s="352">
        <f t="shared" si="87"/>
        <v>0</v>
      </c>
      <c r="CJ79" s="352">
        <f t="shared" si="88"/>
        <v>0</v>
      </c>
      <c r="CK79" s="352">
        <f t="shared" si="89"/>
        <v>0</v>
      </c>
      <c r="CL79" s="352">
        <f t="shared" si="90"/>
        <v>0</v>
      </c>
      <c r="CM79" s="352">
        <f t="shared" si="91"/>
        <v>0</v>
      </c>
      <c r="CN79" s="352">
        <f t="shared" si="92"/>
        <v>0</v>
      </c>
      <c r="EX79" s="10" t="str">
        <f t="shared" si="78"/>
        <v>Exam and registration income</v>
      </c>
    </row>
    <row r="80" spans="1:154" s="335" customFormat="1" x14ac:dyDescent="0.25">
      <c r="A80" s="362" cm="1">
        <f t="array" aca="1" ref="A80" ca="1">HYPERLINK(CONCATENATE("#",CELL("address",IF(SUM($CA80:$CG80)=0,A80,INDEX($CA80:$CG80,MATCH(1,$CA80:$CG80,0))))),SUM($CA80:$CG80))</f>
        <v>0</v>
      </c>
      <c r="C80" s="343" t="s">
        <v>2284</v>
      </c>
      <c r="D80" s="434" t="s">
        <v>32</v>
      </c>
      <c r="E80" s="147"/>
      <c r="F80" s="98" t="str" cm="1">
        <f t="array" aca="1" ref="F80" ca="1">IF(E80="", "", HYPERLINK(CONCATENATE("#",CELL("address",INDEX('I&amp;E Profiles'!$D$9:$D$93,'I&amp;E Annual'!I80))),E80))</f>
        <v/>
      </c>
      <c r="G80" s="372" t="s">
        <v>211</v>
      </c>
      <c r="H80" s="335" t="s">
        <v>8</v>
      </c>
      <c r="I80" s="350" t="str">
        <f>IF(E80="", "", MATCH(E80, 'I&amp;E Profiles'!$D$96:$D$180,0))</f>
        <v/>
      </c>
      <c r="J80" s="215">
        <f>IF($G80=$G$7, W80,'I&amp;E Monthly'!W80)-SUMIFS('I&amp;E Monthly'!$AA80:$BJ80, 'I&amp;E Monthly'!$AA$3:$BJ$3, 'I&amp;E Annual'!W$3, 'I&amp;E Monthly'!$AA$4:$BJ$4, 0)</f>
        <v>220</v>
      </c>
      <c r="K80" s="215">
        <f>IF($G80=$G$7, X80,'I&amp;E Monthly'!X80)-SUMIFS('I&amp;E Monthly'!$AA80:$BJ80, 'I&amp;E Monthly'!$AA$3:$BJ$3, 'I&amp;E Annual'!X$3, 'I&amp;E Monthly'!$AA$4:$BJ$4, 0)</f>
        <v>135</v>
      </c>
      <c r="L80" s="215">
        <f>IF($G80=$G$7, Y80,'I&amp;E Monthly'!Y80)-SUMIFS('I&amp;E Monthly'!$AA80:$BJ80, 'I&amp;E Monthly'!$AA$3:$BJ$3, 'I&amp;E Annual'!Y$3, 'I&amp;E Monthly'!$AA$4:$BJ$4, 0)</f>
        <v>135</v>
      </c>
      <c r="Q80" s="2"/>
      <c r="V80" s="201">
        <f>'I&amp;E Monthly'!V80</f>
        <v>0</v>
      </c>
      <c r="W80" s="372"/>
      <c r="X80" s="198"/>
      <c r="Y80" s="198"/>
      <c r="AA80" s="153" cm="1">
        <f t="array" ref="AA80">IF(OR(AA$4=0, $G80&lt;&gt; $G$7, $E80=0), 'I&amp;E Monthly'!AA80, CHOOSE(Timeline!AA$30,$J80,$K80,$L80 )*INDEX('I&amp;E Profiles'!AA$96:AA$180,$I80))</f>
        <v>0</v>
      </c>
      <c r="AB80" s="153" cm="1">
        <f t="array" ref="AB80">IF(OR(AB$4=0, $G80&lt;&gt; $G$7, $E80=0), 'I&amp;E Monthly'!AB80, CHOOSE(Timeline!AB$30,$J80,$K80,$L80 )*INDEX('I&amp;E Profiles'!AB$96:AB$180,$I80))</f>
        <v>0</v>
      </c>
      <c r="AC80" s="153" cm="1">
        <f t="array" ref="AC80">IF(OR(AC$4=0, $G80&lt;&gt; $G$7, $E80=0), 'I&amp;E Monthly'!AC80, CHOOSE(Timeline!AC$30,$J80,$K80,$L80 )*INDEX('I&amp;E Profiles'!AC$96:AC$180,$I80))</f>
        <v>0</v>
      </c>
      <c r="AD80" s="153" cm="1">
        <f t="array" ref="AD80">IF(OR(AD$4=0, $G80&lt;&gt; $G$7, $E80=0), 'I&amp;E Monthly'!AD80, CHOOSE(Timeline!AD$30,$J80,$K80,$L80 )*INDEX('I&amp;E Profiles'!AD$96:AD$180,$I80))</f>
        <v>121</v>
      </c>
      <c r="AE80" s="153" cm="1">
        <f t="array" ref="AE80">IF(OR(AE$4=0, $G80&lt;&gt; $G$7, $E80=0), 'I&amp;E Monthly'!AE80, CHOOSE(Timeline!AE$30,$J80,$K80,$L80 )*INDEX('I&amp;E Profiles'!AE$96:AE$180,$I80))</f>
        <v>0</v>
      </c>
      <c r="AF80" s="153" cm="1">
        <f t="array" ref="AF80">IF(OR(AF$4=0, $G80&lt;&gt; $G$7, $E80=0), 'I&amp;E Monthly'!AF80, CHOOSE(Timeline!AF$30,$J80,$K80,$L80 )*INDEX('I&amp;E Profiles'!AF$96:AF$180,$I80))</f>
        <v>124</v>
      </c>
      <c r="AG80" s="153" cm="1">
        <f t="array" ref="AG80">IF(OR(AG$4=0, $G80&lt;&gt; $G$7, $E80=0), 'I&amp;E Monthly'!AG80, CHOOSE(Timeline!AG$30,$J80,$K80,$L80 )*INDEX('I&amp;E Profiles'!AG$96:AG$180,$I80))</f>
        <v>0</v>
      </c>
      <c r="AH80" s="153" cm="1">
        <f t="array" ref="AH80">IF(OR(AH$4=0, $G80&lt;&gt; $G$7, $E80=0), 'I&amp;E Monthly'!AH80, CHOOSE(Timeline!AH$30,$J80,$K80,$L80 )*INDEX('I&amp;E Profiles'!AH$96:AH$180,$I80))</f>
        <v>0</v>
      </c>
      <c r="AI80" s="153" cm="1">
        <f t="array" ref="AI80">IF(OR(AI$4=0, $G80&lt;&gt; $G$7, $E80=0), 'I&amp;E Monthly'!AI80, CHOOSE(Timeline!AI$30,$J80,$K80,$L80 )*INDEX('I&amp;E Profiles'!AI$96:AI$180,$I80))</f>
        <v>0</v>
      </c>
      <c r="AJ80" s="153" cm="1">
        <f t="array" ref="AJ80">IF(OR(AJ$4=0, $G80&lt;&gt; $G$7, $E80=0), 'I&amp;E Monthly'!AJ80, CHOOSE(Timeline!AJ$30,$J80,$K80,$L80 )*INDEX('I&amp;E Profiles'!AJ$96:AJ$180,$I80))</f>
        <v>0</v>
      </c>
      <c r="AK80" s="153" cm="1">
        <f t="array" ref="AK80">IF(OR(AK$4=0, $G80&lt;&gt; $G$7, $E80=0), 'I&amp;E Monthly'!AK80, CHOOSE(Timeline!AK$30,$J80,$K80,$L80 )*INDEX('I&amp;E Profiles'!AK$96:AK$180,$I80))</f>
        <v>0</v>
      </c>
      <c r="AL80" s="153" cm="1">
        <f t="array" ref="AL80">IF(OR(AL$4=0, $G80&lt;&gt; $G$7, $E80=0), 'I&amp;E Monthly'!AL80, CHOOSE(Timeline!AL$30,$J80,$K80,$L80 )*INDEX('I&amp;E Profiles'!AL$96:AL$180,$I80))</f>
        <v>220</v>
      </c>
      <c r="AM80" s="153" cm="1">
        <f t="array" ref="AM80">IF(OR(AM$4=0, $G80&lt;&gt; $G$7, $E80=0), 'I&amp;E Monthly'!AM80, CHOOSE(Timeline!AM$30,$J80,$K80,$L80 )*INDEX('I&amp;E Profiles'!AM$96:AM$180,$I80))</f>
        <v>45</v>
      </c>
      <c r="AN80" s="153" cm="1">
        <f t="array" ref="AN80">IF(OR(AN$4=0, $G80&lt;&gt; $G$7, $E80=0), 'I&amp;E Monthly'!AN80, CHOOSE(Timeline!AN$30,$J80,$K80,$L80 )*INDEX('I&amp;E Profiles'!AN$96:AN$180,$I80))</f>
        <v>0</v>
      </c>
      <c r="AO80" s="153" cm="1">
        <f t="array" ref="AO80">IF(OR(AO$4=0, $G80&lt;&gt; $G$7, $E80=0), 'I&amp;E Monthly'!AO80, CHOOSE(Timeline!AO$30,$J80,$K80,$L80 )*INDEX('I&amp;E Profiles'!AO$96:AO$180,$I80))</f>
        <v>0</v>
      </c>
      <c r="AP80" s="153" cm="1">
        <f t="array" ref="AP80">IF(OR(AP$4=0, $G80&lt;&gt; $G$7, $E80=0), 'I&amp;E Monthly'!AP80, CHOOSE(Timeline!AP$30,$J80,$K80,$L80 )*INDEX('I&amp;E Profiles'!AP$96:AP$180,$I80))</f>
        <v>0</v>
      </c>
      <c r="AQ80" s="153" cm="1">
        <f t="array" ref="AQ80">IF(OR(AQ$4=0, $G80&lt;&gt; $G$7, $E80=0), 'I&amp;E Monthly'!AQ80, CHOOSE(Timeline!AQ$30,$J80,$K80,$L80 )*INDEX('I&amp;E Profiles'!AQ$96:AQ$180,$I80))</f>
        <v>0</v>
      </c>
      <c r="AR80" s="153" cm="1">
        <f t="array" ref="AR80">IF(OR(AR$4=0, $G80&lt;&gt; $G$7, $E80=0), 'I&amp;E Monthly'!AR80, CHOOSE(Timeline!AR$30,$J80,$K80,$L80 )*INDEX('I&amp;E Profiles'!AR$96:AR$180,$I80))</f>
        <v>45</v>
      </c>
      <c r="AS80" s="153" cm="1">
        <f t="array" ref="AS80">IF(OR(AS$4=0, $G80&lt;&gt; $G$7, $E80=0), 'I&amp;E Monthly'!AS80, CHOOSE(Timeline!AS$30,$J80,$K80,$L80 )*INDEX('I&amp;E Profiles'!AS$96:AS$180,$I80))</f>
        <v>0</v>
      </c>
      <c r="AT80" s="153" cm="1">
        <f t="array" ref="AT80">IF(OR(AT$4=0, $G80&lt;&gt; $G$7, $E80=0), 'I&amp;E Monthly'!AT80, CHOOSE(Timeline!AT$30,$J80,$K80,$L80 )*INDEX('I&amp;E Profiles'!AT$96:AT$180,$I80))</f>
        <v>0</v>
      </c>
      <c r="AU80" s="153" cm="1">
        <f t="array" ref="AU80">IF(OR(AU$4=0, $G80&lt;&gt; $G$7, $E80=0), 'I&amp;E Monthly'!AU80, CHOOSE(Timeline!AU$30,$J80,$K80,$L80 )*INDEX('I&amp;E Profiles'!AU$96:AU$180,$I80))</f>
        <v>0</v>
      </c>
      <c r="AV80" s="153" cm="1">
        <f t="array" ref="AV80">IF(OR(AV$4=0, $G80&lt;&gt; $G$7, $E80=0), 'I&amp;E Monthly'!AV80, CHOOSE(Timeline!AV$30,$J80,$K80,$L80 )*INDEX('I&amp;E Profiles'!AV$96:AV$180,$I80))</f>
        <v>0</v>
      </c>
      <c r="AW80" s="153" cm="1">
        <f t="array" ref="AW80">IF(OR(AW$4=0, $G80&lt;&gt; $G$7, $E80=0), 'I&amp;E Monthly'!AW80, CHOOSE(Timeline!AW$30,$J80,$K80,$L80 )*INDEX('I&amp;E Profiles'!AW$96:AW$180,$I80))</f>
        <v>45</v>
      </c>
      <c r="AX80" s="153" cm="1">
        <f t="array" ref="AX80">IF(OR(AX$4=0, $G80&lt;&gt; $G$7, $E80=0), 'I&amp;E Monthly'!AX80, CHOOSE(Timeline!AX$30,$J80,$K80,$L80 )*INDEX('I&amp;E Profiles'!AX$96:AX$180,$I80))</f>
        <v>0</v>
      </c>
      <c r="AY80" s="153" cm="1">
        <f t="array" ref="AY80">IF(OR(AY$4=0, $G80&lt;&gt; $G$7, $E80=0), 'I&amp;E Monthly'!AY80, CHOOSE(Timeline!AY$30,$J80,$K80,$L80 )*INDEX('I&amp;E Profiles'!AY$96:AY$180,$I80))</f>
        <v>45</v>
      </c>
      <c r="AZ80" s="153" cm="1">
        <f t="array" ref="AZ80">IF(OR(AZ$4=0, $G80&lt;&gt; $G$7, $E80=0), 'I&amp;E Monthly'!AZ80, CHOOSE(Timeline!AZ$30,$J80,$K80,$L80 )*INDEX('I&amp;E Profiles'!AZ$96:AZ$180,$I80))</f>
        <v>0</v>
      </c>
      <c r="BA80" s="153" cm="1">
        <f t="array" ref="BA80">IF(OR(BA$4=0, $G80&lt;&gt; $G$7, $E80=0), 'I&amp;E Monthly'!BA80, CHOOSE(Timeline!BA$30,$J80,$K80,$L80 )*INDEX('I&amp;E Profiles'!BA$96:BA$180,$I80))</f>
        <v>0</v>
      </c>
      <c r="BB80" s="153" cm="1">
        <f t="array" ref="BB80">IF(OR(BB$4=0, $G80&lt;&gt; $G$7, $E80=0), 'I&amp;E Monthly'!BB80, CHOOSE(Timeline!BB$30,$J80,$K80,$L80 )*INDEX('I&amp;E Profiles'!BB$96:BB$180,$I80))</f>
        <v>0</v>
      </c>
      <c r="BC80" s="153" cm="1">
        <f t="array" ref="BC80">IF(OR(BC$4=0, $G80&lt;&gt; $G$7, $E80=0), 'I&amp;E Monthly'!BC80, CHOOSE(Timeline!BC$30,$J80,$K80,$L80 )*INDEX('I&amp;E Profiles'!BC$96:BC$180,$I80))</f>
        <v>0</v>
      </c>
      <c r="BD80" s="153" cm="1">
        <f t="array" ref="BD80">IF(OR(BD$4=0, $G80&lt;&gt; $G$7, $E80=0), 'I&amp;E Monthly'!BD80, CHOOSE(Timeline!BD$30,$J80,$K80,$L80 )*INDEX('I&amp;E Profiles'!BD$96:BD$180,$I80))</f>
        <v>45</v>
      </c>
      <c r="BE80" s="153" cm="1">
        <f t="array" ref="BE80">IF(OR(BE$4=0, $G80&lt;&gt; $G$7, $E80=0), 'I&amp;E Monthly'!BE80, CHOOSE(Timeline!BE$30,$J80,$K80,$L80 )*INDEX('I&amp;E Profiles'!BE$96:BE$180,$I80))</f>
        <v>0</v>
      </c>
      <c r="BF80" s="153" cm="1">
        <f t="array" ref="BF80">IF(OR(BF$4=0, $G80&lt;&gt; $G$7, $E80=0), 'I&amp;E Monthly'!BF80, CHOOSE(Timeline!BF$30,$J80,$K80,$L80 )*INDEX('I&amp;E Profiles'!BF$96:BF$180,$I80))</f>
        <v>0</v>
      </c>
      <c r="BG80" s="153" cm="1">
        <f t="array" ref="BG80">IF(OR(BG$4=0, $G80&lt;&gt; $G$7, $E80=0), 'I&amp;E Monthly'!BG80, CHOOSE(Timeline!BG$30,$J80,$K80,$L80 )*INDEX('I&amp;E Profiles'!BG$96:BG$180,$I80))</f>
        <v>0</v>
      </c>
      <c r="BH80" s="153" cm="1">
        <f t="array" ref="BH80">IF(OR(BH$4=0, $G80&lt;&gt; $G$7, $E80=0), 'I&amp;E Monthly'!BH80, CHOOSE(Timeline!BH$30,$J80,$K80,$L80 )*INDEX('I&amp;E Profiles'!BH$96:BH$180,$I80))</f>
        <v>0</v>
      </c>
      <c r="BI80" s="153" cm="1">
        <f t="array" ref="BI80">IF(OR(BI$4=0, $G80&lt;&gt; $G$7, $E80=0), 'I&amp;E Monthly'!BI80, CHOOSE(Timeline!BI$30,$J80,$K80,$L80 )*INDEX('I&amp;E Profiles'!BI$96:BI$180,$I80))</f>
        <v>45</v>
      </c>
      <c r="BJ80" s="153" cm="1">
        <f t="array" ref="BJ80">IF(OR(BJ$4=0, $G80&lt;&gt; $G$7, $E80=0), 'I&amp;E Monthly'!BJ80, CHOOSE(Timeline!BJ$30,$J80,$K80,$L80 )*INDEX('I&amp;E Profiles'!BJ$96:BJ$180,$I80))</f>
        <v>0</v>
      </c>
      <c r="BL80" s="13">
        <f t="shared" si="79"/>
        <v>0</v>
      </c>
      <c r="BM80" s="153">
        <f t="shared" si="80"/>
        <v>465</v>
      </c>
      <c r="BN80" s="153">
        <f t="shared" si="80"/>
        <v>135</v>
      </c>
      <c r="BO80" s="153">
        <f t="shared" si="80"/>
        <v>135</v>
      </c>
      <c r="BP80" s="13">
        <f>'I&amp;E Monthly'!BP80</f>
        <v>0</v>
      </c>
      <c r="BQ80" s="13">
        <f>'I&amp;E Monthly'!BQ80</f>
        <v>0</v>
      </c>
      <c r="BR80" s="13">
        <f>'I&amp;E Monthly'!BR80</f>
        <v>0</v>
      </c>
      <c r="BS80" s="13">
        <f>'I&amp;E Monthly'!BS80</f>
        <v>0</v>
      </c>
      <c r="BT80" s="13">
        <f>'I&amp;E Monthly'!BT80</f>
        <v>0</v>
      </c>
      <c r="BU80" s="13">
        <f>'I&amp;E Monthly'!BU80</f>
        <v>0</v>
      </c>
      <c r="BV80" s="13">
        <f>'I&amp;E Monthly'!BV80</f>
        <v>0</v>
      </c>
      <c r="BW80" s="13">
        <f>'I&amp;E Monthly'!BW80</f>
        <v>0</v>
      </c>
      <c r="BY80" s="12"/>
      <c r="BZ80" s="363">
        <f t="shared" ca="1" si="81"/>
        <v>0</v>
      </c>
      <c r="CA80" s="12"/>
      <c r="CB80" s="7">
        <f t="shared" si="82"/>
        <v>0</v>
      </c>
      <c r="CC80" s="188" cm="1">
        <f t="array" ref="CC80">IF(E80="",0, IF(_xlfn.IFNA(INDEX('I&amp;E Profiles'!$D$96:$D$180, $I80), "N/A")="N/A", 1, 0))</f>
        <v>0</v>
      </c>
      <c r="CD80" s="7">
        <f t="shared" si="83"/>
        <v>0</v>
      </c>
      <c r="CE80" s="7">
        <f t="shared" si="84"/>
        <v>0</v>
      </c>
      <c r="CF80" s="7">
        <f t="shared" si="85"/>
        <v>0</v>
      </c>
      <c r="CG80" s="12"/>
      <c r="CH80" s="352">
        <f t="shared" si="86"/>
        <v>0</v>
      </c>
      <c r="CI80" s="352">
        <f t="shared" si="87"/>
        <v>0</v>
      </c>
      <c r="CJ80" s="352">
        <f t="shared" si="88"/>
        <v>0</v>
      </c>
      <c r="CK80" s="352">
        <f t="shared" si="89"/>
        <v>0</v>
      </c>
      <c r="CL80" s="352">
        <f t="shared" si="90"/>
        <v>0</v>
      </c>
      <c r="CM80" s="352">
        <f t="shared" si="91"/>
        <v>0</v>
      </c>
      <c r="CN80" s="352">
        <f t="shared" si="92"/>
        <v>0</v>
      </c>
      <c r="EX80" s="10" t="str">
        <f t="shared" si="78"/>
        <v>Other income from provision of education and training</v>
      </c>
    </row>
    <row r="81" spans="1:154" hidden="1" x14ac:dyDescent="0.25">
      <c r="A81" s="362" cm="1">
        <f t="array" aca="1" ref="A81" ca="1">HYPERLINK(CONCATENATE("#",CELL("address",IF(SUM($CA81:$CG81)=0,A81,INDEX($CA81:$CG81,MATCH(1,$CA81:$CG81,0))))),SUM($CA81:$CG81))</f>
        <v>0</v>
      </c>
      <c r="B81" s="93"/>
      <c r="C81" s="383"/>
      <c r="D81" s="137" t="s">
        <v>2316</v>
      </c>
      <c r="E81" s="349"/>
      <c r="F81" s="98" t="str" cm="1">
        <f t="array" aca="1" ref="F81" ca="1">IF(E81="", "", HYPERLINK(CONCATENATE("#",CELL("address",INDEX('I&amp;E Profiles'!$D$9:$D$93,'I&amp;E Annual'!I81))),E81))</f>
        <v/>
      </c>
      <c r="G81" s="349"/>
      <c r="H81" s="335"/>
      <c r="I81" s="350" t="str">
        <f>IF(E81="", "", MATCH(E81, 'I&amp;E Profiles'!$D$96:$D$180,0))</f>
        <v/>
      </c>
      <c r="J81" s="215">
        <f>IF($G81=$G$7, W81,'I&amp;E Monthly'!W81)-SUMIFS('I&amp;E Monthly'!$AA81:$BJ81, 'I&amp;E Monthly'!$AA$3:$BJ$3, 'I&amp;E Annual'!W$3, 'I&amp;E Monthly'!$AA$4:$BJ$4, 0)</f>
        <v>0</v>
      </c>
      <c r="K81" s="215">
        <f>IF($G81=$G$7, X81,'I&amp;E Monthly'!X81)-SUMIFS('I&amp;E Monthly'!$AA81:$BJ81, 'I&amp;E Monthly'!$AA$3:$BJ$3, 'I&amp;E Annual'!X$3, 'I&amp;E Monthly'!$AA$4:$BJ$4, 0)</f>
        <v>0</v>
      </c>
      <c r="L81" s="215">
        <f>IF($G81=$G$7, Y81,'I&amp;E Monthly'!Y81)-SUMIFS('I&amp;E Monthly'!$AA81:$BJ81, 'I&amp;E Monthly'!$AA$3:$BJ$3, 'I&amp;E Annual'!Y$3, 'I&amp;E Monthly'!$AA$4:$BJ$4, 0)</f>
        <v>0</v>
      </c>
      <c r="M81" s="335"/>
      <c r="N81" s="335"/>
      <c r="O81" s="335"/>
      <c r="P81" s="335"/>
      <c r="Q81" s="2"/>
      <c r="R81" s="335"/>
      <c r="S81" s="335"/>
      <c r="T81" s="335"/>
      <c r="U81" s="335"/>
      <c r="V81" s="201">
        <f>'I&amp;E Monthly'!V81</f>
        <v>0</v>
      </c>
      <c r="W81" s="136"/>
      <c r="X81" s="136"/>
      <c r="Y81" s="136"/>
      <c r="Z81" s="335"/>
      <c r="AA81" s="153" cm="1">
        <f t="array" ref="AA81">IF(OR(AA$4=0, $G81&lt;&gt; $G$7, $E81=0), 'I&amp;E Monthly'!AA81, CHOOSE(Timeline!AA$30,$J81,$K81,$L81 )*INDEX('I&amp;E Profiles'!AA$96:AA$180,$I81))</f>
        <v>0</v>
      </c>
      <c r="AB81" s="153" cm="1">
        <f t="array" ref="AB81">IF(OR(AB$4=0, $G81&lt;&gt; $G$7, $E81=0), 'I&amp;E Monthly'!AB81, CHOOSE(Timeline!AB$30,$J81,$K81,$L81 )*INDEX('I&amp;E Profiles'!AB$96:AB$180,$I81))</f>
        <v>0</v>
      </c>
      <c r="AC81" s="153" cm="1">
        <f t="array" ref="AC81">IF(OR(AC$4=0, $G81&lt;&gt; $G$7, $E81=0), 'I&amp;E Monthly'!AC81, CHOOSE(Timeline!AC$30,$J81,$K81,$L81 )*INDEX('I&amp;E Profiles'!AC$96:AC$180,$I81))</f>
        <v>0</v>
      </c>
      <c r="AD81" s="153" cm="1">
        <f t="array" ref="AD81">IF(OR(AD$4=0, $G81&lt;&gt; $G$7, $E81=0), 'I&amp;E Monthly'!AD81, CHOOSE(Timeline!AD$30,$J81,$K81,$L81 )*INDEX('I&amp;E Profiles'!AD$96:AD$180,$I81))</f>
        <v>0</v>
      </c>
      <c r="AE81" s="153" cm="1">
        <f t="array" ref="AE81">IF(OR(AE$4=0, $G81&lt;&gt; $G$7, $E81=0), 'I&amp;E Monthly'!AE81, CHOOSE(Timeline!AE$30,$J81,$K81,$L81 )*INDEX('I&amp;E Profiles'!AE$96:AE$180,$I81))</f>
        <v>0</v>
      </c>
      <c r="AF81" s="153" cm="1">
        <f t="array" ref="AF81">IF(OR(AF$4=0, $G81&lt;&gt; $G$7, $E81=0), 'I&amp;E Monthly'!AF81, CHOOSE(Timeline!AF$30,$J81,$K81,$L81 )*INDEX('I&amp;E Profiles'!AF$96:AF$180,$I81))</f>
        <v>0</v>
      </c>
      <c r="AG81" s="153" cm="1">
        <f t="array" ref="AG81">IF(OR(AG$4=0, $G81&lt;&gt; $G$7, $E81=0), 'I&amp;E Monthly'!AG81, CHOOSE(Timeline!AG$30,$J81,$K81,$L81 )*INDEX('I&amp;E Profiles'!AG$96:AG$180,$I81))</f>
        <v>0</v>
      </c>
      <c r="AH81" s="153" cm="1">
        <f t="array" ref="AH81">IF(OR(AH$4=0, $G81&lt;&gt; $G$7, $E81=0), 'I&amp;E Monthly'!AH81, CHOOSE(Timeline!AH$30,$J81,$K81,$L81 )*INDEX('I&amp;E Profiles'!AH$96:AH$180,$I81))</f>
        <v>0</v>
      </c>
      <c r="AI81" s="153" cm="1">
        <f t="array" ref="AI81">IF(OR(AI$4=0, $G81&lt;&gt; $G$7, $E81=0), 'I&amp;E Monthly'!AI81, CHOOSE(Timeline!AI$30,$J81,$K81,$L81 )*INDEX('I&amp;E Profiles'!AI$96:AI$180,$I81))</f>
        <v>0</v>
      </c>
      <c r="AJ81" s="153" cm="1">
        <f t="array" ref="AJ81">IF(OR(AJ$4=0, $G81&lt;&gt; $G$7, $E81=0), 'I&amp;E Monthly'!AJ81, CHOOSE(Timeline!AJ$30,$J81,$K81,$L81 )*INDEX('I&amp;E Profiles'!AJ$96:AJ$180,$I81))</f>
        <v>0</v>
      </c>
      <c r="AK81" s="153" cm="1">
        <f t="array" ref="AK81">IF(OR(AK$4=0, $G81&lt;&gt; $G$7, $E81=0), 'I&amp;E Monthly'!AK81, CHOOSE(Timeline!AK$30,$J81,$K81,$L81 )*INDEX('I&amp;E Profiles'!AK$96:AK$180,$I81))</f>
        <v>0</v>
      </c>
      <c r="AL81" s="153" cm="1">
        <f t="array" ref="AL81">IF(OR(AL$4=0, $G81&lt;&gt; $G$7, $E81=0), 'I&amp;E Monthly'!AL81, CHOOSE(Timeline!AL$30,$J81,$K81,$L81 )*INDEX('I&amp;E Profiles'!AL$96:AL$180,$I81))</f>
        <v>0</v>
      </c>
      <c r="AM81" s="153" cm="1">
        <f t="array" ref="AM81">IF(OR(AM$4=0, $G81&lt;&gt; $G$7, $E81=0), 'I&amp;E Monthly'!AM81, CHOOSE(Timeline!AM$30,$J81,$K81,$L81 )*INDEX('I&amp;E Profiles'!AM$96:AM$180,$I81))</f>
        <v>0</v>
      </c>
      <c r="AN81" s="153" cm="1">
        <f t="array" ref="AN81">IF(OR(AN$4=0, $G81&lt;&gt; $G$7, $E81=0), 'I&amp;E Monthly'!AN81, CHOOSE(Timeline!AN$30,$J81,$K81,$L81 )*INDEX('I&amp;E Profiles'!AN$96:AN$180,$I81))</f>
        <v>0</v>
      </c>
      <c r="AO81" s="153" cm="1">
        <f t="array" ref="AO81">IF(OR(AO$4=0, $G81&lt;&gt; $G$7, $E81=0), 'I&amp;E Monthly'!AO81, CHOOSE(Timeline!AO$30,$J81,$K81,$L81 )*INDEX('I&amp;E Profiles'!AO$96:AO$180,$I81))</f>
        <v>0</v>
      </c>
      <c r="AP81" s="153" cm="1">
        <f t="array" ref="AP81">IF(OR(AP$4=0, $G81&lt;&gt; $G$7, $E81=0), 'I&amp;E Monthly'!AP81, CHOOSE(Timeline!AP$30,$J81,$K81,$L81 )*INDEX('I&amp;E Profiles'!AP$96:AP$180,$I81))</f>
        <v>0</v>
      </c>
      <c r="AQ81" s="153" cm="1">
        <f t="array" ref="AQ81">IF(OR(AQ$4=0, $G81&lt;&gt; $G$7, $E81=0), 'I&amp;E Monthly'!AQ81, CHOOSE(Timeline!AQ$30,$J81,$K81,$L81 )*INDEX('I&amp;E Profiles'!AQ$96:AQ$180,$I81))</f>
        <v>0</v>
      </c>
      <c r="AR81" s="153" cm="1">
        <f t="array" ref="AR81">IF(OR(AR$4=0, $G81&lt;&gt; $G$7, $E81=0), 'I&amp;E Monthly'!AR81, CHOOSE(Timeline!AR$30,$J81,$K81,$L81 )*INDEX('I&amp;E Profiles'!AR$96:AR$180,$I81))</f>
        <v>0</v>
      </c>
      <c r="AS81" s="153" cm="1">
        <f t="array" ref="AS81">IF(OR(AS$4=0, $G81&lt;&gt; $G$7, $E81=0), 'I&amp;E Monthly'!AS81, CHOOSE(Timeline!AS$30,$J81,$K81,$L81 )*INDEX('I&amp;E Profiles'!AS$96:AS$180,$I81))</f>
        <v>0</v>
      </c>
      <c r="AT81" s="153" cm="1">
        <f t="array" ref="AT81">IF(OR(AT$4=0, $G81&lt;&gt; $G$7, $E81=0), 'I&amp;E Monthly'!AT81, CHOOSE(Timeline!AT$30,$J81,$K81,$L81 )*INDEX('I&amp;E Profiles'!AT$96:AT$180,$I81))</f>
        <v>0</v>
      </c>
      <c r="AU81" s="153" cm="1">
        <f t="array" ref="AU81">IF(OR(AU$4=0, $G81&lt;&gt; $G$7, $E81=0), 'I&amp;E Monthly'!AU81, CHOOSE(Timeline!AU$30,$J81,$K81,$L81 )*INDEX('I&amp;E Profiles'!AU$96:AU$180,$I81))</f>
        <v>0</v>
      </c>
      <c r="AV81" s="153" cm="1">
        <f t="array" ref="AV81">IF(OR(AV$4=0, $G81&lt;&gt; $G$7, $E81=0), 'I&amp;E Monthly'!AV81, CHOOSE(Timeline!AV$30,$J81,$K81,$L81 )*INDEX('I&amp;E Profiles'!AV$96:AV$180,$I81))</f>
        <v>0</v>
      </c>
      <c r="AW81" s="153" cm="1">
        <f t="array" ref="AW81">IF(OR(AW$4=0, $G81&lt;&gt; $G$7, $E81=0), 'I&amp;E Monthly'!AW81, CHOOSE(Timeline!AW$30,$J81,$K81,$L81 )*INDEX('I&amp;E Profiles'!AW$96:AW$180,$I81))</f>
        <v>0</v>
      </c>
      <c r="AX81" s="153" cm="1">
        <f t="array" ref="AX81">IF(OR(AX$4=0, $G81&lt;&gt; $G$7, $E81=0), 'I&amp;E Monthly'!AX81, CHOOSE(Timeline!AX$30,$J81,$K81,$L81 )*INDEX('I&amp;E Profiles'!AX$96:AX$180,$I81))</f>
        <v>0</v>
      </c>
      <c r="AY81" s="153" cm="1">
        <f t="array" ref="AY81">IF(OR(AY$4=0, $G81&lt;&gt; $G$7, $E81=0), 'I&amp;E Monthly'!AY81, CHOOSE(Timeline!AY$30,$J81,$K81,$L81 )*INDEX('I&amp;E Profiles'!AY$96:AY$180,$I81))</f>
        <v>0</v>
      </c>
      <c r="AZ81" s="153" cm="1">
        <f t="array" ref="AZ81">IF(OR(AZ$4=0, $G81&lt;&gt; $G$7, $E81=0), 'I&amp;E Monthly'!AZ81, CHOOSE(Timeline!AZ$30,$J81,$K81,$L81 )*INDEX('I&amp;E Profiles'!AZ$96:AZ$180,$I81))</f>
        <v>0</v>
      </c>
      <c r="BA81" s="153" cm="1">
        <f t="array" ref="BA81">IF(OR(BA$4=0, $G81&lt;&gt; $G$7, $E81=0), 'I&amp;E Monthly'!BA81, CHOOSE(Timeline!BA$30,$J81,$K81,$L81 )*INDEX('I&amp;E Profiles'!BA$96:BA$180,$I81))</f>
        <v>0</v>
      </c>
      <c r="BB81" s="153" cm="1">
        <f t="array" ref="BB81">IF(OR(BB$4=0, $G81&lt;&gt; $G$7, $E81=0), 'I&amp;E Monthly'!BB81, CHOOSE(Timeline!BB$30,$J81,$K81,$L81 )*INDEX('I&amp;E Profiles'!BB$96:BB$180,$I81))</f>
        <v>0</v>
      </c>
      <c r="BC81" s="153" cm="1">
        <f t="array" ref="BC81">IF(OR(BC$4=0, $G81&lt;&gt; $G$7, $E81=0), 'I&amp;E Monthly'!BC81, CHOOSE(Timeline!BC$30,$J81,$K81,$L81 )*INDEX('I&amp;E Profiles'!BC$96:BC$180,$I81))</f>
        <v>0</v>
      </c>
      <c r="BD81" s="153" cm="1">
        <f t="array" ref="BD81">IF(OR(BD$4=0, $G81&lt;&gt; $G$7, $E81=0), 'I&amp;E Monthly'!BD81, CHOOSE(Timeline!BD$30,$J81,$K81,$L81 )*INDEX('I&amp;E Profiles'!BD$96:BD$180,$I81))</f>
        <v>0</v>
      </c>
      <c r="BE81" s="153" cm="1">
        <f t="array" ref="BE81">IF(OR(BE$4=0, $G81&lt;&gt; $G$7, $E81=0), 'I&amp;E Monthly'!BE81, CHOOSE(Timeline!BE$30,$J81,$K81,$L81 )*INDEX('I&amp;E Profiles'!BE$96:BE$180,$I81))</f>
        <v>0</v>
      </c>
      <c r="BF81" s="153" cm="1">
        <f t="array" ref="BF81">IF(OR(BF$4=0, $G81&lt;&gt; $G$7, $E81=0), 'I&amp;E Monthly'!BF81, CHOOSE(Timeline!BF$30,$J81,$K81,$L81 )*INDEX('I&amp;E Profiles'!BF$96:BF$180,$I81))</f>
        <v>0</v>
      </c>
      <c r="BG81" s="153" cm="1">
        <f t="array" ref="BG81">IF(OR(BG$4=0, $G81&lt;&gt; $G$7, $E81=0), 'I&amp;E Monthly'!BG81, CHOOSE(Timeline!BG$30,$J81,$K81,$L81 )*INDEX('I&amp;E Profiles'!BG$96:BG$180,$I81))</f>
        <v>0</v>
      </c>
      <c r="BH81" s="153" cm="1">
        <f t="array" ref="BH81">IF(OR(BH$4=0, $G81&lt;&gt; $G$7, $E81=0), 'I&amp;E Monthly'!BH81, CHOOSE(Timeline!BH$30,$J81,$K81,$L81 )*INDEX('I&amp;E Profiles'!BH$96:BH$180,$I81))</f>
        <v>0</v>
      </c>
      <c r="BI81" s="153" cm="1">
        <f t="array" ref="BI81">IF(OR(BI$4=0, $G81&lt;&gt; $G$7, $E81=0), 'I&amp;E Monthly'!BI81, CHOOSE(Timeline!BI$30,$J81,$K81,$L81 )*INDEX('I&amp;E Profiles'!BI$96:BI$180,$I81))</f>
        <v>0</v>
      </c>
      <c r="BJ81" s="153" cm="1">
        <f t="array" ref="BJ81">IF(OR(BJ$4=0, $G81&lt;&gt; $G$7, $E81=0), 'I&amp;E Monthly'!BJ81, CHOOSE(Timeline!BJ$30,$J81,$K81,$L81 )*INDEX('I&amp;E Profiles'!BJ$96:BJ$180,$I81))</f>
        <v>0</v>
      </c>
      <c r="BK81" s="335"/>
      <c r="BL81" s="13">
        <f t="shared" si="79"/>
        <v>0</v>
      </c>
      <c r="BM81" s="153">
        <f t="shared" si="80"/>
        <v>0</v>
      </c>
      <c r="BN81" s="153">
        <f t="shared" si="80"/>
        <v>0</v>
      </c>
      <c r="BO81" s="153">
        <f t="shared" si="80"/>
        <v>0</v>
      </c>
      <c r="BP81" s="13">
        <f>'I&amp;E Monthly'!BP81</f>
        <v>0</v>
      </c>
      <c r="BQ81" s="13">
        <f>'I&amp;E Monthly'!BQ81</f>
        <v>0</v>
      </c>
      <c r="BR81" s="13">
        <f>'I&amp;E Monthly'!BR81</f>
        <v>0</v>
      </c>
      <c r="BS81" s="13">
        <f>'I&amp;E Monthly'!BS81</f>
        <v>0</v>
      </c>
      <c r="BT81" s="13">
        <f>'I&amp;E Monthly'!BT81</f>
        <v>0</v>
      </c>
      <c r="BU81" s="13">
        <f>'I&amp;E Monthly'!BU81</f>
        <v>0</v>
      </c>
      <c r="BV81" s="13">
        <f>'I&amp;E Monthly'!BV81</f>
        <v>0</v>
      </c>
      <c r="BW81" s="13">
        <f>'I&amp;E Monthly'!BW81</f>
        <v>0</v>
      </c>
      <c r="BX81" s="335"/>
      <c r="BY81" s="12"/>
      <c r="BZ81" s="363">
        <f t="shared" ca="1" si="81"/>
        <v>0</v>
      </c>
      <c r="CA81" s="12"/>
      <c r="CB81" s="7">
        <f t="shared" si="82"/>
        <v>0</v>
      </c>
      <c r="CC81" s="188" cm="1">
        <f t="array" ref="CC81">IF(E81="",0, IF(_xlfn.IFNA(INDEX('I&amp;E Profiles'!$D$96:$D$180, $I81), "N/A")="N/A", 1, 0))</f>
        <v>0</v>
      </c>
      <c r="CD81" s="7">
        <f t="shared" si="83"/>
        <v>0</v>
      </c>
      <c r="CE81" s="7">
        <f t="shared" si="84"/>
        <v>0</v>
      </c>
      <c r="CF81" s="7">
        <f t="shared" si="85"/>
        <v>0</v>
      </c>
      <c r="CG81" s="12"/>
      <c r="CH81" s="352">
        <f t="shared" si="86"/>
        <v>0</v>
      </c>
      <c r="CI81" s="352">
        <f t="shared" si="87"/>
        <v>0</v>
      </c>
      <c r="CJ81" s="352">
        <f t="shared" si="88"/>
        <v>0</v>
      </c>
      <c r="CK81" s="352">
        <f t="shared" si="89"/>
        <v>0</v>
      </c>
      <c r="CL81" s="352">
        <f t="shared" si="90"/>
        <v>0</v>
      </c>
      <c r="CM81" s="352">
        <f t="shared" si="91"/>
        <v>0</v>
      </c>
      <c r="CN81" s="352">
        <f t="shared" si="92"/>
        <v>0</v>
      </c>
      <c r="EX81" s="10" t="str">
        <f t="shared" si="78"/>
        <v/>
      </c>
    </row>
    <row r="82" spans="1:154" hidden="1" x14ac:dyDescent="0.25">
      <c r="A82" s="362" cm="1">
        <f t="array" aca="1" ref="A82" ca="1">HYPERLINK(CONCATENATE("#",CELL("address",IF(SUM($CA82:$CG82)=0,A82,INDEX($CA82:$CG82,MATCH(1,$CA82:$CG82,0))))),SUM($CA82:$CG82))</f>
        <v>0</v>
      </c>
      <c r="B82" s="93"/>
      <c r="C82" s="383"/>
      <c r="D82" s="137" t="s">
        <v>2316</v>
      </c>
      <c r="E82" s="136"/>
      <c r="F82" s="98" t="str" cm="1">
        <f t="array" aca="1" ref="F82" ca="1">IF(E82="", "", HYPERLINK(CONCATENATE("#",CELL("address",INDEX('I&amp;E Profiles'!$D$9:$D$93,'I&amp;E Annual'!I82))),E82))</f>
        <v/>
      </c>
      <c r="G82" s="136"/>
      <c r="I82" s="200" t="str">
        <f>IF(E82="", "", MATCH(E82, 'I&amp;E Profiles'!$D$96:$D$180,0))</f>
        <v/>
      </c>
      <c r="J82" s="215">
        <f>IF($G82=$G$7, W82,'I&amp;E Monthly'!W82)-SUMIFS('I&amp;E Monthly'!$AA82:$BJ82, 'I&amp;E Monthly'!$AA$3:$BJ$3, 'I&amp;E Annual'!W$3, 'I&amp;E Monthly'!$AA$4:$BJ$4, 0)</f>
        <v>0</v>
      </c>
      <c r="K82" s="215">
        <f>IF($G82=$G$7, X82,'I&amp;E Monthly'!X82)-SUMIFS('I&amp;E Monthly'!$AA82:$BJ82, 'I&amp;E Monthly'!$AA$3:$BJ$3, 'I&amp;E Annual'!X$3, 'I&amp;E Monthly'!$AA$4:$BJ$4, 0)</f>
        <v>0</v>
      </c>
      <c r="L82" s="215">
        <f>IF($G82=$G$7, Y82,'I&amp;E Monthly'!Y82)-SUMIFS('I&amp;E Monthly'!$AA82:$BJ82, 'I&amp;E Monthly'!$AA$3:$BJ$3, 'I&amp;E Annual'!Y$3, 'I&amp;E Monthly'!$AA$4:$BJ$4, 0)</f>
        <v>0</v>
      </c>
      <c r="M82" s="335"/>
      <c r="N82" s="335"/>
      <c r="O82" s="335"/>
      <c r="P82" s="335"/>
      <c r="Q82" s="2"/>
      <c r="R82" s="335"/>
      <c r="S82" s="335"/>
      <c r="T82" s="335"/>
      <c r="U82" s="335"/>
      <c r="V82" s="201">
        <f>'I&amp;E Monthly'!V82</f>
        <v>0</v>
      </c>
      <c r="W82" s="136"/>
      <c r="X82" s="136"/>
      <c r="Y82" s="136"/>
      <c r="Z82" s="335"/>
      <c r="AA82" s="153" cm="1">
        <f t="array" ref="AA82">IF(OR(AA$4=0, $G82&lt;&gt; $G$7, $E82=0), 'I&amp;E Monthly'!AA82, CHOOSE(Timeline!AA$30,$J82,$K82,$L82 )*INDEX('I&amp;E Profiles'!AA$96:AA$180,$I82))</f>
        <v>0</v>
      </c>
      <c r="AB82" s="153" cm="1">
        <f t="array" ref="AB82">IF(OR(AB$4=0, $G82&lt;&gt; $G$7, $E82=0), 'I&amp;E Monthly'!AB82, CHOOSE(Timeline!AB$30,$J82,$K82,$L82 )*INDEX('I&amp;E Profiles'!AB$96:AB$180,$I82))</f>
        <v>0</v>
      </c>
      <c r="AC82" s="153" cm="1">
        <f t="array" ref="AC82">IF(OR(AC$4=0, $G82&lt;&gt; $G$7, $E82=0), 'I&amp;E Monthly'!AC82, CHOOSE(Timeline!AC$30,$J82,$K82,$L82 )*INDEX('I&amp;E Profiles'!AC$96:AC$180,$I82))</f>
        <v>0</v>
      </c>
      <c r="AD82" s="153" cm="1">
        <f t="array" ref="AD82">IF(OR(AD$4=0, $G82&lt;&gt; $G$7, $E82=0), 'I&amp;E Monthly'!AD82, CHOOSE(Timeline!AD$30,$J82,$K82,$L82 )*INDEX('I&amp;E Profiles'!AD$96:AD$180,$I82))</f>
        <v>0</v>
      </c>
      <c r="AE82" s="153" cm="1">
        <f t="array" ref="AE82">IF(OR(AE$4=0, $G82&lt;&gt; $G$7, $E82=0), 'I&amp;E Monthly'!AE82, CHOOSE(Timeline!AE$30,$J82,$K82,$L82 )*INDEX('I&amp;E Profiles'!AE$96:AE$180,$I82))</f>
        <v>0</v>
      </c>
      <c r="AF82" s="153" cm="1">
        <f t="array" ref="AF82">IF(OR(AF$4=0, $G82&lt;&gt; $G$7, $E82=0), 'I&amp;E Monthly'!AF82, CHOOSE(Timeline!AF$30,$J82,$K82,$L82 )*INDEX('I&amp;E Profiles'!AF$96:AF$180,$I82))</f>
        <v>0</v>
      </c>
      <c r="AG82" s="153" cm="1">
        <f t="array" ref="AG82">IF(OR(AG$4=0, $G82&lt;&gt; $G$7, $E82=0), 'I&amp;E Monthly'!AG82, CHOOSE(Timeline!AG$30,$J82,$K82,$L82 )*INDEX('I&amp;E Profiles'!AG$96:AG$180,$I82))</f>
        <v>0</v>
      </c>
      <c r="AH82" s="153" cm="1">
        <f t="array" ref="AH82">IF(OR(AH$4=0, $G82&lt;&gt; $G$7, $E82=0), 'I&amp;E Monthly'!AH82, CHOOSE(Timeline!AH$30,$J82,$K82,$L82 )*INDEX('I&amp;E Profiles'!AH$96:AH$180,$I82))</f>
        <v>0</v>
      </c>
      <c r="AI82" s="153" cm="1">
        <f t="array" ref="AI82">IF(OR(AI$4=0, $G82&lt;&gt; $G$7, $E82=0), 'I&amp;E Monthly'!AI82, CHOOSE(Timeline!AI$30,$J82,$K82,$L82 )*INDEX('I&amp;E Profiles'!AI$96:AI$180,$I82))</f>
        <v>0</v>
      </c>
      <c r="AJ82" s="153" cm="1">
        <f t="array" ref="AJ82">IF(OR(AJ$4=0, $G82&lt;&gt; $G$7, $E82=0), 'I&amp;E Monthly'!AJ82, CHOOSE(Timeline!AJ$30,$J82,$K82,$L82 )*INDEX('I&amp;E Profiles'!AJ$96:AJ$180,$I82))</f>
        <v>0</v>
      </c>
      <c r="AK82" s="153" cm="1">
        <f t="array" ref="AK82">IF(OR(AK$4=0, $G82&lt;&gt; $G$7, $E82=0), 'I&amp;E Monthly'!AK82, CHOOSE(Timeline!AK$30,$J82,$K82,$L82 )*INDEX('I&amp;E Profiles'!AK$96:AK$180,$I82))</f>
        <v>0</v>
      </c>
      <c r="AL82" s="153" cm="1">
        <f t="array" ref="AL82">IF(OR(AL$4=0, $G82&lt;&gt; $G$7, $E82=0), 'I&amp;E Monthly'!AL82, CHOOSE(Timeline!AL$30,$J82,$K82,$L82 )*INDEX('I&amp;E Profiles'!AL$96:AL$180,$I82))</f>
        <v>0</v>
      </c>
      <c r="AM82" s="153" cm="1">
        <f t="array" ref="AM82">IF(OR(AM$4=0, $G82&lt;&gt; $G$7, $E82=0), 'I&amp;E Monthly'!AM82, CHOOSE(Timeline!AM$30,$J82,$K82,$L82 )*INDEX('I&amp;E Profiles'!AM$96:AM$180,$I82))</f>
        <v>0</v>
      </c>
      <c r="AN82" s="153" cm="1">
        <f t="array" ref="AN82">IF(OR(AN$4=0, $G82&lt;&gt; $G$7, $E82=0), 'I&amp;E Monthly'!AN82, CHOOSE(Timeline!AN$30,$J82,$K82,$L82 )*INDEX('I&amp;E Profiles'!AN$96:AN$180,$I82))</f>
        <v>0</v>
      </c>
      <c r="AO82" s="153" cm="1">
        <f t="array" ref="AO82">IF(OR(AO$4=0, $G82&lt;&gt; $G$7, $E82=0), 'I&amp;E Monthly'!AO82, CHOOSE(Timeline!AO$30,$J82,$K82,$L82 )*INDEX('I&amp;E Profiles'!AO$96:AO$180,$I82))</f>
        <v>0</v>
      </c>
      <c r="AP82" s="153" cm="1">
        <f t="array" ref="AP82">IF(OR(AP$4=0, $G82&lt;&gt; $G$7, $E82=0), 'I&amp;E Monthly'!AP82, CHOOSE(Timeline!AP$30,$J82,$K82,$L82 )*INDEX('I&amp;E Profiles'!AP$96:AP$180,$I82))</f>
        <v>0</v>
      </c>
      <c r="AQ82" s="153" cm="1">
        <f t="array" ref="AQ82">IF(OR(AQ$4=0, $G82&lt;&gt; $G$7, $E82=0), 'I&amp;E Monthly'!AQ82, CHOOSE(Timeline!AQ$30,$J82,$K82,$L82 )*INDEX('I&amp;E Profiles'!AQ$96:AQ$180,$I82))</f>
        <v>0</v>
      </c>
      <c r="AR82" s="153" cm="1">
        <f t="array" ref="AR82">IF(OR(AR$4=0, $G82&lt;&gt; $G$7, $E82=0), 'I&amp;E Monthly'!AR82, CHOOSE(Timeline!AR$30,$J82,$K82,$L82 )*INDEX('I&amp;E Profiles'!AR$96:AR$180,$I82))</f>
        <v>0</v>
      </c>
      <c r="AS82" s="153" cm="1">
        <f t="array" ref="AS82">IF(OR(AS$4=0, $G82&lt;&gt; $G$7, $E82=0), 'I&amp;E Monthly'!AS82, CHOOSE(Timeline!AS$30,$J82,$K82,$L82 )*INDEX('I&amp;E Profiles'!AS$96:AS$180,$I82))</f>
        <v>0</v>
      </c>
      <c r="AT82" s="153" cm="1">
        <f t="array" ref="AT82">IF(OR(AT$4=0, $G82&lt;&gt; $G$7, $E82=0), 'I&amp;E Monthly'!AT82, CHOOSE(Timeline!AT$30,$J82,$K82,$L82 )*INDEX('I&amp;E Profiles'!AT$96:AT$180,$I82))</f>
        <v>0</v>
      </c>
      <c r="AU82" s="153" cm="1">
        <f t="array" ref="AU82">IF(OR(AU$4=0, $G82&lt;&gt; $G$7, $E82=0), 'I&amp;E Monthly'!AU82, CHOOSE(Timeline!AU$30,$J82,$K82,$L82 )*INDEX('I&amp;E Profiles'!AU$96:AU$180,$I82))</f>
        <v>0</v>
      </c>
      <c r="AV82" s="153" cm="1">
        <f t="array" ref="AV82">IF(OR(AV$4=0, $G82&lt;&gt; $G$7, $E82=0), 'I&amp;E Monthly'!AV82, CHOOSE(Timeline!AV$30,$J82,$K82,$L82 )*INDEX('I&amp;E Profiles'!AV$96:AV$180,$I82))</f>
        <v>0</v>
      </c>
      <c r="AW82" s="153" cm="1">
        <f t="array" ref="AW82">IF(OR(AW$4=0, $G82&lt;&gt; $G$7, $E82=0), 'I&amp;E Monthly'!AW82, CHOOSE(Timeline!AW$30,$J82,$K82,$L82 )*INDEX('I&amp;E Profiles'!AW$96:AW$180,$I82))</f>
        <v>0</v>
      </c>
      <c r="AX82" s="153" cm="1">
        <f t="array" ref="AX82">IF(OR(AX$4=0, $G82&lt;&gt; $G$7, $E82=0), 'I&amp;E Monthly'!AX82, CHOOSE(Timeline!AX$30,$J82,$K82,$L82 )*INDEX('I&amp;E Profiles'!AX$96:AX$180,$I82))</f>
        <v>0</v>
      </c>
      <c r="AY82" s="153" cm="1">
        <f t="array" ref="AY82">IF(OR(AY$4=0, $G82&lt;&gt; $G$7, $E82=0), 'I&amp;E Monthly'!AY82, CHOOSE(Timeline!AY$30,$J82,$K82,$L82 )*INDEX('I&amp;E Profiles'!AY$96:AY$180,$I82))</f>
        <v>0</v>
      </c>
      <c r="AZ82" s="153" cm="1">
        <f t="array" ref="AZ82">IF(OR(AZ$4=0, $G82&lt;&gt; $G$7, $E82=0), 'I&amp;E Monthly'!AZ82, CHOOSE(Timeline!AZ$30,$J82,$K82,$L82 )*INDEX('I&amp;E Profiles'!AZ$96:AZ$180,$I82))</f>
        <v>0</v>
      </c>
      <c r="BA82" s="153" cm="1">
        <f t="array" ref="BA82">IF(OR(BA$4=0, $G82&lt;&gt; $G$7, $E82=0), 'I&amp;E Monthly'!BA82, CHOOSE(Timeline!BA$30,$J82,$K82,$L82 )*INDEX('I&amp;E Profiles'!BA$96:BA$180,$I82))</f>
        <v>0</v>
      </c>
      <c r="BB82" s="153" cm="1">
        <f t="array" ref="BB82">IF(OR(BB$4=0, $G82&lt;&gt; $G$7, $E82=0), 'I&amp;E Monthly'!BB82, CHOOSE(Timeline!BB$30,$J82,$K82,$L82 )*INDEX('I&amp;E Profiles'!BB$96:BB$180,$I82))</f>
        <v>0</v>
      </c>
      <c r="BC82" s="153" cm="1">
        <f t="array" ref="BC82">IF(OR(BC$4=0, $G82&lt;&gt; $G$7, $E82=0), 'I&amp;E Monthly'!BC82, CHOOSE(Timeline!BC$30,$J82,$K82,$L82 )*INDEX('I&amp;E Profiles'!BC$96:BC$180,$I82))</f>
        <v>0</v>
      </c>
      <c r="BD82" s="153" cm="1">
        <f t="array" ref="BD82">IF(OR(BD$4=0, $G82&lt;&gt; $G$7, $E82=0), 'I&amp;E Monthly'!BD82, CHOOSE(Timeline!BD$30,$J82,$K82,$L82 )*INDEX('I&amp;E Profiles'!BD$96:BD$180,$I82))</f>
        <v>0</v>
      </c>
      <c r="BE82" s="153" cm="1">
        <f t="array" ref="BE82">IF(OR(BE$4=0, $G82&lt;&gt; $G$7, $E82=0), 'I&amp;E Monthly'!BE82, CHOOSE(Timeline!BE$30,$J82,$K82,$L82 )*INDEX('I&amp;E Profiles'!BE$96:BE$180,$I82))</f>
        <v>0</v>
      </c>
      <c r="BF82" s="153" cm="1">
        <f t="array" ref="BF82">IF(OR(BF$4=0, $G82&lt;&gt; $G$7, $E82=0), 'I&amp;E Monthly'!BF82, CHOOSE(Timeline!BF$30,$J82,$K82,$L82 )*INDEX('I&amp;E Profiles'!BF$96:BF$180,$I82))</f>
        <v>0</v>
      </c>
      <c r="BG82" s="153" cm="1">
        <f t="array" ref="BG82">IF(OR(BG$4=0, $G82&lt;&gt; $G$7, $E82=0), 'I&amp;E Monthly'!BG82, CHOOSE(Timeline!BG$30,$J82,$K82,$L82 )*INDEX('I&amp;E Profiles'!BG$96:BG$180,$I82))</f>
        <v>0</v>
      </c>
      <c r="BH82" s="153" cm="1">
        <f t="array" ref="BH82">IF(OR(BH$4=0, $G82&lt;&gt; $G$7, $E82=0), 'I&amp;E Monthly'!BH82, CHOOSE(Timeline!BH$30,$J82,$K82,$L82 )*INDEX('I&amp;E Profiles'!BH$96:BH$180,$I82))</f>
        <v>0</v>
      </c>
      <c r="BI82" s="153" cm="1">
        <f t="array" ref="BI82">IF(OR(BI$4=0, $G82&lt;&gt; $G$7, $E82=0), 'I&amp;E Monthly'!BI82, CHOOSE(Timeline!BI$30,$J82,$K82,$L82 )*INDEX('I&amp;E Profiles'!BI$96:BI$180,$I82))</f>
        <v>0</v>
      </c>
      <c r="BJ82" s="153" cm="1">
        <f t="array" ref="BJ82">IF(OR(BJ$4=0, $G82&lt;&gt; $G$7, $E82=0), 'I&amp;E Monthly'!BJ82, CHOOSE(Timeline!BJ$30,$J82,$K82,$L82 )*INDEX('I&amp;E Profiles'!BJ$96:BJ$180,$I82))</f>
        <v>0</v>
      </c>
      <c r="BK82" s="335"/>
      <c r="BL82" s="13">
        <f t="shared" si="79"/>
        <v>0</v>
      </c>
      <c r="BM82" s="153">
        <f t="shared" si="80"/>
        <v>0</v>
      </c>
      <c r="BN82" s="153">
        <f t="shared" si="80"/>
        <v>0</v>
      </c>
      <c r="BO82" s="153">
        <f t="shared" si="80"/>
        <v>0</v>
      </c>
      <c r="BP82" s="13">
        <f>'I&amp;E Monthly'!BP82</f>
        <v>0</v>
      </c>
      <c r="BQ82" s="13">
        <f>'I&amp;E Monthly'!BQ82</f>
        <v>0</v>
      </c>
      <c r="BR82" s="13">
        <f>'I&amp;E Monthly'!BR82</f>
        <v>0</v>
      </c>
      <c r="BS82" s="13">
        <f>'I&amp;E Monthly'!BS82</f>
        <v>0</v>
      </c>
      <c r="BT82" s="13">
        <f>'I&amp;E Monthly'!BT82</f>
        <v>0</v>
      </c>
      <c r="BU82" s="13">
        <f>'I&amp;E Monthly'!BU82</f>
        <v>0</v>
      </c>
      <c r="BV82" s="13">
        <f>'I&amp;E Monthly'!BV82</f>
        <v>0</v>
      </c>
      <c r="BW82" s="13">
        <f>'I&amp;E Monthly'!BW82</f>
        <v>0</v>
      </c>
      <c r="BX82" s="335"/>
      <c r="BY82" s="12"/>
      <c r="BZ82" s="363">
        <f t="shared" ca="1" si="81"/>
        <v>0</v>
      </c>
      <c r="CA82" s="12"/>
      <c r="CB82" s="7">
        <f t="shared" si="82"/>
        <v>0</v>
      </c>
      <c r="CC82" s="188" cm="1">
        <f t="array" ref="CC82">IF(E82="",0, IF(_xlfn.IFNA(INDEX('I&amp;E Profiles'!$D$96:$D$180, $I82), "N/A")="N/A", 1, 0))</f>
        <v>0</v>
      </c>
      <c r="CD82" s="7">
        <f t="shared" si="83"/>
        <v>0</v>
      </c>
      <c r="CE82" s="7">
        <f t="shared" si="84"/>
        <v>0</v>
      </c>
      <c r="CF82" s="7">
        <f t="shared" si="85"/>
        <v>0</v>
      </c>
      <c r="CG82" s="12"/>
      <c r="CH82" s="352">
        <f t="shared" si="86"/>
        <v>0</v>
      </c>
      <c r="CI82" s="352">
        <f t="shared" si="87"/>
        <v>0</v>
      </c>
      <c r="CJ82" s="352">
        <f t="shared" si="88"/>
        <v>0</v>
      </c>
      <c r="CK82" s="352">
        <f t="shared" si="89"/>
        <v>0</v>
      </c>
      <c r="CL82" s="352">
        <f t="shared" si="90"/>
        <v>0</v>
      </c>
      <c r="CM82" s="352">
        <f t="shared" si="91"/>
        <v>0</v>
      </c>
      <c r="CN82" s="352">
        <f t="shared" si="92"/>
        <v>0</v>
      </c>
      <c r="EX82" s="10" t="str">
        <f t="shared" si="78"/>
        <v/>
      </c>
    </row>
    <row r="83" spans="1:154" hidden="1" x14ac:dyDescent="0.25">
      <c r="A83" s="362" cm="1">
        <f t="array" aca="1" ref="A83" ca="1">HYPERLINK(CONCATENATE("#",CELL("address",IF(SUM($CA83:$CG83)=0,A83,INDEX($CA83:$CG83,MATCH(1,$CA83:$CG83,0))))),SUM($CA83:$CG83))</f>
        <v>0</v>
      </c>
      <c r="B83" s="93"/>
      <c r="C83" s="383"/>
      <c r="D83" s="137" t="s">
        <v>2316</v>
      </c>
      <c r="E83" s="349"/>
      <c r="F83" s="98" t="str" cm="1">
        <f t="array" aca="1" ref="F83" ca="1">IF(E83="", "", HYPERLINK(CONCATENATE("#",CELL("address",INDEX('I&amp;E Profiles'!$D$9:$D$93,'I&amp;E Annual'!I83))),E83))</f>
        <v/>
      </c>
      <c r="G83" s="349"/>
      <c r="I83" s="350" t="str">
        <f>IF(E83="", "", MATCH(E83, 'I&amp;E Profiles'!$D$96:$D$180,0))</f>
        <v/>
      </c>
      <c r="J83" s="215">
        <f>IF($G83=$G$7, W83,'I&amp;E Monthly'!W83)-SUMIFS('I&amp;E Monthly'!$AA83:$BJ83, 'I&amp;E Monthly'!$AA$3:$BJ$3, 'I&amp;E Annual'!W$3, 'I&amp;E Monthly'!$AA$4:$BJ$4, 0)</f>
        <v>0</v>
      </c>
      <c r="K83" s="215">
        <f>IF($G83=$G$7, X83,'I&amp;E Monthly'!X83)-SUMIFS('I&amp;E Monthly'!$AA83:$BJ83, 'I&amp;E Monthly'!$AA$3:$BJ$3, 'I&amp;E Annual'!X$3, 'I&amp;E Monthly'!$AA$4:$BJ$4, 0)</f>
        <v>0</v>
      </c>
      <c r="L83" s="215">
        <f>IF($G83=$G$7, Y83,'I&amp;E Monthly'!Y83)-SUMIFS('I&amp;E Monthly'!$AA83:$BJ83, 'I&amp;E Monthly'!$AA$3:$BJ$3, 'I&amp;E Annual'!Y$3, 'I&amp;E Monthly'!$AA$4:$BJ$4, 0)</f>
        <v>0</v>
      </c>
      <c r="M83" s="335"/>
      <c r="N83" s="335"/>
      <c r="O83" s="335"/>
      <c r="P83" s="335"/>
      <c r="Q83" s="2"/>
      <c r="R83" s="335"/>
      <c r="S83" s="335"/>
      <c r="T83" s="335"/>
      <c r="U83" s="335"/>
      <c r="V83" s="215">
        <f>'I&amp;E Monthly'!V83</f>
        <v>0</v>
      </c>
      <c r="W83" s="349"/>
      <c r="X83" s="349"/>
      <c r="Y83" s="349"/>
      <c r="Z83" s="335"/>
      <c r="AA83" s="153" cm="1">
        <f t="array" ref="AA83">IF(OR(AA$4=0, $G83&lt;&gt; $G$7, $E83=0), 'I&amp;E Monthly'!AA83, CHOOSE(Timeline!AA$30,$J83,$K83,$L83 )*INDEX('I&amp;E Profiles'!AA$96:AA$180,$I83))</f>
        <v>0</v>
      </c>
      <c r="AB83" s="153" cm="1">
        <f t="array" ref="AB83">IF(OR(AB$4=0, $G83&lt;&gt; $G$7, $E83=0), 'I&amp;E Monthly'!AB83, CHOOSE(Timeline!AB$30,$J83,$K83,$L83 )*INDEX('I&amp;E Profiles'!AB$96:AB$180,$I83))</f>
        <v>0</v>
      </c>
      <c r="AC83" s="153" cm="1">
        <f t="array" ref="AC83">IF(OR(AC$4=0, $G83&lt;&gt; $G$7, $E83=0), 'I&amp;E Monthly'!AC83, CHOOSE(Timeline!AC$30,$J83,$K83,$L83 )*INDEX('I&amp;E Profiles'!AC$96:AC$180,$I83))</f>
        <v>0</v>
      </c>
      <c r="AD83" s="153" cm="1">
        <f t="array" ref="AD83">IF(OR(AD$4=0, $G83&lt;&gt; $G$7, $E83=0), 'I&amp;E Monthly'!AD83, CHOOSE(Timeline!AD$30,$J83,$K83,$L83 )*INDEX('I&amp;E Profiles'!AD$96:AD$180,$I83))</f>
        <v>0</v>
      </c>
      <c r="AE83" s="153" cm="1">
        <f t="array" ref="AE83">IF(OR(AE$4=0, $G83&lt;&gt; $G$7, $E83=0), 'I&amp;E Monthly'!AE83, CHOOSE(Timeline!AE$30,$J83,$K83,$L83 )*INDEX('I&amp;E Profiles'!AE$96:AE$180,$I83))</f>
        <v>0</v>
      </c>
      <c r="AF83" s="153" cm="1">
        <f t="array" ref="AF83">IF(OR(AF$4=0, $G83&lt;&gt; $G$7, $E83=0), 'I&amp;E Monthly'!AF83, CHOOSE(Timeline!AF$30,$J83,$K83,$L83 )*INDEX('I&amp;E Profiles'!AF$96:AF$180,$I83))</f>
        <v>0</v>
      </c>
      <c r="AG83" s="153" cm="1">
        <f t="array" ref="AG83">IF(OR(AG$4=0, $G83&lt;&gt; $G$7, $E83=0), 'I&amp;E Monthly'!AG83, CHOOSE(Timeline!AG$30,$J83,$K83,$L83 )*INDEX('I&amp;E Profiles'!AG$96:AG$180,$I83))</f>
        <v>0</v>
      </c>
      <c r="AH83" s="153" cm="1">
        <f t="array" ref="AH83">IF(OR(AH$4=0, $G83&lt;&gt; $G$7, $E83=0), 'I&amp;E Monthly'!AH83, CHOOSE(Timeline!AH$30,$J83,$K83,$L83 )*INDEX('I&amp;E Profiles'!AH$96:AH$180,$I83))</f>
        <v>0</v>
      </c>
      <c r="AI83" s="153" cm="1">
        <f t="array" ref="AI83">IF(OR(AI$4=0, $G83&lt;&gt; $G$7, $E83=0), 'I&amp;E Monthly'!AI83, CHOOSE(Timeline!AI$30,$J83,$K83,$L83 )*INDEX('I&amp;E Profiles'!AI$96:AI$180,$I83))</f>
        <v>0</v>
      </c>
      <c r="AJ83" s="153" cm="1">
        <f t="array" ref="AJ83">IF(OR(AJ$4=0, $G83&lt;&gt; $G$7, $E83=0), 'I&amp;E Monthly'!AJ83, CHOOSE(Timeline!AJ$30,$J83,$K83,$L83 )*INDEX('I&amp;E Profiles'!AJ$96:AJ$180,$I83))</f>
        <v>0</v>
      </c>
      <c r="AK83" s="153" cm="1">
        <f t="array" ref="AK83">IF(OR(AK$4=0, $G83&lt;&gt; $G$7, $E83=0), 'I&amp;E Monthly'!AK83, CHOOSE(Timeline!AK$30,$J83,$K83,$L83 )*INDEX('I&amp;E Profiles'!AK$96:AK$180,$I83))</f>
        <v>0</v>
      </c>
      <c r="AL83" s="153" cm="1">
        <f t="array" ref="AL83">IF(OR(AL$4=0, $G83&lt;&gt; $G$7, $E83=0), 'I&amp;E Monthly'!AL83, CHOOSE(Timeline!AL$30,$J83,$K83,$L83 )*INDEX('I&amp;E Profiles'!AL$96:AL$180,$I83))</f>
        <v>0</v>
      </c>
      <c r="AM83" s="153" cm="1">
        <f t="array" ref="AM83">IF(OR(AM$4=0, $G83&lt;&gt; $G$7, $E83=0), 'I&amp;E Monthly'!AM83, CHOOSE(Timeline!AM$30,$J83,$K83,$L83 )*INDEX('I&amp;E Profiles'!AM$96:AM$180,$I83))</f>
        <v>0</v>
      </c>
      <c r="AN83" s="153" cm="1">
        <f t="array" ref="AN83">IF(OR(AN$4=0, $G83&lt;&gt; $G$7, $E83=0), 'I&amp;E Monthly'!AN83, CHOOSE(Timeline!AN$30,$J83,$K83,$L83 )*INDEX('I&amp;E Profiles'!AN$96:AN$180,$I83))</f>
        <v>0</v>
      </c>
      <c r="AO83" s="153" cm="1">
        <f t="array" ref="AO83">IF(OR(AO$4=0, $G83&lt;&gt; $G$7, $E83=0), 'I&amp;E Monthly'!AO83, CHOOSE(Timeline!AO$30,$J83,$K83,$L83 )*INDEX('I&amp;E Profiles'!AO$96:AO$180,$I83))</f>
        <v>0</v>
      </c>
      <c r="AP83" s="153" cm="1">
        <f t="array" ref="AP83">IF(OR(AP$4=0, $G83&lt;&gt; $G$7, $E83=0), 'I&amp;E Monthly'!AP83, CHOOSE(Timeline!AP$30,$J83,$K83,$L83 )*INDEX('I&amp;E Profiles'!AP$96:AP$180,$I83))</f>
        <v>0</v>
      </c>
      <c r="AQ83" s="153" cm="1">
        <f t="array" ref="AQ83">IF(OR(AQ$4=0, $G83&lt;&gt; $G$7, $E83=0), 'I&amp;E Monthly'!AQ83, CHOOSE(Timeline!AQ$30,$J83,$K83,$L83 )*INDEX('I&amp;E Profiles'!AQ$96:AQ$180,$I83))</f>
        <v>0</v>
      </c>
      <c r="AR83" s="153" cm="1">
        <f t="array" ref="AR83">IF(OR(AR$4=0, $G83&lt;&gt; $G$7, $E83=0), 'I&amp;E Monthly'!AR83, CHOOSE(Timeline!AR$30,$J83,$K83,$L83 )*INDEX('I&amp;E Profiles'!AR$96:AR$180,$I83))</f>
        <v>0</v>
      </c>
      <c r="AS83" s="153" cm="1">
        <f t="array" ref="AS83">IF(OR(AS$4=0, $G83&lt;&gt; $G$7, $E83=0), 'I&amp;E Monthly'!AS83, CHOOSE(Timeline!AS$30,$J83,$K83,$L83 )*INDEX('I&amp;E Profiles'!AS$96:AS$180,$I83))</f>
        <v>0</v>
      </c>
      <c r="AT83" s="153" cm="1">
        <f t="array" ref="AT83">IF(OR(AT$4=0, $G83&lt;&gt; $G$7, $E83=0), 'I&amp;E Monthly'!AT83, CHOOSE(Timeline!AT$30,$J83,$K83,$L83 )*INDEX('I&amp;E Profiles'!AT$96:AT$180,$I83))</f>
        <v>0</v>
      </c>
      <c r="AU83" s="153" cm="1">
        <f t="array" ref="AU83">IF(OR(AU$4=0, $G83&lt;&gt; $G$7, $E83=0), 'I&amp;E Monthly'!AU83, CHOOSE(Timeline!AU$30,$J83,$K83,$L83 )*INDEX('I&amp;E Profiles'!AU$96:AU$180,$I83))</f>
        <v>0</v>
      </c>
      <c r="AV83" s="153" cm="1">
        <f t="array" ref="AV83">IF(OR(AV$4=0, $G83&lt;&gt; $G$7, $E83=0), 'I&amp;E Monthly'!AV83, CHOOSE(Timeline!AV$30,$J83,$K83,$L83 )*INDEX('I&amp;E Profiles'!AV$96:AV$180,$I83))</f>
        <v>0</v>
      </c>
      <c r="AW83" s="153" cm="1">
        <f t="array" ref="AW83">IF(OR(AW$4=0, $G83&lt;&gt; $G$7, $E83=0), 'I&amp;E Monthly'!AW83, CHOOSE(Timeline!AW$30,$J83,$K83,$L83 )*INDEX('I&amp;E Profiles'!AW$96:AW$180,$I83))</f>
        <v>0</v>
      </c>
      <c r="AX83" s="153" cm="1">
        <f t="array" ref="AX83">IF(OR(AX$4=0, $G83&lt;&gt; $G$7, $E83=0), 'I&amp;E Monthly'!AX83, CHOOSE(Timeline!AX$30,$J83,$K83,$L83 )*INDEX('I&amp;E Profiles'!AX$96:AX$180,$I83))</f>
        <v>0</v>
      </c>
      <c r="AY83" s="153" cm="1">
        <f t="array" ref="AY83">IF(OR(AY$4=0, $G83&lt;&gt; $G$7, $E83=0), 'I&amp;E Monthly'!AY83, CHOOSE(Timeline!AY$30,$J83,$K83,$L83 )*INDEX('I&amp;E Profiles'!AY$96:AY$180,$I83))</f>
        <v>0</v>
      </c>
      <c r="AZ83" s="153" cm="1">
        <f t="array" ref="AZ83">IF(OR(AZ$4=0, $G83&lt;&gt; $G$7, $E83=0), 'I&amp;E Monthly'!AZ83, CHOOSE(Timeline!AZ$30,$J83,$K83,$L83 )*INDEX('I&amp;E Profiles'!AZ$96:AZ$180,$I83))</f>
        <v>0</v>
      </c>
      <c r="BA83" s="153" cm="1">
        <f t="array" ref="BA83">IF(OR(BA$4=0, $G83&lt;&gt; $G$7, $E83=0), 'I&amp;E Monthly'!BA83, CHOOSE(Timeline!BA$30,$J83,$K83,$L83 )*INDEX('I&amp;E Profiles'!BA$96:BA$180,$I83))</f>
        <v>0</v>
      </c>
      <c r="BB83" s="153" cm="1">
        <f t="array" ref="BB83">IF(OR(BB$4=0, $G83&lt;&gt; $G$7, $E83=0), 'I&amp;E Monthly'!BB83, CHOOSE(Timeline!BB$30,$J83,$K83,$L83 )*INDEX('I&amp;E Profiles'!BB$96:BB$180,$I83))</f>
        <v>0</v>
      </c>
      <c r="BC83" s="153" cm="1">
        <f t="array" ref="BC83">IF(OR(BC$4=0, $G83&lt;&gt; $G$7, $E83=0), 'I&amp;E Monthly'!BC83, CHOOSE(Timeline!BC$30,$J83,$K83,$L83 )*INDEX('I&amp;E Profiles'!BC$96:BC$180,$I83))</f>
        <v>0</v>
      </c>
      <c r="BD83" s="153" cm="1">
        <f t="array" ref="BD83">IF(OR(BD$4=0, $G83&lt;&gt; $G$7, $E83=0), 'I&amp;E Monthly'!BD83, CHOOSE(Timeline!BD$30,$J83,$K83,$L83 )*INDEX('I&amp;E Profiles'!BD$96:BD$180,$I83))</f>
        <v>0</v>
      </c>
      <c r="BE83" s="153" cm="1">
        <f t="array" ref="BE83">IF(OR(BE$4=0, $G83&lt;&gt; $G$7, $E83=0), 'I&amp;E Monthly'!BE83, CHOOSE(Timeline!BE$30,$J83,$K83,$L83 )*INDEX('I&amp;E Profiles'!BE$96:BE$180,$I83))</f>
        <v>0</v>
      </c>
      <c r="BF83" s="153" cm="1">
        <f t="array" ref="BF83">IF(OR(BF$4=0, $G83&lt;&gt; $G$7, $E83=0), 'I&amp;E Monthly'!BF83, CHOOSE(Timeline!BF$30,$J83,$K83,$L83 )*INDEX('I&amp;E Profiles'!BF$96:BF$180,$I83))</f>
        <v>0</v>
      </c>
      <c r="BG83" s="153" cm="1">
        <f t="array" ref="BG83">IF(OR(BG$4=0, $G83&lt;&gt; $G$7, $E83=0), 'I&amp;E Monthly'!BG83, CHOOSE(Timeline!BG$30,$J83,$K83,$L83 )*INDEX('I&amp;E Profiles'!BG$96:BG$180,$I83))</f>
        <v>0</v>
      </c>
      <c r="BH83" s="153" cm="1">
        <f t="array" ref="BH83">IF(OR(BH$4=0, $G83&lt;&gt; $G$7, $E83=0), 'I&amp;E Monthly'!BH83, CHOOSE(Timeline!BH$30,$J83,$K83,$L83 )*INDEX('I&amp;E Profiles'!BH$96:BH$180,$I83))</f>
        <v>0</v>
      </c>
      <c r="BI83" s="153" cm="1">
        <f t="array" ref="BI83">IF(OR(BI$4=0, $G83&lt;&gt; $G$7, $E83=0), 'I&amp;E Monthly'!BI83, CHOOSE(Timeline!BI$30,$J83,$K83,$L83 )*INDEX('I&amp;E Profiles'!BI$96:BI$180,$I83))</f>
        <v>0</v>
      </c>
      <c r="BJ83" s="153" cm="1">
        <f t="array" ref="BJ83">IF(OR(BJ$4=0, $G83&lt;&gt; $G$7, $E83=0), 'I&amp;E Monthly'!BJ83, CHOOSE(Timeline!BJ$30,$J83,$K83,$L83 )*INDEX('I&amp;E Profiles'!BJ$96:BJ$180,$I83))</f>
        <v>0</v>
      </c>
      <c r="BK83" s="335"/>
      <c r="BL83" s="152">
        <f t="shared" si="79"/>
        <v>0</v>
      </c>
      <c r="BM83" s="153">
        <f t="shared" si="80"/>
        <v>0</v>
      </c>
      <c r="BN83" s="153">
        <f t="shared" si="80"/>
        <v>0</v>
      </c>
      <c r="BO83" s="153">
        <f t="shared" si="80"/>
        <v>0</v>
      </c>
      <c r="BP83" s="152">
        <f>'I&amp;E Monthly'!BP83</f>
        <v>0</v>
      </c>
      <c r="BQ83" s="152">
        <f>'I&amp;E Monthly'!BQ83</f>
        <v>0</v>
      </c>
      <c r="BR83" s="152">
        <f>'I&amp;E Monthly'!BR83</f>
        <v>0</v>
      </c>
      <c r="BS83" s="152">
        <f>'I&amp;E Monthly'!BS83</f>
        <v>0</v>
      </c>
      <c r="BT83" s="152">
        <f>'I&amp;E Monthly'!BT83</f>
        <v>0</v>
      </c>
      <c r="BU83" s="152">
        <f>'I&amp;E Monthly'!BU83</f>
        <v>0</v>
      </c>
      <c r="BV83" s="152">
        <f>'I&amp;E Monthly'!BV83</f>
        <v>0</v>
      </c>
      <c r="BW83" s="152">
        <f>'I&amp;E Monthly'!BW83</f>
        <v>0</v>
      </c>
      <c r="BX83" s="335"/>
      <c r="BY83" s="12"/>
      <c r="BZ83" s="363">
        <f t="shared" ca="1" si="81"/>
        <v>0</v>
      </c>
      <c r="CA83" s="12"/>
      <c r="CB83" s="7">
        <f t="shared" si="82"/>
        <v>0</v>
      </c>
      <c r="CC83" s="188" cm="1">
        <f t="array" ref="CC83">IF(E83="",0, IF(_xlfn.IFNA(INDEX('I&amp;E Profiles'!$D$96:$D$180, $I83), "N/A")="N/A", 1, 0))</f>
        <v>0</v>
      </c>
      <c r="CD83" s="7">
        <f t="shared" si="83"/>
        <v>0</v>
      </c>
      <c r="CE83" s="7">
        <f t="shared" si="84"/>
        <v>0</v>
      </c>
      <c r="CF83" s="7">
        <f t="shared" si="85"/>
        <v>0</v>
      </c>
      <c r="CG83" s="12"/>
      <c r="CH83" s="352">
        <f t="shared" si="86"/>
        <v>0</v>
      </c>
      <c r="CI83" s="352">
        <f t="shared" si="87"/>
        <v>0</v>
      </c>
      <c r="CJ83" s="352">
        <f t="shared" si="88"/>
        <v>0</v>
      </c>
      <c r="CK83" s="352">
        <f t="shared" si="89"/>
        <v>0</v>
      </c>
      <c r="CL83" s="352">
        <f t="shared" si="90"/>
        <v>0</v>
      </c>
      <c r="CM83" s="352">
        <f t="shared" si="91"/>
        <v>0</v>
      </c>
      <c r="CN83" s="352">
        <f t="shared" si="92"/>
        <v>0</v>
      </c>
      <c r="EX83" s="10" t="str">
        <f t="shared" si="78"/>
        <v/>
      </c>
    </row>
    <row r="84" spans="1:154" ht="30" x14ac:dyDescent="0.25">
      <c r="A84" s="362" cm="1">
        <f t="array" aca="1" ref="A84" ca="1">HYPERLINK(CONCATENATE("#",CELL("address",IF(SUM($CA84:$CG84)=0,A84,INDEX($CA84:$CG84,MATCH(1,$CA84:$CG84,0))))),SUM($CA84:$CG84))</f>
        <v>0</v>
      </c>
      <c r="B84" s="93"/>
      <c r="C84" s="343" t="s">
        <v>468</v>
      </c>
      <c r="D84" s="433" t="s">
        <v>1013</v>
      </c>
      <c r="E84" s="82"/>
      <c r="F84" s="25"/>
      <c r="G84" s="25"/>
      <c r="I84" s="25"/>
      <c r="J84" s="335"/>
      <c r="Q84" s="2"/>
      <c r="R84" s="335"/>
      <c r="S84" s="335"/>
      <c r="T84" s="335"/>
      <c r="U84" s="335"/>
      <c r="V84" s="152">
        <f>SUM(V71:V83)</f>
        <v>0</v>
      </c>
      <c r="W84" s="152">
        <f>SUM(W71:W83)</f>
        <v>0</v>
      </c>
      <c r="X84" s="152">
        <f>SUM(X71:X83)</f>
        <v>0</v>
      </c>
      <c r="Y84" s="152">
        <f>SUM(Y71:Y83)</f>
        <v>0</v>
      </c>
      <c r="Z84" s="335"/>
      <c r="AA84" s="152">
        <f t="shared" ref="AA84:BJ84" si="93">SUM(AA71:AA83)</f>
        <v>640</v>
      </c>
      <c r="AB84" s="152">
        <f t="shared" si="93"/>
        <v>1030</v>
      </c>
      <c r="AC84" s="152">
        <f t="shared" si="93"/>
        <v>134</v>
      </c>
      <c r="AD84" s="152">
        <f t="shared" si="93"/>
        <v>258</v>
      </c>
      <c r="AE84" s="152">
        <f t="shared" si="93"/>
        <v>-27</v>
      </c>
      <c r="AF84" s="152">
        <f t="shared" si="93"/>
        <v>131</v>
      </c>
      <c r="AG84" s="152">
        <f t="shared" si="93"/>
        <v>-16</v>
      </c>
      <c r="AH84" s="152">
        <f t="shared" si="93"/>
        <v>56</v>
      </c>
      <c r="AI84" s="152">
        <f t="shared" si="93"/>
        <v>547</v>
      </c>
      <c r="AJ84" s="152">
        <f t="shared" si="93"/>
        <v>21</v>
      </c>
      <c r="AK84" s="152">
        <f t="shared" si="93"/>
        <v>7</v>
      </c>
      <c r="AL84" s="152">
        <f t="shared" si="93"/>
        <v>120</v>
      </c>
      <c r="AM84" s="152">
        <f t="shared" si="93"/>
        <v>794</v>
      </c>
      <c r="AN84" s="152">
        <f t="shared" si="93"/>
        <v>899</v>
      </c>
      <c r="AO84" s="152">
        <f t="shared" si="93"/>
        <v>119</v>
      </c>
      <c r="AP84" s="152">
        <f t="shared" si="93"/>
        <v>129</v>
      </c>
      <c r="AQ84" s="152">
        <f t="shared" si="93"/>
        <v>2</v>
      </c>
      <c r="AR84" s="152">
        <f t="shared" si="93"/>
        <v>47</v>
      </c>
      <c r="AS84" s="152">
        <f t="shared" si="93"/>
        <v>22</v>
      </c>
      <c r="AT84" s="152">
        <f t="shared" si="93"/>
        <v>43</v>
      </c>
      <c r="AU84" s="152">
        <f t="shared" si="93"/>
        <v>601</v>
      </c>
      <c r="AV84" s="152">
        <f t="shared" si="93"/>
        <v>38</v>
      </c>
      <c r="AW84" s="152">
        <f t="shared" si="93"/>
        <v>53</v>
      </c>
      <c r="AX84" s="152">
        <f t="shared" si="93"/>
        <v>-97</v>
      </c>
      <c r="AY84" s="152">
        <f t="shared" si="93"/>
        <v>794</v>
      </c>
      <c r="AZ84" s="152">
        <f t="shared" si="93"/>
        <v>899</v>
      </c>
      <c r="BA84" s="152">
        <f t="shared" si="93"/>
        <v>119</v>
      </c>
      <c r="BB84" s="152">
        <f t="shared" si="93"/>
        <v>129</v>
      </c>
      <c r="BC84" s="152">
        <f t="shared" si="93"/>
        <v>2</v>
      </c>
      <c r="BD84" s="152">
        <f t="shared" si="93"/>
        <v>47</v>
      </c>
      <c r="BE84" s="152">
        <f t="shared" si="93"/>
        <v>22</v>
      </c>
      <c r="BF84" s="152">
        <f t="shared" si="93"/>
        <v>43</v>
      </c>
      <c r="BG84" s="152">
        <f t="shared" si="93"/>
        <v>601</v>
      </c>
      <c r="BH84" s="152">
        <f t="shared" si="93"/>
        <v>38</v>
      </c>
      <c r="BI84" s="152">
        <f t="shared" si="93"/>
        <v>53</v>
      </c>
      <c r="BJ84" s="152">
        <f t="shared" si="93"/>
        <v>-97</v>
      </c>
      <c r="BK84" s="93"/>
      <c r="BL84" s="152">
        <f t="shared" ref="BL84:BW84" si="94">SUM(BL71:BL83)</f>
        <v>0</v>
      </c>
      <c r="BM84" s="152">
        <f t="shared" si="94"/>
        <v>2901</v>
      </c>
      <c r="BN84" s="152">
        <f t="shared" si="94"/>
        <v>2650</v>
      </c>
      <c r="BO84" s="152">
        <f t="shared" si="94"/>
        <v>2650</v>
      </c>
      <c r="BP84" s="152">
        <f t="shared" si="94"/>
        <v>0</v>
      </c>
      <c r="BQ84" s="152">
        <f t="shared" si="94"/>
        <v>0</v>
      </c>
      <c r="BR84" s="152">
        <f t="shared" si="94"/>
        <v>0</v>
      </c>
      <c r="BS84" s="152">
        <f t="shared" si="94"/>
        <v>0</v>
      </c>
      <c r="BT84" s="152">
        <f t="shared" si="94"/>
        <v>0</v>
      </c>
      <c r="BU84" s="152">
        <f t="shared" si="94"/>
        <v>0</v>
      </c>
      <c r="BV84" s="152">
        <f t="shared" si="94"/>
        <v>0</v>
      </c>
      <c r="BW84" s="152">
        <f t="shared" si="94"/>
        <v>0</v>
      </c>
      <c r="BY84" s="12"/>
      <c r="BZ84" s="363">
        <f t="shared" ca="1" si="81"/>
        <v>0</v>
      </c>
      <c r="CA84" s="12"/>
      <c r="CC84" s="335"/>
      <c r="CD84" s="7">
        <f t="shared" si="83"/>
        <v>0</v>
      </c>
      <c r="CE84" s="7">
        <f t="shared" si="84"/>
        <v>0</v>
      </c>
      <c r="CF84" s="7">
        <f t="shared" si="85"/>
        <v>0</v>
      </c>
      <c r="CG84" s="12"/>
      <c r="CH84" s="352">
        <f t="shared" si="86"/>
        <v>0</v>
      </c>
      <c r="CI84" s="352">
        <f t="shared" si="87"/>
        <v>0</v>
      </c>
      <c r="CJ84" s="352">
        <f t="shared" si="88"/>
        <v>0</v>
      </c>
      <c r="CK84" s="352">
        <f t="shared" si="89"/>
        <v>0</v>
      </c>
      <c r="CL84" s="352">
        <f t="shared" si="90"/>
        <v>0</v>
      </c>
      <c r="CM84" s="352">
        <f t="shared" si="91"/>
        <v>0</v>
      </c>
      <c r="CN84" s="352">
        <f t="shared" si="92"/>
        <v>0</v>
      </c>
      <c r="EX84" s="10" t="str">
        <f t="shared" si="78"/>
        <v>Total Other Income from Provision of Education and Training</v>
      </c>
    </row>
    <row r="85" spans="1:154" ht="6.6" customHeight="1" x14ac:dyDescent="0.25">
      <c r="A85" s="335"/>
      <c r="B85" s="93"/>
      <c r="C85" s="383"/>
      <c r="D85" s="177"/>
      <c r="E85" s="25"/>
      <c r="F85" s="25"/>
      <c r="G85" s="25"/>
      <c r="I85" s="25"/>
      <c r="J85" s="335"/>
      <c r="Q85" s="2"/>
      <c r="R85" s="335"/>
      <c r="T85" s="335"/>
      <c r="U85" s="335"/>
      <c r="V85" s="25"/>
      <c r="W85" s="25"/>
      <c r="X85" s="25"/>
      <c r="Y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L85" s="25"/>
      <c r="BM85" s="155"/>
      <c r="BN85" s="25"/>
      <c r="BO85" s="25"/>
      <c r="BP85" s="25"/>
      <c r="BQ85" s="25"/>
      <c r="BR85" s="25"/>
      <c r="BS85" s="25"/>
      <c r="BT85" s="25"/>
      <c r="BU85" s="25"/>
      <c r="BV85" s="25"/>
      <c r="BW85" s="25"/>
      <c r="BY85" s="42"/>
      <c r="BZ85" s="335"/>
      <c r="CA85" s="42"/>
      <c r="CC85" s="335"/>
      <c r="CG85" s="42"/>
      <c r="CM85" s="335"/>
      <c r="CN85" s="335"/>
      <c r="EX85" s="10" t="str">
        <f t="shared" si="78"/>
        <v/>
      </c>
    </row>
    <row r="86" spans="1:154" x14ac:dyDescent="0.25">
      <c r="A86" s="335"/>
      <c r="B86" s="189"/>
      <c r="C86" s="383"/>
      <c r="D86" s="433" t="s">
        <v>34</v>
      </c>
      <c r="E86" s="82"/>
      <c r="F86" s="25"/>
      <c r="G86" s="25"/>
      <c r="I86" s="25"/>
      <c r="J86" s="25"/>
      <c r="Q86" s="2"/>
      <c r="R86" s="335"/>
      <c r="T86" s="335"/>
      <c r="U86" s="335"/>
      <c r="V86" s="25"/>
      <c r="W86" s="25"/>
      <c r="X86" s="25"/>
      <c r="Y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L86" s="25"/>
      <c r="BM86" s="25"/>
      <c r="BN86" s="25"/>
      <c r="BO86" s="25"/>
      <c r="BP86" s="25"/>
      <c r="BQ86" s="25"/>
      <c r="BR86" s="25"/>
      <c r="BS86" s="25"/>
      <c r="BT86" s="25"/>
      <c r="BU86" s="25"/>
      <c r="BV86" s="25"/>
      <c r="BW86" s="25"/>
      <c r="BY86" s="12"/>
      <c r="BZ86" s="335"/>
      <c r="CA86" s="12"/>
      <c r="CC86" s="335"/>
      <c r="CG86" s="12"/>
      <c r="CM86" s="335"/>
      <c r="CN86" s="335"/>
      <c r="EX86" s="10" t="str">
        <f t="shared" si="78"/>
        <v/>
      </c>
    </row>
    <row r="87" spans="1:154" x14ac:dyDescent="0.25">
      <c r="A87" s="362" cm="1">
        <f t="array" aca="1" ref="A87" ca="1">HYPERLINK(CONCATENATE("#",CELL("address",IF(SUM($CA87:$CG87)=0,A87,INDEX($CA87:$CG87,MATCH(1,$CA87:$CG87,0))))),SUM($CA87:$CG87))</f>
        <v>0</v>
      </c>
      <c r="B87" s="93"/>
      <c r="C87" s="343" t="s">
        <v>471</v>
      </c>
      <c r="D87" s="194" t="s">
        <v>35</v>
      </c>
      <c r="E87" s="147"/>
      <c r="F87" s="98" t="str" cm="1">
        <f t="array" aca="1" ref="F87" ca="1">IF(E87="", "", HYPERLINK(CONCATENATE("#",CELL("address",INDEX('I&amp;E Profiles'!$D$9:$D$93,'I&amp;E Annual'!I87))),E87))</f>
        <v/>
      </c>
      <c r="G87" s="147" t="s">
        <v>211</v>
      </c>
      <c r="H87" s="67" t="s">
        <v>8</v>
      </c>
      <c r="I87" s="350" t="str">
        <f>IF(E87="", "", MATCH(E87, 'I&amp;E Profiles'!$D$96:$D$180,0))</f>
        <v/>
      </c>
      <c r="J87" s="215">
        <f>IF($G87=$G$7, W87,'I&amp;E Monthly'!W87)-SUMIFS('I&amp;E Monthly'!$AA87:$BJ87, 'I&amp;E Monthly'!$AA$3:$BJ$3, 'I&amp;E Annual'!W$3, 'I&amp;E Monthly'!$AA$4:$BJ$4, 0)</f>
        <v>0</v>
      </c>
      <c r="K87" s="215">
        <f>IF($G87=$G$7, X87,'I&amp;E Monthly'!X87)-SUMIFS('I&amp;E Monthly'!$AA87:$BJ87, 'I&amp;E Monthly'!$AA$3:$BJ$3, 'I&amp;E Annual'!X$3, 'I&amp;E Monthly'!$AA$4:$BJ$4, 0)</f>
        <v>0</v>
      </c>
      <c r="L87" s="215">
        <f>IF($G87=$G$7, Y87,'I&amp;E Monthly'!Y87)-SUMIFS('I&amp;E Monthly'!$AA87:$BJ87, 'I&amp;E Monthly'!$AA$3:$BJ$3, 'I&amp;E Annual'!Y$3, 'I&amp;E Monthly'!$AA$4:$BJ$4, 0)</f>
        <v>0</v>
      </c>
      <c r="M87" s="335"/>
      <c r="N87" s="335"/>
      <c r="O87" s="335"/>
      <c r="P87" s="335"/>
      <c r="Q87" s="2"/>
      <c r="R87" s="335"/>
      <c r="S87" s="335"/>
      <c r="T87" s="335"/>
      <c r="U87" s="335"/>
      <c r="V87" s="215">
        <f>'I&amp;E Monthly'!V87</f>
        <v>0</v>
      </c>
      <c r="W87" s="147"/>
      <c r="X87" s="227"/>
      <c r="Y87" s="227"/>
      <c r="Z87" s="335"/>
      <c r="AA87" s="153" cm="1">
        <f t="array" ref="AA87">IF(OR(AA$4=0, $G87&lt;&gt; $G$7, $E87=0), 'I&amp;E Monthly'!AA87, CHOOSE(Timeline!AA$30,$J87,$K87,$L87 )*INDEX('I&amp;E Profiles'!AA$96:AA$180,$I87))</f>
        <v>0</v>
      </c>
      <c r="AB87" s="153" cm="1">
        <f t="array" ref="AB87">IF(OR(AB$4=0, $G87&lt;&gt; $G$7, $E87=0), 'I&amp;E Monthly'!AB87, CHOOSE(Timeline!AB$30,$J87,$K87,$L87 )*INDEX('I&amp;E Profiles'!AB$96:AB$180,$I87))</f>
        <v>0</v>
      </c>
      <c r="AC87" s="153" cm="1">
        <f t="array" ref="AC87">IF(OR(AC$4=0, $G87&lt;&gt; $G$7, $E87=0), 'I&amp;E Monthly'!AC87, CHOOSE(Timeline!AC$30,$J87,$K87,$L87 )*INDEX('I&amp;E Profiles'!AC$96:AC$180,$I87))</f>
        <v>0</v>
      </c>
      <c r="AD87" s="153" cm="1">
        <f t="array" ref="AD87">IF(OR(AD$4=0, $G87&lt;&gt; $G$7, $E87=0), 'I&amp;E Monthly'!AD87, CHOOSE(Timeline!AD$30,$J87,$K87,$L87 )*INDEX('I&amp;E Profiles'!AD$96:AD$180,$I87))</f>
        <v>0</v>
      </c>
      <c r="AE87" s="153" cm="1">
        <f t="array" ref="AE87">IF(OR(AE$4=0, $G87&lt;&gt; $G$7, $E87=0), 'I&amp;E Monthly'!AE87, CHOOSE(Timeline!AE$30,$J87,$K87,$L87 )*INDEX('I&amp;E Profiles'!AE$96:AE$180,$I87))</f>
        <v>0</v>
      </c>
      <c r="AF87" s="153" cm="1">
        <f t="array" ref="AF87">IF(OR(AF$4=0, $G87&lt;&gt; $G$7, $E87=0), 'I&amp;E Monthly'!AF87, CHOOSE(Timeline!AF$30,$J87,$K87,$L87 )*INDEX('I&amp;E Profiles'!AF$96:AF$180,$I87))</f>
        <v>0</v>
      </c>
      <c r="AG87" s="153" cm="1">
        <f t="array" ref="AG87">IF(OR(AG$4=0, $G87&lt;&gt; $G$7, $E87=0), 'I&amp;E Monthly'!AG87, CHOOSE(Timeline!AG$30,$J87,$K87,$L87 )*INDEX('I&amp;E Profiles'!AG$96:AG$180,$I87))</f>
        <v>0</v>
      </c>
      <c r="AH87" s="153" cm="1">
        <f t="array" ref="AH87">IF(OR(AH$4=0, $G87&lt;&gt; $G$7, $E87=0), 'I&amp;E Monthly'!AH87, CHOOSE(Timeline!AH$30,$J87,$K87,$L87 )*INDEX('I&amp;E Profiles'!AH$96:AH$180,$I87))</f>
        <v>0</v>
      </c>
      <c r="AI87" s="153" cm="1">
        <f t="array" ref="AI87">IF(OR(AI$4=0, $G87&lt;&gt; $G$7, $E87=0), 'I&amp;E Monthly'!AI87, CHOOSE(Timeline!AI$30,$J87,$K87,$L87 )*INDEX('I&amp;E Profiles'!AI$96:AI$180,$I87))</f>
        <v>0</v>
      </c>
      <c r="AJ87" s="153" cm="1">
        <f t="array" ref="AJ87">IF(OR(AJ$4=0, $G87&lt;&gt; $G$7, $E87=0), 'I&amp;E Monthly'!AJ87, CHOOSE(Timeline!AJ$30,$J87,$K87,$L87 )*INDEX('I&amp;E Profiles'!AJ$96:AJ$180,$I87))</f>
        <v>0</v>
      </c>
      <c r="AK87" s="153" cm="1">
        <f t="array" ref="AK87">IF(OR(AK$4=0, $G87&lt;&gt; $G$7, $E87=0), 'I&amp;E Monthly'!AK87, CHOOSE(Timeline!AK$30,$J87,$K87,$L87 )*INDEX('I&amp;E Profiles'!AK$96:AK$180,$I87))</f>
        <v>0</v>
      </c>
      <c r="AL87" s="153" cm="1">
        <f t="array" ref="AL87">IF(OR(AL$4=0, $G87&lt;&gt; $G$7, $E87=0), 'I&amp;E Monthly'!AL87, CHOOSE(Timeline!AL$30,$J87,$K87,$L87 )*INDEX('I&amp;E Profiles'!AL$96:AL$180,$I87))</f>
        <v>0</v>
      </c>
      <c r="AM87" s="153" cm="1">
        <f t="array" ref="AM87">IF(OR(AM$4=0, $G87&lt;&gt; $G$7, $E87=0), 'I&amp;E Monthly'!AM87, CHOOSE(Timeline!AM$30,$J87,$K87,$L87 )*INDEX('I&amp;E Profiles'!AM$96:AM$180,$I87))</f>
        <v>0</v>
      </c>
      <c r="AN87" s="153" cm="1">
        <f t="array" ref="AN87">IF(OR(AN$4=0, $G87&lt;&gt; $G$7, $E87=0), 'I&amp;E Monthly'!AN87, CHOOSE(Timeline!AN$30,$J87,$K87,$L87 )*INDEX('I&amp;E Profiles'!AN$96:AN$180,$I87))</f>
        <v>0</v>
      </c>
      <c r="AO87" s="153" cm="1">
        <f t="array" ref="AO87">IF(OR(AO$4=0, $G87&lt;&gt; $G$7, $E87=0), 'I&amp;E Monthly'!AO87, CHOOSE(Timeline!AO$30,$J87,$K87,$L87 )*INDEX('I&amp;E Profiles'!AO$96:AO$180,$I87))</f>
        <v>0</v>
      </c>
      <c r="AP87" s="153" cm="1">
        <f t="array" ref="AP87">IF(OR(AP$4=0, $G87&lt;&gt; $G$7, $E87=0), 'I&amp;E Monthly'!AP87, CHOOSE(Timeline!AP$30,$J87,$K87,$L87 )*INDEX('I&amp;E Profiles'!AP$96:AP$180,$I87))</f>
        <v>0</v>
      </c>
      <c r="AQ87" s="153" cm="1">
        <f t="array" ref="AQ87">IF(OR(AQ$4=0, $G87&lt;&gt; $G$7, $E87=0), 'I&amp;E Monthly'!AQ87, CHOOSE(Timeline!AQ$30,$J87,$K87,$L87 )*INDEX('I&amp;E Profiles'!AQ$96:AQ$180,$I87))</f>
        <v>0</v>
      </c>
      <c r="AR87" s="153" cm="1">
        <f t="array" ref="AR87">IF(OR(AR$4=0, $G87&lt;&gt; $G$7, $E87=0), 'I&amp;E Monthly'!AR87, CHOOSE(Timeline!AR$30,$J87,$K87,$L87 )*INDEX('I&amp;E Profiles'!AR$96:AR$180,$I87))</f>
        <v>0</v>
      </c>
      <c r="AS87" s="153" cm="1">
        <f t="array" ref="AS87">IF(OR(AS$4=0, $G87&lt;&gt; $G$7, $E87=0), 'I&amp;E Monthly'!AS87, CHOOSE(Timeline!AS$30,$J87,$K87,$L87 )*INDEX('I&amp;E Profiles'!AS$96:AS$180,$I87))</f>
        <v>0</v>
      </c>
      <c r="AT87" s="153" cm="1">
        <f t="array" ref="AT87">IF(OR(AT$4=0, $G87&lt;&gt; $G$7, $E87=0), 'I&amp;E Monthly'!AT87, CHOOSE(Timeline!AT$30,$J87,$K87,$L87 )*INDEX('I&amp;E Profiles'!AT$96:AT$180,$I87))</f>
        <v>0</v>
      </c>
      <c r="AU87" s="153" cm="1">
        <f t="array" ref="AU87">IF(OR(AU$4=0, $G87&lt;&gt; $G$7, $E87=0), 'I&amp;E Monthly'!AU87, CHOOSE(Timeline!AU$30,$J87,$K87,$L87 )*INDEX('I&amp;E Profiles'!AU$96:AU$180,$I87))</f>
        <v>0</v>
      </c>
      <c r="AV87" s="153" cm="1">
        <f t="array" ref="AV87">IF(OR(AV$4=0, $G87&lt;&gt; $G$7, $E87=0), 'I&amp;E Monthly'!AV87, CHOOSE(Timeline!AV$30,$J87,$K87,$L87 )*INDEX('I&amp;E Profiles'!AV$96:AV$180,$I87))</f>
        <v>0</v>
      </c>
      <c r="AW87" s="153" cm="1">
        <f t="array" ref="AW87">IF(OR(AW$4=0, $G87&lt;&gt; $G$7, $E87=0), 'I&amp;E Monthly'!AW87, CHOOSE(Timeline!AW$30,$J87,$K87,$L87 )*INDEX('I&amp;E Profiles'!AW$96:AW$180,$I87))</f>
        <v>0</v>
      </c>
      <c r="AX87" s="153" cm="1">
        <f t="array" ref="AX87">IF(OR(AX$4=0, $G87&lt;&gt; $G$7, $E87=0), 'I&amp;E Monthly'!AX87, CHOOSE(Timeline!AX$30,$J87,$K87,$L87 )*INDEX('I&amp;E Profiles'!AX$96:AX$180,$I87))</f>
        <v>0</v>
      </c>
      <c r="AY87" s="153" cm="1">
        <f t="array" ref="AY87">IF(OR(AY$4=0, $G87&lt;&gt; $G$7, $E87=0), 'I&amp;E Monthly'!AY87, CHOOSE(Timeline!AY$30,$J87,$K87,$L87 )*INDEX('I&amp;E Profiles'!AY$96:AY$180,$I87))</f>
        <v>0</v>
      </c>
      <c r="AZ87" s="153" cm="1">
        <f t="array" ref="AZ87">IF(OR(AZ$4=0, $G87&lt;&gt; $G$7, $E87=0), 'I&amp;E Monthly'!AZ87, CHOOSE(Timeline!AZ$30,$J87,$K87,$L87 )*INDEX('I&amp;E Profiles'!AZ$96:AZ$180,$I87))</f>
        <v>0</v>
      </c>
      <c r="BA87" s="153" cm="1">
        <f t="array" ref="BA87">IF(OR(BA$4=0, $G87&lt;&gt; $G$7, $E87=0), 'I&amp;E Monthly'!BA87, CHOOSE(Timeline!BA$30,$J87,$K87,$L87 )*INDEX('I&amp;E Profiles'!BA$96:BA$180,$I87))</f>
        <v>0</v>
      </c>
      <c r="BB87" s="153" cm="1">
        <f t="array" ref="BB87">IF(OR(BB$4=0, $G87&lt;&gt; $G$7, $E87=0), 'I&amp;E Monthly'!BB87, CHOOSE(Timeline!BB$30,$J87,$K87,$L87 )*INDEX('I&amp;E Profiles'!BB$96:BB$180,$I87))</f>
        <v>0</v>
      </c>
      <c r="BC87" s="153" cm="1">
        <f t="array" ref="BC87">IF(OR(BC$4=0, $G87&lt;&gt; $G$7, $E87=0), 'I&amp;E Monthly'!BC87, CHOOSE(Timeline!BC$30,$J87,$K87,$L87 )*INDEX('I&amp;E Profiles'!BC$96:BC$180,$I87))</f>
        <v>0</v>
      </c>
      <c r="BD87" s="153" cm="1">
        <f t="array" ref="BD87">IF(OR(BD$4=0, $G87&lt;&gt; $G$7, $E87=0), 'I&amp;E Monthly'!BD87, CHOOSE(Timeline!BD$30,$J87,$K87,$L87 )*INDEX('I&amp;E Profiles'!BD$96:BD$180,$I87))</f>
        <v>0</v>
      </c>
      <c r="BE87" s="153" cm="1">
        <f t="array" ref="BE87">IF(OR(BE$4=0, $G87&lt;&gt; $G$7, $E87=0), 'I&amp;E Monthly'!BE87, CHOOSE(Timeline!BE$30,$J87,$K87,$L87 )*INDEX('I&amp;E Profiles'!BE$96:BE$180,$I87))</f>
        <v>0</v>
      </c>
      <c r="BF87" s="153" cm="1">
        <f t="array" ref="BF87">IF(OR(BF$4=0, $G87&lt;&gt; $G$7, $E87=0), 'I&amp;E Monthly'!BF87, CHOOSE(Timeline!BF$30,$J87,$K87,$L87 )*INDEX('I&amp;E Profiles'!BF$96:BF$180,$I87))</f>
        <v>0</v>
      </c>
      <c r="BG87" s="153" cm="1">
        <f t="array" ref="BG87">IF(OR(BG$4=0, $G87&lt;&gt; $G$7, $E87=0), 'I&amp;E Monthly'!BG87, CHOOSE(Timeline!BG$30,$J87,$K87,$L87 )*INDEX('I&amp;E Profiles'!BG$96:BG$180,$I87))</f>
        <v>0</v>
      </c>
      <c r="BH87" s="153" cm="1">
        <f t="array" ref="BH87">IF(OR(BH$4=0, $G87&lt;&gt; $G$7, $E87=0), 'I&amp;E Monthly'!BH87, CHOOSE(Timeline!BH$30,$J87,$K87,$L87 )*INDEX('I&amp;E Profiles'!BH$96:BH$180,$I87))</f>
        <v>0</v>
      </c>
      <c r="BI87" s="153" cm="1">
        <f t="array" ref="BI87">IF(OR(BI$4=0, $G87&lt;&gt; $G$7, $E87=0), 'I&amp;E Monthly'!BI87, CHOOSE(Timeline!BI$30,$J87,$K87,$L87 )*INDEX('I&amp;E Profiles'!BI$96:BI$180,$I87))</f>
        <v>0</v>
      </c>
      <c r="BJ87" s="153" cm="1">
        <f t="array" ref="BJ87">IF(OR(BJ$4=0, $G87&lt;&gt; $G$7, $E87=0), 'I&amp;E Monthly'!BJ87, CHOOSE(Timeline!BJ$30,$J87,$K87,$L87 )*INDEX('I&amp;E Profiles'!BJ$96:BJ$180,$I87))</f>
        <v>0</v>
      </c>
      <c r="BK87" s="335"/>
      <c r="BL87" s="152">
        <f t="shared" ref="BL87:BL97" si="95">V87</f>
        <v>0</v>
      </c>
      <c r="BM87" s="153">
        <f t="shared" ref="BM87:BO97" si="96">SUMIFS($AA87:$BJ87, $AA$3:$BJ$3,BM$3)</f>
        <v>0</v>
      </c>
      <c r="BN87" s="153">
        <f t="shared" si="96"/>
        <v>0</v>
      </c>
      <c r="BO87" s="153">
        <f t="shared" si="96"/>
        <v>0</v>
      </c>
      <c r="BP87" s="152">
        <f>'I&amp;E Monthly'!BP87</f>
        <v>0</v>
      </c>
      <c r="BQ87" s="152">
        <f>'I&amp;E Monthly'!BQ87</f>
        <v>0</v>
      </c>
      <c r="BR87" s="152">
        <f>'I&amp;E Monthly'!BR87</f>
        <v>0</v>
      </c>
      <c r="BS87" s="152">
        <f>'I&amp;E Monthly'!BS87</f>
        <v>0</v>
      </c>
      <c r="BT87" s="152">
        <f>'I&amp;E Monthly'!BT87</f>
        <v>0</v>
      </c>
      <c r="BU87" s="152">
        <f>'I&amp;E Monthly'!BU87</f>
        <v>0</v>
      </c>
      <c r="BV87" s="152">
        <f>'I&amp;E Monthly'!BV87</f>
        <v>0</v>
      </c>
      <c r="BW87" s="152">
        <f>'I&amp;E Monthly'!BW87</f>
        <v>0</v>
      </c>
      <c r="BX87" s="335"/>
      <c r="BY87" s="12"/>
      <c r="BZ87" s="363">
        <f t="shared" ref="BZ87:BZ98" ca="1" si="97">IF(MIN($V87:$BW87)&lt;0, 1, 0)*$I$7</f>
        <v>0</v>
      </c>
      <c r="CA87" s="12"/>
      <c r="CB87" s="7">
        <f t="shared" ref="CB87:CB97" si="98">IF(AND($G87=$G$7,$E87=""), 1, 0)</f>
        <v>0</v>
      </c>
      <c r="CC87" s="188" cm="1">
        <f t="array" ref="CC87">IF(E87="",0, IF(_xlfn.IFNA(INDEX('I&amp;E Profiles'!$D$96:$D$180, $I87), "N/A")="N/A", 1, 0))</f>
        <v>0</v>
      </c>
      <c r="CD87" s="7">
        <f t="shared" ref="CD87:CD98" si="99">IF(SUM($CH87:$CJ87)=0, 0, 1)</f>
        <v>0</v>
      </c>
      <c r="CE87" s="7">
        <f t="shared" ref="CE87:CE98" si="100">IF(SUM($CK87:$CM87)=0, 0, 1)</f>
        <v>0</v>
      </c>
      <c r="CF87" s="7">
        <f t="shared" ref="CF87:CF98" si="101">IF(CN87=0, 0, 1)</f>
        <v>0</v>
      </c>
      <c r="CG87" s="12"/>
      <c r="CH87" s="352">
        <f t="shared" ref="CH87:CH98" si="102">IF($G87=$G$7, ROUND(W87-SUMIFS($AA87:$BJ87, $AA$3:$BJ$3, W$3), rounding), 0)</f>
        <v>0</v>
      </c>
      <c r="CI87" s="352">
        <f t="shared" ref="CI87:CI98" si="103">IF($G87=$G$7, ROUND(X87-SUMIFS($AA87:$BJ87, $AA$3:$BJ$3, X$3), rounding), 0)</f>
        <v>0</v>
      </c>
      <c r="CJ87" s="352">
        <f t="shared" ref="CJ87:CJ98" si="104">IF($G87=$G$7, ROUND(Y87-SUMIFS($AA87:$BJ87, $AA$3:$BJ$3, Y$3), rounding), 0)</f>
        <v>0</v>
      </c>
      <c r="CK87" s="352">
        <f t="shared" ref="CK87:CK98" si="105">ROUND($BM87-SUMIFS($AA87:$BJ87, $AA$3:$BJ$3, $BM$3), rounding)</f>
        <v>0</v>
      </c>
      <c r="CL87" s="352">
        <f t="shared" ref="CL87:CL98" si="106">ROUND($BN87-SUMIFS($AA87:$BJ87, $AA$3:$BJ$3, $BN$3), rounding)</f>
        <v>0</v>
      </c>
      <c r="CM87" s="352">
        <f t="shared" ref="CM87:CM98" si="107">ROUND($BO87-SUMIFS($AA87:$BJ87, $AA$3:$BJ$3, $BO$3), rounding)</f>
        <v>0</v>
      </c>
      <c r="CN87" s="352">
        <f t="shared" ref="CN87:CN98" si="108">ROUND($V87-$BL87, rounding)</f>
        <v>0</v>
      </c>
      <c r="EX87" s="10" t="str">
        <f t="shared" si="78"/>
        <v>Student training facilities</v>
      </c>
    </row>
    <row r="88" spans="1:154" x14ac:dyDescent="0.25">
      <c r="A88" s="362" cm="1">
        <f t="array" aca="1" ref="A88" ca="1">HYPERLINK(CONCATENATE("#",CELL("address",IF(SUM($CA88:$CG88)=0,A88,INDEX($CA88:$CG88,MATCH(1,$CA88:$CG88,0))))),SUM($CA88:$CG88))</f>
        <v>0</v>
      </c>
      <c r="B88" s="93"/>
      <c r="C88" s="343" t="s">
        <v>472</v>
      </c>
      <c r="D88" s="194" t="s">
        <v>36</v>
      </c>
      <c r="E88" s="147"/>
      <c r="F88" s="98" t="str" cm="1">
        <f t="array" aca="1" ref="F88" ca="1">IF(E88="", "", HYPERLINK(CONCATENATE("#",CELL("address",INDEX('I&amp;E Profiles'!$D$9:$D$93,'I&amp;E Annual'!I88))),E88))</f>
        <v/>
      </c>
      <c r="G88" s="372" t="s">
        <v>211</v>
      </c>
      <c r="H88" s="67" t="s">
        <v>8</v>
      </c>
      <c r="I88" s="350" t="str">
        <f>IF(E88="", "", MATCH(E88, 'I&amp;E Profiles'!$D$96:$D$180,0))</f>
        <v/>
      </c>
      <c r="J88" s="215">
        <f>IF($G88=$G$7, W88,'I&amp;E Monthly'!W88)-SUMIFS('I&amp;E Monthly'!$AA88:$BJ88, 'I&amp;E Monthly'!$AA$3:$BJ$3, 'I&amp;E Annual'!W$3, 'I&amp;E Monthly'!$AA$4:$BJ$4, 0)</f>
        <v>2</v>
      </c>
      <c r="K88" s="215">
        <f>IF($G88=$G$7, X88,'I&amp;E Monthly'!X88)-SUMIFS('I&amp;E Monthly'!$AA88:$BJ88, 'I&amp;E Monthly'!$AA$3:$BJ$3, 'I&amp;E Annual'!X$3, 'I&amp;E Monthly'!$AA$4:$BJ$4, 0)</f>
        <v>178</v>
      </c>
      <c r="L88" s="215">
        <f>IF($G88=$G$7, Y88,'I&amp;E Monthly'!Y88)-SUMIFS('I&amp;E Monthly'!$AA88:$BJ88, 'I&amp;E Monthly'!$AA$3:$BJ$3, 'I&amp;E Annual'!Y$3, 'I&amp;E Monthly'!$AA$4:$BJ$4, 0)</f>
        <v>180.66999999999996</v>
      </c>
      <c r="M88" s="335"/>
      <c r="N88" s="335"/>
      <c r="O88" s="335"/>
      <c r="P88" s="335"/>
      <c r="Q88" s="2"/>
      <c r="R88" s="335"/>
      <c r="S88" s="335"/>
      <c r="T88" s="335"/>
      <c r="U88" s="335"/>
      <c r="V88" s="201">
        <f>'I&amp;E Monthly'!V88</f>
        <v>0</v>
      </c>
      <c r="W88" s="372"/>
      <c r="X88" s="198"/>
      <c r="Y88" s="198"/>
      <c r="Z88" s="335"/>
      <c r="AA88" s="153" cm="1">
        <f t="array" ref="AA88">IF(OR(AA$4=0, $G88&lt;&gt; $G$7, $E88=0), 'I&amp;E Monthly'!AA88, CHOOSE(Timeline!AA$30,$J88,$K88,$L88 )*INDEX('I&amp;E Profiles'!AA$96:AA$180,$I88))</f>
        <v>1</v>
      </c>
      <c r="AB88" s="153" cm="1">
        <f t="array" ref="AB88">IF(OR(AB$4=0, $G88&lt;&gt; $G$7, $E88=0), 'I&amp;E Monthly'!AB88, CHOOSE(Timeline!AB$30,$J88,$K88,$L88 )*INDEX('I&amp;E Profiles'!AB$96:AB$180,$I88))</f>
        <v>3</v>
      </c>
      <c r="AC88" s="153" cm="1">
        <f t="array" ref="AC88">IF(OR(AC$4=0, $G88&lt;&gt; $G$7, $E88=0), 'I&amp;E Monthly'!AC88, CHOOSE(Timeline!AC$30,$J88,$K88,$L88 )*INDEX('I&amp;E Profiles'!AC$96:AC$180,$I88))</f>
        <v>5</v>
      </c>
      <c r="AD88" s="153" cm="1">
        <f t="array" ref="AD88">IF(OR(AD$4=0, $G88&lt;&gt; $G$7, $E88=0), 'I&amp;E Monthly'!AD88, CHOOSE(Timeline!AD$30,$J88,$K88,$L88 )*INDEX('I&amp;E Profiles'!AD$96:AD$180,$I88))</f>
        <v>3</v>
      </c>
      <c r="AE88" s="153" cm="1">
        <f t="array" ref="AE88">IF(OR(AE$4=0, $G88&lt;&gt; $G$7, $E88=0), 'I&amp;E Monthly'!AE88, CHOOSE(Timeline!AE$30,$J88,$K88,$L88 )*INDEX('I&amp;E Profiles'!AE$96:AE$180,$I88))</f>
        <v>5</v>
      </c>
      <c r="AF88" s="153" cm="1">
        <f t="array" ref="AF88">IF(OR(AF$4=0, $G88&lt;&gt; $G$7, $E88=0), 'I&amp;E Monthly'!AF88, CHOOSE(Timeline!AF$30,$J88,$K88,$L88 )*INDEX('I&amp;E Profiles'!AF$96:AF$180,$I88))</f>
        <v>3</v>
      </c>
      <c r="AG88" s="153" cm="1">
        <f t="array" ref="AG88">IF(OR(AG$4=0, $G88&lt;&gt; $G$7, $E88=0), 'I&amp;E Monthly'!AG88, CHOOSE(Timeline!AG$30,$J88,$K88,$L88 )*INDEX('I&amp;E Profiles'!AG$96:AG$180,$I88))</f>
        <v>10</v>
      </c>
      <c r="AH88" s="153" cm="1">
        <f t="array" ref="AH88">IF(OR(AH$4=0, $G88&lt;&gt; $G$7, $E88=0), 'I&amp;E Monthly'!AH88, CHOOSE(Timeline!AH$30,$J88,$K88,$L88 )*INDEX('I&amp;E Profiles'!AH$96:AH$180,$I88))</f>
        <v>11</v>
      </c>
      <c r="AI88" s="153" cm="1">
        <f t="array" ref="AI88">IF(OR(AI$4=0, $G88&lt;&gt; $G$7, $E88=0), 'I&amp;E Monthly'!AI88, CHOOSE(Timeline!AI$30,$J88,$K88,$L88 )*INDEX('I&amp;E Profiles'!AI$96:AI$180,$I88))</f>
        <v>4</v>
      </c>
      <c r="AJ88" s="153" cm="1">
        <f t="array" ref="AJ88">IF(OR(AJ$4=0, $G88&lt;&gt; $G$7, $E88=0), 'I&amp;E Monthly'!AJ88, CHOOSE(Timeline!AJ$30,$J88,$K88,$L88 )*INDEX('I&amp;E Profiles'!AJ$96:AJ$180,$I88))</f>
        <v>8</v>
      </c>
      <c r="AK88" s="153" cm="1">
        <f t="array" ref="AK88">IF(OR(AK$4=0, $G88&lt;&gt; $G$7, $E88=0), 'I&amp;E Monthly'!AK88, CHOOSE(Timeline!AK$30,$J88,$K88,$L88 )*INDEX('I&amp;E Profiles'!AK$96:AK$180,$I88))</f>
        <v>10</v>
      </c>
      <c r="AL88" s="153" cm="1">
        <f t="array" ref="AL88">IF(OR(AL$4=0, $G88&lt;&gt; $G$7, $E88=0), 'I&amp;E Monthly'!AL88, CHOOSE(Timeline!AL$30,$J88,$K88,$L88 )*INDEX('I&amp;E Profiles'!AL$96:AL$180,$I88))</f>
        <v>2</v>
      </c>
      <c r="AM88" s="153" cm="1">
        <f t="array" ref="AM88">IF(OR(AM$4=0, $G88&lt;&gt; $G$7, $E88=0), 'I&amp;E Monthly'!AM88, CHOOSE(Timeline!AM$30,$J88,$K88,$L88 )*INDEX('I&amp;E Profiles'!AM$96:AM$180,$I88))</f>
        <v>3</v>
      </c>
      <c r="AN88" s="153" cm="1">
        <f t="array" ref="AN88">IF(OR(AN$4=0, $G88&lt;&gt; $G$7, $E88=0), 'I&amp;E Monthly'!AN88, CHOOSE(Timeline!AN$30,$J88,$K88,$L88 )*INDEX('I&amp;E Profiles'!AN$96:AN$180,$I88))</f>
        <v>11</v>
      </c>
      <c r="AO88" s="153" cm="1">
        <f t="array" ref="AO88">IF(OR(AO$4=0, $G88&lt;&gt; $G$7, $E88=0), 'I&amp;E Monthly'!AO88, CHOOSE(Timeline!AO$30,$J88,$K88,$L88 )*INDEX('I&amp;E Profiles'!AO$96:AO$180,$I88))</f>
        <v>15</v>
      </c>
      <c r="AP88" s="153" cm="1">
        <f t="array" ref="AP88">IF(OR(AP$4=0, $G88&lt;&gt; $G$7, $E88=0), 'I&amp;E Monthly'!AP88, CHOOSE(Timeline!AP$30,$J88,$K88,$L88 )*INDEX('I&amp;E Profiles'!AP$96:AP$180,$I88))</f>
        <v>13</v>
      </c>
      <c r="AQ88" s="153" cm="1">
        <f t="array" ref="AQ88">IF(OR(AQ$4=0, $G88&lt;&gt; $G$7, $E88=0), 'I&amp;E Monthly'!AQ88, CHOOSE(Timeline!AQ$30,$J88,$K88,$L88 )*INDEX('I&amp;E Profiles'!AQ$96:AQ$180,$I88))</f>
        <v>25</v>
      </c>
      <c r="AR88" s="153" cm="1">
        <f t="array" ref="AR88">IF(OR(AR$4=0, $G88&lt;&gt; $G$7, $E88=0), 'I&amp;E Monthly'!AR88, CHOOSE(Timeline!AR$30,$J88,$K88,$L88 )*INDEX('I&amp;E Profiles'!AR$96:AR$180,$I88))</f>
        <v>13</v>
      </c>
      <c r="AS88" s="153" cm="1">
        <f t="array" ref="AS88">IF(OR(AS$4=0, $G88&lt;&gt; $G$7, $E88=0), 'I&amp;E Monthly'!AS88, CHOOSE(Timeline!AS$30,$J88,$K88,$L88 )*INDEX('I&amp;E Profiles'!AS$96:AS$180,$I88))</f>
        <v>20</v>
      </c>
      <c r="AT88" s="153" cm="1">
        <f t="array" ref="AT88">IF(OR(AT$4=0, $G88&lt;&gt; $G$7, $E88=0), 'I&amp;E Monthly'!AT88, CHOOSE(Timeline!AT$30,$J88,$K88,$L88 )*INDEX('I&amp;E Profiles'!AT$96:AT$180,$I88))</f>
        <v>21</v>
      </c>
      <c r="AU88" s="153" cm="1">
        <f t="array" ref="AU88">IF(OR(AU$4=0, $G88&lt;&gt; $G$7, $E88=0), 'I&amp;E Monthly'!AU88, CHOOSE(Timeline!AU$30,$J88,$K88,$L88 )*INDEX('I&amp;E Profiles'!AU$96:AU$180,$I88))</f>
        <v>14</v>
      </c>
      <c r="AV88" s="153" cm="1">
        <f t="array" ref="AV88">IF(OR(AV$4=0, $G88&lt;&gt; $G$7, $E88=0), 'I&amp;E Monthly'!AV88, CHOOSE(Timeline!AV$30,$J88,$K88,$L88 )*INDEX('I&amp;E Profiles'!AV$96:AV$180,$I88))</f>
        <v>18</v>
      </c>
      <c r="AW88" s="153" cm="1">
        <f t="array" ref="AW88">IF(OR(AW$4=0, $G88&lt;&gt; $G$7, $E88=0), 'I&amp;E Monthly'!AW88, CHOOSE(Timeline!AW$30,$J88,$K88,$L88 )*INDEX('I&amp;E Profiles'!AW$96:AW$180,$I88))</f>
        <v>20</v>
      </c>
      <c r="AX88" s="153" cm="1">
        <f t="array" ref="AX88">IF(OR(AX$4=0, $G88&lt;&gt; $G$7, $E88=0), 'I&amp;E Monthly'!AX88, CHOOSE(Timeline!AX$30,$J88,$K88,$L88 )*INDEX('I&amp;E Profiles'!AX$96:AX$180,$I88))</f>
        <v>5</v>
      </c>
      <c r="AY88" s="153" cm="1">
        <f t="array" ref="AY88">IF(OR(AY$4=0, $G88&lt;&gt; $G$7, $E88=0), 'I&amp;E Monthly'!AY88, CHOOSE(Timeline!AY$30,$J88,$K88,$L88 )*INDEX('I&amp;E Profiles'!AY$96:AY$180,$I88))</f>
        <v>3.0449999999999999</v>
      </c>
      <c r="AZ88" s="153" cm="1">
        <f t="array" ref="AZ88">IF(OR(AZ$4=0, $G88&lt;&gt; $G$7, $E88=0), 'I&amp;E Monthly'!AZ88, CHOOSE(Timeline!AZ$30,$J88,$K88,$L88 )*INDEX('I&amp;E Profiles'!AZ$96:AZ$180,$I88))</f>
        <v>11.164999999999999</v>
      </c>
      <c r="BA88" s="153" cm="1">
        <f t="array" ref="BA88">IF(OR(BA$4=0, $G88&lt;&gt; $G$7, $E88=0), 'I&amp;E Monthly'!BA88, CHOOSE(Timeline!BA$30,$J88,$K88,$L88 )*INDEX('I&amp;E Profiles'!BA$96:BA$180,$I88))</f>
        <v>15.224999999999998</v>
      </c>
      <c r="BB88" s="153" cm="1">
        <f t="array" ref="BB88">IF(OR(BB$4=0, $G88&lt;&gt; $G$7, $E88=0), 'I&amp;E Monthly'!BB88, CHOOSE(Timeline!BB$30,$J88,$K88,$L88 )*INDEX('I&amp;E Profiles'!BB$96:BB$180,$I88))</f>
        <v>13.194999999999999</v>
      </c>
      <c r="BC88" s="153" cm="1">
        <f t="array" ref="BC88">IF(OR(BC$4=0, $G88&lt;&gt; $G$7, $E88=0), 'I&amp;E Monthly'!BC88, CHOOSE(Timeline!BC$30,$J88,$K88,$L88 )*INDEX('I&amp;E Profiles'!BC$96:BC$180,$I88))</f>
        <v>25.374999999999996</v>
      </c>
      <c r="BD88" s="153" cm="1">
        <f t="array" ref="BD88">IF(OR(BD$4=0, $G88&lt;&gt; $G$7, $E88=0), 'I&amp;E Monthly'!BD88, CHOOSE(Timeline!BD$30,$J88,$K88,$L88 )*INDEX('I&amp;E Profiles'!BD$96:BD$180,$I88))</f>
        <v>13.194999999999999</v>
      </c>
      <c r="BE88" s="153" cm="1">
        <f t="array" ref="BE88">IF(OR(BE$4=0, $G88&lt;&gt; $G$7, $E88=0), 'I&amp;E Monthly'!BE88, CHOOSE(Timeline!BE$30,$J88,$K88,$L88 )*INDEX('I&amp;E Profiles'!BE$96:BE$180,$I88))</f>
        <v>20.299999999999997</v>
      </c>
      <c r="BF88" s="153" cm="1">
        <f t="array" ref="BF88">IF(OR(BF$4=0, $G88&lt;&gt; $G$7, $E88=0), 'I&amp;E Monthly'!BF88, CHOOSE(Timeline!BF$30,$J88,$K88,$L88 )*INDEX('I&amp;E Profiles'!BF$96:BF$180,$I88))</f>
        <v>21.314999999999998</v>
      </c>
      <c r="BG88" s="153" cm="1">
        <f t="array" ref="BG88">IF(OR(BG$4=0, $G88&lt;&gt; $G$7, $E88=0), 'I&amp;E Monthly'!BG88, CHOOSE(Timeline!BG$30,$J88,$K88,$L88 )*INDEX('I&amp;E Profiles'!BG$96:BG$180,$I88))</f>
        <v>14.209999999999999</v>
      </c>
      <c r="BH88" s="153" cm="1">
        <f t="array" ref="BH88">IF(OR(BH$4=0, $G88&lt;&gt; $G$7, $E88=0), 'I&amp;E Monthly'!BH88, CHOOSE(Timeline!BH$30,$J88,$K88,$L88 )*INDEX('I&amp;E Profiles'!BH$96:BH$180,$I88))</f>
        <v>18.27</v>
      </c>
      <c r="BI88" s="153" cm="1">
        <f t="array" ref="BI88">IF(OR(BI$4=0, $G88&lt;&gt; $G$7, $E88=0), 'I&amp;E Monthly'!BI88, CHOOSE(Timeline!BI$30,$J88,$K88,$L88 )*INDEX('I&amp;E Profiles'!BI$96:BI$180,$I88))</f>
        <v>20.299999999999997</v>
      </c>
      <c r="BJ88" s="153" cm="1">
        <f t="array" ref="BJ88">IF(OR(BJ$4=0, $G88&lt;&gt; $G$7, $E88=0), 'I&amp;E Monthly'!BJ88, CHOOSE(Timeline!BJ$30,$J88,$K88,$L88 )*INDEX('I&amp;E Profiles'!BJ$96:BJ$180,$I88))</f>
        <v>5.0749999999999993</v>
      </c>
      <c r="BK88" s="335"/>
      <c r="BL88" s="13">
        <f t="shared" si="95"/>
        <v>0</v>
      </c>
      <c r="BM88" s="153">
        <f t="shared" si="96"/>
        <v>65</v>
      </c>
      <c r="BN88" s="153">
        <f t="shared" si="96"/>
        <v>178</v>
      </c>
      <c r="BO88" s="153">
        <f t="shared" si="96"/>
        <v>180.66999999999996</v>
      </c>
      <c r="BP88" s="13">
        <f>'I&amp;E Monthly'!BP88</f>
        <v>0</v>
      </c>
      <c r="BQ88" s="13">
        <f>'I&amp;E Monthly'!BQ88</f>
        <v>0</v>
      </c>
      <c r="BR88" s="13">
        <f>'I&amp;E Monthly'!BR88</f>
        <v>0</v>
      </c>
      <c r="BS88" s="13">
        <f>'I&amp;E Monthly'!BS88</f>
        <v>0</v>
      </c>
      <c r="BT88" s="13">
        <f>'I&amp;E Monthly'!BT88</f>
        <v>0</v>
      </c>
      <c r="BU88" s="13">
        <f>'I&amp;E Monthly'!BU88</f>
        <v>0</v>
      </c>
      <c r="BV88" s="13">
        <f>'I&amp;E Monthly'!BV88</f>
        <v>0</v>
      </c>
      <c r="BW88" s="13">
        <f>'I&amp;E Monthly'!BW88</f>
        <v>0</v>
      </c>
      <c r="BX88" s="335"/>
      <c r="BY88" s="12"/>
      <c r="BZ88" s="363">
        <f t="shared" ca="1" si="97"/>
        <v>0</v>
      </c>
      <c r="CA88" s="12"/>
      <c r="CB88" s="7">
        <f t="shared" si="98"/>
        <v>0</v>
      </c>
      <c r="CC88" s="188" cm="1">
        <f t="array" ref="CC88">IF(E88="",0, IF(_xlfn.IFNA(INDEX('I&amp;E Profiles'!$D$96:$D$180, $I88), "N/A")="N/A", 1, 0))</f>
        <v>0</v>
      </c>
      <c r="CD88" s="7">
        <f t="shared" si="99"/>
        <v>0</v>
      </c>
      <c r="CE88" s="7">
        <f t="shared" si="100"/>
        <v>0</v>
      </c>
      <c r="CF88" s="7">
        <f t="shared" si="101"/>
        <v>0</v>
      </c>
      <c r="CG88" s="12"/>
      <c r="CH88" s="352">
        <f t="shared" si="102"/>
        <v>0</v>
      </c>
      <c r="CI88" s="352">
        <f t="shared" si="103"/>
        <v>0</v>
      </c>
      <c r="CJ88" s="352">
        <f t="shared" si="104"/>
        <v>0</v>
      </c>
      <c r="CK88" s="352">
        <f t="shared" si="105"/>
        <v>0</v>
      </c>
      <c r="CL88" s="352">
        <f t="shared" si="106"/>
        <v>0</v>
      </c>
      <c r="CM88" s="352">
        <f t="shared" si="107"/>
        <v>0</v>
      </c>
      <c r="CN88" s="352">
        <f t="shared" si="108"/>
        <v>0</v>
      </c>
      <c r="EX88" s="10" t="str">
        <f t="shared" si="78"/>
        <v>Catering</v>
      </c>
    </row>
    <row r="89" spans="1:154" x14ac:dyDescent="0.25">
      <c r="A89" s="362" cm="1">
        <f t="array" aca="1" ref="A89" ca="1">HYPERLINK(CONCATENATE("#",CELL("address",IF(SUM($CA89:$CG89)=0,A89,INDEX($CA89:$CG89,MATCH(1,$CA89:$CG89,0))))),SUM($CA89:$CG89))</f>
        <v>0</v>
      </c>
      <c r="B89" s="93"/>
      <c r="C89" s="343" t="s">
        <v>473</v>
      </c>
      <c r="D89" s="194" t="s">
        <v>37</v>
      </c>
      <c r="E89" s="147"/>
      <c r="F89" s="98" t="str" cm="1">
        <f t="array" aca="1" ref="F89" ca="1">IF(E89="", "", HYPERLINK(CONCATENATE("#",CELL("address",INDEX('I&amp;E Profiles'!$D$9:$D$93,'I&amp;E Annual'!I89))),E89))</f>
        <v/>
      </c>
      <c r="G89" s="372" t="s">
        <v>211</v>
      </c>
      <c r="H89" s="67" t="s">
        <v>8</v>
      </c>
      <c r="I89" s="350" t="str">
        <f>IF(E89="", "", MATCH(E89, 'I&amp;E Profiles'!$D$96:$D$180,0))</f>
        <v/>
      </c>
      <c r="J89" s="215">
        <f>IF($G89=$G$7, W89,'I&amp;E Monthly'!W89)-SUMIFS('I&amp;E Monthly'!$AA89:$BJ89, 'I&amp;E Monthly'!$AA$3:$BJ$3, 'I&amp;E Annual'!W$3, 'I&amp;E Monthly'!$AA$4:$BJ$4, 0)</f>
        <v>7</v>
      </c>
      <c r="K89" s="215">
        <f>IF($G89=$G$7, X89,'I&amp;E Monthly'!X89)-SUMIFS('I&amp;E Monthly'!$AA89:$BJ89, 'I&amp;E Monthly'!$AA$3:$BJ$3, 'I&amp;E Annual'!X$3, 'I&amp;E Monthly'!$AA$4:$BJ$4, 0)</f>
        <v>224</v>
      </c>
      <c r="L89" s="215">
        <f>IF($G89=$G$7, Y89,'I&amp;E Monthly'!Y89)-SUMIFS('I&amp;E Monthly'!$AA89:$BJ89, 'I&amp;E Monthly'!$AA$3:$BJ$3, 'I&amp;E Annual'!Y$3, 'I&amp;E Monthly'!$AA$4:$BJ$4, 0)</f>
        <v>229.59999999999997</v>
      </c>
      <c r="M89" s="335"/>
      <c r="N89" s="335"/>
      <c r="O89" s="335"/>
      <c r="P89" s="335"/>
      <c r="Q89" s="2"/>
      <c r="R89" s="335"/>
      <c r="S89" s="335"/>
      <c r="T89" s="335"/>
      <c r="U89" s="335"/>
      <c r="V89" s="201">
        <f>'I&amp;E Monthly'!V89</f>
        <v>0</v>
      </c>
      <c r="W89" s="347"/>
      <c r="X89" s="198"/>
      <c r="Y89" s="198"/>
      <c r="Z89" s="335"/>
      <c r="AA89" s="153" cm="1">
        <f t="array" ref="AA89">IF(OR(AA$4=0, $G89&lt;&gt; $G$7, $E89=0), 'I&amp;E Monthly'!AA89, CHOOSE(Timeline!AA$30,$J89,$K89,$L89 )*INDEX('I&amp;E Profiles'!AA$96:AA$180,$I89))</f>
        <v>1</v>
      </c>
      <c r="AB89" s="153" cm="1">
        <f t="array" ref="AB89">IF(OR(AB$4=0, $G89&lt;&gt; $G$7, $E89=0), 'I&amp;E Monthly'!AB89, CHOOSE(Timeline!AB$30,$J89,$K89,$L89 )*INDEX('I&amp;E Profiles'!AB$96:AB$180,$I89))</f>
        <v>16</v>
      </c>
      <c r="AC89" s="153" cm="1">
        <f t="array" ref="AC89">IF(OR(AC$4=0, $G89&lt;&gt; $G$7, $E89=0), 'I&amp;E Monthly'!AC89, CHOOSE(Timeline!AC$30,$J89,$K89,$L89 )*INDEX('I&amp;E Profiles'!AC$96:AC$180,$I89))</f>
        <v>13</v>
      </c>
      <c r="AD89" s="153" cm="1">
        <f t="array" ref="AD89">IF(OR(AD$4=0, $G89&lt;&gt; $G$7, $E89=0), 'I&amp;E Monthly'!AD89, CHOOSE(Timeline!AD$30,$J89,$K89,$L89 )*INDEX('I&amp;E Profiles'!AD$96:AD$180,$I89))</f>
        <v>16</v>
      </c>
      <c r="AE89" s="153" cm="1">
        <f t="array" ref="AE89">IF(OR(AE$4=0, $G89&lt;&gt; $G$7, $E89=0), 'I&amp;E Monthly'!AE89, CHOOSE(Timeline!AE$30,$J89,$K89,$L89 )*INDEX('I&amp;E Profiles'!AE$96:AE$180,$I89))</f>
        <v>32</v>
      </c>
      <c r="AF89" s="153" cm="1">
        <f t="array" ref="AF89">IF(OR(AF$4=0, $G89&lt;&gt; $G$7, $E89=0), 'I&amp;E Monthly'!AF89, CHOOSE(Timeline!AF$30,$J89,$K89,$L89 )*INDEX('I&amp;E Profiles'!AF$96:AF$180,$I89))</f>
        <v>21</v>
      </c>
      <c r="AG89" s="153" cm="1">
        <f t="array" ref="AG89">IF(OR(AG$4=0, $G89&lt;&gt; $G$7, $E89=0), 'I&amp;E Monthly'!AG89, CHOOSE(Timeline!AG$30,$J89,$K89,$L89 )*INDEX('I&amp;E Profiles'!AG$96:AG$180,$I89))</f>
        <v>8</v>
      </c>
      <c r="AH89" s="153" cm="1">
        <f t="array" ref="AH89">IF(OR(AH$4=0, $G89&lt;&gt; $G$7, $E89=0), 'I&amp;E Monthly'!AH89, CHOOSE(Timeline!AH$30,$J89,$K89,$L89 )*INDEX('I&amp;E Profiles'!AH$96:AH$180,$I89))</f>
        <v>10</v>
      </c>
      <c r="AI89" s="153" cm="1">
        <f t="array" ref="AI89">IF(OR(AI$4=0, $G89&lt;&gt; $G$7, $E89=0), 'I&amp;E Monthly'!AI89, CHOOSE(Timeline!AI$30,$J89,$K89,$L89 )*INDEX('I&amp;E Profiles'!AI$96:AI$180,$I89))</f>
        <v>9</v>
      </c>
      <c r="AJ89" s="153" cm="1">
        <f t="array" ref="AJ89">IF(OR(AJ$4=0, $G89&lt;&gt; $G$7, $E89=0), 'I&amp;E Monthly'!AJ89, CHOOSE(Timeline!AJ$30,$J89,$K89,$L89 )*INDEX('I&amp;E Profiles'!AJ$96:AJ$180,$I89))</f>
        <v>24</v>
      </c>
      <c r="AK89" s="153" cm="1">
        <f t="array" ref="AK89">IF(OR(AK$4=0, $G89&lt;&gt; $G$7, $E89=0), 'I&amp;E Monthly'!AK89, CHOOSE(Timeline!AK$30,$J89,$K89,$L89 )*INDEX('I&amp;E Profiles'!AK$96:AK$180,$I89))</f>
        <v>7</v>
      </c>
      <c r="AL89" s="153" cm="1">
        <f t="array" ref="AL89">IF(OR(AL$4=0, $G89&lt;&gt; $G$7, $E89=0), 'I&amp;E Monthly'!AL89, CHOOSE(Timeline!AL$30,$J89,$K89,$L89 )*INDEX('I&amp;E Profiles'!AL$96:AL$180,$I89))</f>
        <v>7</v>
      </c>
      <c r="AM89" s="153" cm="1">
        <f t="array" ref="AM89">IF(OR(AM$4=0, $G89&lt;&gt; $G$7, $E89=0), 'I&amp;E Monthly'!AM89, CHOOSE(Timeline!AM$30,$J89,$K89,$L89 )*INDEX('I&amp;E Profiles'!AM$96:AM$180,$I89))</f>
        <v>11</v>
      </c>
      <c r="AN89" s="153" cm="1">
        <f t="array" ref="AN89">IF(OR(AN$4=0, $G89&lt;&gt; $G$7, $E89=0), 'I&amp;E Monthly'!AN89, CHOOSE(Timeline!AN$30,$J89,$K89,$L89 )*INDEX('I&amp;E Profiles'!AN$96:AN$180,$I89))</f>
        <v>16</v>
      </c>
      <c r="AO89" s="153" cm="1">
        <f t="array" ref="AO89">IF(OR(AO$4=0, $G89&lt;&gt; $G$7, $E89=0), 'I&amp;E Monthly'!AO89, CHOOSE(Timeline!AO$30,$J89,$K89,$L89 )*INDEX('I&amp;E Profiles'!AO$96:AO$180,$I89))</f>
        <v>13</v>
      </c>
      <c r="AP89" s="153" cm="1">
        <f t="array" ref="AP89">IF(OR(AP$4=0, $G89&lt;&gt; $G$7, $E89=0), 'I&amp;E Monthly'!AP89, CHOOSE(Timeline!AP$30,$J89,$K89,$L89 )*INDEX('I&amp;E Profiles'!AP$96:AP$180,$I89))</f>
        <v>16</v>
      </c>
      <c r="AQ89" s="153" cm="1">
        <f t="array" ref="AQ89">IF(OR(AQ$4=0, $G89&lt;&gt; $G$7, $E89=0), 'I&amp;E Monthly'!AQ89, CHOOSE(Timeline!AQ$30,$J89,$K89,$L89 )*INDEX('I&amp;E Profiles'!AQ$96:AQ$180,$I89))</f>
        <v>32</v>
      </c>
      <c r="AR89" s="153" cm="1">
        <f t="array" ref="AR89">IF(OR(AR$4=0, $G89&lt;&gt; $G$7, $E89=0), 'I&amp;E Monthly'!AR89, CHOOSE(Timeline!AR$30,$J89,$K89,$L89 )*INDEX('I&amp;E Profiles'!AR$96:AR$180,$I89))</f>
        <v>21</v>
      </c>
      <c r="AS89" s="153" cm="1">
        <f t="array" ref="AS89">IF(OR(AS$4=0, $G89&lt;&gt; $G$7, $E89=0), 'I&amp;E Monthly'!AS89, CHOOSE(Timeline!AS$30,$J89,$K89,$L89 )*INDEX('I&amp;E Profiles'!AS$96:AS$180,$I89))</f>
        <v>18</v>
      </c>
      <c r="AT89" s="153" cm="1">
        <f t="array" ref="AT89">IF(OR(AT$4=0, $G89&lt;&gt; $G$7, $E89=0), 'I&amp;E Monthly'!AT89, CHOOSE(Timeline!AT$30,$J89,$K89,$L89 )*INDEX('I&amp;E Profiles'!AT$96:AT$180,$I89))</f>
        <v>20</v>
      </c>
      <c r="AU89" s="153" cm="1">
        <f t="array" ref="AU89">IF(OR(AU$4=0, $G89&lt;&gt; $G$7, $E89=0), 'I&amp;E Monthly'!AU89, CHOOSE(Timeline!AU$30,$J89,$K89,$L89 )*INDEX('I&amp;E Profiles'!AU$96:AU$180,$I89))</f>
        <v>19</v>
      </c>
      <c r="AV89" s="153" cm="1">
        <f t="array" ref="AV89">IF(OR(AV$4=0, $G89&lt;&gt; $G$7, $E89=0), 'I&amp;E Monthly'!AV89, CHOOSE(Timeline!AV$30,$J89,$K89,$L89 )*INDEX('I&amp;E Profiles'!AV$96:AV$180,$I89))</f>
        <v>24</v>
      </c>
      <c r="AW89" s="153" cm="1">
        <f t="array" ref="AW89">IF(OR(AW$4=0, $G89&lt;&gt; $G$7, $E89=0), 'I&amp;E Monthly'!AW89, CHOOSE(Timeline!AW$30,$J89,$K89,$L89 )*INDEX('I&amp;E Profiles'!AW$96:AW$180,$I89))</f>
        <v>17</v>
      </c>
      <c r="AX89" s="153" cm="1">
        <f t="array" ref="AX89">IF(OR(AX$4=0, $G89&lt;&gt; $G$7, $E89=0), 'I&amp;E Monthly'!AX89, CHOOSE(Timeline!AX$30,$J89,$K89,$L89 )*INDEX('I&amp;E Profiles'!AX$96:AX$180,$I89))</f>
        <v>17</v>
      </c>
      <c r="AY89" s="153" cm="1">
        <f t="array" ref="AY89">IF(OR(AY$4=0, $G89&lt;&gt; $G$7, $E89=0), 'I&amp;E Monthly'!AY89, CHOOSE(Timeline!AY$30,$J89,$K89,$L89 )*INDEX('I&amp;E Profiles'!AY$96:AY$180,$I89))</f>
        <v>11.274999999999999</v>
      </c>
      <c r="AZ89" s="153" cm="1">
        <f t="array" ref="AZ89">IF(OR(AZ$4=0, $G89&lt;&gt; $G$7, $E89=0), 'I&amp;E Monthly'!AZ89, CHOOSE(Timeline!AZ$30,$J89,$K89,$L89 )*INDEX('I&amp;E Profiles'!AZ$96:AZ$180,$I89))</f>
        <v>16.399999999999999</v>
      </c>
      <c r="BA89" s="153" cm="1">
        <f t="array" ref="BA89">IF(OR(BA$4=0, $G89&lt;&gt; $G$7, $E89=0), 'I&amp;E Monthly'!BA89, CHOOSE(Timeline!BA$30,$J89,$K89,$L89 )*INDEX('I&amp;E Profiles'!BA$96:BA$180,$I89))</f>
        <v>13.324999999999999</v>
      </c>
      <c r="BB89" s="153" cm="1">
        <f t="array" ref="BB89">IF(OR(BB$4=0, $G89&lt;&gt; $G$7, $E89=0), 'I&amp;E Monthly'!BB89, CHOOSE(Timeline!BB$30,$J89,$K89,$L89 )*INDEX('I&amp;E Profiles'!BB$96:BB$180,$I89))</f>
        <v>16.399999999999999</v>
      </c>
      <c r="BC89" s="153" cm="1">
        <f t="array" ref="BC89">IF(OR(BC$4=0, $G89&lt;&gt; $G$7, $E89=0), 'I&amp;E Monthly'!BC89, CHOOSE(Timeline!BC$30,$J89,$K89,$L89 )*INDEX('I&amp;E Profiles'!BC$96:BC$180,$I89))</f>
        <v>32.799999999999997</v>
      </c>
      <c r="BD89" s="153" cm="1">
        <f t="array" ref="BD89">IF(OR(BD$4=0, $G89&lt;&gt; $G$7, $E89=0), 'I&amp;E Monthly'!BD89, CHOOSE(Timeline!BD$30,$J89,$K89,$L89 )*INDEX('I&amp;E Profiles'!BD$96:BD$180,$I89))</f>
        <v>21.524999999999999</v>
      </c>
      <c r="BE89" s="153" cm="1">
        <f t="array" ref="BE89">IF(OR(BE$4=0, $G89&lt;&gt; $G$7, $E89=0), 'I&amp;E Monthly'!BE89, CHOOSE(Timeline!BE$30,$J89,$K89,$L89 )*INDEX('I&amp;E Profiles'!BE$96:BE$180,$I89))</f>
        <v>18.45</v>
      </c>
      <c r="BF89" s="153" cm="1">
        <f t="array" ref="BF89">IF(OR(BF$4=0, $G89&lt;&gt; $G$7, $E89=0), 'I&amp;E Monthly'!BF89, CHOOSE(Timeline!BF$30,$J89,$K89,$L89 )*INDEX('I&amp;E Profiles'!BF$96:BF$180,$I89))</f>
        <v>20.5</v>
      </c>
      <c r="BG89" s="153" cm="1">
        <f t="array" ref="BG89">IF(OR(BG$4=0, $G89&lt;&gt; $G$7, $E89=0), 'I&amp;E Monthly'!BG89, CHOOSE(Timeline!BG$30,$J89,$K89,$L89 )*INDEX('I&amp;E Profiles'!BG$96:BG$180,$I89))</f>
        <v>19.474999999999998</v>
      </c>
      <c r="BH89" s="153" cm="1">
        <f t="array" ref="BH89">IF(OR(BH$4=0, $G89&lt;&gt; $G$7, $E89=0), 'I&amp;E Monthly'!BH89, CHOOSE(Timeline!BH$30,$J89,$K89,$L89 )*INDEX('I&amp;E Profiles'!BH$96:BH$180,$I89))</f>
        <v>24.599999999999998</v>
      </c>
      <c r="BI89" s="153" cm="1">
        <f t="array" ref="BI89">IF(OR(BI$4=0, $G89&lt;&gt; $G$7, $E89=0), 'I&amp;E Monthly'!BI89, CHOOSE(Timeline!BI$30,$J89,$K89,$L89 )*INDEX('I&amp;E Profiles'!BI$96:BI$180,$I89))</f>
        <v>17.424999999999997</v>
      </c>
      <c r="BJ89" s="153" cm="1">
        <f t="array" ref="BJ89">IF(OR(BJ$4=0, $G89&lt;&gt; $G$7, $E89=0), 'I&amp;E Monthly'!BJ89, CHOOSE(Timeline!BJ$30,$J89,$K89,$L89 )*INDEX('I&amp;E Profiles'!BJ$96:BJ$180,$I89))</f>
        <v>17.424999999999997</v>
      </c>
      <c r="BK89" s="335"/>
      <c r="BL89" s="13">
        <f t="shared" si="95"/>
        <v>0</v>
      </c>
      <c r="BM89" s="153">
        <f t="shared" si="96"/>
        <v>164</v>
      </c>
      <c r="BN89" s="153">
        <f t="shared" si="96"/>
        <v>224</v>
      </c>
      <c r="BO89" s="153">
        <f t="shared" si="96"/>
        <v>229.59999999999997</v>
      </c>
      <c r="BP89" s="13">
        <f>'I&amp;E Monthly'!BP89</f>
        <v>0</v>
      </c>
      <c r="BQ89" s="13">
        <f>'I&amp;E Monthly'!BQ89</f>
        <v>0</v>
      </c>
      <c r="BR89" s="13">
        <f>'I&amp;E Monthly'!BR89</f>
        <v>0</v>
      </c>
      <c r="BS89" s="13">
        <f>'I&amp;E Monthly'!BS89</f>
        <v>0</v>
      </c>
      <c r="BT89" s="13">
        <f>'I&amp;E Monthly'!BT89</f>
        <v>0</v>
      </c>
      <c r="BU89" s="13">
        <f>'I&amp;E Monthly'!BU89</f>
        <v>0</v>
      </c>
      <c r="BV89" s="13">
        <f>'I&amp;E Monthly'!BV89</f>
        <v>0</v>
      </c>
      <c r="BW89" s="13">
        <f>'I&amp;E Monthly'!BW89</f>
        <v>0</v>
      </c>
      <c r="BX89" s="335"/>
      <c r="BY89" s="12"/>
      <c r="BZ89" s="363">
        <f t="shared" ca="1" si="97"/>
        <v>0</v>
      </c>
      <c r="CA89" s="12"/>
      <c r="CB89" s="7">
        <f t="shared" si="98"/>
        <v>0</v>
      </c>
      <c r="CC89" s="188" cm="1">
        <f t="array" ref="CC89">IF(E89="",0, IF(_xlfn.IFNA(INDEX('I&amp;E Profiles'!$D$96:$D$180, $I89), "N/A")="N/A", 1, 0))</f>
        <v>0</v>
      </c>
      <c r="CD89" s="7">
        <f t="shared" si="99"/>
        <v>0</v>
      </c>
      <c r="CE89" s="7">
        <f t="shared" si="100"/>
        <v>0</v>
      </c>
      <c r="CF89" s="7">
        <f t="shared" si="101"/>
        <v>0</v>
      </c>
      <c r="CG89" s="12"/>
      <c r="CH89" s="352">
        <f t="shared" si="102"/>
        <v>0</v>
      </c>
      <c r="CI89" s="352">
        <f t="shared" si="103"/>
        <v>0</v>
      </c>
      <c r="CJ89" s="352">
        <f t="shared" si="104"/>
        <v>0</v>
      </c>
      <c r="CK89" s="352">
        <f t="shared" si="105"/>
        <v>0</v>
      </c>
      <c r="CL89" s="352">
        <f t="shared" si="106"/>
        <v>0</v>
      </c>
      <c r="CM89" s="352">
        <f t="shared" si="107"/>
        <v>0</v>
      </c>
      <c r="CN89" s="352">
        <f t="shared" si="108"/>
        <v>0</v>
      </c>
      <c r="EX89" s="10" t="str">
        <f t="shared" si="78"/>
        <v>Nursery</v>
      </c>
    </row>
    <row r="90" spans="1:154" x14ac:dyDescent="0.25">
      <c r="A90" s="362" cm="1">
        <f t="array" aca="1" ref="A90" ca="1">HYPERLINK(CONCATENATE("#",CELL("address",IF(SUM($CA90:$CG90)=0,A90,INDEX($CA90:$CG90,MATCH(1,$CA90:$CG90,0))))),SUM($CA90:$CG90))</f>
        <v>0</v>
      </c>
      <c r="B90" s="93"/>
      <c r="C90" s="343" t="s">
        <v>474</v>
      </c>
      <c r="D90" s="194" t="s">
        <v>38</v>
      </c>
      <c r="E90" s="147"/>
      <c r="F90" s="98" t="str" cm="1">
        <f t="array" aca="1" ref="F90" ca="1">IF(E90="", "", HYPERLINK(CONCATENATE("#",CELL("address",INDEX('I&amp;E Profiles'!$D$9:$D$93,'I&amp;E Annual'!I90))),E90))</f>
        <v/>
      </c>
      <c r="G90" s="147" t="s">
        <v>211</v>
      </c>
      <c r="H90" s="67" t="s">
        <v>8</v>
      </c>
      <c r="I90" s="350" t="str">
        <f>IF(E90="", "", MATCH(E90, 'I&amp;E Profiles'!$D$96:$D$180,0))</f>
        <v/>
      </c>
      <c r="J90" s="215">
        <f>IF($G90=$G$7, W90,'I&amp;E Monthly'!W90)-SUMIFS('I&amp;E Monthly'!$AA90:$BJ90, 'I&amp;E Monthly'!$AA$3:$BJ$3, 'I&amp;E Annual'!W$3, 'I&amp;E Monthly'!$AA$4:$BJ$4, 0)</f>
        <v>0</v>
      </c>
      <c r="K90" s="215">
        <f>IF($G90=$G$7, X90,'I&amp;E Monthly'!X90)-SUMIFS('I&amp;E Monthly'!$AA90:$BJ90, 'I&amp;E Monthly'!$AA$3:$BJ$3, 'I&amp;E Annual'!X$3, 'I&amp;E Monthly'!$AA$4:$BJ$4, 0)</f>
        <v>0</v>
      </c>
      <c r="L90" s="215">
        <f>IF($G90=$G$7, Y90,'I&amp;E Monthly'!Y90)-SUMIFS('I&amp;E Monthly'!$AA90:$BJ90, 'I&amp;E Monthly'!$AA$3:$BJ$3, 'I&amp;E Annual'!Y$3, 'I&amp;E Monthly'!$AA$4:$BJ$4, 0)</f>
        <v>0</v>
      </c>
      <c r="M90" s="335"/>
      <c r="N90" s="335"/>
      <c r="O90" s="335"/>
      <c r="P90" s="335"/>
      <c r="Q90" s="2"/>
      <c r="R90" s="335"/>
      <c r="S90" s="25"/>
      <c r="T90" s="335"/>
      <c r="U90" s="335"/>
      <c r="V90" s="201">
        <f>'I&amp;E Monthly'!V90</f>
        <v>0</v>
      </c>
      <c r="W90" s="354"/>
      <c r="X90" s="198"/>
      <c r="Y90" s="198"/>
      <c r="Z90" s="25"/>
      <c r="AA90" s="153" cm="1">
        <f t="array" ref="AA90">IF(OR(AA$4=0, $G90&lt;&gt; $G$7, $E90=0), 'I&amp;E Monthly'!AA90, CHOOSE(Timeline!AA$30,$J90,$K90,$L90 )*INDEX('I&amp;E Profiles'!AA$96:AA$180,$I90))</f>
        <v>0</v>
      </c>
      <c r="AB90" s="153" cm="1">
        <f t="array" ref="AB90">IF(OR(AB$4=0, $G90&lt;&gt; $G$7, $E90=0), 'I&amp;E Monthly'!AB90, CHOOSE(Timeline!AB$30,$J90,$K90,$L90 )*INDEX('I&amp;E Profiles'!AB$96:AB$180,$I90))</f>
        <v>0</v>
      </c>
      <c r="AC90" s="153" cm="1">
        <f t="array" ref="AC90">IF(OR(AC$4=0, $G90&lt;&gt; $G$7, $E90=0), 'I&amp;E Monthly'!AC90, CHOOSE(Timeline!AC$30,$J90,$K90,$L90 )*INDEX('I&amp;E Profiles'!AC$96:AC$180,$I90))</f>
        <v>0</v>
      </c>
      <c r="AD90" s="153" cm="1">
        <f t="array" ref="AD90">IF(OR(AD$4=0, $G90&lt;&gt; $G$7, $E90=0), 'I&amp;E Monthly'!AD90, CHOOSE(Timeline!AD$30,$J90,$K90,$L90 )*INDEX('I&amp;E Profiles'!AD$96:AD$180,$I90))</f>
        <v>0</v>
      </c>
      <c r="AE90" s="153" cm="1">
        <f t="array" ref="AE90">IF(OR(AE$4=0, $G90&lt;&gt; $G$7, $E90=0), 'I&amp;E Monthly'!AE90, CHOOSE(Timeline!AE$30,$J90,$K90,$L90 )*INDEX('I&amp;E Profiles'!AE$96:AE$180,$I90))</f>
        <v>0</v>
      </c>
      <c r="AF90" s="153" cm="1">
        <f t="array" ref="AF90">IF(OR(AF$4=0, $G90&lt;&gt; $G$7, $E90=0), 'I&amp;E Monthly'!AF90, CHOOSE(Timeline!AF$30,$J90,$K90,$L90 )*INDEX('I&amp;E Profiles'!AF$96:AF$180,$I90))</f>
        <v>0</v>
      </c>
      <c r="AG90" s="153" cm="1">
        <f t="array" ref="AG90">IF(OR(AG$4=0, $G90&lt;&gt; $G$7, $E90=0), 'I&amp;E Monthly'!AG90, CHOOSE(Timeline!AG$30,$J90,$K90,$L90 )*INDEX('I&amp;E Profiles'!AG$96:AG$180,$I90))</f>
        <v>0</v>
      </c>
      <c r="AH90" s="153" cm="1">
        <f t="array" ref="AH90">IF(OR(AH$4=0, $G90&lt;&gt; $G$7, $E90=0), 'I&amp;E Monthly'!AH90, CHOOSE(Timeline!AH$30,$J90,$K90,$L90 )*INDEX('I&amp;E Profiles'!AH$96:AH$180,$I90))</f>
        <v>0</v>
      </c>
      <c r="AI90" s="153" cm="1">
        <f t="array" ref="AI90">IF(OR(AI$4=0, $G90&lt;&gt; $G$7, $E90=0), 'I&amp;E Monthly'!AI90, CHOOSE(Timeline!AI$30,$J90,$K90,$L90 )*INDEX('I&amp;E Profiles'!AI$96:AI$180,$I90))</f>
        <v>0</v>
      </c>
      <c r="AJ90" s="153" cm="1">
        <f t="array" ref="AJ90">IF(OR(AJ$4=0, $G90&lt;&gt; $G$7, $E90=0), 'I&amp;E Monthly'!AJ90, CHOOSE(Timeline!AJ$30,$J90,$K90,$L90 )*INDEX('I&amp;E Profiles'!AJ$96:AJ$180,$I90))</f>
        <v>0</v>
      </c>
      <c r="AK90" s="153" cm="1">
        <f t="array" ref="AK90">IF(OR(AK$4=0, $G90&lt;&gt; $G$7, $E90=0), 'I&amp;E Monthly'!AK90, CHOOSE(Timeline!AK$30,$J90,$K90,$L90 )*INDEX('I&amp;E Profiles'!AK$96:AK$180,$I90))</f>
        <v>0</v>
      </c>
      <c r="AL90" s="153" cm="1">
        <f t="array" ref="AL90">IF(OR(AL$4=0, $G90&lt;&gt; $G$7, $E90=0), 'I&amp;E Monthly'!AL90, CHOOSE(Timeline!AL$30,$J90,$K90,$L90 )*INDEX('I&amp;E Profiles'!AL$96:AL$180,$I90))</f>
        <v>0</v>
      </c>
      <c r="AM90" s="153" cm="1">
        <f t="array" ref="AM90">IF(OR(AM$4=0, $G90&lt;&gt; $G$7, $E90=0), 'I&amp;E Monthly'!AM90, CHOOSE(Timeline!AM$30,$J90,$K90,$L90 )*INDEX('I&amp;E Profiles'!AM$96:AM$180,$I90))</f>
        <v>0</v>
      </c>
      <c r="AN90" s="153" cm="1">
        <f t="array" ref="AN90">IF(OR(AN$4=0, $G90&lt;&gt; $G$7, $E90=0), 'I&amp;E Monthly'!AN90, CHOOSE(Timeline!AN$30,$J90,$K90,$L90 )*INDEX('I&amp;E Profiles'!AN$96:AN$180,$I90))</f>
        <v>0</v>
      </c>
      <c r="AO90" s="153" cm="1">
        <f t="array" ref="AO90">IF(OR(AO$4=0, $G90&lt;&gt; $G$7, $E90=0), 'I&amp;E Monthly'!AO90, CHOOSE(Timeline!AO$30,$J90,$K90,$L90 )*INDEX('I&amp;E Profiles'!AO$96:AO$180,$I90))</f>
        <v>0</v>
      </c>
      <c r="AP90" s="153" cm="1">
        <f t="array" ref="AP90">IF(OR(AP$4=0, $G90&lt;&gt; $G$7, $E90=0), 'I&amp;E Monthly'!AP90, CHOOSE(Timeline!AP$30,$J90,$K90,$L90 )*INDEX('I&amp;E Profiles'!AP$96:AP$180,$I90))</f>
        <v>0</v>
      </c>
      <c r="AQ90" s="153" cm="1">
        <f t="array" ref="AQ90">IF(OR(AQ$4=0, $G90&lt;&gt; $G$7, $E90=0), 'I&amp;E Monthly'!AQ90, CHOOSE(Timeline!AQ$30,$J90,$K90,$L90 )*INDEX('I&amp;E Profiles'!AQ$96:AQ$180,$I90))</f>
        <v>0</v>
      </c>
      <c r="AR90" s="153" cm="1">
        <f t="array" ref="AR90">IF(OR(AR$4=0, $G90&lt;&gt; $G$7, $E90=0), 'I&amp;E Monthly'!AR90, CHOOSE(Timeline!AR$30,$J90,$K90,$L90 )*INDEX('I&amp;E Profiles'!AR$96:AR$180,$I90))</f>
        <v>0</v>
      </c>
      <c r="AS90" s="153" cm="1">
        <f t="array" ref="AS90">IF(OR(AS$4=0, $G90&lt;&gt; $G$7, $E90=0), 'I&amp;E Monthly'!AS90, CHOOSE(Timeline!AS$30,$J90,$K90,$L90 )*INDEX('I&amp;E Profiles'!AS$96:AS$180,$I90))</f>
        <v>0</v>
      </c>
      <c r="AT90" s="153" cm="1">
        <f t="array" ref="AT90">IF(OR(AT$4=0, $G90&lt;&gt; $G$7, $E90=0), 'I&amp;E Monthly'!AT90, CHOOSE(Timeline!AT$30,$J90,$K90,$L90 )*INDEX('I&amp;E Profiles'!AT$96:AT$180,$I90))</f>
        <v>0</v>
      </c>
      <c r="AU90" s="153" cm="1">
        <f t="array" ref="AU90">IF(OR(AU$4=0, $G90&lt;&gt; $G$7, $E90=0), 'I&amp;E Monthly'!AU90, CHOOSE(Timeline!AU$30,$J90,$K90,$L90 )*INDEX('I&amp;E Profiles'!AU$96:AU$180,$I90))</f>
        <v>0</v>
      </c>
      <c r="AV90" s="153" cm="1">
        <f t="array" ref="AV90">IF(OR(AV$4=0, $G90&lt;&gt; $G$7, $E90=0), 'I&amp;E Monthly'!AV90, CHOOSE(Timeline!AV$30,$J90,$K90,$L90 )*INDEX('I&amp;E Profiles'!AV$96:AV$180,$I90))</f>
        <v>0</v>
      </c>
      <c r="AW90" s="153" cm="1">
        <f t="array" ref="AW90">IF(OR(AW$4=0, $G90&lt;&gt; $G$7, $E90=0), 'I&amp;E Monthly'!AW90, CHOOSE(Timeline!AW$30,$J90,$K90,$L90 )*INDEX('I&amp;E Profiles'!AW$96:AW$180,$I90))</f>
        <v>0</v>
      </c>
      <c r="AX90" s="153" cm="1">
        <f t="array" ref="AX90">IF(OR(AX$4=0, $G90&lt;&gt; $G$7, $E90=0), 'I&amp;E Monthly'!AX90, CHOOSE(Timeline!AX$30,$J90,$K90,$L90 )*INDEX('I&amp;E Profiles'!AX$96:AX$180,$I90))</f>
        <v>0</v>
      </c>
      <c r="AY90" s="153" cm="1">
        <f t="array" ref="AY90">IF(OR(AY$4=0, $G90&lt;&gt; $G$7, $E90=0), 'I&amp;E Monthly'!AY90, CHOOSE(Timeline!AY$30,$J90,$K90,$L90 )*INDEX('I&amp;E Profiles'!AY$96:AY$180,$I90))</f>
        <v>0</v>
      </c>
      <c r="AZ90" s="153" cm="1">
        <f t="array" ref="AZ90">IF(OR(AZ$4=0, $G90&lt;&gt; $G$7, $E90=0), 'I&amp;E Monthly'!AZ90, CHOOSE(Timeline!AZ$30,$J90,$K90,$L90 )*INDEX('I&amp;E Profiles'!AZ$96:AZ$180,$I90))</f>
        <v>0</v>
      </c>
      <c r="BA90" s="153" cm="1">
        <f t="array" ref="BA90">IF(OR(BA$4=0, $G90&lt;&gt; $G$7, $E90=0), 'I&amp;E Monthly'!BA90, CHOOSE(Timeline!BA$30,$J90,$K90,$L90 )*INDEX('I&amp;E Profiles'!BA$96:BA$180,$I90))</f>
        <v>0</v>
      </c>
      <c r="BB90" s="153" cm="1">
        <f t="array" ref="BB90">IF(OR(BB$4=0, $G90&lt;&gt; $G$7, $E90=0), 'I&amp;E Monthly'!BB90, CHOOSE(Timeline!BB$30,$J90,$K90,$L90 )*INDEX('I&amp;E Profiles'!BB$96:BB$180,$I90))</f>
        <v>0</v>
      </c>
      <c r="BC90" s="153" cm="1">
        <f t="array" ref="BC90">IF(OR(BC$4=0, $G90&lt;&gt; $G$7, $E90=0), 'I&amp;E Monthly'!BC90, CHOOSE(Timeline!BC$30,$J90,$K90,$L90 )*INDEX('I&amp;E Profiles'!BC$96:BC$180,$I90))</f>
        <v>0</v>
      </c>
      <c r="BD90" s="153" cm="1">
        <f t="array" ref="BD90">IF(OR(BD$4=0, $G90&lt;&gt; $G$7, $E90=0), 'I&amp;E Monthly'!BD90, CHOOSE(Timeline!BD$30,$J90,$K90,$L90 )*INDEX('I&amp;E Profiles'!BD$96:BD$180,$I90))</f>
        <v>0</v>
      </c>
      <c r="BE90" s="153" cm="1">
        <f t="array" ref="BE90">IF(OR(BE$4=0, $G90&lt;&gt; $G$7, $E90=0), 'I&amp;E Monthly'!BE90, CHOOSE(Timeline!BE$30,$J90,$K90,$L90 )*INDEX('I&amp;E Profiles'!BE$96:BE$180,$I90))</f>
        <v>0</v>
      </c>
      <c r="BF90" s="153" cm="1">
        <f t="array" ref="BF90">IF(OR(BF$4=0, $G90&lt;&gt; $G$7, $E90=0), 'I&amp;E Monthly'!BF90, CHOOSE(Timeline!BF$30,$J90,$K90,$L90 )*INDEX('I&amp;E Profiles'!BF$96:BF$180,$I90))</f>
        <v>0</v>
      </c>
      <c r="BG90" s="153" cm="1">
        <f t="array" ref="BG90">IF(OR(BG$4=0, $G90&lt;&gt; $G$7, $E90=0), 'I&amp;E Monthly'!BG90, CHOOSE(Timeline!BG$30,$J90,$K90,$L90 )*INDEX('I&amp;E Profiles'!BG$96:BG$180,$I90))</f>
        <v>0</v>
      </c>
      <c r="BH90" s="153" cm="1">
        <f t="array" ref="BH90">IF(OR(BH$4=0, $G90&lt;&gt; $G$7, $E90=0), 'I&amp;E Monthly'!BH90, CHOOSE(Timeline!BH$30,$J90,$K90,$L90 )*INDEX('I&amp;E Profiles'!BH$96:BH$180,$I90))</f>
        <v>0</v>
      </c>
      <c r="BI90" s="153" cm="1">
        <f t="array" ref="BI90">IF(OR(BI$4=0, $G90&lt;&gt; $G$7, $E90=0), 'I&amp;E Monthly'!BI90, CHOOSE(Timeline!BI$30,$J90,$K90,$L90 )*INDEX('I&amp;E Profiles'!BI$96:BI$180,$I90))</f>
        <v>0</v>
      </c>
      <c r="BJ90" s="153" cm="1">
        <f t="array" ref="BJ90">IF(OR(BJ$4=0, $G90&lt;&gt; $G$7, $E90=0), 'I&amp;E Monthly'!BJ90, CHOOSE(Timeline!BJ$30,$J90,$K90,$L90 )*INDEX('I&amp;E Profiles'!BJ$96:BJ$180,$I90))</f>
        <v>0</v>
      </c>
      <c r="BK90" s="25"/>
      <c r="BL90" s="13">
        <f t="shared" si="95"/>
        <v>0</v>
      </c>
      <c r="BM90" s="153">
        <f t="shared" si="96"/>
        <v>0</v>
      </c>
      <c r="BN90" s="153">
        <f t="shared" si="96"/>
        <v>0</v>
      </c>
      <c r="BO90" s="153">
        <f t="shared" si="96"/>
        <v>0</v>
      </c>
      <c r="BP90" s="13">
        <f>'I&amp;E Monthly'!BP90</f>
        <v>0</v>
      </c>
      <c r="BQ90" s="13">
        <f>'I&amp;E Monthly'!BQ90</f>
        <v>0</v>
      </c>
      <c r="BR90" s="13">
        <f>'I&amp;E Monthly'!BR90</f>
        <v>0</v>
      </c>
      <c r="BS90" s="13">
        <f>'I&amp;E Monthly'!BS90</f>
        <v>0</v>
      </c>
      <c r="BT90" s="13">
        <f>'I&amp;E Monthly'!BT90</f>
        <v>0</v>
      </c>
      <c r="BU90" s="13">
        <f>'I&amp;E Monthly'!BU90</f>
        <v>0</v>
      </c>
      <c r="BV90" s="13">
        <f>'I&amp;E Monthly'!BV90</f>
        <v>0</v>
      </c>
      <c r="BW90" s="13">
        <f>'I&amp;E Monthly'!BW90</f>
        <v>0</v>
      </c>
      <c r="BX90" s="335"/>
      <c r="BY90" s="12"/>
      <c r="BZ90" s="363">
        <f t="shared" ca="1" si="97"/>
        <v>0</v>
      </c>
      <c r="CA90" s="12"/>
      <c r="CB90" s="7">
        <f t="shared" si="98"/>
        <v>0</v>
      </c>
      <c r="CC90" s="188" cm="1">
        <f t="array" ref="CC90">IF(E90="",0, IF(_xlfn.IFNA(INDEX('I&amp;E Profiles'!$D$96:$D$180, $I90), "N/A")="N/A", 1, 0))</f>
        <v>0</v>
      </c>
      <c r="CD90" s="7">
        <f t="shared" si="99"/>
        <v>0</v>
      </c>
      <c r="CE90" s="7">
        <f t="shared" si="100"/>
        <v>0</v>
      </c>
      <c r="CF90" s="7">
        <f t="shared" si="101"/>
        <v>0</v>
      </c>
      <c r="CG90" s="12"/>
      <c r="CH90" s="352">
        <f t="shared" si="102"/>
        <v>0</v>
      </c>
      <c r="CI90" s="352">
        <f t="shared" si="103"/>
        <v>0</v>
      </c>
      <c r="CJ90" s="352">
        <f t="shared" si="104"/>
        <v>0</v>
      </c>
      <c r="CK90" s="352">
        <f t="shared" si="105"/>
        <v>0</v>
      </c>
      <c r="CL90" s="352">
        <f t="shared" si="106"/>
        <v>0</v>
      </c>
      <c r="CM90" s="352">
        <f t="shared" si="107"/>
        <v>0</v>
      </c>
      <c r="CN90" s="352">
        <f t="shared" si="108"/>
        <v>0</v>
      </c>
      <c r="EX90" s="10" t="str">
        <f t="shared" si="78"/>
        <v>Residences and conferences</v>
      </c>
    </row>
    <row r="91" spans="1:154" x14ac:dyDescent="0.25">
      <c r="A91" s="362" cm="1">
        <f t="array" aca="1" ref="A91" ca="1">HYPERLINK(CONCATENATE("#",CELL("address",IF(SUM($CA91:$CG91)=0,A91,INDEX($CA91:$CG91,MATCH(1,$CA91:$CG91,0))))),SUM($CA91:$CG91))</f>
        <v>0</v>
      </c>
      <c r="B91" s="93"/>
      <c r="C91" s="343" t="s">
        <v>475</v>
      </c>
      <c r="D91" s="194" t="s">
        <v>39</v>
      </c>
      <c r="E91" s="147"/>
      <c r="F91" s="98" t="str" cm="1">
        <f t="array" aca="1" ref="F91" ca="1">IF(E91="", "", HYPERLINK(CONCATENATE("#",CELL("address",INDEX('I&amp;E Profiles'!$D$9:$D$93,'I&amp;E Annual'!I91))),E91))</f>
        <v/>
      </c>
      <c r="G91" s="147" t="s">
        <v>211</v>
      </c>
      <c r="H91" s="67" t="s">
        <v>8</v>
      </c>
      <c r="I91" s="350" t="str">
        <f>IF(E91="", "", MATCH(E91, 'I&amp;E Profiles'!$D$96:$D$180,0))</f>
        <v/>
      </c>
      <c r="J91" s="215">
        <f>IF($G91=$G$7, W91,'I&amp;E Monthly'!W91)-SUMIFS('I&amp;E Monthly'!$AA91:$BJ91, 'I&amp;E Monthly'!$AA$3:$BJ$3, 'I&amp;E Annual'!W$3, 'I&amp;E Monthly'!$AA$4:$BJ$4, 0)</f>
        <v>0</v>
      </c>
      <c r="K91" s="215">
        <f>IF($G91=$G$7, X91,'I&amp;E Monthly'!X91)-SUMIFS('I&amp;E Monthly'!$AA91:$BJ91, 'I&amp;E Monthly'!$AA$3:$BJ$3, 'I&amp;E Annual'!X$3, 'I&amp;E Monthly'!$AA$4:$BJ$4, 0)</f>
        <v>0</v>
      </c>
      <c r="L91" s="215">
        <f>IF($G91=$G$7, Y91,'I&amp;E Monthly'!Y91)-SUMIFS('I&amp;E Monthly'!$AA91:$BJ91, 'I&amp;E Monthly'!$AA$3:$BJ$3, 'I&amp;E Annual'!Y$3, 'I&amp;E Monthly'!$AA$4:$BJ$4, 0)</f>
        <v>0</v>
      </c>
      <c r="M91" s="335"/>
      <c r="N91" s="335"/>
      <c r="O91" s="335"/>
      <c r="P91" s="335"/>
      <c r="Q91" s="2"/>
      <c r="R91" s="335"/>
      <c r="S91" s="335"/>
      <c r="T91" s="335"/>
      <c r="U91" s="335"/>
      <c r="V91" s="215">
        <f>'I&amp;E Monthly'!V91</f>
        <v>0</v>
      </c>
      <c r="W91" s="147"/>
      <c r="X91" s="227"/>
      <c r="Y91" s="227"/>
      <c r="Z91" s="335"/>
      <c r="AA91" s="153" cm="1">
        <f t="array" ref="AA91">IF(OR(AA$4=0, $G91&lt;&gt; $G$7, $E91=0), 'I&amp;E Monthly'!AA91, CHOOSE(Timeline!AA$30,$J91,$K91,$L91 )*INDEX('I&amp;E Profiles'!AA$96:AA$180,$I91))</f>
        <v>0</v>
      </c>
      <c r="AB91" s="153" cm="1">
        <f t="array" ref="AB91">IF(OR(AB$4=0, $G91&lt;&gt; $G$7, $E91=0), 'I&amp;E Monthly'!AB91, CHOOSE(Timeline!AB$30,$J91,$K91,$L91 )*INDEX('I&amp;E Profiles'!AB$96:AB$180,$I91))</f>
        <v>0</v>
      </c>
      <c r="AC91" s="153" cm="1">
        <f t="array" ref="AC91">IF(OR(AC$4=0, $G91&lt;&gt; $G$7, $E91=0), 'I&amp;E Monthly'!AC91, CHOOSE(Timeline!AC$30,$J91,$K91,$L91 )*INDEX('I&amp;E Profiles'!AC$96:AC$180,$I91))</f>
        <v>0</v>
      </c>
      <c r="AD91" s="153" cm="1">
        <f t="array" ref="AD91">IF(OR(AD$4=0, $G91&lt;&gt; $G$7, $E91=0), 'I&amp;E Monthly'!AD91, CHOOSE(Timeline!AD$30,$J91,$K91,$L91 )*INDEX('I&amp;E Profiles'!AD$96:AD$180,$I91))</f>
        <v>0</v>
      </c>
      <c r="AE91" s="153" cm="1">
        <f t="array" ref="AE91">IF(OR(AE$4=0, $G91&lt;&gt; $G$7, $E91=0), 'I&amp;E Monthly'!AE91, CHOOSE(Timeline!AE$30,$J91,$K91,$L91 )*INDEX('I&amp;E Profiles'!AE$96:AE$180,$I91))</f>
        <v>0</v>
      </c>
      <c r="AF91" s="153" cm="1">
        <f t="array" ref="AF91">IF(OR(AF$4=0, $G91&lt;&gt; $G$7, $E91=0), 'I&amp;E Monthly'!AF91, CHOOSE(Timeline!AF$30,$J91,$K91,$L91 )*INDEX('I&amp;E Profiles'!AF$96:AF$180,$I91))</f>
        <v>0</v>
      </c>
      <c r="AG91" s="153" cm="1">
        <f t="array" ref="AG91">IF(OR(AG$4=0, $G91&lt;&gt; $G$7, $E91=0), 'I&amp;E Monthly'!AG91, CHOOSE(Timeline!AG$30,$J91,$K91,$L91 )*INDEX('I&amp;E Profiles'!AG$96:AG$180,$I91))</f>
        <v>0</v>
      </c>
      <c r="AH91" s="153" cm="1">
        <f t="array" ref="AH91">IF(OR(AH$4=0, $G91&lt;&gt; $G$7, $E91=0), 'I&amp;E Monthly'!AH91, CHOOSE(Timeline!AH$30,$J91,$K91,$L91 )*INDEX('I&amp;E Profiles'!AH$96:AH$180,$I91))</f>
        <v>0</v>
      </c>
      <c r="AI91" s="153" cm="1">
        <f t="array" ref="AI91">IF(OR(AI$4=0, $G91&lt;&gt; $G$7, $E91=0), 'I&amp;E Monthly'!AI91, CHOOSE(Timeline!AI$30,$J91,$K91,$L91 )*INDEX('I&amp;E Profiles'!AI$96:AI$180,$I91))</f>
        <v>0</v>
      </c>
      <c r="AJ91" s="153" cm="1">
        <f t="array" ref="AJ91">IF(OR(AJ$4=0, $G91&lt;&gt; $G$7, $E91=0), 'I&amp;E Monthly'!AJ91, CHOOSE(Timeline!AJ$30,$J91,$K91,$L91 )*INDEX('I&amp;E Profiles'!AJ$96:AJ$180,$I91))</f>
        <v>0</v>
      </c>
      <c r="AK91" s="153" cm="1">
        <f t="array" ref="AK91">IF(OR(AK$4=0, $G91&lt;&gt; $G$7, $E91=0), 'I&amp;E Monthly'!AK91, CHOOSE(Timeline!AK$30,$J91,$K91,$L91 )*INDEX('I&amp;E Profiles'!AK$96:AK$180,$I91))</f>
        <v>0</v>
      </c>
      <c r="AL91" s="153" cm="1">
        <f t="array" ref="AL91">IF(OR(AL$4=0, $G91&lt;&gt; $G$7, $E91=0), 'I&amp;E Monthly'!AL91, CHOOSE(Timeline!AL$30,$J91,$K91,$L91 )*INDEX('I&amp;E Profiles'!AL$96:AL$180,$I91))</f>
        <v>0</v>
      </c>
      <c r="AM91" s="153" cm="1">
        <f t="array" ref="AM91">IF(OR(AM$4=0, $G91&lt;&gt; $G$7, $E91=0), 'I&amp;E Monthly'!AM91, CHOOSE(Timeline!AM$30,$J91,$K91,$L91 )*INDEX('I&amp;E Profiles'!AM$96:AM$180,$I91))</f>
        <v>0</v>
      </c>
      <c r="AN91" s="153" cm="1">
        <f t="array" ref="AN91">IF(OR(AN$4=0, $G91&lt;&gt; $G$7, $E91=0), 'I&amp;E Monthly'!AN91, CHOOSE(Timeline!AN$30,$J91,$K91,$L91 )*INDEX('I&amp;E Profiles'!AN$96:AN$180,$I91))</f>
        <v>0</v>
      </c>
      <c r="AO91" s="153" cm="1">
        <f t="array" ref="AO91">IF(OR(AO$4=0, $G91&lt;&gt; $G$7, $E91=0), 'I&amp;E Monthly'!AO91, CHOOSE(Timeline!AO$30,$J91,$K91,$L91 )*INDEX('I&amp;E Profiles'!AO$96:AO$180,$I91))</f>
        <v>0</v>
      </c>
      <c r="AP91" s="153" cm="1">
        <f t="array" ref="AP91">IF(OR(AP$4=0, $G91&lt;&gt; $G$7, $E91=0), 'I&amp;E Monthly'!AP91, CHOOSE(Timeline!AP$30,$J91,$K91,$L91 )*INDEX('I&amp;E Profiles'!AP$96:AP$180,$I91))</f>
        <v>0</v>
      </c>
      <c r="AQ91" s="153" cm="1">
        <f t="array" ref="AQ91">IF(OR(AQ$4=0, $G91&lt;&gt; $G$7, $E91=0), 'I&amp;E Monthly'!AQ91, CHOOSE(Timeline!AQ$30,$J91,$K91,$L91 )*INDEX('I&amp;E Profiles'!AQ$96:AQ$180,$I91))</f>
        <v>0</v>
      </c>
      <c r="AR91" s="153" cm="1">
        <f t="array" ref="AR91">IF(OR(AR$4=0, $G91&lt;&gt; $G$7, $E91=0), 'I&amp;E Monthly'!AR91, CHOOSE(Timeline!AR$30,$J91,$K91,$L91 )*INDEX('I&amp;E Profiles'!AR$96:AR$180,$I91))</f>
        <v>0</v>
      </c>
      <c r="AS91" s="153" cm="1">
        <f t="array" ref="AS91">IF(OR(AS$4=0, $G91&lt;&gt; $G$7, $E91=0), 'I&amp;E Monthly'!AS91, CHOOSE(Timeline!AS$30,$J91,$K91,$L91 )*INDEX('I&amp;E Profiles'!AS$96:AS$180,$I91))</f>
        <v>0</v>
      </c>
      <c r="AT91" s="153" cm="1">
        <f t="array" ref="AT91">IF(OR(AT$4=0, $G91&lt;&gt; $G$7, $E91=0), 'I&amp;E Monthly'!AT91, CHOOSE(Timeline!AT$30,$J91,$K91,$L91 )*INDEX('I&amp;E Profiles'!AT$96:AT$180,$I91))</f>
        <v>0</v>
      </c>
      <c r="AU91" s="153" cm="1">
        <f t="array" ref="AU91">IF(OR(AU$4=0, $G91&lt;&gt; $G$7, $E91=0), 'I&amp;E Monthly'!AU91, CHOOSE(Timeline!AU$30,$J91,$K91,$L91 )*INDEX('I&amp;E Profiles'!AU$96:AU$180,$I91))</f>
        <v>0</v>
      </c>
      <c r="AV91" s="153" cm="1">
        <f t="array" ref="AV91">IF(OR(AV$4=0, $G91&lt;&gt; $G$7, $E91=0), 'I&amp;E Monthly'!AV91, CHOOSE(Timeline!AV$30,$J91,$K91,$L91 )*INDEX('I&amp;E Profiles'!AV$96:AV$180,$I91))</f>
        <v>0</v>
      </c>
      <c r="AW91" s="153" cm="1">
        <f t="array" ref="AW91">IF(OR(AW$4=0, $G91&lt;&gt; $G$7, $E91=0), 'I&amp;E Monthly'!AW91, CHOOSE(Timeline!AW$30,$J91,$K91,$L91 )*INDEX('I&amp;E Profiles'!AW$96:AW$180,$I91))</f>
        <v>0</v>
      </c>
      <c r="AX91" s="153" cm="1">
        <f t="array" ref="AX91">IF(OR(AX$4=0, $G91&lt;&gt; $G$7, $E91=0), 'I&amp;E Monthly'!AX91, CHOOSE(Timeline!AX$30,$J91,$K91,$L91 )*INDEX('I&amp;E Profiles'!AX$96:AX$180,$I91))</f>
        <v>0</v>
      </c>
      <c r="AY91" s="153" cm="1">
        <f t="array" ref="AY91">IF(OR(AY$4=0, $G91&lt;&gt; $G$7, $E91=0), 'I&amp;E Monthly'!AY91, CHOOSE(Timeline!AY$30,$J91,$K91,$L91 )*INDEX('I&amp;E Profiles'!AY$96:AY$180,$I91))</f>
        <v>0</v>
      </c>
      <c r="AZ91" s="153" cm="1">
        <f t="array" ref="AZ91">IF(OR(AZ$4=0, $G91&lt;&gt; $G$7, $E91=0), 'I&amp;E Monthly'!AZ91, CHOOSE(Timeline!AZ$30,$J91,$K91,$L91 )*INDEX('I&amp;E Profiles'!AZ$96:AZ$180,$I91))</f>
        <v>0</v>
      </c>
      <c r="BA91" s="153" cm="1">
        <f t="array" ref="BA91">IF(OR(BA$4=0, $G91&lt;&gt; $G$7, $E91=0), 'I&amp;E Monthly'!BA91, CHOOSE(Timeline!BA$30,$J91,$K91,$L91 )*INDEX('I&amp;E Profiles'!BA$96:BA$180,$I91))</f>
        <v>0</v>
      </c>
      <c r="BB91" s="153" cm="1">
        <f t="array" ref="BB91">IF(OR(BB$4=0, $G91&lt;&gt; $G$7, $E91=0), 'I&amp;E Monthly'!BB91, CHOOSE(Timeline!BB$30,$J91,$K91,$L91 )*INDEX('I&amp;E Profiles'!BB$96:BB$180,$I91))</f>
        <v>0</v>
      </c>
      <c r="BC91" s="153" cm="1">
        <f t="array" ref="BC91">IF(OR(BC$4=0, $G91&lt;&gt; $G$7, $E91=0), 'I&amp;E Monthly'!BC91, CHOOSE(Timeline!BC$30,$J91,$K91,$L91 )*INDEX('I&amp;E Profiles'!BC$96:BC$180,$I91))</f>
        <v>0</v>
      </c>
      <c r="BD91" s="153" cm="1">
        <f t="array" ref="BD91">IF(OR(BD$4=0, $G91&lt;&gt; $G$7, $E91=0), 'I&amp;E Monthly'!BD91, CHOOSE(Timeline!BD$30,$J91,$K91,$L91 )*INDEX('I&amp;E Profiles'!BD$96:BD$180,$I91))</f>
        <v>0</v>
      </c>
      <c r="BE91" s="153" cm="1">
        <f t="array" ref="BE91">IF(OR(BE$4=0, $G91&lt;&gt; $G$7, $E91=0), 'I&amp;E Monthly'!BE91, CHOOSE(Timeline!BE$30,$J91,$K91,$L91 )*INDEX('I&amp;E Profiles'!BE$96:BE$180,$I91))</f>
        <v>0</v>
      </c>
      <c r="BF91" s="153" cm="1">
        <f t="array" ref="BF91">IF(OR(BF$4=0, $G91&lt;&gt; $G$7, $E91=0), 'I&amp;E Monthly'!BF91, CHOOSE(Timeline!BF$30,$J91,$K91,$L91 )*INDEX('I&amp;E Profiles'!BF$96:BF$180,$I91))</f>
        <v>0</v>
      </c>
      <c r="BG91" s="153" cm="1">
        <f t="array" ref="BG91">IF(OR(BG$4=0, $G91&lt;&gt; $G$7, $E91=0), 'I&amp;E Monthly'!BG91, CHOOSE(Timeline!BG$30,$J91,$K91,$L91 )*INDEX('I&amp;E Profiles'!BG$96:BG$180,$I91))</f>
        <v>0</v>
      </c>
      <c r="BH91" s="153" cm="1">
        <f t="array" ref="BH91">IF(OR(BH$4=0, $G91&lt;&gt; $G$7, $E91=0), 'I&amp;E Monthly'!BH91, CHOOSE(Timeline!BH$30,$J91,$K91,$L91 )*INDEX('I&amp;E Profiles'!BH$96:BH$180,$I91))</f>
        <v>0</v>
      </c>
      <c r="BI91" s="153" cm="1">
        <f t="array" ref="BI91">IF(OR(BI$4=0, $G91&lt;&gt; $G$7, $E91=0), 'I&amp;E Monthly'!BI91, CHOOSE(Timeline!BI$30,$J91,$K91,$L91 )*INDEX('I&amp;E Profiles'!BI$96:BI$180,$I91))</f>
        <v>0</v>
      </c>
      <c r="BJ91" s="153" cm="1">
        <f t="array" ref="BJ91">IF(OR(BJ$4=0, $G91&lt;&gt; $G$7, $E91=0), 'I&amp;E Monthly'!BJ91, CHOOSE(Timeline!BJ$30,$J91,$K91,$L91 )*INDEX('I&amp;E Profiles'!BJ$96:BJ$180,$I91))</f>
        <v>0</v>
      </c>
      <c r="BK91" s="335"/>
      <c r="BL91" s="152">
        <f t="shared" si="95"/>
        <v>0</v>
      </c>
      <c r="BM91" s="153">
        <f t="shared" si="96"/>
        <v>0</v>
      </c>
      <c r="BN91" s="153">
        <f t="shared" si="96"/>
        <v>0</v>
      </c>
      <c r="BO91" s="153">
        <f t="shared" si="96"/>
        <v>0</v>
      </c>
      <c r="BP91" s="152">
        <f>'I&amp;E Monthly'!BP91</f>
        <v>0</v>
      </c>
      <c r="BQ91" s="152">
        <f>'I&amp;E Monthly'!BQ91</f>
        <v>0</v>
      </c>
      <c r="BR91" s="152">
        <f>'I&amp;E Monthly'!BR91</f>
        <v>0</v>
      </c>
      <c r="BS91" s="152">
        <f>'I&amp;E Monthly'!BS91</f>
        <v>0</v>
      </c>
      <c r="BT91" s="152">
        <f>'I&amp;E Monthly'!BT91</f>
        <v>0</v>
      </c>
      <c r="BU91" s="152">
        <f>'I&amp;E Monthly'!BU91</f>
        <v>0</v>
      </c>
      <c r="BV91" s="152">
        <f>'I&amp;E Monthly'!BV91</f>
        <v>0</v>
      </c>
      <c r="BW91" s="152">
        <f>'I&amp;E Monthly'!BW91</f>
        <v>0</v>
      </c>
      <c r="BX91" s="335"/>
      <c r="BY91" s="12"/>
      <c r="BZ91" s="363">
        <f t="shared" ca="1" si="97"/>
        <v>0</v>
      </c>
      <c r="CA91" s="12"/>
      <c r="CB91" s="7">
        <f t="shared" si="98"/>
        <v>0</v>
      </c>
      <c r="CC91" s="188" cm="1">
        <f t="array" ref="CC91">IF(E91="",0, IF(_xlfn.IFNA(INDEX('I&amp;E Profiles'!$D$96:$D$180, $I91), "N/A")="N/A", 1, 0))</f>
        <v>0</v>
      </c>
      <c r="CD91" s="7">
        <f t="shared" si="99"/>
        <v>0</v>
      </c>
      <c r="CE91" s="7">
        <f t="shared" si="100"/>
        <v>0</v>
      </c>
      <c r="CF91" s="7">
        <f t="shared" si="101"/>
        <v>0</v>
      </c>
      <c r="CG91" s="12"/>
      <c r="CH91" s="352">
        <f t="shared" si="102"/>
        <v>0</v>
      </c>
      <c r="CI91" s="352">
        <f t="shared" si="103"/>
        <v>0</v>
      </c>
      <c r="CJ91" s="352">
        <f t="shared" si="104"/>
        <v>0</v>
      </c>
      <c r="CK91" s="352">
        <f t="shared" si="105"/>
        <v>0</v>
      </c>
      <c r="CL91" s="352">
        <f t="shared" si="106"/>
        <v>0</v>
      </c>
      <c r="CM91" s="352">
        <f t="shared" si="107"/>
        <v>0</v>
      </c>
      <c r="CN91" s="352">
        <f t="shared" si="108"/>
        <v>0</v>
      </c>
      <c r="EX91" s="10" t="str">
        <f t="shared" si="78"/>
        <v>Consultancy</v>
      </c>
    </row>
    <row r="92" spans="1:154" x14ac:dyDescent="0.25">
      <c r="A92" s="362" cm="1">
        <f t="array" aca="1" ref="A92" ca="1">HYPERLINK(CONCATENATE("#",CELL("address",IF(SUM($CA92:$CG92)=0,A92,INDEX($CA92:$CG92,MATCH(1,$CA92:$CG92,0))))),SUM($CA92:$CG92))</f>
        <v>0</v>
      </c>
      <c r="B92" s="93"/>
      <c r="C92" s="343" t="s">
        <v>476</v>
      </c>
      <c r="D92" s="194" t="s">
        <v>40</v>
      </c>
      <c r="E92" s="147"/>
      <c r="F92" s="98" t="str" cm="1">
        <f t="array" aca="1" ref="F92" ca="1">IF(E92="", "", HYPERLINK(CONCATENATE("#",CELL("address",INDEX('I&amp;E Profiles'!$D$9:$D$93,'I&amp;E Annual'!I92))),E92))</f>
        <v/>
      </c>
      <c r="G92" s="147" t="s">
        <v>211</v>
      </c>
      <c r="H92" s="67" t="s">
        <v>8</v>
      </c>
      <c r="I92" s="350" t="str">
        <f>IF(E92="", "", MATCH(E92, 'I&amp;E Profiles'!$D$96:$D$180,0))</f>
        <v/>
      </c>
      <c r="J92" s="215">
        <f>IF($G92=$G$7, W92,'I&amp;E Monthly'!W92)-SUMIFS('I&amp;E Monthly'!$AA92:$BJ92, 'I&amp;E Monthly'!$AA$3:$BJ$3, 'I&amp;E Annual'!W$3, 'I&amp;E Monthly'!$AA$4:$BJ$4, 0)</f>
        <v>0</v>
      </c>
      <c r="K92" s="215">
        <f>IF($G92=$G$7, X92,'I&amp;E Monthly'!X92)-SUMIFS('I&amp;E Monthly'!$AA92:$BJ92, 'I&amp;E Monthly'!$AA$3:$BJ$3, 'I&amp;E Annual'!X$3, 'I&amp;E Monthly'!$AA$4:$BJ$4, 0)</f>
        <v>0</v>
      </c>
      <c r="L92" s="215">
        <f>IF($G92=$G$7, Y92,'I&amp;E Monthly'!Y92)-SUMIFS('I&amp;E Monthly'!$AA92:$BJ92, 'I&amp;E Monthly'!$AA$3:$BJ$3, 'I&amp;E Annual'!Y$3, 'I&amp;E Monthly'!$AA$4:$BJ$4, 0)</f>
        <v>0</v>
      </c>
      <c r="M92" s="335"/>
      <c r="N92" s="335"/>
      <c r="O92" s="335"/>
      <c r="P92" s="335"/>
      <c r="Q92" s="2"/>
      <c r="R92" s="335"/>
      <c r="S92" s="335"/>
      <c r="T92" s="335"/>
      <c r="U92" s="335"/>
      <c r="V92" s="215">
        <f>'I&amp;E Monthly'!V92</f>
        <v>0</v>
      </c>
      <c r="W92" s="147"/>
      <c r="X92" s="227"/>
      <c r="Y92" s="227"/>
      <c r="Z92" s="335"/>
      <c r="AA92" s="153" cm="1">
        <f t="array" ref="AA92">IF(OR(AA$4=0, $G92&lt;&gt; $G$7, $E92=0), 'I&amp;E Monthly'!AA92, CHOOSE(Timeline!AA$30,$J92,$K92,$L92 )*INDEX('I&amp;E Profiles'!AA$96:AA$180,$I92))</f>
        <v>0</v>
      </c>
      <c r="AB92" s="153" cm="1">
        <f t="array" ref="AB92">IF(OR(AB$4=0, $G92&lt;&gt; $G$7, $E92=0), 'I&amp;E Monthly'!AB92, CHOOSE(Timeline!AB$30,$J92,$K92,$L92 )*INDEX('I&amp;E Profiles'!AB$96:AB$180,$I92))</f>
        <v>0</v>
      </c>
      <c r="AC92" s="153" cm="1">
        <f t="array" ref="AC92">IF(OR(AC$4=0, $G92&lt;&gt; $G$7, $E92=0), 'I&amp;E Monthly'!AC92, CHOOSE(Timeline!AC$30,$J92,$K92,$L92 )*INDEX('I&amp;E Profiles'!AC$96:AC$180,$I92))</f>
        <v>0</v>
      </c>
      <c r="AD92" s="153" cm="1">
        <f t="array" ref="AD92">IF(OR(AD$4=0, $G92&lt;&gt; $G$7, $E92=0), 'I&amp;E Monthly'!AD92, CHOOSE(Timeline!AD$30,$J92,$K92,$L92 )*INDEX('I&amp;E Profiles'!AD$96:AD$180,$I92))</f>
        <v>0</v>
      </c>
      <c r="AE92" s="153" cm="1">
        <f t="array" ref="AE92">IF(OR(AE$4=0, $G92&lt;&gt; $G$7, $E92=0), 'I&amp;E Monthly'!AE92, CHOOSE(Timeline!AE$30,$J92,$K92,$L92 )*INDEX('I&amp;E Profiles'!AE$96:AE$180,$I92))</f>
        <v>0</v>
      </c>
      <c r="AF92" s="153" cm="1">
        <f t="array" ref="AF92">IF(OR(AF$4=0, $G92&lt;&gt; $G$7, $E92=0), 'I&amp;E Monthly'!AF92, CHOOSE(Timeline!AF$30,$J92,$K92,$L92 )*INDEX('I&amp;E Profiles'!AF$96:AF$180,$I92))</f>
        <v>0</v>
      </c>
      <c r="AG92" s="153" cm="1">
        <f t="array" ref="AG92">IF(OR(AG$4=0, $G92&lt;&gt; $G$7, $E92=0), 'I&amp;E Monthly'!AG92, CHOOSE(Timeline!AG$30,$J92,$K92,$L92 )*INDEX('I&amp;E Profiles'!AG$96:AG$180,$I92))</f>
        <v>0</v>
      </c>
      <c r="AH92" s="153" cm="1">
        <f t="array" ref="AH92">IF(OR(AH$4=0, $G92&lt;&gt; $G$7, $E92=0), 'I&amp;E Monthly'!AH92, CHOOSE(Timeline!AH$30,$J92,$K92,$L92 )*INDEX('I&amp;E Profiles'!AH$96:AH$180,$I92))</f>
        <v>0</v>
      </c>
      <c r="AI92" s="153" cm="1">
        <f t="array" ref="AI92">IF(OR(AI$4=0, $G92&lt;&gt; $G$7, $E92=0), 'I&amp;E Monthly'!AI92, CHOOSE(Timeline!AI$30,$J92,$K92,$L92 )*INDEX('I&amp;E Profiles'!AI$96:AI$180,$I92))</f>
        <v>0</v>
      </c>
      <c r="AJ92" s="153" cm="1">
        <f t="array" ref="AJ92">IF(OR(AJ$4=0, $G92&lt;&gt; $G$7, $E92=0), 'I&amp;E Monthly'!AJ92, CHOOSE(Timeline!AJ$30,$J92,$K92,$L92 )*INDEX('I&amp;E Profiles'!AJ$96:AJ$180,$I92))</f>
        <v>0</v>
      </c>
      <c r="AK92" s="153" cm="1">
        <f t="array" ref="AK92">IF(OR(AK$4=0, $G92&lt;&gt; $G$7, $E92=0), 'I&amp;E Monthly'!AK92, CHOOSE(Timeline!AK$30,$J92,$K92,$L92 )*INDEX('I&amp;E Profiles'!AK$96:AK$180,$I92))</f>
        <v>0</v>
      </c>
      <c r="AL92" s="153" cm="1">
        <f t="array" ref="AL92">IF(OR(AL$4=0, $G92&lt;&gt; $G$7, $E92=0), 'I&amp;E Monthly'!AL92, CHOOSE(Timeline!AL$30,$J92,$K92,$L92 )*INDEX('I&amp;E Profiles'!AL$96:AL$180,$I92))</f>
        <v>0</v>
      </c>
      <c r="AM92" s="153" cm="1">
        <f t="array" ref="AM92">IF(OR(AM$4=0, $G92&lt;&gt; $G$7, $E92=0), 'I&amp;E Monthly'!AM92, CHOOSE(Timeline!AM$30,$J92,$K92,$L92 )*INDEX('I&amp;E Profiles'!AM$96:AM$180,$I92))</f>
        <v>0</v>
      </c>
      <c r="AN92" s="153" cm="1">
        <f t="array" ref="AN92">IF(OR(AN$4=0, $G92&lt;&gt; $G$7, $E92=0), 'I&amp;E Monthly'!AN92, CHOOSE(Timeline!AN$30,$J92,$K92,$L92 )*INDEX('I&amp;E Profiles'!AN$96:AN$180,$I92))</f>
        <v>0</v>
      </c>
      <c r="AO92" s="153" cm="1">
        <f t="array" ref="AO92">IF(OR(AO$4=0, $G92&lt;&gt; $G$7, $E92=0), 'I&amp;E Monthly'!AO92, CHOOSE(Timeline!AO$30,$J92,$K92,$L92 )*INDEX('I&amp;E Profiles'!AO$96:AO$180,$I92))</f>
        <v>0</v>
      </c>
      <c r="AP92" s="153" cm="1">
        <f t="array" ref="AP92">IF(OR(AP$4=0, $G92&lt;&gt; $G$7, $E92=0), 'I&amp;E Monthly'!AP92, CHOOSE(Timeline!AP$30,$J92,$K92,$L92 )*INDEX('I&amp;E Profiles'!AP$96:AP$180,$I92))</f>
        <v>0</v>
      </c>
      <c r="AQ92" s="153" cm="1">
        <f t="array" ref="AQ92">IF(OR(AQ$4=0, $G92&lt;&gt; $G$7, $E92=0), 'I&amp;E Monthly'!AQ92, CHOOSE(Timeline!AQ$30,$J92,$K92,$L92 )*INDEX('I&amp;E Profiles'!AQ$96:AQ$180,$I92))</f>
        <v>0</v>
      </c>
      <c r="AR92" s="153" cm="1">
        <f t="array" ref="AR92">IF(OR(AR$4=0, $G92&lt;&gt; $G$7, $E92=0), 'I&amp;E Monthly'!AR92, CHOOSE(Timeline!AR$30,$J92,$K92,$L92 )*INDEX('I&amp;E Profiles'!AR$96:AR$180,$I92))</f>
        <v>0</v>
      </c>
      <c r="AS92" s="153" cm="1">
        <f t="array" ref="AS92">IF(OR(AS$4=0, $G92&lt;&gt; $G$7, $E92=0), 'I&amp;E Monthly'!AS92, CHOOSE(Timeline!AS$30,$J92,$K92,$L92 )*INDEX('I&amp;E Profiles'!AS$96:AS$180,$I92))</f>
        <v>0</v>
      </c>
      <c r="AT92" s="153" cm="1">
        <f t="array" ref="AT92">IF(OR(AT$4=0, $G92&lt;&gt; $G$7, $E92=0), 'I&amp;E Monthly'!AT92, CHOOSE(Timeline!AT$30,$J92,$K92,$L92 )*INDEX('I&amp;E Profiles'!AT$96:AT$180,$I92))</f>
        <v>0</v>
      </c>
      <c r="AU92" s="153" cm="1">
        <f t="array" ref="AU92">IF(OR(AU$4=0, $G92&lt;&gt; $G$7, $E92=0), 'I&amp;E Monthly'!AU92, CHOOSE(Timeline!AU$30,$J92,$K92,$L92 )*INDEX('I&amp;E Profiles'!AU$96:AU$180,$I92))</f>
        <v>0</v>
      </c>
      <c r="AV92" s="153" cm="1">
        <f t="array" ref="AV92">IF(OR(AV$4=0, $G92&lt;&gt; $G$7, $E92=0), 'I&amp;E Monthly'!AV92, CHOOSE(Timeline!AV$30,$J92,$K92,$L92 )*INDEX('I&amp;E Profiles'!AV$96:AV$180,$I92))</f>
        <v>0</v>
      </c>
      <c r="AW92" s="153" cm="1">
        <f t="array" ref="AW92">IF(OR(AW$4=0, $G92&lt;&gt; $G$7, $E92=0), 'I&amp;E Monthly'!AW92, CHOOSE(Timeline!AW$30,$J92,$K92,$L92 )*INDEX('I&amp;E Profiles'!AW$96:AW$180,$I92))</f>
        <v>0</v>
      </c>
      <c r="AX92" s="153" cm="1">
        <f t="array" ref="AX92">IF(OR(AX$4=0, $G92&lt;&gt; $G$7, $E92=0), 'I&amp;E Monthly'!AX92, CHOOSE(Timeline!AX$30,$J92,$K92,$L92 )*INDEX('I&amp;E Profiles'!AX$96:AX$180,$I92))</f>
        <v>0</v>
      </c>
      <c r="AY92" s="153" cm="1">
        <f t="array" ref="AY92">IF(OR(AY$4=0, $G92&lt;&gt; $G$7, $E92=0), 'I&amp;E Monthly'!AY92, CHOOSE(Timeline!AY$30,$J92,$K92,$L92 )*INDEX('I&amp;E Profiles'!AY$96:AY$180,$I92))</f>
        <v>0</v>
      </c>
      <c r="AZ92" s="153" cm="1">
        <f t="array" ref="AZ92">IF(OR(AZ$4=0, $G92&lt;&gt; $G$7, $E92=0), 'I&amp;E Monthly'!AZ92, CHOOSE(Timeline!AZ$30,$J92,$K92,$L92 )*INDEX('I&amp;E Profiles'!AZ$96:AZ$180,$I92))</f>
        <v>0</v>
      </c>
      <c r="BA92" s="153" cm="1">
        <f t="array" ref="BA92">IF(OR(BA$4=0, $G92&lt;&gt; $G$7, $E92=0), 'I&amp;E Monthly'!BA92, CHOOSE(Timeline!BA$30,$J92,$K92,$L92 )*INDEX('I&amp;E Profiles'!BA$96:BA$180,$I92))</f>
        <v>0</v>
      </c>
      <c r="BB92" s="153" cm="1">
        <f t="array" ref="BB92">IF(OR(BB$4=0, $G92&lt;&gt; $G$7, $E92=0), 'I&amp;E Monthly'!BB92, CHOOSE(Timeline!BB$30,$J92,$K92,$L92 )*INDEX('I&amp;E Profiles'!BB$96:BB$180,$I92))</f>
        <v>0</v>
      </c>
      <c r="BC92" s="153" cm="1">
        <f t="array" ref="BC92">IF(OR(BC$4=0, $G92&lt;&gt; $G$7, $E92=0), 'I&amp;E Monthly'!BC92, CHOOSE(Timeline!BC$30,$J92,$K92,$L92 )*INDEX('I&amp;E Profiles'!BC$96:BC$180,$I92))</f>
        <v>0</v>
      </c>
      <c r="BD92" s="153" cm="1">
        <f t="array" ref="BD92">IF(OR(BD$4=0, $G92&lt;&gt; $G$7, $E92=0), 'I&amp;E Monthly'!BD92, CHOOSE(Timeline!BD$30,$J92,$K92,$L92 )*INDEX('I&amp;E Profiles'!BD$96:BD$180,$I92))</f>
        <v>0</v>
      </c>
      <c r="BE92" s="153" cm="1">
        <f t="array" ref="BE92">IF(OR(BE$4=0, $G92&lt;&gt; $G$7, $E92=0), 'I&amp;E Monthly'!BE92, CHOOSE(Timeline!BE$30,$J92,$K92,$L92 )*INDEX('I&amp;E Profiles'!BE$96:BE$180,$I92))</f>
        <v>0</v>
      </c>
      <c r="BF92" s="153" cm="1">
        <f t="array" ref="BF92">IF(OR(BF$4=0, $G92&lt;&gt; $G$7, $E92=0), 'I&amp;E Monthly'!BF92, CHOOSE(Timeline!BF$30,$J92,$K92,$L92 )*INDEX('I&amp;E Profiles'!BF$96:BF$180,$I92))</f>
        <v>0</v>
      </c>
      <c r="BG92" s="153" cm="1">
        <f t="array" ref="BG92">IF(OR(BG$4=0, $G92&lt;&gt; $G$7, $E92=0), 'I&amp;E Monthly'!BG92, CHOOSE(Timeline!BG$30,$J92,$K92,$L92 )*INDEX('I&amp;E Profiles'!BG$96:BG$180,$I92))</f>
        <v>0</v>
      </c>
      <c r="BH92" s="153" cm="1">
        <f t="array" ref="BH92">IF(OR(BH$4=0, $G92&lt;&gt; $G$7, $E92=0), 'I&amp;E Monthly'!BH92, CHOOSE(Timeline!BH$30,$J92,$K92,$L92 )*INDEX('I&amp;E Profiles'!BH$96:BH$180,$I92))</f>
        <v>0</v>
      </c>
      <c r="BI92" s="153" cm="1">
        <f t="array" ref="BI92">IF(OR(BI$4=0, $G92&lt;&gt; $G$7, $E92=0), 'I&amp;E Monthly'!BI92, CHOOSE(Timeline!BI$30,$J92,$K92,$L92 )*INDEX('I&amp;E Profiles'!BI$96:BI$180,$I92))</f>
        <v>0</v>
      </c>
      <c r="BJ92" s="153" cm="1">
        <f t="array" ref="BJ92">IF(OR(BJ$4=0, $G92&lt;&gt; $G$7, $E92=0), 'I&amp;E Monthly'!BJ92, CHOOSE(Timeline!BJ$30,$J92,$K92,$L92 )*INDEX('I&amp;E Profiles'!BJ$96:BJ$180,$I92))</f>
        <v>0</v>
      </c>
      <c r="BK92" s="335"/>
      <c r="BL92" s="152">
        <f t="shared" si="95"/>
        <v>0</v>
      </c>
      <c r="BM92" s="153">
        <f t="shared" si="96"/>
        <v>0</v>
      </c>
      <c r="BN92" s="153">
        <f t="shared" si="96"/>
        <v>0</v>
      </c>
      <c r="BO92" s="153">
        <f t="shared" si="96"/>
        <v>0</v>
      </c>
      <c r="BP92" s="152">
        <f>'I&amp;E Monthly'!BP92</f>
        <v>0</v>
      </c>
      <c r="BQ92" s="152">
        <f>'I&amp;E Monthly'!BQ92</f>
        <v>0</v>
      </c>
      <c r="BR92" s="152">
        <f>'I&amp;E Monthly'!BR92</f>
        <v>0</v>
      </c>
      <c r="BS92" s="152">
        <f>'I&amp;E Monthly'!BS92</f>
        <v>0</v>
      </c>
      <c r="BT92" s="152">
        <f>'I&amp;E Monthly'!BT92</f>
        <v>0</v>
      </c>
      <c r="BU92" s="152">
        <f>'I&amp;E Monthly'!BU92</f>
        <v>0</v>
      </c>
      <c r="BV92" s="152">
        <f>'I&amp;E Monthly'!BV92</f>
        <v>0</v>
      </c>
      <c r="BW92" s="152">
        <f>'I&amp;E Monthly'!BW92</f>
        <v>0</v>
      </c>
      <c r="BX92" s="335"/>
      <c r="BY92" s="12"/>
      <c r="BZ92" s="363">
        <f t="shared" ca="1" si="97"/>
        <v>0</v>
      </c>
      <c r="CA92" s="12"/>
      <c r="CB92" s="7">
        <f t="shared" si="98"/>
        <v>0</v>
      </c>
      <c r="CC92" s="188" cm="1">
        <f t="array" ref="CC92">IF(E92="",0, IF(_xlfn.IFNA(INDEX('I&amp;E Profiles'!$D$96:$D$180, $I92), "N/A")="N/A", 1, 0))</f>
        <v>0</v>
      </c>
      <c r="CD92" s="7">
        <f t="shared" si="99"/>
        <v>0</v>
      </c>
      <c r="CE92" s="7">
        <f t="shared" si="100"/>
        <v>0</v>
      </c>
      <c r="CF92" s="7">
        <f t="shared" si="101"/>
        <v>0</v>
      </c>
      <c r="CG92" s="12"/>
      <c r="CH92" s="352">
        <f t="shared" si="102"/>
        <v>0</v>
      </c>
      <c r="CI92" s="352">
        <f t="shared" si="103"/>
        <v>0</v>
      </c>
      <c r="CJ92" s="352">
        <f t="shared" si="104"/>
        <v>0</v>
      </c>
      <c r="CK92" s="352">
        <f t="shared" si="105"/>
        <v>0</v>
      </c>
      <c r="CL92" s="352">
        <f t="shared" si="106"/>
        <v>0</v>
      </c>
      <c r="CM92" s="352">
        <f t="shared" si="107"/>
        <v>0</v>
      </c>
      <c r="CN92" s="352">
        <f t="shared" si="108"/>
        <v>0</v>
      </c>
      <c r="EX92" s="10" t="str">
        <f t="shared" si="78"/>
        <v>International overseas delivery</v>
      </c>
    </row>
    <row r="93" spans="1:154" x14ac:dyDescent="0.25">
      <c r="A93" s="362" cm="1">
        <f t="array" aca="1" ref="A93" ca="1">HYPERLINK(CONCATENATE("#",CELL("address",IF(SUM($CA93:$CG93)=0,A93,INDEX($CA93:$CG93,MATCH(1,$CA93:$CG93,0))))),SUM($CA93:$CG93))</f>
        <v>0</v>
      </c>
      <c r="B93" s="93"/>
      <c r="C93" s="343" t="s">
        <v>2285</v>
      </c>
      <c r="D93" s="194" t="s">
        <v>469</v>
      </c>
      <c r="E93" s="147"/>
      <c r="F93" s="98" t="str" cm="1">
        <f t="array" aca="1" ref="F93" ca="1">IF(E93="", "", HYPERLINK(CONCATENATE("#",CELL("address",INDEX('I&amp;E Profiles'!$D$9:$D$93,'I&amp;E Annual'!I93))),E93))</f>
        <v/>
      </c>
      <c r="G93" s="147" t="s">
        <v>211</v>
      </c>
      <c r="H93" s="335" t="s">
        <v>8</v>
      </c>
      <c r="I93" s="350" t="str">
        <f>IF(E93="", "", MATCH(E93, 'I&amp;E Profiles'!$D$96:$D$180,0))</f>
        <v/>
      </c>
      <c r="J93" s="215">
        <f>IF($G93=$G$7, W93,'I&amp;E Monthly'!W93)-SUMIFS('I&amp;E Monthly'!$AA93:$BJ93, 'I&amp;E Monthly'!$AA$3:$BJ$3, 'I&amp;E Annual'!W$3, 'I&amp;E Monthly'!$AA$4:$BJ$4, 0)</f>
        <v>0</v>
      </c>
      <c r="K93" s="215">
        <f>IF($G93=$G$7, X93,'I&amp;E Monthly'!X93)-SUMIFS('I&amp;E Monthly'!$AA93:$BJ93, 'I&amp;E Monthly'!$AA$3:$BJ$3, 'I&amp;E Annual'!X$3, 'I&amp;E Monthly'!$AA$4:$BJ$4, 0)</f>
        <v>0</v>
      </c>
      <c r="L93" s="215">
        <f>IF($G93=$G$7, Y93,'I&amp;E Monthly'!Y93)-SUMIFS('I&amp;E Monthly'!$AA93:$BJ93, 'I&amp;E Monthly'!$AA$3:$BJ$3, 'I&amp;E Annual'!Y$3, 'I&amp;E Monthly'!$AA$4:$BJ$4, 0)</f>
        <v>0</v>
      </c>
      <c r="M93" s="335"/>
      <c r="N93" s="335"/>
      <c r="O93" s="335"/>
      <c r="P93" s="335"/>
      <c r="Q93" s="2"/>
      <c r="R93" s="335"/>
      <c r="S93" s="335"/>
      <c r="T93" s="335"/>
      <c r="U93" s="335"/>
      <c r="V93" s="215">
        <f>'I&amp;E Monthly'!V93</f>
        <v>0</v>
      </c>
      <c r="W93" s="147"/>
      <c r="X93" s="227"/>
      <c r="Y93" s="227"/>
      <c r="Z93" s="335"/>
      <c r="AA93" s="153" cm="1">
        <f t="array" ref="AA93">IF(OR(AA$4=0, $G93&lt;&gt; $G$7, $E93=0), 'I&amp;E Monthly'!AA93, CHOOSE(Timeline!AA$30,$J93,$K93,$L93 )*INDEX('I&amp;E Profiles'!AA$96:AA$180,$I93))</f>
        <v>0</v>
      </c>
      <c r="AB93" s="153" cm="1">
        <f t="array" ref="AB93">IF(OR(AB$4=0, $G93&lt;&gt; $G$7, $E93=0), 'I&amp;E Monthly'!AB93, CHOOSE(Timeline!AB$30,$J93,$K93,$L93 )*INDEX('I&amp;E Profiles'!AB$96:AB$180,$I93))</f>
        <v>0</v>
      </c>
      <c r="AC93" s="153" cm="1">
        <f t="array" ref="AC93">IF(OR(AC$4=0, $G93&lt;&gt; $G$7, $E93=0), 'I&amp;E Monthly'!AC93, CHOOSE(Timeline!AC$30,$J93,$K93,$L93 )*INDEX('I&amp;E Profiles'!AC$96:AC$180,$I93))</f>
        <v>0</v>
      </c>
      <c r="AD93" s="153" cm="1">
        <f t="array" ref="AD93">IF(OR(AD$4=0, $G93&lt;&gt; $G$7, $E93=0), 'I&amp;E Monthly'!AD93, CHOOSE(Timeline!AD$30,$J93,$K93,$L93 )*INDEX('I&amp;E Profiles'!AD$96:AD$180,$I93))</f>
        <v>0</v>
      </c>
      <c r="AE93" s="153" cm="1">
        <f t="array" ref="AE93">IF(OR(AE$4=0, $G93&lt;&gt; $G$7, $E93=0), 'I&amp;E Monthly'!AE93, CHOOSE(Timeline!AE$30,$J93,$K93,$L93 )*INDEX('I&amp;E Profiles'!AE$96:AE$180,$I93))</f>
        <v>0</v>
      </c>
      <c r="AF93" s="153" cm="1">
        <f t="array" ref="AF93">IF(OR(AF$4=0, $G93&lt;&gt; $G$7, $E93=0), 'I&amp;E Monthly'!AF93, CHOOSE(Timeline!AF$30,$J93,$K93,$L93 )*INDEX('I&amp;E Profiles'!AF$96:AF$180,$I93))</f>
        <v>0</v>
      </c>
      <c r="AG93" s="153" cm="1">
        <f t="array" ref="AG93">IF(OR(AG$4=0, $G93&lt;&gt; $G$7, $E93=0), 'I&amp;E Monthly'!AG93, CHOOSE(Timeline!AG$30,$J93,$K93,$L93 )*INDEX('I&amp;E Profiles'!AG$96:AG$180,$I93))</f>
        <v>0</v>
      </c>
      <c r="AH93" s="153" cm="1">
        <f t="array" ref="AH93">IF(OR(AH$4=0, $G93&lt;&gt; $G$7, $E93=0), 'I&amp;E Monthly'!AH93, CHOOSE(Timeline!AH$30,$J93,$K93,$L93 )*INDEX('I&amp;E Profiles'!AH$96:AH$180,$I93))</f>
        <v>0</v>
      </c>
      <c r="AI93" s="153" cm="1">
        <f t="array" ref="AI93">IF(OR(AI$4=0, $G93&lt;&gt; $G$7, $E93=0), 'I&amp;E Monthly'!AI93, CHOOSE(Timeline!AI$30,$J93,$K93,$L93 )*INDEX('I&amp;E Profiles'!AI$96:AI$180,$I93))</f>
        <v>0</v>
      </c>
      <c r="AJ93" s="153" cm="1">
        <f t="array" ref="AJ93">IF(OR(AJ$4=0, $G93&lt;&gt; $G$7, $E93=0), 'I&amp;E Monthly'!AJ93, CHOOSE(Timeline!AJ$30,$J93,$K93,$L93 )*INDEX('I&amp;E Profiles'!AJ$96:AJ$180,$I93))</f>
        <v>0</v>
      </c>
      <c r="AK93" s="153" cm="1">
        <f t="array" ref="AK93">IF(OR(AK$4=0, $G93&lt;&gt; $G$7, $E93=0), 'I&amp;E Monthly'!AK93, CHOOSE(Timeline!AK$30,$J93,$K93,$L93 )*INDEX('I&amp;E Profiles'!AK$96:AK$180,$I93))</f>
        <v>0</v>
      </c>
      <c r="AL93" s="153" cm="1">
        <f t="array" ref="AL93">IF(OR(AL$4=0, $G93&lt;&gt; $G$7, $E93=0), 'I&amp;E Monthly'!AL93, CHOOSE(Timeline!AL$30,$J93,$K93,$L93 )*INDEX('I&amp;E Profiles'!AL$96:AL$180,$I93))</f>
        <v>0</v>
      </c>
      <c r="AM93" s="153" cm="1">
        <f t="array" ref="AM93">IF(OR(AM$4=0, $G93&lt;&gt; $G$7, $E93=0), 'I&amp;E Monthly'!AM93, CHOOSE(Timeline!AM$30,$J93,$K93,$L93 )*INDEX('I&amp;E Profiles'!AM$96:AM$180,$I93))</f>
        <v>0</v>
      </c>
      <c r="AN93" s="153" cm="1">
        <f t="array" ref="AN93">IF(OR(AN$4=0, $G93&lt;&gt; $G$7, $E93=0), 'I&amp;E Monthly'!AN93, CHOOSE(Timeline!AN$30,$J93,$K93,$L93 )*INDEX('I&amp;E Profiles'!AN$96:AN$180,$I93))</f>
        <v>0</v>
      </c>
      <c r="AO93" s="153" cm="1">
        <f t="array" ref="AO93">IF(OR(AO$4=0, $G93&lt;&gt; $G$7, $E93=0), 'I&amp;E Monthly'!AO93, CHOOSE(Timeline!AO$30,$J93,$K93,$L93 )*INDEX('I&amp;E Profiles'!AO$96:AO$180,$I93))</f>
        <v>0</v>
      </c>
      <c r="AP93" s="153" cm="1">
        <f t="array" ref="AP93">IF(OR(AP$4=0, $G93&lt;&gt; $G$7, $E93=0), 'I&amp;E Monthly'!AP93, CHOOSE(Timeline!AP$30,$J93,$K93,$L93 )*INDEX('I&amp;E Profiles'!AP$96:AP$180,$I93))</f>
        <v>0</v>
      </c>
      <c r="AQ93" s="153" cm="1">
        <f t="array" ref="AQ93">IF(OR(AQ$4=0, $G93&lt;&gt; $G$7, $E93=0), 'I&amp;E Monthly'!AQ93, CHOOSE(Timeline!AQ$30,$J93,$K93,$L93 )*INDEX('I&amp;E Profiles'!AQ$96:AQ$180,$I93))</f>
        <v>0</v>
      </c>
      <c r="AR93" s="153" cm="1">
        <f t="array" ref="AR93">IF(OR(AR$4=0, $G93&lt;&gt; $G$7, $E93=0), 'I&amp;E Monthly'!AR93, CHOOSE(Timeline!AR$30,$J93,$K93,$L93 )*INDEX('I&amp;E Profiles'!AR$96:AR$180,$I93))</f>
        <v>0</v>
      </c>
      <c r="AS93" s="153" cm="1">
        <f t="array" ref="AS93">IF(OR(AS$4=0, $G93&lt;&gt; $G$7, $E93=0), 'I&amp;E Monthly'!AS93, CHOOSE(Timeline!AS$30,$J93,$K93,$L93 )*INDEX('I&amp;E Profiles'!AS$96:AS$180,$I93))</f>
        <v>0</v>
      </c>
      <c r="AT93" s="153" cm="1">
        <f t="array" ref="AT93">IF(OR(AT$4=0, $G93&lt;&gt; $G$7, $E93=0), 'I&amp;E Monthly'!AT93, CHOOSE(Timeline!AT$30,$J93,$K93,$L93 )*INDEX('I&amp;E Profiles'!AT$96:AT$180,$I93))</f>
        <v>0</v>
      </c>
      <c r="AU93" s="153" cm="1">
        <f t="array" ref="AU93">IF(OR(AU$4=0, $G93&lt;&gt; $G$7, $E93=0), 'I&amp;E Monthly'!AU93, CHOOSE(Timeline!AU$30,$J93,$K93,$L93 )*INDEX('I&amp;E Profiles'!AU$96:AU$180,$I93))</f>
        <v>0</v>
      </c>
      <c r="AV93" s="153" cm="1">
        <f t="array" ref="AV93">IF(OR(AV$4=0, $G93&lt;&gt; $G$7, $E93=0), 'I&amp;E Monthly'!AV93, CHOOSE(Timeline!AV$30,$J93,$K93,$L93 )*INDEX('I&amp;E Profiles'!AV$96:AV$180,$I93))</f>
        <v>0</v>
      </c>
      <c r="AW93" s="153" cm="1">
        <f t="array" ref="AW93">IF(OR(AW$4=0, $G93&lt;&gt; $G$7, $E93=0), 'I&amp;E Monthly'!AW93, CHOOSE(Timeline!AW$30,$J93,$K93,$L93 )*INDEX('I&amp;E Profiles'!AW$96:AW$180,$I93))</f>
        <v>0</v>
      </c>
      <c r="AX93" s="153" cm="1">
        <f t="array" ref="AX93">IF(OR(AX$4=0, $G93&lt;&gt; $G$7, $E93=0), 'I&amp;E Monthly'!AX93, CHOOSE(Timeline!AX$30,$J93,$K93,$L93 )*INDEX('I&amp;E Profiles'!AX$96:AX$180,$I93))</f>
        <v>0</v>
      </c>
      <c r="AY93" s="153" cm="1">
        <f t="array" ref="AY93">IF(OR(AY$4=0, $G93&lt;&gt; $G$7, $E93=0), 'I&amp;E Monthly'!AY93, CHOOSE(Timeline!AY$30,$J93,$K93,$L93 )*INDEX('I&amp;E Profiles'!AY$96:AY$180,$I93))</f>
        <v>0</v>
      </c>
      <c r="AZ93" s="153" cm="1">
        <f t="array" ref="AZ93">IF(OR(AZ$4=0, $G93&lt;&gt; $G$7, $E93=0), 'I&amp;E Monthly'!AZ93, CHOOSE(Timeline!AZ$30,$J93,$K93,$L93 )*INDEX('I&amp;E Profiles'!AZ$96:AZ$180,$I93))</f>
        <v>0</v>
      </c>
      <c r="BA93" s="153" cm="1">
        <f t="array" ref="BA93">IF(OR(BA$4=0, $G93&lt;&gt; $G$7, $E93=0), 'I&amp;E Monthly'!BA93, CHOOSE(Timeline!BA$30,$J93,$K93,$L93 )*INDEX('I&amp;E Profiles'!BA$96:BA$180,$I93))</f>
        <v>0</v>
      </c>
      <c r="BB93" s="153" cm="1">
        <f t="array" ref="BB93">IF(OR(BB$4=0, $G93&lt;&gt; $G$7, $E93=0), 'I&amp;E Monthly'!BB93, CHOOSE(Timeline!BB$30,$J93,$K93,$L93 )*INDEX('I&amp;E Profiles'!BB$96:BB$180,$I93))</f>
        <v>0</v>
      </c>
      <c r="BC93" s="153" cm="1">
        <f t="array" ref="BC93">IF(OR(BC$4=0, $G93&lt;&gt; $G$7, $E93=0), 'I&amp;E Monthly'!BC93, CHOOSE(Timeline!BC$30,$J93,$K93,$L93 )*INDEX('I&amp;E Profiles'!BC$96:BC$180,$I93))</f>
        <v>0</v>
      </c>
      <c r="BD93" s="153" cm="1">
        <f t="array" ref="BD93">IF(OR(BD$4=0, $G93&lt;&gt; $G$7, $E93=0), 'I&amp;E Monthly'!BD93, CHOOSE(Timeline!BD$30,$J93,$K93,$L93 )*INDEX('I&amp;E Profiles'!BD$96:BD$180,$I93))</f>
        <v>0</v>
      </c>
      <c r="BE93" s="153" cm="1">
        <f t="array" ref="BE93">IF(OR(BE$4=0, $G93&lt;&gt; $G$7, $E93=0), 'I&amp;E Monthly'!BE93, CHOOSE(Timeline!BE$30,$J93,$K93,$L93 )*INDEX('I&amp;E Profiles'!BE$96:BE$180,$I93))</f>
        <v>0</v>
      </c>
      <c r="BF93" s="153" cm="1">
        <f t="array" ref="BF93">IF(OR(BF$4=0, $G93&lt;&gt; $G$7, $E93=0), 'I&amp;E Monthly'!BF93, CHOOSE(Timeline!BF$30,$J93,$K93,$L93 )*INDEX('I&amp;E Profiles'!BF$96:BF$180,$I93))</f>
        <v>0</v>
      </c>
      <c r="BG93" s="153" cm="1">
        <f t="array" ref="BG93">IF(OR(BG$4=0, $G93&lt;&gt; $G$7, $E93=0), 'I&amp;E Monthly'!BG93, CHOOSE(Timeline!BG$30,$J93,$K93,$L93 )*INDEX('I&amp;E Profiles'!BG$96:BG$180,$I93))</f>
        <v>0</v>
      </c>
      <c r="BH93" s="153" cm="1">
        <f t="array" ref="BH93">IF(OR(BH$4=0, $G93&lt;&gt; $G$7, $E93=0), 'I&amp;E Monthly'!BH93, CHOOSE(Timeline!BH$30,$J93,$K93,$L93 )*INDEX('I&amp;E Profiles'!BH$96:BH$180,$I93))</f>
        <v>0</v>
      </c>
      <c r="BI93" s="153" cm="1">
        <f t="array" ref="BI93">IF(OR(BI$4=0, $G93&lt;&gt; $G$7, $E93=0), 'I&amp;E Monthly'!BI93, CHOOSE(Timeline!BI$30,$J93,$K93,$L93 )*INDEX('I&amp;E Profiles'!BI$96:BI$180,$I93))</f>
        <v>0</v>
      </c>
      <c r="BJ93" s="153" cm="1">
        <f t="array" ref="BJ93">IF(OR(BJ$4=0, $G93&lt;&gt; $G$7, $E93=0), 'I&amp;E Monthly'!BJ93, CHOOSE(Timeline!BJ$30,$J93,$K93,$L93 )*INDEX('I&amp;E Profiles'!BJ$96:BJ$180,$I93))</f>
        <v>0</v>
      </c>
      <c r="BK93" s="335"/>
      <c r="BL93" s="152">
        <f t="shared" si="95"/>
        <v>0</v>
      </c>
      <c r="BM93" s="153">
        <f t="shared" si="96"/>
        <v>0</v>
      </c>
      <c r="BN93" s="153">
        <f t="shared" si="96"/>
        <v>0</v>
      </c>
      <c r="BO93" s="153">
        <f t="shared" si="96"/>
        <v>0</v>
      </c>
      <c r="BP93" s="152">
        <f>'I&amp;E Monthly'!BP93</f>
        <v>0</v>
      </c>
      <c r="BQ93" s="152">
        <f>'I&amp;E Monthly'!BQ93</f>
        <v>0</v>
      </c>
      <c r="BR93" s="152">
        <f>'I&amp;E Monthly'!BR93</f>
        <v>0</v>
      </c>
      <c r="BS93" s="152">
        <f>'I&amp;E Monthly'!BS93</f>
        <v>0</v>
      </c>
      <c r="BT93" s="152">
        <f>'I&amp;E Monthly'!BT93</f>
        <v>0</v>
      </c>
      <c r="BU93" s="152">
        <f>'I&amp;E Monthly'!BU93</f>
        <v>0</v>
      </c>
      <c r="BV93" s="152">
        <f>'I&amp;E Monthly'!BV93</f>
        <v>0</v>
      </c>
      <c r="BW93" s="152">
        <f>'I&amp;E Monthly'!BW93</f>
        <v>0</v>
      </c>
      <c r="BX93" s="335"/>
      <c r="BY93" s="12"/>
      <c r="BZ93" s="363">
        <f t="shared" ca="1" si="97"/>
        <v>0</v>
      </c>
      <c r="CA93" s="12"/>
      <c r="CB93" s="7">
        <f t="shared" si="98"/>
        <v>0</v>
      </c>
      <c r="CC93" s="188" cm="1">
        <f t="array" ref="CC93">IF(E93="",0, IF(_xlfn.IFNA(INDEX('I&amp;E Profiles'!$D$96:$D$180, $I93), "N/A")="N/A", 1, 0))</f>
        <v>0</v>
      </c>
      <c r="CD93" s="7">
        <f t="shared" si="99"/>
        <v>0</v>
      </c>
      <c r="CE93" s="7">
        <f t="shared" si="100"/>
        <v>0</v>
      </c>
      <c r="CF93" s="7">
        <f t="shared" si="101"/>
        <v>0</v>
      </c>
      <c r="CG93" s="12"/>
      <c r="CH93" s="352">
        <f t="shared" si="102"/>
        <v>0</v>
      </c>
      <c r="CI93" s="352">
        <f t="shared" si="103"/>
        <v>0</v>
      </c>
      <c r="CJ93" s="352">
        <f t="shared" si="104"/>
        <v>0</v>
      </c>
      <c r="CK93" s="352">
        <f t="shared" si="105"/>
        <v>0</v>
      </c>
      <c r="CL93" s="352">
        <f t="shared" si="106"/>
        <v>0</v>
      </c>
      <c r="CM93" s="352">
        <f t="shared" si="107"/>
        <v>0</v>
      </c>
      <c r="CN93" s="352">
        <f t="shared" si="108"/>
        <v>0</v>
      </c>
      <c r="EX93" s="10" t="str">
        <f t="shared" si="78"/>
        <v>Farming</v>
      </c>
    </row>
    <row r="94" spans="1:154" x14ac:dyDescent="0.25">
      <c r="A94" s="362" cm="1">
        <f t="array" aca="1" ref="A94" ca="1">HYPERLINK(CONCATENATE("#",CELL("address",IF(SUM($CA94:$CG94)=0,A94,INDEX($CA94:$CG94,MATCH(1,$CA94:$CG94,0))))),SUM($CA94:$CG94))</f>
        <v>0</v>
      </c>
      <c r="B94" s="93"/>
      <c r="C94" s="343" t="s">
        <v>2286</v>
      </c>
      <c r="D94" s="194" t="s">
        <v>470</v>
      </c>
      <c r="E94" s="147"/>
      <c r="F94" s="98" t="str" cm="1">
        <f t="array" aca="1" ref="F94" ca="1">IF(E94="", "", HYPERLINK(CONCATENATE("#",CELL("address",INDEX('I&amp;E Profiles'!$D$9:$D$93,'I&amp;E Annual'!I94))),E94))</f>
        <v/>
      </c>
      <c r="G94" s="147" t="s">
        <v>211</v>
      </c>
      <c r="H94" s="67" t="s">
        <v>8</v>
      </c>
      <c r="I94" s="350" t="str">
        <f>IF(E94="", "", MATCH(E94, 'I&amp;E Profiles'!$D$96:$D$180,0))</f>
        <v/>
      </c>
      <c r="J94" s="215">
        <f>IF($G94=$G$7, W94,'I&amp;E Monthly'!W94)-SUMIFS('I&amp;E Monthly'!$AA94:$BJ94, 'I&amp;E Monthly'!$AA$3:$BJ$3, 'I&amp;E Annual'!W$3, 'I&amp;E Monthly'!$AA$4:$BJ$4, 0)</f>
        <v>16</v>
      </c>
      <c r="K94" s="215">
        <f>IF($G94=$G$7, X94,'I&amp;E Monthly'!X94)-SUMIFS('I&amp;E Monthly'!$AA94:$BJ94, 'I&amp;E Monthly'!$AA$3:$BJ$3, 'I&amp;E Annual'!X$3, 'I&amp;E Monthly'!$AA$4:$BJ$4, 0)</f>
        <v>848</v>
      </c>
      <c r="L94" s="215">
        <f>IF($G94=$G$7, Y94,'I&amp;E Monthly'!Y94)-SUMIFS('I&amp;E Monthly'!$AA94:$BJ94, 'I&amp;E Monthly'!$AA$3:$BJ$3, 'I&amp;E Annual'!Y$3, 'I&amp;E Monthly'!$AA$4:$BJ$4, 0)</f>
        <v>864.95999999999992</v>
      </c>
      <c r="M94" s="335"/>
      <c r="N94" s="335"/>
      <c r="O94" s="335"/>
      <c r="P94" s="335"/>
      <c r="Q94" s="2"/>
      <c r="R94" s="335"/>
      <c r="S94" s="335"/>
      <c r="T94" s="335"/>
      <c r="U94" s="335"/>
      <c r="V94" s="215">
        <f>'I&amp;E Monthly'!V94</f>
        <v>0</v>
      </c>
      <c r="W94" s="147"/>
      <c r="X94" s="227"/>
      <c r="Y94" s="227"/>
      <c r="Z94" s="335"/>
      <c r="AA94" s="153" cm="1">
        <f t="array" ref="AA94">IF(OR(AA$4=0, $G94&lt;&gt; $G$7, $E94=0), 'I&amp;E Monthly'!AA94, CHOOSE(Timeline!AA$30,$J94,$K94,$L94 )*INDEX('I&amp;E Profiles'!AA$96:AA$180,$I94))</f>
        <v>40</v>
      </c>
      <c r="AB94" s="153" cm="1">
        <f t="array" ref="AB94">IF(OR(AB$4=0, $G94&lt;&gt; $G$7, $E94=0), 'I&amp;E Monthly'!AB94, CHOOSE(Timeline!AB$30,$J94,$K94,$L94 )*INDEX('I&amp;E Profiles'!AB$96:AB$180,$I94))</f>
        <v>45</v>
      </c>
      <c r="AC94" s="153" cm="1">
        <f t="array" ref="AC94">IF(OR(AC$4=0, $G94&lt;&gt; $G$7, $E94=0), 'I&amp;E Monthly'!AC94, CHOOSE(Timeline!AC$30,$J94,$K94,$L94 )*INDEX('I&amp;E Profiles'!AC$96:AC$180,$I94))</f>
        <v>62</v>
      </c>
      <c r="AD94" s="153" cm="1">
        <f t="array" ref="AD94">IF(OR(AD$4=0, $G94&lt;&gt; $G$7, $E94=0), 'I&amp;E Monthly'!AD94, CHOOSE(Timeline!AD$30,$J94,$K94,$L94 )*INDEX('I&amp;E Profiles'!AD$96:AD$180,$I94))</f>
        <v>62</v>
      </c>
      <c r="AE94" s="153" cm="1">
        <f t="array" ref="AE94">IF(OR(AE$4=0, $G94&lt;&gt; $G$7, $E94=0), 'I&amp;E Monthly'!AE94, CHOOSE(Timeline!AE$30,$J94,$K94,$L94 )*INDEX('I&amp;E Profiles'!AE$96:AE$180,$I94))</f>
        <v>62</v>
      </c>
      <c r="AF94" s="153" cm="1">
        <f t="array" ref="AF94">IF(OR(AF$4=0, $G94&lt;&gt; $G$7, $E94=0), 'I&amp;E Monthly'!AF94, CHOOSE(Timeline!AF$30,$J94,$K94,$L94 )*INDEX('I&amp;E Profiles'!AF$96:AF$180,$I94))</f>
        <v>52</v>
      </c>
      <c r="AG94" s="153" cm="1">
        <f t="array" ref="AG94">IF(OR(AG$4=0, $G94&lt;&gt; $G$7, $E94=0), 'I&amp;E Monthly'!AG94, CHOOSE(Timeline!AG$30,$J94,$K94,$L94 )*INDEX('I&amp;E Profiles'!AG$96:AG$180,$I94))</f>
        <v>82</v>
      </c>
      <c r="AH94" s="153" cm="1">
        <f t="array" ref="AH94">IF(OR(AH$4=0, $G94&lt;&gt; $G$7, $E94=0), 'I&amp;E Monthly'!AH94, CHOOSE(Timeline!AH$30,$J94,$K94,$L94 )*INDEX('I&amp;E Profiles'!AH$96:AH$180,$I94))</f>
        <v>82</v>
      </c>
      <c r="AI94" s="153" cm="1">
        <f t="array" ref="AI94">IF(OR(AI$4=0, $G94&lt;&gt; $G$7, $E94=0), 'I&amp;E Monthly'!AI94, CHOOSE(Timeline!AI$30,$J94,$K94,$L94 )*INDEX('I&amp;E Profiles'!AI$96:AI$180,$I94))</f>
        <v>82</v>
      </c>
      <c r="AJ94" s="153" cm="1">
        <f t="array" ref="AJ94">IF(OR(AJ$4=0, $G94&lt;&gt; $G$7, $E94=0), 'I&amp;E Monthly'!AJ94, CHOOSE(Timeline!AJ$30,$J94,$K94,$L94 )*INDEX('I&amp;E Profiles'!AJ$96:AJ$180,$I94))</f>
        <v>82</v>
      </c>
      <c r="AK94" s="153" cm="1">
        <f t="array" ref="AK94">IF(OR(AK$4=0, $G94&lt;&gt; $G$7, $E94=0), 'I&amp;E Monthly'!AK94, CHOOSE(Timeline!AK$30,$J94,$K94,$L94 )*INDEX('I&amp;E Profiles'!AK$96:AK$180,$I94))</f>
        <v>42</v>
      </c>
      <c r="AL94" s="153" cm="1">
        <f t="array" ref="AL94">IF(OR(AL$4=0, $G94&lt;&gt; $G$7, $E94=0), 'I&amp;E Monthly'!AL94, CHOOSE(Timeline!AL$30,$J94,$K94,$L94 )*INDEX('I&amp;E Profiles'!AL$96:AL$180,$I94))</f>
        <v>16</v>
      </c>
      <c r="AM94" s="153" cm="1">
        <f t="array" ref="AM94">IF(OR(AM$4=0, $G94&lt;&gt; $G$7, $E94=0), 'I&amp;E Monthly'!AM94, CHOOSE(Timeline!AM$30,$J94,$K94,$L94 )*INDEX('I&amp;E Profiles'!AM$96:AM$180,$I94))</f>
        <v>40</v>
      </c>
      <c r="AN94" s="153" cm="1">
        <f t="array" ref="AN94">IF(OR(AN$4=0, $G94&lt;&gt; $G$7, $E94=0), 'I&amp;E Monthly'!AN94, CHOOSE(Timeline!AN$30,$J94,$K94,$L94 )*INDEX('I&amp;E Profiles'!AN$96:AN$180,$I94))</f>
        <v>65</v>
      </c>
      <c r="AO94" s="153" cm="1">
        <f t="array" ref="AO94">IF(OR(AO$4=0, $G94&lt;&gt; $G$7, $E94=0), 'I&amp;E Monthly'!AO94, CHOOSE(Timeline!AO$30,$J94,$K94,$L94 )*INDEX('I&amp;E Profiles'!AO$96:AO$180,$I94))</f>
        <v>72</v>
      </c>
      <c r="AP94" s="153" cm="1">
        <f t="array" ref="AP94">IF(OR(AP$4=0, $G94&lt;&gt; $G$7, $E94=0), 'I&amp;E Monthly'!AP94, CHOOSE(Timeline!AP$30,$J94,$K94,$L94 )*INDEX('I&amp;E Profiles'!AP$96:AP$180,$I94))</f>
        <v>82</v>
      </c>
      <c r="AQ94" s="153" cm="1">
        <f t="array" ref="AQ94">IF(OR(AQ$4=0, $G94&lt;&gt; $G$7, $E94=0), 'I&amp;E Monthly'!AQ94, CHOOSE(Timeline!AQ$30,$J94,$K94,$L94 )*INDEX('I&amp;E Profiles'!AQ$96:AQ$180,$I94))</f>
        <v>72</v>
      </c>
      <c r="AR94" s="153" cm="1">
        <f t="array" ref="AR94">IF(OR(AR$4=0, $G94&lt;&gt; $G$7, $E94=0), 'I&amp;E Monthly'!AR94, CHOOSE(Timeline!AR$30,$J94,$K94,$L94 )*INDEX('I&amp;E Profiles'!AR$96:AR$180,$I94))</f>
        <v>75</v>
      </c>
      <c r="AS94" s="153" cm="1">
        <f t="array" ref="AS94">IF(OR(AS$4=0, $G94&lt;&gt; $G$7, $E94=0), 'I&amp;E Monthly'!AS94, CHOOSE(Timeline!AS$30,$J94,$K94,$L94 )*INDEX('I&amp;E Profiles'!AS$96:AS$180,$I94))</f>
        <v>82</v>
      </c>
      <c r="AT94" s="153" cm="1">
        <f t="array" ref="AT94">IF(OR(AT$4=0, $G94&lt;&gt; $G$7, $E94=0), 'I&amp;E Monthly'!AT94, CHOOSE(Timeline!AT$30,$J94,$K94,$L94 )*INDEX('I&amp;E Profiles'!AT$96:AT$180,$I94))</f>
        <v>82</v>
      </c>
      <c r="AU94" s="153" cm="1">
        <f t="array" ref="AU94">IF(OR(AU$4=0, $G94&lt;&gt; $G$7, $E94=0), 'I&amp;E Monthly'!AU94, CHOOSE(Timeline!AU$30,$J94,$K94,$L94 )*INDEX('I&amp;E Profiles'!AU$96:AU$180,$I94))</f>
        <v>82</v>
      </c>
      <c r="AV94" s="153" cm="1">
        <f t="array" ref="AV94">IF(OR(AV$4=0, $G94&lt;&gt; $G$7, $E94=0), 'I&amp;E Monthly'!AV94, CHOOSE(Timeline!AV$30,$J94,$K94,$L94 )*INDEX('I&amp;E Profiles'!AV$96:AV$180,$I94))</f>
        <v>82</v>
      </c>
      <c r="AW94" s="153" cm="1">
        <f t="array" ref="AW94">IF(OR(AW$4=0, $G94&lt;&gt; $G$7, $E94=0), 'I&amp;E Monthly'!AW94, CHOOSE(Timeline!AW$30,$J94,$K94,$L94 )*INDEX('I&amp;E Profiles'!AW$96:AW$180,$I94))</f>
        <v>72</v>
      </c>
      <c r="AX94" s="153" cm="1">
        <f t="array" ref="AX94">IF(OR(AX$4=0, $G94&lt;&gt; $G$7, $E94=0), 'I&amp;E Monthly'!AX94, CHOOSE(Timeline!AX$30,$J94,$K94,$L94 )*INDEX('I&amp;E Profiles'!AX$96:AX$180,$I94))</f>
        <v>42</v>
      </c>
      <c r="AY94" s="153" cm="1">
        <f t="array" ref="AY94">IF(OR(AY$4=0, $G94&lt;&gt; $G$7, $E94=0), 'I&amp;E Monthly'!AY94, CHOOSE(Timeline!AY$30,$J94,$K94,$L94 )*INDEX('I&amp;E Profiles'!AY$96:AY$180,$I94))</f>
        <v>40.799999999999997</v>
      </c>
      <c r="AZ94" s="153" cm="1">
        <f t="array" ref="AZ94">IF(OR(AZ$4=0, $G94&lt;&gt; $G$7, $E94=0), 'I&amp;E Monthly'!AZ94, CHOOSE(Timeline!AZ$30,$J94,$K94,$L94 )*INDEX('I&amp;E Profiles'!AZ$96:AZ$180,$I94))</f>
        <v>66.3</v>
      </c>
      <c r="BA94" s="153" cm="1">
        <f t="array" ref="BA94">IF(OR(BA$4=0, $G94&lt;&gt; $G$7, $E94=0), 'I&amp;E Monthly'!BA94, CHOOSE(Timeline!BA$30,$J94,$K94,$L94 )*INDEX('I&amp;E Profiles'!BA$96:BA$180,$I94))</f>
        <v>73.44</v>
      </c>
      <c r="BB94" s="153" cm="1">
        <f t="array" ref="BB94">IF(OR(BB$4=0, $G94&lt;&gt; $G$7, $E94=0), 'I&amp;E Monthly'!BB94, CHOOSE(Timeline!BB$30,$J94,$K94,$L94 )*INDEX('I&amp;E Profiles'!BB$96:BB$180,$I94))</f>
        <v>83.64</v>
      </c>
      <c r="BC94" s="153" cm="1">
        <f t="array" ref="BC94">IF(OR(BC$4=0, $G94&lt;&gt; $G$7, $E94=0), 'I&amp;E Monthly'!BC94, CHOOSE(Timeline!BC$30,$J94,$K94,$L94 )*INDEX('I&amp;E Profiles'!BC$96:BC$180,$I94))</f>
        <v>73.44</v>
      </c>
      <c r="BD94" s="153" cm="1">
        <f t="array" ref="BD94">IF(OR(BD$4=0, $G94&lt;&gt; $G$7, $E94=0), 'I&amp;E Monthly'!BD94, CHOOSE(Timeline!BD$30,$J94,$K94,$L94 )*INDEX('I&amp;E Profiles'!BD$96:BD$180,$I94))</f>
        <v>76.5</v>
      </c>
      <c r="BE94" s="153" cm="1">
        <f t="array" ref="BE94">IF(OR(BE$4=0, $G94&lt;&gt; $G$7, $E94=0), 'I&amp;E Monthly'!BE94, CHOOSE(Timeline!BE$30,$J94,$K94,$L94 )*INDEX('I&amp;E Profiles'!BE$96:BE$180,$I94))</f>
        <v>83.64</v>
      </c>
      <c r="BF94" s="153" cm="1">
        <f t="array" ref="BF94">IF(OR(BF$4=0, $G94&lt;&gt; $G$7, $E94=0), 'I&amp;E Monthly'!BF94, CHOOSE(Timeline!BF$30,$J94,$K94,$L94 )*INDEX('I&amp;E Profiles'!BF$96:BF$180,$I94))</f>
        <v>83.64</v>
      </c>
      <c r="BG94" s="153" cm="1">
        <f t="array" ref="BG94">IF(OR(BG$4=0, $G94&lt;&gt; $G$7, $E94=0), 'I&amp;E Monthly'!BG94, CHOOSE(Timeline!BG$30,$J94,$K94,$L94 )*INDEX('I&amp;E Profiles'!BG$96:BG$180,$I94))</f>
        <v>83.64</v>
      </c>
      <c r="BH94" s="153" cm="1">
        <f t="array" ref="BH94">IF(OR(BH$4=0, $G94&lt;&gt; $G$7, $E94=0), 'I&amp;E Monthly'!BH94, CHOOSE(Timeline!BH$30,$J94,$K94,$L94 )*INDEX('I&amp;E Profiles'!BH$96:BH$180,$I94))</f>
        <v>83.64</v>
      </c>
      <c r="BI94" s="153" cm="1">
        <f t="array" ref="BI94">IF(OR(BI$4=0, $G94&lt;&gt; $G$7, $E94=0), 'I&amp;E Monthly'!BI94, CHOOSE(Timeline!BI$30,$J94,$K94,$L94 )*INDEX('I&amp;E Profiles'!BI$96:BI$180,$I94))</f>
        <v>73.44</v>
      </c>
      <c r="BJ94" s="153" cm="1">
        <f t="array" ref="BJ94">IF(OR(BJ$4=0, $G94&lt;&gt; $G$7, $E94=0), 'I&amp;E Monthly'!BJ94, CHOOSE(Timeline!BJ$30,$J94,$K94,$L94 )*INDEX('I&amp;E Profiles'!BJ$96:BJ$180,$I94))</f>
        <v>42.84</v>
      </c>
      <c r="BK94" s="335"/>
      <c r="BL94" s="152">
        <f t="shared" si="95"/>
        <v>0</v>
      </c>
      <c r="BM94" s="153">
        <f t="shared" si="96"/>
        <v>709</v>
      </c>
      <c r="BN94" s="153">
        <f t="shared" si="96"/>
        <v>848</v>
      </c>
      <c r="BO94" s="153">
        <f t="shared" si="96"/>
        <v>864.95999999999992</v>
      </c>
      <c r="BP94" s="152">
        <f>'I&amp;E Monthly'!BP94</f>
        <v>0</v>
      </c>
      <c r="BQ94" s="152">
        <f>'I&amp;E Monthly'!BQ94</f>
        <v>0</v>
      </c>
      <c r="BR94" s="152">
        <f>'I&amp;E Monthly'!BR94</f>
        <v>0</v>
      </c>
      <c r="BS94" s="152">
        <f>'I&amp;E Monthly'!BS94</f>
        <v>0</v>
      </c>
      <c r="BT94" s="152">
        <f>'I&amp;E Monthly'!BT94</f>
        <v>0</v>
      </c>
      <c r="BU94" s="152">
        <f>'I&amp;E Monthly'!BU94</f>
        <v>0</v>
      </c>
      <c r="BV94" s="152">
        <f>'I&amp;E Monthly'!BV94</f>
        <v>0</v>
      </c>
      <c r="BW94" s="152">
        <f>'I&amp;E Monthly'!BW94</f>
        <v>0</v>
      </c>
      <c r="BX94" s="335"/>
      <c r="BY94" s="12"/>
      <c r="BZ94" s="363">
        <f t="shared" ca="1" si="97"/>
        <v>0</v>
      </c>
      <c r="CA94" s="12"/>
      <c r="CB94" s="7">
        <f t="shared" si="98"/>
        <v>0</v>
      </c>
      <c r="CC94" s="188" cm="1">
        <f t="array" ref="CC94">IF(E94="",0, IF(_xlfn.IFNA(INDEX('I&amp;E Profiles'!$D$96:$D$180, $I94), "N/A")="N/A", 1, 0))</f>
        <v>0</v>
      </c>
      <c r="CD94" s="7">
        <f t="shared" si="99"/>
        <v>0</v>
      </c>
      <c r="CE94" s="7">
        <f t="shared" si="100"/>
        <v>0</v>
      </c>
      <c r="CF94" s="7">
        <f t="shared" si="101"/>
        <v>0</v>
      </c>
      <c r="CG94" s="12"/>
      <c r="CH94" s="352">
        <f t="shared" si="102"/>
        <v>0</v>
      </c>
      <c r="CI94" s="352">
        <f t="shared" si="103"/>
        <v>0</v>
      </c>
      <c r="CJ94" s="352">
        <f t="shared" si="104"/>
        <v>0</v>
      </c>
      <c r="CK94" s="352">
        <f t="shared" si="105"/>
        <v>0</v>
      </c>
      <c r="CL94" s="352">
        <f t="shared" si="106"/>
        <v>0</v>
      </c>
      <c r="CM94" s="352">
        <f t="shared" si="107"/>
        <v>0</v>
      </c>
      <c r="CN94" s="352">
        <f t="shared" si="108"/>
        <v>0</v>
      </c>
      <c r="EX94" s="10" t="str">
        <f t="shared" si="78"/>
        <v>Other commercial income</v>
      </c>
    </row>
    <row r="95" spans="1:154" hidden="1" x14ac:dyDescent="0.25">
      <c r="A95" s="362" cm="1">
        <f t="array" aca="1" ref="A95" ca="1">HYPERLINK(CONCATENATE("#",CELL("address",IF(SUM($CA95:$CG95)=0,A95,INDEX($CA95:$CG95,MATCH(1,$CA95:$CG95,0))))),SUM($CA95:$CG95))</f>
        <v>0</v>
      </c>
      <c r="B95" s="93"/>
      <c r="C95" s="383"/>
      <c r="D95" s="137" t="s">
        <v>2316</v>
      </c>
      <c r="E95" s="349"/>
      <c r="F95" s="98" t="str" cm="1">
        <f t="array" aca="1" ref="F95" ca="1">IF(E95="", "", HYPERLINK(CONCATENATE("#",CELL("address",INDEX('I&amp;E Profiles'!$D$9:$D$93,'I&amp;E Annual'!I95))),E95))</f>
        <v/>
      </c>
      <c r="G95" s="349"/>
      <c r="I95" s="350" t="str">
        <f>IF(E95="", "", MATCH(E95, 'I&amp;E Profiles'!$D$96:$D$180,0))</f>
        <v/>
      </c>
      <c r="J95" s="215">
        <f>IF($G95=$G$7, W95,'I&amp;E Monthly'!W95)-SUMIFS('I&amp;E Monthly'!$AA95:$BJ95, 'I&amp;E Monthly'!$AA$3:$BJ$3, 'I&amp;E Annual'!W$3, 'I&amp;E Monthly'!$AA$4:$BJ$4, 0)</f>
        <v>0</v>
      </c>
      <c r="K95" s="215">
        <f>IF($G95=$G$7, X95,'I&amp;E Monthly'!X95)-SUMIFS('I&amp;E Monthly'!$AA95:$BJ95, 'I&amp;E Monthly'!$AA$3:$BJ$3, 'I&amp;E Annual'!X$3, 'I&amp;E Monthly'!$AA$4:$BJ$4, 0)</f>
        <v>0</v>
      </c>
      <c r="L95" s="215">
        <f>IF($G95=$G$7, Y95,'I&amp;E Monthly'!Y95)-SUMIFS('I&amp;E Monthly'!$AA95:$BJ95, 'I&amp;E Monthly'!$AA$3:$BJ$3, 'I&amp;E Annual'!Y$3, 'I&amp;E Monthly'!$AA$4:$BJ$4, 0)</f>
        <v>0</v>
      </c>
      <c r="M95" s="335"/>
      <c r="N95" s="335"/>
      <c r="O95" s="335"/>
      <c r="P95" s="335"/>
      <c r="Q95" s="2"/>
      <c r="R95" s="335"/>
      <c r="S95" s="335"/>
      <c r="T95" s="335"/>
      <c r="U95" s="335"/>
      <c r="V95" s="201">
        <f>'I&amp;E Monthly'!V95</f>
        <v>0</v>
      </c>
      <c r="W95" s="136"/>
      <c r="X95" s="136"/>
      <c r="Y95" s="136"/>
      <c r="Z95" s="335"/>
      <c r="AA95" s="153" cm="1">
        <f t="array" ref="AA95">IF(OR(AA$4=0, $G95&lt;&gt; $G$7, $E95=0), 'I&amp;E Monthly'!AA95, CHOOSE(Timeline!AA$30,$J95,$K95,$L95 )*INDEX('I&amp;E Profiles'!AA$96:AA$180,$I95))</f>
        <v>0</v>
      </c>
      <c r="AB95" s="153" cm="1">
        <f t="array" ref="AB95">IF(OR(AB$4=0, $G95&lt;&gt; $G$7, $E95=0), 'I&amp;E Monthly'!AB95, CHOOSE(Timeline!AB$30,$J95,$K95,$L95 )*INDEX('I&amp;E Profiles'!AB$96:AB$180,$I95))</f>
        <v>0</v>
      </c>
      <c r="AC95" s="153" cm="1">
        <f t="array" ref="AC95">IF(OR(AC$4=0, $G95&lt;&gt; $G$7, $E95=0), 'I&amp;E Monthly'!AC95, CHOOSE(Timeline!AC$30,$J95,$K95,$L95 )*INDEX('I&amp;E Profiles'!AC$96:AC$180,$I95))</f>
        <v>0</v>
      </c>
      <c r="AD95" s="153" cm="1">
        <f t="array" ref="AD95">IF(OR(AD$4=0, $G95&lt;&gt; $G$7, $E95=0), 'I&amp;E Monthly'!AD95, CHOOSE(Timeline!AD$30,$J95,$K95,$L95 )*INDEX('I&amp;E Profiles'!AD$96:AD$180,$I95))</f>
        <v>0</v>
      </c>
      <c r="AE95" s="153" cm="1">
        <f t="array" ref="AE95">IF(OR(AE$4=0, $G95&lt;&gt; $G$7, $E95=0), 'I&amp;E Monthly'!AE95, CHOOSE(Timeline!AE$30,$J95,$K95,$L95 )*INDEX('I&amp;E Profiles'!AE$96:AE$180,$I95))</f>
        <v>0</v>
      </c>
      <c r="AF95" s="153" cm="1">
        <f t="array" ref="AF95">IF(OR(AF$4=0, $G95&lt;&gt; $G$7, $E95=0), 'I&amp;E Monthly'!AF95, CHOOSE(Timeline!AF$30,$J95,$K95,$L95 )*INDEX('I&amp;E Profiles'!AF$96:AF$180,$I95))</f>
        <v>0</v>
      </c>
      <c r="AG95" s="153" cm="1">
        <f t="array" ref="AG95">IF(OR(AG$4=0, $G95&lt;&gt; $G$7, $E95=0), 'I&amp;E Monthly'!AG95, CHOOSE(Timeline!AG$30,$J95,$K95,$L95 )*INDEX('I&amp;E Profiles'!AG$96:AG$180,$I95))</f>
        <v>0</v>
      </c>
      <c r="AH95" s="153" cm="1">
        <f t="array" ref="AH95">IF(OR(AH$4=0, $G95&lt;&gt; $G$7, $E95=0), 'I&amp;E Monthly'!AH95, CHOOSE(Timeline!AH$30,$J95,$K95,$L95 )*INDEX('I&amp;E Profiles'!AH$96:AH$180,$I95))</f>
        <v>0</v>
      </c>
      <c r="AI95" s="153" cm="1">
        <f t="array" ref="AI95">IF(OR(AI$4=0, $G95&lt;&gt; $G$7, $E95=0), 'I&amp;E Monthly'!AI95, CHOOSE(Timeline!AI$30,$J95,$K95,$L95 )*INDEX('I&amp;E Profiles'!AI$96:AI$180,$I95))</f>
        <v>0</v>
      </c>
      <c r="AJ95" s="153" cm="1">
        <f t="array" ref="AJ95">IF(OR(AJ$4=0, $G95&lt;&gt; $G$7, $E95=0), 'I&amp;E Monthly'!AJ95, CHOOSE(Timeline!AJ$30,$J95,$K95,$L95 )*INDEX('I&amp;E Profiles'!AJ$96:AJ$180,$I95))</f>
        <v>0</v>
      </c>
      <c r="AK95" s="153" cm="1">
        <f t="array" ref="AK95">IF(OR(AK$4=0, $G95&lt;&gt; $G$7, $E95=0), 'I&amp;E Monthly'!AK95, CHOOSE(Timeline!AK$30,$J95,$K95,$L95 )*INDEX('I&amp;E Profiles'!AK$96:AK$180,$I95))</f>
        <v>0</v>
      </c>
      <c r="AL95" s="153" cm="1">
        <f t="array" ref="AL95">IF(OR(AL$4=0, $G95&lt;&gt; $G$7, $E95=0), 'I&amp;E Monthly'!AL95, CHOOSE(Timeline!AL$30,$J95,$K95,$L95 )*INDEX('I&amp;E Profiles'!AL$96:AL$180,$I95))</f>
        <v>0</v>
      </c>
      <c r="AM95" s="153" cm="1">
        <f t="array" ref="AM95">IF(OR(AM$4=0, $G95&lt;&gt; $G$7, $E95=0), 'I&amp;E Monthly'!AM95, CHOOSE(Timeline!AM$30,$J95,$K95,$L95 )*INDEX('I&amp;E Profiles'!AM$96:AM$180,$I95))</f>
        <v>0</v>
      </c>
      <c r="AN95" s="153" cm="1">
        <f t="array" ref="AN95">IF(OR(AN$4=0, $G95&lt;&gt; $G$7, $E95=0), 'I&amp;E Monthly'!AN95, CHOOSE(Timeline!AN$30,$J95,$K95,$L95 )*INDEX('I&amp;E Profiles'!AN$96:AN$180,$I95))</f>
        <v>0</v>
      </c>
      <c r="AO95" s="153" cm="1">
        <f t="array" ref="AO95">IF(OR(AO$4=0, $G95&lt;&gt; $G$7, $E95=0), 'I&amp;E Monthly'!AO95, CHOOSE(Timeline!AO$30,$J95,$K95,$L95 )*INDEX('I&amp;E Profiles'!AO$96:AO$180,$I95))</f>
        <v>0</v>
      </c>
      <c r="AP95" s="153" cm="1">
        <f t="array" ref="AP95">IF(OR(AP$4=0, $G95&lt;&gt; $G$7, $E95=0), 'I&amp;E Monthly'!AP95, CHOOSE(Timeline!AP$30,$J95,$K95,$L95 )*INDEX('I&amp;E Profiles'!AP$96:AP$180,$I95))</f>
        <v>0</v>
      </c>
      <c r="AQ95" s="153" cm="1">
        <f t="array" ref="AQ95">IF(OR(AQ$4=0, $G95&lt;&gt; $G$7, $E95=0), 'I&amp;E Monthly'!AQ95, CHOOSE(Timeline!AQ$30,$J95,$K95,$L95 )*INDEX('I&amp;E Profiles'!AQ$96:AQ$180,$I95))</f>
        <v>0</v>
      </c>
      <c r="AR95" s="153" cm="1">
        <f t="array" ref="AR95">IF(OR(AR$4=0, $G95&lt;&gt; $G$7, $E95=0), 'I&amp;E Monthly'!AR95, CHOOSE(Timeline!AR$30,$J95,$K95,$L95 )*INDEX('I&amp;E Profiles'!AR$96:AR$180,$I95))</f>
        <v>0</v>
      </c>
      <c r="AS95" s="153" cm="1">
        <f t="array" ref="AS95">IF(OR(AS$4=0, $G95&lt;&gt; $G$7, $E95=0), 'I&amp;E Monthly'!AS95, CHOOSE(Timeline!AS$30,$J95,$K95,$L95 )*INDEX('I&amp;E Profiles'!AS$96:AS$180,$I95))</f>
        <v>0</v>
      </c>
      <c r="AT95" s="153" cm="1">
        <f t="array" ref="AT95">IF(OR(AT$4=0, $G95&lt;&gt; $G$7, $E95=0), 'I&amp;E Monthly'!AT95, CHOOSE(Timeline!AT$30,$J95,$K95,$L95 )*INDEX('I&amp;E Profiles'!AT$96:AT$180,$I95))</f>
        <v>0</v>
      </c>
      <c r="AU95" s="153" cm="1">
        <f t="array" ref="AU95">IF(OR(AU$4=0, $G95&lt;&gt; $G$7, $E95=0), 'I&amp;E Monthly'!AU95, CHOOSE(Timeline!AU$30,$J95,$K95,$L95 )*INDEX('I&amp;E Profiles'!AU$96:AU$180,$I95))</f>
        <v>0</v>
      </c>
      <c r="AV95" s="153" cm="1">
        <f t="array" ref="AV95">IF(OR(AV$4=0, $G95&lt;&gt; $G$7, $E95=0), 'I&amp;E Monthly'!AV95, CHOOSE(Timeline!AV$30,$J95,$K95,$L95 )*INDEX('I&amp;E Profiles'!AV$96:AV$180,$I95))</f>
        <v>0</v>
      </c>
      <c r="AW95" s="153" cm="1">
        <f t="array" ref="AW95">IF(OR(AW$4=0, $G95&lt;&gt; $G$7, $E95=0), 'I&amp;E Monthly'!AW95, CHOOSE(Timeline!AW$30,$J95,$K95,$L95 )*INDEX('I&amp;E Profiles'!AW$96:AW$180,$I95))</f>
        <v>0</v>
      </c>
      <c r="AX95" s="153" cm="1">
        <f t="array" ref="AX95">IF(OR(AX$4=0, $G95&lt;&gt; $G$7, $E95=0), 'I&amp;E Monthly'!AX95, CHOOSE(Timeline!AX$30,$J95,$K95,$L95 )*INDEX('I&amp;E Profiles'!AX$96:AX$180,$I95))</f>
        <v>0</v>
      </c>
      <c r="AY95" s="153" cm="1">
        <f t="array" ref="AY95">IF(OR(AY$4=0, $G95&lt;&gt; $G$7, $E95=0), 'I&amp;E Monthly'!AY95, CHOOSE(Timeline!AY$30,$J95,$K95,$L95 )*INDEX('I&amp;E Profiles'!AY$96:AY$180,$I95))</f>
        <v>0</v>
      </c>
      <c r="AZ95" s="153" cm="1">
        <f t="array" ref="AZ95">IF(OR(AZ$4=0, $G95&lt;&gt; $G$7, $E95=0), 'I&amp;E Monthly'!AZ95, CHOOSE(Timeline!AZ$30,$J95,$K95,$L95 )*INDEX('I&amp;E Profiles'!AZ$96:AZ$180,$I95))</f>
        <v>0</v>
      </c>
      <c r="BA95" s="153" cm="1">
        <f t="array" ref="BA95">IF(OR(BA$4=0, $G95&lt;&gt; $G$7, $E95=0), 'I&amp;E Monthly'!BA95, CHOOSE(Timeline!BA$30,$J95,$K95,$L95 )*INDEX('I&amp;E Profiles'!BA$96:BA$180,$I95))</f>
        <v>0</v>
      </c>
      <c r="BB95" s="153" cm="1">
        <f t="array" ref="BB95">IF(OR(BB$4=0, $G95&lt;&gt; $G$7, $E95=0), 'I&amp;E Monthly'!BB95, CHOOSE(Timeline!BB$30,$J95,$K95,$L95 )*INDEX('I&amp;E Profiles'!BB$96:BB$180,$I95))</f>
        <v>0</v>
      </c>
      <c r="BC95" s="153" cm="1">
        <f t="array" ref="BC95">IF(OR(BC$4=0, $G95&lt;&gt; $G$7, $E95=0), 'I&amp;E Monthly'!BC95, CHOOSE(Timeline!BC$30,$J95,$K95,$L95 )*INDEX('I&amp;E Profiles'!BC$96:BC$180,$I95))</f>
        <v>0</v>
      </c>
      <c r="BD95" s="153" cm="1">
        <f t="array" ref="BD95">IF(OR(BD$4=0, $G95&lt;&gt; $G$7, $E95=0), 'I&amp;E Monthly'!BD95, CHOOSE(Timeline!BD$30,$J95,$K95,$L95 )*INDEX('I&amp;E Profiles'!BD$96:BD$180,$I95))</f>
        <v>0</v>
      </c>
      <c r="BE95" s="153" cm="1">
        <f t="array" ref="BE95">IF(OR(BE$4=0, $G95&lt;&gt; $G$7, $E95=0), 'I&amp;E Monthly'!BE95, CHOOSE(Timeline!BE$30,$J95,$K95,$L95 )*INDEX('I&amp;E Profiles'!BE$96:BE$180,$I95))</f>
        <v>0</v>
      </c>
      <c r="BF95" s="153" cm="1">
        <f t="array" ref="BF95">IF(OR(BF$4=0, $G95&lt;&gt; $G$7, $E95=0), 'I&amp;E Monthly'!BF95, CHOOSE(Timeline!BF$30,$J95,$K95,$L95 )*INDEX('I&amp;E Profiles'!BF$96:BF$180,$I95))</f>
        <v>0</v>
      </c>
      <c r="BG95" s="153" cm="1">
        <f t="array" ref="BG95">IF(OR(BG$4=0, $G95&lt;&gt; $G$7, $E95=0), 'I&amp;E Monthly'!BG95, CHOOSE(Timeline!BG$30,$J95,$K95,$L95 )*INDEX('I&amp;E Profiles'!BG$96:BG$180,$I95))</f>
        <v>0</v>
      </c>
      <c r="BH95" s="153" cm="1">
        <f t="array" ref="BH95">IF(OR(BH$4=0, $G95&lt;&gt; $G$7, $E95=0), 'I&amp;E Monthly'!BH95, CHOOSE(Timeline!BH$30,$J95,$K95,$L95 )*INDEX('I&amp;E Profiles'!BH$96:BH$180,$I95))</f>
        <v>0</v>
      </c>
      <c r="BI95" s="153" cm="1">
        <f t="array" ref="BI95">IF(OR(BI$4=0, $G95&lt;&gt; $G$7, $E95=0), 'I&amp;E Monthly'!BI95, CHOOSE(Timeline!BI$30,$J95,$K95,$L95 )*INDEX('I&amp;E Profiles'!BI$96:BI$180,$I95))</f>
        <v>0</v>
      </c>
      <c r="BJ95" s="153" cm="1">
        <f t="array" ref="BJ95">IF(OR(BJ$4=0, $G95&lt;&gt; $G$7, $E95=0), 'I&amp;E Monthly'!BJ95, CHOOSE(Timeline!BJ$30,$J95,$K95,$L95 )*INDEX('I&amp;E Profiles'!BJ$96:BJ$180,$I95))</f>
        <v>0</v>
      </c>
      <c r="BK95" s="335"/>
      <c r="BL95" s="13">
        <f t="shared" si="95"/>
        <v>0</v>
      </c>
      <c r="BM95" s="153">
        <f t="shared" si="96"/>
        <v>0</v>
      </c>
      <c r="BN95" s="153">
        <f t="shared" si="96"/>
        <v>0</v>
      </c>
      <c r="BO95" s="153">
        <f t="shared" si="96"/>
        <v>0</v>
      </c>
      <c r="BP95" s="13">
        <f>'I&amp;E Monthly'!BP95</f>
        <v>0</v>
      </c>
      <c r="BQ95" s="13">
        <f>'I&amp;E Monthly'!BQ95</f>
        <v>0</v>
      </c>
      <c r="BR95" s="13">
        <f>'I&amp;E Monthly'!BR95</f>
        <v>0</v>
      </c>
      <c r="BS95" s="13">
        <f>'I&amp;E Monthly'!BS95</f>
        <v>0</v>
      </c>
      <c r="BT95" s="13">
        <f>'I&amp;E Monthly'!BT95</f>
        <v>0</v>
      </c>
      <c r="BU95" s="13">
        <f>'I&amp;E Monthly'!BU95</f>
        <v>0</v>
      </c>
      <c r="BV95" s="13">
        <f>'I&amp;E Monthly'!BV95</f>
        <v>0</v>
      </c>
      <c r="BW95" s="13">
        <f>'I&amp;E Monthly'!BW95</f>
        <v>0</v>
      </c>
      <c r="BX95" s="335"/>
      <c r="BY95" s="12"/>
      <c r="BZ95" s="363">
        <f t="shared" ca="1" si="97"/>
        <v>0</v>
      </c>
      <c r="CA95" s="12"/>
      <c r="CB95" s="7">
        <f t="shared" si="98"/>
        <v>0</v>
      </c>
      <c r="CC95" s="188" cm="1">
        <f t="array" ref="CC95">IF(E95="",0, IF(_xlfn.IFNA(INDEX('I&amp;E Profiles'!$D$96:$D$180, $I95), "N/A")="N/A", 1, 0))</f>
        <v>0</v>
      </c>
      <c r="CD95" s="7">
        <f t="shared" si="99"/>
        <v>0</v>
      </c>
      <c r="CE95" s="7">
        <f t="shared" si="100"/>
        <v>0</v>
      </c>
      <c r="CF95" s="7">
        <f t="shared" si="101"/>
        <v>0</v>
      </c>
      <c r="CG95" s="12"/>
      <c r="CH95" s="352">
        <f t="shared" si="102"/>
        <v>0</v>
      </c>
      <c r="CI95" s="352">
        <f t="shared" si="103"/>
        <v>0</v>
      </c>
      <c r="CJ95" s="352">
        <f t="shared" si="104"/>
        <v>0</v>
      </c>
      <c r="CK95" s="352">
        <f t="shared" si="105"/>
        <v>0</v>
      </c>
      <c r="CL95" s="352">
        <f t="shared" si="106"/>
        <v>0</v>
      </c>
      <c r="CM95" s="352">
        <f t="shared" si="107"/>
        <v>0</v>
      </c>
      <c r="CN95" s="352">
        <f t="shared" si="108"/>
        <v>0</v>
      </c>
      <c r="EX95" s="10" t="str">
        <f t="shared" si="78"/>
        <v/>
      </c>
    </row>
    <row r="96" spans="1:154" hidden="1" x14ac:dyDescent="0.25">
      <c r="A96" s="362" cm="1">
        <f t="array" aca="1" ref="A96" ca="1">HYPERLINK(CONCATENATE("#",CELL("address",IF(SUM($CA96:$CG96)=0,A96,INDEX($CA96:$CG96,MATCH(1,$CA96:$CG96,0))))),SUM($CA96:$CG96))</f>
        <v>0</v>
      </c>
      <c r="B96" s="93"/>
      <c r="C96" s="383"/>
      <c r="D96" s="137" t="s">
        <v>2316</v>
      </c>
      <c r="E96" s="136"/>
      <c r="F96" s="98" t="str" cm="1">
        <f t="array" aca="1" ref="F96" ca="1">IF(E96="", "", HYPERLINK(CONCATENATE("#",CELL("address",INDEX('I&amp;E Profiles'!$D$9:$D$93,'I&amp;E Annual'!I96))),E96))</f>
        <v/>
      </c>
      <c r="G96" s="136"/>
      <c r="I96" s="200" t="str">
        <f>IF(E96="", "", MATCH(E96, 'I&amp;E Profiles'!$D$96:$D$180,0))</f>
        <v/>
      </c>
      <c r="J96" s="215">
        <f>IF($G96=$G$7, W96,'I&amp;E Monthly'!W96)-SUMIFS('I&amp;E Monthly'!$AA96:$BJ96, 'I&amp;E Monthly'!$AA$3:$BJ$3, 'I&amp;E Annual'!W$3, 'I&amp;E Monthly'!$AA$4:$BJ$4, 0)</f>
        <v>0</v>
      </c>
      <c r="K96" s="215">
        <f>IF($G96=$G$7, X96,'I&amp;E Monthly'!X96)-SUMIFS('I&amp;E Monthly'!$AA96:$BJ96, 'I&amp;E Monthly'!$AA$3:$BJ$3, 'I&amp;E Annual'!X$3, 'I&amp;E Monthly'!$AA$4:$BJ$4, 0)</f>
        <v>0</v>
      </c>
      <c r="L96" s="215">
        <f>IF($G96=$G$7, Y96,'I&amp;E Monthly'!Y96)-SUMIFS('I&amp;E Monthly'!$AA96:$BJ96, 'I&amp;E Monthly'!$AA$3:$BJ$3, 'I&amp;E Annual'!Y$3, 'I&amp;E Monthly'!$AA$4:$BJ$4, 0)</f>
        <v>0</v>
      </c>
      <c r="M96" s="335"/>
      <c r="N96" s="335"/>
      <c r="O96" s="335"/>
      <c r="P96" s="335"/>
      <c r="Q96" s="2"/>
      <c r="R96" s="335"/>
      <c r="S96" s="335"/>
      <c r="T96" s="335"/>
      <c r="U96" s="335"/>
      <c r="V96" s="201">
        <f>'I&amp;E Monthly'!V96</f>
        <v>0</v>
      </c>
      <c r="W96" s="136"/>
      <c r="X96" s="136"/>
      <c r="Y96" s="136"/>
      <c r="Z96" s="335"/>
      <c r="AA96" s="153" cm="1">
        <f t="array" ref="AA96">IF(OR(AA$4=0, $G96&lt;&gt; $G$7, $E96=0), 'I&amp;E Monthly'!AA96, CHOOSE(Timeline!AA$30,$J96,$K96,$L96 )*INDEX('I&amp;E Profiles'!AA$96:AA$180,$I96))</f>
        <v>0</v>
      </c>
      <c r="AB96" s="153" cm="1">
        <f t="array" ref="AB96">IF(OR(AB$4=0, $G96&lt;&gt; $G$7, $E96=0), 'I&amp;E Monthly'!AB96, CHOOSE(Timeline!AB$30,$J96,$K96,$L96 )*INDEX('I&amp;E Profiles'!AB$96:AB$180,$I96))</f>
        <v>0</v>
      </c>
      <c r="AC96" s="153" cm="1">
        <f t="array" ref="AC96">IF(OR(AC$4=0, $G96&lt;&gt; $G$7, $E96=0), 'I&amp;E Monthly'!AC96, CHOOSE(Timeline!AC$30,$J96,$K96,$L96 )*INDEX('I&amp;E Profiles'!AC$96:AC$180,$I96))</f>
        <v>0</v>
      </c>
      <c r="AD96" s="153" cm="1">
        <f t="array" ref="AD96">IF(OR(AD$4=0, $G96&lt;&gt; $G$7, $E96=0), 'I&amp;E Monthly'!AD96, CHOOSE(Timeline!AD$30,$J96,$K96,$L96 )*INDEX('I&amp;E Profiles'!AD$96:AD$180,$I96))</f>
        <v>0</v>
      </c>
      <c r="AE96" s="153" cm="1">
        <f t="array" ref="AE96">IF(OR(AE$4=0, $G96&lt;&gt; $G$7, $E96=0), 'I&amp;E Monthly'!AE96, CHOOSE(Timeline!AE$30,$J96,$K96,$L96 )*INDEX('I&amp;E Profiles'!AE$96:AE$180,$I96))</f>
        <v>0</v>
      </c>
      <c r="AF96" s="153" cm="1">
        <f t="array" ref="AF96">IF(OR(AF$4=0, $G96&lt;&gt; $G$7, $E96=0), 'I&amp;E Monthly'!AF96, CHOOSE(Timeline!AF$30,$J96,$K96,$L96 )*INDEX('I&amp;E Profiles'!AF$96:AF$180,$I96))</f>
        <v>0</v>
      </c>
      <c r="AG96" s="153" cm="1">
        <f t="array" ref="AG96">IF(OR(AG$4=0, $G96&lt;&gt; $G$7, $E96=0), 'I&amp;E Monthly'!AG96, CHOOSE(Timeline!AG$30,$J96,$K96,$L96 )*INDEX('I&amp;E Profiles'!AG$96:AG$180,$I96))</f>
        <v>0</v>
      </c>
      <c r="AH96" s="153" cm="1">
        <f t="array" ref="AH96">IF(OR(AH$4=0, $G96&lt;&gt; $G$7, $E96=0), 'I&amp;E Monthly'!AH96, CHOOSE(Timeline!AH$30,$J96,$K96,$L96 )*INDEX('I&amp;E Profiles'!AH$96:AH$180,$I96))</f>
        <v>0</v>
      </c>
      <c r="AI96" s="153" cm="1">
        <f t="array" ref="AI96">IF(OR(AI$4=0, $G96&lt;&gt; $G$7, $E96=0), 'I&amp;E Monthly'!AI96, CHOOSE(Timeline!AI$30,$J96,$K96,$L96 )*INDEX('I&amp;E Profiles'!AI$96:AI$180,$I96))</f>
        <v>0</v>
      </c>
      <c r="AJ96" s="153" cm="1">
        <f t="array" ref="AJ96">IF(OR(AJ$4=0, $G96&lt;&gt; $G$7, $E96=0), 'I&amp;E Monthly'!AJ96, CHOOSE(Timeline!AJ$30,$J96,$K96,$L96 )*INDEX('I&amp;E Profiles'!AJ$96:AJ$180,$I96))</f>
        <v>0</v>
      </c>
      <c r="AK96" s="153" cm="1">
        <f t="array" ref="AK96">IF(OR(AK$4=0, $G96&lt;&gt; $G$7, $E96=0), 'I&amp;E Monthly'!AK96, CHOOSE(Timeline!AK$30,$J96,$K96,$L96 )*INDEX('I&amp;E Profiles'!AK$96:AK$180,$I96))</f>
        <v>0</v>
      </c>
      <c r="AL96" s="153" cm="1">
        <f t="array" ref="AL96">IF(OR(AL$4=0, $G96&lt;&gt; $G$7, $E96=0), 'I&amp;E Monthly'!AL96, CHOOSE(Timeline!AL$30,$J96,$K96,$L96 )*INDEX('I&amp;E Profiles'!AL$96:AL$180,$I96))</f>
        <v>0</v>
      </c>
      <c r="AM96" s="153" cm="1">
        <f t="array" ref="AM96">IF(OR(AM$4=0, $G96&lt;&gt; $G$7, $E96=0), 'I&amp;E Monthly'!AM96, CHOOSE(Timeline!AM$30,$J96,$K96,$L96 )*INDEX('I&amp;E Profiles'!AM$96:AM$180,$I96))</f>
        <v>0</v>
      </c>
      <c r="AN96" s="153" cm="1">
        <f t="array" ref="AN96">IF(OR(AN$4=0, $G96&lt;&gt; $G$7, $E96=0), 'I&amp;E Monthly'!AN96, CHOOSE(Timeline!AN$30,$J96,$K96,$L96 )*INDEX('I&amp;E Profiles'!AN$96:AN$180,$I96))</f>
        <v>0</v>
      </c>
      <c r="AO96" s="153" cm="1">
        <f t="array" ref="AO96">IF(OR(AO$4=0, $G96&lt;&gt; $G$7, $E96=0), 'I&amp;E Monthly'!AO96, CHOOSE(Timeline!AO$30,$J96,$K96,$L96 )*INDEX('I&amp;E Profiles'!AO$96:AO$180,$I96))</f>
        <v>0</v>
      </c>
      <c r="AP96" s="153" cm="1">
        <f t="array" ref="AP96">IF(OR(AP$4=0, $G96&lt;&gt; $G$7, $E96=0), 'I&amp;E Monthly'!AP96, CHOOSE(Timeline!AP$30,$J96,$K96,$L96 )*INDEX('I&amp;E Profiles'!AP$96:AP$180,$I96))</f>
        <v>0</v>
      </c>
      <c r="AQ96" s="153" cm="1">
        <f t="array" ref="AQ96">IF(OR(AQ$4=0, $G96&lt;&gt; $G$7, $E96=0), 'I&amp;E Monthly'!AQ96, CHOOSE(Timeline!AQ$30,$J96,$K96,$L96 )*INDEX('I&amp;E Profiles'!AQ$96:AQ$180,$I96))</f>
        <v>0</v>
      </c>
      <c r="AR96" s="153" cm="1">
        <f t="array" ref="AR96">IF(OR(AR$4=0, $G96&lt;&gt; $G$7, $E96=0), 'I&amp;E Monthly'!AR96, CHOOSE(Timeline!AR$30,$J96,$K96,$L96 )*INDEX('I&amp;E Profiles'!AR$96:AR$180,$I96))</f>
        <v>0</v>
      </c>
      <c r="AS96" s="153" cm="1">
        <f t="array" ref="AS96">IF(OR(AS$4=0, $G96&lt;&gt; $G$7, $E96=0), 'I&amp;E Monthly'!AS96, CHOOSE(Timeline!AS$30,$J96,$K96,$L96 )*INDEX('I&amp;E Profiles'!AS$96:AS$180,$I96))</f>
        <v>0</v>
      </c>
      <c r="AT96" s="153" cm="1">
        <f t="array" ref="AT96">IF(OR(AT$4=0, $G96&lt;&gt; $G$7, $E96=0), 'I&amp;E Monthly'!AT96, CHOOSE(Timeline!AT$30,$J96,$K96,$L96 )*INDEX('I&amp;E Profiles'!AT$96:AT$180,$I96))</f>
        <v>0</v>
      </c>
      <c r="AU96" s="153" cm="1">
        <f t="array" ref="AU96">IF(OR(AU$4=0, $G96&lt;&gt; $G$7, $E96=0), 'I&amp;E Monthly'!AU96, CHOOSE(Timeline!AU$30,$J96,$K96,$L96 )*INDEX('I&amp;E Profiles'!AU$96:AU$180,$I96))</f>
        <v>0</v>
      </c>
      <c r="AV96" s="153" cm="1">
        <f t="array" ref="AV96">IF(OR(AV$4=0, $G96&lt;&gt; $G$7, $E96=0), 'I&amp;E Monthly'!AV96, CHOOSE(Timeline!AV$30,$J96,$K96,$L96 )*INDEX('I&amp;E Profiles'!AV$96:AV$180,$I96))</f>
        <v>0</v>
      </c>
      <c r="AW96" s="153" cm="1">
        <f t="array" ref="AW96">IF(OR(AW$4=0, $G96&lt;&gt; $G$7, $E96=0), 'I&amp;E Monthly'!AW96, CHOOSE(Timeline!AW$30,$J96,$K96,$L96 )*INDEX('I&amp;E Profiles'!AW$96:AW$180,$I96))</f>
        <v>0</v>
      </c>
      <c r="AX96" s="153" cm="1">
        <f t="array" ref="AX96">IF(OR(AX$4=0, $G96&lt;&gt; $G$7, $E96=0), 'I&amp;E Monthly'!AX96, CHOOSE(Timeline!AX$30,$J96,$K96,$L96 )*INDEX('I&amp;E Profiles'!AX$96:AX$180,$I96))</f>
        <v>0</v>
      </c>
      <c r="AY96" s="153" cm="1">
        <f t="array" ref="AY96">IF(OR(AY$4=0, $G96&lt;&gt; $G$7, $E96=0), 'I&amp;E Monthly'!AY96, CHOOSE(Timeline!AY$30,$J96,$K96,$L96 )*INDEX('I&amp;E Profiles'!AY$96:AY$180,$I96))</f>
        <v>0</v>
      </c>
      <c r="AZ96" s="153" cm="1">
        <f t="array" ref="AZ96">IF(OR(AZ$4=0, $G96&lt;&gt; $G$7, $E96=0), 'I&amp;E Monthly'!AZ96, CHOOSE(Timeline!AZ$30,$J96,$K96,$L96 )*INDEX('I&amp;E Profiles'!AZ$96:AZ$180,$I96))</f>
        <v>0</v>
      </c>
      <c r="BA96" s="153" cm="1">
        <f t="array" ref="BA96">IF(OR(BA$4=0, $G96&lt;&gt; $G$7, $E96=0), 'I&amp;E Monthly'!BA96, CHOOSE(Timeline!BA$30,$J96,$K96,$L96 )*INDEX('I&amp;E Profiles'!BA$96:BA$180,$I96))</f>
        <v>0</v>
      </c>
      <c r="BB96" s="153" cm="1">
        <f t="array" ref="BB96">IF(OR(BB$4=0, $G96&lt;&gt; $G$7, $E96=0), 'I&amp;E Monthly'!BB96, CHOOSE(Timeline!BB$30,$J96,$K96,$L96 )*INDEX('I&amp;E Profiles'!BB$96:BB$180,$I96))</f>
        <v>0</v>
      </c>
      <c r="BC96" s="153" cm="1">
        <f t="array" ref="BC96">IF(OR(BC$4=0, $G96&lt;&gt; $G$7, $E96=0), 'I&amp;E Monthly'!BC96, CHOOSE(Timeline!BC$30,$J96,$K96,$L96 )*INDEX('I&amp;E Profiles'!BC$96:BC$180,$I96))</f>
        <v>0</v>
      </c>
      <c r="BD96" s="153" cm="1">
        <f t="array" ref="BD96">IF(OR(BD$4=0, $G96&lt;&gt; $G$7, $E96=0), 'I&amp;E Monthly'!BD96, CHOOSE(Timeline!BD$30,$J96,$K96,$L96 )*INDEX('I&amp;E Profiles'!BD$96:BD$180,$I96))</f>
        <v>0</v>
      </c>
      <c r="BE96" s="153" cm="1">
        <f t="array" ref="BE96">IF(OR(BE$4=0, $G96&lt;&gt; $G$7, $E96=0), 'I&amp;E Monthly'!BE96, CHOOSE(Timeline!BE$30,$J96,$K96,$L96 )*INDEX('I&amp;E Profiles'!BE$96:BE$180,$I96))</f>
        <v>0</v>
      </c>
      <c r="BF96" s="153" cm="1">
        <f t="array" ref="BF96">IF(OR(BF$4=0, $G96&lt;&gt; $G$7, $E96=0), 'I&amp;E Monthly'!BF96, CHOOSE(Timeline!BF$30,$J96,$K96,$L96 )*INDEX('I&amp;E Profiles'!BF$96:BF$180,$I96))</f>
        <v>0</v>
      </c>
      <c r="BG96" s="153" cm="1">
        <f t="array" ref="BG96">IF(OR(BG$4=0, $G96&lt;&gt; $G$7, $E96=0), 'I&amp;E Monthly'!BG96, CHOOSE(Timeline!BG$30,$J96,$K96,$L96 )*INDEX('I&amp;E Profiles'!BG$96:BG$180,$I96))</f>
        <v>0</v>
      </c>
      <c r="BH96" s="153" cm="1">
        <f t="array" ref="BH96">IF(OR(BH$4=0, $G96&lt;&gt; $G$7, $E96=0), 'I&amp;E Monthly'!BH96, CHOOSE(Timeline!BH$30,$J96,$K96,$L96 )*INDEX('I&amp;E Profiles'!BH$96:BH$180,$I96))</f>
        <v>0</v>
      </c>
      <c r="BI96" s="153" cm="1">
        <f t="array" ref="BI96">IF(OR(BI$4=0, $G96&lt;&gt; $G$7, $E96=0), 'I&amp;E Monthly'!BI96, CHOOSE(Timeline!BI$30,$J96,$K96,$L96 )*INDEX('I&amp;E Profiles'!BI$96:BI$180,$I96))</f>
        <v>0</v>
      </c>
      <c r="BJ96" s="153" cm="1">
        <f t="array" ref="BJ96">IF(OR(BJ$4=0, $G96&lt;&gt; $G$7, $E96=0), 'I&amp;E Monthly'!BJ96, CHOOSE(Timeline!BJ$30,$J96,$K96,$L96 )*INDEX('I&amp;E Profiles'!BJ$96:BJ$180,$I96))</f>
        <v>0</v>
      </c>
      <c r="BK96" s="335"/>
      <c r="BL96" s="13">
        <f t="shared" si="95"/>
        <v>0</v>
      </c>
      <c r="BM96" s="153">
        <f t="shared" si="96"/>
        <v>0</v>
      </c>
      <c r="BN96" s="153">
        <f t="shared" si="96"/>
        <v>0</v>
      </c>
      <c r="BO96" s="153">
        <f t="shared" si="96"/>
        <v>0</v>
      </c>
      <c r="BP96" s="13">
        <f>'I&amp;E Monthly'!BP96</f>
        <v>0</v>
      </c>
      <c r="BQ96" s="13">
        <f>'I&amp;E Monthly'!BQ96</f>
        <v>0</v>
      </c>
      <c r="BR96" s="13">
        <f>'I&amp;E Monthly'!BR96</f>
        <v>0</v>
      </c>
      <c r="BS96" s="13">
        <f>'I&amp;E Monthly'!BS96</f>
        <v>0</v>
      </c>
      <c r="BT96" s="13">
        <f>'I&amp;E Monthly'!BT96</f>
        <v>0</v>
      </c>
      <c r="BU96" s="13">
        <f>'I&amp;E Monthly'!BU96</f>
        <v>0</v>
      </c>
      <c r="BV96" s="13">
        <f>'I&amp;E Monthly'!BV96</f>
        <v>0</v>
      </c>
      <c r="BW96" s="13">
        <f>'I&amp;E Monthly'!BW96</f>
        <v>0</v>
      </c>
      <c r="BX96" s="335"/>
      <c r="BY96" s="12"/>
      <c r="BZ96" s="363">
        <f t="shared" ca="1" si="97"/>
        <v>0</v>
      </c>
      <c r="CA96" s="12"/>
      <c r="CB96" s="7">
        <f t="shared" si="98"/>
        <v>0</v>
      </c>
      <c r="CC96" s="188" cm="1">
        <f t="array" ref="CC96">IF(E96="",0, IF(_xlfn.IFNA(INDEX('I&amp;E Profiles'!$D$96:$D$180, $I96), "N/A")="N/A", 1, 0))</f>
        <v>0</v>
      </c>
      <c r="CD96" s="7">
        <f t="shared" si="99"/>
        <v>0</v>
      </c>
      <c r="CE96" s="7">
        <f t="shared" si="100"/>
        <v>0</v>
      </c>
      <c r="CF96" s="7">
        <f t="shared" si="101"/>
        <v>0</v>
      </c>
      <c r="CG96" s="12"/>
      <c r="CH96" s="352">
        <f t="shared" si="102"/>
        <v>0</v>
      </c>
      <c r="CI96" s="352">
        <f t="shared" si="103"/>
        <v>0</v>
      </c>
      <c r="CJ96" s="352">
        <f t="shared" si="104"/>
        <v>0</v>
      </c>
      <c r="CK96" s="352">
        <f t="shared" si="105"/>
        <v>0</v>
      </c>
      <c r="CL96" s="352">
        <f t="shared" si="106"/>
        <v>0</v>
      </c>
      <c r="CM96" s="352">
        <f t="shared" si="107"/>
        <v>0</v>
      </c>
      <c r="CN96" s="352">
        <f t="shared" si="108"/>
        <v>0</v>
      </c>
      <c r="EX96" s="10" t="str">
        <f t="shared" si="78"/>
        <v/>
      </c>
    </row>
    <row r="97" spans="1:154" hidden="1" x14ac:dyDescent="0.25">
      <c r="A97" s="362" cm="1">
        <f t="array" aca="1" ref="A97" ca="1">HYPERLINK(CONCATENATE("#",CELL("address",IF(SUM($CA97:$CG97)=0,A97,INDEX($CA97:$CG97,MATCH(1,$CA97:$CG97,0))))),SUM($CA97:$CG97))</f>
        <v>0</v>
      </c>
      <c r="B97" s="93"/>
      <c r="C97" s="383"/>
      <c r="D97" s="137" t="s">
        <v>2316</v>
      </c>
      <c r="E97" s="136"/>
      <c r="F97" s="98" t="str" cm="1">
        <f t="array" aca="1" ref="F97" ca="1">IF(E97="", "", HYPERLINK(CONCATENATE("#",CELL("address",INDEX('I&amp;E Profiles'!$D$9:$D$93,'I&amp;E Annual'!I97))),E97))</f>
        <v/>
      </c>
      <c r="G97" s="136"/>
      <c r="I97" s="200" t="str">
        <f>IF(E97="", "", MATCH(E97, 'I&amp;E Profiles'!$D$96:$D$180,0))</f>
        <v/>
      </c>
      <c r="J97" s="215">
        <f>IF($G97=$G$7, W97,'I&amp;E Monthly'!W97)-SUMIFS('I&amp;E Monthly'!$AA97:$BJ97, 'I&amp;E Monthly'!$AA$3:$BJ$3, 'I&amp;E Annual'!W$3, 'I&amp;E Monthly'!$AA$4:$BJ$4, 0)</f>
        <v>0</v>
      </c>
      <c r="K97" s="215">
        <f>IF($G97=$G$7, X97,'I&amp;E Monthly'!X97)-SUMIFS('I&amp;E Monthly'!$AA97:$BJ97, 'I&amp;E Monthly'!$AA$3:$BJ$3, 'I&amp;E Annual'!X$3, 'I&amp;E Monthly'!$AA$4:$BJ$4, 0)</f>
        <v>0</v>
      </c>
      <c r="L97" s="215">
        <f>IF($G97=$G$7, Y97,'I&amp;E Monthly'!Y97)-SUMIFS('I&amp;E Monthly'!$AA97:$BJ97, 'I&amp;E Monthly'!$AA$3:$BJ$3, 'I&amp;E Annual'!Y$3, 'I&amp;E Monthly'!$AA$4:$BJ$4, 0)</f>
        <v>0</v>
      </c>
      <c r="M97" s="335"/>
      <c r="N97" s="335"/>
      <c r="O97" s="335"/>
      <c r="P97" s="335"/>
      <c r="Q97" s="2"/>
      <c r="R97" s="335"/>
      <c r="S97" s="335"/>
      <c r="T97" s="335"/>
      <c r="U97" s="335"/>
      <c r="V97" s="201">
        <f>'I&amp;E Monthly'!V97</f>
        <v>0</v>
      </c>
      <c r="W97" s="136"/>
      <c r="X97" s="136"/>
      <c r="Y97" s="136"/>
      <c r="Z97" s="335"/>
      <c r="AA97" s="153" cm="1">
        <f t="array" ref="AA97">IF(OR(AA$4=0, $G97&lt;&gt; $G$7, $E97=0), 'I&amp;E Monthly'!AA97, CHOOSE(Timeline!AA$30,$J97,$K97,$L97 )*INDEX('I&amp;E Profiles'!AA$96:AA$180,$I97))</f>
        <v>0</v>
      </c>
      <c r="AB97" s="153" cm="1">
        <f t="array" ref="AB97">IF(OR(AB$4=0, $G97&lt;&gt; $G$7, $E97=0), 'I&amp;E Monthly'!AB97, CHOOSE(Timeline!AB$30,$J97,$K97,$L97 )*INDEX('I&amp;E Profiles'!AB$96:AB$180,$I97))</f>
        <v>0</v>
      </c>
      <c r="AC97" s="153" cm="1">
        <f t="array" ref="AC97">IF(OR(AC$4=0, $G97&lt;&gt; $G$7, $E97=0), 'I&amp;E Monthly'!AC97, CHOOSE(Timeline!AC$30,$J97,$K97,$L97 )*INDEX('I&amp;E Profiles'!AC$96:AC$180,$I97))</f>
        <v>0</v>
      </c>
      <c r="AD97" s="153" cm="1">
        <f t="array" ref="AD97">IF(OR(AD$4=0, $G97&lt;&gt; $G$7, $E97=0), 'I&amp;E Monthly'!AD97, CHOOSE(Timeline!AD$30,$J97,$K97,$L97 )*INDEX('I&amp;E Profiles'!AD$96:AD$180,$I97))</f>
        <v>0</v>
      </c>
      <c r="AE97" s="153" cm="1">
        <f t="array" ref="AE97">IF(OR(AE$4=0, $G97&lt;&gt; $G$7, $E97=0), 'I&amp;E Monthly'!AE97, CHOOSE(Timeline!AE$30,$J97,$K97,$L97 )*INDEX('I&amp;E Profiles'!AE$96:AE$180,$I97))</f>
        <v>0</v>
      </c>
      <c r="AF97" s="153" cm="1">
        <f t="array" ref="AF97">IF(OR(AF$4=0, $G97&lt;&gt; $G$7, $E97=0), 'I&amp;E Monthly'!AF97, CHOOSE(Timeline!AF$30,$J97,$K97,$L97 )*INDEX('I&amp;E Profiles'!AF$96:AF$180,$I97))</f>
        <v>0</v>
      </c>
      <c r="AG97" s="153" cm="1">
        <f t="array" ref="AG97">IF(OR(AG$4=0, $G97&lt;&gt; $G$7, $E97=0), 'I&amp;E Monthly'!AG97, CHOOSE(Timeline!AG$30,$J97,$K97,$L97 )*INDEX('I&amp;E Profiles'!AG$96:AG$180,$I97))</f>
        <v>0</v>
      </c>
      <c r="AH97" s="153" cm="1">
        <f t="array" ref="AH97">IF(OR(AH$4=0, $G97&lt;&gt; $G$7, $E97=0), 'I&amp;E Monthly'!AH97, CHOOSE(Timeline!AH$30,$J97,$K97,$L97 )*INDEX('I&amp;E Profiles'!AH$96:AH$180,$I97))</f>
        <v>0</v>
      </c>
      <c r="AI97" s="153" cm="1">
        <f t="array" ref="AI97">IF(OR(AI$4=0, $G97&lt;&gt; $G$7, $E97=0), 'I&amp;E Monthly'!AI97, CHOOSE(Timeline!AI$30,$J97,$K97,$L97 )*INDEX('I&amp;E Profiles'!AI$96:AI$180,$I97))</f>
        <v>0</v>
      </c>
      <c r="AJ97" s="153" cm="1">
        <f t="array" ref="AJ97">IF(OR(AJ$4=0, $G97&lt;&gt; $G$7, $E97=0), 'I&amp;E Monthly'!AJ97, CHOOSE(Timeline!AJ$30,$J97,$K97,$L97 )*INDEX('I&amp;E Profiles'!AJ$96:AJ$180,$I97))</f>
        <v>0</v>
      </c>
      <c r="AK97" s="153" cm="1">
        <f t="array" ref="AK97">IF(OR(AK$4=0, $G97&lt;&gt; $G$7, $E97=0), 'I&amp;E Monthly'!AK97, CHOOSE(Timeline!AK$30,$J97,$K97,$L97 )*INDEX('I&amp;E Profiles'!AK$96:AK$180,$I97))</f>
        <v>0</v>
      </c>
      <c r="AL97" s="153" cm="1">
        <f t="array" ref="AL97">IF(OR(AL$4=0, $G97&lt;&gt; $G$7, $E97=0), 'I&amp;E Monthly'!AL97, CHOOSE(Timeline!AL$30,$J97,$K97,$L97 )*INDEX('I&amp;E Profiles'!AL$96:AL$180,$I97))</f>
        <v>0</v>
      </c>
      <c r="AM97" s="153" cm="1">
        <f t="array" ref="AM97">IF(OR(AM$4=0, $G97&lt;&gt; $G$7, $E97=0), 'I&amp;E Monthly'!AM97, CHOOSE(Timeline!AM$30,$J97,$K97,$L97 )*INDEX('I&amp;E Profiles'!AM$96:AM$180,$I97))</f>
        <v>0</v>
      </c>
      <c r="AN97" s="153" cm="1">
        <f t="array" ref="AN97">IF(OR(AN$4=0, $G97&lt;&gt; $G$7, $E97=0), 'I&amp;E Monthly'!AN97, CHOOSE(Timeline!AN$30,$J97,$K97,$L97 )*INDEX('I&amp;E Profiles'!AN$96:AN$180,$I97))</f>
        <v>0</v>
      </c>
      <c r="AO97" s="153" cm="1">
        <f t="array" ref="AO97">IF(OR(AO$4=0, $G97&lt;&gt; $G$7, $E97=0), 'I&amp;E Monthly'!AO97, CHOOSE(Timeline!AO$30,$J97,$K97,$L97 )*INDEX('I&amp;E Profiles'!AO$96:AO$180,$I97))</f>
        <v>0</v>
      </c>
      <c r="AP97" s="153" cm="1">
        <f t="array" ref="AP97">IF(OR(AP$4=0, $G97&lt;&gt; $G$7, $E97=0), 'I&amp;E Monthly'!AP97, CHOOSE(Timeline!AP$30,$J97,$K97,$L97 )*INDEX('I&amp;E Profiles'!AP$96:AP$180,$I97))</f>
        <v>0</v>
      </c>
      <c r="AQ97" s="153" cm="1">
        <f t="array" ref="AQ97">IF(OR(AQ$4=0, $G97&lt;&gt; $G$7, $E97=0), 'I&amp;E Monthly'!AQ97, CHOOSE(Timeline!AQ$30,$J97,$K97,$L97 )*INDEX('I&amp;E Profiles'!AQ$96:AQ$180,$I97))</f>
        <v>0</v>
      </c>
      <c r="AR97" s="153" cm="1">
        <f t="array" ref="AR97">IF(OR(AR$4=0, $G97&lt;&gt; $G$7, $E97=0), 'I&amp;E Monthly'!AR97, CHOOSE(Timeline!AR$30,$J97,$K97,$L97 )*INDEX('I&amp;E Profiles'!AR$96:AR$180,$I97))</f>
        <v>0</v>
      </c>
      <c r="AS97" s="153" cm="1">
        <f t="array" ref="AS97">IF(OR(AS$4=0, $G97&lt;&gt; $G$7, $E97=0), 'I&amp;E Monthly'!AS97, CHOOSE(Timeline!AS$30,$J97,$K97,$L97 )*INDEX('I&amp;E Profiles'!AS$96:AS$180,$I97))</f>
        <v>0</v>
      </c>
      <c r="AT97" s="153" cm="1">
        <f t="array" ref="AT97">IF(OR(AT$4=0, $G97&lt;&gt; $G$7, $E97=0), 'I&amp;E Monthly'!AT97, CHOOSE(Timeline!AT$30,$J97,$K97,$L97 )*INDEX('I&amp;E Profiles'!AT$96:AT$180,$I97))</f>
        <v>0</v>
      </c>
      <c r="AU97" s="153" cm="1">
        <f t="array" ref="AU97">IF(OR(AU$4=0, $G97&lt;&gt; $G$7, $E97=0), 'I&amp;E Monthly'!AU97, CHOOSE(Timeline!AU$30,$J97,$K97,$L97 )*INDEX('I&amp;E Profiles'!AU$96:AU$180,$I97))</f>
        <v>0</v>
      </c>
      <c r="AV97" s="153" cm="1">
        <f t="array" ref="AV97">IF(OR(AV$4=0, $G97&lt;&gt; $G$7, $E97=0), 'I&amp;E Monthly'!AV97, CHOOSE(Timeline!AV$30,$J97,$K97,$L97 )*INDEX('I&amp;E Profiles'!AV$96:AV$180,$I97))</f>
        <v>0</v>
      </c>
      <c r="AW97" s="153" cm="1">
        <f t="array" ref="AW97">IF(OR(AW$4=0, $G97&lt;&gt; $G$7, $E97=0), 'I&amp;E Monthly'!AW97, CHOOSE(Timeline!AW$30,$J97,$K97,$L97 )*INDEX('I&amp;E Profiles'!AW$96:AW$180,$I97))</f>
        <v>0</v>
      </c>
      <c r="AX97" s="153" cm="1">
        <f t="array" ref="AX97">IF(OR(AX$4=0, $G97&lt;&gt; $G$7, $E97=0), 'I&amp;E Monthly'!AX97, CHOOSE(Timeline!AX$30,$J97,$K97,$L97 )*INDEX('I&amp;E Profiles'!AX$96:AX$180,$I97))</f>
        <v>0</v>
      </c>
      <c r="AY97" s="153" cm="1">
        <f t="array" ref="AY97">IF(OR(AY$4=0, $G97&lt;&gt; $G$7, $E97=0), 'I&amp;E Monthly'!AY97, CHOOSE(Timeline!AY$30,$J97,$K97,$L97 )*INDEX('I&amp;E Profiles'!AY$96:AY$180,$I97))</f>
        <v>0</v>
      </c>
      <c r="AZ97" s="153" cm="1">
        <f t="array" ref="AZ97">IF(OR(AZ$4=0, $G97&lt;&gt; $G$7, $E97=0), 'I&amp;E Monthly'!AZ97, CHOOSE(Timeline!AZ$30,$J97,$K97,$L97 )*INDEX('I&amp;E Profiles'!AZ$96:AZ$180,$I97))</f>
        <v>0</v>
      </c>
      <c r="BA97" s="153" cm="1">
        <f t="array" ref="BA97">IF(OR(BA$4=0, $G97&lt;&gt; $G$7, $E97=0), 'I&amp;E Monthly'!BA97, CHOOSE(Timeline!BA$30,$J97,$K97,$L97 )*INDEX('I&amp;E Profiles'!BA$96:BA$180,$I97))</f>
        <v>0</v>
      </c>
      <c r="BB97" s="153" cm="1">
        <f t="array" ref="BB97">IF(OR(BB$4=0, $G97&lt;&gt; $G$7, $E97=0), 'I&amp;E Monthly'!BB97, CHOOSE(Timeline!BB$30,$J97,$K97,$L97 )*INDEX('I&amp;E Profiles'!BB$96:BB$180,$I97))</f>
        <v>0</v>
      </c>
      <c r="BC97" s="153" cm="1">
        <f t="array" ref="BC97">IF(OR(BC$4=0, $G97&lt;&gt; $G$7, $E97=0), 'I&amp;E Monthly'!BC97, CHOOSE(Timeline!BC$30,$J97,$K97,$L97 )*INDEX('I&amp;E Profiles'!BC$96:BC$180,$I97))</f>
        <v>0</v>
      </c>
      <c r="BD97" s="153" cm="1">
        <f t="array" ref="BD97">IF(OR(BD$4=0, $G97&lt;&gt; $G$7, $E97=0), 'I&amp;E Monthly'!BD97, CHOOSE(Timeline!BD$30,$J97,$K97,$L97 )*INDEX('I&amp;E Profiles'!BD$96:BD$180,$I97))</f>
        <v>0</v>
      </c>
      <c r="BE97" s="153" cm="1">
        <f t="array" ref="BE97">IF(OR(BE$4=0, $G97&lt;&gt; $G$7, $E97=0), 'I&amp;E Monthly'!BE97, CHOOSE(Timeline!BE$30,$J97,$K97,$L97 )*INDEX('I&amp;E Profiles'!BE$96:BE$180,$I97))</f>
        <v>0</v>
      </c>
      <c r="BF97" s="153" cm="1">
        <f t="array" ref="BF97">IF(OR(BF$4=0, $G97&lt;&gt; $G$7, $E97=0), 'I&amp;E Monthly'!BF97, CHOOSE(Timeline!BF$30,$J97,$K97,$L97 )*INDEX('I&amp;E Profiles'!BF$96:BF$180,$I97))</f>
        <v>0</v>
      </c>
      <c r="BG97" s="153" cm="1">
        <f t="array" ref="BG97">IF(OR(BG$4=0, $G97&lt;&gt; $G$7, $E97=0), 'I&amp;E Monthly'!BG97, CHOOSE(Timeline!BG$30,$J97,$K97,$L97 )*INDEX('I&amp;E Profiles'!BG$96:BG$180,$I97))</f>
        <v>0</v>
      </c>
      <c r="BH97" s="153" cm="1">
        <f t="array" ref="BH97">IF(OR(BH$4=0, $G97&lt;&gt; $G$7, $E97=0), 'I&amp;E Monthly'!BH97, CHOOSE(Timeline!BH$30,$J97,$K97,$L97 )*INDEX('I&amp;E Profiles'!BH$96:BH$180,$I97))</f>
        <v>0</v>
      </c>
      <c r="BI97" s="153" cm="1">
        <f t="array" ref="BI97">IF(OR(BI$4=0, $G97&lt;&gt; $G$7, $E97=0), 'I&amp;E Monthly'!BI97, CHOOSE(Timeline!BI$30,$J97,$K97,$L97 )*INDEX('I&amp;E Profiles'!BI$96:BI$180,$I97))</f>
        <v>0</v>
      </c>
      <c r="BJ97" s="153" cm="1">
        <f t="array" ref="BJ97">IF(OR(BJ$4=0, $G97&lt;&gt; $G$7, $E97=0), 'I&amp;E Monthly'!BJ97, CHOOSE(Timeline!BJ$30,$J97,$K97,$L97 )*INDEX('I&amp;E Profiles'!BJ$96:BJ$180,$I97))</f>
        <v>0</v>
      </c>
      <c r="BK97" s="335"/>
      <c r="BL97" s="13">
        <f t="shared" si="95"/>
        <v>0</v>
      </c>
      <c r="BM97" s="153">
        <f t="shared" si="96"/>
        <v>0</v>
      </c>
      <c r="BN97" s="153">
        <f t="shared" si="96"/>
        <v>0</v>
      </c>
      <c r="BO97" s="153">
        <f t="shared" si="96"/>
        <v>0</v>
      </c>
      <c r="BP97" s="13">
        <f>'I&amp;E Monthly'!BP97</f>
        <v>0</v>
      </c>
      <c r="BQ97" s="13">
        <f>'I&amp;E Monthly'!BQ97</f>
        <v>0</v>
      </c>
      <c r="BR97" s="13">
        <f>'I&amp;E Monthly'!BR97</f>
        <v>0</v>
      </c>
      <c r="BS97" s="13">
        <f>'I&amp;E Monthly'!BS97</f>
        <v>0</v>
      </c>
      <c r="BT97" s="13">
        <f>'I&amp;E Monthly'!BT97</f>
        <v>0</v>
      </c>
      <c r="BU97" s="13">
        <f>'I&amp;E Monthly'!BU97</f>
        <v>0</v>
      </c>
      <c r="BV97" s="13">
        <f>'I&amp;E Monthly'!BV97</f>
        <v>0</v>
      </c>
      <c r="BW97" s="13">
        <f>'I&amp;E Monthly'!BW97</f>
        <v>0</v>
      </c>
      <c r="BX97" s="335"/>
      <c r="BY97" s="12"/>
      <c r="BZ97" s="363">
        <f t="shared" ca="1" si="97"/>
        <v>0</v>
      </c>
      <c r="CA97" s="12"/>
      <c r="CB97" s="7">
        <f t="shared" si="98"/>
        <v>0</v>
      </c>
      <c r="CC97" s="188" cm="1">
        <f t="array" ref="CC97">IF(E97="",0, IF(_xlfn.IFNA(INDEX('I&amp;E Profiles'!$D$96:$D$180, $I97), "N/A")="N/A", 1, 0))</f>
        <v>0</v>
      </c>
      <c r="CD97" s="7">
        <f t="shared" si="99"/>
        <v>0</v>
      </c>
      <c r="CE97" s="7">
        <f t="shared" si="100"/>
        <v>0</v>
      </c>
      <c r="CF97" s="7">
        <f t="shared" si="101"/>
        <v>0</v>
      </c>
      <c r="CG97" s="12"/>
      <c r="CH97" s="352">
        <f t="shared" si="102"/>
        <v>0</v>
      </c>
      <c r="CI97" s="352">
        <f t="shared" si="103"/>
        <v>0</v>
      </c>
      <c r="CJ97" s="352">
        <f t="shared" si="104"/>
        <v>0</v>
      </c>
      <c r="CK97" s="352">
        <f t="shared" si="105"/>
        <v>0</v>
      </c>
      <c r="CL97" s="352">
        <f t="shared" si="106"/>
        <v>0</v>
      </c>
      <c r="CM97" s="352">
        <f t="shared" si="107"/>
        <v>0</v>
      </c>
      <c r="CN97" s="352">
        <f t="shared" si="108"/>
        <v>0</v>
      </c>
      <c r="EX97" s="10" t="str">
        <f t="shared" si="78"/>
        <v/>
      </c>
    </row>
    <row r="98" spans="1:154" x14ac:dyDescent="0.25">
      <c r="A98" s="362" cm="1">
        <f t="array" aca="1" ref="A98" ca="1">HYPERLINK(CONCATENATE("#",CELL("address",IF(SUM($CA98:$CG98)=0,A98,INDEX($CA98:$CG98,MATCH(1,$CA98:$CG98,0))))),SUM($CA98:$CG98))</f>
        <v>0</v>
      </c>
      <c r="B98" s="93"/>
      <c r="C98" s="343" t="s">
        <v>477</v>
      </c>
      <c r="D98" s="433" t="s">
        <v>41</v>
      </c>
      <c r="E98" s="25"/>
      <c r="F98" s="25"/>
      <c r="G98" s="25"/>
      <c r="I98" s="25"/>
      <c r="J98" s="25"/>
      <c r="Q98" s="2"/>
      <c r="R98" s="335"/>
      <c r="S98" s="335"/>
      <c r="T98" s="335"/>
      <c r="U98" s="335"/>
      <c r="V98" s="152">
        <f>SUM(V87:V97)</f>
        <v>0</v>
      </c>
      <c r="W98" s="152">
        <f>SUM(W87:W97)</f>
        <v>0</v>
      </c>
      <c r="X98" s="152">
        <f>SUM(X87:X97)</f>
        <v>0</v>
      </c>
      <c r="Y98" s="152">
        <f>SUM(Y87:Y97)</f>
        <v>0</v>
      </c>
      <c r="Z98" s="335"/>
      <c r="AA98" s="152">
        <f t="shared" ref="AA98:BJ98" si="109">SUM(AA87:AA97)</f>
        <v>42</v>
      </c>
      <c r="AB98" s="152">
        <f t="shared" si="109"/>
        <v>64</v>
      </c>
      <c r="AC98" s="152">
        <f t="shared" si="109"/>
        <v>80</v>
      </c>
      <c r="AD98" s="152">
        <f t="shared" si="109"/>
        <v>81</v>
      </c>
      <c r="AE98" s="152">
        <f t="shared" si="109"/>
        <v>99</v>
      </c>
      <c r="AF98" s="152">
        <f t="shared" si="109"/>
        <v>76</v>
      </c>
      <c r="AG98" s="152">
        <f t="shared" si="109"/>
        <v>100</v>
      </c>
      <c r="AH98" s="152">
        <f t="shared" si="109"/>
        <v>103</v>
      </c>
      <c r="AI98" s="152">
        <f t="shared" si="109"/>
        <v>95</v>
      </c>
      <c r="AJ98" s="152">
        <f t="shared" si="109"/>
        <v>114</v>
      </c>
      <c r="AK98" s="152">
        <f t="shared" si="109"/>
        <v>59</v>
      </c>
      <c r="AL98" s="152">
        <f t="shared" si="109"/>
        <v>25</v>
      </c>
      <c r="AM98" s="152">
        <f t="shared" si="109"/>
        <v>54</v>
      </c>
      <c r="AN98" s="152">
        <f t="shared" si="109"/>
        <v>92</v>
      </c>
      <c r="AO98" s="152">
        <f t="shared" si="109"/>
        <v>100</v>
      </c>
      <c r="AP98" s="152">
        <f t="shared" si="109"/>
        <v>111</v>
      </c>
      <c r="AQ98" s="152">
        <f t="shared" si="109"/>
        <v>129</v>
      </c>
      <c r="AR98" s="152">
        <f t="shared" si="109"/>
        <v>109</v>
      </c>
      <c r="AS98" s="152">
        <f t="shared" si="109"/>
        <v>120</v>
      </c>
      <c r="AT98" s="152">
        <f t="shared" si="109"/>
        <v>123</v>
      </c>
      <c r="AU98" s="152">
        <f t="shared" si="109"/>
        <v>115</v>
      </c>
      <c r="AV98" s="152">
        <f t="shared" si="109"/>
        <v>124</v>
      </c>
      <c r="AW98" s="152">
        <f t="shared" si="109"/>
        <v>109</v>
      </c>
      <c r="AX98" s="152">
        <f t="shared" si="109"/>
        <v>64</v>
      </c>
      <c r="AY98" s="152">
        <f t="shared" si="109"/>
        <v>55.12</v>
      </c>
      <c r="AZ98" s="152">
        <f t="shared" si="109"/>
        <v>93.864999999999995</v>
      </c>
      <c r="BA98" s="152">
        <f t="shared" si="109"/>
        <v>101.99</v>
      </c>
      <c r="BB98" s="152">
        <f t="shared" si="109"/>
        <v>113.235</v>
      </c>
      <c r="BC98" s="152">
        <f t="shared" si="109"/>
        <v>131.61500000000001</v>
      </c>
      <c r="BD98" s="152">
        <f t="shared" si="109"/>
        <v>111.22</v>
      </c>
      <c r="BE98" s="152">
        <f t="shared" si="109"/>
        <v>122.39</v>
      </c>
      <c r="BF98" s="152">
        <f t="shared" si="109"/>
        <v>125.455</v>
      </c>
      <c r="BG98" s="152">
        <f t="shared" si="109"/>
        <v>117.32499999999999</v>
      </c>
      <c r="BH98" s="152">
        <f t="shared" si="109"/>
        <v>126.50999999999999</v>
      </c>
      <c r="BI98" s="152">
        <f t="shared" si="109"/>
        <v>111.16499999999999</v>
      </c>
      <c r="BJ98" s="152">
        <f t="shared" si="109"/>
        <v>65.34</v>
      </c>
      <c r="BK98" s="93"/>
      <c r="BL98" s="152">
        <f t="shared" ref="BL98:BW98" si="110">SUM(BL87:BL97)</f>
        <v>0</v>
      </c>
      <c r="BM98" s="152">
        <f t="shared" si="110"/>
        <v>938</v>
      </c>
      <c r="BN98" s="152">
        <f t="shared" si="110"/>
        <v>1250</v>
      </c>
      <c r="BO98" s="152">
        <f t="shared" si="110"/>
        <v>1275.2299999999998</v>
      </c>
      <c r="BP98" s="152">
        <f t="shared" si="110"/>
        <v>0</v>
      </c>
      <c r="BQ98" s="152">
        <f t="shared" si="110"/>
        <v>0</v>
      </c>
      <c r="BR98" s="152">
        <f t="shared" si="110"/>
        <v>0</v>
      </c>
      <c r="BS98" s="152">
        <f t="shared" si="110"/>
        <v>0</v>
      </c>
      <c r="BT98" s="152">
        <f t="shared" si="110"/>
        <v>0</v>
      </c>
      <c r="BU98" s="152">
        <f t="shared" si="110"/>
        <v>0</v>
      </c>
      <c r="BV98" s="152">
        <f t="shared" si="110"/>
        <v>0</v>
      </c>
      <c r="BW98" s="152">
        <f t="shared" si="110"/>
        <v>0</v>
      </c>
      <c r="BY98" s="12"/>
      <c r="BZ98" s="363">
        <f t="shared" ca="1" si="97"/>
        <v>0</v>
      </c>
      <c r="CA98" s="12"/>
      <c r="CC98" s="335"/>
      <c r="CD98" s="7">
        <f t="shared" si="99"/>
        <v>0</v>
      </c>
      <c r="CE98" s="7">
        <f t="shared" si="100"/>
        <v>0</v>
      </c>
      <c r="CF98" s="7">
        <f t="shared" si="101"/>
        <v>0</v>
      </c>
      <c r="CG98" s="12"/>
      <c r="CH98" s="352">
        <f t="shared" si="102"/>
        <v>0</v>
      </c>
      <c r="CI98" s="352">
        <f t="shared" si="103"/>
        <v>0</v>
      </c>
      <c r="CJ98" s="352">
        <f t="shared" si="104"/>
        <v>0</v>
      </c>
      <c r="CK98" s="352">
        <f t="shared" si="105"/>
        <v>0</v>
      </c>
      <c r="CL98" s="352">
        <f t="shared" si="106"/>
        <v>0</v>
      </c>
      <c r="CM98" s="352">
        <f t="shared" si="107"/>
        <v>0</v>
      </c>
      <c r="CN98" s="352">
        <f t="shared" si="108"/>
        <v>0</v>
      </c>
      <c r="EX98" s="10" t="str">
        <f t="shared" si="78"/>
        <v>Total commercial income</v>
      </c>
    </row>
    <row r="99" spans="1:154" ht="6.6" customHeight="1" x14ac:dyDescent="0.25">
      <c r="A99" s="335"/>
      <c r="B99" s="93"/>
      <c r="C99" s="383"/>
      <c r="D99" s="177"/>
      <c r="E99" s="25"/>
      <c r="F99" s="25"/>
      <c r="G99" s="25"/>
      <c r="I99" s="25"/>
      <c r="J99" s="25"/>
      <c r="Q99" s="2"/>
      <c r="R99" s="335"/>
      <c r="T99" s="335"/>
      <c r="U99" s="335"/>
      <c r="V99" s="25"/>
      <c r="W99" s="25"/>
      <c r="X99" s="25"/>
      <c r="Y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L99" s="25"/>
      <c r="BM99" s="155"/>
      <c r="BN99" s="25"/>
      <c r="BO99" s="25"/>
      <c r="BP99" s="25"/>
      <c r="BQ99" s="25"/>
      <c r="BR99" s="25"/>
      <c r="BS99" s="25"/>
      <c r="BT99" s="25"/>
      <c r="BU99" s="25"/>
      <c r="BV99" s="25"/>
      <c r="BW99" s="25"/>
      <c r="BY99" s="42"/>
      <c r="BZ99" s="335"/>
      <c r="CA99" s="42"/>
      <c r="CC99" s="335"/>
      <c r="CG99" s="42"/>
      <c r="CM99" s="335"/>
      <c r="CN99" s="335"/>
      <c r="EX99" s="10" t="str">
        <f t="shared" si="78"/>
        <v/>
      </c>
    </row>
    <row r="100" spans="1:154" x14ac:dyDescent="0.25">
      <c r="A100" s="335"/>
      <c r="B100" s="336"/>
      <c r="C100" s="383"/>
      <c r="D100" s="433" t="s">
        <v>42</v>
      </c>
      <c r="E100" s="82"/>
      <c r="F100" s="25"/>
      <c r="G100" s="25"/>
      <c r="I100" s="25"/>
      <c r="J100" s="25"/>
      <c r="Q100" s="2"/>
      <c r="R100" s="335"/>
      <c r="T100" s="335"/>
      <c r="U100" s="335"/>
      <c r="V100" s="25"/>
      <c r="W100" s="25"/>
      <c r="X100" s="25"/>
      <c r="Y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L100" s="25"/>
      <c r="BM100" s="25"/>
      <c r="BN100" s="25"/>
      <c r="BO100" s="25"/>
      <c r="BP100" s="25"/>
      <c r="BQ100" s="25"/>
      <c r="BR100" s="25"/>
      <c r="BS100" s="25"/>
      <c r="BT100" s="25"/>
      <c r="BU100" s="25"/>
      <c r="BV100" s="25"/>
      <c r="BW100" s="25"/>
      <c r="BY100" s="12"/>
      <c r="BZ100" s="335"/>
      <c r="CA100" s="12"/>
      <c r="CC100" s="335"/>
      <c r="CG100" s="12"/>
      <c r="CM100" s="335"/>
      <c r="CN100" s="335"/>
      <c r="EX100" s="10" t="str">
        <f t="shared" si="78"/>
        <v/>
      </c>
    </row>
    <row r="101" spans="1:154" ht="30" x14ac:dyDescent="0.25">
      <c r="A101" s="362" cm="1">
        <f t="array" aca="1" ref="A101" ca="1">HYPERLINK(CONCATENATE("#",CELL("address",IF(SUM($CA101:$CG101)=0,A101,INDEX($CA101:$CG101,MATCH(1,$CA101:$CG101,0))))),SUM($CA101:$CG101))</f>
        <v>0</v>
      </c>
      <c r="B101" s="170" t="s">
        <v>335</v>
      </c>
      <c r="C101" s="343" t="s">
        <v>478</v>
      </c>
      <c r="D101" s="194" t="s">
        <v>2502</v>
      </c>
      <c r="E101" s="147"/>
      <c r="F101" s="98" t="str" cm="1">
        <f t="array" aca="1" ref="F101" ca="1">IF(E101="", "", HYPERLINK(CONCATENATE("#",CELL("address",INDEX('I&amp;E Profiles'!$D$9:$D$93,'I&amp;E Annual'!I101))),E101))</f>
        <v/>
      </c>
      <c r="G101" s="147" t="s">
        <v>211</v>
      </c>
      <c r="H101" s="67" t="s">
        <v>8</v>
      </c>
      <c r="I101" s="350" t="str">
        <f>IF(E101="", "", MATCH(E101, 'I&amp;E Profiles'!$D$96:$D$180,0))</f>
        <v/>
      </c>
      <c r="J101" s="215">
        <f>IF($G101=$G$7, W101,'I&amp;E Monthly'!W101)-SUMIFS('I&amp;E Monthly'!$AA101:$BJ101, 'I&amp;E Monthly'!$AA$3:$BJ$3, 'I&amp;E Annual'!W$3, 'I&amp;E Monthly'!$AA$4:$BJ$4, 0)</f>
        <v>0</v>
      </c>
      <c r="K101" s="215">
        <f>IF($G101=$G$7, X101,'I&amp;E Monthly'!X101)-SUMIFS('I&amp;E Monthly'!$AA101:$BJ101, 'I&amp;E Monthly'!$AA$3:$BJ$3, 'I&amp;E Annual'!X$3, 'I&amp;E Monthly'!$AA$4:$BJ$4, 0)</f>
        <v>0</v>
      </c>
      <c r="L101" s="215">
        <f>IF($G101=$G$7, Y101,'I&amp;E Monthly'!Y101)-SUMIFS('I&amp;E Monthly'!$AA101:$BJ101, 'I&amp;E Monthly'!$AA$3:$BJ$3, 'I&amp;E Annual'!Y$3, 'I&amp;E Monthly'!$AA$4:$BJ$4, 0)</f>
        <v>0</v>
      </c>
      <c r="M101" s="335"/>
      <c r="N101" s="335"/>
      <c r="O101" s="335"/>
      <c r="P101" s="335"/>
      <c r="Q101" s="2"/>
      <c r="R101" s="335"/>
      <c r="S101" s="335"/>
      <c r="T101" s="335"/>
      <c r="U101" s="335"/>
      <c r="V101" s="215">
        <f>'I&amp;E Monthly'!V101</f>
        <v>0</v>
      </c>
      <c r="W101" s="147"/>
      <c r="X101" s="227"/>
      <c r="Y101" s="227"/>
      <c r="Z101" s="335"/>
      <c r="AA101" s="153" cm="1">
        <f t="array" ref="AA101">IF(OR(AA$4=0, $G101&lt;&gt; $G$7, $E101=0), 'I&amp;E Monthly'!AA101, CHOOSE(Timeline!AA$30,$J101,$K101,$L101 )*INDEX('I&amp;E Profiles'!AA$96:AA$180,$I101))</f>
        <v>0</v>
      </c>
      <c r="AB101" s="153" cm="1">
        <f t="array" ref="AB101">IF(OR(AB$4=0, $G101&lt;&gt; $G$7, $E101=0), 'I&amp;E Monthly'!AB101, CHOOSE(Timeline!AB$30,$J101,$K101,$L101 )*INDEX('I&amp;E Profiles'!AB$96:AB$180,$I101))</f>
        <v>0</v>
      </c>
      <c r="AC101" s="153" cm="1">
        <f t="array" ref="AC101">IF(OR(AC$4=0, $G101&lt;&gt; $G$7, $E101=0), 'I&amp;E Monthly'!AC101, CHOOSE(Timeline!AC$30,$J101,$K101,$L101 )*INDEX('I&amp;E Profiles'!AC$96:AC$180,$I101))</f>
        <v>0</v>
      </c>
      <c r="AD101" s="153" cm="1">
        <f t="array" ref="AD101">IF(OR(AD$4=0, $G101&lt;&gt; $G$7, $E101=0), 'I&amp;E Monthly'!AD101, CHOOSE(Timeline!AD$30,$J101,$K101,$L101 )*INDEX('I&amp;E Profiles'!AD$96:AD$180,$I101))</f>
        <v>0</v>
      </c>
      <c r="AE101" s="153" cm="1">
        <f t="array" ref="AE101">IF(OR(AE$4=0, $G101&lt;&gt; $G$7, $E101=0), 'I&amp;E Monthly'!AE101, CHOOSE(Timeline!AE$30,$J101,$K101,$L101 )*INDEX('I&amp;E Profiles'!AE$96:AE$180,$I101))</f>
        <v>0</v>
      </c>
      <c r="AF101" s="153" cm="1">
        <f t="array" ref="AF101">IF(OR(AF$4=0, $G101&lt;&gt; $G$7, $E101=0), 'I&amp;E Monthly'!AF101, CHOOSE(Timeline!AF$30,$J101,$K101,$L101 )*INDEX('I&amp;E Profiles'!AF$96:AF$180,$I101))</f>
        <v>0</v>
      </c>
      <c r="AG101" s="153" cm="1">
        <f t="array" ref="AG101">IF(OR(AG$4=0, $G101&lt;&gt; $G$7, $E101=0), 'I&amp;E Monthly'!AG101, CHOOSE(Timeline!AG$30,$J101,$K101,$L101 )*INDEX('I&amp;E Profiles'!AG$96:AG$180,$I101))</f>
        <v>0</v>
      </c>
      <c r="AH101" s="153" cm="1">
        <f t="array" ref="AH101">IF(OR(AH$4=0, $G101&lt;&gt; $G$7, $E101=0), 'I&amp;E Monthly'!AH101, CHOOSE(Timeline!AH$30,$J101,$K101,$L101 )*INDEX('I&amp;E Profiles'!AH$96:AH$180,$I101))</f>
        <v>0</v>
      </c>
      <c r="AI101" s="153" cm="1">
        <f t="array" ref="AI101">IF(OR(AI$4=0, $G101&lt;&gt; $G$7, $E101=0), 'I&amp;E Monthly'!AI101, CHOOSE(Timeline!AI$30,$J101,$K101,$L101 )*INDEX('I&amp;E Profiles'!AI$96:AI$180,$I101))</f>
        <v>0</v>
      </c>
      <c r="AJ101" s="153" cm="1">
        <f t="array" ref="AJ101">IF(OR(AJ$4=0, $G101&lt;&gt; $G$7, $E101=0), 'I&amp;E Monthly'!AJ101, CHOOSE(Timeline!AJ$30,$J101,$K101,$L101 )*INDEX('I&amp;E Profiles'!AJ$96:AJ$180,$I101))</f>
        <v>0</v>
      </c>
      <c r="AK101" s="153" cm="1">
        <f t="array" ref="AK101">IF(OR(AK$4=0, $G101&lt;&gt; $G$7, $E101=0), 'I&amp;E Monthly'!AK101, CHOOSE(Timeline!AK$30,$J101,$K101,$L101 )*INDEX('I&amp;E Profiles'!AK$96:AK$180,$I101))</f>
        <v>0</v>
      </c>
      <c r="AL101" s="153" cm="1">
        <f t="array" ref="AL101">IF(OR(AL$4=0, $G101&lt;&gt; $G$7, $E101=0), 'I&amp;E Monthly'!AL101, CHOOSE(Timeline!AL$30,$J101,$K101,$L101 )*INDEX('I&amp;E Profiles'!AL$96:AL$180,$I101))</f>
        <v>0</v>
      </c>
      <c r="AM101" s="153" cm="1">
        <f t="array" ref="AM101">IF(OR(AM$4=0, $G101&lt;&gt; $G$7, $E101=0), 'I&amp;E Monthly'!AM101, CHOOSE(Timeline!AM$30,$J101,$K101,$L101 )*INDEX('I&amp;E Profiles'!AM$96:AM$180,$I101))</f>
        <v>0</v>
      </c>
      <c r="AN101" s="153" cm="1">
        <f t="array" ref="AN101">IF(OR(AN$4=0, $G101&lt;&gt; $G$7, $E101=0), 'I&amp;E Monthly'!AN101, CHOOSE(Timeline!AN$30,$J101,$K101,$L101 )*INDEX('I&amp;E Profiles'!AN$96:AN$180,$I101))</f>
        <v>0</v>
      </c>
      <c r="AO101" s="153" cm="1">
        <f t="array" ref="AO101">IF(OR(AO$4=0, $G101&lt;&gt; $G$7, $E101=0), 'I&amp;E Monthly'!AO101, CHOOSE(Timeline!AO$30,$J101,$K101,$L101 )*INDEX('I&amp;E Profiles'!AO$96:AO$180,$I101))</f>
        <v>0</v>
      </c>
      <c r="AP101" s="153" cm="1">
        <f t="array" ref="AP101">IF(OR(AP$4=0, $G101&lt;&gt; $G$7, $E101=0), 'I&amp;E Monthly'!AP101, CHOOSE(Timeline!AP$30,$J101,$K101,$L101 )*INDEX('I&amp;E Profiles'!AP$96:AP$180,$I101))</f>
        <v>0</v>
      </c>
      <c r="AQ101" s="153" cm="1">
        <f t="array" ref="AQ101">IF(OR(AQ$4=0, $G101&lt;&gt; $G$7, $E101=0), 'I&amp;E Monthly'!AQ101, CHOOSE(Timeline!AQ$30,$J101,$K101,$L101 )*INDEX('I&amp;E Profiles'!AQ$96:AQ$180,$I101))</f>
        <v>0</v>
      </c>
      <c r="AR101" s="153" cm="1">
        <f t="array" ref="AR101">IF(OR(AR$4=0, $G101&lt;&gt; $G$7, $E101=0), 'I&amp;E Monthly'!AR101, CHOOSE(Timeline!AR$30,$J101,$K101,$L101 )*INDEX('I&amp;E Profiles'!AR$96:AR$180,$I101))</f>
        <v>0</v>
      </c>
      <c r="AS101" s="153" cm="1">
        <f t="array" ref="AS101">IF(OR(AS$4=0, $G101&lt;&gt; $G$7, $E101=0), 'I&amp;E Monthly'!AS101, CHOOSE(Timeline!AS$30,$J101,$K101,$L101 )*INDEX('I&amp;E Profiles'!AS$96:AS$180,$I101))</f>
        <v>0</v>
      </c>
      <c r="AT101" s="153" cm="1">
        <f t="array" ref="AT101">IF(OR(AT$4=0, $G101&lt;&gt; $G$7, $E101=0), 'I&amp;E Monthly'!AT101, CHOOSE(Timeline!AT$30,$J101,$K101,$L101 )*INDEX('I&amp;E Profiles'!AT$96:AT$180,$I101))</f>
        <v>0</v>
      </c>
      <c r="AU101" s="153" cm="1">
        <f t="array" ref="AU101">IF(OR(AU$4=0, $G101&lt;&gt; $G$7, $E101=0), 'I&amp;E Monthly'!AU101, CHOOSE(Timeline!AU$30,$J101,$K101,$L101 )*INDEX('I&amp;E Profiles'!AU$96:AU$180,$I101))</f>
        <v>0</v>
      </c>
      <c r="AV101" s="153" cm="1">
        <f t="array" ref="AV101">IF(OR(AV$4=0, $G101&lt;&gt; $G$7, $E101=0), 'I&amp;E Monthly'!AV101, CHOOSE(Timeline!AV$30,$J101,$K101,$L101 )*INDEX('I&amp;E Profiles'!AV$96:AV$180,$I101))</f>
        <v>0</v>
      </c>
      <c r="AW101" s="153" cm="1">
        <f t="array" ref="AW101">IF(OR(AW$4=0, $G101&lt;&gt; $G$7, $E101=0), 'I&amp;E Monthly'!AW101, CHOOSE(Timeline!AW$30,$J101,$K101,$L101 )*INDEX('I&amp;E Profiles'!AW$96:AW$180,$I101))</f>
        <v>0</v>
      </c>
      <c r="AX101" s="153" cm="1">
        <f t="array" ref="AX101">IF(OR(AX$4=0, $G101&lt;&gt; $G$7, $E101=0), 'I&amp;E Monthly'!AX101, CHOOSE(Timeline!AX$30,$J101,$K101,$L101 )*INDEX('I&amp;E Profiles'!AX$96:AX$180,$I101))</f>
        <v>0</v>
      </c>
      <c r="AY101" s="153" cm="1">
        <f t="array" ref="AY101">IF(OR(AY$4=0, $G101&lt;&gt; $G$7, $E101=0), 'I&amp;E Monthly'!AY101, CHOOSE(Timeline!AY$30,$J101,$K101,$L101 )*INDEX('I&amp;E Profiles'!AY$96:AY$180,$I101))</f>
        <v>0</v>
      </c>
      <c r="AZ101" s="153" cm="1">
        <f t="array" ref="AZ101">IF(OR(AZ$4=0, $G101&lt;&gt; $G$7, $E101=0), 'I&amp;E Monthly'!AZ101, CHOOSE(Timeline!AZ$30,$J101,$K101,$L101 )*INDEX('I&amp;E Profiles'!AZ$96:AZ$180,$I101))</f>
        <v>0</v>
      </c>
      <c r="BA101" s="153" cm="1">
        <f t="array" ref="BA101">IF(OR(BA$4=0, $G101&lt;&gt; $G$7, $E101=0), 'I&amp;E Monthly'!BA101, CHOOSE(Timeline!BA$30,$J101,$K101,$L101 )*INDEX('I&amp;E Profiles'!BA$96:BA$180,$I101))</f>
        <v>0</v>
      </c>
      <c r="BB101" s="153" cm="1">
        <f t="array" ref="BB101">IF(OR(BB$4=0, $G101&lt;&gt; $G$7, $E101=0), 'I&amp;E Monthly'!BB101, CHOOSE(Timeline!BB$30,$J101,$K101,$L101 )*INDEX('I&amp;E Profiles'!BB$96:BB$180,$I101))</f>
        <v>0</v>
      </c>
      <c r="BC101" s="153" cm="1">
        <f t="array" ref="BC101">IF(OR(BC$4=0, $G101&lt;&gt; $G$7, $E101=0), 'I&amp;E Monthly'!BC101, CHOOSE(Timeline!BC$30,$J101,$K101,$L101 )*INDEX('I&amp;E Profiles'!BC$96:BC$180,$I101))</f>
        <v>0</v>
      </c>
      <c r="BD101" s="153" cm="1">
        <f t="array" ref="BD101">IF(OR(BD$4=0, $G101&lt;&gt; $G$7, $E101=0), 'I&amp;E Monthly'!BD101, CHOOSE(Timeline!BD$30,$J101,$K101,$L101 )*INDEX('I&amp;E Profiles'!BD$96:BD$180,$I101))</f>
        <v>0</v>
      </c>
      <c r="BE101" s="153" cm="1">
        <f t="array" ref="BE101">IF(OR(BE$4=0, $G101&lt;&gt; $G$7, $E101=0), 'I&amp;E Monthly'!BE101, CHOOSE(Timeline!BE$30,$J101,$K101,$L101 )*INDEX('I&amp;E Profiles'!BE$96:BE$180,$I101))</f>
        <v>0</v>
      </c>
      <c r="BF101" s="153" cm="1">
        <f t="array" ref="BF101">IF(OR(BF$4=0, $G101&lt;&gt; $G$7, $E101=0), 'I&amp;E Monthly'!BF101, CHOOSE(Timeline!BF$30,$J101,$K101,$L101 )*INDEX('I&amp;E Profiles'!BF$96:BF$180,$I101))</f>
        <v>0</v>
      </c>
      <c r="BG101" s="153" cm="1">
        <f t="array" ref="BG101">IF(OR(BG$4=0, $G101&lt;&gt; $G$7, $E101=0), 'I&amp;E Monthly'!BG101, CHOOSE(Timeline!BG$30,$J101,$K101,$L101 )*INDEX('I&amp;E Profiles'!BG$96:BG$180,$I101))</f>
        <v>0</v>
      </c>
      <c r="BH101" s="153" cm="1">
        <f t="array" ref="BH101">IF(OR(BH$4=0, $G101&lt;&gt; $G$7, $E101=0), 'I&amp;E Monthly'!BH101, CHOOSE(Timeline!BH$30,$J101,$K101,$L101 )*INDEX('I&amp;E Profiles'!BH$96:BH$180,$I101))</f>
        <v>0</v>
      </c>
      <c r="BI101" s="153" cm="1">
        <f t="array" ref="BI101">IF(OR(BI$4=0, $G101&lt;&gt; $G$7, $E101=0), 'I&amp;E Monthly'!BI101, CHOOSE(Timeline!BI$30,$J101,$K101,$L101 )*INDEX('I&amp;E Profiles'!BI$96:BI$180,$I101))</f>
        <v>0</v>
      </c>
      <c r="BJ101" s="153" cm="1">
        <f t="array" ref="BJ101">IF(OR(BJ$4=0, $G101&lt;&gt; $G$7, $E101=0), 'I&amp;E Monthly'!BJ101, CHOOSE(Timeline!BJ$30,$J101,$K101,$L101 )*INDEX('I&amp;E Profiles'!BJ$96:BJ$180,$I101))</f>
        <v>0</v>
      </c>
      <c r="BK101" s="335"/>
      <c r="BL101" s="152">
        <f t="shared" ref="BL101:BL106" si="111">V101</f>
        <v>0</v>
      </c>
      <c r="BM101" s="153">
        <f t="shared" ref="BM101:BO106" si="112">SUMIFS($AA101:$BJ101, $AA$3:$BJ$3,BM$3)</f>
        <v>0</v>
      </c>
      <c r="BN101" s="153">
        <f t="shared" si="112"/>
        <v>0</v>
      </c>
      <c r="BO101" s="153">
        <f t="shared" si="112"/>
        <v>0</v>
      </c>
      <c r="BP101" s="152">
        <f>'I&amp;E Monthly'!BP101</f>
        <v>0</v>
      </c>
      <c r="BQ101" s="152">
        <f>'I&amp;E Monthly'!BQ101</f>
        <v>0</v>
      </c>
      <c r="BR101" s="152">
        <f>'I&amp;E Monthly'!BR101</f>
        <v>0</v>
      </c>
      <c r="BS101" s="152">
        <f>'I&amp;E Monthly'!BS101</f>
        <v>0</v>
      </c>
      <c r="BT101" s="152">
        <f>'I&amp;E Monthly'!BT101</f>
        <v>0</v>
      </c>
      <c r="BU101" s="152">
        <f>'I&amp;E Monthly'!BU101</f>
        <v>0</v>
      </c>
      <c r="BV101" s="152">
        <f>'I&amp;E Monthly'!BV101</f>
        <v>0</v>
      </c>
      <c r="BW101" s="152">
        <f>'I&amp;E Monthly'!BW101</f>
        <v>0</v>
      </c>
      <c r="BX101" s="335"/>
      <c r="BY101" s="12"/>
      <c r="BZ101" s="363">
        <f t="shared" ref="BZ101:BZ107" ca="1" si="113">IF(MIN($V101:$BW101)&lt;0, 1, 0)*$I$7</f>
        <v>0</v>
      </c>
      <c r="CA101" s="12"/>
      <c r="CB101" s="7">
        <f t="shared" ref="CB101:CB106" si="114">IF(AND($G101=$G$7,$E101=""), 1, 0)</f>
        <v>0</v>
      </c>
      <c r="CC101" s="188" cm="1">
        <f t="array" ref="CC101">IF(E101="",0, IF(_xlfn.IFNA(INDEX('I&amp;E Profiles'!$D$96:$D$180, $I101), "N/A")="N/A", 1, 0))</f>
        <v>0</v>
      </c>
      <c r="CD101" s="7">
        <f t="shared" ref="CD101:CD107" si="115">IF(SUM($CH101:$CJ101)=0, 0, 1)</f>
        <v>0</v>
      </c>
      <c r="CE101" s="7">
        <f t="shared" ref="CE101:CE107" si="116">IF(SUM($CK101:$CM101)=0, 0, 1)</f>
        <v>0</v>
      </c>
      <c r="CF101" s="7">
        <f t="shared" ref="CF101:CF107" si="117">IF(CN101=0, 0, 1)</f>
        <v>0</v>
      </c>
      <c r="CG101" s="12"/>
      <c r="CH101" s="352">
        <f t="shared" ref="CH101:CJ107" si="118">IF($G101=$G$7, ROUND(W101-SUMIFS($AA101:$BJ101, $AA$3:$BJ$3, W$3), rounding), 0)</f>
        <v>0</v>
      </c>
      <c r="CI101" s="352">
        <f t="shared" si="118"/>
        <v>0</v>
      </c>
      <c r="CJ101" s="352">
        <f t="shared" si="118"/>
        <v>0</v>
      </c>
      <c r="CK101" s="352">
        <f t="shared" ref="CK101:CK107" si="119">ROUND($BM101-SUMIFS($AA101:$BJ101, $AA$3:$BJ$3, $BM$3), rounding)</f>
        <v>0</v>
      </c>
      <c r="CL101" s="352">
        <f t="shared" ref="CL101:CL107" si="120">ROUND($BN101-SUMIFS($AA101:$BJ101, $AA$3:$BJ$3, $BN$3), rounding)</f>
        <v>0</v>
      </c>
      <c r="CM101" s="352">
        <f t="shared" ref="CM101:CM107" si="121">ROUND($BO101-SUMIFS($AA101:$BJ101, $AA$3:$BJ$3, $BO$3), rounding)</f>
        <v>0</v>
      </c>
      <c r="CN101" s="352">
        <f t="shared" ref="CN101:CN107" si="122">ROUND($V101-$BL101, rounding)</f>
        <v>0</v>
      </c>
      <c r="EX101" s="10" t="str">
        <f t="shared" si="78"/>
        <v>Other income from non-learning activities incl. VAT recovered</v>
      </c>
    </row>
    <row r="102" spans="1:154" ht="15.75" x14ac:dyDescent="0.3">
      <c r="A102" s="362" cm="1">
        <f t="array" aca="1" ref="A102" ca="1">HYPERLINK(CONCATENATE("#",CELL("address",IF(SUM($CA102:$CG102)=0,A102,INDEX($CA102:$CG102,MATCH(1,$CA102:$CG102,0))))),SUM($CA102:$CG102))</f>
        <v>0</v>
      </c>
      <c r="B102" s="105" t="s">
        <v>335</v>
      </c>
      <c r="C102" s="343" t="s">
        <v>479</v>
      </c>
      <c r="D102" s="194" t="s">
        <v>43</v>
      </c>
      <c r="E102" s="147"/>
      <c r="F102" s="98" t="str" cm="1">
        <f t="array" aca="1" ref="F102" ca="1">IF(E102="", "", HYPERLINK(CONCATENATE("#",CELL("address",INDEX('I&amp;E Profiles'!$D$9:$D$93,'I&amp;E Annual'!I102))),E102))</f>
        <v/>
      </c>
      <c r="G102" s="372" t="s">
        <v>211</v>
      </c>
      <c r="H102" s="67" t="s">
        <v>8</v>
      </c>
      <c r="I102" s="350" t="str">
        <f>IF(E102="", "", MATCH(E102, 'I&amp;E Profiles'!$D$96:$D$180,0))</f>
        <v/>
      </c>
      <c r="J102" s="215">
        <f>IF($G102=$G$7, W102,'I&amp;E Monthly'!W102)-SUMIFS('I&amp;E Monthly'!$AA102:$BJ102, 'I&amp;E Monthly'!$AA$3:$BJ$3, 'I&amp;E Annual'!W$3, 'I&amp;E Monthly'!$AA$4:$BJ$4, 0)</f>
        <v>0</v>
      </c>
      <c r="K102" s="215">
        <f>IF($G102=$G$7, X102,'I&amp;E Monthly'!X102)-SUMIFS('I&amp;E Monthly'!$AA102:$BJ102, 'I&amp;E Monthly'!$AA$3:$BJ$3, 'I&amp;E Annual'!X$3, 'I&amp;E Monthly'!$AA$4:$BJ$4, 0)</f>
        <v>0</v>
      </c>
      <c r="L102" s="215">
        <f>IF($G102=$G$7, Y102,'I&amp;E Monthly'!Y102)-SUMIFS('I&amp;E Monthly'!$AA102:$BJ102, 'I&amp;E Monthly'!$AA$3:$BJ$3, 'I&amp;E Annual'!Y$3, 'I&amp;E Monthly'!$AA$4:$BJ$4, 0)</f>
        <v>0</v>
      </c>
      <c r="M102" s="335"/>
      <c r="N102" s="335"/>
      <c r="O102" s="335"/>
      <c r="P102" s="335"/>
      <c r="Q102" s="2"/>
      <c r="R102" s="335"/>
      <c r="S102" s="335"/>
      <c r="T102" s="335"/>
      <c r="U102" s="335"/>
      <c r="V102" s="201">
        <f>'I&amp;E Monthly'!V102</f>
        <v>0</v>
      </c>
      <c r="W102" s="372"/>
      <c r="X102" s="198"/>
      <c r="Y102" s="198"/>
      <c r="Z102" s="335"/>
      <c r="AA102" s="153" cm="1">
        <f t="array" ref="AA102">IF(OR(AA$4=0, $G102&lt;&gt; $G$7, $E102=0), 'I&amp;E Monthly'!AA102, CHOOSE(Timeline!AA$30,$J102,$K102,$L102 )*INDEX('I&amp;E Profiles'!AA$96:AA$180,$I102))</f>
        <v>0</v>
      </c>
      <c r="AB102" s="153" cm="1">
        <f t="array" ref="AB102">IF(OR(AB$4=0, $G102&lt;&gt; $G$7, $E102=0), 'I&amp;E Monthly'!AB102, CHOOSE(Timeline!AB$30,$J102,$K102,$L102 )*INDEX('I&amp;E Profiles'!AB$96:AB$180,$I102))</f>
        <v>0</v>
      </c>
      <c r="AC102" s="153" cm="1">
        <f t="array" ref="AC102">IF(OR(AC$4=0, $G102&lt;&gt; $G$7, $E102=0), 'I&amp;E Monthly'!AC102, CHOOSE(Timeline!AC$30,$J102,$K102,$L102 )*INDEX('I&amp;E Profiles'!AC$96:AC$180,$I102))</f>
        <v>0</v>
      </c>
      <c r="AD102" s="153" cm="1">
        <f t="array" ref="AD102">IF(OR(AD$4=0, $G102&lt;&gt; $G$7, $E102=0), 'I&amp;E Monthly'!AD102, CHOOSE(Timeline!AD$30,$J102,$K102,$L102 )*INDEX('I&amp;E Profiles'!AD$96:AD$180,$I102))</f>
        <v>0</v>
      </c>
      <c r="AE102" s="153" cm="1">
        <f t="array" ref="AE102">IF(OR(AE$4=0, $G102&lt;&gt; $G$7, $E102=0), 'I&amp;E Monthly'!AE102, CHOOSE(Timeline!AE$30,$J102,$K102,$L102 )*INDEX('I&amp;E Profiles'!AE$96:AE$180,$I102))</f>
        <v>0</v>
      </c>
      <c r="AF102" s="153" cm="1">
        <f t="array" ref="AF102">IF(OR(AF$4=0, $G102&lt;&gt; $G$7, $E102=0), 'I&amp;E Monthly'!AF102, CHOOSE(Timeline!AF$30,$J102,$K102,$L102 )*INDEX('I&amp;E Profiles'!AF$96:AF$180,$I102))</f>
        <v>0</v>
      </c>
      <c r="AG102" s="153" cm="1">
        <f t="array" ref="AG102">IF(OR(AG$4=0, $G102&lt;&gt; $G$7, $E102=0), 'I&amp;E Monthly'!AG102, CHOOSE(Timeline!AG$30,$J102,$K102,$L102 )*INDEX('I&amp;E Profiles'!AG$96:AG$180,$I102))</f>
        <v>0</v>
      </c>
      <c r="AH102" s="153" cm="1">
        <f t="array" ref="AH102">IF(OR(AH$4=0, $G102&lt;&gt; $G$7, $E102=0), 'I&amp;E Monthly'!AH102, CHOOSE(Timeline!AH$30,$J102,$K102,$L102 )*INDEX('I&amp;E Profiles'!AH$96:AH$180,$I102))</f>
        <v>0</v>
      </c>
      <c r="AI102" s="153" cm="1">
        <f t="array" ref="AI102">IF(OR(AI$4=0, $G102&lt;&gt; $G$7, $E102=0), 'I&amp;E Monthly'!AI102, CHOOSE(Timeline!AI$30,$J102,$K102,$L102 )*INDEX('I&amp;E Profiles'!AI$96:AI$180,$I102))</f>
        <v>0</v>
      </c>
      <c r="AJ102" s="153" cm="1">
        <f t="array" ref="AJ102">IF(OR(AJ$4=0, $G102&lt;&gt; $G$7, $E102=0), 'I&amp;E Monthly'!AJ102, CHOOSE(Timeline!AJ$30,$J102,$K102,$L102 )*INDEX('I&amp;E Profiles'!AJ$96:AJ$180,$I102))</f>
        <v>0</v>
      </c>
      <c r="AK102" s="153" cm="1">
        <f t="array" ref="AK102">IF(OR(AK$4=0, $G102&lt;&gt; $G$7, $E102=0), 'I&amp;E Monthly'!AK102, CHOOSE(Timeline!AK$30,$J102,$K102,$L102 )*INDEX('I&amp;E Profiles'!AK$96:AK$180,$I102))</f>
        <v>0</v>
      </c>
      <c r="AL102" s="153" cm="1">
        <f t="array" ref="AL102">IF(OR(AL$4=0, $G102&lt;&gt; $G$7, $E102=0), 'I&amp;E Monthly'!AL102, CHOOSE(Timeline!AL$30,$J102,$K102,$L102 )*INDEX('I&amp;E Profiles'!AL$96:AL$180,$I102))</f>
        <v>0</v>
      </c>
      <c r="AM102" s="153" cm="1">
        <f t="array" ref="AM102">IF(OR(AM$4=0, $G102&lt;&gt; $G$7, $E102=0), 'I&amp;E Monthly'!AM102, CHOOSE(Timeline!AM$30,$J102,$K102,$L102 )*INDEX('I&amp;E Profiles'!AM$96:AM$180,$I102))</f>
        <v>0</v>
      </c>
      <c r="AN102" s="153" cm="1">
        <f t="array" ref="AN102">IF(OR(AN$4=0, $G102&lt;&gt; $G$7, $E102=0), 'I&amp;E Monthly'!AN102, CHOOSE(Timeline!AN$30,$J102,$K102,$L102 )*INDEX('I&amp;E Profiles'!AN$96:AN$180,$I102))</f>
        <v>0</v>
      </c>
      <c r="AO102" s="153" cm="1">
        <f t="array" ref="AO102">IF(OR(AO$4=0, $G102&lt;&gt; $G$7, $E102=0), 'I&amp;E Monthly'!AO102, CHOOSE(Timeline!AO$30,$J102,$K102,$L102 )*INDEX('I&amp;E Profiles'!AO$96:AO$180,$I102))</f>
        <v>0</v>
      </c>
      <c r="AP102" s="153" cm="1">
        <f t="array" ref="AP102">IF(OR(AP$4=0, $G102&lt;&gt; $G$7, $E102=0), 'I&amp;E Monthly'!AP102, CHOOSE(Timeline!AP$30,$J102,$K102,$L102 )*INDEX('I&amp;E Profiles'!AP$96:AP$180,$I102))</f>
        <v>0</v>
      </c>
      <c r="AQ102" s="153" cm="1">
        <f t="array" ref="AQ102">IF(OR(AQ$4=0, $G102&lt;&gt; $G$7, $E102=0), 'I&amp;E Monthly'!AQ102, CHOOSE(Timeline!AQ$30,$J102,$K102,$L102 )*INDEX('I&amp;E Profiles'!AQ$96:AQ$180,$I102))</f>
        <v>0</v>
      </c>
      <c r="AR102" s="153" cm="1">
        <f t="array" ref="AR102">IF(OR(AR$4=0, $G102&lt;&gt; $G$7, $E102=0), 'I&amp;E Monthly'!AR102, CHOOSE(Timeline!AR$30,$J102,$K102,$L102 )*INDEX('I&amp;E Profiles'!AR$96:AR$180,$I102))</f>
        <v>0</v>
      </c>
      <c r="AS102" s="153" cm="1">
        <f t="array" ref="AS102">IF(OR(AS$4=0, $G102&lt;&gt; $G$7, $E102=0), 'I&amp;E Monthly'!AS102, CHOOSE(Timeline!AS$30,$J102,$K102,$L102 )*INDEX('I&amp;E Profiles'!AS$96:AS$180,$I102))</f>
        <v>0</v>
      </c>
      <c r="AT102" s="153" cm="1">
        <f t="array" ref="AT102">IF(OR(AT$4=0, $G102&lt;&gt; $G$7, $E102=0), 'I&amp;E Monthly'!AT102, CHOOSE(Timeline!AT$30,$J102,$K102,$L102 )*INDEX('I&amp;E Profiles'!AT$96:AT$180,$I102))</f>
        <v>0</v>
      </c>
      <c r="AU102" s="153" cm="1">
        <f t="array" ref="AU102">IF(OR(AU$4=0, $G102&lt;&gt; $G$7, $E102=0), 'I&amp;E Monthly'!AU102, CHOOSE(Timeline!AU$30,$J102,$K102,$L102 )*INDEX('I&amp;E Profiles'!AU$96:AU$180,$I102))</f>
        <v>0</v>
      </c>
      <c r="AV102" s="153" cm="1">
        <f t="array" ref="AV102">IF(OR(AV$4=0, $G102&lt;&gt; $G$7, $E102=0), 'I&amp;E Monthly'!AV102, CHOOSE(Timeline!AV$30,$J102,$K102,$L102 )*INDEX('I&amp;E Profiles'!AV$96:AV$180,$I102))</f>
        <v>0</v>
      </c>
      <c r="AW102" s="153" cm="1">
        <f t="array" ref="AW102">IF(OR(AW$4=0, $G102&lt;&gt; $G$7, $E102=0), 'I&amp;E Monthly'!AW102, CHOOSE(Timeline!AW$30,$J102,$K102,$L102 )*INDEX('I&amp;E Profiles'!AW$96:AW$180,$I102))</f>
        <v>0</v>
      </c>
      <c r="AX102" s="153" cm="1">
        <f t="array" ref="AX102">IF(OR(AX$4=0, $G102&lt;&gt; $G$7, $E102=0), 'I&amp;E Monthly'!AX102, CHOOSE(Timeline!AX$30,$J102,$K102,$L102 )*INDEX('I&amp;E Profiles'!AX$96:AX$180,$I102))</f>
        <v>0</v>
      </c>
      <c r="AY102" s="153" cm="1">
        <f t="array" ref="AY102">IF(OR(AY$4=0, $G102&lt;&gt; $G$7, $E102=0), 'I&amp;E Monthly'!AY102, CHOOSE(Timeline!AY$30,$J102,$K102,$L102 )*INDEX('I&amp;E Profiles'!AY$96:AY$180,$I102))</f>
        <v>0</v>
      </c>
      <c r="AZ102" s="153" cm="1">
        <f t="array" ref="AZ102">IF(OR(AZ$4=0, $G102&lt;&gt; $G$7, $E102=0), 'I&amp;E Monthly'!AZ102, CHOOSE(Timeline!AZ$30,$J102,$K102,$L102 )*INDEX('I&amp;E Profiles'!AZ$96:AZ$180,$I102))</f>
        <v>0</v>
      </c>
      <c r="BA102" s="153" cm="1">
        <f t="array" ref="BA102">IF(OR(BA$4=0, $G102&lt;&gt; $G$7, $E102=0), 'I&amp;E Monthly'!BA102, CHOOSE(Timeline!BA$30,$J102,$K102,$L102 )*INDEX('I&amp;E Profiles'!BA$96:BA$180,$I102))</f>
        <v>0</v>
      </c>
      <c r="BB102" s="153" cm="1">
        <f t="array" ref="BB102">IF(OR(BB$4=0, $G102&lt;&gt; $G$7, $E102=0), 'I&amp;E Monthly'!BB102, CHOOSE(Timeline!BB$30,$J102,$K102,$L102 )*INDEX('I&amp;E Profiles'!BB$96:BB$180,$I102))</f>
        <v>0</v>
      </c>
      <c r="BC102" s="153" cm="1">
        <f t="array" ref="BC102">IF(OR(BC$4=0, $G102&lt;&gt; $G$7, $E102=0), 'I&amp;E Monthly'!BC102, CHOOSE(Timeline!BC$30,$J102,$K102,$L102 )*INDEX('I&amp;E Profiles'!BC$96:BC$180,$I102))</f>
        <v>0</v>
      </c>
      <c r="BD102" s="153" cm="1">
        <f t="array" ref="BD102">IF(OR(BD$4=0, $G102&lt;&gt; $G$7, $E102=0), 'I&amp;E Monthly'!BD102, CHOOSE(Timeline!BD$30,$J102,$K102,$L102 )*INDEX('I&amp;E Profiles'!BD$96:BD$180,$I102))</f>
        <v>0</v>
      </c>
      <c r="BE102" s="153" cm="1">
        <f t="array" ref="BE102">IF(OR(BE$4=0, $G102&lt;&gt; $G$7, $E102=0), 'I&amp;E Monthly'!BE102, CHOOSE(Timeline!BE$30,$J102,$K102,$L102 )*INDEX('I&amp;E Profiles'!BE$96:BE$180,$I102))</f>
        <v>0</v>
      </c>
      <c r="BF102" s="153" cm="1">
        <f t="array" ref="BF102">IF(OR(BF$4=0, $G102&lt;&gt; $G$7, $E102=0), 'I&amp;E Monthly'!BF102, CHOOSE(Timeline!BF$30,$J102,$K102,$L102 )*INDEX('I&amp;E Profiles'!BF$96:BF$180,$I102))</f>
        <v>0</v>
      </c>
      <c r="BG102" s="153" cm="1">
        <f t="array" ref="BG102">IF(OR(BG$4=0, $G102&lt;&gt; $G$7, $E102=0), 'I&amp;E Monthly'!BG102, CHOOSE(Timeline!BG$30,$J102,$K102,$L102 )*INDEX('I&amp;E Profiles'!BG$96:BG$180,$I102))</f>
        <v>0</v>
      </c>
      <c r="BH102" s="153" cm="1">
        <f t="array" ref="BH102">IF(OR(BH$4=0, $G102&lt;&gt; $G$7, $E102=0), 'I&amp;E Monthly'!BH102, CHOOSE(Timeline!BH$30,$J102,$K102,$L102 )*INDEX('I&amp;E Profiles'!BH$96:BH$180,$I102))</f>
        <v>0</v>
      </c>
      <c r="BI102" s="153" cm="1">
        <f t="array" ref="BI102">IF(OR(BI$4=0, $G102&lt;&gt; $G$7, $E102=0), 'I&amp;E Monthly'!BI102, CHOOSE(Timeline!BI$30,$J102,$K102,$L102 )*INDEX('I&amp;E Profiles'!BI$96:BI$180,$I102))</f>
        <v>0</v>
      </c>
      <c r="BJ102" s="153" cm="1">
        <f t="array" ref="BJ102">IF(OR(BJ$4=0, $G102&lt;&gt; $G$7, $E102=0), 'I&amp;E Monthly'!BJ102, CHOOSE(Timeline!BJ$30,$J102,$K102,$L102 )*INDEX('I&amp;E Profiles'!BJ$96:BJ$180,$I102))</f>
        <v>0</v>
      </c>
      <c r="BK102" s="335"/>
      <c r="BL102" s="13">
        <f t="shared" si="111"/>
        <v>0</v>
      </c>
      <c r="BM102" s="153">
        <f t="shared" si="112"/>
        <v>0</v>
      </c>
      <c r="BN102" s="153">
        <f t="shared" si="112"/>
        <v>0</v>
      </c>
      <c r="BO102" s="153">
        <f t="shared" si="112"/>
        <v>0</v>
      </c>
      <c r="BP102" s="13">
        <f>'I&amp;E Monthly'!BP102</f>
        <v>0</v>
      </c>
      <c r="BQ102" s="13">
        <f>'I&amp;E Monthly'!BQ102</f>
        <v>0</v>
      </c>
      <c r="BR102" s="13">
        <f>'I&amp;E Monthly'!BR102</f>
        <v>0</v>
      </c>
      <c r="BS102" s="13">
        <f>'I&amp;E Monthly'!BS102</f>
        <v>0</v>
      </c>
      <c r="BT102" s="13">
        <f>'I&amp;E Monthly'!BT102</f>
        <v>0</v>
      </c>
      <c r="BU102" s="13">
        <f>'I&amp;E Monthly'!BU102</f>
        <v>0</v>
      </c>
      <c r="BV102" s="13">
        <f>'I&amp;E Monthly'!BV102</f>
        <v>0</v>
      </c>
      <c r="BW102" s="13">
        <f>'I&amp;E Monthly'!BW102</f>
        <v>0</v>
      </c>
      <c r="BX102" s="335"/>
      <c r="BY102" s="12"/>
      <c r="BZ102" s="363">
        <f t="shared" ca="1" si="113"/>
        <v>0</v>
      </c>
      <c r="CA102" s="12"/>
      <c r="CB102" s="7">
        <f t="shared" si="114"/>
        <v>0</v>
      </c>
      <c r="CC102" s="188" cm="1">
        <f t="array" ref="CC102">IF(E102="",0, IF(_xlfn.IFNA(INDEX('I&amp;E Profiles'!$D$96:$D$180, $I102), "N/A")="N/A", 1, 0))</f>
        <v>0</v>
      </c>
      <c r="CD102" s="7">
        <f t="shared" si="115"/>
        <v>0</v>
      </c>
      <c r="CE102" s="7">
        <f t="shared" si="116"/>
        <v>0</v>
      </c>
      <c r="CF102" s="7">
        <f t="shared" si="117"/>
        <v>0</v>
      </c>
      <c r="CG102" s="12"/>
      <c r="CH102" s="352">
        <f t="shared" si="118"/>
        <v>0</v>
      </c>
      <c r="CI102" s="352">
        <f t="shared" si="118"/>
        <v>0</v>
      </c>
      <c r="CJ102" s="352">
        <f t="shared" si="118"/>
        <v>0</v>
      </c>
      <c r="CK102" s="352">
        <f t="shared" si="119"/>
        <v>0</v>
      </c>
      <c r="CL102" s="352">
        <f t="shared" si="120"/>
        <v>0</v>
      </c>
      <c r="CM102" s="352">
        <f t="shared" si="121"/>
        <v>0</v>
      </c>
      <c r="CN102" s="352">
        <f t="shared" si="122"/>
        <v>0</v>
      </c>
      <c r="EX102" s="10" t="str">
        <f t="shared" si="78"/>
        <v>Endowment income</v>
      </c>
    </row>
    <row r="103" spans="1:154" ht="30" x14ac:dyDescent="0.25">
      <c r="A103" s="362" cm="1">
        <f t="array" aca="1" ref="A103" ca="1">HYPERLINK(CONCATENATE("#",CELL("address",IF(SUM($CA103:$CG103)=0,A103,INDEX($CA103:$CG103,MATCH(1,$CA103:$CG103,0))))),SUM($CA103:$CG103))</f>
        <v>0</v>
      </c>
      <c r="B103" s="93"/>
      <c r="C103" s="343" t="s">
        <v>1000</v>
      </c>
      <c r="D103" s="194" t="s">
        <v>644</v>
      </c>
      <c r="E103" s="147"/>
      <c r="F103" s="98" t="str" cm="1">
        <f t="array" aca="1" ref="F103" ca="1">IF(E103="", "", HYPERLINK(CONCATENATE("#",CELL("address",INDEX('I&amp;E Profiles'!$D$9:$D$93,'I&amp;E Annual'!I103))),E103))</f>
        <v/>
      </c>
      <c r="G103" s="372" t="s">
        <v>211</v>
      </c>
      <c r="H103" s="67" t="s">
        <v>8</v>
      </c>
      <c r="I103" s="350" t="str">
        <f>IF(E103="", "", MATCH(E103, 'I&amp;E Profiles'!$D$96:$D$180,0))</f>
        <v/>
      </c>
      <c r="J103" s="215">
        <f>IF($G103=$G$7, W103,'I&amp;E Monthly'!W103)-SUMIFS('I&amp;E Monthly'!$AA103:$BJ103, 'I&amp;E Monthly'!$AA$3:$BJ$3, 'I&amp;E Annual'!W$3, 'I&amp;E Monthly'!$AA$4:$BJ$4, 0)</f>
        <v>0</v>
      </c>
      <c r="K103" s="215">
        <f>IF($G103=$G$7, X103,'I&amp;E Monthly'!X103)-SUMIFS('I&amp;E Monthly'!$AA103:$BJ103, 'I&amp;E Monthly'!$AA$3:$BJ$3, 'I&amp;E Annual'!X$3, 'I&amp;E Monthly'!$AA$4:$BJ$4, 0)</f>
        <v>0</v>
      </c>
      <c r="L103" s="215">
        <f>IF($G103=$G$7, Y103,'I&amp;E Monthly'!Y103)-SUMIFS('I&amp;E Monthly'!$AA103:$BJ103, 'I&amp;E Monthly'!$AA$3:$BJ$3, 'I&amp;E Annual'!Y$3, 'I&amp;E Monthly'!$AA$4:$BJ$4, 0)</f>
        <v>0</v>
      </c>
      <c r="M103" s="335"/>
      <c r="N103" s="335"/>
      <c r="O103" s="335"/>
      <c r="P103" s="335"/>
      <c r="Q103" s="2"/>
      <c r="R103" s="335"/>
      <c r="S103" s="335"/>
      <c r="T103" s="335"/>
      <c r="U103" s="335"/>
      <c r="V103" s="201">
        <f>'I&amp;E Monthly'!V103</f>
        <v>0</v>
      </c>
      <c r="W103" s="372"/>
      <c r="X103" s="198"/>
      <c r="Y103" s="198"/>
      <c r="Z103" s="335"/>
      <c r="AA103" s="153" cm="1">
        <f t="array" ref="AA103">IF(OR(AA$4=0, $G103&lt;&gt; $G$7, $E103=0), 'I&amp;E Monthly'!AA103, CHOOSE(Timeline!AA$30,$J103,$K103,$L103 )*INDEX('I&amp;E Profiles'!AA$96:AA$180,$I103))</f>
        <v>0</v>
      </c>
      <c r="AB103" s="153" cm="1">
        <f t="array" ref="AB103">IF(OR(AB$4=0, $G103&lt;&gt; $G$7, $E103=0), 'I&amp;E Monthly'!AB103, CHOOSE(Timeline!AB$30,$J103,$K103,$L103 )*INDEX('I&amp;E Profiles'!AB$96:AB$180,$I103))</f>
        <v>0</v>
      </c>
      <c r="AC103" s="153" cm="1">
        <f t="array" ref="AC103">IF(OR(AC$4=0, $G103&lt;&gt; $G$7, $E103=0), 'I&amp;E Monthly'!AC103, CHOOSE(Timeline!AC$30,$J103,$K103,$L103 )*INDEX('I&amp;E Profiles'!AC$96:AC$180,$I103))</f>
        <v>10</v>
      </c>
      <c r="AD103" s="153" cm="1">
        <f t="array" ref="AD103">IF(OR(AD$4=0, $G103&lt;&gt; $G$7, $E103=0), 'I&amp;E Monthly'!AD103, CHOOSE(Timeline!AD$30,$J103,$K103,$L103 )*INDEX('I&amp;E Profiles'!AD$96:AD$180,$I103))</f>
        <v>0</v>
      </c>
      <c r="AE103" s="153" cm="1">
        <f t="array" ref="AE103">IF(OR(AE$4=0, $G103&lt;&gt; $G$7, $E103=0), 'I&amp;E Monthly'!AE103, CHOOSE(Timeline!AE$30,$J103,$K103,$L103 )*INDEX('I&amp;E Profiles'!AE$96:AE$180,$I103))</f>
        <v>0</v>
      </c>
      <c r="AF103" s="153" cm="1">
        <f t="array" ref="AF103">IF(OR(AF$4=0, $G103&lt;&gt; $G$7, $E103=0), 'I&amp;E Monthly'!AF103, CHOOSE(Timeline!AF$30,$J103,$K103,$L103 )*INDEX('I&amp;E Profiles'!AF$96:AF$180,$I103))</f>
        <v>7</v>
      </c>
      <c r="AG103" s="153" cm="1">
        <f t="array" ref="AG103">IF(OR(AG$4=0, $G103&lt;&gt; $G$7, $E103=0), 'I&amp;E Monthly'!AG103, CHOOSE(Timeline!AG$30,$J103,$K103,$L103 )*INDEX('I&amp;E Profiles'!AG$96:AG$180,$I103))</f>
        <v>24</v>
      </c>
      <c r="AH103" s="153" cm="1">
        <f t="array" ref="AH103">IF(OR(AH$4=0, $G103&lt;&gt; $G$7, $E103=0), 'I&amp;E Monthly'!AH103, CHOOSE(Timeline!AH$30,$J103,$K103,$L103 )*INDEX('I&amp;E Profiles'!AH$96:AH$180,$I103))</f>
        <v>25</v>
      </c>
      <c r="AI103" s="153" cm="1">
        <f t="array" ref="AI103">IF(OR(AI$4=0, $G103&lt;&gt; $G$7, $E103=0), 'I&amp;E Monthly'!AI103, CHOOSE(Timeline!AI$30,$J103,$K103,$L103 )*INDEX('I&amp;E Profiles'!AI$96:AI$180,$I103))</f>
        <v>22</v>
      </c>
      <c r="AJ103" s="153" cm="1">
        <f t="array" ref="AJ103">IF(OR(AJ$4=0, $G103&lt;&gt; $G$7, $E103=0), 'I&amp;E Monthly'!AJ103, CHOOSE(Timeline!AJ$30,$J103,$K103,$L103 )*INDEX('I&amp;E Profiles'!AJ$96:AJ$180,$I103))</f>
        <v>47</v>
      </c>
      <c r="AK103" s="153" cm="1">
        <f t="array" ref="AK103">IF(OR(AK$4=0, $G103&lt;&gt; $G$7, $E103=0), 'I&amp;E Monthly'!AK103, CHOOSE(Timeline!AK$30,$J103,$K103,$L103 )*INDEX('I&amp;E Profiles'!AK$96:AK$180,$I103))</f>
        <v>0</v>
      </c>
      <c r="AL103" s="153" cm="1">
        <f t="array" ref="AL103">IF(OR(AL$4=0, $G103&lt;&gt; $G$7, $E103=0), 'I&amp;E Monthly'!AL103, CHOOSE(Timeline!AL$30,$J103,$K103,$L103 )*INDEX('I&amp;E Profiles'!AL$96:AL$180,$I103))</f>
        <v>0</v>
      </c>
      <c r="AM103" s="153" cm="1">
        <f t="array" ref="AM103">IF(OR(AM$4=0, $G103&lt;&gt; $G$7, $E103=0), 'I&amp;E Monthly'!AM103, CHOOSE(Timeline!AM$30,$J103,$K103,$L103 )*INDEX('I&amp;E Profiles'!AM$96:AM$180,$I103))</f>
        <v>0</v>
      </c>
      <c r="AN103" s="153" cm="1">
        <f t="array" ref="AN103">IF(OR(AN$4=0, $G103&lt;&gt; $G$7, $E103=0), 'I&amp;E Monthly'!AN103, CHOOSE(Timeline!AN$30,$J103,$K103,$L103 )*INDEX('I&amp;E Profiles'!AN$96:AN$180,$I103))</f>
        <v>0</v>
      </c>
      <c r="AO103" s="153" cm="1">
        <f t="array" ref="AO103">IF(OR(AO$4=0, $G103&lt;&gt; $G$7, $E103=0), 'I&amp;E Monthly'!AO103, CHOOSE(Timeline!AO$30,$J103,$K103,$L103 )*INDEX('I&amp;E Profiles'!AO$96:AO$180,$I103))</f>
        <v>0</v>
      </c>
      <c r="AP103" s="153" cm="1">
        <f t="array" ref="AP103">IF(OR(AP$4=0, $G103&lt;&gt; $G$7, $E103=0), 'I&amp;E Monthly'!AP103, CHOOSE(Timeline!AP$30,$J103,$K103,$L103 )*INDEX('I&amp;E Profiles'!AP$96:AP$180,$I103))</f>
        <v>0</v>
      </c>
      <c r="AQ103" s="153" cm="1">
        <f t="array" ref="AQ103">IF(OR(AQ$4=0, $G103&lt;&gt; $G$7, $E103=0), 'I&amp;E Monthly'!AQ103, CHOOSE(Timeline!AQ$30,$J103,$K103,$L103 )*INDEX('I&amp;E Profiles'!AQ$96:AQ$180,$I103))</f>
        <v>0</v>
      </c>
      <c r="AR103" s="153" cm="1">
        <f t="array" ref="AR103">IF(OR(AR$4=0, $G103&lt;&gt; $G$7, $E103=0), 'I&amp;E Monthly'!AR103, CHOOSE(Timeline!AR$30,$J103,$K103,$L103 )*INDEX('I&amp;E Profiles'!AR$96:AR$180,$I103))</f>
        <v>0</v>
      </c>
      <c r="AS103" s="153" cm="1">
        <f t="array" ref="AS103">IF(OR(AS$4=0, $G103&lt;&gt; $G$7, $E103=0), 'I&amp;E Monthly'!AS103, CHOOSE(Timeline!AS$30,$J103,$K103,$L103 )*INDEX('I&amp;E Profiles'!AS$96:AS$180,$I103))</f>
        <v>0</v>
      </c>
      <c r="AT103" s="153" cm="1">
        <f t="array" ref="AT103">IF(OR(AT$4=0, $G103&lt;&gt; $G$7, $E103=0), 'I&amp;E Monthly'!AT103, CHOOSE(Timeline!AT$30,$J103,$K103,$L103 )*INDEX('I&amp;E Profiles'!AT$96:AT$180,$I103))</f>
        <v>0</v>
      </c>
      <c r="AU103" s="153" cm="1">
        <f t="array" ref="AU103">IF(OR(AU$4=0, $G103&lt;&gt; $G$7, $E103=0), 'I&amp;E Monthly'!AU103, CHOOSE(Timeline!AU$30,$J103,$K103,$L103 )*INDEX('I&amp;E Profiles'!AU$96:AU$180,$I103))</f>
        <v>0</v>
      </c>
      <c r="AV103" s="153" cm="1">
        <f t="array" ref="AV103">IF(OR(AV$4=0, $G103&lt;&gt; $G$7, $E103=0), 'I&amp;E Monthly'!AV103, CHOOSE(Timeline!AV$30,$J103,$K103,$L103 )*INDEX('I&amp;E Profiles'!AV$96:AV$180,$I103))</f>
        <v>0</v>
      </c>
      <c r="AW103" s="153" cm="1">
        <f t="array" ref="AW103">IF(OR(AW$4=0, $G103&lt;&gt; $G$7, $E103=0), 'I&amp;E Monthly'!AW103, CHOOSE(Timeline!AW$30,$J103,$K103,$L103 )*INDEX('I&amp;E Profiles'!AW$96:AW$180,$I103))</f>
        <v>0</v>
      </c>
      <c r="AX103" s="153" cm="1">
        <f t="array" ref="AX103">IF(OR(AX$4=0, $G103&lt;&gt; $G$7, $E103=0), 'I&amp;E Monthly'!AX103, CHOOSE(Timeline!AX$30,$J103,$K103,$L103 )*INDEX('I&amp;E Profiles'!AX$96:AX$180,$I103))</f>
        <v>0</v>
      </c>
      <c r="AY103" s="153" cm="1">
        <f t="array" ref="AY103">IF(OR(AY$4=0, $G103&lt;&gt; $G$7, $E103=0), 'I&amp;E Monthly'!AY103, CHOOSE(Timeline!AY$30,$J103,$K103,$L103 )*INDEX('I&amp;E Profiles'!AY$96:AY$180,$I103))</f>
        <v>0</v>
      </c>
      <c r="AZ103" s="153" cm="1">
        <f t="array" ref="AZ103">IF(OR(AZ$4=0, $G103&lt;&gt; $G$7, $E103=0), 'I&amp;E Monthly'!AZ103, CHOOSE(Timeline!AZ$30,$J103,$K103,$L103 )*INDEX('I&amp;E Profiles'!AZ$96:AZ$180,$I103))</f>
        <v>0</v>
      </c>
      <c r="BA103" s="153" cm="1">
        <f t="array" ref="BA103">IF(OR(BA$4=0, $G103&lt;&gt; $G$7, $E103=0), 'I&amp;E Monthly'!BA103, CHOOSE(Timeline!BA$30,$J103,$K103,$L103 )*INDEX('I&amp;E Profiles'!BA$96:BA$180,$I103))</f>
        <v>0</v>
      </c>
      <c r="BB103" s="153" cm="1">
        <f t="array" ref="BB103">IF(OR(BB$4=0, $G103&lt;&gt; $G$7, $E103=0), 'I&amp;E Monthly'!BB103, CHOOSE(Timeline!BB$30,$J103,$K103,$L103 )*INDEX('I&amp;E Profiles'!BB$96:BB$180,$I103))</f>
        <v>0</v>
      </c>
      <c r="BC103" s="153" cm="1">
        <f t="array" ref="BC103">IF(OR(BC$4=0, $G103&lt;&gt; $G$7, $E103=0), 'I&amp;E Monthly'!BC103, CHOOSE(Timeline!BC$30,$J103,$K103,$L103 )*INDEX('I&amp;E Profiles'!BC$96:BC$180,$I103))</f>
        <v>0</v>
      </c>
      <c r="BD103" s="153" cm="1">
        <f t="array" ref="BD103">IF(OR(BD$4=0, $G103&lt;&gt; $G$7, $E103=0), 'I&amp;E Monthly'!BD103, CHOOSE(Timeline!BD$30,$J103,$K103,$L103 )*INDEX('I&amp;E Profiles'!BD$96:BD$180,$I103))</f>
        <v>0</v>
      </c>
      <c r="BE103" s="153" cm="1">
        <f t="array" ref="BE103">IF(OR(BE$4=0, $G103&lt;&gt; $G$7, $E103=0), 'I&amp;E Monthly'!BE103, CHOOSE(Timeline!BE$30,$J103,$K103,$L103 )*INDEX('I&amp;E Profiles'!BE$96:BE$180,$I103))</f>
        <v>0</v>
      </c>
      <c r="BF103" s="153" cm="1">
        <f t="array" ref="BF103">IF(OR(BF$4=0, $G103&lt;&gt; $G$7, $E103=0), 'I&amp;E Monthly'!BF103, CHOOSE(Timeline!BF$30,$J103,$K103,$L103 )*INDEX('I&amp;E Profiles'!BF$96:BF$180,$I103))</f>
        <v>0</v>
      </c>
      <c r="BG103" s="153" cm="1">
        <f t="array" ref="BG103">IF(OR(BG$4=0, $G103&lt;&gt; $G$7, $E103=0), 'I&amp;E Monthly'!BG103, CHOOSE(Timeline!BG$30,$J103,$K103,$L103 )*INDEX('I&amp;E Profiles'!BG$96:BG$180,$I103))</f>
        <v>0</v>
      </c>
      <c r="BH103" s="153" cm="1">
        <f t="array" ref="BH103">IF(OR(BH$4=0, $G103&lt;&gt; $G$7, $E103=0), 'I&amp;E Monthly'!BH103, CHOOSE(Timeline!BH$30,$J103,$K103,$L103 )*INDEX('I&amp;E Profiles'!BH$96:BH$180,$I103))</f>
        <v>0</v>
      </c>
      <c r="BI103" s="153" cm="1">
        <f t="array" ref="BI103">IF(OR(BI$4=0, $G103&lt;&gt; $G$7, $E103=0), 'I&amp;E Monthly'!BI103, CHOOSE(Timeline!BI$30,$J103,$K103,$L103 )*INDEX('I&amp;E Profiles'!BI$96:BI$180,$I103))</f>
        <v>0</v>
      </c>
      <c r="BJ103" s="153" cm="1">
        <f t="array" ref="BJ103">IF(OR(BJ$4=0, $G103&lt;&gt; $G$7, $E103=0), 'I&amp;E Monthly'!BJ103, CHOOSE(Timeline!BJ$30,$J103,$K103,$L103 )*INDEX('I&amp;E Profiles'!BJ$96:BJ$180,$I103))</f>
        <v>0</v>
      </c>
      <c r="BK103" s="335"/>
      <c r="BL103" s="13">
        <f t="shared" si="111"/>
        <v>0</v>
      </c>
      <c r="BM103" s="153">
        <f t="shared" si="112"/>
        <v>135</v>
      </c>
      <c r="BN103" s="153">
        <f t="shared" si="112"/>
        <v>0</v>
      </c>
      <c r="BO103" s="153">
        <f t="shared" si="112"/>
        <v>0</v>
      </c>
      <c r="BP103" s="13">
        <f>'I&amp;E Monthly'!BP103</f>
        <v>0</v>
      </c>
      <c r="BQ103" s="13">
        <f>'I&amp;E Monthly'!BQ103</f>
        <v>0</v>
      </c>
      <c r="BR103" s="13">
        <f>'I&amp;E Monthly'!BR103</f>
        <v>0</v>
      </c>
      <c r="BS103" s="13">
        <f>'I&amp;E Monthly'!BS103</f>
        <v>0</v>
      </c>
      <c r="BT103" s="13">
        <f>'I&amp;E Monthly'!BT103</f>
        <v>0</v>
      </c>
      <c r="BU103" s="13">
        <f>'I&amp;E Monthly'!BU103</f>
        <v>0</v>
      </c>
      <c r="BV103" s="13">
        <f>'I&amp;E Monthly'!BV103</f>
        <v>0</v>
      </c>
      <c r="BW103" s="13">
        <f>'I&amp;E Monthly'!BW103</f>
        <v>0</v>
      </c>
      <c r="BX103" s="335"/>
      <c r="BY103" s="12"/>
      <c r="BZ103" s="363">
        <f t="shared" ca="1" si="113"/>
        <v>0</v>
      </c>
      <c r="CA103" s="12"/>
      <c r="CB103" s="7">
        <f t="shared" si="114"/>
        <v>0</v>
      </c>
      <c r="CC103" s="188" cm="1">
        <f t="array" ref="CC103">IF(E103="",0, IF(_xlfn.IFNA(INDEX('I&amp;E Profiles'!$D$96:$D$180, $I103), "N/A")="N/A", 1, 0))</f>
        <v>0</v>
      </c>
      <c r="CD103" s="7">
        <f t="shared" si="115"/>
        <v>0</v>
      </c>
      <c r="CE103" s="7">
        <f t="shared" si="116"/>
        <v>0</v>
      </c>
      <c r="CF103" s="7">
        <f t="shared" si="117"/>
        <v>0</v>
      </c>
      <c r="CG103" s="12"/>
      <c r="CH103" s="352">
        <f t="shared" si="118"/>
        <v>0</v>
      </c>
      <c r="CI103" s="352">
        <f t="shared" si="118"/>
        <v>0</v>
      </c>
      <c r="CJ103" s="352">
        <f t="shared" si="118"/>
        <v>0</v>
      </c>
      <c r="CK103" s="352">
        <f t="shared" si="119"/>
        <v>0</v>
      </c>
      <c r="CL103" s="352">
        <f t="shared" si="120"/>
        <v>0</v>
      </c>
      <c r="CM103" s="352">
        <f t="shared" si="121"/>
        <v>0</v>
      </c>
      <c r="CN103" s="352">
        <f t="shared" si="122"/>
        <v>0</v>
      </c>
      <c r="EX103" s="10" t="str">
        <f t="shared" si="78"/>
        <v>Covid support (incl. CJRS and Provider Relief Scheme)</v>
      </c>
    </row>
    <row r="104" spans="1:154" hidden="1" x14ac:dyDescent="0.25">
      <c r="A104" s="362" cm="1">
        <f t="array" aca="1" ref="A104" ca="1">HYPERLINK(CONCATENATE("#",CELL("address",IF(SUM($CA104:$CG104)=0,A104,INDEX($CA104:$CG104,MATCH(1,$CA104:$CG104,0))))),SUM($CA104:$CG104))</f>
        <v>0</v>
      </c>
      <c r="B104" s="93"/>
      <c r="C104" s="383"/>
      <c r="D104" s="137" t="s">
        <v>2316</v>
      </c>
      <c r="E104" s="136"/>
      <c r="F104" s="98" t="str" cm="1">
        <f t="array" aca="1" ref="F104" ca="1">IF(E104="", "", HYPERLINK(CONCATENATE("#",CELL("address",INDEX('I&amp;E Profiles'!$D$9:$D$93,'I&amp;E Annual'!I104))),E104))</f>
        <v/>
      </c>
      <c r="G104" s="136"/>
      <c r="H104" s="335"/>
      <c r="I104" s="200" t="str">
        <f>IF(E104="", "", MATCH(E104, 'I&amp;E Profiles'!$D$96:$D$180,0))</f>
        <v/>
      </c>
      <c r="J104" s="215">
        <f>IF($G104=$G$7, W104,'I&amp;E Monthly'!W104)-SUMIFS('I&amp;E Monthly'!$AA104:$BJ104, 'I&amp;E Monthly'!$AA$3:$BJ$3, 'I&amp;E Annual'!W$3, 'I&amp;E Monthly'!$AA$4:$BJ$4, 0)</f>
        <v>0</v>
      </c>
      <c r="K104" s="215">
        <f>IF($G104=$G$7, X104,'I&amp;E Monthly'!X104)-SUMIFS('I&amp;E Monthly'!$AA104:$BJ104, 'I&amp;E Monthly'!$AA$3:$BJ$3, 'I&amp;E Annual'!X$3, 'I&amp;E Monthly'!$AA$4:$BJ$4, 0)</f>
        <v>0</v>
      </c>
      <c r="L104" s="215">
        <f>IF($G104=$G$7, Y104,'I&amp;E Monthly'!Y104)-SUMIFS('I&amp;E Monthly'!$AA104:$BJ104, 'I&amp;E Monthly'!$AA$3:$BJ$3, 'I&amp;E Annual'!Y$3, 'I&amp;E Monthly'!$AA$4:$BJ$4, 0)</f>
        <v>0</v>
      </c>
      <c r="M104" s="335"/>
      <c r="N104" s="335"/>
      <c r="O104" s="335"/>
      <c r="P104" s="335"/>
      <c r="Q104" s="2"/>
      <c r="R104" s="335"/>
      <c r="S104" s="335"/>
      <c r="T104" s="335"/>
      <c r="U104" s="335"/>
      <c r="V104" s="201">
        <f>'I&amp;E Monthly'!V104</f>
        <v>0</v>
      </c>
      <c r="W104" s="136"/>
      <c r="X104" s="136"/>
      <c r="Y104" s="136"/>
      <c r="Z104" s="335"/>
      <c r="AA104" s="153" cm="1">
        <f t="array" ref="AA104">IF(OR(AA$4=0, $G104&lt;&gt; $G$7, $E104=0), 'I&amp;E Monthly'!AA104, CHOOSE(Timeline!AA$30,$J104,$K104,$L104 )*INDEX('I&amp;E Profiles'!AA$96:AA$180,$I104))</f>
        <v>0</v>
      </c>
      <c r="AB104" s="153" cm="1">
        <f t="array" ref="AB104">IF(OR(AB$4=0, $G104&lt;&gt; $G$7, $E104=0), 'I&amp;E Monthly'!AB104, CHOOSE(Timeline!AB$30,$J104,$K104,$L104 )*INDEX('I&amp;E Profiles'!AB$96:AB$180,$I104))</f>
        <v>0</v>
      </c>
      <c r="AC104" s="153" cm="1">
        <f t="array" ref="AC104">IF(OR(AC$4=0, $G104&lt;&gt; $G$7, $E104=0), 'I&amp;E Monthly'!AC104, CHOOSE(Timeline!AC$30,$J104,$K104,$L104 )*INDEX('I&amp;E Profiles'!AC$96:AC$180,$I104))</f>
        <v>0</v>
      </c>
      <c r="AD104" s="153" cm="1">
        <f t="array" ref="AD104">IF(OR(AD$4=0, $G104&lt;&gt; $G$7, $E104=0), 'I&amp;E Monthly'!AD104, CHOOSE(Timeline!AD$30,$J104,$K104,$L104 )*INDEX('I&amp;E Profiles'!AD$96:AD$180,$I104))</f>
        <v>0</v>
      </c>
      <c r="AE104" s="153" cm="1">
        <f t="array" ref="AE104">IF(OR(AE$4=0, $G104&lt;&gt; $G$7, $E104=0), 'I&amp;E Monthly'!AE104, CHOOSE(Timeline!AE$30,$J104,$K104,$L104 )*INDEX('I&amp;E Profiles'!AE$96:AE$180,$I104))</f>
        <v>0</v>
      </c>
      <c r="AF104" s="153" cm="1">
        <f t="array" ref="AF104">IF(OR(AF$4=0, $G104&lt;&gt; $G$7, $E104=0), 'I&amp;E Monthly'!AF104, CHOOSE(Timeline!AF$30,$J104,$K104,$L104 )*INDEX('I&amp;E Profiles'!AF$96:AF$180,$I104))</f>
        <v>0</v>
      </c>
      <c r="AG104" s="153" cm="1">
        <f t="array" ref="AG104">IF(OR(AG$4=0, $G104&lt;&gt; $G$7, $E104=0), 'I&amp;E Monthly'!AG104, CHOOSE(Timeline!AG$30,$J104,$K104,$L104 )*INDEX('I&amp;E Profiles'!AG$96:AG$180,$I104))</f>
        <v>0</v>
      </c>
      <c r="AH104" s="153" cm="1">
        <f t="array" ref="AH104">IF(OR(AH$4=0, $G104&lt;&gt; $G$7, $E104=0), 'I&amp;E Monthly'!AH104, CHOOSE(Timeline!AH$30,$J104,$K104,$L104 )*INDEX('I&amp;E Profiles'!AH$96:AH$180,$I104))</f>
        <v>0</v>
      </c>
      <c r="AI104" s="153" cm="1">
        <f t="array" ref="AI104">IF(OR(AI$4=0, $G104&lt;&gt; $G$7, $E104=0), 'I&amp;E Monthly'!AI104, CHOOSE(Timeline!AI$30,$J104,$K104,$L104 )*INDEX('I&amp;E Profiles'!AI$96:AI$180,$I104))</f>
        <v>0</v>
      </c>
      <c r="AJ104" s="153" cm="1">
        <f t="array" ref="AJ104">IF(OR(AJ$4=0, $G104&lt;&gt; $G$7, $E104=0), 'I&amp;E Monthly'!AJ104, CHOOSE(Timeline!AJ$30,$J104,$K104,$L104 )*INDEX('I&amp;E Profiles'!AJ$96:AJ$180,$I104))</f>
        <v>0</v>
      </c>
      <c r="AK104" s="153" cm="1">
        <f t="array" ref="AK104">IF(OR(AK$4=0, $G104&lt;&gt; $G$7, $E104=0), 'I&amp;E Monthly'!AK104, CHOOSE(Timeline!AK$30,$J104,$K104,$L104 )*INDEX('I&amp;E Profiles'!AK$96:AK$180,$I104))</f>
        <v>0</v>
      </c>
      <c r="AL104" s="153" cm="1">
        <f t="array" ref="AL104">IF(OR(AL$4=0, $G104&lt;&gt; $G$7, $E104=0), 'I&amp;E Monthly'!AL104, CHOOSE(Timeline!AL$30,$J104,$K104,$L104 )*INDEX('I&amp;E Profiles'!AL$96:AL$180,$I104))</f>
        <v>0</v>
      </c>
      <c r="AM104" s="153" cm="1">
        <f t="array" ref="AM104">IF(OR(AM$4=0, $G104&lt;&gt; $G$7, $E104=0), 'I&amp;E Monthly'!AM104, CHOOSE(Timeline!AM$30,$J104,$K104,$L104 )*INDEX('I&amp;E Profiles'!AM$96:AM$180,$I104))</f>
        <v>0</v>
      </c>
      <c r="AN104" s="153" cm="1">
        <f t="array" ref="AN104">IF(OR(AN$4=0, $G104&lt;&gt; $G$7, $E104=0), 'I&amp;E Monthly'!AN104, CHOOSE(Timeline!AN$30,$J104,$K104,$L104 )*INDEX('I&amp;E Profiles'!AN$96:AN$180,$I104))</f>
        <v>0</v>
      </c>
      <c r="AO104" s="153" cm="1">
        <f t="array" ref="AO104">IF(OR(AO$4=0, $G104&lt;&gt; $G$7, $E104=0), 'I&amp;E Monthly'!AO104, CHOOSE(Timeline!AO$30,$J104,$K104,$L104 )*INDEX('I&amp;E Profiles'!AO$96:AO$180,$I104))</f>
        <v>0</v>
      </c>
      <c r="AP104" s="153" cm="1">
        <f t="array" ref="AP104">IF(OR(AP$4=0, $G104&lt;&gt; $G$7, $E104=0), 'I&amp;E Monthly'!AP104, CHOOSE(Timeline!AP$30,$J104,$K104,$L104 )*INDEX('I&amp;E Profiles'!AP$96:AP$180,$I104))</f>
        <v>0</v>
      </c>
      <c r="AQ104" s="153" cm="1">
        <f t="array" ref="AQ104">IF(OR(AQ$4=0, $G104&lt;&gt; $G$7, $E104=0), 'I&amp;E Monthly'!AQ104, CHOOSE(Timeline!AQ$30,$J104,$K104,$L104 )*INDEX('I&amp;E Profiles'!AQ$96:AQ$180,$I104))</f>
        <v>0</v>
      </c>
      <c r="AR104" s="153" cm="1">
        <f t="array" ref="AR104">IF(OR(AR$4=0, $G104&lt;&gt; $G$7, $E104=0), 'I&amp;E Monthly'!AR104, CHOOSE(Timeline!AR$30,$J104,$K104,$L104 )*INDEX('I&amp;E Profiles'!AR$96:AR$180,$I104))</f>
        <v>0</v>
      </c>
      <c r="AS104" s="153" cm="1">
        <f t="array" ref="AS104">IF(OR(AS$4=0, $G104&lt;&gt; $G$7, $E104=0), 'I&amp;E Monthly'!AS104, CHOOSE(Timeline!AS$30,$J104,$K104,$L104 )*INDEX('I&amp;E Profiles'!AS$96:AS$180,$I104))</f>
        <v>0</v>
      </c>
      <c r="AT104" s="153" cm="1">
        <f t="array" ref="AT104">IF(OR(AT$4=0, $G104&lt;&gt; $G$7, $E104=0), 'I&amp;E Monthly'!AT104, CHOOSE(Timeline!AT$30,$J104,$K104,$L104 )*INDEX('I&amp;E Profiles'!AT$96:AT$180,$I104))</f>
        <v>0</v>
      </c>
      <c r="AU104" s="153" cm="1">
        <f t="array" ref="AU104">IF(OR(AU$4=0, $G104&lt;&gt; $G$7, $E104=0), 'I&amp;E Monthly'!AU104, CHOOSE(Timeline!AU$30,$J104,$K104,$L104 )*INDEX('I&amp;E Profiles'!AU$96:AU$180,$I104))</f>
        <v>0</v>
      </c>
      <c r="AV104" s="153" cm="1">
        <f t="array" ref="AV104">IF(OR(AV$4=0, $G104&lt;&gt; $G$7, $E104=0), 'I&amp;E Monthly'!AV104, CHOOSE(Timeline!AV$30,$J104,$K104,$L104 )*INDEX('I&amp;E Profiles'!AV$96:AV$180,$I104))</f>
        <v>0</v>
      </c>
      <c r="AW104" s="153" cm="1">
        <f t="array" ref="AW104">IF(OR(AW$4=0, $G104&lt;&gt; $G$7, $E104=0), 'I&amp;E Monthly'!AW104, CHOOSE(Timeline!AW$30,$J104,$K104,$L104 )*INDEX('I&amp;E Profiles'!AW$96:AW$180,$I104))</f>
        <v>0</v>
      </c>
      <c r="AX104" s="153" cm="1">
        <f t="array" ref="AX104">IF(OR(AX$4=0, $G104&lt;&gt; $G$7, $E104=0), 'I&amp;E Monthly'!AX104, CHOOSE(Timeline!AX$30,$J104,$K104,$L104 )*INDEX('I&amp;E Profiles'!AX$96:AX$180,$I104))</f>
        <v>0</v>
      </c>
      <c r="AY104" s="153" cm="1">
        <f t="array" ref="AY104">IF(OR(AY$4=0, $G104&lt;&gt; $G$7, $E104=0), 'I&amp;E Monthly'!AY104, CHOOSE(Timeline!AY$30,$J104,$K104,$L104 )*INDEX('I&amp;E Profiles'!AY$96:AY$180,$I104))</f>
        <v>0</v>
      </c>
      <c r="AZ104" s="153" cm="1">
        <f t="array" ref="AZ104">IF(OR(AZ$4=0, $G104&lt;&gt; $G$7, $E104=0), 'I&amp;E Monthly'!AZ104, CHOOSE(Timeline!AZ$30,$J104,$K104,$L104 )*INDEX('I&amp;E Profiles'!AZ$96:AZ$180,$I104))</f>
        <v>0</v>
      </c>
      <c r="BA104" s="153" cm="1">
        <f t="array" ref="BA104">IF(OR(BA$4=0, $G104&lt;&gt; $G$7, $E104=0), 'I&amp;E Monthly'!BA104, CHOOSE(Timeline!BA$30,$J104,$K104,$L104 )*INDEX('I&amp;E Profiles'!BA$96:BA$180,$I104))</f>
        <v>0</v>
      </c>
      <c r="BB104" s="153" cm="1">
        <f t="array" ref="BB104">IF(OR(BB$4=0, $G104&lt;&gt; $G$7, $E104=0), 'I&amp;E Monthly'!BB104, CHOOSE(Timeline!BB$30,$J104,$K104,$L104 )*INDEX('I&amp;E Profiles'!BB$96:BB$180,$I104))</f>
        <v>0</v>
      </c>
      <c r="BC104" s="153" cm="1">
        <f t="array" ref="BC104">IF(OR(BC$4=0, $G104&lt;&gt; $G$7, $E104=0), 'I&amp;E Monthly'!BC104, CHOOSE(Timeline!BC$30,$J104,$K104,$L104 )*INDEX('I&amp;E Profiles'!BC$96:BC$180,$I104))</f>
        <v>0</v>
      </c>
      <c r="BD104" s="153" cm="1">
        <f t="array" ref="BD104">IF(OR(BD$4=0, $G104&lt;&gt; $G$7, $E104=0), 'I&amp;E Monthly'!BD104, CHOOSE(Timeline!BD$30,$J104,$K104,$L104 )*INDEX('I&amp;E Profiles'!BD$96:BD$180,$I104))</f>
        <v>0</v>
      </c>
      <c r="BE104" s="153" cm="1">
        <f t="array" ref="BE104">IF(OR(BE$4=0, $G104&lt;&gt; $G$7, $E104=0), 'I&amp;E Monthly'!BE104, CHOOSE(Timeline!BE$30,$J104,$K104,$L104 )*INDEX('I&amp;E Profiles'!BE$96:BE$180,$I104))</f>
        <v>0</v>
      </c>
      <c r="BF104" s="153" cm="1">
        <f t="array" ref="BF104">IF(OR(BF$4=0, $G104&lt;&gt; $G$7, $E104=0), 'I&amp;E Monthly'!BF104, CHOOSE(Timeline!BF$30,$J104,$K104,$L104 )*INDEX('I&amp;E Profiles'!BF$96:BF$180,$I104))</f>
        <v>0</v>
      </c>
      <c r="BG104" s="153" cm="1">
        <f t="array" ref="BG104">IF(OR(BG$4=0, $G104&lt;&gt; $G$7, $E104=0), 'I&amp;E Monthly'!BG104, CHOOSE(Timeline!BG$30,$J104,$K104,$L104 )*INDEX('I&amp;E Profiles'!BG$96:BG$180,$I104))</f>
        <v>0</v>
      </c>
      <c r="BH104" s="153" cm="1">
        <f t="array" ref="BH104">IF(OR(BH$4=0, $G104&lt;&gt; $G$7, $E104=0), 'I&amp;E Monthly'!BH104, CHOOSE(Timeline!BH$30,$J104,$K104,$L104 )*INDEX('I&amp;E Profiles'!BH$96:BH$180,$I104))</f>
        <v>0</v>
      </c>
      <c r="BI104" s="153" cm="1">
        <f t="array" ref="BI104">IF(OR(BI$4=0, $G104&lt;&gt; $G$7, $E104=0), 'I&amp;E Monthly'!BI104, CHOOSE(Timeline!BI$30,$J104,$K104,$L104 )*INDEX('I&amp;E Profiles'!BI$96:BI$180,$I104))</f>
        <v>0</v>
      </c>
      <c r="BJ104" s="153" cm="1">
        <f t="array" ref="BJ104">IF(OR(BJ$4=0, $G104&lt;&gt; $G$7, $E104=0), 'I&amp;E Monthly'!BJ104, CHOOSE(Timeline!BJ$30,$J104,$K104,$L104 )*INDEX('I&amp;E Profiles'!BJ$96:BJ$180,$I104))</f>
        <v>0</v>
      </c>
      <c r="BK104" s="335"/>
      <c r="BL104" s="13">
        <f t="shared" si="111"/>
        <v>0</v>
      </c>
      <c r="BM104" s="153">
        <f t="shared" si="112"/>
        <v>0</v>
      </c>
      <c r="BN104" s="153">
        <f t="shared" si="112"/>
        <v>0</v>
      </c>
      <c r="BO104" s="153">
        <f t="shared" si="112"/>
        <v>0</v>
      </c>
      <c r="BP104" s="13">
        <f>'I&amp;E Monthly'!BP104</f>
        <v>0</v>
      </c>
      <c r="BQ104" s="13">
        <f>'I&amp;E Monthly'!BQ104</f>
        <v>0</v>
      </c>
      <c r="BR104" s="13">
        <f>'I&amp;E Monthly'!BR104</f>
        <v>0</v>
      </c>
      <c r="BS104" s="13">
        <f>'I&amp;E Monthly'!BS104</f>
        <v>0</v>
      </c>
      <c r="BT104" s="13">
        <f>'I&amp;E Monthly'!BT104</f>
        <v>0</v>
      </c>
      <c r="BU104" s="13">
        <f>'I&amp;E Monthly'!BU104</f>
        <v>0</v>
      </c>
      <c r="BV104" s="13">
        <f>'I&amp;E Monthly'!BV104</f>
        <v>0</v>
      </c>
      <c r="BW104" s="13">
        <f>'I&amp;E Monthly'!BW104</f>
        <v>0</v>
      </c>
      <c r="BX104" s="335"/>
      <c r="BY104" s="12"/>
      <c r="BZ104" s="363">
        <f t="shared" ca="1" si="113"/>
        <v>0</v>
      </c>
      <c r="CA104" s="12"/>
      <c r="CB104" s="7">
        <f t="shared" si="114"/>
        <v>0</v>
      </c>
      <c r="CC104" s="188" cm="1">
        <f t="array" ref="CC104">IF(E104="",0, IF(_xlfn.IFNA(INDEX('I&amp;E Profiles'!$D$96:$D$180, $I104), "N/A")="N/A", 1, 0))</f>
        <v>0</v>
      </c>
      <c r="CD104" s="7">
        <f t="shared" si="115"/>
        <v>0</v>
      </c>
      <c r="CE104" s="7">
        <f t="shared" si="116"/>
        <v>0</v>
      </c>
      <c r="CF104" s="7">
        <f t="shared" si="117"/>
        <v>0</v>
      </c>
      <c r="CG104" s="12"/>
      <c r="CH104" s="352">
        <f t="shared" si="118"/>
        <v>0</v>
      </c>
      <c r="CI104" s="352">
        <f t="shared" si="118"/>
        <v>0</v>
      </c>
      <c r="CJ104" s="352">
        <f t="shared" si="118"/>
        <v>0</v>
      </c>
      <c r="CK104" s="352">
        <f t="shared" si="119"/>
        <v>0</v>
      </c>
      <c r="CL104" s="352">
        <f t="shared" si="120"/>
        <v>0</v>
      </c>
      <c r="CM104" s="352">
        <f t="shared" si="121"/>
        <v>0</v>
      </c>
      <c r="CN104" s="352">
        <f t="shared" si="122"/>
        <v>0</v>
      </c>
      <c r="EX104" s="10" t="str">
        <f t="shared" si="78"/>
        <v/>
      </c>
    </row>
    <row r="105" spans="1:154" hidden="1" x14ac:dyDescent="0.25">
      <c r="A105" s="362" cm="1">
        <f t="array" aca="1" ref="A105" ca="1">HYPERLINK(CONCATENATE("#",CELL("address",IF(SUM($CA105:$CG105)=0,A105,INDEX($CA105:$CG105,MATCH(1,$CA105:$CG105,0))))),SUM($CA105:$CG105))</f>
        <v>0</v>
      </c>
      <c r="B105" s="93"/>
      <c r="C105" s="383"/>
      <c r="D105" s="137" t="s">
        <v>2316</v>
      </c>
      <c r="E105" s="349"/>
      <c r="F105" s="98" t="str" cm="1">
        <f t="array" aca="1" ref="F105" ca="1">IF(E105="", "", HYPERLINK(CONCATENATE("#",CELL("address",INDEX('I&amp;E Profiles'!$D$9:$D$93,'I&amp;E Annual'!I105))),E105))</f>
        <v/>
      </c>
      <c r="G105" s="349"/>
      <c r="I105" s="350" t="str">
        <f>IF(E105="", "", MATCH(E105, 'I&amp;E Profiles'!$D$96:$D$180,0))</f>
        <v/>
      </c>
      <c r="J105" s="215">
        <f>IF($G105=$G$7, W105,'I&amp;E Monthly'!W105)-SUMIFS('I&amp;E Monthly'!$AA105:$BJ105, 'I&amp;E Monthly'!$AA$3:$BJ$3, 'I&amp;E Annual'!W$3, 'I&amp;E Monthly'!$AA$4:$BJ$4, 0)</f>
        <v>0</v>
      </c>
      <c r="K105" s="215">
        <f>IF($G105=$G$7, X105,'I&amp;E Monthly'!X105)-SUMIFS('I&amp;E Monthly'!$AA105:$BJ105, 'I&amp;E Monthly'!$AA$3:$BJ$3, 'I&amp;E Annual'!X$3, 'I&amp;E Monthly'!$AA$4:$BJ$4, 0)</f>
        <v>0</v>
      </c>
      <c r="L105" s="215">
        <f>IF($G105=$G$7, Y105,'I&amp;E Monthly'!Y105)-SUMIFS('I&amp;E Monthly'!$AA105:$BJ105, 'I&amp;E Monthly'!$AA$3:$BJ$3, 'I&amp;E Annual'!Y$3, 'I&amp;E Monthly'!$AA$4:$BJ$4, 0)</f>
        <v>0</v>
      </c>
      <c r="M105" s="335"/>
      <c r="N105" s="335"/>
      <c r="O105" s="335"/>
      <c r="P105" s="335"/>
      <c r="Q105" s="2"/>
      <c r="R105" s="335"/>
      <c r="S105" s="335"/>
      <c r="T105" s="335"/>
      <c r="U105" s="335"/>
      <c r="V105" s="201">
        <f>'I&amp;E Monthly'!V105</f>
        <v>0</v>
      </c>
      <c r="W105" s="136"/>
      <c r="X105" s="136"/>
      <c r="Y105" s="136"/>
      <c r="Z105" s="335"/>
      <c r="AA105" s="153" cm="1">
        <f t="array" ref="AA105">IF(OR(AA$4=0, $G105&lt;&gt; $G$7, $E105=0), 'I&amp;E Monthly'!AA105, CHOOSE(Timeline!AA$30,$J105,$K105,$L105 )*INDEX('I&amp;E Profiles'!AA$96:AA$180,$I105))</f>
        <v>0</v>
      </c>
      <c r="AB105" s="153" cm="1">
        <f t="array" ref="AB105">IF(OR(AB$4=0, $G105&lt;&gt; $G$7, $E105=0), 'I&amp;E Monthly'!AB105, CHOOSE(Timeline!AB$30,$J105,$K105,$L105 )*INDEX('I&amp;E Profiles'!AB$96:AB$180,$I105))</f>
        <v>0</v>
      </c>
      <c r="AC105" s="153" cm="1">
        <f t="array" ref="AC105">IF(OR(AC$4=0, $G105&lt;&gt; $G$7, $E105=0), 'I&amp;E Monthly'!AC105, CHOOSE(Timeline!AC$30,$J105,$K105,$L105 )*INDEX('I&amp;E Profiles'!AC$96:AC$180,$I105))</f>
        <v>0</v>
      </c>
      <c r="AD105" s="153" cm="1">
        <f t="array" ref="AD105">IF(OR(AD$4=0, $G105&lt;&gt; $G$7, $E105=0), 'I&amp;E Monthly'!AD105, CHOOSE(Timeline!AD$30,$J105,$K105,$L105 )*INDEX('I&amp;E Profiles'!AD$96:AD$180,$I105))</f>
        <v>0</v>
      </c>
      <c r="AE105" s="153" cm="1">
        <f t="array" ref="AE105">IF(OR(AE$4=0, $G105&lt;&gt; $G$7, $E105=0), 'I&amp;E Monthly'!AE105, CHOOSE(Timeline!AE$30,$J105,$K105,$L105 )*INDEX('I&amp;E Profiles'!AE$96:AE$180,$I105))</f>
        <v>0</v>
      </c>
      <c r="AF105" s="153" cm="1">
        <f t="array" ref="AF105">IF(OR(AF$4=0, $G105&lt;&gt; $G$7, $E105=0), 'I&amp;E Monthly'!AF105, CHOOSE(Timeline!AF$30,$J105,$K105,$L105 )*INDEX('I&amp;E Profiles'!AF$96:AF$180,$I105))</f>
        <v>0</v>
      </c>
      <c r="AG105" s="153" cm="1">
        <f t="array" ref="AG105">IF(OR(AG$4=0, $G105&lt;&gt; $G$7, $E105=0), 'I&amp;E Monthly'!AG105, CHOOSE(Timeline!AG$30,$J105,$K105,$L105 )*INDEX('I&amp;E Profiles'!AG$96:AG$180,$I105))</f>
        <v>0</v>
      </c>
      <c r="AH105" s="153" cm="1">
        <f t="array" ref="AH105">IF(OR(AH$4=0, $G105&lt;&gt; $G$7, $E105=0), 'I&amp;E Monthly'!AH105, CHOOSE(Timeline!AH$30,$J105,$K105,$L105 )*INDEX('I&amp;E Profiles'!AH$96:AH$180,$I105))</f>
        <v>0</v>
      </c>
      <c r="AI105" s="153" cm="1">
        <f t="array" ref="AI105">IF(OR(AI$4=0, $G105&lt;&gt; $G$7, $E105=0), 'I&amp;E Monthly'!AI105, CHOOSE(Timeline!AI$30,$J105,$K105,$L105 )*INDEX('I&amp;E Profiles'!AI$96:AI$180,$I105))</f>
        <v>0</v>
      </c>
      <c r="AJ105" s="153" cm="1">
        <f t="array" ref="AJ105">IF(OR(AJ$4=0, $G105&lt;&gt; $G$7, $E105=0), 'I&amp;E Monthly'!AJ105, CHOOSE(Timeline!AJ$30,$J105,$K105,$L105 )*INDEX('I&amp;E Profiles'!AJ$96:AJ$180,$I105))</f>
        <v>0</v>
      </c>
      <c r="AK105" s="153" cm="1">
        <f t="array" ref="AK105">IF(OR(AK$4=0, $G105&lt;&gt; $G$7, $E105=0), 'I&amp;E Monthly'!AK105, CHOOSE(Timeline!AK$30,$J105,$K105,$L105 )*INDEX('I&amp;E Profiles'!AK$96:AK$180,$I105))</f>
        <v>0</v>
      </c>
      <c r="AL105" s="153" cm="1">
        <f t="array" ref="AL105">IF(OR(AL$4=0, $G105&lt;&gt; $G$7, $E105=0), 'I&amp;E Monthly'!AL105, CHOOSE(Timeline!AL$30,$J105,$K105,$L105 )*INDEX('I&amp;E Profiles'!AL$96:AL$180,$I105))</f>
        <v>0</v>
      </c>
      <c r="AM105" s="153" cm="1">
        <f t="array" ref="AM105">IF(OR(AM$4=0, $G105&lt;&gt; $G$7, $E105=0), 'I&amp;E Monthly'!AM105, CHOOSE(Timeline!AM$30,$J105,$K105,$L105 )*INDEX('I&amp;E Profiles'!AM$96:AM$180,$I105))</f>
        <v>0</v>
      </c>
      <c r="AN105" s="153" cm="1">
        <f t="array" ref="AN105">IF(OR(AN$4=0, $G105&lt;&gt; $G$7, $E105=0), 'I&amp;E Monthly'!AN105, CHOOSE(Timeline!AN$30,$J105,$K105,$L105 )*INDEX('I&amp;E Profiles'!AN$96:AN$180,$I105))</f>
        <v>0</v>
      </c>
      <c r="AO105" s="153" cm="1">
        <f t="array" ref="AO105">IF(OR(AO$4=0, $G105&lt;&gt; $G$7, $E105=0), 'I&amp;E Monthly'!AO105, CHOOSE(Timeline!AO$30,$J105,$K105,$L105 )*INDEX('I&amp;E Profiles'!AO$96:AO$180,$I105))</f>
        <v>0</v>
      </c>
      <c r="AP105" s="153" cm="1">
        <f t="array" ref="AP105">IF(OR(AP$4=0, $G105&lt;&gt; $G$7, $E105=0), 'I&amp;E Monthly'!AP105, CHOOSE(Timeline!AP$30,$J105,$K105,$L105 )*INDEX('I&amp;E Profiles'!AP$96:AP$180,$I105))</f>
        <v>0</v>
      </c>
      <c r="AQ105" s="153" cm="1">
        <f t="array" ref="AQ105">IF(OR(AQ$4=0, $G105&lt;&gt; $G$7, $E105=0), 'I&amp;E Monthly'!AQ105, CHOOSE(Timeline!AQ$30,$J105,$K105,$L105 )*INDEX('I&amp;E Profiles'!AQ$96:AQ$180,$I105))</f>
        <v>0</v>
      </c>
      <c r="AR105" s="153" cm="1">
        <f t="array" ref="AR105">IF(OR(AR$4=0, $G105&lt;&gt; $G$7, $E105=0), 'I&amp;E Monthly'!AR105, CHOOSE(Timeline!AR$30,$J105,$K105,$L105 )*INDEX('I&amp;E Profiles'!AR$96:AR$180,$I105))</f>
        <v>0</v>
      </c>
      <c r="AS105" s="153" cm="1">
        <f t="array" ref="AS105">IF(OR(AS$4=0, $G105&lt;&gt; $G$7, $E105=0), 'I&amp;E Monthly'!AS105, CHOOSE(Timeline!AS$30,$J105,$K105,$L105 )*INDEX('I&amp;E Profiles'!AS$96:AS$180,$I105))</f>
        <v>0</v>
      </c>
      <c r="AT105" s="153" cm="1">
        <f t="array" ref="AT105">IF(OR(AT$4=0, $G105&lt;&gt; $G$7, $E105=0), 'I&amp;E Monthly'!AT105, CHOOSE(Timeline!AT$30,$J105,$K105,$L105 )*INDEX('I&amp;E Profiles'!AT$96:AT$180,$I105))</f>
        <v>0</v>
      </c>
      <c r="AU105" s="153" cm="1">
        <f t="array" ref="AU105">IF(OR(AU$4=0, $G105&lt;&gt; $G$7, $E105=0), 'I&amp;E Monthly'!AU105, CHOOSE(Timeline!AU$30,$J105,$K105,$L105 )*INDEX('I&amp;E Profiles'!AU$96:AU$180,$I105))</f>
        <v>0</v>
      </c>
      <c r="AV105" s="153" cm="1">
        <f t="array" ref="AV105">IF(OR(AV$4=0, $G105&lt;&gt; $G$7, $E105=0), 'I&amp;E Monthly'!AV105, CHOOSE(Timeline!AV$30,$J105,$K105,$L105 )*INDEX('I&amp;E Profiles'!AV$96:AV$180,$I105))</f>
        <v>0</v>
      </c>
      <c r="AW105" s="153" cm="1">
        <f t="array" ref="AW105">IF(OR(AW$4=0, $G105&lt;&gt; $G$7, $E105=0), 'I&amp;E Monthly'!AW105, CHOOSE(Timeline!AW$30,$J105,$K105,$L105 )*INDEX('I&amp;E Profiles'!AW$96:AW$180,$I105))</f>
        <v>0</v>
      </c>
      <c r="AX105" s="153" cm="1">
        <f t="array" ref="AX105">IF(OR(AX$4=0, $G105&lt;&gt; $G$7, $E105=0), 'I&amp;E Monthly'!AX105, CHOOSE(Timeline!AX$30,$J105,$K105,$L105 )*INDEX('I&amp;E Profiles'!AX$96:AX$180,$I105))</f>
        <v>0</v>
      </c>
      <c r="AY105" s="153" cm="1">
        <f t="array" ref="AY105">IF(OR(AY$4=0, $G105&lt;&gt; $G$7, $E105=0), 'I&amp;E Monthly'!AY105, CHOOSE(Timeline!AY$30,$J105,$K105,$L105 )*INDEX('I&amp;E Profiles'!AY$96:AY$180,$I105))</f>
        <v>0</v>
      </c>
      <c r="AZ105" s="153" cm="1">
        <f t="array" ref="AZ105">IF(OR(AZ$4=0, $G105&lt;&gt; $G$7, $E105=0), 'I&amp;E Monthly'!AZ105, CHOOSE(Timeline!AZ$30,$J105,$K105,$L105 )*INDEX('I&amp;E Profiles'!AZ$96:AZ$180,$I105))</f>
        <v>0</v>
      </c>
      <c r="BA105" s="153" cm="1">
        <f t="array" ref="BA105">IF(OR(BA$4=0, $G105&lt;&gt; $G$7, $E105=0), 'I&amp;E Monthly'!BA105, CHOOSE(Timeline!BA$30,$J105,$K105,$L105 )*INDEX('I&amp;E Profiles'!BA$96:BA$180,$I105))</f>
        <v>0</v>
      </c>
      <c r="BB105" s="153" cm="1">
        <f t="array" ref="BB105">IF(OR(BB$4=0, $G105&lt;&gt; $G$7, $E105=0), 'I&amp;E Monthly'!BB105, CHOOSE(Timeline!BB$30,$J105,$K105,$L105 )*INDEX('I&amp;E Profiles'!BB$96:BB$180,$I105))</f>
        <v>0</v>
      </c>
      <c r="BC105" s="153" cm="1">
        <f t="array" ref="BC105">IF(OR(BC$4=0, $G105&lt;&gt; $G$7, $E105=0), 'I&amp;E Monthly'!BC105, CHOOSE(Timeline!BC$30,$J105,$K105,$L105 )*INDEX('I&amp;E Profiles'!BC$96:BC$180,$I105))</f>
        <v>0</v>
      </c>
      <c r="BD105" s="153" cm="1">
        <f t="array" ref="BD105">IF(OR(BD$4=0, $G105&lt;&gt; $G$7, $E105=0), 'I&amp;E Monthly'!BD105, CHOOSE(Timeline!BD$30,$J105,$K105,$L105 )*INDEX('I&amp;E Profiles'!BD$96:BD$180,$I105))</f>
        <v>0</v>
      </c>
      <c r="BE105" s="153" cm="1">
        <f t="array" ref="BE105">IF(OR(BE$4=0, $G105&lt;&gt; $G$7, $E105=0), 'I&amp;E Monthly'!BE105, CHOOSE(Timeline!BE$30,$J105,$K105,$L105 )*INDEX('I&amp;E Profiles'!BE$96:BE$180,$I105))</f>
        <v>0</v>
      </c>
      <c r="BF105" s="153" cm="1">
        <f t="array" ref="BF105">IF(OR(BF$4=0, $G105&lt;&gt; $G$7, $E105=0), 'I&amp;E Monthly'!BF105, CHOOSE(Timeline!BF$30,$J105,$K105,$L105 )*INDEX('I&amp;E Profiles'!BF$96:BF$180,$I105))</f>
        <v>0</v>
      </c>
      <c r="BG105" s="153" cm="1">
        <f t="array" ref="BG105">IF(OR(BG$4=0, $G105&lt;&gt; $G$7, $E105=0), 'I&amp;E Monthly'!BG105, CHOOSE(Timeline!BG$30,$J105,$K105,$L105 )*INDEX('I&amp;E Profiles'!BG$96:BG$180,$I105))</f>
        <v>0</v>
      </c>
      <c r="BH105" s="153" cm="1">
        <f t="array" ref="BH105">IF(OR(BH$4=0, $G105&lt;&gt; $G$7, $E105=0), 'I&amp;E Monthly'!BH105, CHOOSE(Timeline!BH$30,$J105,$K105,$L105 )*INDEX('I&amp;E Profiles'!BH$96:BH$180,$I105))</f>
        <v>0</v>
      </c>
      <c r="BI105" s="153" cm="1">
        <f t="array" ref="BI105">IF(OR(BI$4=0, $G105&lt;&gt; $G$7, $E105=0), 'I&amp;E Monthly'!BI105, CHOOSE(Timeline!BI$30,$J105,$K105,$L105 )*INDEX('I&amp;E Profiles'!BI$96:BI$180,$I105))</f>
        <v>0</v>
      </c>
      <c r="BJ105" s="153" cm="1">
        <f t="array" ref="BJ105">IF(OR(BJ$4=0, $G105&lt;&gt; $G$7, $E105=0), 'I&amp;E Monthly'!BJ105, CHOOSE(Timeline!BJ$30,$J105,$K105,$L105 )*INDEX('I&amp;E Profiles'!BJ$96:BJ$180,$I105))</f>
        <v>0</v>
      </c>
      <c r="BK105" s="335"/>
      <c r="BL105" s="13">
        <f t="shared" si="111"/>
        <v>0</v>
      </c>
      <c r="BM105" s="153">
        <f t="shared" si="112"/>
        <v>0</v>
      </c>
      <c r="BN105" s="153">
        <f t="shared" si="112"/>
        <v>0</v>
      </c>
      <c r="BO105" s="153">
        <f t="shared" si="112"/>
        <v>0</v>
      </c>
      <c r="BP105" s="13">
        <f>'I&amp;E Monthly'!BP105</f>
        <v>0</v>
      </c>
      <c r="BQ105" s="13">
        <f>'I&amp;E Monthly'!BQ105</f>
        <v>0</v>
      </c>
      <c r="BR105" s="13">
        <f>'I&amp;E Monthly'!BR105</f>
        <v>0</v>
      </c>
      <c r="BS105" s="13">
        <f>'I&amp;E Monthly'!BS105</f>
        <v>0</v>
      </c>
      <c r="BT105" s="13">
        <f>'I&amp;E Monthly'!BT105</f>
        <v>0</v>
      </c>
      <c r="BU105" s="13">
        <f>'I&amp;E Monthly'!BU105</f>
        <v>0</v>
      </c>
      <c r="BV105" s="13">
        <f>'I&amp;E Monthly'!BV105</f>
        <v>0</v>
      </c>
      <c r="BW105" s="13">
        <f>'I&amp;E Monthly'!BW105</f>
        <v>0</v>
      </c>
      <c r="BX105" s="335"/>
      <c r="BY105" s="12"/>
      <c r="BZ105" s="363">
        <f t="shared" ca="1" si="113"/>
        <v>0</v>
      </c>
      <c r="CA105" s="12"/>
      <c r="CB105" s="7">
        <f t="shared" si="114"/>
        <v>0</v>
      </c>
      <c r="CC105" s="188" cm="1">
        <f t="array" ref="CC105">IF(E105="",0, IF(_xlfn.IFNA(INDEX('I&amp;E Profiles'!$D$96:$D$180, $I105), "N/A")="N/A", 1, 0))</f>
        <v>0</v>
      </c>
      <c r="CD105" s="7">
        <f t="shared" si="115"/>
        <v>0</v>
      </c>
      <c r="CE105" s="7">
        <f t="shared" si="116"/>
        <v>0</v>
      </c>
      <c r="CF105" s="7">
        <f t="shared" si="117"/>
        <v>0</v>
      </c>
      <c r="CG105" s="12"/>
      <c r="CH105" s="352">
        <f t="shared" si="118"/>
        <v>0</v>
      </c>
      <c r="CI105" s="352">
        <f t="shared" si="118"/>
        <v>0</v>
      </c>
      <c r="CJ105" s="352">
        <f t="shared" si="118"/>
        <v>0</v>
      </c>
      <c r="CK105" s="352">
        <f t="shared" si="119"/>
        <v>0</v>
      </c>
      <c r="CL105" s="352">
        <f t="shared" si="120"/>
        <v>0</v>
      </c>
      <c r="CM105" s="352">
        <f t="shared" si="121"/>
        <v>0</v>
      </c>
      <c r="CN105" s="352">
        <f t="shared" si="122"/>
        <v>0</v>
      </c>
      <c r="EX105" s="10" t="str">
        <f t="shared" si="78"/>
        <v/>
      </c>
    </row>
    <row r="106" spans="1:154" hidden="1" x14ac:dyDescent="0.25">
      <c r="A106" s="362" cm="1">
        <f t="array" aca="1" ref="A106" ca="1">HYPERLINK(CONCATENATE("#",CELL("address",IF(SUM($CA106:$CG106)=0,A106,INDEX($CA106:$CG106,MATCH(1,$CA106:$CG106,0))))),SUM($CA106:$CG106))</f>
        <v>0</v>
      </c>
      <c r="B106" s="93"/>
      <c r="C106" s="383"/>
      <c r="D106" s="137" t="s">
        <v>2316</v>
      </c>
      <c r="E106" s="349"/>
      <c r="F106" s="98" t="str" cm="1">
        <f t="array" aca="1" ref="F106" ca="1">IF(E106="", "", HYPERLINK(CONCATENATE("#",CELL("address",INDEX('I&amp;E Profiles'!$D$9:$D$93,'I&amp;E Annual'!I106))),E106))</f>
        <v/>
      </c>
      <c r="G106" s="349"/>
      <c r="I106" s="350" t="str">
        <f>IF(E106="", "", MATCH(E106, 'I&amp;E Profiles'!$D$96:$D$180,0))</f>
        <v/>
      </c>
      <c r="J106" s="215">
        <f>IF($G106=$G$7, W106,'I&amp;E Monthly'!W106)-SUMIFS('I&amp;E Monthly'!$AA106:$BJ106, 'I&amp;E Monthly'!$AA$3:$BJ$3, 'I&amp;E Annual'!W$3, 'I&amp;E Monthly'!$AA$4:$BJ$4, 0)</f>
        <v>0</v>
      </c>
      <c r="K106" s="215">
        <f>IF($G106=$G$7, X106,'I&amp;E Monthly'!X106)-SUMIFS('I&amp;E Monthly'!$AA106:$BJ106, 'I&amp;E Monthly'!$AA$3:$BJ$3, 'I&amp;E Annual'!X$3, 'I&amp;E Monthly'!$AA$4:$BJ$4, 0)</f>
        <v>0</v>
      </c>
      <c r="L106" s="215">
        <f>IF($G106=$G$7, Y106,'I&amp;E Monthly'!Y106)-SUMIFS('I&amp;E Monthly'!$AA106:$BJ106, 'I&amp;E Monthly'!$AA$3:$BJ$3, 'I&amp;E Annual'!Y$3, 'I&amp;E Monthly'!$AA$4:$BJ$4, 0)</f>
        <v>0</v>
      </c>
      <c r="M106" s="335"/>
      <c r="N106" s="335"/>
      <c r="O106" s="335"/>
      <c r="P106" s="335"/>
      <c r="Q106" s="2"/>
      <c r="R106" s="335"/>
      <c r="S106" s="335"/>
      <c r="T106" s="335"/>
      <c r="U106" s="335"/>
      <c r="V106" s="201">
        <f>'I&amp;E Monthly'!V106</f>
        <v>0</v>
      </c>
      <c r="W106" s="136"/>
      <c r="X106" s="136"/>
      <c r="Y106" s="136"/>
      <c r="Z106" s="335"/>
      <c r="AA106" s="153" cm="1">
        <f t="array" ref="AA106">IF(OR(AA$4=0, $G106&lt;&gt; $G$7, $E106=0), 'I&amp;E Monthly'!AA106, CHOOSE(Timeline!AA$30,$J106,$K106,$L106 )*INDEX('I&amp;E Profiles'!AA$96:AA$180,$I106))</f>
        <v>0</v>
      </c>
      <c r="AB106" s="153" cm="1">
        <f t="array" ref="AB106">IF(OR(AB$4=0, $G106&lt;&gt; $G$7, $E106=0), 'I&amp;E Monthly'!AB106, CHOOSE(Timeline!AB$30,$J106,$K106,$L106 )*INDEX('I&amp;E Profiles'!AB$96:AB$180,$I106))</f>
        <v>0</v>
      </c>
      <c r="AC106" s="153" cm="1">
        <f t="array" ref="AC106">IF(OR(AC$4=0, $G106&lt;&gt; $G$7, $E106=0), 'I&amp;E Monthly'!AC106, CHOOSE(Timeline!AC$30,$J106,$K106,$L106 )*INDEX('I&amp;E Profiles'!AC$96:AC$180,$I106))</f>
        <v>0</v>
      </c>
      <c r="AD106" s="153" cm="1">
        <f t="array" ref="AD106">IF(OR(AD$4=0, $G106&lt;&gt; $G$7, $E106=0), 'I&amp;E Monthly'!AD106, CHOOSE(Timeline!AD$30,$J106,$K106,$L106 )*INDEX('I&amp;E Profiles'!AD$96:AD$180,$I106))</f>
        <v>0</v>
      </c>
      <c r="AE106" s="153" cm="1">
        <f t="array" ref="AE106">IF(OR(AE$4=0, $G106&lt;&gt; $G$7, $E106=0), 'I&amp;E Monthly'!AE106, CHOOSE(Timeline!AE$30,$J106,$K106,$L106 )*INDEX('I&amp;E Profiles'!AE$96:AE$180,$I106))</f>
        <v>0</v>
      </c>
      <c r="AF106" s="153" cm="1">
        <f t="array" ref="AF106">IF(OR(AF$4=0, $G106&lt;&gt; $G$7, $E106=0), 'I&amp;E Monthly'!AF106, CHOOSE(Timeline!AF$30,$J106,$K106,$L106 )*INDEX('I&amp;E Profiles'!AF$96:AF$180,$I106))</f>
        <v>0</v>
      </c>
      <c r="AG106" s="153" cm="1">
        <f t="array" ref="AG106">IF(OR(AG$4=0, $G106&lt;&gt; $G$7, $E106=0), 'I&amp;E Monthly'!AG106, CHOOSE(Timeline!AG$30,$J106,$K106,$L106 )*INDEX('I&amp;E Profiles'!AG$96:AG$180,$I106))</f>
        <v>0</v>
      </c>
      <c r="AH106" s="153" cm="1">
        <f t="array" ref="AH106">IF(OR(AH$4=0, $G106&lt;&gt; $G$7, $E106=0), 'I&amp;E Monthly'!AH106, CHOOSE(Timeline!AH$30,$J106,$K106,$L106 )*INDEX('I&amp;E Profiles'!AH$96:AH$180,$I106))</f>
        <v>0</v>
      </c>
      <c r="AI106" s="153" cm="1">
        <f t="array" ref="AI106">IF(OR(AI$4=0, $G106&lt;&gt; $G$7, $E106=0), 'I&amp;E Monthly'!AI106, CHOOSE(Timeline!AI$30,$J106,$K106,$L106 )*INDEX('I&amp;E Profiles'!AI$96:AI$180,$I106))</f>
        <v>0</v>
      </c>
      <c r="AJ106" s="153" cm="1">
        <f t="array" ref="AJ106">IF(OR(AJ$4=0, $G106&lt;&gt; $G$7, $E106=0), 'I&amp;E Monthly'!AJ106, CHOOSE(Timeline!AJ$30,$J106,$K106,$L106 )*INDEX('I&amp;E Profiles'!AJ$96:AJ$180,$I106))</f>
        <v>0</v>
      </c>
      <c r="AK106" s="153" cm="1">
        <f t="array" ref="AK106">IF(OR(AK$4=0, $G106&lt;&gt; $G$7, $E106=0), 'I&amp;E Monthly'!AK106, CHOOSE(Timeline!AK$30,$J106,$K106,$L106 )*INDEX('I&amp;E Profiles'!AK$96:AK$180,$I106))</f>
        <v>0</v>
      </c>
      <c r="AL106" s="153" cm="1">
        <f t="array" ref="AL106">IF(OR(AL$4=0, $G106&lt;&gt; $G$7, $E106=0), 'I&amp;E Monthly'!AL106, CHOOSE(Timeline!AL$30,$J106,$K106,$L106 )*INDEX('I&amp;E Profiles'!AL$96:AL$180,$I106))</f>
        <v>0</v>
      </c>
      <c r="AM106" s="153" cm="1">
        <f t="array" ref="AM106">IF(OR(AM$4=0, $G106&lt;&gt; $G$7, $E106=0), 'I&amp;E Monthly'!AM106, CHOOSE(Timeline!AM$30,$J106,$K106,$L106 )*INDEX('I&amp;E Profiles'!AM$96:AM$180,$I106))</f>
        <v>0</v>
      </c>
      <c r="AN106" s="153" cm="1">
        <f t="array" ref="AN106">IF(OR(AN$4=0, $G106&lt;&gt; $G$7, $E106=0), 'I&amp;E Monthly'!AN106, CHOOSE(Timeline!AN$30,$J106,$K106,$L106 )*INDEX('I&amp;E Profiles'!AN$96:AN$180,$I106))</f>
        <v>0</v>
      </c>
      <c r="AO106" s="153" cm="1">
        <f t="array" ref="AO106">IF(OR(AO$4=0, $G106&lt;&gt; $G$7, $E106=0), 'I&amp;E Monthly'!AO106, CHOOSE(Timeline!AO$30,$J106,$K106,$L106 )*INDEX('I&amp;E Profiles'!AO$96:AO$180,$I106))</f>
        <v>0</v>
      </c>
      <c r="AP106" s="153" cm="1">
        <f t="array" ref="AP106">IF(OR(AP$4=0, $G106&lt;&gt; $G$7, $E106=0), 'I&amp;E Monthly'!AP106, CHOOSE(Timeline!AP$30,$J106,$K106,$L106 )*INDEX('I&amp;E Profiles'!AP$96:AP$180,$I106))</f>
        <v>0</v>
      </c>
      <c r="AQ106" s="153" cm="1">
        <f t="array" ref="AQ106">IF(OR(AQ$4=0, $G106&lt;&gt; $G$7, $E106=0), 'I&amp;E Monthly'!AQ106, CHOOSE(Timeline!AQ$30,$J106,$K106,$L106 )*INDEX('I&amp;E Profiles'!AQ$96:AQ$180,$I106))</f>
        <v>0</v>
      </c>
      <c r="AR106" s="153" cm="1">
        <f t="array" ref="AR106">IF(OR(AR$4=0, $G106&lt;&gt; $G$7, $E106=0), 'I&amp;E Monthly'!AR106, CHOOSE(Timeline!AR$30,$J106,$K106,$L106 )*INDEX('I&amp;E Profiles'!AR$96:AR$180,$I106))</f>
        <v>0</v>
      </c>
      <c r="AS106" s="153" cm="1">
        <f t="array" ref="AS106">IF(OR(AS$4=0, $G106&lt;&gt; $G$7, $E106=0), 'I&amp;E Monthly'!AS106, CHOOSE(Timeline!AS$30,$J106,$K106,$L106 )*INDEX('I&amp;E Profiles'!AS$96:AS$180,$I106))</f>
        <v>0</v>
      </c>
      <c r="AT106" s="153" cm="1">
        <f t="array" ref="AT106">IF(OR(AT$4=0, $G106&lt;&gt; $G$7, $E106=0), 'I&amp;E Monthly'!AT106, CHOOSE(Timeline!AT$30,$J106,$K106,$L106 )*INDEX('I&amp;E Profiles'!AT$96:AT$180,$I106))</f>
        <v>0</v>
      </c>
      <c r="AU106" s="153" cm="1">
        <f t="array" ref="AU106">IF(OR(AU$4=0, $G106&lt;&gt; $G$7, $E106=0), 'I&amp;E Monthly'!AU106, CHOOSE(Timeline!AU$30,$J106,$K106,$L106 )*INDEX('I&amp;E Profiles'!AU$96:AU$180,$I106))</f>
        <v>0</v>
      </c>
      <c r="AV106" s="153" cm="1">
        <f t="array" ref="AV106">IF(OR(AV$4=0, $G106&lt;&gt; $G$7, $E106=0), 'I&amp;E Monthly'!AV106, CHOOSE(Timeline!AV$30,$J106,$K106,$L106 )*INDEX('I&amp;E Profiles'!AV$96:AV$180,$I106))</f>
        <v>0</v>
      </c>
      <c r="AW106" s="153" cm="1">
        <f t="array" ref="AW106">IF(OR(AW$4=0, $G106&lt;&gt; $G$7, $E106=0), 'I&amp;E Monthly'!AW106, CHOOSE(Timeline!AW$30,$J106,$K106,$L106 )*INDEX('I&amp;E Profiles'!AW$96:AW$180,$I106))</f>
        <v>0</v>
      </c>
      <c r="AX106" s="153" cm="1">
        <f t="array" ref="AX106">IF(OR(AX$4=0, $G106&lt;&gt; $G$7, $E106=0), 'I&amp;E Monthly'!AX106, CHOOSE(Timeline!AX$30,$J106,$K106,$L106 )*INDEX('I&amp;E Profiles'!AX$96:AX$180,$I106))</f>
        <v>0</v>
      </c>
      <c r="AY106" s="153" cm="1">
        <f t="array" ref="AY106">IF(OR(AY$4=0, $G106&lt;&gt; $G$7, $E106=0), 'I&amp;E Monthly'!AY106, CHOOSE(Timeline!AY$30,$J106,$K106,$L106 )*INDEX('I&amp;E Profiles'!AY$96:AY$180,$I106))</f>
        <v>0</v>
      </c>
      <c r="AZ106" s="153" cm="1">
        <f t="array" ref="AZ106">IF(OR(AZ$4=0, $G106&lt;&gt; $G$7, $E106=0), 'I&amp;E Monthly'!AZ106, CHOOSE(Timeline!AZ$30,$J106,$K106,$L106 )*INDEX('I&amp;E Profiles'!AZ$96:AZ$180,$I106))</f>
        <v>0</v>
      </c>
      <c r="BA106" s="153" cm="1">
        <f t="array" ref="BA106">IF(OR(BA$4=0, $G106&lt;&gt; $G$7, $E106=0), 'I&amp;E Monthly'!BA106, CHOOSE(Timeline!BA$30,$J106,$K106,$L106 )*INDEX('I&amp;E Profiles'!BA$96:BA$180,$I106))</f>
        <v>0</v>
      </c>
      <c r="BB106" s="153" cm="1">
        <f t="array" ref="BB106">IF(OR(BB$4=0, $G106&lt;&gt; $G$7, $E106=0), 'I&amp;E Monthly'!BB106, CHOOSE(Timeline!BB$30,$J106,$K106,$L106 )*INDEX('I&amp;E Profiles'!BB$96:BB$180,$I106))</f>
        <v>0</v>
      </c>
      <c r="BC106" s="153" cm="1">
        <f t="array" ref="BC106">IF(OR(BC$4=0, $G106&lt;&gt; $G$7, $E106=0), 'I&amp;E Monthly'!BC106, CHOOSE(Timeline!BC$30,$J106,$K106,$L106 )*INDEX('I&amp;E Profiles'!BC$96:BC$180,$I106))</f>
        <v>0</v>
      </c>
      <c r="BD106" s="153" cm="1">
        <f t="array" ref="BD106">IF(OR(BD$4=0, $G106&lt;&gt; $G$7, $E106=0), 'I&amp;E Monthly'!BD106, CHOOSE(Timeline!BD$30,$J106,$K106,$L106 )*INDEX('I&amp;E Profiles'!BD$96:BD$180,$I106))</f>
        <v>0</v>
      </c>
      <c r="BE106" s="153" cm="1">
        <f t="array" ref="BE106">IF(OR(BE$4=0, $G106&lt;&gt; $G$7, $E106=0), 'I&amp;E Monthly'!BE106, CHOOSE(Timeline!BE$30,$J106,$K106,$L106 )*INDEX('I&amp;E Profiles'!BE$96:BE$180,$I106))</f>
        <v>0</v>
      </c>
      <c r="BF106" s="153" cm="1">
        <f t="array" ref="BF106">IF(OR(BF$4=0, $G106&lt;&gt; $G$7, $E106=0), 'I&amp;E Monthly'!BF106, CHOOSE(Timeline!BF$30,$J106,$K106,$L106 )*INDEX('I&amp;E Profiles'!BF$96:BF$180,$I106))</f>
        <v>0</v>
      </c>
      <c r="BG106" s="153" cm="1">
        <f t="array" ref="BG106">IF(OR(BG$4=0, $G106&lt;&gt; $G$7, $E106=0), 'I&amp;E Monthly'!BG106, CHOOSE(Timeline!BG$30,$J106,$K106,$L106 )*INDEX('I&amp;E Profiles'!BG$96:BG$180,$I106))</f>
        <v>0</v>
      </c>
      <c r="BH106" s="153" cm="1">
        <f t="array" ref="BH106">IF(OR(BH$4=0, $G106&lt;&gt; $G$7, $E106=0), 'I&amp;E Monthly'!BH106, CHOOSE(Timeline!BH$30,$J106,$K106,$L106 )*INDEX('I&amp;E Profiles'!BH$96:BH$180,$I106))</f>
        <v>0</v>
      </c>
      <c r="BI106" s="153" cm="1">
        <f t="array" ref="BI106">IF(OR(BI$4=0, $G106&lt;&gt; $G$7, $E106=0), 'I&amp;E Monthly'!BI106, CHOOSE(Timeline!BI$30,$J106,$K106,$L106 )*INDEX('I&amp;E Profiles'!BI$96:BI$180,$I106))</f>
        <v>0</v>
      </c>
      <c r="BJ106" s="153" cm="1">
        <f t="array" ref="BJ106">IF(OR(BJ$4=0, $G106&lt;&gt; $G$7, $E106=0), 'I&amp;E Monthly'!BJ106, CHOOSE(Timeline!BJ$30,$J106,$K106,$L106 )*INDEX('I&amp;E Profiles'!BJ$96:BJ$180,$I106))</f>
        <v>0</v>
      </c>
      <c r="BK106" s="335"/>
      <c r="BL106" s="13">
        <f t="shared" si="111"/>
        <v>0</v>
      </c>
      <c r="BM106" s="153">
        <f t="shared" si="112"/>
        <v>0</v>
      </c>
      <c r="BN106" s="153">
        <f t="shared" si="112"/>
        <v>0</v>
      </c>
      <c r="BO106" s="153">
        <f t="shared" si="112"/>
        <v>0</v>
      </c>
      <c r="BP106" s="13">
        <f>'I&amp;E Monthly'!BP106</f>
        <v>0</v>
      </c>
      <c r="BQ106" s="13">
        <f>'I&amp;E Monthly'!BQ106</f>
        <v>0</v>
      </c>
      <c r="BR106" s="13">
        <f>'I&amp;E Monthly'!BR106</f>
        <v>0</v>
      </c>
      <c r="BS106" s="13">
        <f>'I&amp;E Monthly'!BS106</f>
        <v>0</v>
      </c>
      <c r="BT106" s="13">
        <f>'I&amp;E Monthly'!BT106</f>
        <v>0</v>
      </c>
      <c r="BU106" s="13">
        <f>'I&amp;E Monthly'!BU106</f>
        <v>0</v>
      </c>
      <c r="BV106" s="13">
        <f>'I&amp;E Monthly'!BV106</f>
        <v>0</v>
      </c>
      <c r="BW106" s="13">
        <f>'I&amp;E Monthly'!BW106</f>
        <v>0</v>
      </c>
      <c r="BX106" s="335"/>
      <c r="BY106" s="12"/>
      <c r="BZ106" s="363">
        <f t="shared" ca="1" si="113"/>
        <v>0</v>
      </c>
      <c r="CA106" s="12"/>
      <c r="CB106" s="7">
        <f t="shared" si="114"/>
        <v>0</v>
      </c>
      <c r="CC106" s="188" cm="1">
        <f t="array" ref="CC106">IF(E106="",0, IF(_xlfn.IFNA(INDEX('I&amp;E Profiles'!$D$96:$D$180, $I106), "N/A")="N/A", 1, 0))</f>
        <v>0</v>
      </c>
      <c r="CD106" s="7">
        <f t="shared" si="115"/>
        <v>0</v>
      </c>
      <c r="CE106" s="7">
        <f t="shared" si="116"/>
        <v>0</v>
      </c>
      <c r="CF106" s="7">
        <f t="shared" si="117"/>
        <v>0</v>
      </c>
      <c r="CG106" s="12"/>
      <c r="CH106" s="352">
        <f t="shared" si="118"/>
        <v>0</v>
      </c>
      <c r="CI106" s="352">
        <f t="shared" si="118"/>
        <v>0</v>
      </c>
      <c r="CJ106" s="352">
        <f t="shared" si="118"/>
        <v>0</v>
      </c>
      <c r="CK106" s="352">
        <f t="shared" si="119"/>
        <v>0</v>
      </c>
      <c r="CL106" s="352">
        <f t="shared" si="120"/>
        <v>0</v>
      </c>
      <c r="CM106" s="352">
        <f t="shared" si="121"/>
        <v>0</v>
      </c>
      <c r="CN106" s="352">
        <f t="shared" si="122"/>
        <v>0</v>
      </c>
      <c r="EX106" s="10" t="str">
        <f t="shared" si="78"/>
        <v/>
      </c>
    </row>
    <row r="107" spans="1:154" x14ac:dyDescent="0.25">
      <c r="A107" s="362" cm="1">
        <f t="array" aca="1" ref="A107" ca="1">HYPERLINK(CONCATENATE("#",CELL("address",IF(SUM($CA107:$CG107)=0,A107,INDEX($CA107:$CG107,MATCH(1,$CA107:$CG107,0))))),SUM($CA107:$CG107))</f>
        <v>0</v>
      </c>
      <c r="B107" s="93"/>
      <c r="C107" s="343" t="s">
        <v>480</v>
      </c>
      <c r="D107" s="433" t="s">
        <v>45</v>
      </c>
      <c r="E107" s="82"/>
      <c r="F107" s="25"/>
      <c r="G107" s="25"/>
      <c r="I107" s="25"/>
      <c r="J107" s="25"/>
      <c r="Q107" s="2"/>
      <c r="R107" s="335"/>
      <c r="S107" s="93"/>
      <c r="T107" s="335"/>
      <c r="U107" s="335"/>
      <c r="V107" s="13">
        <f>SUM(V101:V106)</f>
        <v>0</v>
      </c>
      <c r="W107" s="13">
        <f>SUM(W101:W106)</f>
        <v>0</v>
      </c>
      <c r="X107" s="13">
        <f>SUM(X101:X106)</f>
        <v>0</v>
      </c>
      <c r="Y107" s="13">
        <f>SUM(Y101:Y106)</f>
        <v>0</v>
      </c>
      <c r="Z107" s="93"/>
      <c r="AA107" s="13">
        <f t="shared" ref="AA107:BJ107" si="123">SUM(AA101:AA106)</f>
        <v>0</v>
      </c>
      <c r="AB107" s="13">
        <f t="shared" si="123"/>
        <v>0</v>
      </c>
      <c r="AC107" s="13">
        <f t="shared" si="123"/>
        <v>10</v>
      </c>
      <c r="AD107" s="13">
        <f t="shared" si="123"/>
        <v>0</v>
      </c>
      <c r="AE107" s="13">
        <f t="shared" si="123"/>
        <v>0</v>
      </c>
      <c r="AF107" s="13">
        <f t="shared" si="123"/>
        <v>7</v>
      </c>
      <c r="AG107" s="13">
        <f t="shared" si="123"/>
        <v>24</v>
      </c>
      <c r="AH107" s="13">
        <f t="shared" si="123"/>
        <v>25</v>
      </c>
      <c r="AI107" s="13">
        <f t="shared" si="123"/>
        <v>22</v>
      </c>
      <c r="AJ107" s="13">
        <f t="shared" si="123"/>
        <v>47</v>
      </c>
      <c r="AK107" s="13">
        <f t="shared" si="123"/>
        <v>0</v>
      </c>
      <c r="AL107" s="13">
        <f t="shared" si="123"/>
        <v>0</v>
      </c>
      <c r="AM107" s="13">
        <f t="shared" si="123"/>
        <v>0</v>
      </c>
      <c r="AN107" s="13">
        <f t="shared" si="123"/>
        <v>0</v>
      </c>
      <c r="AO107" s="13">
        <f t="shared" si="123"/>
        <v>0</v>
      </c>
      <c r="AP107" s="13">
        <f t="shared" si="123"/>
        <v>0</v>
      </c>
      <c r="AQ107" s="13">
        <f t="shared" si="123"/>
        <v>0</v>
      </c>
      <c r="AR107" s="13">
        <f t="shared" si="123"/>
        <v>0</v>
      </c>
      <c r="AS107" s="13">
        <f t="shared" si="123"/>
        <v>0</v>
      </c>
      <c r="AT107" s="13">
        <f t="shared" si="123"/>
        <v>0</v>
      </c>
      <c r="AU107" s="13">
        <f t="shared" si="123"/>
        <v>0</v>
      </c>
      <c r="AV107" s="13">
        <f t="shared" si="123"/>
        <v>0</v>
      </c>
      <c r="AW107" s="13">
        <f t="shared" si="123"/>
        <v>0</v>
      </c>
      <c r="AX107" s="13">
        <f t="shared" si="123"/>
        <v>0</v>
      </c>
      <c r="AY107" s="13">
        <f t="shared" si="123"/>
        <v>0</v>
      </c>
      <c r="AZ107" s="13">
        <f t="shared" si="123"/>
        <v>0</v>
      </c>
      <c r="BA107" s="13">
        <f t="shared" si="123"/>
        <v>0</v>
      </c>
      <c r="BB107" s="13">
        <f t="shared" si="123"/>
        <v>0</v>
      </c>
      <c r="BC107" s="13">
        <f t="shared" si="123"/>
        <v>0</v>
      </c>
      <c r="BD107" s="13">
        <f t="shared" si="123"/>
        <v>0</v>
      </c>
      <c r="BE107" s="13">
        <f t="shared" si="123"/>
        <v>0</v>
      </c>
      <c r="BF107" s="13">
        <f t="shared" si="123"/>
        <v>0</v>
      </c>
      <c r="BG107" s="13">
        <f t="shared" si="123"/>
        <v>0</v>
      </c>
      <c r="BH107" s="13">
        <f t="shared" si="123"/>
        <v>0</v>
      </c>
      <c r="BI107" s="13">
        <f t="shared" si="123"/>
        <v>0</v>
      </c>
      <c r="BJ107" s="13">
        <f t="shared" si="123"/>
        <v>0</v>
      </c>
      <c r="BK107" s="93"/>
      <c r="BL107" s="13">
        <f t="shared" ref="BL107:BW107" si="124">SUM(BL101:BL106)</f>
        <v>0</v>
      </c>
      <c r="BM107" s="13">
        <f t="shared" si="124"/>
        <v>135</v>
      </c>
      <c r="BN107" s="13">
        <f t="shared" si="124"/>
        <v>0</v>
      </c>
      <c r="BO107" s="13">
        <f t="shared" si="124"/>
        <v>0</v>
      </c>
      <c r="BP107" s="13">
        <f t="shared" si="124"/>
        <v>0</v>
      </c>
      <c r="BQ107" s="13">
        <f t="shared" si="124"/>
        <v>0</v>
      </c>
      <c r="BR107" s="13">
        <f t="shared" si="124"/>
        <v>0</v>
      </c>
      <c r="BS107" s="13">
        <f t="shared" si="124"/>
        <v>0</v>
      </c>
      <c r="BT107" s="13">
        <f t="shared" si="124"/>
        <v>0</v>
      </c>
      <c r="BU107" s="13">
        <f t="shared" si="124"/>
        <v>0</v>
      </c>
      <c r="BV107" s="13">
        <f t="shared" si="124"/>
        <v>0</v>
      </c>
      <c r="BW107" s="13">
        <f t="shared" si="124"/>
        <v>0</v>
      </c>
      <c r="BY107" s="12"/>
      <c r="BZ107" s="363">
        <f t="shared" ca="1" si="113"/>
        <v>0</v>
      </c>
      <c r="CA107" s="12"/>
      <c r="CC107" s="335"/>
      <c r="CD107" s="7">
        <f t="shared" si="115"/>
        <v>0</v>
      </c>
      <c r="CE107" s="7">
        <f t="shared" si="116"/>
        <v>0</v>
      </c>
      <c r="CF107" s="7">
        <f t="shared" si="117"/>
        <v>0</v>
      </c>
      <c r="CG107" s="12"/>
      <c r="CH107" s="352">
        <f t="shared" si="118"/>
        <v>0</v>
      </c>
      <c r="CI107" s="352">
        <f t="shared" si="118"/>
        <v>0</v>
      </c>
      <c r="CJ107" s="352">
        <f t="shared" si="118"/>
        <v>0</v>
      </c>
      <c r="CK107" s="352">
        <f t="shared" si="119"/>
        <v>0</v>
      </c>
      <c r="CL107" s="352">
        <f t="shared" si="120"/>
        <v>0</v>
      </c>
      <c r="CM107" s="352">
        <f t="shared" si="121"/>
        <v>0</v>
      </c>
      <c r="CN107" s="352">
        <f t="shared" si="122"/>
        <v>0</v>
      </c>
      <c r="EX107" s="10" t="str">
        <f t="shared" si="78"/>
        <v>Total Other Income</v>
      </c>
    </row>
    <row r="108" spans="1:154" ht="6.6" customHeight="1" x14ac:dyDescent="0.25">
      <c r="A108" s="335"/>
      <c r="B108" s="93"/>
      <c r="C108" s="383"/>
      <c r="D108" s="177"/>
      <c r="E108" s="25"/>
      <c r="F108" s="25"/>
      <c r="G108" s="25"/>
      <c r="I108" s="25"/>
      <c r="J108" s="25"/>
      <c r="Q108" s="2"/>
      <c r="R108" s="335"/>
      <c r="S108" s="93"/>
      <c r="T108" s="335"/>
      <c r="U108" s="335"/>
      <c r="V108" s="25"/>
      <c r="W108" s="25"/>
      <c r="X108" s="25"/>
      <c r="Y108" s="25"/>
      <c r="Z108" s="93"/>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93"/>
      <c r="BL108" s="25"/>
      <c r="BM108" s="155"/>
      <c r="BN108" s="25"/>
      <c r="BO108" s="25"/>
      <c r="BP108" s="25"/>
      <c r="BQ108" s="25"/>
      <c r="BR108" s="25"/>
      <c r="BS108" s="25"/>
      <c r="BT108" s="25"/>
      <c r="BU108" s="25"/>
      <c r="BV108" s="25"/>
      <c r="BW108" s="25"/>
      <c r="BY108" s="42"/>
      <c r="BZ108" s="335"/>
      <c r="CA108" s="42"/>
      <c r="CC108" s="335"/>
      <c r="CG108" s="42"/>
      <c r="CM108" s="335"/>
      <c r="CN108" s="335"/>
      <c r="EX108" s="10" t="str">
        <f t="shared" si="78"/>
        <v/>
      </c>
    </row>
    <row r="109" spans="1:154" x14ac:dyDescent="0.25">
      <c r="A109" s="335"/>
      <c r="B109" s="336"/>
      <c r="C109" s="383"/>
      <c r="D109" s="433" t="s">
        <v>2503</v>
      </c>
      <c r="E109" s="82"/>
      <c r="F109" s="25"/>
      <c r="G109" s="25"/>
      <c r="I109" s="25"/>
      <c r="J109" s="25"/>
      <c r="Q109" s="2"/>
      <c r="R109" s="335"/>
      <c r="T109" s="335"/>
      <c r="U109" s="335"/>
      <c r="V109" s="25"/>
      <c r="W109" s="25"/>
      <c r="X109" s="25"/>
      <c r="Y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L109" s="25"/>
      <c r="BM109" s="25"/>
      <c r="BN109" s="25"/>
      <c r="BO109" s="25"/>
      <c r="BP109" s="25"/>
      <c r="BQ109" s="25"/>
      <c r="BR109" s="25"/>
      <c r="BS109" s="25"/>
      <c r="BT109" s="25"/>
      <c r="BU109" s="25"/>
      <c r="BV109" s="25"/>
      <c r="BW109" s="25"/>
      <c r="BY109" s="12"/>
      <c r="BZ109" s="335"/>
      <c r="CA109" s="12"/>
      <c r="CC109" s="335"/>
      <c r="CG109" s="12"/>
      <c r="CM109" s="335"/>
      <c r="CN109" s="335"/>
      <c r="EX109" s="10" t="str">
        <f t="shared" si="78"/>
        <v/>
      </c>
    </row>
    <row r="110" spans="1:154" ht="30" x14ac:dyDescent="0.25">
      <c r="A110" s="362" cm="1">
        <f t="array" aca="1" ref="A110" ca="1">HYPERLINK(CONCATENATE("#",CELL("address",IF(SUM($CA110:$CG110)=0,A110,INDEX($CA110:$CG110,MATCH(1,$CA110:$CG110,0))))),SUM($CA110:$CG110))</f>
        <v>0</v>
      </c>
      <c r="B110" s="93"/>
      <c r="C110" s="343" t="s">
        <v>1001</v>
      </c>
      <c r="D110" s="194" t="s">
        <v>503</v>
      </c>
      <c r="E110" s="147"/>
      <c r="F110" s="98" t="str" cm="1">
        <f t="array" aca="1" ref="F110" ca="1">IF(E110="", "", HYPERLINK(CONCATENATE("#",CELL("address",INDEX('I&amp;E Profiles'!$D$9:$D$93,'I&amp;E Annual'!I110))),E110))</f>
        <v/>
      </c>
      <c r="G110" s="147" t="s">
        <v>211</v>
      </c>
      <c r="H110" s="319" t="s">
        <v>8</v>
      </c>
      <c r="I110" s="350" t="str">
        <f>IF(E110="", "", MATCH(E110, 'I&amp;E Profiles'!$D$96:$D$180,0))</f>
        <v/>
      </c>
      <c r="J110" s="215">
        <f>IF($G110=$G$7, W110,'I&amp;E Monthly'!W110)-SUMIFS('I&amp;E Monthly'!$AA110:$BJ110, 'I&amp;E Monthly'!$AA$3:$BJ$3, 'I&amp;E Annual'!W$3, 'I&amp;E Monthly'!$AA$4:$BJ$4, 0)</f>
        <v>0</v>
      </c>
      <c r="K110" s="215">
        <f>IF($G110=$G$7, X110,'I&amp;E Monthly'!X110)-SUMIFS('I&amp;E Monthly'!$AA110:$BJ110, 'I&amp;E Monthly'!$AA$3:$BJ$3, 'I&amp;E Annual'!X$3, 'I&amp;E Monthly'!$AA$4:$BJ$4, 0)</f>
        <v>0</v>
      </c>
      <c r="L110" s="215">
        <f>IF($G110=$G$7, Y110,'I&amp;E Monthly'!Y110)-SUMIFS('I&amp;E Monthly'!$AA110:$BJ110, 'I&amp;E Monthly'!$AA$3:$BJ$3, 'I&amp;E Annual'!Y$3, 'I&amp;E Monthly'!$AA$4:$BJ$4, 0)</f>
        <v>0</v>
      </c>
      <c r="M110" s="335"/>
      <c r="N110" s="335"/>
      <c r="O110" s="335"/>
      <c r="P110" s="335"/>
      <c r="Q110" s="2"/>
      <c r="R110" s="335"/>
      <c r="S110" s="335"/>
      <c r="T110" s="335"/>
      <c r="U110" s="335"/>
      <c r="V110" s="215">
        <f>'I&amp;E Monthly'!V110</f>
        <v>0</v>
      </c>
      <c r="W110" s="147"/>
      <c r="X110" s="227"/>
      <c r="Y110" s="227"/>
      <c r="Z110" s="335"/>
      <c r="AA110" s="153" cm="1">
        <f t="array" ref="AA110">IF(OR(AA$4=0, $G110&lt;&gt; $G$7, $E110=0), 'I&amp;E Monthly'!AA110, CHOOSE(Timeline!AA$30,$J110,$K110,$L110 )*INDEX('I&amp;E Profiles'!AA$96:AA$180,$I110))</f>
        <v>0</v>
      </c>
      <c r="AB110" s="153" cm="1">
        <f t="array" ref="AB110">IF(OR(AB$4=0, $G110&lt;&gt; $G$7, $E110=0), 'I&amp;E Monthly'!AB110, CHOOSE(Timeline!AB$30,$J110,$K110,$L110 )*INDEX('I&amp;E Profiles'!AB$96:AB$180,$I110))</f>
        <v>0</v>
      </c>
      <c r="AC110" s="153" cm="1">
        <f t="array" ref="AC110">IF(OR(AC$4=0, $G110&lt;&gt; $G$7, $E110=0), 'I&amp;E Monthly'!AC110, CHOOSE(Timeline!AC$30,$J110,$K110,$L110 )*INDEX('I&amp;E Profiles'!AC$96:AC$180,$I110))</f>
        <v>0</v>
      </c>
      <c r="AD110" s="153" cm="1">
        <f t="array" ref="AD110">IF(OR(AD$4=0, $G110&lt;&gt; $G$7, $E110=0), 'I&amp;E Monthly'!AD110, CHOOSE(Timeline!AD$30,$J110,$K110,$L110 )*INDEX('I&amp;E Profiles'!AD$96:AD$180,$I110))</f>
        <v>0</v>
      </c>
      <c r="AE110" s="153" cm="1">
        <f t="array" ref="AE110">IF(OR(AE$4=0, $G110&lt;&gt; $G$7, $E110=0), 'I&amp;E Monthly'!AE110, CHOOSE(Timeline!AE$30,$J110,$K110,$L110 )*INDEX('I&amp;E Profiles'!AE$96:AE$180,$I110))</f>
        <v>0</v>
      </c>
      <c r="AF110" s="153" cm="1">
        <f t="array" ref="AF110">IF(OR(AF$4=0, $G110&lt;&gt; $G$7, $E110=0), 'I&amp;E Monthly'!AF110, CHOOSE(Timeline!AF$30,$J110,$K110,$L110 )*INDEX('I&amp;E Profiles'!AF$96:AF$180,$I110))</f>
        <v>0</v>
      </c>
      <c r="AG110" s="153" cm="1">
        <f t="array" ref="AG110">IF(OR(AG$4=0, $G110&lt;&gt; $G$7, $E110=0), 'I&amp;E Monthly'!AG110, CHOOSE(Timeline!AG$30,$J110,$K110,$L110 )*INDEX('I&amp;E Profiles'!AG$96:AG$180,$I110))</f>
        <v>0</v>
      </c>
      <c r="AH110" s="153" cm="1">
        <f t="array" ref="AH110">IF(OR(AH$4=0, $G110&lt;&gt; $G$7, $E110=0), 'I&amp;E Monthly'!AH110, CHOOSE(Timeline!AH$30,$J110,$K110,$L110 )*INDEX('I&amp;E Profiles'!AH$96:AH$180,$I110))</f>
        <v>0</v>
      </c>
      <c r="AI110" s="153" cm="1">
        <f t="array" ref="AI110">IF(OR(AI$4=0, $G110&lt;&gt; $G$7, $E110=0), 'I&amp;E Monthly'!AI110, CHOOSE(Timeline!AI$30,$J110,$K110,$L110 )*INDEX('I&amp;E Profiles'!AI$96:AI$180,$I110))</f>
        <v>0</v>
      </c>
      <c r="AJ110" s="153" cm="1">
        <f t="array" ref="AJ110">IF(OR(AJ$4=0, $G110&lt;&gt; $G$7, $E110=0), 'I&amp;E Monthly'!AJ110, CHOOSE(Timeline!AJ$30,$J110,$K110,$L110 )*INDEX('I&amp;E Profiles'!AJ$96:AJ$180,$I110))</f>
        <v>0</v>
      </c>
      <c r="AK110" s="153" cm="1">
        <f t="array" ref="AK110">IF(OR(AK$4=0, $G110&lt;&gt; $G$7, $E110=0), 'I&amp;E Monthly'!AK110, CHOOSE(Timeline!AK$30,$J110,$K110,$L110 )*INDEX('I&amp;E Profiles'!AK$96:AK$180,$I110))</f>
        <v>0</v>
      </c>
      <c r="AL110" s="153" cm="1">
        <f t="array" ref="AL110">IF(OR(AL$4=0, $G110&lt;&gt; $G$7, $E110=0), 'I&amp;E Monthly'!AL110, CHOOSE(Timeline!AL$30,$J110,$K110,$L110 )*INDEX('I&amp;E Profiles'!AL$96:AL$180,$I110))</f>
        <v>0</v>
      </c>
      <c r="AM110" s="153" cm="1">
        <f t="array" ref="AM110">IF(OR(AM$4=0, $G110&lt;&gt; $G$7, $E110=0), 'I&amp;E Monthly'!AM110, CHOOSE(Timeline!AM$30,$J110,$K110,$L110 )*INDEX('I&amp;E Profiles'!AM$96:AM$180,$I110))</f>
        <v>0</v>
      </c>
      <c r="AN110" s="153" cm="1">
        <f t="array" ref="AN110">IF(OR(AN$4=0, $G110&lt;&gt; $G$7, $E110=0), 'I&amp;E Monthly'!AN110, CHOOSE(Timeline!AN$30,$J110,$K110,$L110 )*INDEX('I&amp;E Profiles'!AN$96:AN$180,$I110))</f>
        <v>0</v>
      </c>
      <c r="AO110" s="153" cm="1">
        <f t="array" ref="AO110">IF(OR(AO$4=0, $G110&lt;&gt; $G$7, $E110=0), 'I&amp;E Monthly'!AO110, CHOOSE(Timeline!AO$30,$J110,$K110,$L110 )*INDEX('I&amp;E Profiles'!AO$96:AO$180,$I110))</f>
        <v>0</v>
      </c>
      <c r="AP110" s="153" cm="1">
        <f t="array" ref="AP110">IF(OR(AP$4=0, $G110&lt;&gt; $G$7, $E110=0), 'I&amp;E Monthly'!AP110, CHOOSE(Timeline!AP$30,$J110,$K110,$L110 )*INDEX('I&amp;E Profiles'!AP$96:AP$180,$I110))</f>
        <v>0</v>
      </c>
      <c r="AQ110" s="153" cm="1">
        <f t="array" ref="AQ110">IF(OR(AQ$4=0, $G110&lt;&gt; $G$7, $E110=0), 'I&amp;E Monthly'!AQ110, CHOOSE(Timeline!AQ$30,$J110,$K110,$L110 )*INDEX('I&amp;E Profiles'!AQ$96:AQ$180,$I110))</f>
        <v>0</v>
      </c>
      <c r="AR110" s="153" cm="1">
        <f t="array" ref="AR110">IF(OR(AR$4=0, $G110&lt;&gt; $G$7, $E110=0), 'I&amp;E Monthly'!AR110, CHOOSE(Timeline!AR$30,$J110,$K110,$L110 )*INDEX('I&amp;E Profiles'!AR$96:AR$180,$I110))</f>
        <v>0</v>
      </c>
      <c r="AS110" s="153" cm="1">
        <f t="array" ref="AS110">IF(OR(AS$4=0, $G110&lt;&gt; $G$7, $E110=0), 'I&amp;E Monthly'!AS110, CHOOSE(Timeline!AS$30,$J110,$K110,$L110 )*INDEX('I&amp;E Profiles'!AS$96:AS$180,$I110))</f>
        <v>0</v>
      </c>
      <c r="AT110" s="153" cm="1">
        <f t="array" ref="AT110">IF(OR(AT$4=0, $G110&lt;&gt; $G$7, $E110=0), 'I&amp;E Monthly'!AT110, CHOOSE(Timeline!AT$30,$J110,$K110,$L110 )*INDEX('I&amp;E Profiles'!AT$96:AT$180,$I110))</f>
        <v>0</v>
      </c>
      <c r="AU110" s="153" cm="1">
        <f t="array" ref="AU110">IF(OR(AU$4=0, $G110&lt;&gt; $G$7, $E110=0), 'I&amp;E Monthly'!AU110, CHOOSE(Timeline!AU$30,$J110,$K110,$L110 )*INDEX('I&amp;E Profiles'!AU$96:AU$180,$I110))</f>
        <v>0</v>
      </c>
      <c r="AV110" s="153" cm="1">
        <f t="array" ref="AV110">IF(OR(AV$4=0, $G110&lt;&gt; $G$7, $E110=0), 'I&amp;E Monthly'!AV110, CHOOSE(Timeline!AV$30,$J110,$K110,$L110 )*INDEX('I&amp;E Profiles'!AV$96:AV$180,$I110))</f>
        <v>0</v>
      </c>
      <c r="AW110" s="153" cm="1">
        <f t="array" ref="AW110">IF(OR(AW$4=0, $G110&lt;&gt; $G$7, $E110=0), 'I&amp;E Monthly'!AW110, CHOOSE(Timeline!AW$30,$J110,$K110,$L110 )*INDEX('I&amp;E Profiles'!AW$96:AW$180,$I110))</f>
        <v>0</v>
      </c>
      <c r="AX110" s="153" cm="1">
        <f t="array" ref="AX110">IF(OR(AX$4=0, $G110&lt;&gt; $G$7, $E110=0), 'I&amp;E Monthly'!AX110, CHOOSE(Timeline!AX$30,$J110,$K110,$L110 )*INDEX('I&amp;E Profiles'!AX$96:AX$180,$I110))</f>
        <v>0</v>
      </c>
      <c r="AY110" s="153" cm="1">
        <f t="array" ref="AY110">IF(OR(AY$4=0, $G110&lt;&gt; $G$7, $E110=0), 'I&amp;E Monthly'!AY110, CHOOSE(Timeline!AY$30,$J110,$K110,$L110 )*INDEX('I&amp;E Profiles'!AY$96:AY$180,$I110))</f>
        <v>0</v>
      </c>
      <c r="AZ110" s="153" cm="1">
        <f t="array" ref="AZ110">IF(OR(AZ$4=0, $G110&lt;&gt; $G$7, $E110=0), 'I&amp;E Monthly'!AZ110, CHOOSE(Timeline!AZ$30,$J110,$K110,$L110 )*INDEX('I&amp;E Profiles'!AZ$96:AZ$180,$I110))</f>
        <v>0</v>
      </c>
      <c r="BA110" s="153" cm="1">
        <f t="array" ref="BA110">IF(OR(BA$4=0, $G110&lt;&gt; $G$7, $E110=0), 'I&amp;E Monthly'!BA110, CHOOSE(Timeline!BA$30,$J110,$K110,$L110 )*INDEX('I&amp;E Profiles'!BA$96:BA$180,$I110))</f>
        <v>0</v>
      </c>
      <c r="BB110" s="153" cm="1">
        <f t="array" ref="BB110">IF(OR(BB$4=0, $G110&lt;&gt; $G$7, $E110=0), 'I&amp;E Monthly'!BB110, CHOOSE(Timeline!BB$30,$J110,$K110,$L110 )*INDEX('I&amp;E Profiles'!BB$96:BB$180,$I110))</f>
        <v>0</v>
      </c>
      <c r="BC110" s="153" cm="1">
        <f t="array" ref="BC110">IF(OR(BC$4=0, $G110&lt;&gt; $G$7, $E110=0), 'I&amp;E Monthly'!BC110, CHOOSE(Timeline!BC$30,$J110,$K110,$L110 )*INDEX('I&amp;E Profiles'!BC$96:BC$180,$I110))</f>
        <v>0</v>
      </c>
      <c r="BD110" s="153" cm="1">
        <f t="array" ref="BD110">IF(OR(BD$4=0, $G110&lt;&gt; $G$7, $E110=0), 'I&amp;E Monthly'!BD110, CHOOSE(Timeline!BD$30,$J110,$K110,$L110 )*INDEX('I&amp;E Profiles'!BD$96:BD$180,$I110))</f>
        <v>0</v>
      </c>
      <c r="BE110" s="153" cm="1">
        <f t="array" ref="BE110">IF(OR(BE$4=0, $G110&lt;&gt; $G$7, $E110=0), 'I&amp;E Monthly'!BE110, CHOOSE(Timeline!BE$30,$J110,$K110,$L110 )*INDEX('I&amp;E Profiles'!BE$96:BE$180,$I110))</f>
        <v>0</v>
      </c>
      <c r="BF110" s="153" cm="1">
        <f t="array" ref="BF110">IF(OR(BF$4=0, $G110&lt;&gt; $G$7, $E110=0), 'I&amp;E Monthly'!BF110, CHOOSE(Timeline!BF$30,$J110,$K110,$L110 )*INDEX('I&amp;E Profiles'!BF$96:BF$180,$I110))</f>
        <v>0</v>
      </c>
      <c r="BG110" s="153" cm="1">
        <f t="array" ref="BG110">IF(OR(BG$4=0, $G110&lt;&gt; $G$7, $E110=0), 'I&amp;E Monthly'!BG110, CHOOSE(Timeline!BG$30,$J110,$K110,$L110 )*INDEX('I&amp;E Profiles'!BG$96:BG$180,$I110))</f>
        <v>0</v>
      </c>
      <c r="BH110" s="153" cm="1">
        <f t="array" ref="BH110">IF(OR(BH$4=0, $G110&lt;&gt; $G$7, $E110=0), 'I&amp;E Monthly'!BH110, CHOOSE(Timeline!BH$30,$J110,$K110,$L110 )*INDEX('I&amp;E Profiles'!BH$96:BH$180,$I110))</f>
        <v>0</v>
      </c>
      <c r="BI110" s="153" cm="1">
        <f t="array" ref="BI110">IF(OR(BI$4=0, $G110&lt;&gt; $G$7, $E110=0), 'I&amp;E Monthly'!BI110, CHOOSE(Timeline!BI$30,$J110,$K110,$L110 )*INDEX('I&amp;E Profiles'!BI$96:BI$180,$I110))</f>
        <v>0</v>
      </c>
      <c r="BJ110" s="153" cm="1">
        <f t="array" ref="BJ110">IF(OR(BJ$4=0, $G110&lt;&gt; $G$7, $E110=0), 'I&amp;E Monthly'!BJ110, CHOOSE(Timeline!BJ$30,$J110,$K110,$L110 )*INDEX('I&amp;E Profiles'!BJ$96:BJ$180,$I110))</f>
        <v>0</v>
      </c>
      <c r="BK110" s="335"/>
      <c r="BL110" s="152">
        <f>V110</f>
        <v>0</v>
      </c>
      <c r="BM110" s="153">
        <f t="shared" ref="BM110:BO112" si="125">SUMIFS($AA110:$BJ110, $AA$3:$BJ$3,BM$3)</f>
        <v>0</v>
      </c>
      <c r="BN110" s="153">
        <f t="shared" si="125"/>
        <v>0</v>
      </c>
      <c r="BO110" s="153">
        <f t="shared" si="125"/>
        <v>0</v>
      </c>
      <c r="BP110" s="152">
        <f>'I&amp;E Monthly'!BP110</f>
        <v>0</v>
      </c>
      <c r="BQ110" s="152">
        <f>'I&amp;E Monthly'!BQ110</f>
        <v>0</v>
      </c>
      <c r="BR110" s="152">
        <f>'I&amp;E Monthly'!BR110</f>
        <v>0</v>
      </c>
      <c r="BS110" s="152">
        <f>'I&amp;E Monthly'!BS110</f>
        <v>0</v>
      </c>
      <c r="BT110" s="152">
        <f>'I&amp;E Monthly'!BT110</f>
        <v>0</v>
      </c>
      <c r="BU110" s="152">
        <f>'I&amp;E Monthly'!BU110</f>
        <v>0</v>
      </c>
      <c r="BV110" s="152">
        <f>'I&amp;E Monthly'!BV110</f>
        <v>0</v>
      </c>
      <c r="BW110" s="152">
        <f>'I&amp;E Monthly'!BW110</f>
        <v>0</v>
      </c>
      <c r="BX110" s="335"/>
      <c r="BY110" s="12"/>
      <c r="BZ110" s="363">
        <f ca="1">IF(MIN($V110:$BW110)&lt;0, 1, 0)*$I$7</f>
        <v>0</v>
      </c>
      <c r="CA110" s="12"/>
      <c r="CB110" s="7">
        <f>IF(AND($G110=$G$7,$E110=""), 1, 0)</f>
        <v>0</v>
      </c>
      <c r="CC110" s="188" cm="1">
        <f t="array" ref="CC110">IF(E110="",0, IF(_xlfn.IFNA(INDEX('I&amp;E Profiles'!$D$96:$D$180, $I110), "N/A")="N/A", 1, 0))</f>
        <v>0</v>
      </c>
      <c r="CD110" s="7">
        <f>IF(SUM($CH110:$CJ110)=0, 0, 1)</f>
        <v>0</v>
      </c>
      <c r="CE110" s="7">
        <f>IF(SUM($CK110:$CM110)=0, 0, 1)</f>
        <v>0</v>
      </c>
      <c r="CF110" s="7">
        <f>IF(CN110=0, 0, 1)</f>
        <v>0</v>
      </c>
      <c r="CG110" s="12"/>
      <c r="CH110" s="352">
        <f t="shared" ref="CH110:CJ113" si="126">IF($G110=$G$7, ROUND(W110-SUMIFS($AA110:$BJ110, $AA$3:$BJ$3, W$3), rounding), 0)</f>
        <v>0</v>
      </c>
      <c r="CI110" s="352">
        <f t="shared" si="126"/>
        <v>0</v>
      </c>
      <c r="CJ110" s="352">
        <f t="shared" si="126"/>
        <v>0</v>
      </c>
      <c r="CK110" s="352">
        <f>ROUND($BM110-SUMIFS($AA110:$BJ110, $AA$3:$BJ$3, $BM$3), rounding)</f>
        <v>0</v>
      </c>
      <c r="CL110" s="352">
        <f>ROUND($BN110-SUMIFS($AA110:$BJ110, $AA$3:$BJ$3, $BN$3), rounding)</f>
        <v>0</v>
      </c>
      <c r="CM110" s="352">
        <f>ROUND($BO110-SUMIFS($AA110:$BJ110, $AA$3:$BJ$3, $BO$3), rounding)</f>
        <v>0</v>
      </c>
      <c r="CN110" s="352">
        <f>ROUND($V110-$BL110, rounding)</f>
        <v>0</v>
      </c>
      <c r="EX110" s="10" t="str">
        <f t="shared" si="78"/>
        <v>Emergency Funding (including Solution Funding)</v>
      </c>
    </row>
    <row r="111" spans="1:154" x14ac:dyDescent="0.25">
      <c r="A111" s="362" cm="1">
        <f t="array" aca="1" ref="A111" ca="1">HYPERLINK(CONCATENATE("#",CELL("address",IF(SUM($CA111:$CG111)=0,A111,INDEX($CA111:$CG111,MATCH(1,$CA111:$CG111,0))))),SUM($CA111:$CG111))</f>
        <v>0</v>
      </c>
      <c r="B111" s="93"/>
      <c r="C111" s="343" t="s">
        <v>1002</v>
      </c>
      <c r="D111" s="194" t="s">
        <v>66</v>
      </c>
      <c r="E111" s="147"/>
      <c r="F111" s="98" t="str" cm="1">
        <f t="array" aca="1" ref="F111" ca="1">IF(E111="", "", HYPERLINK(CONCATENATE("#",CELL("address",INDEX('I&amp;E Profiles'!$D$9:$D$93,'I&amp;E Annual'!I111))),E111))</f>
        <v/>
      </c>
      <c r="G111" s="147" t="s">
        <v>211</v>
      </c>
      <c r="H111" s="319" t="s">
        <v>8</v>
      </c>
      <c r="I111" s="350" t="str">
        <f>IF(E111="", "", MATCH(E111, 'I&amp;E Profiles'!$D$96:$D$180,0))</f>
        <v/>
      </c>
      <c r="J111" s="215">
        <f>IF($G111=$G$7, W111,'I&amp;E Monthly'!W111)-SUMIFS('I&amp;E Monthly'!$AA111:$BJ111, 'I&amp;E Monthly'!$AA$3:$BJ$3, 'I&amp;E Annual'!W$3, 'I&amp;E Monthly'!$AA$4:$BJ$4, 0)</f>
        <v>0</v>
      </c>
      <c r="K111" s="215">
        <f>IF($G111=$G$7, X111,'I&amp;E Monthly'!X111)-SUMIFS('I&amp;E Monthly'!$AA111:$BJ111, 'I&amp;E Monthly'!$AA$3:$BJ$3, 'I&amp;E Annual'!X$3, 'I&amp;E Monthly'!$AA$4:$BJ$4, 0)</f>
        <v>0</v>
      </c>
      <c r="L111" s="215">
        <f>IF($G111=$G$7, Y111,'I&amp;E Monthly'!Y111)-SUMIFS('I&amp;E Monthly'!$AA111:$BJ111, 'I&amp;E Monthly'!$AA$3:$BJ$3, 'I&amp;E Annual'!Y$3, 'I&amp;E Monthly'!$AA$4:$BJ$4, 0)</f>
        <v>0</v>
      </c>
      <c r="M111" s="335"/>
      <c r="N111" s="335"/>
      <c r="O111" s="335"/>
      <c r="P111" s="335"/>
      <c r="Q111" s="2"/>
      <c r="R111" s="335"/>
      <c r="S111" s="335"/>
      <c r="T111" s="335"/>
      <c r="U111" s="335"/>
      <c r="V111" s="201">
        <f>'I&amp;E Monthly'!V111</f>
        <v>0</v>
      </c>
      <c r="W111" s="372"/>
      <c r="X111" s="198"/>
      <c r="Y111" s="198"/>
      <c r="Z111" s="335"/>
      <c r="AA111" s="153" cm="1">
        <f t="array" ref="AA111">IF(OR(AA$4=0, $G111&lt;&gt; $G$7, $E111=0), 'I&amp;E Monthly'!AA111, CHOOSE(Timeline!AA$30,$J111,$K111,$L111 )*INDEX('I&amp;E Profiles'!AA$96:AA$180,$I111))</f>
        <v>0</v>
      </c>
      <c r="AB111" s="153" cm="1">
        <f t="array" ref="AB111">IF(OR(AB$4=0, $G111&lt;&gt; $G$7, $E111=0), 'I&amp;E Monthly'!AB111, CHOOSE(Timeline!AB$30,$J111,$K111,$L111 )*INDEX('I&amp;E Profiles'!AB$96:AB$180,$I111))</f>
        <v>0</v>
      </c>
      <c r="AC111" s="153" cm="1">
        <f t="array" ref="AC111">IF(OR(AC$4=0, $G111&lt;&gt; $G$7, $E111=0), 'I&amp;E Monthly'!AC111, CHOOSE(Timeline!AC$30,$J111,$K111,$L111 )*INDEX('I&amp;E Profiles'!AC$96:AC$180,$I111))</f>
        <v>0</v>
      </c>
      <c r="AD111" s="153" cm="1">
        <f t="array" ref="AD111">IF(OR(AD$4=0, $G111&lt;&gt; $G$7, $E111=0), 'I&amp;E Monthly'!AD111, CHOOSE(Timeline!AD$30,$J111,$K111,$L111 )*INDEX('I&amp;E Profiles'!AD$96:AD$180,$I111))</f>
        <v>0</v>
      </c>
      <c r="AE111" s="153" cm="1">
        <f t="array" ref="AE111">IF(OR(AE$4=0, $G111&lt;&gt; $G$7, $E111=0), 'I&amp;E Monthly'!AE111, CHOOSE(Timeline!AE$30,$J111,$K111,$L111 )*INDEX('I&amp;E Profiles'!AE$96:AE$180,$I111))</f>
        <v>0</v>
      </c>
      <c r="AF111" s="153" cm="1">
        <f t="array" ref="AF111">IF(OR(AF$4=0, $G111&lt;&gt; $G$7, $E111=0), 'I&amp;E Monthly'!AF111, CHOOSE(Timeline!AF$30,$J111,$K111,$L111 )*INDEX('I&amp;E Profiles'!AF$96:AF$180,$I111))</f>
        <v>0</v>
      </c>
      <c r="AG111" s="153" cm="1">
        <f t="array" ref="AG111">IF(OR(AG$4=0, $G111&lt;&gt; $G$7, $E111=0), 'I&amp;E Monthly'!AG111, CHOOSE(Timeline!AG$30,$J111,$K111,$L111 )*INDEX('I&amp;E Profiles'!AG$96:AG$180,$I111))</f>
        <v>0</v>
      </c>
      <c r="AH111" s="153" cm="1">
        <f t="array" ref="AH111">IF(OR(AH$4=0, $G111&lt;&gt; $G$7, $E111=0), 'I&amp;E Monthly'!AH111, CHOOSE(Timeline!AH$30,$J111,$K111,$L111 )*INDEX('I&amp;E Profiles'!AH$96:AH$180,$I111))</f>
        <v>0</v>
      </c>
      <c r="AI111" s="153" cm="1">
        <f t="array" ref="AI111">IF(OR(AI$4=0, $G111&lt;&gt; $G$7, $E111=0), 'I&amp;E Monthly'!AI111, CHOOSE(Timeline!AI$30,$J111,$K111,$L111 )*INDEX('I&amp;E Profiles'!AI$96:AI$180,$I111))</f>
        <v>0</v>
      </c>
      <c r="AJ111" s="153" cm="1">
        <f t="array" ref="AJ111">IF(OR(AJ$4=0, $G111&lt;&gt; $G$7, $E111=0), 'I&amp;E Monthly'!AJ111, CHOOSE(Timeline!AJ$30,$J111,$K111,$L111 )*INDEX('I&amp;E Profiles'!AJ$96:AJ$180,$I111))</f>
        <v>0</v>
      </c>
      <c r="AK111" s="153" cm="1">
        <f t="array" ref="AK111">IF(OR(AK$4=0, $G111&lt;&gt; $G$7, $E111=0), 'I&amp;E Monthly'!AK111, CHOOSE(Timeline!AK$30,$J111,$K111,$L111 )*INDEX('I&amp;E Profiles'!AK$96:AK$180,$I111))</f>
        <v>0</v>
      </c>
      <c r="AL111" s="153" cm="1">
        <f t="array" ref="AL111">IF(OR(AL$4=0, $G111&lt;&gt; $G$7, $E111=0), 'I&amp;E Monthly'!AL111, CHOOSE(Timeline!AL$30,$J111,$K111,$L111 )*INDEX('I&amp;E Profiles'!AL$96:AL$180,$I111))</f>
        <v>0</v>
      </c>
      <c r="AM111" s="153" cm="1">
        <f t="array" ref="AM111">IF(OR(AM$4=0, $G111&lt;&gt; $G$7, $E111=0), 'I&amp;E Monthly'!AM111, CHOOSE(Timeline!AM$30,$J111,$K111,$L111 )*INDEX('I&amp;E Profiles'!AM$96:AM$180,$I111))</f>
        <v>0</v>
      </c>
      <c r="AN111" s="153" cm="1">
        <f t="array" ref="AN111">IF(OR(AN$4=0, $G111&lt;&gt; $G$7, $E111=0), 'I&amp;E Monthly'!AN111, CHOOSE(Timeline!AN$30,$J111,$K111,$L111 )*INDEX('I&amp;E Profiles'!AN$96:AN$180,$I111))</f>
        <v>0</v>
      </c>
      <c r="AO111" s="153" cm="1">
        <f t="array" ref="AO111">IF(OR(AO$4=0, $G111&lt;&gt; $G$7, $E111=0), 'I&amp;E Monthly'!AO111, CHOOSE(Timeline!AO$30,$J111,$K111,$L111 )*INDEX('I&amp;E Profiles'!AO$96:AO$180,$I111))</f>
        <v>0</v>
      </c>
      <c r="AP111" s="153" cm="1">
        <f t="array" ref="AP111">IF(OR(AP$4=0, $G111&lt;&gt; $G$7, $E111=0), 'I&amp;E Monthly'!AP111, CHOOSE(Timeline!AP$30,$J111,$K111,$L111 )*INDEX('I&amp;E Profiles'!AP$96:AP$180,$I111))</f>
        <v>0</v>
      </c>
      <c r="AQ111" s="153" cm="1">
        <f t="array" ref="AQ111">IF(OR(AQ$4=0, $G111&lt;&gt; $G$7, $E111=0), 'I&amp;E Monthly'!AQ111, CHOOSE(Timeline!AQ$30,$J111,$K111,$L111 )*INDEX('I&amp;E Profiles'!AQ$96:AQ$180,$I111))</f>
        <v>0</v>
      </c>
      <c r="AR111" s="153" cm="1">
        <f t="array" ref="AR111">IF(OR(AR$4=0, $G111&lt;&gt; $G$7, $E111=0), 'I&amp;E Monthly'!AR111, CHOOSE(Timeline!AR$30,$J111,$K111,$L111 )*INDEX('I&amp;E Profiles'!AR$96:AR$180,$I111))</f>
        <v>0</v>
      </c>
      <c r="AS111" s="153" cm="1">
        <f t="array" ref="AS111">IF(OR(AS$4=0, $G111&lt;&gt; $G$7, $E111=0), 'I&amp;E Monthly'!AS111, CHOOSE(Timeline!AS$30,$J111,$K111,$L111 )*INDEX('I&amp;E Profiles'!AS$96:AS$180,$I111))</f>
        <v>0</v>
      </c>
      <c r="AT111" s="153" cm="1">
        <f t="array" ref="AT111">IF(OR(AT$4=0, $G111&lt;&gt; $G$7, $E111=0), 'I&amp;E Monthly'!AT111, CHOOSE(Timeline!AT$30,$J111,$K111,$L111 )*INDEX('I&amp;E Profiles'!AT$96:AT$180,$I111))</f>
        <v>0</v>
      </c>
      <c r="AU111" s="153" cm="1">
        <f t="array" ref="AU111">IF(OR(AU$4=0, $G111&lt;&gt; $G$7, $E111=0), 'I&amp;E Monthly'!AU111, CHOOSE(Timeline!AU$30,$J111,$K111,$L111 )*INDEX('I&amp;E Profiles'!AU$96:AU$180,$I111))</f>
        <v>0</v>
      </c>
      <c r="AV111" s="153" cm="1">
        <f t="array" ref="AV111">IF(OR(AV$4=0, $G111&lt;&gt; $G$7, $E111=0), 'I&amp;E Monthly'!AV111, CHOOSE(Timeline!AV$30,$J111,$K111,$L111 )*INDEX('I&amp;E Profiles'!AV$96:AV$180,$I111))</f>
        <v>0</v>
      </c>
      <c r="AW111" s="153" cm="1">
        <f t="array" ref="AW111">IF(OR(AW$4=0, $G111&lt;&gt; $G$7, $E111=0), 'I&amp;E Monthly'!AW111, CHOOSE(Timeline!AW$30,$J111,$K111,$L111 )*INDEX('I&amp;E Profiles'!AW$96:AW$180,$I111))</f>
        <v>0</v>
      </c>
      <c r="AX111" s="153" cm="1">
        <f t="array" ref="AX111">IF(OR(AX$4=0, $G111&lt;&gt; $G$7, $E111=0), 'I&amp;E Monthly'!AX111, CHOOSE(Timeline!AX$30,$J111,$K111,$L111 )*INDEX('I&amp;E Profiles'!AX$96:AX$180,$I111))</f>
        <v>0</v>
      </c>
      <c r="AY111" s="153" cm="1">
        <f t="array" ref="AY111">IF(OR(AY$4=0, $G111&lt;&gt; $G$7, $E111=0), 'I&amp;E Monthly'!AY111, CHOOSE(Timeline!AY$30,$J111,$K111,$L111 )*INDEX('I&amp;E Profiles'!AY$96:AY$180,$I111))</f>
        <v>0</v>
      </c>
      <c r="AZ111" s="153" cm="1">
        <f t="array" ref="AZ111">IF(OR(AZ$4=0, $G111&lt;&gt; $G$7, $E111=0), 'I&amp;E Monthly'!AZ111, CHOOSE(Timeline!AZ$30,$J111,$K111,$L111 )*INDEX('I&amp;E Profiles'!AZ$96:AZ$180,$I111))</f>
        <v>0</v>
      </c>
      <c r="BA111" s="153" cm="1">
        <f t="array" ref="BA111">IF(OR(BA$4=0, $G111&lt;&gt; $G$7, $E111=0), 'I&amp;E Monthly'!BA111, CHOOSE(Timeline!BA$30,$J111,$K111,$L111 )*INDEX('I&amp;E Profiles'!BA$96:BA$180,$I111))</f>
        <v>0</v>
      </c>
      <c r="BB111" s="153" cm="1">
        <f t="array" ref="BB111">IF(OR(BB$4=0, $G111&lt;&gt; $G$7, $E111=0), 'I&amp;E Monthly'!BB111, CHOOSE(Timeline!BB$30,$J111,$K111,$L111 )*INDEX('I&amp;E Profiles'!BB$96:BB$180,$I111))</f>
        <v>0</v>
      </c>
      <c r="BC111" s="153" cm="1">
        <f t="array" ref="BC111">IF(OR(BC$4=0, $G111&lt;&gt; $G$7, $E111=0), 'I&amp;E Monthly'!BC111, CHOOSE(Timeline!BC$30,$J111,$K111,$L111 )*INDEX('I&amp;E Profiles'!BC$96:BC$180,$I111))</f>
        <v>0</v>
      </c>
      <c r="BD111" s="153" cm="1">
        <f t="array" ref="BD111">IF(OR(BD$4=0, $G111&lt;&gt; $G$7, $E111=0), 'I&amp;E Monthly'!BD111, CHOOSE(Timeline!BD$30,$J111,$K111,$L111 )*INDEX('I&amp;E Profiles'!BD$96:BD$180,$I111))</f>
        <v>0</v>
      </c>
      <c r="BE111" s="153" cm="1">
        <f t="array" ref="BE111">IF(OR(BE$4=0, $G111&lt;&gt; $G$7, $E111=0), 'I&amp;E Monthly'!BE111, CHOOSE(Timeline!BE$30,$J111,$K111,$L111 )*INDEX('I&amp;E Profiles'!BE$96:BE$180,$I111))</f>
        <v>0</v>
      </c>
      <c r="BF111" s="153" cm="1">
        <f t="array" ref="BF111">IF(OR(BF$4=0, $G111&lt;&gt; $G$7, $E111=0), 'I&amp;E Monthly'!BF111, CHOOSE(Timeline!BF$30,$J111,$K111,$L111 )*INDEX('I&amp;E Profiles'!BF$96:BF$180,$I111))</f>
        <v>0</v>
      </c>
      <c r="BG111" s="153" cm="1">
        <f t="array" ref="BG111">IF(OR(BG$4=0, $G111&lt;&gt; $G$7, $E111=0), 'I&amp;E Monthly'!BG111, CHOOSE(Timeline!BG$30,$J111,$K111,$L111 )*INDEX('I&amp;E Profiles'!BG$96:BG$180,$I111))</f>
        <v>0</v>
      </c>
      <c r="BH111" s="153" cm="1">
        <f t="array" ref="BH111">IF(OR(BH$4=0, $G111&lt;&gt; $G$7, $E111=0), 'I&amp;E Monthly'!BH111, CHOOSE(Timeline!BH$30,$J111,$K111,$L111 )*INDEX('I&amp;E Profiles'!BH$96:BH$180,$I111))</f>
        <v>0</v>
      </c>
      <c r="BI111" s="153" cm="1">
        <f t="array" ref="BI111">IF(OR(BI$4=0, $G111&lt;&gt; $G$7, $E111=0), 'I&amp;E Monthly'!BI111, CHOOSE(Timeline!BI$30,$J111,$K111,$L111 )*INDEX('I&amp;E Profiles'!BI$96:BI$180,$I111))</f>
        <v>0</v>
      </c>
      <c r="BJ111" s="153" cm="1">
        <f t="array" ref="BJ111">IF(OR(BJ$4=0, $G111&lt;&gt; $G$7, $E111=0), 'I&amp;E Monthly'!BJ111, CHOOSE(Timeline!BJ$30,$J111,$K111,$L111 )*INDEX('I&amp;E Profiles'!BJ$96:BJ$180,$I111))</f>
        <v>0</v>
      </c>
      <c r="BK111" s="335"/>
      <c r="BL111" s="13">
        <f>V111</f>
        <v>0</v>
      </c>
      <c r="BM111" s="153">
        <f t="shared" si="125"/>
        <v>0</v>
      </c>
      <c r="BN111" s="153">
        <f t="shared" si="125"/>
        <v>0</v>
      </c>
      <c r="BO111" s="153">
        <f t="shared" si="125"/>
        <v>0</v>
      </c>
      <c r="BP111" s="13">
        <f>'I&amp;E Monthly'!BP111</f>
        <v>0</v>
      </c>
      <c r="BQ111" s="13">
        <f>'I&amp;E Monthly'!BQ111</f>
        <v>0</v>
      </c>
      <c r="BR111" s="13">
        <f>'I&amp;E Monthly'!BR111</f>
        <v>0</v>
      </c>
      <c r="BS111" s="13">
        <f>'I&amp;E Monthly'!BS111</f>
        <v>0</v>
      </c>
      <c r="BT111" s="13">
        <f>'I&amp;E Monthly'!BT111</f>
        <v>0</v>
      </c>
      <c r="BU111" s="13">
        <f>'I&amp;E Monthly'!BU111</f>
        <v>0</v>
      </c>
      <c r="BV111" s="13">
        <f>'I&amp;E Monthly'!BV111</f>
        <v>0</v>
      </c>
      <c r="BW111" s="13">
        <f>'I&amp;E Monthly'!BW111</f>
        <v>0</v>
      </c>
      <c r="BX111" s="335"/>
      <c r="BY111" s="12"/>
      <c r="BZ111" s="363">
        <f ca="1">IF(MIN($V111:$BW111)&lt;0, 1, 0)*$I$7</f>
        <v>0</v>
      </c>
      <c r="CA111" s="12"/>
      <c r="CB111" s="7">
        <f>IF(AND($G111=$G$7,$E111=""), 1, 0)</f>
        <v>0</v>
      </c>
      <c r="CC111" s="188" cm="1">
        <f t="array" ref="CC111">IF(E111="",0, IF(_xlfn.IFNA(INDEX('I&amp;E Profiles'!$D$96:$D$180, $I111), "N/A")="N/A", 1, 0))</f>
        <v>0</v>
      </c>
      <c r="CD111" s="7">
        <f>IF(SUM($CH111:$CJ111)=0, 0, 1)</f>
        <v>0</v>
      </c>
      <c r="CE111" s="7">
        <f>IF(SUM($CK111:$CM111)=0, 0, 1)</f>
        <v>0</v>
      </c>
      <c r="CF111" s="7">
        <f>IF(CN111=0, 0, 1)</f>
        <v>0</v>
      </c>
      <c r="CG111" s="12"/>
      <c r="CH111" s="352">
        <f t="shared" si="126"/>
        <v>0</v>
      </c>
      <c r="CI111" s="352">
        <f t="shared" si="126"/>
        <v>0</v>
      </c>
      <c r="CJ111" s="352">
        <f t="shared" si="126"/>
        <v>0</v>
      </c>
      <c r="CK111" s="352">
        <f>ROUND($BM111-SUMIFS($AA111:$BJ111, $AA$3:$BJ$3, $BM$3), rounding)</f>
        <v>0</v>
      </c>
      <c r="CL111" s="352">
        <f>ROUND($BN111-SUMIFS($AA111:$BJ111, $AA$3:$BJ$3, $BN$3), rounding)</f>
        <v>0</v>
      </c>
      <c r="CM111" s="352">
        <f>ROUND($BO111-SUMIFS($AA111:$BJ111, $AA$3:$BJ$3, $BO$3), rounding)</f>
        <v>0</v>
      </c>
      <c r="CN111" s="352">
        <f>ROUND($V111-$BL111, rounding)</f>
        <v>0</v>
      </c>
      <c r="EX111" s="10" t="str">
        <f t="shared" si="78"/>
        <v>Restructuring Facility</v>
      </c>
    </row>
    <row r="112" spans="1:154" s="335" customFormat="1" x14ac:dyDescent="0.25">
      <c r="A112" s="362" cm="1">
        <f t="array" aca="1" ref="A112" ca="1">HYPERLINK(CONCATENATE("#",CELL("address",IF(SUM($CA112:$CG112)=0,A112,INDEX($CA112:$CG112,MATCH(1,$CA112:$CG112,0))))),SUM($CA112:$CG112))</f>
        <v>0</v>
      </c>
      <c r="B112" s="93"/>
      <c r="C112" s="343" t="s">
        <v>1003</v>
      </c>
      <c r="D112" s="194" t="s">
        <v>2282</v>
      </c>
      <c r="E112" s="147"/>
      <c r="F112" s="98" t="str" cm="1">
        <f t="array" aca="1" ref="F112" ca="1">IF(E112="", "", HYPERLINK(CONCATENATE("#",CELL("address",INDEX('I&amp;E Profiles'!$D$9:$D$93,'I&amp;E Annual'!I112))),E112))</f>
        <v/>
      </c>
      <c r="G112" s="147" t="s">
        <v>211</v>
      </c>
      <c r="H112" s="335" t="s">
        <v>8</v>
      </c>
      <c r="I112" s="350" t="str">
        <f>IF(E112="", "", MATCH(E112, 'I&amp;E Profiles'!$D$96:$D$180,0))</f>
        <v/>
      </c>
      <c r="J112" s="215">
        <f>IF($G112=$G$7, W112,'I&amp;E Monthly'!W112)-SUMIFS('I&amp;E Monthly'!$AA112:$BJ112, 'I&amp;E Monthly'!$AA$3:$BJ$3, 'I&amp;E Annual'!W$3, 'I&amp;E Monthly'!$AA$4:$BJ$4, 0)</f>
        <v>0</v>
      </c>
      <c r="K112" s="215">
        <f>IF($G112=$G$7, X112,'I&amp;E Monthly'!X112)-SUMIFS('I&amp;E Monthly'!$AA112:$BJ112, 'I&amp;E Monthly'!$AA$3:$BJ$3, 'I&amp;E Annual'!X$3, 'I&amp;E Monthly'!$AA$4:$BJ$4, 0)</f>
        <v>0</v>
      </c>
      <c r="L112" s="215">
        <f>IF($G112=$G$7, Y112,'I&amp;E Monthly'!Y112)-SUMIFS('I&amp;E Monthly'!$AA112:$BJ112, 'I&amp;E Monthly'!$AA$3:$BJ$3, 'I&amp;E Annual'!Y$3, 'I&amp;E Monthly'!$AA$4:$BJ$4, 0)</f>
        <v>0</v>
      </c>
      <c r="Q112" s="2"/>
      <c r="V112" s="201">
        <f>'I&amp;E Monthly'!V112</f>
        <v>0</v>
      </c>
      <c r="W112" s="372"/>
      <c r="X112" s="198"/>
      <c r="Y112" s="198"/>
      <c r="AA112" s="153" cm="1">
        <f t="array" ref="AA112">IF(OR(AA$4=0, $G112&lt;&gt; $G$7, $E112=0), 'I&amp;E Monthly'!AA112, CHOOSE(Timeline!AA$30,$J112,$K112,$L112 )*INDEX('I&amp;E Profiles'!AA$96:AA$180,$I112))</f>
        <v>0</v>
      </c>
      <c r="AB112" s="153" cm="1">
        <f t="array" ref="AB112">IF(OR(AB$4=0, $G112&lt;&gt; $G$7, $E112=0), 'I&amp;E Monthly'!AB112, CHOOSE(Timeline!AB$30,$J112,$K112,$L112 )*INDEX('I&amp;E Profiles'!AB$96:AB$180,$I112))</f>
        <v>0</v>
      </c>
      <c r="AC112" s="153" cm="1">
        <f t="array" ref="AC112">IF(OR(AC$4=0, $G112&lt;&gt; $G$7, $E112=0), 'I&amp;E Monthly'!AC112, CHOOSE(Timeline!AC$30,$J112,$K112,$L112 )*INDEX('I&amp;E Profiles'!AC$96:AC$180,$I112))</f>
        <v>0</v>
      </c>
      <c r="AD112" s="153" cm="1">
        <f t="array" ref="AD112">IF(OR(AD$4=0, $G112&lt;&gt; $G$7, $E112=0), 'I&amp;E Monthly'!AD112, CHOOSE(Timeline!AD$30,$J112,$K112,$L112 )*INDEX('I&amp;E Profiles'!AD$96:AD$180,$I112))</f>
        <v>0</v>
      </c>
      <c r="AE112" s="153" cm="1">
        <f t="array" ref="AE112">IF(OR(AE$4=0, $G112&lt;&gt; $G$7, $E112=0), 'I&amp;E Monthly'!AE112, CHOOSE(Timeline!AE$30,$J112,$K112,$L112 )*INDEX('I&amp;E Profiles'!AE$96:AE$180,$I112))</f>
        <v>0</v>
      </c>
      <c r="AF112" s="153" cm="1">
        <f t="array" ref="AF112">IF(OR(AF$4=0, $G112&lt;&gt; $G$7, $E112=0), 'I&amp;E Monthly'!AF112, CHOOSE(Timeline!AF$30,$J112,$K112,$L112 )*INDEX('I&amp;E Profiles'!AF$96:AF$180,$I112))</f>
        <v>0</v>
      </c>
      <c r="AG112" s="153" cm="1">
        <f t="array" ref="AG112">IF(OR(AG$4=0, $G112&lt;&gt; $G$7, $E112=0), 'I&amp;E Monthly'!AG112, CHOOSE(Timeline!AG$30,$J112,$K112,$L112 )*INDEX('I&amp;E Profiles'!AG$96:AG$180,$I112))</f>
        <v>0</v>
      </c>
      <c r="AH112" s="153" cm="1">
        <f t="array" ref="AH112">IF(OR(AH$4=0, $G112&lt;&gt; $G$7, $E112=0), 'I&amp;E Monthly'!AH112, CHOOSE(Timeline!AH$30,$J112,$K112,$L112 )*INDEX('I&amp;E Profiles'!AH$96:AH$180,$I112))</f>
        <v>0</v>
      </c>
      <c r="AI112" s="153" cm="1">
        <f t="array" ref="AI112">IF(OR(AI$4=0, $G112&lt;&gt; $G$7, $E112=0), 'I&amp;E Monthly'!AI112, CHOOSE(Timeline!AI$30,$J112,$K112,$L112 )*INDEX('I&amp;E Profiles'!AI$96:AI$180,$I112))</f>
        <v>0</v>
      </c>
      <c r="AJ112" s="153" cm="1">
        <f t="array" ref="AJ112">IF(OR(AJ$4=0, $G112&lt;&gt; $G$7, $E112=0), 'I&amp;E Monthly'!AJ112, CHOOSE(Timeline!AJ$30,$J112,$K112,$L112 )*INDEX('I&amp;E Profiles'!AJ$96:AJ$180,$I112))</f>
        <v>0</v>
      </c>
      <c r="AK112" s="153" cm="1">
        <f t="array" ref="AK112">IF(OR(AK$4=0, $G112&lt;&gt; $G$7, $E112=0), 'I&amp;E Monthly'!AK112, CHOOSE(Timeline!AK$30,$J112,$K112,$L112 )*INDEX('I&amp;E Profiles'!AK$96:AK$180,$I112))</f>
        <v>0</v>
      </c>
      <c r="AL112" s="153" cm="1">
        <f t="array" ref="AL112">IF(OR(AL$4=0, $G112&lt;&gt; $G$7, $E112=0), 'I&amp;E Monthly'!AL112, CHOOSE(Timeline!AL$30,$J112,$K112,$L112 )*INDEX('I&amp;E Profiles'!AL$96:AL$180,$I112))</f>
        <v>0</v>
      </c>
      <c r="AM112" s="153" cm="1">
        <f t="array" ref="AM112">IF(OR(AM$4=0, $G112&lt;&gt; $G$7, $E112=0), 'I&amp;E Monthly'!AM112, CHOOSE(Timeline!AM$30,$J112,$K112,$L112 )*INDEX('I&amp;E Profiles'!AM$96:AM$180,$I112))</f>
        <v>0</v>
      </c>
      <c r="AN112" s="153" cm="1">
        <f t="array" ref="AN112">IF(OR(AN$4=0, $G112&lt;&gt; $G$7, $E112=0), 'I&amp;E Monthly'!AN112, CHOOSE(Timeline!AN$30,$J112,$K112,$L112 )*INDEX('I&amp;E Profiles'!AN$96:AN$180,$I112))</f>
        <v>0</v>
      </c>
      <c r="AO112" s="153" cm="1">
        <f t="array" ref="AO112">IF(OR(AO$4=0, $G112&lt;&gt; $G$7, $E112=0), 'I&amp;E Monthly'!AO112, CHOOSE(Timeline!AO$30,$J112,$K112,$L112 )*INDEX('I&amp;E Profiles'!AO$96:AO$180,$I112))</f>
        <v>0</v>
      </c>
      <c r="AP112" s="153" cm="1">
        <f t="array" ref="AP112">IF(OR(AP$4=0, $G112&lt;&gt; $G$7, $E112=0), 'I&amp;E Monthly'!AP112, CHOOSE(Timeline!AP$30,$J112,$K112,$L112 )*INDEX('I&amp;E Profiles'!AP$96:AP$180,$I112))</f>
        <v>0</v>
      </c>
      <c r="AQ112" s="153" cm="1">
        <f t="array" ref="AQ112">IF(OR(AQ$4=0, $G112&lt;&gt; $G$7, $E112=0), 'I&amp;E Monthly'!AQ112, CHOOSE(Timeline!AQ$30,$J112,$K112,$L112 )*INDEX('I&amp;E Profiles'!AQ$96:AQ$180,$I112))</f>
        <v>0</v>
      </c>
      <c r="AR112" s="153" cm="1">
        <f t="array" ref="AR112">IF(OR(AR$4=0, $G112&lt;&gt; $G$7, $E112=0), 'I&amp;E Monthly'!AR112, CHOOSE(Timeline!AR$30,$J112,$K112,$L112 )*INDEX('I&amp;E Profiles'!AR$96:AR$180,$I112))</f>
        <v>0</v>
      </c>
      <c r="AS112" s="153" cm="1">
        <f t="array" ref="AS112">IF(OR(AS$4=0, $G112&lt;&gt; $G$7, $E112=0), 'I&amp;E Monthly'!AS112, CHOOSE(Timeline!AS$30,$J112,$K112,$L112 )*INDEX('I&amp;E Profiles'!AS$96:AS$180,$I112))</f>
        <v>0</v>
      </c>
      <c r="AT112" s="153" cm="1">
        <f t="array" ref="AT112">IF(OR(AT$4=0, $G112&lt;&gt; $G$7, $E112=0), 'I&amp;E Monthly'!AT112, CHOOSE(Timeline!AT$30,$J112,$K112,$L112 )*INDEX('I&amp;E Profiles'!AT$96:AT$180,$I112))</f>
        <v>0</v>
      </c>
      <c r="AU112" s="153" cm="1">
        <f t="array" ref="AU112">IF(OR(AU$4=0, $G112&lt;&gt; $G$7, $E112=0), 'I&amp;E Monthly'!AU112, CHOOSE(Timeline!AU$30,$J112,$K112,$L112 )*INDEX('I&amp;E Profiles'!AU$96:AU$180,$I112))</f>
        <v>0</v>
      </c>
      <c r="AV112" s="153" cm="1">
        <f t="array" ref="AV112">IF(OR(AV$4=0, $G112&lt;&gt; $G$7, $E112=0), 'I&amp;E Monthly'!AV112, CHOOSE(Timeline!AV$30,$J112,$K112,$L112 )*INDEX('I&amp;E Profiles'!AV$96:AV$180,$I112))</f>
        <v>0</v>
      </c>
      <c r="AW112" s="153" cm="1">
        <f t="array" ref="AW112">IF(OR(AW$4=0, $G112&lt;&gt; $G$7, $E112=0), 'I&amp;E Monthly'!AW112, CHOOSE(Timeline!AW$30,$J112,$K112,$L112 )*INDEX('I&amp;E Profiles'!AW$96:AW$180,$I112))</f>
        <v>0</v>
      </c>
      <c r="AX112" s="153" cm="1">
        <f t="array" ref="AX112">IF(OR(AX$4=0, $G112&lt;&gt; $G$7, $E112=0), 'I&amp;E Monthly'!AX112, CHOOSE(Timeline!AX$30,$J112,$K112,$L112 )*INDEX('I&amp;E Profiles'!AX$96:AX$180,$I112))</f>
        <v>0</v>
      </c>
      <c r="AY112" s="153" cm="1">
        <f t="array" ref="AY112">IF(OR(AY$4=0, $G112&lt;&gt; $G$7, $E112=0), 'I&amp;E Monthly'!AY112, CHOOSE(Timeline!AY$30,$J112,$K112,$L112 )*INDEX('I&amp;E Profiles'!AY$96:AY$180,$I112))</f>
        <v>0</v>
      </c>
      <c r="AZ112" s="153" cm="1">
        <f t="array" ref="AZ112">IF(OR(AZ$4=0, $G112&lt;&gt; $G$7, $E112=0), 'I&amp;E Monthly'!AZ112, CHOOSE(Timeline!AZ$30,$J112,$K112,$L112 )*INDEX('I&amp;E Profiles'!AZ$96:AZ$180,$I112))</f>
        <v>0</v>
      </c>
      <c r="BA112" s="153" cm="1">
        <f t="array" ref="BA112">IF(OR(BA$4=0, $G112&lt;&gt; $G$7, $E112=0), 'I&amp;E Monthly'!BA112, CHOOSE(Timeline!BA$30,$J112,$K112,$L112 )*INDEX('I&amp;E Profiles'!BA$96:BA$180,$I112))</f>
        <v>0</v>
      </c>
      <c r="BB112" s="153" cm="1">
        <f t="array" ref="BB112">IF(OR(BB$4=0, $G112&lt;&gt; $G$7, $E112=0), 'I&amp;E Monthly'!BB112, CHOOSE(Timeline!BB$30,$J112,$K112,$L112 )*INDEX('I&amp;E Profiles'!BB$96:BB$180,$I112))</f>
        <v>0</v>
      </c>
      <c r="BC112" s="153" cm="1">
        <f t="array" ref="BC112">IF(OR(BC$4=0, $G112&lt;&gt; $G$7, $E112=0), 'I&amp;E Monthly'!BC112, CHOOSE(Timeline!BC$30,$J112,$K112,$L112 )*INDEX('I&amp;E Profiles'!BC$96:BC$180,$I112))</f>
        <v>0</v>
      </c>
      <c r="BD112" s="153" cm="1">
        <f t="array" ref="BD112">IF(OR(BD$4=0, $G112&lt;&gt; $G$7, $E112=0), 'I&amp;E Monthly'!BD112, CHOOSE(Timeline!BD$30,$J112,$K112,$L112 )*INDEX('I&amp;E Profiles'!BD$96:BD$180,$I112))</f>
        <v>0</v>
      </c>
      <c r="BE112" s="153" cm="1">
        <f t="array" ref="BE112">IF(OR(BE$4=0, $G112&lt;&gt; $G$7, $E112=0), 'I&amp;E Monthly'!BE112, CHOOSE(Timeline!BE$30,$J112,$K112,$L112 )*INDEX('I&amp;E Profiles'!BE$96:BE$180,$I112))</f>
        <v>0</v>
      </c>
      <c r="BF112" s="153" cm="1">
        <f t="array" ref="BF112">IF(OR(BF$4=0, $G112&lt;&gt; $G$7, $E112=0), 'I&amp;E Monthly'!BF112, CHOOSE(Timeline!BF$30,$J112,$K112,$L112 )*INDEX('I&amp;E Profiles'!BF$96:BF$180,$I112))</f>
        <v>0</v>
      </c>
      <c r="BG112" s="153" cm="1">
        <f t="array" ref="BG112">IF(OR(BG$4=0, $G112&lt;&gt; $G$7, $E112=0), 'I&amp;E Monthly'!BG112, CHOOSE(Timeline!BG$30,$J112,$K112,$L112 )*INDEX('I&amp;E Profiles'!BG$96:BG$180,$I112))</f>
        <v>0</v>
      </c>
      <c r="BH112" s="153" cm="1">
        <f t="array" ref="BH112">IF(OR(BH$4=0, $G112&lt;&gt; $G$7, $E112=0), 'I&amp;E Monthly'!BH112, CHOOSE(Timeline!BH$30,$J112,$K112,$L112 )*INDEX('I&amp;E Profiles'!BH$96:BH$180,$I112))</f>
        <v>0</v>
      </c>
      <c r="BI112" s="153" cm="1">
        <f t="array" ref="BI112">IF(OR(BI$4=0, $G112&lt;&gt; $G$7, $E112=0), 'I&amp;E Monthly'!BI112, CHOOSE(Timeline!BI$30,$J112,$K112,$L112 )*INDEX('I&amp;E Profiles'!BI$96:BI$180,$I112))</f>
        <v>0</v>
      </c>
      <c r="BJ112" s="153" cm="1">
        <f t="array" ref="BJ112">IF(OR(BJ$4=0, $G112&lt;&gt; $G$7, $E112=0), 'I&amp;E Monthly'!BJ112, CHOOSE(Timeline!BJ$30,$J112,$K112,$L112 )*INDEX('I&amp;E Profiles'!BJ$96:BJ$180,$I112))</f>
        <v>0</v>
      </c>
      <c r="BL112" s="13">
        <f>V112</f>
        <v>0</v>
      </c>
      <c r="BM112" s="153">
        <f t="shared" si="125"/>
        <v>0</v>
      </c>
      <c r="BN112" s="153">
        <f t="shared" si="125"/>
        <v>0</v>
      </c>
      <c r="BO112" s="153">
        <f t="shared" si="125"/>
        <v>0</v>
      </c>
      <c r="BP112" s="13">
        <f>'I&amp;E Monthly'!BP112</f>
        <v>0</v>
      </c>
      <c r="BQ112" s="13">
        <f>'I&amp;E Monthly'!BQ112</f>
        <v>0</v>
      </c>
      <c r="BR112" s="13">
        <f>'I&amp;E Monthly'!BR112</f>
        <v>0</v>
      </c>
      <c r="BS112" s="13">
        <f>'I&amp;E Monthly'!BS112</f>
        <v>0</v>
      </c>
      <c r="BT112" s="13">
        <f>'I&amp;E Monthly'!BT112</f>
        <v>0</v>
      </c>
      <c r="BU112" s="13">
        <f>'I&amp;E Monthly'!BU112</f>
        <v>0</v>
      </c>
      <c r="BV112" s="13">
        <f>'I&amp;E Monthly'!BV112</f>
        <v>0</v>
      </c>
      <c r="BW112" s="13">
        <f>'I&amp;E Monthly'!BW112</f>
        <v>0</v>
      </c>
      <c r="BY112" s="12"/>
      <c r="BZ112" s="363">
        <f ca="1">IF(MIN($V112:$BW112)&lt;0, 1, 0)*$I$7</f>
        <v>0</v>
      </c>
      <c r="CA112" s="12"/>
      <c r="CB112" s="7">
        <f>IF(AND($G112=$G$7,$E112=""), 1, 0)</f>
        <v>0</v>
      </c>
      <c r="CC112" s="188" cm="1">
        <f t="array" ref="CC112">IF(E112="",0, IF(_xlfn.IFNA(INDEX('I&amp;E Profiles'!$D$96:$D$180, $I112), "N/A")="N/A", 1, 0))</f>
        <v>0</v>
      </c>
      <c r="CD112" s="7">
        <f>IF(SUM($CH112:$CJ112)=0, 0, 1)</f>
        <v>0</v>
      </c>
      <c r="CE112" s="7">
        <f>IF(SUM($CK112:$CM112)=0, 0, 1)</f>
        <v>0</v>
      </c>
      <c r="CF112" s="7">
        <f>IF(CN112=0, 0, 1)</f>
        <v>0</v>
      </c>
      <c r="CG112" s="12"/>
      <c r="CH112" s="352">
        <f t="shared" si="126"/>
        <v>0</v>
      </c>
      <c r="CI112" s="352">
        <f t="shared" si="126"/>
        <v>0</v>
      </c>
      <c r="CJ112" s="352">
        <f t="shared" si="126"/>
        <v>0</v>
      </c>
      <c r="CK112" s="352">
        <f>ROUND($BM112-SUMIFS($AA112:$BJ112, $AA$3:$BJ$3, $BM$3), rounding)</f>
        <v>0</v>
      </c>
      <c r="CL112" s="352">
        <f>ROUND($BN112-SUMIFS($AA112:$BJ112, $AA$3:$BJ$3, $BN$3), rounding)</f>
        <v>0</v>
      </c>
      <c r="CM112" s="352">
        <f>ROUND($BO112-SUMIFS($AA112:$BJ112, $AA$3:$BJ$3, $BO$3), rounding)</f>
        <v>0</v>
      </c>
      <c r="CN112" s="352">
        <f>ROUND($V112-$BL112, rounding)</f>
        <v>0</v>
      </c>
      <c r="EX112" s="10" t="str">
        <f t="shared" si="78"/>
        <v>LEP support</v>
      </c>
    </row>
    <row r="113" spans="1:154" x14ac:dyDescent="0.25">
      <c r="A113" s="362" cm="1">
        <f t="array" aca="1" ref="A113" ca="1">HYPERLINK(CONCATENATE("#",CELL("address",IF(SUM($CA113:$CG113)=0,A113,INDEX($CA113:$CG113,MATCH(1,$CA113:$CG113,0))))),SUM($CA113:$CG113))</f>
        <v>0</v>
      </c>
      <c r="B113" s="93"/>
      <c r="C113" s="343" t="s">
        <v>1004</v>
      </c>
      <c r="D113" s="433" t="s">
        <v>67</v>
      </c>
      <c r="E113" s="82"/>
      <c r="F113" s="25"/>
      <c r="G113" s="25"/>
      <c r="H113" s="95" t="s">
        <v>8</v>
      </c>
      <c r="I113" s="25"/>
      <c r="J113" s="25"/>
      <c r="Q113" s="2"/>
      <c r="R113" s="335"/>
      <c r="S113" s="335"/>
      <c r="T113" s="335"/>
      <c r="U113" s="335"/>
      <c r="V113" s="152">
        <f>SUM(V110:V112)</f>
        <v>0</v>
      </c>
      <c r="W113" s="152">
        <f>SUM(W110:W112)</f>
        <v>0</v>
      </c>
      <c r="X113" s="152">
        <f>SUM(X110:X112)</f>
        <v>0</v>
      </c>
      <c r="Y113" s="152">
        <f>SUM(Y110:Y112)</f>
        <v>0</v>
      </c>
      <c r="Z113" s="335"/>
      <c r="AA113" s="152">
        <f t="shared" ref="AA113:BJ113" si="127">SUM(AA110:AA112)</f>
        <v>0</v>
      </c>
      <c r="AB113" s="152">
        <f t="shared" si="127"/>
        <v>0</v>
      </c>
      <c r="AC113" s="152">
        <f t="shared" si="127"/>
        <v>0</v>
      </c>
      <c r="AD113" s="152">
        <f t="shared" si="127"/>
        <v>0</v>
      </c>
      <c r="AE113" s="152">
        <f t="shared" si="127"/>
        <v>0</v>
      </c>
      <c r="AF113" s="152">
        <f t="shared" si="127"/>
        <v>0</v>
      </c>
      <c r="AG113" s="152">
        <f t="shared" si="127"/>
        <v>0</v>
      </c>
      <c r="AH113" s="152">
        <f t="shared" si="127"/>
        <v>0</v>
      </c>
      <c r="AI113" s="152">
        <f t="shared" si="127"/>
        <v>0</v>
      </c>
      <c r="AJ113" s="152">
        <f t="shared" si="127"/>
        <v>0</v>
      </c>
      <c r="AK113" s="152">
        <f t="shared" si="127"/>
        <v>0</v>
      </c>
      <c r="AL113" s="152">
        <f t="shared" si="127"/>
        <v>0</v>
      </c>
      <c r="AM113" s="152">
        <f t="shared" si="127"/>
        <v>0</v>
      </c>
      <c r="AN113" s="152">
        <f t="shared" si="127"/>
        <v>0</v>
      </c>
      <c r="AO113" s="152">
        <f t="shared" si="127"/>
        <v>0</v>
      </c>
      <c r="AP113" s="152">
        <f t="shared" si="127"/>
        <v>0</v>
      </c>
      <c r="AQ113" s="152">
        <f t="shared" si="127"/>
        <v>0</v>
      </c>
      <c r="AR113" s="152">
        <f t="shared" si="127"/>
        <v>0</v>
      </c>
      <c r="AS113" s="152">
        <f t="shared" si="127"/>
        <v>0</v>
      </c>
      <c r="AT113" s="152">
        <f t="shared" si="127"/>
        <v>0</v>
      </c>
      <c r="AU113" s="152">
        <f t="shared" si="127"/>
        <v>0</v>
      </c>
      <c r="AV113" s="152">
        <f t="shared" si="127"/>
        <v>0</v>
      </c>
      <c r="AW113" s="152">
        <f t="shared" si="127"/>
        <v>0</v>
      </c>
      <c r="AX113" s="152">
        <f t="shared" si="127"/>
        <v>0</v>
      </c>
      <c r="AY113" s="152">
        <f t="shared" si="127"/>
        <v>0</v>
      </c>
      <c r="AZ113" s="152">
        <f t="shared" si="127"/>
        <v>0</v>
      </c>
      <c r="BA113" s="152">
        <f t="shared" si="127"/>
        <v>0</v>
      </c>
      <c r="BB113" s="152">
        <f t="shared" si="127"/>
        <v>0</v>
      </c>
      <c r="BC113" s="152">
        <f t="shared" si="127"/>
        <v>0</v>
      </c>
      <c r="BD113" s="152">
        <f t="shared" si="127"/>
        <v>0</v>
      </c>
      <c r="BE113" s="152">
        <f t="shared" si="127"/>
        <v>0</v>
      </c>
      <c r="BF113" s="152">
        <f t="shared" si="127"/>
        <v>0</v>
      </c>
      <c r="BG113" s="152">
        <f t="shared" si="127"/>
        <v>0</v>
      </c>
      <c r="BH113" s="152">
        <f t="shared" si="127"/>
        <v>0</v>
      </c>
      <c r="BI113" s="152">
        <f t="shared" si="127"/>
        <v>0</v>
      </c>
      <c r="BJ113" s="152">
        <f t="shared" si="127"/>
        <v>0</v>
      </c>
      <c r="BK113" s="335"/>
      <c r="BL113" s="152">
        <f t="shared" ref="BL113:BW113" si="128">SUM(BL110:BL112)</f>
        <v>0</v>
      </c>
      <c r="BM113" s="152">
        <f t="shared" si="128"/>
        <v>0</v>
      </c>
      <c r="BN113" s="152">
        <f t="shared" si="128"/>
        <v>0</v>
      </c>
      <c r="BO113" s="152">
        <f t="shared" si="128"/>
        <v>0</v>
      </c>
      <c r="BP113" s="152">
        <f t="shared" si="128"/>
        <v>0</v>
      </c>
      <c r="BQ113" s="152">
        <f t="shared" si="128"/>
        <v>0</v>
      </c>
      <c r="BR113" s="152">
        <f t="shared" si="128"/>
        <v>0</v>
      </c>
      <c r="BS113" s="152">
        <f t="shared" si="128"/>
        <v>0</v>
      </c>
      <c r="BT113" s="152">
        <f t="shared" si="128"/>
        <v>0</v>
      </c>
      <c r="BU113" s="152">
        <f t="shared" si="128"/>
        <v>0</v>
      </c>
      <c r="BV113" s="152">
        <f t="shared" si="128"/>
        <v>0</v>
      </c>
      <c r="BW113" s="152">
        <f t="shared" si="128"/>
        <v>0</v>
      </c>
      <c r="BY113" s="12"/>
      <c r="BZ113" s="363">
        <f ca="1">IF(MIN($V113:$BW113)&lt;0, 1, 0)*$I$7</f>
        <v>0</v>
      </c>
      <c r="CA113" s="12"/>
      <c r="CC113" s="335"/>
      <c r="CD113" s="7">
        <f>IF(SUM($CH113:$CJ113)=0, 0, 1)</f>
        <v>0</v>
      </c>
      <c r="CE113" s="7">
        <f>IF(SUM($CK113:$CM113)=0, 0, 1)</f>
        <v>0</v>
      </c>
      <c r="CF113" s="7">
        <f>IF(CN113=0, 0, 1)</f>
        <v>0</v>
      </c>
      <c r="CG113" s="12"/>
      <c r="CH113" s="352">
        <f t="shared" si="126"/>
        <v>0</v>
      </c>
      <c r="CI113" s="352">
        <f t="shared" si="126"/>
        <v>0</v>
      </c>
      <c r="CJ113" s="352">
        <f t="shared" si="126"/>
        <v>0</v>
      </c>
      <c r="CK113" s="352">
        <f>ROUND($BM113-SUMIFS($AA113:$BJ113, $AA$3:$BJ$3, $BM$3), rounding)</f>
        <v>0</v>
      </c>
      <c r="CL113" s="352">
        <f>ROUND($BN113-SUMIFS($AA113:$BJ113, $AA$3:$BJ$3, $BN$3), rounding)</f>
        <v>0</v>
      </c>
      <c r="CM113" s="352">
        <f>ROUND($BO113-SUMIFS($AA113:$BJ113, $AA$3:$BJ$3, $BO$3), rounding)</f>
        <v>0</v>
      </c>
      <c r="CN113" s="352">
        <f>ROUND($V113-$BL113, rounding)</f>
        <v>0</v>
      </c>
      <c r="EX113" s="10" t="str">
        <f t="shared" si="78"/>
        <v>Total Emergency Funding</v>
      </c>
    </row>
    <row r="114" spans="1:154" ht="18.600000000000001" customHeight="1" x14ac:dyDescent="0.25">
      <c r="A114" s="93"/>
      <c r="B114" s="93"/>
      <c r="C114" s="383"/>
      <c r="D114" s="177"/>
      <c r="E114" s="25"/>
      <c r="F114" s="25"/>
      <c r="G114" s="25"/>
      <c r="H114" s="335"/>
      <c r="I114" s="25"/>
      <c r="J114" s="25"/>
      <c r="K114" s="335"/>
      <c r="L114" s="335"/>
      <c r="M114" s="335"/>
      <c r="N114" s="335"/>
      <c r="O114" s="335"/>
      <c r="P114" s="335"/>
      <c r="Q114" s="2"/>
      <c r="R114" s="335"/>
      <c r="S114" s="335"/>
      <c r="T114" s="335"/>
      <c r="U114" s="335"/>
      <c r="V114" s="25"/>
      <c r="W114" s="25"/>
      <c r="X114" s="25"/>
      <c r="Y114" s="25"/>
      <c r="Z114" s="33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335"/>
      <c r="BL114" s="25"/>
      <c r="BM114" s="25"/>
      <c r="BN114" s="25"/>
      <c r="BO114" s="25"/>
      <c r="BP114" s="25"/>
      <c r="BQ114" s="25"/>
      <c r="BR114" s="25"/>
      <c r="BS114" s="25"/>
      <c r="BT114" s="25"/>
      <c r="BU114" s="25"/>
      <c r="BV114" s="25"/>
      <c r="BW114" s="25"/>
      <c r="BX114" s="335"/>
      <c r="BY114" s="42"/>
      <c r="BZ114" s="335"/>
      <c r="CA114" s="42"/>
      <c r="CC114" s="335"/>
      <c r="CG114" s="42"/>
      <c r="CM114" s="335"/>
      <c r="EX114" s="10" t="str">
        <f t="shared" si="78"/>
        <v/>
      </c>
    </row>
    <row r="115" spans="1:154" ht="30" x14ac:dyDescent="0.25">
      <c r="A115" s="362" cm="1">
        <f t="array" aca="1" ref="A115" ca="1">HYPERLINK(CONCATENATE("#",CELL("address",IF(SUM($CA115:$CG115)=0,A115,INDEX($CA115:$CG115,MATCH(1,$CA115:$CG115,0))))),SUM($CA115:$CG115))</f>
        <v>0</v>
      </c>
      <c r="B115" s="170" t="s">
        <v>335</v>
      </c>
      <c r="C115" s="343" t="s">
        <v>2287</v>
      </c>
      <c r="D115" s="194" t="s">
        <v>44</v>
      </c>
      <c r="E115" s="147"/>
      <c r="F115" s="98" t="str" cm="1">
        <f t="array" aca="1" ref="F115" ca="1">IF(E115="", "", HYPERLINK(CONCATENATE("#",CELL("address",INDEX('I&amp;E Profiles'!$D$9:$D$93,'I&amp;E Annual'!I115))),E115))</f>
        <v/>
      </c>
      <c r="G115" s="372" t="s">
        <v>211</v>
      </c>
      <c r="H115" s="67" t="s">
        <v>8</v>
      </c>
      <c r="I115" s="350" t="str">
        <f>IF(E115="", "", MATCH(E115, 'I&amp;E Profiles'!$D$96:$D$180,0))</f>
        <v/>
      </c>
      <c r="J115" s="215">
        <f>IF($G115=$G$7, W115,'I&amp;E Monthly'!W115)-SUMIFS('I&amp;E Monthly'!$AA115:$BJ115, 'I&amp;E Monthly'!$AA$3:$BJ$3, 'I&amp;E Annual'!W$3, 'I&amp;E Monthly'!$AA$4:$BJ$4, 0)</f>
        <v>0</v>
      </c>
      <c r="K115" s="215">
        <f>IF($G115=$G$7, X115,'I&amp;E Monthly'!X115)-SUMIFS('I&amp;E Monthly'!$AA115:$BJ115, 'I&amp;E Monthly'!$AA$3:$BJ$3, 'I&amp;E Annual'!X$3, 'I&amp;E Monthly'!$AA$4:$BJ$4, 0)</f>
        <v>0</v>
      </c>
      <c r="L115" s="215">
        <f>IF($G115=$G$7, Y115,'I&amp;E Monthly'!Y115)-SUMIFS('I&amp;E Monthly'!$AA115:$BJ115, 'I&amp;E Monthly'!$AA$3:$BJ$3, 'I&amp;E Annual'!Y$3, 'I&amp;E Monthly'!$AA$4:$BJ$4, 0)</f>
        <v>0</v>
      </c>
      <c r="M115" s="335"/>
      <c r="N115" s="335"/>
      <c r="O115" s="335"/>
      <c r="P115" s="335"/>
      <c r="Q115" s="2"/>
      <c r="R115" s="335"/>
      <c r="S115" s="335"/>
      <c r="T115" s="335"/>
      <c r="U115" s="335"/>
      <c r="V115" s="201">
        <f>'I&amp;E Monthly'!V115</f>
        <v>0</v>
      </c>
      <c r="W115" s="372"/>
      <c r="X115" s="198"/>
      <c r="Y115" s="198"/>
      <c r="Z115" s="335"/>
      <c r="AA115" s="153" cm="1">
        <f t="array" ref="AA115">IF(OR(AA$4=0, $G115&lt;&gt; $G$7, $E115=0), 'I&amp;E Monthly'!AA115, CHOOSE(Timeline!AA$30,$J115,$K115,$L115 )*INDEX('I&amp;E Profiles'!AA$96:AA$180,$I115))</f>
        <v>0</v>
      </c>
      <c r="AB115" s="153" cm="1">
        <f t="array" ref="AB115">IF(OR(AB$4=0, $G115&lt;&gt; $G$7, $E115=0), 'I&amp;E Monthly'!AB115, CHOOSE(Timeline!AB$30,$J115,$K115,$L115 )*INDEX('I&amp;E Profiles'!AB$96:AB$180,$I115))</f>
        <v>0</v>
      </c>
      <c r="AC115" s="153" cm="1">
        <f t="array" ref="AC115">IF(OR(AC$4=0, $G115&lt;&gt; $G$7, $E115=0), 'I&amp;E Monthly'!AC115, CHOOSE(Timeline!AC$30,$J115,$K115,$L115 )*INDEX('I&amp;E Profiles'!AC$96:AC$180,$I115))</f>
        <v>0</v>
      </c>
      <c r="AD115" s="153" cm="1">
        <f t="array" ref="AD115">IF(OR(AD$4=0, $G115&lt;&gt; $G$7, $E115=0), 'I&amp;E Monthly'!AD115, CHOOSE(Timeline!AD$30,$J115,$K115,$L115 )*INDEX('I&amp;E Profiles'!AD$96:AD$180,$I115))</f>
        <v>0</v>
      </c>
      <c r="AE115" s="153" cm="1">
        <f t="array" ref="AE115">IF(OR(AE$4=0, $G115&lt;&gt; $G$7, $E115=0), 'I&amp;E Monthly'!AE115, CHOOSE(Timeline!AE$30,$J115,$K115,$L115 )*INDEX('I&amp;E Profiles'!AE$96:AE$180,$I115))</f>
        <v>0</v>
      </c>
      <c r="AF115" s="153" cm="1">
        <f t="array" ref="AF115">IF(OR(AF$4=0, $G115&lt;&gt; $G$7, $E115=0), 'I&amp;E Monthly'!AF115, CHOOSE(Timeline!AF$30,$J115,$K115,$L115 )*INDEX('I&amp;E Profiles'!AF$96:AF$180,$I115))</f>
        <v>0</v>
      </c>
      <c r="AG115" s="153" cm="1">
        <f t="array" ref="AG115">IF(OR(AG$4=0, $G115&lt;&gt; $G$7, $E115=0), 'I&amp;E Monthly'!AG115, CHOOSE(Timeline!AG$30,$J115,$K115,$L115 )*INDEX('I&amp;E Profiles'!AG$96:AG$180,$I115))</f>
        <v>0</v>
      </c>
      <c r="AH115" s="153" cm="1">
        <f t="array" ref="AH115">IF(OR(AH$4=0, $G115&lt;&gt; $G$7, $E115=0), 'I&amp;E Monthly'!AH115, CHOOSE(Timeline!AH$30,$J115,$K115,$L115 )*INDEX('I&amp;E Profiles'!AH$96:AH$180,$I115))</f>
        <v>0</v>
      </c>
      <c r="AI115" s="153" cm="1">
        <f t="array" ref="AI115">IF(OR(AI$4=0, $G115&lt;&gt; $G$7, $E115=0), 'I&amp;E Monthly'!AI115, CHOOSE(Timeline!AI$30,$J115,$K115,$L115 )*INDEX('I&amp;E Profiles'!AI$96:AI$180,$I115))</f>
        <v>0</v>
      </c>
      <c r="AJ115" s="153" cm="1">
        <f t="array" ref="AJ115">IF(OR(AJ$4=0, $G115&lt;&gt; $G$7, $E115=0), 'I&amp;E Monthly'!AJ115, CHOOSE(Timeline!AJ$30,$J115,$K115,$L115 )*INDEX('I&amp;E Profiles'!AJ$96:AJ$180,$I115))</f>
        <v>0</v>
      </c>
      <c r="AK115" s="153" cm="1">
        <f t="array" ref="AK115">IF(OR(AK$4=0, $G115&lt;&gt; $G$7, $E115=0), 'I&amp;E Monthly'!AK115, CHOOSE(Timeline!AK$30,$J115,$K115,$L115 )*INDEX('I&amp;E Profiles'!AK$96:AK$180,$I115))</f>
        <v>0</v>
      </c>
      <c r="AL115" s="153" cm="1">
        <f t="array" ref="AL115">IF(OR(AL$4=0, $G115&lt;&gt; $G$7, $E115=0), 'I&amp;E Monthly'!AL115, CHOOSE(Timeline!AL$30,$J115,$K115,$L115 )*INDEX('I&amp;E Profiles'!AL$96:AL$180,$I115))</f>
        <v>0</v>
      </c>
      <c r="AM115" s="153" cm="1">
        <f t="array" ref="AM115">IF(OR(AM$4=0, $G115&lt;&gt; $G$7, $E115=0), 'I&amp;E Monthly'!AM115, CHOOSE(Timeline!AM$30,$J115,$K115,$L115 )*INDEX('I&amp;E Profiles'!AM$96:AM$180,$I115))</f>
        <v>0</v>
      </c>
      <c r="AN115" s="153" cm="1">
        <f t="array" ref="AN115">IF(OR(AN$4=0, $G115&lt;&gt; $G$7, $E115=0), 'I&amp;E Monthly'!AN115, CHOOSE(Timeline!AN$30,$J115,$K115,$L115 )*INDEX('I&amp;E Profiles'!AN$96:AN$180,$I115))</f>
        <v>0</v>
      </c>
      <c r="AO115" s="153" cm="1">
        <f t="array" ref="AO115">IF(OR(AO$4=0, $G115&lt;&gt; $G$7, $E115=0), 'I&amp;E Monthly'!AO115, CHOOSE(Timeline!AO$30,$J115,$K115,$L115 )*INDEX('I&amp;E Profiles'!AO$96:AO$180,$I115))</f>
        <v>0</v>
      </c>
      <c r="AP115" s="153" cm="1">
        <f t="array" ref="AP115">IF(OR(AP$4=0, $G115&lt;&gt; $G$7, $E115=0), 'I&amp;E Monthly'!AP115, CHOOSE(Timeline!AP$30,$J115,$K115,$L115 )*INDEX('I&amp;E Profiles'!AP$96:AP$180,$I115))</f>
        <v>0</v>
      </c>
      <c r="AQ115" s="153" cm="1">
        <f t="array" ref="AQ115">IF(OR(AQ$4=0, $G115&lt;&gt; $G$7, $E115=0), 'I&amp;E Monthly'!AQ115, CHOOSE(Timeline!AQ$30,$J115,$K115,$L115 )*INDEX('I&amp;E Profiles'!AQ$96:AQ$180,$I115))</f>
        <v>0</v>
      </c>
      <c r="AR115" s="153" cm="1">
        <f t="array" ref="AR115">IF(OR(AR$4=0, $G115&lt;&gt; $G$7, $E115=0), 'I&amp;E Monthly'!AR115, CHOOSE(Timeline!AR$30,$J115,$K115,$L115 )*INDEX('I&amp;E Profiles'!AR$96:AR$180,$I115))</f>
        <v>0</v>
      </c>
      <c r="AS115" s="153" cm="1">
        <f t="array" ref="AS115">IF(OR(AS$4=0, $G115&lt;&gt; $G$7, $E115=0), 'I&amp;E Monthly'!AS115, CHOOSE(Timeline!AS$30,$J115,$K115,$L115 )*INDEX('I&amp;E Profiles'!AS$96:AS$180,$I115))</f>
        <v>0</v>
      </c>
      <c r="AT115" s="153" cm="1">
        <f t="array" ref="AT115">IF(OR(AT$4=0, $G115&lt;&gt; $G$7, $E115=0), 'I&amp;E Monthly'!AT115, CHOOSE(Timeline!AT$30,$J115,$K115,$L115 )*INDEX('I&amp;E Profiles'!AT$96:AT$180,$I115))</f>
        <v>0</v>
      </c>
      <c r="AU115" s="153" cm="1">
        <f t="array" ref="AU115">IF(OR(AU$4=0, $G115&lt;&gt; $G$7, $E115=0), 'I&amp;E Monthly'!AU115, CHOOSE(Timeline!AU$30,$J115,$K115,$L115 )*INDEX('I&amp;E Profiles'!AU$96:AU$180,$I115))</f>
        <v>0</v>
      </c>
      <c r="AV115" s="153" cm="1">
        <f t="array" ref="AV115">IF(OR(AV$4=0, $G115&lt;&gt; $G$7, $E115=0), 'I&amp;E Monthly'!AV115, CHOOSE(Timeline!AV$30,$J115,$K115,$L115 )*INDEX('I&amp;E Profiles'!AV$96:AV$180,$I115))</f>
        <v>0</v>
      </c>
      <c r="AW115" s="153" cm="1">
        <f t="array" ref="AW115">IF(OR(AW$4=0, $G115&lt;&gt; $G$7, $E115=0), 'I&amp;E Monthly'!AW115, CHOOSE(Timeline!AW$30,$J115,$K115,$L115 )*INDEX('I&amp;E Profiles'!AW$96:AW$180,$I115))</f>
        <v>0</v>
      </c>
      <c r="AX115" s="153" cm="1">
        <f t="array" ref="AX115">IF(OR(AX$4=0, $G115&lt;&gt; $G$7, $E115=0), 'I&amp;E Monthly'!AX115, CHOOSE(Timeline!AX$30,$J115,$K115,$L115 )*INDEX('I&amp;E Profiles'!AX$96:AX$180,$I115))</f>
        <v>0</v>
      </c>
      <c r="AY115" s="153" cm="1">
        <f t="array" ref="AY115">IF(OR(AY$4=0, $G115&lt;&gt; $G$7, $E115=0), 'I&amp;E Monthly'!AY115, CHOOSE(Timeline!AY$30,$J115,$K115,$L115 )*INDEX('I&amp;E Profiles'!AY$96:AY$180,$I115))</f>
        <v>0</v>
      </c>
      <c r="AZ115" s="153" cm="1">
        <f t="array" ref="AZ115">IF(OR(AZ$4=0, $G115&lt;&gt; $G$7, $E115=0), 'I&amp;E Monthly'!AZ115, CHOOSE(Timeline!AZ$30,$J115,$K115,$L115 )*INDEX('I&amp;E Profiles'!AZ$96:AZ$180,$I115))</f>
        <v>0</v>
      </c>
      <c r="BA115" s="153" cm="1">
        <f t="array" ref="BA115">IF(OR(BA$4=0, $G115&lt;&gt; $G$7, $E115=0), 'I&amp;E Monthly'!BA115, CHOOSE(Timeline!BA$30,$J115,$K115,$L115 )*INDEX('I&amp;E Profiles'!BA$96:BA$180,$I115))</f>
        <v>0</v>
      </c>
      <c r="BB115" s="153" cm="1">
        <f t="array" ref="BB115">IF(OR(BB$4=0, $G115&lt;&gt; $G$7, $E115=0), 'I&amp;E Monthly'!BB115, CHOOSE(Timeline!BB$30,$J115,$K115,$L115 )*INDEX('I&amp;E Profiles'!BB$96:BB$180,$I115))</f>
        <v>0</v>
      </c>
      <c r="BC115" s="153" cm="1">
        <f t="array" ref="BC115">IF(OR(BC$4=0, $G115&lt;&gt; $G$7, $E115=0), 'I&amp;E Monthly'!BC115, CHOOSE(Timeline!BC$30,$J115,$K115,$L115 )*INDEX('I&amp;E Profiles'!BC$96:BC$180,$I115))</f>
        <v>0</v>
      </c>
      <c r="BD115" s="153" cm="1">
        <f t="array" ref="BD115">IF(OR(BD$4=0, $G115&lt;&gt; $G$7, $E115=0), 'I&amp;E Monthly'!BD115, CHOOSE(Timeline!BD$30,$J115,$K115,$L115 )*INDEX('I&amp;E Profiles'!BD$96:BD$180,$I115))</f>
        <v>0</v>
      </c>
      <c r="BE115" s="153" cm="1">
        <f t="array" ref="BE115">IF(OR(BE$4=0, $G115&lt;&gt; $G$7, $E115=0), 'I&amp;E Monthly'!BE115, CHOOSE(Timeline!BE$30,$J115,$K115,$L115 )*INDEX('I&amp;E Profiles'!BE$96:BE$180,$I115))</f>
        <v>0</v>
      </c>
      <c r="BF115" s="153" cm="1">
        <f t="array" ref="BF115">IF(OR(BF$4=0, $G115&lt;&gt; $G$7, $E115=0), 'I&amp;E Monthly'!BF115, CHOOSE(Timeline!BF$30,$J115,$K115,$L115 )*INDEX('I&amp;E Profiles'!BF$96:BF$180,$I115))</f>
        <v>0</v>
      </c>
      <c r="BG115" s="153" cm="1">
        <f t="array" ref="BG115">IF(OR(BG$4=0, $G115&lt;&gt; $G$7, $E115=0), 'I&amp;E Monthly'!BG115, CHOOSE(Timeline!BG$30,$J115,$K115,$L115 )*INDEX('I&amp;E Profiles'!BG$96:BG$180,$I115))</f>
        <v>0</v>
      </c>
      <c r="BH115" s="153" cm="1">
        <f t="array" ref="BH115">IF(OR(BH$4=0, $G115&lt;&gt; $G$7, $E115=0), 'I&amp;E Monthly'!BH115, CHOOSE(Timeline!BH$30,$J115,$K115,$L115 )*INDEX('I&amp;E Profiles'!BH$96:BH$180,$I115))</f>
        <v>0</v>
      </c>
      <c r="BI115" s="153" cm="1">
        <f t="array" ref="BI115">IF(OR(BI$4=0, $G115&lt;&gt; $G$7, $E115=0), 'I&amp;E Monthly'!BI115, CHOOSE(Timeline!BI$30,$J115,$K115,$L115 )*INDEX('I&amp;E Profiles'!BI$96:BI$180,$I115))</f>
        <v>0</v>
      </c>
      <c r="BJ115" s="153" cm="1">
        <f t="array" ref="BJ115">IF(OR(BJ$4=0, $G115&lt;&gt; $G$7, $E115=0), 'I&amp;E Monthly'!BJ115, CHOOSE(Timeline!BJ$30,$J115,$K115,$L115 )*INDEX('I&amp;E Profiles'!BJ$96:BJ$180,$I115))</f>
        <v>0</v>
      </c>
      <c r="BK115" s="335"/>
      <c r="BL115" s="13">
        <f>V115</f>
        <v>0</v>
      </c>
      <c r="BM115" s="153">
        <f>SUMIFS($AA115:$BJ115, $AA$3:$BJ$3,BM$3)</f>
        <v>0</v>
      </c>
      <c r="BN115" s="153">
        <f>SUMIFS($AA115:$BJ115, $AA$3:$BJ$3,BN$3)</f>
        <v>0</v>
      </c>
      <c r="BO115" s="153">
        <f>SUMIFS($AA115:$BJ115, $AA$3:$BJ$3,BO$3)</f>
        <v>0</v>
      </c>
      <c r="BP115" s="13">
        <f>'I&amp;E Monthly'!BP115</f>
        <v>0</v>
      </c>
      <c r="BQ115" s="13">
        <f>'I&amp;E Monthly'!BQ115</f>
        <v>0</v>
      </c>
      <c r="BR115" s="13">
        <f>'I&amp;E Monthly'!BR115</f>
        <v>0</v>
      </c>
      <c r="BS115" s="13">
        <f>'I&amp;E Monthly'!BS115</f>
        <v>0</v>
      </c>
      <c r="BT115" s="13">
        <f>'I&amp;E Monthly'!BT115</f>
        <v>0</v>
      </c>
      <c r="BU115" s="13">
        <f>'I&amp;E Monthly'!BU115</f>
        <v>0</v>
      </c>
      <c r="BV115" s="13">
        <f>'I&amp;E Monthly'!BV115</f>
        <v>0</v>
      </c>
      <c r="BW115" s="13">
        <f>'I&amp;E Monthly'!BW115</f>
        <v>0</v>
      </c>
      <c r="BX115" s="335"/>
      <c r="BY115" s="12"/>
      <c r="BZ115" s="363">
        <f ca="1">IF(MIN($V115:$BW115)&lt;0, 1, 0)*$I$7</f>
        <v>0</v>
      </c>
      <c r="CA115" s="12"/>
      <c r="CB115" s="7">
        <f>IF(AND($G115=$G$7,$E115=""), 1, 0)</f>
        <v>0</v>
      </c>
      <c r="CC115" s="188" cm="1">
        <f t="array" ref="CC115">IF(E115="",0, IF(_xlfn.IFNA(INDEX('I&amp;E Profiles'!$D$96:$D$180, $I115), "N/A")="N/A", 1, 0))</f>
        <v>0</v>
      </c>
      <c r="CD115" s="7">
        <f>IF(SUM($CH115:$CJ115)=0, 0, 1)</f>
        <v>0</v>
      </c>
      <c r="CE115" s="7">
        <f>IF(SUM($CK115:$CM115)=0, 0, 1)</f>
        <v>0</v>
      </c>
      <c r="CF115" s="7">
        <f>IF(CN115=0, 0, 1)</f>
        <v>0</v>
      </c>
      <c r="CG115" s="12"/>
      <c r="CH115" s="352">
        <f t="shared" ref="CH115:CJ117" si="129">IF($G115=$G$7, ROUND(W115-SUMIFS($AA115:$BJ115, $AA$3:$BJ$3, W$3), rounding), 0)</f>
        <v>0</v>
      </c>
      <c r="CI115" s="352">
        <f t="shared" si="129"/>
        <v>0</v>
      </c>
      <c r="CJ115" s="352">
        <f t="shared" si="129"/>
        <v>0</v>
      </c>
      <c r="CK115" s="352">
        <f>ROUND($BM115-SUMIFS($AA115:$BJ115, $AA$3:$BJ$3, $BM$3), rounding)</f>
        <v>0</v>
      </c>
      <c r="CL115" s="352">
        <f>ROUND($BN115-SUMIFS($AA115:$BJ115, $AA$3:$BJ$3, $BN$3), rounding)</f>
        <v>0</v>
      </c>
      <c r="CM115" s="352">
        <f>ROUND($BO115-SUMIFS($AA115:$BJ115, $AA$3:$BJ$3, $BO$3), rounding)</f>
        <v>0</v>
      </c>
      <c r="CN115" s="352">
        <f>ROUND($V115-$BL115, rounding)</f>
        <v>0</v>
      </c>
      <c r="EX115" s="10" t="str">
        <f t="shared" si="78"/>
        <v>Non-cash accounting receipts or non-exchange transactions (gifts) excl. donated assets</v>
      </c>
    </row>
    <row r="116" spans="1:154" s="325" customFormat="1" ht="36.6" customHeight="1" x14ac:dyDescent="0.25">
      <c r="A116" s="362" cm="1">
        <f t="array" aca="1" ref="A116" ca="1">HYPERLINK(CONCATENATE("#",CELL("address",IF(SUM($CA116:$CG116)=0,A116,INDEX($CA116:$CG116,MATCH(1,$CA116:$CG116,0))))),SUM($CA116:$CG116))</f>
        <v>0</v>
      </c>
      <c r="B116" s="93"/>
      <c r="C116" s="343" t="s">
        <v>2288</v>
      </c>
      <c r="D116" s="194" t="s">
        <v>864</v>
      </c>
      <c r="E116" s="348" t="str" cm="1">
        <f t="array" aca="1" ref="E116" ca="1">HYPERLINK(CONCATENATE("#",CELL("address",'Investing Inputs'!$D$39)),'Investing Inputs'!$D$39)</f>
        <v>Total Capital Expenditure Donations</v>
      </c>
      <c r="F116" s="25"/>
      <c r="G116" s="25"/>
      <c r="H116" s="335" t="s">
        <v>8</v>
      </c>
      <c r="I116" s="25"/>
      <c r="J116" s="25"/>
      <c r="K116" s="335"/>
      <c r="L116" s="335"/>
      <c r="M116" s="335"/>
      <c r="N116" s="335"/>
      <c r="O116" s="335"/>
      <c r="P116" s="335"/>
      <c r="Q116" s="2"/>
      <c r="R116" s="335"/>
      <c r="S116" s="335"/>
      <c r="T116" s="335"/>
      <c r="U116" s="335"/>
      <c r="V116" s="10">
        <f>'I&amp;E Monthly'!V$116</f>
        <v>0</v>
      </c>
      <c r="W116" s="10">
        <f>'I&amp;E Monthly'!W$116</f>
        <v>0</v>
      </c>
      <c r="X116" s="10">
        <f>'I&amp;E Monthly'!X$116</f>
        <v>0</v>
      </c>
      <c r="Y116" s="10">
        <f>'I&amp;E Monthly'!Y$116</f>
        <v>0</v>
      </c>
      <c r="Z116" s="335"/>
      <c r="AA116" s="10">
        <f>'I&amp;E Monthly'!AA$116</f>
        <v>0</v>
      </c>
      <c r="AB116" s="10">
        <f>'I&amp;E Monthly'!AB$116</f>
        <v>0</v>
      </c>
      <c r="AC116" s="10">
        <f>'I&amp;E Monthly'!AC$116</f>
        <v>0</v>
      </c>
      <c r="AD116" s="10">
        <f>'I&amp;E Monthly'!AD$116</f>
        <v>0</v>
      </c>
      <c r="AE116" s="10">
        <f>'I&amp;E Monthly'!AE$116</f>
        <v>0</v>
      </c>
      <c r="AF116" s="10">
        <f>'I&amp;E Monthly'!AF$116</f>
        <v>0</v>
      </c>
      <c r="AG116" s="10">
        <f>'I&amp;E Monthly'!AG$116</f>
        <v>0</v>
      </c>
      <c r="AH116" s="10">
        <f>'I&amp;E Monthly'!AH$116</f>
        <v>0</v>
      </c>
      <c r="AI116" s="10">
        <f>'I&amp;E Monthly'!AI$116</f>
        <v>0</v>
      </c>
      <c r="AJ116" s="10">
        <f>'I&amp;E Monthly'!AJ$116</f>
        <v>0</v>
      </c>
      <c r="AK116" s="10">
        <f>'I&amp;E Monthly'!AK$116</f>
        <v>0</v>
      </c>
      <c r="AL116" s="10">
        <f>'I&amp;E Monthly'!AL$116</f>
        <v>0</v>
      </c>
      <c r="AM116" s="10">
        <f>'I&amp;E Monthly'!AM$116</f>
        <v>0</v>
      </c>
      <c r="AN116" s="10">
        <f>'I&amp;E Monthly'!AN$116</f>
        <v>0</v>
      </c>
      <c r="AO116" s="10">
        <f>'I&amp;E Monthly'!AO$116</f>
        <v>0</v>
      </c>
      <c r="AP116" s="10">
        <f>'I&amp;E Monthly'!AP$116</f>
        <v>0</v>
      </c>
      <c r="AQ116" s="10">
        <f>'I&amp;E Monthly'!AQ$116</f>
        <v>0</v>
      </c>
      <c r="AR116" s="10">
        <f>'I&amp;E Monthly'!AR$116</f>
        <v>0</v>
      </c>
      <c r="AS116" s="10">
        <f>'I&amp;E Monthly'!AS$116</f>
        <v>0</v>
      </c>
      <c r="AT116" s="10">
        <f>'I&amp;E Monthly'!AT$116</f>
        <v>0</v>
      </c>
      <c r="AU116" s="10">
        <f>'I&amp;E Monthly'!AU$116</f>
        <v>0</v>
      </c>
      <c r="AV116" s="10">
        <f>'I&amp;E Monthly'!AV$116</f>
        <v>0</v>
      </c>
      <c r="AW116" s="10">
        <f>'I&amp;E Monthly'!AW$116</f>
        <v>0</v>
      </c>
      <c r="AX116" s="10">
        <f>'I&amp;E Monthly'!AX$116</f>
        <v>0</v>
      </c>
      <c r="AY116" s="10">
        <f>'I&amp;E Monthly'!AY$116</f>
        <v>0</v>
      </c>
      <c r="AZ116" s="10">
        <f>'I&amp;E Monthly'!AZ$116</f>
        <v>0</v>
      </c>
      <c r="BA116" s="10">
        <f>'I&amp;E Monthly'!BA$116</f>
        <v>0</v>
      </c>
      <c r="BB116" s="10">
        <f>'I&amp;E Monthly'!BB$116</f>
        <v>0</v>
      </c>
      <c r="BC116" s="10">
        <f>'I&amp;E Monthly'!BC$116</f>
        <v>0</v>
      </c>
      <c r="BD116" s="10">
        <f>'I&amp;E Monthly'!BD$116</f>
        <v>0</v>
      </c>
      <c r="BE116" s="10">
        <f>'I&amp;E Monthly'!BE$116</f>
        <v>0</v>
      </c>
      <c r="BF116" s="10">
        <f>'I&amp;E Monthly'!BF$116</f>
        <v>0</v>
      </c>
      <c r="BG116" s="10">
        <f>'I&amp;E Monthly'!BG$116</f>
        <v>0</v>
      </c>
      <c r="BH116" s="10">
        <f>'I&amp;E Monthly'!BH$116</f>
        <v>0</v>
      </c>
      <c r="BI116" s="10">
        <f>'I&amp;E Monthly'!BI$116</f>
        <v>0</v>
      </c>
      <c r="BJ116" s="10">
        <f>'I&amp;E Monthly'!BJ$116</f>
        <v>0</v>
      </c>
      <c r="BK116" s="335"/>
      <c r="BL116" s="10">
        <f>'I&amp;E Monthly'!BL$116</f>
        <v>0</v>
      </c>
      <c r="BM116" s="10">
        <f>'I&amp;E Monthly'!BM$116</f>
        <v>0</v>
      </c>
      <c r="BN116" s="10">
        <f>'I&amp;E Monthly'!BN$116</f>
        <v>0</v>
      </c>
      <c r="BO116" s="10">
        <f>'I&amp;E Monthly'!BO$116</f>
        <v>0</v>
      </c>
      <c r="BP116" s="10">
        <f>'I&amp;E Monthly'!BP$116</f>
        <v>0</v>
      </c>
      <c r="BQ116" s="10">
        <f>'I&amp;E Monthly'!BQ$116</f>
        <v>0</v>
      </c>
      <c r="BR116" s="10">
        <f>'I&amp;E Monthly'!BR$116</f>
        <v>0</v>
      </c>
      <c r="BS116" s="10">
        <f>'I&amp;E Monthly'!BS$116</f>
        <v>0</v>
      </c>
      <c r="BT116" s="10">
        <f>'I&amp;E Monthly'!BT$116</f>
        <v>0</v>
      </c>
      <c r="BU116" s="10">
        <f>'I&amp;E Monthly'!BU$116</f>
        <v>0</v>
      </c>
      <c r="BV116" s="10">
        <f>'I&amp;E Monthly'!BV$116</f>
        <v>0</v>
      </c>
      <c r="BW116" s="10">
        <f>'I&amp;E Monthly'!BW$116</f>
        <v>0</v>
      </c>
      <c r="BX116" s="335"/>
      <c r="BY116" s="12"/>
      <c r="BZ116" s="363">
        <f ca="1">IF(MIN($V116:$BW116)&lt;0, 1, 0)*$I$7</f>
        <v>0</v>
      </c>
      <c r="CA116" s="12"/>
      <c r="CB116" s="335"/>
      <c r="CC116" s="335"/>
      <c r="CD116" s="7">
        <f>IF(SUM($CH116:$CJ116)=0, 0, 1)</f>
        <v>0</v>
      </c>
      <c r="CE116" s="7">
        <f>IF(SUM($CK116:$CM116)=0, 0, 1)</f>
        <v>0</v>
      </c>
      <c r="CF116" s="7">
        <f>IF(CN116=0, 0, 1)</f>
        <v>0</v>
      </c>
      <c r="CG116" s="12"/>
      <c r="CH116" s="352">
        <f t="shared" si="129"/>
        <v>0</v>
      </c>
      <c r="CI116" s="352">
        <f t="shared" si="129"/>
        <v>0</v>
      </c>
      <c r="CJ116" s="352">
        <f t="shared" si="129"/>
        <v>0</v>
      </c>
      <c r="CK116" s="352">
        <f>ROUND($BM116-SUMIFS($AA116:$BJ116, $AA$3:$BJ$3, $BM$3), rounding)</f>
        <v>0</v>
      </c>
      <c r="CL116" s="352">
        <f>ROUND($BN116-SUMIFS($AA116:$BJ116, $AA$3:$BJ$3, $BN$3), rounding)</f>
        <v>0</v>
      </c>
      <c r="CM116" s="352">
        <f>ROUND($BO116-SUMIFS($AA116:$BJ116, $AA$3:$BJ$3, $BO$3), rounding)</f>
        <v>0</v>
      </c>
      <c r="CN116" s="352">
        <f>ROUND($V116-$BL116, rounding)</f>
        <v>0</v>
      </c>
      <c r="EU116" s="335"/>
      <c r="EX116" s="10" t="str">
        <f t="shared" si="78"/>
        <v>Donated Assets</v>
      </c>
    </row>
    <row r="117" spans="1:154" s="325" customFormat="1" x14ac:dyDescent="0.25">
      <c r="A117" s="362" cm="1">
        <f t="array" aca="1" ref="A117" ca="1">HYPERLINK(CONCATENATE("#",CELL("address",IF(SUM($CA117:$CG117)=0,A117,INDEX($CA117:$CG117,MATCH(1,$CA117:$CG117,0))))),SUM($CA117:$CG117))</f>
        <v>0</v>
      </c>
      <c r="B117" s="335"/>
      <c r="C117" s="343" t="s">
        <v>2289</v>
      </c>
      <c r="D117" s="432" t="s">
        <v>863</v>
      </c>
      <c r="E117" s="25"/>
      <c r="F117" s="25"/>
      <c r="G117" s="25"/>
      <c r="H117" s="325" t="s">
        <v>8</v>
      </c>
      <c r="I117" s="335"/>
      <c r="Q117" s="2"/>
      <c r="R117" s="335"/>
      <c r="T117" s="335"/>
      <c r="U117" s="335"/>
      <c r="V117" s="152">
        <f>SUM(V115:V116)</f>
        <v>0</v>
      </c>
      <c r="W117" s="152">
        <f>SUM(W115:W116)</f>
        <v>0</v>
      </c>
      <c r="X117" s="152">
        <f>SUM(X115:X116)</f>
        <v>0</v>
      </c>
      <c r="Y117" s="152">
        <f>SUM(Y115:Y116)</f>
        <v>0</v>
      </c>
      <c r="AA117" s="152">
        <f t="shared" ref="AA117:BJ117" si="130">SUM(AA115:AA116)</f>
        <v>0</v>
      </c>
      <c r="AB117" s="152">
        <f t="shared" si="130"/>
        <v>0</v>
      </c>
      <c r="AC117" s="152">
        <f t="shared" si="130"/>
        <v>0</v>
      </c>
      <c r="AD117" s="152">
        <f t="shared" si="130"/>
        <v>0</v>
      </c>
      <c r="AE117" s="152">
        <f t="shared" si="130"/>
        <v>0</v>
      </c>
      <c r="AF117" s="152">
        <f t="shared" si="130"/>
        <v>0</v>
      </c>
      <c r="AG117" s="152">
        <f t="shared" si="130"/>
        <v>0</v>
      </c>
      <c r="AH117" s="152">
        <f t="shared" si="130"/>
        <v>0</v>
      </c>
      <c r="AI117" s="152">
        <f t="shared" si="130"/>
        <v>0</v>
      </c>
      <c r="AJ117" s="152">
        <f t="shared" si="130"/>
        <v>0</v>
      </c>
      <c r="AK117" s="152">
        <f t="shared" si="130"/>
        <v>0</v>
      </c>
      <c r="AL117" s="152">
        <f t="shared" si="130"/>
        <v>0</v>
      </c>
      <c r="AM117" s="152">
        <f t="shared" si="130"/>
        <v>0</v>
      </c>
      <c r="AN117" s="152">
        <f t="shared" si="130"/>
        <v>0</v>
      </c>
      <c r="AO117" s="152">
        <f t="shared" si="130"/>
        <v>0</v>
      </c>
      <c r="AP117" s="152">
        <f t="shared" si="130"/>
        <v>0</v>
      </c>
      <c r="AQ117" s="152">
        <f t="shared" si="130"/>
        <v>0</v>
      </c>
      <c r="AR117" s="152">
        <f t="shared" si="130"/>
        <v>0</v>
      </c>
      <c r="AS117" s="152">
        <f t="shared" si="130"/>
        <v>0</v>
      </c>
      <c r="AT117" s="152">
        <f t="shared" si="130"/>
        <v>0</v>
      </c>
      <c r="AU117" s="152">
        <f t="shared" si="130"/>
        <v>0</v>
      </c>
      <c r="AV117" s="152">
        <f t="shared" si="130"/>
        <v>0</v>
      </c>
      <c r="AW117" s="152">
        <f t="shared" si="130"/>
        <v>0</v>
      </c>
      <c r="AX117" s="152">
        <f t="shared" si="130"/>
        <v>0</v>
      </c>
      <c r="AY117" s="152">
        <f t="shared" si="130"/>
        <v>0</v>
      </c>
      <c r="AZ117" s="152">
        <f t="shared" si="130"/>
        <v>0</v>
      </c>
      <c r="BA117" s="152">
        <f t="shared" si="130"/>
        <v>0</v>
      </c>
      <c r="BB117" s="152">
        <f t="shared" si="130"/>
        <v>0</v>
      </c>
      <c r="BC117" s="152">
        <f t="shared" si="130"/>
        <v>0</v>
      </c>
      <c r="BD117" s="152">
        <f t="shared" si="130"/>
        <v>0</v>
      </c>
      <c r="BE117" s="152">
        <f t="shared" si="130"/>
        <v>0</v>
      </c>
      <c r="BF117" s="152">
        <f t="shared" si="130"/>
        <v>0</v>
      </c>
      <c r="BG117" s="152">
        <f t="shared" si="130"/>
        <v>0</v>
      </c>
      <c r="BH117" s="152">
        <f t="shared" si="130"/>
        <v>0</v>
      </c>
      <c r="BI117" s="152">
        <f t="shared" si="130"/>
        <v>0</v>
      </c>
      <c r="BJ117" s="152">
        <f t="shared" si="130"/>
        <v>0</v>
      </c>
      <c r="BL117" s="152">
        <f t="shared" ref="BL117:BW117" si="131">SUM(BL115:BL116)</f>
        <v>0</v>
      </c>
      <c r="BM117" s="152">
        <f t="shared" si="131"/>
        <v>0</v>
      </c>
      <c r="BN117" s="152">
        <f t="shared" si="131"/>
        <v>0</v>
      </c>
      <c r="BO117" s="152">
        <f t="shared" si="131"/>
        <v>0</v>
      </c>
      <c r="BP117" s="152">
        <f t="shared" si="131"/>
        <v>0</v>
      </c>
      <c r="BQ117" s="152">
        <f t="shared" si="131"/>
        <v>0</v>
      </c>
      <c r="BR117" s="152">
        <f t="shared" si="131"/>
        <v>0</v>
      </c>
      <c r="BS117" s="152">
        <f t="shared" si="131"/>
        <v>0</v>
      </c>
      <c r="BT117" s="152">
        <f t="shared" si="131"/>
        <v>0</v>
      </c>
      <c r="BU117" s="152">
        <f t="shared" si="131"/>
        <v>0</v>
      </c>
      <c r="BV117" s="152">
        <f t="shared" si="131"/>
        <v>0</v>
      </c>
      <c r="BW117" s="152">
        <f t="shared" si="131"/>
        <v>0</v>
      </c>
      <c r="BY117" s="12"/>
      <c r="BZ117" s="363">
        <f ca="1">IF(MIN($V117:$BW117)&lt;0, 1, 0)*$I$7</f>
        <v>0</v>
      </c>
      <c r="CA117" s="12"/>
      <c r="CB117" s="335"/>
      <c r="CC117" s="335"/>
      <c r="CD117" s="7">
        <f>IF(SUM($CH117:$CJ117)=0, 0, 1)</f>
        <v>0</v>
      </c>
      <c r="CE117" s="7">
        <f>IF(SUM($CK117:$CM117)=0, 0, 1)</f>
        <v>0</v>
      </c>
      <c r="CF117" s="7">
        <f>IF(CN117=0, 0, 1)</f>
        <v>0</v>
      </c>
      <c r="CG117" s="12"/>
      <c r="CH117" s="352">
        <f t="shared" si="129"/>
        <v>0</v>
      </c>
      <c r="CI117" s="352">
        <f t="shared" si="129"/>
        <v>0</v>
      </c>
      <c r="CJ117" s="352">
        <f t="shared" si="129"/>
        <v>0</v>
      </c>
      <c r="CK117" s="352">
        <f>ROUND($BM117-SUMIFS($AA117:$BJ117, $AA$3:$BJ$3, $BM$3), rounding)</f>
        <v>0</v>
      </c>
      <c r="CL117" s="352">
        <f>ROUND($BN117-SUMIFS($AA117:$BJ117, $AA$3:$BJ$3, $BN$3), rounding)</f>
        <v>0</v>
      </c>
      <c r="CM117" s="352">
        <f>ROUND($BO117-SUMIFS($AA117:$BJ117, $AA$3:$BJ$3, $BO$3), rounding)</f>
        <v>0</v>
      </c>
      <c r="CN117" s="352">
        <f>ROUND($V117-$BL117, rounding)</f>
        <v>0</v>
      </c>
      <c r="EU117" s="335"/>
      <c r="EX117" s="10" t="str">
        <f t="shared" si="78"/>
        <v>Total gifts and donated assets</v>
      </c>
    </row>
    <row r="118" spans="1:154" s="323" customFormat="1" ht="6.6" customHeight="1" x14ac:dyDescent="0.25">
      <c r="A118" s="335"/>
      <c r="B118" s="335"/>
      <c r="C118" s="383"/>
      <c r="D118" s="177"/>
      <c r="E118" s="25"/>
      <c r="F118" s="25"/>
      <c r="G118" s="25"/>
      <c r="I118" s="25"/>
      <c r="J118" s="25"/>
      <c r="Q118" s="2"/>
      <c r="R118" s="335"/>
      <c r="S118" s="332"/>
      <c r="T118" s="335"/>
      <c r="U118" s="335"/>
      <c r="V118" s="25"/>
      <c r="W118" s="25"/>
      <c r="X118" s="25"/>
      <c r="Y118" s="25"/>
      <c r="Z118" s="33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335"/>
      <c r="BL118" s="25"/>
      <c r="BM118" s="25"/>
      <c r="BN118" s="25"/>
      <c r="BO118" s="25"/>
      <c r="BP118" s="25"/>
      <c r="BQ118" s="25"/>
      <c r="BR118" s="25"/>
      <c r="BS118" s="25"/>
      <c r="BT118" s="25"/>
      <c r="BU118" s="25"/>
      <c r="BV118" s="25"/>
      <c r="BW118" s="25"/>
      <c r="BY118" s="42"/>
      <c r="BZ118" s="335"/>
      <c r="CA118" s="42"/>
      <c r="CB118" s="335"/>
      <c r="CC118" s="335"/>
      <c r="CD118" s="7"/>
      <c r="CE118" s="7"/>
      <c r="CF118" s="7"/>
      <c r="CG118" s="42"/>
      <c r="CH118" s="335"/>
      <c r="CI118" s="335"/>
      <c r="CJ118" s="335"/>
      <c r="CK118" s="335"/>
      <c r="CL118" s="335"/>
      <c r="CM118" s="335"/>
      <c r="EU118" s="335"/>
      <c r="EX118" s="10" t="str">
        <f t="shared" si="78"/>
        <v/>
      </c>
    </row>
    <row r="119" spans="1:154" s="323" customFormat="1" x14ac:dyDescent="0.25">
      <c r="A119" s="362" cm="1">
        <f t="array" aca="1" ref="A119" ca="1">HYPERLINK(CONCATENATE("#",CELL("address",IF(SUM($CA119:$CG119)=0,A119,INDEX($CA119:$CG119,MATCH(1,$CA119:$CG119,0))))),SUM($CA119:$CG119))</f>
        <v>0</v>
      </c>
      <c r="B119" s="335"/>
      <c r="C119" s="343" t="s">
        <v>1005</v>
      </c>
      <c r="D119" s="433" t="s">
        <v>638</v>
      </c>
      <c r="E119" s="82"/>
      <c r="F119" s="25"/>
      <c r="G119" s="25"/>
      <c r="I119" s="25"/>
      <c r="J119" s="25"/>
      <c r="Q119" s="2"/>
      <c r="R119" s="335"/>
      <c r="S119" s="335"/>
      <c r="T119" s="335"/>
      <c r="U119" s="335"/>
      <c r="V119" s="13">
        <f>V15+V28+V37+V49+V60+V67+V84+V98+V107+V113+V117</f>
        <v>0</v>
      </c>
      <c r="W119" s="13">
        <f>W15+W28+W37+W49+W60+W67+W84+W98+W107+W113+W117</f>
        <v>0</v>
      </c>
      <c r="X119" s="13">
        <f>X15+X28+X37+X49+X60+X67+X84+X98+X107+X113+X117</f>
        <v>0</v>
      </c>
      <c r="Y119" s="13">
        <f>Y15+Y28+Y37+Y49+Y60+Y67+Y84+Y98+Y107+Y113+Y117</f>
        <v>0</v>
      </c>
      <c r="Z119" s="335"/>
      <c r="AA119" s="13">
        <f t="shared" ref="AA119:BJ119" si="132">AA15+AA28+AA37+AA49+AA60+AA67+AA84+AA98+AA107+AA113+AA117</f>
        <v>3502</v>
      </c>
      <c r="AB119" s="13">
        <f t="shared" si="132"/>
        <v>3218</v>
      </c>
      <c r="AC119" s="13">
        <f t="shared" si="132"/>
        <v>2442</v>
      </c>
      <c r="AD119" s="13">
        <f t="shared" si="132"/>
        <v>2215</v>
      </c>
      <c r="AE119" s="13">
        <f t="shared" si="132"/>
        <v>1415</v>
      </c>
      <c r="AF119" s="13">
        <f t="shared" si="132"/>
        <v>1562</v>
      </c>
      <c r="AG119" s="13">
        <f t="shared" si="132"/>
        <v>1382</v>
      </c>
      <c r="AH119" s="13">
        <f t="shared" si="132"/>
        <v>1452</v>
      </c>
      <c r="AI119" s="13">
        <f t="shared" si="132"/>
        <v>3552</v>
      </c>
      <c r="AJ119" s="13">
        <f t="shared" si="132"/>
        <v>2890</v>
      </c>
      <c r="AK119" s="13">
        <f t="shared" si="132"/>
        <v>2871</v>
      </c>
      <c r="AL119" s="13">
        <f t="shared" si="132"/>
        <v>1472</v>
      </c>
      <c r="AM119" s="13">
        <f t="shared" si="132"/>
        <v>3908</v>
      </c>
      <c r="AN119" s="13">
        <f t="shared" si="132"/>
        <v>3275</v>
      </c>
      <c r="AO119" s="13">
        <f t="shared" si="132"/>
        <v>2511</v>
      </c>
      <c r="AP119" s="13">
        <f t="shared" si="132"/>
        <v>2057</v>
      </c>
      <c r="AQ119" s="13">
        <f t="shared" si="132"/>
        <v>1535</v>
      </c>
      <c r="AR119" s="13">
        <f t="shared" si="132"/>
        <v>1786</v>
      </c>
      <c r="AS119" s="13">
        <f t="shared" si="132"/>
        <v>1442</v>
      </c>
      <c r="AT119" s="13">
        <f t="shared" si="132"/>
        <v>1576</v>
      </c>
      <c r="AU119" s="13">
        <f t="shared" si="132"/>
        <v>3985</v>
      </c>
      <c r="AV119" s="13">
        <f t="shared" si="132"/>
        <v>2962</v>
      </c>
      <c r="AW119" s="13">
        <f t="shared" si="132"/>
        <v>2500</v>
      </c>
      <c r="AX119" s="13">
        <f t="shared" si="132"/>
        <v>1596</v>
      </c>
      <c r="AY119" s="13">
        <f t="shared" si="132"/>
        <v>4012.1133333333337</v>
      </c>
      <c r="AZ119" s="13">
        <f t="shared" si="132"/>
        <v>3354.1616666666664</v>
      </c>
      <c r="BA119" s="13">
        <f t="shared" si="132"/>
        <v>2589.2233333333329</v>
      </c>
      <c r="BB119" s="13">
        <f t="shared" si="132"/>
        <v>2120.9016666666666</v>
      </c>
      <c r="BC119" s="13">
        <f t="shared" si="132"/>
        <v>1585.4750000000001</v>
      </c>
      <c r="BD119" s="13">
        <f t="shared" si="132"/>
        <v>1848.2300000000002</v>
      </c>
      <c r="BE119" s="13">
        <f t="shared" si="132"/>
        <v>1490.5483333333334</v>
      </c>
      <c r="BF119" s="13">
        <f t="shared" si="132"/>
        <v>1632.2066666666667</v>
      </c>
      <c r="BG119" s="13">
        <f t="shared" si="132"/>
        <v>4111.9283333333342</v>
      </c>
      <c r="BH119" s="13">
        <f t="shared" si="132"/>
        <v>3085.8633333333337</v>
      </c>
      <c r="BI119" s="13">
        <f t="shared" si="132"/>
        <v>2583.3133333333335</v>
      </c>
      <c r="BJ119" s="13">
        <f t="shared" si="132"/>
        <v>1657.4049999999997</v>
      </c>
      <c r="BK119" s="335"/>
      <c r="BL119" s="13">
        <f t="shared" ref="BL119:BW119" si="133">BL15+BL28+BL37+BL49+BL60+BL67+BL84+BL98+BL107+BL113+BL117</f>
        <v>0</v>
      </c>
      <c r="BM119" s="13">
        <f t="shared" si="133"/>
        <v>27973</v>
      </c>
      <c r="BN119" s="13">
        <f t="shared" si="133"/>
        <v>29133</v>
      </c>
      <c r="BO119" s="13">
        <f t="shared" si="133"/>
        <v>30071.37</v>
      </c>
      <c r="BP119" s="13">
        <f t="shared" si="133"/>
        <v>0</v>
      </c>
      <c r="BQ119" s="13">
        <f t="shared" si="133"/>
        <v>0</v>
      </c>
      <c r="BR119" s="13">
        <f t="shared" si="133"/>
        <v>0</v>
      </c>
      <c r="BS119" s="13">
        <f t="shared" si="133"/>
        <v>0</v>
      </c>
      <c r="BT119" s="13">
        <f t="shared" si="133"/>
        <v>0</v>
      </c>
      <c r="BU119" s="13">
        <f t="shared" si="133"/>
        <v>0</v>
      </c>
      <c r="BV119" s="13">
        <f t="shared" si="133"/>
        <v>0</v>
      </c>
      <c r="BW119" s="13">
        <f t="shared" si="133"/>
        <v>0</v>
      </c>
      <c r="BY119" s="12"/>
      <c r="BZ119" s="363">
        <f ca="1">IF(MIN($V119:$BW119)&lt;0, 1, 0)*$I$7</f>
        <v>0</v>
      </c>
      <c r="CA119" s="12"/>
      <c r="CB119" s="335"/>
      <c r="CC119" s="335"/>
      <c r="CD119" s="7">
        <f>IF(SUM($CH119:$CJ119)=0, 0, 1)</f>
        <v>0</v>
      </c>
      <c r="CE119" s="7">
        <f>IF(SUM($CK119:$CM119)=0, 0, 1)</f>
        <v>0</v>
      </c>
      <c r="CF119" s="7">
        <f>IF(CN119=0, 0, 1)</f>
        <v>0</v>
      </c>
      <c r="CG119" s="12"/>
      <c r="CH119" s="352">
        <f>IF($G119=$G$7, ROUND(W119-SUMIFS($AA119:$BJ119, $AA$3:$BJ$3, W$3), rounding), 0)</f>
        <v>0</v>
      </c>
      <c r="CI119" s="352">
        <f>IF($G119=$G$7, ROUND(X119-SUMIFS($AA119:$BJ119, $AA$3:$BJ$3, X$3), rounding), 0)</f>
        <v>0</v>
      </c>
      <c r="CJ119" s="352">
        <f>IF($G119=$G$7, ROUND(Y119-SUMIFS($AA119:$BJ119, $AA$3:$BJ$3, Y$3), rounding), 0)</f>
        <v>0</v>
      </c>
      <c r="CK119" s="352">
        <f>ROUND($BM119-SUMIFS($AA119:$BJ119, $AA$3:$BJ$3, $BM$3), rounding)</f>
        <v>0</v>
      </c>
      <c r="CL119" s="352">
        <f>ROUND($BN119-SUMIFS($AA119:$BJ119, $AA$3:$BJ$3, $BN$3), rounding)</f>
        <v>0</v>
      </c>
      <c r="CM119" s="352">
        <f>ROUND($BO119-SUMIFS($AA119:$BJ119, $AA$3:$BJ$3, $BO$3), rounding)</f>
        <v>0</v>
      </c>
      <c r="CN119" s="352">
        <f>ROUND($V119-$BL119, rounding)</f>
        <v>0</v>
      </c>
      <c r="EU119" s="335"/>
      <c r="EX119" s="10" t="str">
        <f t="shared" si="78"/>
        <v>Total Operating Income</v>
      </c>
    </row>
    <row r="120" spans="1:154" ht="6.6" customHeight="1" x14ac:dyDescent="0.25">
      <c r="A120" s="335"/>
      <c r="B120" s="335"/>
      <c r="C120" s="383"/>
      <c r="D120" s="177"/>
      <c r="E120" s="25"/>
      <c r="F120" s="25"/>
      <c r="G120" s="25"/>
      <c r="H120" s="335"/>
      <c r="I120" s="25"/>
      <c r="J120" s="25"/>
      <c r="K120" s="335"/>
      <c r="L120" s="335"/>
      <c r="M120" s="335"/>
      <c r="N120" s="335"/>
      <c r="O120" s="335"/>
      <c r="P120" s="335"/>
      <c r="Q120" s="2"/>
      <c r="R120" s="335"/>
      <c r="T120" s="335"/>
      <c r="U120" s="335"/>
      <c r="V120" s="25"/>
      <c r="W120" s="25"/>
      <c r="X120" s="25"/>
      <c r="Y120" s="25"/>
      <c r="Z120" s="33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335"/>
      <c r="BL120" s="25"/>
      <c r="BM120" s="155"/>
      <c r="BN120" s="25"/>
      <c r="BO120" s="25"/>
      <c r="BP120" s="25"/>
      <c r="BQ120" s="25"/>
      <c r="BR120" s="25"/>
      <c r="BS120" s="25"/>
      <c r="BT120" s="25"/>
      <c r="BU120" s="25"/>
      <c r="BV120" s="25"/>
      <c r="BW120" s="25"/>
      <c r="BX120" s="335"/>
      <c r="BY120" s="42"/>
      <c r="BZ120" s="335"/>
      <c r="CA120" s="42"/>
      <c r="CC120" s="335"/>
      <c r="CD120" s="7"/>
      <c r="CE120" s="7"/>
      <c r="CF120" s="7"/>
      <c r="CG120" s="42"/>
      <c r="CM120" s="335"/>
      <c r="CN120" s="335"/>
      <c r="EX120" s="10" t="str">
        <f t="shared" si="78"/>
        <v/>
      </c>
    </row>
    <row r="121" spans="1:154" x14ac:dyDescent="0.25">
      <c r="A121" s="335"/>
      <c r="B121" s="82"/>
      <c r="C121" s="383"/>
      <c r="D121" s="433" t="s">
        <v>2504</v>
      </c>
      <c r="E121" s="82"/>
      <c r="F121" s="25"/>
      <c r="G121" s="25"/>
      <c r="H121" s="335"/>
      <c r="I121" s="25"/>
      <c r="Q121" s="2"/>
      <c r="R121" s="335"/>
      <c r="T121" s="335"/>
      <c r="U121" s="335"/>
      <c r="V121" s="25"/>
      <c r="W121" s="25"/>
      <c r="X121" s="25"/>
      <c r="Y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L121" s="25"/>
      <c r="BM121" s="25"/>
      <c r="BN121" s="25"/>
      <c r="BO121" s="25"/>
      <c r="BP121" s="25"/>
      <c r="BQ121" s="25"/>
      <c r="BR121" s="25"/>
      <c r="BS121" s="25"/>
      <c r="BT121" s="25"/>
      <c r="BU121" s="25"/>
      <c r="BV121" s="25"/>
      <c r="BW121" s="25"/>
      <c r="BY121" s="12"/>
      <c r="BZ121" s="335"/>
      <c r="CA121" s="12"/>
      <c r="CC121" s="335"/>
      <c r="CD121" s="7"/>
      <c r="CE121" s="7"/>
      <c r="CF121" s="7"/>
      <c r="CG121" s="12"/>
      <c r="CM121" s="335"/>
      <c r="EX121" s="10" t="str">
        <f t="shared" si="78"/>
        <v/>
      </c>
    </row>
    <row r="122" spans="1:154" ht="15.75" x14ac:dyDescent="0.3">
      <c r="A122" s="362" cm="1">
        <f t="array" aca="1" ref="A122" ca="1">HYPERLINK(CONCATENATE("#",CELL("address",IF(SUM($CA122:$CG122)=0,A122,INDEX($CA122:$CG122,MATCH(1,$CA122:$CG122,0))))),SUM($CA122:$CG122))</f>
        <v>0</v>
      </c>
      <c r="B122" s="105" t="s">
        <v>335</v>
      </c>
      <c r="C122" s="343" t="s">
        <v>482</v>
      </c>
      <c r="D122" s="194" t="s">
        <v>48</v>
      </c>
      <c r="E122" s="147"/>
      <c r="F122" s="98" t="str" cm="1">
        <f t="array" aca="1" ref="F122" ca="1">IF(E122="", "", HYPERLINK(CONCATENATE("#",CELL("address",INDEX('I&amp;E Profiles'!$D$9:$D$93,'I&amp;E Annual'!I122))),E122))</f>
        <v/>
      </c>
      <c r="G122" s="147" t="s">
        <v>211</v>
      </c>
      <c r="H122" s="162" t="s">
        <v>86</v>
      </c>
      <c r="I122" s="350" t="str">
        <f>IF(E122="", "", MATCH(E122, 'I&amp;E Profiles'!$D$96:$D$180,0))</f>
        <v/>
      </c>
      <c r="J122" s="215">
        <f>IF($G122=$G$7, W122,'I&amp;E Monthly'!W122)-SUMIFS('I&amp;E Monthly'!$AA122:$BJ122, 'I&amp;E Monthly'!$AA$3:$BJ$3, 'I&amp;E Annual'!W$3, 'I&amp;E Monthly'!$AA$4:$BJ$4, 0)</f>
        <v>931</v>
      </c>
      <c r="K122" s="215">
        <f>IF($G122=$G$7, X122,'I&amp;E Monthly'!X122)-SUMIFS('I&amp;E Monthly'!$AA122:$BJ122, 'I&amp;E Monthly'!$AA$3:$BJ$3, 'I&amp;E Annual'!X$3, 'I&amp;E Monthly'!$AA$4:$BJ$4, 0)</f>
        <v>11715</v>
      </c>
      <c r="L122" s="215">
        <f>IF($G122=$G$7, Y122,'I&amp;E Monthly'!Y122)-SUMIFS('I&amp;E Monthly'!$AA122:$BJ122, 'I&amp;E Monthly'!$AA$3:$BJ$3, 'I&amp;E Annual'!Y$3, 'I&amp;E Monthly'!$AA$4:$BJ$4, 0)</f>
        <v>12125.024999999998</v>
      </c>
      <c r="M122" s="335"/>
      <c r="N122" s="335"/>
      <c r="O122" s="335"/>
      <c r="P122" s="335"/>
      <c r="Q122" s="2"/>
      <c r="R122" s="335"/>
      <c r="S122" s="335"/>
      <c r="T122" s="335"/>
      <c r="U122" s="335"/>
      <c r="V122" s="201">
        <f>'I&amp;E Monthly'!V122</f>
        <v>0</v>
      </c>
      <c r="W122" s="372"/>
      <c r="X122" s="198"/>
      <c r="Y122" s="198"/>
      <c r="Z122" s="335"/>
      <c r="AA122" s="153" cm="1">
        <f t="array" ref="AA122">IF(OR(AA$4=0, $G122&lt;&gt; $G$7, $E122=0), 'I&amp;E Monthly'!AA122, CHOOSE(Timeline!AA$30,$J122,$K122,$L122 )*INDEX('I&amp;E Profiles'!AA$96:AA$180,$I122))</f>
        <v>837</v>
      </c>
      <c r="AB122" s="153" cm="1">
        <f t="array" ref="AB122">IF(OR(AB$4=0, $G122&lt;&gt; $G$7, $E122=0), 'I&amp;E Monthly'!AB122, CHOOSE(Timeline!AB$30,$J122,$K122,$L122 )*INDEX('I&amp;E Profiles'!AB$96:AB$180,$I122))</f>
        <v>871</v>
      </c>
      <c r="AC122" s="153" cm="1">
        <f t="array" ref="AC122">IF(OR(AC$4=0, $G122&lt;&gt; $G$7, $E122=0), 'I&amp;E Monthly'!AC122, CHOOSE(Timeline!AC$30,$J122,$K122,$L122 )*INDEX('I&amp;E Profiles'!AC$96:AC$180,$I122))</f>
        <v>936</v>
      </c>
      <c r="AD122" s="153" cm="1">
        <f t="array" ref="AD122">IF(OR(AD$4=0, $G122&lt;&gt; $G$7, $E122=0), 'I&amp;E Monthly'!AD122, CHOOSE(Timeline!AD$30,$J122,$K122,$L122 )*INDEX('I&amp;E Profiles'!AD$96:AD$180,$I122))</f>
        <v>940</v>
      </c>
      <c r="AE122" s="153" cm="1">
        <f t="array" ref="AE122">IF(OR(AE$4=0, $G122&lt;&gt; $G$7, $E122=0), 'I&amp;E Monthly'!AE122, CHOOSE(Timeline!AE$30,$J122,$K122,$L122 )*INDEX('I&amp;E Profiles'!AE$96:AE$180,$I122))</f>
        <v>949</v>
      </c>
      <c r="AF122" s="153" cm="1">
        <f t="array" ref="AF122">IF(OR(AF$4=0, $G122&lt;&gt; $G$7, $E122=0), 'I&amp;E Monthly'!AF122, CHOOSE(Timeline!AF$30,$J122,$K122,$L122 )*INDEX('I&amp;E Profiles'!AF$96:AF$180,$I122))</f>
        <v>941</v>
      </c>
      <c r="AG122" s="153" cm="1">
        <f t="array" ref="AG122">IF(OR(AG$4=0, $G122&lt;&gt; $G$7, $E122=0), 'I&amp;E Monthly'!AG122, CHOOSE(Timeline!AG$30,$J122,$K122,$L122 )*INDEX('I&amp;E Profiles'!AG$96:AG$180,$I122))</f>
        <v>894</v>
      </c>
      <c r="AH122" s="153" cm="1">
        <f t="array" ref="AH122">IF(OR(AH$4=0, $G122&lt;&gt; $G$7, $E122=0), 'I&amp;E Monthly'!AH122, CHOOSE(Timeline!AH$30,$J122,$K122,$L122 )*INDEX('I&amp;E Profiles'!AH$96:AH$180,$I122))</f>
        <v>931</v>
      </c>
      <c r="AI122" s="153" cm="1">
        <f t="array" ref="AI122">IF(OR(AI$4=0, $G122&lt;&gt; $G$7, $E122=0), 'I&amp;E Monthly'!AI122, CHOOSE(Timeline!AI$30,$J122,$K122,$L122 )*INDEX('I&amp;E Profiles'!AI$96:AI$180,$I122))</f>
        <v>1005</v>
      </c>
      <c r="AJ122" s="153" cm="1">
        <f t="array" ref="AJ122">IF(OR(AJ$4=0, $G122&lt;&gt; $G$7, $E122=0), 'I&amp;E Monthly'!AJ122, CHOOSE(Timeline!AJ$30,$J122,$K122,$L122 )*INDEX('I&amp;E Profiles'!AJ$96:AJ$180,$I122))</f>
        <v>955</v>
      </c>
      <c r="AK122" s="153" cm="1">
        <f t="array" ref="AK122">IF(OR(AK$4=0, $G122&lt;&gt; $G$7, $E122=0), 'I&amp;E Monthly'!AK122, CHOOSE(Timeline!AK$30,$J122,$K122,$L122 )*INDEX('I&amp;E Profiles'!AK$96:AK$180,$I122))</f>
        <v>957</v>
      </c>
      <c r="AL122" s="153" cm="1">
        <f t="array" ref="AL122">IF(OR(AL$4=0, $G122&lt;&gt; $G$7, $E122=0), 'I&amp;E Monthly'!AL122, CHOOSE(Timeline!AL$30,$J122,$K122,$L122 )*INDEX('I&amp;E Profiles'!AL$96:AL$180,$I122))</f>
        <v>931</v>
      </c>
      <c r="AM122" s="153" cm="1">
        <f t="array" ref="AM122">IF(OR(AM$4=0, $G122&lt;&gt; $G$7, $E122=0), 'I&amp;E Monthly'!AM122, CHOOSE(Timeline!AM$30,$J122,$K122,$L122 )*INDEX('I&amp;E Profiles'!AM$96:AM$180,$I122))</f>
        <v>887</v>
      </c>
      <c r="AN122" s="153" cm="1">
        <f t="array" ref="AN122">IF(OR(AN$4=0, $G122&lt;&gt; $G$7, $E122=0), 'I&amp;E Monthly'!AN122, CHOOSE(Timeline!AN$30,$J122,$K122,$L122 )*INDEX('I&amp;E Profiles'!AN$96:AN$180,$I122))</f>
        <v>921</v>
      </c>
      <c r="AO122" s="153" cm="1">
        <f t="array" ref="AO122">IF(OR(AO$4=0, $G122&lt;&gt; $G$7, $E122=0), 'I&amp;E Monthly'!AO122, CHOOSE(Timeline!AO$30,$J122,$K122,$L122 )*INDEX('I&amp;E Profiles'!AO$96:AO$180,$I122))</f>
        <v>986</v>
      </c>
      <c r="AP122" s="153" cm="1">
        <f t="array" ref="AP122">IF(OR(AP$4=0, $G122&lt;&gt; $G$7, $E122=0), 'I&amp;E Monthly'!AP122, CHOOSE(Timeline!AP$30,$J122,$K122,$L122 )*INDEX('I&amp;E Profiles'!AP$96:AP$180,$I122))</f>
        <v>990</v>
      </c>
      <c r="AQ122" s="153" cm="1">
        <f t="array" ref="AQ122">IF(OR(AQ$4=0, $G122&lt;&gt; $G$7, $E122=0), 'I&amp;E Monthly'!AQ122, CHOOSE(Timeline!AQ$30,$J122,$K122,$L122 )*INDEX('I&amp;E Profiles'!AQ$96:AQ$180,$I122))</f>
        <v>999</v>
      </c>
      <c r="AR122" s="153" cm="1">
        <f t="array" ref="AR122">IF(OR(AR$4=0, $G122&lt;&gt; $G$7, $E122=0), 'I&amp;E Monthly'!AR122, CHOOSE(Timeline!AR$30,$J122,$K122,$L122 )*INDEX('I&amp;E Profiles'!AR$96:AR$180,$I122))</f>
        <v>991</v>
      </c>
      <c r="AS122" s="153" cm="1">
        <f t="array" ref="AS122">IF(OR(AS$4=0, $G122&lt;&gt; $G$7, $E122=0), 'I&amp;E Monthly'!AS122, CHOOSE(Timeline!AS$30,$J122,$K122,$L122 )*INDEX('I&amp;E Profiles'!AS$96:AS$180,$I122))</f>
        <v>944</v>
      </c>
      <c r="AT122" s="153" cm="1">
        <f t="array" ref="AT122">IF(OR(AT$4=0, $G122&lt;&gt; $G$7, $E122=0), 'I&amp;E Monthly'!AT122, CHOOSE(Timeline!AT$30,$J122,$K122,$L122 )*INDEX('I&amp;E Profiles'!AT$96:AT$180,$I122))</f>
        <v>981</v>
      </c>
      <c r="AU122" s="153" cm="1">
        <f t="array" ref="AU122">IF(OR(AU$4=0, $G122&lt;&gt; $G$7, $E122=0), 'I&amp;E Monthly'!AU122, CHOOSE(Timeline!AU$30,$J122,$K122,$L122 )*INDEX('I&amp;E Profiles'!AU$96:AU$180,$I122))</f>
        <v>1023</v>
      </c>
      <c r="AV122" s="153" cm="1">
        <f t="array" ref="AV122">IF(OR(AV$4=0, $G122&lt;&gt; $G$7, $E122=0), 'I&amp;E Monthly'!AV122, CHOOSE(Timeline!AV$30,$J122,$K122,$L122 )*INDEX('I&amp;E Profiles'!AV$96:AV$180,$I122))</f>
        <v>1005</v>
      </c>
      <c r="AW122" s="153" cm="1">
        <f t="array" ref="AW122">IF(OR(AW$4=0, $G122&lt;&gt; $G$7, $E122=0), 'I&amp;E Monthly'!AW122, CHOOSE(Timeline!AW$30,$J122,$K122,$L122 )*INDEX('I&amp;E Profiles'!AW$96:AW$180,$I122))</f>
        <v>1007</v>
      </c>
      <c r="AX122" s="153" cm="1">
        <f t="array" ref="AX122">IF(OR(AX$4=0, $G122&lt;&gt; $G$7, $E122=0), 'I&amp;E Monthly'!AX122, CHOOSE(Timeline!AX$30,$J122,$K122,$L122 )*INDEX('I&amp;E Profiles'!AX$96:AX$180,$I122))</f>
        <v>981</v>
      </c>
      <c r="AY122" s="153" cm="1">
        <f t="array" ref="AY122">IF(OR(AY$4=0, $G122&lt;&gt; $G$7, $E122=0), 'I&amp;E Monthly'!AY122, CHOOSE(Timeline!AY$30,$J122,$K122,$L122 )*INDEX('I&amp;E Profiles'!AY$96:AY$180,$I122))</f>
        <v>918.04499999999996</v>
      </c>
      <c r="AZ122" s="153" cm="1">
        <f t="array" ref="AZ122">IF(OR(AZ$4=0, $G122&lt;&gt; $G$7, $E122=0), 'I&amp;E Monthly'!AZ122, CHOOSE(Timeline!AZ$30,$J122,$K122,$L122 )*INDEX('I&amp;E Profiles'!AZ$96:AZ$180,$I122))</f>
        <v>953.2349999999999</v>
      </c>
      <c r="BA122" s="153" cm="1">
        <f t="array" ref="BA122">IF(OR(BA$4=0, $G122&lt;&gt; $G$7, $E122=0), 'I&amp;E Monthly'!BA122, CHOOSE(Timeline!BA$30,$J122,$K122,$L122 )*INDEX('I&amp;E Profiles'!BA$96:BA$180,$I122))</f>
        <v>1020.5099999999999</v>
      </c>
      <c r="BB122" s="153" cm="1">
        <f t="array" ref="BB122">IF(OR(BB$4=0, $G122&lt;&gt; $G$7, $E122=0), 'I&amp;E Monthly'!BB122, CHOOSE(Timeline!BB$30,$J122,$K122,$L122 )*INDEX('I&amp;E Profiles'!BB$96:BB$180,$I122))</f>
        <v>1024.6499999999999</v>
      </c>
      <c r="BC122" s="153" cm="1">
        <f t="array" ref="BC122">IF(OR(BC$4=0, $G122&lt;&gt; $G$7, $E122=0), 'I&amp;E Monthly'!BC122, CHOOSE(Timeline!BC$30,$J122,$K122,$L122 )*INDEX('I&amp;E Profiles'!BC$96:BC$180,$I122))</f>
        <v>1033.9649999999999</v>
      </c>
      <c r="BD122" s="153" cm="1">
        <f t="array" ref="BD122">IF(OR(BD$4=0, $G122&lt;&gt; $G$7, $E122=0), 'I&amp;E Monthly'!BD122, CHOOSE(Timeline!BD$30,$J122,$K122,$L122 )*INDEX('I&amp;E Profiles'!BD$96:BD$180,$I122))</f>
        <v>1025.6849999999999</v>
      </c>
      <c r="BE122" s="153" cm="1">
        <f t="array" ref="BE122">IF(OR(BE$4=0, $G122&lt;&gt; $G$7, $E122=0), 'I&amp;E Monthly'!BE122, CHOOSE(Timeline!BE$30,$J122,$K122,$L122 )*INDEX('I&amp;E Profiles'!BE$96:BE$180,$I122))</f>
        <v>977.04</v>
      </c>
      <c r="BF122" s="153" cm="1">
        <f t="array" ref="BF122">IF(OR(BF$4=0, $G122&lt;&gt; $G$7, $E122=0), 'I&amp;E Monthly'!BF122, CHOOSE(Timeline!BF$30,$J122,$K122,$L122 )*INDEX('I&amp;E Profiles'!BF$96:BF$180,$I122))</f>
        <v>1015.3349999999999</v>
      </c>
      <c r="BG122" s="153" cm="1">
        <f t="array" ref="BG122">IF(OR(BG$4=0, $G122&lt;&gt; $G$7, $E122=0), 'I&amp;E Monthly'!BG122, CHOOSE(Timeline!BG$30,$J122,$K122,$L122 )*INDEX('I&amp;E Profiles'!BG$96:BG$180,$I122))</f>
        <v>1058.8049999999998</v>
      </c>
      <c r="BH122" s="153" cm="1">
        <f t="array" ref="BH122">IF(OR(BH$4=0, $G122&lt;&gt; $G$7, $E122=0), 'I&amp;E Monthly'!BH122, CHOOSE(Timeline!BH$30,$J122,$K122,$L122 )*INDEX('I&amp;E Profiles'!BH$96:BH$180,$I122))</f>
        <v>1040.175</v>
      </c>
      <c r="BI122" s="153" cm="1">
        <f t="array" ref="BI122">IF(OR(BI$4=0, $G122&lt;&gt; $G$7, $E122=0), 'I&amp;E Monthly'!BI122, CHOOSE(Timeline!BI$30,$J122,$K122,$L122 )*INDEX('I&amp;E Profiles'!BI$96:BI$180,$I122))</f>
        <v>1042.2449999999999</v>
      </c>
      <c r="BJ122" s="153" cm="1">
        <f t="array" ref="BJ122">IF(OR(BJ$4=0, $G122&lt;&gt; $G$7, $E122=0), 'I&amp;E Monthly'!BJ122, CHOOSE(Timeline!BJ$30,$J122,$K122,$L122 )*INDEX('I&amp;E Profiles'!BJ$96:BJ$180,$I122))</f>
        <v>1015.3349999999999</v>
      </c>
      <c r="BK122" s="335"/>
      <c r="BL122" s="13">
        <f t="shared" ref="BL122:BL129" si="134">V122</f>
        <v>0</v>
      </c>
      <c r="BM122" s="153">
        <f t="shared" ref="BM122:BO129" si="135">SUMIFS($AA122:$BJ122, $AA$3:$BJ$3,BM$3)</f>
        <v>11147</v>
      </c>
      <c r="BN122" s="153">
        <f t="shared" si="135"/>
        <v>11715</v>
      </c>
      <c r="BO122" s="153">
        <f t="shared" si="135"/>
        <v>12125.024999999998</v>
      </c>
      <c r="BP122" s="13">
        <f>'I&amp;E Monthly'!BP122</f>
        <v>0</v>
      </c>
      <c r="BQ122" s="13">
        <f>'I&amp;E Monthly'!BQ122</f>
        <v>0</v>
      </c>
      <c r="BR122" s="13">
        <f>'I&amp;E Monthly'!BR122</f>
        <v>0</v>
      </c>
      <c r="BS122" s="13">
        <f>'I&amp;E Monthly'!BS122</f>
        <v>0</v>
      </c>
      <c r="BT122" s="13">
        <f>'I&amp;E Monthly'!BT122</f>
        <v>0</v>
      </c>
      <c r="BU122" s="13">
        <f>'I&amp;E Monthly'!BU122</f>
        <v>0</v>
      </c>
      <c r="BV122" s="13">
        <f>'I&amp;E Monthly'!BV122</f>
        <v>0</v>
      </c>
      <c r="BW122" s="13">
        <f>'I&amp;E Monthly'!BW122</f>
        <v>0</v>
      </c>
      <c r="BX122" s="335"/>
      <c r="BY122" s="12"/>
      <c r="BZ122" s="363">
        <f t="shared" ref="BZ122:BZ129" ca="1" si="136">IF(MIN($V122:$BW122)&lt;0, 1, 0)*$I$7</f>
        <v>0</v>
      </c>
      <c r="CA122" s="12"/>
      <c r="CB122" s="7">
        <f t="shared" ref="CB122:CB129" si="137">IF(AND($G122=$G$7,$E122=""), 1, 0)</f>
        <v>0</v>
      </c>
      <c r="CC122" s="188" cm="1">
        <f t="array" ref="CC122">IF(E122="",0, IF(_xlfn.IFNA(INDEX('I&amp;E Profiles'!$D$96:$D$180, $I122), "N/A")="N/A", 1, 0))</f>
        <v>0</v>
      </c>
      <c r="CD122" s="7">
        <f t="shared" ref="CD122:CD134" si="138">IF(SUM($CH122:$CJ122)=0, 0, 1)</f>
        <v>0</v>
      </c>
      <c r="CE122" s="7">
        <f t="shared" ref="CE122:CE134" si="139">IF(SUM($CK122:$CM122)=0, 0, 1)</f>
        <v>0</v>
      </c>
      <c r="CF122" s="7">
        <f t="shared" ref="CF122:CF134" si="140">IF(CN122=0, 0, 1)</f>
        <v>0</v>
      </c>
      <c r="CG122" s="12"/>
      <c r="CH122" s="352">
        <f t="shared" ref="CH122:CH134" si="141">IF($G122=$G$7, ROUND(W122-SUMIFS($AA122:$BJ122, $AA$3:$BJ$3, W$3), rounding), 0)</f>
        <v>0</v>
      </c>
      <c r="CI122" s="352">
        <f t="shared" ref="CI122:CI134" si="142">IF($G122=$G$7, ROUND(X122-SUMIFS($AA122:$BJ122, $AA$3:$BJ$3, X$3), rounding), 0)</f>
        <v>0</v>
      </c>
      <c r="CJ122" s="352">
        <f t="shared" ref="CJ122:CJ134" si="143">IF($G122=$G$7, ROUND(Y122-SUMIFS($AA122:$BJ122, $AA$3:$BJ$3, Y$3), rounding), 0)</f>
        <v>0</v>
      </c>
      <c r="CK122" s="352">
        <f t="shared" ref="CK122:CK134" si="144">ROUND($BM122-SUMIFS($AA122:$BJ122, $AA$3:$BJ$3, $BM$3), rounding)</f>
        <v>0</v>
      </c>
      <c r="CL122" s="352">
        <f t="shared" ref="CL122:CL134" si="145">ROUND($BN122-SUMIFS($AA122:$BJ122, $AA$3:$BJ$3, $BN$3), rounding)</f>
        <v>0</v>
      </c>
      <c r="CM122" s="352">
        <f t="shared" ref="CM122:CM134" si="146">ROUND($BO122-SUMIFS($AA122:$BJ122, $AA$3:$BJ$3, $BO$3), rounding)</f>
        <v>0</v>
      </c>
      <c r="CN122" s="352">
        <f t="shared" ref="CN122:CN134" si="147">ROUND($V122-$BL122, rounding)</f>
        <v>0</v>
      </c>
      <c r="EX122" s="10" t="str">
        <f t="shared" si="78"/>
        <v>Teaching staff</v>
      </c>
    </row>
    <row r="123" spans="1:154" ht="15.75" x14ac:dyDescent="0.3">
      <c r="A123" s="362" cm="1">
        <f t="array" aca="1" ref="A123" ca="1">HYPERLINK(CONCATENATE("#",CELL("address",IF(SUM($CA123:$CG123)=0,A123,INDEX($CA123:$CG123,MATCH(1,$CA123:$CG123,0))))),SUM($CA123:$CG123))</f>
        <v>0</v>
      </c>
      <c r="B123" s="105" t="s">
        <v>335</v>
      </c>
      <c r="C123" s="343" t="s">
        <v>483</v>
      </c>
      <c r="D123" s="194" t="s">
        <v>49</v>
      </c>
      <c r="E123" s="147"/>
      <c r="F123" s="98" t="str" cm="1">
        <f t="array" aca="1" ref="F123" ca="1">IF(E123="", "", HYPERLINK(CONCATENATE("#",CELL("address",INDEX('I&amp;E Profiles'!$D$9:$D$93,'I&amp;E Annual'!I123))),E123))</f>
        <v/>
      </c>
      <c r="G123" s="147" t="s">
        <v>211</v>
      </c>
      <c r="H123" s="162" t="s">
        <v>86</v>
      </c>
      <c r="I123" s="350" t="str">
        <f>IF(E123="", "", MATCH(E123, 'I&amp;E Profiles'!$D$96:$D$180,0))</f>
        <v/>
      </c>
      <c r="J123" s="215">
        <f>IF($G123=$G$7, W123,'I&amp;E Monthly'!W123)-SUMIFS('I&amp;E Monthly'!$AA123:$BJ123, 'I&amp;E Monthly'!$AA$3:$BJ$3, 'I&amp;E Annual'!W$3, 'I&amp;E Monthly'!$AA$4:$BJ$4, 0)</f>
        <v>0</v>
      </c>
      <c r="K123" s="215">
        <f>IF($G123=$G$7, X123,'I&amp;E Monthly'!X123)-SUMIFS('I&amp;E Monthly'!$AA123:$BJ123, 'I&amp;E Monthly'!$AA$3:$BJ$3, 'I&amp;E Annual'!X$3, 'I&amp;E Monthly'!$AA$4:$BJ$4, 0)</f>
        <v>0</v>
      </c>
      <c r="L123" s="215">
        <f>IF($G123=$G$7, Y123,'I&amp;E Monthly'!Y123)-SUMIFS('I&amp;E Monthly'!$AA123:$BJ123, 'I&amp;E Monthly'!$AA$3:$BJ$3, 'I&amp;E Annual'!Y$3, 'I&amp;E Monthly'!$AA$4:$BJ$4, 0)</f>
        <v>0</v>
      </c>
      <c r="M123" s="335"/>
      <c r="N123" s="335"/>
      <c r="O123" s="335"/>
      <c r="P123" s="335"/>
      <c r="Q123" s="2"/>
      <c r="R123" s="335"/>
      <c r="S123" s="335"/>
      <c r="T123" s="335"/>
      <c r="U123" s="335"/>
      <c r="V123" s="215">
        <f>'I&amp;E Monthly'!V123</f>
        <v>0</v>
      </c>
      <c r="W123" s="147"/>
      <c r="X123" s="227"/>
      <c r="Y123" s="227"/>
      <c r="Z123" s="335"/>
      <c r="AA123" s="153" cm="1">
        <f t="array" ref="AA123">IF(OR(AA$4=0, $G123&lt;&gt; $G$7, $E123=0), 'I&amp;E Monthly'!AA123, CHOOSE(Timeline!AA$30,$J123,$K123,$L123 )*INDEX('I&amp;E Profiles'!AA$96:AA$180,$I123))</f>
        <v>0</v>
      </c>
      <c r="AB123" s="153" cm="1">
        <f t="array" ref="AB123">IF(OR(AB$4=0, $G123&lt;&gt; $G$7, $E123=0), 'I&amp;E Monthly'!AB123, CHOOSE(Timeline!AB$30,$J123,$K123,$L123 )*INDEX('I&amp;E Profiles'!AB$96:AB$180,$I123))</f>
        <v>0</v>
      </c>
      <c r="AC123" s="153" cm="1">
        <f t="array" ref="AC123">IF(OR(AC$4=0, $G123&lt;&gt; $G$7, $E123=0), 'I&amp;E Monthly'!AC123, CHOOSE(Timeline!AC$30,$J123,$K123,$L123 )*INDEX('I&amp;E Profiles'!AC$96:AC$180,$I123))</f>
        <v>0</v>
      </c>
      <c r="AD123" s="153" cm="1">
        <f t="array" ref="AD123">IF(OR(AD$4=0, $G123&lt;&gt; $G$7, $E123=0), 'I&amp;E Monthly'!AD123, CHOOSE(Timeline!AD$30,$J123,$K123,$L123 )*INDEX('I&amp;E Profiles'!AD$96:AD$180,$I123))</f>
        <v>0</v>
      </c>
      <c r="AE123" s="153" cm="1">
        <f t="array" ref="AE123">IF(OR(AE$4=0, $G123&lt;&gt; $G$7, $E123=0), 'I&amp;E Monthly'!AE123, CHOOSE(Timeline!AE$30,$J123,$K123,$L123 )*INDEX('I&amp;E Profiles'!AE$96:AE$180,$I123))</f>
        <v>0</v>
      </c>
      <c r="AF123" s="153" cm="1">
        <f t="array" ref="AF123">IF(OR(AF$4=0, $G123&lt;&gt; $G$7, $E123=0), 'I&amp;E Monthly'!AF123, CHOOSE(Timeline!AF$30,$J123,$K123,$L123 )*INDEX('I&amp;E Profiles'!AF$96:AF$180,$I123))</f>
        <v>0</v>
      </c>
      <c r="AG123" s="153" cm="1">
        <f t="array" ref="AG123">IF(OR(AG$4=0, $G123&lt;&gt; $G$7, $E123=0), 'I&amp;E Monthly'!AG123, CHOOSE(Timeline!AG$30,$J123,$K123,$L123 )*INDEX('I&amp;E Profiles'!AG$96:AG$180,$I123))</f>
        <v>0</v>
      </c>
      <c r="AH123" s="153" cm="1">
        <f t="array" ref="AH123">IF(OR(AH$4=0, $G123&lt;&gt; $G$7, $E123=0), 'I&amp;E Monthly'!AH123, CHOOSE(Timeline!AH$30,$J123,$K123,$L123 )*INDEX('I&amp;E Profiles'!AH$96:AH$180,$I123))</f>
        <v>0</v>
      </c>
      <c r="AI123" s="153" cm="1">
        <f t="array" ref="AI123">IF(OR(AI$4=0, $G123&lt;&gt; $G$7, $E123=0), 'I&amp;E Monthly'!AI123, CHOOSE(Timeline!AI$30,$J123,$K123,$L123 )*INDEX('I&amp;E Profiles'!AI$96:AI$180,$I123))</f>
        <v>0</v>
      </c>
      <c r="AJ123" s="153" cm="1">
        <f t="array" ref="AJ123">IF(OR(AJ$4=0, $G123&lt;&gt; $G$7, $E123=0), 'I&amp;E Monthly'!AJ123, CHOOSE(Timeline!AJ$30,$J123,$K123,$L123 )*INDEX('I&amp;E Profiles'!AJ$96:AJ$180,$I123))</f>
        <v>0</v>
      </c>
      <c r="AK123" s="153" cm="1">
        <f t="array" ref="AK123">IF(OR(AK$4=0, $G123&lt;&gt; $G$7, $E123=0), 'I&amp;E Monthly'!AK123, CHOOSE(Timeline!AK$30,$J123,$K123,$L123 )*INDEX('I&amp;E Profiles'!AK$96:AK$180,$I123))</f>
        <v>0</v>
      </c>
      <c r="AL123" s="153" cm="1">
        <f t="array" ref="AL123">IF(OR(AL$4=0, $G123&lt;&gt; $G$7, $E123=0), 'I&amp;E Monthly'!AL123, CHOOSE(Timeline!AL$30,$J123,$K123,$L123 )*INDEX('I&amp;E Profiles'!AL$96:AL$180,$I123))</f>
        <v>0</v>
      </c>
      <c r="AM123" s="153" cm="1">
        <f t="array" ref="AM123">IF(OR(AM$4=0, $G123&lt;&gt; $G$7, $E123=0), 'I&amp;E Monthly'!AM123, CHOOSE(Timeline!AM$30,$J123,$K123,$L123 )*INDEX('I&amp;E Profiles'!AM$96:AM$180,$I123))</f>
        <v>0</v>
      </c>
      <c r="AN123" s="153" cm="1">
        <f t="array" ref="AN123">IF(OR(AN$4=0, $G123&lt;&gt; $G$7, $E123=0), 'I&amp;E Monthly'!AN123, CHOOSE(Timeline!AN$30,$J123,$K123,$L123 )*INDEX('I&amp;E Profiles'!AN$96:AN$180,$I123))</f>
        <v>0</v>
      </c>
      <c r="AO123" s="153" cm="1">
        <f t="array" ref="AO123">IF(OR(AO$4=0, $G123&lt;&gt; $G$7, $E123=0), 'I&amp;E Monthly'!AO123, CHOOSE(Timeline!AO$30,$J123,$K123,$L123 )*INDEX('I&amp;E Profiles'!AO$96:AO$180,$I123))</f>
        <v>0</v>
      </c>
      <c r="AP123" s="153" cm="1">
        <f t="array" ref="AP123">IF(OR(AP$4=0, $G123&lt;&gt; $G$7, $E123=0), 'I&amp;E Monthly'!AP123, CHOOSE(Timeline!AP$30,$J123,$K123,$L123 )*INDEX('I&amp;E Profiles'!AP$96:AP$180,$I123))</f>
        <v>0</v>
      </c>
      <c r="AQ123" s="153" cm="1">
        <f t="array" ref="AQ123">IF(OR(AQ$4=0, $G123&lt;&gt; $G$7, $E123=0), 'I&amp;E Monthly'!AQ123, CHOOSE(Timeline!AQ$30,$J123,$K123,$L123 )*INDEX('I&amp;E Profiles'!AQ$96:AQ$180,$I123))</f>
        <v>0</v>
      </c>
      <c r="AR123" s="153" cm="1">
        <f t="array" ref="AR123">IF(OR(AR$4=0, $G123&lt;&gt; $G$7, $E123=0), 'I&amp;E Monthly'!AR123, CHOOSE(Timeline!AR$30,$J123,$K123,$L123 )*INDEX('I&amp;E Profiles'!AR$96:AR$180,$I123))</f>
        <v>0</v>
      </c>
      <c r="AS123" s="153" cm="1">
        <f t="array" ref="AS123">IF(OR(AS$4=0, $G123&lt;&gt; $G$7, $E123=0), 'I&amp;E Monthly'!AS123, CHOOSE(Timeline!AS$30,$J123,$K123,$L123 )*INDEX('I&amp;E Profiles'!AS$96:AS$180,$I123))</f>
        <v>0</v>
      </c>
      <c r="AT123" s="153" cm="1">
        <f t="array" ref="AT123">IF(OR(AT$4=0, $G123&lt;&gt; $G$7, $E123=0), 'I&amp;E Monthly'!AT123, CHOOSE(Timeline!AT$30,$J123,$K123,$L123 )*INDEX('I&amp;E Profiles'!AT$96:AT$180,$I123))</f>
        <v>0</v>
      </c>
      <c r="AU123" s="153" cm="1">
        <f t="array" ref="AU123">IF(OR(AU$4=0, $G123&lt;&gt; $G$7, $E123=0), 'I&amp;E Monthly'!AU123, CHOOSE(Timeline!AU$30,$J123,$K123,$L123 )*INDEX('I&amp;E Profiles'!AU$96:AU$180,$I123))</f>
        <v>0</v>
      </c>
      <c r="AV123" s="153" cm="1">
        <f t="array" ref="AV123">IF(OR(AV$4=0, $G123&lt;&gt; $G$7, $E123=0), 'I&amp;E Monthly'!AV123, CHOOSE(Timeline!AV$30,$J123,$K123,$L123 )*INDEX('I&amp;E Profiles'!AV$96:AV$180,$I123))</f>
        <v>0</v>
      </c>
      <c r="AW123" s="153" cm="1">
        <f t="array" ref="AW123">IF(OR(AW$4=0, $G123&lt;&gt; $G$7, $E123=0), 'I&amp;E Monthly'!AW123, CHOOSE(Timeline!AW$30,$J123,$K123,$L123 )*INDEX('I&amp;E Profiles'!AW$96:AW$180,$I123))</f>
        <v>0</v>
      </c>
      <c r="AX123" s="153" cm="1">
        <f t="array" ref="AX123">IF(OR(AX$4=0, $G123&lt;&gt; $G$7, $E123=0), 'I&amp;E Monthly'!AX123, CHOOSE(Timeline!AX$30,$J123,$K123,$L123 )*INDEX('I&amp;E Profiles'!AX$96:AX$180,$I123))</f>
        <v>0</v>
      </c>
      <c r="AY123" s="153" cm="1">
        <f t="array" ref="AY123">IF(OR(AY$4=0, $G123&lt;&gt; $G$7, $E123=0), 'I&amp;E Monthly'!AY123, CHOOSE(Timeline!AY$30,$J123,$K123,$L123 )*INDEX('I&amp;E Profiles'!AY$96:AY$180,$I123))</f>
        <v>0</v>
      </c>
      <c r="AZ123" s="153" cm="1">
        <f t="array" ref="AZ123">IF(OR(AZ$4=0, $G123&lt;&gt; $G$7, $E123=0), 'I&amp;E Monthly'!AZ123, CHOOSE(Timeline!AZ$30,$J123,$K123,$L123 )*INDEX('I&amp;E Profiles'!AZ$96:AZ$180,$I123))</f>
        <v>0</v>
      </c>
      <c r="BA123" s="153" cm="1">
        <f t="array" ref="BA123">IF(OR(BA$4=0, $G123&lt;&gt; $G$7, $E123=0), 'I&amp;E Monthly'!BA123, CHOOSE(Timeline!BA$30,$J123,$K123,$L123 )*INDEX('I&amp;E Profiles'!BA$96:BA$180,$I123))</f>
        <v>0</v>
      </c>
      <c r="BB123" s="153" cm="1">
        <f t="array" ref="BB123">IF(OR(BB$4=0, $G123&lt;&gt; $G$7, $E123=0), 'I&amp;E Monthly'!BB123, CHOOSE(Timeline!BB$30,$J123,$K123,$L123 )*INDEX('I&amp;E Profiles'!BB$96:BB$180,$I123))</f>
        <v>0</v>
      </c>
      <c r="BC123" s="153" cm="1">
        <f t="array" ref="BC123">IF(OR(BC$4=0, $G123&lt;&gt; $G$7, $E123=0), 'I&amp;E Monthly'!BC123, CHOOSE(Timeline!BC$30,$J123,$K123,$L123 )*INDEX('I&amp;E Profiles'!BC$96:BC$180,$I123))</f>
        <v>0</v>
      </c>
      <c r="BD123" s="153" cm="1">
        <f t="array" ref="BD123">IF(OR(BD$4=0, $G123&lt;&gt; $G$7, $E123=0), 'I&amp;E Monthly'!BD123, CHOOSE(Timeline!BD$30,$J123,$K123,$L123 )*INDEX('I&amp;E Profiles'!BD$96:BD$180,$I123))</f>
        <v>0</v>
      </c>
      <c r="BE123" s="153" cm="1">
        <f t="array" ref="BE123">IF(OR(BE$4=0, $G123&lt;&gt; $G$7, $E123=0), 'I&amp;E Monthly'!BE123, CHOOSE(Timeline!BE$30,$J123,$K123,$L123 )*INDEX('I&amp;E Profiles'!BE$96:BE$180,$I123))</f>
        <v>0</v>
      </c>
      <c r="BF123" s="153" cm="1">
        <f t="array" ref="BF123">IF(OR(BF$4=0, $G123&lt;&gt; $G$7, $E123=0), 'I&amp;E Monthly'!BF123, CHOOSE(Timeline!BF$30,$J123,$K123,$L123 )*INDEX('I&amp;E Profiles'!BF$96:BF$180,$I123))</f>
        <v>0</v>
      </c>
      <c r="BG123" s="153" cm="1">
        <f t="array" ref="BG123">IF(OR(BG$4=0, $G123&lt;&gt; $G$7, $E123=0), 'I&amp;E Monthly'!BG123, CHOOSE(Timeline!BG$30,$J123,$K123,$L123 )*INDEX('I&amp;E Profiles'!BG$96:BG$180,$I123))</f>
        <v>0</v>
      </c>
      <c r="BH123" s="153" cm="1">
        <f t="array" ref="BH123">IF(OR(BH$4=0, $G123&lt;&gt; $G$7, $E123=0), 'I&amp;E Monthly'!BH123, CHOOSE(Timeline!BH$30,$J123,$K123,$L123 )*INDEX('I&amp;E Profiles'!BH$96:BH$180,$I123))</f>
        <v>0</v>
      </c>
      <c r="BI123" s="153" cm="1">
        <f t="array" ref="BI123">IF(OR(BI$4=0, $G123&lt;&gt; $G$7, $E123=0), 'I&amp;E Monthly'!BI123, CHOOSE(Timeline!BI$30,$J123,$K123,$L123 )*INDEX('I&amp;E Profiles'!BI$96:BI$180,$I123))</f>
        <v>0</v>
      </c>
      <c r="BJ123" s="153" cm="1">
        <f t="array" ref="BJ123">IF(OR(BJ$4=0, $G123&lt;&gt; $G$7, $E123=0), 'I&amp;E Monthly'!BJ123, CHOOSE(Timeline!BJ$30,$J123,$K123,$L123 )*INDEX('I&amp;E Profiles'!BJ$96:BJ$180,$I123))</f>
        <v>0</v>
      </c>
      <c r="BK123" s="335"/>
      <c r="BL123" s="152">
        <f t="shared" si="134"/>
        <v>0</v>
      </c>
      <c r="BM123" s="153">
        <f t="shared" si="135"/>
        <v>0</v>
      </c>
      <c r="BN123" s="153">
        <f t="shared" si="135"/>
        <v>0</v>
      </c>
      <c r="BO123" s="153">
        <f t="shared" si="135"/>
        <v>0</v>
      </c>
      <c r="BP123" s="152">
        <f>'I&amp;E Monthly'!BP123</f>
        <v>0</v>
      </c>
      <c r="BQ123" s="152">
        <f>'I&amp;E Monthly'!BQ123</f>
        <v>0</v>
      </c>
      <c r="BR123" s="152">
        <f>'I&amp;E Monthly'!BR123</f>
        <v>0</v>
      </c>
      <c r="BS123" s="152">
        <f>'I&amp;E Monthly'!BS123</f>
        <v>0</v>
      </c>
      <c r="BT123" s="152">
        <f>'I&amp;E Monthly'!BT123</f>
        <v>0</v>
      </c>
      <c r="BU123" s="152">
        <f>'I&amp;E Monthly'!BU123</f>
        <v>0</v>
      </c>
      <c r="BV123" s="152">
        <f>'I&amp;E Monthly'!BV123</f>
        <v>0</v>
      </c>
      <c r="BW123" s="152">
        <f>'I&amp;E Monthly'!BW123</f>
        <v>0</v>
      </c>
      <c r="BX123" s="335"/>
      <c r="BY123" s="12"/>
      <c r="BZ123" s="363">
        <f t="shared" ca="1" si="136"/>
        <v>0</v>
      </c>
      <c r="CA123" s="12"/>
      <c r="CB123" s="7">
        <f t="shared" si="137"/>
        <v>0</v>
      </c>
      <c r="CC123" s="188" cm="1">
        <f t="array" ref="CC123">IF(E123="",0, IF(_xlfn.IFNA(INDEX('I&amp;E Profiles'!$D$96:$D$180, $I123), "N/A")="N/A", 1, 0))</f>
        <v>0</v>
      </c>
      <c r="CD123" s="7">
        <f t="shared" si="138"/>
        <v>0</v>
      </c>
      <c r="CE123" s="7">
        <f t="shared" si="139"/>
        <v>0</v>
      </c>
      <c r="CF123" s="7">
        <f t="shared" si="140"/>
        <v>0</v>
      </c>
      <c r="CG123" s="12"/>
      <c r="CH123" s="352">
        <f t="shared" si="141"/>
        <v>0</v>
      </c>
      <c r="CI123" s="352">
        <f t="shared" si="142"/>
        <v>0</v>
      </c>
      <c r="CJ123" s="352">
        <f t="shared" si="143"/>
        <v>0</v>
      </c>
      <c r="CK123" s="352">
        <f t="shared" si="144"/>
        <v>0</v>
      </c>
      <c r="CL123" s="352">
        <f t="shared" si="145"/>
        <v>0</v>
      </c>
      <c r="CM123" s="352">
        <f t="shared" si="146"/>
        <v>0</v>
      </c>
      <c r="CN123" s="352">
        <f t="shared" si="147"/>
        <v>0</v>
      </c>
      <c r="EX123" s="10" t="str">
        <f t="shared" si="78"/>
        <v>Contracted tuition services</v>
      </c>
    </row>
    <row r="124" spans="1:154" ht="15.75" x14ac:dyDescent="0.3">
      <c r="A124" s="362" cm="1">
        <f t="array" aca="1" ref="A124" ca="1">HYPERLINK(CONCATENATE("#",CELL("address",IF(SUM($CA124:$CG124)=0,A124,INDEX($CA124:$CG124,MATCH(1,$CA124:$CG124,0))))),SUM($CA124:$CG124))</f>
        <v>0</v>
      </c>
      <c r="B124" s="105" t="s">
        <v>335</v>
      </c>
      <c r="C124" s="343" t="s">
        <v>484</v>
      </c>
      <c r="D124" s="194" t="s">
        <v>50</v>
      </c>
      <c r="E124" s="147"/>
      <c r="F124" s="98" t="str" cm="1">
        <f t="array" aca="1" ref="F124" ca="1">IF(E124="", "", HYPERLINK(CONCATENATE("#",CELL("address",INDEX('I&amp;E Profiles'!$D$9:$D$93,'I&amp;E Annual'!I124))),E124))</f>
        <v/>
      </c>
      <c r="G124" s="147" t="s">
        <v>211</v>
      </c>
      <c r="H124" s="162" t="s">
        <v>86</v>
      </c>
      <c r="I124" s="350" t="str">
        <f>IF(E124="", "", MATCH(E124, 'I&amp;E Profiles'!$D$96:$D$180,0))</f>
        <v/>
      </c>
      <c r="J124" s="215">
        <f>IF($G124=$G$7, W124,'I&amp;E Monthly'!W124)-SUMIFS('I&amp;E Monthly'!$AA124:$BJ124, 'I&amp;E Monthly'!$AA$3:$BJ$3, 'I&amp;E Annual'!W$3, 'I&amp;E Monthly'!$AA$4:$BJ$4, 0)</f>
        <v>205</v>
      </c>
      <c r="K124" s="215">
        <f>IF($G124=$G$7, X124,'I&amp;E Monthly'!X124)-SUMIFS('I&amp;E Monthly'!$AA124:$BJ124, 'I&amp;E Monthly'!$AA$3:$BJ$3, 'I&amp;E Annual'!X$3, 'I&amp;E Monthly'!$AA$4:$BJ$4, 0)</f>
        <v>2368</v>
      </c>
      <c r="L124" s="215">
        <f>IF($G124=$G$7, Y124,'I&amp;E Monthly'!Y124)-SUMIFS('I&amp;E Monthly'!$AA124:$BJ124, 'I&amp;E Monthly'!$AA$3:$BJ$3, 'I&amp;E Annual'!Y$3, 'I&amp;E Monthly'!$AA$4:$BJ$4, 0)</f>
        <v>2462.7199999999998</v>
      </c>
      <c r="M124" s="335"/>
      <c r="N124" s="335"/>
      <c r="O124" s="335"/>
      <c r="P124" s="335"/>
      <c r="Q124" s="2"/>
      <c r="R124" s="335"/>
      <c r="S124" s="335"/>
      <c r="T124" s="335"/>
      <c r="U124" s="335"/>
      <c r="V124" s="215">
        <f>'I&amp;E Monthly'!V124</f>
        <v>0</v>
      </c>
      <c r="W124" s="147"/>
      <c r="X124" s="227"/>
      <c r="Y124" s="227"/>
      <c r="Z124" s="335"/>
      <c r="AA124" s="153" cm="1">
        <f t="array" ref="AA124">IF(OR(AA$4=0, $G124&lt;&gt; $G$7, $E124=0), 'I&amp;E Monthly'!AA124, CHOOSE(Timeline!AA$30,$J124,$K124,$L124 )*INDEX('I&amp;E Profiles'!AA$96:AA$180,$I124))</f>
        <v>179</v>
      </c>
      <c r="AB124" s="153" cm="1">
        <f t="array" ref="AB124">IF(OR(AB$4=0, $G124&lt;&gt; $G$7, $E124=0), 'I&amp;E Monthly'!AB124, CHOOSE(Timeline!AB$30,$J124,$K124,$L124 )*INDEX('I&amp;E Profiles'!AB$96:AB$180,$I124))</f>
        <v>181</v>
      </c>
      <c r="AC124" s="153" cm="1">
        <f t="array" ref="AC124">IF(OR(AC$4=0, $G124&lt;&gt; $G$7, $E124=0), 'I&amp;E Monthly'!AC124, CHOOSE(Timeline!AC$30,$J124,$K124,$L124 )*INDEX('I&amp;E Profiles'!AC$96:AC$180,$I124))</f>
        <v>206</v>
      </c>
      <c r="AD124" s="153" cm="1">
        <f t="array" ref="AD124">IF(OR(AD$4=0, $G124&lt;&gt; $G$7, $E124=0), 'I&amp;E Monthly'!AD124, CHOOSE(Timeline!AD$30,$J124,$K124,$L124 )*INDEX('I&amp;E Profiles'!AD$96:AD$180,$I124))</f>
        <v>191</v>
      </c>
      <c r="AE124" s="153" cm="1">
        <f t="array" ref="AE124">IF(OR(AE$4=0, $G124&lt;&gt; $G$7, $E124=0), 'I&amp;E Monthly'!AE124, CHOOSE(Timeline!AE$30,$J124,$K124,$L124 )*INDEX('I&amp;E Profiles'!AE$96:AE$180,$I124))</f>
        <v>206</v>
      </c>
      <c r="AF124" s="153" cm="1">
        <f t="array" ref="AF124">IF(OR(AF$4=0, $G124&lt;&gt; $G$7, $E124=0), 'I&amp;E Monthly'!AF124, CHOOSE(Timeline!AF$30,$J124,$K124,$L124 )*INDEX('I&amp;E Profiles'!AF$96:AF$180,$I124))</f>
        <v>197</v>
      </c>
      <c r="AG124" s="153" cm="1">
        <f t="array" ref="AG124">IF(OR(AG$4=0, $G124&lt;&gt; $G$7, $E124=0), 'I&amp;E Monthly'!AG124, CHOOSE(Timeline!AG$30,$J124,$K124,$L124 )*INDEX('I&amp;E Profiles'!AG$96:AG$180,$I124))</f>
        <v>199</v>
      </c>
      <c r="AH124" s="153" cm="1">
        <f t="array" ref="AH124">IF(OR(AH$4=0, $G124&lt;&gt; $G$7, $E124=0), 'I&amp;E Monthly'!AH124, CHOOSE(Timeline!AH$30,$J124,$K124,$L124 )*INDEX('I&amp;E Profiles'!AH$96:AH$180,$I124))</f>
        <v>194</v>
      </c>
      <c r="AI124" s="153" cm="1">
        <f t="array" ref="AI124">IF(OR(AI$4=0, $G124&lt;&gt; $G$7, $E124=0), 'I&amp;E Monthly'!AI124, CHOOSE(Timeline!AI$30,$J124,$K124,$L124 )*INDEX('I&amp;E Profiles'!AI$96:AI$180,$I124))</f>
        <v>217</v>
      </c>
      <c r="AJ124" s="153" cm="1">
        <f t="array" ref="AJ124">IF(OR(AJ$4=0, $G124&lt;&gt; $G$7, $E124=0), 'I&amp;E Monthly'!AJ124, CHOOSE(Timeline!AJ$30,$J124,$K124,$L124 )*INDEX('I&amp;E Profiles'!AJ$96:AJ$180,$I124))</f>
        <v>188</v>
      </c>
      <c r="AK124" s="153" cm="1">
        <f t="array" ref="AK124">IF(OR(AK$4=0, $G124&lt;&gt; $G$7, $E124=0), 'I&amp;E Monthly'!AK124, CHOOSE(Timeline!AK$30,$J124,$K124,$L124 )*INDEX('I&amp;E Profiles'!AK$96:AK$180,$I124))</f>
        <v>205</v>
      </c>
      <c r="AL124" s="153" cm="1">
        <f t="array" ref="AL124">IF(OR(AL$4=0, $G124&lt;&gt; $G$7, $E124=0), 'I&amp;E Monthly'!AL124, CHOOSE(Timeline!AL$30,$J124,$K124,$L124 )*INDEX('I&amp;E Profiles'!AL$96:AL$180,$I124))</f>
        <v>205</v>
      </c>
      <c r="AM124" s="153" cm="1">
        <f t="array" ref="AM124">IF(OR(AM$4=0, $G124&lt;&gt; $G$7, $E124=0), 'I&amp;E Monthly'!AM124, CHOOSE(Timeline!AM$30,$J124,$K124,$L124 )*INDEX('I&amp;E Profiles'!AM$96:AM$180,$I124))</f>
        <v>179</v>
      </c>
      <c r="AN124" s="153" cm="1">
        <f t="array" ref="AN124">IF(OR(AN$4=0, $G124&lt;&gt; $G$7, $E124=0), 'I&amp;E Monthly'!AN124, CHOOSE(Timeline!AN$30,$J124,$K124,$L124 )*INDEX('I&amp;E Profiles'!AN$96:AN$180,$I124))</f>
        <v>181</v>
      </c>
      <c r="AO124" s="153" cm="1">
        <f t="array" ref="AO124">IF(OR(AO$4=0, $G124&lt;&gt; $G$7, $E124=0), 'I&amp;E Monthly'!AO124, CHOOSE(Timeline!AO$30,$J124,$K124,$L124 )*INDEX('I&amp;E Profiles'!AO$96:AO$180,$I124))</f>
        <v>206</v>
      </c>
      <c r="AP124" s="153" cm="1">
        <f t="array" ref="AP124">IF(OR(AP$4=0, $G124&lt;&gt; $G$7, $E124=0), 'I&amp;E Monthly'!AP124, CHOOSE(Timeline!AP$30,$J124,$K124,$L124 )*INDEX('I&amp;E Profiles'!AP$96:AP$180,$I124))</f>
        <v>191</v>
      </c>
      <c r="AQ124" s="153" cm="1">
        <f t="array" ref="AQ124">IF(OR(AQ$4=0, $G124&lt;&gt; $G$7, $E124=0), 'I&amp;E Monthly'!AQ124, CHOOSE(Timeline!AQ$30,$J124,$K124,$L124 )*INDEX('I&amp;E Profiles'!AQ$96:AQ$180,$I124))</f>
        <v>206</v>
      </c>
      <c r="AR124" s="153" cm="1">
        <f t="array" ref="AR124">IF(OR(AR$4=0, $G124&lt;&gt; $G$7, $E124=0), 'I&amp;E Monthly'!AR124, CHOOSE(Timeline!AR$30,$J124,$K124,$L124 )*INDEX('I&amp;E Profiles'!AR$96:AR$180,$I124))</f>
        <v>197</v>
      </c>
      <c r="AS124" s="153" cm="1">
        <f t="array" ref="AS124">IF(OR(AS$4=0, $G124&lt;&gt; $G$7, $E124=0), 'I&amp;E Monthly'!AS124, CHOOSE(Timeline!AS$30,$J124,$K124,$L124 )*INDEX('I&amp;E Profiles'!AS$96:AS$180,$I124))</f>
        <v>199</v>
      </c>
      <c r="AT124" s="153" cm="1">
        <f t="array" ref="AT124">IF(OR(AT$4=0, $G124&lt;&gt; $G$7, $E124=0), 'I&amp;E Monthly'!AT124, CHOOSE(Timeline!AT$30,$J124,$K124,$L124 )*INDEX('I&amp;E Profiles'!AT$96:AT$180,$I124))</f>
        <v>194</v>
      </c>
      <c r="AU124" s="153" cm="1">
        <f t="array" ref="AU124">IF(OR(AU$4=0, $G124&lt;&gt; $G$7, $E124=0), 'I&amp;E Monthly'!AU124, CHOOSE(Timeline!AU$30,$J124,$K124,$L124 )*INDEX('I&amp;E Profiles'!AU$96:AU$180,$I124))</f>
        <v>217</v>
      </c>
      <c r="AV124" s="153" cm="1">
        <f t="array" ref="AV124">IF(OR(AV$4=0, $G124&lt;&gt; $G$7, $E124=0), 'I&amp;E Monthly'!AV124, CHOOSE(Timeline!AV$30,$J124,$K124,$L124 )*INDEX('I&amp;E Profiles'!AV$96:AV$180,$I124))</f>
        <v>188</v>
      </c>
      <c r="AW124" s="153" cm="1">
        <f t="array" ref="AW124">IF(OR(AW$4=0, $G124&lt;&gt; $G$7, $E124=0), 'I&amp;E Monthly'!AW124, CHOOSE(Timeline!AW$30,$J124,$K124,$L124 )*INDEX('I&amp;E Profiles'!AW$96:AW$180,$I124))</f>
        <v>205</v>
      </c>
      <c r="AX124" s="153" cm="1">
        <f t="array" ref="AX124">IF(OR(AX$4=0, $G124&lt;&gt; $G$7, $E124=0), 'I&amp;E Monthly'!AX124, CHOOSE(Timeline!AX$30,$J124,$K124,$L124 )*INDEX('I&amp;E Profiles'!AX$96:AX$180,$I124))</f>
        <v>205</v>
      </c>
      <c r="AY124" s="153" cm="1">
        <f t="array" ref="AY124">IF(OR(AY$4=0, $G124&lt;&gt; $G$7, $E124=0), 'I&amp;E Monthly'!AY124, CHOOSE(Timeline!AY$30,$J124,$K124,$L124 )*INDEX('I&amp;E Profiles'!AY$96:AY$180,$I124))</f>
        <v>186.16</v>
      </c>
      <c r="AZ124" s="153" cm="1">
        <f t="array" ref="AZ124">IF(OR(AZ$4=0, $G124&lt;&gt; $G$7, $E124=0), 'I&amp;E Monthly'!AZ124, CHOOSE(Timeline!AZ$30,$J124,$K124,$L124 )*INDEX('I&amp;E Profiles'!AZ$96:AZ$180,$I124))</f>
        <v>188.24</v>
      </c>
      <c r="BA124" s="153" cm="1">
        <f t="array" ref="BA124">IF(OR(BA$4=0, $G124&lt;&gt; $G$7, $E124=0), 'I&amp;E Monthly'!BA124, CHOOSE(Timeline!BA$30,$J124,$K124,$L124 )*INDEX('I&amp;E Profiles'!BA$96:BA$180,$I124))</f>
        <v>214.24</v>
      </c>
      <c r="BB124" s="153" cm="1">
        <f t="array" ref="BB124">IF(OR(BB$4=0, $G124&lt;&gt; $G$7, $E124=0), 'I&amp;E Monthly'!BB124, CHOOSE(Timeline!BB$30,$J124,$K124,$L124 )*INDEX('I&amp;E Profiles'!BB$96:BB$180,$I124))</f>
        <v>198.64000000000001</v>
      </c>
      <c r="BC124" s="153" cm="1">
        <f t="array" ref="BC124">IF(OR(BC$4=0, $G124&lt;&gt; $G$7, $E124=0), 'I&amp;E Monthly'!BC124, CHOOSE(Timeline!BC$30,$J124,$K124,$L124 )*INDEX('I&amp;E Profiles'!BC$96:BC$180,$I124))</f>
        <v>214.24</v>
      </c>
      <c r="BD124" s="153" cm="1">
        <f t="array" ref="BD124">IF(OR(BD$4=0, $G124&lt;&gt; $G$7, $E124=0), 'I&amp;E Monthly'!BD124, CHOOSE(Timeline!BD$30,$J124,$K124,$L124 )*INDEX('I&amp;E Profiles'!BD$96:BD$180,$I124))</f>
        <v>204.88</v>
      </c>
      <c r="BE124" s="153" cm="1">
        <f t="array" ref="BE124">IF(OR(BE$4=0, $G124&lt;&gt; $G$7, $E124=0), 'I&amp;E Monthly'!BE124, CHOOSE(Timeline!BE$30,$J124,$K124,$L124 )*INDEX('I&amp;E Profiles'!BE$96:BE$180,$I124))</f>
        <v>206.96</v>
      </c>
      <c r="BF124" s="153" cm="1">
        <f t="array" ref="BF124">IF(OR(BF$4=0, $G124&lt;&gt; $G$7, $E124=0), 'I&amp;E Monthly'!BF124, CHOOSE(Timeline!BF$30,$J124,$K124,$L124 )*INDEX('I&amp;E Profiles'!BF$96:BF$180,$I124))</f>
        <v>201.76000000000002</v>
      </c>
      <c r="BG124" s="153" cm="1">
        <f t="array" ref="BG124">IF(OR(BG$4=0, $G124&lt;&gt; $G$7, $E124=0), 'I&amp;E Monthly'!BG124, CHOOSE(Timeline!BG$30,$J124,$K124,$L124 )*INDEX('I&amp;E Profiles'!BG$96:BG$180,$I124))</f>
        <v>225.68</v>
      </c>
      <c r="BH124" s="153" cm="1">
        <f t="array" ref="BH124">IF(OR(BH$4=0, $G124&lt;&gt; $G$7, $E124=0), 'I&amp;E Monthly'!BH124, CHOOSE(Timeline!BH$30,$J124,$K124,$L124 )*INDEX('I&amp;E Profiles'!BH$96:BH$180,$I124))</f>
        <v>195.52</v>
      </c>
      <c r="BI124" s="153" cm="1">
        <f t="array" ref="BI124">IF(OR(BI$4=0, $G124&lt;&gt; $G$7, $E124=0), 'I&amp;E Monthly'!BI124, CHOOSE(Timeline!BI$30,$J124,$K124,$L124 )*INDEX('I&amp;E Profiles'!BI$96:BI$180,$I124))</f>
        <v>213.20000000000002</v>
      </c>
      <c r="BJ124" s="153" cm="1">
        <f t="array" ref="BJ124">IF(OR(BJ$4=0, $G124&lt;&gt; $G$7, $E124=0), 'I&amp;E Monthly'!BJ124, CHOOSE(Timeline!BJ$30,$J124,$K124,$L124 )*INDEX('I&amp;E Profiles'!BJ$96:BJ$180,$I124))</f>
        <v>213.20000000000002</v>
      </c>
      <c r="BK124" s="335"/>
      <c r="BL124" s="152">
        <f t="shared" si="134"/>
        <v>0</v>
      </c>
      <c r="BM124" s="153">
        <f t="shared" si="135"/>
        <v>2368</v>
      </c>
      <c r="BN124" s="153">
        <f t="shared" si="135"/>
        <v>2368</v>
      </c>
      <c r="BO124" s="153">
        <f t="shared" si="135"/>
        <v>2462.7199999999998</v>
      </c>
      <c r="BP124" s="152">
        <f>'I&amp;E Monthly'!BP124</f>
        <v>0</v>
      </c>
      <c r="BQ124" s="152">
        <f>'I&amp;E Monthly'!BQ124</f>
        <v>0</v>
      </c>
      <c r="BR124" s="152">
        <f>'I&amp;E Monthly'!BR124</f>
        <v>0</v>
      </c>
      <c r="BS124" s="152">
        <f>'I&amp;E Monthly'!BS124</f>
        <v>0</v>
      </c>
      <c r="BT124" s="152">
        <f>'I&amp;E Monthly'!BT124</f>
        <v>0</v>
      </c>
      <c r="BU124" s="152">
        <f>'I&amp;E Monthly'!BU124</f>
        <v>0</v>
      </c>
      <c r="BV124" s="152">
        <f>'I&amp;E Monthly'!BV124</f>
        <v>0</v>
      </c>
      <c r="BW124" s="152">
        <f>'I&amp;E Monthly'!BW124</f>
        <v>0</v>
      </c>
      <c r="BX124" s="335"/>
      <c r="BY124" s="12"/>
      <c r="BZ124" s="363">
        <f t="shared" ca="1" si="136"/>
        <v>0</v>
      </c>
      <c r="CA124" s="12"/>
      <c r="CB124" s="7">
        <f t="shared" si="137"/>
        <v>0</v>
      </c>
      <c r="CC124" s="188" cm="1">
        <f t="array" ref="CC124">IF(E124="",0, IF(_xlfn.IFNA(INDEX('I&amp;E Profiles'!$D$96:$D$180, $I124), "N/A")="N/A", 1, 0))</f>
        <v>0</v>
      </c>
      <c r="CD124" s="7">
        <f t="shared" si="138"/>
        <v>0</v>
      </c>
      <c r="CE124" s="7">
        <f t="shared" si="139"/>
        <v>0</v>
      </c>
      <c r="CF124" s="7">
        <f t="shared" si="140"/>
        <v>0</v>
      </c>
      <c r="CG124" s="12"/>
      <c r="CH124" s="352">
        <f t="shared" si="141"/>
        <v>0</v>
      </c>
      <c r="CI124" s="352">
        <f t="shared" si="142"/>
        <v>0</v>
      </c>
      <c r="CJ124" s="352">
        <f t="shared" si="143"/>
        <v>0</v>
      </c>
      <c r="CK124" s="352">
        <f t="shared" si="144"/>
        <v>0</v>
      </c>
      <c r="CL124" s="352">
        <f t="shared" si="145"/>
        <v>0</v>
      </c>
      <c r="CM124" s="352">
        <f t="shared" si="146"/>
        <v>0</v>
      </c>
      <c r="CN124" s="352">
        <f t="shared" si="147"/>
        <v>0</v>
      </c>
      <c r="EX124" s="10" t="str">
        <f t="shared" si="78"/>
        <v>Teaching and other support staff</v>
      </c>
    </row>
    <row r="125" spans="1:154" ht="15.75" x14ac:dyDescent="0.3">
      <c r="A125" s="362" cm="1">
        <f t="array" aca="1" ref="A125" ca="1">HYPERLINK(CONCATENATE("#",CELL("address",IF(SUM($CA125:$CG125)=0,A125,INDEX($CA125:$CG125,MATCH(1,$CA125:$CG125,0))))),SUM($CA125:$CG125))</f>
        <v>0</v>
      </c>
      <c r="B125" s="105" t="s">
        <v>335</v>
      </c>
      <c r="C125" s="343" t="s">
        <v>485</v>
      </c>
      <c r="D125" s="194" t="s">
        <v>51</v>
      </c>
      <c r="E125" s="147"/>
      <c r="F125" s="98" t="str" cm="1">
        <f t="array" aca="1" ref="F125" ca="1">IF(E125="", "", HYPERLINK(CONCATENATE("#",CELL("address",INDEX('I&amp;E Profiles'!$D$9:$D$93,'I&amp;E Annual'!I125))),E125))</f>
        <v/>
      </c>
      <c r="G125" s="147" t="s">
        <v>211</v>
      </c>
      <c r="H125" s="162" t="s">
        <v>86</v>
      </c>
      <c r="I125" s="350" t="str">
        <f>IF(E125="", "", MATCH(E125, 'I&amp;E Profiles'!$D$96:$D$180,0))</f>
        <v/>
      </c>
      <c r="J125" s="215">
        <f>IF($G125=$G$7, W125,'I&amp;E Monthly'!W125)-SUMIFS('I&amp;E Monthly'!$AA125:$BJ125, 'I&amp;E Monthly'!$AA$3:$BJ$3, 'I&amp;E Annual'!W$3, 'I&amp;E Monthly'!$AA$4:$BJ$4, 0)</f>
        <v>225</v>
      </c>
      <c r="K125" s="215">
        <f>IF($G125=$G$7, X125,'I&amp;E Monthly'!X125)-SUMIFS('I&amp;E Monthly'!$AA125:$BJ125, 'I&amp;E Monthly'!$AA$3:$BJ$3, 'I&amp;E Annual'!X$3, 'I&amp;E Monthly'!$AA$4:$BJ$4, 0)</f>
        <v>2701</v>
      </c>
      <c r="L125" s="215">
        <f>IF($G125=$G$7, Y125,'I&amp;E Monthly'!Y125)-SUMIFS('I&amp;E Monthly'!$AA125:$BJ125, 'I&amp;E Monthly'!$AA$3:$BJ$3, 'I&amp;E Annual'!Y$3, 'I&amp;E Monthly'!$AA$4:$BJ$4, 0)</f>
        <v>2755.02</v>
      </c>
      <c r="M125" s="335"/>
      <c r="N125" s="335"/>
      <c r="O125" s="335"/>
      <c r="P125" s="335"/>
      <c r="Q125" s="2"/>
      <c r="R125" s="335"/>
      <c r="S125" s="335"/>
      <c r="T125" s="335"/>
      <c r="U125" s="335"/>
      <c r="V125" s="215">
        <f>'I&amp;E Monthly'!V125</f>
        <v>0</v>
      </c>
      <c r="W125" s="147"/>
      <c r="X125" s="227"/>
      <c r="Y125" s="227"/>
      <c r="Z125" s="335"/>
      <c r="AA125" s="153" cm="1">
        <f t="array" ref="AA125">IF(OR(AA$4=0, $G125&lt;&gt; $G$7, $E125=0), 'I&amp;E Monthly'!AA125, CHOOSE(Timeline!AA$30,$J125,$K125,$L125 )*INDEX('I&amp;E Profiles'!AA$96:AA$180,$I125))</f>
        <v>219</v>
      </c>
      <c r="AB125" s="153" cm="1">
        <f t="array" ref="AB125">IF(OR(AB$4=0, $G125&lt;&gt; $G$7, $E125=0), 'I&amp;E Monthly'!AB125, CHOOSE(Timeline!AB$30,$J125,$K125,$L125 )*INDEX('I&amp;E Profiles'!AB$96:AB$180,$I125))</f>
        <v>211</v>
      </c>
      <c r="AC125" s="153" cm="1">
        <f t="array" ref="AC125">IF(OR(AC$4=0, $G125&lt;&gt; $G$7, $E125=0), 'I&amp;E Monthly'!AC125, CHOOSE(Timeline!AC$30,$J125,$K125,$L125 )*INDEX('I&amp;E Profiles'!AC$96:AC$180,$I125))</f>
        <v>219</v>
      </c>
      <c r="AD125" s="153" cm="1">
        <f t="array" ref="AD125">IF(OR(AD$4=0, $G125&lt;&gt; $G$7, $E125=0), 'I&amp;E Monthly'!AD125, CHOOSE(Timeline!AD$30,$J125,$K125,$L125 )*INDEX('I&amp;E Profiles'!AD$96:AD$180,$I125))</f>
        <v>221</v>
      </c>
      <c r="AE125" s="153" cm="1">
        <f t="array" ref="AE125">IF(OR(AE$4=0, $G125&lt;&gt; $G$7, $E125=0), 'I&amp;E Monthly'!AE125, CHOOSE(Timeline!AE$30,$J125,$K125,$L125 )*INDEX('I&amp;E Profiles'!AE$96:AE$180,$I125))</f>
        <v>231</v>
      </c>
      <c r="AF125" s="153" cm="1">
        <f t="array" ref="AF125">IF(OR(AF$4=0, $G125&lt;&gt; $G$7, $E125=0), 'I&amp;E Monthly'!AF125, CHOOSE(Timeline!AF$30,$J125,$K125,$L125 )*INDEX('I&amp;E Profiles'!AF$96:AF$180,$I125))</f>
        <v>232</v>
      </c>
      <c r="AG125" s="153" cm="1">
        <f t="array" ref="AG125">IF(OR(AG$4=0, $G125&lt;&gt; $G$7, $E125=0), 'I&amp;E Monthly'!AG125, CHOOSE(Timeline!AG$30,$J125,$K125,$L125 )*INDEX('I&amp;E Profiles'!AG$96:AG$180,$I125))</f>
        <v>232</v>
      </c>
      <c r="AH125" s="153" cm="1">
        <f t="array" ref="AH125">IF(OR(AH$4=0, $G125&lt;&gt; $G$7, $E125=0), 'I&amp;E Monthly'!AH125, CHOOSE(Timeline!AH$30,$J125,$K125,$L125 )*INDEX('I&amp;E Profiles'!AH$96:AH$180,$I125))</f>
        <v>226</v>
      </c>
      <c r="AI125" s="153" cm="1">
        <f t="array" ref="AI125">IF(OR(AI$4=0, $G125&lt;&gt; $G$7, $E125=0), 'I&amp;E Monthly'!AI125, CHOOSE(Timeline!AI$30,$J125,$K125,$L125 )*INDEX('I&amp;E Profiles'!AI$96:AI$180,$I125))</f>
        <v>235</v>
      </c>
      <c r="AJ125" s="153" cm="1">
        <f t="array" ref="AJ125">IF(OR(AJ$4=0, $G125&lt;&gt; $G$7, $E125=0), 'I&amp;E Monthly'!AJ125, CHOOSE(Timeline!AJ$30,$J125,$K125,$L125 )*INDEX('I&amp;E Profiles'!AJ$96:AJ$180,$I125))</f>
        <v>225</v>
      </c>
      <c r="AK125" s="153" cm="1">
        <f t="array" ref="AK125">IF(OR(AK$4=0, $G125&lt;&gt; $G$7, $E125=0), 'I&amp;E Monthly'!AK125, CHOOSE(Timeline!AK$30,$J125,$K125,$L125 )*INDEX('I&amp;E Profiles'!AK$96:AK$180,$I125))</f>
        <v>225</v>
      </c>
      <c r="AL125" s="153" cm="1">
        <f t="array" ref="AL125">IF(OR(AL$4=0, $G125&lt;&gt; $G$7, $E125=0), 'I&amp;E Monthly'!AL125, CHOOSE(Timeline!AL$30,$J125,$K125,$L125 )*INDEX('I&amp;E Profiles'!AL$96:AL$180,$I125))</f>
        <v>225</v>
      </c>
      <c r="AM125" s="153" cm="1">
        <f t="array" ref="AM125">IF(OR(AM$4=0, $G125&lt;&gt; $G$7, $E125=0), 'I&amp;E Monthly'!AM125, CHOOSE(Timeline!AM$30,$J125,$K125,$L125 )*INDEX('I&amp;E Profiles'!AM$96:AM$180,$I125))</f>
        <v>219</v>
      </c>
      <c r="AN125" s="153" cm="1">
        <f t="array" ref="AN125">IF(OR(AN$4=0, $G125&lt;&gt; $G$7, $E125=0), 'I&amp;E Monthly'!AN125, CHOOSE(Timeline!AN$30,$J125,$K125,$L125 )*INDEX('I&amp;E Profiles'!AN$96:AN$180,$I125))</f>
        <v>211</v>
      </c>
      <c r="AO125" s="153" cm="1">
        <f t="array" ref="AO125">IF(OR(AO$4=0, $G125&lt;&gt; $G$7, $E125=0), 'I&amp;E Monthly'!AO125, CHOOSE(Timeline!AO$30,$J125,$K125,$L125 )*INDEX('I&amp;E Profiles'!AO$96:AO$180,$I125))</f>
        <v>219</v>
      </c>
      <c r="AP125" s="153" cm="1">
        <f t="array" ref="AP125">IF(OR(AP$4=0, $G125&lt;&gt; $G$7, $E125=0), 'I&amp;E Monthly'!AP125, CHOOSE(Timeline!AP$30,$J125,$K125,$L125 )*INDEX('I&amp;E Profiles'!AP$96:AP$180,$I125))</f>
        <v>221</v>
      </c>
      <c r="AQ125" s="153" cm="1">
        <f t="array" ref="AQ125">IF(OR(AQ$4=0, $G125&lt;&gt; $G$7, $E125=0), 'I&amp;E Monthly'!AQ125, CHOOSE(Timeline!AQ$30,$J125,$K125,$L125 )*INDEX('I&amp;E Profiles'!AQ$96:AQ$180,$I125))</f>
        <v>231</v>
      </c>
      <c r="AR125" s="153" cm="1">
        <f t="array" ref="AR125">IF(OR(AR$4=0, $G125&lt;&gt; $G$7, $E125=0), 'I&amp;E Monthly'!AR125, CHOOSE(Timeline!AR$30,$J125,$K125,$L125 )*INDEX('I&amp;E Profiles'!AR$96:AR$180,$I125))</f>
        <v>232</v>
      </c>
      <c r="AS125" s="153" cm="1">
        <f t="array" ref="AS125">IF(OR(AS$4=0, $G125&lt;&gt; $G$7, $E125=0), 'I&amp;E Monthly'!AS125, CHOOSE(Timeline!AS$30,$J125,$K125,$L125 )*INDEX('I&amp;E Profiles'!AS$96:AS$180,$I125))</f>
        <v>232</v>
      </c>
      <c r="AT125" s="153" cm="1">
        <f t="array" ref="AT125">IF(OR(AT$4=0, $G125&lt;&gt; $G$7, $E125=0), 'I&amp;E Monthly'!AT125, CHOOSE(Timeline!AT$30,$J125,$K125,$L125 )*INDEX('I&amp;E Profiles'!AT$96:AT$180,$I125))</f>
        <v>226</v>
      </c>
      <c r="AU125" s="153" cm="1">
        <f t="array" ref="AU125">IF(OR(AU$4=0, $G125&lt;&gt; $G$7, $E125=0), 'I&amp;E Monthly'!AU125, CHOOSE(Timeline!AU$30,$J125,$K125,$L125 )*INDEX('I&amp;E Profiles'!AU$96:AU$180,$I125))</f>
        <v>235</v>
      </c>
      <c r="AV125" s="153" cm="1">
        <f t="array" ref="AV125">IF(OR(AV$4=0, $G125&lt;&gt; $G$7, $E125=0), 'I&amp;E Monthly'!AV125, CHOOSE(Timeline!AV$30,$J125,$K125,$L125 )*INDEX('I&amp;E Profiles'!AV$96:AV$180,$I125))</f>
        <v>225</v>
      </c>
      <c r="AW125" s="153" cm="1">
        <f t="array" ref="AW125">IF(OR(AW$4=0, $G125&lt;&gt; $G$7, $E125=0), 'I&amp;E Monthly'!AW125, CHOOSE(Timeline!AW$30,$J125,$K125,$L125 )*INDEX('I&amp;E Profiles'!AW$96:AW$180,$I125))</f>
        <v>225</v>
      </c>
      <c r="AX125" s="153" cm="1">
        <f t="array" ref="AX125">IF(OR(AX$4=0, $G125&lt;&gt; $G$7, $E125=0), 'I&amp;E Monthly'!AX125, CHOOSE(Timeline!AX$30,$J125,$K125,$L125 )*INDEX('I&amp;E Profiles'!AX$96:AX$180,$I125))</f>
        <v>225</v>
      </c>
      <c r="AY125" s="153" cm="1">
        <f t="array" ref="AY125">IF(OR(AY$4=0, $G125&lt;&gt; $G$7, $E125=0), 'I&amp;E Monthly'!AY125, CHOOSE(Timeline!AY$30,$J125,$K125,$L125 )*INDEX('I&amp;E Profiles'!AY$96:AY$180,$I125))</f>
        <v>223.38</v>
      </c>
      <c r="AZ125" s="153" cm="1">
        <f t="array" ref="AZ125">IF(OR(AZ$4=0, $G125&lt;&gt; $G$7, $E125=0), 'I&amp;E Monthly'!AZ125, CHOOSE(Timeline!AZ$30,$J125,$K125,$L125 )*INDEX('I&amp;E Profiles'!AZ$96:AZ$180,$I125))</f>
        <v>215.22</v>
      </c>
      <c r="BA125" s="153" cm="1">
        <f t="array" ref="BA125">IF(OR(BA$4=0, $G125&lt;&gt; $G$7, $E125=0), 'I&amp;E Monthly'!BA125, CHOOSE(Timeline!BA$30,$J125,$K125,$L125 )*INDEX('I&amp;E Profiles'!BA$96:BA$180,$I125))</f>
        <v>223.38</v>
      </c>
      <c r="BB125" s="153" cm="1">
        <f t="array" ref="BB125">IF(OR(BB$4=0, $G125&lt;&gt; $G$7, $E125=0), 'I&amp;E Monthly'!BB125, CHOOSE(Timeline!BB$30,$J125,$K125,$L125 )*INDEX('I&amp;E Profiles'!BB$96:BB$180,$I125))</f>
        <v>225.42000000000002</v>
      </c>
      <c r="BC125" s="153" cm="1">
        <f t="array" ref="BC125">IF(OR(BC$4=0, $G125&lt;&gt; $G$7, $E125=0), 'I&amp;E Monthly'!BC125, CHOOSE(Timeline!BC$30,$J125,$K125,$L125 )*INDEX('I&amp;E Profiles'!BC$96:BC$180,$I125))</f>
        <v>235.62</v>
      </c>
      <c r="BD125" s="153" cm="1">
        <f t="array" ref="BD125">IF(OR(BD$4=0, $G125&lt;&gt; $G$7, $E125=0), 'I&amp;E Monthly'!BD125, CHOOSE(Timeline!BD$30,$J125,$K125,$L125 )*INDEX('I&amp;E Profiles'!BD$96:BD$180,$I125))</f>
        <v>236.64000000000001</v>
      </c>
      <c r="BE125" s="153" cm="1">
        <f t="array" ref="BE125">IF(OR(BE$4=0, $G125&lt;&gt; $G$7, $E125=0), 'I&amp;E Monthly'!BE125, CHOOSE(Timeline!BE$30,$J125,$K125,$L125 )*INDEX('I&amp;E Profiles'!BE$96:BE$180,$I125))</f>
        <v>236.64000000000001</v>
      </c>
      <c r="BF125" s="153" cm="1">
        <f t="array" ref="BF125">IF(OR(BF$4=0, $G125&lt;&gt; $G$7, $E125=0), 'I&amp;E Monthly'!BF125, CHOOSE(Timeline!BF$30,$J125,$K125,$L125 )*INDEX('I&amp;E Profiles'!BF$96:BF$180,$I125))</f>
        <v>230.52</v>
      </c>
      <c r="BG125" s="153" cm="1">
        <f t="array" ref="BG125">IF(OR(BG$4=0, $G125&lt;&gt; $G$7, $E125=0), 'I&amp;E Monthly'!BG125, CHOOSE(Timeline!BG$30,$J125,$K125,$L125 )*INDEX('I&amp;E Profiles'!BG$96:BG$180,$I125))</f>
        <v>239.70000000000002</v>
      </c>
      <c r="BH125" s="153" cm="1">
        <f t="array" ref="BH125">IF(OR(BH$4=0, $G125&lt;&gt; $G$7, $E125=0), 'I&amp;E Monthly'!BH125, CHOOSE(Timeline!BH$30,$J125,$K125,$L125 )*INDEX('I&amp;E Profiles'!BH$96:BH$180,$I125))</f>
        <v>229.5</v>
      </c>
      <c r="BI125" s="153" cm="1">
        <f t="array" ref="BI125">IF(OR(BI$4=0, $G125&lt;&gt; $G$7, $E125=0), 'I&amp;E Monthly'!BI125, CHOOSE(Timeline!BI$30,$J125,$K125,$L125 )*INDEX('I&amp;E Profiles'!BI$96:BI$180,$I125))</f>
        <v>229.5</v>
      </c>
      <c r="BJ125" s="153" cm="1">
        <f t="array" ref="BJ125">IF(OR(BJ$4=0, $G125&lt;&gt; $G$7, $E125=0), 'I&amp;E Monthly'!BJ125, CHOOSE(Timeline!BJ$30,$J125,$K125,$L125 )*INDEX('I&amp;E Profiles'!BJ$96:BJ$180,$I125))</f>
        <v>229.5</v>
      </c>
      <c r="BK125" s="335"/>
      <c r="BL125" s="152">
        <f t="shared" si="134"/>
        <v>0</v>
      </c>
      <c r="BM125" s="153">
        <f t="shared" si="135"/>
        <v>2701</v>
      </c>
      <c r="BN125" s="153">
        <f t="shared" si="135"/>
        <v>2701</v>
      </c>
      <c r="BO125" s="153">
        <f t="shared" si="135"/>
        <v>2755.02</v>
      </c>
      <c r="BP125" s="152">
        <f>'I&amp;E Monthly'!BP125</f>
        <v>0</v>
      </c>
      <c r="BQ125" s="152">
        <f>'I&amp;E Monthly'!BQ125</f>
        <v>0</v>
      </c>
      <c r="BR125" s="152">
        <f>'I&amp;E Monthly'!BR125</f>
        <v>0</v>
      </c>
      <c r="BS125" s="152">
        <f>'I&amp;E Monthly'!BS125</f>
        <v>0</v>
      </c>
      <c r="BT125" s="152">
        <f>'I&amp;E Monthly'!BT125</f>
        <v>0</v>
      </c>
      <c r="BU125" s="152">
        <f>'I&amp;E Monthly'!BU125</f>
        <v>0</v>
      </c>
      <c r="BV125" s="152">
        <f>'I&amp;E Monthly'!BV125</f>
        <v>0</v>
      </c>
      <c r="BW125" s="152">
        <f>'I&amp;E Monthly'!BW125</f>
        <v>0</v>
      </c>
      <c r="BX125" s="335"/>
      <c r="BY125" s="12"/>
      <c r="BZ125" s="363">
        <f t="shared" ca="1" si="136"/>
        <v>0</v>
      </c>
      <c r="CA125" s="12"/>
      <c r="CB125" s="7">
        <f t="shared" si="137"/>
        <v>0</v>
      </c>
      <c r="CC125" s="188" cm="1">
        <f t="array" ref="CC125">IF(E125="",0, IF(_xlfn.IFNA(INDEX('I&amp;E Profiles'!$D$96:$D$180, $I125), "N/A")="N/A", 1, 0))</f>
        <v>0</v>
      </c>
      <c r="CD125" s="7">
        <f t="shared" si="138"/>
        <v>0</v>
      </c>
      <c r="CE125" s="7">
        <f t="shared" si="139"/>
        <v>0</v>
      </c>
      <c r="CF125" s="7">
        <f t="shared" si="140"/>
        <v>0</v>
      </c>
      <c r="CG125" s="12"/>
      <c r="CH125" s="352">
        <f t="shared" si="141"/>
        <v>0</v>
      </c>
      <c r="CI125" s="352">
        <f t="shared" si="142"/>
        <v>0</v>
      </c>
      <c r="CJ125" s="352">
        <f t="shared" si="143"/>
        <v>0</v>
      </c>
      <c r="CK125" s="352">
        <f t="shared" si="144"/>
        <v>0</v>
      </c>
      <c r="CL125" s="352">
        <f t="shared" si="145"/>
        <v>0</v>
      </c>
      <c r="CM125" s="352">
        <f t="shared" si="146"/>
        <v>0</v>
      </c>
      <c r="CN125" s="352">
        <f t="shared" si="147"/>
        <v>0</v>
      </c>
      <c r="EX125" s="10" t="str">
        <f t="shared" si="78"/>
        <v>Administration staff</v>
      </c>
    </row>
    <row r="126" spans="1:154" ht="15.75" x14ac:dyDescent="0.3">
      <c r="A126" s="362" cm="1">
        <f t="array" aca="1" ref="A126" ca="1">HYPERLINK(CONCATENATE("#",CELL("address",IF(SUM($CA126:$CG126)=0,A126,INDEX($CA126:$CG126,MATCH(1,$CA126:$CG126,0))))),SUM($CA126:$CG126))</f>
        <v>0</v>
      </c>
      <c r="B126" s="105" t="s">
        <v>335</v>
      </c>
      <c r="C126" s="343" t="s">
        <v>486</v>
      </c>
      <c r="D126" s="194" t="s">
        <v>52</v>
      </c>
      <c r="E126" s="147"/>
      <c r="F126" s="98" t="str" cm="1">
        <f t="array" aca="1" ref="F126" ca="1">IF(E126="", "", HYPERLINK(CONCATENATE("#",CELL("address",INDEX('I&amp;E Profiles'!$D$9:$D$93,'I&amp;E Annual'!I126))),E126))</f>
        <v/>
      </c>
      <c r="G126" s="147" t="s">
        <v>211</v>
      </c>
      <c r="H126" s="162" t="s">
        <v>86</v>
      </c>
      <c r="I126" s="350" t="str">
        <f>IF(E126="", "", MATCH(E126, 'I&amp;E Profiles'!$D$96:$D$180,0))</f>
        <v/>
      </c>
      <c r="J126" s="215">
        <f>IF($G126=$G$7, W126,'I&amp;E Monthly'!W126)-SUMIFS('I&amp;E Monthly'!$AA126:$BJ126, 'I&amp;E Monthly'!$AA$3:$BJ$3, 'I&amp;E Annual'!W$3, 'I&amp;E Monthly'!$AA$4:$BJ$4, 0)</f>
        <v>25</v>
      </c>
      <c r="K126" s="215">
        <f>IF($G126=$G$7, X126,'I&amp;E Monthly'!X126)-SUMIFS('I&amp;E Monthly'!$AA126:$BJ126, 'I&amp;E Monthly'!$AA$3:$BJ$3, 'I&amp;E Annual'!X$3, 'I&amp;E Monthly'!$AA$4:$BJ$4, 0)</f>
        <v>314</v>
      </c>
      <c r="L126" s="215">
        <f>IF($G126=$G$7, Y126,'I&amp;E Monthly'!Y126)-SUMIFS('I&amp;E Monthly'!$AA126:$BJ126, 'I&amp;E Monthly'!$AA$3:$BJ$3, 'I&amp;E Annual'!Y$3, 'I&amp;E Monthly'!$AA$4:$BJ$4, 0)</f>
        <v>320.27999999999997</v>
      </c>
      <c r="M126" s="335"/>
      <c r="N126" s="335"/>
      <c r="O126" s="335"/>
      <c r="P126" s="335"/>
      <c r="Q126" s="2"/>
      <c r="R126" s="335"/>
      <c r="S126" s="335"/>
      <c r="T126" s="335"/>
      <c r="U126" s="335"/>
      <c r="V126" s="215">
        <f>'I&amp;E Monthly'!V126</f>
        <v>0</v>
      </c>
      <c r="W126" s="147"/>
      <c r="X126" s="227"/>
      <c r="Y126" s="227"/>
      <c r="Z126" s="335"/>
      <c r="AA126" s="153" cm="1">
        <f t="array" ref="AA126">IF(OR(AA$4=0, $G126&lt;&gt; $G$7, $E126=0), 'I&amp;E Monthly'!AA126, CHOOSE(Timeline!AA$30,$J126,$K126,$L126 )*INDEX('I&amp;E Profiles'!AA$96:AA$180,$I126))</f>
        <v>27</v>
      </c>
      <c r="AB126" s="153" cm="1">
        <f t="array" ref="AB126">IF(OR(AB$4=0, $G126&lt;&gt; $G$7, $E126=0), 'I&amp;E Monthly'!AB126, CHOOSE(Timeline!AB$30,$J126,$K126,$L126 )*INDEX('I&amp;E Profiles'!AB$96:AB$180,$I126))</f>
        <v>27</v>
      </c>
      <c r="AC126" s="153" cm="1">
        <f t="array" ref="AC126">IF(OR(AC$4=0, $G126&lt;&gt; $G$7, $E126=0), 'I&amp;E Monthly'!AC126, CHOOSE(Timeline!AC$30,$J126,$K126,$L126 )*INDEX('I&amp;E Profiles'!AC$96:AC$180,$I126))</f>
        <v>27</v>
      </c>
      <c r="AD126" s="153" cm="1">
        <f t="array" ref="AD126">IF(OR(AD$4=0, $G126&lt;&gt; $G$7, $E126=0), 'I&amp;E Monthly'!AD126, CHOOSE(Timeline!AD$30,$J126,$K126,$L126 )*INDEX('I&amp;E Profiles'!AD$96:AD$180,$I126))</f>
        <v>27</v>
      </c>
      <c r="AE126" s="153" cm="1">
        <f t="array" ref="AE126">IF(OR(AE$4=0, $G126&lt;&gt; $G$7, $E126=0), 'I&amp;E Monthly'!AE126, CHOOSE(Timeline!AE$30,$J126,$K126,$L126 )*INDEX('I&amp;E Profiles'!AE$96:AE$180,$I126))</f>
        <v>30</v>
      </c>
      <c r="AF126" s="153" cm="1">
        <f t="array" ref="AF126">IF(OR(AF$4=0, $G126&lt;&gt; $G$7, $E126=0), 'I&amp;E Monthly'!AF126, CHOOSE(Timeline!AF$30,$J126,$K126,$L126 )*INDEX('I&amp;E Profiles'!AF$96:AF$180,$I126))</f>
        <v>23</v>
      </c>
      <c r="AG126" s="153" cm="1">
        <f t="array" ref="AG126">IF(OR(AG$4=0, $G126&lt;&gt; $G$7, $E126=0), 'I&amp;E Monthly'!AG126, CHOOSE(Timeline!AG$30,$J126,$K126,$L126 )*INDEX('I&amp;E Profiles'!AG$96:AG$180,$I126))</f>
        <v>24</v>
      </c>
      <c r="AH126" s="153" cm="1">
        <f t="array" ref="AH126">IF(OR(AH$4=0, $G126&lt;&gt; $G$7, $E126=0), 'I&amp;E Monthly'!AH126, CHOOSE(Timeline!AH$30,$J126,$K126,$L126 )*INDEX('I&amp;E Profiles'!AH$96:AH$180,$I126))</f>
        <v>26</v>
      </c>
      <c r="AI126" s="153" cm="1">
        <f t="array" ref="AI126">IF(OR(AI$4=0, $G126&lt;&gt; $G$7, $E126=0), 'I&amp;E Monthly'!AI126, CHOOSE(Timeline!AI$30,$J126,$K126,$L126 )*INDEX('I&amp;E Profiles'!AI$96:AI$180,$I126))</f>
        <v>26</v>
      </c>
      <c r="AJ126" s="153" cm="1">
        <f t="array" ref="AJ126">IF(OR(AJ$4=0, $G126&lt;&gt; $G$7, $E126=0), 'I&amp;E Monthly'!AJ126, CHOOSE(Timeline!AJ$30,$J126,$K126,$L126 )*INDEX('I&amp;E Profiles'!AJ$96:AJ$180,$I126))</f>
        <v>26</v>
      </c>
      <c r="AK126" s="153" cm="1">
        <f t="array" ref="AK126">IF(OR(AK$4=0, $G126&lt;&gt; $G$7, $E126=0), 'I&amp;E Monthly'!AK126, CHOOSE(Timeline!AK$30,$J126,$K126,$L126 )*INDEX('I&amp;E Profiles'!AK$96:AK$180,$I126))</f>
        <v>26</v>
      </c>
      <c r="AL126" s="153" cm="1">
        <f t="array" ref="AL126">IF(OR(AL$4=0, $G126&lt;&gt; $G$7, $E126=0), 'I&amp;E Monthly'!AL126, CHOOSE(Timeline!AL$30,$J126,$K126,$L126 )*INDEX('I&amp;E Profiles'!AL$96:AL$180,$I126))</f>
        <v>25</v>
      </c>
      <c r="AM126" s="153" cm="1">
        <f t="array" ref="AM126">IF(OR(AM$4=0, $G126&lt;&gt; $G$7, $E126=0), 'I&amp;E Monthly'!AM126, CHOOSE(Timeline!AM$30,$J126,$K126,$L126 )*INDEX('I&amp;E Profiles'!AM$96:AM$180,$I126))</f>
        <v>27</v>
      </c>
      <c r="AN126" s="153" cm="1">
        <f t="array" ref="AN126">IF(OR(AN$4=0, $G126&lt;&gt; $G$7, $E126=0), 'I&amp;E Monthly'!AN126, CHOOSE(Timeline!AN$30,$J126,$K126,$L126 )*INDEX('I&amp;E Profiles'!AN$96:AN$180,$I126))</f>
        <v>27</v>
      </c>
      <c r="AO126" s="153" cm="1">
        <f t="array" ref="AO126">IF(OR(AO$4=0, $G126&lt;&gt; $G$7, $E126=0), 'I&amp;E Monthly'!AO126, CHOOSE(Timeline!AO$30,$J126,$K126,$L126 )*INDEX('I&amp;E Profiles'!AO$96:AO$180,$I126))</f>
        <v>27</v>
      </c>
      <c r="AP126" s="153" cm="1">
        <f t="array" ref="AP126">IF(OR(AP$4=0, $G126&lt;&gt; $G$7, $E126=0), 'I&amp;E Monthly'!AP126, CHOOSE(Timeline!AP$30,$J126,$K126,$L126 )*INDEX('I&amp;E Profiles'!AP$96:AP$180,$I126))</f>
        <v>27</v>
      </c>
      <c r="AQ126" s="153" cm="1">
        <f t="array" ref="AQ126">IF(OR(AQ$4=0, $G126&lt;&gt; $G$7, $E126=0), 'I&amp;E Monthly'!AQ126, CHOOSE(Timeline!AQ$30,$J126,$K126,$L126 )*INDEX('I&amp;E Profiles'!AQ$96:AQ$180,$I126))</f>
        <v>30</v>
      </c>
      <c r="AR126" s="153" cm="1">
        <f t="array" ref="AR126">IF(OR(AR$4=0, $G126&lt;&gt; $G$7, $E126=0), 'I&amp;E Monthly'!AR126, CHOOSE(Timeline!AR$30,$J126,$K126,$L126 )*INDEX('I&amp;E Profiles'!AR$96:AR$180,$I126))</f>
        <v>23</v>
      </c>
      <c r="AS126" s="153" cm="1">
        <f t="array" ref="AS126">IF(OR(AS$4=0, $G126&lt;&gt; $G$7, $E126=0), 'I&amp;E Monthly'!AS126, CHOOSE(Timeline!AS$30,$J126,$K126,$L126 )*INDEX('I&amp;E Profiles'!AS$96:AS$180,$I126))</f>
        <v>24</v>
      </c>
      <c r="AT126" s="153" cm="1">
        <f t="array" ref="AT126">IF(OR(AT$4=0, $G126&lt;&gt; $G$7, $E126=0), 'I&amp;E Monthly'!AT126, CHOOSE(Timeline!AT$30,$J126,$K126,$L126 )*INDEX('I&amp;E Profiles'!AT$96:AT$180,$I126))</f>
        <v>26</v>
      </c>
      <c r="AU126" s="153" cm="1">
        <f t="array" ref="AU126">IF(OR(AU$4=0, $G126&lt;&gt; $G$7, $E126=0), 'I&amp;E Monthly'!AU126, CHOOSE(Timeline!AU$30,$J126,$K126,$L126 )*INDEX('I&amp;E Profiles'!AU$96:AU$180,$I126))</f>
        <v>26</v>
      </c>
      <c r="AV126" s="153" cm="1">
        <f t="array" ref="AV126">IF(OR(AV$4=0, $G126&lt;&gt; $G$7, $E126=0), 'I&amp;E Monthly'!AV126, CHOOSE(Timeline!AV$30,$J126,$K126,$L126 )*INDEX('I&amp;E Profiles'!AV$96:AV$180,$I126))</f>
        <v>26</v>
      </c>
      <c r="AW126" s="153" cm="1">
        <f t="array" ref="AW126">IF(OR(AW$4=0, $G126&lt;&gt; $G$7, $E126=0), 'I&amp;E Monthly'!AW126, CHOOSE(Timeline!AW$30,$J126,$K126,$L126 )*INDEX('I&amp;E Profiles'!AW$96:AW$180,$I126))</f>
        <v>26</v>
      </c>
      <c r="AX126" s="153" cm="1">
        <f t="array" ref="AX126">IF(OR(AX$4=0, $G126&lt;&gt; $G$7, $E126=0), 'I&amp;E Monthly'!AX126, CHOOSE(Timeline!AX$30,$J126,$K126,$L126 )*INDEX('I&amp;E Profiles'!AX$96:AX$180,$I126))</f>
        <v>25</v>
      </c>
      <c r="AY126" s="153" cm="1">
        <f t="array" ref="AY126">IF(OR(AY$4=0, $G126&lt;&gt; $G$7, $E126=0), 'I&amp;E Monthly'!AY126, CHOOSE(Timeline!AY$30,$J126,$K126,$L126 )*INDEX('I&amp;E Profiles'!AY$96:AY$180,$I126))</f>
        <v>27.54</v>
      </c>
      <c r="AZ126" s="153" cm="1">
        <f t="array" ref="AZ126">IF(OR(AZ$4=0, $G126&lt;&gt; $G$7, $E126=0), 'I&amp;E Monthly'!AZ126, CHOOSE(Timeline!AZ$30,$J126,$K126,$L126 )*INDEX('I&amp;E Profiles'!AZ$96:AZ$180,$I126))</f>
        <v>27.54</v>
      </c>
      <c r="BA126" s="153" cm="1">
        <f t="array" ref="BA126">IF(OR(BA$4=0, $G126&lt;&gt; $G$7, $E126=0), 'I&amp;E Monthly'!BA126, CHOOSE(Timeline!BA$30,$J126,$K126,$L126 )*INDEX('I&amp;E Profiles'!BA$96:BA$180,$I126))</f>
        <v>27.54</v>
      </c>
      <c r="BB126" s="153" cm="1">
        <f t="array" ref="BB126">IF(OR(BB$4=0, $G126&lt;&gt; $G$7, $E126=0), 'I&amp;E Monthly'!BB126, CHOOSE(Timeline!BB$30,$J126,$K126,$L126 )*INDEX('I&amp;E Profiles'!BB$96:BB$180,$I126))</f>
        <v>27.54</v>
      </c>
      <c r="BC126" s="153" cm="1">
        <f t="array" ref="BC126">IF(OR(BC$4=0, $G126&lt;&gt; $G$7, $E126=0), 'I&amp;E Monthly'!BC126, CHOOSE(Timeline!BC$30,$J126,$K126,$L126 )*INDEX('I&amp;E Profiles'!BC$96:BC$180,$I126))</f>
        <v>30.6</v>
      </c>
      <c r="BD126" s="153" cm="1">
        <f t="array" ref="BD126">IF(OR(BD$4=0, $G126&lt;&gt; $G$7, $E126=0), 'I&amp;E Monthly'!BD126, CHOOSE(Timeline!BD$30,$J126,$K126,$L126 )*INDEX('I&amp;E Profiles'!BD$96:BD$180,$I126))</f>
        <v>23.46</v>
      </c>
      <c r="BE126" s="153" cm="1">
        <f t="array" ref="BE126">IF(OR(BE$4=0, $G126&lt;&gt; $G$7, $E126=0), 'I&amp;E Monthly'!BE126, CHOOSE(Timeline!BE$30,$J126,$K126,$L126 )*INDEX('I&amp;E Profiles'!BE$96:BE$180,$I126))</f>
        <v>24.48</v>
      </c>
      <c r="BF126" s="153" cm="1">
        <f t="array" ref="BF126">IF(OR(BF$4=0, $G126&lt;&gt; $G$7, $E126=0), 'I&amp;E Monthly'!BF126, CHOOSE(Timeline!BF$30,$J126,$K126,$L126 )*INDEX('I&amp;E Profiles'!BF$96:BF$180,$I126))</f>
        <v>26.52</v>
      </c>
      <c r="BG126" s="153" cm="1">
        <f t="array" ref="BG126">IF(OR(BG$4=0, $G126&lt;&gt; $G$7, $E126=0), 'I&amp;E Monthly'!BG126, CHOOSE(Timeline!BG$30,$J126,$K126,$L126 )*INDEX('I&amp;E Profiles'!BG$96:BG$180,$I126))</f>
        <v>26.52</v>
      </c>
      <c r="BH126" s="153" cm="1">
        <f t="array" ref="BH126">IF(OR(BH$4=0, $G126&lt;&gt; $G$7, $E126=0), 'I&amp;E Monthly'!BH126, CHOOSE(Timeline!BH$30,$J126,$K126,$L126 )*INDEX('I&amp;E Profiles'!BH$96:BH$180,$I126))</f>
        <v>26.52</v>
      </c>
      <c r="BI126" s="153" cm="1">
        <f t="array" ref="BI126">IF(OR(BI$4=0, $G126&lt;&gt; $G$7, $E126=0), 'I&amp;E Monthly'!BI126, CHOOSE(Timeline!BI$30,$J126,$K126,$L126 )*INDEX('I&amp;E Profiles'!BI$96:BI$180,$I126))</f>
        <v>26.52</v>
      </c>
      <c r="BJ126" s="153" cm="1">
        <f t="array" ref="BJ126">IF(OR(BJ$4=0, $G126&lt;&gt; $G$7, $E126=0), 'I&amp;E Monthly'!BJ126, CHOOSE(Timeline!BJ$30,$J126,$K126,$L126 )*INDEX('I&amp;E Profiles'!BJ$96:BJ$180,$I126))</f>
        <v>25.5</v>
      </c>
      <c r="BK126" s="335"/>
      <c r="BL126" s="152">
        <f t="shared" si="134"/>
        <v>0</v>
      </c>
      <c r="BM126" s="153">
        <f t="shared" si="135"/>
        <v>314</v>
      </c>
      <c r="BN126" s="153">
        <f t="shared" si="135"/>
        <v>314</v>
      </c>
      <c r="BO126" s="153">
        <f t="shared" si="135"/>
        <v>320.27999999999997</v>
      </c>
      <c r="BP126" s="152">
        <f>'I&amp;E Monthly'!BP126</f>
        <v>0</v>
      </c>
      <c r="BQ126" s="152">
        <f>'I&amp;E Monthly'!BQ126</f>
        <v>0</v>
      </c>
      <c r="BR126" s="152">
        <f>'I&amp;E Monthly'!BR126</f>
        <v>0</v>
      </c>
      <c r="BS126" s="152">
        <f>'I&amp;E Monthly'!BS126</f>
        <v>0</v>
      </c>
      <c r="BT126" s="152">
        <f>'I&amp;E Monthly'!BT126</f>
        <v>0</v>
      </c>
      <c r="BU126" s="152">
        <f>'I&amp;E Monthly'!BU126</f>
        <v>0</v>
      </c>
      <c r="BV126" s="152">
        <f>'I&amp;E Monthly'!BV126</f>
        <v>0</v>
      </c>
      <c r="BW126" s="152">
        <f>'I&amp;E Monthly'!BW126</f>
        <v>0</v>
      </c>
      <c r="BX126" s="335"/>
      <c r="BY126" s="12"/>
      <c r="BZ126" s="363">
        <f t="shared" ca="1" si="136"/>
        <v>0</v>
      </c>
      <c r="CA126" s="12"/>
      <c r="CB126" s="7">
        <f t="shared" si="137"/>
        <v>0</v>
      </c>
      <c r="CC126" s="188" cm="1">
        <f t="array" ref="CC126">IF(E126="",0, IF(_xlfn.IFNA(INDEX('I&amp;E Profiles'!$D$96:$D$180, $I126), "N/A")="N/A", 1, 0))</f>
        <v>0</v>
      </c>
      <c r="CD126" s="7">
        <f t="shared" si="138"/>
        <v>0</v>
      </c>
      <c r="CE126" s="7">
        <f t="shared" si="139"/>
        <v>0</v>
      </c>
      <c r="CF126" s="7">
        <f t="shared" si="140"/>
        <v>0</v>
      </c>
      <c r="CG126" s="12"/>
      <c r="CH126" s="352">
        <f t="shared" si="141"/>
        <v>0</v>
      </c>
      <c r="CI126" s="352">
        <f t="shared" si="142"/>
        <v>0</v>
      </c>
      <c r="CJ126" s="352">
        <f t="shared" si="143"/>
        <v>0</v>
      </c>
      <c r="CK126" s="352">
        <f t="shared" si="144"/>
        <v>0</v>
      </c>
      <c r="CL126" s="352">
        <f t="shared" si="145"/>
        <v>0</v>
      </c>
      <c r="CM126" s="352">
        <f t="shared" si="146"/>
        <v>0</v>
      </c>
      <c r="CN126" s="352">
        <f t="shared" si="147"/>
        <v>0</v>
      </c>
      <c r="EX126" s="10" t="str">
        <f t="shared" si="78"/>
        <v>Operational &amp; maintenance staff</v>
      </c>
    </row>
    <row r="127" spans="1:154" ht="15.75" x14ac:dyDescent="0.3">
      <c r="A127" s="362" cm="1">
        <f t="array" aca="1" ref="A127" ca="1">HYPERLINK(CONCATENATE("#",CELL("address",IF(SUM($CA127:$CG127)=0,A127,INDEX($CA127:$CG127,MATCH(1,$CA127:$CG127,0))))),SUM($CA127:$CG127))</f>
        <v>0</v>
      </c>
      <c r="B127" s="105" t="s">
        <v>335</v>
      </c>
      <c r="C127" s="343" t="s">
        <v>487</v>
      </c>
      <c r="D127" s="194" t="s">
        <v>53</v>
      </c>
      <c r="E127" s="147"/>
      <c r="F127" s="98" t="str" cm="1">
        <f t="array" aca="1" ref="F127" ca="1">IF(E127="", "", HYPERLINK(CONCATENATE("#",CELL("address",INDEX('I&amp;E Profiles'!$D$9:$D$93,'I&amp;E Annual'!I127))),E127))</f>
        <v/>
      </c>
      <c r="G127" s="372" t="s">
        <v>211</v>
      </c>
      <c r="H127" s="162" t="s">
        <v>86</v>
      </c>
      <c r="I127" s="350" t="str">
        <f>IF(E127="", "", MATCH(E127, 'I&amp;E Profiles'!$D$96:$D$180,0))</f>
        <v/>
      </c>
      <c r="J127" s="215">
        <f>IF($G127=$G$7, W127,'I&amp;E Monthly'!W127)-SUMIFS('I&amp;E Monthly'!$AA127:$BJ127, 'I&amp;E Monthly'!$AA$3:$BJ$3, 'I&amp;E Annual'!W$3, 'I&amp;E Monthly'!$AA$4:$BJ$4, 0)</f>
        <v>59</v>
      </c>
      <c r="K127" s="215">
        <f>IF($G127=$G$7, X127,'I&amp;E Monthly'!X127)-SUMIFS('I&amp;E Monthly'!$AA127:$BJ127, 'I&amp;E Monthly'!$AA$3:$BJ$3, 'I&amp;E Annual'!X$3, 'I&amp;E Monthly'!$AA$4:$BJ$4, 0)</f>
        <v>876</v>
      </c>
      <c r="L127" s="215">
        <f>IF($G127=$G$7, Y127,'I&amp;E Monthly'!Y127)-SUMIFS('I&amp;E Monthly'!$AA127:$BJ127, 'I&amp;E Monthly'!$AA$3:$BJ$3, 'I&amp;E Annual'!Y$3, 'I&amp;E Monthly'!$AA$4:$BJ$4, 0)</f>
        <v>893.51999999999987</v>
      </c>
      <c r="M127" s="335"/>
      <c r="N127" s="335"/>
      <c r="O127" s="335"/>
      <c r="P127" s="335"/>
      <c r="Q127" s="2"/>
      <c r="R127" s="335"/>
      <c r="S127" s="335"/>
      <c r="T127" s="335"/>
      <c r="U127" s="335"/>
      <c r="V127" s="201">
        <f>'I&amp;E Monthly'!V127</f>
        <v>0</v>
      </c>
      <c r="W127" s="372"/>
      <c r="X127" s="198"/>
      <c r="Y127" s="198"/>
      <c r="Z127" s="335"/>
      <c r="AA127" s="153" cm="1">
        <f t="array" ref="AA127">IF(OR(AA$4=0, $G127&lt;&gt; $G$7, $E127=0), 'I&amp;E Monthly'!AA127, CHOOSE(Timeline!AA$30,$J127,$K127,$L127 )*INDEX('I&amp;E Profiles'!AA$96:AA$180,$I127))</f>
        <v>61</v>
      </c>
      <c r="AB127" s="153" cm="1">
        <f t="array" ref="AB127">IF(OR(AB$4=0, $G127&lt;&gt; $G$7, $E127=0), 'I&amp;E Monthly'!AB127, CHOOSE(Timeline!AB$30,$J127,$K127,$L127 )*INDEX('I&amp;E Profiles'!AB$96:AB$180,$I127))</f>
        <v>62</v>
      </c>
      <c r="AC127" s="153" cm="1">
        <f t="array" ref="AC127">IF(OR(AC$4=0, $G127&lt;&gt; $G$7, $E127=0), 'I&amp;E Monthly'!AC127, CHOOSE(Timeline!AC$30,$J127,$K127,$L127 )*INDEX('I&amp;E Profiles'!AC$96:AC$180,$I127))</f>
        <v>70</v>
      </c>
      <c r="AD127" s="153" cm="1">
        <f t="array" ref="AD127">IF(OR(AD$4=0, $G127&lt;&gt; $G$7, $E127=0), 'I&amp;E Monthly'!AD127, CHOOSE(Timeline!AD$30,$J127,$K127,$L127 )*INDEX('I&amp;E Profiles'!AD$96:AD$180,$I127))</f>
        <v>70</v>
      </c>
      <c r="AE127" s="153" cm="1">
        <f t="array" ref="AE127">IF(OR(AE$4=0, $G127&lt;&gt; $G$7, $E127=0), 'I&amp;E Monthly'!AE127, CHOOSE(Timeline!AE$30,$J127,$K127,$L127 )*INDEX('I&amp;E Profiles'!AE$96:AE$180,$I127))</f>
        <v>62</v>
      </c>
      <c r="AF127" s="153" cm="1">
        <f t="array" ref="AF127">IF(OR(AF$4=0, $G127&lt;&gt; $G$7, $E127=0), 'I&amp;E Monthly'!AF127, CHOOSE(Timeline!AF$30,$J127,$K127,$L127 )*INDEX('I&amp;E Profiles'!AF$96:AF$180,$I127))</f>
        <v>54</v>
      </c>
      <c r="AG127" s="153" cm="1">
        <f t="array" ref="AG127">IF(OR(AG$4=0, $G127&lt;&gt; $G$7, $E127=0), 'I&amp;E Monthly'!AG127, CHOOSE(Timeline!AG$30,$J127,$K127,$L127 )*INDEX('I&amp;E Profiles'!AG$96:AG$180,$I127))</f>
        <v>54</v>
      </c>
      <c r="AH127" s="153" cm="1">
        <f t="array" ref="AH127">IF(OR(AH$4=0, $G127&lt;&gt; $G$7, $E127=0), 'I&amp;E Monthly'!AH127, CHOOSE(Timeline!AH$30,$J127,$K127,$L127 )*INDEX('I&amp;E Profiles'!AH$96:AH$180,$I127))</f>
        <v>56</v>
      </c>
      <c r="AI127" s="153" cm="1">
        <f t="array" ref="AI127">IF(OR(AI$4=0, $G127&lt;&gt; $G$7, $E127=0), 'I&amp;E Monthly'!AI127, CHOOSE(Timeline!AI$30,$J127,$K127,$L127 )*INDEX('I&amp;E Profiles'!AI$96:AI$180,$I127))</f>
        <v>62</v>
      </c>
      <c r="AJ127" s="153" cm="1">
        <f t="array" ref="AJ127">IF(OR(AJ$4=0, $G127&lt;&gt; $G$7, $E127=0), 'I&amp;E Monthly'!AJ127, CHOOSE(Timeline!AJ$30,$J127,$K127,$L127 )*INDEX('I&amp;E Profiles'!AJ$96:AJ$180,$I127))</f>
        <v>59</v>
      </c>
      <c r="AK127" s="153" cm="1">
        <f t="array" ref="AK127">IF(OR(AK$4=0, $G127&lt;&gt; $G$7, $E127=0), 'I&amp;E Monthly'!AK127, CHOOSE(Timeline!AK$30,$J127,$K127,$L127 )*INDEX('I&amp;E Profiles'!AK$96:AK$180,$I127))</f>
        <v>61</v>
      </c>
      <c r="AL127" s="153" cm="1">
        <f t="array" ref="AL127">IF(OR(AL$4=0, $G127&lt;&gt; $G$7, $E127=0), 'I&amp;E Monthly'!AL127, CHOOSE(Timeline!AL$30,$J127,$K127,$L127 )*INDEX('I&amp;E Profiles'!AL$96:AL$180,$I127))</f>
        <v>59</v>
      </c>
      <c r="AM127" s="153" cm="1">
        <f t="array" ref="AM127">IF(OR(AM$4=0, $G127&lt;&gt; $G$7, $E127=0), 'I&amp;E Monthly'!AM127, CHOOSE(Timeline!AM$30,$J127,$K127,$L127 )*INDEX('I&amp;E Profiles'!AM$96:AM$180,$I127))</f>
        <v>71</v>
      </c>
      <c r="AN127" s="153" cm="1">
        <f t="array" ref="AN127">IF(OR(AN$4=0, $G127&lt;&gt; $G$7, $E127=0), 'I&amp;E Monthly'!AN127, CHOOSE(Timeline!AN$30,$J127,$K127,$L127 )*INDEX('I&amp;E Profiles'!AN$96:AN$180,$I127))</f>
        <v>72</v>
      </c>
      <c r="AO127" s="153" cm="1">
        <f t="array" ref="AO127">IF(OR(AO$4=0, $G127&lt;&gt; $G$7, $E127=0), 'I&amp;E Monthly'!AO127, CHOOSE(Timeline!AO$30,$J127,$K127,$L127 )*INDEX('I&amp;E Profiles'!AO$96:AO$180,$I127))</f>
        <v>80</v>
      </c>
      <c r="AP127" s="153" cm="1">
        <f t="array" ref="AP127">IF(OR(AP$4=0, $G127&lt;&gt; $G$7, $E127=0), 'I&amp;E Monthly'!AP127, CHOOSE(Timeline!AP$30,$J127,$K127,$L127 )*INDEX('I&amp;E Profiles'!AP$96:AP$180,$I127))</f>
        <v>80</v>
      </c>
      <c r="AQ127" s="153" cm="1">
        <f t="array" ref="AQ127">IF(OR(AQ$4=0, $G127&lt;&gt; $G$7, $E127=0), 'I&amp;E Monthly'!AQ127, CHOOSE(Timeline!AQ$30,$J127,$K127,$L127 )*INDEX('I&amp;E Profiles'!AQ$96:AQ$180,$I127))</f>
        <v>72</v>
      </c>
      <c r="AR127" s="153" cm="1">
        <f t="array" ref="AR127">IF(OR(AR$4=0, $G127&lt;&gt; $G$7, $E127=0), 'I&amp;E Monthly'!AR127, CHOOSE(Timeline!AR$30,$J127,$K127,$L127 )*INDEX('I&amp;E Profiles'!AR$96:AR$180,$I127))</f>
        <v>72</v>
      </c>
      <c r="AS127" s="153" cm="1">
        <f t="array" ref="AS127">IF(OR(AS$4=0, $G127&lt;&gt; $G$7, $E127=0), 'I&amp;E Monthly'!AS127, CHOOSE(Timeline!AS$30,$J127,$K127,$L127 )*INDEX('I&amp;E Profiles'!AS$96:AS$180,$I127))</f>
        <v>72</v>
      </c>
      <c r="AT127" s="153" cm="1">
        <f t="array" ref="AT127">IF(OR(AT$4=0, $G127&lt;&gt; $G$7, $E127=0), 'I&amp;E Monthly'!AT127, CHOOSE(Timeline!AT$30,$J127,$K127,$L127 )*INDEX('I&amp;E Profiles'!AT$96:AT$180,$I127))</f>
        <v>76</v>
      </c>
      <c r="AU127" s="153" cm="1">
        <f t="array" ref="AU127">IF(OR(AU$4=0, $G127&lt;&gt; $G$7, $E127=0), 'I&amp;E Monthly'!AU127, CHOOSE(Timeline!AU$30,$J127,$K127,$L127 )*INDEX('I&amp;E Profiles'!AU$96:AU$180,$I127))</f>
        <v>72</v>
      </c>
      <c r="AV127" s="153" cm="1">
        <f t="array" ref="AV127">IF(OR(AV$4=0, $G127&lt;&gt; $G$7, $E127=0), 'I&amp;E Monthly'!AV127, CHOOSE(Timeline!AV$30,$J127,$K127,$L127 )*INDEX('I&amp;E Profiles'!AV$96:AV$180,$I127))</f>
        <v>69</v>
      </c>
      <c r="AW127" s="153" cm="1">
        <f t="array" ref="AW127">IF(OR(AW$4=0, $G127&lt;&gt; $G$7, $E127=0), 'I&amp;E Monthly'!AW127, CHOOSE(Timeline!AW$30,$J127,$K127,$L127 )*INDEX('I&amp;E Profiles'!AW$96:AW$180,$I127))</f>
        <v>71</v>
      </c>
      <c r="AX127" s="153" cm="1">
        <f t="array" ref="AX127">IF(OR(AX$4=0, $G127&lt;&gt; $G$7, $E127=0), 'I&amp;E Monthly'!AX127, CHOOSE(Timeline!AX$30,$J127,$K127,$L127 )*INDEX('I&amp;E Profiles'!AX$96:AX$180,$I127))</f>
        <v>69</v>
      </c>
      <c r="AY127" s="153" cm="1">
        <f t="array" ref="AY127">IF(OR(AY$4=0, $G127&lt;&gt; $G$7, $E127=0), 'I&amp;E Monthly'!AY127, CHOOSE(Timeline!AY$30,$J127,$K127,$L127 )*INDEX('I&amp;E Profiles'!AY$96:AY$180,$I127))</f>
        <v>72.42</v>
      </c>
      <c r="AZ127" s="153" cm="1">
        <f t="array" ref="AZ127">IF(OR(AZ$4=0, $G127&lt;&gt; $G$7, $E127=0), 'I&amp;E Monthly'!AZ127, CHOOSE(Timeline!AZ$30,$J127,$K127,$L127 )*INDEX('I&amp;E Profiles'!AZ$96:AZ$180,$I127))</f>
        <v>73.44</v>
      </c>
      <c r="BA127" s="153" cm="1">
        <f t="array" ref="BA127">IF(OR(BA$4=0, $G127&lt;&gt; $G$7, $E127=0), 'I&amp;E Monthly'!BA127, CHOOSE(Timeline!BA$30,$J127,$K127,$L127 )*INDEX('I&amp;E Profiles'!BA$96:BA$180,$I127))</f>
        <v>81.599999999999994</v>
      </c>
      <c r="BB127" s="153" cm="1">
        <f t="array" ref="BB127">IF(OR(BB$4=0, $G127&lt;&gt; $G$7, $E127=0), 'I&amp;E Monthly'!BB127, CHOOSE(Timeline!BB$30,$J127,$K127,$L127 )*INDEX('I&amp;E Profiles'!BB$96:BB$180,$I127))</f>
        <v>81.599999999999994</v>
      </c>
      <c r="BC127" s="153" cm="1">
        <f t="array" ref="BC127">IF(OR(BC$4=0, $G127&lt;&gt; $G$7, $E127=0), 'I&amp;E Monthly'!BC127, CHOOSE(Timeline!BC$30,$J127,$K127,$L127 )*INDEX('I&amp;E Profiles'!BC$96:BC$180,$I127))</f>
        <v>73.44</v>
      </c>
      <c r="BD127" s="153" cm="1">
        <f t="array" ref="BD127">IF(OR(BD$4=0, $G127&lt;&gt; $G$7, $E127=0), 'I&amp;E Monthly'!BD127, CHOOSE(Timeline!BD$30,$J127,$K127,$L127 )*INDEX('I&amp;E Profiles'!BD$96:BD$180,$I127))</f>
        <v>73.44</v>
      </c>
      <c r="BE127" s="153" cm="1">
        <f t="array" ref="BE127">IF(OR(BE$4=0, $G127&lt;&gt; $G$7, $E127=0), 'I&amp;E Monthly'!BE127, CHOOSE(Timeline!BE$30,$J127,$K127,$L127 )*INDEX('I&amp;E Profiles'!BE$96:BE$180,$I127))</f>
        <v>73.44</v>
      </c>
      <c r="BF127" s="153" cm="1">
        <f t="array" ref="BF127">IF(OR(BF$4=0, $G127&lt;&gt; $G$7, $E127=0), 'I&amp;E Monthly'!BF127, CHOOSE(Timeline!BF$30,$J127,$K127,$L127 )*INDEX('I&amp;E Profiles'!BF$96:BF$180,$I127))</f>
        <v>77.52</v>
      </c>
      <c r="BG127" s="153" cm="1">
        <f t="array" ref="BG127">IF(OR(BG$4=0, $G127&lt;&gt; $G$7, $E127=0), 'I&amp;E Monthly'!BG127, CHOOSE(Timeline!BG$30,$J127,$K127,$L127 )*INDEX('I&amp;E Profiles'!BG$96:BG$180,$I127))</f>
        <v>73.44</v>
      </c>
      <c r="BH127" s="153" cm="1">
        <f t="array" ref="BH127">IF(OR(BH$4=0, $G127&lt;&gt; $G$7, $E127=0), 'I&amp;E Monthly'!BH127, CHOOSE(Timeline!BH$30,$J127,$K127,$L127 )*INDEX('I&amp;E Profiles'!BH$96:BH$180,$I127))</f>
        <v>70.38</v>
      </c>
      <c r="BI127" s="153" cm="1">
        <f t="array" ref="BI127">IF(OR(BI$4=0, $G127&lt;&gt; $G$7, $E127=0), 'I&amp;E Monthly'!BI127, CHOOSE(Timeline!BI$30,$J127,$K127,$L127 )*INDEX('I&amp;E Profiles'!BI$96:BI$180,$I127))</f>
        <v>72.42</v>
      </c>
      <c r="BJ127" s="153" cm="1">
        <f t="array" ref="BJ127">IF(OR(BJ$4=0, $G127&lt;&gt; $G$7, $E127=0), 'I&amp;E Monthly'!BJ127, CHOOSE(Timeline!BJ$30,$J127,$K127,$L127 )*INDEX('I&amp;E Profiles'!BJ$96:BJ$180,$I127))</f>
        <v>70.38</v>
      </c>
      <c r="BK127" s="335"/>
      <c r="BL127" s="13">
        <f t="shared" si="134"/>
        <v>0</v>
      </c>
      <c r="BM127" s="153">
        <f t="shared" si="135"/>
        <v>730</v>
      </c>
      <c r="BN127" s="153">
        <f t="shared" si="135"/>
        <v>876</v>
      </c>
      <c r="BO127" s="153">
        <f t="shared" si="135"/>
        <v>893.51999999999987</v>
      </c>
      <c r="BP127" s="13">
        <f>'I&amp;E Monthly'!BP127</f>
        <v>0</v>
      </c>
      <c r="BQ127" s="13">
        <f>'I&amp;E Monthly'!BQ127</f>
        <v>0</v>
      </c>
      <c r="BR127" s="13">
        <f>'I&amp;E Monthly'!BR127</f>
        <v>0</v>
      </c>
      <c r="BS127" s="13">
        <f>'I&amp;E Monthly'!BS127</f>
        <v>0</v>
      </c>
      <c r="BT127" s="13">
        <f>'I&amp;E Monthly'!BT127</f>
        <v>0</v>
      </c>
      <c r="BU127" s="13">
        <f>'I&amp;E Monthly'!BU127</f>
        <v>0</v>
      </c>
      <c r="BV127" s="13">
        <f>'I&amp;E Monthly'!BV127</f>
        <v>0</v>
      </c>
      <c r="BW127" s="13">
        <f>'I&amp;E Monthly'!BW127</f>
        <v>0</v>
      </c>
      <c r="BX127" s="335"/>
      <c r="BY127" s="12"/>
      <c r="BZ127" s="363">
        <f t="shared" ca="1" si="136"/>
        <v>0</v>
      </c>
      <c r="CA127" s="12"/>
      <c r="CB127" s="7">
        <f t="shared" si="137"/>
        <v>0</v>
      </c>
      <c r="CC127" s="188" cm="1">
        <f t="array" ref="CC127">IF(E127="",0, IF(_xlfn.IFNA(INDEX('I&amp;E Profiles'!$D$96:$D$180, $I127), "N/A")="N/A", 1, 0))</f>
        <v>0</v>
      </c>
      <c r="CD127" s="7">
        <f t="shared" si="138"/>
        <v>0</v>
      </c>
      <c r="CE127" s="7">
        <f t="shared" si="139"/>
        <v>0</v>
      </c>
      <c r="CF127" s="7">
        <f t="shared" si="140"/>
        <v>0</v>
      </c>
      <c r="CG127" s="12"/>
      <c r="CH127" s="352">
        <f t="shared" si="141"/>
        <v>0</v>
      </c>
      <c r="CI127" s="352">
        <f t="shared" si="142"/>
        <v>0</v>
      </c>
      <c r="CJ127" s="352">
        <f t="shared" si="143"/>
        <v>0</v>
      </c>
      <c r="CK127" s="352">
        <f t="shared" si="144"/>
        <v>0</v>
      </c>
      <c r="CL127" s="352">
        <f t="shared" si="145"/>
        <v>0</v>
      </c>
      <c r="CM127" s="352">
        <f t="shared" si="146"/>
        <v>0</v>
      </c>
      <c r="CN127" s="352">
        <f t="shared" si="147"/>
        <v>0</v>
      </c>
      <c r="EX127" s="10" t="str">
        <f t="shared" si="78"/>
        <v>Commercial staff costs</v>
      </c>
    </row>
    <row r="128" spans="1:154" x14ac:dyDescent="0.25">
      <c r="A128" s="362" cm="1">
        <f t="array" aca="1" ref="A128" ca="1">HYPERLINK(CONCATENATE("#",CELL("address",IF(SUM($CA128:$CG128)=0,A128,INDEX($CA128:$CG128,MATCH(1,$CA128:$CG128,0))))),SUM($CA128:$CG128))</f>
        <v>0</v>
      </c>
      <c r="B128" s="335"/>
      <c r="C128" s="343" t="s">
        <v>488</v>
      </c>
      <c r="D128" s="194" t="s">
        <v>54</v>
      </c>
      <c r="E128" s="147"/>
      <c r="F128" s="98" t="str" cm="1">
        <f t="array" aca="1" ref="F128" ca="1">IF(E128="", "", HYPERLINK(CONCATENATE("#",CELL("address",INDEX('I&amp;E Profiles'!$D$9:$D$93,'I&amp;E Annual'!I128))),E128))</f>
        <v/>
      </c>
      <c r="G128" s="147" t="s">
        <v>211</v>
      </c>
      <c r="H128" s="162" t="s">
        <v>86</v>
      </c>
      <c r="I128" s="350" t="str">
        <f>IF(E128="", "", MATCH(E128, 'I&amp;E Profiles'!$D$96:$D$180,0))</f>
        <v/>
      </c>
      <c r="J128" s="215">
        <f>IF($G128=$G$7, W128,'I&amp;E Monthly'!W128)-SUMIFS('I&amp;E Monthly'!$AA128:$BJ128, 'I&amp;E Monthly'!$AA$3:$BJ$3, 'I&amp;E Annual'!W$3, 'I&amp;E Monthly'!$AA$4:$BJ$4, 0)</f>
        <v>4</v>
      </c>
      <c r="K128" s="215">
        <f>IF($G128=$G$7, X128,'I&amp;E Monthly'!X128)-SUMIFS('I&amp;E Monthly'!$AA128:$BJ128, 'I&amp;E Monthly'!$AA$3:$BJ$3, 'I&amp;E Annual'!X$3, 'I&amp;E Monthly'!$AA$4:$BJ$4, 0)</f>
        <v>87</v>
      </c>
      <c r="L128" s="215">
        <f>IF($G128=$G$7, Y128,'I&amp;E Monthly'!Y128)-SUMIFS('I&amp;E Monthly'!$AA128:$BJ128, 'I&amp;E Monthly'!$AA$3:$BJ$3, 'I&amp;E Annual'!Y$3, 'I&amp;E Monthly'!$AA$4:$BJ$4, 0)</f>
        <v>88.74</v>
      </c>
      <c r="M128" s="335"/>
      <c r="N128" s="335"/>
      <c r="O128" s="335"/>
      <c r="P128" s="335"/>
      <c r="Q128" s="2"/>
      <c r="R128" s="335"/>
      <c r="S128" s="335"/>
      <c r="T128" s="335"/>
      <c r="U128" s="335"/>
      <c r="V128" s="201">
        <f>'I&amp;E Monthly'!V128</f>
        <v>0</v>
      </c>
      <c r="W128" s="372"/>
      <c r="X128" s="198"/>
      <c r="Y128" s="198"/>
      <c r="Z128" s="335"/>
      <c r="AA128" s="153" cm="1">
        <f t="array" ref="AA128">IF(OR(AA$4=0, $G128&lt;&gt; $G$7, $E128=0), 'I&amp;E Monthly'!AA128, CHOOSE(Timeline!AA$30,$J128,$K128,$L128 )*INDEX('I&amp;E Profiles'!AA$96:AA$180,$I128))</f>
        <v>4</v>
      </c>
      <c r="AB128" s="153" cm="1">
        <f t="array" ref="AB128">IF(OR(AB$4=0, $G128&lt;&gt; $G$7, $E128=0), 'I&amp;E Monthly'!AB128, CHOOSE(Timeline!AB$30,$J128,$K128,$L128 )*INDEX('I&amp;E Profiles'!AB$96:AB$180,$I128))</f>
        <v>4</v>
      </c>
      <c r="AC128" s="153" cm="1">
        <f t="array" ref="AC128">IF(OR(AC$4=0, $G128&lt;&gt; $G$7, $E128=0), 'I&amp;E Monthly'!AC128, CHOOSE(Timeline!AC$30,$J128,$K128,$L128 )*INDEX('I&amp;E Profiles'!AC$96:AC$180,$I128))</f>
        <v>4</v>
      </c>
      <c r="AD128" s="153" cm="1">
        <f t="array" ref="AD128">IF(OR(AD$4=0, $G128&lt;&gt; $G$7, $E128=0), 'I&amp;E Monthly'!AD128, CHOOSE(Timeline!AD$30,$J128,$K128,$L128 )*INDEX('I&amp;E Profiles'!AD$96:AD$180,$I128))</f>
        <v>4</v>
      </c>
      <c r="AE128" s="153" cm="1">
        <f t="array" ref="AE128">IF(OR(AE$4=0, $G128&lt;&gt; $G$7, $E128=0), 'I&amp;E Monthly'!AE128, CHOOSE(Timeline!AE$30,$J128,$K128,$L128 )*INDEX('I&amp;E Profiles'!AE$96:AE$180,$I128))</f>
        <v>4</v>
      </c>
      <c r="AF128" s="153" cm="1">
        <f t="array" ref="AF128">IF(OR(AF$4=0, $G128&lt;&gt; $G$7, $E128=0), 'I&amp;E Monthly'!AF128, CHOOSE(Timeline!AF$30,$J128,$K128,$L128 )*INDEX('I&amp;E Profiles'!AF$96:AF$180,$I128))</f>
        <v>4</v>
      </c>
      <c r="AG128" s="153" cm="1">
        <f t="array" ref="AG128">IF(OR(AG$4=0, $G128&lt;&gt; $G$7, $E128=0), 'I&amp;E Monthly'!AG128, CHOOSE(Timeline!AG$30,$J128,$K128,$L128 )*INDEX('I&amp;E Profiles'!AG$96:AG$180,$I128))</f>
        <v>4</v>
      </c>
      <c r="AH128" s="153" cm="1">
        <f t="array" ref="AH128">IF(OR(AH$4=0, $G128&lt;&gt; $G$7, $E128=0), 'I&amp;E Monthly'!AH128, CHOOSE(Timeline!AH$30,$J128,$K128,$L128 )*INDEX('I&amp;E Profiles'!AH$96:AH$180,$I128))</f>
        <v>4</v>
      </c>
      <c r="AI128" s="153" cm="1">
        <f t="array" ref="AI128">IF(OR(AI$4=0, $G128&lt;&gt; $G$7, $E128=0), 'I&amp;E Monthly'!AI128, CHOOSE(Timeline!AI$30,$J128,$K128,$L128 )*INDEX('I&amp;E Profiles'!AI$96:AI$180,$I128))</f>
        <v>4</v>
      </c>
      <c r="AJ128" s="153" cm="1">
        <f t="array" ref="AJ128">IF(OR(AJ$4=0, $G128&lt;&gt; $G$7, $E128=0), 'I&amp;E Monthly'!AJ128, CHOOSE(Timeline!AJ$30,$J128,$K128,$L128 )*INDEX('I&amp;E Profiles'!AJ$96:AJ$180,$I128))</f>
        <v>4</v>
      </c>
      <c r="AK128" s="153" cm="1">
        <f t="array" ref="AK128">IF(OR(AK$4=0, $G128&lt;&gt; $G$7, $E128=0), 'I&amp;E Monthly'!AK128, CHOOSE(Timeline!AK$30,$J128,$K128,$L128 )*INDEX('I&amp;E Profiles'!AK$96:AK$180,$I128))</f>
        <v>4</v>
      </c>
      <c r="AL128" s="153" cm="1">
        <f t="array" ref="AL128">IF(OR(AL$4=0, $G128&lt;&gt; $G$7, $E128=0), 'I&amp;E Monthly'!AL128, CHOOSE(Timeline!AL$30,$J128,$K128,$L128 )*INDEX('I&amp;E Profiles'!AL$96:AL$180,$I128))</f>
        <v>4</v>
      </c>
      <c r="AM128" s="153" cm="1">
        <f t="array" ref="AM128">IF(OR(AM$4=0, $G128&lt;&gt; $G$7, $E128=0), 'I&amp;E Monthly'!AM128, CHOOSE(Timeline!AM$30,$J128,$K128,$L128 )*INDEX('I&amp;E Profiles'!AM$96:AM$180,$I128))</f>
        <v>7</v>
      </c>
      <c r="AN128" s="153" cm="1">
        <f t="array" ref="AN128">IF(OR(AN$4=0, $G128&lt;&gt; $G$7, $E128=0), 'I&amp;E Monthly'!AN128, CHOOSE(Timeline!AN$30,$J128,$K128,$L128 )*INDEX('I&amp;E Profiles'!AN$96:AN$180,$I128))</f>
        <v>7</v>
      </c>
      <c r="AO128" s="153" cm="1">
        <f t="array" ref="AO128">IF(OR(AO$4=0, $G128&lt;&gt; $G$7, $E128=0), 'I&amp;E Monthly'!AO128, CHOOSE(Timeline!AO$30,$J128,$K128,$L128 )*INDEX('I&amp;E Profiles'!AO$96:AO$180,$I128))</f>
        <v>7</v>
      </c>
      <c r="AP128" s="153" cm="1">
        <f t="array" ref="AP128">IF(OR(AP$4=0, $G128&lt;&gt; $G$7, $E128=0), 'I&amp;E Monthly'!AP128, CHOOSE(Timeline!AP$30,$J128,$K128,$L128 )*INDEX('I&amp;E Profiles'!AP$96:AP$180,$I128))</f>
        <v>7</v>
      </c>
      <c r="AQ128" s="153" cm="1">
        <f t="array" ref="AQ128">IF(OR(AQ$4=0, $G128&lt;&gt; $G$7, $E128=0), 'I&amp;E Monthly'!AQ128, CHOOSE(Timeline!AQ$30,$J128,$K128,$L128 )*INDEX('I&amp;E Profiles'!AQ$96:AQ$180,$I128))</f>
        <v>7</v>
      </c>
      <c r="AR128" s="153" cm="1">
        <f t="array" ref="AR128">IF(OR(AR$4=0, $G128&lt;&gt; $G$7, $E128=0), 'I&amp;E Monthly'!AR128, CHOOSE(Timeline!AR$30,$J128,$K128,$L128 )*INDEX('I&amp;E Profiles'!AR$96:AR$180,$I128))</f>
        <v>7</v>
      </c>
      <c r="AS128" s="153" cm="1">
        <f t="array" ref="AS128">IF(OR(AS$4=0, $G128&lt;&gt; $G$7, $E128=0), 'I&amp;E Monthly'!AS128, CHOOSE(Timeline!AS$30,$J128,$K128,$L128 )*INDEX('I&amp;E Profiles'!AS$96:AS$180,$I128))</f>
        <v>7</v>
      </c>
      <c r="AT128" s="153" cm="1">
        <f t="array" ref="AT128">IF(OR(AT$4=0, $G128&lt;&gt; $G$7, $E128=0), 'I&amp;E Monthly'!AT128, CHOOSE(Timeline!AT$30,$J128,$K128,$L128 )*INDEX('I&amp;E Profiles'!AT$96:AT$180,$I128))</f>
        <v>7</v>
      </c>
      <c r="AU128" s="153" cm="1">
        <f t="array" ref="AU128">IF(OR(AU$4=0, $G128&lt;&gt; $G$7, $E128=0), 'I&amp;E Monthly'!AU128, CHOOSE(Timeline!AU$30,$J128,$K128,$L128 )*INDEX('I&amp;E Profiles'!AU$96:AU$180,$I128))</f>
        <v>8</v>
      </c>
      <c r="AV128" s="153" cm="1">
        <f t="array" ref="AV128">IF(OR(AV$4=0, $G128&lt;&gt; $G$7, $E128=0), 'I&amp;E Monthly'!AV128, CHOOSE(Timeline!AV$30,$J128,$K128,$L128 )*INDEX('I&amp;E Profiles'!AV$96:AV$180,$I128))</f>
        <v>7</v>
      </c>
      <c r="AW128" s="153" cm="1">
        <f t="array" ref="AW128">IF(OR(AW$4=0, $G128&lt;&gt; $G$7, $E128=0), 'I&amp;E Monthly'!AW128, CHOOSE(Timeline!AW$30,$J128,$K128,$L128 )*INDEX('I&amp;E Profiles'!AW$96:AW$180,$I128))</f>
        <v>8</v>
      </c>
      <c r="AX128" s="153" cm="1">
        <f t="array" ref="AX128">IF(OR(AX$4=0, $G128&lt;&gt; $G$7, $E128=0), 'I&amp;E Monthly'!AX128, CHOOSE(Timeline!AX$30,$J128,$K128,$L128 )*INDEX('I&amp;E Profiles'!AX$96:AX$180,$I128))</f>
        <v>8</v>
      </c>
      <c r="AY128" s="153" cm="1">
        <f t="array" ref="AY128">IF(OR(AY$4=0, $G128&lt;&gt; $G$7, $E128=0), 'I&amp;E Monthly'!AY128, CHOOSE(Timeline!AY$30,$J128,$K128,$L128 )*INDEX('I&amp;E Profiles'!AY$96:AY$180,$I128))</f>
        <v>7.1400000000000006</v>
      </c>
      <c r="AZ128" s="153" cm="1">
        <f t="array" ref="AZ128">IF(OR(AZ$4=0, $G128&lt;&gt; $G$7, $E128=0), 'I&amp;E Monthly'!AZ128, CHOOSE(Timeline!AZ$30,$J128,$K128,$L128 )*INDEX('I&amp;E Profiles'!AZ$96:AZ$180,$I128))</f>
        <v>7.1400000000000006</v>
      </c>
      <c r="BA128" s="153" cm="1">
        <f t="array" ref="BA128">IF(OR(BA$4=0, $G128&lt;&gt; $G$7, $E128=0), 'I&amp;E Monthly'!BA128, CHOOSE(Timeline!BA$30,$J128,$K128,$L128 )*INDEX('I&amp;E Profiles'!BA$96:BA$180,$I128))</f>
        <v>7.1400000000000006</v>
      </c>
      <c r="BB128" s="153" cm="1">
        <f t="array" ref="BB128">IF(OR(BB$4=0, $G128&lt;&gt; $G$7, $E128=0), 'I&amp;E Monthly'!BB128, CHOOSE(Timeline!BB$30,$J128,$K128,$L128 )*INDEX('I&amp;E Profiles'!BB$96:BB$180,$I128))</f>
        <v>7.1400000000000006</v>
      </c>
      <c r="BC128" s="153" cm="1">
        <f t="array" ref="BC128">IF(OR(BC$4=0, $G128&lt;&gt; $G$7, $E128=0), 'I&amp;E Monthly'!BC128, CHOOSE(Timeline!BC$30,$J128,$K128,$L128 )*INDEX('I&amp;E Profiles'!BC$96:BC$180,$I128))</f>
        <v>7.1400000000000006</v>
      </c>
      <c r="BD128" s="153" cm="1">
        <f t="array" ref="BD128">IF(OR(BD$4=0, $G128&lt;&gt; $G$7, $E128=0), 'I&amp;E Monthly'!BD128, CHOOSE(Timeline!BD$30,$J128,$K128,$L128 )*INDEX('I&amp;E Profiles'!BD$96:BD$180,$I128))</f>
        <v>7.1400000000000006</v>
      </c>
      <c r="BE128" s="153" cm="1">
        <f t="array" ref="BE128">IF(OR(BE$4=0, $G128&lt;&gt; $G$7, $E128=0), 'I&amp;E Monthly'!BE128, CHOOSE(Timeline!BE$30,$J128,$K128,$L128 )*INDEX('I&amp;E Profiles'!BE$96:BE$180,$I128))</f>
        <v>7.1400000000000006</v>
      </c>
      <c r="BF128" s="153" cm="1">
        <f t="array" ref="BF128">IF(OR(BF$4=0, $G128&lt;&gt; $G$7, $E128=0), 'I&amp;E Monthly'!BF128, CHOOSE(Timeline!BF$30,$J128,$K128,$L128 )*INDEX('I&amp;E Profiles'!BF$96:BF$180,$I128))</f>
        <v>7.1400000000000006</v>
      </c>
      <c r="BG128" s="153" cm="1">
        <f t="array" ref="BG128">IF(OR(BG$4=0, $G128&lt;&gt; $G$7, $E128=0), 'I&amp;E Monthly'!BG128, CHOOSE(Timeline!BG$30,$J128,$K128,$L128 )*INDEX('I&amp;E Profiles'!BG$96:BG$180,$I128))</f>
        <v>8.16</v>
      </c>
      <c r="BH128" s="153" cm="1">
        <f t="array" ref="BH128">IF(OR(BH$4=0, $G128&lt;&gt; $G$7, $E128=0), 'I&amp;E Monthly'!BH128, CHOOSE(Timeline!BH$30,$J128,$K128,$L128 )*INDEX('I&amp;E Profiles'!BH$96:BH$180,$I128))</f>
        <v>7.1400000000000006</v>
      </c>
      <c r="BI128" s="153" cm="1">
        <f t="array" ref="BI128">IF(OR(BI$4=0, $G128&lt;&gt; $G$7, $E128=0), 'I&amp;E Monthly'!BI128, CHOOSE(Timeline!BI$30,$J128,$K128,$L128 )*INDEX('I&amp;E Profiles'!BI$96:BI$180,$I128))</f>
        <v>8.16</v>
      </c>
      <c r="BJ128" s="153" cm="1">
        <f t="array" ref="BJ128">IF(OR(BJ$4=0, $G128&lt;&gt; $G$7, $E128=0), 'I&amp;E Monthly'!BJ128, CHOOSE(Timeline!BJ$30,$J128,$K128,$L128 )*INDEX('I&amp;E Profiles'!BJ$96:BJ$180,$I128))</f>
        <v>8.16</v>
      </c>
      <c r="BK128" s="335"/>
      <c r="BL128" s="13">
        <f t="shared" si="134"/>
        <v>0</v>
      </c>
      <c r="BM128" s="153">
        <f t="shared" si="135"/>
        <v>48</v>
      </c>
      <c r="BN128" s="153">
        <f t="shared" si="135"/>
        <v>87</v>
      </c>
      <c r="BO128" s="153">
        <f t="shared" si="135"/>
        <v>88.74</v>
      </c>
      <c r="BP128" s="13">
        <f>'I&amp;E Monthly'!BP128</f>
        <v>0</v>
      </c>
      <c r="BQ128" s="13">
        <f>'I&amp;E Monthly'!BQ128</f>
        <v>0</v>
      </c>
      <c r="BR128" s="13">
        <f>'I&amp;E Monthly'!BR128</f>
        <v>0</v>
      </c>
      <c r="BS128" s="13">
        <f>'I&amp;E Monthly'!BS128</f>
        <v>0</v>
      </c>
      <c r="BT128" s="13">
        <f>'I&amp;E Monthly'!BT128</f>
        <v>0</v>
      </c>
      <c r="BU128" s="13">
        <f>'I&amp;E Monthly'!BU128</f>
        <v>0</v>
      </c>
      <c r="BV128" s="13">
        <f>'I&amp;E Monthly'!BV128</f>
        <v>0</v>
      </c>
      <c r="BW128" s="13">
        <f>'I&amp;E Monthly'!BW128</f>
        <v>0</v>
      </c>
      <c r="BX128" s="335"/>
      <c r="BY128" s="12"/>
      <c r="BZ128" s="363">
        <f t="shared" ca="1" si="136"/>
        <v>0</v>
      </c>
      <c r="CA128" s="12"/>
      <c r="CB128" s="7">
        <f t="shared" si="137"/>
        <v>0</v>
      </c>
      <c r="CC128" s="188" cm="1">
        <f t="array" ref="CC128">IF(E128="",0, IF(_xlfn.IFNA(INDEX('I&amp;E Profiles'!$D$96:$D$180, $I128), "N/A")="N/A", 1, 0))</f>
        <v>0</v>
      </c>
      <c r="CD128" s="7">
        <f t="shared" si="138"/>
        <v>0</v>
      </c>
      <c r="CE128" s="7">
        <f t="shared" si="139"/>
        <v>0</v>
      </c>
      <c r="CF128" s="7">
        <f t="shared" si="140"/>
        <v>0</v>
      </c>
      <c r="CG128" s="12"/>
      <c r="CH128" s="352">
        <f t="shared" si="141"/>
        <v>0</v>
      </c>
      <c r="CI128" s="352">
        <f t="shared" si="142"/>
        <v>0</v>
      </c>
      <c r="CJ128" s="352">
        <f t="shared" si="143"/>
        <v>0</v>
      </c>
      <c r="CK128" s="352">
        <f t="shared" si="144"/>
        <v>0</v>
      </c>
      <c r="CL128" s="352">
        <f t="shared" si="145"/>
        <v>0</v>
      </c>
      <c r="CM128" s="352">
        <f t="shared" si="146"/>
        <v>0</v>
      </c>
      <c r="CN128" s="352">
        <f t="shared" si="147"/>
        <v>0</v>
      </c>
      <c r="EX128" s="10" t="str">
        <f t="shared" si="78"/>
        <v>Apprenticeship 2% payroll levy charge</v>
      </c>
    </row>
    <row r="129" spans="1:154" ht="15.75" x14ac:dyDescent="0.3">
      <c r="A129" s="362" cm="1">
        <f t="array" aca="1" ref="A129" ca="1">HYPERLINK(CONCATENATE("#",CELL("address",IF(SUM($CA129:$CG129)=0,A129,INDEX($CA129:$CG129,MATCH(1,$CA129:$CG129,0))))),SUM($CA129:$CG129))</f>
        <v>0</v>
      </c>
      <c r="B129" s="105" t="s">
        <v>335</v>
      </c>
      <c r="C129" s="343" t="s">
        <v>489</v>
      </c>
      <c r="D129" s="137" t="s">
        <v>871</v>
      </c>
      <c r="E129" s="147"/>
      <c r="F129" s="98" t="str" cm="1">
        <f t="array" aca="1" ref="F129" ca="1">IF(E129="", "", HYPERLINK(CONCATENATE("#",CELL("address",INDEX('I&amp;E Profiles'!$D$9:$D$93,'I&amp;E Annual'!I129))),E129))</f>
        <v/>
      </c>
      <c r="G129" s="147" t="s">
        <v>211</v>
      </c>
      <c r="H129" s="162" t="s">
        <v>86</v>
      </c>
      <c r="I129" s="350" t="str">
        <f>IF(E129="", "", MATCH(E129, 'I&amp;E Profiles'!$D$96:$D$180,0))</f>
        <v/>
      </c>
      <c r="J129" s="215">
        <f>IF($G129=$G$7, W129,'I&amp;E Monthly'!W129)-SUMIFS('I&amp;E Monthly'!$AA129:$BJ129, 'I&amp;E Monthly'!$AA$3:$BJ$3, 'I&amp;E Annual'!W$3, 'I&amp;E Monthly'!$AA$4:$BJ$4, 0)</f>
        <v>0</v>
      </c>
      <c r="K129" s="215">
        <f>IF($G129=$G$7, X129,'I&amp;E Monthly'!X129)-SUMIFS('I&amp;E Monthly'!$AA129:$BJ129, 'I&amp;E Monthly'!$AA$3:$BJ$3, 'I&amp;E Annual'!X$3, 'I&amp;E Monthly'!$AA$4:$BJ$4, 0)</f>
        <v>0</v>
      </c>
      <c r="L129" s="215">
        <f>IF($G129=$G$7, Y129,'I&amp;E Monthly'!Y129)-SUMIFS('I&amp;E Monthly'!$AA129:$BJ129, 'I&amp;E Monthly'!$AA$3:$BJ$3, 'I&amp;E Annual'!Y$3, 'I&amp;E Monthly'!$AA$4:$BJ$4, 0)</f>
        <v>0</v>
      </c>
      <c r="M129" s="335"/>
      <c r="N129" s="335"/>
      <c r="O129" s="335"/>
      <c r="P129" s="335"/>
      <c r="Q129" s="2"/>
      <c r="R129" s="335"/>
      <c r="S129" s="335"/>
      <c r="T129" s="335"/>
      <c r="U129" s="335"/>
      <c r="V129" s="215">
        <f>'I&amp;E Monthly'!V129</f>
        <v>0</v>
      </c>
      <c r="W129" s="147"/>
      <c r="X129" s="227"/>
      <c r="Y129" s="227"/>
      <c r="Z129" s="335"/>
      <c r="AA129" s="153" cm="1">
        <f t="array" ref="AA129">IF(OR(AA$4=0, $G129&lt;&gt; $G$7, $E129=0), 'I&amp;E Monthly'!AA129, CHOOSE(Timeline!AA$30,$J129,$K129,$L129 )*INDEX('I&amp;E Profiles'!AA$96:AA$180,$I129))</f>
        <v>0</v>
      </c>
      <c r="AB129" s="153" cm="1">
        <f t="array" ref="AB129">IF(OR(AB$4=0, $G129&lt;&gt; $G$7, $E129=0), 'I&amp;E Monthly'!AB129, CHOOSE(Timeline!AB$30,$J129,$K129,$L129 )*INDEX('I&amp;E Profiles'!AB$96:AB$180,$I129))</f>
        <v>0</v>
      </c>
      <c r="AC129" s="153" cm="1">
        <f t="array" ref="AC129">IF(OR(AC$4=0, $G129&lt;&gt; $G$7, $E129=0), 'I&amp;E Monthly'!AC129, CHOOSE(Timeline!AC$30,$J129,$K129,$L129 )*INDEX('I&amp;E Profiles'!AC$96:AC$180,$I129))</f>
        <v>0</v>
      </c>
      <c r="AD129" s="153" cm="1">
        <f t="array" ref="AD129">IF(OR(AD$4=0, $G129&lt;&gt; $G$7, $E129=0), 'I&amp;E Monthly'!AD129, CHOOSE(Timeline!AD$30,$J129,$K129,$L129 )*INDEX('I&amp;E Profiles'!AD$96:AD$180,$I129))</f>
        <v>0</v>
      </c>
      <c r="AE129" s="153" cm="1">
        <f t="array" ref="AE129">IF(OR(AE$4=0, $G129&lt;&gt; $G$7, $E129=0), 'I&amp;E Monthly'!AE129, CHOOSE(Timeline!AE$30,$J129,$K129,$L129 )*INDEX('I&amp;E Profiles'!AE$96:AE$180,$I129))</f>
        <v>0</v>
      </c>
      <c r="AF129" s="153" cm="1">
        <f t="array" ref="AF129">IF(OR(AF$4=0, $G129&lt;&gt; $G$7, $E129=0), 'I&amp;E Monthly'!AF129, CHOOSE(Timeline!AF$30,$J129,$K129,$L129 )*INDEX('I&amp;E Profiles'!AF$96:AF$180,$I129))</f>
        <v>0</v>
      </c>
      <c r="AG129" s="153" cm="1">
        <f t="array" ref="AG129">IF(OR(AG$4=0, $G129&lt;&gt; $G$7, $E129=0), 'I&amp;E Monthly'!AG129, CHOOSE(Timeline!AG$30,$J129,$K129,$L129 )*INDEX('I&amp;E Profiles'!AG$96:AG$180,$I129))</f>
        <v>0</v>
      </c>
      <c r="AH129" s="153" cm="1">
        <f t="array" ref="AH129">IF(OR(AH$4=0, $G129&lt;&gt; $G$7, $E129=0), 'I&amp;E Monthly'!AH129, CHOOSE(Timeline!AH$30,$J129,$K129,$L129 )*INDEX('I&amp;E Profiles'!AH$96:AH$180,$I129))</f>
        <v>0</v>
      </c>
      <c r="AI129" s="153" cm="1">
        <f t="array" ref="AI129">IF(OR(AI$4=0, $G129&lt;&gt; $G$7, $E129=0), 'I&amp;E Monthly'!AI129, CHOOSE(Timeline!AI$30,$J129,$K129,$L129 )*INDEX('I&amp;E Profiles'!AI$96:AI$180,$I129))</f>
        <v>0</v>
      </c>
      <c r="AJ129" s="153" cm="1">
        <f t="array" ref="AJ129">IF(OR(AJ$4=0, $G129&lt;&gt; $G$7, $E129=0), 'I&amp;E Monthly'!AJ129, CHOOSE(Timeline!AJ$30,$J129,$K129,$L129 )*INDEX('I&amp;E Profiles'!AJ$96:AJ$180,$I129))</f>
        <v>0</v>
      </c>
      <c r="AK129" s="153" cm="1">
        <f t="array" ref="AK129">IF(OR(AK$4=0, $G129&lt;&gt; $G$7, $E129=0), 'I&amp;E Monthly'!AK129, CHOOSE(Timeline!AK$30,$J129,$K129,$L129 )*INDEX('I&amp;E Profiles'!AK$96:AK$180,$I129))</f>
        <v>0</v>
      </c>
      <c r="AL129" s="153" cm="1">
        <f t="array" ref="AL129">IF(OR(AL$4=0, $G129&lt;&gt; $G$7, $E129=0), 'I&amp;E Monthly'!AL129, CHOOSE(Timeline!AL$30,$J129,$K129,$L129 )*INDEX('I&amp;E Profiles'!AL$96:AL$180,$I129))</f>
        <v>0</v>
      </c>
      <c r="AM129" s="153" cm="1">
        <f t="array" ref="AM129">IF(OR(AM$4=0, $G129&lt;&gt; $G$7, $E129=0), 'I&amp;E Monthly'!AM129, CHOOSE(Timeline!AM$30,$J129,$K129,$L129 )*INDEX('I&amp;E Profiles'!AM$96:AM$180,$I129))</f>
        <v>0</v>
      </c>
      <c r="AN129" s="153" cm="1">
        <f t="array" ref="AN129">IF(OR(AN$4=0, $G129&lt;&gt; $G$7, $E129=0), 'I&amp;E Monthly'!AN129, CHOOSE(Timeline!AN$30,$J129,$K129,$L129 )*INDEX('I&amp;E Profiles'!AN$96:AN$180,$I129))</f>
        <v>0</v>
      </c>
      <c r="AO129" s="153" cm="1">
        <f t="array" ref="AO129">IF(OR(AO$4=0, $G129&lt;&gt; $G$7, $E129=0), 'I&amp;E Monthly'!AO129, CHOOSE(Timeline!AO$30,$J129,$K129,$L129 )*INDEX('I&amp;E Profiles'!AO$96:AO$180,$I129))</f>
        <v>0</v>
      </c>
      <c r="AP129" s="153" cm="1">
        <f t="array" ref="AP129">IF(OR(AP$4=0, $G129&lt;&gt; $G$7, $E129=0), 'I&amp;E Monthly'!AP129, CHOOSE(Timeline!AP$30,$J129,$K129,$L129 )*INDEX('I&amp;E Profiles'!AP$96:AP$180,$I129))</f>
        <v>0</v>
      </c>
      <c r="AQ129" s="153" cm="1">
        <f t="array" ref="AQ129">IF(OR(AQ$4=0, $G129&lt;&gt; $G$7, $E129=0), 'I&amp;E Monthly'!AQ129, CHOOSE(Timeline!AQ$30,$J129,$K129,$L129 )*INDEX('I&amp;E Profiles'!AQ$96:AQ$180,$I129))</f>
        <v>0</v>
      </c>
      <c r="AR129" s="153" cm="1">
        <f t="array" ref="AR129">IF(OR(AR$4=0, $G129&lt;&gt; $G$7, $E129=0), 'I&amp;E Monthly'!AR129, CHOOSE(Timeline!AR$30,$J129,$K129,$L129 )*INDEX('I&amp;E Profiles'!AR$96:AR$180,$I129))</f>
        <v>0</v>
      </c>
      <c r="AS129" s="153" cm="1">
        <f t="array" ref="AS129">IF(OR(AS$4=0, $G129&lt;&gt; $G$7, $E129=0), 'I&amp;E Monthly'!AS129, CHOOSE(Timeline!AS$30,$J129,$K129,$L129 )*INDEX('I&amp;E Profiles'!AS$96:AS$180,$I129))</f>
        <v>0</v>
      </c>
      <c r="AT129" s="153" cm="1">
        <f t="array" ref="AT129">IF(OR(AT$4=0, $G129&lt;&gt; $G$7, $E129=0), 'I&amp;E Monthly'!AT129, CHOOSE(Timeline!AT$30,$J129,$K129,$L129 )*INDEX('I&amp;E Profiles'!AT$96:AT$180,$I129))</f>
        <v>0</v>
      </c>
      <c r="AU129" s="153" cm="1">
        <f t="array" ref="AU129">IF(OR(AU$4=0, $G129&lt;&gt; $G$7, $E129=0), 'I&amp;E Monthly'!AU129, CHOOSE(Timeline!AU$30,$J129,$K129,$L129 )*INDEX('I&amp;E Profiles'!AU$96:AU$180,$I129))</f>
        <v>0</v>
      </c>
      <c r="AV129" s="153" cm="1">
        <f t="array" ref="AV129">IF(OR(AV$4=0, $G129&lt;&gt; $G$7, $E129=0), 'I&amp;E Monthly'!AV129, CHOOSE(Timeline!AV$30,$J129,$K129,$L129 )*INDEX('I&amp;E Profiles'!AV$96:AV$180,$I129))</f>
        <v>0</v>
      </c>
      <c r="AW129" s="153" cm="1">
        <f t="array" ref="AW129">IF(OR(AW$4=0, $G129&lt;&gt; $G$7, $E129=0), 'I&amp;E Monthly'!AW129, CHOOSE(Timeline!AW$30,$J129,$K129,$L129 )*INDEX('I&amp;E Profiles'!AW$96:AW$180,$I129))</f>
        <v>0</v>
      </c>
      <c r="AX129" s="153" cm="1">
        <f t="array" ref="AX129">IF(OR(AX$4=0, $G129&lt;&gt; $G$7, $E129=0), 'I&amp;E Monthly'!AX129, CHOOSE(Timeline!AX$30,$J129,$K129,$L129 )*INDEX('I&amp;E Profiles'!AX$96:AX$180,$I129))</f>
        <v>0</v>
      </c>
      <c r="AY129" s="153" cm="1">
        <f t="array" ref="AY129">IF(OR(AY$4=0, $G129&lt;&gt; $G$7, $E129=0), 'I&amp;E Monthly'!AY129, CHOOSE(Timeline!AY$30,$J129,$K129,$L129 )*INDEX('I&amp;E Profiles'!AY$96:AY$180,$I129))</f>
        <v>0</v>
      </c>
      <c r="AZ129" s="153" cm="1">
        <f t="array" ref="AZ129">IF(OR(AZ$4=0, $G129&lt;&gt; $G$7, $E129=0), 'I&amp;E Monthly'!AZ129, CHOOSE(Timeline!AZ$30,$J129,$K129,$L129 )*INDEX('I&amp;E Profiles'!AZ$96:AZ$180,$I129))</f>
        <v>0</v>
      </c>
      <c r="BA129" s="153" cm="1">
        <f t="array" ref="BA129">IF(OR(BA$4=0, $G129&lt;&gt; $G$7, $E129=0), 'I&amp;E Monthly'!BA129, CHOOSE(Timeline!BA$30,$J129,$K129,$L129 )*INDEX('I&amp;E Profiles'!BA$96:BA$180,$I129))</f>
        <v>0</v>
      </c>
      <c r="BB129" s="153" cm="1">
        <f t="array" ref="BB129">IF(OR(BB$4=0, $G129&lt;&gt; $G$7, $E129=0), 'I&amp;E Monthly'!BB129, CHOOSE(Timeline!BB$30,$J129,$K129,$L129 )*INDEX('I&amp;E Profiles'!BB$96:BB$180,$I129))</f>
        <v>0</v>
      </c>
      <c r="BC129" s="153" cm="1">
        <f t="array" ref="BC129">IF(OR(BC$4=0, $G129&lt;&gt; $G$7, $E129=0), 'I&amp;E Monthly'!BC129, CHOOSE(Timeline!BC$30,$J129,$K129,$L129 )*INDEX('I&amp;E Profiles'!BC$96:BC$180,$I129))</f>
        <v>0</v>
      </c>
      <c r="BD129" s="153" cm="1">
        <f t="array" ref="BD129">IF(OR(BD$4=0, $G129&lt;&gt; $G$7, $E129=0), 'I&amp;E Monthly'!BD129, CHOOSE(Timeline!BD$30,$J129,$K129,$L129 )*INDEX('I&amp;E Profiles'!BD$96:BD$180,$I129))</f>
        <v>0</v>
      </c>
      <c r="BE129" s="153" cm="1">
        <f t="array" ref="BE129">IF(OR(BE$4=0, $G129&lt;&gt; $G$7, $E129=0), 'I&amp;E Monthly'!BE129, CHOOSE(Timeline!BE$30,$J129,$K129,$L129 )*INDEX('I&amp;E Profiles'!BE$96:BE$180,$I129))</f>
        <v>0</v>
      </c>
      <c r="BF129" s="153" cm="1">
        <f t="array" ref="BF129">IF(OR(BF$4=0, $G129&lt;&gt; $G$7, $E129=0), 'I&amp;E Monthly'!BF129, CHOOSE(Timeline!BF$30,$J129,$K129,$L129 )*INDEX('I&amp;E Profiles'!BF$96:BF$180,$I129))</f>
        <v>0</v>
      </c>
      <c r="BG129" s="153" cm="1">
        <f t="array" ref="BG129">IF(OR(BG$4=0, $G129&lt;&gt; $G$7, $E129=0), 'I&amp;E Monthly'!BG129, CHOOSE(Timeline!BG$30,$J129,$K129,$L129 )*INDEX('I&amp;E Profiles'!BG$96:BG$180,$I129))</f>
        <v>0</v>
      </c>
      <c r="BH129" s="153" cm="1">
        <f t="array" ref="BH129">IF(OR(BH$4=0, $G129&lt;&gt; $G$7, $E129=0), 'I&amp;E Monthly'!BH129, CHOOSE(Timeline!BH$30,$J129,$K129,$L129 )*INDEX('I&amp;E Profiles'!BH$96:BH$180,$I129))</f>
        <v>0</v>
      </c>
      <c r="BI129" s="153" cm="1">
        <f t="array" ref="BI129">IF(OR(BI$4=0, $G129&lt;&gt; $G$7, $E129=0), 'I&amp;E Monthly'!BI129, CHOOSE(Timeline!BI$30,$J129,$K129,$L129 )*INDEX('I&amp;E Profiles'!BI$96:BI$180,$I129))</f>
        <v>0</v>
      </c>
      <c r="BJ129" s="153" cm="1">
        <f t="array" ref="BJ129">IF(OR(BJ$4=0, $G129&lt;&gt; $G$7, $E129=0), 'I&amp;E Monthly'!BJ129, CHOOSE(Timeline!BJ$30,$J129,$K129,$L129 )*INDEX('I&amp;E Profiles'!BJ$96:BJ$180,$I129))</f>
        <v>0</v>
      </c>
      <c r="BK129" s="335"/>
      <c r="BL129" s="152">
        <f t="shared" si="134"/>
        <v>0</v>
      </c>
      <c r="BM129" s="153">
        <f t="shared" si="135"/>
        <v>0</v>
      </c>
      <c r="BN129" s="153">
        <f t="shared" si="135"/>
        <v>0</v>
      </c>
      <c r="BO129" s="153">
        <f t="shared" si="135"/>
        <v>0</v>
      </c>
      <c r="BP129" s="152">
        <f>'I&amp;E Monthly'!BP129</f>
        <v>0</v>
      </c>
      <c r="BQ129" s="152">
        <f>'I&amp;E Monthly'!BQ129</f>
        <v>0</v>
      </c>
      <c r="BR129" s="152">
        <f>'I&amp;E Monthly'!BR129</f>
        <v>0</v>
      </c>
      <c r="BS129" s="152">
        <f>'I&amp;E Monthly'!BS129</f>
        <v>0</v>
      </c>
      <c r="BT129" s="152">
        <f>'I&amp;E Monthly'!BT129</f>
        <v>0</v>
      </c>
      <c r="BU129" s="152">
        <f>'I&amp;E Monthly'!BU129</f>
        <v>0</v>
      </c>
      <c r="BV129" s="152">
        <f>'I&amp;E Monthly'!BV129</f>
        <v>0</v>
      </c>
      <c r="BW129" s="152">
        <f>'I&amp;E Monthly'!BW129</f>
        <v>0</v>
      </c>
      <c r="BX129" s="335"/>
      <c r="BY129" s="12"/>
      <c r="BZ129" s="363">
        <f t="shared" ca="1" si="136"/>
        <v>0</v>
      </c>
      <c r="CA129" s="12"/>
      <c r="CB129" s="7">
        <f t="shared" si="137"/>
        <v>0</v>
      </c>
      <c r="CC129" s="188" cm="1">
        <f t="array" ref="CC129">IF(E129="",0, IF(_xlfn.IFNA(INDEX('I&amp;E Profiles'!$D$96:$D$180, $I129), "N/A")="N/A", 1, 0))</f>
        <v>0</v>
      </c>
      <c r="CD129" s="7">
        <f t="shared" si="138"/>
        <v>0</v>
      </c>
      <c r="CE129" s="7">
        <f t="shared" si="139"/>
        <v>0</v>
      </c>
      <c r="CF129" s="7">
        <f t="shared" si="140"/>
        <v>0</v>
      </c>
      <c r="CG129" s="12"/>
      <c r="CH129" s="352">
        <f t="shared" si="141"/>
        <v>0</v>
      </c>
      <c r="CI129" s="352">
        <f t="shared" si="142"/>
        <v>0</v>
      </c>
      <c r="CJ129" s="352">
        <f t="shared" si="143"/>
        <v>0</v>
      </c>
      <c r="CK129" s="352">
        <f t="shared" si="144"/>
        <v>0</v>
      </c>
      <c r="CL129" s="352">
        <f t="shared" si="145"/>
        <v>0</v>
      </c>
      <c r="CM129" s="352">
        <f t="shared" si="146"/>
        <v>0</v>
      </c>
      <c r="CN129" s="352">
        <f t="shared" si="147"/>
        <v>0</v>
      </c>
      <c r="EX129" s="10" t="str">
        <f t="shared" si="78"/>
        <v>Other staff costs</v>
      </c>
    </row>
    <row r="130" spans="1:154" ht="30" x14ac:dyDescent="0.25">
      <c r="A130" s="362" cm="1">
        <f t="array" aca="1" ref="A130" ca="1">HYPERLINK(CONCATENATE("#",CELL("address",IF(SUM($CA130:$CG130)=0,A130,INDEX($CA130:$CG130,MATCH(1,$CA130:$CG130,0))))),SUM($CA130:$CG130))</f>
        <v>0</v>
      </c>
      <c r="B130" s="170" t="s">
        <v>335</v>
      </c>
      <c r="C130" s="343" t="s">
        <v>878</v>
      </c>
      <c r="D130" s="137" t="s">
        <v>867</v>
      </c>
      <c r="E130" s="470" t="str" cm="1">
        <f t="array" aca="1" ref="E130" ca="1">HYPERLINK(CONCATENATE("#",CELL("address",'BS Forecasts'!$D$182)),"LPGS Costs")</f>
        <v>LPGS Costs</v>
      </c>
      <c r="F130" s="470" t="str" cm="1">
        <f t="array" aca="1" ref="F130" ca="1">HYPERLINK(CONCATENATE("#",CELL("address",'BS Forecasts'!$D$205)),'BS Forecasts'!$D$203)</f>
        <v>Other Pension Provisions</v>
      </c>
      <c r="G130" s="470" t="str" cm="1">
        <f t="array" aca="1" ref="G130" ca="1">HYPERLINK(CONCATENATE("#",CELL("address",'BS Forecasts'!$D$207)),'BS Forecasts'!$D$203)</f>
        <v>Other Pension Provisions</v>
      </c>
      <c r="H130" s="162" t="s">
        <v>86</v>
      </c>
      <c r="I130" s="335"/>
      <c r="Q130" s="2"/>
      <c r="R130" s="335"/>
      <c r="S130" s="335"/>
      <c r="T130" s="335"/>
      <c r="U130" s="335"/>
      <c r="V130" s="153">
        <f>'I&amp;E Monthly'!V$130</f>
        <v>0</v>
      </c>
      <c r="W130" s="153">
        <f>'I&amp;E Monthly'!W$130</f>
        <v>0</v>
      </c>
      <c r="X130" s="153">
        <f>'I&amp;E Monthly'!X$130</f>
        <v>0</v>
      </c>
      <c r="Y130" s="153">
        <f>'I&amp;E Monthly'!Y$130</f>
        <v>0</v>
      </c>
      <c r="Z130" s="335"/>
      <c r="AA130" s="153">
        <f>'I&amp;E Monthly'!AA$130</f>
        <v>0</v>
      </c>
      <c r="AB130" s="153">
        <f>'I&amp;E Monthly'!AB$130</f>
        <v>0</v>
      </c>
      <c r="AC130" s="153">
        <f>'I&amp;E Monthly'!AC$130</f>
        <v>0</v>
      </c>
      <c r="AD130" s="153">
        <f>'I&amp;E Monthly'!AD$130</f>
        <v>0</v>
      </c>
      <c r="AE130" s="153">
        <f>'I&amp;E Monthly'!AE$130</f>
        <v>0</v>
      </c>
      <c r="AF130" s="153">
        <f>'I&amp;E Monthly'!AF$130</f>
        <v>0</v>
      </c>
      <c r="AG130" s="153">
        <f>'I&amp;E Monthly'!AG$130</f>
        <v>0</v>
      </c>
      <c r="AH130" s="153">
        <f>'I&amp;E Monthly'!AH$130</f>
        <v>0</v>
      </c>
      <c r="AI130" s="153">
        <f>'I&amp;E Monthly'!AI$130</f>
        <v>0</v>
      </c>
      <c r="AJ130" s="153">
        <f>'I&amp;E Monthly'!AJ$130</f>
        <v>0</v>
      </c>
      <c r="AK130" s="153">
        <f>'I&amp;E Monthly'!AK$130</f>
        <v>0</v>
      </c>
      <c r="AL130" s="153">
        <f>'I&amp;E Monthly'!AL$130</f>
        <v>0</v>
      </c>
      <c r="AM130" s="153">
        <f>'I&amp;E Monthly'!AM$130</f>
        <v>0</v>
      </c>
      <c r="AN130" s="153">
        <f>'I&amp;E Monthly'!AN$130</f>
        <v>0</v>
      </c>
      <c r="AO130" s="153">
        <f>'I&amp;E Monthly'!AO$130</f>
        <v>0</v>
      </c>
      <c r="AP130" s="153">
        <f>'I&amp;E Monthly'!AP$130</f>
        <v>0</v>
      </c>
      <c r="AQ130" s="153">
        <f>'I&amp;E Monthly'!AQ$130</f>
        <v>0</v>
      </c>
      <c r="AR130" s="153">
        <f>'I&amp;E Monthly'!AR$130</f>
        <v>0</v>
      </c>
      <c r="AS130" s="153">
        <f>'I&amp;E Monthly'!AS$130</f>
        <v>0</v>
      </c>
      <c r="AT130" s="153">
        <f>'I&amp;E Monthly'!AT$130</f>
        <v>0</v>
      </c>
      <c r="AU130" s="153">
        <f>'I&amp;E Monthly'!AU$130</f>
        <v>0</v>
      </c>
      <c r="AV130" s="153">
        <f>'I&amp;E Monthly'!AV$130</f>
        <v>0</v>
      </c>
      <c r="AW130" s="153">
        <f>'I&amp;E Monthly'!AW$130</f>
        <v>0</v>
      </c>
      <c r="AX130" s="153">
        <f>'I&amp;E Monthly'!AX$130</f>
        <v>0</v>
      </c>
      <c r="AY130" s="153">
        <f>'I&amp;E Monthly'!AY$130</f>
        <v>0</v>
      </c>
      <c r="AZ130" s="153">
        <f>'I&amp;E Monthly'!AZ$130</f>
        <v>0</v>
      </c>
      <c r="BA130" s="153">
        <f>'I&amp;E Monthly'!BA$130</f>
        <v>0</v>
      </c>
      <c r="BB130" s="153">
        <f>'I&amp;E Monthly'!BB$130</f>
        <v>0</v>
      </c>
      <c r="BC130" s="153">
        <f>'I&amp;E Monthly'!BC$130</f>
        <v>0</v>
      </c>
      <c r="BD130" s="153">
        <f>'I&amp;E Monthly'!BD$130</f>
        <v>0</v>
      </c>
      <c r="BE130" s="153">
        <f>'I&amp;E Monthly'!BE$130</f>
        <v>0</v>
      </c>
      <c r="BF130" s="153">
        <f>'I&amp;E Monthly'!BF$130</f>
        <v>0</v>
      </c>
      <c r="BG130" s="153">
        <f>'I&amp;E Monthly'!BG$130</f>
        <v>0</v>
      </c>
      <c r="BH130" s="153">
        <f>'I&amp;E Monthly'!BH$130</f>
        <v>0</v>
      </c>
      <c r="BI130" s="153">
        <f>'I&amp;E Monthly'!BI$130</f>
        <v>0</v>
      </c>
      <c r="BJ130" s="153">
        <f>'I&amp;E Monthly'!BJ$130</f>
        <v>0</v>
      </c>
      <c r="BK130" s="335"/>
      <c r="BL130" s="153">
        <f>'I&amp;E Monthly'!BL$130</f>
        <v>0</v>
      </c>
      <c r="BM130" s="153">
        <f>'I&amp;E Monthly'!BM$130</f>
        <v>0</v>
      </c>
      <c r="BN130" s="153">
        <f>'I&amp;E Monthly'!BN$130</f>
        <v>0</v>
      </c>
      <c r="BO130" s="153">
        <f>'I&amp;E Monthly'!BO$130</f>
        <v>0</v>
      </c>
      <c r="BP130" s="153">
        <f>'I&amp;E Monthly'!BP$130</f>
        <v>0</v>
      </c>
      <c r="BQ130" s="153">
        <f>'I&amp;E Monthly'!BQ$130</f>
        <v>0</v>
      </c>
      <c r="BR130" s="153">
        <f>'I&amp;E Monthly'!BR$130</f>
        <v>0</v>
      </c>
      <c r="BS130" s="153">
        <f>'I&amp;E Monthly'!BS$130</f>
        <v>0</v>
      </c>
      <c r="BT130" s="153">
        <f>'I&amp;E Monthly'!BT$130</f>
        <v>0</v>
      </c>
      <c r="BU130" s="153">
        <f>'I&amp;E Monthly'!BU$130</f>
        <v>0</v>
      </c>
      <c r="BV130" s="153">
        <f>'I&amp;E Monthly'!BV$130</f>
        <v>0</v>
      </c>
      <c r="BW130" s="153">
        <f>'I&amp;E Monthly'!BW$130</f>
        <v>0</v>
      </c>
      <c r="BY130" s="12"/>
      <c r="BZ130" s="335"/>
      <c r="CA130" s="12"/>
      <c r="CC130" s="335"/>
      <c r="CD130" s="7">
        <f t="shared" ca="1" si="138"/>
        <v>0</v>
      </c>
      <c r="CE130" s="7">
        <f t="shared" si="139"/>
        <v>0</v>
      </c>
      <c r="CF130" s="7">
        <f t="shared" si="140"/>
        <v>0</v>
      </c>
      <c r="CG130" s="12"/>
      <c r="CH130" s="352">
        <f ca="1">IF($F130=$G$7, ROUND(W130-SUMIFS($AA130:$BJ130, $AA$3:$BJ$3, W$3), rounding), 0)</f>
        <v>0</v>
      </c>
      <c r="CI130" s="352">
        <f ca="1">IF($F130=$G$7, ROUND(X130-SUMIFS($AA130:$BJ130, $AA$3:$BJ$3, X$3), rounding), 0)</f>
        <v>0</v>
      </c>
      <c r="CJ130" s="352">
        <f ca="1">IF($F130=$G$7, ROUND(Y130-SUMIFS($AA130:$BJ130, $AA$3:$BJ$3, Y$3), rounding), 0)</f>
        <v>0</v>
      </c>
      <c r="CK130" s="352">
        <f t="shared" si="144"/>
        <v>0</v>
      </c>
      <c r="CL130" s="352">
        <f t="shared" si="145"/>
        <v>0</v>
      </c>
      <c r="CM130" s="352">
        <f t="shared" si="146"/>
        <v>0</v>
      </c>
      <c r="CN130" s="352">
        <f t="shared" si="147"/>
        <v>0</v>
      </c>
      <c r="EX130" s="10" t="str">
        <f t="shared" si="78"/>
        <v>FRS102 adj. - LGPS and EPP current service costs (non-cash)</v>
      </c>
    </row>
    <row r="131" spans="1:154" hidden="1" x14ac:dyDescent="0.25">
      <c r="A131" s="362" cm="1">
        <f t="array" aca="1" ref="A131" ca="1">HYPERLINK(CONCATENATE("#",CELL("address",IF(SUM($CA131:$CG131)=0,A131,INDEX($CA131:$CG131,MATCH(1,$CA131:$CG131,0))))),SUM($CA131:$CG131))</f>
        <v>0</v>
      </c>
      <c r="B131" s="335"/>
      <c r="C131" s="383"/>
      <c r="D131" s="137" t="s">
        <v>2316</v>
      </c>
      <c r="E131" s="136"/>
      <c r="F131" s="98" t="str" cm="1">
        <f t="array" aca="1" ref="F131" ca="1">IF(E131="", "", HYPERLINK(CONCATENATE("#",CELL("address",INDEX('I&amp;E Profiles'!$D$9:$D$93,'I&amp;E Annual'!I131))),E131))</f>
        <v/>
      </c>
      <c r="G131" s="136"/>
      <c r="I131" s="200" t="str">
        <f>IF(E131="", "", MATCH(E131, 'I&amp;E Profiles'!$D$96:$D$180,0))</f>
        <v/>
      </c>
      <c r="J131" s="215">
        <f>IF($G131=$G$7, W131,'I&amp;E Monthly'!W131)-SUMIFS('I&amp;E Monthly'!$AA131:$BJ131, 'I&amp;E Monthly'!$AA$3:$BJ$3, 'I&amp;E Annual'!W$3, 'I&amp;E Monthly'!$AA$4:$BJ$4, 0)</f>
        <v>0</v>
      </c>
      <c r="K131" s="215">
        <f>IF($G131=$G$7, X131,'I&amp;E Monthly'!X131)-SUMIFS('I&amp;E Monthly'!$AA131:$BJ131, 'I&amp;E Monthly'!$AA$3:$BJ$3, 'I&amp;E Annual'!X$3, 'I&amp;E Monthly'!$AA$4:$BJ$4, 0)</f>
        <v>0</v>
      </c>
      <c r="L131" s="215">
        <f>IF($G131=$G$7, Y131,'I&amp;E Monthly'!Y131)-SUMIFS('I&amp;E Monthly'!$AA131:$BJ131, 'I&amp;E Monthly'!$AA$3:$BJ$3, 'I&amp;E Annual'!Y$3, 'I&amp;E Monthly'!$AA$4:$BJ$4, 0)</f>
        <v>0</v>
      </c>
      <c r="M131" s="335"/>
      <c r="N131" s="335"/>
      <c r="O131" s="335"/>
      <c r="P131" s="335"/>
      <c r="Q131" s="2"/>
      <c r="R131" s="335"/>
      <c r="S131" s="335"/>
      <c r="T131" s="335"/>
      <c r="U131" s="335"/>
      <c r="V131" s="201">
        <f>'I&amp;E Monthly'!V131</f>
        <v>0</v>
      </c>
      <c r="W131" s="136"/>
      <c r="X131" s="136"/>
      <c r="Y131" s="136"/>
      <c r="Z131" s="335"/>
      <c r="AA131" s="153" cm="1">
        <f t="array" ref="AA131">IF(OR(AA$4=0, $G131&lt;&gt; $G$7, $E131=0), 'I&amp;E Monthly'!AA131, CHOOSE(Timeline!AA$30,$J131,$K131,$L131 )*INDEX('I&amp;E Profiles'!AA$96:AA$180,$I131))</f>
        <v>0</v>
      </c>
      <c r="AB131" s="153" cm="1">
        <f t="array" ref="AB131">IF(OR(AB$4=0, $G131&lt;&gt; $G$7, $E131=0), 'I&amp;E Monthly'!AB131, CHOOSE(Timeline!AB$30,$J131,$K131,$L131 )*INDEX('I&amp;E Profiles'!AB$96:AB$180,$I131))</f>
        <v>0</v>
      </c>
      <c r="AC131" s="153" cm="1">
        <f t="array" ref="AC131">IF(OR(AC$4=0, $G131&lt;&gt; $G$7, $E131=0), 'I&amp;E Monthly'!AC131, CHOOSE(Timeline!AC$30,$J131,$K131,$L131 )*INDEX('I&amp;E Profiles'!AC$96:AC$180,$I131))</f>
        <v>0</v>
      </c>
      <c r="AD131" s="153" cm="1">
        <f t="array" ref="AD131">IF(OR(AD$4=0, $G131&lt;&gt; $G$7, $E131=0), 'I&amp;E Monthly'!AD131, CHOOSE(Timeline!AD$30,$J131,$K131,$L131 )*INDEX('I&amp;E Profiles'!AD$96:AD$180,$I131))</f>
        <v>0</v>
      </c>
      <c r="AE131" s="153" cm="1">
        <f t="array" ref="AE131">IF(OR(AE$4=0, $G131&lt;&gt; $G$7, $E131=0), 'I&amp;E Monthly'!AE131, CHOOSE(Timeline!AE$30,$J131,$K131,$L131 )*INDEX('I&amp;E Profiles'!AE$96:AE$180,$I131))</f>
        <v>0</v>
      </c>
      <c r="AF131" s="153" cm="1">
        <f t="array" ref="AF131">IF(OR(AF$4=0, $G131&lt;&gt; $G$7, $E131=0), 'I&amp;E Monthly'!AF131, CHOOSE(Timeline!AF$30,$J131,$K131,$L131 )*INDEX('I&amp;E Profiles'!AF$96:AF$180,$I131))</f>
        <v>0</v>
      </c>
      <c r="AG131" s="153" cm="1">
        <f t="array" ref="AG131">IF(OR(AG$4=0, $G131&lt;&gt; $G$7, $E131=0), 'I&amp;E Monthly'!AG131, CHOOSE(Timeline!AG$30,$J131,$K131,$L131 )*INDEX('I&amp;E Profiles'!AG$96:AG$180,$I131))</f>
        <v>0</v>
      </c>
      <c r="AH131" s="153" cm="1">
        <f t="array" ref="AH131">IF(OR(AH$4=0, $G131&lt;&gt; $G$7, $E131=0), 'I&amp;E Monthly'!AH131, CHOOSE(Timeline!AH$30,$J131,$K131,$L131 )*INDEX('I&amp;E Profiles'!AH$96:AH$180,$I131))</f>
        <v>0</v>
      </c>
      <c r="AI131" s="153" cm="1">
        <f t="array" ref="AI131">IF(OR(AI$4=0, $G131&lt;&gt; $G$7, $E131=0), 'I&amp;E Monthly'!AI131, CHOOSE(Timeline!AI$30,$J131,$K131,$L131 )*INDEX('I&amp;E Profiles'!AI$96:AI$180,$I131))</f>
        <v>0</v>
      </c>
      <c r="AJ131" s="153" cm="1">
        <f t="array" ref="AJ131">IF(OR(AJ$4=0, $G131&lt;&gt; $G$7, $E131=0), 'I&amp;E Monthly'!AJ131, CHOOSE(Timeline!AJ$30,$J131,$K131,$L131 )*INDEX('I&amp;E Profiles'!AJ$96:AJ$180,$I131))</f>
        <v>0</v>
      </c>
      <c r="AK131" s="153" cm="1">
        <f t="array" ref="AK131">IF(OR(AK$4=0, $G131&lt;&gt; $G$7, $E131=0), 'I&amp;E Monthly'!AK131, CHOOSE(Timeline!AK$30,$J131,$K131,$L131 )*INDEX('I&amp;E Profiles'!AK$96:AK$180,$I131))</f>
        <v>0</v>
      </c>
      <c r="AL131" s="153" cm="1">
        <f t="array" ref="AL131">IF(OR(AL$4=0, $G131&lt;&gt; $G$7, $E131=0), 'I&amp;E Monthly'!AL131, CHOOSE(Timeline!AL$30,$J131,$K131,$L131 )*INDEX('I&amp;E Profiles'!AL$96:AL$180,$I131))</f>
        <v>0</v>
      </c>
      <c r="AM131" s="153" cm="1">
        <f t="array" ref="AM131">IF(OR(AM$4=0, $G131&lt;&gt; $G$7, $E131=0), 'I&amp;E Monthly'!AM131, CHOOSE(Timeline!AM$30,$J131,$K131,$L131 )*INDEX('I&amp;E Profiles'!AM$96:AM$180,$I131))</f>
        <v>0</v>
      </c>
      <c r="AN131" s="153" cm="1">
        <f t="array" ref="AN131">IF(OR(AN$4=0, $G131&lt;&gt; $G$7, $E131=0), 'I&amp;E Monthly'!AN131, CHOOSE(Timeline!AN$30,$J131,$K131,$L131 )*INDEX('I&amp;E Profiles'!AN$96:AN$180,$I131))</f>
        <v>0</v>
      </c>
      <c r="AO131" s="153" cm="1">
        <f t="array" ref="AO131">IF(OR(AO$4=0, $G131&lt;&gt; $G$7, $E131=0), 'I&amp;E Monthly'!AO131, CHOOSE(Timeline!AO$30,$J131,$K131,$L131 )*INDEX('I&amp;E Profiles'!AO$96:AO$180,$I131))</f>
        <v>0</v>
      </c>
      <c r="AP131" s="153" cm="1">
        <f t="array" ref="AP131">IF(OR(AP$4=0, $G131&lt;&gt; $G$7, $E131=0), 'I&amp;E Monthly'!AP131, CHOOSE(Timeline!AP$30,$J131,$K131,$L131 )*INDEX('I&amp;E Profiles'!AP$96:AP$180,$I131))</f>
        <v>0</v>
      </c>
      <c r="AQ131" s="153" cm="1">
        <f t="array" ref="AQ131">IF(OR(AQ$4=0, $G131&lt;&gt; $G$7, $E131=0), 'I&amp;E Monthly'!AQ131, CHOOSE(Timeline!AQ$30,$J131,$K131,$L131 )*INDEX('I&amp;E Profiles'!AQ$96:AQ$180,$I131))</f>
        <v>0</v>
      </c>
      <c r="AR131" s="153" cm="1">
        <f t="array" ref="AR131">IF(OR(AR$4=0, $G131&lt;&gt; $G$7, $E131=0), 'I&amp;E Monthly'!AR131, CHOOSE(Timeline!AR$30,$J131,$K131,$L131 )*INDEX('I&amp;E Profiles'!AR$96:AR$180,$I131))</f>
        <v>0</v>
      </c>
      <c r="AS131" s="153" cm="1">
        <f t="array" ref="AS131">IF(OR(AS$4=0, $G131&lt;&gt; $G$7, $E131=0), 'I&amp;E Monthly'!AS131, CHOOSE(Timeline!AS$30,$J131,$K131,$L131 )*INDEX('I&amp;E Profiles'!AS$96:AS$180,$I131))</f>
        <v>0</v>
      </c>
      <c r="AT131" s="153" cm="1">
        <f t="array" ref="AT131">IF(OR(AT$4=0, $G131&lt;&gt; $G$7, $E131=0), 'I&amp;E Monthly'!AT131, CHOOSE(Timeline!AT$30,$J131,$K131,$L131 )*INDEX('I&amp;E Profiles'!AT$96:AT$180,$I131))</f>
        <v>0</v>
      </c>
      <c r="AU131" s="153" cm="1">
        <f t="array" ref="AU131">IF(OR(AU$4=0, $G131&lt;&gt; $G$7, $E131=0), 'I&amp;E Monthly'!AU131, CHOOSE(Timeline!AU$30,$J131,$K131,$L131 )*INDEX('I&amp;E Profiles'!AU$96:AU$180,$I131))</f>
        <v>0</v>
      </c>
      <c r="AV131" s="153" cm="1">
        <f t="array" ref="AV131">IF(OR(AV$4=0, $G131&lt;&gt; $G$7, $E131=0), 'I&amp;E Monthly'!AV131, CHOOSE(Timeline!AV$30,$J131,$K131,$L131 )*INDEX('I&amp;E Profiles'!AV$96:AV$180,$I131))</f>
        <v>0</v>
      </c>
      <c r="AW131" s="153" cm="1">
        <f t="array" ref="AW131">IF(OR(AW$4=0, $G131&lt;&gt; $G$7, $E131=0), 'I&amp;E Monthly'!AW131, CHOOSE(Timeline!AW$30,$J131,$K131,$L131 )*INDEX('I&amp;E Profiles'!AW$96:AW$180,$I131))</f>
        <v>0</v>
      </c>
      <c r="AX131" s="153" cm="1">
        <f t="array" ref="AX131">IF(OR(AX$4=0, $G131&lt;&gt; $G$7, $E131=0), 'I&amp;E Monthly'!AX131, CHOOSE(Timeline!AX$30,$J131,$K131,$L131 )*INDEX('I&amp;E Profiles'!AX$96:AX$180,$I131))</f>
        <v>0</v>
      </c>
      <c r="AY131" s="153" cm="1">
        <f t="array" ref="AY131">IF(OR(AY$4=0, $G131&lt;&gt; $G$7, $E131=0), 'I&amp;E Monthly'!AY131, CHOOSE(Timeline!AY$30,$J131,$K131,$L131 )*INDEX('I&amp;E Profiles'!AY$96:AY$180,$I131))</f>
        <v>0</v>
      </c>
      <c r="AZ131" s="153" cm="1">
        <f t="array" ref="AZ131">IF(OR(AZ$4=0, $G131&lt;&gt; $G$7, $E131=0), 'I&amp;E Monthly'!AZ131, CHOOSE(Timeline!AZ$30,$J131,$K131,$L131 )*INDEX('I&amp;E Profiles'!AZ$96:AZ$180,$I131))</f>
        <v>0</v>
      </c>
      <c r="BA131" s="153" cm="1">
        <f t="array" ref="BA131">IF(OR(BA$4=0, $G131&lt;&gt; $G$7, $E131=0), 'I&amp;E Monthly'!BA131, CHOOSE(Timeline!BA$30,$J131,$K131,$L131 )*INDEX('I&amp;E Profiles'!BA$96:BA$180,$I131))</f>
        <v>0</v>
      </c>
      <c r="BB131" s="153" cm="1">
        <f t="array" ref="BB131">IF(OR(BB$4=0, $G131&lt;&gt; $G$7, $E131=0), 'I&amp;E Monthly'!BB131, CHOOSE(Timeline!BB$30,$J131,$K131,$L131 )*INDEX('I&amp;E Profiles'!BB$96:BB$180,$I131))</f>
        <v>0</v>
      </c>
      <c r="BC131" s="153" cm="1">
        <f t="array" ref="BC131">IF(OR(BC$4=0, $G131&lt;&gt; $G$7, $E131=0), 'I&amp;E Monthly'!BC131, CHOOSE(Timeline!BC$30,$J131,$K131,$L131 )*INDEX('I&amp;E Profiles'!BC$96:BC$180,$I131))</f>
        <v>0</v>
      </c>
      <c r="BD131" s="153" cm="1">
        <f t="array" ref="BD131">IF(OR(BD$4=0, $G131&lt;&gt; $G$7, $E131=0), 'I&amp;E Monthly'!BD131, CHOOSE(Timeline!BD$30,$J131,$K131,$L131 )*INDEX('I&amp;E Profiles'!BD$96:BD$180,$I131))</f>
        <v>0</v>
      </c>
      <c r="BE131" s="153" cm="1">
        <f t="array" ref="BE131">IF(OR(BE$4=0, $G131&lt;&gt; $G$7, $E131=0), 'I&amp;E Monthly'!BE131, CHOOSE(Timeline!BE$30,$J131,$K131,$L131 )*INDEX('I&amp;E Profiles'!BE$96:BE$180,$I131))</f>
        <v>0</v>
      </c>
      <c r="BF131" s="153" cm="1">
        <f t="array" ref="BF131">IF(OR(BF$4=0, $G131&lt;&gt; $G$7, $E131=0), 'I&amp;E Monthly'!BF131, CHOOSE(Timeline!BF$30,$J131,$K131,$L131 )*INDEX('I&amp;E Profiles'!BF$96:BF$180,$I131))</f>
        <v>0</v>
      </c>
      <c r="BG131" s="153" cm="1">
        <f t="array" ref="BG131">IF(OR(BG$4=0, $G131&lt;&gt; $G$7, $E131=0), 'I&amp;E Monthly'!BG131, CHOOSE(Timeline!BG$30,$J131,$K131,$L131 )*INDEX('I&amp;E Profiles'!BG$96:BG$180,$I131))</f>
        <v>0</v>
      </c>
      <c r="BH131" s="153" cm="1">
        <f t="array" ref="BH131">IF(OR(BH$4=0, $G131&lt;&gt; $G$7, $E131=0), 'I&amp;E Monthly'!BH131, CHOOSE(Timeline!BH$30,$J131,$K131,$L131 )*INDEX('I&amp;E Profiles'!BH$96:BH$180,$I131))</f>
        <v>0</v>
      </c>
      <c r="BI131" s="153" cm="1">
        <f t="array" ref="BI131">IF(OR(BI$4=0, $G131&lt;&gt; $G$7, $E131=0), 'I&amp;E Monthly'!BI131, CHOOSE(Timeline!BI$30,$J131,$K131,$L131 )*INDEX('I&amp;E Profiles'!BI$96:BI$180,$I131))</f>
        <v>0</v>
      </c>
      <c r="BJ131" s="153" cm="1">
        <f t="array" ref="BJ131">IF(OR(BJ$4=0, $G131&lt;&gt; $G$7, $E131=0), 'I&amp;E Monthly'!BJ131, CHOOSE(Timeline!BJ$30,$J131,$K131,$L131 )*INDEX('I&amp;E Profiles'!BJ$96:BJ$180,$I131))</f>
        <v>0</v>
      </c>
      <c r="BK131" s="335"/>
      <c r="BL131" s="13">
        <f>V131</f>
        <v>0</v>
      </c>
      <c r="BM131" s="153">
        <f t="shared" ref="BM131:BO133" si="148">SUMIFS($AA131:$BJ131, $AA$3:$BJ$3,BM$3)</f>
        <v>0</v>
      </c>
      <c r="BN131" s="153">
        <f t="shared" si="148"/>
        <v>0</v>
      </c>
      <c r="BO131" s="153">
        <f t="shared" si="148"/>
        <v>0</v>
      </c>
      <c r="BP131" s="13">
        <f>'I&amp;E Monthly'!BP131</f>
        <v>0</v>
      </c>
      <c r="BQ131" s="13">
        <f>'I&amp;E Monthly'!BQ131</f>
        <v>0</v>
      </c>
      <c r="BR131" s="13">
        <f>'I&amp;E Monthly'!BR131</f>
        <v>0</v>
      </c>
      <c r="BS131" s="13">
        <f>'I&amp;E Monthly'!BS131</f>
        <v>0</v>
      </c>
      <c r="BT131" s="13">
        <f>'I&amp;E Monthly'!BT131</f>
        <v>0</v>
      </c>
      <c r="BU131" s="13">
        <f>'I&amp;E Monthly'!BU131</f>
        <v>0</v>
      </c>
      <c r="BV131" s="13">
        <f>'I&amp;E Monthly'!BV131</f>
        <v>0</v>
      </c>
      <c r="BW131" s="13">
        <f>'I&amp;E Monthly'!BW131</f>
        <v>0</v>
      </c>
      <c r="BX131" s="335"/>
      <c r="BY131" s="12"/>
      <c r="BZ131" s="363">
        <f ca="1">IF(MIN($V131:$BW131)&lt;0, 1, 0)*$I$7</f>
        <v>0</v>
      </c>
      <c r="CA131" s="12"/>
      <c r="CB131" s="7">
        <f>IF(AND($G131=$G$7,$E131=""), 1, 0)</f>
        <v>0</v>
      </c>
      <c r="CC131" s="188" cm="1">
        <f t="array" ref="CC131">IF(E131="",0, IF(_xlfn.IFNA(INDEX('I&amp;E Profiles'!$D$96:$D$180, $I131), "N/A")="N/A", 1, 0))</f>
        <v>0</v>
      </c>
      <c r="CD131" s="7">
        <f t="shared" si="138"/>
        <v>0</v>
      </c>
      <c r="CE131" s="7">
        <f t="shared" si="139"/>
        <v>0</v>
      </c>
      <c r="CF131" s="7">
        <f t="shared" si="140"/>
        <v>0</v>
      </c>
      <c r="CG131" s="12"/>
      <c r="CH131" s="352">
        <f t="shared" si="141"/>
        <v>0</v>
      </c>
      <c r="CI131" s="352">
        <f t="shared" si="142"/>
        <v>0</v>
      </c>
      <c r="CJ131" s="352">
        <f t="shared" si="143"/>
        <v>0</v>
      </c>
      <c r="CK131" s="352">
        <f t="shared" si="144"/>
        <v>0</v>
      </c>
      <c r="CL131" s="352">
        <f t="shared" si="145"/>
        <v>0</v>
      </c>
      <c r="CM131" s="352">
        <f t="shared" si="146"/>
        <v>0</v>
      </c>
      <c r="CN131" s="352">
        <f t="shared" si="147"/>
        <v>0</v>
      </c>
      <c r="EX131" s="10" t="str">
        <f t="shared" si="78"/>
        <v/>
      </c>
    </row>
    <row r="132" spans="1:154" hidden="1" x14ac:dyDescent="0.25">
      <c r="A132" s="362" cm="1">
        <f t="array" aca="1" ref="A132" ca="1">HYPERLINK(CONCATENATE("#",CELL("address",IF(SUM($CA132:$CG132)=0,A132,INDEX($CA132:$CG132,MATCH(1,$CA132:$CG132,0))))),SUM($CA132:$CG132))</f>
        <v>0</v>
      </c>
      <c r="B132" s="335"/>
      <c r="C132" s="383"/>
      <c r="D132" s="137" t="s">
        <v>2316</v>
      </c>
      <c r="E132" s="136"/>
      <c r="F132" s="98" t="str" cm="1">
        <f t="array" aca="1" ref="F132" ca="1">IF(E132="", "", HYPERLINK(CONCATENATE("#",CELL("address",INDEX('I&amp;E Profiles'!$D$9:$D$93,'I&amp;E Annual'!I132))),E132))</f>
        <v/>
      </c>
      <c r="G132" s="136"/>
      <c r="I132" s="200" t="str">
        <f>IF(E132="", "", MATCH(E132, 'I&amp;E Profiles'!$D$96:$D$180,0))</f>
        <v/>
      </c>
      <c r="J132" s="215">
        <f>IF($G132=$G$7, W132,'I&amp;E Monthly'!W132)-SUMIFS('I&amp;E Monthly'!$AA132:$BJ132, 'I&amp;E Monthly'!$AA$3:$BJ$3, 'I&amp;E Annual'!W$3, 'I&amp;E Monthly'!$AA$4:$BJ$4, 0)</f>
        <v>0</v>
      </c>
      <c r="K132" s="215">
        <f>IF($G132=$G$7, X132,'I&amp;E Monthly'!X132)-SUMIFS('I&amp;E Monthly'!$AA132:$BJ132, 'I&amp;E Monthly'!$AA$3:$BJ$3, 'I&amp;E Annual'!X$3, 'I&amp;E Monthly'!$AA$4:$BJ$4, 0)</f>
        <v>0</v>
      </c>
      <c r="L132" s="215">
        <f>IF($G132=$G$7, Y132,'I&amp;E Monthly'!Y132)-SUMIFS('I&amp;E Monthly'!$AA132:$BJ132, 'I&amp;E Monthly'!$AA$3:$BJ$3, 'I&amp;E Annual'!Y$3, 'I&amp;E Monthly'!$AA$4:$BJ$4, 0)</f>
        <v>0</v>
      </c>
      <c r="M132" s="335"/>
      <c r="N132" s="335"/>
      <c r="O132" s="335"/>
      <c r="P132" s="335"/>
      <c r="Q132" s="2"/>
      <c r="R132" s="335"/>
      <c r="S132" s="335"/>
      <c r="T132" s="335"/>
      <c r="U132" s="335"/>
      <c r="V132" s="201">
        <f>'I&amp;E Monthly'!V132</f>
        <v>0</v>
      </c>
      <c r="W132" s="136"/>
      <c r="X132" s="136"/>
      <c r="Y132" s="136"/>
      <c r="Z132" s="335"/>
      <c r="AA132" s="153" cm="1">
        <f t="array" ref="AA132">IF(OR(AA$4=0, $G132&lt;&gt; $G$7, $E132=0), 'I&amp;E Monthly'!AA132, CHOOSE(Timeline!AA$30,$J132,$K132,$L132 )*INDEX('I&amp;E Profiles'!AA$96:AA$180,$I132))</f>
        <v>0</v>
      </c>
      <c r="AB132" s="153" cm="1">
        <f t="array" ref="AB132">IF(OR(AB$4=0, $G132&lt;&gt; $G$7, $E132=0), 'I&amp;E Monthly'!AB132, CHOOSE(Timeline!AB$30,$J132,$K132,$L132 )*INDEX('I&amp;E Profiles'!AB$96:AB$180,$I132))</f>
        <v>0</v>
      </c>
      <c r="AC132" s="153" cm="1">
        <f t="array" ref="AC132">IF(OR(AC$4=0, $G132&lt;&gt; $G$7, $E132=0), 'I&amp;E Monthly'!AC132, CHOOSE(Timeline!AC$30,$J132,$K132,$L132 )*INDEX('I&amp;E Profiles'!AC$96:AC$180,$I132))</f>
        <v>0</v>
      </c>
      <c r="AD132" s="153" cm="1">
        <f t="array" ref="AD132">IF(OR(AD$4=0, $G132&lt;&gt; $G$7, $E132=0), 'I&amp;E Monthly'!AD132, CHOOSE(Timeline!AD$30,$J132,$K132,$L132 )*INDEX('I&amp;E Profiles'!AD$96:AD$180,$I132))</f>
        <v>0</v>
      </c>
      <c r="AE132" s="153" cm="1">
        <f t="array" ref="AE132">IF(OR(AE$4=0, $G132&lt;&gt; $G$7, $E132=0), 'I&amp;E Monthly'!AE132, CHOOSE(Timeline!AE$30,$J132,$K132,$L132 )*INDEX('I&amp;E Profiles'!AE$96:AE$180,$I132))</f>
        <v>0</v>
      </c>
      <c r="AF132" s="153" cm="1">
        <f t="array" ref="AF132">IF(OR(AF$4=0, $G132&lt;&gt; $G$7, $E132=0), 'I&amp;E Monthly'!AF132, CHOOSE(Timeline!AF$30,$J132,$K132,$L132 )*INDEX('I&amp;E Profiles'!AF$96:AF$180,$I132))</f>
        <v>0</v>
      </c>
      <c r="AG132" s="153" cm="1">
        <f t="array" ref="AG132">IF(OR(AG$4=0, $G132&lt;&gt; $G$7, $E132=0), 'I&amp;E Monthly'!AG132, CHOOSE(Timeline!AG$30,$J132,$K132,$L132 )*INDEX('I&amp;E Profiles'!AG$96:AG$180,$I132))</f>
        <v>0</v>
      </c>
      <c r="AH132" s="153" cm="1">
        <f t="array" ref="AH132">IF(OR(AH$4=0, $G132&lt;&gt; $G$7, $E132=0), 'I&amp;E Monthly'!AH132, CHOOSE(Timeline!AH$30,$J132,$K132,$L132 )*INDEX('I&amp;E Profiles'!AH$96:AH$180,$I132))</f>
        <v>0</v>
      </c>
      <c r="AI132" s="153" cm="1">
        <f t="array" ref="AI132">IF(OR(AI$4=0, $G132&lt;&gt; $G$7, $E132=0), 'I&amp;E Monthly'!AI132, CHOOSE(Timeline!AI$30,$J132,$K132,$L132 )*INDEX('I&amp;E Profiles'!AI$96:AI$180,$I132))</f>
        <v>0</v>
      </c>
      <c r="AJ132" s="153" cm="1">
        <f t="array" ref="AJ132">IF(OR(AJ$4=0, $G132&lt;&gt; $G$7, $E132=0), 'I&amp;E Monthly'!AJ132, CHOOSE(Timeline!AJ$30,$J132,$K132,$L132 )*INDEX('I&amp;E Profiles'!AJ$96:AJ$180,$I132))</f>
        <v>0</v>
      </c>
      <c r="AK132" s="153" cm="1">
        <f t="array" ref="AK132">IF(OR(AK$4=0, $G132&lt;&gt; $G$7, $E132=0), 'I&amp;E Monthly'!AK132, CHOOSE(Timeline!AK$30,$J132,$K132,$L132 )*INDEX('I&amp;E Profiles'!AK$96:AK$180,$I132))</f>
        <v>0</v>
      </c>
      <c r="AL132" s="153" cm="1">
        <f t="array" ref="AL132">IF(OR(AL$4=0, $G132&lt;&gt; $G$7, $E132=0), 'I&amp;E Monthly'!AL132, CHOOSE(Timeline!AL$30,$J132,$K132,$L132 )*INDEX('I&amp;E Profiles'!AL$96:AL$180,$I132))</f>
        <v>0</v>
      </c>
      <c r="AM132" s="153" cm="1">
        <f t="array" ref="AM132">IF(OR(AM$4=0, $G132&lt;&gt; $G$7, $E132=0), 'I&amp;E Monthly'!AM132, CHOOSE(Timeline!AM$30,$J132,$K132,$L132 )*INDEX('I&amp;E Profiles'!AM$96:AM$180,$I132))</f>
        <v>0</v>
      </c>
      <c r="AN132" s="153" cm="1">
        <f t="array" ref="AN132">IF(OR(AN$4=0, $G132&lt;&gt; $G$7, $E132=0), 'I&amp;E Monthly'!AN132, CHOOSE(Timeline!AN$30,$J132,$K132,$L132 )*INDEX('I&amp;E Profiles'!AN$96:AN$180,$I132))</f>
        <v>0</v>
      </c>
      <c r="AO132" s="153" cm="1">
        <f t="array" ref="AO132">IF(OR(AO$4=0, $G132&lt;&gt; $G$7, $E132=0), 'I&amp;E Monthly'!AO132, CHOOSE(Timeline!AO$30,$J132,$K132,$L132 )*INDEX('I&amp;E Profiles'!AO$96:AO$180,$I132))</f>
        <v>0</v>
      </c>
      <c r="AP132" s="153" cm="1">
        <f t="array" ref="AP132">IF(OR(AP$4=0, $G132&lt;&gt; $G$7, $E132=0), 'I&amp;E Monthly'!AP132, CHOOSE(Timeline!AP$30,$J132,$K132,$L132 )*INDEX('I&amp;E Profiles'!AP$96:AP$180,$I132))</f>
        <v>0</v>
      </c>
      <c r="AQ132" s="153" cm="1">
        <f t="array" ref="AQ132">IF(OR(AQ$4=0, $G132&lt;&gt; $G$7, $E132=0), 'I&amp;E Monthly'!AQ132, CHOOSE(Timeline!AQ$30,$J132,$K132,$L132 )*INDEX('I&amp;E Profiles'!AQ$96:AQ$180,$I132))</f>
        <v>0</v>
      </c>
      <c r="AR132" s="153" cm="1">
        <f t="array" ref="AR132">IF(OR(AR$4=0, $G132&lt;&gt; $G$7, $E132=0), 'I&amp;E Monthly'!AR132, CHOOSE(Timeline!AR$30,$J132,$K132,$L132 )*INDEX('I&amp;E Profiles'!AR$96:AR$180,$I132))</f>
        <v>0</v>
      </c>
      <c r="AS132" s="153" cm="1">
        <f t="array" ref="AS132">IF(OR(AS$4=0, $G132&lt;&gt; $G$7, $E132=0), 'I&amp;E Monthly'!AS132, CHOOSE(Timeline!AS$30,$J132,$K132,$L132 )*INDEX('I&amp;E Profiles'!AS$96:AS$180,$I132))</f>
        <v>0</v>
      </c>
      <c r="AT132" s="153" cm="1">
        <f t="array" ref="AT132">IF(OR(AT$4=0, $G132&lt;&gt; $G$7, $E132=0), 'I&amp;E Monthly'!AT132, CHOOSE(Timeline!AT$30,$J132,$K132,$L132 )*INDEX('I&amp;E Profiles'!AT$96:AT$180,$I132))</f>
        <v>0</v>
      </c>
      <c r="AU132" s="153" cm="1">
        <f t="array" ref="AU132">IF(OR(AU$4=0, $G132&lt;&gt; $G$7, $E132=0), 'I&amp;E Monthly'!AU132, CHOOSE(Timeline!AU$30,$J132,$K132,$L132 )*INDEX('I&amp;E Profiles'!AU$96:AU$180,$I132))</f>
        <v>0</v>
      </c>
      <c r="AV132" s="153" cm="1">
        <f t="array" ref="AV132">IF(OR(AV$4=0, $G132&lt;&gt; $G$7, $E132=0), 'I&amp;E Monthly'!AV132, CHOOSE(Timeline!AV$30,$J132,$K132,$L132 )*INDEX('I&amp;E Profiles'!AV$96:AV$180,$I132))</f>
        <v>0</v>
      </c>
      <c r="AW132" s="153" cm="1">
        <f t="array" ref="AW132">IF(OR(AW$4=0, $G132&lt;&gt; $G$7, $E132=0), 'I&amp;E Monthly'!AW132, CHOOSE(Timeline!AW$30,$J132,$K132,$L132 )*INDEX('I&amp;E Profiles'!AW$96:AW$180,$I132))</f>
        <v>0</v>
      </c>
      <c r="AX132" s="153" cm="1">
        <f t="array" ref="AX132">IF(OR(AX$4=0, $G132&lt;&gt; $G$7, $E132=0), 'I&amp;E Monthly'!AX132, CHOOSE(Timeline!AX$30,$J132,$K132,$L132 )*INDEX('I&amp;E Profiles'!AX$96:AX$180,$I132))</f>
        <v>0</v>
      </c>
      <c r="AY132" s="153" cm="1">
        <f t="array" ref="AY132">IF(OR(AY$4=0, $G132&lt;&gt; $G$7, $E132=0), 'I&amp;E Monthly'!AY132, CHOOSE(Timeline!AY$30,$J132,$K132,$L132 )*INDEX('I&amp;E Profiles'!AY$96:AY$180,$I132))</f>
        <v>0</v>
      </c>
      <c r="AZ132" s="153" cm="1">
        <f t="array" ref="AZ132">IF(OR(AZ$4=0, $G132&lt;&gt; $G$7, $E132=0), 'I&amp;E Monthly'!AZ132, CHOOSE(Timeline!AZ$30,$J132,$K132,$L132 )*INDEX('I&amp;E Profiles'!AZ$96:AZ$180,$I132))</f>
        <v>0</v>
      </c>
      <c r="BA132" s="153" cm="1">
        <f t="array" ref="BA132">IF(OR(BA$4=0, $G132&lt;&gt; $G$7, $E132=0), 'I&amp;E Monthly'!BA132, CHOOSE(Timeline!BA$30,$J132,$K132,$L132 )*INDEX('I&amp;E Profiles'!BA$96:BA$180,$I132))</f>
        <v>0</v>
      </c>
      <c r="BB132" s="153" cm="1">
        <f t="array" ref="BB132">IF(OR(BB$4=0, $G132&lt;&gt; $G$7, $E132=0), 'I&amp;E Monthly'!BB132, CHOOSE(Timeline!BB$30,$J132,$K132,$L132 )*INDEX('I&amp;E Profiles'!BB$96:BB$180,$I132))</f>
        <v>0</v>
      </c>
      <c r="BC132" s="153" cm="1">
        <f t="array" ref="BC132">IF(OR(BC$4=0, $G132&lt;&gt; $G$7, $E132=0), 'I&amp;E Monthly'!BC132, CHOOSE(Timeline!BC$30,$J132,$K132,$L132 )*INDEX('I&amp;E Profiles'!BC$96:BC$180,$I132))</f>
        <v>0</v>
      </c>
      <c r="BD132" s="153" cm="1">
        <f t="array" ref="BD132">IF(OR(BD$4=0, $G132&lt;&gt; $G$7, $E132=0), 'I&amp;E Monthly'!BD132, CHOOSE(Timeline!BD$30,$J132,$K132,$L132 )*INDEX('I&amp;E Profiles'!BD$96:BD$180,$I132))</f>
        <v>0</v>
      </c>
      <c r="BE132" s="153" cm="1">
        <f t="array" ref="BE132">IF(OR(BE$4=0, $G132&lt;&gt; $G$7, $E132=0), 'I&amp;E Monthly'!BE132, CHOOSE(Timeline!BE$30,$J132,$K132,$L132 )*INDEX('I&amp;E Profiles'!BE$96:BE$180,$I132))</f>
        <v>0</v>
      </c>
      <c r="BF132" s="153" cm="1">
        <f t="array" ref="BF132">IF(OR(BF$4=0, $G132&lt;&gt; $G$7, $E132=0), 'I&amp;E Monthly'!BF132, CHOOSE(Timeline!BF$30,$J132,$K132,$L132 )*INDEX('I&amp;E Profiles'!BF$96:BF$180,$I132))</f>
        <v>0</v>
      </c>
      <c r="BG132" s="153" cm="1">
        <f t="array" ref="BG132">IF(OR(BG$4=0, $G132&lt;&gt; $G$7, $E132=0), 'I&amp;E Monthly'!BG132, CHOOSE(Timeline!BG$30,$J132,$K132,$L132 )*INDEX('I&amp;E Profiles'!BG$96:BG$180,$I132))</f>
        <v>0</v>
      </c>
      <c r="BH132" s="153" cm="1">
        <f t="array" ref="BH132">IF(OR(BH$4=0, $G132&lt;&gt; $G$7, $E132=0), 'I&amp;E Monthly'!BH132, CHOOSE(Timeline!BH$30,$J132,$K132,$L132 )*INDEX('I&amp;E Profiles'!BH$96:BH$180,$I132))</f>
        <v>0</v>
      </c>
      <c r="BI132" s="153" cm="1">
        <f t="array" ref="BI132">IF(OR(BI$4=0, $G132&lt;&gt; $G$7, $E132=0), 'I&amp;E Monthly'!BI132, CHOOSE(Timeline!BI$30,$J132,$K132,$L132 )*INDEX('I&amp;E Profiles'!BI$96:BI$180,$I132))</f>
        <v>0</v>
      </c>
      <c r="BJ132" s="153" cm="1">
        <f t="array" ref="BJ132">IF(OR(BJ$4=0, $G132&lt;&gt; $G$7, $E132=0), 'I&amp;E Monthly'!BJ132, CHOOSE(Timeline!BJ$30,$J132,$K132,$L132 )*INDEX('I&amp;E Profiles'!BJ$96:BJ$180,$I132))</f>
        <v>0</v>
      </c>
      <c r="BK132" s="335"/>
      <c r="BL132" s="13">
        <f>V132</f>
        <v>0</v>
      </c>
      <c r="BM132" s="153">
        <f t="shared" si="148"/>
        <v>0</v>
      </c>
      <c r="BN132" s="153">
        <f t="shared" si="148"/>
        <v>0</v>
      </c>
      <c r="BO132" s="153">
        <f t="shared" si="148"/>
        <v>0</v>
      </c>
      <c r="BP132" s="13">
        <f>'I&amp;E Monthly'!BP132</f>
        <v>0</v>
      </c>
      <c r="BQ132" s="13">
        <f>'I&amp;E Monthly'!BQ132</f>
        <v>0</v>
      </c>
      <c r="BR132" s="13">
        <f>'I&amp;E Monthly'!BR132</f>
        <v>0</v>
      </c>
      <c r="BS132" s="13">
        <f>'I&amp;E Monthly'!BS132</f>
        <v>0</v>
      </c>
      <c r="BT132" s="13">
        <f>'I&amp;E Monthly'!BT132</f>
        <v>0</v>
      </c>
      <c r="BU132" s="13">
        <f>'I&amp;E Monthly'!BU132</f>
        <v>0</v>
      </c>
      <c r="BV132" s="13">
        <f>'I&amp;E Monthly'!BV132</f>
        <v>0</v>
      </c>
      <c r="BW132" s="13">
        <f>'I&amp;E Monthly'!BW132</f>
        <v>0</v>
      </c>
      <c r="BX132" s="335"/>
      <c r="BY132" s="12"/>
      <c r="BZ132" s="363">
        <f ca="1">IF(MIN($V132:$BW132)&lt;0, 1, 0)*$I$7</f>
        <v>0</v>
      </c>
      <c r="CA132" s="12"/>
      <c r="CB132" s="7">
        <f>IF(AND($G132=$G$7,$E132=""), 1, 0)</f>
        <v>0</v>
      </c>
      <c r="CC132" s="188" cm="1">
        <f t="array" ref="CC132">IF(E132="",0, IF(_xlfn.IFNA(INDEX('I&amp;E Profiles'!$D$96:$D$180, $I132), "N/A")="N/A", 1, 0))</f>
        <v>0</v>
      </c>
      <c r="CD132" s="7">
        <f t="shared" si="138"/>
        <v>0</v>
      </c>
      <c r="CE132" s="7">
        <f t="shared" si="139"/>
        <v>0</v>
      </c>
      <c r="CF132" s="7">
        <f t="shared" si="140"/>
        <v>0</v>
      </c>
      <c r="CG132" s="12"/>
      <c r="CH132" s="352">
        <f t="shared" si="141"/>
        <v>0</v>
      </c>
      <c r="CI132" s="352">
        <f t="shared" si="142"/>
        <v>0</v>
      </c>
      <c r="CJ132" s="352">
        <f t="shared" si="143"/>
        <v>0</v>
      </c>
      <c r="CK132" s="352">
        <f t="shared" si="144"/>
        <v>0</v>
      </c>
      <c r="CL132" s="352">
        <f t="shared" si="145"/>
        <v>0</v>
      </c>
      <c r="CM132" s="352">
        <f t="shared" si="146"/>
        <v>0</v>
      </c>
      <c r="CN132" s="352">
        <f t="shared" si="147"/>
        <v>0</v>
      </c>
      <c r="EX132" s="10" t="str">
        <f t="shared" si="78"/>
        <v/>
      </c>
    </row>
    <row r="133" spans="1:154" hidden="1" x14ac:dyDescent="0.25">
      <c r="A133" s="362" cm="1">
        <f t="array" aca="1" ref="A133" ca="1">HYPERLINK(CONCATENATE("#",CELL("address",IF(SUM($CA133:$CG133)=0,A133,INDEX($CA133:$CG133,MATCH(1,$CA133:$CG133,0))))),SUM($CA133:$CG133))</f>
        <v>0</v>
      </c>
      <c r="B133" s="335"/>
      <c r="C133" s="383"/>
      <c r="D133" s="137" t="s">
        <v>2316</v>
      </c>
      <c r="E133" s="136"/>
      <c r="F133" s="98" t="str" cm="1">
        <f t="array" aca="1" ref="F133" ca="1">IF(E133="", "", HYPERLINK(CONCATENATE("#",CELL("address",INDEX('I&amp;E Profiles'!$D$9:$D$93,'I&amp;E Annual'!I133))),E133))</f>
        <v/>
      </c>
      <c r="G133" s="136"/>
      <c r="I133" s="200" t="str">
        <f>IF(E133="", "", MATCH(E133, 'I&amp;E Profiles'!$D$96:$D$180,0))</f>
        <v/>
      </c>
      <c r="J133" s="215">
        <f>IF($G133=$G$7, W133,'I&amp;E Monthly'!W133)-SUMIFS('I&amp;E Monthly'!$AA133:$BJ133, 'I&amp;E Monthly'!$AA$3:$BJ$3, 'I&amp;E Annual'!W$3, 'I&amp;E Monthly'!$AA$4:$BJ$4, 0)</f>
        <v>0</v>
      </c>
      <c r="K133" s="215">
        <f>IF($G133=$G$7, X133,'I&amp;E Monthly'!X133)-SUMIFS('I&amp;E Monthly'!$AA133:$BJ133, 'I&amp;E Monthly'!$AA$3:$BJ$3, 'I&amp;E Annual'!X$3, 'I&amp;E Monthly'!$AA$4:$BJ$4, 0)</f>
        <v>0</v>
      </c>
      <c r="L133" s="215">
        <f>IF($G133=$G$7, Y133,'I&amp;E Monthly'!Y133)-SUMIFS('I&amp;E Monthly'!$AA133:$BJ133, 'I&amp;E Monthly'!$AA$3:$BJ$3, 'I&amp;E Annual'!Y$3, 'I&amp;E Monthly'!$AA$4:$BJ$4, 0)</f>
        <v>0</v>
      </c>
      <c r="M133" s="335"/>
      <c r="N133" s="335"/>
      <c r="O133" s="335"/>
      <c r="P133" s="335"/>
      <c r="Q133" s="2"/>
      <c r="R133" s="335"/>
      <c r="S133" s="335"/>
      <c r="T133" s="335"/>
      <c r="U133" s="335"/>
      <c r="V133" s="201">
        <f>'I&amp;E Monthly'!V133</f>
        <v>0</v>
      </c>
      <c r="W133" s="136"/>
      <c r="X133" s="136"/>
      <c r="Y133" s="136"/>
      <c r="Z133" s="335"/>
      <c r="AA133" s="153" cm="1">
        <f t="array" ref="AA133">IF(OR(AA$4=0, $G133&lt;&gt; $G$7, $E133=0), 'I&amp;E Monthly'!AA133, CHOOSE(Timeline!AA$30,$J133,$K133,$L133 )*INDEX('I&amp;E Profiles'!AA$96:AA$180,$I133))</f>
        <v>0</v>
      </c>
      <c r="AB133" s="153" cm="1">
        <f t="array" ref="AB133">IF(OR(AB$4=0, $G133&lt;&gt; $G$7, $E133=0), 'I&amp;E Monthly'!AB133, CHOOSE(Timeline!AB$30,$J133,$K133,$L133 )*INDEX('I&amp;E Profiles'!AB$96:AB$180,$I133))</f>
        <v>0</v>
      </c>
      <c r="AC133" s="153" cm="1">
        <f t="array" ref="AC133">IF(OR(AC$4=0, $G133&lt;&gt; $G$7, $E133=0), 'I&amp;E Monthly'!AC133, CHOOSE(Timeline!AC$30,$J133,$K133,$L133 )*INDEX('I&amp;E Profiles'!AC$96:AC$180,$I133))</f>
        <v>0</v>
      </c>
      <c r="AD133" s="153" cm="1">
        <f t="array" ref="AD133">IF(OR(AD$4=0, $G133&lt;&gt; $G$7, $E133=0), 'I&amp;E Monthly'!AD133, CHOOSE(Timeline!AD$30,$J133,$K133,$L133 )*INDEX('I&amp;E Profiles'!AD$96:AD$180,$I133))</f>
        <v>0</v>
      </c>
      <c r="AE133" s="153" cm="1">
        <f t="array" ref="AE133">IF(OR(AE$4=0, $G133&lt;&gt; $G$7, $E133=0), 'I&amp;E Monthly'!AE133, CHOOSE(Timeline!AE$30,$J133,$K133,$L133 )*INDEX('I&amp;E Profiles'!AE$96:AE$180,$I133))</f>
        <v>0</v>
      </c>
      <c r="AF133" s="153" cm="1">
        <f t="array" ref="AF133">IF(OR(AF$4=0, $G133&lt;&gt; $G$7, $E133=0), 'I&amp;E Monthly'!AF133, CHOOSE(Timeline!AF$30,$J133,$K133,$L133 )*INDEX('I&amp;E Profiles'!AF$96:AF$180,$I133))</f>
        <v>0</v>
      </c>
      <c r="AG133" s="153" cm="1">
        <f t="array" ref="AG133">IF(OR(AG$4=0, $G133&lt;&gt; $G$7, $E133=0), 'I&amp;E Monthly'!AG133, CHOOSE(Timeline!AG$30,$J133,$K133,$L133 )*INDEX('I&amp;E Profiles'!AG$96:AG$180,$I133))</f>
        <v>0</v>
      </c>
      <c r="AH133" s="153" cm="1">
        <f t="array" ref="AH133">IF(OR(AH$4=0, $G133&lt;&gt; $G$7, $E133=0), 'I&amp;E Monthly'!AH133, CHOOSE(Timeline!AH$30,$J133,$K133,$L133 )*INDEX('I&amp;E Profiles'!AH$96:AH$180,$I133))</f>
        <v>0</v>
      </c>
      <c r="AI133" s="153" cm="1">
        <f t="array" ref="AI133">IF(OR(AI$4=0, $G133&lt;&gt; $G$7, $E133=0), 'I&amp;E Monthly'!AI133, CHOOSE(Timeline!AI$30,$J133,$K133,$L133 )*INDEX('I&amp;E Profiles'!AI$96:AI$180,$I133))</f>
        <v>0</v>
      </c>
      <c r="AJ133" s="153" cm="1">
        <f t="array" ref="AJ133">IF(OR(AJ$4=0, $G133&lt;&gt; $G$7, $E133=0), 'I&amp;E Monthly'!AJ133, CHOOSE(Timeline!AJ$30,$J133,$K133,$L133 )*INDEX('I&amp;E Profiles'!AJ$96:AJ$180,$I133))</f>
        <v>0</v>
      </c>
      <c r="AK133" s="153" cm="1">
        <f t="array" ref="AK133">IF(OR(AK$4=0, $G133&lt;&gt; $G$7, $E133=0), 'I&amp;E Monthly'!AK133, CHOOSE(Timeline!AK$30,$J133,$K133,$L133 )*INDEX('I&amp;E Profiles'!AK$96:AK$180,$I133))</f>
        <v>0</v>
      </c>
      <c r="AL133" s="153" cm="1">
        <f t="array" ref="AL133">IF(OR(AL$4=0, $G133&lt;&gt; $G$7, $E133=0), 'I&amp;E Monthly'!AL133, CHOOSE(Timeline!AL$30,$J133,$K133,$L133 )*INDEX('I&amp;E Profiles'!AL$96:AL$180,$I133))</f>
        <v>0</v>
      </c>
      <c r="AM133" s="153" cm="1">
        <f t="array" ref="AM133">IF(OR(AM$4=0, $G133&lt;&gt; $G$7, $E133=0), 'I&amp;E Monthly'!AM133, CHOOSE(Timeline!AM$30,$J133,$K133,$L133 )*INDEX('I&amp;E Profiles'!AM$96:AM$180,$I133))</f>
        <v>0</v>
      </c>
      <c r="AN133" s="153" cm="1">
        <f t="array" ref="AN133">IF(OR(AN$4=0, $G133&lt;&gt; $G$7, $E133=0), 'I&amp;E Monthly'!AN133, CHOOSE(Timeline!AN$30,$J133,$K133,$L133 )*INDEX('I&amp;E Profiles'!AN$96:AN$180,$I133))</f>
        <v>0</v>
      </c>
      <c r="AO133" s="153" cm="1">
        <f t="array" ref="AO133">IF(OR(AO$4=0, $G133&lt;&gt; $G$7, $E133=0), 'I&amp;E Monthly'!AO133, CHOOSE(Timeline!AO$30,$J133,$K133,$L133 )*INDEX('I&amp;E Profiles'!AO$96:AO$180,$I133))</f>
        <v>0</v>
      </c>
      <c r="AP133" s="153" cm="1">
        <f t="array" ref="AP133">IF(OR(AP$4=0, $G133&lt;&gt; $G$7, $E133=0), 'I&amp;E Monthly'!AP133, CHOOSE(Timeline!AP$30,$J133,$K133,$L133 )*INDEX('I&amp;E Profiles'!AP$96:AP$180,$I133))</f>
        <v>0</v>
      </c>
      <c r="AQ133" s="153" cm="1">
        <f t="array" ref="AQ133">IF(OR(AQ$4=0, $G133&lt;&gt; $G$7, $E133=0), 'I&amp;E Monthly'!AQ133, CHOOSE(Timeline!AQ$30,$J133,$K133,$L133 )*INDEX('I&amp;E Profiles'!AQ$96:AQ$180,$I133))</f>
        <v>0</v>
      </c>
      <c r="AR133" s="153" cm="1">
        <f t="array" ref="AR133">IF(OR(AR$4=0, $G133&lt;&gt; $G$7, $E133=0), 'I&amp;E Monthly'!AR133, CHOOSE(Timeline!AR$30,$J133,$K133,$L133 )*INDEX('I&amp;E Profiles'!AR$96:AR$180,$I133))</f>
        <v>0</v>
      </c>
      <c r="AS133" s="153" cm="1">
        <f t="array" ref="AS133">IF(OR(AS$4=0, $G133&lt;&gt; $G$7, $E133=0), 'I&amp;E Monthly'!AS133, CHOOSE(Timeline!AS$30,$J133,$K133,$L133 )*INDEX('I&amp;E Profiles'!AS$96:AS$180,$I133))</f>
        <v>0</v>
      </c>
      <c r="AT133" s="153" cm="1">
        <f t="array" ref="AT133">IF(OR(AT$4=0, $G133&lt;&gt; $G$7, $E133=0), 'I&amp;E Monthly'!AT133, CHOOSE(Timeline!AT$30,$J133,$K133,$L133 )*INDEX('I&amp;E Profiles'!AT$96:AT$180,$I133))</f>
        <v>0</v>
      </c>
      <c r="AU133" s="153" cm="1">
        <f t="array" ref="AU133">IF(OR(AU$4=0, $G133&lt;&gt; $G$7, $E133=0), 'I&amp;E Monthly'!AU133, CHOOSE(Timeline!AU$30,$J133,$K133,$L133 )*INDEX('I&amp;E Profiles'!AU$96:AU$180,$I133))</f>
        <v>0</v>
      </c>
      <c r="AV133" s="153" cm="1">
        <f t="array" ref="AV133">IF(OR(AV$4=0, $G133&lt;&gt; $G$7, $E133=0), 'I&amp;E Monthly'!AV133, CHOOSE(Timeline!AV$30,$J133,$K133,$L133 )*INDEX('I&amp;E Profiles'!AV$96:AV$180,$I133))</f>
        <v>0</v>
      </c>
      <c r="AW133" s="153" cm="1">
        <f t="array" ref="AW133">IF(OR(AW$4=0, $G133&lt;&gt; $G$7, $E133=0), 'I&amp;E Monthly'!AW133, CHOOSE(Timeline!AW$30,$J133,$K133,$L133 )*INDEX('I&amp;E Profiles'!AW$96:AW$180,$I133))</f>
        <v>0</v>
      </c>
      <c r="AX133" s="153" cm="1">
        <f t="array" ref="AX133">IF(OR(AX$4=0, $G133&lt;&gt; $G$7, $E133=0), 'I&amp;E Monthly'!AX133, CHOOSE(Timeline!AX$30,$J133,$K133,$L133 )*INDEX('I&amp;E Profiles'!AX$96:AX$180,$I133))</f>
        <v>0</v>
      </c>
      <c r="AY133" s="153" cm="1">
        <f t="array" ref="AY133">IF(OR(AY$4=0, $G133&lt;&gt; $G$7, $E133=0), 'I&amp;E Monthly'!AY133, CHOOSE(Timeline!AY$30,$J133,$K133,$L133 )*INDEX('I&amp;E Profiles'!AY$96:AY$180,$I133))</f>
        <v>0</v>
      </c>
      <c r="AZ133" s="153" cm="1">
        <f t="array" ref="AZ133">IF(OR(AZ$4=0, $G133&lt;&gt; $G$7, $E133=0), 'I&amp;E Monthly'!AZ133, CHOOSE(Timeline!AZ$30,$J133,$K133,$L133 )*INDEX('I&amp;E Profiles'!AZ$96:AZ$180,$I133))</f>
        <v>0</v>
      </c>
      <c r="BA133" s="153" cm="1">
        <f t="array" ref="BA133">IF(OR(BA$4=0, $G133&lt;&gt; $G$7, $E133=0), 'I&amp;E Monthly'!BA133, CHOOSE(Timeline!BA$30,$J133,$K133,$L133 )*INDEX('I&amp;E Profiles'!BA$96:BA$180,$I133))</f>
        <v>0</v>
      </c>
      <c r="BB133" s="153" cm="1">
        <f t="array" ref="BB133">IF(OR(BB$4=0, $G133&lt;&gt; $G$7, $E133=0), 'I&amp;E Monthly'!BB133, CHOOSE(Timeline!BB$30,$J133,$K133,$L133 )*INDEX('I&amp;E Profiles'!BB$96:BB$180,$I133))</f>
        <v>0</v>
      </c>
      <c r="BC133" s="153" cm="1">
        <f t="array" ref="BC133">IF(OR(BC$4=0, $G133&lt;&gt; $G$7, $E133=0), 'I&amp;E Monthly'!BC133, CHOOSE(Timeline!BC$30,$J133,$K133,$L133 )*INDEX('I&amp;E Profiles'!BC$96:BC$180,$I133))</f>
        <v>0</v>
      </c>
      <c r="BD133" s="153" cm="1">
        <f t="array" ref="BD133">IF(OR(BD$4=0, $G133&lt;&gt; $G$7, $E133=0), 'I&amp;E Monthly'!BD133, CHOOSE(Timeline!BD$30,$J133,$K133,$L133 )*INDEX('I&amp;E Profiles'!BD$96:BD$180,$I133))</f>
        <v>0</v>
      </c>
      <c r="BE133" s="153" cm="1">
        <f t="array" ref="BE133">IF(OR(BE$4=0, $G133&lt;&gt; $G$7, $E133=0), 'I&amp;E Monthly'!BE133, CHOOSE(Timeline!BE$30,$J133,$K133,$L133 )*INDEX('I&amp;E Profiles'!BE$96:BE$180,$I133))</f>
        <v>0</v>
      </c>
      <c r="BF133" s="153" cm="1">
        <f t="array" ref="BF133">IF(OR(BF$4=0, $G133&lt;&gt; $G$7, $E133=0), 'I&amp;E Monthly'!BF133, CHOOSE(Timeline!BF$30,$J133,$K133,$L133 )*INDEX('I&amp;E Profiles'!BF$96:BF$180,$I133))</f>
        <v>0</v>
      </c>
      <c r="BG133" s="153" cm="1">
        <f t="array" ref="BG133">IF(OR(BG$4=0, $G133&lt;&gt; $G$7, $E133=0), 'I&amp;E Monthly'!BG133, CHOOSE(Timeline!BG$30,$J133,$K133,$L133 )*INDEX('I&amp;E Profiles'!BG$96:BG$180,$I133))</f>
        <v>0</v>
      </c>
      <c r="BH133" s="153" cm="1">
        <f t="array" ref="BH133">IF(OR(BH$4=0, $G133&lt;&gt; $G$7, $E133=0), 'I&amp;E Monthly'!BH133, CHOOSE(Timeline!BH$30,$J133,$K133,$L133 )*INDEX('I&amp;E Profiles'!BH$96:BH$180,$I133))</f>
        <v>0</v>
      </c>
      <c r="BI133" s="153" cm="1">
        <f t="array" ref="BI133">IF(OR(BI$4=0, $G133&lt;&gt; $G$7, $E133=0), 'I&amp;E Monthly'!BI133, CHOOSE(Timeline!BI$30,$J133,$K133,$L133 )*INDEX('I&amp;E Profiles'!BI$96:BI$180,$I133))</f>
        <v>0</v>
      </c>
      <c r="BJ133" s="153" cm="1">
        <f t="array" ref="BJ133">IF(OR(BJ$4=0, $G133&lt;&gt; $G$7, $E133=0), 'I&amp;E Monthly'!BJ133, CHOOSE(Timeline!BJ$30,$J133,$K133,$L133 )*INDEX('I&amp;E Profiles'!BJ$96:BJ$180,$I133))</f>
        <v>0</v>
      </c>
      <c r="BK133" s="335"/>
      <c r="BL133" s="13">
        <f>V133</f>
        <v>0</v>
      </c>
      <c r="BM133" s="153">
        <f t="shared" si="148"/>
        <v>0</v>
      </c>
      <c r="BN133" s="153">
        <f t="shared" si="148"/>
        <v>0</v>
      </c>
      <c r="BO133" s="153">
        <f t="shared" si="148"/>
        <v>0</v>
      </c>
      <c r="BP133" s="13">
        <f>'I&amp;E Monthly'!BP133</f>
        <v>0</v>
      </c>
      <c r="BQ133" s="13">
        <f>'I&amp;E Monthly'!BQ133</f>
        <v>0</v>
      </c>
      <c r="BR133" s="13">
        <f>'I&amp;E Monthly'!BR133</f>
        <v>0</v>
      </c>
      <c r="BS133" s="13">
        <f>'I&amp;E Monthly'!BS133</f>
        <v>0</v>
      </c>
      <c r="BT133" s="13">
        <f>'I&amp;E Monthly'!BT133</f>
        <v>0</v>
      </c>
      <c r="BU133" s="13">
        <f>'I&amp;E Monthly'!BU133</f>
        <v>0</v>
      </c>
      <c r="BV133" s="13">
        <f>'I&amp;E Monthly'!BV133</f>
        <v>0</v>
      </c>
      <c r="BW133" s="13">
        <f>'I&amp;E Monthly'!BW133</f>
        <v>0</v>
      </c>
      <c r="BX133" s="335"/>
      <c r="BY133" s="12"/>
      <c r="BZ133" s="363">
        <f ca="1">IF(MIN($V133:$BW133)&lt;0, 1, 0)*$I$7</f>
        <v>0</v>
      </c>
      <c r="CA133" s="12"/>
      <c r="CB133" s="7">
        <f>IF(AND($G133=$G$7,$E133=""), 1, 0)</f>
        <v>0</v>
      </c>
      <c r="CC133" s="188" cm="1">
        <f t="array" ref="CC133">IF(E133="",0, IF(_xlfn.IFNA(INDEX('I&amp;E Profiles'!$D$96:$D$180, $I133), "N/A")="N/A", 1, 0))</f>
        <v>0</v>
      </c>
      <c r="CD133" s="7">
        <f t="shared" si="138"/>
        <v>0</v>
      </c>
      <c r="CE133" s="7">
        <f t="shared" si="139"/>
        <v>0</v>
      </c>
      <c r="CF133" s="7">
        <f t="shared" si="140"/>
        <v>0</v>
      </c>
      <c r="CG133" s="12"/>
      <c r="CH133" s="352">
        <f t="shared" si="141"/>
        <v>0</v>
      </c>
      <c r="CI133" s="352">
        <f t="shared" si="142"/>
        <v>0</v>
      </c>
      <c r="CJ133" s="352">
        <f t="shared" si="143"/>
        <v>0</v>
      </c>
      <c r="CK133" s="352">
        <f t="shared" si="144"/>
        <v>0</v>
      </c>
      <c r="CL133" s="352">
        <f t="shared" si="145"/>
        <v>0</v>
      </c>
      <c r="CM133" s="352">
        <f t="shared" si="146"/>
        <v>0</v>
      </c>
      <c r="CN133" s="352">
        <f t="shared" si="147"/>
        <v>0</v>
      </c>
      <c r="EX133" s="10" t="str">
        <f t="shared" si="78"/>
        <v/>
      </c>
    </row>
    <row r="134" spans="1:154" x14ac:dyDescent="0.25">
      <c r="A134" s="362" cm="1">
        <f t="array" aca="1" ref="A134" ca="1">HYPERLINK(CONCATENATE("#",CELL("address",IF(SUM($CA134:$CG134)=0,A134,INDEX($CA134:$CG134,MATCH(1,$CA134:$CG134,0))))),SUM($CA134:$CG134))</f>
        <v>0</v>
      </c>
      <c r="B134" s="335"/>
      <c r="C134" s="343" t="s">
        <v>490</v>
      </c>
      <c r="D134" s="433" t="s">
        <v>645</v>
      </c>
      <c r="E134" s="82"/>
      <c r="F134" s="25"/>
      <c r="G134" s="25"/>
      <c r="I134" s="25"/>
      <c r="Q134" s="2"/>
      <c r="R134" s="335"/>
      <c r="S134" s="93"/>
      <c r="T134" s="335"/>
      <c r="U134" s="335"/>
      <c r="V134" s="152">
        <f>SUM(V122:V133)</f>
        <v>0</v>
      </c>
      <c r="W134" s="152">
        <f>SUM(W122:W133)</f>
        <v>0</v>
      </c>
      <c r="X134" s="152">
        <f>SUM(X122:X133)</f>
        <v>0</v>
      </c>
      <c r="Y134" s="152">
        <f>SUM(Y122:Y133)</f>
        <v>0</v>
      </c>
      <c r="Z134" s="93"/>
      <c r="AA134" s="152">
        <f t="shared" ref="AA134:BJ134" si="149">SUM(AA122:AA133)</f>
        <v>1327</v>
      </c>
      <c r="AB134" s="152">
        <f t="shared" si="149"/>
        <v>1356</v>
      </c>
      <c r="AC134" s="152">
        <f t="shared" si="149"/>
        <v>1462</v>
      </c>
      <c r="AD134" s="152">
        <f t="shared" si="149"/>
        <v>1453</v>
      </c>
      <c r="AE134" s="152">
        <f t="shared" si="149"/>
        <v>1482</v>
      </c>
      <c r="AF134" s="152">
        <f t="shared" si="149"/>
        <v>1451</v>
      </c>
      <c r="AG134" s="152">
        <f t="shared" si="149"/>
        <v>1407</v>
      </c>
      <c r="AH134" s="152">
        <f t="shared" si="149"/>
        <v>1437</v>
      </c>
      <c r="AI134" s="152">
        <f t="shared" si="149"/>
        <v>1549</v>
      </c>
      <c r="AJ134" s="152">
        <f t="shared" si="149"/>
        <v>1457</v>
      </c>
      <c r="AK134" s="152">
        <f t="shared" si="149"/>
        <v>1478</v>
      </c>
      <c r="AL134" s="152">
        <f t="shared" si="149"/>
        <v>1449</v>
      </c>
      <c r="AM134" s="152">
        <f t="shared" si="149"/>
        <v>1390</v>
      </c>
      <c r="AN134" s="152">
        <f t="shared" si="149"/>
        <v>1419</v>
      </c>
      <c r="AO134" s="152">
        <f t="shared" si="149"/>
        <v>1525</v>
      </c>
      <c r="AP134" s="152">
        <f t="shared" si="149"/>
        <v>1516</v>
      </c>
      <c r="AQ134" s="152">
        <f t="shared" si="149"/>
        <v>1545</v>
      </c>
      <c r="AR134" s="152">
        <f t="shared" si="149"/>
        <v>1522</v>
      </c>
      <c r="AS134" s="152">
        <f t="shared" si="149"/>
        <v>1478</v>
      </c>
      <c r="AT134" s="152">
        <f t="shared" si="149"/>
        <v>1510</v>
      </c>
      <c r="AU134" s="152">
        <f t="shared" si="149"/>
        <v>1581</v>
      </c>
      <c r="AV134" s="152">
        <f t="shared" si="149"/>
        <v>1520</v>
      </c>
      <c r="AW134" s="152">
        <f t="shared" si="149"/>
        <v>1542</v>
      </c>
      <c r="AX134" s="152">
        <f t="shared" si="149"/>
        <v>1513</v>
      </c>
      <c r="AY134" s="152">
        <f t="shared" si="149"/>
        <v>1434.6850000000002</v>
      </c>
      <c r="AZ134" s="152">
        <f t="shared" si="149"/>
        <v>1464.8150000000001</v>
      </c>
      <c r="BA134" s="152">
        <f t="shared" si="149"/>
        <v>1574.41</v>
      </c>
      <c r="BB134" s="152">
        <f t="shared" si="149"/>
        <v>1564.99</v>
      </c>
      <c r="BC134" s="152">
        <f t="shared" si="149"/>
        <v>1595.0049999999999</v>
      </c>
      <c r="BD134" s="152">
        <f t="shared" si="149"/>
        <v>1571.2450000000003</v>
      </c>
      <c r="BE134" s="152">
        <f t="shared" si="149"/>
        <v>1525.7000000000003</v>
      </c>
      <c r="BF134" s="152">
        <f t="shared" si="149"/>
        <v>1558.7950000000001</v>
      </c>
      <c r="BG134" s="152">
        <f t="shared" si="149"/>
        <v>1632.3050000000001</v>
      </c>
      <c r="BH134" s="152">
        <f t="shared" si="149"/>
        <v>1569.2349999999999</v>
      </c>
      <c r="BI134" s="152">
        <f t="shared" si="149"/>
        <v>1592.0450000000001</v>
      </c>
      <c r="BJ134" s="152">
        <f t="shared" si="149"/>
        <v>1562.075</v>
      </c>
      <c r="BK134" s="93"/>
      <c r="BL134" s="152">
        <f t="shared" ref="BL134:BW134" si="150">SUM(BL122:BL133)</f>
        <v>0</v>
      </c>
      <c r="BM134" s="152">
        <f t="shared" si="150"/>
        <v>17308</v>
      </c>
      <c r="BN134" s="152">
        <f t="shared" si="150"/>
        <v>18061</v>
      </c>
      <c r="BO134" s="152">
        <f t="shared" si="150"/>
        <v>18645.304999999997</v>
      </c>
      <c r="BP134" s="152">
        <f t="shared" si="150"/>
        <v>0</v>
      </c>
      <c r="BQ134" s="152">
        <f t="shared" si="150"/>
        <v>0</v>
      </c>
      <c r="BR134" s="152">
        <f t="shared" si="150"/>
        <v>0</v>
      </c>
      <c r="BS134" s="152">
        <f t="shared" si="150"/>
        <v>0</v>
      </c>
      <c r="BT134" s="152">
        <f t="shared" si="150"/>
        <v>0</v>
      </c>
      <c r="BU134" s="152">
        <f t="shared" si="150"/>
        <v>0</v>
      </c>
      <c r="BV134" s="152">
        <f t="shared" si="150"/>
        <v>0</v>
      </c>
      <c r="BW134" s="152">
        <f t="shared" si="150"/>
        <v>0</v>
      </c>
      <c r="BY134" s="12"/>
      <c r="BZ134" s="335"/>
      <c r="CA134" s="12"/>
      <c r="CC134" s="335"/>
      <c r="CD134" s="7">
        <f t="shared" si="138"/>
        <v>0</v>
      </c>
      <c r="CE134" s="7">
        <f t="shared" si="139"/>
        <v>0</v>
      </c>
      <c r="CF134" s="7">
        <f t="shared" si="140"/>
        <v>0</v>
      </c>
      <c r="CG134" s="12"/>
      <c r="CH134" s="352">
        <f t="shared" si="141"/>
        <v>0</v>
      </c>
      <c r="CI134" s="352">
        <f t="shared" si="142"/>
        <v>0</v>
      </c>
      <c r="CJ134" s="352">
        <f t="shared" si="143"/>
        <v>0</v>
      </c>
      <c r="CK134" s="352">
        <f t="shared" si="144"/>
        <v>0</v>
      </c>
      <c r="CL134" s="352">
        <f t="shared" si="145"/>
        <v>0</v>
      </c>
      <c r="CM134" s="352">
        <f t="shared" si="146"/>
        <v>0</v>
      </c>
      <c r="CN134" s="352">
        <f t="shared" si="147"/>
        <v>0</v>
      </c>
      <c r="EX134" s="10" t="str">
        <f t="shared" si="78"/>
        <v>Total Staff Costs (excl. restructuring)</v>
      </c>
    </row>
    <row r="135" spans="1:154" ht="6.6" customHeight="1" x14ac:dyDescent="0.25">
      <c r="A135" s="335"/>
      <c r="B135" s="335"/>
      <c r="C135" s="383"/>
      <c r="D135" s="177"/>
      <c r="E135" s="25"/>
      <c r="F135" s="25"/>
      <c r="G135" s="25"/>
      <c r="I135" s="25"/>
      <c r="J135" s="25"/>
      <c r="Q135" s="2"/>
      <c r="R135" s="335"/>
      <c r="T135" s="335"/>
      <c r="U135" s="335"/>
      <c r="V135" s="25"/>
      <c r="W135" s="25"/>
      <c r="X135" s="25"/>
      <c r="Y135" s="25"/>
      <c r="Z135" s="93"/>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335"/>
      <c r="BL135" s="25"/>
      <c r="BM135" s="155"/>
      <c r="BN135" s="25"/>
      <c r="BO135" s="25"/>
      <c r="BP135" s="25"/>
      <c r="BQ135" s="25"/>
      <c r="BR135" s="25"/>
      <c r="BS135" s="25"/>
      <c r="BT135" s="25"/>
      <c r="BU135" s="25"/>
      <c r="BV135" s="25"/>
      <c r="BW135" s="25"/>
      <c r="BY135" s="42"/>
      <c r="BZ135" s="335"/>
      <c r="CA135" s="42"/>
      <c r="CC135" s="335"/>
      <c r="CD135" s="7"/>
      <c r="CE135" s="7"/>
      <c r="CF135" s="7"/>
      <c r="CG135" s="42"/>
      <c r="CM135" s="335"/>
      <c r="CN135" s="335"/>
      <c r="EX135" s="10" t="str">
        <f t="shared" ref="EX135:EX192" si="151">IF($C135="","",$D135)</f>
        <v/>
      </c>
    </row>
    <row r="136" spans="1:154" x14ac:dyDescent="0.25">
      <c r="A136" s="335"/>
      <c r="B136" s="82"/>
      <c r="C136" s="383"/>
      <c r="D136" s="433" t="s">
        <v>55</v>
      </c>
      <c r="E136" s="82"/>
      <c r="F136" s="25"/>
      <c r="G136" s="25"/>
      <c r="I136" s="25"/>
      <c r="J136" s="25"/>
      <c r="Q136" s="2"/>
      <c r="R136" s="335"/>
      <c r="T136" s="335"/>
      <c r="U136" s="335"/>
      <c r="V136" s="25"/>
      <c r="W136" s="25"/>
      <c r="X136" s="25"/>
      <c r="Y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L136" s="25"/>
      <c r="BM136" s="25"/>
      <c r="BN136" s="25"/>
      <c r="BO136" s="25"/>
      <c r="BP136" s="25"/>
      <c r="BQ136" s="25"/>
      <c r="BR136" s="25"/>
      <c r="BS136" s="25"/>
      <c r="BT136" s="25"/>
      <c r="BU136" s="25"/>
      <c r="BV136" s="25"/>
      <c r="BW136" s="25"/>
      <c r="BY136" s="12"/>
      <c r="BZ136" s="335"/>
      <c r="CA136" s="12"/>
      <c r="CC136" s="335"/>
      <c r="CD136" s="7"/>
      <c r="CE136" s="7"/>
      <c r="CF136" s="7"/>
      <c r="CG136" s="12"/>
      <c r="CM136" s="335"/>
      <c r="EX136" s="10" t="str">
        <f t="shared" si="151"/>
        <v/>
      </c>
    </row>
    <row r="137" spans="1:154" ht="15.75" x14ac:dyDescent="0.3">
      <c r="A137" s="362" cm="1">
        <f t="array" aca="1" ref="A137" ca="1">HYPERLINK(CONCATENATE("#",CELL("address",IF(SUM($CA137:$CG137)=0,A137,INDEX($CA137:$CG137,MATCH(1,$CA137:$CG137,0))))),SUM($CA137:$CG137))</f>
        <v>0</v>
      </c>
      <c r="B137" s="105" t="s">
        <v>335</v>
      </c>
      <c r="C137" s="343" t="s">
        <v>491</v>
      </c>
      <c r="D137" s="194" t="s">
        <v>56</v>
      </c>
      <c r="E137" s="147"/>
      <c r="F137" s="98" t="str" cm="1">
        <f t="array" aca="1" ref="F137" ca="1">IF(E137="", "", HYPERLINK(CONCATENATE("#",CELL("address",INDEX('I&amp;E Profiles'!$D$9:$D$93,'I&amp;E Annual'!I137))),E137))</f>
        <v/>
      </c>
      <c r="G137" s="147" t="s">
        <v>211</v>
      </c>
      <c r="H137" s="162" t="s">
        <v>86</v>
      </c>
      <c r="I137" s="350" t="str">
        <f>IF(E137="", "", MATCH(E137, 'I&amp;E Profiles'!$D$96:$D$180,0))</f>
        <v/>
      </c>
      <c r="J137" s="215">
        <f>IF($G137=$G$7, W137,'I&amp;E Monthly'!W137)-SUMIFS('I&amp;E Monthly'!$AA137:$BJ137, 'I&amp;E Monthly'!$AA$3:$BJ$3, 'I&amp;E Annual'!W$3, 'I&amp;E Monthly'!$AA$4:$BJ$4, 0)</f>
        <v>380</v>
      </c>
      <c r="K137" s="215">
        <f>IF($G137=$G$7, X137,'I&amp;E Monthly'!X137)-SUMIFS('I&amp;E Monthly'!$AA137:$BJ137, 'I&amp;E Monthly'!$AA$3:$BJ$3, 'I&amp;E Annual'!X$3, 'I&amp;E Monthly'!$AA$4:$BJ$4, 0)</f>
        <v>4412</v>
      </c>
      <c r="L137" s="215">
        <f>IF($G137=$G$7, Y137,'I&amp;E Monthly'!Y137)-SUMIFS('I&amp;E Monthly'!$AA137:$BJ137, 'I&amp;E Monthly'!$AA$3:$BJ$3, 'I&amp;E Annual'!Y$3, 'I&amp;E Monthly'!$AA$4:$BJ$4, 0)</f>
        <v>4544.3599999999997</v>
      </c>
      <c r="M137" s="335"/>
      <c r="N137" s="335"/>
      <c r="O137" s="335"/>
      <c r="P137" s="335"/>
      <c r="Q137" s="2"/>
      <c r="R137" s="335"/>
      <c r="S137" s="335"/>
      <c r="T137" s="335"/>
      <c r="U137" s="335"/>
      <c r="V137" s="215">
        <f>'I&amp;E Monthly'!V137</f>
        <v>0</v>
      </c>
      <c r="W137" s="147"/>
      <c r="X137" s="227"/>
      <c r="Y137" s="227"/>
      <c r="Z137" s="335"/>
      <c r="AA137" s="153" cm="1">
        <f t="array" ref="AA137">IF(OR(AA$4=0, $G137&lt;&gt; $G$7, $E137=0), 'I&amp;E Monthly'!AA137, CHOOSE(Timeline!AA$30,$J137,$K137,$L137 )*INDEX('I&amp;E Profiles'!AA$96:AA$180,$I137))</f>
        <v>200</v>
      </c>
      <c r="AB137" s="153" cm="1">
        <f t="array" ref="AB137">IF(OR(AB$4=0, $G137&lt;&gt; $G$7, $E137=0), 'I&amp;E Monthly'!AB137, CHOOSE(Timeline!AB$30,$J137,$K137,$L137 )*INDEX('I&amp;E Profiles'!AB$96:AB$180,$I137))</f>
        <v>300</v>
      </c>
      <c r="AC137" s="153" cm="1">
        <f t="array" ref="AC137">IF(OR(AC$4=0, $G137&lt;&gt; $G$7, $E137=0), 'I&amp;E Monthly'!AC137, CHOOSE(Timeline!AC$30,$J137,$K137,$L137 )*INDEX('I&amp;E Profiles'!AC$96:AC$180,$I137))</f>
        <v>394</v>
      </c>
      <c r="AD137" s="153" cm="1">
        <f t="array" ref="AD137">IF(OR(AD$4=0, $G137&lt;&gt; $G$7, $E137=0), 'I&amp;E Monthly'!AD137, CHOOSE(Timeline!AD$30,$J137,$K137,$L137 )*INDEX('I&amp;E Profiles'!AD$96:AD$180,$I137))</f>
        <v>350</v>
      </c>
      <c r="AE137" s="153" cm="1">
        <f t="array" ref="AE137">IF(OR(AE$4=0, $G137&lt;&gt; $G$7, $E137=0), 'I&amp;E Monthly'!AE137, CHOOSE(Timeline!AE$30,$J137,$K137,$L137 )*INDEX('I&amp;E Profiles'!AE$96:AE$180,$I137))</f>
        <v>252</v>
      </c>
      <c r="AF137" s="153" cm="1">
        <f t="array" ref="AF137">IF(OR(AF$4=0, $G137&lt;&gt; $G$7, $E137=0), 'I&amp;E Monthly'!AF137, CHOOSE(Timeline!AF$30,$J137,$K137,$L137 )*INDEX('I&amp;E Profiles'!AF$96:AF$180,$I137))</f>
        <v>393</v>
      </c>
      <c r="AG137" s="153" cm="1">
        <f t="array" ref="AG137">IF(OR(AG$4=0, $G137&lt;&gt; $G$7, $E137=0), 'I&amp;E Monthly'!AG137, CHOOSE(Timeline!AG$30,$J137,$K137,$L137 )*INDEX('I&amp;E Profiles'!AG$96:AG$180,$I137))</f>
        <v>156</v>
      </c>
      <c r="AH137" s="153" cm="1">
        <f t="array" ref="AH137">IF(OR(AH$4=0, $G137&lt;&gt; $G$7, $E137=0), 'I&amp;E Monthly'!AH137, CHOOSE(Timeline!AH$30,$J137,$K137,$L137 )*INDEX('I&amp;E Profiles'!AH$96:AH$180,$I137))</f>
        <v>400</v>
      </c>
      <c r="AI137" s="153" cm="1">
        <f t="array" ref="AI137">IF(OR(AI$4=0, $G137&lt;&gt; $G$7, $E137=0), 'I&amp;E Monthly'!AI137, CHOOSE(Timeline!AI$30,$J137,$K137,$L137 )*INDEX('I&amp;E Profiles'!AI$96:AI$180,$I137))</f>
        <v>397</v>
      </c>
      <c r="AJ137" s="153" cm="1">
        <f t="array" ref="AJ137">IF(OR(AJ$4=0, $G137&lt;&gt; $G$7, $E137=0), 'I&amp;E Monthly'!AJ137, CHOOSE(Timeline!AJ$30,$J137,$K137,$L137 )*INDEX('I&amp;E Profiles'!AJ$96:AJ$180,$I137))</f>
        <v>559</v>
      </c>
      <c r="AK137" s="153" cm="1">
        <f t="array" ref="AK137">IF(OR(AK$4=0, $G137&lt;&gt; $G$7, $E137=0), 'I&amp;E Monthly'!AK137, CHOOSE(Timeline!AK$30,$J137,$K137,$L137 )*INDEX('I&amp;E Profiles'!AK$96:AK$180,$I137))</f>
        <v>500</v>
      </c>
      <c r="AL137" s="153" cm="1">
        <f t="array" ref="AL137">IF(OR(AL$4=0, $G137&lt;&gt; $G$7, $E137=0), 'I&amp;E Monthly'!AL137, CHOOSE(Timeline!AL$30,$J137,$K137,$L137 )*INDEX('I&amp;E Profiles'!AL$96:AL$180,$I137))</f>
        <v>380</v>
      </c>
      <c r="AM137" s="153" cm="1">
        <f t="array" ref="AM137">IF(OR(AM$4=0, $G137&lt;&gt; $G$7, $E137=0), 'I&amp;E Monthly'!AM137, CHOOSE(Timeline!AM$30,$J137,$K137,$L137 )*INDEX('I&amp;E Profiles'!AM$96:AM$180,$I137))</f>
        <v>200</v>
      </c>
      <c r="AN137" s="153" cm="1">
        <f t="array" ref="AN137">IF(OR(AN$4=0, $G137&lt;&gt; $G$7, $E137=0), 'I&amp;E Monthly'!AN137, CHOOSE(Timeline!AN$30,$J137,$K137,$L137 )*INDEX('I&amp;E Profiles'!AN$96:AN$180,$I137))</f>
        <v>300</v>
      </c>
      <c r="AO137" s="153" cm="1">
        <f t="array" ref="AO137">IF(OR(AO$4=0, $G137&lt;&gt; $G$7, $E137=0), 'I&amp;E Monthly'!AO137, CHOOSE(Timeline!AO$30,$J137,$K137,$L137 )*INDEX('I&amp;E Profiles'!AO$96:AO$180,$I137))</f>
        <v>394</v>
      </c>
      <c r="AP137" s="153" cm="1">
        <f t="array" ref="AP137">IF(OR(AP$4=0, $G137&lt;&gt; $G$7, $E137=0), 'I&amp;E Monthly'!AP137, CHOOSE(Timeline!AP$30,$J137,$K137,$L137 )*INDEX('I&amp;E Profiles'!AP$96:AP$180,$I137))</f>
        <v>350</v>
      </c>
      <c r="AQ137" s="153" cm="1">
        <f t="array" ref="AQ137">IF(OR(AQ$4=0, $G137&lt;&gt; $G$7, $E137=0), 'I&amp;E Monthly'!AQ137, CHOOSE(Timeline!AQ$30,$J137,$K137,$L137 )*INDEX('I&amp;E Profiles'!AQ$96:AQ$180,$I137))</f>
        <v>302</v>
      </c>
      <c r="AR137" s="153" cm="1">
        <f t="array" ref="AR137">IF(OR(AR$4=0, $G137&lt;&gt; $G$7, $E137=0), 'I&amp;E Monthly'!AR137, CHOOSE(Timeline!AR$30,$J137,$K137,$L137 )*INDEX('I&amp;E Profiles'!AR$96:AR$180,$I137))</f>
        <v>393</v>
      </c>
      <c r="AS137" s="153" cm="1">
        <f t="array" ref="AS137">IF(OR(AS$4=0, $G137&lt;&gt; $G$7, $E137=0), 'I&amp;E Monthly'!AS137, CHOOSE(Timeline!AS$30,$J137,$K137,$L137 )*INDEX('I&amp;E Profiles'!AS$96:AS$180,$I137))</f>
        <v>350</v>
      </c>
      <c r="AT137" s="153" cm="1">
        <f t="array" ref="AT137">IF(OR(AT$4=0, $G137&lt;&gt; $G$7, $E137=0), 'I&amp;E Monthly'!AT137, CHOOSE(Timeline!AT$30,$J137,$K137,$L137 )*INDEX('I&amp;E Profiles'!AT$96:AT$180,$I137))</f>
        <v>400</v>
      </c>
      <c r="AU137" s="153" cm="1">
        <f t="array" ref="AU137">IF(OR(AU$4=0, $G137&lt;&gt; $G$7, $E137=0), 'I&amp;E Monthly'!AU137, CHOOSE(Timeline!AU$30,$J137,$K137,$L137 )*INDEX('I&amp;E Profiles'!AU$96:AU$180,$I137))</f>
        <v>397</v>
      </c>
      <c r="AV137" s="153" cm="1">
        <f t="array" ref="AV137">IF(OR(AV$4=0, $G137&lt;&gt; $G$7, $E137=0), 'I&amp;E Monthly'!AV137, CHOOSE(Timeline!AV$30,$J137,$K137,$L137 )*INDEX('I&amp;E Profiles'!AV$96:AV$180,$I137))</f>
        <v>509</v>
      </c>
      <c r="AW137" s="153" cm="1">
        <f t="array" ref="AW137">IF(OR(AW$4=0, $G137&lt;&gt; $G$7, $E137=0), 'I&amp;E Monthly'!AW137, CHOOSE(Timeline!AW$30,$J137,$K137,$L137 )*INDEX('I&amp;E Profiles'!AW$96:AW$180,$I137))</f>
        <v>437</v>
      </c>
      <c r="AX137" s="153" cm="1">
        <f t="array" ref="AX137">IF(OR(AX$4=0, $G137&lt;&gt; $G$7, $E137=0), 'I&amp;E Monthly'!AX137, CHOOSE(Timeline!AX$30,$J137,$K137,$L137 )*INDEX('I&amp;E Profiles'!AX$96:AX$180,$I137))</f>
        <v>380</v>
      </c>
      <c r="AY137" s="153" cm="1">
        <f t="array" ref="AY137">IF(OR(AY$4=0, $G137&lt;&gt; $G$7, $E137=0), 'I&amp;E Monthly'!AY137, CHOOSE(Timeline!AY$30,$J137,$K137,$L137 )*INDEX('I&amp;E Profiles'!AY$96:AY$180,$I137))</f>
        <v>206</v>
      </c>
      <c r="AZ137" s="153" cm="1">
        <f t="array" ref="AZ137">IF(OR(AZ$4=0, $G137&lt;&gt; $G$7, $E137=0), 'I&amp;E Monthly'!AZ137, CHOOSE(Timeline!AZ$30,$J137,$K137,$L137 )*INDEX('I&amp;E Profiles'!AZ$96:AZ$180,$I137))</f>
        <v>309</v>
      </c>
      <c r="BA137" s="153" cm="1">
        <f t="array" ref="BA137">IF(OR(BA$4=0, $G137&lt;&gt; $G$7, $E137=0), 'I&amp;E Monthly'!BA137, CHOOSE(Timeline!BA$30,$J137,$K137,$L137 )*INDEX('I&amp;E Profiles'!BA$96:BA$180,$I137))</f>
        <v>405.82</v>
      </c>
      <c r="BB137" s="153" cm="1">
        <f t="array" ref="BB137">IF(OR(BB$4=0, $G137&lt;&gt; $G$7, $E137=0), 'I&amp;E Monthly'!BB137, CHOOSE(Timeline!BB$30,$J137,$K137,$L137 )*INDEX('I&amp;E Profiles'!BB$96:BB$180,$I137))</f>
        <v>360.5</v>
      </c>
      <c r="BC137" s="153" cm="1">
        <f t="array" ref="BC137">IF(OR(BC$4=0, $G137&lt;&gt; $G$7, $E137=0), 'I&amp;E Monthly'!BC137, CHOOSE(Timeline!BC$30,$J137,$K137,$L137 )*INDEX('I&amp;E Profiles'!BC$96:BC$180,$I137))</f>
        <v>311.06</v>
      </c>
      <c r="BD137" s="153" cm="1">
        <f t="array" ref="BD137">IF(OR(BD$4=0, $G137&lt;&gt; $G$7, $E137=0), 'I&amp;E Monthly'!BD137, CHOOSE(Timeline!BD$30,$J137,$K137,$L137 )*INDEX('I&amp;E Profiles'!BD$96:BD$180,$I137))</f>
        <v>404.79</v>
      </c>
      <c r="BE137" s="153" cm="1">
        <f t="array" ref="BE137">IF(OR(BE$4=0, $G137&lt;&gt; $G$7, $E137=0), 'I&amp;E Monthly'!BE137, CHOOSE(Timeline!BE$30,$J137,$K137,$L137 )*INDEX('I&amp;E Profiles'!BE$96:BE$180,$I137))</f>
        <v>360.5</v>
      </c>
      <c r="BF137" s="153" cm="1">
        <f t="array" ref="BF137">IF(OR(BF$4=0, $G137&lt;&gt; $G$7, $E137=0), 'I&amp;E Monthly'!BF137, CHOOSE(Timeline!BF$30,$J137,$K137,$L137 )*INDEX('I&amp;E Profiles'!BF$96:BF$180,$I137))</f>
        <v>412</v>
      </c>
      <c r="BG137" s="153" cm="1">
        <f t="array" ref="BG137">IF(OR(BG$4=0, $G137&lt;&gt; $G$7, $E137=0), 'I&amp;E Monthly'!BG137, CHOOSE(Timeline!BG$30,$J137,$K137,$L137 )*INDEX('I&amp;E Profiles'!BG$96:BG$180,$I137))</f>
        <v>408.91</v>
      </c>
      <c r="BH137" s="153" cm="1">
        <f t="array" ref="BH137">IF(OR(BH$4=0, $G137&lt;&gt; $G$7, $E137=0), 'I&amp;E Monthly'!BH137, CHOOSE(Timeline!BH$30,$J137,$K137,$L137 )*INDEX('I&amp;E Profiles'!BH$96:BH$180,$I137))</f>
        <v>524.27</v>
      </c>
      <c r="BI137" s="153" cm="1">
        <f t="array" ref="BI137">IF(OR(BI$4=0, $G137&lt;&gt; $G$7, $E137=0), 'I&amp;E Monthly'!BI137, CHOOSE(Timeline!BI$30,$J137,$K137,$L137 )*INDEX('I&amp;E Profiles'!BI$96:BI$180,$I137))</f>
        <v>450.11</v>
      </c>
      <c r="BJ137" s="153" cm="1">
        <f t="array" ref="BJ137">IF(OR(BJ$4=0, $G137&lt;&gt; $G$7, $E137=0), 'I&amp;E Monthly'!BJ137, CHOOSE(Timeline!BJ$30,$J137,$K137,$L137 )*INDEX('I&amp;E Profiles'!BJ$96:BJ$180,$I137))</f>
        <v>391.40000000000003</v>
      </c>
      <c r="BK137" s="335"/>
      <c r="BL137" s="152">
        <f t="shared" ref="BL137:BL146" si="152">V137</f>
        <v>0</v>
      </c>
      <c r="BM137" s="153">
        <f t="shared" ref="BM137:BO146" si="153">SUMIFS($AA137:$BJ137, $AA$3:$BJ$3,BM$3)</f>
        <v>4281</v>
      </c>
      <c r="BN137" s="153">
        <f t="shared" si="153"/>
        <v>4412</v>
      </c>
      <c r="BO137" s="153">
        <f t="shared" si="153"/>
        <v>4544.3599999999997</v>
      </c>
      <c r="BP137" s="152">
        <f>'I&amp;E Monthly'!BP137</f>
        <v>0</v>
      </c>
      <c r="BQ137" s="152">
        <f>'I&amp;E Monthly'!BQ137</f>
        <v>0</v>
      </c>
      <c r="BR137" s="152">
        <f>'I&amp;E Monthly'!BR137</f>
        <v>0</v>
      </c>
      <c r="BS137" s="152">
        <f>'I&amp;E Monthly'!BS137</f>
        <v>0</v>
      </c>
      <c r="BT137" s="152">
        <f>'I&amp;E Monthly'!BT137</f>
        <v>0</v>
      </c>
      <c r="BU137" s="152">
        <f>'I&amp;E Monthly'!BU137</f>
        <v>0</v>
      </c>
      <c r="BV137" s="152">
        <f>'I&amp;E Monthly'!BV137</f>
        <v>0</v>
      </c>
      <c r="BW137" s="152">
        <f>'I&amp;E Monthly'!BW137</f>
        <v>0</v>
      </c>
      <c r="BX137" s="335"/>
      <c r="BY137" s="12"/>
      <c r="BZ137" s="363">
        <f t="shared" ref="BZ137:BZ146" ca="1" si="154">IF(MIN($V137:$BW137)&lt;0, 1, 0)*$I$7</f>
        <v>0</v>
      </c>
      <c r="CA137" s="12"/>
      <c r="CB137" s="7">
        <f t="shared" ref="CB137:CB146" si="155">IF(AND($G137=$G$7,$E137=""), 1, 0)</f>
        <v>0</v>
      </c>
      <c r="CC137" s="188" cm="1">
        <f t="array" ref="CC137">IF(E137="",0, IF(_xlfn.IFNA(INDEX('I&amp;E Profiles'!$D$96:$D$180, $I137), "N/A")="N/A", 1, 0))</f>
        <v>0</v>
      </c>
      <c r="CD137" s="7">
        <f t="shared" ref="CD137:CD151" si="156">IF(SUM($CH137:$CJ137)=0, 0, 1)</f>
        <v>0</v>
      </c>
      <c r="CE137" s="7">
        <f t="shared" ref="CE137:CE151" si="157">IF(SUM($CK137:$CM137)=0, 0, 1)</f>
        <v>0</v>
      </c>
      <c r="CF137" s="7">
        <f t="shared" ref="CF137:CF151" si="158">IF(CN137=0, 0, 1)</f>
        <v>0</v>
      </c>
      <c r="CG137" s="12"/>
      <c r="CH137" s="352">
        <f t="shared" ref="CH137:CH151" si="159">IF($G137=$G$7, ROUND(W137-SUMIFS($AA137:$BJ137, $AA$3:$BJ$3, W$3), rounding), 0)</f>
        <v>0</v>
      </c>
      <c r="CI137" s="352">
        <f t="shared" ref="CI137:CI151" si="160">IF($G137=$G$7, ROUND(X137-SUMIFS($AA137:$BJ137, $AA$3:$BJ$3, X$3), rounding), 0)</f>
        <v>0</v>
      </c>
      <c r="CJ137" s="352">
        <f t="shared" ref="CJ137:CJ151" si="161">IF($G137=$G$7, ROUND(Y137-SUMIFS($AA137:$BJ137, $AA$3:$BJ$3, Y$3), rounding), 0)</f>
        <v>0</v>
      </c>
      <c r="CK137" s="352">
        <f t="shared" ref="CK137:CK151" si="162">ROUND($BM137-SUMIFS($AA137:$BJ137, $AA$3:$BJ$3, $BM$3), rounding)</f>
        <v>0</v>
      </c>
      <c r="CL137" s="352">
        <f t="shared" ref="CL137:CL151" si="163">ROUND($BN137-SUMIFS($AA137:$BJ137, $AA$3:$BJ$3, $BN$3), rounding)</f>
        <v>0</v>
      </c>
      <c r="CM137" s="352">
        <f t="shared" ref="CM137:CM151" si="164">ROUND($BO137-SUMIFS($AA137:$BJ137, $AA$3:$BJ$3, $BO$3), rounding)</f>
        <v>0</v>
      </c>
      <c r="CN137" s="352">
        <f t="shared" ref="CN137:CN151" si="165">ROUND($V137-$BL137, rounding)</f>
        <v>0</v>
      </c>
      <c r="EX137" s="10" t="str">
        <f t="shared" si="151"/>
        <v>Teaching costs</v>
      </c>
    </row>
    <row r="138" spans="1:154" ht="15.75" x14ac:dyDescent="0.3">
      <c r="A138" s="362" cm="1">
        <f t="array" aca="1" ref="A138" ca="1">HYPERLINK(CONCATENATE("#",CELL("address",IF(SUM($CA138:$CG138)=0,A138,INDEX($CA138:$CG138,MATCH(1,$CA138:$CG138,0))))),SUM($CA138:$CG138))</f>
        <v>0</v>
      </c>
      <c r="B138" s="105" t="s">
        <v>335</v>
      </c>
      <c r="C138" s="343" t="s">
        <v>492</v>
      </c>
      <c r="D138" s="194" t="s">
        <v>57</v>
      </c>
      <c r="E138" s="147"/>
      <c r="F138" s="98" t="str" cm="1">
        <f t="array" aca="1" ref="F138" ca="1">IF(E138="", "", HYPERLINK(CONCATENATE("#",CELL("address",INDEX('I&amp;E Profiles'!$D$9:$D$93,'I&amp;E Annual'!I138))),E138))</f>
        <v/>
      </c>
      <c r="G138" s="147" t="s">
        <v>211</v>
      </c>
      <c r="H138" s="162" t="s">
        <v>86</v>
      </c>
      <c r="I138" s="350" t="str">
        <f>IF(E138="", "", MATCH(E138, 'I&amp;E Profiles'!$D$96:$D$180,0))</f>
        <v/>
      </c>
      <c r="J138" s="215">
        <f>IF($G138=$G$7, W138,'I&amp;E Monthly'!W138)-SUMIFS('I&amp;E Monthly'!$AA138:$BJ138, 'I&amp;E Monthly'!$AA$3:$BJ$3, 'I&amp;E Annual'!W$3, 'I&amp;E Monthly'!$AA$4:$BJ$4, 0)</f>
        <v>0</v>
      </c>
      <c r="K138" s="215">
        <f>IF($G138=$G$7, X138,'I&amp;E Monthly'!X138)-SUMIFS('I&amp;E Monthly'!$AA138:$BJ138, 'I&amp;E Monthly'!$AA$3:$BJ$3, 'I&amp;E Annual'!X$3, 'I&amp;E Monthly'!$AA$4:$BJ$4, 0)</f>
        <v>0</v>
      </c>
      <c r="L138" s="215">
        <f>IF($G138=$G$7, Y138,'I&amp;E Monthly'!Y138)-SUMIFS('I&amp;E Monthly'!$AA138:$BJ138, 'I&amp;E Monthly'!$AA$3:$BJ$3, 'I&amp;E Annual'!Y$3, 'I&amp;E Monthly'!$AA$4:$BJ$4, 0)</f>
        <v>0</v>
      </c>
      <c r="M138" s="335"/>
      <c r="N138" s="335"/>
      <c r="O138" s="335"/>
      <c r="P138" s="335"/>
      <c r="Q138" s="2"/>
      <c r="R138" s="335"/>
      <c r="S138" s="335"/>
      <c r="T138" s="335"/>
      <c r="U138" s="335"/>
      <c r="V138" s="201">
        <f>'I&amp;E Monthly'!V138</f>
        <v>0</v>
      </c>
      <c r="W138" s="372"/>
      <c r="X138" s="198"/>
      <c r="Y138" s="198"/>
      <c r="Z138" s="335"/>
      <c r="AA138" s="153" cm="1">
        <f t="array" ref="AA138">IF(OR(AA$4=0, $G138&lt;&gt; $G$7, $E138=0), 'I&amp;E Monthly'!AA138, CHOOSE(Timeline!AA$30,$J138,$K138,$L138 )*INDEX('I&amp;E Profiles'!AA$96:AA$180,$I138))</f>
        <v>0</v>
      </c>
      <c r="AB138" s="153" cm="1">
        <f t="array" ref="AB138">IF(OR(AB$4=0, $G138&lt;&gt; $G$7, $E138=0), 'I&amp;E Monthly'!AB138, CHOOSE(Timeline!AB$30,$J138,$K138,$L138 )*INDEX('I&amp;E Profiles'!AB$96:AB$180,$I138))</f>
        <v>0</v>
      </c>
      <c r="AC138" s="153" cm="1">
        <f t="array" ref="AC138">IF(OR(AC$4=0, $G138&lt;&gt; $G$7, $E138=0), 'I&amp;E Monthly'!AC138, CHOOSE(Timeline!AC$30,$J138,$K138,$L138 )*INDEX('I&amp;E Profiles'!AC$96:AC$180,$I138))</f>
        <v>0</v>
      </c>
      <c r="AD138" s="153" cm="1">
        <f t="array" ref="AD138">IF(OR(AD$4=0, $G138&lt;&gt; $G$7, $E138=0), 'I&amp;E Monthly'!AD138, CHOOSE(Timeline!AD$30,$J138,$K138,$L138 )*INDEX('I&amp;E Profiles'!AD$96:AD$180,$I138))</f>
        <v>0</v>
      </c>
      <c r="AE138" s="153" cm="1">
        <f t="array" ref="AE138">IF(OR(AE$4=0, $G138&lt;&gt; $G$7, $E138=0), 'I&amp;E Monthly'!AE138, CHOOSE(Timeline!AE$30,$J138,$K138,$L138 )*INDEX('I&amp;E Profiles'!AE$96:AE$180,$I138))</f>
        <v>0</v>
      </c>
      <c r="AF138" s="153" cm="1">
        <f t="array" ref="AF138">IF(OR(AF$4=0, $G138&lt;&gt; $G$7, $E138=0), 'I&amp;E Monthly'!AF138, CHOOSE(Timeline!AF$30,$J138,$K138,$L138 )*INDEX('I&amp;E Profiles'!AF$96:AF$180,$I138))</f>
        <v>0</v>
      </c>
      <c r="AG138" s="153" cm="1">
        <f t="array" ref="AG138">IF(OR(AG$4=0, $G138&lt;&gt; $G$7, $E138=0), 'I&amp;E Monthly'!AG138, CHOOSE(Timeline!AG$30,$J138,$K138,$L138 )*INDEX('I&amp;E Profiles'!AG$96:AG$180,$I138))</f>
        <v>0</v>
      </c>
      <c r="AH138" s="153" cm="1">
        <f t="array" ref="AH138">IF(OR(AH$4=0, $G138&lt;&gt; $G$7, $E138=0), 'I&amp;E Monthly'!AH138, CHOOSE(Timeline!AH$30,$J138,$K138,$L138 )*INDEX('I&amp;E Profiles'!AH$96:AH$180,$I138))</f>
        <v>0</v>
      </c>
      <c r="AI138" s="153" cm="1">
        <f t="array" ref="AI138">IF(OR(AI$4=0, $G138&lt;&gt; $G$7, $E138=0), 'I&amp;E Monthly'!AI138, CHOOSE(Timeline!AI$30,$J138,$K138,$L138 )*INDEX('I&amp;E Profiles'!AI$96:AI$180,$I138))</f>
        <v>0</v>
      </c>
      <c r="AJ138" s="153" cm="1">
        <f t="array" ref="AJ138">IF(OR(AJ$4=0, $G138&lt;&gt; $G$7, $E138=0), 'I&amp;E Monthly'!AJ138, CHOOSE(Timeline!AJ$30,$J138,$K138,$L138 )*INDEX('I&amp;E Profiles'!AJ$96:AJ$180,$I138))</f>
        <v>0</v>
      </c>
      <c r="AK138" s="153" cm="1">
        <f t="array" ref="AK138">IF(OR(AK$4=0, $G138&lt;&gt; $G$7, $E138=0), 'I&amp;E Monthly'!AK138, CHOOSE(Timeline!AK$30,$J138,$K138,$L138 )*INDEX('I&amp;E Profiles'!AK$96:AK$180,$I138))</f>
        <v>0</v>
      </c>
      <c r="AL138" s="153" cm="1">
        <f t="array" ref="AL138">IF(OR(AL$4=0, $G138&lt;&gt; $G$7, $E138=0), 'I&amp;E Monthly'!AL138, CHOOSE(Timeline!AL$30,$J138,$K138,$L138 )*INDEX('I&amp;E Profiles'!AL$96:AL$180,$I138))</f>
        <v>0</v>
      </c>
      <c r="AM138" s="153" cm="1">
        <f t="array" ref="AM138">IF(OR(AM$4=0, $G138&lt;&gt; $G$7, $E138=0), 'I&amp;E Monthly'!AM138, CHOOSE(Timeline!AM$30,$J138,$K138,$L138 )*INDEX('I&amp;E Profiles'!AM$96:AM$180,$I138))</f>
        <v>0</v>
      </c>
      <c r="AN138" s="153" cm="1">
        <f t="array" ref="AN138">IF(OR(AN$4=0, $G138&lt;&gt; $G$7, $E138=0), 'I&amp;E Monthly'!AN138, CHOOSE(Timeline!AN$30,$J138,$K138,$L138 )*INDEX('I&amp;E Profiles'!AN$96:AN$180,$I138))</f>
        <v>0</v>
      </c>
      <c r="AO138" s="153" cm="1">
        <f t="array" ref="AO138">IF(OR(AO$4=0, $G138&lt;&gt; $G$7, $E138=0), 'I&amp;E Monthly'!AO138, CHOOSE(Timeline!AO$30,$J138,$K138,$L138 )*INDEX('I&amp;E Profiles'!AO$96:AO$180,$I138))</f>
        <v>0</v>
      </c>
      <c r="AP138" s="153" cm="1">
        <f t="array" ref="AP138">IF(OR(AP$4=0, $G138&lt;&gt; $G$7, $E138=0), 'I&amp;E Monthly'!AP138, CHOOSE(Timeline!AP$30,$J138,$K138,$L138 )*INDEX('I&amp;E Profiles'!AP$96:AP$180,$I138))</f>
        <v>0</v>
      </c>
      <c r="AQ138" s="153" cm="1">
        <f t="array" ref="AQ138">IF(OR(AQ$4=0, $G138&lt;&gt; $G$7, $E138=0), 'I&amp;E Monthly'!AQ138, CHOOSE(Timeline!AQ$30,$J138,$K138,$L138 )*INDEX('I&amp;E Profiles'!AQ$96:AQ$180,$I138))</f>
        <v>0</v>
      </c>
      <c r="AR138" s="153" cm="1">
        <f t="array" ref="AR138">IF(OR(AR$4=0, $G138&lt;&gt; $G$7, $E138=0), 'I&amp;E Monthly'!AR138, CHOOSE(Timeline!AR$30,$J138,$K138,$L138 )*INDEX('I&amp;E Profiles'!AR$96:AR$180,$I138))</f>
        <v>0</v>
      </c>
      <c r="AS138" s="153" cm="1">
        <f t="array" ref="AS138">IF(OR(AS$4=0, $G138&lt;&gt; $G$7, $E138=0), 'I&amp;E Monthly'!AS138, CHOOSE(Timeline!AS$30,$J138,$K138,$L138 )*INDEX('I&amp;E Profiles'!AS$96:AS$180,$I138))</f>
        <v>0</v>
      </c>
      <c r="AT138" s="153" cm="1">
        <f t="array" ref="AT138">IF(OR(AT$4=0, $G138&lt;&gt; $G$7, $E138=0), 'I&amp;E Monthly'!AT138, CHOOSE(Timeline!AT$30,$J138,$K138,$L138 )*INDEX('I&amp;E Profiles'!AT$96:AT$180,$I138))</f>
        <v>0</v>
      </c>
      <c r="AU138" s="153" cm="1">
        <f t="array" ref="AU138">IF(OR(AU$4=0, $G138&lt;&gt; $G$7, $E138=0), 'I&amp;E Monthly'!AU138, CHOOSE(Timeline!AU$30,$J138,$K138,$L138 )*INDEX('I&amp;E Profiles'!AU$96:AU$180,$I138))</f>
        <v>0</v>
      </c>
      <c r="AV138" s="153" cm="1">
        <f t="array" ref="AV138">IF(OR(AV$4=0, $G138&lt;&gt; $G$7, $E138=0), 'I&amp;E Monthly'!AV138, CHOOSE(Timeline!AV$30,$J138,$K138,$L138 )*INDEX('I&amp;E Profiles'!AV$96:AV$180,$I138))</f>
        <v>0</v>
      </c>
      <c r="AW138" s="153" cm="1">
        <f t="array" ref="AW138">IF(OR(AW$4=0, $G138&lt;&gt; $G$7, $E138=0), 'I&amp;E Monthly'!AW138, CHOOSE(Timeline!AW$30,$J138,$K138,$L138 )*INDEX('I&amp;E Profiles'!AW$96:AW$180,$I138))</f>
        <v>0</v>
      </c>
      <c r="AX138" s="153" cm="1">
        <f t="array" ref="AX138">IF(OR(AX$4=0, $G138&lt;&gt; $G$7, $E138=0), 'I&amp;E Monthly'!AX138, CHOOSE(Timeline!AX$30,$J138,$K138,$L138 )*INDEX('I&amp;E Profiles'!AX$96:AX$180,$I138))</f>
        <v>0</v>
      </c>
      <c r="AY138" s="153" cm="1">
        <f t="array" ref="AY138">IF(OR(AY$4=0, $G138&lt;&gt; $G$7, $E138=0), 'I&amp;E Monthly'!AY138, CHOOSE(Timeline!AY$30,$J138,$K138,$L138 )*INDEX('I&amp;E Profiles'!AY$96:AY$180,$I138))</f>
        <v>0</v>
      </c>
      <c r="AZ138" s="153" cm="1">
        <f t="array" ref="AZ138">IF(OR(AZ$4=0, $G138&lt;&gt; $G$7, $E138=0), 'I&amp;E Monthly'!AZ138, CHOOSE(Timeline!AZ$30,$J138,$K138,$L138 )*INDEX('I&amp;E Profiles'!AZ$96:AZ$180,$I138))</f>
        <v>0</v>
      </c>
      <c r="BA138" s="153" cm="1">
        <f t="array" ref="BA138">IF(OR(BA$4=0, $G138&lt;&gt; $G$7, $E138=0), 'I&amp;E Monthly'!BA138, CHOOSE(Timeline!BA$30,$J138,$K138,$L138 )*INDEX('I&amp;E Profiles'!BA$96:BA$180,$I138))</f>
        <v>0</v>
      </c>
      <c r="BB138" s="153" cm="1">
        <f t="array" ref="BB138">IF(OR(BB$4=0, $G138&lt;&gt; $G$7, $E138=0), 'I&amp;E Monthly'!BB138, CHOOSE(Timeline!BB$30,$J138,$K138,$L138 )*INDEX('I&amp;E Profiles'!BB$96:BB$180,$I138))</f>
        <v>0</v>
      </c>
      <c r="BC138" s="153" cm="1">
        <f t="array" ref="BC138">IF(OR(BC$4=0, $G138&lt;&gt; $G$7, $E138=0), 'I&amp;E Monthly'!BC138, CHOOSE(Timeline!BC$30,$J138,$K138,$L138 )*INDEX('I&amp;E Profiles'!BC$96:BC$180,$I138))</f>
        <v>0</v>
      </c>
      <c r="BD138" s="153" cm="1">
        <f t="array" ref="BD138">IF(OR(BD$4=0, $G138&lt;&gt; $G$7, $E138=0), 'I&amp;E Monthly'!BD138, CHOOSE(Timeline!BD$30,$J138,$K138,$L138 )*INDEX('I&amp;E Profiles'!BD$96:BD$180,$I138))</f>
        <v>0</v>
      </c>
      <c r="BE138" s="153" cm="1">
        <f t="array" ref="BE138">IF(OR(BE$4=0, $G138&lt;&gt; $G$7, $E138=0), 'I&amp;E Monthly'!BE138, CHOOSE(Timeline!BE$30,$J138,$K138,$L138 )*INDEX('I&amp;E Profiles'!BE$96:BE$180,$I138))</f>
        <v>0</v>
      </c>
      <c r="BF138" s="153" cm="1">
        <f t="array" ref="BF138">IF(OR(BF$4=0, $G138&lt;&gt; $G$7, $E138=0), 'I&amp;E Monthly'!BF138, CHOOSE(Timeline!BF$30,$J138,$K138,$L138 )*INDEX('I&amp;E Profiles'!BF$96:BF$180,$I138))</f>
        <v>0</v>
      </c>
      <c r="BG138" s="153" cm="1">
        <f t="array" ref="BG138">IF(OR(BG$4=0, $G138&lt;&gt; $G$7, $E138=0), 'I&amp;E Monthly'!BG138, CHOOSE(Timeline!BG$30,$J138,$K138,$L138 )*INDEX('I&amp;E Profiles'!BG$96:BG$180,$I138))</f>
        <v>0</v>
      </c>
      <c r="BH138" s="153" cm="1">
        <f t="array" ref="BH138">IF(OR(BH$4=0, $G138&lt;&gt; $G$7, $E138=0), 'I&amp;E Monthly'!BH138, CHOOSE(Timeline!BH$30,$J138,$K138,$L138 )*INDEX('I&amp;E Profiles'!BH$96:BH$180,$I138))</f>
        <v>0</v>
      </c>
      <c r="BI138" s="153" cm="1">
        <f t="array" ref="BI138">IF(OR(BI$4=0, $G138&lt;&gt; $G$7, $E138=0), 'I&amp;E Monthly'!BI138, CHOOSE(Timeline!BI$30,$J138,$K138,$L138 )*INDEX('I&amp;E Profiles'!BI$96:BI$180,$I138))</f>
        <v>0</v>
      </c>
      <c r="BJ138" s="153" cm="1">
        <f t="array" ref="BJ138">IF(OR(BJ$4=0, $G138&lt;&gt; $G$7, $E138=0), 'I&amp;E Monthly'!BJ138, CHOOSE(Timeline!BJ$30,$J138,$K138,$L138 )*INDEX('I&amp;E Profiles'!BJ$96:BJ$180,$I138))</f>
        <v>0</v>
      </c>
      <c r="BK138" s="335"/>
      <c r="BL138" s="13">
        <f t="shared" si="152"/>
        <v>0</v>
      </c>
      <c r="BM138" s="153">
        <f t="shared" si="153"/>
        <v>0</v>
      </c>
      <c r="BN138" s="153">
        <f t="shared" si="153"/>
        <v>0</v>
      </c>
      <c r="BO138" s="153">
        <f t="shared" si="153"/>
        <v>0</v>
      </c>
      <c r="BP138" s="13">
        <f>'I&amp;E Monthly'!BP138</f>
        <v>0</v>
      </c>
      <c r="BQ138" s="13">
        <f>'I&amp;E Monthly'!BQ138</f>
        <v>0</v>
      </c>
      <c r="BR138" s="13">
        <f>'I&amp;E Monthly'!BR138</f>
        <v>0</v>
      </c>
      <c r="BS138" s="13">
        <f>'I&amp;E Monthly'!BS138</f>
        <v>0</v>
      </c>
      <c r="BT138" s="13">
        <f>'I&amp;E Monthly'!BT138</f>
        <v>0</v>
      </c>
      <c r="BU138" s="13">
        <f>'I&amp;E Monthly'!BU138</f>
        <v>0</v>
      </c>
      <c r="BV138" s="13">
        <f>'I&amp;E Monthly'!BV138</f>
        <v>0</v>
      </c>
      <c r="BW138" s="13">
        <f>'I&amp;E Monthly'!BW138</f>
        <v>0</v>
      </c>
      <c r="BX138" s="335"/>
      <c r="BY138" s="12"/>
      <c r="BZ138" s="363">
        <f t="shared" ca="1" si="154"/>
        <v>0</v>
      </c>
      <c r="CA138" s="12"/>
      <c r="CB138" s="7">
        <f t="shared" si="155"/>
        <v>0</v>
      </c>
      <c r="CC138" s="188" cm="1">
        <f t="array" ref="CC138">IF(E138="",0, IF(_xlfn.IFNA(INDEX('I&amp;E Profiles'!$D$96:$D$180, $I138), "N/A")="N/A", 1, 0))</f>
        <v>0</v>
      </c>
      <c r="CD138" s="7">
        <f t="shared" si="156"/>
        <v>0</v>
      </c>
      <c r="CE138" s="7">
        <f t="shared" si="157"/>
        <v>0</v>
      </c>
      <c r="CF138" s="7">
        <f t="shared" si="158"/>
        <v>0</v>
      </c>
      <c r="CG138" s="12"/>
      <c r="CH138" s="352">
        <f t="shared" si="159"/>
        <v>0</v>
      </c>
      <c r="CI138" s="352">
        <f t="shared" si="160"/>
        <v>0</v>
      </c>
      <c r="CJ138" s="352">
        <f t="shared" si="161"/>
        <v>0</v>
      </c>
      <c r="CK138" s="352">
        <f t="shared" si="162"/>
        <v>0</v>
      </c>
      <c r="CL138" s="352">
        <f t="shared" si="163"/>
        <v>0</v>
      </c>
      <c r="CM138" s="352">
        <f t="shared" si="164"/>
        <v>0</v>
      </c>
      <c r="CN138" s="352">
        <f t="shared" si="165"/>
        <v>0</v>
      </c>
      <c r="EX138" s="10" t="str">
        <f t="shared" si="151"/>
        <v>Teaching and other support costs</v>
      </c>
    </row>
    <row r="139" spans="1:154" ht="15.75" x14ac:dyDescent="0.3">
      <c r="A139" s="362" cm="1">
        <f t="array" aca="1" ref="A139" ca="1">HYPERLINK(CONCATENATE("#",CELL("address",IF(SUM($CA139:$CG139)=0,A139,INDEX($CA139:$CG139,MATCH(1,$CA139:$CG139,0))))),SUM($CA139:$CG139))</f>
        <v>0</v>
      </c>
      <c r="B139" s="105" t="s">
        <v>335</v>
      </c>
      <c r="C139" s="343" t="s">
        <v>493</v>
      </c>
      <c r="D139" s="194" t="s">
        <v>58</v>
      </c>
      <c r="E139" s="147"/>
      <c r="F139" s="98" t="str" cm="1">
        <f t="array" aca="1" ref="F139" ca="1">IF(E139="", "", HYPERLINK(CONCATENATE("#",CELL("address",INDEX('I&amp;E Profiles'!$D$9:$D$93,'I&amp;E Annual'!I139))),E139))</f>
        <v/>
      </c>
      <c r="G139" s="147" t="s">
        <v>211</v>
      </c>
      <c r="H139" s="162" t="s">
        <v>86</v>
      </c>
      <c r="I139" s="350" t="str">
        <f>IF(E139="", "", MATCH(E139, 'I&amp;E Profiles'!$D$96:$D$180,0))</f>
        <v/>
      </c>
      <c r="J139" s="215">
        <f>IF($G139=$G$7, W139,'I&amp;E Monthly'!W139)-SUMIFS('I&amp;E Monthly'!$AA139:$BJ139, 'I&amp;E Monthly'!$AA$3:$BJ$3, 'I&amp;E Annual'!W$3, 'I&amp;E Monthly'!$AA$4:$BJ$4, 0)</f>
        <v>125</v>
      </c>
      <c r="K139" s="215">
        <f>IF($G139=$G$7, X139,'I&amp;E Monthly'!X139)-SUMIFS('I&amp;E Monthly'!$AA139:$BJ139, 'I&amp;E Monthly'!$AA$3:$BJ$3, 'I&amp;E Annual'!X$3, 'I&amp;E Monthly'!$AA$4:$BJ$4, 0)</f>
        <v>1717</v>
      </c>
      <c r="L139" s="215">
        <f>IF($G139=$G$7, Y139,'I&amp;E Monthly'!Y139)-SUMIFS('I&amp;E Monthly'!$AA139:$BJ139, 'I&amp;E Monthly'!$AA$3:$BJ$3, 'I&amp;E Annual'!Y$3, 'I&amp;E Monthly'!$AA$4:$BJ$4, 0)</f>
        <v>1751.3400000000004</v>
      </c>
      <c r="M139" s="335"/>
      <c r="N139" s="335"/>
      <c r="O139" s="335"/>
      <c r="P139" s="335"/>
      <c r="Q139" s="2"/>
      <c r="R139" s="335"/>
      <c r="S139" s="335"/>
      <c r="T139" s="335"/>
      <c r="U139" s="335"/>
      <c r="V139" s="215">
        <f>'I&amp;E Monthly'!V139</f>
        <v>0</v>
      </c>
      <c r="W139" s="147"/>
      <c r="X139" s="227"/>
      <c r="Y139" s="227"/>
      <c r="Z139" s="335"/>
      <c r="AA139" s="153" cm="1">
        <f t="array" ref="AA139">IF(OR(AA$4=0, $G139&lt;&gt; $G$7, $E139=0), 'I&amp;E Monthly'!AA139, CHOOSE(Timeline!AA$30,$J139,$K139,$L139 )*INDEX('I&amp;E Profiles'!AA$96:AA$180,$I139))</f>
        <v>50</v>
      </c>
      <c r="AB139" s="153" cm="1">
        <f t="array" ref="AB139">IF(OR(AB$4=0, $G139&lt;&gt; $G$7, $E139=0), 'I&amp;E Monthly'!AB139, CHOOSE(Timeline!AB$30,$J139,$K139,$L139 )*INDEX('I&amp;E Profiles'!AB$96:AB$180,$I139))</f>
        <v>150</v>
      </c>
      <c r="AC139" s="153" cm="1">
        <f t="array" ref="AC139">IF(OR(AC$4=0, $G139&lt;&gt; $G$7, $E139=0), 'I&amp;E Monthly'!AC139, CHOOSE(Timeline!AC$30,$J139,$K139,$L139 )*INDEX('I&amp;E Profiles'!AC$96:AC$180,$I139))</f>
        <v>172</v>
      </c>
      <c r="AD139" s="153" cm="1">
        <f t="array" ref="AD139">IF(OR(AD$4=0, $G139&lt;&gt; $G$7, $E139=0), 'I&amp;E Monthly'!AD139, CHOOSE(Timeline!AD$30,$J139,$K139,$L139 )*INDEX('I&amp;E Profiles'!AD$96:AD$180,$I139))</f>
        <v>175</v>
      </c>
      <c r="AE139" s="153" cm="1">
        <f t="array" ref="AE139">IF(OR(AE$4=0, $G139&lt;&gt; $G$7, $E139=0), 'I&amp;E Monthly'!AE139, CHOOSE(Timeline!AE$30,$J139,$K139,$L139 )*INDEX('I&amp;E Profiles'!AE$96:AE$180,$I139))</f>
        <v>150</v>
      </c>
      <c r="AF139" s="153" cm="1">
        <f t="array" ref="AF139">IF(OR(AF$4=0, $G139&lt;&gt; $G$7, $E139=0), 'I&amp;E Monthly'!AF139, CHOOSE(Timeline!AF$30,$J139,$K139,$L139 )*INDEX('I&amp;E Profiles'!AF$96:AF$180,$I139))</f>
        <v>188</v>
      </c>
      <c r="AG139" s="153" cm="1">
        <f t="array" ref="AG139">IF(OR(AG$4=0, $G139&lt;&gt; $G$7, $E139=0), 'I&amp;E Monthly'!AG139, CHOOSE(Timeline!AG$30,$J139,$K139,$L139 )*INDEX('I&amp;E Profiles'!AG$96:AG$180,$I139))</f>
        <v>94</v>
      </c>
      <c r="AH139" s="153" cm="1">
        <f t="array" ref="AH139">IF(OR(AH$4=0, $G139&lt;&gt; $G$7, $E139=0), 'I&amp;E Monthly'!AH139, CHOOSE(Timeline!AH$30,$J139,$K139,$L139 )*INDEX('I&amp;E Profiles'!AH$96:AH$180,$I139))</f>
        <v>44</v>
      </c>
      <c r="AI139" s="153" cm="1">
        <f t="array" ref="AI139">IF(OR(AI$4=0, $G139&lt;&gt; $G$7, $E139=0), 'I&amp;E Monthly'!AI139, CHOOSE(Timeline!AI$30,$J139,$K139,$L139 )*INDEX('I&amp;E Profiles'!AI$96:AI$180,$I139))</f>
        <v>143</v>
      </c>
      <c r="AJ139" s="153" cm="1">
        <f t="array" ref="AJ139">IF(OR(AJ$4=0, $G139&lt;&gt; $G$7, $E139=0), 'I&amp;E Monthly'!AJ139, CHOOSE(Timeline!AJ$30,$J139,$K139,$L139 )*INDEX('I&amp;E Profiles'!AJ$96:AJ$180,$I139))</f>
        <v>224</v>
      </c>
      <c r="AK139" s="153" cm="1">
        <f t="array" ref="AK139">IF(OR(AK$4=0, $G139&lt;&gt; $G$7, $E139=0), 'I&amp;E Monthly'!AK139, CHOOSE(Timeline!AK$30,$J139,$K139,$L139 )*INDEX('I&amp;E Profiles'!AK$96:AK$180,$I139))</f>
        <v>125</v>
      </c>
      <c r="AL139" s="153" cm="1">
        <f t="array" ref="AL139">IF(OR(AL$4=0, $G139&lt;&gt; $G$7, $E139=0), 'I&amp;E Monthly'!AL139, CHOOSE(Timeline!AL$30,$J139,$K139,$L139 )*INDEX('I&amp;E Profiles'!AL$96:AL$180,$I139))</f>
        <v>125</v>
      </c>
      <c r="AM139" s="153" cm="1">
        <f t="array" ref="AM139">IF(OR(AM$4=0, $G139&lt;&gt; $G$7, $E139=0), 'I&amp;E Monthly'!AM139, CHOOSE(Timeline!AM$30,$J139,$K139,$L139 )*INDEX('I&amp;E Profiles'!AM$96:AM$180,$I139))</f>
        <v>75</v>
      </c>
      <c r="AN139" s="153" cm="1">
        <f t="array" ref="AN139">IF(OR(AN$4=0, $G139&lt;&gt; $G$7, $E139=0), 'I&amp;E Monthly'!AN139, CHOOSE(Timeline!AN$30,$J139,$K139,$L139 )*INDEX('I&amp;E Profiles'!AN$96:AN$180,$I139))</f>
        <v>150</v>
      </c>
      <c r="AO139" s="153" cm="1">
        <f t="array" ref="AO139">IF(OR(AO$4=0, $G139&lt;&gt; $G$7, $E139=0), 'I&amp;E Monthly'!AO139, CHOOSE(Timeline!AO$30,$J139,$K139,$L139 )*INDEX('I&amp;E Profiles'!AO$96:AO$180,$I139))</f>
        <v>172</v>
      </c>
      <c r="AP139" s="153" cm="1">
        <f t="array" ref="AP139">IF(OR(AP$4=0, $G139&lt;&gt; $G$7, $E139=0), 'I&amp;E Monthly'!AP139, CHOOSE(Timeline!AP$30,$J139,$K139,$L139 )*INDEX('I&amp;E Profiles'!AP$96:AP$180,$I139))</f>
        <v>175</v>
      </c>
      <c r="AQ139" s="153" cm="1">
        <f t="array" ref="AQ139">IF(OR(AQ$4=0, $G139&lt;&gt; $G$7, $E139=0), 'I&amp;E Monthly'!AQ139, CHOOSE(Timeline!AQ$30,$J139,$K139,$L139 )*INDEX('I&amp;E Profiles'!AQ$96:AQ$180,$I139))</f>
        <v>150</v>
      </c>
      <c r="AR139" s="153" cm="1">
        <f t="array" ref="AR139">IF(OR(AR$4=0, $G139&lt;&gt; $G$7, $E139=0), 'I&amp;E Monthly'!AR139, CHOOSE(Timeline!AR$30,$J139,$K139,$L139 )*INDEX('I&amp;E Profiles'!AR$96:AR$180,$I139))</f>
        <v>150</v>
      </c>
      <c r="AS139" s="153" cm="1">
        <f t="array" ref="AS139">IF(OR(AS$4=0, $G139&lt;&gt; $G$7, $E139=0), 'I&amp;E Monthly'!AS139, CHOOSE(Timeline!AS$30,$J139,$K139,$L139 )*INDEX('I&amp;E Profiles'!AS$96:AS$180,$I139))</f>
        <v>144</v>
      </c>
      <c r="AT139" s="153" cm="1">
        <f t="array" ref="AT139">IF(OR(AT$4=0, $G139&lt;&gt; $G$7, $E139=0), 'I&amp;E Monthly'!AT139, CHOOSE(Timeline!AT$30,$J139,$K139,$L139 )*INDEX('I&amp;E Profiles'!AT$96:AT$180,$I139))</f>
        <v>124</v>
      </c>
      <c r="AU139" s="153" cm="1">
        <f t="array" ref="AU139">IF(OR(AU$4=0, $G139&lt;&gt; $G$7, $E139=0), 'I&amp;E Monthly'!AU139, CHOOSE(Timeline!AU$30,$J139,$K139,$L139 )*INDEX('I&amp;E Profiles'!AU$96:AU$180,$I139))</f>
        <v>143</v>
      </c>
      <c r="AV139" s="153" cm="1">
        <f t="array" ref="AV139">IF(OR(AV$4=0, $G139&lt;&gt; $G$7, $E139=0), 'I&amp;E Monthly'!AV139, CHOOSE(Timeline!AV$30,$J139,$K139,$L139 )*INDEX('I&amp;E Profiles'!AV$96:AV$180,$I139))</f>
        <v>184</v>
      </c>
      <c r="AW139" s="153" cm="1">
        <f t="array" ref="AW139">IF(OR(AW$4=0, $G139&lt;&gt; $G$7, $E139=0), 'I&amp;E Monthly'!AW139, CHOOSE(Timeline!AW$30,$J139,$K139,$L139 )*INDEX('I&amp;E Profiles'!AW$96:AW$180,$I139))</f>
        <v>125</v>
      </c>
      <c r="AX139" s="153" cm="1">
        <f t="array" ref="AX139">IF(OR(AX$4=0, $G139&lt;&gt; $G$7, $E139=0), 'I&amp;E Monthly'!AX139, CHOOSE(Timeline!AX$30,$J139,$K139,$L139 )*INDEX('I&amp;E Profiles'!AX$96:AX$180,$I139))</f>
        <v>125</v>
      </c>
      <c r="AY139" s="153" cm="1">
        <f t="array" ref="AY139">IF(OR(AY$4=0, $G139&lt;&gt; $G$7, $E139=0), 'I&amp;E Monthly'!AY139, CHOOSE(Timeline!AY$30,$J139,$K139,$L139 )*INDEX('I&amp;E Profiles'!AY$96:AY$180,$I139))</f>
        <v>76.5</v>
      </c>
      <c r="AZ139" s="153" cm="1">
        <f t="array" ref="AZ139">IF(OR(AZ$4=0, $G139&lt;&gt; $G$7, $E139=0), 'I&amp;E Monthly'!AZ139, CHOOSE(Timeline!AZ$30,$J139,$K139,$L139 )*INDEX('I&amp;E Profiles'!AZ$96:AZ$180,$I139))</f>
        <v>153</v>
      </c>
      <c r="BA139" s="153" cm="1">
        <f t="array" ref="BA139">IF(OR(BA$4=0, $G139&lt;&gt; $G$7, $E139=0), 'I&amp;E Monthly'!BA139, CHOOSE(Timeline!BA$30,$J139,$K139,$L139 )*INDEX('I&amp;E Profiles'!BA$96:BA$180,$I139))</f>
        <v>175.44</v>
      </c>
      <c r="BB139" s="153" cm="1">
        <f t="array" ref="BB139">IF(OR(BB$4=0, $G139&lt;&gt; $G$7, $E139=0), 'I&amp;E Monthly'!BB139, CHOOSE(Timeline!BB$30,$J139,$K139,$L139 )*INDEX('I&amp;E Profiles'!BB$96:BB$180,$I139))</f>
        <v>178.5</v>
      </c>
      <c r="BC139" s="153" cm="1">
        <f t="array" ref="BC139">IF(OR(BC$4=0, $G139&lt;&gt; $G$7, $E139=0), 'I&amp;E Monthly'!BC139, CHOOSE(Timeline!BC$30,$J139,$K139,$L139 )*INDEX('I&amp;E Profiles'!BC$96:BC$180,$I139))</f>
        <v>153</v>
      </c>
      <c r="BD139" s="153" cm="1">
        <f t="array" ref="BD139">IF(OR(BD$4=0, $G139&lt;&gt; $G$7, $E139=0), 'I&amp;E Monthly'!BD139, CHOOSE(Timeline!BD$30,$J139,$K139,$L139 )*INDEX('I&amp;E Profiles'!BD$96:BD$180,$I139))</f>
        <v>153</v>
      </c>
      <c r="BE139" s="153" cm="1">
        <f t="array" ref="BE139">IF(OR(BE$4=0, $G139&lt;&gt; $G$7, $E139=0), 'I&amp;E Monthly'!BE139, CHOOSE(Timeline!BE$30,$J139,$K139,$L139 )*INDEX('I&amp;E Profiles'!BE$96:BE$180,$I139))</f>
        <v>146.88</v>
      </c>
      <c r="BF139" s="153" cm="1">
        <f t="array" ref="BF139">IF(OR(BF$4=0, $G139&lt;&gt; $G$7, $E139=0), 'I&amp;E Monthly'!BF139, CHOOSE(Timeline!BF$30,$J139,$K139,$L139 )*INDEX('I&amp;E Profiles'!BF$96:BF$180,$I139))</f>
        <v>126.48</v>
      </c>
      <c r="BG139" s="153" cm="1">
        <f t="array" ref="BG139">IF(OR(BG$4=0, $G139&lt;&gt; $G$7, $E139=0), 'I&amp;E Monthly'!BG139, CHOOSE(Timeline!BG$30,$J139,$K139,$L139 )*INDEX('I&amp;E Profiles'!BG$96:BG$180,$I139))</f>
        <v>145.86000000000001</v>
      </c>
      <c r="BH139" s="153" cm="1">
        <f t="array" ref="BH139">IF(OR(BH$4=0, $G139&lt;&gt; $G$7, $E139=0), 'I&amp;E Monthly'!BH139, CHOOSE(Timeline!BH$30,$J139,$K139,$L139 )*INDEX('I&amp;E Profiles'!BH$96:BH$180,$I139))</f>
        <v>187.68</v>
      </c>
      <c r="BI139" s="153" cm="1">
        <f t="array" ref="BI139">IF(OR(BI$4=0, $G139&lt;&gt; $G$7, $E139=0), 'I&amp;E Monthly'!BI139, CHOOSE(Timeline!BI$30,$J139,$K139,$L139 )*INDEX('I&amp;E Profiles'!BI$96:BI$180,$I139))</f>
        <v>127.5</v>
      </c>
      <c r="BJ139" s="153" cm="1">
        <f t="array" ref="BJ139">IF(OR(BJ$4=0, $G139&lt;&gt; $G$7, $E139=0), 'I&amp;E Monthly'!BJ139, CHOOSE(Timeline!BJ$30,$J139,$K139,$L139 )*INDEX('I&amp;E Profiles'!BJ$96:BJ$180,$I139))</f>
        <v>127.5</v>
      </c>
      <c r="BK139" s="335"/>
      <c r="BL139" s="152">
        <f t="shared" si="152"/>
        <v>0</v>
      </c>
      <c r="BM139" s="153">
        <f t="shared" si="153"/>
        <v>1640</v>
      </c>
      <c r="BN139" s="153">
        <f t="shared" si="153"/>
        <v>1717</v>
      </c>
      <c r="BO139" s="153">
        <f t="shared" si="153"/>
        <v>1751.3400000000004</v>
      </c>
      <c r="BP139" s="152">
        <f>'I&amp;E Monthly'!BP139</f>
        <v>0</v>
      </c>
      <c r="BQ139" s="152">
        <f>'I&amp;E Monthly'!BQ139</f>
        <v>0</v>
      </c>
      <c r="BR139" s="152">
        <f>'I&amp;E Monthly'!BR139</f>
        <v>0</v>
      </c>
      <c r="BS139" s="152">
        <f>'I&amp;E Monthly'!BS139</f>
        <v>0</v>
      </c>
      <c r="BT139" s="152">
        <f>'I&amp;E Monthly'!BT139</f>
        <v>0</v>
      </c>
      <c r="BU139" s="152">
        <f>'I&amp;E Monthly'!BU139</f>
        <v>0</v>
      </c>
      <c r="BV139" s="152">
        <f>'I&amp;E Monthly'!BV139</f>
        <v>0</v>
      </c>
      <c r="BW139" s="152">
        <f>'I&amp;E Monthly'!BW139</f>
        <v>0</v>
      </c>
      <c r="BX139" s="335"/>
      <c r="BY139" s="12"/>
      <c r="BZ139" s="363">
        <f t="shared" ca="1" si="154"/>
        <v>0</v>
      </c>
      <c r="CA139" s="12"/>
      <c r="CB139" s="7">
        <f t="shared" si="155"/>
        <v>0</v>
      </c>
      <c r="CC139" s="188" cm="1">
        <f t="array" ref="CC139">IF(E139="",0, IF(_xlfn.IFNA(INDEX('I&amp;E Profiles'!$D$96:$D$180, $I139), "N/A")="N/A", 1, 0))</f>
        <v>0</v>
      </c>
      <c r="CD139" s="7">
        <f t="shared" si="156"/>
        <v>0</v>
      </c>
      <c r="CE139" s="7">
        <f t="shared" si="157"/>
        <v>0</v>
      </c>
      <c r="CF139" s="7">
        <f t="shared" si="158"/>
        <v>0</v>
      </c>
      <c r="CG139" s="12"/>
      <c r="CH139" s="352">
        <f t="shared" si="159"/>
        <v>0</v>
      </c>
      <c r="CI139" s="352">
        <f t="shared" si="160"/>
        <v>0</v>
      </c>
      <c r="CJ139" s="352">
        <f t="shared" si="161"/>
        <v>0</v>
      </c>
      <c r="CK139" s="352">
        <f t="shared" si="162"/>
        <v>0</v>
      </c>
      <c r="CL139" s="352">
        <f t="shared" si="163"/>
        <v>0</v>
      </c>
      <c r="CM139" s="352">
        <f t="shared" si="164"/>
        <v>0</v>
      </c>
      <c r="CN139" s="352">
        <f t="shared" si="165"/>
        <v>0</v>
      </c>
      <c r="EX139" s="10" t="str">
        <f t="shared" si="151"/>
        <v>Administration costs</v>
      </c>
    </row>
    <row r="140" spans="1:154" ht="15.75" x14ac:dyDescent="0.3">
      <c r="A140" s="362" cm="1">
        <f t="array" aca="1" ref="A140" ca="1">HYPERLINK(CONCATENATE("#",CELL("address",IF(SUM($CA140:$CG140)=0,A140,INDEX($CA140:$CG140,MATCH(1,$CA140:$CG140,0))))),SUM($CA140:$CG140))</f>
        <v>0</v>
      </c>
      <c r="B140" s="105" t="s">
        <v>335</v>
      </c>
      <c r="C140" s="343" t="s">
        <v>494</v>
      </c>
      <c r="D140" s="194" t="s">
        <v>59</v>
      </c>
      <c r="E140" s="147"/>
      <c r="F140" s="98" t="str" cm="1">
        <f t="array" aca="1" ref="F140" ca="1">IF(E140="", "", HYPERLINK(CONCATENATE("#",CELL("address",INDEX('I&amp;E Profiles'!$D$9:$D$93,'I&amp;E Annual'!I140))),E140))</f>
        <v/>
      </c>
      <c r="G140" s="147" t="s">
        <v>211</v>
      </c>
      <c r="H140" s="162" t="s">
        <v>86</v>
      </c>
      <c r="I140" s="350" t="str">
        <f>IF(E140="", "", MATCH(E140, 'I&amp;E Profiles'!$D$96:$D$180,0))</f>
        <v/>
      </c>
      <c r="J140" s="215">
        <f>IF($G140=$G$7, W140,'I&amp;E Monthly'!W140)-SUMIFS('I&amp;E Monthly'!$AA140:$BJ140, 'I&amp;E Monthly'!$AA$3:$BJ$3, 'I&amp;E Annual'!W$3, 'I&amp;E Monthly'!$AA$4:$BJ$4, 0)</f>
        <v>200</v>
      </c>
      <c r="K140" s="215">
        <f>IF($G140=$G$7, X140,'I&amp;E Monthly'!X140)-SUMIFS('I&amp;E Monthly'!$AA140:$BJ140, 'I&amp;E Monthly'!$AA$3:$BJ$3, 'I&amp;E Annual'!X$3, 'I&amp;E Monthly'!$AA$4:$BJ$4, 0)</f>
        <v>1344</v>
      </c>
      <c r="L140" s="215">
        <f>IF($G140=$G$7, Y140,'I&amp;E Monthly'!Y140)-SUMIFS('I&amp;E Monthly'!$AA140:$BJ140, 'I&amp;E Monthly'!$AA$3:$BJ$3, 'I&amp;E Annual'!Y$3, 'I&amp;E Monthly'!$AA$4:$BJ$4, 0)</f>
        <v>1384.32</v>
      </c>
      <c r="M140" s="335"/>
      <c r="N140" s="335"/>
      <c r="O140" s="335"/>
      <c r="P140" s="335"/>
      <c r="Q140" s="2"/>
      <c r="R140" s="335"/>
      <c r="S140" s="335"/>
      <c r="T140" s="335"/>
      <c r="U140" s="335"/>
      <c r="V140" s="201">
        <f>'I&amp;E Monthly'!V140</f>
        <v>0</v>
      </c>
      <c r="W140" s="372"/>
      <c r="X140" s="198"/>
      <c r="Y140" s="198"/>
      <c r="Z140" s="335"/>
      <c r="AA140" s="153" cm="1">
        <f t="array" ref="AA140">IF(OR(AA$4=0, $G140&lt;&gt; $G$7, $E140=0), 'I&amp;E Monthly'!AA140, CHOOSE(Timeline!AA$30,$J140,$K140,$L140 )*INDEX('I&amp;E Profiles'!AA$96:AA$180,$I140))</f>
        <v>42</v>
      </c>
      <c r="AB140" s="153" cm="1">
        <f t="array" ref="AB140">IF(OR(AB$4=0, $G140&lt;&gt; $G$7, $E140=0), 'I&amp;E Monthly'!AB140, CHOOSE(Timeline!AB$30,$J140,$K140,$L140 )*INDEX('I&amp;E Profiles'!AB$96:AB$180,$I140))</f>
        <v>111</v>
      </c>
      <c r="AC140" s="153" cm="1">
        <f t="array" ref="AC140">IF(OR(AC$4=0, $G140&lt;&gt; $G$7, $E140=0), 'I&amp;E Monthly'!AC140, CHOOSE(Timeline!AC$30,$J140,$K140,$L140 )*INDEX('I&amp;E Profiles'!AC$96:AC$180,$I140))</f>
        <v>97</v>
      </c>
      <c r="AD140" s="153" cm="1">
        <f t="array" ref="AD140">IF(OR(AD$4=0, $G140&lt;&gt; $G$7, $E140=0), 'I&amp;E Monthly'!AD140, CHOOSE(Timeline!AD$30,$J140,$K140,$L140 )*INDEX('I&amp;E Profiles'!AD$96:AD$180,$I140))</f>
        <v>118</v>
      </c>
      <c r="AE140" s="153" cm="1">
        <f t="array" ref="AE140">IF(OR(AE$4=0, $G140&lt;&gt; $G$7, $E140=0), 'I&amp;E Monthly'!AE140, CHOOSE(Timeline!AE$30,$J140,$K140,$L140 )*INDEX('I&amp;E Profiles'!AE$96:AE$180,$I140))</f>
        <v>91</v>
      </c>
      <c r="AF140" s="153" cm="1">
        <f t="array" ref="AF140">IF(OR(AF$4=0, $G140&lt;&gt; $G$7, $E140=0), 'I&amp;E Monthly'!AF140, CHOOSE(Timeline!AF$30,$J140,$K140,$L140 )*INDEX('I&amp;E Profiles'!AF$96:AF$180,$I140))</f>
        <v>62</v>
      </c>
      <c r="AG140" s="153" cm="1">
        <f t="array" ref="AG140">IF(OR(AG$4=0, $G140&lt;&gt; $G$7, $E140=0), 'I&amp;E Monthly'!AG140, CHOOSE(Timeline!AG$30,$J140,$K140,$L140 )*INDEX('I&amp;E Profiles'!AG$96:AG$180,$I140))</f>
        <v>116</v>
      </c>
      <c r="AH140" s="153" cm="1">
        <f t="array" ref="AH140">IF(OR(AH$4=0, $G140&lt;&gt; $G$7, $E140=0), 'I&amp;E Monthly'!AH140, CHOOSE(Timeline!AH$30,$J140,$K140,$L140 )*INDEX('I&amp;E Profiles'!AH$96:AH$180,$I140))</f>
        <v>93</v>
      </c>
      <c r="AI140" s="153" cm="1">
        <f t="array" ref="AI140">IF(OR(AI$4=0, $G140&lt;&gt; $G$7, $E140=0), 'I&amp;E Monthly'!AI140, CHOOSE(Timeline!AI$30,$J140,$K140,$L140 )*INDEX('I&amp;E Profiles'!AI$96:AI$180,$I140))</f>
        <v>58</v>
      </c>
      <c r="AJ140" s="153" cm="1">
        <f t="array" ref="AJ140">IF(OR(AJ$4=0, $G140&lt;&gt; $G$7, $E140=0), 'I&amp;E Monthly'!AJ140, CHOOSE(Timeline!AJ$30,$J140,$K140,$L140 )*INDEX('I&amp;E Profiles'!AJ$96:AJ$180,$I140))</f>
        <v>130</v>
      </c>
      <c r="AK140" s="153" cm="1">
        <f t="array" ref="AK140">IF(OR(AK$4=0, $G140&lt;&gt; $G$7, $E140=0), 'I&amp;E Monthly'!AK140, CHOOSE(Timeline!AK$30,$J140,$K140,$L140 )*INDEX('I&amp;E Profiles'!AK$96:AK$180,$I140))</f>
        <v>191</v>
      </c>
      <c r="AL140" s="153" cm="1">
        <f t="array" ref="AL140">IF(OR(AL$4=0, $G140&lt;&gt; $G$7, $E140=0), 'I&amp;E Monthly'!AL140, CHOOSE(Timeline!AL$30,$J140,$K140,$L140 )*INDEX('I&amp;E Profiles'!AL$96:AL$180,$I140))</f>
        <v>200</v>
      </c>
      <c r="AM140" s="153" cm="1">
        <f t="array" ref="AM140">IF(OR(AM$4=0, $G140&lt;&gt; $G$7, $E140=0), 'I&amp;E Monthly'!AM140, CHOOSE(Timeline!AM$30,$J140,$K140,$L140 )*INDEX('I&amp;E Profiles'!AM$96:AM$180,$I140))</f>
        <v>92</v>
      </c>
      <c r="AN140" s="153" cm="1">
        <f t="array" ref="AN140">IF(OR(AN$4=0, $G140&lt;&gt; $G$7, $E140=0), 'I&amp;E Monthly'!AN140, CHOOSE(Timeline!AN$30,$J140,$K140,$L140 )*INDEX('I&amp;E Profiles'!AN$96:AN$180,$I140))</f>
        <v>111</v>
      </c>
      <c r="AO140" s="153" cm="1">
        <f t="array" ref="AO140">IF(OR(AO$4=0, $G140&lt;&gt; $G$7, $E140=0), 'I&amp;E Monthly'!AO140, CHOOSE(Timeline!AO$30,$J140,$K140,$L140 )*INDEX('I&amp;E Profiles'!AO$96:AO$180,$I140))</f>
        <v>97</v>
      </c>
      <c r="AP140" s="153" cm="1">
        <f t="array" ref="AP140">IF(OR(AP$4=0, $G140&lt;&gt; $G$7, $E140=0), 'I&amp;E Monthly'!AP140, CHOOSE(Timeline!AP$30,$J140,$K140,$L140 )*INDEX('I&amp;E Profiles'!AP$96:AP$180,$I140))</f>
        <v>118</v>
      </c>
      <c r="AQ140" s="153" cm="1">
        <f t="array" ref="AQ140">IF(OR(AQ$4=0, $G140&lt;&gt; $G$7, $E140=0), 'I&amp;E Monthly'!AQ140, CHOOSE(Timeline!AQ$30,$J140,$K140,$L140 )*INDEX('I&amp;E Profiles'!AQ$96:AQ$180,$I140))</f>
        <v>91</v>
      </c>
      <c r="AR140" s="153" cm="1">
        <f t="array" ref="AR140">IF(OR(AR$4=0, $G140&lt;&gt; $G$7, $E140=0), 'I&amp;E Monthly'!AR140, CHOOSE(Timeline!AR$30,$J140,$K140,$L140 )*INDEX('I&amp;E Profiles'!AR$96:AR$180,$I140))</f>
        <v>122</v>
      </c>
      <c r="AS140" s="153" cm="1">
        <f t="array" ref="AS140">IF(OR(AS$4=0, $G140&lt;&gt; $G$7, $E140=0), 'I&amp;E Monthly'!AS140, CHOOSE(Timeline!AS$30,$J140,$K140,$L140 )*INDEX('I&amp;E Profiles'!AS$96:AS$180,$I140))</f>
        <v>116</v>
      </c>
      <c r="AT140" s="153" cm="1">
        <f t="array" ref="AT140">IF(OR(AT$4=0, $G140&lt;&gt; $G$7, $E140=0), 'I&amp;E Monthly'!AT140, CHOOSE(Timeline!AT$30,$J140,$K140,$L140 )*INDEX('I&amp;E Profiles'!AT$96:AT$180,$I140))</f>
        <v>93</v>
      </c>
      <c r="AU140" s="153" cm="1">
        <f t="array" ref="AU140">IF(OR(AU$4=0, $G140&lt;&gt; $G$7, $E140=0), 'I&amp;E Monthly'!AU140, CHOOSE(Timeline!AU$30,$J140,$K140,$L140 )*INDEX('I&amp;E Profiles'!AU$96:AU$180,$I140))</f>
        <v>108</v>
      </c>
      <c r="AV140" s="153" cm="1">
        <f t="array" ref="AV140">IF(OR(AV$4=0, $G140&lt;&gt; $G$7, $E140=0), 'I&amp;E Monthly'!AV140, CHOOSE(Timeline!AV$30,$J140,$K140,$L140 )*INDEX('I&amp;E Profiles'!AV$96:AV$180,$I140))</f>
        <v>130</v>
      </c>
      <c r="AW140" s="153" cm="1">
        <f t="array" ref="AW140">IF(OR(AW$4=0, $G140&lt;&gt; $G$7, $E140=0), 'I&amp;E Monthly'!AW140, CHOOSE(Timeline!AW$30,$J140,$K140,$L140 )*INDEX('I&amp;E Profiles'!AW$96:AW$180,$I140))</f>
        <v>141</v>
      </c>
      <c r="AX140" s="153" cm="1">
        <f t="array" ref="AX140">IF(OR(AX$4=0, $G140&lt;&gt; $G$7, $E140=0), 'I&amp;E Monthly'!AX140, CHOOSE(Timeline!AX$30,$J140,$K140,$L140 )*INDEX('I&amp;E Profiles'!AX$96:AX$180,$I140))</f>
        <v>125</v>
      </c>
      <c r="AY140" s="153" cm="1">
        <f t="array" ref="AY140">IF(OR(AY$4=0, $G140&lt;&gt; $G$7, $E140=0), 'I&amp;E Monthly'!AY140, CHOOSE(Timeline!AY$30,$J140,$K140,$L140 )*INDEX('I&amp;E Profiles'!AY$96:AY$180,$I140))</f>
        <v>94.76</v>
      </c>
      <c r="AZ140" s="153" cm="1">
        <f t="array" ref="AZ140">IF(OR(AZ$4=0, $G140&lt;&gt; $G$7, $E140=0), 'I&amp;E Monthly'!AZ140, CHOOSE(Timeline!AZ$30,$J140,$K140,$L140 )*INDEX('I&amp;E Profiles'!AZ$96:AZ$180,$I140))</f>
        <v>114.33</v>
      </c>
      <c r="BA140" s="153" cm="1">
        <f t="array" ref="BA140">IF(OR(BA$4=0, $G140&lt;&gt; $G$7, $E140=0), 'I&amp;E Monthly'!BA140, CHOOSE(Timeline!BA$30,$J140,$K140,$L140 )*INDEX('I&amp;E Profiles'!BA$96:BA$180,$I140))</f>
        <v>99.91</v>
      </c>
      <c r="BB140" s="153" cm="1">
        <f t="array" ref="BB140">IF(OR(BB$4=0, $G140&lt;&gt; $G$7, $E140=0), 'I&amp;E Monthly'!BB140, CHOOSE(Timeline!BB$30,$J140,$K140,$L140 )*INDEX('I&amp;E Profiles'!BB$96:BB$180,$I140))</f>
        <v>121.54</v>
      </c>
      <c r="BC140" s="153" cm="1">
        <f t="array" ref="BC140">IF(OR(BC$4=0, $G140&lt;&gt; $G$7, $E140=0), 'I&amp;E Monthly'!BC140, CHOOSE(Timeline!BC$30,$J140,$K140,$L140 )*INDEX('I&amp;E Profiles'!BC$96:BC$180,$I140))</f>
        <v>93.73</v>
      </c>
      <c r="BD140" s="153" cm="1">
        <f t="array" ref="BD140">IF(OR(BD$4=0, $G140&lt;&gt; $G$7, $E140=0), 'I&amp;E Monthly'!BD140, CHOOSE(Timeline!BD$30,$J140,$K140,$L140 )*INDEX('I&amp;E Profiles'!BD$96:BD$180,$I140))</f>
        <v>125.66</v>
      </c>
      <c r="BE140" s="153" cm="1">
        <f t="array" ref="BE140">IF(OR(BE$4=0, $G140&lt;&gt; $G$7, $E140=0), 'I&amp;E Monthly'!BE140, CHOOSE(Timeline!BE$30,$J140,$K140,$L140 )*INDEX('I&amp;E Profiles'!BE$96:BE$180,$I140))</f>
        <v>119.48</v>
      </c>
      <c r="BF140" s="153" cm="1">
        <f t="array" ref="BF140">IF(OR(BF$4=0, $G140&lt;&gt; $G$7, $E140=0), 'I&amp;E Monthly'!BF140, CHOOSE(Timeline!BF$30,$J140,$K140,$L140 )*INDEX('I&amp;E Profiles'!BF$96:BF$180,$I140))</f>
        <v>95.79</v>
      </c>
      <c r="BG140" s="153" cm="1">
        <f t="array" ref="BG140">IF(OR(BG$4=0, $G140&lt;&gt; $G$7, $E140=0), 'I&amp;E Monthly'!BG140, CHOOSE(Timeline!BG$30,$J140,$K140,$L140 )*INDEX('I&amp;E Profiles'!BG$96:BG$180,$I140))</f>
        <v>111.24000000000001</v>
      </c>
      <c r="BH140" s="153" cm="1">
        <f t="array" ref="BH140">IF(OR(BH$4=0, $G140&lt;&gt; $G$7, $E140=0), 'I&amp;E Monthly'!BH140, CHOOSE(Timeline!BH$30,$J140,$K140,$L140 )*INDEX('I&amp;E Profiles'!BH$96:BH$180,$I140))</f>
        <v>133.9</v>
      </c>
      <c r="BI140" s="153" cm="1">
        <f t="array" ref="BI140">IF(OR(BI$4=0, $G140&lt;&gt; $G$7, $E140=0), 'I&amp;E Monthly'!BI140, CHOOSE(Timeline!BI$30,$J140,$K140,$L140 )*INDEX('I&amp;E Profiles'!BI$96:BI$180,$I140))</f>
        <v>145.22999999999999</v>
      </c>
      <c r="BJ140" s="153" cm="1">
        <f t="array" ref="BJ140">IF(OR(BJ$4=0, $G140&lt;&gt; $G$7, $E140=0), 'I&amp;E Monthly'!BJ140, CHOOSE(Timeline!BJ$30,$J140,$K140,$L140 )*INDEX('I&amp;E Profiles'!BJ$96:BJ$180,$I140))</f>
        <v>128.75</v>
      </c>
      <c r="BK140" s="335"/>
      <c r="BL140" s="13">
        <f t="shared" si="152"/>
        <v>0</v>
      </c>
      <c r="BM140" s="153">
        <f t="shared" si="153"/>
        <v>1309</v>
      </c>
      <c r="BN140" s="153">
        <f t="shared" si="153"/>
        <v>1344</v>
      </c>
      <c r="BO140" s="153">
        <f t="shared" si="153"/>
        <v>1384.32</v>
      </c>
      <c r="BP140" s="13">
        <f>'I&amp;E Monthly'!BP140</f>
        <v>0</v>
      </c>
      <c r="BQ140" s="13">
        <f>'I&amp;E Monthly'!BQ140</f>
        <v>0</v>
      </c>
      <c r="BR140" s="13">
        <f>'I&amp;E Monthly'!BR140</f>
        <v>0</v>
      </c>
      <c r="BS140" s="13">
        <f>'I&amp;E Monthly'!BS140</f>
        <v>0</v>
      </c>
      <c r="BT140" s="13">
        <f>'I&amp;E Monthly'!BT140</f>
        <v>0</v>
      </c>
      <c r="BU140" s="13">
        <f>'I&amp;E Monthly'!BU140</f>
        <v>0</v>
      </c>
      <c r="BV140" s="13">
        <f>'I&amp;E Monthly'!BV140</f>
        <v>0</v>
      </c>
      <c r="BW140" s="13">
        <f>'I&amp;E Monthly'!BW140</f>
        <v>0</v>
      </c>
      <c r="BX140" s="335"/>
      <c r="BY140" s="12"/>
      <c r="BZ140" s="363">
        <f t="shared" ca="1" si="154"/>
        <v>0</v>
      </c>
      <c r="CA140" s="12"/>
      <c r="CB140" s="7">
        <f t="shared" si="155"/>
        <v>0</v>
      </c>
      <c r="CC140" s="188" cm="1">
        <f t="array" ref="CC140">IF(E140="",0, IF(_xlfn.IFNA(INDEX('I&amp;E Profiles'!$D$96:$D$180, $I140), "N/A")="N/A", 1, 0))</f>
        <v>0</v>
      </c>
      <c r="CD140" s="7">
        <f t="shared" si="156"/>
        <v>0</v>
      </c>
      <c r="CE140" s="7">
        <f t="shared" si="157"/>
        <v>0</v>
      </c>
      <c r="CF140" s="7">
        <f t="shared" si="158"/>
        <v>0</v>
      </c>
      <c r="CG140" s="12"/>
      <c r="CH140" s="352">
        <f t="shared" si="159"/>
        <v>0</v>
      </c>
      <c r="CI140" s="352">
        <f t="shared" si="160"/>
        <v>0</v>
      </c>
      <c r="CJ140" s="352">
        <f t="shared" si="161"/>
        <v>0</v>
      </c>
      <c r="CK140" s="352">
        <f t="shared" si="162"/>
        <v>0</v>
      </c>
      <c r="CL140" s="352">
        <f t="shared" si="163"/>
        <v>0</v>
      </c>
      <c r="CM140" s="352">
        <f t="shared" si="164"/>
        <v>0</v>
      </c>
      <c r="CN140" s="352">
        <f t="shared" si="165"/>
        <v>0</v>
      </c>
      <c r="EX140" s="10" t="str">
        <f t="shared" si="151"/>
        <v>Operational &amp; maintenance costs</v>
      </c>
    </row>
    <row r="141" spans="1:154" x14ac:dyDescent="0.25">
      <c r="A141" s="362" cm="1">
        <f t="array" aca="1" ref="A141" ca="1">HYPERLINK(CONCATENATE("#",CELL("address",IF(SUM($CA141:$CG141)=0,A141,INDEX($CA141:$CG141,MATCH(1,$CA141:$CG141,0))))),SUM($CA141:$CG141))</f>
        <v>0</v>
      </c>
      <c r="B141" s="335"/>
      <c r="C141" s="343" t="s">
        <v>495</v>
      </c>
      <c r="D141" s="194" t="s">
        <v>60</v>
      </c>
      <c r="E141" s="147"/>
      <c r="F141" s="98" t="str" cm="1">
        <f t="array" aca="1" ref="F141" ca="1">IF(E141="", "", HYPERLINK(CONCATENATE("#",CELL("address",INDEX('I&amp;E Profiles'!$D$9:$D$93,'I&amp;E Annual'!I141))),E141))</f>
        <v/>
      </c>
      <c r="G141" s="147" t="s">
        <v>211</v>
      </c>
      <c r="H141" s="162" t="s">
        <v>86</v>
      </c>
      <c r="I141" s="350" t="str">
        <f>IF(E141="", "", MATCH(E141, 'I&amp;E Profiles'!$D$96:$D$180,0))</f>
        <v/>
      </c>
      <c r="J141" s="215">
        <f>IF($G141=$G$7, W141,'I&amp;E Monthly'!W141)-SUMIFS('I&amp;E Monthly'!$AA141:$BJ141, 'I&amp;E Monthly'!$AA$3:$BJ$3, 'I&amp;E Annual'!W$3, 'I&amp;E Monthly'!$AA$4:$BJ$4, 0)</f>
        <v>60</v>
      </c>
      <c r="K141" s="215">
        <f>IF($G141=$G$7, X141,'I&amp;E Monthly'!X141)-SUMIFS('I&amp;E Monthly'!$AA141:$BJ141, 'I&amp;E Monthly'!$AA$3:$BJ$3, 'I&amp;E Annual'!X$3, 'I&amp;E Monthly'!$AA$4:$BJ$4, 0)</f>
        <v>998</v>
      </c>
      <c r="L141" s="215">
        <f>IF($G141=$G$7, Y141,'I&amp;E Monthly'!Y141)-SUMIFS('I&amp;E Monthly'!$AA141:$BJ141, 'I&amp;E Monthly'!$AA$3:$BJ$3, 'I&amp;E Annual'!Y$3, 'I&amp;E Monthly'!$AA$4:$BJ$4, 0)</f>
        <v>1012.9699999999999</v>
      </c>
      <c r="M141" s="335"/>
      <c r="N141" s="335"/>
      <c r="O141" s="335"/>
      <c r="P141" s="335"/>
      <c r="Q141" s="2"/>
      <c r="R141" s="335"/>
      <c r="S141" s="335"/>
      <c r="T141" s="335"/>
      <c r="U141" s="335"/>
      <c r="V141" s="215">
        <f>'I&amp;E Monthly'!V141</f>
        <v>0</v>
      </c>
      <c r="W141" s="147"/>
      <c r="X141" s="227"/>
      <c r="Y141" s="227"/>
      <c r="Z141" s="335"/>
      <c r="AA141" s="153" cm="1">
        <f t="array" ref="AA141">IF(OR(AA$4=0, $G141&lt;&gt; $G$7, $E141=0), 'I&amp;E Monthly'!AA141, CHOOSE(Timeline!AA$30,$J141,$K141,$L141 )*INDEX('I&amp;E Profiles'!AA$96:AA$180,$I141))</f>
        <v>0</v>
      </c>
      <c r="AB141" s="153" cm="1">
        <f t="array" ref="AB141">IF(OR(AB$4=0, $G141&lt;&gt; $G$7, $E141=0), 'I&amp;E Monthly'!AB141, CHOOSE(Timeline!AB$30,$J141,$K141,$L141 )*INDEX('I&amp;E Profiles'!AB$96:AB$180,$I141))</f>
        <v>0</v>
      </c>
      <c r="AC141" s="153" cm="1">
        <f t="array" ref="AC141">IF(OR(AC$4=0, $G141&lt;&gt; $G$7, $E141=0), 'I&amp;E Monthly'!AC141, CHOOSE(Timeline!AC$30,$J141,$K141,$L141 )*INDEX('I&amp;E Profiles'!AC$96:AC$180,$I141))</f>
        <v>28</v>
      </c>
      <c r="AD141" s="153" cm="1">
        <f t="array" ref="AD141">IF(OR(AD$4=0, $G141&lt;&gt; $G$7, $E141=0), 'I&amp;E Monthly'!AD141, CHOOSE(Timeline!AD$30,$J141,$K141,$L141 )*INDEX('I&amp;E Profiles'!AD$96:AD$180,$I141))</f>
        <v>150</v>
      </c>
      <c r="AE141" s="153" cm="1">
        <f t="array" ref="AE141">IF(OR(AE$4=0, $G141&lt;&gt; $G$7, $E141=0), 'I&amp;E Monthly'!AE141, CHOOSE(Timeline!AE$30,$J141,$K141,$L141 )*INDEX('I&amp;E Profiles'!AE$96:AE$180,$I141))</f>
        <v>165</v>
      </c>
      <c r="AF141" s="153" cm="1">
        <f t="array" ref="AF141">IF(OR(AF$4=0, $G141&lt;&gt; $G$7, $E141=0), 'I&amp;E Monthly'!AF141, CHOOSE(Timeline!AF$30,$J141,$K141,$L141 )*INDEX('I&amp;E Profiles'!AF$96:AF$180,$I141))</f>
        <v>2</v>
      </c>
      <c r="AG141" s="153" cm="1">
        <f t="array" ref="AG141">IF(OR(AG$4=0, $G141&lt;&gt; $G$7, $E141=0), 'I&amp;E Monthly'!AG141, CHOOSE(Timeline!AG$30,$J141,$K141,$L141 )*INDEX('I&amp;E Profiles'!AG$96:AG$180,$I141))</f>
        <v>133</v>
      </c>
      <c r="AH141" s="153" cm="1">
        <f t="array" ref="AH141">IF(OR(AH$4=0, $G141&lt;&gt; $G$7, $E141=0), 'I&amp;E Monthly'!AH141, CHOOSE(Timeline!AH$30,$J141,$K141,$L141 )*INDEX('I&amp;E Profiles'!AH$96:AH$180,$I141))</f>
        <v>211</v>
      </c>
      <c r="AI141" s="153" cm="1">
        <f t="array" ref="AI141">IF(OR(AI$4=0, $G141&lt;&gt; $G$7, $E141=0), 'I&amp;E Monthly'!AI141, CHOOSE(Timeline!AI$30,$J141,$K141,$L141 )*INDEX('I&amp;E Profiles'!AI$96:AI$180,$I141))</f>
        <v>-7</v>
      </c>
      <c r="AJ141" s="153" cm="1">
        <f t="array" ref="AJ141">IF(OR(AJ$4=0, $G141&lt;&gt; $G$7, $E141=0), 'I&amp;E Monthly'!AJ141, CHOOSE(Timeline!AJ$30,$J141,$K141,$L141 )*INDEX('I&amp;E Profiles'!AJ$96:AJ$180,$I141))</f>
        <v>65</v>
      </c>
      <c r="AK141" s="153" cm="1">
        <f t="array" ref="AK141">IF(OR(AK$4=0, $G141&lt;&gt; $G$7, $E141=0), 'I&amp;E Monthly'!AK141, CHOOSE(Timeline!AK$30,$J141,$K141,$L141 )*INDEX('I&amp;E Profiles'!AK$96:AK$180,$I141))</f>
        <v>100</v>
      </c>
      <c r="AL141" s="153" cm="1">
        <f t="array" ref="AL141">IF(OR(AL$4=0, $G141&lt;&gt; $G$7, $E141=0), 'I&amp;E Monthly'!AL141, CHOOSE(Timeline!AL$30,$J141,$K141,$L141 )*INDEX('I&amp;E Profiles'!AL$96:AL$180,$I141))</f>
        <v>60</v>
      </c>
      <c r="AM141" s="153" cm="1">
        <f t="array" ref="AM141">IF(OR(AM$4=0, $G141&lt;&gt; $G$7, $E141=0), 'I&amp;E Monthly'!AM141, CHOOSE(Timeline!AM$30,$J141,$K141,$L141 )*INDEX('I&amp;E Profiles'!AM$96:AM$180,$I141))</f>
        <v>0</v>
      </c>
      <c r="AN141" s="153" cm="1">
        <f t="array" ref="AN141">IF(OR(AN$4=0, $G141&lt;&gt; $G$7, $E141=0), 'I&amp;E Monthly'!AN141, CHOOSE(Timeline!AN$30,$J141,$K141,$L141 )*INDEX('I&amp;E Profiles'!AN$96:AN$180,$I141))</f>
        <v>0</v>
      </c>
      <c r="AO141" s="153" cm="1">
        <f t="array" ref="AO141">IF(OR(AO$4=0, $G141&lt;&gt; $G$7, $E141=0), 'I&amp;E Monthly'!AO141, CHOOSE(Timeline!AO$30,$J141,$K141,$L141 )*INDEX('I&amp;E Profiles'!AO$96:AO$180,$I141))</f>
        <v>28</v>
      </c>
      <c r="AP141" s="153" cm="1">
        <f t="array" ref="AP141">IF(OR(AP$4=0, $G141&lt;&gt; $G$7, $E141=0), 'I&amp;E Monthly'!AP141, CHOOSE(Timeline!AP$30,$J141,$K141,$L141 )*INDEX('I&amp;E Profiles'!AP$96:AP$180,$I141))</f>
        <v>150</v>
      </c>
      <c r="AQ141" s="153" cm="1">
        <f t="array" ref="AQ141">IF(OR(AQ$4=0, $G141&lt;&gt; $G$7, $E141=0), 'I&amp;E Monthly'!AQ141, CHOOSE(Timeline!AQ$30,$J141,$K141,$L141 )*INDEX('I&amp;E Profiles'!AQ$96:AQ$180,$I141))</f>
        <v>165</v>
      </c>
      <c r="AR141" s="153" cm="1">
        <f t="array" ref="AR141">IF(OR(AR$4=0, $G141&lt;&gt; $G$7, $E141=0), 'I&amp;E Monthly'!AR141, CHOOSE(Timeline!AR$30,$J141,$K141,$L141 )*INDEX('I&amp;E Profiles'!AR$96:AR$180,$I141))</f>
        <v>2</v>
      </c>
      <c r="AS141" s="153" cm="1">
        <f t="array" ref="AS141">IF(OR(AS$4=0, $G141&lt;&gt; $G$7, $E141=0), 'I&amp;E Monthly'!AS141, CHOOSE(Timeline!AS$30,$J141,$K141,$L141 )*INDEX('I&amp;E Profiles'!AS$96:AS$180,$I141))</f>
        <v>133</v>
      </c>
      <c r="AT141" s="153" cm="1">
        <f t="array" ref="AT141">IF(OR(AT$4=0, $G141&lt;&gt; $G$7, $E141=0), 'I&amp;E Monthly'!AT141, CHOOSE(Timeline!AT$30,$J141,$K141,$L141 )*INDEX('I&amp;E Profiles'!AT$96:AT$180,$I141))</f>
        <v>195</v>
      </c>
      <c r="AU141" s="153" cm="1">
        <f t="array" ref="AU141">IF(OR(AU$4=0, $G141&lt;&gt; $G$7, $E141=0), 'I&amp;E Monthly'!AU141, CHOOSE(Timeline!AU$30,$J141,$K141,$L141 )*INDEX('I&amp;E Profiles'!AU$96:AU$180,$I141))</f>
        <v>100</v>
      </c>
      <c r="AV141" s="153" cm="1">
        <f t="array" ref="AV141">IF(OR(AV$4=0, $G141&lt;&gt; $G$7, $E141=0), 'I&amp;E Monthly'!AV141, CHOOSE(Timeline!AV$30,$J141,$K141,$L141 )*INDEX('I&amp;E Profiles'!AV$96:AV$180,$I141))</f>
        <v>65</v>
      </c>
      <c r="AW141" s="153" cm="1">
        <f t="array" ref="AW141">IF(OR(AW$4=0, $G141&lt;&gt; $G$7, $E141=0), 'I&amp;E Monthly'!AW141, CHOOSE(Timeline!AW$30,$J141,$K141,$L141 )*INDEX('I&amp;E Profiles'!AW$96:AW$180,$I141))</f>
        <v>100</v>
      </c>
      <c r="AX141" s="153" cm="1">
        <f t="array" ref="AX141">IF(OR(AX$4=0, $G141&lt;&gt; $G$7, $E141=0), 'I&amp;E Monthly'!AX141, CHOOSE(Timeline!AX$30,$J141,$K141,$L141 )*INDEX('I&amp;E Profiles'!AX$96:AX$180,$I141))</f>
        <v>60</v>
      </c>
      <c r="AY141" s="153" cm="1">
        <f t="array" ref="AY141">IF(OR(AY$4=0, $G141&lt;&gt; $G$7, $E141=0), 'I&amp;E Monthly'!AY141, CHOOSE(Timeline!AY$30,$J141,$K141,$L141 )*INDEX('I&amp;E Profiles'!AY$96:AY$180,$I141))</f>
        <v>0</v>
      </c>
      <c r="AZ141" s="153" cm="1">
        <f t="array" ref="AZ141">IF(OR(AZ$4=0, $G141&lt;&gt; $G$7, $E141=0), 'I&amp;E Monthly'!AZ141, CHOOSE(Timeline!AZ$30,$J141,$K141,$L141 )*INDEX('I&amp;E Profiles'!AZ$96:AZ$180,$I141))</f>
        <v>0</v>
      </c>
      <c r="BA141" s="153" cm="1">
        <f t="array" ref="BA141">IF(OR(BA$4=0, $G141&lt;&gt; $G$7, $E141=0), 'I&amp;E Monthly'!BA141, CHOOSE(Timeline!BA$30,$J141,$K141,$L141 )*INDEX('I&amp;E Profiles'!BA$96:BA$180,$I141))</f>
        <v>28.419999999999998</v>
      </c>
      <c r="BB141" s="153" cm="1">
        <f t="array" ref="BB141">IF(OR(BB$4=0, $G141&lt;&gt; $G$7, $E141=0), 'I&amp;E Monthly'!BB141, CHOOSE(Timeline!BB$30,$J141,$K141,$L141 )*INDEX('I&amp;E Profiles'!BB$96:BB$180,$I141))</f>
        <v>152.24999999999997</v>
      </c>
      <c r="BC141" s="153" cm="1">
        <f t="array" ref="BC141">IF(OR(BC$4=0, $G141&lt;&gt; $G$7, $E141=0), 'I&amp;E Monthly'!BC141, CHOOSE(Timeline!BC$30,$J141,$K141,$L141 )*INDEX('I&amp;E Profiles'!BC$96:BC$180,$I141))</f>
        <v>167.47499999999999</v>
      </c>
      <c r="BD141" s="153" cm="1">
        <f t="array" ref="BD141">IF(OR(BD$4=0, $G141&lt;&gt; $G$7, $E141=0), 'I&amp;E Monthly'!BD141, CHOOSE(Timeline!BD$30,$J141,$K141,$L141 )*INDEX('I&amp;E Profiles'!BD$96:BD$180,$I141))</f>
        <v>2.0299999999999998</v>
      </c>
      <c r="BE141" s="153" cm="1">
        <f t="array" ref="BE141">IF(OR(BE$4=0, $G141&lt;&gt; $G$7, $E141=0), 'I&amp;E Monthly'!BE141, CHOOSE(Timeline!BE$30,$J141,$K141,$L141 )*INDEX('I&amp;E Profiles'!BE$96:BE$180,$I141))</f>
        <v>134.99499999999998</v>
      </c>
      <c r="BF141" s="153" cm="1">
        <f t="array" ref="BF141">IF(OR(BF$4=0, $G141&lt;&gt; $G$7, $E141=0), 'I&amp;E Monthly'!BF141, CHOOSE(Timeline!BF$30,$J141,$K141,$L141 )*INDEX('I&amp;E Profiles'!BF$96:BF$180,$I141))</f>
        <v>197.92499999999998</v>
      </c>
      <c r="BG141" s="153" cm="1">
        <f t="array" ref="BG141">IF(OR(BG$4=0, $G141&lt;&gt; $G$7, $E141=0), 'I&amp;E Monthly'!BG141, CHOOSE(Timeline!BG$30,$J141,$K141,$L141 )*INDEX('I&amp;E Profiles'!BG$96:BG$180,$I141))</f>
        <v>101.49999999999999</v>
      </c>
      <c r="BH141" s="153" cm="1">
        <f t="array" ref="BH141">IF(OR(BH$4=0, $G141&lt;&gt; $G$7, $E141=0), 'I&amp;E Monthly'!BH141, CHOOSE(Timeline!BH$30,$J141,$K141,$L141 )*INDEX('I&amp;E Profiles'!BH$96:BH$180,$I141))</f>
        <v>65.974999999999994</v>
      </c>
      <c r="BI141" s="153" cm="1">
        <f t="array" ref="BI141">IF(OR(BI$4=0, $G141&lt;&gt; $G$7, $E141=0), 'I&amp;E Monthly'!BI141, CHOOSE(Timeline!BI$30,$J141,$K141,$L141 )*INDEX('I&amp;E Profiles'!BI$96:BI$180,$I141))</f>
        <v>101.49999999999999</v>
      </c>
      <c r="BJ141" s="153" cm="1">
        <f t="array" ref="BJ141">IF(OR(BJ$4=0, $G141&lt;&gt; $G$7, $E141=0), 'I&amp;E Monthly'!BJ141, CHOOSE(Timeline!BJ$30,$J141,$K141,$L141 )*INDEX('I&amp;E Profiles'!BJ$96:BJ$180,$I141))</f>
        <v>60.899999999999991</v>
      </c>
      <c r="BK141" s="335"/>
      <c r="BL141" s="152">
        <f t="shared" si="152"/>
        <v>0</v>
      </c>
      <c r="BM141" s="153">
        <f t="shared" si="153"/>
        <v>907</v>
      </c>
      <c r="BN141" s="153">
        <f t="shared" si="153"/>
        <v>998</v>
      </c>
      <c r="BO141" s="153">
        <f t="shared" si="153"/>
        <v>1012.9699999999999</v>
      </c>
      <c r="BP141" s="152">
        <f>'I&amp;E Monthly'!BP141</f>
        <v>0</v>
      </c>
      <c r="BQ141" s="152">
        <f>'I&amp;E Monthly'!BQ141</f>
        <v>0</v>
      </c>
      <c r="BR141" s="152">
        <f>'I&amp;E Monthly'!BR141</f>
        <v>0</v>
      </c>
      <c r="BS141" s="152">
        <f>'I&amp;E Monthly'!BS141</f>
        <v>0</v>
      </c>
      <c r="BT141" s="152">
        <f>'I&amp;E Monthly'!BT141</f>
        <v>0</v>
      </c>
      <c r="BU141" s="152">
        <f>'I&amp;E Monthly'!BU141</f>
        <v>0</v>
      </c>
      <c r="BV141" s="152">
        <f>'I&amp;E Monthly'!BV141</f>
        <v>0</v>
      </c>
      <c r="BW141" s="152">
        <f>'I&amp;E Monthly'!BW141</f>
        <v>0</v>
      </c>
      <c r="BX141" s="335"/>
      <c r="BY141" s="12"/>
      <c r="BZ141" s="363">
        <f t="shared" ca="1" si="154"/>
        <v>0</v>
      </c>
      <c r="CA141" s="12"/>
      <c r="CB141" s="7">
        <f t="shared" si="155"/>
        <v>0</v>
      </c>
      <c r="CC141" s="188" cm="1">
        <f t="array" ref="CC141">IF(E141="",0, IF(_xlfn.IFNA(INDEX('I&amp;E Profiles'!$D$96:$D$180, $I141), "N/A")="N/A", 1, 0))</f>
        <v>0</v>
      </c>
      <c r="CD141" s="7">
        <f t="shared" si="156"/>
        <v>0</v>
      </c>
      <c r="CE141" s="7">
        <f t="shared" si="157"/>
        <v>0</v>
      </c>
      <c r="CF141" s="7">
        <f t="shared" si="158"/>
        <v>0</v>
      </c>
      <c r="CG141" s="12"/>
      <c r="CH141" s="352">
        <f t="shared" si="159"/>
        <v>0</v>
      </c>
      <c r="CI141" s="352">
        <f t="shared" si="160"/>
        <v>0</v>
      </c>
      <c r="CJ141" s="352">
        <f t="shared" si="161"/>
        <v>0</v>
      </c>
      <c r="CK141" s="352">
        <f t="shared" si="162"/>
        <v>0</v>
      </c>
      <c r="CL141" s="352">
        <f t="shared" si="163"/>
        <v>0</v>
      </c>
      <c r="CM141" s="352">
        <f t="shared" si="164"/>
        <v>0</v>
      </c>
      <c r="CN141" s="352">
        <f t="shared" si="165"/>
        <v>0</v>
      </c>
      <c r="EX141" s="10" t="str">
        <f t="shared" si="151"/>
        <v>Examination costs</v>
      </c>
    </row>
    <row r="142" spans="1:154" x14ac:dyDescent="0.25">
      <c r="A142" s="362" cm="1">
        <f t="array" aca="1" ref="A142" ca="1">HYPERLINK(CONCATENATE("#",CELL("address",IF(SUM($CA142:$CG142)=0,A142,INDEX($CA142:$CG142,MATCH(1,$CA142:$CG142,0))))),SUM($CA142:$CG142))</f>
        <v>0</v>
      </c>
      <c r="B142" s="335"/>
      <c r="C142" s="343" t="s">
        <v>496</v>
      </c>
      <c r="D142" s="194" t="s">
        <v>61</v>
      </c>
      <c r="E142" s="147"/>
      <c r="F142" s="98" t="str" cm="1">
        <f t="array" aca="1" ref="F142" ca="1">IF(E142="", "", HYPERLINK(CONCATENATE("#",CELL("address",INDEX('I&amp;E Profiles'!$D$9:$D$93,'I&amp;E Annual'!I142))),E142))</f>
        <v/>
      </c>
      <c r="G142" s="147" t="s">
        <v>211</v>
      </c>
      <c r="H142" s="162" t="s">
        <v>86</v>
      </c>
      <c r="I142" s="350" t="str">
        <f>IF(E142="", "", MATCH(E142, 'I&amp;E Profiles'!$D$96:$D$180,0))</f>
        <v/>
      </c>
      <c r="J142" s="215">
        <f>IF($G142=$G$7, W142,'I&amp;E Monthly'!W142)-SUMIFS('I&amp;E Monthly'!$AA142:$BJ142, 'I&amp;E Monthly'!$AA$3:$BJ$3, 'I&amp;E Annual'!W$3, 'I&amp;E Monthly'!$AA$4:$BJ$4, 0)</f>
        <v>8</v>
      </c>
      <c r="K142" s="215">
        <f>IF($G142=$G$7, X142,'I&amp;E Monthly'!X142)-SUMIFS('I&amp;E Monthly'!$AA142:$BJ142, 'I&amp;E Monthly'!$AA$3:$BJ$3, 'I&amp;E Annual'!X$3, 'I&amp;E Monthly'!$AA$4:$BJ$4, 0)</f>
        <v>106</v>
      </c>
      <c r="L142" s="215">
        <f>IF($G142=$G$7, Y142,'I&amp;E Monthly'!Y142)-SUMIFS('I&amp;E Monthly'!$AA142:$BJ142, 'I&amp;E Monthly'!$AA$3:$BJ$3, 'I&amp;E Annual'!Y$3, 'I&amp;E Monthly'!$AA$4:$BJ$4, 0)</f>
        <v>107.59000000000002</v>
      </c>
      <c r="M142" s="335"/>
      <c r="N142" s="335"/>
      <c r="O142" s="335"/>
      <c r="P142" s="335"/>
      <c r="Q142" s="2"/>
      <c r="R142" s="335"/>
      <c r="S142" s="335"/>
      <c r="T142" s="335"/>
      <c r="U142" s="335"/>
      <c r="V142" s="215">
        <f>'I&amp;E Monthly'!V142</f>
        <v>0</v>
      </c>
      <c r="W142" s="147"/>
      <c r="X142" s="227"/>
      <c r="Y142" s="227"/>
      <c r="Z142" s="335"/>
      <c r="AA142" s="153" cm="1">
        <f t="array" ref="AA142">IF(OR(AA$4=0, $G142&lt;&gt; $G$7, $E142=0), 'I&amp;E Monthly'!AA142, CHOOSE(Timeline!AA$30,$J142,$K142,$L142 )*INDEX('I&amp;E Profiles'!AA$96:AA$180,$I142))</f>
        <v>8</v>
      </c>
      <c r="AB142" s="153" cm="1">
        <f t="array" ref="AB142">IF(OR(AB$4=0, $G142&lt;&gt; $G$7, $E142=0), 'I&amp;E Monthly'!AB142, CHOOSE(Timeline!AB$30,$J142,$K142,$L142 )*INDEX('I&amp;E Profiles'!AB$96:AB$180,$I142))</f>
        <v>9</v>
      </c>
      <c r="AC142" s="153" cm="1">
        <f t="array" ref="AC142">IF(OR(AC$4=0, $G142&lt;&gt; $G$7, $E142=0), 'I&amp;E Monthly'!AC142, CHOOSE(Timeline!AC$30,$J142,$K142,$L142 )*INDEX('I&amp;E Profiles'!AC$96:AC$180,$I142))</f>
        <v>9</v>
      </c>
      <c r="AD142" s="153" cm="1">
        <f t="array" ref="AD142">IF(OR(AD$4=0, $G142&lt;&gt; $G$7, $E142=0), 'I&amp;E Monthly'!AD142, CHOOSE(Timeline!AD$30,$J142,$K142,$L142 )*INDEX('I&amp;E Profiles'!AD$96:AD$180,$I142))</f>
        <v>9</v>
      </c>
      <c r="AE142" s="153" cm="1">
        <f t="array" ref="AE142">IF(OR(AE$4=0, $G142&lt;&gt; $G$7, $E142=0), 'I&amp;E Monthly'!AE142, CHOOSE(Timeline!AE$30,$J142,$K142,$L142 )*INDEX('I&amp;E Profiles'!AE$96:AE$180,$I142))</f>
        <v>9</v>
      </c>
      <c r="AF142" s="153" cm="1">
        <f t="array" ref="AF142">IF(OR(AF$4=0, $G142&lt;&gt; $G$7, $E142=0), 'I&amp;E Monthly'!AF142, CHOOSE(Timeline!AF$30,$J142,$K142,$L142 )*INDEX('I&amp;E Profiles'!AF$96:AF$180,$I142))</f>
        <v>9</v>
      </c>
      <c r="AG142" s="153" cm="1">
        <f t="array" ref="AG142">IF(OR(AG$4=0, $G142&lt;&gt; $G$7, $E142=0), 'I&amp;E Monthly'!AG142, CHOOSE(Timeline!AG$30,$J142,$K142,$L142 )*INDEX('I&amp;E Profiles'!AG$96:AG$180,$I142))</f>
        <v>9</v>
      </c>
      <c r="AH142" s="153" cm="1">
        <f t="array" ref="AH142">IF(OR(AH$4=0, $G142&lt;&gt; $G$7, $E142=0), 'I&amp;E Monthly'!AH142, CHOOSE(Timeline!AH$30,$J142,$K142,$L142 )*INDEX('I&amp;E Profiles'!AH$96:AH$180,$I142))</f>
        <v>9</v>
      </c>
      <c r="AI142" s="153" cm="1">
        <f t="array" ref="AI142">IF(OR(AI$4=0, $G142&lt;&gt; $G$7, $E142=0), 'I&amp;E Monthly'!AI142, CHOOSE(Timeline!AI$30,$J142,$K142,$L142 )*INDEX('I&amp;E Profiles'!AI$96:AI$180,$I142))</f>
        <v>9</v>
      </c>
      <c r="AJ142" s="153" cm="1">
        <f t="array" ref="AJ142">IF(OR(AJ$4=0, $G142&lt;&gt; $G$7, $E142=0), 'I&amp;E Monthly'!AJ142, CHOOSE(Timeline!AJ$30,$J142,$K142,$L142 )*INDEX('I&amp;E Profiles'!AJ$96:AJ$180,$I142))</f>
        <v>9</v>
      </c>
      <c r="AK142" s="153" cm="1">
        <f t="array" ref="AK142">IF(OR(AK$4=0, $G142&lt;&gt; $G$7, $E142=0), 'I&amp;E Monthly'!AK142, CHOOSE(Timeline!AK$30,$J142,$K142,$L142 )*INDEX('I&amp;E Profiles'!AK$96:AK$180,$I142))</f>
        <v>9</v>
      </c>
      <c r="AL142" s="153" cm="1">
        <f t="array" ref="AL142">IF(OR(AL$4=0, $G142&lt;&gt; $G$7, $E142=0), 'I&amp;E Monthly'!AL142, CHOOSE(Timeline!AL$30,$J142,$K142,$L142 )*INDEX('I&amp;E Profiles'!AL$96:AL$180,$I142))</f>
        <v>8</v>
      </c>
      <c r="AM142" s="153" cm="1">
        <f t="array" ref="AM142">IF(OR(AM$4=0, $G142&lt;&gt; $G$7, $E142=0), 'I&amp;E Monthly'!AM142, CHOOSE(Timeline!AM$30,$J142,$K142,$L142 )*INDEX('I&amp;E Profiles'!AM$96:AM$180,$I142))</f>
        <v>8</v>
      </c>
      <c r="AN142" s="153" cm="1">
        <f t="array" ref="AN142">IF(OR(AN$4=0, $G142&lt;&gt; $G$7, $E142=0), 'I&amp;E Monthly'!AN142, CHOOSE(Timeline!AN$30,$J142,$K142,$L142 )*INDEX('I&amp;E Profiles'!AN$96:AN$180,$I142))</f>
        <v>9</v>
      </c>
      <c r="AO142" s="153" cm="1">
        <f t="array" ref="AO142">IF(OR(AO$4=0, $G142&lt;&gt; $G$7, $E142=0), 'I&amp;E Monthly'!AO142, CHOOSE(Timeline!AO$30,$J142,$K142,$L142 )*INDEX('I&amp;E Profiles'!AO$96:AO$180,$I142))</f>
        <v>9</v>
      </c>
      <c r="AP142" s="153" cm="1">
        <f t="array" ref="AP142">IF(OR(AP$4=0, $G142&lt;&gt; $G$7, $E142=0), 'I&amp;E Monthly'!AP142, CHOOSE(Timeline!AP$30,$J142,$K142,$L142 )*INDEX('I&amp;E Profiles'!AP$96:AP$180,$I142))</f>
        <v>9</v>
      </c>
      <c r="AQ142" s="153" cm="1">
        <f t="array" ref="AQ142">IF(OR(AQ$4=0, $G142&lt;&gt; $G$7, $E142=0), 'I&amp;E Monthly'!AQ142, CHOOSE(Timeline!AQ$30,$J142,$K142,$L142 )*INDEX('I&amp;E Profiles'!AQ$96:AQ$180,$I142))</f>
        <v>9</v>
      </c>
      <c r="AR142" s="153" cm="1">
        <f t="array" ref="AR142">IF(OR(AR$4=0, $G142&lt;&gt; $G$7, $E142=0), 'I&amp;E Monthly'!AR142, CHOOSE(Timeline!AR$30,$J142,$K142,$L142 )*INDEX('I&amp;E Profiles'!AR$96:AR$180,$I142))</f>
        <v>9</v>
      </c>
      <c r="AS142" s="153" cm="1">
        <f t="array" ref="AS142">IF(OR(AS$4=0, $G142&lt;&gt; $G$7, $E142=0), 'I&amp;E Monthly'!AS142, CHOOSE(Timeline!AS$30,$J142,$K142,$L142 )*INDEX('I&amp;E Profiles'!AS$96:AS$180,$I142))</f>
        <v>9</v>
      </c>
      <c r="AT142" s="153" cm="1">
        <f t="array" ref="AT142">IF(OR(AT$4=0, $G142&lt;&gt; $G$7, $E142=0), 'I&amp;E Monthly'!AT142, CHOOSE(Timeline!AT$30,$J142,$K142,$L142 )*INDEX('I&amp;E Profiles'!AT$96:AT$180,$I142))</f>
        <v>9</v>
      </c>
      <c r="AU142" s="153" cm="1">
        <f t="array" ref="AU142">IF(OR(AU$4=0, $G142&lt;&gt; $G$7, $E142=0), 'I&amp;E Monthly'!AU142, CHOOSE(Timeline!AU$30,$J142,$K142,$L142 )*INDEX('I&amp;E Profiles'!AU$96:AU$180,$I142))</f>
        <v>9</v>
      </c>
      <c r="AV142" s="153" cm="1">
        <f t="array" ref="AV142">IF(OR(AV$4=0, $G142&lt;&gt; $G$7, $E142=0), 'I&amp;E Monthly'!AV142, CHOOSE(Timeline!AV$30,$J142,$K142,$L142 )*INDEX('I&amp;E Profiles'!AV$96:AV$180,$I142))</f>
        <v>9</v>
      </c>
      <c r="AW142" s="153" cm="1">
        <f t="array" ref="AW142">IF(OR(AW$4=0, $G142&lt;&gt; $G$7, $E142=0), 'I&amp;E Monthly'!AW142, CHOOSE(Timeline!AW$30,$J142,$K142,$L142 )*INDEX('I&amp;E Profiles'!AW$96:AW$180,$I142))</f>
        <v>9</v>
      </c>
      <c r="AX142" s="153" cm="1">
        <f t="array" ref="AX142">IF(OR(AX$4=0, $G142&lt;&gt; $G$7, $E142=0), 'I&amp;E Monthly'!AX142, CHOOSE(Timeline!AX$30,$J142,$K142,$L142 )*INDEX('I&amp;E Profiles'!AX$96:AX$180,$I142))</f>
        <v>8</v>
      </c>
      <c r="AY142" s="153" cm="1">
        <f t="array" ref="AY142">IF(OR(AY$4=0, $G142&lt;&gt; $G$7, $E142=0), 'I&amp;E Monthly'!AY142, CHOOSE(Timeline!AY$30,$J142,$K142,$L142 )*INDEX('I&amp;E Profiles'!AY$96:AY$180,$I142))</f>
        <v>8.1199999999999992</v>
      </c>
      <c r="AZ142" s="153" cm="1">
        <f t="array" ref="AZ142">IF(OR(AZ$4=0, $G142&lt;&gt; $G$7, $E142=0), 'I&amp;E Monthly'!AZ142, CHOOSE(Timeline!AZ$30,$J142,$K142,$L142 )*INDEX('I&amp;E Profiles'!AZ$96:AZ$180,$I142))</f>
        <v>9.1349999999999998</v>
      </c>
      <c r="BA142" s="153" cm="1">
        <f t="array" ref="BA142">IF(OR(BA$4=0, $G142&lt;&gt; $G$7, $E142=0), 'I&amp;E Monthly'!BA142, CHOOSE(Timeline!BA$30,$J142,$K142,$L142 )*INDEX('I&amp;E Profiles'!BA$96:BA$180,$I142))</f>
        <v>9.1349999999999998</v>
      </c>
      <c r="BB142" s="153" cm="1">
        <f t="array" ref="BB142">IF(OR(BB$4=0, $G142&lt;&gt; $G$7, $E142=0), 'I&amp;E Monthly'!BB142, CHOOSE(Timeline!BB$30,$J142,$K142,$L142 )*INDEX('I&amp;E Profiles'!BB$96:BB$180,$I142))</f>
        <v>9.1349999999999998</v>
      </c>
      <c r="BC142" s="153" cm="1">
        <f t="array" ref="BC142">IF(OR(BC$4=0, $G142&lt;&gt; $G$7, $E142=0), 'I&amp;E Monthly'!BC142, CHOOSE(Timeline!BC$30,$J142,$K142,$L142 )*INDEX('I&amp;E Profiles'!BC$96:BC$180,$I142))</f>
        <v>9.1349999999999998</v>
      </c>
      <c r="BD142" s="153" cm="1">
        <f t="array" ref="BD142">IF(OR(BD$4=0, $G142&lt;&gt; $G$7, $E142=0), 'I&amp;E Monthly'!BD142, CHOOSE(Timeline!BD$30,$J142,$K142,$L142 )*INDEX('I&amp;E Profiles'!BD$96:BD$180,$I142))</f>
        <v>9.1349999999999998</v>
      </c>
      <c r="BE142" s="153" cm="1">
        <f t="array" ref="BE142">IF(OR(BE$4=0, $G142&lt;&gt; $G$7, $E142=0), 'I&amp;E Monthly'!BE142, CHOOSE(Timeline!BE$30,$J142,$K142,$L142 )*INDEX('I&amp;E Profiles'!BE$96:BE$180,$I142))</f>
        <v>9.1349999999999998</v>
      </c>
      <c r="BF142" s="153" cm="1">
        <f t="array" ref="BF142">IF(OR(BF$4=0, $G142&lt;&gt; $G$7, $E142=0), 'I&amp;E Monthly'!BF142, CHOOSE(Timeline!BF$30,$J142,$K142,$L142 )*INDEX('I&amp;E Profiles'!BF$96:BF$180,$I142))</f>
        <v>9.1349999999999998</v>
      </c>
      <c r="BG142" s="153" cm="1">
        <f t="array" ref="BG142">IF(OR(BG$4=0, $G142&lt;&gt; $G$7, $E142=0), 'I&amp;E Monthly'!BG142, CHOOSE(Timeline!BG$30,$J142,$K142,$L142 )*INDEX('I&amp;E Profiles'!BG$96:BG$180,$I142))</f>
        <v>9.1349999999999998</v>
      </c>
      <c r="BH142" s="153" cm="1">
        <f t="array" ref="BH142">IF(OR(BH$4=0, $G142&lt;&gt; $G$7, $E142=0), 'I&amp;E Monthly'!BH142, CHOOSE(Timeline!BH$30,$J142,$K142,$L142 )*INDEX('I&amp;E Profiles'!BH$96:BH$180,$I142))</f>
        <v>9.1349999999999998</v>
      </c>
      <c r="BI142" s="153" cm="1">
        <f t="array" ref="BI142">IF(OR(BI$4=0, $G142&lt;&gt; $G$7, $E142=0), 'I&amp;E Monthly'!BI142, CHOOSE(Timeline!BI$30,$J142,$K142,$L142 )*INDEX('I&amp;E Profiles'!BI$96:BI$180,$I142))</f>
        <v>9.1349999999999998</v>
      </c>
      <c r="BJ142" s="153" cm="1">
        <f t="array" ref="BJ142">IF(OR(BJ$4=0, $G142&lt;&gt; $G$7, $E142=0), 'I&amp;E Monthly'!BJ142, CHOOSE(Timeline!BJ$30,$J142,$K142,$L142 )*INDEX('I&amp;E Profiles'!BJ$96:BJ$180,$I142))</f>
        <v>8.1199999999999992</v>
      </c>
      <c r="BK142" s="335"/>
      <c r="BL142" s="152">
        <f t="shared" si="152"/>
        <v>0</v>
      </c>
      <c r="BM142" s="153">
        <f t="shared" si="153"/>
        <v>106</v>
      </c>
      <c r="BN142" s="153">
        <f t="shared" si="153"/>
        <v>106</v>
      </c>
      <c r="BO142" s="153">
        <f t="shared" si="153"/>
        <v>107.59000000000002</v>
      </c>
      <c r="BP142" s="152">
        <f>'I&amp;E Monthly'!BP142</f>
        <v>0</v>
      </c>
      <c r="BQ142" s="152">
        <f>'I&amp;E Monthly'!BQ142</f>
        <v>0</v>
      </c>
      <c r="BR142" s="152">
        <f>'I&amp;E Monthly'!BR142</f>
        <v>0</v>
      </c>
      <c r="BS142" s="152">
        <f>'I&amp;E Monthly'!BS142</f>
        <v>0</v>
      </c>
      <c r="BT142" s="152">
        <f>'I&amp;E Monthly'!BT142</f>
        <v>0</v>
      </c>
      <c r="BU142" s="152">
        <f>'I&amp;E Monthly'!BU142</f>
        <v>0</v>
      </c>
      <c r="BV142" s="152">
        <f>'I&amp;E Monthly'!BV142</f>
        <v>0</v>
      </c>
      <c r="BW142" s="152">
        <f>'I&amp;E Monthly'!BW142</f>
        <v>0</v>
      </c>
      <c r="BX142" s="335"/>
      <c r="BY142" s="12"/>
      <c r="BZ142" s="363">
        <f t="shared" ca="1" si="154"/>
        <v>0</v>
      </c>
      <c r="CA142" s="12"/>
      <c r="CB142" s="7">
        <f t="shared" si="155"/>
        <v>0</v>
      </c>
      <c r="CC142" s="188" cm="1">
        <f t="array" ref="CC142">IF(E142="",0, IF(_xlfn.IFNA(INDEX('I&amp;E Profiles'!$D$96:$D$180, $I142), "N/A")="N/A", 1, 0))</f>
        <v>0</v>
      </c>
      <c r="CD142" s="7">
        <f t="shared" si="156"/>
        <v>0</v>
      </c>
      <c r="CE142" s="7">
        <f t="shared" si="157"/>
        <v>0</v>
      </c>
      <c r="CF142" s="7">
        <f t="shared" si="158"/>
        <v>0</v>
      </c>
      <c r="CG142" s="12"/>
      <c r="CH142" s="352">
        <f t="shared" si="159"/>
        <v>0</v>
      </c>
      <c r="CI142" s="352">
        <f t="shared" si="160"/>
        <v>0</v>
      </c>
      <c r="CJ142" s="352">
        <f t="shared" si="161"/>
        <v>0</v>
      </c>
      <c r="CK142" s="352">
        <f t="shared" si="162"/>
        <v>0</v>
      </c>
      <c r="CL142" s="352">
        <f t="shared" si="163"/>
        <v>0</v>
      </c>
      <c r="CM142" s="352">
        <f t="shared" si="164"/>
        <v>0</v>
      </c>
      <c r="CN142" s="352">
        <f t="shared" si="165"/>
        <v>0</v>
      </c>
      <c r="EX142" s="10" t="str">
        <f t="shared" si="151"/>
        <v>Rent and lease costs</v>
      </c>
    </row>
    <row r="143" spans="1:154" x14ac:dyDescent="0.25">
      <c r="A143" s="362" cm="1">
        <f t="array" aca="1" ref="A143" ca="1">HYPERLINK(CONCATENATE("#",CELL("address",IF(SUM($CA143:$CG143)=0,A143,INDEX($CA143:$CG143,MATCH(1,$CA143:$CG143,0))))),SUM($CA143:$CG143))</f>
        <v>0</v>
      </c>
      <c r="B143" s="335"/>
      <c r="C143" s="343" t="s">
        <v>497</v>
      </c>
      <c r="D143" s="194" t="s">
        <v>62</v>
      </c>
      <c r="E143" s="147"/>
      <c r="F143" s="98" t="str" cm="1">
        <f t="array" aca="1" ref="F143" ca="1">IF(E143="", "", HYPERLINK(CONCATENATE("#",CELL("address",INDEX('I&amp;E Profiles'!$D$9:$D$93,'I&amp;E Annual'!I143))),E143))</f>
        <v/>
      </c>
      <c r="G143" s="147" t="s">
        <v>211</v>
      </c>
      <c r="H143" s="162" t="s">
        <v>86</v>
      </c>
      <c r="I143" s="350" t="str">
        <f>IF(E143="", "", MATCH(E143, 'I&amp;E Profiles'!$D$96:$D$180,0))</f>
        <v/>
      </c>
      <c r="J143" s="215">
        <f>IF($G143=$G$7, W143,'I&amp;E Monthly'!W143)-SUMIFS('I&amp;E Monthly'!$AA143:$BJ143, 'I&amp;E Monthly'!$AA$3:$BJ$3, 'I&amp;E Annual'!W$3, 'I&amp;E Monthly'!$AA$4:$BJ$4, 0)</f>
        <v>30</v>
      </c>
      <c r="K143" s="215">
        <f>IF($G143=$G$7, X143,'I&amp;E Monthly'!X143)-SUMIFS('I&amp;E Monthly'!$AA143:$BJ143, 'I&amp;E Monthly'!$AA$3:$BJ$3, 'I&amp;E Annual'!X$3, 'I&amp;E Monthly'!$AA$4:$BJ$4, 0)</f>
        <v>445</v>
      </c>
      <c r="L143" s="215">
        <f>IF($G143=$G$7, Y143,'I&amp;E Monthly'!Y143)-SUMIFS('I&amp;E Monthly'!$AA143:$BJ143, 'I&amp;E Monthly'!$AA$3:$BJ$3, 'I&amp;E Annual'!Y$3, 'I&amp;E Monthly'!$AA$4:$BJ$4, 0)</f>
        <v>451.67500000000001</v>
      </c>
      <c r="M143" s="335"/>
      <c r="N143" s="335"/>
      <c r="O143" s="335"/>
      <c r="P143" s="335"/>
      <c r="Q143" s="2"/>
      <c r="R143" s="335"/>
      <c r="S143" s="335"/>
      <c r="T143" s="335"/>
      <c r="U143" s="335"/>
      <c r="V143" s="201">
        <f>'I&amp;E Monthly'!V143</f>
        <v>0</v>
      </c>
      <c r="W143" s="372"/>
      <c r="X143" s="198"/>
      <c r="Y143" s="198"/>
      <c r="Z143" s="335"/>
      <c r="AA143" s="153" cm="1">
        <f t="array" ref="AA143">IF(OR(AA$4=0, $G143&lt;&gt; $G$7, $E143=0), 'I&amp;E Monthly'!AA143, CHOOSE(Timeline!AA$30,$J143,$K143,$L143 )*INDEX('I&amp;E Profiles'!AA$96:AA$180,$I143))</f>
        <v>10</v>
      </c>
      <c r="AB143" s="153" cm="1">
        <f t="array" ref="AB143">IF(OR(AB$4=0, $G143&lt;&gt; $G$7, $E143=0), 'I&amp;E Monthly'!AB143, CHOOSE(Timeline!AB$30,$J143,$K143,$L143 )*INDEX('I&amp;E Profiles'!AB$96:AB$180,$I143))</f>
        <v>25</v>
      </c>
      <c r="AC143" s="153" cm="1">
        <f t="array" ref="AC143">IF(OR(AC$4=0, $G143&lt;&gt; $G$7, $E143=0), 'I&amp;E Monthly'!AC143, CHOOSE(Timeline!AC$30,$J143,$K143,$L143 )*INDEX('I&amp;E Profiles'!AC$96:AC$180,$I143))</f>
        <v>30</v>
      </c>
      <c r="AD143" s="153" cm="1">
        <f t="array" ref="AD143">IF(OR(AD$4=0, $G143&lt;&gt; $G$7, $E143=0), 'I&amp;E Monthly'!AD143, CHOOSE(Timeline!AD$30,$J143,$K143,$L143 )*INDEX('I&amp;E Profiles'!AD$96:AD$180,$I143))</f>
        <v>30</v>
      </c>
      <c r="AE143" s="153" cm="1">
        <f t="array" ref="AE143">IF(OR(AE$4=0, $G143&lt;&gt; $G$7, $E143=0), 'I&amp;E Monthly'!AE143, CHOOSE(Timeline!AE$30,$J143,$K143,$L143 )*INDEX('I&amp;E Profiles'!AE$96:AE$180,$I143))</f>
        <v>30</v>
      </c>
      <c r="AF143" s="153" cm="1">
        <f t="array" ref="AF143">IF(OR(AF$4=0, $G143&lt;&gt; $G$7, $E143=0), 'I&amp;E Monthly'!AF143, CHOOSE(Timeline!AF$30,$J143,$K143,$L143 )*INDEX('I&amp;E Profiles'!AF$96:AF$180,$I143))</f>
        <v>10</v>
      </c>
      <c r="AG143" s="153" cm="1">
        <f t="array" ref="AG143">IF(OR(AG$4=0, $G143&lt;&gt; $G$7, $E143=0), 'I&amp;E Monthly'!AG143, CHOOSE(Timeline!AG$30,$J143,$K143,$L143 )*INDEX('I&amp;E Profiles'!AG$96:AG$180,$I143))</f>
        <v>10</v>
      </c>
      <c r="AH143" s="153" cm="1">
        <f t="array" ref="AH143">IF(OR(AH$4=0, $G143&lt;&gt; $G$7, $E143=0), 'I&amp;E Monthly'!AH143, CHOOSE(Timeline!AH$30,$J143,$K143,$L143 )*INDEX('I&amp;E Profiles'!AH$96:AH$180,$I143))</f>
        <v>30</v>
      </c>
      <c r="AI143" s="153" cm="1">
        <f t="array" ref="AI143">IF(OR(AI$4=0, $G143&lt;&gt; $G$7, $E143=0), 'I&amp;E Monthly'!AI143, CHOOSE(Timeline!AI$30,$J143,$K143,$L143 )*INDEX('I&amp;E Profiles'!AI$96:AI$180,$I143))</f>
        <v>35</v>
      </c>
      <c r="AJ143" s="153" cm="1">
        <f t="array" ref="AJ143">IF(OR(AJ$4=0, $G143&lt;&gt; $G$7, $E143=0), 'I&amp;E Monthly'!AJ143, CHOOSE(Timeline!AJ$30,$J143,$K143,$L143 )*INDEX('I&amp;E Profiles'!AJ$96:AJ$180,$I143))</f>
        <v>35</v>
      </c>
      <c r="AK143" s="153" cm="1">
        <f t="array" ref="AK143">IF(OR(AK$4=0, $G143&lt;&gt; $G$7, $E143=0), 'I&amp;E Monthly'!AK143, CHOOSE(Timeline!AK$30,$J143,$K143,$L143 )*INDEX('I&amp;E Profiles'!AK$96:AK$180,$I143))</f>
        <v>35</v>
      </c>
      <c r="AL143" s="153" cm="1">
        <f t="array" ref="AL143">IF(OR(AL$4=0, $G143&lt;&gt; $G$7, $E143=0), 'I&amp;E Monthly'!AL143, CHOOSE(Timeline!AL$30,$J143,$K143,$L143 )*INDEX('I&amp;E Profiles'!AL$96:AL$180,$I143))</f>
        <v>30</v>
      </c>
      <c r="AM143" s="153" cm="1">
        <f t="array" ref="AM143">IF(OR(AM$4=0, $G143&lt;&gt; $G$7, $E143=0), 'I&amp;E Monthly'!AM143, CHOOSE(Timeline!AM$30,$J143,$K143,$L143 )*INDEX('I&amp;E Profiles'!AM$96:AM$180,$I143))</f>
        <v>20</v>
      </c>
      <c r="AN143" s="153" cm="1">
        <f t="array" ref="AN143">IF(OR(AN$4=0, $G143&lt;&gt; $G$7, $E143=0), 'I&amp;E Monthly'!AN143, CHOOSE(Timeline!AN$30,$J143,$K143,$L143 )*INDEX('I&amp;E Profiles'!AN$96:AN$180,$I143))</f>
        <v>35</v>
      </c>
      <c r="AO143" s="153" cm="1">
        <f t="array" ref="AO143">IF(OR(AO$4=0, $G143&lt;&gt; $G$7, $E143=0), 'I&amp;E Monthly'!AO143, CHOOSE(Timeline!AO$30,$J143,$K143,$L143 )*INDEX('I&amp;E Profiles'!AO$96:AO$180,$I143))</f>
        <v>40</v>
      </c>
      <c r="AP143" s="153" cm="1">
        <f t="array" ref="AP143">IF(OR(AP$4=0, $G143&lt;&gt; $G$7, $E143=0), 'I&amp;E Monthly'!AP143, CHOOSE(Timeline!AP$30,$J143,$K143,$L143 )*INDEX('I&amp;E Profiles'!AP$96:AP$180,$I143))</f>
        <v>40</v>
      </c>
      <c r="AQ143" s="153" cm="1">
        <f t="array" ref="AQ143">IF(OR(AQ$4=0, $G143&lt;&gt; $G$7, $E143=0), 'I&amp;E Monthly'!AQ143, CHOOSE(Timeline!AQ$30,$J143,$K143,$L143 )*INDEX('I&amp;E Profiles'!AQ$96:AQ$180,$I143))</f>
        <v>40</v>
      </c>
      <c r="AR143" s="153" cm="1">
        <f t="array" ref="AR143">IF(OR(AR$4=0, $G143&lt;&gt; $G$7, $E143=0), 'I&amp;E Monthly'!AR143, CHOOSE(Timeline!AR$30,$J143,$K143,$L143 )*INDEX('I&amp;E Profiles'!AR$96:AR$180,$I143))</f>
        <v>40</v>
      </c>
      <c r="AS143" s="153" cm="1">
        <f t="array" ref="AS143">IF(OR(AS$4=0, $G143&lt;&gt; $G$7, $E143=0), 'I&amp;E Monthly'!AS143, CHOOSE(Timeline!AS$30,$J143,$K143,$L143 )*INDEX('I&amp;E Profiles'!AS$96:AS$180,$I143))</f>
        <v>40</v>
      </c>
      <c r="AT143" s="153" cm="1">
        <f t="array" ref="AT143">IF(OR(AT$4=0, $G143&lt;&gt; $G$7, $E143=0), 'I&amp;E Monthly'!AT143, CHOOSE(Timeline!AT$30,$J143,$K143,$L143 )*INDEX('I&amp;E Profiles'!AT$96:AT$180,$I143))</f>
        <v>40</v>
      </c>
      <c r="AU143" s="153" cm="1">
        <f t="array" ref="AU143">IF(OR(AU$4=0, $G143&lt;&gt; $G$7, $E143=0), 'I&amp;E Monthly'!AU143, CHOOSE(Timeline!AU$30,$J143,$K143,$L143 )*INDEX('I&amp;E Profiles'!AU$96:AU$180,$I143))</f>
        <v>40</v>
      </c>
      <c r="AV143" s="153" cm="1">
        <f t="array" ref="AV143">IF(OR(AV$4=0, $G143&lt;&gt; $G$7, $E143=0), 'I&amp;E Monthly'!AV143, CHOOSE(Timeline!AV$30,$J143,$K143,$L143 )*INDEX('I&amp;E Profiles'!AV$96:AV$180,$I143))</f>
        <v>40</v>
      </c>
      <c r="AW143" s="153" cm="1">
        <f t="array" ref="AW143">IF(OR(AW$4=0, $G143&lt;&gt; $G$7, $E143=0), 'I&amp;E Monthly'!AW143, CHOOSE(Timeline!AW$30,$J143,$K143,$L143 )*INDEX('I&amp;E Profiles'!AW$96:AW$180,$I143))</f>
        <v>40</v>
      </c>
      <c r="AX143" s="153" cm="1">
        <f t="array" ref="AX143">IF(OR(AX$4=0, $G143&lt;&gt; $G$7, $E143=0), 'I&amp;E Monthly'!AX143, CHOOSE(Timeline!AX$30,$J143,$K143,$L143 )*INDEX('I&amp;E Profiles'!AX$96:AX$180,$I143))</f>
        <v>30</v>
      </c>
      <c r="AY143" s="153" cm="1">
        <f t="array" ref="AY143">IF(OR(AY$4=0, $G143&lt;&gt; $G$7, $E143=0), 'I&amp;E Monthly'!AY143, CHOOSE(Timeline!AY$30,$J143,$K143,$L143 )*INDEX('I&amp;E Profiles'!AY$96:AY$180,$I143))</f>
        <v>20.299999999999997</v>
      </c>
      <c r="AZ143" s="153" cm="1">
        <f t="array" ref="AZ143">IF(OR(AZ$4=0, $G143&lt;&gt; $G$7, $E143=0), 'I&amp;E Monthly'!AZ143, CHOOSE(Timeline!AZ$30,$J143,$K143,$L143 )*INDEX('I&amp;E Profiles'!AZ$96:AZ$180,$I143))</f>
        <v>35.524999999999999</v>
      </c>
      <c r="BA143" s="153" cm="1">
        <f t="array" ref="BA143">IF(OR(BA$4=0, $G143&lt;&gt; $G$7, $E143=0), 'I&amp;E Monthly'!BA143, CHOOSE(Timeline!BA$30,$J143,$K143,$L143 )*INDEX('I&amp;E Profiles'!BA$96:BA$180,$I143))</f>
        <v>40.599999999999994</v>
      </c>
      <c r="BB143" s="153" cm="1">
        <f t="array" ref="BB143">IF(OR(BB$4=0, $G143&lt;&gt; $G$7, $E143=0), 'I&amp;E Monthly'!BB143, CHOOSE(Timeline!BB$30,$J143,$K143,$L143 )*INDEX('I&amp;E Profiles'!BB$96:BB$180,$I143))</f>
        <v>40.599999999999994</v>
      </c>
      <c r="BC143" s="153" cm="1">
        <f t="array" ref="BC143">IF(OR(BC$4=0, $G143&lt;&gt; $G$7, $E143=0), 'I&amp;E Monthly'!BC143, CHOOSE(Timeline!BC$30,$J143,$K143,$L143 )*INDEX('I&amp;E Profiles'!BC$96:BC$180,$I143))</f>
        <v>40.599999999999994</v>
      </c>
      <c r="BD143" s="153" cm="1">
        <f t="array" ref="BD143">IF(OR(BD$4=0, $G143&lt;&gt; $G$7, $E143=0), 'I&amp;E Monthly'!BD143, CHOOSE(Timeline!BD$30,$J143,$K143,$L143 )*INDEX('I&amp;E Profiles'!BD$96:BD$180,$I143))</f>
        <v>40.599999999999994</v>
      </c>
      <c r="BE143" s="153" cm="1">
        <f t="array" ref="BE143">IF(OR(BE$4=0, $G143&lt;&gt; $G$7, $E143=0), 'I&amp;E Monthly'!BE143, CHOOSE(Timeline!BE$30,$J143,$K143,$L143 )*INDEX('I&amp;E Profiles'!BE$96:BE$180,$I143))</f>
        <v>40.599999999999994</v>
      </c>
      <c r="BF143" s="153" cm="1">
        <f t="array" ref="BF143">IF(OR(BF$4=0, $G143&lt;&gt; $G$7, $E143=0), 'I&amp;E Monthly'!BF143, CHOOSE(Timeline!BF$30,$J143,$K143,$L143 )*INDEX('I&amp;E Profiles'!BF$96:BF$180,$I143))</f>
        <v>40.599999999999994</v>
      </c>
      <c r="BG143" s="153" cm="1">
        <f t="array" ref="BG143">IF(OR(BG$4=0, $G143&lt;&gt; $G$7, $E143=0), 'I&amp;E Monthly'!BG143, CHOOSE(Timeline!BG$30,$J143,$K143,$L143 )*INDEX('I&amp;E Profiles'!BG$96:BG$180,$I143))</f>
        <v>40.599999999999994</v>
      </c>
      <c r="BH143" s="153" cm="1">
        <f t="array" ref="BH143">IF(OR(BH$4=0, $G143&lt;&gt; $G$7, $E143=0), 'I&amp;E Monthly'!BH143, CHOOSE(Timeline!BH$30,$J143,$K143,$L143 )*INDEX('I&amp;E Profiles'!BH$96:BH$180,$I143))</f>
        <v>40.599999999999994</v>
      </c>
      <c r="BI143" s="153" cm="1">
        <f t="array" ref="BI143">IF(OR(BI$4=0, $G143&lt;&gt; $G$7, $E143=0), 'I&amp;E Monthly'!BI143, CHOOSE(Timeline!BI$30,$J143,$K143,$L143 )*INDEX('I&amp;E Profiles'!BI$96:BI$180,$I143))</f>
        <v>40.599999999999994</v>
      </c>
      <c r="BJ143" s="153" cm="1">
        <f t="array" ref="BJ143">IF(OR(BJ$4=0, $G143&lt;&gt; $G$7, $E143=0), 'I&amp;E Monthly'!BJ143, CHOOSE(Timeline!BJ$30,$J143,$K143,$L143 )*INDEX('I&amp;E Profiles'!BJ$96:BJ$180,$I143))</f>
        <v>30.449999999999996</v>
      </c>
      <c r="BK143" s="335"/>
      <c r="BL143" s="13">
        <f t="shared" si="152"/>
        <v>0</v>
      </c>
      <c r="BM143" s="153">
        <f t="shared" si="153"/>
        <v>310</v>
      </c>
      <c r="BN143" s="153">
        <f t="shared" si="153"/>
        <v>445</v>
      </c>
      <c r="BO143" s="153">
        <f t="shared" si="153"/>
        <v>451.67500000000001</v>
      </c>
      <c r="BP143" s="13">
        <f>'I&amp;E Monthly'!BP143</f>
        <v>0</v>
      </c>
      <c r="BQ143" s="13">
        <f>'I&amp;E Monthly'!BQ143</f>
        <v>0</v>
      </c>
      <c r="BR143" s="13">
        <f>'I&amp;E Monthly'!BR143</f>
        <v>0</v>
      </c>
      <c r="BS143" s="13">
        <f>'I&amp;E Monthly'!BS143</f>
        <v>0</v>
      </c>
      <c r="BT143" s="13">
        <f>'I&amp;E Monthly'!BT143</f>
        <v>0</v>
      </c>
      <c r="BU143" s="13">
        <f>'I&amp;E Monthly'!BU143</f>
        <v>0</v>
      </c>
      <c r="BV143" s="13">
        <f>'I&amp;E Monthly'!BV143</f>
        <v>0</v>
      </c>
      <c r="BW143" s="13">
        <f>'I&amp;E Monthly'!BW143</f>
        <v>0</v>
      </c>
      <c r="BX143" s="335"/>
      <c r="BY143" s="12"/>
      <c r="BZ143" s="363">
        <f t="shared" ca="1" si="154"/>
        <v>0</v>
      </c>
      <c r="CA143" s="12"/>
      <c r="CB143" s="7">
        <f t="shared" si="155"/>
        <v>0</v>
      </c>
      <c r="CC143" s="188" cm="1">
        <f t="array" ref="CC143">IF(E143="",0, IF(_xlfn.IFNA(INDEX('I&amp;E Profiles'!$D$96:$D$180, $I143), "N/A")="N/A", 1, 0))</f>
        <v>0</v>
      </c>
      <c r="CD143" s="7">
        <f t="shared" si="156"/>
        <v>0</v>
      </c>
      <c r="CE143" s="7">
        <f t="shared" si="157"/>
        <v>0</v>
      </c>
      <c r="CF143" s="7">
        <f t="shared" si="158"/>
        <v>0</v>
      </c>
      <c r="CG143" s="12"/>
      <c r="CH143" s="352">
        <f t="shared" si="159"/>
        <v>0</v>
      </c>
      <c r="CI143" s="352">
        <f t="shared" si="160"/>
        <v>0</v>
      </c>
      <c r="CJ143" s="352">
        <f t="shared" si="161"/>
        <v>0</v>
      </c>
      <c r="CK143" s="352">
        <f t="shared" si="162"/>
        <v>0</v>
      </c>
      <c r="CL143" s="352">
        <f t="shared" si="163"/>
        <v>0</v>
      </c>
      <c r="CM143" s="352">
        <f t="shared" si="164"/>
        <v>0</v>
      </c>
      <c r="CN143" s="352">
        <f t="shared" si="165"/>
        <v>0</v>
      </c>
      <c r="EX143" s="10" t="str">
        <f t="shared" si="151"/>
        <v>Commercial costs</v>
      </c>
    </row>
    <row r="144" spans="1:154" x14ac:dyDescent="0.25">
      <c r="A144" s="362" cm="1">
        <f t="array" aca="1" ref="A144" ca="1">HYPERLINK(CONCATENATE("#",CELL("address",IF(SUM($CA144:$CG144)=0,A144,INDEX($CA144:$CG144,MATCH(1,$CA144:$CG144,0))))),SUM($CA144:$CG144))</f>
        <v>0</v>
      </c>
      <c r="B144" s="335"/>
      <c r="C144" s="343" t="s">
        <v>498</v>
      </c>
      <c r="D144" s="194" t="s">
        <v>63</v>
      </c>
      <c r="E144" s="147"/>
      <c r="F144" s="98" t="str" cm="1">
        <f t="array" aca="1" ref="F144" ca="1">IF(E144="", "", HYPERLINK(CONCATENATE("#",CELL("address",INDEX('I&amp;E Profiles'!$D$9:$D$93,'I&amp;E Annual'!I144))),E144))</f>
        <v/>
      </c>
      <c r="G144" s="147" t="s">
        <v>211</v>
      </c>
      <c r="H144" s="162" t="s">
        <v>86</v>
      </c>
      <c r="I144" s="350" t="str">
        <f>IF(E144="", "", MATCH(E144, 'I&amp;E Profiles'!$D$96:$D$180,0))</f>
        <v/>
      </c>
      <c r="J144" s="215">
        <f>IF($G144=$G$7, W144,'I&amp;E Monthly'!W144)-SUMIFS('I&amp;E Monthly'!$AA144:$BJ144, 'I&amp;E Monthly'!$AA$3:$BJ$3, 'I&amp;E Annual'!W$3, 'I&amp;E Monthly'!$AA$4:$BJ$4, 0)</f>
        <v>0</v>
      </c>
      <c r="K144" s="215">
        <f>IF($G144=$G$7, X144,'I&amp;E Monthly'!X144)-SUMIFS('I&amp;E Monthly'!$AA144:$BJ144, 'I&amp;E Monthly'!$AA$3:$BJ$3, 'I&amp;E Annual'!X$3, 'I&amp;E Monthly'!$AA$4:$BJ$4, 0)</f>
        <v>0</v>
      </c>
      <c r="L144" s="215">
        <f>IF($G144=$G$7, Y144,'I&amp;E Monthly'!Y144)-SUMIFS('I&amp;E Monthly'!$AA144:$BJ144, 'I&amp;E Monthly'!$AA$3:$BJ$3, 'I&amp;E Annual'!Y$3, 'I&amp;E Monthly'!$AA$4:$BJ$4, 0)</f>
        <v>0</v>
      </c>
      <c r="M144" s="335"/>
      <c r="N144" s="335"/>
      <c r="O144" s="335"/>
      <c r="P144" s="335"/>
      <c r="Q144" s="2"/>
      <c r="R144" s="335"/>
      <c r="S144" s="335"/>
      <c r="T144" s="335"/>
      <c r="U144" s="335"/>
      <c r="V144" s="215">
        <f>'I&amp;E Monthly'!V144</f>
        <v>0</v>
      </c>
      <c r="W144" s="147"/>
      <c r="X144" s="227"/>
      <c r="Y144" s="227"/>
      <c r="Z144" s="335"/>
      <c r="AA144" s="153" cm="1">
        <f t="array" ref="AA144">IF(OR(AA$4=0, $G144&lt;&gt; $G$7, $E144=0), 'I&amp;E Monthly'!AA144, CHOOSE(Timeline!AA$30,$J144,$K144,$L144 )*INDEX('I&amp;E Profiles'!AA$96:AA$180,$I144))</f>
        <v>0</v>
      </c>
      <c r="AB144" s="153" cm="1">
        <f t="array" ref="AB144">IF(OR(AB$4=0, $G144&lt;&gt; $G$7, $E144=0), 'I&amp;E Monthly'!AB144, CHOOSE(Timeline!AB$30,$J144,$K144,$L144 )*INDEX('I&amp;E Profiles'!AB$96:AB$180,$I144))</f>
        <v>0</v>
      </c>
      <c r="AC144" s="153" cm="1">
        <f t="array" ref="AC144">IF(OR(AC$4=0, $G144&lt;&gt; $G$7, $E144=0), 'I&amp;E Monthly'!AC144, CHOOSE(Timeline!AC$30,$J144,$K144,$L144 )*INDEX('I&amp;E Profiles'!AC$96:AC$180,$I144))</f>
        <v>0</v>
      </c>
      <c r="AD144" s="153" cm="1">
        <f t="array" ref="AD144">IF(OR(AD$4=0, $G144&lt;&gt; $G$7, $E144=0), 'I&amp;E Monthly'!AD144, CHOOSE(Timeline!AD$30,$J144,$K144,$L144 )*INDEX('I&amp;E Profiles'!AD$96:AD$180,$I144))</f>
        <v>0</v>
      </c>
      <c r="AE144" s="153" cm="1">
        <f t="array" ref="AE144">IF(OR(AE$4=0, $G144&lt;&gt; $G$7, $E144=0), 'I&amp;E Monthly'!AE144, CHOOSE(Timeline!AE$30,$J144,$K144,$L144 )*INDEX('I&amp;E Profiles'!AE$96:AE$180,$I144))</f>
        <v>0</v>
      </c>
      <c r="AF144" s="153" cm="1">
        <f t="array" ref="AF144">IF(OR(AF$4=0, $G144&lt;&gt; $G$7, $E144=0), 'I&amp;E Monthly'!AF144, CHOOSE(Timeline!AF$30,$J144,$K144,$L144 )*INDEX('I&amp;E Profiles'!AF$96:AF$180,$I144))</f>
        <v>0</v>
      </c>
      <c r="AG144" s="153" cm="1">
        <f t="array" ref="AG144">IF(OR(AG$4=0, $G144&lt;&gt; $G$7, $E144=0), 'I&amp;E Monthly'!AG144, CHOOSE(Timeline!AG$30,$J144,$K144,$L144 )*INDEX('I&amp;E Profiles'!AG$96:AG$180,$I144))</f>
        <v>0</v>
      </c>
      <c r="AH144" s="153" cm="1">
        <f t="array" ref="AH144">IF(OR(AH$4=0, $G144&lt;&gt; $G$7, $E144=0), 'I&amp;E Monthly'!AH144, CHOOSE(Timeline!AH$30,$J144,$K144,$L144 )*INDEX('I&amp;E Profiles'!AH$96:AH$180,$I144))</f>
        <v>0</v>
      </c>
      <c r="AI144" s="153" cm="1">
        <f t="array" ref="AI144">IF(OR(AI$4=0, $G144&lt;&gt; $G$7, $E144=0), 'I&amp;E Monthly'!AI144, CHOOSE(Timeline!AI$30,$J144,$K144,$L144 )*INDEX('I&amp;E Profiles'!AI$96:AI$180,$I144))</f>
        <v>0</v>
      </c>
      <c r="AJ144" s="153" cm="1">
        <f t="array" ref="AJ144">IF(OR(AJ$4=0, $G144&lt;&gt; $G$7, $E144=0), 'I&amp;E Monthly'!AJ144, CHOOSE(Timeline!AJ$30,$J144,$K144,$L144 )*INDEX('I&amp;E Profiles'!AJ$96:AJ$180,$I144))</f>
        <v>0</v>
      </c>
      <c r="AK144" s="153" cm="1">
        <f t="array" ref="AK144">IF(OR(AK$4=0, $G144&lt;&gt; $G$7, $E144=0), 'I&amp;E Monthly'!AK144, CHOOSE(Timeline!AK$30,$J144,$K144,$L144 )*INDEX('I&amp;E Profiles'!AK$96:AK$180,$I144))</f>
        <v>0</v>
      </c>
      <c r="AL144" s="153" cm="1">
        <f t="array" ref="AL144">IF(OR(AL$4=0, $G144&lt;&gt; $G$7, $E144=0), 'I&amp;E Monthly'!AL144, CHOOSE(Timeline!AL$30,$J144,$K144,$L144 )*INDEX('I&amp;E Profiles'!AL$96:AL$180,$I144))</f>
        <v>0</v>
      </c>
      <c r="AM144" s="153" cm="1">
        <f t="array" ref="AM144">IF(OR(AM$4=0, $G144&lt;&gt; $G$7, $E144=0), 'I&amp;E Monthly'!AM144, CHOOSE(Timeline!AM$30,$J144,$K144,$L144 )*INDEX('I&amp;E Profiles'!AM$96:AM$180,$I144))</f>
        <v>0</v>
      </c>
      <c r="AN144" s="153" cm="1">
        <f t="array" ref="AN144">IF(OR(AN$4=0, $G144&lt;&gt; $G$7, $E144=0), 'I&amp;E Monthly'!AN144, CHOOSE(Timeline!AN$30,$J144,$K144,$L144 )*INDEX('I&amp;E Profiles'!AN$96:AN$180,$I144))</f>
        <v>0</v>
      </c>
      <c r="AO144" s="153" cm="1">
        <f t="array" ref="AO144">IF(OR(AO$4=0, $G144&lt;&gt; $G$7, $E144=0), 'I&amp;E Monthly'!AO144, CHOOSE(Timeline!AO$30,$J144,$K144,$L144 )*INDEX('I&amp;E Profiles'!AO$96:AO$180,$I144))</f>
        <v>0</v>
      </c>
      <c r="AP144" s="153" cm="1">
        <f t="array" ref="AP144">IF(OR(AP$4=0, $G144&lt;&gt; $G$7, $E144=0), 'I&amp;E Monthly'!AP144, CHOOSE(Timeline!AP$30,$J144,$K144,$L144 )*INDEX('I&amp;E Profiles'!AP$96:AP$180,$I144))</f>
        <v>0</v>
      </c>
      <c r="AQ144" s="153" cm="1">
        <f t="array" ref="AQ144">IF(OR(AQ$4=0, $G144&lt;&gt; $G$7, $E144=0), 'I&amp;E Monthly'!AQ144, CHOOSE(Timeline!AQ$30,$J144,$K144,$L144 )*INDEX('I&amp;E Profiles'!AQ$96:AQ$180,$I144))</f>
        <v>0</v>
      </c>
      <c r="AR144" s="153" cm="1">
        <f t="array" ref="AR144">IF(OR(AR$4=0, $G144&lt;&gt; $G$7, $E144=0), 'I&amp;E Monthly'!AR144, CHOOSE(Timeline!AR$30,$J144,$K144,$L144 )*INDEX('I&amp;E Profiles'!AR$96:AR$180,$I144))</f>
        <v>0</v>
      </c>
      <c r="AS144" s="153" cm="1">
        <f t="array" ref="AS144">IF(OR(AS$4=0, $G144&lt;&gt; $G$7, $E144=0), 'I&amp;E Monthly'!AS144, CHOOSE(Timeline!AS$30,$J144,$K144,$L144 )*INDEX('I&amp;E Profiles'!AS$96:AS$180,$I144))</f>
        <v>0</v>
      </c>
      <c r="AT144" s="153" cm="1">
        <f t="array" ref="AT144">IF(OR(AT$4=0, $G144&lt;&gt; $G$7, $E144=0), 'I&amp;E Monthly'!AT144, CHOOSE(Timeline!AT$30,$J144,$K144,$L144 )*INDEX('I&amp;E Profiles'!AT$96:AT$180,$I144))</f>
        <v>0</v>
      </c>
      <c r="AU144" s="153" cm="1">
        <f t="array" ref="AU144">IF(OR(AU$4=0, $G144&lt;&gt; $G$7, $E144=0), 'I&amp;E Monthly'!AU144, CHOOSE(Timeline!AU$30,$J144,$K144,$L144 )*INDEX('I&amp;E Profiles'!AU$96:AU$180,$I144))</f>
        <v>0</v>
      </c>
      <c r="AV144" s="153" cm="1">
        <f t="array" ref="AV144">IF(OR(AV$4=0, $G144&lt;&gt; $G$7, $E144=0), 'I&amp;E Monthly'!AV144, CHOOSE(Timeline!AV$30,$J144,$K144,$L144 )*INDEX('I&amp;E Profiles'!AV$96:AV$180,$I144))</f>
        <v>0</v>
      </c>
      <c r="AW144" s="153" cm="1">
        <f t="array" ref="AW144">IF(OR(AW$4=0, $G144&lt;&gt; $G$7, $E144=0), 'I&amp;E Monthly'!AW144, CHOOSE(Timeline!AW$30,$J144,$K144,$L144 )*INDEX('I&amp;E Profiles'!AW$96:AW$180,$I144))</f>
        <v>0</v>
      </c>
      <c r="AX144" s="153" cm="1">
        <f t="array" ref="AX144">IF(OR(AX$4=0, $G144&lt;&gt; $G$7, $E144=0), 'I&amp;E Monthly'!AX144, CHOOSE(Timeline!AX$30,$J144,$K144,$L144 )*INDEX('I&amp;E Profiles'!AX$96:AX$180,$I144))</f>
        <v>0</v>
      </c>
      <c r="AY144" s="153" cm="1">
        <f t="array" ref="AY144">IF(OR(AY$4=0, $G144&lt;&gt; $G$7, $E144=0), 'I&amp;E Monthly'!AY144, CHOOSE(Timeline!AY$30,$J144,$K144,$L144 )*INDEX('I&amp;E Profiles'!AY$96:AY$180,$I144))</f>
        <v>0</v>
      </c>
      <c r="AZ144" s="153" cm="1">
        <f t="array" ref="AZ144">IF(OR(AZ$4=0, $G144&lt;&gt; $G$7, $E144=0), 'I&amp;E Monthly'!AZ144, CHOOSE(Timeline!AZ$30,$J144,$K144,$L144 )*INDEX('I&amp;E Profiles'!AZ$96:AZ$180,$I144))</f>
        <v>0</v>
      </c>
      <c r="BA144" s="153" cm="1">
        <f t="array" ref="BA144">IF(OR(BA$4=0, $G144&lt;&gt; $G$7, $E144=0), 'I&amp;E Monthly'!BA144, CHOOSE(Timeline!BA$30,$J144,$K144,$L144 )*INDEX('I&amp;E Profiles'!BA$96:BA$180,$I144))</f>
        <v>0</v>
      </c>
      <c r="BB144" s="153" cm="1">
        <f t="array" ref="BB144">IF(OR(BB$4=0, $G144&lt;&gt; $G$7, $E144=0), 'I&amp;E Monthly'!BB144, CHOOSE(Timeline!BB$30,$J144,$K144,$L144 )*INDEX('I&amp;E Profiles'!BB$96:BB$180,$I144))</f>
        <v>0</v>
      </c>
      <c r="BC144" s="153" cm="1">
        <f t="array" ref="BC144">IF(OR(BC$4=0, $G144&lt;&gt; $G$7, $E144=0), 'I&amp;E Monthly'!BC144, CHOOSE(Timeline!BC$30,$J144,$K144,$L144 )*INDEX('I&amp;E Profiles'!BC$96:BC$180,$I144))</f>
        <v>0</v>
      </c>
      <c r="BD144" s="153" cm="1">
        <f t="array" ref="BD144">IF(OR(BD$4=0, $G144&lt;&gt; $G$7, $E144=0), 'I&amp;E Monthly'!BD144, CHOOSE(Timeline!BD$30,$J144,$K144,$L144 )*INDEX('I&amp;E Profiles'!BD$96:BD$180,$I144))</f>
        <v>0</v>
      </c>
      <c r="BE144" s="153" cm="1">
        <f t="array" ref="BE144">IF(OR(BE$4=0, $G144&lt;&gt; $G$7, $E144=0), 'I&amp;E Monthly'!BE144, CHOOSE(Timeline!BE$30,$J144,$K144,$L144 )*INDEX('I&amp;E Profiles'!BE$96:BE$180,$I144))</f>
        <v>0</v>
      </c>
      <c r="BF144" s="153" cm="1">
        <f t="array" ref="BF144">IF(OR(BF$4=0, $G144&lt;&gt; $G$7, $E144=0), 'I&amp;E Monthly'!BF144, CHOOSE(Timeline!BF$30,$J144,$K144,$L144 )*INDEX('I&amp;E Profiles'!BF$96:BF$180,$I144))</f>
        <v>0</v>
      </c>
      <c r="BG144" s="153" cm="1">
        <f t="array" ref="BG144">IF(OR(BG$4=0, $G144&lt;&gt; $G$7, $E144=0), 'I&amp;E Monthly'!BG144, CHOOSE(Timeline!BG$30,$J144,$K144,$L144 )*INDEX('I&amp;E Profiles'!BG$96:BG$180,$I144))</f>
        <v>0</v>
      </c>
      <c r="BH144" s="153" cm="1">
        <f t="array" ref="BH144">IF(OR(BH$4=0, $G144&lt;&gt; $G$7, $E144=0), 'I&amp;E Monthly'!BH144, CHOOSE(Timeline!BH$30,$J144,$K144,$L144 )*INDEX('I&amp;E Profiles'!BH$96:BH$180,$I144))</f>
        <v>0</v>
      </c>
      <c r="BI144" s="153" cm="1">
        <f t="array" ref="BI144">IF(OR(BI$4=0, $G144&lt;&gt; $G$7, $E144=0), 'I&amp;E Monthly'!BI144, CHOOSE(Timeline!BI$30,$J144,$K144,$L144 )*INDEX('I&amp;E Profiles'!BI$96:BI$180,$I144))</f>
        <v>0</v>
      </c>
      <c r="BJ144" s="153" cm="1">
        <f t="array" ref="BJ144">IF(OR(BJ$4=0, $G144&lt;&gt; $G$7, $E144=0), 'I&amp;E Monthly'!BJ144, CHOOSE(Timeline!BJ$30,$J144,$K144,$L144 )*INDEX('I&amp;E Profiles'!BJ$96:BJ$180,$I144))</f>
        <v>0</v>
      </c>
      <c r="BK144" s="335"/>
      <c r="BL144" s="152">
        <f t="shared" si="152"/>
        <v>0</v>
      </c>
      <c r="BM144" s="153">
        <f t="shared" si="153"/>
        <v>0</v>
      </c>
      <c r="BN144" s="153">
        <f t="shared" si="153"/>
        <v>0</v>
      </c>
      <c r="BO144" s="153">
        <f t="shared" si="153"/>
        <v>0</v>
      </c>
      <c r="BP144" s="152">
        <f>'I&amp;E Monthly'!BP144</f>
        <v>0</v>
      </c>
      <c r="BQ144" s="152">
        <f>'I&amp;E Monthly'!BQ144</f>
        <v>0</v>
      </c>
      <c r="BR144" s="152">
        <f>'I&amp;E Monthly'!BR144</f>
        <v>0</v>
      </c>
      <c r="BS144" s="152">
        <f>'I&amp;E Monthly'!BS144</f>
        <v>0</v>
      </c>
      <c r="BT144" s="152">
        <f>'I&amp;E Monthly'!BT144</f>
        <v>0</v>
      </c>
      <c r="BU144" s="152">
        <f>'I&amp;E Monthly'!BU144</f>
        <v>0</v>
      </c>
      <c r="BV144" s="152">
        <f>'I&amp;E Monthly'!BV144</f>
        <v>0</v>
      </c>
      <c r="BW144" s="152">
        <f>'I&amp;E Monthly'!BW144</f>
        <v>0</v>
      </c>
      <c r="BX144" s="335"/>
      <c r="BY144" s="12"/>
      <c r="BZ144" s="363">
        <f t="shared" ca="1" si="154"/>
        <v>0</v>
      </c>
      <c r="CA144" s="12"/>
      <c r="CB144" s="7">
        <f t="shared" si="155"/>
        <v>0</v>
      </c>
      <c r="CC144" s="188" cm="1">
        <f t="array" ref="CC144">IF(E144="",0, IF(_xlfn.IFNA(INDEX('I&amp;E Profiles'!$D$96:$D$180, $I144), "N/A")="N/A", 1, 0))</f>
        <v>0</v>
      </c>
      <c r="CD144" s="7">
        <f t="shared" si="156"/>
        <v>0</v>
      </c>
      <c r="CE144" s="7">
        <f t="shared" si="157"/>
        <v>0</v>
      </c>
      <c r="CF144" s="7">
        <f t="shared" si="158"/>
        <v>0</v>
      </c>
      <c r="CG144" s="12"/>
      <c r="CH144" s="352">
        <f t="shared" si="159"/>
        <v>0</v>
      </c>
      <c r="CI144" s="352">
        <f t="shared" si="160"/>
        <v>0</v>
      </c>
      <c r="CJ144" s="352">
        <f t="shared" si="161"/>
        <v>0</v>
      </c>
      <c r="CK144" s="352">
        <f t="shared" si="162"/>
        <v>0</v>
      </c>
      <c r="CL144" s="352">
        <f t="shared" si="163"/>
        <v>0</v>
      </c>
      <c r="CM144" s="352">
        <f t="shared" si="164"/>
        <v>0</v>
      </c>
      <c r="CN144" s="352">
        <f t="shared" si="165"/>
        <v>0</v>
      </c>
      <c r="EX144" s="10" t="str">
        <f t="shared" si="151"/>
        <v>Subcontracting out costs</v>
      </c>
    </row>
    <row r="145" spans="1:154" ht="15.75" x14ac:dyDescent="0.3">
      <c r="A145" s="362" cm="1">
        <f t="array" aca="1" ref="A145" ca="1">HYPERLINK(CONCATENATE("#",CELL("address",IF(SUM($CA145:$CG145)=0,A145,INDEX($CA145:$CG145,MATCH(1,$CA145:$CG145,0))))),SUM($CA145:$CG145))</f>
        <v>0</v>
      </c>
      <c r="B145" s="105" t="s">
        <v>335</v>
      </c>
      <c r="C145" s="343" t="s">
        <v>499</v>
      </c>
      <c r="D145" s="194" t="s">
        <v>64</v>
      </c>
      <c r="E145" s="147"/>
      <c r="F145" s="98" t="str" cm="1">
        <f t="array" aca="1" ref="F145" ca="1">IF(E145="", "", HYPERLINK(CONCATENATE("#",CELL("address",INDEX('I&amp;E Profiles'!$D$9:$D$93,'I&amp;E Annual'!I145))),E145))</f>
        <v/>
      </c>
      <c r="G145" s="147" t="s">
        <v>211</v>
      </c>
      <c r="H145" s="162" t="s">
        <v>86</v>
      </c>
      <c r="I145" s="350" t="str">
        <f>IF(E145="", "", MATCH(E145, 'I&amp;E Profiles'!$D$96:$D$180,0))</f>
        <v/>
      </c>
      <c r="J145" s="215">
        <f>IF($G145=$G$7, W145,'I&amp;E Monthly'!W145)-SUMIFS('I&amp;E Monthly'!$AA145:$BJ145, 'I&amp;E Monthly'!$AA$3:$BJ$3, 'I&amp;E Annual'!W$3, 'I&amp;E Monthly'!$AA$4:$BJ$4, 0)</f>
        <v>0</v>
      </c>
      <c r="K145" s="215">
        <f>IF($G145=$G$7, X145,'I&amp;E Monthly'!X145)-SUMIFS('I&amp;E Monthly'!$AA145:$BJ145, 'I&amp;E Monthly'!$AA$3:$BJ$3, 'I&amp;E Annual'!X$3, 'I&amp;E Monthly'!$AA$4:$BJ$4, 0)</f>
        <v>0</v>
      </c>
      <c r="L145" s="215">
        <f>IF($G145=$G$7, Y145,'I&amp;E Monthly'!Y145)-SUMIFS('I&amp;E Monthly'!$AA145:$BJ145, 'I&amp;E Monthly'!$AA$3:$BJ$3, 'I&amp;E Annual'!Y$3, 'I&amp;E Monthly'!$AA$4:$BJ$4, 0)</f>
        <v>0</v>
      </c>
      <c r="M145" s="335"/>
      <c r="N145" s="335"/>
      <c r="O145" s="335"/>
      <c r="P145" s="335"/>
      <c r="Q145" s="2"/>
      <c r="R145" s="335"/>
      <c r="S145" s="335"/>
      <c r="T145" s="335"/>
      <c r="U145" s="335"/>
      <c r="V145" s="215">
        <f>'I&amp;E Monthly'!V145</f>
        <v>0</v>
      </c>
      <c r="W145" s="147"/>
      <c r="X145" s="227"/>
      <c r="Y145" s="227"/>
      <c r="Z145" s="335"/>
      <c r="AA145" s="153" cm="1">
        <f t="array" ref="AA145">IF(OR(AA$4=0, $G145&lt;&gt; $G$7, $E145=0), 'I&amp;E Monthly'!AA145, CHOOSE(Timeline!AA$30,$J145,$K145,$L145 )*INDEX('I&amp;E Profiles'!AA$96:AA$180,$I145))</f>
        <v>0</v>
      </c>
      <c r="AB145" s="153" cm="1">
        <f t="array" ref="AB145">IF(OR(AB$4=0, $G145&lt;&gt; $G$7, $E145=0), 'I&amp;E Monthly'!AB145, CHOOSE(Timeline!AB$30,$J145,$K145,$L145 )*INDEX('I&amp;E Profiles'!AB$96:AB$180,$I145))</f>
        <v>0</v>
      </c>
      <c r="AC145" s="153" cm="1">
        <f t="array" ref="AC145">IF(OR(AC$4=0, $G145&lt;&gt; $G$7, $E145=0), 'I&amp;E Monthly'!AC145, CHOOSE(Timeline!AC$30,$J145,$K145,$L145 )*INDEX('I&amp;E Profiles'!AC$96:AC$180,$I145))</f>
        <v>0</v>
      </c>
      <c r="AD145" s="153" cm="1">
        <f t="array" ref="AD145">IF(OR(AD$4=0, $G145&lt;&gt; $G$7, $E145=0), 'I&amp;E Monthly'!AD145, CHOOSE(Timeline!AD$30,$J145,$K145,$L145 )*INDEX('I&amp;E Profiles'!AD$96:AD$180,$I145))</f>
        <v>0</v>
      </c>
      <c r="AE145" s="153" cm="1">
        <f t="array" ref="AE145">IF(OR(AE$4=0, $G145&lt;&gt; $G$7, $E145=0), 'I&amp;E Monthly'!AE145, CHOOSE(Timeline!AE$30,$J145,$K145,$L145 )*INDEX('I&amp;E Profiles'!AE$96:AE$180,$I145))</f>
        <v>0</v>
      </c>
      <c r="AF145" s="153" cm="1">
        <f t="array" ref="AF145">IF(OR(AF$4=0, $G145&lt;&gt; $G$7, $E145=0), 'I&amp;E Monthly'!AF145, CHOOSE(Timeline!AF$30,$J145,$K145,$L145 )*INDEX('I&amp;E Profiles'!AF$96:AF$180,$I145))</f>
        <v>0</v>
      </c>
      <c r="AG145" s="153" cm="1">
        <f t="array" ref="AG145">IF(OR(AG$4=0, $G145&lt;&gt; $G$7, $E145=0), 'I&amp;E Monthly'!AG145, CHOOSE(Timeline!AG$30,$J145,$K145,$L145 )*INDEX('I&amp;E Profiles'!AG$96:AG$180,$I145))</f>
        <v>0</v>
      </c>
      <c r="AH145" s="153" cm="1">
        <f t="array" ref="AH145">IF(OR(AH$4=0, $G145&lt;&gt; $G$7, $E145=0), 'I&amp;E Monthly'!AH145, CHOOSE(Timeline!AH$30,$J145,$K145,$L145 )*INDEX('I&amp;E Profiles'!AH$96:AH$180,$I145))</f>
        <v>0</v>
      </c>
      <c r="AI145" s="153" cm="1">
        <f t="array" ref="AI145">IF(OR(AI$4=0, $G145&lt;&gt; $G$7, $E145=0), 'I&amp;E Monthly'!AI145, CHOOSE(Timeline!AI$30,$J145,$K145,$L145 )*INDEX('I&amp;E Profiles'!AI$96:AI$180,$I145))</f>
        <v>0</v>
      </c>
      <c r="AJ145" s="153" cm="1">
        <f t="array" ref="AJ145">IF(OR(AJ$4=0, $G145&lt;&gt; $G$7, $E145=0), 'I&amp;E Monthly'!AJ145, CHOOSE(Timeline!AJ$30,$J145,$K145,$L145 )*INDEX('I&amp;E Profiles'!AJ$96:AJ$180,$I145))</f>
        <v>0</v>
      </c>
      <c r="AK145" s="153" cm="1">
        <f t="array" ref="AK145">IF(OR(AK$4=0, $G145&lt;&gt; $G$7, $E145=0), 'I&amp;E Monthly'!AK145, CHOOSE(Timeline!AK$30,$J145,$K145,$L145 )*INDEX('I&amp;E Profiles'!AK$96:AK$180,$I145))</f>
        <v>0</v>
      </c>
      <c r="AL145" s="153" cm="1">
        <f t="array" ref="AL145">IF(OR(AL$4=0, $G145&lt;&gt; $G$7, $E145=0), 'I&amp;E Monthly'!AL145, CHOOSE(Timeline!AL$30,$J145,$K145,$L145 )*INDEX('I&amp;E Profiles'!AL$96:AL$180,$I145))</f>
        <v>0</v>
      </c>
      <c r="AM145" s="153" cm="1">
        <f t="array" ref="AM145">IF(OR(AM$4=0, $G145&lt;&gt; $G$7, $E145=0), 'I&amp;E Monthly'!AM145, CHOOSE(Timeline!AM$30,$J145,$K145,$L145 )*INDEX('I&amp;E Profiles'!AM$96:AM$180,$I145))</f>
        <v>0</v>
      </c>
      <c r="AN145" s="153" cm="1">
        <f t="array" ref="AN145">IF(OR(AN$4=0, $G145&lt;&gt; $G$7, $E145=0), 'I&amp;E Monthly'!AN145, CHOOSE(Timeline!AN$30,$J145,$K145,$L145 )*INDEX('I&amp;E Profiles'!AN$96:AN$180,$I145))</f>
        <v>0</v>
      </c>
      <c r="AO145" s="153" cm="1">
        <f t="array" ref="AO145">IF(OR(AO$4=0, $G145&lt;&gt; $G$7, $E145=0), 'I&amp;E Monthly'!AO145, CHOOSE(Timeline!AO$30,$J145,$K145,$L145 )*INDEX('I&amp;E Profiles'!AO$96:AO$180,$I145))</f>
        <v>0</v>
      </c>
      <c r="AP145" s="153" cm="1">
        <f t="array" ref="AP145">IF(OR(AP$4=0, $G145&lt;&gt; $G$7, $E145=0), 'I&amp;E Monthly'!AP145, CHOOSE(Timeline!AP$30,$J145,$K145,$L145 )*INDEX('I&amp;E Profiles'!AP$96:AP$180,$I145))</f>
        <v>0</v>
      </c>
      <c r="AQ145" s="153" cm="1">
        <f t="array" ref="AQ145">IF(OR(AQ$4=0, $G145&lt;&gt; $G$7, $E145=0), 'I&amp;E Monthly'!AQ145, CHOOSE(Timeline!AQ$30,$J145,$K145,$L145 )*INDEX('I&amp;E Profiles'!AQ$96:AQ$180,$I145))</f>
        <v>0</v>
      </c>
      <c r="AR145" s="153" cm="1">
        <f t="array" ref="AR145">IF(OR(AR$4=0, $G145&lt;&gt; $G$7, $E145=0), 'I&amp;E Monthly'!AR145, CHOOSE(Timeline!AR$30,$J145,$K145,$L145 )*INDEX('I&amp;E Profiles'!AR$96:AR$180,$I145))</f>
        <v>0</v>
      </c>
      <c r="AS145" s="153" cm="1">
        <f t="array" ref="AS145">IF(OR(AS$4=0, $G145&lt;&gt; $G$7, $E145=0), 'I&amp;E Monthly'!AS145, CHOOSE(Timeline!AS$30,$J145,$K145,$L145 )*INDEX('I&amp;E Profiles'!AS$96:AS$180,$I145))</f>
        <v>0</v>
      </c>
      <c r="AT145" s="153" cm="1">
        <f t="array" ref="AT145">IF(OR(AT$4=0, $G145&lt;&gt; $G$7, $E145=0), 'I&amp;E Monthly'!AT145, CHOOSE(Timeline!AT$30,$J145,$K145,$L145 )*INDEX('I&amp;E Profiles'!AT$96:AT$180,$I145))</f>
        <v>0</v>
      </c>
      <c r="AU145" s="153" cm="1">
        <f t="array" ref="AU145">IF(OR(AU$4=0, $G145&lt;&gt; $G$7, $E145=0), 'I&amp;E Monthly'!AU145, CHOOSE(Timeline!AU$30,$J145,$K145,$L145 )*INDEX('I&amp;E Profiles'!AU$96:AU$180,$I145))</f>
        <v>0</v>
      </c>
      <c r="AV145" s="153" cm="1">
        <f t="array" ref="AV145">IF(OR(AV$4=0, $G145&lt;&gt; $G$7, $E145=0), 'I&amp;E Monthly'!AV145, CHOOSE(Timeline!AV$30,$J145,$K145,$L145 )*INDEX('I&amp;E Profiles'!AV$96:AV$180,$I145))</f>
        <v>0</v>
      </c>
      <c r="AW145" s="153" cm="1">
        <f t="array" ref="AW145">IF(OR(AW$4=0, $G145&lt;&gt; $G$7, $E145=0), 'I&amp;E Monthly'!AW145, CHOOSE(Timeline!AW$30,$J145,$K145,$L145 )*INDEX('I&amp;E Profiles'!AW$96:AW$180,$I145))</f>
        <v>0</v>
      </c>
      <c r="AX145" s="153" cm="1">
        <f t="array" ref="AX145">IF(OR(AX$4=0, $G145&lt;&gt; $G$7, $E145=0), 'I&amp;E Monthly'!AX145, CHOOSE(Timeline!AX$30,$J145,$K145,$L145 )*INDEX('I&amp;E Profiles'!AX$96:AX$180,$I145))</f>
        <v>0</v>
      </c>
      <c r="AY145" s="153" cm="1">
        <f t="array" ref="AY145">IF(OR(AY$4=0, $G145&lt;&gt; $G$7, $E145=0), 'I&amp;E Monthly'!AY145, CHOOSE(Timeline!AY$30,$J145,$K145,$L145 )*INDEX('I&amp;E Profiles'!AY$96:AY$180,$I145))</f>
        <v>0</v>
      </c>
      <c r="AZ145" s="153" cm="1">
        <f t="array" ref="AZ145">IF(OR(AZ$4=0, $G145&lt;&gt; $G$7, $E145=0), 'I&amp;E Monthly'!AZ145, CHOOSE(Timeline!AZ$30,$J145,$K145,$L145 )*INDEX('I&amp;E Profiles'!AZ$96:AZ$180,$I145))</f>
        <v>0</v>
      </c>
      <c r="BA145" s="153" cm="1">
        <f t="array" ref="BA145">IF(OR(BA$4=0, $G145&lt;&gt; $G$7, $E145=0), 'I&amp;E Monthly'!BA145, CHOOSE(Timeline!BA$30,$J145,$K145,$L145 )*INDEX('I&amp;E Profiles'!BA$96:BA$180,$I145))</f>
        <v>0</v>
      </c>
      <c r="BB145" s="153" cm="1">
        <f t="array" ref="BB145">IF(OR(BB$4=0, $G145&lt;&gt; $G$7, $E145=0), 'I&amp;E Monthly'!BB145, CHOOSE(Timeline!BB$30,$J145,$K145,$L145 )*INDEX('I&amp;E Profiles'!BB$96:BB$180,$I145))</f>
        <v>0</v>
      </c>
      <c r="BC145" s="153" cm="1">
        <f t="array" ref="BC145">IF(OR(BC$4=0, $G145&lt;&gt; $G$7, $E145=0), 'I&amp;E Monthly'!BC145, CHOOSE(Timeline!BC$30,$J145,$K145,$L145 )*INDEX('I&amp;E Profiles'!BC$96:BC$180,$I145))</f>
        <v>0</v>
      </c>
      <c r="BD145" s="153" cm="1">
        <f t="array" ref="BD145">IF(OR(BD$4=0, $G145&lt;&gt; $G$7, $E145=0), 'I&amp;E Monthly'!BD145, CHOOSE(Timeline!BD$30,$J145,$K145,$L145 )*INDEX('I&amp;E Profiles'!BD$96:BD$180,$I145))</f>
        <v>0</v>
      </c>
      <c r="BE145" s="153" cm="1">
        <f t="array" ref="BE145">IF(OR(BE$4=0, $G145&lt;&gt; $G$7, $E145=0), 'I&amp;E Monthly'!BE145, CHOOSE(Timeline!BE$30,$J145,$K145,$L145 )*INDEX('I&amp;E Profiles'!BE$96:BE$180,$I145))</f>
        <v>0</v>
      </c>
      <c r="BF145" s="153" cm="1">
        <f t="array" ref="BF145">IF(OR(BF$4=0, $G145&lt;&gt; $G$7, $E145=0), 'I&amp;E Monthly'!BF145, CHOOSE(Timeline!BF$30,$J145,$K145,$L145 )*INDEX('I&amp;E Profiles'!BF$96:BF$180,$I145))</f>
        <v>0</v>
      </c>
      <c r="BG145" s="153" cm="1">
        <f t="array" ref="BG145">IF(OR(BG$4=0, $G145&lt;&gt; $G$7, $E145=0), 'I&amp;E Monthly'!BG145, CHOOSE(Timeline!BG$30,$J145,$K145,$L145 )*INDEX('I&amp;E Profiles'!BG$96:BG$180,$I145))</f>
        <v>0</v>
      </c>
      <c r="BH145" s="153" cm="1">
        <f t="array" ref="BH145">IF(OR(BH$4=0, $G145&lt;&gt; $G$7, $E145=0), 'I&amp;E Monthly'!BH145, CHOOSE(Timeline!BH$30,$J145,$K145,$L145 )*INDEX('I&amp;E Profiles'!BH$96:BH$180,$I145))</f>
        <v>0</v>
      </c>
      <c r="BI145" s="153" cm="1">
        <f t="array" ref="BI145">IF(OR(BI$4=0, $G145&lt;&gt; $G$7, $E145=0), 'I&amp;E Monthly'!BI145, CHOOSE(Timeline!BI$30,$J145,$K145,$L145 )*INDEX('I&amp;E Profiles'!BI$96:BI$180,$I145))</f>
        <v>0</v>
      </c>
      <c r="BJ145" s="153" cm="1">
        <f t="array" ref="BJ145">IF(OR(BJ$4=0, $G145&lt;&gt; $G$7, $E145=0), 'I&amp;E Monthly'!BJ145, CHOOSE(Timeline!BJ$30,$J145,$K145,$L145 )*INDEX('I&amp;E Profiles'!BJ$96:BJ$180,$I145))</f>
        <v>0</v>
      </c>
      <c r="BK145" s="335"/>
      <c r="BL145" s="152">
        <f t="shared" si="152"/>
        <v>0</v>
      </c>
      <c r="BM145" s="153">
        <f t="shared" si="153"/>
        <v>0</v>
      </c>
      <c r="BN145" s="153">
        <f t="shared" si="153"/>
        <v>0</v>
      </c>
      <c r="BO145" s="153">
        <f t="shared" si="153"/>
        <v>0</v>
      </c>
      <c r="BP145" s="152">
        <f>'I&amp;E Monthly'!BP145</f>
        <v>0</v>
      </c>
      <c r="BQ145" s="152">
        <f>'I&amp;E Monthly'!BQ145</f>
        <v>0</v>
      </c>
      <c r="BR145" s="152">
        <f>'I&amp;E Monthly'!BR145</f>
        <v>0</v>
      </c>
      <c r="BS145" s="152">
        <f>'I&amp;E Monthly'!BS145</f>
        <v>0</v>
      </c>
      <c r="BT145" s="152">
        <f>'I&amp;E Monthly'!BT145</f>
        <v>0</v>
      </c>
      <c r="BU145" s="152">
        <f>'I&amp;E Monthly'!BU145</f>
        <v>0</v>
      </c>
      <c r="BV145" s="152">
        <f>'I&amp;E Monthly'!BV145</f>
        <v>0</v>
      </c>
      <c r="BW145" s="152">
        <f>'I&amp;E Monthly'!BW145</f>
        <v>0</v>
      </c>
      <c r="BX145" s="335"/>
      <c r="BY145" s="12"/>
      <c r="BZ145" s="363">
        <f t="shared" ca="1" si="154"/>
        <v>0</v>
      </c>
      <c r="CA145" s="12"/>
      <c r="CB145" s="7">
        <f t="shared" si="155"/>
        <v>0</v>
      </c>
      <c r="CC145" s="188" cm="1">
        <f t="array" ref="CC145">IF(E145="",0, IF(_xlfn.IFNA(INDEX('I&amp;E Profiles'!$D$96:$D$180, $I145), "N/A")="N/A", 1, 0))</f>
        <v>0</v>
      </c>
      <c r="CD145" s="7">
        <f t="shared" si="156"/>
        <v>0</v>
      </c>
      <c r="CE145" s="7">
        <f t="shared" si="157"/>
        <v>0</v>
      </c>
      <c r="CF145" s="7">
        <f t="shared" si="158"/>
        <v>0</v>
      </c>
      <c r="CG145" s="12"/>
      <c r="CH145" s="352">
        <f t="shared" si="159"/>
        <v>0</v>
      </c>
      <c r="CI145" s="352">
        <f t="shared" si="160"/>
        <v>0</v>
      </c>
      <c r="CJ145" s="352">
        <f t="shared" si="161"/>
        <v>0</v>
      </c>
      <c r="CK145" s="352">
        <f t="shared" si="162"/>
        <v>0</v>
      </c>
      <c r="CL145" s="352">
        <f t="shared" si="163"/>
        <v>0</v>
      </c>
      <c r="CM145" s="352">
        <f t="shared" si="164"/>
        <v>0</v>
      </c>
      <c r="CN145" s="352">
        <f t="shared" si="165"/>
        <v>0</v>
      </c>
      <c r="EX145" s="10" t="str">
        <f t="shared" si="151"/>
        <v>Bad debt provision costs</v>
      </c>
    </row>
    <row r="146" spans="1:154" ht="15.75" x14ac:dyDescent="0.3">
      <c r="A146" s="362" cm="1">
        <f t="array" aca="1" ref="A146" ca="1">HYPERLINK(CONCATENATE("#",CELL("address",IF(SUM($CA146:$CG146)=0,A146,INDEX($CA146:$CG146,MATCH(1,$CA146:$CG146,0))))),SUM($CA146:$CG146))</f>
        <v>0</v>
      </c>
      <c r="B146" s="105" t="s">
        <v>335</v>
      </c>
      <c r="C146" s="343" t="s">
        <v>500</v>
      </c>
      <c r="D146" s="194" t="s">
        <v>481</v>
      </c>
      <c r="E146" s="147"/>
      <c r="F146" s="98" t="str" cm="1">
        <f t="array" aca="1" ref="F146" ca="1">IF(E146="", "", HYPERLINK(CONCATENATE("#",CELL("address",INDEX('I&amp;E Profiles'!$D$9:$D$93,'I&amp;E Annual'!I146))),E146))</f>
        <v/>
      </c>
      <c r="G146" s="147" t="s">
        <v>211</v>
      </c>
      <c r="H146" s="162" t="s">
        <v>86</v>
      </c>
      <c r="I146" s="350" t="str">
        <f>IF(E146="", "", MATCH(E146, 'I&amp;E Profiles'!$D$96:$D$180,0))</f>
        <v/>
      </c>
      <c r="J146" s="215">
        <f>IF($G146=$G$7, W146,'I&amp;E Monthly'!W146)-SUMIFS('I&amp;E Monthly'!$AA146:$BJ146, 'I&amp;E Monthly'!$AA$3:$BJ$3, 'I&amp;E Annual'!W$3, 'I&amp;E Monthly'!$AA$4:$BJ$4, 0)</f>
        <v>0</v>
      </c>
      <c r="K146" s="215">
        <f>IF($G146=$G$7, X146,'I&amp;E Monthly'!X146)-SUMIFS('I&amp;E Monthly'!$AA146:$BJ146, 'I&amp;E Monthly'!$AA$3:$BJ$3, 'I&amp;E Annual'!X$3, 'I&amp;E Monthly'!$AA$4:$BJ$4, 0)</f>
        <v>0</v>
      </c>
      <c r="L146" s="215">
        <f>IF($G146=$G$7, Y146,'I&amp;E Monthly'!Y146)-SUMIFS('I&amp;E Monthly'!$AA146:$BJ146, 'I&amp;E Monthly'!$AA$3:$BJ$3, 'I&amp;E Annual'!Y$3, 'I&amp;E Monthly'!$AA$4:$BJ$4, 0)</f>
        <v>0</v>
      </c>
      <c r="M146" s="335"/>
      <c r="N146" s="335"/>
      <c r="O146" s="335"/>
      <c r="P146" s="335"/>
      <c r="Q146" s="2"/>
      <c r="R146" s="335"/>
      <c r="S146" s="335"/>
      <c r="T146" s="335"/>
      <c r="U146" s="335"/>
      <c r="V146" s="215">
        <f>'I&amp;E Monthly'!V146</f>
        <v>0</v>
      </c>
      <c r="W146" s="147"/>
      <c r="X146" s="227"/>
      <c r="Y146" s="227"/>
      <c r="Z146" s="335"/>
      <c r="AA146" s="153" cm="1">
        <f t="array" ref="AA146">IF(OR(AA$4=0, $G146&lt;&gt; $G$7, $E146=0), 'I&amp;E Monthly'!AA146, CHOOSE(Timeline!AA$30,$J146,$K146,$L146 )*INDEX('I&amp;E Profiles'!AA$96:AA$180,$I146))</f>
        <v>0</v>
      </c>
      <c r="AB146" s="153" cm="1">
        <f t="array" ref="AB146">IF(OR(AB$4=0, $G146&lt;&gt; $G$7, $E146=0), 'I&amp;E Monthly'!AB146, CHOOSE(Timeline!AB$30,$J146,$K146,$L146 )*INDEX('I&amp;E Profiles'!AB$96:AB$180,$I146))</f>
        <v>0</v>
      </c>
      <c r="AC146" s="153" cm="1">
        <f t="array" ref="AC146">IF(OR(AC$4=0, $G146&lt;&gt; $G$7, $E146=0), 'I&amp;E Monthly'!AC146, CHOOSE(Timeline!AC$30,$J146,$K146,$L146 )*INDEX('I&amp;E Profiles'!AC$96:AC$180,$I146))</f>
        <v>0</v>
      </c>
      <c r="AD146" s="153" cm="1">
        <f t="array" ref="AD146">IF(OR(AD$4=0, $G146&lt;&gt; $G$7, $E146=0), 'I&amp;E Monthly'!AD146, CHOOSE(Timeline!AD$30,$J146,$K146,$L146 )*INDEX('I&amp;E Profiles'!AD$96:AD$180,$I146))</f>
        <v>0</v>
      </c>
      <c r="AE146" s="153" cm="1">
        <f t="array" ref="AE146">IF(OR(AE$4=0, $G146&lt;&gt; $G$7, $E146=0), 'I&amp;E Monthly'!AE146, CHOOSE(Timeline!AE$30,$J146,$K146,$L146 )*INDEX('I&amp;E Profiles'!AE$96:AE$180,$I146))</f>
        <v>0</v>
      </c>
      <c r="AF146" s="153" cm="1">
        <f t="array" ref="AF146">IF(OR(AF$4=0, $G146&lt;&gt; $G$7, $E146=0), 'I&amp;E Monthly'!AF146, CHOOSE(Timeline!AF$30,$J146,$K146,$L146 )*INDEX('I&amp;E Profiles'!AF$96:AF$180,$I146))</f>
        <v>0</v>
      </c>
      <c r="AG146" s="153" cm="1">
        <f t="array" ref="AG146">IF(OR(AG$4=0, $G146&lt;&gt; $G$7, $E146=0), 'I&amp;E Monthly'!AG146, CHOOSE(Timeline!AG$30,$J146,$K146,$L146 )*INDEX('I&amp;E Profiles'!AG$96:AG$180,$I146))</f>
        <v>0</v>
      </c>
      <c r="AH146" s="153" cm="1">
        <f t="array" ref="AH146">IF(OR(AH$4=0, $G146&lt;&gt; $G$7, $E146=0), 'I&amp;E Monthly'!AH146, CHOOSE(Timeline!AH$30,$J146,$K146,$L146 )*INDEX('I&amp;E Profiles'!AH$96:AH$180,$I146))</f>
        <v>0</v>
      </c>
      <c r="AI146" s="153" cm="1">
        <f t="array" ref="AI146">IF(OR(AI$4=0, $G146&lt;&gt; $G$7, $E146=0), 'I&amp;E Monthly'!AI146, CHOOSE(Timeline!AI$30,$J146,$K146,$L146 )*INDEX('I&amp;E Profiles'!AI$96:AI$180,$I146))</f>
        <v>0</v>
      </c>
      <c r="AJ146" s="153" cm="1">
        <f t="array" ref="AJ146">IF(OR(AJ$4=0, $G146&lt;&gt; $G$7, $E146=0), 'I&amp;E Monthly'!AJ146, CHOOSE(Timeline!AJ$30,$J146,$K146,$L146 )*INDEX('I&amp;E Profiles'!AJ$96:AJ$180,$I146))</f>
        <v>0</v>
      </c>
      <c r="AK146" s="153" cm="1">
        <f t="array" ref="AK146">IF(OR(AK$4=0, $G146&lt;&gt; $G$7, $E146=0), 'I&amp;E Monthly'!AK146, CHOOSE(Timeline!AK$30,$J146,$K146,$L146 )*INDEX('I&amp;E Profiles'!AK$96:AK$180,$I146))</f>
        <v>0</v>
      </c>
      <c r="AL146" s="153" cm="1">
        <f t="array" ref="AL146">IF(OR(AL$4=0, $G146&lt;&gt; $G$7, $E146=0), 'I&amp;E Monthly'!AL146, CHOOSE(Timeline!AL$30,$J146,$K146,$L146 )*INDEX('I&amp;E Profiles'!AL$96:AL$180,$I146))</f>
        <v>0</v>
      </c>
      <c r="AM146" s="153" cm="1">
        <f t="array" ref="AM146">IF(OR(AM$4=0, $G146&lt;&gt; $G$7, $E146=0), 'I&amp;E Monthly'!AM146, CHOOSE(Timeline!AM$30,$J146,$K146,$L146 )*INDEX('I&amp;E Profiles'!AM$96:AM$180,$I146))</f>
        <v>0</v>
      </c>
      <c r="AN146" s="153" cm="1">
        <f t="array" ref="AN146">IF(OR(AN$4=0, $G146&lt;&gt; $G$7, $E146=0), 'I&amp;E Monthly'!AN146, CHOOSE(Timeline!AN$30,$J146,$K146,$L146 )*INDEX('I&amp;E Profiles'!AN$96:AN$180,$I146))</f>
        <v>0</v>
      </c>
      <c r="AO146" s="153" cm="1">
        <f t="array" ref="AO146">IF(OR(AO$4=0, $G146&lt;&gt; $G$7, $E146=0), 'I&amp;E Monthly'!AO146, CHOOSE(Timeline!AO$30,$J146,$K146,$L146 )*INDEX('I&amp;E Profiles'!AO$96:AO$180,$I146))</f>
        <v>0</v>
      </c>
      <c r="AP146" s="153" cm="1">
        <f t="array" ref="AP146">IF(OR(AP$4=0, $G146&lt;&gt; $G$7, $E146=0), 'I&amp;E Monthly'!AP146, CHOOSE(Timeline!AP$30,$J146,$K146,$L146 )*INDEX('I&amp;E Profiles'!AP$96:AP$180,$I146))</f>
        <v>0</v>
      </c>
      <c r="AQ146" s="153" cm="1">
        <f t="array" ref="AQ146">IF(OR(AQ$4=0, $G146&lt;&gt; $G$7, $E146=0), 'I&amp;E Monthly'!AQ146, CHOOSE(Timeline!AQ$30,$J146,$K146,$L146 )*INDEX('I&amp;E Profiles'!AQ$96:AQ$180,$I146))</f>
        <v>0</v>
      </c>
      <c r="AR146" s="153" cm="1">
        <f t="array" ref="AR146">IF(OR(AR$4=0, $G146&lt;&gt; $G$7, $E146=0), 'I&amp;E Monthly'!AR146, CHOOSE(Timeline!AR$30,$J146,$K146,$L146 )*INDEX('I&amp;E Profiles'!AR$96:AR$180,$I146))</f>
        <v>0</v>
      </c>
      <c r="AS146" s="153" cm="1">
        <f t="array" ref="AS146">IF(OR(AS$4=0, $G146&lt;&gt; $G$7, $E146=0), 'I&amp;E Monthly'!AS146, CHOOSE(Timeline!AS$30,$J146,$K146,$L146 )*INDEX('I&amp;E Profiles'!AS$96:AS$180,$I146))</f>
        <v>0</v>
      </c>
      <c r="AT146" s="153" cm="1">
        <f t="array" ref="AT146">IF(OR(AT$4=0, $G146&lt;&gt; $G$7, $E146=0), 'I&amp;E Monthly'!AT146, CHOOSE(Timeline!AT$30,$J146,$K146,$L146 )*INDEX('I&amp;E Profiles'!AT$96:AT$180,$I146))</f>
        <v>0</v>
      </c>
      <c r="AU146" s="153" cm="1">
        <f t="array" ref="AU146">IF(OR(AU$4=0, $G146&lt;&gt; $G$7, $E146=0), 'I&amp;E Monthly'!AU146, CHOOSE(Timeline!AU$30,$J146,$K146,$L146 )*INDEX('I&amp;E Profiles'!AU$96:AU$180,$I146))</f>
        <v>0</v>
      </c>
      <c r="AV146" s="153" cm="1">
        <f t="array" ref="AV146">IF(OR(AV$4=0, $G146&lt;&gt; $G$7, $E146=0), 'I&amp;E Monthly'!AV146, CHOOSE(Timeline!AV$30,$J146,$K146,$L146 )*INDEX('I&amp;E Profiles'!AV$96:AV$180,$I146))</f>
        <v>0</v>
      </c>
      <c r="AW146" s="153" cm="1">
        <f t="array" ref="AW146">IF(OR(AW$4=0, $G146&lt;&gt; $G$7, $E146=0), 'I&amp;E Monthly'!AW146, CHOOSE(Timeline!AW$30,$J146,$K146,$L146 )*INDEX('I&amp;E Profiles'!AW$96:AW$180,$I146))</f>
        <v>0</v>
      </c>
      <c r="AX146" s="153" cm="1">
        <f t="array" ref="AX146">IF(OR(AX$4=0, $G146&lt;&gt; $G$7, $E146=0), 'I&amp;E Monthly'!AX146, CHOOSE(Timeline!AX$30,$J146,$K146,$L146 )*INDEX('I&amp;E Profiles'!AX$96:AX$180,$I146))</f>
        <v>0</v>
      </c>
      <c r="AY146" s="153" cm="1">
        <f t="array" ref="AY146">IF(OR(AY$4=0, $G146&lt;&gt; $G$7, $E146=0), 'I&amp;E Monthly'!AY146, CHOOSE(Timeline!AY$30,$J146,$K146,$L146 )*INDEX('I&amp;E Profiles'!AY$96:AY$180,$I146))</f>
        <v>0</v>
      </c>
      <c r="AZ146" s="153" cm="1">
        <f t="array" ref="AZ146">IF(OR(AZ$4=0, $G146&lt;&gt; $G$7, $E146=0), 'I&amp;E Monthly'!AZ146, CHOOSE(Timeline!AZ$30,$J146,$K146,$L146 )*INDEX('I&amp;E Profiles'!AZ$96:AZ$180,$I146))</f>
        <v>0</v>
      </c>
      <c r="BA146" s="153" cm="1">
        <f t="array" ref="BA146">IF(OR(BA$4=0, $G146&lt;&gt; $G$7, $E146=0), 'I&amp;E Monthly'!BA146, CHOOSE(Timeline!BA$30,$J146,$K146,$L146 )*INDEX('I&amp;E Profiles'!BA$96:BA$180,$I146))</f>
        <v>0</v>
      </c>
      <c r="BB146" s="153" cm="1">
        <f t="array" ref="BB146">IF(OR(BB$4=0, $G146&lt;&gt; $G$7, $E146=0), 'I&amp;E Monthly'!BB146, CHOOSE(Timeline!BB$30,$J146,$K146,$L146 )*INDEX('I&amp;E Profiles'!BB$96:BB$180,$I146))</f>
        <v>0</v>
      </c>
      <c r="BC146" s="153" cm="1">
        <f t="array" ref="BC146">IF(OR(BC$4=0, $G146&lt;&gt; $G$7, $E146=0), 'I&amp;E Monthly'!BC146, CHOOSE(Timeline!BC$30,$J146,$K146,$L146 )*INDEX('I&amp;E Profiles'!BC$96:BC$180,$I146))</f>
        <v>0</v>
      </c>
      <c r="BD146" s="153" cm="1">
        <f t="array" ref="BD146">IF(OR(BD$4=0, $G146&lt;&gt; $G$7, $E146=0), 'I&amp;E Monthly'!BD146, CHOOSE(Timeline!BD$30,$J146,$K146,$L146 )*INDEX('I&amp;E Profiles'!BD$96:BD$180,$I146))</f>
        <v>0</v>
      </c>
      <c r="BE146" s="153" cm="1">
        <f t="array" ref="BE146">IF(OR(BE$4=0, $G146&lt;&gt; $G$7, $E146=0), 'I&amp;E Monthly'!BE146, CHOOSE(Timeline!BE$30,$J146,$K146,$L146 )*INDEX('I&amp;E Profiles'!BE$96:BE$180,$I146))</f>
        <v>0</v>
      </c>
      <c r="BF146" s="153" cm="1">
        <f t="array" ref="BF146">IF(OR(BF$4=0, $G146&lt;&gt; $G$7, $E146=0), 'I&amp;E Monthly'!BF146, CHOOSE(Timeline!BF$30,$J146,$K146,$L146 )*INDEX('I&amp;E Profiles'!BF$96:BF$180,$I146))</f>
        <v>0</v>
      </c>
      <c r="BG146" s="153" cm="1">
        <f t="array" ref="BG146">IF(OR(BG$4=0, $G146&lt;&gt; $G$7, $E146=0), 'I&amp;E Monthly'!BG146, CHOOSE(Timeline!BG$30,$J146,$K146,$L146 )*INDEX('I&amp;E Profiles'!BG$96:BG$180,$I146))</f>
        <v>0</v>
      </c>
      <c r="BH146" s="153" cm="1">
        <f t="array" ref="BH146">IF(OR(BH$4=0, $G146&lt;&gt; $G$7, $E146=0), 'I&amp;E Monthly'!BH146, CHOOSE(Timeline!BH$30,$J146,$K146,$L146 )*INDEX('I&amp;E Profiles'!BH$96:BH$180,$I146))</f>
        <v>0</v>
      </c>
      <c r="BI146" s="153" cm="1">
        <f t="array" ref="BI146">IF(OR(BI$4=0, $G146&lt;&gt; $G$7, $E146=0), 'I&amp;E Monthly'!BI146, CHOOSE(Timeline!BI$30,$J146,$K146,$L146 )*INDEX('I&amp;E Profiles'!BI$96:BI$180,$I146))</f>
        <v>0</v>
      </c>
      <c r="BJ146" s="153" cm="1">
        <f t="array" ref="BJ146">IF(OR(BJ$4=0, $G146&lt;&gt; $G$7, $E146=0), 'I&amp;E Monthly'!BJ146, CHOOSE(Timeline!BJ$30,$J146,$K146,$L146 )*INDEX('I&amp;E Profiles'!BJ$96:BJ$180,$I146))</f>
        <v>0</v>
      </c>
      <c r="BK146" s="335"/>
      <c r="BL146" s="152">
        <f t="shared" si="152"/>
        <v>0</v>
      </c>
      <c r="BM146" s="153">
        <f t="shared" si="153"/>
        <v>0</v>
      </c>
      <c r="BN146" s="153">
        <f t="shared" si="153"/>
        <v>0</v>
      </c>
      <c r="BO146" s="153">
        <f t="shared" si="153"/>
        <v>0</v>
      </c>
      <c r="BP146" s="152">
        <f>'I&amp;E Monthly'!BP146</f>
        <v>0</v>
      </c>
      <c r="BQ146" s="152">
        <f>'I&amp;E Monthly'!BQ146</f>
        <v>0</v>
      </c>
      <c r="BR146" s="152">
        <f>'I&amp;E Monthly'!BR146</f>
        <v>0</v>
      </c>
      <c r="BS146" s="152">
        <f>'I&amp;E Monthly'!BS146</f>
        <v>0</v>
      </c>
      <c r="BT146" s="152">
        <f>'I&amp;E Monthly'!BT146</f>
        <v>0</v>
      </c>
      <c r="BU146" s="152">
        <f>'I&amp;E Monthly'!BU146</f>
        <v>0</v>
      </c>
      <c r="BV146" s="152">
        <f>'I&amp;E Monthly'!BV146</f>
        <v>0</v>
      </c>
      <c r="BW146" s="152">
        <f>'I&amp;E Monthly'!BW146</f>
        <v>0</v>
      </c>
      <c r="BX146" s="335"/>
      <c r="BY146" s="12"/>
      <c r="BZ146" s="363">
        <f t="shared" ca="1" si="154"/>
        <v>0</v>
      </c>
      <c r="CA146" s="12"/>
      <c r="CB146" s="7">
        <f t="shared" si="155"/>
        <v>0</v>
      </c>
      <c r="CC146" s="188" cm="1">
        <f t="array" ref="CC146">IF(E146="",0, IF(_xlfn.IFNA(INDEX('I&amp;E Profiles'!$D$96:$D$180, $I146), "N/A")="N/A", 1, 0))</f>
        <v>0</v>
      </c>
      <c r="CD146" s="7">
        <f t="shared" si="156"/>
        <v>0</v>
      </c>
      <c r="CE146" s="7">
        <f t="shared" si="157"/>
        <v>0</v>
      </c>
      <c r="CF146" s="7">
        <f t="shared" si="158"/>
        <v>0</v>
      </c>
      <c r="CG146" s="12"/>
      <c r="CH146" s="352">
        <f t="shared" si="159"/>
        <v>0</v>
      </c>
      <c r="CI146" s="352">
        <f t="shared" si="160"/>
        <v>0</v>
      </c>
      <c r="CJ146" s="352">
        <f t="shared" si="161"/>
        <v>0</v>
      </c>
      <c r="CK146" s="352">
        <f t="shared" si="162"/>
        <v>0</v>
      </c>
      <c r="CL146" s="352">
        <f t="shared" si="163"/>
        <v>0</v>
      </c>
      <c r="CM146" s="352">
        <f t="shared" si="164"/>
        <v>0</v>
      </c>
      <c r="CN146" s="352">
        <f t="shared" si="165"/>
        <v>0</v>
      </c>
      <c r="EX146" s="10" t="str">
        <f t="shared" si="151"/>
        <v>Other operating expenditure costs</v>
      </c>
    </row>
    <row r="147" spans="1:154" s="335" customFormat="1" ht="15.75" x14ac:dyDescent="0.25">
      <c r="A147" s="362" cm="1">
        <f t="array" aca="1" ref="A147" ca="1">HYPERLINK(CONCATENATE("#",CELL("address",IF(SUM($CA147:$CG147)=0,A147,INDEX($CA147:$CG147,MATCH(1,$CA147:$CG147,0))))),SUM($CA147:$CG147))</f>
        <v>0</v>
      </c>
      <c r="B147" s="170"/>
      <c r="C147" s="343" t="s">
        <v>962</v>
      </c>
      <c r="D147" s="365" t="s">
        <v>960</v>
      </c>
      <c r="E147" s="348" t="str" cm="1">
        <f t="array" aca="1" ref="E147" ca="1">HYPERLINK(CONCATENATE("#",CELL("address",'BS Forecasts'!$D$215)),'BS Forecasts'!$D$213)</f>
        <v>Other Provisions</v>
      </c>
      <c r="H147" s="162" t="s">
        <v>86</v>
      </c>
      <c r="Q147" s="2"/>
      <c r="V147" s="153">
        <f>'I&amp;E Monthly'!V$147</f>
        <v>0</v>
      </c>
      <c r="W147" s="153">
        <f>'I&amp;E Monthly'!W$147</f>
        <v>0</v>
      </c>
      <c r="X147" s="153">
        <f>'I&amp;E Monthly'!X$147</f>
        <v>0</v>
      </c>
      <c r="Y147" s="153">
        <f>'I&amp;E Monthly'!Y$147</f>
        <v>0</v>
      </c>
      <c r="AA147" s="153">
        <f>'I&amp;E Monthly'!AA$147</f>
        <v>0</v>
      </c>
      <c r="AB147" s="153">
        <f>'I&amp;E Monthly'!AB$147</f>
        <v>0</v>
      </c>
      <c r="AC147" s="153">
        <f>'I&amp;E Monthly'!AC$147</f>
        <v>0</v>
      </c>
      <c r="AD147" s="153">
        <f>'I&amp;E Monthly'!AD$147</f>
        <v>0</v>
      </c>
      <c r="AE147" s="153">
        <f>'I&amp;E Monthly'!AE$147</f>
        <v>0</v>
      </c>
      <c r="AF147" s="153">
        <f>'I&amp;E Monthly'!AF$147</f>
        <v>0</v>
      </c>
      <c r="AG147" s="153">
        <f>'I&amp;E Monthly'!AG$147</f>
        <v>0</v>
      </c>
      <c r="AH147" s="153">
        <f>'I&amp;E Monthly'!AH$147</f>
        <v>0</v>
      </c>
      <c r="AI147" s="153">
        <f>'I&amp;E Monthly'!AI$147</f>
        <v>0</v>
      </c>
      <c r="AJ147" s="153">
        <f>'I&amp;E Monthly'!AJ$147</f>
        <v>0</v>
      </c>
      <c r="AK147" s="153">
        <f>'I&amp;E Monthly'!AK$147</f>
        <v>0</v>
      </c>
      <c r="AL147" s="153">
        <f>'I&amp;E Monthly'!AL$147</f>
        <v>0</v>
      </c>
      <c r="AM147" s="153">
        <f>'I&amp;E Monthly'!AM$147</f>
        <v>0</v>
      </c>
      <c r="AN147" s="153">
        <f>'I&amp;E Monthly'!AN$147</f>
        <v>0</v>
      </c>
      <c r="AO147" s="153">
        <f>'I&amp;E Monthly'!AO$147</f>
        <v>0</v>
      </c>
      <c r="AP147" s="153">
        <f>'I&amp;E Monthly'!AP$147</f>
        <v>0</v>
      </c>
      <c r="AQ147" s="153">
        <f>'I&amp;E Monthly'!AQ$147</f>
        <v>0</v>
      </c>
      <c r="AR147" s="153">
        <f>'I&amp;E Monthly'!AR$147</f>
        <v>0</v>
      </c>
      <c r="AS147" s="153">
        <f>'I&amp;E Monthly'!AS$147</f>
        <v>0</v>
      </c>
      <c r="AT147" s="153">
        <f>'I&amp;E Monthly'!AT$147</f>
        <v>0</v>
      </c>
      <c r="AU147" s="153">
        <f>'I&amp;E Monthly'!AU$147</f>
        <v>0</v>
      </c>
      <c r="AV147" s="153">
        <f>'I&amp;E Monthly'!AV$147</f>
        <v>0</v>
      </c>
      <c r="AW147" s="153">
        <f>'I&amp;E Monthly'!AW$147</f>
        <v>0</v>
      </c>
      <c r="AX147" s="153">
        <f>'I&amp;E Monthly'!AX$147</f>
        <v>0</v>
      </c>
      <c r="AY147" s="153">
        <f>'I&amp;E Monthly'!AY$147</f>
        <v>0</v>
      </c>
      <c r="AZ147" s="153">
        <f>'I&amp;E Monthly'!AZ$147</f>
        <v>0</v>
      </c>
      <c r="BA147" s="153">
        <f>'I&amp;E Monthly'!BA$147</f>
        <v>0</v>
      </c>
      <c r="BB147" s="153">
        <f>'I&amp;E Monthly'!BB$147</f>
        <v>0</v>
      </c>
      <c r="BC147" s="153">
        <f>'I&amp;E Monthly'!BC$147</f>
        <v>0</v>
      </c>
      <c r="BD147" s="153">
        <f>'I&amp;E Monthly'!BD$147</f>
        <v>0</v>
      </c>
      <c r="BE147" s="153">
        <f>'I&amp;E Monthly'!BE$147</f>
        <v>0</v>
      </c>
      <c r="BF147" s="153">
        <f>'I&amp;E Monthly'!BF$147</f>
        <v>0</v>
      </c>
      <c r="BG147" s="153">
        <f>'I&amp;E Monthly'!BG$147</f>
        <v>0</v>
      </c>
      <c r="BH147" s="153">
        <f>'I&amp;E Monthly'!BH$147</f>
        <v>0</v>
      </c>
      <c r="BI147" s="153">
        <f>'I&amp;E Monthly'!BI$147</f>
        <v>0</v>
      </c>
      <c r="BJ147" s="153">
        <f>'I&amp;E Monthly'!BJ$147</f>
        <v>0</v>
      </c>
      <c r="BL147" s="153">
        <f>'I&amp;E Monthly'!BL$147</f>
        <v>0</v>
      </c>
      <c r="BM147" s="153">
        <f>'I&amp;E Monthly'!BM$147</f>
        <v>0</v>
      </c>
      <c r="BN147" s="153">
        <f>'I&amp;E Monthly'!BN$147</f>
        <v>0</v>
      </c>
      <c r="BO147" s="153">
        <f>'I&amp;E Monthly'!BO$147</f>
        <v>0</v>
      </c>
      <c r="BP147" s="153">
        <f>'I&amp;E Monthly'!BP$147</f>
        <v>0</v>
      </c>
      <c r="BQ147" s="153">
        <f>'I&amp;E Monthly'!BQ$147</f>
        <v>0</v>
      </c>
      <c r="BR147" s="153">
        <f>'I&amp;E Monthly'!BR$147</f>
        <v>0</v>
      </c>
      <c r="BS147" s="153">
        <f>'I&amp;E Monthly'!BS$147</f>
        <v>0</v>
      </c>
      <c r="BT147" s="153">
        <f>'I&amp;E Monthly'!BT$147</f>
        <v>0</v>
      </c>
      <c r="BU147" s="153">
        <f>'I&amp;E Monthly'!BU$147</f>
        <v>0</v>
      </c>
      <c r="BV147" s="153">
        <f>'I&amp;E Monthly'!BV$147</f>
        <v>0</v>
      </c>
      <c r="BW147" s="153">
        <f>'I&amp;E Monthly'!BW$147</f>
        <v>0</v>
      </c>
      <c r="BY147" s="12"/>
      <c r="CA147" s="12"/>
      <c r="CD147" s="7">
        <f t="shared" si="156"/>
        <v>0</v>
      </c>
      <c r="CE147" s="7">
        <f t="shared" si="157"/>
        <v>0</v>
      </c>
      <c r="CF147" s="7">
        <f t="shared" si="158"/>
        <v>0</v>
      </c>
      <c r="CG147" s="12"/>
      <c r="CH147" s="352">
        <f t="shared" si="159"/>
        <v>0</v>
      </c>
      <c r="CI147" s="352">
        <f t="shared" si="160"/>
        <v>0</v>
      </c>
      <c r="CJ147" s="352">
        <f t="shared" si="161"/>
        <v>0</v>
      </c>
      <c r="CK147" s="352">
        <f t="shared" si="162"/>
        <v>0</v>
      </c>
      <c r="CL147" s="352">
        <f t="shared" si="163"/>
        <v>0</v>
      </c>
      <c r="CM147" s="352">
        <f t="shared" si="164"/>
        <v>0</v>
      </c>
      <c r="CN147" s="352">
        <f t="shared" si="165"/>
        <v>0</v>
      </c>
      <c r="EX147" s="10" t="str">
        <f t="shared" si="151"/>
        <v>Provisions made (released)</v>
      </c>
    </row>
    <row r="148" spans="1:154" s="323" customFormat="1" hidden="1" x14ac:dyDescent="0.25">
      <c r="A148" s="362" cm="1">
        <f t="array" aca="1" ref="A148" ca="1">HYPERLINK(CONCATENATE("#",CELL("address",IF(SUM($CA148:$CG148)=0,A148,INDEX($CA148:$CG148,MATCH(1,$CA148:$CG148,0))))),SUM($CA148:$CG148))</f>
        <v>0</v>
      </c>
      <c r="B148" s="329"/>
      <c r="C148" s="383"/>
      <c r="D148" s="137" t="s">
        <v>2316</v>
      </c>
      <c r="E148" s="136"/>
      <c r="F148" s="98" t="str" cm="1">
        <f t="array" aca="1" ref="F148" ca="1">IF(E148="", "", HYPERLINK(CONCATENATE("#",CELL("address",INDEX('I&amp;E Profiles'!$D$9:$D$93,'I&amp;E Annual'!I148))),E148))</f>
        <v/>
      </c>
      <c r="G148" s="136"/>
      <c r="I148" s="200" t="str">
        <f>IF(E148="", "", MATCH(E148, 'I&amp;E Profiles'!$D$96:$D$180,0))</f>
        <v/>
      </c>
      <c r="J148" s="215">
        <f>IF($G148=$G$7, W148,'I&amp;E Monthly'!W148)-SUMIFS('I&amp;E Monthly'!$AA148:$BJ148, 'I&amp;E Monthly'!$AA$3:$BJ$3, 'I&amp;E Annual'!W$3, 'I&amp;E Monthly'!$AA$4:$BJ$4, 0)</f>
        <v>0</v>
      </c>
      <c r="K148" s="215">
        <f>IF($G148=$G$7, X148,'I&amp;E Monthly'!X148)-SUMIFS('I&amp;E Monthly'!$AA148:$BJ148, 'I&amp;E Monthly'!$AA$3:$BJ$3, 'I&amp;E Annual'!X$3, 'I&amp;E Monthly'!$AA$4:$BJ$4, 0)</f>
        <v>0</v>
      </c>
      <c r="L148" s="215">
        <f>IF($G148=$G$7, Y148,'I&amp;E Monthly'!Y148)-SUMIFS('I&amp;E Monthly'!$AA148:$BJ148, 'I&amp;E Monthly'!$AA$3:$BJ$3, 'I&amp;E Annual'!Y$3, 'I&amp;E Monthly'!$AA$4:$BJ$4, 0)</f>
        <v>0</v>
      </c>
      <c r="M148" s="335"/>
      <c r="N148" s="335"/>
      <c r="O148" s="335"/>
      <c r="P148" s="335"/>
      <c r="Q148" s="2"/>
      <c r="R148" s="335"/>
      <c r="S148" s="335"/>
      <c r="T148" s="335"/>
      <c r="U148" s="335"/>
      <c r="V148" s="201">
        <f>'I&amp;E Monthly'!V148</f>
        <v>0</v>
      </c>
      <c r="W148" s="136"/>
      <c r="X148" s="136"/>
      <c r="Y148" s="136"/>
      <c r="Z148" s="335"/>
      <c r="AA148" s="153" cm="1">
        <f t="array" ref="AA148">IF(OR(AA$4=0, $G148&lt;&gt; $G$7, $E148=0), 'I&amp;E Monthly'!AA148, CHOOSE(Timeline!AA$30,$J148,$K148,$L148 )*INDEX('I&amp;E Profiles'!AA$96:AA$180,$I148))</f>
        <v>0</v>
      </c>
      <c r="AB148" s="153" cm="1">
        <f t="array" ref="AB148">IF(OR(AB$4=0, $G148&lt;&gt; $G$7, $E148=0), 'I&amp;E Monthly'!AB148, CHOOSE(Timeline!AB$30,$J148,$K148,$L148 )*INDEX('I&amp;E Profiles'!AB$96:AB$180,$I148))</f>
        <v>0</v>
      </c>
      <c r="AC148" s="153" cm="1">
        <f t="array" ref="AC148">IF(OR(AC$4=0, $G148&lt;&gt; $G$7, $E148=0), 'I&amp;E Monthly'!AC148, CHOOSE(Timeline!AC$30,$J148,$K148,$L148 )*INDEX('I&amp;E Profiles'!AC$96:AC$180,$I148))</f>
        <v>0</v>
      </c>
      <c r="AD148" s="153" cm="1">
        <f t="array" ref="AD148">IF(OR(AD$4=0, $G148&lt;&gt; $G$7, $E148=0), 'I&amp;E Monthly'!AD148, CHOOSE(Timeline!AD$30,$J148,$K148,$L148 )*INDEX('I&amp;E Profiles'!AD$96:AD$180,$I148))</f>
        <v>0</v>
      </c>
      <c r="AE148" s="153" cm="1">
        <f t="array" ref="AE148">IF(OR(AE$4=0, $G148&lt;&gt; $G$7, $E148=0), 'I&amp;E Monthly'!AE148, CHOOSE(Timeline!AE$30,$J148,$K148,$L148 )*INDEX('I&amp;E Profiles'!AE$96:AE$180,$I148))</f>
        <v>0</v>
      </c>
      <c r="AF148" s="153" cm="1">
        <f t="array" ref="AF148">IF(OR(AF$4=0, $G148&lt;&gt; $G$7, $E148=0), 'I&amp;E Monthly'!AF148, CHOOSE(Timeline!AF$30,$J148,$K148,$L148 )*INDEX('I&amp;E Profiles'!AF$96:AF$180,$I148))</f>
        <v>0</v>
      </c>
      <c r="AG148" s="153" cm="1">
        <f t="array" ref="AG148">IF(OR(AG$4=0, $G148&lt;&gt; $G$7, $E148=0), 'I&amp;E Monthly'!AG148, CHOOSE(Timeline!AG$30,$J148,$K148,$L148 )*INDEX('I&amp;E Profiles'!AG$96:AG$180,$I148))</f>
        <v>0</v>
      </c>
      <c r="AH148" s="153" cm="1">
        <f t="array" ref="AH148">IF(OR(AH$4=0, $G148&lt;&gt; $G$7, $E148=0), 'I&amp;E Monthly'!AH148, CHOOSE(Timeline!AH$30,$J148,$K148,$L148 )*INDEX('I&amp;E Profiles'!AH$96:AH$180,$I148))</f>
        <v>0</v>
      </c>
      <c r="AI148" s="153" cm="1">
        <f t="array" ref="AI148">IF(OR(AI$4=0, $G148&lt;&gt; $G$7, $E148=0), 'I&amp;E Monthly'!AI148, CHOOSE(Timeline!AI$30,$J148,$K148,$L148 )*INDEX('I&amp;E Profiles'!AI$96:AI$180,$I148))</f>
        <v>0</v>
      </c>
      <c r="AJ148" s="153" cm="1">
        <f t="array" ref="AJ148">IF(OR(AJ$4=0, $G148&lt;&gt; $G$7, $E148=0), 'I&amp;E Monthly'!AJ148, CHOOSE(Timeline!AJ$30,$J148,$K148,$L148 )*INDEX('I&amp;E Profiles'!AJ$96:AJ$180,$I148))</f>
        <v>0</v>
      </c>
      <c r="AK148" s="153" cm="1">
        <f t="array" ref="AK148">IF(OR(AK$4=0, $G148&lt;&gt; $G$7, $E148=0), 'I&amp;E Monthly'!AK148, CHOOSE(Timeline!AK$30,$J148,$K148,$L148 )*INDEX('I&amp;E Profiles'!AK$96:AK$180,$I148))</f>
        <v>0</v>
      </c>
      <c r="AL148" s="153" cm="1">
        <f t="array" ref="AL148">IF(OR(AL$4=0, $G148&lt;&gt; $G$7, $E148=0), 'I&amp;E Monthly'!AL148, CHOOSE(Timeline!AL$30,$J148,$K148,$L148 )*INDEX('I&amp;E Profiles'!AL$96:AL$180,$I148))</f>
        <v>0</v>
      </c>
      <c r="AM148" s="153" cm="1">
        <f t="array" ref="AM148">IF(OR(AM$4=0, $G148&lt;&gt; $G$7, $E148=0), 'I&amp;E Monthly'!AM148, CHOOSE(Timeline!AM$30,$J148,$K148,$L148 )*INDEX('I&amp;E Profiles'!AM$96:AM$180,$I148))</f>
        <v>0</v>
      </c>
      <c r="AN148" s="153" cm="1">
        <f t="array" ref="AN148">IF(OR(AN$4=0, $G148&lt;&gt; $G$7, $E148=0), 'I&amp;E Monthly'!AN148, CHOOSE(Timeline!AN$30,$J148,$K148,$L148 )*INDEX('I&amp;E Profiles'!AN$96:AN$180,$I148))</f>
        <v>0</v>
      </c>
      <c r="AO148" s="153" cm="1">
        <f t="array" ref="AO148">IF(OR(AO$4=0, $G148&lt;&gt; $G$7, $E148=0), 'I&amp;E Monthly'!AO148, CHOOSE(Timeline!AO$30,$J148,$K148,$L148 )*INDEX('I&amp;E Profiles'!AO$96:AO$180,$I148))</f>
        <v>0</v>
      </c>
      <c r="AP148" s="153" cm="1">
        <f t="array" ref="AP148">IF(OR(AP$4=0, $G148&lt;&gt; $G$7, $E148=0), 'I&amp;E Monthly'!AP148, CHOOSE(Timeline!AP$30,$J148,$K148,$L148 )*INDEX('I&amp;E Profiles'!AP$96:AP$180,$I148))</f>
        <v>0</v>
      </c>
      <c r="AQ148" s="153" cm="1">
        <f t="array" ref="AQ148">IF(OR(AQ$4=0, $G148&lt;&gt; $G$7, $E148=0), 'I&amp;E Monthly'!AQ148, CHOOSE(Timeline!AQ$30,$J148,$K148,$L148 )*INDEX('I&amp;E Profiles'!AQ$96:AQ$180,$I148))</f>
        <v>0</v>
      </c>
      <c r="AR148" s="153" cm="1">
        <f t="array" ref="AR148">IF(OR(AR$4=0, $G148&lt;&gt; $G$7, $E148=0), 'I&amp;E Monthly'!AR148, CHOOSE(Timeline!AR$30,$J148,$K148,$L148 )*INDEX('I&amp;E Profiles'!AR$96:AR$180,$I148))</f>
        <v>0</v>
      </c>
      <c r="AS148" s="153" cm="1">
        <f t="array" ref="AS148">IF(OR(AS$4=0, $G148&lt;&gt; $G$7, $E148=0), 'I&amp;E Monthly'!AS148, CHOOSE(Timeline!AS$30,$J148,$K148,$L148 )*INDEX('I&amp;E Profiles'!AS$96:AS$180,$I148))</f>
        <v>0</v>
      </c>
      <c r="AT148" s="153" cm="1">
        <f t="array" ref="AT148">IF(OR(AT$4=0, $G148&lt;&gt; $G$7, $E148=0), 'I&amp;E Monthly'!AT148, CHOOSE(Timeline!AT$30,$J148,$K148,$L148 )*INDEX('I&amp;E Profiles'!AT$96:AT$180,$I148))</f>
        <v>0</v>
      </c>
      <c r="AU148" s="153" cm="1">
        <f t="array" ref="AU148">IF(OR(AU$4=0, $G148&lt;&gt; $G$7, $E148=0), 'I&amp;E Monthly'!AU148, CHOOSE(Timeline!AU$30,$J148,$K148,$L148 )*INDEX('I&amp;E Profiles'!AU$96:AU$180,$I148))</f>
        <v>0</v>
      </c>
      <c r="AV148" s="153" cm="1">
        <f t="array" ref="AV148">IF(OR(AV$4=0, $G148&lt;&gt; $G$7, $E148=0), 'I&amp;E Monthly'!AV148, CHOOSE(Timeline!AV$30,$J148,$K148,$L148 )*INDEX('I&amp;E Profiles'!AV$96:AV$180,$I148))</f>
        <v>0</v>
      </c>
      <c r="AW148" s="153" cm="1">
        <f t="array" ref="AW148">IF(OR(AW$4=0, $G148&lt;&gt; $G$7, $E148=0), 'I&amp;E Monthly'!AW148, CHOOSE(Timeline!AW$30,$J148,$K148,$L148 )*INDEX('I&amp;E Profiles'!AW$96:AW$180,$I148))</f>
        <v>0</v>
      </c>
      <c r="AX148" s="153" cm="1">
        <f t="array" ref="AX148">IF(OR(AX$4=0, $G148&lt;&gt; $G$7, $E148=0), 'I&amp;E Monthly'!AX148, CHOOSE(Timeline!AX$30,$J148,$K148,$L148 )*INDEX('I&amp;E Profiles'!AX$96:AX$180,$I148))</f>
        <v>0</v>
      </c>
      <c r="AY148" s="153" cm="1">
        <f t="array" ref="AY148">IF(OR(AY$4=0, $G148&lt;&gt; $G$7, $E148=0), 'I&amp;E Monthly'!AY148, CHOOSE(Timeline!AY$30,$J148,$K148,$L148 )*INDEX('I&amp;E Profiles'!AY$96:AY$180,$I148))</f>
        <v>0</v>
      </c>
      <c r="AZ148" s="153" cm="1">
        <f t="array" ref="AZ148">IF(OR(AZ$4=0, $G148&lt;&gt; $G$7, $E148=0), 'I&amp;E Monthly'!AZ148, CHOOSE(Timeline!AZ$30,$J148,$K148,$L148 )*INDEX('I&amp;E Profiles'!AZ$96:AZ$180,$I148))</f>
        <v>0</v>
      </c>
      <c r="BA148" s="153" cm="1">
        <f t="array" ref="BA148">IF(OR(BA$4=0, $G148&lt;&gt; $G$7, $E148=0), 'I&amp;E Monthly'!BA148, CHOOSE(Timeline!BA$30,$J148,$K148,$L148 )*INDEX('I&amp;E Profiles'!BA$96:BA$180,$I148))</f>
        <v>0</v>
      </c>
      <c r="BB148" s="153" cm="1">
        <f t="array" ref="BB148">IF(OR(BB$4=0, $G148&lt;&gt; $G$7, $E148=0), 'I&amp;E Monthly'!BB148, CHOOSE(Timeline!BB$30,$J148,$K148,$L148 )*INDEX('I&amp;E Profiles'!BB$96:BB$180,$I148))</f>
        <v>0</v>
      </c>
      <c r="BC148" s="153" cm="1">
        <f t="array" ref="BC148">IF(OR(BC$4=0, $G148&lt;&gt; $G$7, $E148=0), 'I&amp;E Monthly'!BC148, CHOOSE(Timeline!BC$30,$J148,$K148,$L148 )*INDEX('I&amp;E Profiles'!BC$96:BC$180,$I148))</f>
        <v>0</v>
      </c>
      <c r="BD148" s="153" cm="1">
        <f t="array" ref="BD148">IF(OR(BD$4=0, $G148&lt;&gt; $G$7, $E148=0), 'I&amp;E Monthly'!BD148, CHOOSE(Timeline!BD$30,$J148,$K148,$L148 )*INDEX('I&amp;E Profiles'!BD$96:BD$180,$I148))</f>
        <v>0</v>
      </c>
      <c r="BE148" s="153" cm="1">
        <f t="array" ref="BE148">IF(OR(BE$4=0, $G148&lt;&gt; $G$7, $E148=0), 'I&amp;E Monthly'!BE148, CHOOSE(Timeline!BE$30,$J148,$K148,$L148 )*INDEX('I&amp;E Profiles'!BE$96:BE$180,$I148))</f>
        <v>0</v>
      </c>
      <c r="BF148" s="153" cm="1">
        <f t="array" ref="BF148">IF(OR(BF$4=0, $G148&lt;&gt; $G$7, $E148=0), 'I&amp;E Monthly'!BF148, CHOOSE(Timeline!BF$30,$J148,$K148,$L148 )*INDEX('I&amp;E Profiles'!BF$96:BF$180,$I148))</f>
        <v>0</v>
      </c>
      <c r="BG148" s="153" cm="1">
        <f t="array" ref="BG148">IF(OR(BG$4=0, $G148&lt;&gt; $G$7, $E148=0), 'I&amp;E Monthly'!BG148, CHOOSE(Timeline!BG$30,$J148,$K148,$L148 )*INDEX('I&amp;E Profiles'!BG$96:BG$180,$I148))</f>
        <v>0</v>
      </c>
      <c r="BH148" s="153" cm="1">
        <f t="array" ref="BH148">IF(OR(BH$4=0, $G148&lt;&gt; $G$7, $E148=0), 'I&amp;E Monthly'!BH148, CHOOSE(Timeline!BH$30,$J148,$K148,$L148 )*INDEX('I&amp;E Profiles'!BH$96:BH$180,$I148))</f>
        <v>0</v>
      </c>
      <c r="BI148" s="153" cm="1">
        <f t="array" ref="BI148">IF(OR(BI$4=0, $G148&lt;&gt; $G$7, $E148=0), 'I&amp;E Monthly'!BI148, CHOOSE(Timeline!BI$30,$J148,$K148,$L148 )*INDEX('I&amp;E Profiles'!BI$96:BI$180,$I148))</f>
        <v>0</v>
      </c>
      <c r="BJ148" s="153" cm="1">
        <f t="array" ref="BJ148">IF(OR(BJ$4=0, $G148&lt;&gt; $G$7, $E148=0), 'I&amp;E Monthly'!BJ148, CHOOSE(Timeline!BJ$30,$J148,$K148,$L148 )*INDEX('I&amp;E Profiles'!BJ$96:BJ$180,$I148))</f>
        <v>0</v>
      </c>
      <c r="BK148" s="335"/>
      <c r="BL148" s="13">
        <f>V148</f>
        <v>0</v>
      </c>
      <c r="BM148" s="153">
        <f t="shared" ref="BM148:BO150" si="166">SUMIFS($AA148:$BJ148, $AA$3:$BJ$3,BM$3)</f>
        <v>0</v>
      </c>
      <c r="BN148" s="153">
        <f t="shared" si="166"/>
        <v>0</v>
      </c>
      <c r="BO148" s="153">
        <f t="shared" si="166"/>
        <v>0</v>
      </c>
      <c r="BP148" s="13">
        <f>'I&amp;E Monthly'!BP148</f>
        <v>0</v>
      </c>
      <c r="BQ148" s="13">
        <f>'I&amp;E Monthly'!BQ148</f>
        <v>0</v>
      </c>
      <c r="BR148" s="13">
        <f>'I&amp;E Monthly'!BR148</f>
        <v>0</v>
      </c>
      <c r="BS148" s="13">
        <f>'I&amp;E Monthly'!BS148</f>
        <v>0</v>
      </c>
      <c r="BT148" s="13">
        <f>'I&amp;E Monthly'!BT148</f>
        <v>0</v>
      </c>
      <c r="BU148" s="13">
        <f>'I&amp;E Monthly'!BU148</f>
        <v>0</v>
      </c>
      <c r="BV148" s="13">
        <f>'I&amp;E Monthly'!BV148</f>
        <v>0</v>
      </c>
      <c r="BW148" s="13">
        <f>'I&amp;E Monthly'!BW148</f>
        <v>0</v>
      </c>
      <c r="BX148" s="335"/>
      <c r="BY148" s="12"/>
      <c r="BZ148" s="363">
        <f ca="1">IF(MIN($V148:$BW148)&lt;0, 1, 0)*$I$7</f>
        <v>0</v>
      </c>
      <c r="CA148" s="12"/>
      <c r="CB148" s="7">
        <f>IF(AND($G148=$G$7,$E148=""), 1, 0)</f>
        <v>0</v>
      </c>
      <c r="CC148" s="188" cm="1">
        <f t="array" ref="CC148">IF(E148="",0, IF(_xlfn.IFNA(INDEX('I&amp;E Profiles'!$D$96:$D$180, $I148), "N/A")="N/A", 1, 0))</f>
        <v>0</v>
      </c>
      <c r="CD148" s="7">
        <f t="shared" si="156"/>
        <v>0</v>
      </c>
      <c r="CE148" s="7">
        <f t="shared" si="157"/>
        <v>0</v>
      </c>
      <c r="CF148" s="7">
        <f t="shared" si="158"/>
        <v>0</v>
      </c>
      <c r="CG148" s="12"/>
      <c r="CH148" s="352">
        <f t="shared" si="159"/>
        <v>0</v>
      </c>
      <c r="CI148" s="352">
        <f t="shared" si="160"/>
        <v>0</v>
      </c>
      <c r="CJ148" s="352">
        <f t="shared" si="161"/>
        <v>0</v>
      </c>
      <c r="CK148" s="352">
        <f t="shared" si="162"/>
        <v>0</v>
      </c>
      <c r="CL148" s="352">
        <f t="shared" si="163"/>
        <v>0</v>
      </c>
      <c r="CM148" s="352">
        <f t="shared" si="164"/>
        <v>0</v>
      </c>
      <c r="CN148" s="352">
        <f t="shared" si="165"/>
        <v>0</v>
      </c>
      <c r="EU148" s="335"/>
      <c r="EX148" s="10" t="str">
        <f t="shared" si="151"/>
        <v/>
      </c>
    </row>
    <row r="149" spans="1:154" s="323" customFormat="1" hidden="1" x14ac:dyDescent="0.25">
      <c r="A149" s="362" cm="1">
        <f t="array" aca="1" ref="A149" ca="1">HYPERLINK(CONCATENATE("#",CELL("address",IF(SUM($CA149:$CG149)=0,A149,INDEX($CA149:$CG149,MATCH(1,$CA149:$CG149,0))))),SUM($CA149:$CG149))</f>
        <v>0</v>
      </c>
      <c r="B149" s="335"/>
      <c r="C149" s="383"/>
      <c r="D149" s="137" t="s">
        <v>2316</v>
      </c>
      <c r="E149" s="136"/>
      <c r="F149" s="98" t="str" cm="1">
        <f t="array" aca="1" ref="F149" ca="1">IF(E149="", "", HYPERLINK(CONCATENATE("#",CELL("address",INDEX('I&amp;E Profiles'!$D$9:$D$93,'I&amp;E Annual'!I149))),E149))</f>
        <v/>
      </c>
      <c r="G149" s="136"/>
      <c r="I149" s="200" t="str">
        <f>IF(E149="", "", MATCH(E149, 'I&amp;E Profiles'!$D$96:$D$180,0))</f>
        <v/>
      </c>
      <c r="J149" s="215">
        <f>IF($G149=$G$7, W149,'I&amp;E Monthly'!W149)-SUMIFS('I&amp;E Monthly'!$AA149:$BJ149, 'I&amp;E Monthly'!$AA$3:$BJ$3, 'I&amp;E Annual'!W$3, 'I&amp;E Monthly'!$AA$4:$BJ$4, 0)</f>
        <v>0</v>
      </c>
      <c r="K149" s="215">
        <f>IF($G149=$G$7, X149,'I&amp;E Monthly'!X149)-SUMIFS('I&amp;E Monthly'!$AA149:$BJ149, 'I&amp;E Monthly'!$AA$3:$BJ$3, 'I&amp;E Annual'!X$3, 'I&amp;E Monthly'!$AA$4:$BJ$4, 0)</f>
        <v>0</v>
      </c>
      <c r="L149" s="215">
        <f>IF($G149=$G$7, Y149,'I&amp;E Monthly'!Y149)-SUMIFS('I&amp;E Monthly'!$AA149:$BJ149, 'I&amp;E Monthly'!$AA$3:$BJ$3, 'I&amp;E Annual'!Y$3, 'I&amp;E Monthly'!$AA$4:$BJ$4, 0)</f>
        <v>0</v>
      </c>
      <c r="M149" s="335"/>
      <c r="N149" s="335"/>
      <c r="O149" s="335"/>
      <c r="P149" s="335"/>
      <c r="Q149" s="2"/>
      <c r="R149" s="335"/>
      <c r="S149" s="335"/>
      <c r="T149" s="335"/>
      <c r="U149" s="335"/>
      <c r="V149" s="201">
        <f>'I&amp;E Monthly'!V149</f>
        <v>0</v>
      </c>
      <c r="W149" s="136"/>
      <c r="X149" s="136"/>
      <c r="Y149" s="136"/>
      <c r="Z149" s="335"/>
      <c r="AA149" s="153" cm="1">
        <f t="array" ref="AA149">IF(OR(AA$4=0, $G149&lt;&gt; $G$7, $E149=0), 'I&amp;E Monthly'!AA149, CHOOSE(Timeline!AA$30,$J149,$K149,$L149 )*INDEX('I&amp;E Profiles'!AA$96:AA$180,$I149))</f>
        <v>0</v>
      </c>
      <c r="AB149" s="153" cm="1">
        <f t="array" ref="AB149">IF(OR(AB$4=0, $G149&lt;&gt; $G$7, $E149=0), 'I&amp;E Monthly'!AB149, CHOOSE(Timeline!AB$30,$J149,$K149,$L149 )*INDEX('I&amp;E Profiles'!AB$96:AB$180,$I149))</f>
        <v>0</v>
      </c>
      <c r="AC149" s="153" cm="1">
        <f t="array" ref="AC149">IF(OR(AC$4=0, $G149&lt;&gt; $G$7, $E149=0), 'I&amp;E Monthly'!AC149, CHOOSE(Timeline!AC$30,$J149,$K149,$L149 )*INDEX('I&amp;E Profiles'!AC$96:AC$180,$I149))</f>
        <v>0</v>
      </c>
      <c r="AD149" s="153" cm="1">
        <f t="array" ref="AD149">IF(OR(AD$4=0, $G149&lt;&gt; $G$7, $E149=0), 'I&amp;E Monthly'!AD149, CHOOSE(Timeline!AD$30,$J149,$K149,$L149 )*INDEX('I&amp;E Profiles'!AD$96:AD$180,$I149))</f>
        <v>0</v>
      </c>
      <c r="AE149" s="153" cm="1">
        <f t="array" ref="AE149">IF(OR(AE$4=0, $G149&lt;&gt; $G$7, $E149=0), 'I&amp;E Monthly'!AE149, CHOOSE(Timeline!AE$30,$J149,$K149,$L149 )*INDEX('I&amp;E Profiles'!AE$96:AE$180,$I149))</f>
        <v>0</v>
      </c>
      <c r="AF149" s="153" cm="1">
        <f t="array" ref="AF149">IF(OR(AF$4=0, $G149&lt;&gt; $G$7, $E149=0), 'I&amp;E Monthly'!AF149, CHOOSE(Timeline!AF$30,$J149,$K149,$L149 )*INDEX('I&amp;E Profiles'!AF$96:AF$180,$I149))</f>
        <v>0</v>
      </c>
      <c r="AG149" s="153" cm="1">
        <f t="array" ref="AG149">IF(OR(AG$4=0, $G149&lt;&gt; $G$7, $E149=0), 'I&amp;E Monthly'!AG149, CHOOSE(Timeline!AG$30,$J149,$K149,$L149 )*INDEX('I&amp;E Profiles'!AG$96:AG$180,$I149))</f>
        <v>0</v>
      </c>
      <c r="AH149" s="153" cm="1">
        <f t="array" ref="AH149">IF(OR(AH$4=0, $G149&lt;&gt; $G$7, $E149=0), 'I&amp;E Monthly'!AH149, CHOOSE(Timeline!AH$30,$J149,$K149,$L149 )*INDEX('I&amp;E Profiles'!AH$96:AH$180,$I149))</f>
        <v>0</v>
      </c>
      <c r="AI149" s="153" cm="1">
        <f t="array" ref="AI149">IF(OR(AI$4=0, $G149&lt;&gt; $G$7, $E149=0), 'I&amp;E Monthly'!AI149, CHOOSE(Timeline!AI$30,$J149,$K149,$L149 )*INDEX('I&amp;E Profiles'!AI$96:AI$180,$I149))</f>
        <v>0</v>
      </c>
      <c r="AJ149" s="153" cm="1">
        <f t="array" ref="AJ149">IF(OR(AJ$4=0, $G149&lt;&gt; $G$7, $E149=0), 'I&amp;E Monthly'!AJ149, CHOOSE(Timeline!AJ$30,$J149,$K149,$L149 )*INDEX('I&amp;E Profiles'!AJ$96:AJ$180,$I149))</f>
        <v>0</v>
      </c>
      <c r="AK149" s="153" cm="1">
        <f t="array" ref="AK149">IF(OR(AK$4=0, $G149&lt;&gt; $G$7, $E149=0), 'I&amp;E Monthly'!AK149, CHOOSE(Timeline!AK$30,$J149,$K149,$L149 )*INDEX('I&amp;E Profiles'!AK$96:AK$180,$I149))</f>
        <v>0</v>
      </c>
      <c r="AL149" s="153" cm="1">
        <f t="array" ref="AL149">IF(OR(AL$4=0, $G149&lt;&gt; $G$7, $E149=0), 'I&amp;E Monthly'!AL149, CHOOSE(Timeline!AL$30,$J149,$K149,$L149 )*INDEX('I&amp;E Profiles'!AL$96:AL$180,$I149))</f>
        <v>0</v>
      </c>
      <c r="AM149" s="153" cm="1">
        <f t="array" ref="AM149">IF(OR(AM$4=0, $G149&lt;&gt; $G$7, $E149=0), 'I&amp;E Monthly'!AM149, CHOOSE(Timeline!AM$30,$J149,$K149,$L149 )*INDEX('I&amp;E Profiles'!AM$96:AM$180,$I149))</f>
        <v>0</v>
      </c>
      <c r="AN149" s="153" cm="1">
        <f t="array" ref="AN149">IF(OR(AN$4=0, $G149&lt;&gt; $G$7, $E149=0), 'I&amp;E Monthly'!AN149, CHOOSE(Timeline!AN$30,$J149,$K149,$L149 )*INDEX('I&amp;E Profiles'!AN$96:AN$180,$I149))</f>
        <v>0</v>
      </c>
      <c r="AO149" s="153" cm="1">
        <f t="array" ref="AO149">IF(OR(AO$4=0, $G149&lt;&gt; $G$7, $E149=0), 'I&amp;E Monthly'!AO149, CHOOSE(Timeline!AO$30,$J149,$K149,$L149 )*INDEX('I&amp;E Profiles'!AO$96:AO$180,$I149))</f>
        <v>0</v>
      </c>
      <c r="AP149" s="153" cm="1">
        <f t="array" ref="AP149">IF(OR(AP$4=0, $G149&lt;&gt; $G$7, $E149=0), 'I&amp;E Monthly'!AP149, CHOOSE(Timeline!AP$30,$J149,$K149,$L149 )*INDEX('I&amp;E Profiles'!AP$96:AP$180,$I149))</f>
        <v>0</v>
      </c>
      <c r="AQ149" s="153" cm="1">
        <f t="array" ref="AQ149">IF(OR(AQ$4=0, $G149&lt;&gt; $G$7, $E149=0), 'I&amp;E Monthly'!AQ149, CHOOSE(Timeline!AQ$30,$J149,$K149,$L149 )*INDEX('I&amp;E Profiles'!AQ$96:AQ$180,$I149))</f>
        <v>0</v>
      </c>
      <c r="AR149" s="153" cm="1">
        <f t="array" ref="AR149">IF(OR(AR$4=0, $G149&lt;&gt; $G$7, $E149=0), 'I&amp;E Monthly'!AR149, CHOOSE(Timeline!AR$30,$J149,$K149,$L149 )*INDEX('I&amp;E Profiles'!AR$96:AR$180,$I149))</f>
        <v>0</v>
      </c>
      <c r="AS149" s="153" cm="1">
        <f t="array" ref="AS149">IF(OR(AS$4=0, $G149&lt;&gt; $G$7, $E149=0), 'I&amp;E Monthly'!AS149, CHOOSE(Timeline!AS$30,$J149,$K149,$L149 )*INDEX('I&amp;E Profiles'!AS$96:AS$180,$I149))</f>
        <v>0</v>
      </c>
      <c r="AT149" s="153" cm="1">
        <f t="array" ref="AT149">IF(OR(AT$4=0, $G149&lt;&gt; $G$7, $E149=0), 'I&amp;E Monthly'!AT149, CHOOSE(Timeline!AT$30,$J149,$K149,$L149 )*INDEX('I&amp;E Profiles'!AT$96:AT$180,$I149))</f>
        <v>0</v>
      </c>
      <c r="AU149" s="153" cm="1">
        <f t="array" ref="AU149">IF(OR(AU$4=0, $G149&lt;&gt; $G$7, $E149=0), 'I&amp;E Monthly'!AU149, CHOOSE(Timeline!AU$30,$J149,$K149,$L149 )*INDEX('I&amp;E Profiles'!AU$96:AU$180,$I149))</f>
        <v>0</v>
      </c>
      <c r="AV149" s="153" cm="1">
        <f t="array" ref="AV149">IF(OR(AV$4=0, $G149&lt;&gt; $G$7, $E149=0), 'I&amp;E Monthly'!AV149, CHOOSE(Timeline!AV$30,$J149,$K149,$L149 )*INDEX('I&amp;E Profiles'!AV$96:AV$180,$I149))</f>
        <v>0</v>
      </c>
      <c r="AW149" s="153" cm="1">
        <f t="array" ref="AW149">IF(OR(AW$4=0, $G149&lt;&gt; $G$7, $E149=0), 'I&amp;E Monthly'!AW149, CHOOSE(Timeline!AW$30,$J149,$K149,$L149 )*INDEX('I&amp;E Profiles'!AW$96:AW$180,$I149))</f>
        <v>0</v>
      </c>
      <c r="AX149" s="153" cm="1">
        <f t="array" ref="AX149">IF(OR(AX$4=0, $G149&lt;&gt; $G$7, $E149=0), 'I&amp;E Monthly'!AX149, CHOOSE(Timeline!AX$30,$J149,$K149,$L149 )*INDEX('I&amp;E Profiles'!AX$96:AX$180,$I149))</f>
        <v>0</v>
      </c>
      <c r="AY149" s="153" cm="1">
        <f t="array" ref="AY149">IF(OR(AY$4=0, $G149&lt;&gt; $G$7, $E149=0), 'I&amp;E Monthly'!AY149, CHOOSE(Timeline!AY$30,$J149,$K149,$L149 )*INDEX('I&amp;E Profiles'!AY$96:AY$180,$I149))</f>
        <v>0</v>
      </c>
      <c r="AZ149" s="153" cm="1">
        <f t="array" ref="AZ149">IF(OR(AZ$4=0, $G149&lt;&gt; $G$7, $E149=0), 'I&amp;E Monthly'!AZ149, CHOOSE(Timeline!AZ$30,$J149,$K149,$L149 )*INDEX('I&amp;E Profiles'!AZ$96:AZ$180,$I149))</f>
        <v>0</v>
      </c>
      <c r="BA149" s="153" cm="1">
        <f t="array" ref="BA149">IF(OR(BA$4=0, $G149&lt;&gt; $G$7, $E149=0), 'I&amp;E Monthly'!BA149, CHOOSE(Timeline!BA$30,$J149,$K149,$L149 )*INDEX('I&amp;E Profiles'!BA$96:BA$180,$I149))</f>
        <v>0</v>
      </c>
      <c r="BB149" s="153" cm="1">
        <f t="array" ref="BB149">IF(OR(BB$4=0, $G149&lt;&gt; $G$7, $E149=0), 'I&amp;E Monthly'!BB149, CHOOSE(Timeline!BB$30,$J149,$K149,$L149 )*INDEX('I&amp;E Profiles'!BB$96:BB$180,$I149))</f>
        <v>0</v>
      </c>
      <c r="BC149" s="153" cm="1">
        <f t="array" ref="BC149">IF(OR(BC$4=0, $G149&lt;&gt; $G$7, $E149=0), 'I&amp;E Monthly'!BC149, CHOOSE(Timeline!BC$30,$J149,$K149,$L149 )*INDEX('I&amp;E Profiles'!BC$96:BC$180,$I149))</f>
        <v>0</v>
      </c>
      <c r="BD149" s="153" cm="1">
        <f t="array" ref="BD149">IF(OR(BD$4=0, $G149&lt;&gt; $G$7, $E149=0), 'I&amp;E Monthly'!BD149, CHOOSE(Timeline!BD$30,$J149,$K149,$L149 )*INDEX('I&amp;E Profiles'!BD$96:BD$180,$I149))</f>
        <v>0</v>
      </c>
      <c r="BE149" s="153" cm="1">
        <f t="array" ref="BE149">IF(OR(BE$4=0, $G149&lt;&gt; $G$7, $E149=0), 'I&amp;E Monthly'!BE149, CHOOSE(Timeline!BE$30,$J149,$K149,$L149 )*INDEX('I&amp;E Profiles'!BE$96:BE$180,$I149))</f>
        <v>0</v>
      </c>
      <c r="BF149" s="153" cm="1">
        <f t="array" ref="BF149">IF(OR(BF$4=0, $G149&lt;&gt; $G$7, $E149=0), 'I&amp;E Monthly'!BF149, CHOOSE(Timeline!BF$30,$J149,$K149,$L149 )*INDEX('I&amp;E Profiles'!BF$96:BF$180,$I149))</f>
        <v>0</v>
      </c>
      <c r="BG149" s="153" cm="1">
        <f t="array" ref="BG149">IF(OR(BG$4=0, $G149&lt;&gt; $G$7, $E149=0), 'I&amp;E Monthly'!BG149, CHOOSE(Timeline!BG$30,$J149,$K149,$L149 )*INDEX('I&amp;E Profiles'!BG$96:BG$180,$I149))</f>
        <v>0</v>
      </c>
      <c r="BH149" s="153" cm="1">
        <f t="array" ref="BH149">IF(OR(BH$4=0, $G149&lt;&gt; $G$7, $E149=0), 'I&amp;E Monthly'!BH149, CHOOSE(Timeline!BH$30,$J149,$K149,$L149 )*INDEX('I&amp;E Profiles'!BH$96:BH$180,$I149))</f>
        <v>0</v>
      </c>
      <c r="BI149" s="153" cm="1">
        <f t="array" ref="BI149">IF(OR(BI$4=0, $G149&lt;&gt; $G$7, $E149=0), 'I&amp;E Monthly'!BI149, CHOOSE(Timeline!BI$30,$J149,$K149,$L149 )*INDEX('I&amp;E Profiles'!BI$96:BI$180,$I149))</f>
        <v>0</v>
      </c>
      <c r="BJ149" s="153" cm="1">
        <f t="array" ref="BJ149">IF(OR(BJ$4=0, $G149&lt;&gt; $G$7, $E149=0), 'I&amp;E Monthly'!BJ149, CHOOSE(Timeline!BJ$30,$J149,$K149,$L149 )*INDEX('I&amp;E Profiles'!BJ$96:BJ$180,$I149))</f>
        <v>0</v>
      </c>
      <c r="BK149" s="335"/>
      <c r="BL149" s="13">
        <f>V149</f>
        <v>0</v>
      </c>
      <c r="BM149" s="153">
        <f t="shared" si="166"/>
        <v>0</v>
      </c>
      <c r="BN149" s="153">
        <f t="shared" si="166"/>
        <v>0</v>
      </c>
      <c r="BO149" s="153">
        <f t="shared" si="166"/>
        <v>0</v>
      </c>
      <c r="BP149" s="13">
        <f>'I&amp;E Monthly'!BP149</f>
        <v>0</v>
      </c>
      <c r="BQ149" s="13">
        <f>'I&amp;E Monthly'!BQ149</f>
        <v>0</v>
      </c>
      <c r="BR149" s="13">
        <f>'I&amp;E Monthly'!BR149</f>
        <v>0</v>
      </c>
      <c r="BS149" s="13">
        <f>'I&amp;E Monthly'!BS149</f>
        <v>0</v>
      </c>
      <c r="BT149" s="13">
        <f>'I&amp;E Monthly'!BT149</f>
        <v>0</v>
      </c>
      <c r="BU149" s="13">
        <f>'I&amp;E Monthly'!BU149</f>
        <v>0</v>
      </c>
      <c r="BV149" s="13">
        <f>'I&amp;E Monthly'!BV149</f>
        <v>0</v>
      </c>
      <c r="BW149" s="13">
        <f>'I&amp;E Monthly'!BW149</f>
        <v>0</v>
      </c>
      <c r="BX149" s="335"/>
      <c r="BY149" s="12"/>
      <c r="BZ149" s="363">
        <f ca="1">IF(MIN($V149:$BW149)&lt;0, 1, 0)*$I$7</f>
        <v>0</v>
      </c>
      <c r="CA149" s="12"/>
      <c r="CB149" s="7">
        <f>IF(AND($G149=$G$7,$E149=""), 1, 0)</f>
        <v>0</v>
      </c>
      <c r="CC149" s="188" cm="1">
        <f t="array" ref="CC149">IF(E149="",0, IF(_xlfn.IFNA(INDEX('I&amp;E Profiles'!$D$96:$D$180, $I149), "N/A")="N/A", 1, 0))</f>
        <v>0</v>
      </c>
      <c r="CD149" s="7">
        <f t="shared" si="156"/>
        <v>0</v>
      </c>
      <c r="CE149" s="7">
        <f t="shared" si="157"/>
        <v>0</v>
      </c>
      <c r="CF149" s="7">
        <f t="shared" si="158"/>
        <v>0</v>
      </c>
      <c r="CG149" s="12"/>
      <c r="CH149" s="352">
        <f t="shared" si="159"/>
        <v>0</v>
      </c>
      <c r="CI149" s="352">
        <f t="shared" si="160"/>
        <v>0</v>
      </c>
      <c r="CJ149" s="352">
        <f t="shared" si="161"/>
        <v>0</v>
      </c>
      <c r="CK149" s="352">
        <f t="shared" si="162"/>
        <v>0</v>
      </c>
      <c r="CL149" s="352">
        <f t="shared" si="163"/>
        <v>0</v>
      </c>
      <c r="CM149" s="352">
        <f t="shared" si="164"/>
        <v>0</v>
      </c>
      <c r="CN149" s="352">
        <f t="shared" si="165"/>
        <v>0</v>
      </c>
      <c r="EU149" s="335"/>
      <c r="EX149" s="10" t="str">
        <f t="shared" si="151"/>
        <v/>
      </c>
    </row>
    <row r="150" spans="1:154" s="323" customFormat="1" hidden="1" x14ac:dyDescent="0.25">
      <c r="A150" s="362" cm="1">
        <f t="array" aca="1" ref="A150" ca="1">HYPERLINK(CONCATENATE("#",CELL("address",IF(SUM($CA150:$CG150)=0,A150,INDEX($CA150:$CG150,MATCH(1,$CA150:$CG150,0))))),SUM($CA150:$CG150))</f>
        <v>0</v>
      </c>
      <c r="B150" s="335"/>
      <c r="C150" s="383"/>
      <c r="D150" s="137" t="s">
        <v>2316</v>
      </c>
      <c r="E150" s="349"/>
      <c r="F150" s="98" t="str" cm="1">
        <f t="array" aca="1" ref="F150" ca="1">IF(E150="", "", HYPERLINK(CONCATENATE("#",CELL("address",INDEX('I&amp;E Profiles'!$D$9:$D$93,'I&amp;E Annual'!I150))),E150))</f>
        <v/>
      </c>
      <c r="G150" s="349"/>
      <c r="I150" s="350" t="str">
        <f>IF(E150="", "", MATCH(E150, 'I&amp;E Profiles'!$D$96:$D$180,0))</f>
        <v/>
      </c>
      <c r="J150" s="215">
        <f>IF($G150=$G$7, W150,'I&amp;E Monthly'!W150)-SUMIFS('I&amp;E Monthly'!$AA150:$BJ150, 'I&amp;E Monthly'!$AA$3:$BJ$3, 'I&amp;E Annual'!W$3, 'I&amp;E Monthly'!$AA$4:$BJ$4, 0)</f>
        <v>0</v>
      </c>
      <c r="K150" s="215">
        <f>IF($G150=$G$7, X150,'I&amp;E Monthly'!X150)-SUMIFS('I&amp;E Monthly'!$AA150:$BJ150, 'I&amp;E Monthly'!$AA$3:$BJ$3, 'I&amp;E Annual'!X$3, 'I&amp;E Monthly'!$AA$4:$BJ$4, 0)</f>
        <v>0</v>
      </c>
      <c r="L150" s="215">
        <f>IF($G150=$G$7, Y150,'I&amp;E Monthly'!Y150)-SUMIFS('I&amp;E Monthly'!$AA150:$BJ150, 'I&amp;E Monthly'!$AA$3:$BJ$3, 'I&amp;E Annual'!Y$3, 'I&amp;E Monthly'!$AA$4:$BJ$4, 0)</f>
        <v>0</v>
      </c>
      <c r="M150" s="335"/>
      <c r="N150" s="335"/>
      <c r="O150" s="335"/>
      <c r="P150" s="335"/>
      <c r="Q150" s="2"/>
      <c r="R150" s="335"/>
      <c r="S150" s="335"/>
      <c r="T150" s="335"/>
      <c r="U150" s="335"/>
      <c r="V150" s="201">
        <f>'I&amp;E Monthly'!V150</f>
        <v>0</v>
      </c>
      <c r="W150" s="136"/>
      <c r="X150" s="136"/>
      <c r="Y150" s="136"/>
      <c r="Z150" s="335"/>
      <c r="AA150" s="153" cm="1">
        <f t="array" ref="AA150">IF(OR(AA$4=0, $G150&lt;&gt; $G$7, $E150=0), 'I&amp;E Monthly'!AA150, CHOOSE(Timeline!AA$30,$J150,$K150,$L150 )*INDEX('I&amp;E Profiles'!AA$96:AA$180,$I150))</f>
        <v>0</v>
      </c>
      <c r="AB150" s="153" cm="1">
        <f t="array" ref="AB150">IF(OR(AB$4=0, $G150&lt;&gt; $G$7, $E150=0), 'I&amp;E Monthly'!AB150, CHOOSE(Timeline!AB$30,$J150,$K150,$L150 )*INDEX('I&amp;E Profiles'!AB$96:AB$180,$I150))</f>
        <v>0</v>
      </c>
      <c r="AC150" s="153" cm="1">
        <f t="array" ref="AC150">IF(OR(AC$4=0, $G150&lt;&gt; $G$7, $E150=0), 'I&amp;E Monthly'!AC150, CHOOSE(Timeline!AC$30,$J150,$K150,$L150 )*INDEX('I&amp;E Profiles'!AC$96:AC$180,$I150))</f>
        <v>0</v>
      </c>
      <c r="AD150" s="153" cm="1">
        <f t="array" ref="AD150">IF(OR(AD$4=0, $G150&lt;&gt; $G$7, $E150=0), 'I&amp;E Monthly'!AD150, CHOOSE(Timeline!AD$30,$J150,$K150,$L150 )*INDEX('I&amp;E Profiles'!AD$96:AD$180,$I150))</f>
        <v>0</v>
      </c>
      <c r="AE150" s="153" cm="1">
        <f t="array" ref="AE150">IF(OR(AE$4=0, $G150&lt;&gt; $G$7, $E150=0), 'I&amp;E Monthly'!AE150, CHOOSE(Timeline!AE$30,$J150,$K150,$L150 )*INDEX('I&amp;E Profiles'!AE$96:AE$180,$I150))</f>
        <v>0</v>
      </c>
      <c r="AF150" s="153" cm="1">
        <f t="array" ref="AF150">IF(OR(AF$4=0, $G150&lt;&gt; $G$7, $E150=0), 'I&amp;E Monthly'!AF150, CHOOSE(Timeline!AF$30,$J150,$K150,$L150 )*INDEX('I&amp;E Profiles'!AF$96:AF$180,$I150))</f>
        <v>0</v>
      </c>
      <c r="AG150" s="153" cm="1">
        <f t="array" ref="AG150">IF(OR(AG$4=0, $G150&lt;&gt; $G$7, $E150=0), 'I&amp;E Monthly'!AG150, CHOOSE(Timeline!AG$30,$J150,$K150,$L150 )*INDEX('I&amp;E Profiles'!AG$96:AG$180,$I150))</f>
        <v>0</v>
      </c>
      <c r="AH150" s="153" cm="1">
        <f t="array" ref="AH150">IF(OR(AH$4=0, $G150&lt;&gt; $G$7, $E150=0), 'I&amp;E Monthly'!AH150, CHOOSE(Timeline!AH$30,$J150,$K150,$L150 )*INDEX('I&amp;E Profiles'!AH$96:AH$180,$I150))</f>
        <v>0</v>
      </c>
      <c r="AI150" s="153" cm="1">
        <f t="array" ref="AI150">IF(OR(AI$4=0, $G150&lt;&gt; $G$7, $E150=0), 'I&amp;E Monthly'!AI150, CHOOSE(Timeline!AI$30,$J150,$K150,$L150 )*INDEX('I&amp;E Profiles'!AI$96:AI$180,$I150))</f>
        <v>0</v>
      </c>
      <c r="AJ150" s="153" cm="1">
        <f t="array" ref="AJ150">IF(OR(AJ$4=0, $G150&lt;&gt; $G$7, $E150=0), 'I&amp;E Monthly'!AJ150, CHOOSE(Timeline!AJ$30,$J150,$K150,$L150 )*INDEX('I&amp;E Profiles'!AJ$96:AJ$180,$I150))</f>
        <v>0</v>
      </c>
      <c r="AK150" s="153" cm="1">
        <f t="array" ref="AK150">IF(OR(AK$4=0, $G150&lt;&gt; $G$7, $E150=0), 'I&amp;E Monthly'!AK150, CHOOSE(Timeline!AK$30,$J150,$K150,$L150 )*INDEX('I&amp;E Profiles'!AK$96:AK$180,$I150))</f>
        <v>0</v>
      </c>
      <c r="AL150" s="153" cm="1">
        <f t="array" ref="AL150">IF(OR(AL$4=0, $G150&lt;&gt; $G$7, $E150=0), 'I&amp;E Monthly'!AL150, CHOOSE(Timeline!AL$30,$J150,$K150,$L150 )*INDEX('I&amp;E Profiles'!AL$96:AL$180,$I150))</f>
        <v>0</v>
      </c>
      <c r="AM150" s="153" cm="1">
        <f t="array" ref="AM150">IF(OR(AM$4=0, $G150&lt;&gt; $G$7, $E150=0), 'I&amp;E Monthly'!AM150, CHOOSE(Timeline!AM$30,$J150,$K150,$L150 )*INDEX('I&amp;E Profiles'!AM$96:AM$180,$I150))</f>
        <v>0</v>
      </c>
      <c r="AN150" s="153" cm="1">
        <f t="array" ref="AN150">IF(OR(AN$4=0, $G150&lt;&gt; $G$7, $E150=0), 'I&amp;E Monthly'!AN150, CHOOSE(Timeline!AN$30,$J150,$K150,$L150 )*INDEX('I&amp;E Profiles'!AN$96:AN$180,$I150))</f>
        <v>0</v>
      </c>
      <c r="AO150" s="153" cm="1">
        <f t="array" ref="AO150">IF(OR(AO$4=0, $G150&lt;&gt; $G$7, $E150=0), 'I&amp;E Monthly'!AO150, CHOOSE(Timeline!AO$30,$J150,$K150,$L150 )*INDEX('I&amp;E Profiles'!AO$96:AO$180,$I150))</f>
        <v>0</v>
      </c>
      <c r="AP150" s="153" cm="1">
        <f t="array" ref="AP150">IF(OR(AP$4=0, $G150&lt;&gt; $G$7, $E150=0), 'I&amp;E Monthly'!AP150, CHOOSE(Timeline!AP$30,$J150,$K150,$L150 )*INDEX('I&amp;E Profiles'!AP$96:AP$180,$I150))</f>
        <v>0</v>
      </c>
      <c r="AQ150" s="153" cm="1">
        <f t="array" ref="AQ150">IF(OR(AQ$4=0, $G150&lt;&gt; $G$7, $E150=0), 'I&amp;E Monthly'!AQ150, CHOOSE(Timeline!AQ$30,$J150,$K150,$L150 )*INDEX('I&amp;E Profiles'!AQ$96:AQ$180,$I150))</f>
        <v>0</v>
      </c>
      <c r="AR150" s="153" cm="1">
        <f t="array" ref="AR150">IF(OR(AR$4=0, $G150&lt;&gt; $G$7, $E150=0), 'I&amp;E Monthly'!AR150, CHOOSE(Timeline!AR$30,$J150,$K150,$L150 )*INDEX('I&amp;E Profiles'!AR$96:AR$180,$I150))</f>
        <v>0</v>
      </c>
      <c r="AS150" s="153" cm="1">
        <f t="array" ref="AS150">IF(OR(AS$4=0, $G150&lt;&gt; $G$7, $E150=0), 'I&amp;E Monthly'!AS150, CHOOSE(Timeline!AS$30,$J150,$K150,$L150 )*INDEX('I&amp;E Profiles'!AS$96:AS$180,$I150))</f>
        <v>0</v>
      </c>
      <c r="AT150" s="153" cm="1">
        <f t="array" ref="AT150">IF(OR(AT$4=0, $G150&lt;&gt; $G$7, $E150=0), 'I&amp;E Monthly'!AT150, CHOOSE(Timeline!AT$30,$J150,$K150,$L150 )*INDEX('I&amp;E Profiles'!AT$96:AT$180,$I150))</f>
        <v>0</v>
      </c>
      <c r="AU150" s="153" cm="1">
        <f t="array" ref="AU150">IF(OR(AU$4=0, $G150&lt;&gt; $G$7, $E150=0), 'I&amp;E Monthly'!AU150, CHOOSE(Timeline!AU$30,$J150,$K150,$L150 )*INDEX('I&amp;E Profiles'!AU$96:AU$180,$I150))</f>
        <v>0</v>
      </c>
      <c r="AV150" s="153" cm="1">
        <f t="array" ref="AV150">IF(OR(AV$4=0, $G150&lt;&gt; $G$7, $E150=0), 'I&amp;E Monthly'!AV150, CHOOSE(Timeline!AV$30,$J150,$K150,$L150 )*INDEX('I&amp;E Profiles'!AV$96:AV$180,$I150))</f>
        <v>0</v>
      </c>
      <c r="AW150" s="153" cm="1">
        <f t="array" ref="AW150">IF(OR(AW$4=0, $G150&lt;&gt; $G$7, $E150=0), 'I&amp;E Monthly'!AW150, CHOOSE(Timeline!AW$30,$J150,$K150,$L150 )*INDEX('I&amp;E Profiles'!AW$96:AW$180,$I150))</f>
        <v>0</v>
      </c>
      <c r="AX150" s="153" cm="1">
        <f t="array" ref="AX150">IF(OR(AX$4=0, $G150&lt;&gt; $G$7, $E150=0), 'I&amp;E Monthly'!AX150, CHOOSE(Timeline!AX$30,$J150,$K150,$L150 )*INDEX('I&amp;E Profiles'!AX$96:AX$180,$I150))</f>
        <v>0</v>
      </c>
      <c r="AY150" s="153" cm="1">
        <f t="array" ref="AY150">IF(OR(AY$4=0, $G150&lt;&gt; $G$7, $E150=0), 'I&amp;E Monthly'!AY150, CHOOSE(Timeline!AY$30,$J150,$K150,$L150 )*INDEX('I&amp;E Profiles'!AY$96:AY$180,$I150))</f>
        <v>0</v>
      </c>
      <c r="AZ150" s="153" cm="1">
        <f t="array" ref="AZ150">IF(OR(AZ$4=0, $G150&lt;&gt; $G$7, $E150=0), 'I&amp;E Monthly'!AZ150, CHOOSE(Timeline!AZ$30,$J150,$K150,$L150 )*INDEX('I&amp;E Profiles'!AZ$96:AZ$180,$I150))</f>
        <v>0</v>
      </c>
      <c r="BA150" s="153" cm="1">
        <f t="array" ref="BA150">IF(OR(BA$4=0, $G150&lt;&gt; $G$7, $E150=0), 'I&amp;E Monthly'!BA150, CHOOSE(Timeline!BA$30,$J150,$K150,$L150 )*INDEX('I&amp;E Profiles'!BA$96:BA$180,$I150))</f>
        <v>0</v>
      </c>
      <c r="BB150" s="153" cm="1">
        <f t="array" ref="BB150">IF(OR(BB$4=0, $G150&lt;&gt; $G$7, $E150=0), 'I&amp;E Monthly'!BB150, CHOOSE(Timeline!BB$30,$J150,$K150,$L150 )*INDEX('I&amp;E Profiles'!BB$96:BB$180,$I150))</f>
        <v>0</v>
      </c>
      <c r="BC150" s="153" cm="1">
        <f t="array" ref="BC150">IF(OR(BC$4=0, $G150&lt;&gt; $G$7, $E150=0), 'I&amp;E Monthly'!BC150, CHOOSE(Timeline!BC$30,$J150,$K150,$L150 )*INDEX('I&amp;E Profiles'!BC$96:BC$180,$I150))</f>
        <v>0</v>
      </c>
      <c r="BD150" s="153" cm="1">
        <f t="array" ref="BD150">IF(OR(BD$4=0, $G150&lt;&gt; $G$7, $E150=0), 'I&amp;E Monthly'!BD150, CHOOSE(Timeline!BD$30,$J150,$K150,$L150 )*INDEX('I&amp;E Profiles'!BD$96:BD$180,$I150))</f>
        <v>0</v>
      </c>
      <c r="BE150" s="153" cm="1">
        <f t="array" ref="BE150">IF(OR(BE$4=0, $G150&lt;&gt; $G$7, $E150=0), 'I&amp;E Monthly'!BE150, CHOOSE(Timeline!BE$30,$J150,$K150,$L150 )*INDEX('I&amp;E Profiles'!BE$96:BE$180,$I150))</f>
        <v>0</v>
      </c>
      <c r="BF150" s="153" cm="1">
        <f t="array" ref="BF150">IF(OR(BF$4=0, $G150&lt;&gt; $G$7, $E150=0), 'I&amp;E Monthly'!BF150, CHOOSE(Timeline!BF$30,$J150,$K150,$L150 )*INDEX('I&amp;E Profiles'!BF$96:BF$180,$I150))</f>
        <v>0</v>
      </c>
      <c r="BG150" s="153" cm="1">
        <f t="array" ref="BG150">IF(OR(BG$4=0, $G150&lt;&gt; $G$7, $E150=0), 'I&amp;E Monthly'!BG150, CHOOSE(Timeline!BG$30,$J150,$K150,$L150 )*INDEX('I&amp;E Profiles'!BG$96:BG$180,$I150))</f>
        <v>0</v>
      </c>
      <c r="BH150" s="153" cm="1">
        <f t="array" ref="BH150">IF(OR(BH$4=0, $G150&lt;&gt; $G$7, $E150=0), 'I&amp;E Monthly'!BH150, CHOOSE(Timeline!BH$30,$J150,$K150,$L150 )*INDEX('I&amp;E Profiles'!BH$96:BH$180,$I150))</f>
        <v>0</v>
      </c>
      <c r="BI150" s="153" cm="1">
        <f t="array" ref="BI150">IF(OR(BI$4=0, $G150&lt;&gt; $G$7, $E150=0), 'I&amp;E Monthly'!BI150, CHOOSE(Timeline!BI$30,$J150,$K150,$L150 )*INDEX('I&amp;E Profiles'!BI$96:BI$180,$I150))</f>
        <v>0</v>
      </c>
      <c r="BJ150" s="153" cm="1">
        <f t="array" ref="BJ150">IF(OR(BJ$4=0, $G150&lt;&gt; $G$7, $E150=0), 'I&amp;E Monthly'!BJ150, CHOOSE(Timeline!BJ$30,$J150,$K150,$L150 )*INDEX('I&amp;E Profiles'!BJ$96:BJ$180,$I150))</f>
        <v>0</v>
      </c>
      <c r="BK150" s="335"/>
      <c r="BL150" s="13">
        <f>V150</f>
        <v>0</v>
      </c>
      <c r="BM150" s="153">
        <f t="shared" si="166"/>
        <v>0</v>
      </c>
      <c r="BN150" s="153">
        <f t="shared" si="166"/>
        <v>0</v>
      </c>
      <c r="BO150" s="153">
        <f t="shared" si="166"/>
        <v>0</v>
      </c>
      <c r="BP150" s="13">
        <f>'I&amp;E Monthly'!BP150</f>
        <v>0</v>
      </c>
      <c r="BQ150" s="13">
        <f>'I&amp;E Monthly'!BQ150</f>
        <v>0</v>
      </c>
      <c r="BR150" s="13">
        <f>'I&amp;E Monthly'!BR150</f>
        <v>0</v>
      </c>
      <c r="BS150" s="13">
        <f>'I&amp;E Monthly'!BS150</f>
        <v>0</v>
      </c>
      <c r="BT150" s="13">
        <f>'I&amp;E Monthly'!BT150</f>
        <v>0</v>
      </c>
      <c r="BU150" s="13">
        <f>'I&amp;E Monthly'!BU150</f>
        <v>0</v>
      </c>
      <c r="BV150" s="13">
        <f>'I&amp;E Monthly'!BV150</f>
        <v>0</v>
      </c>
      <c r="BW150" s="13">
        <f>'I&amp;E Monthly'!BW150</f>
        <v>0</v>
      </c>
      <c r="BX150" s="335"/>
      <c r="BY150" s="12"/>
      <c r="BZ150" s="363">
        <f ca="1">IF(MIN($V150:$BW150)&lt;0, 1, 0)*$I$7</f>
        <v>0</v>
      </c>
      <c r="CA150" s="12"/>
      <c r="CB150" s="7">
        <f>IF(AND($G150=$G$7,$E150=""), 1, 0)</f>
        <v>0</v>
      </c>
      <c r="CC150" s="188" cm="1">
        <f t="array" ref="CC150">IF(E150="",0, IF(_xlfn.IFNA(INDEX('I&amp;E Profiles'!$D$96:$D$180, $I150), "N/A")="N/A", 1, 0))</f>
        <v>0</v>
      </c>
      <c r="CD150" s="7">
        <f t="shared" si="156"/>
        <v>0</v>
      </c>
      <c r="CE150" s="7">
        <f t="shared" si="157"/>
        <v>0</v>
      </c>
      <c r="CF150" s="7">
        <f t="shared" si="158"/>
        <v>0</v>
      </c>
      <c r="CG150" s="12"/>
      <c r="CH150" s="352">
        <f t="shared" si="159"/>
        <v>0</v>
      </c>
      <c r="CI150" s="352">
        <f t="shared" si="160"/>
        <v>0</v>
      </c>
      <c r="CJ150" s="352">
        <f t="shared" si="161"/>
        <v>0</v>
      </c>
      <c r="CK150" s="352">
        <f t="shared" si="162"/>
        <v>0</v>
      </c>
      <c r="CL150" s="352">
        <f t="shared" si="163"/>
        <v>0</v>
      </c>
      <c r="CM150" s="352">
        <f t="shared" si="164"/>
        <v>0</v>
      </c>
      <c r="CN150" s="352">
        <f t="shared" si="165"/>
        <v>0</v>
      </c>
      <c r="EU150" s="335"/>
      <c r="EX150" s="10" t="str">
        <f t="shared" si="151"/>
        <v/>
      </c>
    </row>
    <row r="151" spans="1:154" x14ac:dyDescent="0.25">
      <c r="A151" s="362" cm="1">
        <f t="array" aca="1" ref="A151" ca="1">HYPERLINK(CONCATENATE("#",CELL("address",IF(SUM($CA151:$CG151)=0,A151,INDEX($CA151:$CG151,MATCH(1,$CA151:$CG151,0))))),SUM($CA151:$CG151))</f>
        <v>0</v>
      </c>
      <c r="B151" s="335"/>
      <c r="C151" s="343" t="s">
        <v>501</v>
      </c>
      <c r="D151" s="433" t="s">
        <v>65</v>
      </c>
      <c r="E151" s="82"/>
      <c r="F151" s="25"/>
      <c r="G151" s="25"/>
      <c r="I151" s="25"/>
      <c r="N151" s="335"/>
      <c r="O151" s="335"/>
      <c r="P151" s="335"/>
      <c r="Q151" s="2"/>
      <c r="R151" s="335"/>
      <c r="S151" s="93"/>
      <c r="T151" s="335"/>
      <c r="U151" s="335"/>
      <c r="V151" s="152">
        <f>SUM(V137:V150)</f>
        <v>0</v>
      </c>
      <c r="W151" s="152">
        <f>SUM(W137:W150)</f>
        <v>0</v>
      </c>
      <c r="X151" s="152">
        <f>SUM(X137:X150)</f>
        <v>0</v>
      </c>
      <c r="Y151" s="152">
        <f>SUM(Y137:Y150)</f>
        <v>0</v>
      </c>
      <c r="Z151" s="93"/>
      <c r="AA151" s="152">
        <f t="shared" ref="AA151:BJ151" si="167">SUM(AA137:AA150)</f>
        <v>310</v>
      </c>
      <c r="AB151" s="152">
        <f t="shared" si="167"/>
        <v>595</v>
      </c>
      <c r="AC151" s="152">
        <f t="shared" si="167"/>
        <v>730</v>
      </c>
      <c r="AD151" s="152">
        <f t="shared" si="167"/>
        <v>832</v>
      </c>
      <c r="AE151" s="152">
        <f t="shared" si="167"/>
        <v>697</v>
      </c>
      <c r="AF151" s="152">
        <f t="shared" si="167"/>
        <v>664</v>
      </c>
      <c r="AG151" s="152">
        <f t="shared" si="167"/>
        <v>518</v>
      </c>
      <c r="AH151" s="152">
        <f t="shared" si="167"/>
        <v>787</v>
      </c>
      <c r="AI151" s="152">
        <f t="shared" si="167"/>
        <v>635</v>
      </c>
      <c r="AJ151" s="152">
        <f t="shared" si="167"/>
        <v>1022</v>
      </c>
      <c r="AK151" s="152">
        <f t="shared" si="167"/>
        <v>960</v>
      </c>
      <c r="AL151" s="152">
        <f t="shared" si="167"/>
        <v>803</v>
      </c>
      <c r="AM151" s="152">
        <f t="shared" si="167"/>
        <v>395</v>
      </c>
      <c r="AN151" s="152">
        <f t="shared" si="167"/>
        <v>605</v>
      </c>
      <c r="AO151" s="152">
        <f t="shared" si="167"/>
        <v>740</v>
      </c>
      <c r="AP151" s="152">
        <f t="shared" si="167"/>
        <v>842</v>
      </c>
      <c r="AQ151" s="152">
        <f t="shared" si="167"/>
        <v>757</v>
      </c>
      <c r="AR151" s="152">
        <f t="shared" si="167"/>
        <v>716</v>
      </c>
      <c r="AS151" s="152">
        <f t="shared" si="167"/>
        <v>792</v>
      </c>
      <c r="AT151" s="152">
        <f t="shared" si="167"/>
        <v>861</v>
      </c>
      <c r="AU151" s="152">
        <f t="shared" si="167"/>
        <v>797</v>
      </c>
      <c r="AV151" s="152">
        <f t="shared" si="167"/>
        <v>937</v>
      </c>
      <c r="AW151" s="152">
        <f t="shared" si="167"/>
        <v>852</v>
      </c>
      <c r="AX151" s="152">
        <f t="shared" si="167"/>
        <v>728</v>
      </c>
      <c r="AY151" s="152">
        <f t="shared" si="167"/>
        <v>405.68</v>
      </c>
      <c r="AZ151" s="152">
        <f t="shared" si="167"/>
        <v>620.99</v>
      </c>
      <c r="BA151" s="152">
        <f t="shared" si="167"/>
        <v>759.32499999999993</v>
      </c>
      <c r="BB151" s="152">
        <f t="shared" si="167"/>
        <v>862.52499999999998</v>
      </c>
      <c r="BC151" s="152">
        <f t="shared" si="167"/>
        <v>775</v>
      </c>
      <c r="BD151" s="152">
        <f t="shared" si="167"/>
        <v>735.21499999999992</v>
      </c>
      <c r="BE151" s="152">
        <f t="shared" si="167"/>
        <v>811.59</v>
      </c>
      <c r="BF151" s="152">
        <f t="shared" si="167"/>
        <v>881.93</v>
      </c>
      <c r="BG151" s="152">
        <f t="shared" si="167"/>
        <v>817.245</v>
      </c>
      <c r="BH151" s="152">
        <f t="shared" si="167"/>
        <v>961.56000000000006</v>
      </c>
      <c r="BI151" s="152">
        <f t="shared" si="167"/>
        <v>874.07500000000005</v>
      </c>
      <c r="BJ151" s="152">
        <f t="shared" si="167"/>
        <v>747.12000000000012</v>
      </c>
      <c r="BK151" s="93"/>
      <c r="BL151" s="152">
        <f t="shared" ref="BL151:BW151" si="168">SUM(BL137:BL150)</f>
        <v>0</v>
      </c>
      <c r="BM151" s="152">
        <f t="shared" si="168"/>
        <v>8553</v>
      </c>
      <c r="BN151" s="152">
        <f t="shared" si="168"/>
        <v>9022</v>
      </c>
      <c r="BO151" s="152">
        <f t="shared" si="168"/>
        <v>9252.2549999999992</v>
      </c>
      <c r="BP151" s="152">
        <f t="shared" si="168"/>
        <v>0</v>
      </c>
      <c r="BQ151" s="152">
        <f t="shared" si="168"/>
        <v>0</v>
      </c>
      <c r="BR151" s="152">
        <f t="shared" si="168"/>
        <v>0</v>
      </c>
      <c r="BS151" s="152">
        <f t="shared" si="168"/>
        <v>0</v>
      </c>
      <c r="BT151" s="152">
        <f t="shared" si="168"/>
        <v>0</v>
      </c>
      <c r="BU151" s="152">
        <f t="shared" si="168"/>
        <v>0</v>
      </c>
      <c r="BV151" s="152">
        <f t="shared" si="168"/>
        <v>0</v>
      </c>
      <c r="BW151" s="152">
        <f t="shared" si="168"/>
        <v>0</v>
      </c>
      <c r="BY151" s="12"/>
      <c r="BZ151" s="363">
        <f ca="1">IF(MIN($V151:$BW151)&lt;0, 1, 0)*$I$7</f>
        <v>0</v>
      </c>
      <c r="CA151" s="12"/>
      <c r="CC151" s="335"/>
      <c r="CD151" s="7">
        <f t="shared" si="156"/>
        <v>0</v>
      </c>
      <c r="CE151" s="7">
        <f t="shared" si="157"/>
        <v>0</v>
      </c>
      <c r="CF151" s="7">
        <f t="shared" si="158"/>
        <v>0</v>
      </c>
      <c r="CG151" s="12"/>
      <c r="CH151" s="352">
        <f t="shared" si="159"/>
        <v>0</v>
      </c>
      <c r="CI151" s="352">
        <f t="shared" si="160"/>
        <v>0</v>
      </c>
      <c r="CJ151" s="352">
        <f t="shared" si="161"/>
        <v>0</v>
      </c>
      <c r="CK151" s="352">
        <f t="shared" si="162"/>
        <v>0</v>
      </c>
      <c r="CL151" s="352">
        <f t="shared" si="163"/>
        <v>0</v>
      </c>
      <c r="CM151" s="352">
        <f t="shared" si="164"/>
        <v>0</v>
      </c>
      <c r="CN151" s="352">
        <f t="shared" si="165"/>
        <v>0</v>
      </c>
      <c r="EX151" s="10" t="str">
        <f t="shared" si="151"/>
        <v>Total Other operating expenditure</v>
      </c>
    </row>
    <row r="152" spans="1:154" ht="6.6" customHeight="1" x14ac:dyDescent="0.25">
      <c r="A152" s="335"/>
      <c r="B152" s="335"/>
      <c r="C152" s="407"/>
      <c r="D152" s="177"/>
      <c r="E152" s="335"/>
      <c r="F152" s="335"/>
      <c r="G152" s="335"/>
      <c r="I152" s="335"/>
      <c r="Q152" s="2"/>
      <c r="R152" s="335"/>
      <c r="S152" s="323"/>
      <c r="T152" s="335"/>
      <c r="U152" s="335"/>
      <c r="V152" s="25"/>
      <c r="W152" s="25"/>
      <c r="X152" s="25"/>
      <c r="Y152" s="25"/>
      <c r="Z152" s="323"/>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323"/>
      <c r="BL152" s="25"/>
      <c r="BM152" s="155"/>
      <c r="BN152" s="25"/>
      <c r="BO152" s="25"/>
      <c r="BP152" s="25"/>
      <c r="BQ152" s="25"/>
      <c r="BR152" s="25"/>
      <c r="BS152" s="25"/>
      <c r="BT152" s="25"/>
      <c r="BU152" s="25"/>
      <c r="BV152" s="25"/>
      <c r="BW152" s="25"/>
      <c r="BY152" s="42"/>
      <c r="BZ152" s="335"/>
      <c r="CA152" s="42"/>
      <c r="CC152" s="335"/>
      <c r="CD152" s="7"/>
      <c r="CE152" s="7"/>
      <c r="CF152" s="7"/>
      <c r="CG152" s="42"/>
      <c r="CM152" s="335"/>
      <c r="CN152" s="335"/>
      <c r="EX152" s="10" t="str">
        <f t="shared" si="151"/>
        <v/>
      </c>
    </row>
    <row r="153" spans="1:154" x14ac:dyDescent="0.25">
      <c r="A153" s="335"/>
      <c r="B153" s="82"/>
      <c r="C153" s="386"/>
      <c r="D153" s="433" t="s">
        <v>68</v>
      </c>
      <c r="E153" s="82"/>
      <c r="F153" s="25"/>
      <c r="G153" s="25"/>
      <c r="H153" s="319"/>
      <c r="I153" s="25"/>
      <c r="Q153" s="2"/>
      <c r="R153" s="335"/>
      <c r="S153" s="335"/>
      <c r="T153" s="335"/>
      <c r="U153" s="335"/>
      <c r="V153" s="25"/>
      <c r="W153" s="25"/>
      <c r="X153" s="25"/>
      <c r="Y153" s="25"/>
      <c r="Z153" s="33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335"/>
      <c r="BL153" s="25"/>
      <c r="BM153" s="25"/>
      <c r="BN153" s="25"/>
      <c r="BO153" s="25"/>
      <c r="BP153" s="25"/>
      <c r="BQ153" s="25"/>
      <c r="BR153" s="25"/>
      <c r="BS153" s="25"/>
      <c r="BT153" s="25"/>
      <c r="BU153" s="25"/>
      <c r="BV153" s="25"/>
      <c r="BW153" s="25"/>
      <c r="BY153" s="12"/>
      <c r="BZ153" s="335"/>
      <c r="CA153" s="12"/>
      <c r="CC153" s="335"/>
      <c r="CD153" s="7"/>
      <c r="CE153" s="7"/>
      <c r="CF153" s="7"/>
      <c r="CG153" s="12"/>
      <c r="CM153" s="335"/>
      <c r="CN153" s="335"/>
      <c r="EX153" s="10" t="str">
        <f t="shared" si="151"/>
        <v/>
      </c>
    </row>
    <row r="154" spans="1:154" ht="30" x14ac:dyDescent="0.25">
      <c r="A154" s="362" cm="1">
        <f t="array" aca="1" ref="A154" ca="1">HYPERLINK(CONCATENATE("#",CELL("address",IF(SUM($CA154:$CG154)=0,A154,INDEX($CA154:$CG154,MATCH(1,$CA154:$CG154,0))))),SUM($CA154:$CG154))</f>
        <v>0</v>
      </c>
      <c r="B154" s="335"/>
      <c r="C154" s="343" t="s">
        <v>1006</v>
      </c>
      <c r="D154" s="194" t="s">
        <v>2505</v>
      </c>
      <c r="E154" s="147"/>
      <c r="F154" s="98" t="str" cm="1">
        <f t="array" aca="1" ref="F154" ca="1">IF(E154="", "", HYPERLINK(CONCATENATE("#",CELL("address",INDEX('I&amp;E Profiles'!$D$9:$D$93,'I&amp;E Annual'!I154))),E154))</f>
        <v/>
      </c>
      <c r="G154" s="147" t="s">
        <v>211</v>
      </c>
      <c r="H154" s="162" t="s">
        <v>86</v>
      </c>
      <c r="I154" s="350" t="str">
        <f>IF(E154="", "", MATCH(E154, 'I&amp;E Profiles'!$D$96:$D$180,0))</f>
        <v/>
      </c>
      <c r="J154" s="215">
        <f>IF($G154=$G$7, W154,'I&amp;E Monthly'!W154)-SUMIFS('I&amp;E Monthly'!$AA154:$BJ154, 'I&amp;E Monthly'!$AA$3:$BJ$3, 'I&amp;E Annual'!W$3, 'I&amp;E Monthly'!$AA$4:$BJ$4, 0)</f>
        <v>0</v>
      </c>
      <c r="K154" s="215">
        <f>IF($G154=$G$7, X154,'I&amp;E Monthly'!X154)-SUMIFS('I&amp;E Monthly'!$AA154:$BJ154, 'I&amp;E Monthly'!$AA$3:$BJ$3, 'I&amp;E Annual'!X$3, 'I&amp;E Monthly'!$AA$4:$BJ$4, 0)</f>
        <v>0</v>
      </c>
      <c r="L154" s="215">
        <f>IF($G154=$G$7, Y154,'I&amp;E Monthly'!Y154)-SUMIFS('I&amp;E Monthly'!$AA154:$BJ154, 'I&amp;E Monthly'!$AA$3:$BJ$3, 'I&amp;E Annual'!Y$3, 'I&amp;E Monthly'!$AA$4:$BJ$4, 0)</f>
        <v>0</v>
      </c>
      <c r="M154" s="335"/>
      <c r="N154" s="335"/>
      <c r="O154" s="335"/>
      <c r="P154" s="335"/>
      <c r="Q154" s="2"/>
      <c r="R154" s="335"/>
      <c r="S154" s="335"/>
      <c r="T154" s="335"/>
      <c r="U154" s="335"/>
      <c r="V154" s="215">
        <f>'I&amp;E Monthly'!V154</f>
        <v>0</v>
      </c>
      <c r="W154" s="147"/>
      <c r="X154" s="227"/>
      <c r="Y154" s="227"/>
      <c r="Z154" s="335"/>
      <c r="AA154" s="153" cm="1">
        <f t="array" ref="AA154">IF(OR(AA$4=0, $G154&lt;&gt; $G$7, $E154=0), 'I&amp;E Monthly'!AA154, CHOOSE(Timeline!AA$30,$J154,$K154,$L154 )*INDEX('I&amp;E Profiles'!AA$96:AA$180,$I154))</f>
        <v>0</v>
      </c>
      <c r="AB154" s="153" cm="1">
        <f t="array" ref="AB154">IF(OR(AB$4=0, $G154&lt;&gt; $G$7, $E154=0), 'I&amp;E Monthly'!AB154, CHOOSE(Timeline!AB$30,$J154,$K154,$L154 )*INDEX('I&amp;E Profiles'!AB$96:AB$180,$I154))</f>
        <v>0</v>
      </c>
      <c r="AC154" s="153" cm="1">
        <f t="array" ref="AC154">IF(OR(AC$4=0, $G154&lt;&gt; $G$7, $E154=0), 'I&amp;E Monthly'!AC154, CHOOSE(Timeline!AC$30,$J154,$K154,$L154 )*INDEX('I&amp;E Profiles'!AC$96:AC$180,$I154))</f>
        <v>0</v>
      </c>
      <c r="AD154" s="153" cm="1">
        <f t="array" ref="AD154">IF(OR(AD$4=0, $G154&lt;&gt; $G$7, $E154=0), 'I&amp;E Monthly'!AD154, CHOOSE(Timeline!AD$30,$J154,$K154,$L154 )*INDEX('I&amp;E Profiles'!AD$96:AD$180,$I154))</f>
        <v>0</v>
      </c>
      <c r="AE154" s="153" cm="1">
        <f t="array" ref="AE154">IF(OR(AE$4=0, $G154&lt;&gt; $G$7, $E154=0), 'I&amp;E Monthly'!AE154, CHOOSE(Timeline!AE$30,$J154,$K154,$L154 )*INDEX('I&amp;E Profiles'!AE$96:AE$180,$I154))</f>
        <v>0</v>
      </c>
      <c r="AF154" s="153" cm="1">
        <f t="array" ref="AF154">IF(OR(AF$4=0, $G154&lt;&gt; $G$7, $E154=0), 'I&amp;E Monthly'!AF154, CHOOSE(Timeline!AF$30,$J154,$K154,$L154 )*INDEX('I&amp;E Profiles'!AF$96:AF$180,$I154))</f>
        <v>0</v>
      </c>
      <c r="AG154" s="153" cm="1">
        <f t="array" ref="AG154">IF(OR(AG$4=0, $G154&lt;&gt; $G$7, $E154=0), 'I&amp;E Monthly'!AG154, CHOOSE(Timeline!AG$30,$J154,$K154,$L154 )*INDEX('I&amp;E Profiles'!AG$96:AG$180,$I154))</f>
        <v>37</v>
      </c>
      <c r="AH154" s="153" cm="1">
        <f t="array" ref="AH154">IF(OR(AH$4=0, $G154&lt;&gt; $G$7, $E154=0), 'I&amp;E Monthly'!AH154, CHOOSE(Timeline!AH$30,$J154,$K154,$L154 )*INDEX('I&amp;E Profiles'!AH$96:AH$180,$I154))</f>
        <v>12</v>
      </c>
      <c r="AI154" s="153" cm="1">
        <f t="array" ref="AI154">IF(OR(AI$4=0, $G154&lt;&gt; $G$7, $E154=0), 'I&amp;E Monthly'!AI154, CHOOSE(Timeline!AI$30,$J154,$K154,$L154 )*INDEX('I&amp;E Profiles'!AI$96:AI$180,$I154))</f>
        <v>0</v>
      </c>
      <c r="AJ154" s="153" cm="1">
        <f t="array" ref="AJ154">IF(OR(AJ$4=0, $G154&lt;&gt; $G$7, $E154=0), 'I&amp;E Monthly'!AJ154, CHOOSE(Timeline!AJ$30,$J154,$K154,$L154 )*INDEX('I&amp;E Profiles'!AJ$96:AJ$180,$I154))</f>
        <v>13</v>
      </c>
      <c r="AK154" s="153" cm="1">
        <f t="array" ref="AK154">IF(OR(AK$4=0, $G154&lt;&gt; $G$7, $E154=0), 'I&amp;E Monthly'!AK154, CHOOSE(Timeline!AK$30,$J154,$K154,$L154 )*INDEX('I&amp;E Profiles'!AK$96:AK$180,$I154))</f>
        <v>18</v>
      </c>
      <c r="AL154" s="153" cm="1">
        <f t="array" ref="AL154">IF(OR(AL$4=0, $G154&lt;&gt; $G$7, $E154=0), 'I&amp;E Monthly'!AL154, CHOOSE(Timeline!AL$30,$J154,$K154,$L154 )*INDEX('I&amp;E Profiles'!AL$96:AL$180,$I154))</f>
        <v>0</v>
      </c>
      <c r="AM154" s="153" cm="1">
        <f t="array" ref="AM154">IF(OR(AM$4=0, $G154&lt;&gt; $G$7, $E154=0), 'I&amp;E Monthly'!AM154, CHOOSE(Timeline!AM$30,$J154,$K154,$L154 )*INDEX('I&amp;E Profiles'!AM$96:AM$180,$I154))</f>
        <v>0</v>
      </c>
      <c r="AN154" s="153" cm="1">
        <f t="array" ref="AN154">IF(OR(AN$4=0, $G154&lt;&gt; $G$7, $E154=0), 'I&amp;E Monthly'!AN154, CHOOSE(Timeline!AN$30,$J154,$K154,$L154 )*INDEX('I&amp;E Profiles'!AN$96:AN$180,$I154))</f>
        <v>0</v>
      </c>
      <c r="AO154" s="153" cm="1">
        <f t="array" ref="AO154">IF(OR(AO$4=0, $G154&lt;&gt; $G$7, $E154=0), 'I&amp;E Monthly'!AO154, CHOOSE(Timeline!AO$30,$J154,$K154,$L154 )*INDEX('I&amp;E Profiles'!AO$96:AO$180,$I154))</f>
        <v>0</v>
      </c>
      <c r="AP154" s="153" cm="1">
        <f t="array" ref="AP154">IF(OR(AP$4=0, $G154&lt;&gt; $G$7, $E154=0), 'I&amp;E Monthly'!AP154, CHOOSE(Timeline!AP$30,$J154,$K154,$L154 )*INDEX('I&amp;E Profiles'!AP$96:AP$180,$I154))</f>
        <v>0</v>
      </c>
      <c r="AQ154" s="153" cm="1">
        <f t="array" ref="AQ154">IF(OR(AQ$4=0, $G154&lt;&gt; $G$7, $E154=0), 'I&amp;E Monthly'!AQ154, CHOOSE(Timeline!AQ$30,$J154,$K154,$L154 )*INDEX('I&amp;E Profiles'!AQ$96:AQ$180,$I154))</f>
        <v>0</v>
      </c>
      <c r="AR154" s="153" cm="1">
        <f t="array" ref="AR154">IF(OR(AR$4=0, $G154&lt;&gt; $G$7, $E154=0), 'I&amp;E Monthly'!AR154, CHOOSE(Timeline!AR$30,$J154,$K154,$L154 )*INDEX('I&amp;E Profiles'!AR$96:AR$180,$I154))</f>
        <v>0</v>
      </c>
      <c r="AS154" s="153" cm="1">
        <f t="array" ref="AS154">IF(OR(AS$4=0, $G154&lt;&gt; $G$7, $E154=0), 'I&amp;E Monthly'!AS154, CHOOSE(Timeline!AS$30,$J154,$K154,$L154 )*INDEX('I&amp;E Profiles'!AS$96:AS$180,$I154))</f>
        <v>0</v>
      </c>
      <c r="AT154" s="153" cm="1">
        <f t="array" ref="AT154">IF(OR(AT$4=0, $G154&lt;&gt; $G$7, $E154=0), 'I&amp;E Monthly'!AT154, CHOOSE(Timeline!AT$30,$J154,$K154,$L154 )*INDEX('I&amp;E Profiles'!AT$96:AT$180,$I154))</f>
        <v>0</v>
      </c>
      <c r="AU154" s="153" cm="1">
        <f t="array" ref="AU154">IF(OR(AU$4=0, $G154&lt;&gt; $G$7, $E154=0), 'I&amp;E Monthly'!AU154, CHOOSE(Timeline!AU$30,$J154,$K154,$L154 )*INDEX('I&amp;E Profiles'!AU$96:AU$180,$I154))</f>
        <v>0</v>
      </c>
      <c r="AV154" s="153" cm="1">
        <f t="array" ref="AV154">IF(OR(AV$4=0, $G154&lt;&gt; $G$7, $E154=0), 'I&amp;E Monthly'!AV154, CHOOSE(Timeline!AV$30,$J154,$K154,$L154 )*INDEX('I&amp;E Profiles'!AV$96:AV$180,$I154))</f>
        <v>0</v>
      </c>
      <c r="AW154" s="153" cm="1">
        <f t="array" ref="AW154">IF(OR(AW$4=0, $G154&lt;&gt; $G$7, $E154=0), 'I&amp;E Monthly'!AW154, CHOOSE(Timeline!AW$30,$J154,$K154,$L154 )*INDEX('I&amp;E Profiles'!AW$96:AW$180,$I154))</f>
        <v>0</v>
      </c>
      <c r="AX154" s="153" cm="1">
        <f t="array" ref="AX154">IF(OR(AX$4=0, $G154&lt;&gt; $G$7, $E154=0), 'I&amp;E Monthly'!AX154, CHOOSE(Timeline!AX$30,$J154,$K154,$L154 )*INDEX('I&amp;E Profiles'!AX$96:AX$180,$I154))</f>
        <v>0</v>
      </c>
      <c r="AY154" s="153" cm="1">
        <f t="array" ref="AY154">IF(OR(AY$4=0, $G154&lt;&gt; $G$7, $E154=0), 'I&amp;E Monthly'!AY154, CHOOSE(Timeline!AY$30,$J154,$K154,$L154 )*INDEX('I&amp;E Profiles'!AY$96:AY$180,$I154))</f>
        <v>0</v>
      </c>
      <c r="AZ154" s="153" cm="1">
        <f t="array" ref="AZ154">IF(OR(AZ$4=0, $G154&lt;&gt; $G$7, $E154=0), 'I&amp;E Monthly'!AZ154, CHOOSE(Timeline!AZ$30,$J154,$K154,$L154 )*INDEX('I&amp;E Profiles'!AZ$96:AZ$180,$I154))</f>
        <v>0</v>
      </c>
      <c r="BA154" s="153" cm="1">
        <f t="array" ref="BA154">IF(OR(BA$4=0, $G154&lt;&gt; $G$7, $E154=0), 'I&amp;E Monthly'!BA154, CHOOSE(Timeline!BA$30,$J154,$K154,$L154 )*INDEX('I&amp;E Profiles'!BA$96:BA$180,$I154))</f>
        <v>0</v>
      </c>
      <c r="BB154" s="153" cm="1">
        <f t="array" ref="BB154">IF(OR(BB$4=0, $G154&lt;&gt; $G$7, $E154=0), 'I&amp;E Monthly'!BB154, CHOOSE(Timeline!BB$30,$J154,$K154,$L154 )*INDEX('I&amp;E Profiles'!BB$96:BB$180,$I154))</f>
        <v>0</v>
      </c>
      <c r="BC154" s="153" cm="1">
        <f t="array" ref="BC154">IF(OR(BC$4=0, $G154&lt;&gt; $G$7, $E154=0), 'I&amp;E Monthly'!BC154, CHOOSE(Timeline!BC$30,$J154,$K154,$L154 )*INDEX('I&amp;E Profiles'!BC$96:BC$180,$I154))</f>
        <v>0</v>
      </c>
      <c r="BD154" s="153" cm="1">
        <f t="array" ref="BD154">IF(OR(BD$4=0, $G154&lt;&gt; $G$7, $E154=0), 'I&amp;E Monthly'!BD154, CHOOSE(Timeline!BD$30,$J154,$K154,$L154 )*INDEX('I&amp;E Profiles'!BD$96:BD$180,$I154))</f>
        <v>0</v>
      </c>
      <c r="BE154" s="153" cm="1">
        <f t="array" ref="BE154">IF(OR(BE$4=0, $G154&lt;&gt; $G$7, $E154=0), 'I&amp;E Monthly'!BE154, CHOOSE(Timeline!BE$30,$J154,$K154,$L154 )*INDEX('I&amp;E Profiles'!BE$96:BE$180,$I154))</f>
        <v>0</v>
      </c>
      <c r="BF154" s="153" cm="1">
        <f t="array" ref="BF154">IF(OR(BF$4=0, $G154&lt;&gt; $G$7, $E154=0), 'I&amp;E Monthly'!BF154, CHOOSE(Timeline!BF$30,$J154,$K154,$L154 )*INDEX('I&amp;E Profiles'!BF$96:BF$180,$I154))</f>
        <v>0</v>
      </c>
      <c r="BG154" s="153" cm="1">
        <f t="array" ref="BG154">IF(OR(BG$4=0, $G154&lt;&gt; $G$7, $E154=0), 'I&amp;E Monthly'!BG154, CHOOSE(Timeline!BG$30,$J154,$K154,$L154 )*INDEX('I&amp;E Profiles'!BG$96:BG$180,$I154))</f>
        <v>0</v>
      </c>
      <c r="BH154" s="153" cm="1">
        <f t="array" ref="BH154">IF(OR(BH$4=0, $G154&lt;&gt; $G$7, $E154=0), 'I&amp;E Monthly'!BH154, CHOOSE(Timeline!BH$30,$J154,$K154,$L154 )*INDEX('I&amp;E Profiles'!BH$96:BH$180,$I154))</f>
        <v>0</v>
      </c>
      <c r="BI154" s="153" cm="1">
        <f t="array" ref="BI154">IF(OR(BI$4=0, $G154&lt;&gt; $G$7, $E154=0), 'I&amp;E Monthly'!BI154, CHOOSE(Timeline!BI$30,$J154,$K154,$L154 )*INDEX('I&amp;E Profiles'!BI$96:BI$180,$I154))</f>
        <v>0</v>
      </c>
      <c r="BJ154" s="153" cm="1">
        <f t="array" ref="BJ154">IF(OR(BJ$4=0, $G154&lt;&gt; $G$7, $E154=0), 'I&amp;E Monthly'!BJ154, CHOOSE(Timeline!BJ$30,$J154,$K154,$L154 )*INDEX('I&amp;E Profiles'!BJ$96:BJ$180,$I154))</f>
        <v>0</v>
      </c>
      <c r="BK154" s="335"/>
      <c r="BL154" s="152">
        <f>V154</f>
        <v>0</v>
      </c>
      <c r="BM154" s="153">
        <f t="shared" ref="BM154:BO154" si="169">SUMIFS($AA154:$BJ154, $AA$3:$BJ$3,BM$3)</f>
        <v>80</v>
      </c>
      <c r="BN154" s="153">
        <f t="shared" si="169"/>
        <v>0</v>
      </c>
      <c r="BO154" s="153">
        <f t="shared" si="169"/>
        <v>0</v>
      </c>
      <c r="BP154" s="152">
        <f>'I&amp;E Monthly'!BP154</f>
        <v>0</v>
      </c>
      <c r="BQ154" s="152">
        <f>'I&amp;E Monthly'!BQ154</f>
        <v>0</v>
      </c>
      <c r="BR154" s="152">
        <f>'I&amp;E Monthly'!BR154</f>
        <v>0</v>
      </c>
      <c r="BS154" s="152">
        <f>'I&amp;E Monthly'!BS154</f>
        <v>0</v>
      </c>
      <c r="BT154" s="152">
        <f>'I&amp;E Monthly'!BT154</f>
        <v>0</v>
      </c>
      <c r="BU154" s="152">
        <f>'I&amp;E Monthly'!BU154</f>
        <v>0</v>
      </c>
      <c r="BV154" s="152">
        <f>'I&amp;E Monthly'!BV154</f>
        <v>0</v>
      </c>
      <c r="BW154" s="152">
        <f>'I&amp;E Monthly'!BW154</f>
        <v>0</v>
      </c>
      <c r="BX154" s="335"/>
      <c r="BY154" s="12"/>
      <c r="BZ154" s="363">
        <f ca="1">IF(MIN($V154:$BW154)&lt;0, 1, 0)*$I$7</f>
        <v>0</v>
      </c>
      <c r="CA154" s="12"/>
      <c r="CB154" s="7">
        <f>IF(AND($G154=$G$7,$E154=""), 1, 0)</f>
        <v>0</v>
      </c>
      <c r="CC154" s="188" cm="1">
        <f t="array" ref="CC154">IF(E154="",0, IF(_xlfn.IFNA(INDEX('I&amp;E Profiles'!$D$96:$D$180, $I154), "N/A")="N/A", 1, 0))</f>
        <v>0</v>
      </c>
      <c r="CD154" s="7">
        <f>IF(SUM($CH154:$CJ154)=0, 0, 1)</f>
        <v>0</v>
      </c>
      <c r="CE154" s="7">
        <f>IF(SUM($CK154:$CM154)=0, 0, 1)</f>
        <v>0</v>
      </c>
      <c r="CF154" s="7">
        <f>IF(CN154=0, 0, 1)</f>
        <v>0</v>
      </c>
      <c r="CG154" s="12"/>
      <c r="CH154" s="352">
        <f t="shared" ref="CH154:CJ156" si="170">IF($G154=$G$7, ROUND(W154-SUMIFS($AA154:$BJ154, $AA$3:$BJ$3, W$3), rounding), 0)</f>
        <v>0</v>
      </c>
      <c r="CI154" s="352">
        <f t="shared" si="170"/>
        <v>0</v>
      </c>
      <c r="CJ154" s="352">
        <f t="shared" si="170"/>
        <v>0</v>
      </c>
      <c r="CK154" s="352">
        <f>ROUND($BM154-SUMIFS($AA154:$BJ154, $AA$3:$BJ$3, $BM$3), rounding)</f>
        <v>0</v>
      </c>
      <c r="CL154" s="352">
        <f>ROUND($BN154-SUMIFS($AA154:$BJ154, $AA$3:$BJ$3, $BN$3), rounding)</f>
        <v>0</v>
      </c>
      <c r="CM154" s="352">
        <f>ROUND($BO154-SUMIFS($AA154:$BJ154, $AA$3:$BJ$3, $BO$3), rounding)</f>
        <v>0</v>
      </c>
      <c r="CN154" s="352">
        <f>ROUND($V154-$BL154, rounding)</f>
        <v>0</v>
      </c>
      <c r="EX154" s="10" t="str">
        <f t="shared" si="151"/>
        <v>Staff restructuring costs  (excl. enhanced pension costs)</v>
      </c>
    </row>
    <row r="155" spans="1:154" ht="33.75" x14ac:dyDescent="0.25">
      <c r="A155" s="362" cm="1">
        <f t="array" aca="1" ref="A155" ca="1">HYPERLINK(CONCATENATE("#",CELL("address",IF(SUM($CA155:$CG155)=0,A155,INDEX($CA155:$CG155,MATCH(1,$CA155:$CG155,0))))),SUM($CA155:$CG155))</f>
        <v>0</v>
      </c>
      <c r="B155" s="335"/>
      <c r="C155" s="343" t="s">
        <v>1007</v>
      </c>
      <c r="D155" s="194" t="s">
        <v>69</v>
      </c>
      <c r="E155" s="470" t="str" cm="1">
        <f t="array" aca="1" ref="E155" ca="1">HYPERLINK(CONCATENATE("#",CELL("address",'BS Forecasts'!$D$196)),'BS Forecasts'!$D$194)</f>
        <v>Enhanced Pension Provision</v>
      </c>
      <c r="F155" s="25"/>
      <c r="G155" s="25"/>
      <c r="H155" s="162" t="s">
        <v>86</v>
      </c>
      <c r="I155" s="25"/>
      <c r="J155" s="335"/>
      <c r="K155" s="335"/>
      <c r="L155" s="335"/>
      <c r="M155" s="335"/>
      <c r="N155" s="335"/>
      <c r="O155" s="335"/>
      <c r="P155" s="335"/>
      <c r="Q155" s="2"/>
      <c r="R155" s="335"/>
      <c r="S155" s="335"/>
      <c r="T155" s="335"/>
      <c r="U155" s="335"/>
      <c r="V155" s="215">
        <f>'I&amp;E Monthly'!V155</f>
        <v>0</v>
      </c>
      <c r="W155" s="215">
        <f>'I&amp;E Monthly'!W155</f>
        <v>0</v>
      </c>
      <c r="X155" s="215">
        <f>'I&amp;E Monthly'!X155</f>
        <v>0</v>
      </c>
      <c r="Y155" s="215">
        <f>'I&amp;E Monthly'!Y155</f>
        <v>0</v>
      </c>
      <c r="Z155" s="335"/>
      <c r="AA155" s="215">
        <f>'I&amp;E Monthly'!AA155</f>
        <v>0</v>
      </c>
      <c r="AB155" s="215">
        <f>'I&amp;E Monthly'!AB155</f>
        <v>0</v>
      </c>
      <c r="AC155" s="215">
        <f>'I&amp;E Monthly'!AC155</f>
        <v>0</v>
      </c>
      <c r="AD155" s="215">
        <f>'I&amp;E Monthly'!AD155</f>
        <v>0</v>
      </c>
      <c r="AE155" s="215">
        <f>'I&amp;E Monthly'!AE155</f>
        <v>0</v>
      </c>
      <c r="AF155" s="215">
        <f>'I&amp;E Monthly'!AF155</f>
        <v>0</v>
      </c>
      <c r="AG155" s="215">
        <f>'I&amp;E Monthly'!AG155</f>
        <v>0</v>
      </c>
      <c r="AH155" s="215">
        <f>'I&amp;E Monthly'!AH155</f>
        <v>0</v>
      </c>
      <c r="AI155" s="215">
        <f>'I&amp;E Monthly'!AI155</f>
        <v>0</v>
      </c>
      <c r="AJ155" s="215">
        <f>'I&amp;E Monthly'!AJ155</f>
        <v>0</v>
      </c>
      <c r="AK155" s="215">
        <f>'I&amp;E Monthly'!AK155</f>
        <v>0</v>
      </c>
      <c r="AL155" s="215">
        <f>'I&amp;E Monthly'!AL155</f>
        <v>0</v>
      </c>
      <c r="AM155" s="215">
        <f>'I&amp;E Monthly'!AM155</f>
        <v>0</v>
      </c>
      <c r="AN155" s="215">
        <f>'I&amp;E Monthly'!AN155</f>
        <v>0</v>
      </c>
      <c r="AO155" s="215">
        <f>'I&amp;E Monthly'!AO155</f>
        <v>0</v>
      </c>
      <c r="AP155" s="215">
        <f>'I&amp;E Monthly'!AP155</f>
        <v>0</v>
      </c>
      <c r="AQ155" s="215">
        <f>'I&amp;E Monthly'!AQ155</f>
        <v>0</v>
      </c>
      <c r="AR155" s="215">
        <f>'I&amp;E Monthly'!AR155</f>
        <v>0</v>
      </c>
      <c r="AS155" s="215">
        <f>'I&amp;E Monthly'!AS155</f>
        <v>0</v>
      </c>
      <c r="AT155" s="215">
        <f>'I&amp;E Monthly'!AT155</f>
        <v>0</v>
      </c>
      <c r="AU155" s="215">
        <f>'I&amp;E Monthly'!AU155</f>
        <v>0</v>
      </c>
      <c r="AV155" s="215">
        <f>'I&amp;E Monthly'!AV155</f>
        <v>0</v>
      </c>
      <c r="AW155" s="215">
        <f>'I&amp;E Monthly'!AW155</f>
        <v>0</v>
      </c>
      <c r="AX155" s="215">
        <f>'I&amp;E Monthly'!AX155</f>
        <v>0</v>
      </c>
      <c r="AY155" s="215">
        <f>'I&amp;E Monthly'!AY155</f>
        <v>0</v>
      </c>
      <c r="AZ155" s="215">
        <f>'I&amp;E Monthly'!AZ155</f>
        <v>0</v>
      </c>
      <c r="BA155" s="215">
        <f>'I&amp;E Monthly'!BA155</f>
        <v>0</v>
      </c>
      <c r="BB155" s="215">
        <f>'I&amp;E Monthly'!BB155</f>
        <v>0</v>
      </c>
      <c r="BC155" s="215">
        <f>'I&amp;E Monthly'!BC155</f>
        <v>0</v>
      </c>
      <c r="BD155" s="215">
        <f>'I&amp;E Monthly'!BD155</f>
        <v>0</v>
      </c>
      <c r="BE155" s="215">
        <f>'I&amp;E Monthly'!BE155</f>
        <v>0</v>
      </c>
      <c r="BF155" s="215">
        <f>'I&amp;E Monthly'!BF155</f>
        <v>0</v>
      </c>
      <c r="BG155" s="215">
        <f>'I&amp;E Monthly'!BG155</f>
        <v>0</v>
      </c>
      <c r="BH155" s="215">
        <f>'I&amp;E Monthly'!BH155</f>
        <v>0</v>
      </c>
      <c r="BI155" s="215">
        <f>'I&amp;E Monthly'!BI155</f>
        <v>0</v>
      </c>
      <c r="BJ155" s="215">
        <f>'I&amp;E Monthly'!BJ155</f>
        <v>0</v>
      </c>
      <c r="BK155" s="335"/>
      <c r="BL155" s="215">
        <f>'I&amp;E Monthly'!BL155</f>
        <v>0</v>
      </c>
      <c r="BM155" s="215">
        <f>'I&amp;E Monthly'!BM155</f>
        <v>0</v>
      </c>
      <c r="BN155" s="215">
        <f>'I&amp;E Monthly'!BN155</f>
        <v>0</v>
      </c>
      <c r="BO155" s="215">
        <f>'I&amp;E Monthly'!BO155</f>
        <v>0</v>
      </c>
      <c r="BP155" s="215">
        <f>'I&amp;E Monthly'!BP155</f>
        <v>0</v>
      </c>
      <c r="BQ155" s="215">
        <f>'I&amp;E Monthly'!BQ155</f>
        <v>0</v>
      </c>
      <c r="BR155" s="215">
        <f>'I&amp;E Monthly'!BR155</f>
        <v>0</v>
      </c>
      <c r="BS155" s="215">
        <f>'I&amp;E Monthly'!BS155</f>
        <v>0</v>
      </c>
      <c r="BT155" s="215">
        <f>'I&amp;E Monthly'!BT155</f>
        <v>0</v>
      </c>
      <c r="BU155" s="215">
        <f>'I&amp;E Monthly'!BU155</f>
        <v>0</v>
      </c>
      <c r="BV155" s="215">
        <f>'I&amp;E Monthly'!BV155</f>
        <v>0</v>
      </c>
      <c r="BW155" s="215">
        <f>'I&amp;E Monthly'!BW155</f>
        <v>0</v>
      </c>
      <c r="BX155" s="335"/>
      <c r="BY155" s="12"/>
      <c r="BZ155" s="363">
        <f ca="1">IF(MIN($V155:$BW155)&lt;0, 1, 0)*$I$7</f>
        <v>0</v>
      </c>
      <c r="CA155" s="12"/>
      <c r="CC155" s="335"/>
      <c r="CD155" s="7">
        <f>IF(SUM($CH155:$CJ155)=0, 0, 1)</f>
        <v>0</v>
      </c>
      <c r="CE155" s="7">
        <f>IF(SUM($CK155:$CM155)=0, 0, 1)</f>
        <v>0</v>
      </c>
      <c r="CF155" s="7">
        <f>IF(CN155=0, 0, 1)</f>
        <v>0</v>
      </c>
      <c r="CG155" s="12"/>
      <c r="CH155" s="352">
        <f t="shared" si="170"/>
        <v>0</v>
      </c>
      <c r="CI155" s="352">
        <f t="shared" si="170"/>
        <v>0</v>
      </c>
      <c r="CJ155" s="352">
        <f t="shared" si="170"/>
        <v>0</v>
      </c>
      <c r="CK155" s="352">
        <f>ROUND($BM155-SUMIFS($AA155:$BJ155, $AA$3:$BJ$3, $BM$3), rounding)</f>
        <v>0</v>
      </c>
      <c r="CL155" s="352">
        <f>ROUND($BN155-SUMIFS($AA155:$BJ155, $AA$3:$BJ$3, $BN$3), rounding)</f>
        <v>0</v>
      </c>
      <c r="CM155" s="352">
        <f>ROUND($BO155-SUMIFS($AA155:$BJ155, $AA$3:$BJ$3, $BO$3), rounding)</f>
        <v>0</v>
      </c>
      <c r="CN155" s="352">
        <f>ROUND($V155-$BL155, rounding)</f>
        <v>0</v>
      </c>
      <c r="EX155" s="10" t="str">
        <f t="shared" si="151"/>
        <v>Staff restructuring enhanced pension costs</v>
      </c>
    </row>
    <row r="156" spans="1:154" x14ac:dyDescent="0.25">
      <c r="A156" s="362" cm="1">
        <f t="array" aca="1" ref="A156" ca="1">HYPERLINK(CONCATENATE("#",CELL("address",IF(SUM($CA156:$CG156)=0,A156,INDEX($CA156:$CG156,MATCH(1,$CA156:$CG156,0))))),SUM($CA156:$CG156))</f>
        <v>0</v>
      </c>
      <c r="B156" s="335"/>
      <c r="C156" s="343" t="s">
        <v>1008</v>
      </c>
      <c r="D156" s="433" t="s">
        <v>70</v>
      </c>
      <c r="E156" s="82"/>
      <c r="F156" s="25"/>
      <c r="G156" s="25"/>
      <c r="H156" s="319"/>
      <c r="I156" s="25"/>
      <c r="Q156" s="2"/>
      <c r="R156" s="335"/>
      <c r="T156" s="335"/>
      <c r="U156" s="335"/>
      <c r="V156" s="13">
        <f>SUM(V154:V155)</f>
        <v>0</v>
      </c>
      <c r="W156" s="13">
        <f>SUM(W154:W155)</f>
        <v>0</v>
      </c>
      <c r="X156" s="13">
        <f>SUM(X154:X155)</f>
        <v>0</v>
      </c>
      <c r="Y156" s="13">
        <f>SUM(Y154:Y155)</f>
        <v>0</v>
      </c>
      <c r="AA156" s="13">
        <f t="shared" ref="AA156:BJ156" si="171">SUM(AA154:AA155)</f>
        <v>0</v>
      </c>
      <c r="AB156" s="13">
        <f t="shared" si="171"/>
        <v>0</v>
      </c>
      <c r="AC156" s="13">
        <f t="shared" si="171"/>
        <v>0</v>
      </c>
      <c r="AD156" s="13">
        <f t="shared" si="171"/>
        <v>0</v>
      </c>
      <c r="AE156" s="13">
        <f t="shared" si="171"/>
        <v>0</v>
      </c>
      <c r="AF156" s="13">
        <f t="shared" si="171"/>
        <v>0</v>
      </c>
      <c r="AG156" s="13">
        <f t="shared" si="171"/>
        <v>37</v>
      </c>
      <c r="AH156" s="13">
        <f t="shared" si="171"/>
        <v>12</v>
      </c>
      <c r="AI156" s="13">
        <f t="shared" si="171"/>
        <v>0</v>
      </c>
      <c r="AJ156" s="13">
        <f t="shared" si="171"/>
        <v>13</v>
      </c>
      <c r="AK156" s="13">
        <f t="shared" si="171"/>
        <v>18</v>
      </c>
      <c r="AL156" s="13">
        <f t="shared" si="171"/>
        <v>0</v>
      </c>
      <c r="AM156" s="13">
        <f t="shared" si="171"/>
        <v>0</v>
      </c>
      <c r="AN156" s="13">
        <f t="shared" si="171"/>
        <v>0</v>
      </c>
      <c r="AO156" s="13">
        <f t="shared" si="171"/>
        <v>0</v>
      </c>
      <c r="AP156" s="13">
        <f t="shared" si="171"/>
        <v>0</v>
      </c>
      <c r="AQ156" s="13">
        <f t="shared" si="171"/>
        <v>0</v>
      </c>
      <c r="AR156" s="13">
        <f t="shared" si="171"/>
        <v>0</v>
      </c>
      <c r="AS156" s="13">
        <f t="shared" si="171"/>
        <v>0</v>
      </c>
      <c r="AT156" s="13">
        <f t="shared" si="171"/>
        <v>0</v>
      </c>
      <c r="AU156" s="13">
        <f t="shared" si="171"/>
        <v>0</v>
      </c>
      <c r="AV156" s="13">
        <f t="shared" si="171"/>
        <v>0</v>
      </c>
      <c r="AW156" s="13">
        <f t="shared" si="171"/>
        <v>0</v>
      </c>
      <c r="AX156" s="13">
        <f t="shared" si="171"/>
        <v>0</v>
      </c>
      <c r="AY156" s="13">
        <f t="shared" si="171"/>
        <v>0</v>
      </c>
      <c r="AZ156" s="13">
        <f t="shared" si="171"/>
        <v>0</v>
      </c>
      <c r="BA156" s="13">
        <f t="shared" si="171"/>
        <v>0</v>
      </c>
      <c r="BB156" s="13">
        <f t="shared" si="171"/>
        <v>0</v>
      </c>
      <c r="BC156" s="13">
        <f t="shared" si="171"/>
        <v>0</v>
      </c>
      <c r="BD156" s="13">
        <f t="shared" si="171"/>
        <v>0</v>
      </c>
      <c r="BE156" s="13">
        <f t="shared" si="171"/>
        <v>0</v>
      </c>
      <c r="BF156" s="13">
        <f t="shared" si="171"/>
        <v>0</v>
      </c>
      <c r="BG156" s="13">
        <f t="shared" si="171"/>
        <v>0</v>
      </c>
      <c r="BH156" s="13">
        <f t="shared" si="171"/>
        <v>0</v>
      </c>
      <c r="BI156" s="13">
        <f t="shared" si="171"/>
        <v>0</v>
      </c>
      <c r="BJ156" s="13">
        <f t="shared" si="171"/>
        <v>0</v>
      </c>
      <c r="BL156" s="13">
        <f t="shared" ref="BL156:BW156" si="172">SUM(BL154:BL155)</f>
        <v>0</v>
      </c>
      <c r="BM156" s="13">
        <f t="shared" si="172"/>
        <v>80</v>
      </c>
      <c r="BN156" s="13">
        <f t="shared" si="172"/>
        <v>0</v>
      </c>
      <c r="BO156" s="13">
        <f t="shared" si="172"/>
        <v>0</v>
      </c>
      <c r="BP156" s="13">
        <f t="shared" si="172"/>
        <v>0</v>
      </c>
      <c r="BQ156" s="13">
        <f t="shared" si="172"/>
        <v>0</v>
      </c>
      <c r="BR156" s="13">
        <f t="shared" si="172"/>
        <v>0</v>
      </c>
      <c r="BS156" s="13">
        <f t="shared" si="172"/>
        <v>0</v>
      </c>
      <c r="BT156" s="13">
        <f t="shared" si="172"/>
        <v>0</v>
      </c>
      <c r="BU156" s="13">
        <f t="shared" si="172"/>
        <v>0</v>
      </c>
      <c r="BV156" s="13">
        <f t="shared" si="172"/>
        <v>0</v>
      </c>
      <c r="BW156" s="13">
        <f t="shared" si="172"/>
        <v>0</v>
      </c>
      <c r="BY156" s="12"/>
      <c r="BZ156" s="363">
        <f ca="1">IF(MIN($V156:$BW156)&lt;0, 1, 0)*$I$7</f>
        <v>0</v>
      </c>
      <c r="CA156" s="12"/>
      <c r="CC156" s="335"/>
      <c r="CD156" s="7">
        <f>IF(SUM($CH156:$CJ156)=0, 0, 1)</f>
        <v>0</v>
      </c>
      <c r="CE156" s="7">
        <f>IF(SUM($CK156:$CM156)=0, 0, 1)</f>
        <v>0</v>
      </c>
      <c r="CF156" s="7">
        <f>IF(CN156=0, 0, 1)</f>
        <v>0</v>
      </c>
      <c r="CG156" s="12"/>
      <c r="CH156" s="352">
        <f t="shared" si="170"/>
        <v>0</v>
      </c>
      <c r="CI156" s="352">
        <f t="shared" si="170"/>
        <v>0</v>
      </c>
      <c r="CJ156" s="352">
        <f t="shared" si="170"/>
        <v>0</v>
      </c>
      <c r="CK156" s="352">
        <f>ROUND($BM156-SUMIFS($AA156:$BJ156, $AA$3:$BJ$3, $BM$3), rounding)</f>
        <v>0</v>
      </c>
      <c r="CL156" s="352">
        <f>ROUND($BN156-SUMIFS($AA156:$BJ156, $AA$3:$BJ$3, $BN$3), rounding)</f>
        <v>0</v>
      </c>
      <c r="CM156" s="352">
        <f>ROUND($BO156-SUMIFS($AA156:$BJ156, $AA$3:$BJ$3, $BO$3), rounding)</f>
        <v>0</v>
      </c>
      <c r="CN156" s="352">
        <f>ROUND($V156-$BL156, rounding)</f>
        <v>0</v>
      </c>
      <c r="EX156" s="10" t="str">
        <f t="shared" si="151"/>
        <v>Total Staff Restructuring Costs</v>
      </c>
    </row>
    <row r="157" spans="1:154" s="323" customFormat="1" ht="6.6" customHeight="1" x14ac:dyDescent="0.25">
      <c r="A157" s="335"/>
      <c r="B157" s="335"/>
      <c r="C157" s="386"/>
      <c r="D157" s="177"/>
      <c r="E157" s="335"/>
      <c r="F157" s="335"/>
      <c r="G157" s="335"/>
      <c r="I157" s="335"/>
      <c r="Q157" s="2"/>
      <c r="R157" s="335"/>
      <c r="S157" s="335"/>
      <c r="T157" s="335"/>
      <c r="U157" s="335"/>
      <c r="V157" s="25"/>
      <c r="W157" s="25"/>
      <c r="X157" s="25"/>
      <c r="Y157" s="25"/>
      <c r="Z157" s="33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335"/>
      <c r="BL157" s="25"/>
      <c r="BM157" s="155"/>
      <c r="BN157" s="25"/>
      <c r="BO157" s="25"/>
      <c r="BP157" s="25"/>
      <c r="BQ157" s="25"/>
      <c r="BR157" s="25"/>
      <c r="BS157" s="25"/>
      <c r="BT157" s="25"/>
      <c r="BU157" s="25"/>
      <c r="BV157" s="25"/>
      <c r="BW157" s="25"/>
      <c r="BX157" s="335"/>
      <c r="BY157" s="42"/>
      <c r="BZ157" s="335"/>
      <c r="CA157" s="42"/>
      <c r="CB157" s="335"/>
      <c r="CC157" s="335"/>
      <c r="CD157" s="7"/>
      <c r="CE157" s="7"/>
      <c r="CF157" s="7"/>
      <c r="CG157" s="42"/>
      <c r="CH157" s="335"/>
      <c r="CI157" s="335"/>
      <c r="CJ157" s="335"/>
      <c r="CK157" s="335"/>
      <c r="CL157" s="335"/>
      <c r="CM157" s="335"/>
      <c r="CN157" s="335"/>
      <c r="EU157" s="335"/>
      <c r="EX157" s="10" t="str">
        <f t="shared" si="151"/>
        <v/>
      </c>
    </row>
    <row r="158" spans="1:154" s="323" customFormat="1" x14ac:dyDescent="0.25">
      <c r="A158" s="362" cm="1">
        <f t="array" aca="1" ref="A158" ca="1">HYPERLINK(CONCATENATE("#",CELL("address",IF(SUM($CA158:$CG158)=0,A158,INDEX($CA158:$CG158,MATCH(1,$CA158:$CG158,0))))),SUM($CA158:$CG158))</f>
        <v>0</v>
      </c>
      <c r="B158" s="329"/>
      <c r="C158" s="343" t="s">
        <v>1009</v>
      </c>
      <c r="D158" s="433" t="s">
        <v>873</v>
      </c>
      <c r="E158" s="82"/>
      <c r="F158" s="335"/>
      <c r="G158" s="335"/>
      <c r="I158" s="335"/>
      <c r="Q158" s="2"/>
      <c r="R158" s="335"/>
      <c r="S158" s="335"/>
      <c r="T158" s="335"/>
      <c r="U158" s="335"/>
      <c r="V158" s="152">
        <f>V134+V151+V156</f>
        <v>0</v>
      </c>
      <c r="W158" s="152">
        <f>W134+W151+W156</f>
        <v>0</v>
      </c>
      <c r="X158" s="152">
        <f>X134+X151+X156</f>
        <v>0</v>
      </c>
      <c r="Y158" s="152">
        <f>Y134+Y151+Y156</f>
        <v>0</v>
      </c>
      <c r="Z158" s="335"/>
      <c r="AA158" s="152">
        <f t="shared" ref="AA158:BJ158" si="173">AA134+AA151+AA156</f>
        <v>1637</v>
      </c>
      <c r="AB158" s="152">
        <f t="shared" si="173"/>
        <v>1951</v>
      </c>
      <c r="AC158" s="152">
        <f t="shared" si="173"/>
        <v>2192</v>
      </c>
      <c r="AD158" s="152">
        <f t="shared" si="173"/>
        <v>2285</v>
      </c>
      <c r="AE158" s="152">
        <f t="shared" si="173"/>
        <v>2179</v>
      </c>
      <c r="AF158" s="152">
        <f t="shared" si="173"/>
        <v>2115</v>
      </c>
      <c r="AG158" s="152">
        <f t="shared" si="173"/>
        <v>1962</v>
      </c>
      <c r="AH158" s="152">
        <f t="shared" si="173"/>
        <v>2236</v>
      </c>
      <c r="AI158" s="152">
        <f t="shared" si="173"/>
        <v>2184</v>
      </c>
      <c r="AJ158" s="152">
        <f t="shared" si="173"/>
        <v>2492</v>
      </c>
      <c r="AK158" s="152">
        <f t="shared" si="173"/>
        <v>2456</v>
      </c>
      <c r="AL158" s="152">
        <f t="shared" si="173"/>
        <v>2252</v>
      </c>
      <c r="AM158" s="152">
        <f t="shared" si="173"/>
        <v>1785</v>
      </c>
      <c r="AN158" s="152">
        <f t="shared" si="173"/>
        <v>2024</v>
      </c>
      <c r="AO158" s="152">
        <f t="shared" si="173"/>
        <v>2265</v>
      </c>
      <c r="AP158" s="152">
        <f t="shared" si="173"/>
        <v>2358</v>
      </c>
      <c r="AQ158" s="152">
        <f t="shared" si="173"/>
        <v>2302</v>
      </c>
      <c r="AR158" s="152">
        <f t="shared" si="173"/>
        <v>2238</v>
      </c>
      <c r="AS158" s="152">
        <f t="shared" si="173"/>
        <v>2270</v>
      </c>
      <c r="AT158" s="152">
        <f t="shared" si="173"/>
        <v>2371</v>
      </c>
      <c r="AU158" s="152">
        <f t="shared" si="173"/>
        <v>2378</v>
      </c>
      <c r="AV158" s="152">
        <f t="shared" si="173"/>
        <v>2457</v>
      </c>
      <c r="AW158" s="152">
        <f t="shared" si="173"/>
        <v>2394</v>
      </c>
      <c r="AX158" s="152">
        <f t="shared" si="173"/>
        <v>2241</v>
      </c>
      <c r="AY158" s="152">
        <f t="shared" si="173"/>
        <v>1840.3650000000002</v>
      </c>
      <c r="AZ158" s="152">
        <f t="shared" si="173"/>
        <v>2085.8050000000003</v>
      </c>
      <c r="BA158" s="152">
        <f t="shared" si="173"/>
        <v>2333.7350000000001</v>
      </c>
      <c r="BB158" s="152">
        <f t="shared" si="173"/>
        <v>2427.5149999999999</v>
      </c>
      <c r="BC158" s="152">
        <f t="shared" si="173"/>
        <v>2370.0050000000001</v>
      </c>
      <c r="BD158" s="152">
        <f t="shared" si="173"/>
        <v>2306.46</v>
      </c>
      <c r="BE158" s="152">
        <f t="shared" si="173"/>
        <v>2337.2900000000004</v>
      </c>
      <c r="BF158" s="152">
        <f t="shared" si="173"/>
        <v>2440.7249999999999</v>
      </c>
      <c r="BG158" s="152">
        <f t="shared" si="173"/>
        <v>2449.5500000000002</v>
      </c>
      <c r="BH158" s="152">
        <f t="shared" si="173"/>
        <v>2530.7950000000001</v>
      </c>
      <c r="BI158" s="152">
        <f t="shared" si="173"/>
        <v>2466.12</v>
      </c>
      <c r="BJ158" s="152">
        <f t="shared" si="173"/>
        <v>2309.1950000000002</v>
      </c>
      <c r="BK158" s="335"/>
      <c r="BL158" s="152">
        <f t="shared" ref="BL158:BW158" si="174">BL134+BL151+BL156</f>
        <v>0</v>
      </c>
      <c r="BM158" s="152">
        <f t="shared" si="174"/>
        <v>25941</v>
      </c>
      <c r="BN158" s="152">
        <f t="shared" si="174"/>
        <v>27083</v>
      </c>
      <c r="BO158" s="152">
        <f t="shared" si="174"/>
        <v>27897.559999999998</v>
      </c>
      <c r="BP158" s="152">
        <f t="shared" si="174"/>
        <v>0</v>
      </c>
      <c r="BQ158" s="152">
        <f t="shared" si="174"/>
        <v>0</v>
      </c>
      <c r="BR158" s="152">
        <f t="shared" si="174"/>
        <v>0</v>
      </c>
      <c r="BS158" s="152">
        <f t="shared" si="174"/>
        <v>0</v>
      </c>
      <c r="BT158" s="152">
        <f t="shared" si="174"/>
        <v>0</v>
      </c>
      <c r="BU158" s="152">
        <f t="shared" si="174"/>
        <v>0</v>
      </c>
      <c r="BV158" s="152">
        <f t="shared" si="174"/>
        <v>0</v>
      </c>
      <c r="BW158" s="152">
        <f t="shared" si="174"/>
        <v>0</v>
      </c>
      <c r="BX158" s="335"/>
      <c r="BY158" s="12"/>
      <c r="BZ158" s="335"/>
      <c r="CA158" s="12"/>
      <c r="CB158" s="335"/>
      <c r="CC158" s="335"/>
      <c r="CD158" s="7">
        <f>IF(SUM($CH158:$CJ158)=0, 0, 1)</f>
        <v>0</v>
      </c>
      <c r="CE158" s="7">
        <f>IF(SUM($CK158:$CM158)=0, 0, 1)</f>
        <v>0</v>
      </c>
      <c r="CF158" s="7">
        <f>IF(CN158=0, 0, 1)</f>
        <v>0</v>
      </c>
      <c r="CG158" s="12"/>
      <c r="CH158" s="352">
        <f>IF($G158=$G$7, ROUND(W158-SUMIFS($AA158:$BJ158, $AA$3:$BJ$3, W$3), rounding), 0)</f>
        <v>0</v>
      </c>
      <c r="CI158" s="352">
        <f>IF($G158=$G$7, ROUND(X158-SUMIFS($AA158:$BJ158, $AA$3:$BJ$3, X$3), rounding), 0)</f>
        <v>0</v>
      </c>
      <c r="CJ158" s="352">
        <f>IF($G158=$G$7, ROUND(Y158-SUMIFS($AA158:$BJ158, $AA$3:$BJ$3, Y$3), rounding), 0)</f>
        <v>0</v>
      </c>
      <c r="CK158" s="352">
        <f>ROUND($BM158-SUMIFS($AA158:$BJ158, $AA$3:$BJ$3, $BM$3), rounding)</f>
        <v>0</v>
      </c>
      <c r="CL158" s="352">
        <f>ROUND($BN158-SUMIFS($AA158:$BJ158, $AA$3:$BJ$3, $BN$3), rounding)</f>
        <v>0</v>
      </c>
      <c r="CM158" s="352">
        <f>ROUND($BO158-SUMIFS($AA158:$BJ158, $AA$3:$BJ$3, $BO$3), rounding)</f>
        <v>0</v>
      </c>
      <c r="CN158" s="352">
        <f>ROUND($V158-$BL158, rounding)</f>
        <v>0</v>
      </c>
      <c r="EU158" s="335"/>
      <c r="EX158" s="10" t="str">
        <f t="shared" si="151"/>
        <v>Total Operating Expenditure</v>
      </c>
    </row>
    <row r="159" spans="1:154" s="323" customFormat="1" ht="6.6" customHeight="1" x14ac:dyDescent="0.25">
      <c r="A159" s="335"/>
      <c r="B159" s="335"/>
      <c r="C159" s="386"/>
      <c r="D159" s="177"/>
      <c r="E159" s="82"/>
      <c r="F159" s="335"/>
      <c r="G159" s="335"/>
      <c r="I159" s="335"/>
      <c r="Q159" s="2"/>
      <c r="R159" s="335"/>
      <c r="S159" s="335"/>
      <c r="T159" s="335"/>
      <c r="U159" s="335"/>
      <c r="V159" s="25"/>
      <c r="W159" s="25"/>
      <c r="X159" s="25"/>
      <c r="Y159" s="25"/>
      <c r="Z159" s="33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L159" s="25"/>
      <c r="BM159" s="155"/>
      <c r="BN159" s="25"/>
      <c r="BO159" s="25"/>
      <c r="BP159" s="25"/>
      <c r="BQ159" s="25"/>
      <c r="BR159" s="25"/>
      <c r="BS159" s="25"/>
      <c r="BT159" s="25"/>
      <c r="BU159" s="25"/>
      <c r="BV159" s="25"/>
      <c r="BW159" s="25"/>
      <c r="BY159" s="12"/>
      <c r="BZ159" s="335"/>
      <c r="CA159" s="12"/>
      <c r="CB159" s="335"/>
      <c r="CC159" s="335"/>
      <c r="CD159" s="7"/>
      <c r="CE159" s="7"/>
      <c r="CF159" s="7"/>
      <c r="CG159" s="42"/>
      <c r="CH159" s="335"/>
      <c r="CI159" s="335"/>
      <c r="CJ159" s="335"/>
      <c r="CK159" s="335"/>
      <c r="CL159" s="335"/>
      <c r="CM159" s="335"/>
      <c r="EU159" s="335"/>
      <c r="EX159" s="10" t="str">
        <f t="shared" si="151"/>
        <v/>
      </c>
    </row>
    <row r="160" spans="1:154" s="323" customFormat="1" x14ac:dyDescent="0.25">
      <c r="A160" s="362" cm="1">
        <f t="array" aca="1" ref="A160" ca="1">HYPERLINK(CONCATENATE("#",CELL("address",IF(SUM($CA160:$CG160)=0,A160,INDEX($CA160:$CG160,MATCH(1,$CA160:$CG160,0))))),SUM($CA160:$CG160))</f>
        <v>0</v>
      </c>
      <c r="B160" s="335"/>
      <c r="C160" s="343" t="s">
        <v>1010</v>
      </c>
      <c r="D160" s="433" t="s">
        <v>872</v>
      </c>
      <c r="E160" s="5"/>
      <c r="F160" s="335"/>
      <c r="G160" s="335"/>
      <c r="I160" s="335"/>
      <c r="Q160" s="2"/>
      <c r="R160" s="335"/>
      <c r="S160" s="335"/>
      <c r="T160" s="335"/>
      <c r="U160" s="335"/>
      <c r="V160" s="152">
        <f>V119-V158</f>
        <v>0</v>
      </c>
      <c r="W160" s="152">
        <f>W119-W158</f>
        <v>0</v>
      </c>
      <c r="X160" s="152">
        <f>X119-X158</f>
        <v>0</v>
      </c>
      <c r="Y160" s="152">
        <f>Y119-Y158</f>
        <v>0</v>
      </c>
      <c r="Z160" s="335"/>
      <c r="AA160" s="152">
        <f t="shared" ref="AA160:BJ160" si="175">AA119-AA158</f>
        <v>1865</v>
      </c>
      <c r="AB160" s="152">
        <f t="shared" si="175"/>
        <v>1267</v>
      </c>
      <c r="AC160" s="152">
        <f t="shared" si="175"/>
        <v>250</v>
      </c>
      <c r="AD160" s="152">
        <f t="shared" si="175"/>
        <v>-70</v>
      </c>
      <c r="AE160" s="152">
        <f t="shared" si="175"/>
        <v>-764</v>
      </c>
      <c r="AF160" s="152">
        <f t="shared" si="175"/>
        <v>-553</v>
      </c>
      <c r="AG160" s="152">
        <f t="shared" si="175"/>
        <v>-580</v>
      </c>
      <c r="AH160" s="152">
        <f t="shared" si="175"/>
        <v>-784</v>
      </c>
      <c r="AI160" s="152">
        <f t="shared" si="175"/>
        <v>1368</v>
      </c>
      <c r="AJ160" s="152">
        <f t="shared" si="175"/>
        <v>398</v>
      </c>
      <c r="AK160" s="152">
        <f t="shared" si="175"/>
        <v>415</v>
      </c>
      <c r="AL160" s="152">
        <f t="shared" si="175"/>
        <v>-780</v>
      </c>
      <c r="AM160" s="152">
        <f t="shared" si="175"/>
        <v>2123</v>
      </c>
      <c r="AN160" s="152">
        <f t="shared" si="175"/>
        <v>1251</v>
      </c>
      <c r="AO160" s="152">
        <f t="shared" si="175"/>
        <v>246</v>
      </c>
      <c r="AP160" s="152">
        <f t="shared" si="175"/>
        <v>-301</v>
      </c>
      <c r="AQ160" s="152">
        <f t="shared" si="175"/>
        <v>-767</v>
      </c>
      <c r="AR160" s="152">
        <f t="shared" si="175"/>
        <v>-452</v>
      </c>
      <c r="AS160" s="152">
        <f t="shared" si="175"/>
        <v>-828</v>
      </c>
      <c r="AT160" s="152">
        <f t="shared" si="175"/>
        <v>-795</v>
      </c>
      <c r="AU160" s="152">
        <f t="shared" si="175"/>
        <v>1607</v>
      </c>
      <c r="AV160" s="152">
        <f t="shared" si="175"/>
        <v>505</v>
      </c>
      <c r="AW160" s="152">
        <f t="shared" si="175"/>
        <v>106</v>
      </c>
      <c r="AX160" s="152">
        <f t="shared" si="175"/>
        <v>-645</v>
      </c>
      <c r="AY160" s="152">
        <f t="shared" si="175"/>
        <v>2171.7483333333334</v>
      </c>
      <c r="AZ160" s="152">
        <f t="shared" si="175"/>
        <v>1268.3566666666661</v>
      </c>
      <c r="BA160" s="152">
        <f t="shared" si="175"/>
        <v>255.48833333333278</v>
      </c>
      <c r="BB160" s="152">
        <f t="shared" si="175"/>
        <v>-306.61333333333323</v>
      </c>
      <c r="BC160" s="152">
        <f t="shared" si="175"/>
        <v>-784.53</v>
      </c>
      <c r="BD160" s="152">
        <f t="shared" si="175"/>
        <v>-458.22999999999979</v>
      </c>
      <c r="BE160" s="152">
        <f t="shared" si="175"/>
        <v>-846.74166666666702</v>
      </c>
      <c r="BF160" s="152">
        <f t="shared" si="175"/>
        <v>-808.5183333333332</v>
      </c>
      <c r="BG160" s="152">
        <f t="shared" si="175"/>
        <v>1662.378333333334</v>
      </c>
      <c r="BH160" s="152">
        <f t="shared" si="175"/>
        <v>555.06833333333361</v>
      </c>
      <c r="BI160" s="152">
        <f t="shared" si="175"/>
        <v>117.19333333333361</v>
      </c>
      <c r="BJ160" s="152">
        <f t="shared" si="175"/>
        <v>-651.79000000000042</v>
      </c>
      <c r="BK160" s="335"/>
      <c r="BL160" s="152">
        <f t="shared" ref="BL160:BW160" si="176">BL119-BL158</f>
        <v>0</v>
      </c>
      <c r="BM160" s="152">
        <f t="shared" si="176"/>
        <v>2032</v>
      </c>
      <c r="BN160" s="152">
        <f t="shared" si="176"/>
        <v>2050</v>
      </c>
      <c r="BO160" s="152">
        <f t="shared" si="176"/>
        <v>2173.8100000000013</v>
      </c>
      <c r="BP160" s="152">
        <f t="shared" si="176"/>
        <v>0</v>
      </c>
      <c r="BQ160" s="152">
        <f t="shared" si="176"/>
        <v>0</v>
      </c>
      <c r="BR160" s="152">
        <f t="shared" si="176"/>
        <v>0</v>
      </c>
      <c r="BS160" s="152">
        <f t="shared" si="176"/>
        <v>0</v>
      </c>
      <c r="BT160" s="152">
        <f t="shared" si="176"/>
        <v>0</v>
      </c>
      <c r="BU160" s="152">
        <f t="shared" si="176"/>
        <v>0</v>
      </c>
      <c r="BV160" s="152">
        <f t="shared" si="176"/>
        <v>0</v>
      </c>
      <c r="BW160" s="152">
        <f t="shared" si="176"/>
        <v>0</v>
      </c>
      <c r="BY160" s="12"/>
      <c r="BZ160" s="335"/>
      <c r="CA160" s="12"/>
      <c r="CB160" s="335"/>
      <c r="CC160" s="335"/>
      <c r="CD160" s="7">
        <f>IF(SUM($CH160:$CJ160)=0, 0, 1)</f>
        <v>0</v>
      </c>
      <c r="CE160" s="7">
        <f>IF(SUM($CK160:$CM160)=0, 0, 1)</f>
        <v>0</v>
      </c>
      <c r="CF160" s="7">
        <f>IF(CN160=0, 0, 1)</f>
        <v>0</v>
      </c>
      <c r="CG160" s="12"/>
      <c r="CH160" s="352">
        <f>IF($G160=$G$7, ROUND(W160-SUMIFS($AA160:$BJ160, $AA$3:$BJ$3, W$3), rounding), 0)</f>
        <v>0</v>
      </c>
      <c r="CI160" s="352">
        <f>IF($G160=$G$7, ROUND(X160-SUMIFS($AA160:$BJ160, $AA$3:$BJ$3, X$3), rounding), 0)</f>
        <v>0</v>
      </c>
      <c r="CJ160" s="352">
        <f>IF($G160=$G$7, ROUND(Y160-SUMIFS($AA160:$BJ160, $AA$3:$BJ$3, Y$3), rounding), 0)</f>
        <v>0</v>
      </c>
      <c r="CK160" s="352">
        <f>ROUND($BM160-SUMIFS($AA160:$BJ160, $AA$3:$BJ$3, $BM$3), rounding)</f>
        <v>0</v>
      </c>
      <c r="CL160" s="352">
        <f>ROUND($BN160-SUMIFS($AA160:$BJ160, $AA$3:$BJ$3, $BN$3), rounding)</f>
        <v>0</v>
      </c>
      <c r="CM160" s="352">
        <f>ROUND($BO160-SUMIFS($AA160:$BJ160, $AA$3:$BJ$3, $BO$3), rounding)</f>
        <v>0</v>
      </c>
      <c r="CN160" s="352">
        <f>ROUND($V160-$BL160, rounding)</f>
        <v>0</v>
      </c>
      <c r="EU160" s="335"/>
      <c r="EX160" s="10" t="str">
        <f t="shared" si="151"/>
        <v>Net Operating Income</v>
      </c>
    </row>
    <row r="161" spans="1:154" ht="6.6" customHeight="1" x14ac:dyDescent="0.25">
      <c r="A161" s="335"/>
      <c r="B161" s="335"/>
      <c r="C161" s="383"/>
      <c r="D161" s="177"/>
      <c r="E161" s="335"/>
      <c r="F161" s="25"/>
      <c r="G161" s="25"/>
      <c r="H161" s="319"/>
      <c r="I161" s="25"/>
      <c r="P161" s="335"/>
      <c r="Q161" s="2"/>
      <c r="R161" s="335"/>
      <c r="S161" s="335"/>
      <c r="T161" s="335"/>
      <c r="U161" s="335"/>
      <c r="V161" s="25"/>
      <c r="W161" s="25"/>
      <c r="X161" s="25"/>
      <c r="Y161" s="25"/>
      <c r="Z161" s="33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335"/>
      <c r="BL161" s="25"/>
      <c r="BM161" s="155"/>
      <c r="BN161" s="25"/>
      <c r="BO161" s="25"/>
      <c r="BP161" s="25"/>
      <c r="BQ161" s="25"/>
      <c r="BR161" s="25"/>
      <c r="BS161" s="25"/>
      <c r="BT161" s="25"/>
      <c r="BU161" s="25"/>
      <c r="BV161" s="25"/>
      <c r="BW161" s="25"/>
      <c r="BY161" s="42"/>
      <c r="BZ161" s="335"/>
      <c r="CA161" s="42"/>
      <c r="CC161" s="335"/>
      <c r="CD161" s="7"/>
      <c r="CE161" s="7"/>
      <c r="CF161" s="7"/>
      <c r="CG161" s="42"/>
      <c r="CM161" s="335"/>
      <c r="EX161" s="10" t="str">
        <f t="shared" si="151"/>
        <v/>
      </c>
    </row>
    <row r="162" spans="1:154" ht="23.25" x14ac:dyDescent="0.25">
      <c r="A162" s="362" cm="1">
        <f t="array" aca="1" ref="A162" ca="1">HYPERLINK(CONCATENATE("#",CELL("address",IF(SUM($CA162:$CG162)=0,A162,INDEX($CA162:$CG162,MATCH(1,$CA162:$CG162,0))))),SUM($CA162:$CG162))</f>
        <v>0</v>
      </c>
      <c r="B162" s="335"/>
      <c r="C162" s="343" t="s">
        <v>504</v>
      </c>
      <c r="D162" s="137" t="s">
        <v>71</v>
      </c>
      <c r="E162" s="130" t="str" cm="1">
        <f t="array" aca="1" ref="E162" ca="1">HYPERLINK(CONCATENATE("#",CELL("address",'BS Forecasts'!$D$132)),'BS Forecasts'!$D$122)</f>
        <v>Capital Grant Liability</v>
      </c>
      <c r="F162" s="335"/>
      <c r="G162" s="335"/>
      <c r="H162" s="9" t="s">
        <v>8</v>
      </c>
      <c r="I162" s="335"/>
      <c r="P162" s="335"/>
      <c r="Q162" s="2"/>
      <c r="R162" s="335"/>
      <c r="T162" s="335"/>
      <c r="U162" s="335"/>
      <c r="V162" s="153">
        <f>'I&amp;E Monthly'!V$162</f>
        <v>0</v>
      </c>
      <c r="W162" s="153">
        <f>'I&amp;E Monthly'!W$162</f>
        <v>469</v>
      </c>
      <c r="X162" s="153">
        <f>'I&amp;E Monthly'!X$162</f>
        <v>514</v>
      </c>
      <c r="Y162" s="153">
        <f>'I&amp;E Monthly'!Y$162</f>
        <v>571</v>
      </c>
      <c r="AA162" s="153">
        <f>'I&amp;E Monthly'!AA$162</f>
        <v>36</v>
      </c>
      <c r="AB162" s="153">
        <f>'I&amp;E Monthly'!AB$162</f>
        <v>38</v>
      </c>
      <c r="AC162" s="153">
        <f>'I&amp;E Monthly'!AC$162</f>
        <v>38</v>
      </c>
      <c r="AD162" s="153">
        <f>'I&amp;E Monthly'!AD$162</f>
        <v>38</v>
      </c>
      <c r="AE162" s="153">
        <f>'I&amp;E Monthly'!AE$162</f>
        <v>38</v>
      </c>
      <c r="AF162" s="153">
        <f>'I&amp;E Monthly'!AF$162</f>
        <v>38</v>
      </c>
      <c r="AG162" s="153">
        <f>'I&amp;E Monthly'!AG$162</f>
        <v>38</v>
      </c>
      <c r="AH162" s="153">
        <f>'I&amp;E Monthly'!AH$162</f>
        <v>41</v>
      </c>
      <c r="AI162" s="153">
        <f>'I&amp;E Monthly'!AI$162</f>
        <v>41</v>
      </c>
      <c r="AJ162" s="153">
        <f>'I&amp;E Monthly'!AJ$162</f>
        <v>41</v>
      </c>
      <c r="AK162" s="153">
        <f>'I&amp;E Monthly'!AK$162</f>
        <v>41</v>
      </c>
      <c r="AL162" s="153">
        <f>'I&amp;E Monthly'!AL$162</f>
        <v>41</v>
      </c>
      <c r="AM162" s="153">
        <f>'I&amp;E Monthly'!AM$162</f>
        <v>36</v>
      </c>
      <c r="AN162" s="153">
        <f>'I&amp;E Monthly'!AN$162</f>
        <v>40</v>
      </c>
      <c r="AO162" s="153">
        <f>'I&amp;E Monthly'!AO$162</f>
        <v>40</v>
      </c>
      <c r="AP162" s="153">
        <f>'I&amp;E Monthly'!AP$162</f>
        <v>41</v>
      </c>
      <c r="AQ162" s="153">
        <f>'I&amp;E Monthly'!AQ$162</f>
        <v>41</v>
      </c>
      <c r="AR162" s="153">
        <f>'I&amp;E Monthly'!AR$162</f>
        <v>41</v>
      </c>
      <c r="AS162" s="153">
        <f>'I&amp;E Monthly'!AS$162</f>
        <v>42</v>
      </c>
      <c r="AT162" s="153">
        <f>'I&amp;E Monthly'!AT$162</f>
        <v>46</v>
      </c>
      <c r="AU162" s="153">
        <f>'I&amp;E Monthly'!AU$162</f>
        <v>46</v>
      </c>
      <c r="AV162" s="153">
        <f>'I&amp;E Monthly'!AV$162</f>
        <v>46</v>
      </c>
      <c r="AW162" s="153">
        <f>'I&amp;E Monthly'!AW$162</f>
        <v>47</v>
      </c>
      <c r="AX162" s="153">
        <f>'I&amp;E Monthly'!AX$162</f>
        <v>48</v>
      </c>
      <c r="AY162" s="153">
        <f>'I&amp;E Monthly'!AY$162</f>
        <v>43</v>
      </c>
      <c r="AZ162" s="153">
        <f>'I&amp;E Monthly'!AZ$162</f>
        <v>45</v>
      </c>
      <c r="BA162" s="153">
        <f>'I&amp;E Monthly'!BA$162</f>
        <v>46</v>
      </c>
      <c r="BB162" s="153">
        <f>'I&amp;E Monthly'!BB$162</f>
        <v>46</v>
      </c>
      <c r="BC162" s="153">
        <f>'I&amp;E Monthly'!BC$162</f>
        <v>46</v>
      </c>
      <c r="BD162" s="153">
        <f>'I&amp;E Monthly'!BD$162</f>
        <v>47</v>
      </c>
      <c r="BE162" s="153">
        <f>'I&amp;E Monthly'!BE$162</f>
        <v>47</v>
      </c>
      <c r="BF162" s="153">
        <f>'I&amp;E Monthly'!BF$162</f>
        <v>50</v>
      </c>
      <c r="BG162" s="153">
        <f>'I&amp;E Monthly'!BG$162</f>
        <v>50</v>
      </c>
      <c r="BH162" s="153">
        <f>'I&amp;E Monthly'!BH$162</f>
        <v>50</v>
      </c>
      <c r="BI162" s="153">
        <f>'I&amp;E Monthly'!BI$162</f>
        <v>50</v>
      </c>
      <c r="BJ162" s="153">
        <f>'I&amp;E Monthly'!BJ$162</f>
        <v>51</v>
      </c>
      <c r="BL162" s="153">
        <f>'I&amp;E Monthly'!BL$162</f>
        <v>0</v>
      </c>
      <c r="BM162" s="153">
        <f>'I&amp;E Monthly'!BM$162</f>
        <v>469</v>
      </c>
      <c r="BN162" s="153">
        <f>'I&amp;E Monthly'!BN$162</f>
        <v>514</v>
      </c>
      <c r="BO162" s="153">
        <f>'I&amp;E Monthly'!BO$162</f>
        <v>571</v>
      </c>
      <c r="BP162" s="153">
        <f>'I&amp;E Monthly'!BP$162</f>
        <v>0</v>
      </c>
      <c r="BQ162" s="153">
        <f>'I&amp;E Monthly'!BQ$162</f>
        <v>0</v>
      </c>
      <c r="BR162" s="153">
        <f>'I&amp;E Monthly'!BR$162</f>
        <v>0</v>
      </c>
      <c r="BS162" s="153">
        <f>'I&amp;E Monthly'!BS$162</f>
        <v>0</v>
      </c>
      <c r="BT162" s="153">
        <f>'I&amp;E Monthly'!BT$162</f>
        <v>0</v>
      </c>
      <c r="BU162" s="153">
        <f>'I&amp;E Monthly'!BU$162</f>
        <v>0</v>
      </c>
      <c r="BV162" s="153">
        <f>'I&amp;E Monthly'!BV$162</f>
        <v>0</v>
      </c>
      <c r="BW162" s="153">
        <f>'I&amp;E Monthly'!BW$162</f>
        <v>0</v>
      </c>
      <c r="BY162" s="12"/>
      <c r="BZ162" s="335"/>
      <c r="CA162" s="12"/>
      <c r="CC162" s="335"/>
      <c r="CD162" s="7">
        <f>IF(SUM($CH162:$CJ162)=0, 0, 1)</f>
        <v>0</v>
      </c>
      <c r="CE162" s="7">
        <f>IF(SUM($CK162:$CM162)=0, 0, 1)</f>
        <v>0</v>
      </c>
      <c r="CF162" s="7">
        <f>IF(CN162=0, 0, 1)</f>
        <v>0</v>
      </c>
      <c r="CG162" s="12"/>
      <c r="CH162" s="352">
        <f t="shared" ref="CH162:CJ163" si="177">IF($G162=$G$7, ROUND(W162-SUMIFS($AA162:$BJ162, $AA$3:$BJ$3, W$3), rounding), 0)</f>
        <v>0</v>
      </c>
      <c r="CI162" s="352">
        <f t="shared" si="177"/>
        <v>0</v>
      </c>
      <c r="CJ162" s="352">
        <f t="shared" si="177"/>
        <v>0</v>
      </c>
      <c r="CK162" s="352">
        <f>ROUND($BM162-SUMIFS($AA162:$BJ162, $AA$3:$BJ$3, $BM$3), rounding)</f>
        <v>0</v>
      </c>
      <c r="CL162" s="352">
        <f>ROUND($BN162-SUMIFS($AA162:$BJ162, $AA$3:$BJ$3, $BN$3), rounding)</f>
        <v>0</v>
      </c>
      <c r="CM162" s="352">
        <f>ROUND($BO162-SUMIFS($AA162:$BJ162, $AA$3:$BJ$3, $BO$3), rounding)</f>
        <v>0</v>
      </c>
      <c r="CN162" s="352">
        <f>ROUND($V162-$BL162, rounding)</f>
        <v>0</v>
      </c>
      <c r="EX162" s="10" t="str">
        <f t="shared" si="151"/>
        <v>Release of Capital Grants</v>
      </c>
    </row>
    <row r="163" spans="1:154" ht="34.5" x14ac:dyDescent="0.25">
      <c r="A163" s="362" cm="1">
        <f t="array" aca="1" ref="A163" ca="1">HYPERLINK(CONCATENATE("#",CELL("address",IF(SUM($CA163:$CG163)=0,A163,INDEX($CA163:$CG163,MATCH(1,$CA163:$CG163,0))))),SUM($CA163:$CG163))</f>
        <v>0</v>
      </c>
      <c r="B163" s="329"/>
      <c r="C163" s="340" t="s">
        <v>505</v>
      </c>
      <c r="D163" s="137" t="s">
        <v>72</v>
      </c>
      <c r="E163" s="348" t="str" cm="1">
        <f t="array" aca="1" ref="E163" ca="1">HYPERLINK(CONCATENATE("#",CELL("address",'BS Forecasts'!$D$169)),'BS Forecasts'!$D$168)</f>
        <v>Holiday and Sabbatical Pay Accrual</v>
      </c>
      <c r="F163" s="335"/>
      <c r="G163" s="335"/>
      <c r="H163" s="162" t="s">
        <v>86</v>
      </c>
      <c r="I163" s="335"/>
      <c r="P163" s="335"/>
      <c r="Q163" s="2"/>
      <c r="R163" s="335"/>
      <c r="T163" s="335"/>
      <c r="U163" s="335"/>
      <c r="V163" s="153">
        <f>'I&amp;E Monthly'!V$163</f>
        <v>0</v>
      </c>
      <c r="W163" s="153">
        <f>'I&amp;E Monthly'!W$163</f>
        <v>0</v>
      </c>
      <c r="X163" s="153">
        <f>'I&amp;E Monthly'!X$163</f>
        <v>0</v>
      </c>
      <c r="Y163" s="153">
        <f>'I&amp;E Monthly'!Y$163</f>
        <v>0</v>
      </c>
      <c r="AA163" s="153">
        <f>'I&amp;E Monthly'!AA$163</f>
        <v>0</v>
      </c>
      <c r="AB163" s="153">
        <f>'I&amp;E Monthly'!AB$163</f>
        <v>0</v>
      </c>
      <c r="AC163" s="153">
        <f>'I&amp;E Monthly'!AC$163</f>
        <v>0</v>
      </c>
      <c r="AD163" s="153">
        <f>'I&amp;E Monthly'!AD$163</f>
        <v>0</v>
      </c>
      <c r="AE163" s="153">
        <f>'I&amp;E Monthly'!AE$163</f>
        <v>0</v>
      </c>
      <c r="AF163" s="153">
        <f>'I&amp;E Monthly'!AF$163</f>
        <v>0</v>
      </c>
      <c r="AG163" s="153">
        <f>'I&amp;E Monthly'!AG$163</f>
        <v>0</v>
      </c>
      <c r="AH163" s="153">
        <f>'I&amp;E Monthly'!AH$163</f>
        <v>0</v>
      </c>
      <c r="AI163" s="153">
        <f>'I&amp;E Monthly'!AI$163</f>
        <v>0</v>
      </c>
      <c r="AJ163" s="153">
        <f>'I&amp;E Monthly'!AJ$163</f>
        <v>0</v>
      </c>
      <c r="AK163" s="153">
        <f>'I&amp;E Monthly'!AK$163</f>
        <v>0</v>
      </c>
      <c r="AL163" s="153">
        <f>'I&amp;E Monthly'!AL$163</f>
        <v>0</v>
      </c>
      <c r="AM163" s="153">
        <f>'I&amp;E Monthly'!AM$163</f>
        <v>0</v>
      </c>
      <c r="AN163" s="153">
        <f>'I&amp;E Monthly'!AN$163</f>
        <v>0</v>
      </c>
      <c r="AO163" s="153">
        <f>'I&amp;E Monthly'!AO$163</f>
        <v>0</v>
      </c>
      <c r="AP163" s="153">
        <f>'I&amp;E Monthly'!AP$163</f>
        <v>0</v>
      </c>
      <c r="AQ163" s="153">
        <f>'I&amp;E Monthly'!AQ$163</f>
        <v>0</v>
      </c>
      <c r="AR163" s="153">
        <f>'I&amp;E Monthly'!AR$163</f>
        <v>0</v>
      </c>
      <c r="AS163" s="153">
        <f>'I&amp;E Monthly'!AS$163</f>
        <v>0</v>
      </c>
      <c r="AT163" s="153">
        <f>'I&amp;E Monthly'!AT$163</f>
        <v>0</v>
      </c>
      <c r="AU163" s="153">
        <f>'I&amp;E Monthly'!AU$163</f>
        <v>0</v>
      </c>
      <c r="AV163" s="153">
        <f>'I&amp;E Monthly'!AV$163</f>
        <v>0</v>
      </c>
      <c r="AW163" s="153">
        <f>'I&amp;E Monthly'!AW$163</f>
        <v>0</v>
      </c>
      <c r="AX163" s="153">
        <f>'I&amp;E Monthly'!AX$163</f>
        <v>0</v>
      </c>
      <c r="AY163" s="153">
        <f>'I&amp;E Monthly'!AY$163</f>
        <v>0</v>
      </c>
      <c r="AZ163" s="153">
        <f>'I&amp;E Monthly'!AZ$163</f>
        <v>0</v>
      </c>
      <c r="BA163" s="153">
        <f>'I&amp;E Monthly'!BA$163</f>
        <v>0</v>
      </c>
      <c r="BB163" s="153">
        <f>'I&amp;E Monthly'!BB$163</f>
        <v>0</v>
      </c>
      <c r="BC163" s="153">
        <f>'I&amp;E Monthly'!BC$163</f>
        <v>0</v>
      </c>
      <c r="BD163" s="153">
        <f>'I&amp;E Monthly'!BD$163</f>
        <v>0</v>
      </c>
      <c r="BE163" s="153">
        <f>'I&amp;E Monthly'!BE$163</f>
        <v>0</v>
      </c>
      <c r="BF163" s="153">
        <f>'I&amp;E Monthly'!BF$163</f>
        <v>0</v>
      </c>
      <c r="BG163" s="153">
        <f>'I&amp;E Monthly'!BG$163</f>
        <v>0</v>
      </c>
      <c r="BH163" s="153">
        <f>'I&amp;E Monthly'!BH$163</f>
        <v>0</v>
      </c>
      <c r="BI163" s="153">
        <f>'I&amp;E Monthly'!BI$163</f>
        <v>0</v>
      </c>
      <c r="BJ163" s="153">
        <f>'I&amp;E Monthly'!BJ$163</f>
        <v>0</v>
      </c>
      <c r="BL163" s="153">
        <f>'I&amp;E Monthly'!BL$163</f>
        <v>0</v>
      </c>
      <c r="BM163" s="153">
        <f>'I&amp;E Monthly'!BM$163</f>
        <v>0</v>
      </c>
      <c r="BN163" s="153">
        <f>'I&amp;E Monthly'!BN$163</f>
        <v>0</v>
      </c>
      <c r="BO163" s="153">
        <f>'I&amp;E Monthly'!BO$163</f>
        <v>0</v>
      </c>
      <c r="BP163" s="153">
        <f>'I&amp;E Monthly'!BP$163</f>
        <v>0</v>
      </c>
      <c r="BQ163" s="153">
        <f>'I&amp;E Monthly'!BQ$163</f>
        <v>0</v>
      </c>
      <c r="BR163" s="153">
        <f>'I&amp;E Monthly'!BR$163</f>
        <v>0</v>
      </c>
      <c r="BS163" s="153">
        <f>'I&amp;E Monthly'!BS$163</f>
        <v>0</v>
      </c>
      <c r="BT163" s="153">
        <f>'I&amp;E Monthly'!BT$163</f>
        <v>0</v>
      </c>
      <c r="BU163" s="153">
        <f>'I&amp;E Monthly'!BU$163</f>
        <v>0</v>
      </c>
      <c r="BV163" s="153">
        <f>'I&amp;E Monthly'!BV$163</f>
        <v>0</v>
      </c>
      <c r="BW163" s="153">
        <f>'I&amp;E Monthly'!BW$163</f>
        <v>0</v>
      </c>
      <c r="BY163" s="12"/>
      <c r="BZ163" s="335"/>
      <c r="CA163" s="12"/>
      <c r="CC163" s="335"/>
      <c r="CD163" s="7">
        <f>IF(SUM($CH163:$CJ163)=0, 0, 1)</f>
        <v>0</v>
      </c>
      <c r="CE163" s="7">
        <f>IF(SUM($CK163:$CM163)=0, 0, 1)</f>
        <v>0</v>
      </c>
      <c r="CF163" s="7">
        <f>IF(CN163=0, 0, 1)</f>
        <v>0</v>
      </c>
      <c r="CG163" s="12"/>
      <c r="CH163" s="352">
        <f t="shared" si="177"/>
        <v>0</v>
      </c>
      <c r="CI163" s="352">
        <f t="shared" si="177"/>
        <v>0</v>
      </c>
      <c r="CJ163" s="352">
        <f t="shared" si="177"/>
        <v>0</v>
      </c>
      <c r="CK163" s="352">
        <f>ROUND($BM163-SUMIFS($AA163:$BJ163, $AA$3:$BJ$3, $BM$3), rounding)</f>
        <v>0</v>
      </c>
      <c r="CL163" s="352">
        <f>ROUND($BN163-SUMIFS($AA163:$BJ163, $AA$3:$BJ$3, $BN$3), rounding)</f>
        <v>0</v>
      </c>
      <c r="CM163" s="352">
        <f>ROUND($BO163-SUMIFS($AA163:$BJ163, $AA$3:$BJ$3, $BO$3), rounding)</f>
        <v>0</v>
      </c>
      <c r="CN163" s="352">
        <f>ROUND($V163-$BL163, rounding)</f>
        <v>0</v>
      </c>
      <c r="EX163" s="10" t="str">
        <f t="shared" si="151"/>
        <v>Movement in holiday pay accrual</v>
      </c>
    </row>
    <row r="164" spans="1:154" ht="6.6" customHeight="1" x14ac:dyDescent="0.25">
      <c r="A164" s="335"/>
      <c r="B164" s="329"/>
      <c r="C164" s="380"/>
      <c r="E164" s="82"/>
      <c r="F164" s="25"/>
      <c r="G164" s="25"/>
      <c r="H164" s="319"/>
      <c r="I164" s="25"/>
      <c r="P164" s="335"/>
      <c r="Q164" s="2"/>
      <c r="R164" s="335"/>
      <c r="T164" s="335"/>
      <c r="U164" s="335"/>
      <c r="V164" s="25"/>
      <c r="W164" s="25"/>
      <c r="X164" s="25"/>
      <c r="Y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L164" s="25"/>
      <c r="BM164" s="155"/>
      <c r="BN164" s="25"/>
      <c r="BO164" s="25"/>
      <c r="BP164" s="25"/>
      <c r="BQ164" s="25"/>
      <c r="BR164" s="25"/>
      <c r="BS164" s="25"/>
      <c r="BT164" s="25"/>
      <c r="BU164" s="25"/>
      <c r="BV164" s="25"/>
      <c r="BW164" s="25"/>
      <c r="BY164" s="42"/>
      <c r="BZ164" s="335"/>
      <c r="CA164" s="42"/>
      <c r="CC164" s="335"/>
      <c r="CD164" s="7"/>
      <c r="CE164" s="7"/>
      <c r="CF164" s="7"/>
      <c r="CG164" s="42"/>
      <c r="CM164" s="335"/>
      <c r="CN164" s="335"/>
      <c r="EX164" s="10" t="str">
        <f t="shared" si="151"/>
        <v/>
      </c>
    </row>
    <row r="165" spans="1:154" x14ac:dyDescent="0.25">
      <c r="A165" s="362" cm="1">
        <f t="array" aca="1" ref="A165" ca="1">HYPERLINK(CONCATENATE("#",CELL("address",IF(SUM($CA165:$CG165)=0,A165,INDEX($CA165:$CG165,MATCH(1,$CA165:$CG165,0))))),SUM($CA165:$CG165))</f>
        <v>0</v>
      </c>
      <c r="B165" s="93"/>
      <c r="C165" s="340" t="s">
        <v>506</v>
      </c>
      <c r="D165" s="36" t="s">
        <v>73</v>
      </c>
      <c r="E165" s="82"/>
      <c r="F165" s="25"/>
      <c r="G165" s="25"/>
      <c r="H165" s="319"/>
      <c r="I165" s="25"/>
      <c r="J165" s="25"/>
      <c r="P165" s="335"/>
      <c r="Q165" s="2"/>
      <c r="R165" s="335"/>
      <c r="S165" s="332"/>
      <c r="T165" s="335"/>
      <c r="U165" s="335"/>
      <c r="V165" s="152">
        <f>V160+V162-V163</f>
        <v>0</v>
      </c>
      <c r="W165" s="152">
        <f>W160+W162-W163</f>
        <v>469</v>
      </c>
      <c r="X165" s="152">
        <f>X160+X162-X163</f>
        <v>514</v>
      </c>
      <c r="Y165" s="152">
        <f>Y160+Y162-Y163</f>
        <v>571</v>
      </c>
      <c r="Z165" s="332"/>
      <c r="AA165" s="152">
        <f t="shared" ref="AA165:BJ165" si="178">AA160+AA162-AA163</f>
        <v>1901</v>
      </c>
      <c r="AB165" s="152">
        <f t="shared" si="178"/>
        <v>1305</v>
      </c>
      <c r="AC165" s="152">
        <f t="shared" si="178"/>
        <v>288</v>
      </c>
      <c r="AD165" s="152">
        <f t="shared" si="178"/>
        <v>-32</v>
      </c>
      <c r="AE165" s="152">
        <f t="shared" si="178"/>
        <v>-726</v>
      </c>
      <c r="AF165" s="152">
        <f t="shared" si="178"/>
        <v>-515</v>
      </c>
      <c r="AG165" s="152">
        <f t="shared" si="178"/>
        <v>-542</v>
      </c>
      <c r="AH165" s="152">
        <f t="shared" si="178"/>
        <v>-743</v>
      </c>
      <c r="AI165" s="152">
        <f t="shared" si="178"/>
        <v>1409</v>
      </c>
      <c r="AJ165" s="152">
        <f t="shared" si="178"/>
        <v>439</v>
      </c>
      <c r="AK165" s="152">
        <f t="shared" si="178"/>
        <v>456</v>
      </c>
      <c r="AL165" s="152">
        <f t="shared" si="178"/>
        <v>-739</v>
      </c>
      <c r="AM165" s="152">
        <f t="shared" si="178"/>
        <v>2159</v>
      </c>
      <c r="AN165" s="152">
        <f t="shared" si="178"/>
        <v>1291</v>
      </c>
      <c r="AO165" s="152">
        <f t="shared" si="178"/>
        <v>286</v>
      </c>
      <c r="AP165" s="152">
        <f t="shared" si="178"/>
        <v>-260</v>
      </c>
      <c r="AQ165" s="152">
        <f t="shared" si="178"/>
        <v>-726</v>
      </c>
      <c r="AR165" s="152">
        <f t="shared" si="178"/>
        <v>-411</v>
      </c>
      <c r="AS165" s="152">
        <f t="shared" si="178"/>
        <v>-786</v>
      </c>
      <c r="AT165" s="152">
        <f t="shared" si="178"/>
        <v>-749</v>
      </c>
      <c r="AU165" s="152">
        <f t="shared" si="178"/>
        <v>1653</v>
      </c>
      <c r="AV165" s="152">
        <f t="shared" si="178"/>
        <v>551</v>
      </c>
      <c r="AW165" s="152">
        <f t="shared" si="178"/>
        <v>153</v>
      </c>
      <c r="AX165" s="152">
        <f t="shared" si="178"/>
        <v>-597</v>
      </c>
      <c r="AY165" s="152">
        <f t="shared" si="178"/>
        <v>2214.7483333333334</v>
      </c>
      <c r="AZ165" s="152">
        <f t="shared" si="178"/>
        <v>1313.3566666666661</v>
      </c>
      <c r="BA165" s="152">
        <f t="shared" si="178"/>
        <v>301.48833333333278</v>
      </c>
      <c r="BB165" s="152">
        <f t="shared" si="178"/>
        <v>-260.61333333333323</v>
      </c>
      <c r="BC165" s="152">
        <f t="shared" si="178"/>
        <v>-738.53</v>
      </c>
      <c r="BD165" s="152">
        <f t="shared" si="178"/>
        <v>-411.22999999999979</v>
      </c>
      <c r="BE165" s="152">
        <f t="shared" si="178"/>
        <v>-799.74166666666702</v>
      </c>
      <c r="BF165" s="152">
        <f t="shared" si="178"/>
        <v>-758.5183333333332</v>
      </c>
      <c r="BG165" s="152">
        <f t="shared" si="178"/>
        <v>1712.378333333334</v>
      </c>
      <c r="BH165" s="152">
        <f t="shared" si="178"/>
        <v>605.06833333333361</v>
      </c>
      <c r="BI165" s="152">
        <f t="shared" si="178"/>
        <v>167.19333333333361</v>
      </c>
      <c r="BJ165" s="152">
        <f t="shared" si="178"/>
        <v>-600.79000000000042</v>
      </c>
      <c r="BK165" s="332"/>
      <c r="BL165" s="152">
        <f t="shared" ref="BL165:BW165" si="179">BL160+BL162-BL163</f>
        <v>0</v>
      </c>
      <c r="BM165" s="152">
        <f t="shared" si="179"/>
        <v>2501</v>
      </c>
      <c r="BN165" s="152">
        <f t="shared" si="179"/>
        <v>2564</v>
      </c>
      <c r="BO165" s="152">
        <f t="shared" si="179"/>
        <v>2744.8100000000013</v>
      </c>
      <c r="BP165" s="152">
        <f t="shared" si="179"/>
        <v>0</v>
      </c>
      <c r="BQ165" s="152">
        <f t="shared" si="179"/>
        <v>0</v>
      </c>
      <c r="BR165" s="152">
        <f t="shared" si="179"/>
        <v>0</v>
      </c>
      <c r="BS165" s="152">
        <f t="shared" si="179"/>
        <v>0</v>
      </c>
      <c r="BT165" s="152">
        <f t="shared" si="179"/>
        <v>0</v>
      </c>
      <c r="BU165" s="152">
        <f t="shared" si="179"/>
        <v>0</v>
      </c>
      <c r="BV165" s="152">
        <f t="shared" si="179"/>
        <v>0</v>
      </c>
      <c r="BW165" s="152">
        <f t="shared" si="179"/>
        <v>0</v>
      </c>
      <c r="BY165" s="12"/>
      <c r="BZ165" s="335"/>
      <c r="CA165" s="12"/>
      <c r="CC165" s="335"/>
      <c r="CD165" s="7">
        <f>IF(SUM($CH165:$CJ165)=0, 0, 1)</f>
        <v>0</v>
      </c>
      <c r="CE165" s="7">
        <f>IF(SUM($CK165:$CM165)=0, 0, 1)</f>
        <v>0</v>
      </c>
      <c r="CF165" s="7">
        <f>IF(CN165=0, 0, 1)</f>
        <v>0</v>
      </c>
      <c r="CG165" s="12"/>
      <c r="CH165" s="352">
        <f>IF($G165=$G$7, ROUND(W165-SUMIFS($AA165:$BJ165, $AA$3:$BJ$3, W$3), rounding), 0)</f>
        <v>0</v>
      </c>
      <c r="CI165" s="352">
        <f>IF($G165=$G$7, ROUND(X165-SUMIFS($AA165:$BJ165, $AA$3:$BJ$3, X$3), rounding), 0)</f>
        <v>0</v>
      </c>
      <c r="CJ165" s="352">
        <f>IF($G165=$G$7, ROUND(Y165-SUMIFS($AA165:$BJ165, $AA$3:$BJ$3, Y$3), rounding), 0)</f>
        <v>0</v>
      </c>
      <c r="CK165" s="352">
        <f>ROUND($BM165-SUMIFS($AA165:$BJ165, $AA$3:$BJ$3, $BM$3), rounding)</f>
        <v>0</v>
      </c>
      <c r="CL165" s="352">
        <f>ROUND($BN165-SUMIFS($AA165:$BJ165, $AA$3:$BJ$3, $BN$3), rounding)</f>
        <v>0</v>
      </c>
      <c r="CM165" s="352">
        <f>ROUND($BO165-SUMIFS($AA165:$BJ165, $AA$3:$BJ$3, $BO$3), rounding)</f>
        <v>0</v>
      </c>
      <c r="CN165" s="352">
        <f>ROUND($V165-$BL165, rounding)</f>
        <v>0</v>
      </c>
      <c r="EX165" s="10" t="str">
        <f t="shared" si="151"/>
        <v>Surplus/(deficit) before ITDA</v>
      </c>
    </row>
    <row r="166" spans="1:154" ht="6.6" customHeight="1" x14ac:dyDescent="0.25">
      <c r="A166" s="335"/>
      <c r="B166" s="329"/>
      <c r="C166" s="380"/>
      <c r="E166" s="25"/>
      <c r="F166" s="25"/>
      <c r="G166" s="25"/>
      <c r="H166" s="335"/>
      <c r="I166" s="25"/>
      <c r="Q166" s="2"/>
      <c r="R166" s="335"/>
      <c r="T166" s="335"/>
      <c r="U166" s="335"/>
      <c r="V166" s="25"/>
      <c r="W166" s="25"/>
      <c r="X166" s="25"/>
      <c r="Y166" s="25"/>
      <c r="Z166" s="280"/>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L166" s="25"/>
      <c r="BM166" s="155"/>
      <c r="BN166" s="25"/>
      <c r="BO166" s="25"/>
      <c r="BP166" s="25"/>
      <c r="BQ166" s="25"/>
      <c r="BR166" s="25"/>
      <c r="BS166" s="25"/>
      <c r="BT166" s="25"/>
      <c r="BU166" s="25"/>
      <c r="BV166" s="25"/>
      <c r="BW166" s="25"/>
      <c r="BY166" s="42"/>
      <c r="BZ166" s="335"/>
      <c r="CA166" s="42"/>
      <c r="CC166" s="335"/>
      <c r="CD166" s="7"/>
      <c r="CE166" s="7"/>
      <c r="CF166" s="7"/>
      <c r="CG166" s="42"/>
      <c r="CM166" s="335"/>
      <c r="CN166" s="335"/>
      <c r="EX166" s="10" t="str">
        <f t="shared" si="151"/>
        <v/>
      </c>
    </row>
    <row r="167" spans="1:154" x14ac:dyDescent="0.25">
      <c r="A167" s="335"/>
      <c r="B167" s="5"/>
      <c r="C167" s="380"/>
      <c r="D167" s="27" t="s">
        <v>74</v>
      </c>
      <c r="E167" s="82"/>
      <c r="F167" s="25"/>
      <c r="G167" s="335"/>
      <c r="H167" s="335"/>
      <c r="I167" s="335"/>
      <c r="Q167" s="2"/>
      <c r="R167" s="335"/>
      <c r="T167" s="335"/>
      <c r="U167" s="335"/>
      <c r="V167" s="25"/>
      <c r="W167" s="25"/>
      <c r="X167" s="25"/>
      <c r="Y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L167" s="25"/>
      <c r="BM167" s="25"/>
      <c r="BN167" s="25"/>
      <c r="BO167" s="25"/>
      <c r="BP167" s="25"/>
      <c r="BQ167" s="25"/>
      <c r="BR167" s="25"/>
      <c r="BS167" s="25"/>
      <c r="BT167" s="25"/>
      <c r="BU167" s="25"/>
      <c r="BV167" s="25"/>
      <c r="BW167" s="25"/>
      <c r="BY167" s="12"/>
      <c r="BZ167" s="335"/>
      <c r="CA167" s="12"/>
      <c r="CC167" s="335"/>
      <c r="CD167" s="7"/>
      <c r="CE167" s="7"/>
      <c r="CF167" s="7"/>
      <c r="CG167" s="12"/>
      <c r="CM167" s="335"/>
      <c r="CN167" s="335"/>
      <c r="EX167" s="10" t="str">
        <f t="shared" si="151"/>
        <v/>
      </c>
    </row>
    <row r="168" spans="1:154" x14ac:dyDescent="0.25">
      <c r="A168" s="362" cm="1">
        <f t="array" aca="1" ref="A168" ca="1">HYPERLINK(CONCATENATE("#",CELL("address",IF(SUM($CA168:$CG168)=0,A168,INDEX($CA168:$CG168,MATCH(1,$CA168:$CG168,0))))),SUM($CA168:$CG168))</f>
        <v>0</v>
      </c>
      <c r="B168" s="335"/>
      <c r="C168" s="340" t="s">
        <v>507</v>
      </c>
      <c r="D168" s="179" t="s">
        <v>75</v>
      </c>
      <c r="E168" s="348" t="str" cm="1">
        <f t="array" aca="1" ref="E168" ca="1">HYPERLINK(CONCATENATE("#",CELL("address",'Investing Inputs'!$D$209)),'Investing Inputs'!$D$202)</f>
        <v>Land &amp; Buildings</v>
      </c>
      <c r="F168" s="348" t="str" cm="1">
        <f t="array" aca="1" ref="F168" ca="1">HYPERLINK(CONCATENATE("#",CELL("address",'Investing Inputs'!$D$223)),'Investing Inputs'!$D$216)</f>
        <v>Equipment</v>
      </c>
      <c r="G168" s="348" t="str" cm="1">
        <f t="array" aca="1" ref="G168" ca="1">HYPERLINK(CONCATENATE("#",CELL("address",'Investing Inputs'!$D$237)),'Investing Inputs'!$D$230)</f>
        <v>Other NCA</v>
      </c>
      <c r="H168" s="162" t="s">
        <v>86</v>
      </c>
      <c r="I168" s="25"/>
      <c r="J168" s="25"/>
      <c r="Q168" s="2"/>
      <c r="R168" s="335"/>
      <c r="T168" s="335"/>
      <c r="U168" s="335"/>
      <c r="V168" s="10">
        <f>'I&amp;E Monthly'!V$168</f>
        <v>0</v>
      </c>
      <c r="W168" s="10">
        <f>'I&amp;E Monthly'!W$168</f>
        <v>1916</v>
      </c>
      <c r="X168" s="10">
        <f>'I&amp;E Monthly'!X$168</f>
        <v>1993</v>
      </c>
      <c r="Y168" s="10">
        <f>'I&amp;E Monthly'!Y$168</f>
        <v>2070</v>
      </c>
      <c r="AA168" s="10">
        <f>'I&amp;E Monthly'!AA$168</f>
        <v>156</v>
      </c>
      <c r="AB168" s="10">
        <f>'I&amp;E Monthly'!AB$168</f>
        <v>151</v>
      </c>
      <c r="AC168" s="10">
        <f>'I&amp;E Monthly'!AC$168</f>
        <v>152</v>
      </c>
      <c r="AD168" s="10">
        <f>'I&amp;E Monthly'!AD$168</f>
        <v>154</v>
      </c>
      <c r="AE168" s="10">
        <f>'I&amp;E Monthly'!AE$168</f>
        <v>155</v>
      </c>
      <c r="AF168" s="10">
        <f>'I&amp;E Monthly'!AF$168</f>
        <v>154</v>
      </c>
      <c r="AG168" s="10">
        <f>'I&amp;E Monthly'!AG$168</f>
        <v>155</v>
      </c>
      <c r="AH168" s="10">
        <f>'I&amp;E Monthly'!AH$168</f>
        <v>151</v>
      </c>
      <c r="AI168" s="10">
        <f>'I&amp;E Monthly'!AI$168</f>
        <v>153</v>
      </c>
      <c r="AJ168" s="10">
        <f>'I&amp;E Monthly'!AJ$168</f>
        <v>151</v>
      </c>
      <c r="AK168" s="10">
        <f>'I&amp;E Monthly'!AK$168</f>
        <v>192</v>
      </c>
      <c r="AL168" s="10">
        <f>'I&amp;E Monthly'!AL$168</f>
        <v>192</v>
      </c>
      <c r="AM168" s="10">
        <f>'I&amp;E Monthly'!AM$168</f>
        <v>156</v>
      </c>
      <c r="AN168" s="10">
        <f>'I&amp;E Monthly'!AN$168</f>
        <v>155</v>
      </c>
      <c r="AO168" s="10">
        <f>'I&amp;E Monthly'!AO$168</f>
        <v>156</v>
      </c>
      <c r="AP168" s="10">
        <f>'I&amp;E Monthly'!AP$168</f>
        <v>159</v>
      </c>
      <c r="AQ168" s="10">
        <f>'I&amp;E Monthly'!AQ$168</f>
        <v>160</v>
      </c>
      <c r="AR168" s="10">
        <f>'I&amp;E Monthly'!AR$168</f>
        <v>160</v>
      </c>
      <c r="AS168" s="10">
        <f>'I&amp;E Monthly'!AS$168</f>
        <v>162</v>
      </c>
      <c r="AT168" s="10">
        <f>'I&amp;E Monthly'!AT$168</f>
        <v>159</v>
      </c>
      <c r="AU168" s="10">
        <f>'I&amp;E Monthly'!AU$168</f>
        <v>161</v>
      </c>
      <c r="AV168" s="10">
        <f>'I&amp;E Monthly'!AV$168</f>
        <v>160</v>
      </c>
      <c r="AW168" s="10">
        <f>'I&amp;E Monthly'!AW$168</f>
        <v>202</v>
      </c>
      <c r="AX168" s="10">
        <f>'I&amp;E Monthly'!AX$168</f>
        <v>203</v>
      </c>
      <c r="AY168" s="10">
        <f>'I&amp;E Monthly'!AY$168</f>
        <v>167</v>
      </c>
      <c r="AZ168" s="10">
        <f>'I&amp;E Monthly'!AZ$168</f>
        <v>162</v>
      </c>
      <c r="BA168" s="10">
        <f>'I&amp;E Monthly'!BA$168</f>
        <v>164</v>
      </c>
      <c r="BB168" s="10">
        <f>'I&amp;E Monthly'!BB$168</f>
        <v>166</v>
      </c>
      <c r="BC168" s="10">
        <f>'I&amp;E Monthly'!BC$168</f>
        <v>167</v>
      </c>
      <c r="BD168" s="10">
        <f>'I&amp;E Monthly'!BD$168</f>
        <v>167</v>
      </c>
      <c r="BE168" s="10">
        <f>'I&amp;E Monthly'!BE$168</f>
        <v>168</v>
      </c>
      <c r="BF168" s="10">
        <f>'I&amp;E Monthly'!BF$168</f>
        <v>164</v>
      </c>
      <c r="BG168" s="10">
        <f>'I&amp;E Monthly'!BG$168</f>
        <v>167</v>
      </c>
      <c r="BH168" s="10">
        <f>'I&amp;E Monthly'!BH$168</f>
        <v>165</v>
      </c>
      <c r="BI168" s="10">
        <f>'I&amp;E Monthly'!BI$168</f>
        <v>206</v>
      </c>
      <c r="BJ168" s="10">
        <f>'I&amp;E Monthly'!BJ$168</f>
        <v>207</v>
      </c>
      <c r="BL168" s="10">
        <f>'I&amp;E Monthly'!BL$168</f>
        <v>0</v>
      </c>
      <c r="BM168" s="10">
        <f>'I&amp;E Monthly'!BM$168</f>
        <v>1916</v>
      </c>
      <c r="BN168" s="10">
        <f>'I&amp;E Monthly'!BN$168</f>
        <v>1993</v>
      </c>
      <c r="BO168" s="10">
        <f>'I&amp;E Monthly'!BO$168</f>
        <v>2070</v>
      </c>
      <c r="BP168" s="10">
        <f>'I&amp;E Monthly'!BP$168</f>
        <v>0</v>
      </c>
      <c r="BQ168" s="10">
        <f>'I&amp;E Monthly'!BQ$168</f>
        <v>0</v>
      </c>
      <c r="BR168" s="10">
        <f>'I&amp;E Monthly'!BR$168</f>
        <v>0</v>
      </c>
      <c r="BS168" s="10">
        <f>'I&amp;E Monthly'!BS$168</f>
        <v>0</v>
      </c>
      <c r="BT168" s="10">
        <f>'I&amp;E Monthly'!BT$168</f>
        <v>0</v>
      </c>
      <c r="BU168" s="10">
        <f>'I&amp;E Monthly'!BU$168</f>
        <v>0</v>
      </c>
      <c r="BV168" s="10">
        <f>'I&amp;E Monthly'!BV$168</f>
        <v>0</v>
      </c>
      <c r="BW168" s="10">
        <f>'I&amp;E Monthly'!BW$168</f>
        <v>0</v>
      </c>
      <c r="BY168" s="12"/>
      <c r="BZ168" s="335"/>
      <c r="CA168" s="12"/>
      <c r="CC168" s="335"/>
      <c r="CD168" s="7">
        <f t="shared" ref="CD168:CD173" ca="1" si="180">IF(SUM($CH168:$CJ168)=0, 0, 1)</f>
        <v>0</v>
      </c>
      <c r="CE168" s="7">
        <f t="shared" ref="CE168:CE173" si="181">IF(SUM($CK168:$CM168)=0, 0, 1)</f>
        <v>0</v>
      </c>
      <c r="CF168" s="7">
        <f t="shared" ref="CF168:CF173" si="182">IF(CN168=0, 0, 1)</f>
        <v>0</v>
      </c>
      <c r="CG168" s="12"/>
      <c r="CH168" s="352">
        <f t="shared" ref="CH168:CJ173" ca="1" si="183">IF($G168=$G$7, ROUND(W168-SUMIFS($AA168:$BJ168, $AA$3:$BJ$3, W$3), rounding), 0)</f>
        <v>0</v>
      </c>
      <c r="CI168" s="352">
        <f t="shared" ca="1" si="183"/>
        <v>0</v>
      </c>
      <c r="CJ168" s="352">
        <f t="shared" ca="1" si="183"/>
        <v>0</v>
      </c>
      <c r="CK168" s="352">
        <f t="shared" ref="CK168:CK173" si="184">ROUND($BM168-SUMIFS($AA168:$BJ168, $AA$3:$BJ$3, $BM$3), rounding)</f>
        <v>0</v>
      </c>
      <c r="CL168" s="352">
        <f t="shared" ref="CL168:CL173" si="185">ROUND($BN168-SUMIFS($AA168:$BJ168, $AA$3:$BJ$3, $BN$3), rounding)</f>
        <v>0</v>
      </c>
      <c r="CM168" s="352">
        <f t="shared" ref="CM168:CM173" si="186">ROUND($BO168-SUMIFS($AA168:$BJ168, $AA$3:$BJ$3, $BO$3), rounding)</f>
        <v>0</v>
      </c>
      <c r="CN168" s="352">
        <f t="shared" ref="CN168:CN173" si="187">ROUND($V168-$BL168, rounding)</f>
        <v>0</v>
      </c>
      <c r="EX168" s="10" t="str">
        <f t="shared" si="151"/>
        <v>Depreciation and amortisation</v>
      </c>
    </row>
    <row r="169" spans="1:154" ht="15.75" x14ac:dyDescent="0.3">
      <c r="A169" s="362" cm="1">
        <f t="array" aca="1" ref="A169" ca="1">HYPERLINK(CONCATENATE("#",CELL("address",IF(SUM($CA169:$CG169)=0,A169,INDEX($CA169:$CG169,MATCH(1,$CA169:$CG169,0))))),SUM($CA169:$CG169))</f>
        <v>0</v>
      </c>
      <c r="B169" s="105" t="s">
        <v>335</v>
      </c>
      <c r="C169" s="340" t="s">
        <v>508</v>
      </c>
      <c r="D169" s="39" t="s">
        <v>76</v>
      </c>
      <c r="E169" s="147"/>
      <c r="F169" s="98" t="str" cm="1">
        <f t="array" aca="1" ref="F169" ca="1">IF(E169="", "", HYPERLINK(CONCATENATE("#",CELL("address",INDEX('I&amp;E Profiles'!$D$9:$D$93,'I&amp;E Annual'!I169))),E169))</f>
        <v/>
      </c>
      <c r="G169" s="147" t="s">
        <v>211</v>
      </c>
      <c r="H169" s="319" t="s">
        <v>8</v>
      </c>
      <c r="I169" s="350" t="str">
        <f>IF(E169="", "", MATCH(E169, 'I&amp;E Profiles'!$D$96:$D$180,0))</f>
        <v/>
      </c>
      <c r="J169" s="215">
        <f>IF($G169=$G$7, W169,'I&amp;E Monthly'!W169)-SUMIFS('I&amp;E Monthly'!$AA169:$BJ169, 'I&amp;E Monthly'!$AA$3:$BJ$3, 'I&amp;E Annual'!W$3, 'I&amp;E Monthly'!$AA$4:$BJ$4, 0)</f>
        <v>0</v>
      </c>
      <c r="K169" s="215">
        <f>IF($G169=$G$7, X169,'I&amp;E Monthly'!X169)-SUMIFS('I&amp;E Monthly'!$AA169:$BJ169, 'I&amp;E Monthly'!$AA$3:$BJ$3, 'I&amp;E Annual'!X$3, 'I&amp;E Monthly'!$AA$4:$BJ$4, 0)</f>
        <v>10</v>
      </c>
      <c r="L169" s="215">
        <f>IF($G169=$G$7, Y169,'I&amp;E Monthly'!Y169)-SUMIFS('I&amp;E Monthly'!$AA169:$BJ169, 'I&amp;E Monthly'!$AA$3:$BJ$3, 'I&amp;E Annual'!Y$3, 'I&amp;E Monthly'!$AA$4:$BJ$4, 0)</f>
        <v>12</v>
      </c>
      <c r="M169" s="335"/>
      <c r="N169" s="335"/>
      <c r="O169" s="335"/>
      <c r="P169" s="335"/>
      <c r="Q169" s="2"/>
      <c r="R169" s="335"/>
      <c r="S169" s="335"/>
      <c r="T169" s="335"/>
      <c r="U169" s="335"/>
      <c r="V169" s="201">
        <f>'I&amp;E Monthly'!V169</f>
        <v>0</v>
      </c>
      <c r="W169" s="372"/>
      <c r="X169" s="198"/>
      <c r="Y169" s="198"/>
      <c r="Z169" s="335"/>
      <c r="AA169" s="153" cm="1">
        <f t="array" ref="AA169">IF(OR(AA$4=0, $G169&lt;&gt; $G$7, $E169=0), 'I&amp;E Monthly'!AA169, CHOOSE(Timeline!AA$30,$J169,$K169,$L169 )*INDEX('I&amp;E Profiles'!AA$96:AA$180,$I169))</f>
        <v>0</v>
      </c>
      <c r="AB169" s="153" cm="1">
        <f t="array" ref="AB169">IF(OR(AB$4=0, $G169&lt;&gt; $G$7, $E169=0), 'I&amp;E Monthly'!AB169, CHOOSE(Timeline!AB$30,$J169,$K169,$L169 )*INDEX('I&amp;E Profiles'!AB$96:AB$180,$I169))</f>
        <v>0</v>
      </c>
      <c r="AC169" s="153" cm="1">
        <f t="array" ref="AC169">IF(OR(AC$4=0, $G169&lt;&gt; $G$7, $E169=0), 'I&amp;E Monthly'!AC169, CHOOSE(Timeline!AC$30,$J169,$K169,$L169 )*INDEX('I&amp;E Profiles'!AC$96:AC$180,$I169))</f>
        <v>0</v>
      </c>
      <c r="AD169" s="153" cm="1">
        <f t="array" ref="AD169">IF(OR(AD$4=0, $G169&lt;&gt; $G$7, $E169=0), 'I&amp;E Monthly'!AD169, CHOOSE(Timeline!AD$30,$J169,$K169,$L169 )*INDEX('I&amp;E Profiles'!AD$96:AD$180,$I169))</f>
        <v>0</v>
      </c>
      <c r="AE169" s="153" cm="1">
        <f t="array" ref="AE169">IF(OR(AE$4=0, $G169&lt;&gt; $G$7, $E169=0), 'I&amp;E Monthly'!AE169, CHOOSE(Timeline!AE$30,$J169,$K169,$L169 )*INDEX('I&amp;E Profiles'!AE$96:AE$180,$I169))</f>
        <v>0</v>
      </c>
      <c r="AF169" s="153" cm="1">
        <f t="array" ref="AF169">IF(OR(AF$4=0, $G169&lt;&gt; $G$7, $E169=0), 'I&amp;E Monthly'!AF169, CHOOSE(Timeline!AF$30,$J169,$K169,$L169 )*INDEX('I&amp;E Profiles'!AF$96:AF$180,$I169))</f>
        <v>0</v>
      </c>
      <c r="AG169" s="153" cm="1">
        <f t="array" ref="AG169">IF(OR(AG$4=0, $G169&lt;&gt; $G$7, $E169=0), 'I&amp;E Monthly'!AG169, CHOOSE(Timeline!AG$30,$J169,$K169,$L169 )*INDEX('I&amp;E Profiles'!AG$96:AG$180,$I169))</f>
        <v>0</v>
      </c>
      <c r="AH169" s="153" cm="1">
        <f t="array" ref="AH169">IF(OR(AH$4=0, $G169&lt;&gt; $G$7, $E169=0), 'I&amp;E Monthly'!AH169, CHOOSE(Timeline!AH$30,$J169,$K169,$L169 )*INDEX('I&amp;E Profiles'!AH$96:AH$180,$I169))</f>
        <v>0</v>
      </c>
      <c r="AI169" s="153" cm="1">
        <f t="array" ref="AI169">IF(OR(AI$4=0, $G169&lt;&gt; $G$7, $E169=0), 'I&amp;E Monthly'!AI169, CHOOSE(Timeline!AI$30,$J169,$K169,$L169 )*INDEX('I&amp;E Profiles'!AI$96:AI$180,$I169))</f>
        <v>0</v>
      </c>
      <c r="AJ169" s="153" cm="1">
        <f t="array" ref="AJ169">IF(OR(AJ$4=0, $G169&lt;&gt; $G$7, $E169=0), 'I&amp;E Monthly'!AJ169, CHOOSE(Timeline!AJ$30,$J169,$K169,$L169 )*INDEX('I&amp;E Profiles'!AJ$96:AJ$180,$I169))</f>
        <v>0</v>
      </c>
      <c r="AK169" s="153" cm="1">
        <f t="array" ref="AK169">IF(OR(AK$4=0, $G169&lt;&gt; $G$7, $E169=0), 'I&amp;E Monthly'!AK169, CHOOSE(Timeline!AK$30,$J169,$K169,$L169 )*INDEX('I&amp;E Profiles'!AK$96:AK$180,$I169))</f>
        <v>0</v>
      </c>
      <c r="AL169" s="153" cm="1">
        <f t="array" ref="AL169">IF(OR(AL$4=0, $G169&lt;&gt; $G$7, $E169=0), 'I&amp;E Monthly'!AL169, CHOOSE(Timeline!AL$30,$J169,$K169,$L169 )*INDEX('I&amp;E Profiles'!AL$96:AL$180,$I169))</f>
        <v>0</v>
      </c>
      <c r="AM169" s="153" cm="1">
        <f t="array" ref="AM169">IF(OR(AM$4=0, $G169&lt;&gt; $G$7, $E169=0), 'I&amp;E Monthly'!AM169, CHOOSE(Timeline!AM$30,$J169,$K169,$L169 )*INDEX('I&amp;E Profiles'!AM$96:AM$180,$I169))</f>
        <v>0</v>
      </c>
      <c r="AN169" s="153" cm="1">
        <f t="array" ref="AN169">IF(OR(AN$4=0, $G169&lt;&gt; $G$7, $E169=0), 'I&amp;E Monthly'!AN169, CHOOSE(Timeline!AN$30,$J169,$K169,$L169 )*INDEX('I&amp;E Profiles'!AN$96:AN$180,$I169))</f>
        <v>0</v>
      </c>
      <c r="AO169" s="153" cm="1">
        <f t="array" ref="AO169">IF(OR(AO$4=0, $G169&lt;&gt; $G$7, $E169=0), 'I&amp;E Monthly'!AO169, CHOOSE(Timeline!AO$30,$J169,$K169,$L169 )*INDEX('I&amp;E Profiles'!AO$96:AO$180,$I169))</f>
        <v>1</v>
      </c>
      <c r="AP169" s="153" cm="1">
        <f t="array" ref="AP169">IF(OR(AP$4=0, $G169&lt;&gt; $G$7, $E169=0), 'I&amp;E Monthly'!AP169, CHOOSE(Timeline!AP$30,$J169,$K169,$L169 )*INDEX('I&amp;E Profiles'!AP$96:AP$180,$I169))</f>
        <v>1</v>
      </c>
      <c r="AQ169" s="153" cm="1">
        <f t="array" ref="AQ169">IF(OR(AQ$4=0, $G169&lt;&gt; $G$7, $E169=0), 'I&amp;E Monthly'!AQ169, CHOOSE(Timeline!AQ$30,$J169,$K169,$L169 )*INDEX('I&amp;E Profiles'!AQ$96:AQ$180,$I169))</f>
        <v>1</v>
      </c>
      <c r="AR169" s="153" cm="1">
        <f t="array" ref="AR169">IF(OR(AR$4=0, $G169&lt;&gt; $G$7, $E169=0), 'I&amp;E Monthly'!AR169, CHOOSE(Timeline!AR$30,$J169,$K169,$L169 )*INDEX('I&amp;E Profiles'!AR$96:AR$180,$I169))</f>
        <v>1</v>
      </c>
      <c r="AS169" s="153" cm="1">
        <f t="array" ref="AS169">IF(OR(AS$4=0, $G169&lt;&gt; $G$7, $E169=0), 'I&amp;E Monthly'!AS169, CHOOSE(Timeline!AS$30,$J169,$K169,$L169 )*INDEX('I&amp;E Profiles'!AS$96:AS$180,$I169))</f>
        <v>1</v>
      </c>
      <c r="AT169" s="153" cm="1">
        <f t="array" ref="AT169">IF(OR(AT$4=0, $G169&lt;&gt; $G$7, $E169=0), 'I&amp;E Monthly'!AT169, CHOOSE(Timeline!AT$30,$J169,$K169,$L169 )*INDEX('I&amp;E Profiles'!AT$96:AT$180,$I169))</f>
        <v>1</v>
      </c>
      <c r="AU169" s="153" cm="1">
        <f t="array" ref="AU169">IF(OR(AU$4=0, $G169&lt;&gt; $G$7, $E169=0), 'I&amp;E Monthly'!AU169, CHOOSE(Timeline!AU$30,$J169,$K169,$L169 )*INDEX('I&amp;E Profiles'!AU$96:AU$180,$I169))</f>
        <v>1</v>
      </c>
      <c r="AV169" s="153" cm="1">
        <f t="array" ref="AV169">IF(OR(AV$4=0, $G169&lt;&gt; $G$7, $E169=0), 'I&amp;E Monthly'!AV169, CHOOSE(Timeline!AV$30,$J169,$K169,$L169 )*INDEX('I&amp;E Profiles'!AV$96:AV$180,$I169))</f>
        <v>1</v>
      </c>
      <c r="AW169" s="153" cm="1">
        <f t="array" ref="AW169">IF(OR(AW$4=0, $G169&lt;&gt; $G$7, $E169=0), 'I&amp;E Monthly'!AW169, CHOOSE(Timeline!AW$30,$J169,$K169,$L169 )*INDEX('I&amp;E Profiles'!AW$96:AW$180,$I169))</f>
        <v>1</v>
      </c>
      <c r="AX169" s="153" cm="1">
        <f t="array" ref="AX169">IF(OR(AX$4=0, $G169&lt;&gt; $G$7, $E169=0), 'I&amp;E Monthly'!AX169, CHOOSE(Timeline!AX$30,$J169,$K169,$L169 )*INDEX('I&amp;E Profiles'!AX$96:AX$180,$I169))</f>
        <v>1</v>
      </c>
      <c r="AY169" s="153" cm="1">
        <f t="array" ref="AY169">IF(OR(AY$4=0, $G169&lt;&gt; $G$7, $E169=0), 'I&amp;E Monthly'!AY169, CHOOSE(Timeline!AY$30,$J169,$K169,$L169 )*INDEX('I&amp;E Profiles'!AY$96:AY$180,$I169))</f>
        <v>1</v>
      </c>
      <c r="AZ169" s="153" cm="1">
        <f t="array" ref="AZ169">IF(OR(AZ$4=0, $G169&lt;&gt; $G$7, $E169=0), 'I&amp;E Monthly'!AZ169, CHOOSE(Timeline!AZ$30,$J169,$K169,$L169 )*INDEX('I&amp;E Profiles'!AZ$96:AZ$180,$I169))</f>
        <v>1</v>
      </c>
      <c r="BA169" s="153" cm="1">
        <f t="array" ref="BA169">IF(OR(BA$4=0, $G169&lt;&gt; $G$7, $E169=0), 'I&amp;E Monthly'!BA169, CHOOSE(Timeline!BA$30,$J169,$K169,$L169 )*INDEX('I&amp;E Profiles'!BA$96:BA$180,$I169))</f>
        <v>1</v>
      </c>
      <c r="BB169" s="153" cm="1">
        <f t="array" ref="BB169">IF(OR(BB$4=0, $G169&lt;&gt; $G$7, $E169=0), 'I&amp;E Monthly'!BB169, CHOOSE(Timeline!BB$30,$J169,$K169,$L169 )*INDEX('I&amp;E Profiles'!BB$96:BB$180,$I169))</f>
        <v>1</v>
      </c>
      <c r="BC169" s="153" cm="1">
        <f t="array" ref="BC169">IF(OR(BC$4=0, $G169&lt;&gt; $G$7, $E169=0), 'I&amp;E Monthly'!BC169, CHOOSE(Timeline!BC$30,$J169,$K169,$L169 )*INDEX('I&amp;E Profiles'!BC$96:BC$180,$I169))</f>
        <v>1</v>
      </c>
      <c r="BD169" s="153" cm="1">
        <f t="array" ref="BD169">IF(OR(BD$4=0, $G169&lt;&gt; $G$7, $E169=0), 'I&amp;E Monthly'!BD169, CHOOSE(Timeline!BD$30,$J169,$K169,$L169 )*INDEX('I&amp;E Profiles'!BD$96:BD$180,$I169))</f>
        <v>1</v>
      </c>
      <c r="BE169" s="153" cm="1">
        <f t="array" ref="BE169">IF(OR(BE$4=0, $G169&lt;&gt; $G$7, $E169=0), 'I&amp;E Monthly'!BE169, CHOOSE(Timeline!BE$30,$J169,$K169,$L169 )*INDEX('I&amp;E Profiles'!BE$96:BE$180,$I169))</f>
        <v>1</v>
      </c>
      <c r="BF169" s="153" cm="1">
        <f t="array" ref="BF169">IF(OR(BF$4=0, $G169&lt;&gt; $G$7, $E169=0), 'I&amp;E Monthly'!BF169, CHOOSE(Timeline!BF$30,$J169,$K169,$L169 )*INDEX('I&amp;E Profiles'!BF$96:BF$180,$I169))</f>
        <v>1</v>
      </c>
      <c r="BG169" s="153" cm="1">
        <f t="array" ref="BG169">IF(OR(BG$4=0, $G169&lt;&gt; $G$7, $E169=0), 'I&amp;E Monthly'!BG169, CHOOSE(Timeline!BG$30,$J169,$K169,$L169 )*INDEX('I&amp;E Profiles'!BG$96:BG$180,$I169))</f>
        <v>1</v>
      </c>
      <c r="BH169" s="153" cm="1">
        <f t="array" ref="BH169">IF(OR(BH$4=0, $G169&lt;&gt; $G$7, $E169=0), 'I&amp;E Monthly'!BH169, CHOOSE(Timeline!BH$30,$J169,$K169,$L169 )*INDEX('I&amp;E Profiles'!BH$96:BH$180,$I169))</f>
        <v>1</v>
      </c>
      <c r="BI169" s="153" cm="1">
        <f t="array" ref="BI169">IF(OR(BI$4=0, $G169&lt;&gt; $G$7, $E169=0), 'I&amp;E Monthly'!BI169, CHOOSE(Timeline!BI$30,$J169,$K169,$L169 )*INDEX('I&amp;E Profiles'!BI$96:BI$180,$I169))</f>
        <v>1</v>
      </c>
      <c r="BJ169" s="153" cm="1">
        <f t="array" ref="BJ169">IF(OR(BJ$4=0, $G169&lt;&gt; $G$7, $E169=0), 'I&amp;E Monthly'!BJ169, CHOOSE(Timeline!BJ$30,$J169,$K169,$L169 )*INDEX('I&amp;E Profiles'!BJ$96:BJ$180,$I169))</f>
        <v>1</v>
      </c>
      <c r="BK169" s="335"/>
      <c r="BL169" s="13">
        <f>V169</f>
        <v>0</v>
      </c>
      <c r="BM169" s="153">
        <f>SUMIFS($AA169:$BJ169, $AA$3:$BJ$3,BM$3)</f>
        <v>0</v>
      </c>
      <c r="BN169" s="153">
        <f>SUMIFS($AA169:$BJ169, $AA$3:$BJ$3,BN$3)</f>
        <v>10</v>
      </c>
      <c r="BO169" s="153">
        <f>SUMIFS($AA169:$BJ169, $AA$3:$BJ$3,BO$3)</f>
        <v>12</v>
      </c>
      <c r="BP169" s="13">
        <f>'I&amp;E Monthly'!BP169</f>
        <v>0</v>
      </c>
      <c r="BQ169" s="13">
        <f>'I&amp;E Monthly'!BQ169</f>
        <v>0</v>
      </c>
      <c r="BR169" s="13">
        <f>'I&amp;E Monthly'!BR169</f>
        <v>0</v>
      </c>
      <c r="BS169" s="13">
        <f>'I&amp;E Monthly'!BS169</f>
        <v>0</v>
      </c>
      <c r="BT169" s="13">
        <f>'I&amp;E Monthly'!BT169</f>
        <v>0</v>
      </c>
      <c r="BU169" s="13">
        <f>'I&amp;E Monthly'!BU169</f>
        <v>0</v>
      </c>
      <c r="BV169" s="13">
        <f>'I&amp;E Monthly'!BV169</f>
        <v>0</v>
      </c>
      <c r="BW169" s="13">
        <f>'I&amp;E Monthly'!BW169</f>
        <v>0</v>
      </c>
      <c r="BX169" s="335"/>
      <c r="BY169" s="12"/>
      <c r="BZ169" s="363">
        <f ca="1">IF(MIN($V169:$BW169)&lt;0, 1, 0)*$I$7</f>
        <v>0</v>
      </c>
      <c r="CA169" s="12"/>
      <c r="CB169" s="7">
        <f>IF(AND($G169=$G$7,$E169=""), 1, 0)</f>
        <v>0</v>
      </c>
      <c r="CC169" s="188" cm="1">
        <f t="array" ref="CC169">IF(E169="",0, IF(_xlfn.IFNA(INDEX('I&amp;E Profiles'!$D$96:$D$180, $I169), "N/A")="N/A", 1, 0))</f>
        <v>0</v>
      </c>
      <c r="CD169" s="7">
        <f t="shared" si="180"/>
        <v>0</v>
      </c>
      <c r="CE169" s="7">
        <f t="shared" si="181"/>
        <v>0</v>
      </c>
      <c r="CF169" s="7">
        <f t="shared" si="182"/>
        <v>0</v>
      </c>
      <c r="CG169" s="12"/>
      <c r="CH169" s="352">
        <f t="shared" si="183"/>
        <v>0</v>
      </c>
      <c r="CI169" s="352">
        <f t="shared" si="183"/>
        <v>0</v>
      </c>
      <c r="CJ169" s="352">
        <f t="shared" si="183"/>
        <v>0</v>
      </c>
      <c r="CK169" s="352">
        <f t="shared" si="184"/>
        <v>0</v>
      </c>
      <c r="CL169" s="352">
        <f t="shared" si="185"/>
        <v>0</v>
      </c>
      <c r="CM169" s="352">
        <f t="shared" si="186"/>
        <v>0</v>
      </c>
      <c r="CN169" s="352">
        <f t="shared" si="187"/>
        <v>0</v>
      </c>
      <c r="EX169" s="10" t="str">
        <f t="shared" si="151"/>
        <v>Interest and investment income</v>
      </c>
    </row>
    <row r="170" spans="1:154" ht="34.5" x14ac:dyDescent="0.25">
      <c r="A170" s="362" cm="1">
        <f t="array" aca="1" ref="A170" ca="1">HYPERLINK(CONCATENATE("#",CELL("address",IF(SUM($CA170:$CG170)=0,A170,INDEX($CA170:$CG170,MATCH(1,$CA170:$CG170,0))))),SUM($CA170:$CG170))</f>
        <v>0</v>
      </c>
      <c r="B170" s="329"/>
      <c r="C170" s="340" t="s">
        <v>509</v>
      </c>
      <c r="D170" s="134" t="s">
        <v>77</v>
      </c>
      <c r="E170" s="348" t="str" cm="1">
        <f t="array" aca="1" ref="E170" ca="1">HYPERLINK(CONCATENATE("#",CELL("address",'BS Forecasts'!$D$108)),'BS Forecasts'!$D$105)</f>
        <v>Finance Lease Obligations</v>
      </c>
      <c r="F170" s="348" t="str" cm="1">
        <f t="array" aca="1" ref="F170" ca="1">HYPERLINK(CONCATENATE("#",CELL("address",Loans!$D$1147)),Loans!$D$1143)</f>
        <v>Interest Expense and Early Repayment Fee</v>
      </c>
      <c r="G170" s="335"/>
      <c r="H170" s="162" t="s">
        <v>86</v>
      </c>
      <c r="I170" s="25"/>
      <c r="Q170" s="2"/>
      <c r="R170" s="335"/>
      <c r="T170" s="335"/>
      <c r="U170" s="335"/>
      <c r="V170" s="153">
        <f>'I&amp;E Monthly'!V$170</f>
        <v>0</v>
      </c>
      <c r="W170" s="153">
        <f>'I&amp;E Monthly'!W$170</f>
        <v>145</v>
      </c>
      <c r="X170" s="153">
        <f>'I&amp;E Monthly'!X$170</f>
        <v>145</v>
      </c>
      <c r="Y170" s="153">
        <f>'I&amp;E Monthly'!Y$170</f>
        <v>145</v>
      </c>
      <c r="AA170" s="153">
        <f>'I&amp;E Monthly'!AA$170</f>
        <v>25</v>
      </c>
      <c r="AB170" s="153">
        <f>'I&amp;E Monthly'!AB$170</f>
        <v>6</v>
      </c>
      <c r="AC170" s="153">
        <f>'I&amp;E Monthly'!AC$170</f>
        <v>6</v>
      </c>
      <c r="AD170" s="153">
        <f>'I&amp;E Monthly'!AD$170</f>
        <v>24</v>
      </c>
      <c r="AE170" s="153">
        <f>'I&amp;E Monthly'!AE$170</f>
        <v>6</v>
      </c>
      <c r="AF170" s="153">
        <f>'I&amp;E Monthly'!AF$170</f>
        <v>6</v>
      </c>
      <c r="AG170" s="153">
        <f>'I&amp;E Monthly'!AG$170</f>
        <v>24</v>
      </c>
      <c r="AH170" s="153">
        <f>'I&amp;E Monthly'!AH$170</f>
        <v>6</v>
      </c>
      <c r="AI170" s="153">
        <f>'I&amp;E Monthly'!AI$170</f>
        <v>6</v>
      </c>
      <c r="AJ170" s="153">
        <f>'I&amp;E Monthly'!AJ$170</f>
        <v>24</v>
      </c>
      <c r="AK170" s="153">
        <f>'I&amp;E Monthly'!AK$170</f>
        <v>6</v>
      </c>
      <c r="AL170" s="153">
        <f>'I&amp;E Monthly'!AL$170</f>
        <v>6</v>
      </c>
      <c r="AM170" s="153">
        <f>'I&amp;E Monthly'!AM$170</f>
        <v>25</v>
      </c>
      <c r="AN170" s="153">
        <f>'I&amp;E Monthly'!AN$170</f>
        <v>6</v>
      </c>
      <c r="AO170" s="153">
        <f>'I&amp;E Monthly'!AO$170</f>
        <v>6</v>
      </c>
      <c r="AP170" s="153">
        <f>'I&amp;E Monthly'!AP$170</f>
        <v>24</v>
      </c>
      <c r="AQ170" s="153">
        <f>'I&amp;E Monthly'!AQ$170</f>
        <v>6</v>
      </c>
      <c r="AR170" s="153">
        <f>'I&amp;E Monthly'!AR$170</f>
        <v>6</v>
      </c>
      <c r="AS170" s="153">
        <f>'I&amp;E Monthly'!AS$170</f>
        <v>24</v>
      </c>
      <c r="AT170" s="153">
        <f>'I&amp;E Monthly'!AT$170</f>
        <v>6</v>
      </c>
      <c r="AU170" s="153">
        <f>'I&amp;E Monthly'!AU$170</f>
        <v>6</v>
      </c>
      <c r="AV170" s="153">
        <f>'I&amp;E Monthly'!AV$170</f>
        <v>24</v>
      </c>
      <c r="AW170" s="153">
        <f>'I&amp;E Monthly'!AW$170</f>
        <v>6</v>
      </c>
      <c r="AX170" s="153">
        <f>'I&amp;E Monthly'!AX$170</f>
        <v>6</v>
      </c>
      <c r="AY170" s="153">
        <f>'I&amp;E Monthly'!AY$170</f>
        <v>25</v>
      </c>
      <c r="AZ170" s="153">
        <f>'I&amp;E Monthly'!AZ$170</f>
        <v>6</v>
      </c>
      <c r="BA170" s="153">
        <f>'I&amp;E Monthly'!BA$170</f>
        <v>6</v>
      </c>
      <c r="BB170" s="153">
        <f>'I&amp;E Monthly'!BB$170</f>
        <v>24</v>
      </c>
      <c r="BC170" s="153">
        <f>'I&amp;E Monthly'!BC$170</f>
        <v>6</v>
      </c>
      <c r="BD170" s="153">
        <f>'I&amp;E Monthly'!BD$170</f>
        <v>6</v>
      </c>
      <c r="BE170" s="153">
        <f>'I&amp;E Monthly'!BE$170</f>
        <v>24</v>
      </c>
      <c r="BF170" s="153">
        <f>'I&amp;E Monthly'!BF$170</f>
        <v>6</v>
      </c>
      <c r="BG170" s="153">
        <f>'I&amp;E Monthly'!BG$170</f>
        <v>6</v>
      </c>
      <c r="BH170" s="153">
        <f>'I&amp;E Monthly'!BH$170</f>
        <v>24</v>
      </c>
      <c r="BI170" s="153">
        <f>'I&amp;E Monthly'!BI$170</f>
        <v>6</v>
      </c>
      <c r="BJ170" s="153">
        <f>'I&amp;E Monthly'!BJ$170</f>
        <v>6</v>
      </c>
      <c r="BL170" s="153">
        <f>'I&amp;E Monthly'!BL$170</f>
        <v>0</v>
      </c>
      <c r="BM170" s="153">
        <f>'I&amp;E Monthly'!BM$170</f>
        <v>145</v>
      </c>
      <c r="BN170" s="153">
        <f>'I&amp;E Monthly'!BN$170</f>
        <v>145</v>
      </c>
      <c r="BO170" s="153">
        <f>'I&amp;E Monthly'!BO$170</f>
        <v>145</v>
      </c>
      <c r="BP170" s="153">
        <f>'I&amp;E Monthly'!BP$170</f>
        <v>0</v>
      </c>
      <c r="BQ170" s="153">
        <f>'I&amp;E Monthly'!BQ$170</f>
        <v>0</v>
      </c>
      <c r="BR170" s="153">
        <f>'I&amp;E Monthly'!BR$170</f>
        <v>0</v>
      </c>
      <c r="BS170" s="153">
        <f>'I&amp;E Monthly'!BS$170</f>
        <v>0</v>
      </c>
      <c r="BT170" s="153">
        <f>'I&amp;E Monthly'!BT$170</f>
        <v>0</v>
      </c>
      <c r="BU170" s="153">
        <f>'I&amp;E Monthly'!BU$170</f>
        <v>0</v>
      </c>
      <c r="BV170" s="153">
        <f>'I&amp;E Monthly'!BV$170</f>
        <v>0</v>
      </c>
      <c r="BW170" s="153">
        <f>'I&amp;E Monthly'!BW$170</f>
        <v>0</v>
      </c>
      <c r="BY170" s="12"/>
      <c r="BZ170" s="335"/>
      <c r="CA170" s="12"/>
      <c r="CC170" s="335"/>
      <c r="CD170" s="7">
        <f t="shared" si="180"/>
        <v>0</v>
      </c>
      <c r="CE170" s="7">
        <f t="shared" si="181"/>
        <v>0</v>
      </c>
      <c r="CF170" s="7">
        <f t="shared" si="182"/>
        <v>0</v>
      </c>
      <c r="CG170" s="12"/>
      <c r="CH170" s="352">
        <f t="shared" si="183"/>
        <v>0</v>
      </c>
      <c r="CI170" s="352">
        <f t="shared" si="183"/>
        <v>0</v>
      </c>
      <c r="CJ170" s="352">
        <f t="shared" si="183"/>
        <v>0</v>
      </c>
      <c r="CK170" s="352">
        <f t="shared" si="184"/>
        <v>0</v>
      </c>
      <c r="CL170" s="352">
        <f t="shared" si="185"/>
        <v>0</v>
      </c>
      <c r="CM170" s="352">
        <f t="shared" si="186"/>
        <v>0</v>
      </c>
      <c r="CN170" s="352">
        <f t="shared" si="187"/>
        <v>0</v>
      </c>
      <c r="EX170" s="10" t="str">
        <f t="shared" si="151"/>
        <v>Interest and other finance costs</v>
      </c>
    </row>
    <row r="171" spans="1:154" ht="27" customHeight="1" x14ac:dyDescent="0.25">
      <c r="A171" s="362" cm="1">
        <f t="array" aca="1" ref="A171" ca="1">HYPERLINK(CONCATENATE("#",CELL("address",IF(SUM($CA171:$CG171)=0,A171,INDEX($CA171:$CG171,MATCH(1,$CA171:$CG171,0))))),SUM($CA171:$CG171))</f>
        <v>0</v>
      </c>
      <c r="B171" s="335"/>
      <c r="C171" s="340" t="s">
        <v>510</v>
      </c>
      <c r="D171" s="135" t="s">
        <v>879</v>
      </c>
      <c r="E171" s="348" t="str" cm="1">
        <f t="array" aca="1" ref="E171" ca="1">HYPERLINK(CONCATENATE("#",CELL("address",'BS Forecasts'!$D$188)),"LPGS Interest")</f>
        <v>LPGS Interest</v>
      </c>
      <c r="F171" s="348" t="str" cm="1">
        <f t="array" aca="1" ref="F171" ca="1">HYPERLINK(CONCATENATE("#",CELL("address",'BS Forecasts'!$D$197)),'BS Forecasts'!$D$194)</f>
        <v>Enhanced Pension Provision</v>
      </c>
      <c r="G171" s="348" t="str" cm="1">
        <f t="array" aca="1" ref="G171" ca="1">HYPERLINK(CONCATENATE("#",CELL("address",'BS Forecasts'!$D$206)),'BS Forecasts'!$D$203)</f>
        <v>Other Pension Provisions</v>
      </c>
      <c r="H171" s="162" t="s">
        <v>86</v>
      </c>
      <c r="I171" s="335"/>
      <c r="Q171" s="2"/>
      <c r="R171" s="335"/>
      <c r="T171" s="335"/>
      <c r="U171" s="335"/>
      <c r="V171" s="153">
        <f>'I&amp;E Monthly'!V$171</f>
        <v>0</v>
      </c>
      <c r="W171" s="153">
        <f>'I&amp;E Monthly'!W$171</f>
        <v>0</v>
      </c>
      <c r="X171" s="153">
        <f>'I&amp;E Monthly'!X$171</f>
        <v>0</v>
      </c>
      <c r="Y171" s="153">
        <f>'I&amp;E Monthly'!Y$171</f>
        <v>0</v>
      </c>
      <c r="AA171" s="153">
        <f>'I&amp;E Monthly'!AA$171</f>
        <v>0</v>
      </c>
      <c r="AB171" s="153">
        <f>'I&amp;E Monthly'!AB$171</f>
        <v>0</v>
      </c>
      <c r="AC171" s="153">
        <f>'I&amp;E Monthly'!AC$171</f>
        <v>0</v>
      </c>
      <c r="AD171" s="153">
        <f>'I&amp;E Monthly'!AD$171</f>
        <v>0</v>
      </c>
      <c r="AE171" s="153">
        <f>'I&amp;E Monthly'!AE$171</f>
        <v>0</v>
      </c>
      <c r="AF171" s="153">
        <f>'I&amp;E Monthly'!AF$171</f>
        <v>0</v>
      </c>
      <c r="AG171" s="153">
        <f>'I&amp;E Monthly'!AG$171</f>
        <v>0</v>
      </c>
      <c r="AH171" s="153">
        <f>'I&amp;E Monthly'!AH$171</f>
        <v>0</v>
      </c>
      <c r="AI171" s="153">
        <f>'I&amp;E Monthly'!AI$171</f>
        <v>0</v>
      </c>
      <c r="AJ171" s="153">
        <f>'I&amp;E Monthly'!AJ$171</f>
        <v>0</v>
      </c>
      <c r="AK171" s="153">
        <f>'I&amp;E Monthly'!AK$171</f>
        <v>0</v>
      </c>
      <c r="AL171" s="153">
        <f>'I&amp;E Monthly'!AL$171</f>
        <v>0</v>
      </c>
      <c r="AM171" s="153">
        <f>'I&amp;E Monthly'!AM$171</f>
        <v>0</v>
      </c>
      <c r="AN171" s="153">
        <f>'I&amp;E Monthly'!AN$171</f>
        <v>0</v>
      </c>
      <c r="AO171" s="153">
        <f>'I&amp;E Monthly'!AO$171</f>
        <v>0</v>
      </c>
      <c r="AP171" s="153">
        <f>'I&amp;E Monthly'!AP$171</f>
        <v>0</v>
      </c>
      <c r="AQ171" s="153">
        <f>'I&amp;E Monthly'!AQ$171</f>
        <v>0</v>
      </c>
      <c r="AR171" s="153">
        <f>'I&amp;E Monthly'!AR$171</f>
        <v>0</v>
      </c>
      <c r="AS171" s="153">
        <f>'I&amp;E Monthly'!AS$171</f>
        <v>0</v>
      </c>
      <c r="AT171" s="153">
        <f>'I&amp;E Monthly'!AT$171</f>
        <v>0</v>
      </c>
      <c r="AU171" s="153">
        <f>'I&amp;E Monthly'!AU$171</f>
        <v>0</v>
      </c>
      <c r="AV171" s="153">
        <f>'I&amp;E Monthly'!AV$171</f>
        <v>0</v>
      </c>
      <c r="AW171" s="153">
        <f>'I&amp;E Monthly'!AW$171</f>
        <v>0</v>
      </c>
      <c r="AX171" s="153">
        <f>'I&amp;E Monthly'!AX$171</f>
        <v>0</v>
      </c>
      <c r="AY171" s="153">
        <f>'I&amp;E Monthly'!AY$171</f>
        <v>0</v>
      </c>
      <c r="AZ171" s="153">
        <f>'I&amp;E Monthly'!AZ$171</f>
        <v>0</v>
      </c>
      <c r="BA171" s="153">
        <f>'I&amp;E Monthly'!BA$171</f>
        <v>0</v>
      </c>
      <c r="BB171" s="153">
        <f>'I&amp;E Monthly'!BB$171</f>
        <v>0</v>
      </c>
      <c r="BC171" s="153">
        <f>'I&amp;E Monthly'!BC$171</f>
        <v>0</v>
      </c>
      <c r="BD171" s="153">
        <f>'I&amp;E Monthly'!BD$171</f>
        <v>0</v>
      </c>
      <c r="BE171" s="153">
        <f>'I&amp;E Monthly'!BE$171</f>
        <v>0</v>
      </c>
      <c r="BF171" s="153">
        <f>'I&amp;E Monthly'!BF$171</f>
        <v>0</v>
      </c>
      <c r="BG171" s="153">
        <f>'I&amp;E Monthly'!BG$171</f>
        <v>0</v>
      </c>
      <c r="BH171" s="153">
        <f>'I&amp;E Monthly'!BH$171</f>
        <v>0</v>
      </c>
      <c r="BI171" s="153">
        <f>'I&amp;E Monthly'!BI$171</f>
        <v>0</v>
      </c>
      <c r="BJ171" s="153">
        <f>'I&amp;E Monthly'!BJ$171</f>
        <v>0</v>
      </c>
      <c r="BL171" s="153">
        <f>'I&amp;E Monthly'!BL$171</f>
        <v>0</v>
      </c>
      <c r="BM171" s="153">
        <f>'I&amp;E Monthly'!BM$171</f>
        <v>0</v>
      </c>
      <c r="BN171" s="153">
        <f>'I&amp;E Monthly'!BN$171</f>
        <v>0</v>
      </c>
      <c r="BO171" s="153">
        <f>'I&amp;E Monthly'!BO$171</f>
        <v>0</v>
      </c>
      <c r="BP171" s="153">
        <f>'I&amp;E Monthly'!BP$171</f>
        <v>0</v>
      </c>
      <c r="BQ171" s="153">
        <f>'I&amp;E Monthly'!BQ$171</f>
        <v>0</v>
      </c>
      <c r="BR171" s="153">
        <f>'I&amp;E Monthly'!BR$171</f>
        <v>0</v>
      </c>
      <c r="BS171" s="153">
        <f>'I&amp;E Monthly'!BS$171</f>
        <v>0</v>
      </c>
      <c r="BT171" s="153">
        <f>'I&amp;E Monthly'!BT$171</f>
        <v>0</v>
      </c>
      <c r="BU171" s="153">
        <f>'I&amp;E Monthly'!BU$171</f>
        <v>0</v>
      </c>
      <c r="BV171" s="153">
        <f>'I&amp;E Monthly'!BV$171</f>
        <v>0</v>
      </c>
      <c r="BW171" s="153">
        <f>'I&amp;E Monthly'!BW$171</f>
        <v>0</v>
      </c>
      <c r="BY171" s="12"/>
      <c r="BZ171" s="335"/>
      <c r="CA171" s="12"/>
      <c r="CC171" s="335"/>
      <c r="CD171" s="7">
        <f t="shared" ca="1" si="180"/>
        <v>0</v>
      </c>
      <c r="CE171" s="7">
        <f t="shared" si="181"/>
        <v>0</v>
      </c>
      <c r="CF171" s="7">
        <f t="shared" si="182"/>
        <v>0</v>
      </c>
      <c r="CG171" s="12"/>
      <c r="CH171" s="352">
        <f t="shared" ca="1" si="183"/>
        <v>0</v>
      </c>
      <c r="CI171" s="352">
        <f t="shared" ca="1" si="183"/>
        <v>0</v>
      </c>
      <c r="CJ171" s="352">
        <f t="shared" ca="1" si="183"/>
        <v>0</v>
      </c>
      <c r="CK171" s="352">
        <f t="shared" si="184"/>
        <v>0</v>
      </c>
      <c r="CL171" s="352">
        <f t="shared" si="185"/>
        <v>0</v>
      </c>
      <c r="CM171" s="352">
        <f t="shared" si="186"/>
        <v>0</v>
      </c>
      <c r="CN171" s="352">
        <f t="shared" si="187"/>
        <v>0</v>
      </c>
      <c r="EX171" s="10" t="str">
        <f t="shared" si="151"/>
        <v>FRS102 adj. - LGPS and EPP net interest charge (non-cash)</v>
      </c>
    </row>
    <row r="172" spans="1:154" x14ac:dyDescent="0.25">
      <c r="A172" s="362" cm="1">
        <f t="array" aca="1" ref="A172" ca="1">HYPERLINK(CONCATENATE("#",CELL("address",IF(SUM($CA172:$CG172)=0,A172,INDEX($CA172:$CG172,MATCH(1,$CA172:$CG172,0))))),SUM($CA172:$CG172))</f>
        <v>0</v>
      </c>
      <c r="B172" s="329"/>
      <c r="C172" s="340" t="s">
        <v>511</v>
      </c>
      <c r="D172" s="39" t="s">
        <v>78</v>
      </c>
      <c r="E172" s="147"/>
      <c r="F172" s="98" t="str" cm="1">
        <f t="array" aca="1" ref="F172" ca="1">IF(E172="", "", HYPERLINK(CONCATENATE("#",CELL("address",INDEX('I&amp;E Profiles'!$D$9:$D$93,'I&amp;E Annual'!I172))),E172))</f>
        <v/>
      </c>
      <c r="G172" s="147" t="s">
        <v>211</v>
      </c>
      <c r="H172" s="162" t="s">
        <v>86</v>
      </c>
      <c r="I172" s="350" t="str">
        <f>IF(E172="", "", MATCH(E172, 'I&amp;E Profiles'!$D$96:$D$180,0))</f>
        <v/>
      </c>
      <c r="J172" s="215">
        <f>IF($G172=$G$7, W172,'I&amp;E Monthly'!W172)-SUMIFS('I&amp;E Monthly'!$AA172:$BJ172, 'I&amp;E Monthly'!$AA$3:$BJ$3, 'I&amp;E Annual'!W$3, 'I&amp;E Monthly'!$AA$4:$BJ$4, 0)</f>
        <v>0</v>
      </c>
      <c r="K172" s="215">
        <f>IF($G172=$G$7, X172,'I&amp;E Monthly'!X172)-SUMIFS('I&amp;E Monthly'!$AA172:$BJ172, 'I&amp;E Monthly'!$AA$3:$BJ$3, 'I&amp;E Annual'!X$3, 'I&amp;E Monthly'!$AA$4:$BJ$4, 0)</f>
        <v>0</v>
      </c>
      <c r="L172" s="215">
        <f>IF($G172=$G$7, Y172,'I&amp;E Monthly'!Y172)-SUMIFS('I&amp;E Monthly'!$AA172:$BJ172, 'I&amp;E Monthly'!$AA$3:$BJ$3, 'I&amp;E Annual'!Y$3, 'I&amp;E Monthly'!$AA$4:$BJ$4, 0)</f>
        <v>0</v>
      </c>
      <c r="M172" s="335"/>
      <c r="N172" s="335"/>
      <c r="O172" s="335"/>
      <c r="P172" s="335"/>
      <c r="Q172" s="2"/>
      <c r="R172" s="335"/>
      <c r="S172" s="335"/>
      <c r="T172" s="335"/>
      <c r="U172" s="335"/>
      <c r="V172" s="215">
        <f>'I&amp;E Monthly'!V172</f>
        <v>0</v>
      </c>
      <c r="W172" s="147"/>
      <c r="X172" s="227"/>
      <c r="Y172" s="227"/>
      <c r="Z172" s="335"/>
      <c r="AA172" s="153" cm="1">
        <f t="array" ref="AA172">IF(OR(AA$4=0, $G172&lt;&gt; $G$7, $E172=0), 'I&amp;E Monthly'!AA172, CHOOSE(Timeline!AA$30,$J172,$K172,$L172 )*INDEX('I&amp;E Profiles'!AA$96:AA$180,$I172))</f>
        <v>0</v>
      </c>
      <c r="AB172" s="153" cm="1">
        <f t="array" ref="AB172">IF(OR(AB$4=0, $G172&lt;&gt; $G$7, $E172=0), 'I&amp;E Monthly'!AB172, CHOOSE(Timeline!AB$30,$J172,$K172,$L172 )*INDEX('I&amp;E Profiles'!AB$96:AB$180,$I172))</f>
        <v>0</v>
      </c>
      <c r="AC172" s="153" cm="1">
        <f t="array" ref="AC172">IF(OR(AC$4=0, $G172&lt;&gt; $G$7, $E172=0), 'I&amp;E Monthly'!AC172, CHOOSE(Timeline!AC$30,$J172,$K172,$L172 )*INDEX('I&amp;E Profiles'!AC$96:AC$180,$I172))</f>
        <v>0</v>
      </c>
      <c r="AD172" s="153" cm="1">
        <f t="array" ref="AD172">IF(OR(AD$4=0, $G172&lt;&gt; $G$7, $E172=0), 'I&amp;E Monthly'!AD172, CHOOSE(Timeline!AD$30,$J172,$K172,$L172 )*INDEX('I&amp;E Profiles'!AD$96:AD$180,$I172))</f>
        <v>0</v>
      </c>
      <c r="AE172" s="153" cm="1">
        <f t="array" ref="AE172">IF(OR(AE$4=0, $G172&lt;&gt; $G$7, $E172=0), 'I&amp;E Monthly'!AE172, CHOOSE(Timeline!AE$30,$J172,$K172,$L172 )*INDEX('I&amp;E Profiles'!AE$96:AE$180,$I172))</f>
        <v>0</v>
      </c>
      <c r="AF172" s="153" cm="1">
        <f t="array" ref="AF172">IF(OR(AF$4=0, $G172&lt;&gt; $G$7, $E172=0), 'I&amp;E Monthly'!AF172, CHOOSE(Timeline!AF$30,$J172,$K172,$L172 )*INDEX('I&amp;E Profiles'!AF$96:AF$180,$I172))</f>
        <v>0</v>
      </c>
      <c r="AG172" s="153" cm="1">
        <f t="array" ref="AG172">IF(OR(AG$4=0, $G172&lt;&gt; $G$7, $E172=0), 'I&amp;E Monthly'!AG172, CHOOSE(Timeline!AG$30,$J172,$K172,$L172 )*INDEX('I&amp;E Profiles'!AG$96:AG$180,$I172))</f>
        <v>0</v>
      </c>
      <c r="AH172" s="153" cm="1">
        <f t="array" ref="AH172">IF(OR(AH$4=0, $G172&lt;&gt; $G$7, $E172=0), 'I&amp;E Monthly'!AH172, CHOOSE(Timeline!AH$30,$J172,$K172,$L172 )*INDEX('I&amp;E Profiles'!AH$96:AH$180,$I172))</f>
        <v>0</v>
      </c>
      <c r="AI172" s="153" cm="1">
        <f t="array" ref="AI172">IF(OR(AI$4=0, $G172&lt;&gt; $G$7, $E172=0), 'I&amp;E Monthly'!AI172, CHOOSE(Timeline!AI$30,$J172,$K172,$L172 )*INDEX('I&amp;E Profiles'!AI$96:AI$180,$I172))</f>
        <v>0</v>
      </c>
      <c r="AJ172" s="153" cm="1">
        <f t="array" ref="AJ172">IF(OR(AJ$4=0, $G172&lt;&gt; $G$7, $E172=0), 'I&amp;E Monthly'!AJ172, CHOOSE(Timeline!AJ$30,$J172,$K172,$L172 )*INDEX('I&amp;E Profiles'!AJ$96:AJ$180,$I172))</f>
        <v>0</v>
      </c>
      <c r="AK172" s="153" cm="1">
        <f t="array" ref="AK172">IF(OR(AK$4=0, $G172&lt;&gt; $G$7, $E172=0), 'I&amp;E Monthly'!AK172, CHOOSE(Timeline!AK$30,$J172,$K172,$L172 )*INDEX('I&amp;E Profiles'!AK$96:AK$180,$I172))</f>
        <v>0</v>
      </c>
      <c r="AL172" s="153" cm="1">
        <f t="array" ref="AL172">IF(OR(AL$4=0, $G172&lt;&gt; $G$7, $E172=0), 'I&amp;E Monthly'!AL172, CHOOSE(Timeline!AL$30,$J172,$K172,$L172 )*INDEX('I&amp;E Profiles'!AL$96:AL$180,$I172))</f>
        <v>0</v>
      </c>
      <c r="AM172" s="153" cm="1">
        <f t="array" ref="AM172">IF(OR(AM$4=0, $G172&lt;&gt; $G$7, $E172=0), 'I&amp;E Monthly'!AM172, CHOOSE(Timeline!AM$30,$J172,$K172,$L172 )*INDEX('I&amp;E Profiles'!AM$96:AM$180,$I172))</f>
        <v>0</v>
      </c>
      <c r="AN172" s="153" cm="1">
        <f t="array" ref="AN172">IF(OR(AN$4=0, $G172&lt;&gt; $G$7, $E172=0), 'I&amp;E Monthly'!AN172, CHOOSE(Timeline!AN$30,$J172,$K172,$L172 )*INDEX('I&amp;E Profiles'!AN$96:AN$180,$I172))</f>
        <v>0</v>
      </c>
      <c r="AO172" s="153" cm="1">
        <f t="array" ref="AO172">IF(OR(AO$4=0, $G172&lt;&gt; $G$7, $E172=0), 'I&amp;E Monthly'!AO172, CHOOSE(Timeline!AO$30,$J172,$K172,$L172 )*INDEX('I&amp;E Profiles'!AO$96:AO$180,$I172))</f>
        <v>0</v>
      </c>
      <c r="AP172" s="153" cm="1">
        <f t="array" ref="AP172">IF(OR(AP$4=0, $G172&lt;&gt; $G$7, $E172=0), 'I&amp;E Monthly'!AP172, CHOOSE(Timeline!AP$30,$J172,$K172,$L172 )*INDEX('I&amp;E Profiles'!AP$96:AP$180,$I172))</f>
        <v>0</v>
      </c>
      <c r="AQ172" s="153" cm="1">
        <f t="array" ref="AQ172">IF(OR(AQ$4=0, $G172&lt;&gt; $G$7, $E172=0), 'I&amp;E Monthly'!AQ172, CHOOSE(Timeline!AQ$30,$J172,$K172,$L172 )*INDEX('I&amp;E Profiles'!AQ$96:AQ$180,$I172))</f>
        <v>0</v>
      </c>
      <c r="AR172" s="153" cm="1">
        <f t="array" ref="AR172">IF(OR(AR$4=0, $G172&lt;&gt; $G$7, $E172=0), 'I&amp;E Monthly'!AR172, CHOOSE(Timeline!AR$30,$J172,$K172,$L172 )*INDEX('I&amp;E Profiles'!AR$96:AR$180,$I172))</f>
        <v>0</v>
      </c>
      <c r="AS172" s="153" cm="1">
        <f t="array" ref="AS172">IF(OR(AS$4=0, $G172&lt;&gt; $G$7, $E172=0), 'I&amp;E Monthly'!AS172, CHOOSE(Timeline!AS$30,$J172,$K172,$L172 )*INDEX('I&amp;E Profiles'!AS$96:AS$180,$I172))</f>
        <v>0</v>
      </c>
      <c r="AT172" s="153" cm="1">
        <f t="array" ref="AT172">IF(OR(AT$4=0, $G172&lt;&gt; $G$7, $E172=0), 'I&amp;E Monthly'!AT172, CHOOSE(Timeline!AT$30,$J172,$K172,$L172 )*INDEX('I&amp;E Profiles'!AT$96:AT$180,$I172))</f>
        <v>0</v>
      </c>
      <c r="AU172" s="153" cm="1">
        <f t="array" ref="AU172">IF(OR(AU$4=0, $G172&lt;&gt; $G$7, $E172=0), 'I&amp;E Monthly'!AU172, CHOOSE(Timeline!AU$30,$J172,$K172,$L172 )*INDEX('I&amp;E Profiles'!AU$96:AU$180,$I172))</f>
        <v>0</v>
      </c>
      <c r="AV172" s="153" cm="1">
        <f t="array" ref="AV172">IF(OR(AV$4=0, $G172&lt;&gt; $G$7, $E172=0), 'I&amp;E Monthly'!AV172, CHOOSE(Timeline!AV$30,$J172,$K172,$L172 )*INDEX('I&amp;E Profiles'!AV$96:AV$180,$I172))</f>
        <v>0</v>
      </c>
      <c r="AW172" s="153" cm="1">
        <f t="array" ref="AW172">IF(OR(AW$4=0, $G172&lt;&gt; $G$7, $E172=0), 'I&amp;E Monthly'!AW172, CHOOSE(Timeline!AW$30,$J172,$K172,$L172 )*INDEX('I&amp;E Profiles'!AW$96:AW$180,$I172))</f>
        <v>0</v>
      </c>
      <c r="AX172" s="153" cm="1">
        <f t="array" ref="AX172">IF(OR(AX$4=0, $G172&lt;&gt; $G$7, $E172=0), 'I&amp;E Monthly'!AX172, CHOOSE(Timeline!AX$30,$J172,$K172,$L172 )*INDEX('I&amp;E Profiles'!AX$96:AX$180,$I172))</f>
        <v>0</v>
      </c>
      <c r="AY172" s="153" cm="1">
        <f t="array" ref="AY172">IF(OR(AY$4=0, $G172&lt;&gt; $G$7, $E172=0), 'I&amp;E Monthly'!AY172, CHOOSE(Timeline!AY$30,$J172,$K172,$L172 )*INDEX('I&amp;E Profiles'!AY$96:AY$180,$I172))</f>
        <v>0</v>
      </c>
      <c r="AZ172" s="153" cm="1">
        <f t="array" ref="AZ172">IF(OR(AZ$4=0, $G172&lt;&gt; $G$7, $E172=0), 'I&amp;E Monthly'!AZ172, CHOOSE(Timeline!AZ$30,$J172,$K172,$L172 )*INDEX('I&amp;E Profiles'!AZ$96:AZ$180,$I172))</f>
        <v>0</v>
      </c>
      <c r="BA172" s="153" cm="1">
        <f t="array" ref="BA172">IF(OR(BA$4=0, $G172&lt;&gt; $G$7, $E172=0), 'I&amp;E Monthly'!BA172, CHOOSE(Timeline!BA$30,$J172,$K172,$L172 )*INDEX('I&amp;E Profiles'!BA$96:BA$180,$I172))</f>
        <v>0</v>
      </c>
      <c r="BB172" s="153" cm="1">
        <f t="array" ref="BB172">IF(OR(BB$4=0, $G172&lt;&gt; $G$7, $E172=0), 'I&amp;E Monthly'!BB172, CHOOSE(Timeline!BB$30,$J172,$K172,$L172 )*INDEX('I&amp;E Profiles'!BB$96:BB$180,$I172))</f>
        <v>0</v>
      </c>
      <c r="BC172" s="153" cm="1">
        <f t="array" ref="BC172">IF(OR(BC$4=0, $G172&lt;&gt; $G$7, $E172=0), 'I&amp;E Monthly'!BC172, CHOOSE(Timeline!BC$30,$J172,$K172,$L172 )*INDEX('I&amp;E Profiles'!BC$96:BC$180,$I172))</f>
        <v>0</v>
      </c>
      <c r="BD172" s="153" cm="1">
        <f t="array" ref="BD172">IF(OR(BD$4=0, $G172&lt;&gt; $G$7, $E172=0), 'I&amp;E Monthly'!BD172, CHOOSE(Timeline!BD$30,$J172,$K172,$L172 )*INDEX('I&amp;E Profiles'!BD$96:BD$180,$I172))</f>
        <v>0</v>
      </c>
      <c r="BE172" s="153" cm="1">
        <f t="array" ref="BE172">IF(OR(BE$4=0, $G172&lt;&gt; $G$7, $E172=0), 'I&amp;E Monthly'!BE172, CHOOSE(Timeline!BE$30,$J172,$K172,$L172 )*INDEX('I&amp;E Profiles'!BE$96:BE$180,$I172))</f>
        <v>0</v>
      </c>
      <c r="BF172" s="153" cm="1">
        <f t="array" ref="BF172">IF(OR(BF$4=0, $G172&lt;&gt; $G$7, $E172=0), 'I&amp;E Monthly'!BF172, CHOOSE(Timeline!BF$30,$J172,$K172,$L172 )*INDEX('I&amp;E Profiles'!BF$96:BF$180,$I172))</f>
        <v>0</v>
      </c>
      <c r="BG172" s="153" cm="1">
        <f t="array" ref="BG172">IF(OR(BG$4=0, $G172&lt;&gt; $G$7, $E172=0), 'I&amp;E Monthly'!BG172, CHOOSE(Timeline!BG$30,$J172,$K172,$L172 )*INDEX('I&amp;E Profiles'!BG$96:BG$180,$I172))</f>
        <v>0</v>
      </c>
      <c r="BH172" s="153" cm="1">
        <f t="array" ref="BH172">IF(OR(BH$4=0, $G172&lt;&gt; $G$7, $E172=0), 'I&amp;E Monthly'!BH172, CHOOSE(Timeline!BH$30,$J172,$K172,$L172 )*INDEX('I&amp;E Profiles'!BH$96:BH$180,$I172))</f>
        <v>0</v>
      </c>
      <c r="BI172" s="153" cm="1">
        <f t="array" ref="BI172">IF(OR(BI$4=0, $G172&lt;&gt; $G$7, $E172=0), 'I&amp;E Monthly'!BI172, CHOOSE(Timeline!BI$30,$J172,$K172,$L172 )*INDEX('I&amp;E Profiles'!BI$96:BI$180,$I172))</f>
        <v>0</v>
      </c>
      <c r="BJ172" s="153" cm="1">
        <f t="array" ref="BJ172">IF(OR(BJ$4=0, $G172&lt;&gt; $G$7, $E172=0), 'I&amp;E Monthly'!BJ172, CHOOSE(Timeline!BJ$30,$J172,$K172,$L172 )*INDEX('I&amp;E Profiles'!BJ$96:BJ$180,$I172))</f>
        <v>0</v>
      </c>
      <c r="BK172" s="335"/>
      <c r="BL172" s="152">
        <f>V172</f>
        <v>0</v>
      </c>
      <c r="BM172" s="153">
        <f>SUMIFS($AA172:$BJ172, $AA$3:$BJ$3,BM$3)</f>
        <v>0</v>
      </c>
      <c r="BN172" s="153">
        <f>SUMIFS($AA172:$BJ172, $AA$3:$BJ$3,BN$3)</f>
        <v>0</v>
      </c>
      <c r="BO172" s="153">
        <f>SUMIFS($AA172:$BJ172, $AA$3:$BJ$3,BO$3)</f>
        <v>0</v>
      </c>
      <c r="BP172" s="152">
        <f>'I&amp;E Monthly'!BP172</f>
        <v>0</v>
      </c>
      <c r="BQ172" s="152">
        <f>'I&amp;E Monthly'!BQ172</f>
        <v>0</v>
      </c>
      <c r="BR172" s="152">
        <f>'I&amp;E Monthly'!BR172</f>
        <v>0</v>
      </c>
      <c r="BS172" s="152">
        <f>'I&amp;E Monthly'!BS172</f>
        <v>0</v>
      </c>
      <c r="BT172" s="152">
        <f>'I&amp;E Monthly'!BT172</f>
        <v>0</v>
      </c>
      <c r="BU172" s="152">
        <f>'I&amp;E Monthly'!BU172</f>
        <v>0</v>
      </c>
      <c r="BV172" s="152">
        <f>'I&amp;E Monthly'!BV172</f>
        <v>0</v>
      </c>
      <c r="BW172" s="152">
        <f>'I&amp;E Monthly'!BW172</f>
        <v>0</v>
      </c>
      <c r="BX172" s="335"/>
      <c r="BY172" s="12"/>
      <c r="BZ172" s="363">
        <f ca="1">IF(MIN($V172:$BW172)&lt;0, 1, 0)*$I$7</f>
        <v>0</v>
      </c>
      <c r="CA172" s="12"/>
      <c r="CB172" s="7">
        <f>IF(AND($G172=$G$7,$E172=""), 1, 0)</f>
        <v>0</v>
      </c>
      <c r="CC172" s="188" cm="1">
        <f t="array" ref="CC172">IF(E172="",0, IF(_xlfn.IFNA(INDEX('I&amp;E Profiles'!$D$96:$D$180, $I172), "N/A")="N/A", 1, 0))</f>
        <v>0</v>
      </c>
      <c r="CD172" s="7">
        <f t="shared" si="180"/>
        <v>0</v>
      </c>
      <c r="CE172" s="7">
        <f t="shared" si="181"/>
        <v>0</v>
      </c>
      <c r="CF172" s="7">
        <f t="shared" si="182"/>
        <v>0</v>
      </c>
      <c r="CG172" s="12"/>
      <c r="CH172" s="352">
        <f t="shared" si="183"/>
        <v>0</v>
      </c>
      <c r="CI172" s="352">
        <f t="shared" si="183"/>
        <v>0</v>
      </c>
      <c r="CJ172" s="352">
        <f t="shared" si="183"/>
        <v>0</v>
      </c>
      <c r="CK172" s="352">
        <f t="shared" si="184"/>
        <v>0</v>
      </c>
      <c r="CL172" s="352">
        <f t="shared" si="185"/>
        <v>0</v>
      </c>
      <c r="CM172" s="352">
        <f t="shared" si="186"/>
        <v>0</v>
      </c>
      <c r="CN172" s="352">
        <f t="shared" si="187"/>
        <v>0</v>
      </c>
      <c r="EX172" s="10" t="str">
        <f t="shared" si="151"/>
        <v>Taxation</v>
      </c>
    </row>
    <row r="173" spans="1:154" ht="30" x14ac:dyDescent="0.25">
      <c r="A173" s="362" cm="1">
        <f t="array" aca="1" ref="A173" ca="1">HYPERLINK(CONCATENATE("#",CELL("address",IF(SUM($CA173:$CG173)=0,A173,INDEX($CA173:$CG173,MATCH(1,$CA173:$CG173,0))))),SUM($CA173:$CG173))</f>
        <v>0</v>
      </c>
      <c r="B173" s="335"/>
      <c r="C173" s="340" t="s">
        <v>512</v>
      </c>
      <c r="D173" s="27" t="s">
        <v>79</v>
      </c>
      <c r="E173" s="5"/>
      <c r="F173" s="335"/>
      <c r="G173" s="335"/>
      <c r="H173" s="319"/>
      <c r="I173" s="335"/>
      <c r="Q173" s="2"/>
      <c r="R173" s="335"/>
      <c r="S173" s="280"/>
      <c r="T173" s="335"/>
      <c r="U173" s="335"/>
      <c r="V173" s="152">
        <f>SUM(V168, V170:V172)-V169</f>
        <v>0</v>
      </c>
      <c r="W173" s="152">
        <f>SUM(W168, W170:W172)-W169</f>
        <v>2061</v>
      </c>
      <c r="X173" s="152">
        <f>SUM(X168, X170:X172)-X169</f>
        <v>2138</v>
      </c>
      <c r="Y173" s="152">
        <f>SUM(Y168, Y170:Y172)-Y169</f>
        <v>2215</v>
      </c>
      <c r="Z173" s="280"/>
      <c r="AA173" s="152">
        <f t="shared" ref="AA173:BJ173" si="188">SUM(AA168, AA170:AA172)-AA169</f>
        <v>181</v>
      </c>
      <c r="AB173" s="152">
        <f t="shared" si="188"/>
        <v>157</v>
      </c>
      <c r="AC173" s="152">
        <f t="shared" si="188"/>
        <v>158</v>
      </c>
      <c r="AD173" s="152">
        <f t="shared" si="188"/>
        <v>178</v>
      </c>
      <c r="AE173" s="152">
        <f t="shared" si="188"/>
        <v>161</v>
      </c>
      <c r="AF173" s="152">
        <f t="shared" si="188"/>
        <v>160</v>
      </c>
      <c r="AG173" s="152">
        <f t="shared" si="188"/>
        <v>179</v>
      </c>
      <c r="AH173" s="152">
        <f t="shared" si="188"/>
        <v>157</v>
      </c>
      <c r="AI173" s="152">
        <f t="shared" si="188"/>
        <v>159</v>
      </c>
      <c r="AJ173" s="152">
        <f t="shared" si="188"/>
        <v>175</v>
      </c>
      <c r="AK173" s="152">
        <f t="shared" si="188"/>
        <v>198</v>
      </c>
      <c r="AL173" s="152">
        <f t="shared" si="188"/>
        <v>198</v>
      </c>
      <c r="AM173" s="152">
        <f t="shared" si="188"/>
        <v>181</v>
      </c>
      <c r="AN173" s="152">
        <f t="shared" si="188"/>
        <v>161</v>
      </c>
      <c r="AO173" s="152">
        <f t="shared" si="188"/>
        <v>161</v>
      </c>
      <c r="AP173" s="152">
        <f t="shared" si="188"/>
        <v>182</v>
      </c>
      <c r="AQ173" s="152">
        <f t="shared" si="188"/>
        <v>165</v>
      </c>
      <c r="AR173" s="152">
        <f t="shared" si="188"/>
        <v>165</v>
      </c>
      <c r="AS173" s="152">
        <f t="shared" si="188"/>
        <v>185</v>
      </c>
      <c r="AT173" s="152">
        <f t="shared" si="188"/>
        <v>164</v>
      </c>
      <c r="AU173" s="152">
        <f t="shared" si="188"/>
        <v>166</v>
      </c>
      <c r="AV173" s="152">
        <f t="shared" si="188"/>
        <v>183</v>
      </c>
      <c r="AW173" s="152">
        <f t="shared" si="188"/>
        <v>207</v>
      </c>
      <c r="AX173" s="152">
        <f t="shared" si="188"/>
        <v>208</v>
      </c>
      <c r="AY173" s="152">
        <f t="shared" si="188"/>
        <v>191</v>
      </c>
      <c r="AZ173" s="152">
        <f t="shared" si="188"/>
        <v>167</v>
      </c>
      <c r="BA173" s="152">
        <f t="shared" si="188"/>
        <v>169</v>
      </c>
      <c r="BB173" s="152">
        <f t="shared" si="188"/>
        <v>189</v>
      </c>
      <c r="BC173" s="152">
        <f t="shared" si="188"/>
        <v>172</v>
      </c>
      <c r="BD173" s="152">
        <f t="shared" si="188"/>
        <v>172</v>
      </c>
      <c r="BE173" s="152">
        <f t="shared" si="188"/>
        <v>191</v>
      </c>
      <c r="BF173" s="152">
        <f t="shared" si="188"/>
        <v>169</v>
      </c>
      <c r="BG173" s="152">
        <f t="shared" si="188"/>
        <v>172</v>
      </c>
      <c r="BH173" s="152">
        <f t="shared" si="188"/>
        <v>188</v>
      </c>
      <c r="BI173" s="152">
        <f t="shared" si="188"/>
        <v>211</v>
      </c>
      <c r="BJ173" s="152">
        <f t="shared" si="188"/>
        <v>212</v>
      </c>
      <c r="BK173" s="280"/>
      <c r="BL173" s="152">
        <f t="shared" ref="BL173:BW173" si="189">SUM(BL168, BL170:BL172)-BL169</f>
        <v>0</v>
      </c>
      <c r="BM173" s="152">
        <f t="shared" si="189"/>
        <v>2061</v>
      </c>
      <c r="BN173" s="152">
        <f t="shared" si="189"/>
        <v>2128</v>
      </c>
      <c r="BO173" s="152">
        <f t="shared" si="189"/>
        <v>2203</v>
      </c>
      <c r="BP173" s="152">
        <f t="shared" si="189"/>
        <v>0</v>
      </c>
      <c r="BQ173" s="152">
        <f t="shared" si="189"/>
        <v>0</v>
      </c>
      <c r="BR173" s="152">
        <f t="shared" si="189"/>
        <v>0</v>
      </c>
      <c r="BS173" s="152">
        <f t="shared" si="189"/>
        <v>0</v>
      </c>
      <c r="BT173" s="152">
        <f t="shared" si="189"/>
        <v>0</v>
      </c>
      <c r="BU173" s="152">
        <f t="shared" si="189"/>
        <v>0</v>
      </c>
      <c r="BV173" s="152">
        <f t="shared" si="189"/>
        <v>0</v>
      </c>
      <c r="BW173" s="152">
        <f t="shared" si="189"/>
        <v>0</v>
      </c>
      <c r="BY173" s="12"/>
      <c r="BZ173" s="335"/>
      <c r="CA173" s="12"/>
      <c r="CC173" s="335"/>
      <c r="CD173" s="7">
        <f t="shared" si="180"/>
        <v>0</v>
      </c>
      <c r="CE173" s="7">
        <f t="shared" si="181"/>
        <v>0</v>
      </c>
      <c r="CF173" s="7">
        <f t="shared" si="182"/>
        <v>0</v>
      </c>
      <c r="CG173" s="12"/>
      <c r="CH173" s="352">
        <f t="shared" si="183"/>
        <v>0</v>
      </c>
      <c r="CI173" s="352">
        <f t="shared" si="183"/>
        <v>0</v>
      </c>
      <c r="CJ173" s="352">
        <f t="shared" si="183"/>
        <v>0</v>
      </c>
      <c r="CK173" s="352">
        <f t="shared" si="184"/>
        <v>0</v>
      </c>
      <c r="CL173" s="352">
        <f t="shared" si="185"/>
        <v>0</v>
      </c>
      <c r="CM173" s="352">
        <f t="shared" si="186"/>
        <v>0</v>
      </c>
      <c r="CN173" s="352">
        <f t="shared" si="187"/>
        <v>0</v>
      </c>
      <c r="EX173" s="10" t="str">
        <f t="shared" si="151"/>
        <v>Total interest, tax, depreciation and amortisation</v>
      </c>
    </row>
    <row r="174" spans="1:154" ht="6.6" customHeight="1" x14ac:dyDescent="0.25">
      <c r="A174" s="335"/>
      <c r="B174" s="329"/>
      <c r="C174" s="380"/>
      <c r="E174" s="25"/>
      <c r="F174" s="25"/>
      <c r="G174" s="25"/>
      <c r="H174" s="319"/>
      <c r="I174" s="25"/>
      <c r="Q174" s="2"/>
      <c r="R174" s="335"/>
      <c r="S174" s="280"/>
      <c r="T174" s="335"/>
      <c r="U174" s="335"/>
      <c r="V174" s="25"/>
      <c r="W174" s="25"/>
      <c r="X174" s="25"/>
      <c r="Y174" s="25"/>
      <c r="Z174" s="280"/>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80"/>
      <c r="BL174" s="25"/>
      <c r="BM174" s="25"/>
      <c r="BN174" s="25"/>
      <c r="BO174" s="25"/>
      <c r="BP174" s="25"/>
      <c r="BQ174" s="25"/>
      <c r="BR174" s="25"/>
      <c r="BS174" s="25"/>
      <c r="BT174" s="25"/>
      <c r="BU174" s="25"/>
      <c r="BV174" s="25"/>
      <c r="BW174" s="25"/>
      <c r="BY174" s="42"/>
      <c r="CA174" s="42"/>
      <c r="CD174" s="7"/>
      <c r="CE174" s="7"/>
      <c r="CF174" s="7"/>
      <c r="CG174" s="42"/>
      <c r="CM174" s="335"/>
      <c r="CN174" s="335"/>
      <c r="EX174" s="10" t="str">
        <f t="shared" si="151"/>
        <v/>
      </c>
    </row>
    <row r="175" spans="1:154" ht="30" x14ac:dyDescent="0.25">
      <c r="A175" s="362" cm="1">
        <f t="array" aca="1" ref="A175" ca="1">HYPERLINK(CONCATENATE("#",CELL("address",IF(SUM($CA175:$CG175)=0,A175,INDEX($CA175:$CG175,MATCH(1,$CA175:$CG175,0))))),SUM($CA175:$CG175))</f>
        <v>0</v>
      </c>
      <c r="B175" s="329"/>
      <c r="C175" s="340" t="s">
        <v>513</v>
      </c>
      <c r="D175" s="27" t="s">
        <v>80</v>
      </c>
      <c r="E175" s="82"/>
      <c r="F175" s="25"/>
      <c r="G175" s="25"/>
      <c r="H175" s="335"/>
      <c r="I175" s="25"/>
      <c r="Q175" s="2"/>
      <c r="R175" s="335"/>
      <c r="S175" s="280"/>
      <c r="T175" s="335"/>
      <c r="U175" s="335"/>
      <c r="V175" s="152">
        <f>V165-V173</f>
        <v>0</v>
      </c>
      <c r="W175" s="152">
        <f>W165-W173</f>
        <v>-1592</v>
      </c>
      <c r="X175" s="152">
        <f>X165-X173</f>
        <v>-1624</v>
      </c>
      <c r="Y175" s="152">
        <f>Y165-Y173</f>
        <v>-1644</v>
      </c>
      <c r="Z175" s="280"/>
      <c r="AA175" s="152">
        <f t="shared" ref="AA175:BJ175" si="190">AA165-AA173</f>
        <v>1720</v>
      </c>
      <c r="AB175" s="152">
        <f t="shared" si="190"/>
        <v>1148</v>
      </c>
      <c r="AC175" s="152">
        <f t="shared" si="190"/>
        <v>130</v>
      </c>
      <c r="AD175" s="152">
        <f t="shared" si="190"/>
        <v>-210</v>
      </c>
      <c r="AE175" s="152">
        <f t="shared" si="190"/>
        <v>-887</v>
      </c>
      <c r="AF175" s="152">
        <f t="shared" si="190"/>
        <v>-675</v>
      </c>
      <c r="AG175" s="152">
        <f t="shared" si="190"/>
        <v>-721</v>
      </c>
      <c r="AH175" s="152">
        <f t="shared" si="190"/>
        <v>-900</v>
      </c>
      <c r="AI175" s="152">
        <f t="shared" si="190"/>
        <v>1250</v>
      </c>
      <c r="AJ175" s="152">
        <f t="shared" si="190"/>
        <v>264</v>
      </c>
      <c r="AK175" s="152">
        <f t="shared" si="190"/>
        <v>258</v>
      </c>
      <c r="AL175" s="152">
        <f t="shared" si="190"/>
        <v>-937</v>
      </c>
      <c r="AM175" s="152">
        <f t="shared" si="190"/>
        <v>1978</v>
      </c>
      <c r="AN175" s="152">
        <f t="shared" si="190"/>
        <v>1130</v>
      </c>
      <c r="AO175" s="152">
        <f t="shared" si="190"/>
        <v>125</v>
      </c>
      <c r="AP175" s="152">
        <f t="shared" si="190"/>
        <v>-442</v>
      </c>
      <c r="AQ175" s="152">
        <f t="shared" si="190"/>
        <v>-891</v>
      </c>
      <c r="AR175" s="152">
        <f t="shared" si="190"/>
        <v>-576</v>
      </c>
      <c r="AS175" s="152">
        <f t="shared" si="190"/>
        <v>-971</v>
      </c>
      <c r="AT175" s="152">
        <f t="shared" si="190"/>
        <v>-913</v>
      </c>
      <c r="AU175" s="152">
        <f t="shared" si="190"/>
        <v>1487</v>
      </c>
      <c r="AV175" s="152">
        <f t="shared" si="190"/>
        <v>368</v>
      </c>
      <c r="AW175" s="152">
        <f t="shared" si="190"/>
        <v>-54</v>
      </c>
      <c r="AX175" s="152">
        <f t="shared" si="190"/>
        <v>-805</v>
      </c>
      <c r="AY175" s="152">
        <f t="shared" si="190"/>
        <v>2023.7483333333334</v>
      </c>
      <c r="AZ175" s="152">
        <f t="shared" si="190"/>
        <v>1146.3566666666661</v>
      </c>
      <c r="BA175" s="152">
        <f t="shared" si="190"/>
        <v>132.48833333333278</v>
      </c>
      <c r="BB175" s="152">
        <f t="shared" si="190"/>
        <v>-449.61333333333323</v>
      </c>
      <c r="BC175" s="152">
        <f t="shared" si="190"/>
        <v>-910.53</v>
      </c>
      <c r="BD175" s="152">
        <f t="shared" si="190"/>
        <v>-583.22999999999979</v>
      </c>
      <c r="BE175" s="152">
        <f t="shared" si="190"/>
        <v>-990.74166666666702</v>
      </c>
      <c r="BF175" s="152">
        <f t="shared" si="190"/>
        <v>-927.5183333333332</v>
      </c>
      <c r="BG175" s="152">
        <f t="shared" si="190"/>
        <v>1540.378333333334</v>
      </c>
      <c r="BH175" s="152">
        <f t="shared" si="190"/>
        <v>417.06833333333361</v>
      </c>
      <c r="BI175" s="152">
        <f t="shared" si="190"/>
        <v>-43.806666666666388</v>
      </c>
      <c r="BJ175" s="152">
        <f t="shared" si="190"/>
        <v>-812.79000000000042</v>
      </c>
      <c r="BK175" s="280"/>
      <c r="BL175" s="152">
        <f t="shared" ref="BL175:BW175" si="191">BL165-BL173</f>
        <v>0</v>
      </c>
      <c r="BM175" s="152">
        <f t="shared" si="191"/>
        <v>440</v>
      </c>
      <c r="BN175" s="152">
        <f t="shared" si="191"/>
        <v>436</v>
      </c>
      <c r="BO175" s="152">
        <f t="shared" si="191"/>
        <v>541.81000000000131</v>
      </c>
      <c r="BP175" s="152">
        <f t="shared" si="191"/>
        <v>0</v>
      </c>
      <c r="BQ175" s="152">
        <f t="shared" si="191"/>
        <v>0</v>
      </c>
      <c r="BR175" s="152">
        <f t="shared" si="191"/>
        <v>0</v>
      </c>
      <c r="BS175" s="152">
        <f t="shared" si="191"/>
        <v>0</v>
      </c>
      <c r="BT175" s="152">
        <f t="shared" si="191"/>
        <v>0</v>
      </c>
      <c r="BU175" s="152">
        <f t="shared" si="191"/>
        <v>0</v>
      </c>
      <c r="BV175" s="152">
        <f t="shared" si="191"/>
        <v>0</v>
      </c>
      <c r="BW175" s="152">
        <f t="shared" si="191"/>
        <v>0</v>
      </c>
      <c r="BY175" s="12"/>
      <c r="CA175" s="12"/>
      <c r="CD175" s="7">
        <f>IF(SUM($CH175:$CJ175)=0, 0, 1)</f>
        <v>0</v>
      </c>
      <c r="CE175" s="7">
        <f>IF(SUM($CK175:$CM175)=0, 0, 1)</f>
        <v>0</v>
      </c>
      <c r="CF175" s="7">
        <f>IF(CN175=0, 0, 1)</f>
        <v>0</v>
      </c>
      <c r="CG175" s="12"/>
      <c r="CH175" s="352">
        <f>IF($G175=$G$7, ROUND(W175-SUMIFS($AA175:$BJ175, $AA$3:$BJ$3, W$3), rounding), 0)</f>
        <v>0</v>
      </c>
      <c r="CI175" s="352">
        <f>IF($G175=$G$7, ROUND(X175-SUMIFS($AA175:$BJ175, $AA$3:$BJ$3, X$3), rounding), 0)</f>
        <v>0</v>
      </c>
      <c r="CJ175" s="352">
        <f>IF($G175=$G$7, ROUND(Y175-SUMIFS($AA175:$BJ175, $AA$3:$BJ$3, Y$3), rounding), 0)</f>
        <v>0</v>
      </c>
      <c r="CK175" s="352">
        <f>ROUND($BM175-SUMIFS($AA175:$BJ175, $AA$3:$BJ$3, $BM$3), rounding)</f>
        <v>0</v>
      </c>
      <c r="CL175" s="352">
        <f>ROUND($BN175-SUMIFS($AA175:$BJ175, $AA$3:$BJ$3, $BN$3), rounding)</f>
        <v>0</v>
      </c>
      <c r="CM175" s="352">
        <f>ROUND($BO175-SUMIFS($AA175:$BJ175, $AA$3:$BJ$3, $BO$3), rounding)</f>
        <v>0</v>
      </c>
      <c r="CN175" s="352">
        <f>ROUND($V175-$BL175, rounding)</f>
        <v>0</v>
      </c>
      <c r="EX175" s="10" t="str">
        <f t="shared" si="151"/>
        <v>Surplus/(deficit) after interest, tax, depreciation and amortisation costs</v>
      </c>
    </row>
    <row r="176" spans="1:154" ht="6.6" customHeight="1" x14ac:dyDescent="0.25">
      <c r="A176" s="335"/>
      <c r="B176" s="329"/>
      <c r="C176" s="380"/>
      <c r="E176" s="25"/>
      <c r="F176" s="335"/>
      <c r="G176" s="335"/>
      <c r="H176" s="319"/>
      <c r="I176" s="335"/>
      <c r="N176" s="335"/>
      <c r="O176" s="335"/>
      <c r="P176" s="335"/>
      <c r="Q176" s="2"/>
      <c r="R176" s="335"/>
      <c r="T176" s="335"/>
      <c r="U176" s="335"/>
      <c r="V176" s="25"/>
      <c r="W176" s="25"/>
      <c r="X176" s="25"/>
      <c r="Y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L176" s="25"/>
      <c r="BM176" s="155"/>
      <c r="BN176" s="25"/>
      <c r="BO176" s="25"/>
      <c r="BP176" s="25"/>
      <c r="BQ176" s="25"/>
      <c r="BR176" s="25"/>
      <c r="BS176" s="25"/>
      <c r="BT176" s="25"/>
      <c r="BU176" s="25"/>
      <c r="BV176" s="25"/>
      <c r="BW176" s="25"/>
      <c r="BY176" s="42"/>
      <c r="BZ176" s="335"/>
      <c r="CA176" s="42"/>
      <c r="CC176" s="335"/>
      <c r="CD176" s="7"/>
      <c r="CE176" s="7"/>
      <c r="CF176" s="7"/>
      <c r="CG176" s="42"/>
      <c r="CM176" s="335"/>
      <c r="EX176" s="10" t="str">
        <f t="shared" si="151"/>
        <v/>
      </c>
    </row>
    <row r="177" spans="1:154" x14ac:dyDescent="0.25">
      <c r="A177" s="335"/>
      <c r="B177" s="5"/>
      <c r="C177" s="380"/>
      <c r="D177" s="27" t="s">
        <v>81</v>
      </c>
      <c r="E177" s="82"/>
      <c r="F177" s="25"/>
      <c r="G177" s="25"/>
      <c r="H177" s="319"/>
      <c r="I177" s="25"/>
      <c r="N177" s="335"/>
      <c r="O177" s="335"/>
      <c r="P177" s="335"/>
      <c r="Q177" s="2"/>
      <c r="R177" s="335"/>
      <c r="T177" s="335"/>
      <c r="U177" s="335"/>
      <c r="V177" s="25"/>
      <c r="W177" s="25"/>
      <c r="X177" s="25"/>
      <c r="Y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L177" s="25"/>
      <c r="BM177" s="25"/>
      <c r="BN177" s="25"/>
      <c r="BO177" s="25"/>
      <c r="BP177" s="25"/>
      <c r="BQ177" s="25"/>
      <c r="BR177" s="25"/>
      <c r="BS177" s="25"/>
      <c r="BT177" s="25"/>
      <c r="BU177" s="25"/>
      <c r="BV177" s="25"/>
      <c r="BW177" s="25"/>
      <c r="BY177" s="12"/>
      <c r="CA177" s="12"/>
      <c r="CD177" s="7"/>
      <c r="CE177" s="7"/>
      <c r="CF177" s="7"/>
      <c r="CG177" s="12"/>
      <c r="CM177" s="335"/>
      <c r="CN177" s="335"/>
      <c r="EX177" s="10" t="str">
        <f t="shared" si="151"/>
        <v/>
      </c>
    </row>
    <row r="178" spans="1:154" ht="23.25" x14ac:dyDescent="0.25">
      <c r="A178" s="362" cm="1">
        <f t="array" aca="1" ref="A178" ca="1">HYPERLINK(CONCATENATE("#",CELL("address",IF(SUM($CA178:$CG178)=0,A178,INDEX($CA178:$CG178,MATCH(1,$CA178:$CG178,0))))),SUM($CA178:$CG178))</f>
        <v>0</v>
      </c>
      <c r="C178" s="340" t="s">
        <v>1011</v>
      </c>
      <c r="D178" s="134" t="s">
        <v>82</v>
      </c>
      <c r="E178" s="348" t="str" cm="1">
        <f t="array" aca="1" ref="E178" ca="1">HYPERLINK(CONCATENATE("#",CELL("address",'Investing Inputs'!$D$293)),'Investing Inputs'!$D$293)</f>
        <v xml:space="preserve">Gain/Loss on Disposal </v>
      </c>
      <c r="F178" s="335"/>
      <c r="G178" s="335"/>
      <c r="H178" s="319" t="s">
        <v>8</v>
      </c>
      <c r="I178" s="335"/>
      <c r="N178" s="335"/>
      <c r="O178" s="335"/>
      <c r="P178" s="335"/>
      <c r="Q178" s="2"/>
      <c r="R178" s="335"/>
      <c r="T178" s="335"/>
      <c r="U178" s="335"/>
      <c r="V178" s="10">
        <f>'I&amp;E Monthly'!V$178</f>
        <v>0</v>
      </c>
      <c r="W178" s="10">
        <f>'I&amp;E Monthly'!W$178</f>
        <v>0</v>
      </c>
      <c r="X178" s="10">
        <f>'I&amp;E Monthly'!X$178</f>
        <v>0</v>
      </c>
      <c r="Y178" s="10">
        <f>'I&amp;E Monthly'!Y$178</f>
        <v>0</v>
      </c>
      <c r="AA178" s="10">
        <f>'I&amp;E Monthly'!AA$178</f>
        <v>0</v>
      </c>
      <c r="AB178" s="10">
        <f>'I&amp;E Monthly'!AB$178</f>
        <v>0</v>
      </c>
      <c r="AC178" s="10">
        <f>'I&amp;E Monthly'!AC$178</f>
        <v>0</v>
      </c>
      <c r="AD178" s="10">
        <f>'I&amp;E Monthly'!AD$178</f>
        <v>0</v>
      </c>
      <c r="AE178" s="10">
        <f>'I&amp;E Monthly'!AE$178</f>
        <v>0</v>
      </c>
      <c r="AF178" s="10">
        <f>'I&amp;E Monthly'!AF$178</f>
        <v>0</v>
      </c>
      <c r="AG178" s="10">
        <f>'I&amp;E Monthly'!AG$178</f>
        <v>0</v>
      </c>
      <c r="AH178" s="10">
        <f>'I&amp;E Monthly'!AH$178</f>
        <v>0</v>
      </c>
      <c r="AI178" s="10">
        <f>'I&amp;E Monthly'!AI$178</f>
        <v>0</v>
      </c>
      <c r="AJ178" s="10">
        <f>'I&amp;E Monthly'!AJ$178</f>
        <v>0</v>
      </c>
      <c r="AK178" s="10">
        <f>'I&amp;E Monthly'!AK$178</f>
        <v>0</v>
      </c>
      <c r="AL178" s="10">
        <f>'I&amp;E Monthly'!AL$178</f>
        <v>0</v>
      </c>
      <c r="AM178" s="10">
        <f>'I&amp;E Monthly'!AM$178</f>
        <v>0</v>
      </c>
      <c r="AN178" s="10">
        <f>'I&amp;E Monthly'!AN$178</f>
        <v>0</v>
      </c>
      <c r="AO178" s="10">
        <f>'I&amp;E Monthly'!AO$178</f>
        <v>0</v>
      </c>
      <c r="AP178" s="10">
        <f>'I&amp;E Monthly'!AP$178</f>
        <v>0</v>
      </c>
      <c r="AQ178" s="10">
        <f>'I&amp;E Monthly'!AQ$178</f>
        <v>0</v>
      </c>
      <c r="AR178" s="10">
        <f>'I&amp;E Monthly'!AR$178</f>
        <v>0</v>
      </c>
      <c r="AS178" s="10">
        <f>'I&amp;E Monthly'!AS$178</f>
        <v>0</v>
      </c>
      <c r="AT178" s="10">
        <f>'I&amp;E Monthly'!AT$178</f>
        <v>0</v>
      </c>
      <c r="AU178" s="10">
        <f>'I&amp;E Monthly'!AU$178</f>
        <v>0</v>
      </c>
      <c r="AV178" s="10">
        <f>'I&amp;E Monthly'!AV$178</f>
        <v>0</v>
      </c>
      <c r="AW178" s="10">
        <f>'I&amp;E Monthly'!AW$178</f>
        <v>0</v>
      </c>
      <c r="AX178" s="10">
        <f>'I&amp;E Monthly'!AX$178</f>
        <v>0</v>
      </c>
      <c r="AY178" s="10">
        <f>'I&amp;E Monthly'!AY$178</f>
        <v>0</v>
      </c>
      <c r="AZ178" s="10">
        <f>'I&amp;E Monthly'!AZ$178</f>
        <v>0</v>
      </c>
      <c r="BA178" s="10">
        <f>'I&amp;E Monthly'!BA$178</f>
        <v>0</v>
      </c>
      <c r="BB178" s="10">
        <f>'I&amp;E Monthly'!BB$178</f>
        <v>0</v>
      </c>
      <c r="BC178" s="10">
        <f>'I&amp;E Monthly'!BC$178</f>
        <v>0</v>
      </c>
      <c r="BD178" s="10">
        <f>'I&amp;E Monthly'!BD$178</f>
        <v>0</v>
      </c>
      <c r="BE178" s="10">
        <f>'I&amp;E Monthly'!BE$178</f>
        <v>0</v>
      </c>
      <c r="BF178" s="10">
        <f>'I&amp;E Monthly'!BF$178</f>
        <v>0</v>
      </c>
      <c r="BG178" s="10">
        <f>'I&amp;E Monthly'!BG$178</f>
        <v>0</v>
      </c>
      <c r="BH178" s="10">
        <f>'I&amp;E Monthly'!BH$178</f>
        <v>0</v>
      </c>
      <c r="BI178" s="10">
        <f>'I&amp;E Monthly'!BI$178</f>
        <v>0</v>
      </c>
      <c r="BJ178" s="10">
        <f>'I&amp;E Monthly'!BJ$178</f>
        <v>0</v>
      </c>
      <c r="BL178" s="10">
        <f>'I&amp;E Monthly'!BL$178</f>
        <v>0</v>
      </c>
      <c r="BM178" s="10">
        <f>'I&amp;E Monthly'!BM$178</f>
        <v>0</v>
      </c>
      <c r="BN178" s="10">
        <f>'I&amp;E Monthly'!BN$178</f>
        <v>0</v>
      </c>
      <c r="BO178" s="10">
        <f>'I&amp;E Monthly'!BO$178</f>
        <v>0</v>
      </c>
      <c r="BP178" s="10">
        <f>'I&amp;E Monthly'!BP$178</f>
        <v>0</v>
      </c>
      <c r="BQ178" s="10">
        <f>'I&amp;E Monthly'!BQ$178</f>
        <v>0</v>
      </c>
      <c r="BR178" s="10">
        <f>'I&amp;E Monthly'!BR$178</f>
        <v>0</v>
      </c>
      <c r="BS178" s="10">
        <f>'I&amp;E Monthly'!BS$178</f>
        <v>0</v>
      </c>
      <c r="BT178" s="10">
        <f>'I&amp;E Monthly'!BT$178</f>
        <v>0</v>
      </c>
      <c r="BU178" s="10">
        <f>'I&amp;E Monthly'!BU$178</f>
        <v>0</v>
      </c>
      <c r="BV178" s="10">
        <f>'I&amp;E Monthly'!BV$178</f>
        <v>0</v>
      </c>
      <c r="BW178" s="10">
        <f>'I&amp;E Monthly'!BW$178</f>
        <v>0</v>
      </c>
      <c r="BY178" s="12"/>
      <c r="CA178" s="12"/>
      <c r="CD178" s="7">
        <f t="shared" ref="CD178:CD183" si="192">IF(SUM($CH178:$CJ178)=0, 0, 1)</f>
        <v>0</v>
      </c>
      <c r="CE178" s="7">
        <f t="shared" ref="CE178:CE183" si="193">IF(SUM($CK178:$CM178)=0, 0, 1)</f>
        <v>0</v>
      </c>
      <c r="CF178" s="7">
        <f t="shared" ref="CF178:CF183" si="194">IF(CN178=0, 0, 1)</f>
        <v>0</v>
      </c>
      <c r="CG178" s="12"/>
      <c r="CH178" s="352">
        <f t="shared" ref="CH178:CJ183" si="195">IF($G178=$G$7, ROUND(W178-SUMIFS($AA178:$BJ178, $AA$3:$BJ$3, W$3), rounding), 0)</f>
        <v>0</v>
      </c>
      <c r="CI178" s="352">
        <f t="shared" si="195"/>
        <v>0</v>
      </c>
      <c r="CJ178" s="352">
        <f t="shared" si="195"/>
        <v>0</v>
      </c>
      <c r="CK178" s="352">
        <f t="shared" ref="CK178:CK183" si="196">ROUND($BM178-SUMIFS($AA178:$BJ178, $AA$3:$BJ$3, $BM$3), rounding)</f>
        <v>0</v>
      </c>
      <c r="CL178" s="352">
        <f t="shared" ref="CL178:CL183" si="197">ROUND($BN178-SUMIFS($AA178:$BJ178, $AA$3:$BJ$3, $BN$3), rounding)</f>
        <v>0</v>
      </c>
      <c r="CM178" s="352">
        <f t="shared" ref="CM178:CM183" si="198">ROUND($BO178-SUMIFS($AA178:$BJ178, $AA$3:$BJ$3, $BO$3), rounding)</f>
        <v>0</v>
      </c>
      <c r="CN178" s="352">
        <f t="shared" ref="CN178:CN183" si="199">ROUND($V178-$BL178, rounding)</f>
        <v>0</v>
      </c>
      <c r="EX178" s="10" t="str">
        <f t="shared" si="151"/>
        <v>Gain/(loss) on disposal of fixed assets</v>
      </c>
    </row>
    <row r="179" spans="1:154" ht="23.25" x14ac:dyDescent="0.25">
      <c r="A179" s="362" cm="1">
        <f t="array" aca="1" ref="A179" ca="1">HYPERLINK(CONCATENATE("#",CELL("address",IF(SUM($CA179:$CG179)=0,A179,INDEX($CA179:$CG179,MATCH(1,$CA179:$CG179,0))))),SUM($CA179:$CG179))</f>
        <v>0</v>
      </c>
      <c r="B179" s="335"/>
      <c r="C179" s="340" t="s">
        <v>1012</v>
      </c>
      <c r="D179" s="134" t="s">
        <v>2378</v>
      </c>
      <c r="E179" s="348" t="str" cm="1">
        <f t="array" aca="1" ref="E179" ca="1">HYPERLINK(CONCATENATE("#",CELL("address",'Investing Inputs'!$D$296)),'Investing Inputs'!$D$293)</f>
        <v xml:space="preserve">Gain/Loss on Disposal </v>
      </c>
      <c r="F179" s="25"/>
      <c r="G179" s="25"/>
      <c r="H179" s="25" t="s">
        <v>8</v>
      </c>
      <c r="I179" s="25"/>
      <c r="J179" s="25"/>
      <c r="N179" s="335"/>
      <c r="O179" s="335"/>
      <c r="P179" s="335"/>
      <c r="Q179" s="2"/>
      <c r="R179" s="335"/>
      <c r="T179" s="335"/>
      <c r="U179" s="335"/>
      <c r="V179" s="153">
        <f>'I&amp;E Monthly'!V$179</f>
        <v>0</v>
      </c>
      <c r="W179" s="153">
        <f>'I&amp;E Monthly'!W$179</f>
        <v>0</v>
      </c>
      <c r="X179" s="153">
        <f>'I&amp;E Monthly'!X$179</f>
        <v>0</v>
      </c>
      <c r="Y179" s="153">
        <f>'I&amp;E Monthly'!Y$179</f>
        <v>0</v>
      </c>
      <c r="AA179" s="153">
        <f>'I&amp;E Monthly'!AA$179</f>
        <v>0</v>
      </c>
      <c r="AB179" s="153">
        <f>'I&amp;E Monthly'!AB$179</f>
        <v>0</v>
      </c>
      <c r="AC179" s="153">
        <f>'I&amp;E Monthly'!AC$179</f>
        <v>0</v>
      </c>
      <c r="AD179" s="153">
        <f>'I&amp;E Monthly'!AD$179</f>
        <v>0</v>
      </c>
      <c r="AE179" s="153">
        <f>'I&amp;E Monthly'!AE$179</f>
        <v>0</v>
      </c>
      <c r="AF179" s="153">
        <f>'I&amp;E Monthly'!AF$179</f>
        <v>0</v>
      </c>
      <c r="AG179" s="153">
        <f>'I&amp;E Monthly'!AG$179</f>
        <v>0</v>
      </c>
      <c r="AH179" s="153">
        <f>'I&amp;E Monthly'!AH$179</f>
        <v>0</v>
      </c>
      <c r="AI179" s="153">
        <f>'I&amp;E Monthly'!AI$179</f>
        <v>0</v>
      </c>
      <c r="AJ179" s="153">
        <f>'I&amp;E Monthly'!AJ$179</f>
        <v>0</v>
      </c>
      <c r="AK179" s="153">
        <f>'I&amp;E Monthly'!AK$179</f>
        <v>0</v>
      </c>
      <c r="AL179" s="153">
        <f>'I&amp;E Monthly'!AL$179</f>
        <v>0</v>
      </c>
      <c r="AM179" s="153">
        <f>'I&amp;E Monthly'!AM$179</f>
        <v>0</v>
      </c>
      <c r="AN179" s="153">
        <f>'I&amp;E Monthly'!AN$179</f>
        <v>0</v>
      </c>
      <c r="AO179" s="153">
        <f>'I&amp;E Monthly'!AO$179</f>
        <v>0</v>
      </c>
      <c r="AP179" s="153">
        <f>'I&amp;E Monthly'!AP$179</f>
        <v>0</v>
      </c>
      <c r="AQ179" s="153">
        <f>'I&amp;E Monthly'!AQ$179</f>
        <v>0</v>
      </c>
      <c r="AR179" s="153">
        <f>'I&amp;E Monthly'!AR$179</f>
        <v>0</v>
      </c>
      <c r="AS179" s="153">
        <f>'I&amp;E Monthly'!AS$179</f>
        <v>0</v>
      </c>
      <c r="AT179" s="153">
        <f>'I&amp;E Monthly'!AT$179</f>
        <v>0</v>
      </c>
      <c r="AU179" s="153">
        <f>'I&amp;E Monthly'!AU$179</f>
        <v>0</v>
      </c>
      <c r="AV179" s="153">
        <f>'I&amp;E Monthly'!AV$179</f>
        <v>0</v>
      </c>
      <c r="AW179" s="153">
        <f>'I&amp;E Monthly'!AW$179</f>
        <v>0</v>
      </c>
      <c r="AX179" s="153">
        <f>'I&amp;E Monthly'!AX$179</f>
        <v>0</v>
      </c>
      <c r="AY179" s="153">
        <f>'I&amp;E Monthly'!AY$179</f>
        <v>0</v>
      </c>
      <c r="AZ179" s="153">
        <f>'I&amp;E Monthly'!AZ$179</f>
        <v>0</v>
      </c>
      <c r="BA179" s="153">
        <f>'I&amp;E Monthly'!BA$179</f>
        <v>0</v>
      </c>
      <c r="BB179" s="153">
        <f>'I&amp;E Monthly'!BB$179</f>
        <v>0</v>
      </c>
      <c r="BC179" s="153">
        <f>'I&amp;E Monthly'!BC$179</f>
        <v>0</v>
      </c>
      <c r="BD179" s="153">
        <f>'I&amp;E Monthly'!BD$179</f>
        <v>0</v>
      </c>
      <c r="BE179" s="153">
        <f>'I&amp;E Monthly'!BE$179</f>
        <v>0</v>
      </c>
      <c r="BF179" s="153">
        <f>'I&amp;E Monthly'!BF$179</f>
        <v>0</v>
      </c>
      <c r="BG179" s="153">
        <f>'I&amp;E Monthly'!BG$179</f>
        <v>0</v>
      </c>
      <c r="BH179" s="153">
        <f>'I&amp;E Monthly'!BH$179</f>
        <v>0</v>
      </c>
      <c r="BI179" s="153">
        <f>'I&amp;E Monthly'!BI$179</f>
        <v>0</v>
      </c>
      <c r="BJ179" s="153">
        <f>'I&amp;E Monthly'!BJ$179</f>
        <v>0</v>
      </c>
      <c r="BK179" s="335"/>
      <c r="BL179" s="153">
        <f>'I&amp;E Monthly'!BL$179</f>
        <v>0</v>
      </c>
      <c r="BM179" s="153">
        <f>'I&amp;E Monthly'!BM$179</f>
        <v>0</v>
      </c>
      <c r="BN179" s="153">
        <f>'I&amp;E Monthly'!BN$179</f>
        <v>0</v>
      </c>
      <c r="BO179" s="153">
        <f>'I&amp;E Monthly'!BO$179</f>
        <v>0</v>
      </c>
      <c r="BP179" s="153">
        <f>'I&amp;E Monthly'!BP$179</f>
        <v>0</v>
      </c>
      <c r="BQ179" s="153">
        <f>'I&amp;E Monthly'!BQ$179</f>
        <v>0</v>
      </c>
      <c r="BR179" s="153">
        <f>'I&amp;E Monthly'!BR$179</f>
        <v>0</v>
      </c>
      <c r="BS179" s="153">
        <f>'I&amp;E Monthly'!BS$179</f>
        <v>0</v>
      </c>
      <c r="BT179" s="153">
        <f>'I&amp;E Monthly'!BT$179</f>
        <v>0</v>
      </c>
      <c r="BU179" s="153">
        <f>'I&amp;E Monthly'!BU$179</f>
        <v>0</v>
      </c>
      <c r="BV179" s="153">
        <f>'I&amp;E Monthly'!BV$179</f>
        <v>0</v>
      </c>
      <c r="BW179" s="153">
        <f>'I&amp;E Monthly'!BW$179</f>
        <v>0</v>
      </c>
      <c r="BY179" s="12"/>
      <c r="BZ179" s="335"/>
      <c r="CA179" s="12"/>
      <c r="CC179" s="335"/>
      <c r="CD179" s="7">
        <f t="shared" si="192"/>
        <v>0</v>
      </c>
      <c r="CE179" s="7">
        <f t="shared" si="193"/>
        <v>0</v>
      </c>
      <c r="CF179" s="7">
        <f t="shared" si="194"/>
        <v>0</v>
      </c>
      <c r="CG179" s="12"/>
      <c r="CH179" s="352">
        <f t="shared" si="195"/>
        <v>0</v>
      </c>
      <c r="CI179" s="352">
        <f t="shared" si="195"/>
        <v>0</v>
      </c>
      <c r="CJ179" s="352">
        <f t="shared" si="195"/>
        <v>0</v>
      </c>
      <c r="CK179" s="352">
        <f t="shared" si="196"/>
        <v>0</v>
      </c>
      <c r="CL179" s="352">
        <f t="shared" si="197"/>
        <v>0</v>
      </c>
      <c r="CM179" s="352">
        <f t="shared" si="198"/>
        <v>0</v>
      </c>
      <c r="CN179" s="352">
        <f t="shared" si="199"/>
        <v>0</v>
      </c>
      <c r="EX179" s="10" t="str">
        <f t="shared" si="151"/>
        <v>Gain/(loss) on Disposal of Investments</v>
      </c>
    </row>
    <row r="180" spans="1:154" s="335" customFormat="1" ht="23.25" x14ac:dyDescent="0.25">
      <c r="A180" s="362" cm="1">
        <f t="array" aca="1" ref="A180" ca="1">HYPERLINK(CONCATENATE("#",CELL("address",IF(SUM($CA180:$CG180)=0,A180,INDEX($CA180:$CG180,MATCH(1,$CA180:$CG180,0))))),SUM($CA180:$CG180))</f>
        <v>0</v>
      </c>
      <c r="C180" s="340" t="s">
        <v>515</v>
      </c>
      <c r="D180" s="179" t="s">
        <v>940</v>
      </c>
      <c r="E180" s="348" t="str" cm="1">
        <f t="array" aca="1" ref="E180" ca="1">HYPERLINK(CONCATENATE("#",CELL("address",'Investing Inputs'!$D$95)),'Investing Inputs'!$D$95)</f>
        <v>Investments Sub-Total</v>
      </c>
      <c r="F180" s="25"/>
      <c r="G180" s="25"/>
      <c r="H180" s="25" t="s">
        <v>8</v>
      </c>
      <c r="Q180" s="2"/>
      <c r="V180" s="153">
        <f>'I&amp;E Monthly'!V$180</f>
        <v>0</v>
      </c>
      <c r="W180" s="153">
        <f>'I&amp;E Monthly'!W$180</f>
        <v>0</v>
      </c>
      <c r="X180" s="153">
        <f>'I&amp;E Monthly'!X$180</f>
        <v>0</v>
      </c>
      <c r="Y180" s="153">
        <f>'I&amp;E Monthly'!Y$180</f>
        <v>0</v>
      </c>
      <c r="AA180" s="153">
        <f>'I&amp;E Monthly'!AA$180</f>
        <v>0</v>
      </c>
      <c r="AB180" s="153">
        <f>'I&amp;E Monthly'!AB$180</f>
        <v>0</v>
      </c>
      <c r="AC180" s="153">
        <f>'I&amp;E Monthly'!AC$180</f>
        <v>0</v>
      </c>
      <c r="AD180" s="153">
        <f>'I&amp;E Monthly'!AD$180</f>
        <v>0</v>
      </c>
      <c r="AE180" s="153">
        <f>'I&amp;E Monthly'!AE$180</f>
        <v>0</v>
      </c>
      <c r="AF180" s="153">
        <f>'I&amp;E Monthly'!AF$180</f>
        <v>0</v>
      </c>
      <c r="AG180" s="153">
        <f>'I&amp;E Monthly'!AG$180</f>
        <v>0</v>
      </c>
      <c r="AH180" s="153">
        <f>'I&amp;E Monthly'!AH$180</f>
        <v>0</v>
      </c>
      <c r="AI180" s="153">
        <f>'I&amp;E Monthly'!AI$180</f>
        <v>0</v>
      </c>
      <c r="AJ180" s="153">
        <f>'I&amp;E Monthly'!AJ$180</f>
        <v>0</v>
      </c>
      <c r="AK180" s="153">
        <f>'I&amp;E Monthly'!AK$180</f>
        <v>0</v>
      </c>
      <c r="AL180" s="153">
        <f>'I&amp;E Monthly'!AL$180</f>
        <v>0</v>
      </c>
      <c r="AM180" s="153">
        <f>'I&amp;E Monthly'!AM$180</f>
        <v>0</v>
      </c>
      <c r="AN180" s="153">
        <f>'I&amp;E Monthly'!AN$180</f>
        <v>0</v>
      </c>
      <c r="AO180" s="153">
        <f>'I&amp;E Monthly'!AO$180</f>
        <v>0</v>
      </c>
      <c r="AP180" s="153">
        <f>'I&amp;E Monthly'!AP$180</f>
        <v>0</v>
      </c>
      <c r="AQ180" s="153">
        <f>'I&amp;E Monthly'!AQ$180</f>
        <v>0</v>
      </c>
      <c r="AR180" s="153">
        <f>'I&amp;E Monthly'!AR$180</f>
        <v>0</v>
      </c>
      <c r="AS180" s="153">
        <f>'I&amp;E Monthly'!AS$180</f>
        <v>0</v>
      </c>
      <c r="AT180" s="153">
        <f>'I&amp;E Monthly'!AT$180</f>
        <v>0</v>
      </c>
      <c r="AU180" s="153">
        <f>'I&amp;E Monthly'!AU$180</f>
        <v>0</v>
      </c>
      <c r="AV180" s="153">
        <f>'I&amp;E Monthly'!AV$180</f>
        <v>0</v>
      </c>
      <c r="AW180" s="153">
        <f>'I&amp;E Monthly'!AW$180</f>
        <v>0</v>
      </c>
      <c r="AX180" s="153">
        <f>'I&amp;E Monthly'!AX$180</f>
        <v>0</v>
      </c>
      <c r="AY180" s="153">
        <f>'I&amp;E Monthly'!AY$180</f>
        <v>0</v>
      </c>
      <c r="AZ180" s="153">
        <f>'I&amp;E Monthly'!AZ$180</f>
        <v>0</v>
      </c>
      <c r="BA180" s="153">
        <f>'I&amp;E Monthly'!BA$180</f>
        <v>0</v>
      </c>
      <c r="BB180" s="153">
        <f>'I&amp;E Monthly'!BB$180</f>
        <v>0</v>
      </c>
      <c r="BC180" s="153">
        <f>'I&amp;E Monthly'!BC$180</f>
        <v>0</v>
      </c>
      <c r="BD180" s="153">
        <f>'I&amp;E Monthly'!BD$180</f>
        <v>0</v>
      </c>
      <c r="BE180" s="153">
        <f>'I&amp;E Monthly'!BE$180</f>
        <v>0</v>
      </c>
      <c r="BF180" s="153">
        <f>'I&amp;E Monthly'!BF$180</f>
        <v>0</v>
      </c>
      <c r="BG180" s="153">
        <f>'I&amp;E Monthly'!BG$180</f>
        <v>0</v>
      </c>
      <c r="BH180" s="153">
        <f>'I&amp;E Monthly'!BH$180</f>
        <v>0</v>
      </c>
      <c r="BI180" s="153">
        <f>'I&amp;E Monthly'!BI$180</f>
        <v>0</v>
      </c>
      <c r="BJ180" s="153">
        <f>'I&amp;E Monthly'!BJ$180</f>
        <v>0</v>
      </c>
      <c r="BL180" s="153">
        <f>'I&amp;E Monthly'!BL$180</f>
        <v>0</v>
      </c>
      <c r="BM180" s="153">
        <f>'I&amp;E Monthly'!BM$180</f>
        <v>0</v>
      </c>
      <c r="BN180" s="153">
        <f>'I&amp;E Monthly'!BN$180</f>
        <v>0</v>
      </c>
      <c r="BO180" s="153">
        <f>'I&amp;E Monthly'!BO$180</f>
        <v>0</v>
      </c>
      <c r="BP180" s="153">
        <f>'I&amp;E Monthly'!BP$180</f>
        <v>0</v>
      </c>
      <c r="BQ180" s="153">
        <f>'I&amp;E Monthly'!BQ$180</f>
        <v>0</v>
      </c>
      <c r="BR180" s="153">
        <f>'I&amp;E Monthly'!BR$180</f>
        <v>0</v>
      </c>
      <c r="BS180" s="153">
        <f>'I&amp;E Monthly'!BS$180</f>
        <v>0</v>
      </c>
      <c r="BT180" s="153">
        <f>'I&amp;E Monthly'!BT$180</f>
        <v>0</v>
      </c>
      <c r="BU180" s="153">
        <f>'I&amp;E Monthly'!BU$180</f>
        <v>0</v>
      </c>
      <c r="BV180" s="153">
        <f>'I&amp;E Monthly'!BV$180</f>
        <v>0</v>
      </c>
      <c r="BW180" s="153">
        <f>'I&amp;E Monthly'!BW$180</f>
        <v>0</v>
      </c>
      <c r="BY180" s="12"/>
      <c r="CA180" s="12"/>
      <c r="CD180" s="7">
        <f t="shared" si="192"/>
        <v>0</v>
      </c>
      <c r="CE180" s="7">
        <f t="shared" si="193"/>
        <v>0</v>
      </c>
      <c r="CF180" s="7">
        <f t="shared" si="194"/>
        <v>0</v>
      </c>
      <c r="CG180" s="12"/>
      <c r="CH180" s="352">
        <f t="shared" si="195"/>
        <v>0</v>
      </c>
      <c r="CI180" s="352">
        <f t="shared" si="195"/>
        <v>0</v>
      </c>
      <c r="CJ180" s="352">
        <f t="shared" si="195"/>
        <v>0</v>
      </c>
      <c r="CK180" s="352">
        <f t="shared" si="196"/>
        <v>0</v>
      </c>
      <c r="CL180" s="352">
        <f t="shared" si="197"/>
        <v>0</v>
      </c>
      <c r="CM180" s="352">
        <f t="shared" si="198"/>
        <v>0</v>
      </c>
      <c r="CN180" s="352">
        <f t="shared" si="199"/>
        <v>0</v>
      </c>
      <c r="EX180" s="10" t="str">
        <f t="shared" si="151"/>
        <v>Surplus/(loss) on Revaluation of Investments</v>
      </c>
    </row>
    <row r="181" spans="1:154" ht="30" x14ac:dyDescent="0.25">
      <c r="A181" s="362" cm="1">
        <f t="array" aca="1" ref="A181" ca="1">HYPERLINK(CONCATENATE("#",CELL("address",IF(SUM($CA181:$CG181)=0,A181,INDEX($CA181:$CG181,MATCH(1,$CA181:$CG181,0))))),SUM($CA181:$CG181))</f>
        <v>0</v>
      </c>
      <c r="B181" s="335"/>
      <c r="C181" s="340" t="s">
        <v>516</v>
      </c>
      <c r="D181" s="134" t="s">
        <v>2510</v>
      </c>
      <c r="E181" s="147"/>
      <c r="F181" s="98" t="str" cm="1">
        <f t="array" aca="1" ref="F181" ca="1">IF(E181="", "", HYPERLINK(CONCATENATE("#",CELL("address",INDEX('I&amp;E Profiles'!$D$9:$D$93,'I&amp;E Annual'!I181))),E181))</f>
        <v/>
      </c>
      <c r="G181" s="147" t="s">
        <v>211</v>
      </c>
      <c r="H181" s="335" t="s">
        <v>8</v>
      </c>
      <c r="I181" s="350" t="str">
        <f>IF(E181="", "", MATCH(E181, 'I&amp;E Profiles'!$D$96:$D$180,0))</f>
        <v/>
      </c>
      <c r="J181" s="215">
        <f>IF($G181=$G$7, W181,'I&amp;E Monthly'!W181)-SUMIFS('I&amp;E Monthly'!$AA181:$BJ181, 'I&amp;E Monthly'!$AA$3:$BJ$3, 'I&amp;E Annual'!W$3, 'I&amp;E Monthly'!$AA$4:$BJ$4, 0)</f>
        <v>0</v>
      </c>
      <c r="K181" s="215">
        <f>IF($G181=$G$7, X181,'I&amp;E Monthly'!X181)-SUMIFS('I&amp;E Monthly'!$AA181:$BJ181, 'I&amp;E Monthly'!$AA$3:$BJ$3, 'I&amp;E Annual'!X$3, 'I&amp;E Monthly'!$AA$4:$BJ$4, 0)</f>
        <v>0</v>
      </c>
      <c r="L181" s="215">
        <f>IF($G181=$G$7, Y181,'I&amp;E Monthly'!Y181)-SUMIFS('I&amp;E Monthly'!$AA181:$BJ181, 'I&amp;E Monthly'!$AA$3:$BJ$3, 'I&amp;E Annual'!Y$3, 'I&amp;E Monthly'!$AA$4:$BJ$4, 0)</f>
        <v>0</v>
      </c>
      <c r="M181" s="335"/>
      <c r="N181" s="335"/>
      <c r="O181" s="335"/>
      <c r="P181" s="335"/>
      <c r="Q181" s="2"/>
      <c r="R181" s="335"/>
      <c r="S181" s="25"/>
      <c r="T181" s="335"/>
      <c r="U181" s="335"/>
      <c r="V181" s="201">
        <f>'I&amp;E Monthly'!V181</f>
        <v>0</v>
      </c>
      <c r="W181" s="372"/>
      <c r="X181" s="198"/>
      <c r="Y181" s="198"/>
      <c r="Z181" s="25"/>
      <c r="AA181" s="153" cm="1">
        <f t="array" ref="AA181">IF(OR(AA$4=0, $G181&lt;&gt; $G$7, $E181=0), 'I&amp;E Monthly'!AA181, CHOOSE(Timeline!AA$30,$J181,$K181,$L181 )*INDEX('I&amp;E Profiles'!AA$96:AA$180,$I181))</f>
        <v>0</v>
      </c>
      <c r="AB181" s="153" cm="1">
        <f t="array" ref="AB181">IF(OR(AB$4=0, $G181&lt;&gt; $G$7, $E181=0), 'I&amp;E Monthly'!AB181, CHOOSE(Timeline!AB$30,$J181,$K181,$L181 )*INDEX('I&amp;E Profiles'!AB$96:AB$180,$I181))</f>
        <v>0</v>
      </c>
      <c r="AC181" s="153" cm="1">
        <f t="array" ref="AC181">IF(OR(AC$4=0, $G181&lt;&gt; $G$7, $E181=0), 'I&amp;E Monthly'!AC181, CHOOSE(Timeline!AC$30,$J181,$K181,$L181 )*INDEX('I&amp;E Profiles'!AC$96:AC$180,$I181))</f>
        <v>0</v>
      </c>
      <c r="AD181" s="153" cm="1">
        <f t="array" ref="AD181">IF(OR(AD$4=0, $G181&lt;&gt; $G$7, $E181=0), 'I&amp;E Monthly'!AD181, CHOOSE(Timeline!AD$30,$J181,$K181,$L181 )*INDEX('I&amp;E Profiles'!AD$96:AD$180,$I181))</f>
        <v>0</v>
      </c>
      <c r="AE181" s="153" cm="1">
        <f t="array" ref="AE181">IF(OR(AE$4=0, $G181&lt;&gt; $G$7, $E181=0), 'I&amp;E Monthly'!AE181, CHOOSE(Timeline!AE$30,$J181,$K181,$L181 )*INDEX('I&amp;E Profiles'!AE$96:AE$180,$I181))</f>
        <v>0</v>
      </c>
      <c r="AF181" s="153" cm="1">
        <f t="array" ref="AF181">IF(OR(AF$4=0, $G181&lt;&gt; $G$7, $E181=0), 'I&amp;E Monthly'!AF181, CHOOSE(Timeline!AF$30,$J181,$K181,$L181 )*INDEX('I&amp;E Profiles'!AF$96:AF$180,$I181))</f>
        <v>0</v>
      </c>
      <c r="AG181" s="153" cm="1">
        <f t="array" ref="AG181">IF(OR(AG$4=0, $G181&lt;&gt; $G$7, $E181=0), 'I&amp;E Monthly'!AG181, CHOOSE(Timeline!AG$30,$J181,$K181,$L181 )*INDEX('I&amp;E Profiles'!AG$96:AG$180,$I181))</f>
        <v>0</v>
      </c>
      <c r="AH181" s="153" cm="1">
        <f t="array" ref="AH181">IF(OR(AH$4=0, $G181&lt;&gt; $G$7, $E181=0), 'I&amp;E Monthly'!AH181, CHOOSE(Timeline!AH$30,$J181,$K181,$L181 )*INDEX('I&amp;E Profiles'!AH$96:AH$180,$I181))</f>
        <v>0</v>
      </c>
      <c r="AI181" s="153" cm="1">
        <f t="array" ref="AI181">IF(OR(AI$4=0, $G181&lt;&gt; $G$7, $E181=0), 'I&amp;E Monthly'!AI181, CHOOSE(Timeline!AI$30,$J181,$K181,$L181 )*INDEX('I&amp;E Profiles'!AI$96:AI$180,$I181))</f>
        <v>0</v>
      </c>
      <c r="AJ181" s="153" cm="1">
        <f t="array" ref="AJ181">IF(OR(AJ$4=0, $G181&lt;&gt; $G$7, $E181=0), 'I&amp;E Monthly'!AJ181, CHOOSE(Timeline!AJ$30,$J181,$K181,$L181 )*INDEX('I&amp;E Profiles'!AJ$96:AJ$180,$I181))</f>
        <v>0</v>
      </c>
      <c r="AK181" s="153" cm="1">
        <f t="array" ref="AK181">IF(OR(AK$4=0, $G181&lt;&gt; $G$7, $E181=0), 'I&amp;E Monthly'!AK181, CHOOSE(Timeline!AK$30,$J181,$K181,$L181 )*INDEX('I&amp;E Profiles'!AK$96:AK$180,$I181))</f>
        <v>0</v>
      </c>
      <c r="AL181" s="153" cm="1">
        <f t="array" ref="AL181">IF(OR(AL$4=0, $G181&lt;&gt; $G$7, $E181=0), 'I&amp;E Monthly'!AL181, CHOOSE(Timeline!AL$30,$J181,$K181,$L181 )*INDEX('I&amp;E Profiles'!AL$96:AL$180,$I181))</f>
        <v>0</v>
      </c>
      <c r="AM181" s="153" cm="1">
        <f t="array" ref="AM181">IF(OR(AM$4=0, $G181&lt;&gt; $G$7, $E181=0), 'I&amp;E Monthly'!AM181, CHOOSE(Timeline!AM$30,$J181,$K181,$L181 )*INDEX('I&amp;E Profiles'!AM$96:AM$180,$I181))</f>
        <v>0</v>
      </c>
      <c r="AN181" s="153" cm="1">
        <f t="array" ref="AN181">IF(OR(AN$4=0, $G181&lt;&gt; $G$7, $E181=0), 'I&amp;E Monthly'!AN181, CHOOSE(Timeline!AN$30,$J181,$K181,$L181 )*INDEX('I&amp;E Profiles'!AN$96:AN$180,$I181))</f>
        <v>0</v>
      </c>
      <c r="AO181" s="153" cm="1">
        <f t="array" ref="AO181">IF(OR(AO$4=0, $G181&lt;&gt; $G$7, $E181=0), 'I&amp;E Monthly'!AO181, CHOOSE(Timeline!AO$30,$J181,$K181,$L181 )*INDEX('I&amp;E Profiles'!AO$96:AO$180,$I181))</f>
        <v>0</v>
      </c>
      <c r="AP181" s="153" cm="1">
        <f t="array" ref="AP181">IF(OR(AP$4=0, $G181&lt;&gt; $G$7, $E181=0), 'I&amp;E Monthly'!AP181, CHOOSE(Timeline!AP$30,$J181,$K181,$L181 )*INDEX('I&amp;E Profiles'!AP$96:AP$180,$I181))</f>
        <v>0</v>
      </c>
      <c r="AQ181" s="153" cm="1">
        <f t="array" ref="AQ181">IF(OR(AQ$4=0, $G181&lt;&gt; $G$7, $E181=0), 'I&amp;E Monthly'!AQ181, CHOOSE(Timeline!AQ$30,$J181,$K181,$L181 )*INDEX('I&amp;E Profiles'!AQ$96:AQ$180,$I181))</f>
        <v>0</v>
      </c>
      <c r="AR181" s="153" cm="1">
        <f t="array" ref="AR181">IF(OR(AR$4=0, $G181&lt;&gt; $G$7, $E181=0), 'I&amp;E Monthly'!AR181, CHOOSE(Timeline!AR$30,$J181,$K181,$L181 )*INDEX('I&amp;E Profiles'!AR$96:AR$180,$I181))</f>
        <v>0</v>
      </c>
      <c r="AS181" s="153" cm="1">
        <f t="array" ref="AS181">IF(OR(AS$4=0, $G181&lt;&gt; $G$7, $E181=0), 'I&amp;E Monthly'!AS181, CHOOSE(Timeline!AS$30,$J181,$K181,$L181 )*INDEX('I&amp;E Profiles'!AS$96:AS$180,$I181))</f>
        <v>0</v>
      </c>
      <c r="AT181" s="153" cm="1">
        <f t="array" ref="AT181">IF(OR(AT$4=0, $G181&lt;&gt; $G$7, $E181=0), 'I&amp;E Monthly'!AT181, CHOOSE(Timeline!AT$30,$J181,$K181,$L181 )*INDEX('I&amp;E Profiles'!AT$96:AT$180,$I181))</f>
        <v>0</v>
      </c>
      <c r="AU181" s="153" cm="1">
        <f t="array" ref="AU181">IF(OR(AU$4=0, $G181&lt;&gt; $G$7, $E181=0), 'I&amp;E Monthly'!AU181, CHOOSE(Timeline!AU$30,$J181,$K181,$L181 )*INDEX('I&amp;E Profiles'!AU$96:AU$180,$I181))</f>
        <v>0</v>
      </c>
      <c r="AV181" s="153" cm="1">
        <f t="array" ref="AV181">IF(OR(AV$4=0, $G181&lt;&gt; $G$7, $E181=0), 'I&amp;E Monthly'!AV181, CHOOSE(Timeline!AV$30,$J181,$K181,$L181 )*INDEX('I&amp;E Profiles'!AV$96:AV$180,$I181))</f>
        <v>0</v>
      </c>
      <c r="AW181" s="153" cm="1">
        <f t="array" ref="AW181">IF(OR(AW$4=0, $G181&lt;&gt; $G$7, $E181=0), 'I&amp;E Monthly'!AW181, CHOOSE(Timeline!AW$30,$J181,$K181,$L181 )*INDEX('I&amp;E Profiles'!AW$96:AW$180,$I181))</f>
        <v>0</v>
      </c>
      <c r="AX181" s="153" cm="1">
        <f t="array" ref="AX181">IF(OR(AX$4=0, $G181&lt;&gt; $G$7, $E181=0), 'I&amp;E Monthly'!AX181, CHOOSE(Timeline!AX$30,$J181,$K181,$L181 )*INDEX('I&amp;E Profiles'!AX$96:AX$180,$I181))</f>
        <v>0</v>
      </c>
      <c r="AY181" s="153" cm="1">
        <f t="array" ref="AY181">IF(OR(AY$4=0, $G181&lt;&gt; $G$7, $E181=0), 'I&amp;E Monthly'!AY181, CHOOSE(Timeline!AY$30,$J181,$K181,$L181 )*INDEX('I&amp;E Profiles'!AY$96:AY$180,$I181))</f>
        <v>0</v>
      </c>
      <c r="AZ181" s="153" cm="1">
        <f t="array" ref="AZ181">IF(OR(AZ$4=0, $G181&lt;&gt; $G$7, $E181=0), 'I&amp;E Monthly'!AZ181, CHOOSE(Timeline!AZ$30,$J181,$K181,$L181 )*INDEX('I&amp;E Profiles'!AZ$96:AZ$180,$I181))</f>
        <v>0</v>
      </c>
      <c r="BA181" s="153" cm="1">
        <f t="array" ref="BA181">IF(OR(BA$4=0, $G181&lt;&gt; $G$7, $E181=0), 'I&amp;E Monthly'!BA181, CHOOSE(Timeline!BA$30,$J181,$K181,$L181 )*INDEX('I&amp;E Profiles'!BA$96:BA$180,$I181))</f>
        <v>0</v>
      </c>
      <c r="BB181" s="153" cm="1">
        <f t="array" ref="BB181">IF(OR(BB$4=0, $G181&lt;&gt; $G$7, $E181=0), 'I&amp;E Monthly'!BB181, CHOOSE(Timeline!BB$30,$J181,$K181,$L181 )*INDEX('I&amp;E Profiles'!BB$96:BB$180,$I181))</f>
        <v>0</v>
      </c>
      <c r="BC181" s="153" cm="1">
        <f t="array" ref="BC181">IF(OR(BC$4=0, $G181&lt;&gt; $G$7, $E181=0), 'I&amp;E Monthly'!BC181, CHOOSE(Timeline!BC$30,$J181,$K181,$L181 )*INDEX('I&amp;E Profiles'!BC$96:BC$180,$I181))</f>
        <v>0</v>
      </c>
      <c r="BD181" s="153" cm="1">
        <f t="array" ref="BD181">IF(OR(BD$4=0, $G181&lt;&gt; $G$7, $E181=0), 'I&amp;E Monthly'!BD181, CHOOSE(Timeline!BD$30,$J181,$K181,$L181 )*INDEX('I&amp;E Profiles'!BD$96:BD$180,$I181))</f>
        <v>0</v>
      </c>
      <c r="BE181" s="153" cm="1">
        <f t="array" ref="BE181">IF(OR(BE$4=0, $G181&lt;&gt; $G$7, $E181=0), 'I&amp;E Monthly'!BE181, CHOOSE(Timeline!BE$30,$J181,$K181,$L181 )*INDEX('I&amp;E Profiles'!BE$96:BE$180,$I181))</f>
        <v>0</v>
      </c>
      <c r="BF181" s="153" cm="1">
        <f t="array" ref="BF181">IF(OR(BF$4=0, $G181&lt;&gt; $G$7, $E181=0), 'I&amp;E Monthly'!BF181, CHOOSE(Timeline!BF$30,$J181,$K181,$L181 )*INDEX('I&amp;E Profiles'!BF$96:BF$180,$I181))</f>
        <v>0</v>
      </c>
      <c r="BG181" s="153" cm="1">
        <f t="array" ref="BG181">IF(OR(BG$4=0, $G181&lt;&gt; $G$7, $E181=0), 'I&amp;E Monthly'!BG181, CHOOSE(Timeline!BG$30,$J181,$K181,$L181 )*INDEX('I&amp;E Profiles'!BG$96:BG$180,$I181))</f>
        <v>0</v>
      </c>
      <c r="BH181" s="153" cm="1">
        <f t="array" ref="BH181">IF(OR(BH$4=0, $G181&lt;&gt; $G$7, $E181=0), 'I&amp;E Monthly'!BH181, CHOOSE(Timeline!BH$30,$J181,$K181,$L181 )*INDEX('I&amp;E Profiles'!BH$96:BH$180,$I181))</f>
        <v>0</v>
      </c>
      <c r="BI181" s="153" cm="1">
        <f t="array" ref="BI181">IF(OR(BI$4=0, $G181&lt;&gt; $G$7, $E181=0), 'I&amp;E Monthly'!BI181, CHOOSE(Timeline!BI$30,$J181,$K181,$L181 )*INDEX('I&amp;E Profiles'!BI$96:BI$180,$I181))</f>
        <v>0</v>
      </c>
      <c r="BJ181" s="153" cm="1">
        <f t="array" ref="BJ181">IF(OR(BJ$4=0, $G181&lt;&gt; $G$7, $E181=0), 'I&amp;E Monthly'!BJ181, CHOOSE(Timeline!BJ$30,$J181,$K181,$L181 )*INDEX('I&amp;E Profiles'!BJ$96:BJ$180,$I181))</f>
        <v>0</v>
      </c>
      <c r="BK181" s="335"/>
      <c r="BL181" s="152">
        <f>V181</f>
        <v>0</v>
      </c>
      <c r="BM181" s="153">
        <f>SUMIFS($AA181:$BJ181, $AA$3:$BJ$3,BM$3)</f>
        <v>0</v>
      </c>
      <c r="BN181" s="153">
        <f>SUMIFS($AA181:$BJ181, $AA$3:$BJ$3,BN$3)</f>
        <v>0</v>
      </c>
      <c r="BO181" s="153">
        <f>SUMIFS($AA181:$BJ181, $AA$3:$BJ$3,BO$3)</f>
        <v>0</v>
      </c>
      <c r="BP181" s="13">
        <f>'I&amp;E Monthly'!BP181</f>
        <v>0</v>
      </c>
      <c r="BQ181" s="13">
        <f>'I&amp;E Monthly'!BQ181</f>
        <v>0</v>
      </c>
      <c r="BR181" s="13">
        <f>'I&amp;E Monthly'!BR181</f>
        <v>0</v>
      </c>
      <c r="BS181" s="13">
        <f>'I&amp;E Monthly'!BS181</f>
        <v>0</v>
      </c>
      <c r="BT181" s="13">
        <f>'I&amp;E Monthly'!BT181</f>
        <v>0</v>
      </c>
      <c r="BU181" s="13">
        <f>'I&amp;E Monthly'!BU181</f>
        <v>0</v>
      </c>
      <c r="BV181" s="13">
        <f>'I&amp;E Monthly'!BV181</f>
        <v>0</v>
      </c>
      <c r="BW181" s="13">
        <f>'I&amp;E Monthly'!BW181</f>
        <v>0</v>
      </c>
      <c r="BX181" s="335"/>
      <c r="BY181" s="12"/>
      <c r="BZ181" s="363">
        <f ca="1">IF(MIN($V181:$BW181)&lt;0, 1, 0)*$I$7</f>
        <v>0</v>
      </c>
      <c r="CA181" s="12"/>
      <c r="CB181" s="7">
        <f>IF(AND($G181=$G$7,$E181=""), 1, 0)</f>
        <v>0</v>
      </c>
      <c r="CC181" s="188" cm="1">
        <f t="array" ref="CC181">IF(E181="",0, IF(_xlfn.IFNA(INDEX('I&amp;E Profiles'!$D$96:$D$180, $I181), "N/A")="N/A", 1, 0))</f>
        <v>0</v>
      </c>
      <c r="CD181" s="7">
        <f t="shared" si="192"/>
        <v>0</v>
      </c>
      <c r="CE181" s="7">
        <f t="shared" si="193"/>
        <v>0</v>
      </c>
      <c r="CF181" s="7">
        <f t="shared" si="194"/>
        <v>0</v>
      </c>
      <c r="CG181" s="12"/>
      <c r="CH181" s="352">
        <f t="shared" si="195"/>
        <v>0</v>
      </c>
      <c r="CI181" s="352">
        <f t="shared" si="195"/>
        <v>0</v>
      </c>
      <c r="CJ181" s="352">
        <f t="shared" si="195"/>
        <v>0</v>
      </c>
      <c r="CK181" s="352">
        <f t="shared" si="196"/>
        <v>0</v>
      </c>
      <c r="CL181" s="352">
        <f t="shared" si="197"/>
        <v>0</v>
      </c>
      <c r="CM181" s="352">
        <f t="shared" si="198"/>
        <v>0</v>
      </c>
      <c r="CN181" s="352">
        <f t="shared" si="199"/>
        <v>0</v>
      </c>
      <c r="EX181" s="10" t="str">
        <f t="shared" si="151"/>
        <v>Share of surplus / (deficit) in JVs and Associates (inc. overseas)</v>
      </c>
    </row>
    <row r="182" spans="1:154" s="335" customFormat="1" ht="30" x14ac:dyDescent="0.25">
      <c r="A182" s="362" cm="1">
        <f t="array" aca="1" ref="A182" ca="1">HYPERLINK(CONCATENATE("#",CELL("address",IF(SUM($CA182:$CG182)=0,A182,INDEX($CA182:$CG182,MATCH(1,$CA182:$CG182,0))))),SUM($CA182:$CG182))</f>
        <v>0</v>
      </c>
      <c r="B182" s="93"/>
      <c r="C182" s="340" t="s">
        <v>1734</v>
      </c>
      <c r="D182" s="137" t="s">
        <v>1733</v>
      </c>
      <c r="E182" s="25"/>
      <c r="F182" s="25"/>
      <c r="G182" s="25"/>
      <c r="H182" s="335" t="s">
        <v>8</v>
      </c>
      <c r="I182" s="25"/>
      <c r="Q182" s="2"/>
      <c r="V182" s="201">
        <f>'I&amp;E Monthly'!V$182</f>
        <v>0</v>
      </c>
      <c r="W182" s="201">
        <f>'I&amp;E Monthly'!W$182</f>
        <v>0</v>
      </c>
      <c r="X182" s="201">
        <f>'I&amp;E Monthly'!X$182</f>
        <v>0</v>
      </c>
      <c r="Y182" s="201">
        <f>'I&amp;E Monthly'!Y$182</f>
        <v>0</v>
      </c>
      <c r="AA182" s="201">
        <f>'I&amp;E Monthly'!AA$182</f>
        <v>0</v>
      </c>
      <c r="AB182" s="201">
        <f>'I&amp;E Monthly'!AB$182</f>
        <v>0</v>
      </c>
      <c r="AC182" s="201">
        <f>'I&amp;E Monthly'!AC$182</f>
        <v>0</v>
      </c>
      <c r="AD182" s="201">
        <f>'I&amp;E Monthly'!AD$182</f>
        <v>0</v>
      </c>
      <c r="AE182" s="201">
        <f>'I&amp;E Monthly'!AE$182</f>
        <v>0</v>
      </c>
      <c r="AF182" s="201">
        <f>'I&amp;E Monthly'!AF$182</f>
        <v>0</v>
      </c>
      <c r="AG182" s="201">
        <f>'I&amp;E Monthly'!AG$182</f>
        <v>0</v>
      </c>
      <c r="AH182" s="201">
        <f>'I&amp;E Monthly'!AH$182</f>
        <v>0</v>
      </c>
      <c r="AI182" s="201">
        <f>'I&amp;E Monthly'!AI$182</f>
        <v>0</v>
      </c>
      <c r="AJ182" s="201">
        <f>'I&amp;E Monthly'!AJ$182</f>
        <v>0</v>
      </c>
      <c r="AK182" s="201">
        <f>'I&amp;E Monthly'!AK$182</f>
        <v>0</v>
      </c>
      <c r="AL182" s="201">
        <f>'I&amp;E Monthly'!AL$182</f>
        <v>0</v>
      </c>
      <c r="AM182" s="201">
        <f>'I&amp;E Monthly'!AM$182</f>
        <v>0</v>
      </c>
      <c r="AN182" s="201">
        <f>'I&amp;E Monthly'!AN$182</f>
        <v>0</v>
      </c>
      <c r="AO182" s="201">
        <f>'I&amp;E Monthly'!AO$182</f>
        <v>0</v>
      </c>
      <c r="AP182" s="201">
        <f>'I&amp;E Monthly'!AP$182</f>
        <v>0</v>
      </c>
      <c r="AQ182" s="201">
        <f>'I&amp;E Monthly'!AQ$182</f>
        <v>0</v>
      </c>
      <c r="AR182" s="201">
        <f>'I&amp;E Monthly'!AR$182</f>
        <v>0</v>
      </c>
      <c r="AS182" s="201">
        <f>'I&amp;E Monthly'!AS$182</f>
        <v>0</v>
      </c>
      <c r="AT182" s="201">
        <f>'I&amp;E Monthly'!AT$182</f>
        <v>0</v>
      </c>
      <c r="AU182" s="201">
        <f>'I&amp;E Monthly'!AU$182</f>
        <v>0</v>
      </c>
      <c r="AV182" s="201">
        <f>'I&amp;E Monthly'!AV$182</f>
        <v>0</v>
      </c>
      <c r="AW182" s="201">
        <f>'I&amp;E Monthly'!AW$182</f>
        <v>0</v>
      </c>
      <c r="AX182" s="201">
        <f>'I&amp;E Monthly'!AX$182</f>
        <v>0</v>
      </c>
      <c r="AY182" s="201">
        <f>'I&amp;E Monthly'!AY$182</f>
        <v>0</v>
      </c>
      <c r="AZ182" s="201">
        <f>'I&amp;E Monthly'!AZ$182</f>
        <v>0</v>
      </c>
      <c r="BA182" s="201">
        <f>'I&amp;E Monthly'!BA$182</f>
        <v>0</v>
      </c>
      <c r="BB182" s="201">
        <f>'I&amp;E Monthly'!BB$182</f>
        <v>0</v>
      </c>
      <c r="BC182" s="201">
        <f>'I&amp;E Monthly'!BC$182</f>
        <v>0</v>
      </c>
      <c r="BD182" s="201">
        <f>'I&amp;E Monthly'!BD$182</f>
        <v>0</v>
      </c>
      <c r="BE182" s="201">
        <f>'I&amp;E Monthly'!BE$182</f>
        <v>0</v>
      </c>
      <c r="BF182" s="201">
        <f>'I&amp;E Monthly'!BF$182</f>
        <v>0</v>
      </c>
      <c r="BG182" s="201">
        <f>'I&amp;E Monthly'!BG$182</f>
        <v>0</v>
      </c>
      <c r="BH182" s="201">
        <f>'I&amp;E Monthly'!BH$182</f>
        <v>0</v>
      </c>
      <c r="BI182" s="201">
        <f>'I&amp;E Monthly'!BI$182</f>
        <v>0</v>
      </c>
      <c r="BJ182" s="201">
        <f>'I&amp;E Monthly'!BJ$182</f>
        <v>0</v>
      </c>
      <c r="BL182" s="201">
        <f>'I&amp;E Monthly'!BL$182</f>
        <v>0</v>
      </c>
      <c r="BM182" s="201">
        <f>'I&amp;E Monthly'!BM$182</f>
        <v>0</v>
      </c>
      <c r="BN182" s="201">
        <f>'I&amp;E Monthly'!BN$182</f>
        <v>0</v>
      </c>
      <c r="BO182" s="201">
        <f>'I&amp;E Monthly'!BO$182</f>
        <v>0</v>
      </c>
      <c r="BP182" s="201">
        <f>'I&amp;E Monthly'!BP$182</f>
        <v>0</v>
      </c>
      <c r="BQ182" s="201">
        <f>'I&amp;E Monthly'!BQ$182</f>
        <v>0</v>
      </c>
      <c r="BR182" s="201">
        <f>'I&amp;E Monthly'!BR$182</f>
        <v>0</v>
      </c>
      <c r="BS182" s="201">
        <f>'I&amp;E Monthly'!BS$182</f>
        <v>0</v>
      </c>
      <c r="BT182" s="201">
        <f>'I&amp;E Monthly'!BT$182</f>
        <v>0</v>
      </c>
      <c r="BU182" s="201">
        <f>'I&amp;E Monthly'!BU$182</f>
        <v>0</v>
      </c>
      <c r="BV182" s="201">
        <f>'I&amp;E Monthly'!BV$182</f>
        <v>0</v>
      </c>
      <c r="BW182" s="201">
        <f>'I&amp;E Monthly'!BW$182</f>
        <v>0</v>
      </c>
      <c r="BY182" s="12"/>
      <c r="CA182" s="12"/>
      <c r="CB182" s="7">
        <f>IF(AND($G182=$G$7,$E182=""), 1, 0)</f>
        <v>0</v>
      </c>
      <c r="CC182" s="188" cm="1">
        <f t="array" ref="CC182">IF(E182="",0, IF(_xlfn.IFNA(INDEX('I&amp;E Profiles'!$D$96:$D$180, $I182), "N/A")="N/A", 1, 0))</f>
        <v>0</v>
      </c>
      <c r="CD182" s="7">
        <f t="shared" si="192"/>
        <v>0</v>
      </c>
      <c r="CE182" s="7">
        <f t="shared" si="193"/>
        <v>0</v>
      </c>
      <c r="CF182" s="7">
        <f t="shared" si="194"/>
        <v>0</v>
      </c>
      <c r="CG182" s="12"/>
      <c r="CH182" s="352">
        <f t="shared" si="195"/>
        <v>0</v>
      </c>
      <c r="CI182" s="352">
        <f t="shared" si="195"/>
        <v>0</v>
      </c>
      <c r="CJ182" s="352">
        <f t="shared" si="195"/>
        <v>0</v>
      </c>
      <c r="CK182" s="352">
        <f t="shared" si="196"/>
        <v>0</v>
      </c>
      <c r="CL182" s="352">
        <f t="shared" si="197"/>
        <v>0</v>
      </c>
      <c r="CM182" s="352">
        <f t="shared" si="198"/>
        <v>0</v>
      </c>
      <c r="CN182" s="352">
        <f t="shared" si="199"/>
        <v>0</v>
      </c>
      <c r="EX182" s="10" t="str">
        <f>IF($C182="","",$D182)</f>
        <v>Fair value of Net Assets due to merger / de-merger</v>
      </c>
    </row>
    <row r="183" spans="1:154" s="5" customFormat="1" x14ac:dyDescent="0.25">
      <c r="A183" s="362" cm="1">
        <f t="array" aca="1" ref="A183" ca="1">HYPERLINK(CONCATENATE("#",CELL("address",IF(SUM($CA183:$CG183)=0,A183,INDEX($CA183:$CG183,MATCH(1,$CA183:$CG183,0))))),SUM($CA183:$CG183))</f>
        <v>0</v>
      </c>
      <c r="C183" s="340" t="s">
        <v>517</v>
      </c>
      <c r="D183" s="27" t="s">
        <v>83</v>
      </c>
      <c r="N183" s="335"/>
      <c r="O183" s="335"/>
      <c r="P183" s="335"/>
      <c r="Q183" s="2"/>
      <c r="R183" s="335"/>
      <c r="S183" s="335"/>
      <c r="T183" s="335"/>
      <c r="U183" s="335"/>
      <c r="V183" s="152">
        <f>SUM(V178:V182)</f>
        <v>0</v>
      </c>
      <c r="W183" s="152">
        <f>SUM(W178:W182)</f>
        <v>0</v>
      </c>
      <c r="X183" s="152">
        <f>SUM(X178:X182)</f>
        <v>0</v>
      </c>
      <c r="Y183" s="152">
        <f>SUM(Y178:Y182)</f>
        <v>0</v>
      </c>
      <c r="Z183" s="335"/>
      <c r="AA183" s="152">
        <f t="shared" ref="AA183:BJ183" si="200">SUM(AA178:AA182)</f>
        <v>0</v>
      </c>
      <c r="AB183" s="152">
        <f t="shared" si="200"/>
        <v>0</v>
      </c>
      <c r="AC183" s="152">
        <f t="shared" si="200"/>
        <v>0</v>
      </c>
      <c r="AD183" s="152">
        <f t="shared" si="200"/>
        <v>0</v>
      </c>
      <c r="AE183" s="152">
        <f t="shared" si="200"/>
        <v>0</v>
      </c>
      <c r="AF183" s="152">
        <f t="shared" si="200"/>
        <v>0</v>
      </c>
      <c r="AG183" s="152">
        <f t="shared" si="200"/>
        <v>0</v>
      </c>
      <c r="AH183" s="152">
        <f t="shared" si="200"/>
        <v>0</v>
      </c>
      <c r="AI183" s="152">
        <f t="shared" si="200"/>
        <v>0</v>
      </c>
      <c r="AJ183" s="152">
        <f t="shared" si="200"/>
        <v>0</v>
      </c>
      <c r="AK183" s="152">
        <f t="shared" si="200"/>
        <v>0</v>
      </c>
      <c r="AL183" s="152">
        <f t="shared" si="200"/>
        <v>0</v>
      </c>
      <c r="AM183" s="152">
        <f t="shared" si="200"/>
        <v>0</v>
      </c>
      <c r="AN183" s="152">
        <f t="shared" si="200"/>
        <v>0</v>
      </c>
      <c r="AO183" s="152">
        <f t="shared" si="200"/>
        <v>0</v>
      </c>
      <c r="AP183" s="152">
        <f t="shared" si="200"/>
        <v>0</v>
      </c>
      <c r="AQ183" s="152">
        <f t="shared" si="200"/>
        <v>0</v>
      </c>
      <c r="AR183" s="152">
        <f t="shared" si="200"/>
        <v>0</v>
      </c>
      <c r="AS183" s="152">
        <f t="shared" si="200"/>
        <v>0</v>
      </c>
      <c r="AT183" s="152">
        <f t="shared" si="200"/>
        <v>0</v>
      </c>
      <c r="AU183" s="152">
        <f t="shared" si="200"/>
        <v>0</v>
      </c>
      <c r="AV183" s="152">
        <f t="shared" si="200"/>
        <v>0</v>
      </c>
      <c r="AW183" s="152">
        <f t="shared" si="200"/>
        <v>0</v>
      </c>
      <c r="AX183" s="152">
        <f t="shared" si="200"/>
        <v>0</v>
      </c>
      <c r="AY183" s="152">
        <f t="shared" si="200"/>
        <v>0</v>
      </c>
      <c r="AZ183" s="152">
        <f t="shared" si="200"/>
        <v>0</v>
      </c>
      <c r="BA183" s="152">
        <f t="shared" si="200"/>
        <v>0</v>
      </c>
      <c r="BB183" s="152">
        <f t="shared" si="200"/>
        <v>0</v>
      </c>
      <c r="BC183" s="152">
        <f t="shared" si="200"/>
        <v>0</v>
      </c>
      <c r="BD183" s="152">
        <f t="shared" si="200"/>
        <v>0</v>
      </c>
      <c r="BE183" s="152">
        <f t="shared" si="200"/>
        <v>0</v>
      </c>
      <c r="BF183" s="152">
        <f t="shared" si="200"/>
        <v>0</v>
      </c>
      <c r="BG183" s="152">
        <f t="shared" si="200"/>
        <v>0</v>
      </c>
      <c r="BH183" s="152">
        <f t="shared" si="200"/>
        <v>0</v>
      </c>
      <c r="BI183" s="152">
        <f t="shared" si="200"/>
        <v>0</v>
      </c>
      <c r="BJ183" s="152">
        <f t="shared" si="200"/>
        <v>0</v>
      </c>
      <c r="BK183" s="335"/>
      <c r="BL183" s="152">
        <f t="shared" ref="BL183:BW183" si="201">SUM(BL178:BL182)</f>
        <v>0</v>
      </c>
      <c r="BM183" s="152">
        <f t="shared" si="201"/>
        <v>0</v>
      </c>
      <c r="BN183" s="152">
        <f t="shared" si="201"/>
        <v>0</v>
      </c>
      <c r="BO183" s="152">
        <f t="shared" si="201"/>
        <v>0</v>
      </c>
      <c r="BP183" s="152">
        <f t="shared" si="201"/>
        <v>0</v>
      </c>
      <c r="BQ183" s="152">
        <f t="shared" si="201"/>
        <v>0</v>
      </c>
      <c r="BR183" s="152">
        <f t="shared" si="201"/>
        <v>0</v>
      </c>
      <c r="BS183" s="152">
        <f t="shared" si="201"/>
        <v>0</v>
      </c>
      <c r="BT183" s="152">
        <f t="shared" si="201"/>
        <v>0</v>
      </c>
      <c r="BU183" s="152">
        <f t="shared" si="201"/>
        <v>0</v>
      </c>
      <c r="BV183" s="152">
        <f t="shared" si="201"/>
        <v>0</v>
      </c>
      <c r="BW183" s="152">
        <f t="shared" si="201"/>
        <v>0</v>
      </c>
      <c r="BY183" s="12"/>
      <c r="BZ183" s="67"/>
      <c r="CA183" s="12"/>
      <c r="CB183" s="335"/>
      <c r="CC183" s="335"/>
      <c r="CD183" s="7">
        <f t="shared" si="192"/>
        <v>0</v>
      </c>
      <c r="CE183" s="7">
        <f t="shared" si="193"/>
        <v>0</v>
      </c>
      <c r="CF183" s="7">
        <f t="shared" si="194"/>
        <v>0</v>
      </c>
      <c r="CG183" s="12"/>
      <c r="CH183" s="352">
        <f t="shared" si="195"/>
        <v>0</v>
      </c>
      <c r="CI183" s="352">
        <f t="shared" si="195"/>
        <v>0</v>
      </c>
      <c r="CJ183" s="352">
        <f t="shared" si="195"/>
        <v>0</v>
      </c>
      <c r="CK183" s="352">
        <f t="shared" si="196"/>
        <v>0</v>
      </c>
      <c r="CL183" s="352">
        <f t="shared" si="197"/>
        <v>0</v>
      </c>
      <c r="CM183" s="352">
        <f t="shared" si="198"/>
        <v>0</v>
      </c>
      <c r="CN183" s="352">
        <f t="shared" si="199"/>
        <v>0</v>
      </c>
      <c r="EX183" s="10" t="str">
        <f t="shared" si="151"/>
        <v>Total other gains and losses</v>
      </c>
    </row>
    <row r="184" spans="1:154" s="335" customFormat="1" ht="8.1" customHeight="1" x14ac:dyDescent="0.25">
      <c r="C184" s="380"/>
      <c r="D184" s="69"/>
      <c r="E184" s="25"/>
      <c r="F184" s="25"/>
      <c r="G184" s="25"/>
      <c r="I184" s="25"/>
      <c r="Q184" s="2"/>
      <c r="V184" s="25"/>
      <c r="W184" s="25"/>
      <c r="X184" s="25"/>
      <c r="Y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L184" s="25"/>
      <c r="BM184" s="155"/>
      <c r="BN184" s="25"/>
      <c r="BO184" s="25"/>
      <c r="BP184" s="25"/>
      <c r="BQ184" s="25"/>
      <c r="BR184" s="25"/>
      <c r="BS184" s="25"/>
      <c r="BT184" s="25"/>
      <c r="BU184" s="25"/>
      <c r="BV184" s="25"/>
      <c r="BW184" s="25"/>
      <c r="BY184" s="42"/>
      <c r="CA184" s="42"/>
      <c r="CD184" s="7"/>
      <c r="CE184" s="7"/>
      <c r="CF184" s="7"/>
      <c r="CG184" s="12"/>
      <c r="EX184" s="10" t="str">
        <f t="shared" si="151"/>
        <v/>
      </c>
    </row>
    <row r="185" spans="1:154" s="5" customFormat="1" x14ac:dyDescent="0.25">
      <c r="A185" s="362" cm="1">
        <f t="array" aca="1" ref="A185" ca="1">HYPERLINK(CONCATENATE("#",CELL("address",IF(SUM($CA185:$CG185)=0,A185,INDEX($CA185:$CG185,MATCH(1,$CA185:$CG185,0))))),SUM($CA185:$CG185))</f>
        <v>0</v>
      </c>
      <c r="C185" s="340" t="s">
        <v>518</v>
      </c>
      <c r="D185" s="27" t="s">
        <v>84</v>
      </c>
      <c r="E185" s="25"/>
      <c r="F185" s="25"/>
      <c r="G185" s="82"/>
      <c r="I185" s="82"/>
      <c r="Q185" s="2"/>
      <c r="R185" s="335"/>
      <c r="S185" s="335"/>
      <c r="T185" s="335"/>
      <c r="U185" s="335"/>
      <c r="V185" s="152">
        <f>V175+V183</f>
        <v>0</v>
      </c>
      <c r="W185" s="152">
        <f>W175+W183</f>
        <v>-1592</v>
      </c>
      <c r="X185" s="152">
        <f>X175+X183</f>
        <v>-1624</v>
      </c>
      <c r="Y185" s="152">
        <f>Y175+Y183</f>
        <v>-1644</v>
      </c>
      <c r="Z185" s="335"/>
      <c r="AA185" s="152">
        <f t="shared" ref="AA185:BJ185" si="202">AA175+AA183</f>
        <v>1720</v>
      </c>
      <c r="AB185" s="152">
        <f t="shared" si="202"/>
        <v>1148</v>
      </c>
      <c r="AC185" s="152">
        <f t="shared" si="202"/>
        <v>130</v>
      </c>
      <c r="AD185" s="152">
        <f t="shared" si="202"/>
        <v>-210</v>
      </c>
      <c r="AE185" s="152">
        <f t="shared" si="202"/>
        <v>-887</v>
      </c>
      <c r="AF185" s="152">
        <f t="shared" si="202"/>
        <v>-675</v>
      </c>
      <c r="AG185" s="152">
        <f t="shared" si="202"/>
        <v>-721</v>
      </c>
      <c r="AH185" s="152">
        <f t="shared" si="202"/>
        <v>-900</v>
      </c>
      <c r="AI185" s="152">
        <f t="shared" si="202"/>
        <v>1250</v>
      </c>
      <c r="AJ185" s="152">
        <f t="shared" si="202"/>
        <v>264</v>
      </c>
      <c r="AK185" s="152">
        <f t="shared" si="202"/>
        <v>258</v>
      </c>
      <c r="AL185" s="152">
        <f t="shared" si="202"/>
        <v>-937</v>
      </c>
      <c r="AM185" s="152">
        <f t="shared" si="202"/>
        <v>1978</v>
      </c>
      <c r="AN185" s="152">
        <f t="shared" si="202"/>
        <v>1130</v>
      </c>
      <c r="AO185" s="152">
        <f t="shared" si="202"/>
        <v>125</v>
      </c>
      <c r="AP185" s="152">
        <f t="shared" si="202"/>
        <v>-442</v>
      </c>
      <c r="AQ185" s="152">
        <f t="shared" si="202"/>
        <v>-891</v>
      </c>
      <c r="AR185" s="152">
        <f t="shared" si="202"/>
        <v>-576</v>
      </c>
      <c r="AS185" s="152">
        <f t="shared" si="202"/>
        <v>-971</v>
      </c>
      <c r="AT185" s="152">
        <f t="shared" si="202"/>
        <v>-913</v>
      </c>
      <c r="AU185" s="152">
        <f t="shared" si="202"/>
        <v>1487</v>
      </c>
      <c r="AV185" s="152">
        <f t="shared" si="202"/>
        <v>368</v>
      </c>
      <c r="AW185" s="152">
        <f t="shared" si="202"/>
        <v>-54</v>
      </c>
      <c r="AX185" s="152">
        <f t="shared" si="202"/>
        <v>-805</v>
      </c>
      <c r="AY185" s="152">
        <f t="shared" si="202"/>
        <v>2023.7483333333334</v>
      </c>
      <c r="AZ185" s="152">
        <f t="shared" si="202"/>
        <v>1146.3566666666661</v>
      </c>
      <c r="BA185" s="152">
        <f t="shared" si="202"/>
        <v>132.48833333333278</v>
      </c>
      <c r="BB185" s="152">
        <f t="shared" si="202"/>
        <v>-449.61333333333323</v>
      </c>
      <c r="BC185" s="152">
        <f t="shared" si="202"/>
        <v>-910.53</v>
      </c>
      <c r="BD185" s="152">
        <f t="shared" si="202"/>
        <v>-583.22999999999979</v>
      </c>
      <c r="BE185" s="152">
        <f t="shared" si="202"/>
        <v>-990.74166666666702</v>
      </c>
      <c r="BF185" s="152">
        <f t="shared" si="202"/>
        <v>-927.5183333333332</v>
      </c>
      <c r="BG185" s="152">
        <f t="shared" si="202"/>
        <v>1540.378333333334</v>
      </c>
      <c r="BH185" s="152">
        <f t="shared" si="202"/>
        <v>417.06833333333361</v>
      </c>
      <c r="BI185" s="152">
        <f t="shared" si="202"/>
        <v>-43.806666666666388</v>
      </c>
      <c r="BJ185" s="152">
        <f t="shared" si="202"/>
        <v>-812.79000000000042</v>
      </c>
      <c r="BK185" s="335"/>
      <c r="BL185" s="152">
        <f t="shared" ref="BL185:BW185" si="203">BL175+BL183</f>
        <v>0</v>
      </c>
      <c r="BM185" s="152">
        <f t="shared" si="203"/>
        <v>440</v>
      </c>
      <c r="BN185" s="152">
        <f t="shared" si="203"/>
        <v>436</v>
      </c>
      <c r="BO185" s="152">
        <f t="shared" si="203"/>
        <v>541.81000000000131</v>
      </c>
      <c r="BP185" s="152">
        <f t="shared" si="203"/>
        <v>0</v>
      </c>
      <c r="BQ185" s="152">
        <f t="shared" si="203"/>
        <v>0</v>
      </c>
      <c r="BR185" s="152">
        <f t="shared" si="203"/>
        <v>0</v>
      </c>
      <c r="BS185" s="152">
        <f t="shared" si="203"/>
        <v>0</v>
      </c>
      <c r="BT185" s="152">
        <f t="shared" si="203"/>
        <v>0</v>
      </c>
      <c r="BU185" s="152">
        <f t="shared" si="203"/>
        <v>0</v>
      </c>
      <c r="BV185" s="152">
        <f t="shared" si="203"/>
        <v>0</v>
      </c>
      <c r="BW185" s="152">
        <f t="shared" si="203"/>
        <v>0</v>
      </c>
      <c r="BY185" s="12"/>
      <c r="BZ185" s="335"/>
      <c r="CA185" s="12"/>
      <c r="CB185" s="335"/>
      <c r="CC185" s="335"/>
      <c r="CD185" s="7">
        <f>IF(SUM($CH185:$CJ185)=0, 0, 1)</f>
        <v>0</v>
      </c>
      <c r="CE185" s="7">
        <f>IF(SUM($CK185:$CM185)=0, 0, 1)</f>
        <v>0</v>
      </c>
      <c r="CF185" s="7">
        <f>IF(CN185=0, 0, 1)</f>
        <v>0</v>
      </c>
      <c r="CG185" s="12"/>
      <c r="CH185" s="352">
        <f>IF($G185=$G$7, ROUND(W185-SUMIFS($AA185:$BJ185, $AA$3:$BJ$3, W$3), rounding), 0)</f>
        <v>0</v>
      </c>
      <c r="CI185" s="352">
        <f>IF($G185=$G$7, ROUND(X185-SUMIFS($AA185:$BJ185, $AA$3:$BJ$3, X$3), rounding), 0)</f>
        <v>0</v>
      </c>
      <c r="CJ185" s="352">
        <f>IF($G185=$G$7, ROUND(Y185-SUMIFS($AA185:$BJ185, $AA$3:$BJ$3, Y$3), rounding), 0)</f>
        <v>0</v>
      </c>
      <c r="CK185" s="352">
        <f>ROUND($BM185-SUMIFS($AA185:$BJ185, $AA$3:$BJ$3, $BM$3), rounding)</f>
        <v>0</v>
      </c>
      <c r="CL185" s="352">
        <f>ROUND($BN185-SUMIFS($AA185:$BJ185, $AA$3:$BJ$3, $BN$3), rounding)</f>
        <v>0</v>
      </c>
      <c r="CM185" s="352">
        <f>ROUND($BO185-SUMIFS($AA185:$BJ185, $AA$3:$BJ$3, $BO$3), rounding)</f>
        <v>0</v>
      </c>
      <c r="CN185" s="352">
        <f>ROUND($V185-$BL185, rounding)</f>
        <v>0</v>
      </c>
      <c r="EX185" s="10" t="str">
        <f t="shared" si="151"/>
        <v>Total surplus/(deficit) for the year</v>
      </c>
    </row>
    <row r="186" spans="1:154" s="335" customFormat="1" ht="8.1" customHeight="1" x14ac:dyDescent="0.25">
      <c r="C186" s="380"/>
      <c r="D186" s="69"/>
      <c r="E186" s="25"/>
      <c r="F186" s="25"/>
      <c r="G186" s="25"/>
      <c r="H186" s="25"/>
      <c r="I186" s="25"/>
      <c r="Q186" s="2"/>
      <c r="V186" s="25"/>
      <c r="W186" s="25"/>
      <c r="X186" s="25"/>
      <c r="Y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L186" s="25"/>
      <c r="BM186" s="155"/>
      <c r="BN186" s="25"/>
      <c r="BO186" s="25"/>
      <c r="BP186" s="25"/>
      <c r="BQ186" s="25"/>
      <c r="BR186" s="25"/>
      <c r="BS186" s="25"/>
      <c r="BT186" s="25"/>
      <c r="BU186" s="25"/>
      <c r="BV186" s="25"/>
      <c r="BW186" s="25"/>
      <c r="BY186" s="42"/>
      <c r="CA186" s="42"/>
      <c r="CD186" s="7"/>
      <c r="CE186" s="7"/>
      <c r="CF186" s="7"/>
      <c r="CG186" s="12"/>
      <c r="EX186" s="10" t="str">
        <f t="shared" si="151"/>
        <v/>
      </c>
    </row>
    <row r="187" spans="1:154" s="335" customFormat="1" ht="34.5" x14ac:dyDescent="0.25">
      <c r="A187" s="362" cm="1">
        <f t="array" aca="1" ref="A187" ca="1">HYPERLINK(CONCATENATE("#",CELL("address",IF(SUM($CA187:$CG187)=0,A187,INDEX($CA187:$CG187,MATCH(1,$CA187:$CG187,0))))),SUM($CA187:$CG187))</f>
        <v>0</v>
      </c>
      <c r="C187" s="340" t="s">
        <v>881</v>
      </c>
      <c r="D187" s="134" t="s">
        <v>892</v>
      </c>
      <c r="E187" s="348" t="str" cm="1">
        <f t="array" aca="1" ref="E187" ca="1">HYPERLINK(CONCATENATE("#",CELL("address",'BS Forecasts'!$D$233)),'BS Forecasts'!$D$233)</f>
        <v>Transfers to/(from) I&amp;E reserve</v>
      </c>
      <c r="F187" s="5"/>
      <c r="G187" s="5"/>
      <c r="H187" s="5"/>
      <c r="Q187" s="2"/>
      <c r="V187" s="153">
        <f>'I&amp;E Monthly'!V187</f>
        <v>0</v>
      </c>
      <c r="W187" s="153">
        <f>'I&amp;E Monthly'!W187</f>
        <v>51</v>
      </c>
      <c r="X187" s="153">
        <f>'I&amp;E Monthly'!X187</f>
        <v>51</v>
      </c>
      <c r="Y187" s="153">
        <f>'I&amp;E Monthly'!Y187</f>
        <v>51</v>
      </c>
      <c r="AA187" s="153">
        <f>'I&amp;E Monthly'!AA187</f>
        <v>5</v>
      </c>
      <c r="AB187" s="153">
        <f>'I&amp;E Monthly'!AB187</f>
        <v>5</v>
      </c>
      <c r="AC187" s="153">
        <f>'I&amp;E Monthly'!AC187</f>
        <v>5</v>
      </c>
      <c r="AD187" s="153">
        <f>'I&amp;E Monthly'!AD187</f>
        <v>4</v>
      </c>
      <c r="AE187" s="153">
        <f>'I&amp;E Monthly'!AE187</f>
        <v>4</v>
      </c>
      <c r="AF187" s="153">
        <f>'I&amp;E Monthly'!AF187</f>
        <v>4</v>
      </c>
      <c r="AG187" s="153">
        <f>'I&amp;E Monthly'!AG187</f>
        <v>4</v>
      </c>
      <c r="AH187" s="153">
        <f>'I&amp;E Monthly'!AH187</f>
        <v>4</v>
      </c>
      <c r="AI187" s="153">
        <f>'I&amp;E Monthly'!AI187</f>
        <v>4</v>
      </c>
      <c r="AJ187" s="153">
        <f>'I&amp;E Monthly'!AJ187</f>
        <v>4</v>
      </c>
      <c r="AK187" s="153">
        <f>'I&amp;E Monthly'!AK187</f>
        <v>4</v>
      </c>
      <c r="AL187" s="153">
        <f>'I&amp;E Monthly'!AL187</f>
        <v>4</v>
      </c>
      <c r="AM187" s="153">
        <f>'I&amp;E Monthly'!AM187</f>
        <v>5</v>
      </c>
      <c r="AN187" s="153">
        <f>'I&amp;E Monthly'!AN187</f>
        <v>5</v>
      </c>
      <c r="AO187" s="153">
        <f>'I&amp;E Monthly'!AO187</f>
        <v>5</v>
      </c>
      <c r="AP187" s="153">
        <f>'I&amp;E Monthly'!AP187</f>
        <v>4</v>
      </c>
      <c r="AQ187" s="153">
        <f>'I&amp;E Monthly'!AQ187</f>
        <v>4</v>
      </c>
      <c r="AR187" s="153">
        <f>'I&amp;E Monthly'!AR187</f>
        <v>4</v>
      </c>
      <c r="AS187" s="153">
        <f>'I&amp;E Monthly'!AS187</f>
        <v>4</v>
      </c>
      <c r="AT187" s="153">
        <f>'I&amp;E Monthly'!AT187</f>
        <v>4</v>
      </c>
      <c r="AU187" s="153">
        <f>'I&amp;E Monthly'!AU187</f>
        <v>4</v>
      </c>
      <c r="AV187" s="153">
        <f>'I&amp;E Monthly'!AV187</f>
        <v>4</v>
      </c>
      <c r="AW187" s="153">
        <f>'I&amp;E Monthly'!AW187</f>
        <v>4</v>
      </c>
      <c r="AX187" s="153">
        <f>'I&amp;E Monthly'!AX187</f>
        <v>4</v>
      </c>
      <c r="AY187" s="153">
        <f>'I&amp;E Monthly'!AY187</f>
        <v>5</v>
      </c>
      <c r="AZ187" s="153">
        <f>'I&amp;E Monthly'!AZ187</f>
        <v>5</v>
      </c>
      <c r="BA187" s="153">
        <f>'I&amp;E Monthly'!BA187</f>
        <v>5</v>
      </c>
      <c r="BB187" s="153">
        <f>'I&amp;E Monthly'!BB187</f>
        <v>4</v>
      </c>
      <c r="BC187" s="153">
        <f>'I&amp;E Monthly'!BC187</f>
        <v>4</v>
      </c>
      <c r="BD187" s="153">
        <f>'I&amp;E Monthly'!BD187</f>
        <v>4</v>
      </c>
      <c r="BE187" s="153">
        <f>'I&amp;E Monthly'!BE187</f>
        <v>4</v>
      </c>
      <c r="BF187" s="153">
        <f>'I&amp;E Monthly'!BF187</f>
        <v>4</v>
      </c>
      <c r="BG187" s="153">
        <f>'I&amp;E Monthly'!BG187</f>
        <v>4</v>
      </c>
      <c r="BH187" s="153">
        <f>'I&amp;E Monthly'!BH187</f>
        <v>4</v>
      </c>
      <c r="BI187" s="153">
        <f>'I&amp;E Monthly'!BI187</f>
        <v>4</v>
      </c>
      <c r="BJ187" s="153">
        <f>'I&amp;E Monthly'!BJ187</f>
        <v>4</v>
      </c>
      <c r="BL187" s="153">
        <f>'I&amp;E Monthly'!BL187</f>
        <v>0</v>
      </c>
      <c r="BM187" s="153">
        <f>'I&amp;E Monthly'!BM187</f>
        <v>51</v>
      </c>
      <c r="BN187" s="153">
        <f>'I&amp;E Monthly'!BN187</f>
        <v>51</v>
      </c>
      <c r="BO187" s="153">
        <f>'I&amp;E Monthly'!BO187</f>
        <v>51</v>
      </c>
      <c r="BP187" s="153">
        <f>'I&amp;E Monthly'!BP187</f>
        <v>0</v>
      </c>
      <c r="BQ187" s="153">
        <f>'I&amp;E Monthly'!BQ187</f>
        <v>0</v>
      </c>
      <c r="BR187" s="153">
        <f>'I&amp;E Monthly'!BR187</f>
        <v>0</v>
      </c>
      <c r="BS187" s="153">
        <f>'I&amp;E Monthly'!BS187</f>
        <v>0</v>
      </c>
      <c r="BT187" s="153">
        <f>'I&amp;E Monthly'!BT187</f>
        <v>0</v>
      </c>
      <c r="BU187" s="153">
        <f>'I&amp;E Monthly'!BU187</f>
        <v>0</v>
      </c>
      <c r="BV187" s="153">
        <f>'I&amp;E Monthly'!BV187</f>
        <v>0</v>
      </c>
      <c r="BW187" s="153">
        <f>'I&amp;E Monthly'!BW187</f>
        <v>0</v>
      </c>
      <c r="BY187" s="12"/>
      <c r="CA187" s="12"/>
      <c r="CD187" s="7">
        <f>IF(SUM($CH187:$CJ187)=0, 0, 1)</f>
        <v>0</v>
      </c>
      <c r="CE187" s="7">
        <f>IF(SUM($CK187:$CM187)=0, 0, 1)</f>
        <v>0</v>
      </c>
      <c r="CF187" s="7">
        <f>IF(CN187=0, 0, 1)</f>
        <v>0</v>
      </c>
      <c r="CG187" s="12"/>
      <c r="CH187" s="352">
        <f t="shared" ref="CH187:CJ189" si="204">IF($G187=$G$7, ROUND(W187-SUMIFS($AA187:$BJ187, $AA$3:$BJ$3, W$3), rounding), 0)</f>
        <v>0</v>
      </c>
      <c r="CI187" s="352">
        <f t="shared" si="204"/>
        <v>0</v>
      </c>
      <c r="CJ187" s="352">
        <f t="shared" si="204"/>
        <v>0</v>
      </c>
      <c r="CK187" s="352">
        <f>ROUND($BM187-SUMIFS($AA187:$BJ187, $AA$3:$BJ$3, $BM$3), rounding)</f>
        <v>0</v>
      </c>
      <c r="CL187" s="352">
        <f>ROUND($BN187-SUMIFS($AA187:$BJ187, $AA$3:$BJ$3, $BN$3), rounding)</f>
        <v>0</v>
      </c>
      <c r="CM187" s="352">
        <f>ROUND($BO187-SUMIFS($AA187:$BJ187, $AA$3:$BJ$3, $BO$3), rounding)</f>
        <v>0</v>
      </c>
      <c r="CN187" s="352">
        <f>ROUND($V187-$BL187, rounding)</f>
        <v>0</v>
      </c>
      <c r="EX187" s="10" t="str">
        <f t="shared" si="151"/>
        <v>Transfers (to)/from revaluation reserve adjustment</v>
      </c>
    </row>
    <row r="188" spans="1:154" s="335" customFormat="1" ht="45.75" x14ac:dyDescent="0.25">
      <c r="A188" s="362" cm="1">
        <f t="array" aca="1" ref="A188" ca="1">HYPERLINK(CONCATENATE("#",CELL("address",IF(SUM($CA188:$CG188)=0,A188,INDEX($CA188:$CG188,MATCH(1,$CA188:$CG188,0))))),SUM($CA188:$CG188))</f>
        <v>0</v>
      </c>
      <c r="C188" s="340" t="s">
        <v>889</v>
      </c>
      <c r="D188" s="134" t="s">
        <v>891</v>
      </c>
      <c r="E188" s="130" t="str" cm="1">
        <f t="array" aca="1" ref="E188" ca="1">HYPERLINK(CONCATENATE("#",CELL("address",'BS Forecasts'!$D$189)),'BS Forecasts'!$D$180)</f>
        <v>Local Government Pension Scheme Provision</v>
      </c>
      <c r="F188" s="348" t="str" cm="1">
        <f t="array" aca="1" ref="F188" ca="1">HYPERLINK(CONCATENATE("#",CELL("address",'BS Forecasts'!$D$199)),'BS Forecasts'!$D$194)</f>
        <v>Enhanced Pension Provision</v>
      </c>
      <c r="G188" s="348" t="str" cm="1">
        <f t="array" aca="1" ref="G188" ca="1">HYPERLINK(CONCATENATE("#",CELL("address",'BS Forecasts'!$D$208)),'BS Forecasts'!$D$203)</f>
        <v>Other Pension Provisions</v>
      </c>
      <c r="Q188" s="2"/>
      <c r="V188" s="153">
        <f>'I&amp;E Monthly'!V188</f>
        <v>0</v>
      </c>
      <c r="W188" s="153">
        <f>'I&amp;E Monthly'!W188</f>
        <v>-6</v>
      </c>
      <c r="X188" s="153">
        <f>'I&amp;E Monthly'!X188</f>
        <v>-6</v>
      </c>
      <c r="Y188" s="153">
        <f>'I&amp;E Monthly'!Y188</f>
        <v>-6</v>
      </c>
      <c r="AA188" s="153">
        <f>'I&amp;E Monthly'!AA188</f>
        <v>0</v>
      </c>
      <c r="AB188" s="153">
        <f>'I&amp;E Monthly'!AB188</f>
        <v>0</v>
      </c>
      <c r="AC188" s="153">
        <f>'I&amp;E Monthly'!AC188</f>
        <v>0</v>
      </c>
      <c r="AD188" s="153">
        <f>'I&amp;E Monthly'!AD188</f>
        <v>0</v>
      </c>
      <c r="AE188" s="153">
        <f>'I&amp;E Monthly'!AE188</f>
        <v>0</v>
      </c>
      <c r="AF188" s="153">
        <f>'I&amp;E Monthly'!AF188</f>
        <v>0</v>
      </c>
      <c r="AG188" s="153">
        <f>'I&amp;E Monthly'!AG188</f>
        <v>0</v>
      </c>
      <c r="AH188" s="153">
        <f>'I&amp;E Monthly'!AH188</f>
        <v>0</v>
      </c>
      <c r="AI188" s="153">
        <f>'I&amp;E Monthly'!AI188</f>
        <v>0</v>
      </c>
      <c r="AJ188" s="153">
        <f>'I&amp;E Monthly'!AJ188</f>
        <v>0</v>
      </c>
      <c r="AK188" s="153">
        <f>'I&amp;E Monthly'!AK188</f>
        <v>0</v>
      </c>
      <c r="AL188" s="153">
        <f>'I&amp;E Monthly'!AL188</f>
        <v>-6</v>
      </c>
      <c r="AM188" s="153">
        <f>'I&amp;E Monthly'!AM188</f>
        <v>0</v>
      </c>
      <c r="AN188" s="153">
        <f>'I&amp;E Monthly'!AN188</f>
        <v>0</v>
      </c>
      <c r="AO188" s="153">
        <f>'I&amp;E Monthly'!AO188</f>
        <v>0</v>
      </c>
      <c r="AP188" s="153">
        <f>'I&amp;E Monthly'!AP188</f>
        <v>0</v>
      </c>
      <c r="AQ188" s="153">
        <f>'I&amp;E Monthly'!AQ188</f>
        <v>0</v>
      </c>
      <c r="AR188" s="153">
        <f>'I&amp;E Monthly'!AR188</f>
        <v>0</v>
      </c>
      <c r="AS188" s="153">
        <f>'I&amp;E Monthly'!AS188</f>
        <v>0</v>
      </c>
      <c r="AT188" s="153">
        <f>'I&amp;E Monthly'!AT188</f>
        <v>0</v>
      </c>
      <c r="AU188" s="153">
        <f>'I&amp;E Monthly'!AU188</f>
        <v>0</v>
      </c>
      <c r="AV188" s="153">
        <f>'I&amp;E Monthly'!AV188</f>
        <v>0</v>
      </c>
      <c r="AW188" s="153">
        <f>'I&amp;E Monthly'!AW188</f>
        <v>0</v>
      </c>
      <c r="AX188" s="153">
        <f>'I&amp;E Monthly'!AX188</f>
        <v>-6</v>
      </c>
      <c r="AY188" s="153">
        <f>'I&amp;E Monthly'!AY188</f>
        <v>0</v>
      </c>
      <c r="AZ188" s="153">
        <f>'I&amp;E Monthly'!AZ188</f>
        <v>0</v>
      </c>
      <c r="BA188" s="153">
        <f>'I&amp;E Monthly'!BA188</f>
        <v>0</v>
      </c>
      <c r="BB188" s="153">
        <f>'I&amp;E Monthly'!BB188</f>
        <v>0</v>
      </c>
      <c r="BC188" s="153">
        <f>'I&amp;E Monthly'!BC188</f>
        <v>0</v>
      </c>
      <c r="BD188" s="153">
        <f>'I&amp;E Monthly'!BD188</f>
        <v>0</v>
      </c>
      <c r="BE188" s="153">
        <f>'I&amp;E Monthly'!BE188</f>
        <v>0</v>
      </c>
      <c r="BF188" s="153">
        <f>'I&amp;E Monthly'!BF188</f>
        <v>0</v>
      </c>
      <c r="BG188" s="153">
        <f>'I&amp;E Monthly'!BG188</f>
        <v>0</v>
      </c>
      <c r="BH188" s="153">
        <f>'I&amp;E Monthly'!BH188</f>
        <v>0</v>
      </c>
      <c r="BI188" s="153">
        <f>'I&amp;E Monthly'!BI188</f>
        <v>0</v>
      </c>
      <c r="BJ188" s="153">
        <f>'I&amp;E Monthly'!BJ188</f>
        <v>-6</v>
      </c>
      <c r="BL188" s="153">
        <f>'I&amp;E Monthly'!BL188</f>
        <v>0</v>
      </c>
      <c r="BM188" s="153">
        <f>'I&amp;E Monthly'!BM188</f>
        <v>-6</v>
      </c>
      <c r="BN188" s="153">
        <f>'I&amp;E Monthly'!BN188</f>
        <v>-6</v>
      </c>
      <c r="BO188" s="153">
        <f>'I&amp;E Monthly'!BO188</f>
        <v>-6</v>
      </c>
      <c r="BP188" s="153">
        <f>'I&amp;E Monthly'!BP188</f>
        <v>0</v>
      </c>
      <c r="BQ188" s="153">
        <f>'I&amp;E Monthly'!BQ188</f>
        <v>0</v>
      </c>
      <c r="BR188" s="153">
        <f>'I&amp;E Monthly'!BR188</f>
        <v>0</v>
      </c>
      <c r="BS188" s="153">
        <f>'I&amp;E Monthly'!BS188</f>
        <v>0</v>
      </c>
      <c r="BT188" s="153">
        <f>'I&amp;E Monthly'!BT188</f>
        <v>0</v>
      </c>
      <c r="BU188" s="153">
        <f>'I&amp;E Monthly'!BU188</f>
        <v>0</v>
      </c>
      <c r="BV188" s="153">
        <f>'I&amp;E Monthly'!BV188</f>
        <v>0</v>
      </c>
      <c r="BW188" s="153">
        <f>'I&amp;E Monthly'!BW188</f>
        <v>0</v>
      </c>
      <c r="BY188" s="12"/>
      <c r="CA188" s="12"/>
      <c r="CD188" s="7">
        <f ca="1">IF(SUM($CH188:$CJ188)=0, 0, 1)</f>
        <v>0</v>
      </c>
      <c r="CE188" s="7">
        <f>IF(SUM($CK188:$CM188)=0, 0, 1)</f>
        <v>0</v>
      </c>
      <c r="CF188" s="7">
        <f>IF(CN188=0, 0, 1)</f>
        <v>0</v>
      </c>
      <c r="CG188" s="12"/>
      <c r="CH188" s="352">
        <f t="shared" ca="1" si="204"/>
        <v>0</v>
      </c>
      <c r="CI188" s="352">
        <f t="shared" ca="1" si="204"/>
        <v>0</v>
      </c>
      <c r="CJ188" s="352">
        <f t="shared" ca="1" si="204"/>
        <v>0</v>
      </c>
      <c r="CK188" s="352">
        <f>ROUND($BM188-SUMIFS($AA188:$BJ188, $AA$3:$BJ$3, $BM$3), rounding)</f>
        <v>0</v>
      </c>
      <c r="CL188" s="352">
        <f>ROUND($BN188-SUMIFS($AA188:$BJ188, $AA$3:$BJ$3, $BN$3), rounding)</f>
        <v>0</v>
      </c>
      <c r="CM188" s="352">
        <f>ROUND($BO188-SUMIFS($AA188:$BJ188, $AA$3:$BJ$3, $BO$3), rounding)</f>
        <v>0</v>
      </c>
      <c r="CN188" s="352">
        <f>ROUND($V188-$BL188, rounding)</f>
        <v>0</v>
      </c>
      <c r="EX188" s="10" t="str">
        <f t="shared" si="151"/>
        <v>Actuarial gain/(loss) on pensions adjustment</v>
      </c>
    </row>
    <row r="189" spans="1:154" s="5" customFormat="1" x14ac:dyDescent="0.25">
      <c r="A189" s="362" cm="1">
        <f t="array" aca="1" ref="A189" ca="1">HYPERLINK(CONCATENATE("#",CELL("address",IF(SUM($CA189:$CG189)=0,A189,INDEX($CA189:$CG189,MATCH(1,$CA189:$CG189,0))))),SUM($CA189:$CG189))</f>
        <v>0</v>
      </c>
      <c r="C189" s="340" t="s">
        <v>880</v>
      </c>
      <c r="D189" s="337" t="s">
        <v>890</v>
      </c>
      <c r="Q189" s="2"/>
      <c r="R189" s="335"/>
      <c r="S189" s="335"/>
      <c r="T189" s="335"/>
      <c r="U189" s="335"/>
      <c r="V189" s="152">
        <f>V185+SUM(V187:V188)</f>
        <v>0</v>
      </c>
      <c r="W189" s="152">
        <f>W185+SUM(W187:W188)</f>
        <v>-1547</v>
      </c>
      <c r="X189" s="152">
        <f>X185+SUM(X187:X188)</f>
        <v>-1579</v>
      </c>
      <c r="Y189" s="152">
        <f>Y185+SUM(Y187:Y188)</f>
        <v>-1599</v>
      </c>
      <c r="Z189" s="335"/>
      <c r="AA189" s="152">
        <f t="shared" ref="AA189:BJ189" si="205">AA185+SUM(AA187:AA188)</f>
        <v>1725</v>
      </c>
      <c r="AB189" s="152">
        <f t="shared" si="205"/>
        <v>1153</v>
      </c>
      <c r="AC189" s="152">
        <f t="shared" si="205"/>
        <v>135</v>
      </c>
      <c r="AD189" s="152">
        <f t="shared" si="205"/>
        <v>-206</v>
      </c>
      <c r="AE189" s="152">
        <f t="shared" si="205"/>
        <v>-883</v>
      </c>
      <c r="AF189" s="152">
        <f t="shared" si="205"/>
        <v>-671</v>
      </c>
      <c r="AG189" s="152">
        <f t="shared" si="205"/>
        <v>-717</v>
      </c>
      <c r="AH189" s="152">
        <f t="shared" si="205"/>
        <v>-896</v>
      </c>
      <c r="AI189" s="152">
        <f t="shared" si="205"/>
        <v>1254</v>
      </c>
      <c r="AJ189" s="152">
        <f t="shared" si="205"/>
        <v>268</v>
      </c>
      <c r="AK189" s="152">
        <f t="shared" si="205"/>
        <v>262</v>
      </c>
      <c r="AL189" s="152">
        <f t="shared" si="205"/>
        <v>-939</v>
      </c>
      <c r="AM189" s="152">
        <f t="shared" si="205"/>
        <v>1983</v>
      </c>
      <c r="AN189" s="152">
        <f t="shared" si="205"/>
        <v>1135</v>
      </c>
      <c r="AO189" s="152">
        <f t="shared" si="205"/>
        <v>130</v>
      </c>
      <c r="AP189" s="152">
        <f t="shared" si="205"/>
        <v>-438</v>
      </c>
      <c r="AQ189" s="152">
        <f t="shared" si="205"/>
        <v>-887</v>
      </c>
      <c r="AR189" s="152">
        <f t="shared" si="205"/>
        <v>-572</v>
      </c>
      <c r="AS189" s="152">
        <f t="shared" si="205"/>
        <v>-967</v>
      </c>
      <c r="AT189" s="152">
        <f t="shared" si="205"/>
        <v>-909</v>
      </c>
      <c r="AU189" s="152">
        <f t="shared" si="205"/>
        <v>1491</v>
      </c>
      <c r="AV189" s="152">
        <f t="shared" si="205"/>
        <v>372</v>
      </c>
      <c r="AW189" s="152">
        <f t="shared" si="205"/>
        <v>-50</v>
      </c>
      <c r="AX189" s="152">
        <f t="shared" si="205"/>
        <v>-807</v>
      </c>
      <c r="AY189" s="152">
        <f t="shared" si="205"/>
        <v>2028.7483333333334</v>
      </c>
      <c r="AZ189" s="152">
        <f t="shared" si="205"/>
        <v>1151.3566666666661</v>
      </c>
      <c r="BA189" s="152">
        <f t="shared" si="205"/>
        <v>137.48833333333278</v>
      </c>
      <c r="BB189" s="152">
        <f t="shared" si="205"/>
        <v>-445.61333333333323</v>
      </c>
      <c r="BC189" s="152">
        <f t="shared" si="205"/>
        <v>-906.53</v>
      </c>
      <c r="BD189" s="152">
        <f t="shared" si="205"/>
        <v>-579.22999999999979</v>
      </c>
      <c r="BE189" s="152">
        <f t="shared" si="205"/>
        <v>-986.74166666666702</v>
      </c>
      <c r="BF189" s="152">
        <f t="shared" si="205"/>
        <v>-923.5183333333332</v>
      </c>
      <c r="BG189" s="152">
        <f t="shared" si="205"/>
        <v>1544.378333333334</v>
      </c>
      <c r="BH189" s="152">
        <f t="shared" si="205"/>
        <v>421.06833333333361</v>
      </c>
      <c r="BI189" s="152">
        <f t="shared" si="205"/>
        <v>-39.806666666666388</v>
      </c>
      <c r="BJ189" s="152">
        <f t="shared" si="205"/>
        <v>-814.79000000000042</v>
      </c>
      <c r="BK189" s="335"/>
      <c r="BL189" s="152">
        <f t="shared" ref="BL189:BW189" si="206">BL185+SUM(BL187:BL188)</f>
        <v>0</v>
      </c>
      <c r="BM189" s="152">
        <f t="shared" si="206"/>
        <v>485</v>
      </c>
      <c r="BN189" s="152">
        <f t="shared" si="206"/>
        <v>481</v>
      </c>
      <c r="BO189" s="152">
        <f t="shared" si="206"/>
        <v>586.81000000000131</v>
      </c>
      <c r="BP189" s="152">
        <f t="shared" si="206"/>
        <v>0</v>
      </c>
      <c r="BQ189" s="152">
        <f t="shared" si="206"/>
        <v>0</v>
      </c>
      <c r="BR189" s="152">
        <f t="shared" si="206"/>
        <v>0</v>
      </c>
      <c r="BS189" s="152">
        <f t="shared" si="206"/>
        <v>0</v>
      </c>
      <c r="BT189" s="152">
        <f t="shared" si="206"/>
        <v>0</v>
      </c>
      <c r="BU189" s="152">
        <f t="shared" si="206"/>
        <v>0</v>
      </c>
      <c r="BV189" s="152">
        <f t="shared" si="206"/>
        <v>0</v>
      </c>
      <c r="BW189" s="152">
        <f t="shared" si="206"/>
        <v>0</v>
      </c>
      <c r="BY189" s="338"/>
      <c r="CA189" s="338"/>
      <c r="CD189" s="7">
        <f>IF(SUM($CH189:$CJ189)=0, 0, 1)</f>
        <v>0</v>
      </c>
      <c r="CE189" s="7">
        <f>IF(SUM($CK189:$CM189)=0, 0, 1)</f>
        <v>0</v>
      </c>
      <c r="CF189" s="7">
        <f>IF(CN189=0, 0, 1)</f>
        <v>0</v>
      </c>
      <c r="CG189" s="12"/>
      <c r="CH189" s="352">
        <f t="shared" si="204"/>
        <v>0</v>
      </c>
      <c r="CI189" s="352">
        <f t="shared" si="204"/>
        <v>0</v>
      </c>
      <c r="CJ189" s="352">
        <f t="shared" si="204"/>
        <v>0</v>
      </c>
      <c r="CK189" s="352">
        <f>ROUND($BM189-SUMIFS($AA189:$BJ189, $AA$3:$BJ$3, $BM$3), rounding)</f>
        <v>0</v>
      </c>
      <c r="CL189" s="352">
        <f>ROUND($BN189-SUMIFS($AA189:$BJ189, $AA$3:$BJ$3, $BN$3), rounding)</f>
        <v>0</v>
      </c>
      <c r="CM189" s="352">
        <f>ROUND($BO189-SUMIFS($AA189:$BJ189, $AA$3:$BJ$3, $BO$3), rounding)</f>
        <v>0</v>
      </c>
      <c r="CN189" s="352">
        <f>ROUND($V189-$BL189, rounding)</f>
        <v>0</v>
      </c>
      <c r="EX189" s="10" t="str">
        <f t="shared" si="151"/>
        <v>Total Comprehensive Income</v>
      </c>
    </row>
    <row r="190" spans="1:154" s="332" customFormat="1" ht="8.1" customHeight="1" x14ac:dyDescent="0.25">
      <c r="A190" s="335"/>
      <c r="B190" s="335"/>
      <c r="C190" s="380"/>
      <c r="D190" s="69"/>
      <c r="E190" s="25"/>
      <c r="F190" s="25"/>
      <c r="G190" s="25"/>
      <c r="H190" s="335"/>
      <c r="I190" s="25"/>
      <c r="J190" s="335"/>
      <c r="K190" s="335"/>
      <c r="L190" s="335"/>
      <c r="M190" s="335"/>
      <c r="N190" s="335"/>
      <c r="O190" s="335"/>
      <c r="P190" s="335"/>
      <c r="Q190" s="2"/>
      <c r="R190" s="335"/>
      <c r="S190" s="335"/>
      <c r="T190" s="25"/>
      <c r="U190" s="25"/>
      <c r="V190" s="25"/>
      <c r="W190" s="25"/>
      <c r="X190" s="25"/>
      <c r="Y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L190" s="25"/>
      <c r="BM190" s="155"/>
      <c r="BN190" s="25"/>
      <c r="BO190" s="25"/>
      <c r="BP190" s="25"/>
      <c r="BQ190" s="25"/>
      <c r="BR190" s="25"/>
      <c r="BS190" s="25"/>
      <c r="BT190" s="25"/>
      <c r="BU190" s="25"/>
      <c r="BV190" s="25"/>
      <c r="BW190" s="25"/>
      <c r="BX190" s="335"/>
      <c r="BY190" s="42"/>
      <c r="BZ190" s="335"/>
      <c r="CA190" s="42"/>
      <c r="CB190" s="335"/>
      <c r="CC190" s="335"/>
      <c r="CD190" s="7"/>
      <c r="CE190" s="7"/>
      <c r="CF190" s="7"/>
      <c r="CG190" s="12"/>
      <c r="CH190" s="335"/>
      <c r="CI190" s="335"/>
      <c r="CJ190" s="335"/>
      <c r="CK190" s="335"/>
      <c r="CL190" s="335"/>
      <c r="CM190" s="335"/>
      <c r="CN190" s="335"/>
      <c r="EU190" s="335"/>
      <c r="EX190" s="10" t="str">
        <f t="shared" si="151"/>
        <v/>
      </c>
    </row>
    <row r="191" spans="1:154" s="332" customFormat="1" x14ac:dyDescent="0.25">
      <c r="A191" s="40"/>
      <c r="B191" s="40"/>
      <c r="C191" s="381"/>
      <c r="D191" s="99" t="s">
        <v>502</v>
      </c>
      <c r="E191" s="40"/>
      <c r="F191" s="40"/>
      <c r="G191" s="40"/>
      <c r="H191" s="40"/>
      <c r="I191" s="40"/>
      <c r="J191" s="40"/>
      <c r="K191" s="40"/>
      <c r="L191" s="40"/>
      <c r="M191" s="40"/>
      <c r="N191" s="40"/>
      <c r="O191" s="40"/>
      <c r="P191" s="40"/>
      <c r="Q191" s="40"/>
      <c r="R191" s="40"/>
      <c r="S191" s="40"/>
      <c r="T191" s="148"/>
      <c r="U191" s="148"/>
      <c r="V191" s="148"/>
      <c r="W191" s="148"/>
      <c r="X191" s="148"/>
      <c r="Y191" s="148"/>
      <c r="Z191" s="40"/>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40"/>
      <c r="BL191" s="148"/>
      <c r="BM191" s="148"/>
      <c r="BN191" s="148"/>
      <c r="BO191" s="148"/>
      <c r="BP191" s="148"/>
      <c r="BQ191" s="148"/>
      <c r="BR191" s="148"/>
      <c r="BS191" s="148"/>
      <c r="BT191" s="148"/>
      <c r="BU191" s="148"/>
      <c r="BV191" s="148"/>
      <c r="BW191" s="148"/>
      <c r="BX191" s="40"/>
      <c r="BY191" s="12"/>
      <c r="BZ191" s="335"/>
      <c r="CA191" s="12"/>
      <c r="CB191" s="335"/>
      <c r="CC191" s="335"/>
      <c r="CD191" s="7"/>
      <c r="CE191" s="7"/>
      <c r="CF191" s="7"/>
      <c r="CG191" s="12"/>
      <c r="CH191" s="335"/>
      <c r="CI191" s="335"/>
      <c r="CJ191" s="335"/>
      <c r="CK191" s="335"/>
      <c r="CL191" s="335"/>
      <c r="CM191" s="335"/>
      <c r="EU191" s="335"/>
      <c r="EX191" s="10" t="str">
        <f t="shared" si="151"/>
        <v/>
      </c>
    </row>
    <row r="192" spans="1:154" s="332" customFormat="1" ht="8.1" customHeight="1" x14ac:dyDescent="0.25">
      <c r="A192" s="335"/>
      <c r="B192" s="335"/>
      <c r="C192" s="380"/>
      <c r="D192" s="69"/>
      <c r="E192" s="25"/>
      <c r="F192" s="25"/>
      <c r="G192" s="25"/>
      <c r="H192" s="335"/>
      <c r="I192" s="25"/>
      <c r="J192" s="335"/>
      <c r="K192" s="335"/>
      <c r="L192" s="335"/>
      <c r="M192" s="335"/>
      <c r="N192" s="335"/>
      <c r="O192" s="335"/>
      <c r="P192" s="335"/>
      <c r="Q192" s="2"/>
      <c r="R192" s="335"/>
      <c r="S192" s="335"/>
      <c r="T192" s="25"/>
      <c r="U192" s="25"/>
      <c r="V192" s="25"/>
      <c r="W192" s="25"/>
      <c r="X192" s="25"/>
      <c r="Y192" s="25"/>
      <c r="Z192" s="33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335"/>
      <c r="BL192" s="25"/>
      <c r="BM192" s="155"/>
      <c r="BN192" s="25"/>
      <c r="BO192" s="25"/>
      <c r="BP192" s="25"/>
      <c r="BQ192" s="25"/>
      <c r="BR192" s="25"/>
      <c r="BS192" s="25"/>
      <c r="BT192" s="25"/>
      <c r="BU192" s="25"/>
      <c r="BV192" s="25"/>
      <c r="BW192" s="25"/>
      <c r="BX192" s="335"/>
      <c r="BY192" s="42"/>
      <c r="CA192" s="42"/>
      <c r="CB192" s="335"/>
      <c r="CD192" s="7"/>
      <c r="CE192" s="7"/>
      <c r="CF192" s="7"/>
      <c r="CG192" s="42"/>
      <c r="CH192" s="335"/>
      <c r="CI192" s="335"/>
      <c r="CJ192" s="335"/>
      <c r="CK192" s="335"/>
      <c r="CL192" s="335"/>
      <c r="EU192" s="335"/>
      <c r="EX192" s="10" t="str">
        <f t="shared" si="151"/>
        <v/>
      </c>
    </row>
    <row r="193" spans="1:154" s="332" customFormat="1" x14ac:dyDescent="0.25">
      <c r="A193" s="362" cm="1">
        <f t="array" aca="1" ref="A193" ca="1">HYPERLINK(CONCATENATE("#",CELL("address",IF(SUM($CA193:$CG193)=0,A193,INDEX($CA193:$CG193,MATCH(1,$CA193:$CG193,0))))),SUM($CA193:$CG193))</f>
        <v>0</v>
      </c>
      <c r="B193" s="335"/>
      <c r="C193" s="520" t="str">
        <f>C$165</f>
        <v>IE-4</v>
      </c>
      <c r="D193" s="69" t="str">
        <f>D$165</f>
        <v>Surplus/(deficit) before ITDA</v>
      </c>
      <c r="E193" s="25"/>
      <c r="F193" s="25"/>
      <c r="G193" s="25"/>
      <c r="H193" s="335" t="s">
        <v>8</v>
      </c>
      <c r="I193" s="25"/>
      <c r="J193" s="335"/>
      <c r="K193" s="335"/>
      <c r="L193" s="335"/>
      <c r="M193" s="335"/>
      <c r="N193" s="335"/>
      <c r="O193" s="335"/>
      <c r="P193" s="335"/>
      <c r="Q193" s="2"/>
      <c r="R193" s="335"/>
      <c r="S193" s="335"/>
      <c r="T193" s="25"/>
      <c r="U193" s="25"/>
      <c r="V193" s="10">
        <f>V$165</f>
        <v>0</v>
      </c>
      <c r="W193" s="10">
        <f>W$165</f>
        <v>469</v>
      </c>
      <c r="X193" s="10">
        <f>X$165</f>
        <v>514</v>
      </c>
      <c r="Y193" s="10">
        <f>Y$165</f>
        <v>571</v>
      </c>
      <c r="Z193" s="335"/>
      <c r="AA193" s="10">
        <f t="shared" ref="AA193:BJ193" si="207">AA$165</f>
        <v>1901</v>
      </c>
      <c r="AB193" s="10">
        <f t="shared" si="207"/>
        <v>1305</v>
      </c>
      <c r="AC193" s="10">
        <f t="shared" si="207"/>
        <v>288</v>
      </c>
      <c r="AD193" s="10">
        <f t="shared" si="207"/>
        <v>-32</v>
      </c>
      <c r="AE193" s="10">
        <f t="shared" si="207"/>
        <v>-726</v>
      </c>
      <c r="AF193" s="10">
        <f t="shared" si="207"/>
        <v>-515</v>
      </c>
      <c r="AG193" s="10">
        <f t="shared" si="207"/>
        <v>-542</v>
      </c>
      <c r="AH193" s="10">
        <f t="shared" si="207"/>
        <v>-743</v>
      </c>
      <c r="AI193" s="10">
        <f t="shared" si="207"/>
        <v>1409</v>
      </c>
      <c r="AJ193" s="10">
        <f t="shared" si="207"/>
        <v>439</v>
      </c>
      <c r="AK193" s="10">
        <f t="shared" si="207"/>
        <v>456</v>
      </c>
      <c r="AL193" s="10">
        <f t="shared" si="207"/>
        <v>-739</v>
      </c>
      <c r="AM193" s="10">
        <f t="shared" si="207"/>
        <v>2159</v>
      </c>
      <c r="AN193" s="10">
        <f t="shared" si="207"/>
        <v>1291</v>
      </c>
      <c r="AO193" s="10">
        <f t="shared" si="207"/>
        <v>286</v>
      </c>
      <c r="AP193" s="10">
        <f t="shared" si="207"/>
        <v>-260</v>
      </c>
      <c r="AQ193" s="10">
        <f t="shared" si="207"/>
        <v>-726</v>
      </c>
      <c r="AR193" s="10">
        <f t="shared" si="207"/>
        <v>-411</v>
      </c>
      <c r="AS193" s="10">
        <f t="shared" si="207"/>
        <v>-786</v>
      </c>
      <c r="AT193" s="10">
        <f t="shared" si="207"/>
        <v>-749</v>
      </c>
      <c r="AU193" s="10">
        <f t="shared" si="207"/>
        <v>1653</v>
      </c>
      <c r="AV193" s="10">
        <f t="shared" si="207"/>
        <v>551</v>
      </c>
      <c r="AW193" s="10">
        <f t="shared" si="207"/>
        <v>153</v>
      </c>
      <c r="AX193" s="10">
        <f t="shared" si="207"/>
        <v>-597</v>
      </c>
      <c r="AY193" s="10">
        <f t="shared" si="207"/>
        <v>2214.7483333333334</v>
      </c>
      <c r="AZ193" s="10">
        <f t="shared" si="207"/>
        <v>1313.3566666666661</v>
      </c>
      <c r="BA193" s="10">
        <f t="shared" si="207"/>
        <v>301.48833333333278</v>
      </c>
      <c r="BB193" s="10">
        <f t="shared" si="207"/>
        <v>-260.61333333333323</v>
      </c>
      <c r="BC193" s="10">
        <f t="shared" si="207"/>
        <v>-738.53</v>
      </c>
      <c r="BD193" s="10">
        <f t="shared" si="207"/>
        <v>-411.22999999999979</v>
      </c>
      <c r="BE193" s="10">
        <f t="shared" si="207"/>
        <v>-799.74166666666702</v>
      </c>
      <c r="BF193" s="10">
        <f t="shared" si="207"/>
        <v>-758.5183333333332</v>
      </c>
      <c r="BG193" s="10">
        <f t="shared" si="207"/>
        <v>1712.378333333334</v>
      </c>
      <c r="BH193" s="10">
        <f t="shared" si="207"/>
        <v>605.06833333333361</v>
      </c>
      <c r="BI193" s="10">
        <f t="shared" si="207"/>
        <v>167.19333333333361</v>
      </c>
      <c r="BJ193" s="10">
        <f t="shared" si="207"/>
        <v>-600.79000000000042</v>
      </c>
      <c r="BK193" s="335"/>
      <c r="BL193" s="10">
        <f t="shared" ref="BL193:BW193" si="208">BL$165</f>
        <v>0</v>
      </c>
      <c r="BM193" s="10">
        <f t="shared" si="208"/>
        <v>2501</v>
      </c>
      <c r="BN193" s="10">
        <f t="shared" si="208"/>
        <v>2564</v>
      </c>
      <c r="BO193" s="10">
        <f t="shared" si="208"/>
        <v>2744.8100000000013</v>
      </c>
      <c r="BP193" s="10">
        <f t="shared" si="208"/>
        <v>0</v>
      </c>
      <c r="BQ193" s="10">
        <f t="shared" si="208"/>
        <v>0</v>
      </c>
      <c r="BR193" s="10">
        <f t="shared" si="208"/>
        <v>0</v>
      </c>
      <c r="BS193" s="10">
        <f t="shared" si="208"/>
        <v>0</v>
      </c>
      <c r="BT193" s="10">
        <f t="shared" si="208"/>
        <v>0</v>
      </c>
      <c r="BU193" s="10">
        <f t="shared" si="208"/>
        <v>0</v>
      </c>
      <c r="BV193" s="10">
        <f t="shared" si="208"/>
        <v>0</v>
      </c>
      <c r="BW193" s="10">
        <f t="shared" si="208"/>
        <v>0</v>
      </c>
      <c r="BX193" s="335"/>
      <c r="BY193" s="12"/>
      <c r="CA193" s="12"/>
      <c r="CB193" s="335"/>
      <c r="CD193" s="7">
        <f t="shared" ref="CD193:CD199" si="209">IF(SUM($CH193:$CJ193)=0, 0, 1)</f>
        <v>0</v>
      </c>
      <c r="CE193" s="7">
        <f t="shared" ref="CE193:CE199" si="210">IF(SUM($CK193:$CM193)=0, 0, 1)</f>
        <v>0</v>
      </c>
      <c r="CF193" s="7">
        <f t="shared" ref="CF193:CF199" si="211">IF(CN193=0, 0, 1)</f>
        <v>0</v>
      </c>
      <c r="CG193" s="12"/>
      <c r="CH193" s="352">
        <f t="shared" ref="CH193:CJ199" si="212">IF($G193=$G$7, ROUND(W193-SUMIFS($AA193:$BJ193, $AA$3:$BJ$3, W$3), rounding), 0)</f>
        <v>0</v>
      </c>
      <c r="CI193" s="352">
        <f t="shared" si="212"/>
        <v>0</v>
      </c>
      <c r="CJ193" s="352">
        <f t="shared" si="212"/>
        <v>0</v>
      </c>
      <c r="CK193" s="352">
        <f t="shared" ref="CK193:CK199" si="213">ROUND($BM193-SUMIFS($AA193:$BJ193, $AA$3:$BJ$3, $BM$3), rounding)</f>
        <v>0</v>
      </c>
      <c r="CL193" s="352">
        <f t="shared" ref="CL193:CL199" si="214">ROUND($BN193-SUMIFS($AA193:$BJ193, $AA$3:$BJ$3, $BN$3), rounding)</f>
        <v>0</v>
      </c>
      <c r="CM193" s="352">
        <f t="shared" ref="CM193:CM199" si="215">ROUND($BO193-SUMIFS($AA193:$BJ193, $AA$3:$BJ$3, $BO$3), rounding)</f>
        <v>0</v>
      </c>
      <c r="CN193" s="352">
        <f t="shared" ref="CN193:CN199" si="216">ROUND($V193-$BL193, rounding)</f>
        <v>0</v>
      </c>
      <c r="EU193" s="335"/>
      <c r="EX193" s="13" t="str">
        <f>IF($C193="","",CONCATENATE(D$191, " ",$D193))</f>
        <v>Education-Specific EBITDA Surplus/(deficit) before ITDA</v>
      </c>
    </row>
    <row r="194" spans="1:154" s="332" customFormat="1" x14ac:dyDescent="0.25">
      <c r="A194" s="362" cm="1">
        <f t="array" aca="1" ref="A194" ca="1">HYPERLINK(CONCATENATE("#",CELL("address",IF(SUM($CA194:$CG194)=0,A194,INDEX($CA194:$CG194,MATCH(1,$CA194:$CG194,0))))),SUM($CA194:$CG194))</f>
        <v>0</v>
      </c>
      <c r="B194" s="335"/>
      <c r="C194" s="520" t="str">
        <f>C$113</f>
        <v>IE-1i</v>
      </c>
      <c r="D194" s="69" t="str">
        <f>D$113</f>
        <v>Total Emergency Funding</v>
      </c>
      <c r="E194" s="335"/>
      <c r="F194" s="335"/>
      <c r="G194" s="335"/>
      <c r="H194" s="335" t="str">
        <f>H$113</f>
        <v>+ve/-ve (Cr/Dr)</v>
      </c>
      <c r="I194" s="335"/>
      <c r="J194" s="335"/>
      <c r="K194" s="335"/>
      <c r="L194" s="335"/>
      <c r="M194" s="335"/>
      <c r="N194" s="335"/>
      <c r="O194" s="335"/>
      <c r="P194" s="335"/>
      <c r="Q194" s="2"/>
      <c r="R194" s="335"/>
      <c r="T194" s="25"/>
      <c r="U194" s="25"/>
      <c r="V194" s="10">
        <f>V$113</f>
        <v>0</v>
      </c>
      <c r="W194" s="10">
        <f>W$113</f>
        <v>0</v>
      </c>
      <c r="X194" s="10">
        <f>X$113</f>
        <v>0</v>
      </c>
      <c r="Y194" s="10">
        <f>Y$113</f>
        <v>0</v>
      </c>
      <c r="AA194" s="10">
        <f t="shared" ref="AA194:BJ194" si="217">AA$113</f>
        <v>0</v>
      </c>
      <c r="AB194" s="10">
        <f t="shared" si="217"/>
        <v>0</v>
      </c>
      <c r="AC194" s="10">
        <f t="shared" si="217"/>
        <v>0</v>
      </c>
      <c r="AD194" s="10">
        <f t="shared" si="217"/>
        <v>0</v>
      </c>
      <c r="AE194" s="10">
        <f t="shared" si="217"/>
        <v>0</v>
      </c>
      <c r="AF194" s="10">
        <f t="shared" si="217"/>
        <v>0</v>
      </c>
      <c r="AG194" s="10">
        <f t="shared" si="217"/>
        <v>0</v>
      </c>
      <c r="AH194" s="10">
        <f t="shared" si="217"/>
        <v>0</v>
      </c>
      <c r="AI194" s="10">
        <f t="shared" si="217"/>
        <v>0</v>
      </c>
      <c r="AJ194" s="10">
        <f t="shared" si="217"/>
        <v>0</v>
      </c>
      <c r="AK194" s="10">
        <f t="shared" si="217"/>
        <v>0</v>
      </c>
      <c r="AL194" s="10">
        <f t="shared" si="217"/>
        <v>0</v>
      </c>
      <c r="AM194" s="10">
        <f t="shared" si="217"/>
        <v>0</v>
      </c>
      <c r="AN194" s="10">
        <f t="shared" si="217"/>
        <v>0</v>
      </c>
      <c r="AO194" s="10">
        <f t="shared" si="217"/>
        <v>0</v>
      </c>
      <c r="AP194" s="10">
        <f t="shared" si="217"/>
        <v>0</v>
      </c>
      <c r="AQ194" s="10">
        <f t="shared" si="217"/>
        <v>0</v>
      </c>
      <c r="AR194" s="10">
        <f t="shared" si="217"/>
        <v>0</v>
      </c>
      <c r="AS194" s="10">
        <f t="shared" si="217"/>
        <v>0</v>
      </c>
      <c r="AT194" s="10">
        <f t="shared" si="217"/>
        <v>0</v>
      </c>
      <c r="AU194" s="10">
        <f t="shared" si="217"/>
        <v>0</v>
      </c>
      <c r="AV194" s="10">
        <f t="shared" si="217"/>
        <v>0</v>
      </c>
      <c r="AW194" s="10">
        <f t="shared" si="217"/>
        <v>0</v>
      </c>
      <c r="AX194" s="10">
        <f t="shared" si="217"/>
        <v>0</v>
      </c>
      <c r="AY194" s="10">
        <f t="shared" si="217"/>
        <v>0</v>
      </c>
      <c r="AZ194" s="10">
        <f t="shared" si="217"/>
        <v>0</v>
      </c>
      <c r="BA194" s="10">
        <f t="shared" si="217"/>
        <v>0</v>
      </c>
      <c r="BB194" s="10">
        <f t="shared" si="217"/>
        <v>0</v>
      </c>
      <c r="BC194" s="10">
        <f t="shared" si="217"/>
        <v>0</v>
      </c>
      <c r="BD194" s="10">
        <f t="shared" si="217"/>
        <v>0</v>
      </c>
      <c r="BE194" s="10">
        <f t="shared" si="217"/>
        <v>0</v>
      </c>
      <c r="BF194" s="10">
        <f t="shared" si="217"/>
        <v>0</v>
      </c>
      <c r="BG194" s="10">
        <f t="shared" si="217"/>
        <v>0</v>
      </c>
      <c r="BH194" s="10">
        <f t="shared" si="217"/>
        <v>0</v>
      </c>
      <c r="BI194" s="10">
        <f t="shared" si="217"/>
        <v>0</v>
      </c>
      <c r="BJ194" s="10">
        <f t="shared" si="217"/>
        <v>0</v>
      </c>
      <c r="BL194" s="10">
        <f t="shared" ref="BL194:BW194" si="218">BL$113</f>
        <v>0</v>
      </c>
      <c r="BM194" s="10">
        <f t="shared" si="218"/>
        <v>0</v>
      </c>
      <c r="BN194" s="10">
        <f t="shared" si="218"/>
        <v>0</v>
      </c>
      <c r="BO194" s="10">
        <f t="shared" si="218"/>
        <v>0</v>
      </c>
      <c r="BP194" s="10">
        <f t="shared" si="218"/>
        <v>0</v>
      </c>
      <c r="BQ194" s="10">
        <f t="shared" si="218"/>
        <v>0</v>
      </c>
      <c r="BR194" s="10">
        <f t="shared" si="218"/>
        <v>0</v>
      </c>
      <c r="BS194" s="10">
        <f t="shared" si="218"/>
        <v>0</v>
      </c>
      <c r="BT194" s="10">
        <f t="shared" si="218"/>
        <v>0</v>
      </c>
      <c r="BU194" s="10">
        <f t="shared" si="218"/>
        <v>0</v>
      </c>
      <c r="BV194" s="10">
        <f t="shared" si="218"/>
        <v>0</v>
      </c>
      <c r="BW194" s="10">
        <f t="shared" si="218"/>
        <v>0</v>
      </c>
      <c r="BX194" s="335"/>
      <c r="BY194" s="42"/>
      <c r="BZ194" s="335"/>
      <c r="CA194" s="42"/>
      <c r="CB194" s="335"/>
      <c r="CC194" s="335"/>
      <c r="CD194" s="7">
        <f t="shared" si="209"/>
        <v>0</v>
      </c>
      <c r="CE194" s="7">
        <f t="shared" si="210"/>
        <v>0</v>
      </c>
      <c r="CF194" s="7">
        <f t="shared" si="211"/>
        <v>0</v>
      </c>
      <c r="CG194" s="42"/>
      <c r="CH194" s="352">
        <f t="shared" si="212"/>
        <v>0</v>
      </c>
      <c r="CI194" s="352">
        <f t="shared" si="212"/>
        <v>0</v>
      </c>
      <c r="CJ194" s="352">
        <f t="shared" si="212"/>
        <v>0</v>
      </c>
      <c r="CK194" s="352">
        <f t="shared" si="213"/>
        <v>0</v>
      </c>
      <c r="CL194" s="352">
        <f t="shared" si="214"/>
        <v>0</v>
      </c>
      <c r="CM194" s="352">
        <f t="shared" si="215"/>
        <v>0</v>
      </c>
      <c r="CN194" s="352">
        <f t="shared" si="216"/>
        <v>0</v>
      </c>
      <c r="EU194" s="335"/>
      <c r="EX194" s="13" t="str">
        <f>IF($C194="","",CONCATENATE(D$191, " ",$D194))</f>
        <v>Education-Specific EBITDA Total Emergency Funding</v>
      </c>
    </row>
    <row r="195" spans="1:154" s="332" customFormat="1" ht="30" x14ac:dyDescent="0.25">
      <c r="A195" s="362" cm="1">
        <f t="array" aca="1" ref="A195" ca="1">HYPERLINK(CONCATENATE("#",CELL("address",IF(SUM($CA195:$CG195)=0,A195,INDEX($CA195:$CG195,MATCH(1,$CA195:$CG195,0))))),SUM($CA195:$CG195))</f>
        <v>0</v>
      </c>
      <c r="B195" s="335"/>
      <c r="C195" s="520" t="str">
        <f>C$130</f>
        <v>IE-2a-9</v>
      </c>
      <c r="D195" s="69" t="str">
        <f>D$130</f>
        <v>FRS102 adj. - LGPS and EPP current service costs (non-cash)</v>
      </c>
      <c r="E195" s="25"/>
      <c r="F195" s="25"/>
      <c r="G195" s="25"/>
      <c r="H195" s="162" t="str">
        <f>H$130</f>
        <v>+ve/-ve (Dr/Cr)</v>
      </c>
      <c r="I195" s="25"/>
      <c r="J195" s="335"/>
      <c r="K195" s="335"/>
      <c r="L195" s="335"/>
      <c r="M195" s="335"/>
      <c r="N195" s="335"/>
      <c r="O195" s="335"/>
      <c r="P195" s="335"/>
      <c r="Q195" s="2"/>
      <c r="R195" s="335"/>
      <c r="S195" s="335"/>
      <c r="T195" s="25"/>
      <c r="U195" s="25"/>
      <c r="V195" s="10">
        <f>V$130</f>
        <v>0</v>
      </c>
      <c r="W195" s="10">
        <f>W$130</f>
        <v>0</v>
      </c>
      <c r="X195" s="10">
        <f>X$130</f>
        <v>0</v>
      </c>
      <c r="Y195" s="10">
        <f>Y$130</f>
        <v>0</v>
      </c>
      <c r="Z195" s="335"/>
      <c r="AA195" s="10">
        <f t="shared" ref="AA195:BJ195" si="219">AA$130</f>
        <v>0</v>
      </c>
      <c r="AB195" s="10">
        <f t="shared" si="219"/>
        <v>0</v>
      </c>
      <c r="AC195" s="10">
        <f t="shared" si="219"/>
        <v>0</v>
      </c>
      <c r="AD195" s="10">
        <f t="shared" si="219"/>
        <v>0</v>
      </c>
      <c r="AE195" s="10">
        <f t="shared" si="219"/>
        <v>0</v>
      </c>
      <c r="AF195" s="10">
        <f t="shared" si="219"/>
        <v>0</v>
      </c>
      <c r="AG195" s="10">
        <f t="shared" si="219"/>
        <v>0</v>
      </c>
      <c r="AH195" s="10">
        <f t="shared" si="219"/>
        <v>0</v>
      </c>
      <c r="AI195" s="10">
        <f t="shared" si="219"/>
        <v>0</v>
      </c>
      <c r="AJ195" s="10">
        <f t="shared" si="219"/>
        <v>0</v>
      </c>
      <c r="AK195" s="10">
        <f t="shared" si="219"/>
        <v>0</v>
      </c>
      <c r="AL195" s="10">
        <f t="shared" si="219"/>
        <v>0</v>
      </c>
      <c r="AM195" s="10">
        <f t="shared" si="219"/>
        <v>0</v>
      </c>
      <c r="AN195" s="10">
        <f t="shared" si="219"/>
        <v>0</v>
      </c>
      <c r="AO195" s="10">
        <f t="shared" si="219"/>
        <v>0</v>
      </c>
      <c r="AP195" s="10">
        <f t="shared" si="219"/>
        <v>0</v>
      </c>
      <c r="AQ195" s="10">
        <f t="shared" si="219"/>
        <v>0</v>
      </c>
      <c r="AR195" s="10">
        <f t="shared" si="219"/>
        <v>0</v>
      </c>
      <c r="AS195" s="10">
        <f t="shared" si="219"/>
        <v>0</v>
      </c>
      <c r="AT195" s="10">
        <f t="shared" si="219"/>
        <v>0</v>
      </c>
      <c r="AU195" s="10">
        <f t="shared" si="219"/>
        <v>0</v>
      </c>
      <c r="AV195" s="10">
        <f t="shared" si="219"/>
        <v>0</v>
      </c>
      <c r="AW195" s="10">
        <f t="shared" si="219"/>
        <v>0</v>
      </c>
      <c r="AX195" s="10">
        <f t="shared" si="219"/>
        <v>0</v>
      </c>
      <c r="AY195" s="10">
        <f t="shared" si="219"/>
        <v>0</v>
      </c>
      <c r="AZ195" s="10">
        <f t="shared" si="219"/>
        <v>0</v>
      </c>
      <c r="BA195" s="10">
        <f t="shared" si="219"/>
        <v>0</v>
      </c>
      <c r="BB195" s="10">
        <f t="shared" si="219"/>
        <v>0</v>
      </c>
      <c r="BC195" s="10">
        <f t="shared" si="219"/>
        <v>0</v>
      </c>
      <c r="BD195" s="10">
        <f t="shared" si="219"/>
        <v>0</v>
      </c>
      <c r="BE195" s="10">
        <f t="shared" si="219"/>
        <v>0</v>
      </c>
      <c r="BF195" s="10">
        <f t="shared" si="219"/>
        <v>0</v>
      </c>
      <c r="BG195" s="10">
        <f t="shared" si="219"/>
        <v>0</v>
      </c>
      <c r="BH195" s="10">
        <f t="shared" si="219"/>
        <v>0</v>
      </c>
      <c r="BI195" s="10">
        <f t="shared" si="219"/>
        <v>0</v>
      </c>
      <c r="BJ195" s="10">
        <f t="shared" si="219"/>
        <v>0</v>
      </c>
      <c r="BK195" s="335"/>
      <c r="BL195" s="10">
        <f t="shared" ref="BL195:BW195" si="220">BL$130</f>
        <v>0</v>
      </c>
      <c r="BM195" s="10">
        <f t="shared" si="220"/>
        <v>0</v>
      </c>
      <c r="BN195" s="10">
        <f t="shared" si="220"/>
        <v>0</v>
      </c>
      <c r="BO195" s="10">
        <f t="shared" si="220"/>
        <v>0</v>
      </c>
      <c r="BP195" s="10">
        <f t="shared" si="220"/>
        <v>0</v>
      </c>
      <c r="BQ195" s="10">
        <f t="shared" si="220"/>
        <v>0</v>
      </c>
      <c r="BR195" s="10">
        <f t="shared" si="220"/>
        <v>0</v>
      </c>
      <c r="BS195" s="10">
        <f t="shared" si="220"/>
        <v>0</v>
      </c>
      <c r="BT195" s="10">
        <f t="shared" si="220"/>
        <v>0</v>
      </c>
      <c r="BU195" s="10">
        <f t="shared" si="220"/>
        <v>0</v>
      </c>
      <c r="BV195" s="10">
        <f t="shared" si="220"/>
        <v>0</v>
      </c>
      <c r="BW195" s="10">
        <f t="shared" si="220"/>
        <v>0</v>
      </c>
      <c r="BX195" s="335"/>
      <c r="BY195" s="12"/>
      <c r="CA195" s="12"/>
      <c r="CB195" s="335"/>
      <c r="CD195" s="7">
        <f t="shared" si="209"/>
        <v>0</v>
      </c>
      <c r="CE195" s="7">
        <f t="shared" si="210"/>
        <v>0</v>
      </c>
      <c r="CF195" s="7">
        <f t="shared" si="211"/>
        <v>0</v>
      </c>
      <c r="CG195" s="12"/>
      <c r="CH195" s="352">
        <f t="shared" si="212"/>
        <v>0</v>
      </c>
      <c r="CI195" s="352">
        <f t="shared" si="212"/>
        <v>0</v>
      </c>
      <c r="CJ195" s="352">
        <f t="shared" si="212"/>
        <v>0</v>
      </c>
      <c r="CK195" s="352">
        <f t="shared" si="213"/>
        <v>0</v>
      </c>
      <c r="CL195" s="352">
        <f t="shared" si="214"/>
        <v>0</v>
      </c>
      <c r="CM195" s="352">
        <f t="shared" si="215"/>
        <v>0</v>
      </c>
      <c r="CN195" s="352">
        <f t="shared" si="216"/>
        <v>0</v>
      </c>
      <c r="EU195" s="335"/>
      <c r="EX195" s="13" t="str">
        <f>IF($C195="","",CONCATENATE(D$191, " ",$D195))</f>
        <v>Education-Specific EBITDA FRS102 adj. - LGPS and EPP current service costs (non-cash)</v>
      </c>
    </row>
    <row r="196" spans="1:154" s="332" customFormat="1" x14ac:dyDescent="0.25">
      <c r="A196" s="362" cm="1">
        <f t="array" aca="1" ref="A196" ca="1">HYPERLINK(CONCATENATE("#",CELL("address",IF(SUM($CA196:$CG196)=0,A196,INDEX($CA196:$CG196,MATCH(1,$CA196:$CG196,0))))),SUM($CA196:$CG196))</f>
        <v>0</v>
      </c>
      <c r="C196" s="520" t="str">
        <f>C$162</f>
        <v>IE-4a</v>
      </c>
      <c r="D196" s="69" t="str">
        <f>D$162</f>
        <v>Release of Capital Grants</v>
      </c>
      <c r="E196" s="335"/>
      <c r="F196" s="335"/>
      <c r="G196" s="335"/>
      <c r="H196" s="332" t="str">
        <f>H$162</f>
        <v>+ve/-ve (Cr/Dr)</v>
      </c>
      <c r="I196" s="335"/>
      <c r="Q196" s="2"/>
      <c r="R196" s="335"/>
      <c r="T196" s="25"/>
      <c r="U196" s="25"/>
      <c r="V196" s="10">
        <f>V$162</f>
        <v>0</v>
      </c>
      <c r="W196" s="10">
        <f>W$162</f>
        <v>469</v>
      </c>
      <c r="X196" s="10">
        <f>X$162</f>
        <v>514</v>
      </c>
      <c r="Y196" s="10">
        <f>Y$162</f>
        <v>571</v>
      </c>
      <c r="AA196" s="10">
        <f t="shared" ref="AA196:BJ196" si="221">AA$162</f>
        <v>36</v>
      </c>
      <c r="AB196" s="10">
        <f t="shared" si="221"/>
        <v>38</v>
      </c>
      <c r="AC196" s="10">
        <f t="shared" si="221"/>
        <v>38</v>
      </c>
      <c r="AD196" s="10">
        <f t="shared" si="221"/>
        <v>38</v>
      </c>
      <c r="AE196" s="10">
        <f t="shared" si="221"/>
        <v>38</v>
      </c>
      <c r="AF196" s="10">
        <f t="shared" si="221"/>
        <v>38</v>
      </c>
      <c r="AG196" s="10">
        <f t="shared" si="221"/>
        <v>38</v>
      </c>
      <c r="AH196" s="10">
        <f t="shared" si="221"/>
        <v>41</v>
      </c>
      <c r="AI196" s="10">
        <f t="shared" si="221"/>
        <v>41</v>
      </c>
      <c r="AJ196" s="10">
        <f t="shared" si="221"/>
        <v>41</v>
      </c>
      <c r="AK196" s="10">
        <f t="shared" si="221"/>
        <v>41</v>
      </c>
      <c r="AL196" s="10">
        <f t="shared" si="221"/>
        <v>41</v>
      </c>
      <c r="AM196" s="10">
        <f t="shared" si="221"/>
        <v>36</v>
      </c>
      <c r="AN196" s="10">
        <f t="shared" si="221"/>
        <v>40</v>
      </c>
      <c r="AO196" s="10">
        <f t="shared" si="221"/>
        <v>40</v>
      </c>
      <c r="AP196" s="10">
        <f t="shared" si="221"/>
        <v>41</v>
      </c>
      <c r="AQ196" s="10">
        <f t="shared" si="221"/>
        <v>41</v>
      </c>
      <c r="AR196" s="10">
        <f t="shared" si="221"/>
        <v>41</v>
      </c>
      <c r="AS196" s="10">
        <f t="shared" si="221"/>
        <v>42</v>
      </c>
      <c r="AT196" s="10">
        <f t="shared" si="221"/>
        <v>46</v>
      </c>
      <c r="AU196" s="10">
        <f t="shared" si="221"/>
        <v>46</v>
      </c>
      <c r="AV196" s="10">
        <f t="shared" si="221"/>
        <v>46</v>
      </c>
      <c r="AW196" s="10">
        <f t="shared" si="221"/>
        <v>47</v>
      </c>
      <c r="AX196" s="10">
        <f t="shared" si="221"/>
        <v>48</v>
      </c>
      <c r="AY196" s="10">
        <f t="shared" si="221"/>
        <v>43</v>
      </c>
      <c r="AZ196" s="10">
        <f t="shared" si="221"/>
        <v>45</v>
      </c>
      <c r="BA196" s="10">
        <f t="shared" si="221"/>
        <v>46</v>
      </c>
      <c r="BB196" s="10">
        <f t="shared" si="221"/>
        <v>46</v>
      </c>
      <c r="BC196" s="10">
        <f t="shared" si="221"/>
        <v>46</v>
      </c>
      <c r="BD196" s="10">
        <f t="shared" si="221"/>
        <v>47</v>
      </c>
      <c r="BE196" s="10">
        <f t="shared" si="221"/>
        <v>47</v>
      </c>
      <c r="BF196" s="10">
        <f t="shared" si="221"/>
        <v>50</v>
      </c>
      <c r="BG196" s="10">
        <f t="shared" si="221"/>
        <v>50</v>
      </c>
      <c r="BH196" s="10">
        <f t="shared" si="221"/>
        <v>50</v>
      </c>
      <c r="BI196" s="10">
        <f t="shared" si="221"/>
        <v>50</v>
      </c>
      <c r="BJ196" s="10">
        <f t="shared" si="221"/>
        <v>51</v>
      </c>
      <c r="BL196" s="10">
        <f t="shared" ref="BL196:BW196" si="222">BL$162</f>
        <v>0</v>
      </c>
      <c r="BM196" s="10">
        <f t="shared" si="222"/>
        <v>469</v>
      </c>
      <c r="BN196" s="10">
        <f t="shared" si="222"/>
        <v>514</v>
      </c>
      <c r="BO196" s="10">
        <f t="shared" si="222"/>
        <v>571</v>
      </c>
      <c r="BP196" s="10">
        <f t="shared" si="222"/>
        <v>0</v>
      </c>
      <c r="BQ196" s="10">
        <f t="shared" si="222"/>
        <v>0</v>
      </c>
      <c r="BR196" s="10">
        <f t="shared" si="222"/>
        <v>0</v>
      </c>
      <c r="BS196" s="10">
        <f t="shared" si="222"/>
        <v>0</v>
      </c>
      <c r="BT196" s="10">
        <f t="shared" si="222"/>
        <v>0</v>
      </c>
      <c r="BU196" s="10">
        <f t="shared" si="222"/>
        <v>0</v>
      </c>
      <c r="BV196" s="10">
        <f t="shared" si="222"/>
        <v>0</v>
      </c>
      <c r="BW196" s="10">
        <f t="shared" si="222"/>
        <v>0</v>
      </c>
      <c r="BY196" s="42"/>
      <c r="CA196" s="42"/>
      <c r="CB196" s="335"/>
      <c r="CD196" s="7">
        <f t="shared" si="209"/>
        <v>0</v>
      </c>
      <c r="CE196" s="7">
        <f t="shared" si="210"/>
        <v>0</v>
      </c>
      <c r="CF196" s="7">
        <f t="shared" si="211"/>
        <v>0</v>
      </c>
      <c r="CG196" s="42"/>
      <c r="CH196" s="352">
        <f t="shared" si="212"/>
        <v>0</v>
      </c>
      <c r="CI196" s="352">
        <f t="shared" si="212"/>
        <v>0</v>
      </c>
      <c r="CJ196" s="352">
        <f t="shared" si="212"/>
        <v>0</v>
      </c>
      <c r="CK196" s="352">
        <f t="shared" si="213"/>
        <v>0</v>
      </c>
      <c r="CL196" s="352">
        <f t="shared" si="214"/>
        <v>0</v>
      </c>
      <c r="CM196" s="352">
        <f t="shared" si="215"/>
        <v>0</v>
      </c>
      <c r="CN196" s="352">
        <f t="shared" si="216"/>
        <v>0</v>
      </c>
      <c r="EU196" s="335"/>
      <c r="EX196" s="13" t="str">
        <f>IF($C196="","",CONCATENATE(D$191, " ",$D196))</f>
        <v>Education-Specific EBITDA Release of Capital Grants</v>
      </c>
    </row>
    <row r="197" spans="1:154" s="332" customFormat="1" x14ac:dyDescent="0.25">
      <c r="A197" s="362" cm="1">
        <f t="array" aca="1" ref="A197" ca="1">HYPERLINK(CONCATENATE("#",CELL("address",IF(SUM($CA197:$CG197)=0,A197,INDEX($CA197:$CG197,MATCH(1,$CA197:$CG197,0))))),SUM($CA197:$CG197))</f>
        <v>0</v>
      </c>
      <c r="C197" s="520" t="str">
        <f>C$117</f>
        <v>IE-1j</v>
      </c>
      <c r="D197" s="69" t="str">
        <f>D$117</f>
        <v>Total gifts and donated assets</v>
      </c>
      <c r="E197" s="25"/>
      <c r="F197" s="25"/>
      <c r="G197" s="25"/>
      <c r="H197" s="332" t="str">
        <f>H$117</f>
        <v>+ve/-ve (Cr/Dr)</v>
      </c>
      <c r="I197" s="25"/>
      <c r="J197" s="25"/>
      <c r="Q197" s="2"/>
      <c r="R197" s="335"/>
      <c r="T197" s="25"/>
      <c r="U197" s="25"/>
      <c r="V197" s="153">
        <f>V$117</f>
        <v>0</v>
      </c>
      <c r="W197" s="153">
        <f>W$117</f>
        <v>0</v>
      </c>
      <c r="X197" s="153">
        <f>X$117</f>
        <v>0</v>
      </c>
      <c r="Y197" s="153">
        <f>Y$117</f>
        <v>0</v>
      </c>
      <c r="AA197" s="153">
        <f t="shared" ref="AA197:BJ197" si="223">AA$117</f>
        <v>0</v>
      </c>
      <c r="AB197" s="153">
        <f t="shared" si="223"/>
        <v>0</v>
      </c>
      <c r="AC197" s="153">
        <f t="shared" si="223"/>
        <v>0</v>
      </c>
      <c r="AD197" s="153">
        <f t="shared" si="223"/>
        <v>0</v>
      </c>
      <c r="AE197" s="153">
        <f t="shared" si="223"/>
        <v>0</v>
      </c>
      <c r="AF197" s="153">
        <f t="shared" si="223"/>
        <v>0</v>
      </c>
      <c r="AG197" s="153">
        <f t="shared" si="223"/>
        <v>0</v>
      </c>
      <c r="AH197" s="153">
        <f t="shared" si="223"/>
        <v>0</v>
      </c>
      <c r="AI197" s="153">
        <f t="shared" si="223"/>
        <v>0</v>
      </c>
      <c r="AJ197" s="153">
        <f t="shared" si="223"/>
        <v>0</v>
      </c>
      <c r="AK197" s="153">
        <f t="shared" si="223"/>
        <v>0</v>
      </c>
      <c r="AL197" s="153">
        <f t="shared" si="223"/>
        <v>0</v>
      </c>
      <c r="AM197" s="153">
        <f t="shared" si="223"/>
        <v>0</v>
      </c>
      <c r="AN197" s="153">
        <f t="shared" si="223"/>
        <v>0</v>
      </c>
      <c r="AO197" s="153">
        <f t="shared" si="223"/>
        <v>0</v>
      </c>
      <c r="AP197" s="153">
        <f t="shared" si="223"/>
        <v>0</v>
      </c>
      <c r="AQ197" s="153">
        <f t="shared" si="223"/>
        <v>0</v>
      </c>
      <c r="AR197" s="153">
        <f t="shared" si="223"/>
        <v>0</v>
      </c>
      <c r="AS197" s="153">
        <f t="shared" si="223"/>
        <v>0</v>
      </c>
      <c r="AT197" s="153">
        <f t="shared" si="223"/>
        <v>0</v>
      </c>
      <c r="AU197" s="153">
        <f t="shared" si="223"/>
        <v>0</v>
      </c>
      <c r="AV197" s="153">
        <f t="shared" si="223"/>
        <v>0</v>
      </c>
      <c r="AW197" s="153">
        <f t="shared" si="223"/>
        <v>0</v>
      </c>
      <c r="AX197" s="153">
        <f t="shared" si="223"/>
        <v>0</v>
      </c>
      <c r="AY197" s="153">
        <f t="shared" si="223"/>
        <v>0</v>
      </c>
      <c r="AZ197" s="153">
        <f t="shared" si="223"/>
        <v>0</v>
      </c>
      <c r="BA197" s="153">
        <f t="shared" si="223"/>
        <v>0</v>
      </c>
      <c r="BB197" s="153">
        <f t="shared" si="223"/>
        <v>0</v>
      </c>
      <c r="BC197" s="153">
        <f t="shared" si="223"/>
        <v>0</v>
      </c>
      <c r="BD197" s="153">
        <f t="shared" si="223"/>
        <v>0</v>
      </c>
      <c r="BE197" s="153">
        <f t="shared" si="223"/>
        <v>0</v>
      </c>
      <c r="BF197" s="153">
        <f t="shared" si="223"/>
        <v>0</v>
      </c>
      <c r="BG197" s="153">
        <f t="shared" si="223"/>
        <v>0</v>
      </c>
      <c r="BH197" s="153">
        <f t="shared" si="223"/>
        <v>0</v>
      </c>
      <c r="BI197" s="153">
        <f t="shared" si="223"/>
        <v>0</v>
      </c>
      <c r="BJ197" s="153">
        <f t="shared" si="223"/>
        <v>0</v>
      </c>
      <c r="BL197" s="153">
        <f t="shared" ref="BL197:BW197" si="224">BL$117</f>
        <v>0</v>
      </c>
      <c r="BM197" s="153">
        <f t="shared" si="224"/>
        <v>0</v>
      </c>
      <c r="BN197" s="153">
        <f t="shared" si="224"/>
        <v>0</v>
      </c>
      <c r="BO197" s="153">
        <f t="shared" si="224"/>
        <v>0</v>
      </c>
      <c r="BP197" s="153">
        <f t="shared" si="224"/>
        <v>0</v>
      </c>
      <c r="BQ197" s="153">
        <f t="shared" si="224"/>
        <v>0</v>
      </c>
      <c r="BR197" s="153">
        <f t="shared" si="224"/>
        <v>0</v>
      </c>
      <c r="BS197" s="153">
        <f t="shared" si="224"/>
        <v>0</v>
      </c>
      <c r="BT197" s="153">
        <f t="shared" si="224"/>
        <v>0</v>
      </c>
      <c r="BU197" s="153">
        <f t="shared" si="224"/>
        <v>0</v>
      </c>
      <c r="BV197" s="153">
        <f t="shared" si="224"/>
        <v>0</v>
      </c>
      <c r="BW197" s="153">
        <f t="shared" si="224"/>
        <v>0</v>
      </c>
      <c r="BY197" s="12"/>
      <c r="CA197" s="12"/>
      <c r="CB197" s="335"/>
      <c r="CD197" s="7">
        <f t="shared" si="209"/>
        <v>0</v>
      </c>
      <c r="CE197" s="7">
        <f t="shared" si="210"/>
        <v>0</v>
      </c>
      <c r="CF197" s="7">
        <f t="shared" si="211"/>
        <v>0</v>
      </c>
      <c r="CG197" s="12"/>
      <c r="CH197" s="352">
        <f t="shared" si="212"/>
        <v>0</v>
      </c>
      <c r="CI197" s="352">
        <f t="shared" si="212"/>
        <v>0</v>
      </c>
      <c r="CJ197" s="352">
        <f t="shared" si="212"/>
        <v>0</v>
      </c>
      <c r="CK197" s="352">
        <f t="shared" si="213"/>
        <v>0</v>
      </c>
      <c r="CL197" s="352">
        <f t="shared" si="214"/>
        <v>0</v>
      </c>
      <c r="CM197" s="352">
        <f t="shared" si="215"/>
        <v>0</v>
      </c>
      <c r="CN197" s="352">
        <f t="shared" si="216"/>
        <v>0</v>
      </c>
      <c r="EU197" s="335"/>
      <c r="EX197" s="13" t="str">
        <f>IF($C197="","",CONCATENATE(D$191, " ",$D197))</f>
        <v>Education-Specific EBITDA Total gifts and donated assets</v>
      </c>
    </row>
    <row r="198" spans="1:154" s="332" customFormat="1" x14ac:dyDescent="0.25">
      <c r="A198" s="362" cm="1">
        <f t="array" aca="1" ref="A198" ca="1">HYPERLINK(CONCATENATE("#",CELL("address",IF(SUM($CA198:$CG198)=0,A198,INDEX($CA198:$CG198,MATCH(1,$CA198:$CG198,0))))),SUM($CA198:$CG198))</f>
        <v>0</v>
      </c>
      <c r="C198" s="382" t="s">
        <v>894</v>
      </c>
      <c r="D198" s="334" t="s">
        <v>876</v>
      </c>
      <c r="E198" s="147"/>
      <c r="F198" s="98" t="str" cm="1">
        <f t="array" aca="1" ref="F198" ca="1">IF(E198="", "", HYPERLINK(CONCATENATE("#",CELL("address",INDEX('I&amp;E Profiles'!$D$9:$D$93,'I&amp;E Annual'!I198))),E198))</f>
        <v/>
      </c>
      <c r="G198" s="147" t="s">
        <v>211</v>
      </c>
      <c r="H198" s="9" t="s">
        <v>86</v>
      </c>
      <c r="I198" s="350" t="str">
        <f>IF(E198="", "", MATCH(E198, 'I&amp;E Profiles'!$D$96:$D$180,0))</f>
        <v/>
      </c>
      <c r="J198" s="215">
        <f>IF($G198=$G$7, W198,'I&amp;E Monthly'!W198)-SUMIFS('I&amp;E Monthly'!$AA198:$BJ198, 'I&amp;E Monthly'!$AA$3:$BJ$3, 'I&amp;E Annual'!W$3, 'I&amp;E Monthly'!$AA$4:$BJ$4, 0)</f>
        <v>0</v>
      </c>
      <c r="K198" s="215">
        <f>IF($G198=$G$7, X198,'I&amp;E Monthly'!X198)-SUMIFS('I&amp;E Monthly'!$AA198:$BJ198, 'I&amp;E Monthly'!$AA$3:$BJ$3, 'I&amp;E Annual'!X$3, 'I&amp;E Monthly'!$AA$4:$BJ$4, 0)</f>
        <v>0</v>
      </c>
      <c r="L198" s="215">
        <f>IF($G198=$G$7, Y198,'I&amp;E Monthly'!Y198)-SUMIFS('I&amp;E Monthly'!$AA198:$BJ198, 'I&amp;E Monthly'!$AA$3:$BJ$3, 'I&amp;E Annual'!Y$3, 'I&amp;E Monthly'!$AA$4:$BJ$4, 0)</f>
        <v>0</v>
      </c>
      <c r="M198" s="335"/>
      <c r="N198" s="335"/>
      <c r="O198" s="335"/>
      <c r="P198" s="335"/>
      <c r="Q198" s="2"/>
      <c r="R198" s="335"/>
      <c r="S198" s="335"/>
      <c r="T198" s="25"/>
      <c r="U198" s="25"/>
      <c r="V198" s="201">
        <f>'I&amp;E Monthly'!V198</f>
        <v>0</v>
      </c>
      <c r="W198" s="372"/>
      <c r="X198" s="198"/>
      <c r="Y198" s="198"/>
      <c r="Z198" s="335"/>
      <c r="AA198" s="153" cm="1">
        <f t="array" ref="AA198">IF(OR(AA$4=0, $G198&lt;&gt; $G$7, $E198=0), 'I&amp;E Monthly'!AA198, CHOOSE(Timeline!AA$30,$J198,$K198,$L198 )*INDEX('I&amp;E Profiles'!AA$96:AA$180,$I198))</f>
        <v>0</v>
      </c>
      <c r="AB198" s="153" cm="1">
        <f t="array" ref="AB198">IF(OR(AB$4=0, $G198&lt;&gt; $G$7, $E198=0), 'I&amp;E Monthly'!AB198, CHOOSE(Timeline!AB$30,$J198,$K198,$L198 )*INDEX('I&amp;E Profiles'!AB$96:AB$180,$I198))</f>
        <v>0</v>
      </c>
      <c r="AC198" s="153" cm="1">
        <f t="array" ref="AC198">IF(OR(AC$4=0, $G198&lt;&gt; $G$7, $E198=0), 'I&amp;E Monthly'!AC198, CHOOSE(Timeline!AC$30,$J198,$K198,$L198 )*INDEX('I&amp;E Profiles'!AC$96:AC$180,$I198))</f>
        <v>0</v>
      </c>
      <c r="AD198" s="153" cm="1">
        <f t="array" ref="AD198">IF(OR(AD$4=0, $G198&lt;&gt; $G$7, $E198=0), 'I&amp;E Monthly'!AD198, CHOOSE(Timeline!AD$30,$J198,$K198,$L198 )*INDEX('I&amp;E Profiles'!AD$96:AD$180,$I198))</f>
        <v>0</v>
      </c>
      <c r="AE198" s="153" cm="1">
        <f t="array" ref="AE198">IF(OR(AE$4=0, $G198&lt;&gt; $G$7, $E198=0), 'I&amp;E Monthly'!AE198, CHOOSE(Timeline!AE$30,$J198,$K198,$L198 )*INDEX('I&amp;E Profiles'!AE$96:AE$180,$I198))</f>
        <v>0</v>
      </c>
      <c r="AF198" s="153" cm="1">
        <f t="array" ref="AF198">IF(OR(AF$4=0, $G198&lt;&gt; $G$7, $E198=0), 'I&amp;E Monthly'!AF198, CHOOSE(Timeline!AF$30,$J198,$K198,$L198 )*INDEX('I&amp;E Profiles'!AF$96:AF$180,$I198))</f>
        <v>0</v>
      </c>
      <c r="AG198" s="153" cm="1">
        <f t="array" ref="AG198">IF(OR(AG$4=0, $G198&lt;&gt; $G$7, $E198=0), 'I&amp;E Monthly'!AG198, CHOOSE(Timeline!AG$30,$J198,$K198,$L198 )*INDEX('I&amp;E Profiles'!AG$96:AG$180,$I198))</f>
        <v>0</v>
      </c>
      <c r="AH198" s="153" cm="1">
        <f t="array" ref="AH198">IF(OR(AH$4=0, $G198&lt;&gt; $G$7, $E198=0), 'I&amp;E Monthly'!AH198, CHOOSE(Timeline!AH$30,$J198,$K198,$L198 )*INDEX('I&amp;E Profiles'!AH$96:AH$180,$I198))</f>
        <v>0</v>
      </c>
      <c r="AI198" s="153" cm="1">
        <f t="array" ref="AI198">IF(OR(AI$4=0, $G198&lt;&gt; $G$7, $E198=0), 'I&amp;E Monthly'!AI198, CHOOSE(Timeline!AI$30,$J198,$K198,$L198 )*INDEX('I&amp;E Profiles'!AI$96:AI$180,$I198))</f>
        <v>0</v>
      </c>
      <c r="AJ198" s="153" cm="1">
        <f t="array" ref="AJ198">IF(OR(AJ$4=0, $G198&lt;&gt; $G$7, $E198=0), 'I&amp;E Monthly'!AJ198, CHOOSE(Timeline!AJ$30,$J198,$K198,$L198 )*INDEX('I&amp;E Profiles'!AJ$96:AJ$180,$I198))</f>
        <v>0</v>
      </c>
      <c r="AK198" s="153" cm="1">
        <f t="array" ref="AK198">IF(OR(AK$4=0, $G198&lt;&gt; $G$7, $E198=0), 'I&amp;E Monthly'!AK198, CHOOSE(Timeline!AK$30,$J198,$K198,$L198 )*INDEX('I&amp;E Profiles'!AK$96:AK$180,$I198))</f>
        <v>0</v>
      </c>
      <c r="AL198" s="153" cm="1">
        <f t="array" ref="AL198">IF(OR(AL$4=0, $G198&lt;&gt; $G$7, $E198=0), 'I&amp;E Monthly'!AL198, CHOOSE(Timeline!AL$30,$J198,$K198,$L198 )*INDEX('I&amp;E Profiles'!AL$96:AL$180,$I198))</f>
        <v>0</v>
      </c>
      <c r="AM198" s="153" cm="1">
        <f t="array" ref="AM198">IF(OR(AM$4=0, $G198&lt;&gt; $G$7, $E198=0), 'I&amp;E Monthly'!AM198, CHOOSE(Timeline!AM$30,$J198,$K198,$L198 )*INDEX('I&amp;E Profiles'!AM$96:AM$180,$I198))</f>
        <v>0</v>
      </c>
      <c r="AN198" s="153" cm="1">
        <f t="array" ref="AN198">IF(OR(AN$4=0, $G198&lt;&gt; $G$7, $E198=0), 'I&amp;E Monthly'!AN198, CHOOSE(Timeline!AN$30,$J198,$K198,$L198 )*INDEX('I&amp;E Profiles'!AN$96:AN$180,$I198))</f>
        <v>0</v>
      </c>
      <c r="AO198" s="153" cm="1">
        <f t="array" ref="AO198">IF(OR(AO$4=0, $G198&lt;&gt; $G$7, $E198=0), 'I&amp;E Monthly'!AO198, CHOOSE(Timeline!AO$30,$J198,$K198,$L198 )*INDEX('I&amp;E Profiles'!AO$96:AO$180,$I198))</f>
        <v>0</v>
      </c>
      <c r="AP198" s="153" cm="1">
        <f t="array" ref="AP198">IF(OR(AP$4=0, $G198&lt;&gt; $G$7, $E198=0), 'I&amp;E Monthly'!AP198, CHOOSE(Timeline!AP$30,$J198,$K198,$L198 )*INDEX('I&amp;E Profiles'!AP$96:AP$180,$I198))</f>
        <v>0</v>
      </c>
      <c r="AQ198" s="153" cm="1">
        <f t="array" ref="AQ198">IF(OR(AQ$4=0, $G198&lt;&gt; $G$7, $E198=0), 'I&amp;E Monthly'!AQ198, CHOOSE(Timeline!AQ$30,$J198,$K198,$L198 )*INDEX('I&amp;E Profiles'!AQ$96:AQ$180,$I198))</f>
        <v>0</v>
      </c>
      <c r="AR198" s="153" cm="1">
        <f t="array" ref="AR198">IF(OR(AR$4=0, $G198&lt;&gt; $G$7, $E198=0), 'I&amp;E Monthly'!AR198, CHOOSE(Timeline!AR$30,$J198,$K198,$L198 )*INDEX('I&amp;E Profiles'!AR$96:AR$180,$I198))</f>
        <v>0</v>
      </c>
      <c r="AS198" s="153" cm="1">
        <f t="array" ref="AS198">IF(OR(AS$4=0, $G198&lt;&gt; $G$7, $E198=0), 'I&amp;E Monthly'!AS198, CHOOSE(Timeline!AS$30,$J198,$K198,$L198 )*INDEX('I&amp;E Profiles'!AS$96:AS$180,$I198))</f>
        <v>0</v>
      </c>
      <c r="AT198" s="153" cm="1">
        <f t="array" ref="AT198">IF(OR(AT$4=0, $G198&lt;&gt; $G$7, $E198=0), 'I&amp;E Monthly'!AT198, CHOOSE(Timeline!AT$30,$J198,$K198,$L198 )*INDEX('I&amp;E Profiles'!AT$96:AT$180,$I198))</f>
        <v>0</v>
      </c>
      <c r="AU198" s="153" cm="1">
        <f t="array" ref="AU198">IF(OR(AU$4=0, $G198&lt;&gt; $G$7, $E198=0), 'I&amp;E Monthly'!AU198, CHOOSE(Timeline!AU$30,$J198,$K198,$L198 )*INDEX('I&amp;E Profiles'!AU$96:AU$180,$I198))</f>
        <v>0</v>
      </c>
      <c r="AV198" s="153" cm="1">
        <f t="array" ref="AV198">IF(OR(AV$4=0, $G198&lt;&gt; $G$7, $E198=0), 'I&amp;E Monthly'!AV198, CHOOSE(Timeline!AV$30,$J198,$K198,$L198 )*INDEX('I&amp;E Profiles'!AV$96:AV$180,$I198))</f>
        <v>0</v>
      </c>
      <c r="AW198" s="153" cm="1">
        <f t="array" ref="AW198">IF(OR(AW$4=0, $G198&lt;&gt; $G$7, $E198=0), 'I&amp;E Monthly'!AW198, CHOOSE(Timeline!AW$30,$J198,$K198,$L198 )*INDEX('I&amp;E Profiles'!AW$96:AW$180,$I198))</f>
        <v>0</v>
      </c>
      <c r="AX198" s="153" cm="1">
        <f t="array" ref="AX198">IF(OR(AX$4=0, $G198&lt;&gt; $G$7, $E198=0), 'I&amp;E Monthly'!AX198, CHOOSE(Timeline!AX$30,$J198,$K198,$L198 )*INDEX('I&amp;E Profiles'!AX$96:AX$180,$I198))</f>
        <v>0</v>
      </c>
      <c r="AY198" s="153" cm="1">
        <f t="array" ref="AY198">IF(OR(AY$4=0, $G198&lt;&gt; $G$7, $E198=0), 'I&amp;E Monthly'!AY198, CHOOSE(Timeline!AY$30,$J198,$K198,$L198 )*INDEX('I&amp;E Profiles'!AY$96:AY$180,$I198))</f>
        <v>0</v>
      </c>
      <c r="AZ198" s="153" cm="1">
        <f t="array" ref="AZ198">IF(OR(AZ$4=0, $G198&lt;&gt; $G$7, $E198=0), 'I&amp;E Monthly'!AZ198, CHOOSE(Timeline!AZ$30,$J198,$K198,$L198 )*INDEX('I&amp;E Profiles'!AZ$96:AZ$180,$I198))</f>
        <v>0</v>
      </c>
      <c r="BA198" s="153" cm="1">
        <f t="array" ref="BA198">IF(OR(BA$4=0, $G198&lt;&gt; $G$7, $E198=0), 'I&amp;E Monthly'!BA198, CHOOSE(Timeline!BA$30,$J198,$K198,$L198 )*INDEX('I&amp;E Profiles'!BA$96:BA$180,$I198))</f>
        <v>0</v>
      </c>
      <c r="BB198" s="153" cm="1">
        <f t="array" ref="BB198">IF(OR(BB$4=0, $G198&lt;&gt; $G$7, $E198=0), 'I&amp;E Monthly'!BB198, CHOOSE(Timeline!BB$30,$J198,$K198,$L198 )*INDEX('I&amp;E Profiles'!BB$96:BB$180,$I198))</f>
        <v>0</v>
      </c>
      <c r="BC198" s="153" cm="1">
        <f t="array" ref="BC198">IF(OR(BC$4=0, $G198&lt;&gt; $G$7, $E198=0), 'I&amp;E Monthly'!BC198, CHOOSE(Timeline!BC$30,$J198,$K198,$L198 )*INDEX('I&amp;E Profiles'!BC$96:BC$180,$I198))</f>
        <v>0</v>
      </c>
      <c r="BD198" s="153" cm="1">
        <f t="array" ref="BD198">IF(OR(BD$4=0, $G198&lt;&gt; $G$7, $E198=0), 'I&amp;E Monthly'!BD198, CHOOSE(Timeline!BD$30,$J198,$K198,$L198 )*INDEX('I&amp;E Profiles'!BD$96:BD$180,$I198))</f>
        <v>0</v>
      </c>
      <c r="BE198" s="153" cm="1">
        <f t="array" ref="BE198">IF(OR(BE$4=0, $G198&lt;&gt; $G$7, $E198=0), 'I&amp;E Monthly'!BE198, CHOOSE(Timeline!BE$30,$J198,$K198,$L198 )*INDEX('I&amp;E Profiles'!BE$96:BE$180,$I198))</f>
        <v>0</v>
      </c>
      <c r="BF198" s="153" cm="1">
        <f t="array" ref="BF198">IF(OR(BF$4=0, $G198&lt;&gt; $G$7, $E198=0), 'I&amp;E Monthly'!BF198, CHOOSE(Timeline!BF$30,$J198,$K198,$L198 )*INDEX('I&amp;E Profiles'!BF$96:BF$180,$I198))</f>
        <v>0</v>
      </c>
      <c r="BG198" s="153" cm="1">
        <f t="array" ref="BG198">IF(OR(BG$4=0, $G198&lt;&gt; $G$7, $E198=0), 'I&amp;E Monthly'!BG198, CHOOSE(Timeline!BG$30,$J198,$K198,$L198 )*INDEX('I&amp;E Profiles'!BG$96:BG$180,$I198))</f>
        <v>0</v>
      </c>
      <c r="BH198" s="153" cm="1">
        <f t="array" ref="BH198">IF(OR(BH$4=0, $G198&lt;&gt; $G$7, $E198=0), 'I&amp;E Monthly'!BH198, CHOOSE(Timeline!BH$30,$J198,$K198,$L198 )*INDEX('I&amp;E Profiles'!BH$96:BH$180,$I198))</f>
        <v>0</v>
      </c>
      <c r="BI198" s="153" cm="1">
        <f t="array" ref="BI198">IF(OR(BI$4=0, $G198&lt;&gt; $G$7, $E198=0), 'I&amp;E Monthly'!BI198, CHOOSE(Timeline!BI$30,$J198,$K198,$L198 )*INDEX('I&amp;E Profiles'!BI$96:BI$180,$I198))</f>
        <v>0</v>
      </c>
      <c r="BJ198" s="153" cm="1">
        <f t="array" ref="BJ198">IF(OR(BJ$4=0, $G198&lt;&gt; $G$7, $E198=0), 'I&amp;E Monthly'!BJ198, CHOOSE(Timeline!BJ$30,$J198,$K198,$L198 )*INDEX('I&amp;E Profiles'!BJ$96:BJ$180,$I198))</f>
        <v>0</v>
      </c>
      <c r="BK198" s="335"/>
      <c r="BL198" s="13">
        <f>V198</f>
        <v>0</v>
      </c>
      <c r="BM198" s="153">
        <f>SUMIFS($AA198:$BJ198, $AA$3:$BJ$3,BM$3)</f>
        <v>0</v>
      </c>
      <c r="BN198" s="153">
        <f>SUMIFS($AA198:$BJ198, $AA$3:$BJ$3,BN$3)</f>
        <v>0</v>
      </c>
      <c r="BO198" s="153">
        <f>SUMIFS($AA198:$BJ198, $AA$3:$BJ$3,BO$3)</f>
        <v>0</v>
      </c>
      <c r="BP198" s="13">
        <f>'I&amp;E Monthly'!BP198</f>
        <v>0</v>
      </c>
      <c r="BQ198" s="13">
        <f>'I&amp;E Monthly'!BQ198</f>
        <v>0</v>
      </c>
      <c r="BR198" s="13">
        <f>'I&amp;E Monthly'!BR198</f>
        <v>0</v>
      </c>
      <c r="BS198" s="13">
        <f>'I&amp;E Monthly'!BS198</f>
        <v>0</v>
      </c>
      <c r="BT198" s="13">
        <f>'I&amp;E Monthly'!BT198</f>
        <v>0</v>
      </c>
      <c r="BU198" s="13">
        <f>'I&amp;E Monthly'!BU198</f>
        <v>0</v>
      </c>
      <c r="BV198" s="13">
        <f>'I&amp;E Monthly'!BV198</f>
        <v>0</v>
      </c>
      <c r="BW198" s="13">
        <f>'I&amp;E Monthly'!BW198</f>
        <v>0</v>
      </c>
      <c r="BX198" s="335"/>
      <c r="BY198" s="12"/>
      <c r="BZ198" s="363">
        <f ca="1">IF(MIN($V198:$BW198)&lt;0, 1, 0)*$I$7</f>
        <v>0</v>
      </c>
      <c r="CA198" s="12"/>
      <c r="CB198" s="7">
        <f>IF(AND($G198=$G$7,$E198=""), 1, 0)</f>
        <v>0</v>
      </c>
      <c r="CC198" s="188" cm="1">
        <f t="array" ref="CC198">IF(E198="",0, IF(_xlfn.IFNA(INDEX('I&amp;E Profiles'!$D$96:$D$180, $I198), "N/A")="N/A", 1, 0))</f>
        <v>0</v>
      </c>
      <c r="CD198" s="7">
        <f t="shared" si="209"/>
        <v>0</v>
      </c>
      <c r="CE198" s="7">
        <f t="shared" si="210"/>
        <v>0</v>
      </c>
      <c r="CF198" s="7">
        <f t="shared" si="211"/>
        <v>0</v>
      </c>
      <c r="CG198" s="12"/>
      <c r="CH198" s="352">
        <f t="shared" si="212"/>
        <v>0</v>
      </c>
      <c r="CI198" s="352">
        <f t="shared" si="212"/>
        <v>0</v>
      </c>
      <c r="CJ198" s="352">
        <f t="shared" si="212"/>
        <v>0</v>
      </c>
      <c r="CK198" s="352">
        <f t="shared" si="213"/>
        <v>0</v>
      </c>
      <c r="CL198" s="352">
        <f t="shared" si="214"/>
        <v>0</v>
      </c>
      <c r="CM198" s="352">
        <f t="shared" si="215"/>
        <v>0</v>
      </c>
      <c r="CN198" s="352">
        <f t="shared" si="216"/>
        <v>0</v>
      </c>
      <c r="EU198" s="335"/>
      <c r="EX198" s="10" t="str">
        <f t="shared" ref="EX198:EX204" si="225">IF($C198="","",$D198)</f>
        <v>Restructuring Facility related expenditure</v>
      </c>
    </row>
    <row r="199" spans="1:154" s="332" customFormat="1" x14ac:dyDescent="0.25">
      <c r="A199" s="362" cm="1">
        <f t="array" aca="1" ref="A199" ca="1">HYPERLINK(CONCATENATE("#",CELL("address",IF(SUM($CA199:$CG199)=0,A199,INDEX($CA199:$CG199,MATCH(1,$CA199:$CG199,0))))),SUM($CA199:$CG199))</f>
        <v>0</v>
      </c>
      <c r="C199" s="520" t="s">
        <v>893</v>
      </c>
      <c r="D199" s="74" t="s">
        <v>119</v>
      </c>
      <c r="E199" s="5"/>
      <c r="F199" s="5"/>
      <c r="G199" s="5"/>
      <c r="H199" s="5" t="s">
        <v>8</v>
      </c>
      <c r="Q199" s="2"/>
      <c r="R199" s="335"/>
      <c r="T199" s="25"/>
      <c r="U199" s="25"/>
      <c r="V199" s="152">
        <f>V193-V194+V195-V196-V197+V198</f>
        <v>0</v>
      </c>
      <c r="W199" s="152">
        <f>W193-W194+W195-W196-W197+W198</f>
        <v>0</v>
      </c>
      <c r="X199" s="152">
        <f>X193-X194+X195-X196-X197+X198</f>
        <v>0</v>
      </c>
      <c r="Y199" s="152">
        <f>Y193-Y194+Y195-Y196-Y197+Y198</f>
        <v>0</v>
      </c>
      <c r="AA199" s="152">
        <f t="shared" ref="AA199:BJ199" si="226">AA193-AA194+AA195-AA196-AA197+AA198</f>
        <v>1865</v>
      </c>
      <c r="AB199" s="152">
        <f t="shared" si="226"/>
        <v>1267</v>
      </c>
      <c r="AC199" s="152">
        <f t="shared" si="226"/>
        <v>250</v>
      </c>
      <c r="AD199" s="152">
        <f t="shared" si="226"/>
        <v>-70</v>
      </c>
      <c r="AE199" s="152">
        <f t="shared" si="226"/>
        <v>-764</v>
      </c>
      <c r="AF199" s="152">
        <f t="shared" si="226"/>
        <v>-553</v>
      </c>
      <c r="AG199" s="152">
        <f t="shared" si="226"/>
        <v>-580</v>
      </c>
      <c r="AH199" s="152">
        <f t="shared" si="226"/>
        <v>-784</v>
      </c>
      <c r="AI199" s="152">
        <f t="shared" si="226"/>
        <v>1368</v>
      </c>
      <c r="AJ199" s="152">
        <f t="shared" si="226"/>
        <v>398</v>
      </c>
      <c r="AK199" s="152">
        <f t="shared" si="226"/>
        <v>415</v>
      </c>
      <c r="AL199" s="152">
        <f t="shared" si="226"/>
        <v>-780</v>
      </c>
      <c r="AM199" s="152">
        <f t="shared" si="226"/>
        <v>2123</v>
      </c>
      <c r="AN199" s="152">
        <f t="shared" si="226"/>
        <v>1251</v>
      </c>
      <c r="AO199" s="152">
        <f t="shared" si="226"/>
        <v>246</v>
      </c>
      <c r="AP199" s="152">
        <f t="shared" si="226"/>
        <v>-301</v>
      </c>
      <c r="AQ199" s="152">
        <f t="shared" si="226"/>
        <v>-767</v>
      </c>
      <c r="AR199" s="152">
        <f t="shared" si="226"/>
        <v>-452</v>
      </c>
      <c r="AS199" s="152">
        <f t="shared" si="226"/>
        <v>-828</v>
      </c>
      <c r="AT199" s="152">
        <f t="shared" si="226"/>
        <v>-795</v>
      </c>
      <c r="AU199" s="152">
        <f t="shared" si="226"/>
        <v>1607</v>
      </c>
      <c r="AV199" s="152">
        <f t="shared" si="226"/>
        <v>505</v>
      </c>
      <c r="AW199" s="152">
        <f t="shared" si="226"/>
        <v>106</v>
      </c>
      <c r="AX199" s="152">
        <f t="shared" si="226"/>
        <v>-645</v>
      </c>
      <c r="AY199" s="152">
        <f t="shared" si="226"/>
        <v>2171.7483333333334</v>
      </c>
      <c r="AZ199" s="152">
        <f t="shared" si="226"/>
        <v>1268.3566666666661</v>
      </c>
      <c r="BA199" s="152">
        <f t="shared" si="226"/>
        <v>255.48833333333278</v>
      </c>
      <c r="BB199" s="152">
        <f t="shared" si="226"/>
        <v>-306.61333333333323</v>
      </c>
      <c r="BC199" s="152">
        <f t="shared" si="226"/>
        <v>-784.53</v>
      </c>
      <c r="BD199" s="152">
        <f t="shared" si="226"/>
        <v>-458.22999999999979</v>
      </c>
      <c r="BE199" s="152">
        <f t="shared" si="226"/>
        <v>-846.74166666666702</v>
      </c>
      <c r="BF199" s="152">
        <f t="shared" si="226"/>
        <v>-808.5183333333332</v>
      </c>
      <c r="BG199" s="152">
        <f t="shared" si="226"/>
        <v>1662.378333333334</v>
      </c>
      <c r="BH199" s="152">
        <f t="shared" si="226"/>
        <v>555.06833333333361</v>
      </c>
      <c r="BI199" s="152">
        <f t="shared" si="226"/>
        <v>117.19333333333361</v>
      </c>
      <c r="BJ199" s="152">
        <f t="shared" si="226"/>
        <v>-651.79000000000042</v>
      </c>
      <c r="BL199" s="152">
        <f t="shared" ref="BL199:BW199" si="227">BL193-BL194+BL195-BL196-BL197+BL198</f>
        <v>0</v>
      </c>
      <c r="BM199" s="152">
        <f t="shared" si="227"/>
        <v>2032</v>
      </c>
      <c r="BN199" s="152">
        <f t="shared" si="227"/>
        <v>2050</v>
      </c>
      <c r="BO199" s="152">
        <f t="shared" si="227"/>
        <v>2173.8100000000013</v>
      </c>
      <c r="BP199" s="152">
        <f t="shared" si="227"/>
        <v>0</v>
      </c>
      <c r="BQ199" s="152">
        <f t="shared" si="227"/>
        <v>0</v>
      </c>
      <c r="BR199" s="152">
        <f t="shared" si="227"/>
        <v>0</v>
      </c>
      <c r="BS199" s="152">
        <f t="shared" si="227"/>
        <v>0</v>
      </c>
      <c r="BT199" s="152">
        <f t="shared" si="227"/>
        <v>0</v>
      </c>
      <c r="BU199" s="152">
        <f t="shared" si="227"/>
        <v>0</v>
      </c>
      <c r="BV199" s="152">
        <f t="shared" si="227"/>
        <v>0</v>
      </c>
      <c r="BW199" s="152">
        <f t="shared" si="227"/>
        <v>0</v>
      </c>
      <c r="BY199" s="12"/>
      <c r="CA199" s="12"/>
      <c r="CB199" s="335"/>
      <c r="CD199" s="7">
        <f t="shared" si="209"/>
        <v>0</v>
      </c>
      <c r="CE199" s="7">
        <f t="shared" si="210"/>
        <v>0</v>
      </c>
      <c r="CF199" s="7">
        <f t="shared" si="211"/>
        <v>0</v>
      </c>
      <c r="CG199" s="12"/>
      <c r="CH199" s="352">
        <f t="shared" si="212"/>
        <v>0</v>
      </c>
      <c r="CI199" s="352">
        <f t="shared" si="212"/>
        <v>0</v>
      </c>
      <c r="CJ199" s="352">
        <f t="shared" si="212"/>
        <v>0</v>
      </c>
      <c r="CK199" s="352">
        <f t="shared" si="213"/>
        <v>0</v>
      </c>
      <c r="CL199" s="352">
        <f t="shared" si="214"/>
        <v>0</v>
      </c>
      <c r="CM199" s="352">
        <f t="shared" si="215"/>
        <v>0</v>
      </c>
      <c r="CN199" s="352">
        <f t="shared" si="216"/>
        <v>0</v>
      </c>
      <c r="EU199" s="335"/>
      <c r="EX199" s="10" t="str">
        <f t="shared" si="225"/>
        <v>Education-specific EBITDA</v>
      </c>
    </row>
    <row r="200" spans="1:154" ht="8.1" customHeight="1" x14ac:dyDescent="0.25">
      <c r="A200" s="335"/>
      <c r="C200" s="380"/>
      <c r="E200" s="25"/>
      <c r="F200" s="25"/>
      <c r="G200" s="25"/>
      <c r="I200" s="25"/>
      <c r="Q200" s="2"/>
      <c r="R200" s="335"/>
      <c r="S200" s="327"/>
      <c r="T200" s="25"/>
      <c r="U200" s="25"/>
      <c r="V200" s="25"/>
      <c r="W200" s="25"/>
      <c r="X200" s="25"/>
      <c r="Y200" s="25"/>
      <c r="Z200" s="327"/>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327"/>
      <c r="BL200" s="25"/>
      <c r="BM200" s="155"/>
      <c r="BN200" s="25"/>
      <c r="BO200" s="25"/>
      <c r="BP200" s="25"/>
      <c r="BQ200" s="25"/>
      <c r="BR200" s="25"/>
      <c r="BS200" s="25"/>
      <c r="BT200" s="25"/>
      <c r="BU200" s="25"/>
      <c r="BV200" s="25"/>
      <c r="BW200" s="25"/>
      <c r="BY200" s="42"/>
      <c r="CA200" s="42"/>
      <c r="CG200" s="42"/>
      <c r="CM200" s="335"/>
      <c r="EX200" s="10" t="str">
        <f t="shared" si="225"/>
        <v/>
      </c>
    </row>
    <row r="201" spans="1:154" s="5" customFormat="1" ht="15.75" x14ac:dyDescent="0.3">
      <c r="A201" s="335"/>
      <c r="B201" s="479" t="s">
        <v>335</v>
      </c>
      <c r="D201" s="74" t="s">
        <v>938</v>
      </c>
      <c r="Q201" s="2"/>
      <c r="R201" s="335"/>
      <c r="S201" s="328"/>
      <c r="T201" s="25"/>
      <c r="U201" s="25"/>
      <c r="V201" s="153">
        <f>'I&amp;E Monthly'!V$202</f>
        <v>0</v>
      </c>
      <c r="W201" s="153">
        <f>'I&amp;E Monthly'!W$202</f>
        <v>1</v>
      </c>
      <c r="X201" s="153">
        <f>'I&amp;E Monthly'!X$202</f>
        <v>1</v>
      </c>
      <c r="Y201" s="153">
        <f>'I&amp;E Monthly'!Y$202</f>
        <v>1</v>
      </c>
      <c r="Z201" s="328"/>
      <c r="AA201" s="153">
        <f>'I&amp;E Monthly'!AA$202</f>
        <v>1</v>
      </c>
      <c r="AB201" s="153">
        <f>'I&amp;E Monthly'!AB$202</f>
        <v>1</v>
      </c>
      <c r="AC201" s="153">
        <f>'I&amp;E Monthly'!AC$202</f>
        <v>1</v>
      </c>
      <c r="AD201" s="153">
        <f>'I&amp;E Monthly'!AD$202</f>
        <v>1</v>
      </c>
      <c r="AE201" s="153">
        <f>'I&amp;E Monthly'!AE$202</f>
        <v>1</v>
      </c>
      <c r="AF201" s="153">
        <f>'I&amp;E Monthly'!AF$202</f>
        <v>1</v>
      </c>
      <c r="AG201" s="153">
        <f>'I&amp;E Monthly'!AG$202</f>
        <v>1</v>
      </c>
      <c r="AH201" s="153">
        <f>'I&amp;E Monthly'!AH$202</f>
        <v>1</v>
      </c>
      <c r="AI201" s="153">
        <f>'I&amp;E Monthly'!AI$202</f>
        <v>1</v>
      </c>
      <c r="AJ201" s="153">
        <f>'I&amp;E Monthly'!AJ$202</f>
        <v>1</v>
      </c>
      <c r="AK201" s="153">
        <f>'I&amp;E Monthly'!AK$202</f>
        <v>1</v>
      </c>
      <c r="AL201" s="153">
        <f>'I&amp;E Monthly'!AL$202</f>
        <v>1</v>
      </c>
      <c r="AM201" s="153">
        <f>'I&amp;E Monthly'!AM$202</f>
        <v>1</v>
      </c>
      <c r="AN201" s="153">
        <f>'I&amp;E Monthly'!AN$202</f>
        <v>1</v>
      </c>
      <c r="AO201" s="153">
        <f>'I&amp;E Monthly'!AO$202</f>
        <v>1</v>
      </c>
      <c r="AP201" s="153">
        <f>'I&amp;E Monthly'!AP$202</f>
        <v>1</v>
      </c>
      <c r="AQ201" s="153">
        <f>'I&amp;E Monthly'!AQ$202</f>
        <v>1</v>
      </c>
      <c r="AR201" s="153">
        <f>'I&amp;E Monthly'!AR$202</f>
        <v>1</v>
      </c>
      <c r="AS201" s="153">
        <f>'I&amp;E Monthly'!AS$202</f>
        <v>1</v>
      </c>
      <c r="AT201" s="153">
        <f>'I&amp;E Monthly'!AT$202</f>
        <v>1</v>
      </c>
      <c r="AU201" s="153">
        <f>'I&amp;E Monthly'!AU$202</f>
        <v>1</v>
      </c>
      <c r="AV201" s="153">
        <f>'I&amp;E Monthly'!AV$202</f>
        <v>1</v>
      </c>
      <c r="AW201" s="153">
        <f>'I&amp;E Monthly'!AW$202</f>
        <v>1</v>
      </c>
      <c r="AX201" s="153">
        <f>'I&amp;E Monthly'!AX$202</f>
        <v>1</v>
      </c>
      <c r="AY201" s="153">
        <f>'I&amp;E Monthly'!AY$202</f>
        <v>1</v>
      </c>
      <c r="AZ201" s="153">
        <f>'I&amp;E Monthly'!AZ$202</f>
        <v>1</v>
      </c>
      <c r="BA201" s="153">
        <f>'I&amp;E Monthly'!BA$202</f>
        <v>1</v>
      </c>
      <c r="BB201" s="153">
        <f>'I&amp;E Monthly'!BB$202</f>
        <v>1</v>
      </c>
      <c r="BC201" s="153">
        <f>'I&amp;E Monthly'!BC$202</f>
        <v>1</v>
      </c>
      <c r="BD201" s="153">
        <f>'I&amp;E Monthly'!BD$202</f>
        <v>1</v>
      </c>
      <c r="BE201" s="153">
        <f>'I&amp;E Monthly'!BE$202</f>
        <v>1</v>
      </c>
      <c r="BF201" s="153">
        <f>'I&amp;E Monthly'!BF$202</f>
        <v>1</v>
      </c>
      <c r="BG201" s="153">
        <f>'I&amp;E Monthly'!BG$202</f>
        <v>1</v>
      </c>
      <c r="BH201" s="153">
        <f>'I&amp;E Monthly'!BH$202</f>
        <v>1</v>
      </c>
      <c r="BI201" s="153">
        <f>'I&amp;E Monthly'!BI$202</f>
        <v>1</v>
      </c>
      <c r="BJ201" s="153">
        <f>'I&amp;E Monthly'!BJ$202</f>
        <v>1</v>
      </c>
      <c r="BK201" s="328"/>
      <c r="BL201" s="153">
        <f>'I&amp;E Monthly'!BL$202</f>
        <v>0</v>
      </c>
      <c r="BM201" s="153">
        <f>'I&amp;E Monthly'!BM$202</f>
        <v>1</v>
      </c>
      <c r="BN201" s="153">
        <f>'I&amp;E Monthly'!BN$202</f>
        <v>1</v>
      </c>
      <c r="BO201" s="153">
        <f>'I&amp;E Monthly'!BO$202</f>
        <v>1</v>
      </c>
      <c r="BP201" s="153">
        <f>'I&amp;E Monthly'!BP$202</f>
        <v>0</v>
      </c>
      <c r="BQ201" s="153">
        <f>'I&amp;E Monthly'!BQ$202</f>
        <v>0</v>
      </c>
      <c r="BR201" s="153">
        <f>'I&amp;E Monthly'!BR$202</f>
        <v>0</v>
      </c>
      <c r="BS201" s="153">
        <f>'I&amp;E Monthly'!BS$202</f>
        <v>0</v>
      </c>
      <c r="BT201" s="153">
        <f>'I&amp;E Monthly'!BT$202</f>
        <v>0</v>
      </c>
      <c r="BU201" s="153">
        <f>'I&amp;E Monthly'!BU$202</f>
        <v>0</v>
      </c>
      <c r="BV201" s="153">
        <f>'I&amp;E Monthly'!BV$202</f>
        <v>0</v>
      </c>
      <c r="BW201" s="153">
        <f>'I&amp;E Monthly'!BW$202</f>
        <v>0</v>
      </c>
      <c r="BY201" s="12"/>
      <c r="BZ201" s="335"/>
      <c r="CA201" s="12"/>
      <c r="CB201" s="335"/>
      <c r="CC201" s="335"/>
      <c r="CD201" s="335"/>
      <c r="CE201" s="335"/>
      <c r="CF201" s="335"/>
      <c r="CG201" s="12"/>
      <c r="EX201" s="10" t="str">
        <f>IF($B201="","",$D201)</f>
        <v xml:space="preserve">I&amp;E inputs flag </v>
      </c>
    </row>
    <row r="202" spans="1:154" s="335" customFormat="1" ht="8.1" customHeight="1" x14ac:dyDescent="0.25">
      <c r="C202" s="380"/>
      <c r="D202" s="69"/>
      <c r="E202" s="25"/>
      <c r="F202" s="25"/>
      <c r="G202" s="25"/>
      <c r="I202" s="25"/>
      <c r="T202" s="25"/>
      <c r="U202" s="25"/>
      <c r="V202" s="25"/>
      <c r="W202" s="25"/>
      <c r="X202" s="25"/>
      <c r="Y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L202" s="25"/>
      <c r="BM202" s="155"/>
      <c r="BN202" s="25"/>
      <c r="BO202" s="25"/>
      <c r="BP202" s="25"/>
      <c r="BQ202" s="25"/>
      <c r="BR202" s="25"/>
      <c r="BS202" s="25"/>
      <c r="BT202" s="25"/>
      <c r="BU202" s="25"/>
      <c r="BV202" s="25"/>
      <c r="BW202" s="25"/>
      <c r="BY202" s="42"/>
      <c r="CA202" s="42"/>
      <c r="CG202" s="42"/>
      <c r="EX202" s="10" t="str">
        <f t="shared" si="225"/>
        <v/>
      </c>
    </row>
    <row r="203" spans="1:154" s="327" customFormat="1" ht="8.1" customHeight="1" x14ac:dyDescent="0.25">
      <c r="A203" s="335"/>
      <c r="C203" s="380"/>
      <c r="D203" s="69"/>
      <c r="E203" s="25"/>
      <c r="F203" s="25"/>
      <c r="G203" s="25"/>
      <c r="H203" s="335"/>
      <c r="I203" s="25"/>
      <c r="Q203" s="335"/>
      <c r="T203" s="25"/>
      <c r="U203" s="25"/>
      <c r="V203" s="25"/>
      <c r="W203" s="25"/>
      <c r="X203" s="25"/>
      <c r="Y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L203" s="25"/>
      <c r="BM203" s="155"/>
      <c r="BN203" s="25"/>
      <c r="BO203" s="25"/>
      <c r="BP203" s="25"/>
      <c r="BQ203" s="25"/>
      <c r="BR203" s="25"/>
      <c r="BS203" s="25"/>
      <c r="BT203" s="25"/>
      <c r="BU203" s="25"/>
      <c r="BV203" s="25"/>
      <c r="BW203" s="25"/>
      <c r="BY203" s="42"/>
      <c r="CA203" s="42"/>
      <c r="CB203" s="335"/>
      <c r="CD203" s="335"/>
      <c r="CE203" s="335"/>
      <c r="CF203" s="335"/>
      <c r="CG203" s="42"/>
      <c r="CH203" s="335"/>
      <c r="CI203" s="335"/>
      <c r="CJ203" s="335"/>
      <c r="CK203" s="335"/>
      <c r="CL203" s="335"/>
      <c r="CM203" s="335"/>
      <c r="EU203" s="335"/>
      <c r="EX203" s="10" t="str">
        <f t="shared" si="225"/>
        <v/>
      </c>
    </row>
    <row r="204" spans="1:154" x14ac:dyDescent="0.25">
      <c r="A204" s="12" t="s">
        <v>88</v>
      </c>
      <c r="B204" s="12" t="s">
        <v>88</v>
      </c>
      <c r="C204" s="384" t="s">
        <v>88</v>
      </c>
      <c r="D204" s="28" t="s">
        <v>88</v>
      </c>
      <c r="E204" s="12" t="s">
        <v>88</v>
      </c>
      <c r="F204" s="12" t="s">
        <v>88</v>
      </c>
      <c r="G204" s="12" t="s">
        <v>88</v>
      </c>
      <c r="H204" s="12" t="s">
        <v>88</v>
      </c>
      <c r="I204" s="12" t="s">
        <v>88</v>
      </c>
      <c r="J204" s="12" t="s">
        <v>88</v>
      </c>
      <c r="K204" s="12" t="s">
        <v>88</v>
      </c>
      <c r="L204" s="12" t="s">
        <v>88</v>
      </c>
      <c r="M204" s="12" t="s">
        <v>88</v>
      </c>
      <c r="N204" s="12" t="s">
        <v>88</v>
      </c>
      <c r="O204" s="12" t="s">
        <v>88</v>
      </c>
      <c r="P204" s="12" t="s">
        <v>88</v>
      </c>
      <c r="Q204" s="12" t="s">
        <v>88</v>
      </c>
      <c r="R204" s="12" t="s">
        <v>88</v>
      </c>
      <c r="S204" s="12" t="s">
        <v>88</v>
      </c>
      <c r="T204" s="12" t="s">
        <v>88</v>
      </c>
      <c r="U204" s="12" t="s">
        <v>88</v>
      </c>
      <c r="V204" s="12" t="s">
        <v>88</v>
      </c>
      <c r="W204" s="12" t="s">
        <v>88</v>
      </c>
      <c r="X204" s="12" t="s">
        <v>88</v>
      </c>
      <c r="Y204" s="12" t="s">
        <v>88</v>
      </c>
      <c r="Z204" s="12" t="s">
        <v>88</v>
      </c>
      <c r="AA204" s="12" t="s">
        <v>88</v>
      </c>
      <c r="AB204" s="12" t="s">
        <v>88</v>
      </c>
      <c r="AC204" s="12" t="s">
        <v>88</v>
      </c>
      <c r="AD204" s="12" t="s">
        <v>88</v>
      </c>
      <c r="AE204" s="12" t="s">
        <v>88</v>
      </c>
      <c r="AF204" s="12" t="s">
        <v>88</v>
      </c>
      <c r="AG204" s="12" t="s">
        <v>88</v>
      </c>
      <c r="AH204" s="12" t="s">
        <v>88</v>
      </c>
      <c r="AI204" s="12" t="s">
        <v>88</v>
      </c>
      <c r="AJ204" s="12" t="s">
        <v>88</v>
      </c>
      <c r="AK204" s="12" t="s">
        <v>88</v>
      </c>
      <c r="AL204" s="12" t="s">
        <v>88</v>
      </c>
      <c r="AM204" s="12" t="s">
        <v>88</v>
      </c>
      <c r="AN204" s="12" t="s">
        <v>88</v>
      </c>
      <c r="AO204" s="12" t="s">
        <v>88</v>
      </c>
      <c r="AP204" s="12" t="s">
        <v>88</v>
      </c>
      <c r="AQ204" s="12" t="s">
        <v>88</v>
      </c>
      <c r="AR204" s="12" t="s">
        <v>88</v>
      </c>
      <c r="AS204" s="12" t="s">
        <v>88</v>
      </c>
      <c r="AT204" s="12" t="s">
        <v>88</v>
      </c>
      <c r="AU204" s="12" t="s">
        <v>88</v>
      </c>
      <c r="AV204" s="12" t="s">
        <v>88</v>
      </c>
      <c r="AW204" s="12" t="s">
        <v>88</v>
      </c>
      <c r="AX204" s="12" t="s">
        <v>88</v>
      </c>
      <c r="AY204" s="12" t="s">
        <v>88</v>
      </c>
      <c r="AZ204" s="12" t="s">
        <v>88</v>
      </c>
      <c r="BA204" s="12" t="s">
        <v>88</v>
      </c>
      <c r="BB204" s="12" t="s">
        <v>88</v>
      </c>
      <c r="BC204" s="12" t="s">
        <v>88</v>
      </c>
      <c r="BD204" s="12" t="s">
        <v>88</v>
      </c>
      <c r="BE204" s="12" t="s">
        <v>88</v>
      </c>
      <c r="BF204" s="12" t="s">
        <v>88</v>
      </c>
      <c r="BG204" s="12" t="s">
        <v>88</v>
      </c>
      <c r="BH204" s="12" t="s">
        <v>88</v>
      </c>
      <c r="BI204" s="12" t="s">
        <v>88</v>
      </c>
      <c r="BJ204" s="12" t="s">
        <v>88</v>
      </c>
      <c r="BK204" s="12" t="s">
        <v>88</v>
      </c>
      <c r="BL204" s="12" t="s">
        <v>88</v>
      </c>
      <c r="BM204" s="12" t="s">
        <v>88</v>
      </c>
      <c r="BN204" s="12" t="s">
        <v>88</v>
      </c>
      <c r="BO204" s="12" t="s">
        <v>88</v>
      </c>
      <c r="BP204" s="12" t="s">
        <v>88</v>
      </c>
      <c r="BQ204" s="12" t="s">
        <v>88</v>
      </c>
      <c r="BR204" s="12" t="s">
        <v>88</v>
      </c>
      <c r="BS204" s="12" t="s">
        <v>88</v>
      </c>
      <c r="BT204" s="12" t="s">
        <v>88</v>
      </c>
      <c r="BU204" s="12" t="s">
        <v>88</v>
      </c>
      <c r="BV204" s="12" t="s">
        <v>88</v>
      </c>
      <c r="BW204" s="12" t="s">
        <v>88</v>
      </c>
      <c r="BX204" s="12" t="s">
        <v>88</v>
      </c>
      <c r="BY204" s="12" t="s">
        <v>88</v>
      </c>
      <c r="BZ204" s="12" t="s">
        <v>88</v>
      </c>
      <c r="CA204" s="12" t="s">
        <v>88</v>
      </c>
      <c r="CB204" s="12"/>
      <c r="CC204" s="12" t="s">
        <v>88</v>
      </c>
      <c r="CD204" s="12"/>
      <c r="CE204" s="12"/>
      <c r="CF204" s="12"/>
      <c r="CG204" s="12" t="s">
        <v>88</v>
      </c>
      <c r="CM204" s="335"/>
      <c r="EX204" s="10" t="str">
        <f t="shared" si="225"/>
        <v>*</v>
      </c>
    </row>
    <row r="205" spans="1:154" x14ac:dyDescent="0.25">
      <c r="A205" s="335"/>
      <c r="B205" s="335"/>
      <c r="C205" s="335"/>
      <c r="E205" s="25"/>
      <c r="F205" s="25"/>
      <c r="G205" s="25"/>
      <c r="H205" s="335"/>
      <c r="I205" s="25"/>
      <c r="J205" s="335"/>
      <c r="K205" s="335"/>
      <c r="L205" s="335"/>
      <c r="M205" s="335"/>
      <c r="N205" s="335"/>
      <c r="O205" s="335"/>
      <c r="P205" s="335"/>
      <c r="Q205" s="335"/>
      <c r="R205" s="335"/>
      <c r="S205" s="335"/>
      <c r="T205" s="25"/>
      <c r="U205" s="25"/>
      <c r="V205" s="25"/>
      <c r="W205" s="25"/>
      <c r="X205" s="25"/>
      <c r="Y205" s="25"/>
      <c r="Z205" s="33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335"/>
      <c r="BL205" s="25"/>
      <c r="BM205" s="25"/>
      <c r="BN205" s="25"/>
      <c r="BO205" s="25"/>
      <c r="BP205" s="25"/>
      <c r="BQ205" s="25"/>
      <c r="BR205" s="25"/>
      <c r="BS205" s="25"/>
      <c r="BT205" s="25"/>
      <c r="BU205" s="25"/>
      <c r="BV205" s="25"/>
      <c r="BW205" s="25"/>
      <c r="BX205" s="335"/>
      <c r="BZ205" s="335"/>
      <c r="CA205" s="335"/>
      <c r="CC205" s="335"/>
      <c r="CG205" s="335"/>
    </row>
  </sheetData>
  <sheetProtection algorithmName="SHA-512" hashValue="7i9CrwSz+VhO/4vGfnvHh3x8oAAB1t4ObyEKi0fKXsaBvv/emG77+C56n5MsR2G0fn2Fcq6LRk4QyYK8uCrHuw==" saltValue="bv07S2XxYvZk2TbeNEDzwQ==" spinCount="100000" sheet="1" objects="1" scenarios="1"/>
  <mergeCells count="15">
    <mergeCell ref="CD2:CD6"/>
    <mergeCell ref="CN2:CN6"/>
    <mergeCell ref="BY1:BY6"/>
    <mergeCell ref="CH2:CH6"/>
    <mergeCell ref="CI2:CI6"/>
    <mergeCell ref="CJ2:CJ6"/>
    <mergeCell ref="CM2:CM6"/>
    <mergeCell ref="CL2:CL6"/>
    <mergeCell ref="CK2:CK6"/>
    <mergeCell ref="CA1:CA6"/>
    <mergeCell ref="CG1:CG6"/>
    <mergeCell ref="CF2:CF6"/>
    <mergeCell ref="CE2:CE6"/>
    <mergeCell ref="CB2:CB6"/>
    <mergeCell ref="CC2:CC6"/>
  </mergeCells>
  <phoneticPr fontId="9" type="noConversion"/>
  <conditionalFormatting sqref="CB53:CC59 CB11:CC14 CB101:CC106 CB71:CC83 CB110:CC112">
    <cfRule type="cellIs" dxfId="1648" priority="540" operator="equal">
      <formula>0</formula>
    </cfRule>
    <cfRule type="cellIs" dxfId="1647" priority="541" operator="equal">
      <formula>1</formula>
    </cfRule>
  </conditionalFormatting>
  <conditionalFormatting sqref="AA1:BJ1">
    <cfRule type="expression" dxfId="1646" priority="477">
      <formula>AND(AA$4=0,AB$4=1)</formula>
    </cfRule>
  </conditionalFormatting>
  <conditionalFormatting sqref="A53:A61 A110:A111 A12:A16 A101:A107 A71:A77 A81:A84 A113">
    <cfRule type="cellIs" dxfId="1645" priority="475" operator="equal">
      <formula>0</formula>
    </cfRule>
    <cfRule type="cellIs" dxfId="1644" priority="476" operator="greaterThan">
      <formula>0</formula>
    </cfRule>
  </conditionalFormatting>
  <conditionalFormatting sqref="A1">
    <cfRule type="cellIs" dxfId="1643" priority="447" operator="equal">
      <formula>0</formula>
    </cfRule>
    <cfRule type="cellIs" dxfId="1642" priority="448" operator="greaterThan">
      <formula>0</formula>
    </cfRule>
  </conditionalFormatting>
  <conditionalFormatting sqref="AB203:BJ203">
    <cfRule type="expression" dxfId="1641" priority="394">
      <formula>AND(AB$4=0,AC$4=1)</formula>
    </cfRule>
  </conditionalFormatting>
  <conditionalFormatting sqref="AB190:BJ197 AB199:BJ199">
    <cfRule type="expression" dxfId="1640" priority="393">
      <formula>AND(AB$4=0,AC$4=1)</formula>
    </cfRule>
  </conditionalFormatting>
  <conditionalFormatting sqref="AB191:BJ191">
    <cfRule type="expression" dxfId="1639" priority="392">
      <formula>AND(AB$4=0,AC$4=1)</formula>
    </cfRule>
  </conditionalFormatting>
  <conditionalFormatting sqref="AB192:BJ192">
    <cfRule type="expression" dxfId="1638" priority="385">
      <formula>AND(AB$4=0,AC$4=1)</formula>
    </cfRule>
  </conditionalFormatting>
  <conditionalFormatting sqref="CC198 CC181:CC182 CC172 CC169 CC154 CC137:CC146 CC131:CC133 CC122:CC129 CC87:CC97 CC68 CC64:CC66 CC61 CC50 CC41:CC48 CC38 CC32:CC36 CC29 CC19:CC27 CC16 CC115 CC148:CC150">
    <cfRule type="cellIs" dxfId="1637" priority="375" operator="equal">
      <formula>0</formula>
    </cfRule>
    <cfRule type="cellIs" dxfId="1636" priority="376" operator="equal">
      <formula>1</formula>
    </cfRule>
  </conditionalFormatting>
  <conditionalFormatting sqref="CB198:CC198 CB181:CC182 CB172:CC172 CB169:CC169 CB154:CC154 CB137:CC146 CB131:CC133 CB122:CC129 CB87:CC97 CB68:CC68 CB64:CC66 CB61:CC61 CB50:CC50 CB41:CC48 CB38:CC38 CB32:CC36 CB29:CC29 CB19:CC27 CB16:CC16 CB115:CC115 CB148:CC150">
    <cfRule type="cellIs" dxfId="1635" priority="377" operator="equal">
      <formula>0</formula>
    </cfRule>
    <cfRule type="cellIs" dxfId="1634" priority="378" operator="equal">
      <formula>1</formula>
    </cfRule>
  </conditionalFormatting>
  <conditionalFormatting sqref="AB186:BJ186">
    <cfRule type="expression" dxfId="1633" priority="315">
      <formula>AND(AB$4=0,AC$4=1)</formula>
    </cfRule>
  </conditionalFormatting>
  <conditionalFormatting sqref="AB184:BJ184">
    <cfRule type="expression" dxfId="1632" priority="310">
      <formula>AND(AB$4=0,AC$4=1)</formula>
    </cfRule>
  </conditionalFormatting>
  <conditionalFormatting sqref="CH110:CN111 CH53:CN59 CH101:CN106 CH71:CN77 CH81:CN83 CH11:CN14">
    <cfRule type="cellIs" dxfId="1631" priority="302" operator="lessThan">
      <formula>0</formula>
    </cfRule>
    <cfRule type="cellIs" dxfId="1630" priority="303" operator="greaterThan">
      <formula>0</formula>
    </cfRule>
    <cfRule type="cellIs" dxfId="1629" priority="304" operator="equal">
      <formula>0</formula>
    </cfRule>
  </conditionalFormatting>
  <conditionalFormatting sqref="AA203">
    <cfRule type="expression" dxfId="1628" priority="244">
      <formula>AND(AA$4=0,AB$4=1)</formula>
    </cfRule>
  </conditionalFormatting>
  <conditionalFormatting sqref="AA190:AA197 AA199">
    <cfRule type="expression" dxfId="1627" priority="243">
      <formula>AND(AA$4=0,AB$4=1)</formula>
    </cfRule>
  </conditionalFormatting>
  <conditionalFormatting sqref="AA191">
    <cfRule type="expression" dxfId="1626" priority="242">
      <formula>AND(AA$4=0,AB$4=1)</formula>
    </cfRule>
  </conditionalFormatting>
  <conditionalFormatting sqref="AA192">
    <cfRule type="expression" dxfId="1625" priority="241">
      <formula>AND(AA$4=0,AB$4=1)</formula>
    </cfRule>
  </conditionalFormatting>
  <conditionalFormatting sqref="AA186">
    <cfRule type="expression" dxfId="1624" priority="240">
      <formula>AND(AA$4=0,AB$4=1)</formula>
    </cfRule>
  </conditionalFormatting>
  <conditionalFormatting sqref="AA184">
    <cfRule type="expression" dxfId="1623" priority="239">
      <formula>AND(AA$4=0,AB$4=1)</formula>
    </cfRule>
  </conditionalFormatting>
  <conditionalFormatting sqref="CH14:CK14">
    <cfRule type="cellIs" dxfId="1622" priority="236" operator="lessThan">
      <formula>0</formula>
    </cfRule>
    <cfRule type="cellIs" dxfId="1621" priority="237" operator="greaterThan">
      <formula>0</formula>
    </cfRule>
    <cfRule type="cellIs" dxfId="1620" priority="238" operator="equal">
      <formula>0</formula>
    </cfRule>
  </conditionalFormatting>
  <conditionalFormatting sqref="CL14">
    <cfRule type="cellIs" dxfId="1619" priority="233" operator="lessThan">
      <formula>0</formula>
    </cfRule>
    <cfRule type="cellIs" dxfId="1618" priority="234" operator="greaterThan">
      <formula>0</formula>
    </cfRule>
    <cfRule type="cellIs" dxfId="1617" priority="235" operator="equal">
      <formula>0</formula>
    </cfRule>
  </conditionalFormatting>
  <conditionalFormatting sqref="CM14">
    <cfRule type="cellIs" dxfId="1616" priority="230" operator="lessThan">
      <formula>0</formula>
    </cfRule>
    <cfRule type="cellIs" dxfId="1615" priority="231" operator="greaterThan">
      <formula>0</formula>
    </cfRule>
    <cfRule type="cellIs" dxfId="1614" priority="232" operator="equal">
      <formula>0</formula>
    </cfRule>
  </conditionalFormatting>
  <conditionalFormatting sqref="CN14">
    <cfRule type="cellIs" dxfId="1613" priority="224" operator="lessThan">
      <formula>0</formula>
    </cfRule>
    <cfRule type="cellIs" dxfId="1612" priority="225" operator="greaterThan">
      <formula>0</formula>
    </cfRule>
    <cfRule type="cellIs" dxfId="1611" priority="226" operator="equal">
      <formula>0</formula>
    </cfRule>
  </conditionalFormatting>
  <conditionalFormatting sqref="CH193:CK198 CH178:CK182 CH168:CK172 CH162:CK163 CH154:CK155 CH137:CK146 CH122:CK133 CH115:CK116 CH87:CK97 CH68:CK68 CH64:CK66 CH61:CK61 CH50:CK50 CH41:CK48 CH38:CK38 CH32:CK36 CH29:CK29 CH16:CK16 CH187:CK187 CH19:CK27 CK188 CH148:CK150">
    <cfRule type="cellIs" dxfId="1610" priority="221" operator="lessThan">
      <formula>0</formula>
    </cfRule>
    <cfRule type="cellIs" dxfId="1609" priority="222" operator="greaterThan">
      <formula>0</formula>
    </cfRule>
    <cfRule type="cellIs" dxfId="1608" priority="223" operator="equal">
      <formula>0</formula>
    </cfRule>
  </conditionalFormatting>
  <conditionalFormatting sqref="CL193:CL198 CL187:CL188 CL178:CL182 CL168:CL172 CL162:CL163 CL154:CL155 CL137:CL146 CL122:CL133 CL115:CL116 CL87:CL97 CL68 CL64:CL66 CL61 CL50 CL41:CL48 CL38 CL32:CL36 CL29 CL19:CL27 CL16 CL148:CL150">
    <cfRule type="cellIs" dxfId="1607" priority="218" operator="lessThan">
      <formula>0</formula>
    </cfRule>
    <cfRule type="cellIs" dxfId="1606" priority="219" operator="greaterThan">
      <formula>0</formula>
    </cfRule>
    <cfRule type="cellIs" dxfId="1605" priority="220" operator="equal">
      <formula>0</formula>
    </cfRule>
  </conditionalFormatting>
  <conditionalFormatting sqref="CM193:CM198 CM187:CM188 CM178:CM182 CM168:CM172 CM162:CM163 CM154:CM155 CM137:CM146 CM122:CM133 CM115:CM116 CM87:CM97 CM68 CM64:CM66 CM61 CM50 CM41:CM48 CM38 CM32:CM36 CM29 CM19:CM27 CM16 CM148:CM150">
    <cfRule type="cellIs" dxfId="1604" priority="215" operator="lessThan">
      <formula>0</formula>
    </cfRule>
    <cfRule type="cellIs" dxfId="1603" priority="216" operator="greaterThan">
      <formula>0</formula>
    </cfRule>
    <cfRule type="cellIs" dxfId="1602" priority="217" operator="equal">
      <formula>0</formula>
    </cfRule>
  </conditionalFormatting>
  <conditionalFormatting sqref="CN193:CN198 CN187:CN188 CN178:CN182 CN168:CN172 CN162:CN163 CN154:CN155 CN137:CN146 CN122:CN133 CN115:CN116 CN87:CN97 CN68 CN64:CN66 CN61 CN50 CN41:CN48 CN38 CN32:CN36 CN29 CN19:CN27 CN16 CN148:CN150">
    <cfRule type="cellIs" dxfId="1601" priority="212" operator="lessThan">
      <formula>0</formula>
    </cfRule>
    <cfRule type="cellIs" dxfId="1600" priority="213" operator="greaterThan">
      <formula>0</formula>
    </cfRule>
    <cfRule type="cellIs" dxfId="1599" priority="214" operator="equal">
      <formula>0</formula>
    </cfRule>
  </conditionalFormatting>
  <conditionalFormatting sqref="CH199:CK199 CH189:CK189 CH185:CK185 CH183:CK183 CH175:CK175 CH173:CK173 CH165:CK165 CH160:CK160 CH158:CK158 CH156:CK156 CH151:CK151 CH134:CK134 CH119:CK119 CH117:CK117 CH113:CK113 CH107:CK107 CH98:CK98 CH84:CK84 CH67:CK67 CH60:CK60 CH49:CK49 CH37:CK37 CH28:CK28 CH15:CK15">
    <cfRule type="cellIs" dxfId="1598" priority="209" operator="lessThan">
      <formula>0</formula>
    </cfRule>
    <cfRule type="cellIs" dxfId="1597" priority="210" operator="greaterThan">
      <formula>0</formula>
    </cfRule>
    <cfRule type="cellIs" dxfId="1596" priority="211" operator="equal">
      <formula>0</formula>
    </cfRule>
  </conditionalFormatting>
  <conditionalFormatting sqref="CL199 CL189 CL185 CL183 CL175 CL173 CL165 CL160 CL158 CL156 CL151 CL134 CL119 CL117 CL113 CL107 CL98 CL84 CL67 CL60 CL49 CL37 CL28 CL15">
    <cfRule type="cellIs" dxfId="1595" priority="206" operator="lessThan">
      <formula>0</formula>
    </cfRule>
    <cfRule type="cellIs" dxfId="1594" priority="207" operator="greaterThan">
      <formula>0</formula>
    </cfRule>
    <cfRule type="cellIs" dxfId="1593" priority="208" operator="equal">
      <formula>0</formula>
    </cfRule>
  </conditionalFormatting>
  <conditionalFormatting sqref="CM199 CM189 CM185 CM183 CM175 CM173 CM165 CM160 CM158 CM156 CM151 CM134 CM119 CM117 CM113 CM107 CM98 CM84 CM67 CM60 CM49 CM37 CM28 CM15">
    <cfRule type="cellIs" dxfId="1592" priority="203" operator="lessThan">
      <formula>0</formula>
    </cfRule>
    <cfRule type="cellIs" dxfId="1591" priority="204" operator="greaterThan">
      <formula>0</formula>
    </cfRule>
    <cfRule type="cellIs" dxfId="1590" priority="205" operator="equal">
      <formula>0</formula>
    </cfRule>
  </conditionalFormatting>
  <conditionalFormatting sqref="CN199 CN189 CN185 CN183 CN175 CN173 CN165 CN160 CN158 CN156 CN151 CN134 CN119 CN117 CN113 CN107 CN98 CN84 CN67 CN60 CN49 CN37 CN28 CN15">
    <cfRule type="cellIs" dxfId="1589" priority="200" operator="lessThan">
      <formula>0</formula>
    </cfRule>
    <cfRule type="cellIs" dxfId="1588" priority="201" operator="greaterThan">
      <formula>0</formula>
    </cfRule>
    <cfRule type="cellIs" dxfId="1587" priority="202" operator="equal">
      <formula>0</formula>
    </cfRule>
  </conditionalFormatting>
  <conditionalFormatting sqref="A11">
    <cfRule type="cellIs" dxfId="1586" priority="190" operator="equal">
      <formula>0</formula>
    </cfRule>
    <cfRule type="cellIs" dxfId="1585" priority="191" operator="greaterThan">
      <formula>0</formula>
    </cfRule>
  </conditionalFormatting>
  <conditionalFormatting sqref="A193:A199 A187:A189 A185 A178:A183 A175 A168:A173 A165 A162:A163 A160 A158 A154:A156 A137:A146 A122:A134 A119 A115:A117 A87:A98 A64:A68 A41:A50 A32:A38 A19:A29 A148:A151">
    <cfRule type="cellIs" dxfId="1584" priority="188" operator="equal">
      <formula>0</formula>
    </cfRule>
    <cfRule type="cellIs" dxfId="1583" priority="189" operator="greaterThan">
      <formula>0</formula>
    </cfRule>
  </conditionalFormatting>
  <conditionalFormatting sqref="BZ53:BZ61 BZ110:BZ111 BZ11:BZ16 BZ101:BZ107 BZ71:BZ77 BZ81:BZ84 BZ113">
    <cfRule type="cellIs" dxfId="1582" priority="185" operator="equal">
      <formula>1</formula>
    </cfRule>
    <cfRule type="cellIs" dxfId="1581" priority="186" operator="equal">
      <formula>0</formula>
    </cfRule>
  </conditionalFormatting>
  <conditionalFormatting sqref="BZ12">
    <cfRule type="cellIs" dxfId="1580" priority="181" operator="equal">
      <formula>1</formula>
    </cfRule>
    <cfRule type="cellIs" dxfId="1579" priority="182" operator="equal">
      <formula>0</formula>
    </cfRule>
  </conditionalFormatting>
  <conditionalFormatting sqref="BZ198 BZ181 BZ172 BZ169 BZ154:BZ156 BZ137:BZ146 BZ131:BZ133 BZ122:BZ129 BZ119 BZ115:BZ117 BZ87:BZ98 BZ64:BZ68 BZ41:BZ50 BZ32:BZ38 BZ19:BZ29 BZ148:BZ151">
    <cfRule type="cellIs" dxfId="1578" priority="179" operator="equal">
      <formula>1</formula>
    </cfRule>
    <cfRule type="cellIs" dxfId="1577" priority="180" operator="equal">
      <formula>0</formula>
    </cfRule>
  </conditionalFormatting>
  <conditionalFormatting sqref="BZ2">
    <cfRule type="cellIs" dxfId="1576" priority="173" operator="greaterThan">
      <formula>0</formula>
    </cfRule>
    <cfRule type="cellIs" dxfId="1575" priority="174" operator="equal">
      <formula>0</formula>
    </cfRule>
  </conditionalFormatting>
  <conditionalFormatting sqref="BZ11">
    <cfRule type="cellIs" dxfId="1574" priority="171" operator="equal">
      <formula>1</formula>
    </cfRule>
    <cfRule type="cellIs" dxfId="1573" priority="172" operator="equal">
      <formula>0</formula>
    </cfRule>
  </conditionalFormatting>
  <conditionalFormatting sqref="CH188">
    <cfRule type="cellIs" dxfId="1572" priority="168" operator="lessThan">
      <formula>0</formula>
    </cfRule>
    <cfRule type="cellIs" dxfId="1571" priority="169" operator="greaterThan">
      <formula>0</formula>
    </cfRule>
    <cfRule type="cellIs" dxfId="1570" priority="170" operator="equal">
      <formula>0</formula>
    </cfRule>
  </conditionalFormatting>
  <conditionalFormatting sqref="CI188:CJ188">
    <cfRule type="cellIs" dxfId="1569" priority="165" operator="lessThan">
      <formula>0</formula>
    </cfRule>
    <cfRule type="cellIs" dxfId="1568" priority="166" operator="greaterThan">
      <formula>0</formula>
    </cfRule>
    <cfRule type="cellIs" dxfId="1567" priority="167" operator="equal">
      <formula>0</formula>
    </cfRule>
  </conditionalFormatting>
  <conditionalFormatting sqref="CH147:CK147">
    <cfRule type="cellIs" dxfId="1566" priority="162" operator="lessThan">
      <formula>0</formula>
    </cfRule>
    <cfRule type="cellIs" dxfId="1565" priority="163" operator="greaterThan">
      <formula>0</formula>
    </cfRule>
    <cfRule type="cellIs" dxfId="1564" priority="164" operator="equal">
      <formula>0</formula>
    </cfRule>
  </conditionalFormatting>
  <conditionalFormatting sqref="CL147">
    <cfRule type="cellIs" dxfId="1563" priority="159" operator="lessThan">
      <formula>0</formula>
    </cfRule>
    <cfRule type="cellIs" dxfId="1562" priority="160" operator="greaterThan">
      <formula>0</formula>
    </cfRule>
    <cfRule type="cellIs" dxfId="1561" priority="161" operator="equal">
      <formula>0</formula>
    </cfRule>
  </conditionalFormatting>
  <conditionalFormatting sqref="CM147">
    <cfRule type="cellIs" dxfId="1560" priority="156" operator="lessThan">
      <formula>0</formula>
    </cfRule>
    <cfRule type="cellIs" dxfId="1559" priority="157" operator="greaterThan">
      <formula>0</formula>
    </cfRule>
    <cfRule type="cellIs" dxfId="1558" priority="158" operator="equal">
      <formula>0</formula>
    </cfRule>
  </conditionalFormatting>
  <conditionalFormatting sqref="CN147">
    <cfRule type="cellIs" dxfId="1557" priority="153" operator="lessThan">
      <formula>0</formula>
    </cfRule>
    <cfRule type="cellIs" dxfId="1556" priority="154" operator="greaterThan">
      <formula>0</formula>
    </cfRule>
    <cfRule type="cellIs" dxfId="1555" priority="155" operator="equal">
      <formula>0</formula>
    </cfRule>
  </conditionalFormatting>
  <conditionalFormatting sqref="A147">
    <cfRule type="cellIs" dxfId="1554" priority="149" operator="equal">
      <formula>0</formula>
    </cfRule>
    <cfRule type="cellIs" dxfId="1553" priority="150" operator="greaterThan">
      <formula>0</formula>
    </cfRule>
  </conditionalFormatting>
  <conditionalFormatting sqref="CC182">
    <cfRule type="cellIs" dxfId="1552" priority="145" operator="equal">
      <formula>0</formula>
    </cfRule>
    <cfRule type="cellIs" dxfId="1551" priority="146" operator="equal">
      <formula>1</formula>
    </cfRule>
  </conditionalFormatting>
  <conditionalFormatting sqref="CB182:CC182">
    <cfRule type="cellIs" dxfId="1550" priority="147" operator="equal">
      <formula>0</formula>
    </cfRule>
    <cfRule type="cellIs" dxfId="1549" priority="148" operator="equal">
      <formula>1</formula>
    </cfRule>
  </conditionalFormatting>
  <conditionalFormatting sqref="CH182:CK182">
    <cfRule type="cellIs" dxfId="1548" priority="142" operator="lessThan">
      <formula>0</formula>
    </cfRule>
    <cfRule type="cellIs" dxfId="1547" priority="143" operator="greaterThan">
      <formula>0</formula>
    </cfRule>
    <cfRule type="cellIs" dxfId="1546" priority="144" operator="equal">
      <formula>0</formula>
    </cfRule>
  </conditionalFormatting>
  <conditionalFormatting sqref="CL182">
    <cfRule type="cellIs" dxfId="1545" priority="139" operator="lessThan">
      <formula>0</formula>
    </cfRule>
    <cfRule type="cellIs" dxfId="1544" priority="140" operator="greaterThan">
      <formula>0</formula>
    </cfRule>
    <cfRule type="cellIs" dxfId="1543" priority="141" operator="equal">
      <formula>0</formula>
    </cfRule>
  </conditionalFormatting>
  <conditionalFormatting sqref="CM182">
    <cfRule type="cellIs" dxfId="1542" priority="136" operator="lessThan">
      <formula>0</formula>
    </cfRule>
    <cfRule type="cellIs" dxfId="1541" priority="137" operator="greaterThan">
      <formula>0</formula>
    </cfRule>
    <cfRule type="cellIs" dxfId="1540" priority="138" operator="equal">
      <formula>0</formula>
    </cfRule>
  </conditionalFormatting>
  <conditionalFormatting sqref="CN182">
    <cfRule type="cellIs" dxfId="1539" priority="133" operator="lessThan">
      <formula>0</formula>
    </cfRule>
    <cfRule type="cellIs" dxfId="1538" priority="134" operator="greaterThan">
      <formula>0</formula>
    </cfRule>
    <cfRule type="cellIs" dxfId="1537" priority="135" operator="equal">
      <formula>0</formula>
    </cfRule>
  </conditionalFormatting>
  <conditionalFormatting sqref="A182">
    <cfRule type="cellIs" dxfId="1536" priority="129" operator="equal">
      <formula>0</formula>
    </cfRule>
    <cfRule type="cellIs" dxfId="1535" priority="130" operator="greaterThan">
      <formula>0</formula>
    </cfRule>
  </conditionalFormatting>
  <conditionalFormatting sqref="AB202:BJ202">
    <cfRule type="expression" dxfId="1534" priority="126">
      <formula>AND(AB$4=0,AC$4=1)</formula>
    </cfRule>
  </conditionalFormatting>
  <conditionalFormatting sqref="AA202">
    <cfRule type="expression" dxfId="1533" priority="125">
      <formula>AND(AA$4=0,AB$4=1)</formula>
    </cfRule>
  </conditionalFormatting>
  <conditionalFormatting sqref="A78">
    <cfRule type="cellIs" dxfId="1532" priority="60" operator="equal">
      <formula>0</formula>
    </cfRule>
    <cfRule type="cellIs" dxfId="1531" priority="61" operator="greaterThan">
      <formula>0</formula>
    </cfRule>
  </conditionalFormatting>
  <conditionalFormatting sqref="CH78:CN78">
    <cfRule type="cellIs" dxfId="1530" priority="57" operator="lessThan">
      <formula>0</formula>
    </cfRule>
    <cfRule type="cellIs" dxfId="1529" priority="58" operator="greaterThan">
      <formula>0</formula>
    </cfRule>
    <cfRule type="cellIs" dxfId="1528" priority="59" operator="equal">
      <formula>0</formula>
    </cfRule>
  </conditionalFormatting>
  <conditionalFormatting sqref="BZ78">
    <cfRule type="cellIs" dxfId="1527" priority="55" operator="equal">
      <formula>1</formula>
    </cfRule>
    <cfRule type="cellIs" dxfId="1526" priority="56" operator="equal">
      <formula>0</formula>
    </cfRule>
  </conditionalFormatting>
  <conditionalFormatting sqref="A79">
    <cfRule type="cellIs" dxfId="1525" priority="51" operator="equal">
      <formula>0</formula>
    </cfRule>
    <cfRule type="cellIs" dxfId="1524" priority="52" operator="greaterThan">
      <formula>0</formula>
    </cfRule>
  </conditionalFormatting>
  <conditionalFormatting sqref="CH79:CN79">
    <cfRule type="cellIs" dxfId="1523" priority="48" operator="lessThan">
      <formula>0</formula>
    </cfRule>
    <cfRule type="cellIs" dxfId="1522" priority="49" operator="greaterThan">
      <formula>0</formula>
    </cfRule>
    <cfRule type="cellIs" dxfId="1521" priority="50" operator="equal">
      <formula>0</formula>
    </cfRule>
  </conditionalFormatting>
  <conditionalFormatting sqref="BZ79">
    <cfRule type="cellIs" dxfId="1520" priority="46" operator="equal">
      <formula>1</formula>
    </cfRule>
    <cfRule type="cellIs" dxfId="1519" priority="47" operator="equal">
      <formula>0</formula>
    </cfRule>
  </conditionalFormatting>
  <conditionalFormatting sqref="A80">
    <cfRule type="cellIs" dxfId="1518" priority="42" operator="equal">
      <formula>0</formula>
    </cfRule>
    <cfRule type="cellIs" dxfId="1517" priority="43" operator="greaterThan">
      <formula>0</formula>
    </cfRule>
  </conditionalFormatting>
  <conditionalFormatting sqref="CH80:CN80">
    <cfRule type="cellIs" dxfId="1516" priority="39" operator="lessThan">
      <formula>0</formula>
    </cfRule>
    <cfRule type="cellIs" dxfId="1515" priority="40" operator="greaterThan">
      <formula>0</formula>
    </cfRule>
    <cfRule type="cellIs" dxfId="1514" priority="41" operator="equal">
      <formula>0</formula>
    </cfRule>
  </conditionalFormatting>
  <conditionalFormatting sqref="BZ80">
    <cfRule type="cellIs" dxfId="1513" priority="37" operator="equal">
      <formula>1</formula>
    </cfRule>
    <cfRule type="cellIs" dxfId="1512" priority="38" operator="equal">
      <formula>0</formula>
    </cfRule>
  </conditionalFormatting>
  <conditionalFormatting sqref="A112">
    <cfRule type="cellIs" dxfId="1511" priority="33" operator="equal">
      <formula>0</formula>
    </cfRule>
    <cfRule type="cellIs" dxfId="1510" priority="34" operator="greaterThan">
      <formula>0</formula>
    </cfRule>
  </conditionalFormatting>
  <conditionalFormatting sqref="CH112:CN112">
    <cfRule type="cellIs" dxfId="1509" priority="30" operator="lessThan">
      <formula>0</formula>
    </cfRule>
    <cfRule type="cellIs" dxfId="1508" priority="31" operator="greaterThan">
      <formula>0</formula>
    </cfRule>
    <cfRule type="cellIs" dxfId="1507" priority="32" operator="equal">
      <formula>0</formula>
    </cfRule>
  </conditionalFormatting>
  <conditionalFormatting sqref="BZ112">
    <cfRule type="cellIs" dxfId="1506" priority="28" operator="equal">
      <formula>1</formula>
    </cfRule>
    <cfRule type="cellIs" dxfId="1505" priority="29" operator="equal">
      <formula>0</formula>
    </cfRule>
  </conditionalFormatting>
  <conditionalFormatting sqref="CH13:CK13 CI14">
    <cfRule type="cellIs" dxfId="1504" priority="25" operator="lessThan">
      <formula>0</formula>
    </cfRule>
    <cfRule type="cellIs" dxfId="1503" priority="26" operator="greaterThan">
      <formula>0</formula>
    </cfRule>
    <cfRule type="cellIs" dxfId="1502" priority="27" operator="equal">
      <formula>0</formula>
    </cfRule>
  </conditionalFormatting>
  <conditionalFormatting sqref="CL13">
    <cfRule type="cellIs" dxfId="1501" priority="22" operator="lessThan">
      <formula>0</formula>
    </cfRule>
    <cfRule type="cellIs" dxfId="1500" priority="23" operator="greaterThan">
      <formula>0</formula>
    </cfRule>
    <cfRule type="cellIs" dxfId="1499" priority="24" operator="equal">
      <formula>0</formula>
    </cfRule>
  </conditionalFormatting>
  <conditionalFormatting sqref="CM13">
    <cfRule type="cellIs" dxfId="1498" priority="19" operator="lessThan">
      <formula>0</formula>
    </cfRule>
    <cfRule type="cellIs" dxfId="1497" priority="20" operator="greaterThan">
      <formula>0</formula>
    </cfRule>
    <cfRule type="cellIs" dxfId="1496" priority="21" operator="equal">
      <formula>0</formula>
    </cfRule>
  </conditionalFormatting>
  <conditionalFormatting sqref="CH11:CK12">
    <cfRule type="cellIs" dxfId="1495" priority="16" operator="lessThan">
      <formula>0</formula>
    </cfRule>
    <cfRule type="cellIs" dxfId="1494" priority="17" operator="greaterThan">
      <formula>0</formula>
    </cfRule>
    <cfRule type="cellIs" dxfId="1493" priority="18" operator="equal">
      <formula>0</formula>
    </cfRule>
  </conditionalFormatting>
  <conditionalFormatting sqref="CL11:CL12">
    <cfRule type="cellIs" dxfId="1492" priority="13" operator="lessThan">
      <formula>0</formula>
    </cfRule>
    <cfRule type="cellIs" dxfId="1491" priority="14" operator="greaterThan">
      <formula>0</formula>
    </cfRule>
    <cfRule type="cellIs" dxfId="1490" priority="15" operator="equal">
      <formula>0</formula>
    </cfRule>
  </conditionalFormatting>
  <conditionalFormatting sqref="CM11:CM12">
    <cfRule type="cellIs" dxfId="1489" priority="10" operator="lessThan">
      <formula>0</formula>
    </cfRule>
    <cfRule type="cellIs" dxfId="1488" priority="11" operator="greaterThan">
      <formula>0</formula>
    </cfRule>
    <cfRule type="cellIs" dxfId="1487" priority="12" operator="equal">
      <formula>0</formula>
    </cfRule>
  </conditionalFormatting>
  <conditionalFormatting sqref="A2">
    <cfRule type="cellIs" dxfId="1486" priority="8" operator="equal">
      <formula>0</formula>
    </cfRule>
    <cfRule type="cellIs" dxfId="1485" priority="9" operator="greaterThan">
      <formula>0</formula>
    </cfRule>
  </conditionalFormatting>
  <conditionalFormatting sqref="CD11:CF16 CD101:CF107 CD110:CF113 CD115:CF117 CD193:CF199 CD187:CF189 CD185:CF185 CD178:CF183 CD175:CF175 CD168:CF173 CD165:CF165 CD162:CF163 CD160:CF160 CD158:CF158 CD154:CF156 CD137:CF151 CD122:CF134 CD119:CF119 CD19:CF29 CD32:CF38 CD41:CF50 CD53:CF61 CD64:CF68 CD71:CF84 CD87:CF98">
    <cfRule type="cellIs" dxfId="1484" priority="4" operator="equal">
      <formula>0</formula>
    </cfRule>
    <cfRule type="cellIs" dxfId="1483" priority="5" operator="greaterThan">
      <formula>0</formula>
    </cfRule>
  </conditionalFormatting>
  <dataValidations xWindow="564" yWindow="396" count="45">
    <dataValidation allowBlank="1" showInputMessage="1" promptTitle="Selected Profile Name" prompt="The selected Profile name should match the respective name on the 'I&amp;E Inputs_profiles' sheet._x000a__x000a_If the inputed name has changed on the 'I&amp;E Profiles' sheet, it must be reselected from the dropdown menu in column E." sqref="CC7" xr:uid="{85D9816D-36D6-4626-8BA7-126F452B1C37}"/>
    <dataValidation allowBlank="1" showInputMessage="1" promptTitle="I&amp;E profiling formula" prompt="If the &quot;Annual&quot; option is selected in column G, the formula applies the selected I&amp;E profile to the annual amount to calculate monthly forecasts. Actuals are taken from &quot;I&amp;E Monthly&quot;._x000a__x000a_If &quot;Monthly&quot; is selected, data is taken from &quot;I&amp;E Monthly&quot;." sqref="AA7" xr:uid="{DF71C78F-C814-4ADB-B7CF-7A4281418DAB}"/>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69" xr:uid="{4E66B265-732E-46A6-B675-FF27214197E2}"/>
    <dataValidation allowBlank="1" showInputMessage="1" promptTitle="Other operating expenditure" prompt="This could include one-off costs ahead of merger." sqref="B146" xr:uid="{1F4DBA20-D128-45D9-8EB5-F30787A24E6E}"/>
    <dataValidation allowBlank="1" showInputMessage="1" promptTitle="Bad debt provision costs" prompt="This is the value of debts provided for in the period." sqref="B145" xr:uid="{D17B6794-7DCB-4242-86D1-3589DC89E8A5}"/>
    <dataValidation allowBlank="1" showInputMessage="1" promptTitle="Operational &amp; maintenance cost" prompt="To include, e.g. heating, lighting, cleaning, caretaking, water charges, security, insurance, waste disposal and national non-domestic rates. From a maintenance perspective, this could include unblocking drains, repairing breakages and planned maintenance" sqref="B140" xr:uid="{DDBFDBE8-33E8-4C15-84E1-51DB2016037F}"/>
    <dataValidation allowBlank="1" showInputMessage="1" promptTitle="Administration Costs" prompt="To include, for example, IT, professional fees, insurance premiums, travel and subsistence, recruitment and bank charges." sqref="B139" xr:uid="{963100B3-9EB0-451C-9CC8-272B338596CC}"/>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38" xr:uid="{FE0F4C6F-02F8-420F-8D87-2C748EEA31A9}"/>
    <dataValidation allowBlank="1" showInputMessage="1" promptTitle="Teaching costs" prompt="To include, for example, materials, consumables, equipment, training functions such as hairdressing, marketing, prison contracts and partnership." sqref="B137" xr:uid="{3955D0C0-579C-41D5-88D8-8F7F9AF950BB}"/>
    <dataValidation allowBlank="1" showInputMessage="1" promptTitle="Other Staff Costs" prompt="To include, for example, marketing staff and exam officers." sqref="B129" xr:uid="{D43BAD5F-19CD-44F6-B25C-60707CDA4303}"/>
    <dataValidation allowBlank="1" showInputMessage="1" promptTitle="Commercial Staff costs" prompt="To include staff costs from income generating activities such as catering, creche, farming, residences and conferences." sqref="B127" xr:uid="{91B412E1-1F7C-4162-9D4B-DC81D5EDCD02}"/>
    <dataValidation allowBlank="1" showInputMessage="1" promptTitle="Operational &amp; maintenance staff" prompt="To include, for example, cleaning, caretaking and security staff, maintenance staff and health and safety officers." sqref="B126" xr:uid="{F97D3433-76C0-4D96-9D1A-320CB100A5CD}"/>
    <dataValidation allowBlank="1" showInputMessage="1" promptTitle="Administration staff" prompt="To include, for example, finance, HR, timetabling and data entry staff." sqref="B125" xr:uid="{3552DD5E-D455-4DAE-A626-E8BF80CBAFA4}"/>
    <dataValidation allowBlank="1" showInputMessage="1" promptTitle="Teaching and other support staff" prompt="To include, for example, library staff, learning support staff, college nurses, welfare officers, recreation tutors, careers officers and counsellors." sqref="B124" xr:uid="{4047A72C-267A-4559-94F1-0F7AC5CA51B3}"/>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23" xr:uid="{32C35E17-4155-4467-913F-D4B04B51547A}"/>
    <dataValidation allowBlank="1" showInputMessage="1" promptTitle="Teaching Staff" prompt="To include basic pay costs, overtime, other allowances and additions, employer pension costs and employer NI cost." sqref="B122" xr:uid="{D747472C-1240-4FA9-902D-6EC8C1AD16BE}"/>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115" xr:uid="{FD579665-84BA-4EB3-A8EA-FF931A8C05C1}"/>
    <dataValidation allowBlank="1" showInputMessage="1" promptTitle="Endowment income" prompt="To include income from endowments as defined in the FE/HE SORP." sqref="B102" xr:uid="{92C11F51-C021-4026-A43C-7B17957E650C}"/>
    <dataValidation allowBlank="1" showInputMessage="1" promptTitle="Other income from non-learning" prompt="To include miscellaneous income, for example VAT recovered if recorded separately in the accounts." sqref="B101" xr:uid="{A50D60CB-0A33-483F-9945-CAD5A9D3BD3E}"/>
    <dataValidation allowBlank="1" showInputMessage="1" promptTitle="Other European Funding" prompt="Colleges receiving funds (from European structural funds) before incurring costs should recognise a current liability for the unspent proportion of the grant." sqref="B65" xr:uid="{B1157CAD-4D3A-4C4F-839C-77F1AEE0E77E}"/>
    <dataValidation allowBlank="1" showInputMessage="1" promptTitle="Subcontracted in HE" prompt="To include income from HE institutions for the provision of higher education courses." sqref="B59" xr:uid="{4BAD7C65-5374-42D5-94D5-0CC35114E869}"/>
    <dataValidation allowBlank="1" showInputMessage="1" promptTitle="OfS Grants" prompt="To include income received directly from OfS for prescribed HE, including that transferred from ESFA." sqref="B54" xr:uid="{D77E7922-8B89-42BF-83B4-FA93157BDC89}"/>
    <dataValidation allowBlank="1" showInputMessage="1" promptTitle="AEB Procured - ESFA" prompt="This line should be used for funding associated with the standalone procured AEB contracts that were awarded from July 2017 onwards." sqref="B42" xr:uid="{C0D64AA7-8FA7-44F3-B5E4-0D910F54263B}"/>
    <dataValidation allowBlank="1" showInputMessage="1" promptTitle="AEB Funding - Devolv Authorities" prompt="AEB clawbacks / reconciliation to be entered via the 'BS Inputs'" sqref="B43" xr:uid="{DBF3171C-7873-4172-87A7-CA7828DA9279}"/>
    <dataValidation allowBlank="1" showInputMessage="1" promptTitle="AEB Grant - ESFA" prompt="AEB clawbacks / reconciliation to be entered via the 'BS Inputs'" sqref="B41" xr:uid="{54ECE7AF-23A1-4765-B34F-DB47DE2BFE9A}"/>
    <dataValidation allowBlank="1" showInputMessage="1" promptTitle="Subcontracted in Apprenticeships" prompt="Including from other Training Providers." sqref="B36" xr:uid="{78ED00A3-AEEB-432F-BBFE-C90FADE11C91}"/>
    <dataValidation allowBlank="1" showInputMessage="1" promptTitle="Other Funding" prompt="To include income from local authorities and schools for 14-19 partnerships." sqref="B23" xr:uid="{35B6A7A5-9ED3-44B1-82DD-0040EF3CF9E5}"/>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20" xr:uid="{A0CE393A-C7AF-4936-8B6E-3E4D600E9A52}"/>
    <dataValidation allowBlank="1" showInputMessage="1" promptTitle="ESFA 16-19 programme funding" prompt="Includes care standards funding, condition of funding reduction and transitional protection/formula protection funding." sqref="B19" xr:uid="{DD042B58-5006-4C6D-9A06-0DBF504EA6A9}"/>
    <dataValidation allowBlank="1" showInputMessage="1" promptTitle="Other operating expenditure" prompt="Per FRS102, LGPS employer contributions must be replaced with current service costs, past service costs, curtailments and settlements in staff costs" sqref="B130 B147" xr:uid="{C15CF6E7-18E8-470B-827E-0E46D772CEC5}"/>
    <dataValidation allowBlank="1" showInputMessage="1" promptTitle="FRS102 adj." prompt="Per FRS102, LGPS employer contributions must be replaced with current service costs, past service costs, curtailments and settlements in staff costs" sqref="B130 B147" xr:uid="{1C17C7C4-B16F-4B30-8FF5-DB1E049A96EA}"/>
    <dataValidation allowBlank="1" showInputMessage="1" promptTitle="Selected Profile Name" prompt="The selected Profile name should match the respective name on the 'I&amp;E Profiles' sheet._x000a__x000a_If the inputed name has changed on the 'I&amp;E Profiles' sheet, it must be reselected from the dropdown menu here." sqref="E7" xr:uid="{99F1AC9D-450E-407C-ACC7-6F0498BFFD98}"/>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Error flag will be triggered." sqref="CC7" xr:uid="{C8D02503-A60D-4536-85C9-EB70C262DBD0}"/>
    <dataValidation allowBlank="1" showInputMessage="1" promptTitle="Previous Year Reconciliation" prompt="Checks if the previous year amount on the 4 Year timeline (column V) = Previous year amount on the 12 Year timeline (column BL)._x000a__x000a_Refer to Differences section (column CM) in case of error flags." sqref="CF7" xr:uid="{46EABE54-5A64-4E8C-86FB-5F760AC438B6}"/>
    <dataValidation allowBlank="1" showInputMessage="1" promptTitle="Reconciliation to 12 year " prompt="Checks if the monthly amounts = annual amounts on the 12 Year timeline._x000a__x000a_Refer to Differences section (columns CK - CM) in case of flags." sqref="CE7" xr:uid="{5F6A9E27-0958-4503-949B-9813A3F22F0F}"/>
    <dataValidation allowBlank="1" showInputMessage="1" promptTitle="Reconciliation to 12 year " prompt="Checks if the monthly amounts = annual amounts on the 4 Year timeline._x000a__x000a_This check is only applied to line items set to &quot;Annual&quot; via the dropdown menu in column G. Refer to Differences section (columns CH- CJ) in case of error flags." sqref="CD7" xr:uid="{3AFC462F-1381-4780-B985-47CAC1100233}"/>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BZ7" xr:uid="{CE1365EF-31F2-4310-AF92-9A17463646E5}"/>
    <dataValidation allowBlank="1" showInputMessage="1" promptTitle="Year 1 Forecast" prompt="The formula calculates the total forecasted amount for year 1 (excl. any actuals). _x000a__x000a_This is used for applying I&amp;E profiles to forecasts if the &quot;Annual&quot; I&amp;E forecast option is selected." sqref="J7" xr:uid="{FA78D8A4-E889-49DE-8EE1-072005282E8A}"/>
    <dataValidation allowBlank="1" showInputMessage="1" promptTitle="Year 2 Forecast" prompt="The formula calculates the total forecasted amount for year 2 (excl. any actuals). _x000a__x000a_This is used for applying I&amp;E profiles to forecasts if the &quot;Annual&quot; I&amp;E forecast option is selected." sqref="K7" xr:uid="{AE437261-2FB7-458C-B3E6-45044A6E8E25}"/>
    <dataValidation allowBlank="1" showInputMessage="1" promptTitle="Year 3 Forecast" prompt="The formula calculates the total forecasted amount for year 3 (excl. any actuals). _x000a__x000a_This is used for applying I&amp;E profiles to forecasts if the &quot;Annual&quot; I&amp;E forecast option is selected." sqref="L7" xr:uid="{308754E8-6724-44CC-A7AF-5372D5FBE8C1}"/>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check will be triggered." sqref="CB7" xr:uid="{5B7A74B8-D803-4711-9F1E-9ECAD5854707}"/>
    <dataValidation allowBlank="1" showInputMessage="1" promptTitle="International students fees" prompt="Fees for provision delivered in the UK to international students" sqref="B73" xr:uid="{3A021C3E-D0DC-4A15-8551-5F2DB120E29E}"/>
    <dataValidation allowBlank="1" showInputMessage="1" promptTitle="Full cost provision" prompt="Excludes HE and provision to international students" sqref="B71" xr:uid="{9682E50E-510A-4754-A69F-39586F2677D4}"/>
    <dataValidation allowBlank="1" showInputMessage="1" promptTitle="Other income from education" prompt="Include all funding from employers including co-investment payments and any amounts above the funding band." sqref="B74 B77:B80" xr:uid="{B471D2F0-E000-41A2-8D87-83A0A444F90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201" xr:uid="{5F93B1B9-EAD3-4CE1-A6CA-DF5505A5FB02}"/>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 id="{18C473DF-CD3B-41D6-AB18-55BA6171186B}">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xWindow="564" yWindow="396" count="3">
        <x14:dataValidation type="list" allowBlank="1" showInputMessage="1" showErrorMessage="1" xr:uid="{D9B3FBCA-9144-43DE-B521-8BF251093E7D}">
          <x14:formula1>
            <xm:f>Parameters!$D$21:$D$22</xm:f>
          </x14:formula1>
          <xm:sqref>G16 G41:G44 G32 G19:G23 G198 G64:G66 G61 G115 G87:G94 G27 G59 G48 G122:G129 G36 G14 G172 G169 G68 G181:G182 G38 G50 G137:G147 G29 G71:G80 G53:G55 G11 G110:G112 G101:G103 G154</xm:sqref>
        </x14:dataValidation>
        <x14:dataValidation type="list" allowBlank="1" showInputMessage="1" showErrorMessage="1" xr:uid="{309D51DF-DA10-4BA9-A148-E04419E48550}">
          <x14:formula1>
            <xm:f>'I&amp;E Profiles'!$D$96:$D$179</xm:f>
          </x14:formula1>
          <xm:sqref>E181:E182 E14 E16 E19:E23 E27 E29 E32 E36 E38 E41:E44 E48 E50 E59 E61 E64:E66 E87:E94 E115 E122:E129 E137:E146 E154:E155 E169 E172 E198 E71:E80 E53:E55 E11 E110:E112 E101:E103 E68</xm:sqref>
        </x14:dataValidation>
        <x14:dataValidation type="list" allowBlank="1" showInputMessage="1" showErrorMessage="1" xr:uid="{0A5F7C16-62C3-47FE-8437-5A6AF20A8A49}">
          <x14:formula1>
            <xm:f>'Dash Data'!$D$93:$D$100</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E333F-51D8-4722-B4E7-54AAE97C7F30}">
  <sheetPr codeName="Sheet5">
    <tabColor rgb="FFBBF7DC"/>
    <outlinePr summaryBelow="0" summaryRight="0"/>
  </sheetPr>
  <dimension ref="A1:EX182"/>
  <sheetViews>
    <sheetView showGridLines="0" zoomScaleNormal="100" workbookViewId="0">
      <pane xSplit="8" ySplit="7" topLeftCell="I8" activePane="bottomRight" state="frozen"/>
      <selection pane="topRight"/>
      <selection pane="bottomLeft"/>
      <selection pane="bottomRight"/>
    </sheetView>
  </sheetViews>
  <sheetFormatPr defaultColWidth="8.5703125" defaultRowHeight="15" outlineLevelCol="1" x14ac:dyDescent="0.25"/>
  <cols>
    <col min="1" max="1" width="6.85546875" style="67" bestFit="1" customWidth="1"/>
    <col min="2" max="3" width="9.42578125" style="67" bestFit="1" customWidth="1"/>
    <col min="4" max="4" width="48.42578125" style="67" customWidth="1"/>
    <col min="5" max="5" width="2.5703125" style="1" customWidth="1"/>
    <col min="6" max="8" width="2.5703125" style="67" customWidth="1"/>
    <col min="9" max="9" width="3" style="67" customWidth="1" collapsed="1"/>
    <col min="10" max="18" width="8.5703125" style="67" hidden="1" customWidth="1" outlineLevel="1"/>
    <col min="19" max="19" width="3" style="67" hidden="1" customWidth="1" outlineLevel="1"/>
    <col min="20" max="20" width="11.5703125" style="67" hidden="1" customWidth="1" outlineLevel="1"/>
    <col min="21" max="25" width="9.5703125" style="67" hidden="1" customWidth="1" outlineLevel="1"/>
    <col min="26" max="26" width="3" style="67" hidden="1" customWidth="1" outlineLevel="1"/>
    <col min="27" max="27" width="10.5703125" style="67" customWidth="1"/>
    <col min="28" max="29" width="9.42578125" style="67" bestFit="1" customWidth="1"/>
    <col min="30" max="30" width="9.5703125" style="67" customWidth="1"/>
    <col min="31" max="31" width="9.5703125" style="67" bestFit="1" customWidth="1"/>
    <col min="32" max="32" width="9.42578125" style="67" bestFit="1" customWidth="1"/>
    <col min="33" max="33" width="9.42578125" style="67" customWidth="1"/>
    <col min="34" max="34" width="9.5703125" style="67" bestFit="1" customWidth="1"/>
    <col min="35" max="35" width="9.42578125" style="67" bestFit="1" customWidth="1"/>
    <col min="36" max="36" width="10.42578125" style="67" bestFit="1" customWidth="1"/>
    <col min="37" max="37" width="9.42578125" style="67" bestFit="1" customWidth="1"/>
    <col min="38" max="38" width="8.5703125" style="67" bestFit="1" customWidth="1"/>
    <col min="39" max="39" width="9.5703125" style="67" bestFit="1" customWidth="1"/>
    <col min="40" max="41" width="9.42578125" style="67" bestFit="1" customWidth="1"/>
    <col min="42" max="43" width="9.5703125" style="67" bestFit="1" customWidth="1"/>
    <col min="44" max="45" width="9.42578125" style="67" bestFit="1" customWidth="1"/>
    <col min="46" max="46" width="9.5703125" style="67" bestFit="1" customWidth="1"/>
    <col min="47" max="47" width="9.42578125" style="67" bestFit="1" customWidth="1"/>
    <col min="48" max="48" width="10.42578125" style="67" bestFit="1" customWidth="1"/>
    <col min="49" max="49" width="9.42578125" style="67" bestFit="1" customWidth="1"/>
    <col min="50" max="50" width="8.5703125" style="67" bestFit="1" customWidth="1"/>
    <col min="51" max="51" width="9.5703125" style="67" bestFit="1" customWidth="1"/>
    <col min="52" max="53" width="9.42578125" style="67" bestFit="1" customWidth="1"/>
    <col min="54" max="55" width="9.5703125" style="67" bestFit="1" customWidth="1"/>
    <col min="56" max="57" width="9.42578125" style="67" bestFit="1" customWidth="1"/>
    <col min="58" max="58" width="9.5703125" style="67" bestFit="1" customWidth="1"/>
    <col min="59" max="59" width="9.42578125" style="67" bestFit="1" customWidth="1"/>
    <col min="60" max="60" width="10.42578125" style="67" bestFit="1" customWidth="1"/>
    <col min="61" max="61" width="9.42578125" style="67" bestFit="1" customWidth="1"/>
    <col min="62" max="62" width="8.5703125" style="67" bestFit="1" customWidth="1" collapsed="1"/>
    <col min="63" max="63" width="3" style="67" hidden="1" customWidth="1" outlineLevel="1"/>
    <col min="64" max="64" width="9.5703125" style="67" hidden="1" customWidth="1" outlineLevel="1"/>
    <col min="65" max="65" width="10.5703125" style="67" hidden="1" customWidth="1" outlineLevel="1"/>
    <col min="66" max="75" width="9.5703125" style="67" hidden="1" customWidth="1" outlineLevel="1"/>
    <col min="76" max="76" width="3" style="67" bestFit="1" customWidth="1"/>
    <col min="77" max="77" width="2.5703125" style="335" customWidth="1"/>
    <col min="78" max="78" width="13.42578125" style="335" customWidth="1"/>
    <col min="79" max="79" width="2.5703125" style="67" customWidth="1"/>
    <col min="80" max="82" width="13.42578125" style="67" customWidth="1"/>
    <col min="83" max="83" width="2.5703125" style="67" customWidth="1"/>
    <col min="84" max="152" width="8.5703125" style="67"/>
    <col min="153" max="153" width="8.5703125" style="67" collapsed="1"/>
    <col min="154" max="154" width="17.85546875" style="67" hidden="1" customWidth="1" outlineLevel="1"/>
    <col min="155" max="16384" width="8.5703125" style="67"/>
  </cols>
  <sheetData>
    <row r="1" spans="1:154" x14ac:dyDescent="0.25">
      <c r="A1" s="7">
        <f ca="1">ToC!A1</f>
        <v>0</v>
      </c>
      <c r="B1" s="14" t="s">
        <v>752</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5" t="s">
        <v>1561</v>
      </c>
      <c r="CA1" s="575"/>
      <c r="CB1" s="5" t="s">
        <v>2312</v>
      </c>
      <c r="CE1" s="575"/>
      <c r="EX1" s="5" t="s">
        <v>1563</v>
      </c>
    </row>
    <row r="2" spans="1:154" ht="14.45" customHeight="1" x14ac:dyDescent="0.25">
      <c r="A2" s="362" cm="1">
        <f t="array" aca="1" ref="A2" ca="1">HYPERLINK(CONCATENATE("#",CELL("address",IF(SUM(A$7:A$182)=0,$A$2,INDEX(A$7:A$182,MATCH(1,A$7:A$182,0))))),SUM(A$7:A$182))</f>
        <v>0</v>
      </c>
      <c r="B2" s="92" t="str" cm="1">
        <f t="array" aca="1" ref="B2" ca="1">HYPERLINK(CONCATENATE("#",CELL("address",Guide!$C$155)),Guide!$B$1)</f>
        <v>Guide</v>
      </c>
      <c r="C2" s="26"/>
      <c r="D2" s="26"/>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BZ2" s="366" cm="1">
        <f t="array" aca="1" ref="BZ2" ca="1">HYPERLINK(CONCATENATE("#",CELL("address",IF(SUM(BZ$7:BZ$182)=0,$BZ$2,INDEX(BZ$7:BZ$182,MATCH(1,BZ$7:BZ$182,0))))),SUM(BZ$7:BZ$182))</f>
        <v>0</v>
      </c>
      <c r="CA2" s="575"/>
      <c r="CE2" s="575"/>
      <c r="EX2" s="335"/>
    </row>
    <row r="3" spans="1:154" x14ac:dyDescent="0.25">
      <c r="A3" s="92" t="str" cm="1">
        <f t="array" aca="1" ref="A3" ca="1">HYPERLINK(CONCATENATE("#",CELL("address",ToC!$A$1)),ToC!$C$1)</f>
        <v>ToC</v>
      </c>
      <c r="B3" s="14"/>
      <c r="C3" s="14"/>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204" t="str">
        <f>Timeline!AA3</f>
        <v>FY2021</v>
      </c>
      <c r="AB3" s="205" t="str">
        <f>Timeline!AB3</f>
        <v>FY2021</v>
      </c>
      <c r="AC3" s="205" t="str">
        <f>Timeline!AC3</f>
        <v>FY2021</v>
      </c>
      <c r="AD3" s="205" t="str">
        <f>Timeline!AD3</f>
        <v>FY2021</v>
      </c>
      <c r="AE3" s="205" t="str">
        <f>Timeline!AE3</f>
        <v>FY2021</v>
      </c>
      <c r="AF3" s="205" t="str">
        <f>Timeline!AF3</f>
        <v>FY2021</v>
      </c>
      <c r="AG3" s="205" t="str">
        <f>Timeline!AG3</f>
        <v>FY2021</v>
      </c>
      <c r="AH3" s="205" t="str">
        <f>Timeline!AH3</f>
        <v>FY2021</v>
      </c>
      <c r="AI3" s="205" t="str">
        <f>Timeline!AI3</f>
        <v>FY2021</v>
      </c>
      <c r="AJ3" s="205" t="str">
        <f>Timeline!AJ3</f>
        <v>FY2021</v>
      </c>
      <c r="AK3" s="205" t="str">
        <f>Timeline!AK3</f>
        <v>FY2021</v>
      </c>
      <c r="AL3" s="206" t="str">
        <f>Timeline!AL3</f>
        <v>FY2021</v>
      </c>
      <c r="AM3" s="205" t="str">
        <f>Timeline!AM3</f>
        <v>FY2022</v>
      </c>
      <c r="AN3" s="205" t="str">
        <f>Timeline!AN3</f>
        <v>FY2022</v>
      </c>
      <c r="AO3" s="205" t="str">
        <f>Timeline!AO3</f>
        <v>FY2022</v>
      </c>
      <c r="AP3" s="205" t="str">
        <f>Timeline!AP3</f>
        <v>FY2022</v>
      </c>
      <c r="AQ3" s="205" t="str">
        <f>Timeline!AQ3</f>
        <v>FY2022</v>
      </c>
      <c r="AR3" s="205" t="str">
        <f>Timeline!AR3</f>
        <v>FY2022</v>
      </c>
      <c r="AS3" s="205" t="str">
        <f>Timeline!AS3</f>
        <v>FY2022</v>
      </c>
      <c r="AT3" s="205" t="str">
        <f>Timeline!AT3</f>
        <v>FY2022</v>
      </c>
      <c r="AU3" s="205" t="str">
        <f>Timeline!AU3</f>
        <v>FY2022</v>
      </c>
      <c r="AV3" s="205" t="str">
        <f>Timeline!AV3</f>
        <v>FY2022</v>
      </c>
      <c r="AW3" s="205" t="str">
        <f>Timeline!AW3</f>
        <v>FY2022</v>
      </c>
      <c r="AX3" s="205" t="str">
        <f>Timeline!AX3</f>
        <v>FY2022</v>
      </c>
      <c r="AY3" s="204" t="str">
        <f>Timeline!AY3</f>
        <v>FY2023</v>
      </c>
      <c r="AZ3" s="205" t="str">
        <f>Timeline!AZ3</f>
        <v>FY2023</v>
      </c>
      <c r="BA3" s="205" t="str">
        <f>Timeline!BA3</f>
        <v>FY2023</v>
      </c>
      <c r="BB3" s="205" t="str">
        <f>Timeline!BB3</f>
        <v>FY2023</v>
      </c>
      <c r="BC3" s="205" t="str">
        <f>Timeline!BC3</f>
        <v>FY2023</v>
      </c>
      <c r="BD3" s="205" t="str">
        <f>Timeline!BD3</f>
        <v>FY2023</v>
      </c>
      <c r="BE3" s="205" t="str">
        <f>Timeline!BE3</f>
        <v>FY2023</v>
      </c>
      <c r="BF3" s="205" t="str">
        <f>Timeline!BF3</f>
        <v>FY2023</v>
      </c>
      <c r="BG3" s="205" t="str">
        <f>Timeline!BG3</f>
        <v>FY2023</v>
      </c>
      <c r="BH3" s="205" t="str">
        <f>Timeline!BH3</f>
        <v>FY2023</v>
      </c>
      <c r="BI3" s="205" t="str">
        <f>Timeline!BI3</f>
        <v>FY2023</v>
      </c>
      <c r="BJ3" s="206"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69"/>
      <c r="CA3" s="575"/>
      <c r="CE3" s="575"/>
      <c r="EX3" s="335"/>
    </row>
    <row r="4" spans="1:154" ht="14.45" customHeight="1" x14ac:dyDescent="0.25">
      <c r="A4" s="14"/>
      <c r="B4" s="14"/>
      <c r="C4" s="14"/>
      <c r="D4" s="43" t="str">
        <f>Timeline!D4</f>
        <v>Forecast vs Actual</v>
      </c>
      <c r="E4" s="14"/>
      <c r="F4" s="14"/>
      <c r="G4" s="14"/>
      <c r="H4" s="14"/>
      <c r="I4" s="14"/>
      <c r="J4" s="14"/>
      <c r="K4" s="14"/>
      <c r="L4" s="14"/>
      <c r="M4" s="14"/>
      <c r="N4" s="14"/>
      <c r="O4" s="14"/>
      <c r="P4" s="14"/>
      <c r="Q4" s="14"/>
      <c r="R4" s="14"/>
      <c r="S4" s="14"/>
      <c r="T4" s="14"/>
      <c r="U4" s="14"/>
      <c r="V4" s="32">
        <f>Timeline!V4</f>
        <v>0</v>
      </c>
      <c r="W4" s="33">
        <f>Timeline!W4</f>
        <v>-1</v>
      </c>
      <c r="X4" s="33">
        <f>Timeline!X4</f>
        <v>1</v>
      </c>
      <c r="Y4" s="34">
        <f>Timeline!Y4</f>
        <v>1</v>
      </c>
      <c r="Z4" s="14"/>
      <c r="AA4" s="202">
        <f>Timeline!AA4</f>
        <v>0</v>
      </c>
      <c r="AB4" s="33">
        <f>Timeline!AB4</f>
        <v>0</v>
      </c>
      <c r="AC4" s="33">
        <f>Timeline!AC4</f>
        <v>0</v>
      </c>
      <c r="AD4" s="33">
        <f>Timeline!AD4</f>
        <v>0</v>
      </c>
      <c r="AE4" s="33">
        <f>Timeline!AE4</f>
        <v>0</v>
      </c>
      <c r="AF4" s="33">
        <f>Timeline!AF4</f>
        <v>0</v>
      </c>
      <c r="AG4" s="33">
        <f>Timeline!AG4</f>
        <v>0</v>
      </c>
      <c r="AH4" s="33">
        <f>Timeline!AH4</f>
        <v>0</v>
      </c>
      <c r="AI4" s="207">
        <f>Timeline!AI4</f>
        <v>0</v>
      </c>
      <c r="AJ4" s="207">
        <f>Timeline!AJ4</f>
        <v>0</v>
      </c>
      <c r="AK4" s="207">
        <f>Timeline!AK4</f>
        <v>0</v>
      </c>
      <c r="AL4" s="208">
        <f>Timeline!AL4</f>
        <v>1</v>
      </c>
      <c r="AM4" s="209">
        <f>Timeline!AM4</f>
        <v>1</v>
      </c>
      <c r="AN4" s="209">
        <f>Timeline!AN4</f>
        <v>1</v>
      </c>
      <c r="AO4" s="209">
        <f>Timeline!AO4</f>
        <v>1</v>
      </c>
      <c r="AP4" s="209">
        <f>Timeline!AP4</f>
        <v>1</v>
      </c>
      <c r="AQ4" s="209">
        <f>Timeline!AQ4</f>
        <v>1</v>
      </c>
      <c r="AR4" s="209">
        <f>Timeline!AR4</f>
        <v>1</v>
      </c>
      <c r="AS4" s="209">
        <f>Timeline!AS4</f>
        <v>1</v>
      </c>
      <c r="AT4" s="209">
        <f>Timeline!AT4</f>
        <v>1</v>
      </c>
      <c r="AU4" s="209">
        <f>Timeline!AU4</f>
        <v>1</v>
      </c>
      <c r="AV4" s="209">
        <f>Timeline!AV4</f>
        <v>1</v>
      </c>
      <c r="AW4" s="209">
        <f>Timeline!AW4</f>
        <v>1</v>
      </c>
      <c r="AX4" s="209">
        <f>Timeline!AX4</f>
        <v>1</v>
      </c>
      <c r="AY4" s="202">
        <f>Timeline!AY4</f>
        <v>1</v>
      </c>
      <c r="AZ4" s="207">
        <f>Timeline!AZ4</f>
        <v>1</v>
      </c>
      <c r="BA4" s="207">
        <f>Timeline!BA4</f>
        <v>1</v>
      </c>
      <c r="BB4" s="207">
        <f>Timeline!BB4</f>
        <v>1</v>
      </c>
      <c r="BC4" s="207">
        <f>Timeline!BC4</f>
        <v>1</v>
      </c>
      <c r="BD4" s="207">
        <f>Timeline!BD4</f>
        <v>1</v>
      </c>
      <c r="BE4" s="207">
        <f>Timeline!BE4</f>
        <v>1</v>
      </c>
      <c r="BF4" s="207">
        <f>Timeline!BF4</f>
        <v>1</v>
      </c>
      <c r="BG4" s="207">
        <f>Timeline!BG4</f>
        <v>1</v>
      </c>
      <c r="BH4" s="207">
        <f>Timeline!BH4</f>
        <v>1</v>
      </c>
      <c r="BI4" s="207">
        <f>Timeline!BI4</f>
        <v>1</v>
      </c>
      <c r="BJ4" s="208">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478" t="s">
        <v>965</v>
      </c>
      <c r="CA4" s="575"/>
      <c r="CB4" s="576" t="s">
        <v>2313</v>
      </c>
      <c r="CC4" s="576" t="s">
        <v>2314</v>
      </c>
      <c r="CD4" s="576" t="s">
        <v>2315</v>
      </c>
      <c r="CE4" s="575"/>
      <c r="EX4" s="335"/>
    </row>
    <row r="5" spans="1:154" x14ac:dyDescent="0.25">
      <c r="A5" s="14"/>
      <c r="B5" s="14"/>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69"/>
      <c r="CA5" s="575"/>
      <c r="CB5" s="576"/>
      <c r="CC5" s="576"/>
      <c r="CD5" s="576"/>
      <c r="CE5" s="575"/>
      <c r="EX5" s="335"/>
    </row>
    <row r="6" spans="1:154" x14ac:dyDescent="0.25">
      <c r="A6" s="80" t="str" cm="1">
        <f t="array" aca="1" ref="A6" ca="1">HYPERLINK(CONCATENATE("#",CELL("address",CA7)),"Check")</f>
        <v>Check</v>
      </c>
      <c r="B6" s="24"/>
      <c r="C6" s="14"/>
      <c r="D6" s="26" t="s">
        <v>5</v>
      </c>
      <c r="E6" s="14"/>
      <c r="F6" s="14"/>
      <c r="G6" s="14"/>
      <c r="H6" s="14"/>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69"/>
      <c r="CA6" s="575"/>
      <c r="CB6" s="576"/>
      <c r="CC6" s="576"/>
      <c r="CD6" s="576"/>
      <c r="CE6" s="575"/>
      <c r="EX6" s="335"/>
    </row>
    <row r="7" spans="1:154" ht="15.75" x14ac:dyDescent="0.3">
      <c r="D7" s="1"/>
      <c r="E7" s="67"/>
      <c r="S7" s="335"/>
      <c r="BM7" s="6"/>
      <c r="BY7" s="42"/>
      <c r="BZ7" s="105" t="s">
        <v>335</v>
      </c>
      <c r="CA7" s="42"/>
      <c r="CB7" s="105" t="s">
        <v>335</v>
      </c>
      <c r="CC7" s="105" t="s">
        <v>335</v>
      </c>
      <c r="CD7" s="105" t="s">
        <v>335</v>
      </c>
      <c r="CE7" s="42"/>
      <c r="EX7" s="335"/>
    </row>
    <row r="8" spans="1:154" x14ac:dyDescent="0.25">
      <c r="D8" s="5" t="s">
        <v>349</v>
      </c>
      <c r="E8" s="67"/>
      <c r="S8" s="335"/>
      <c r="AA8" s="104"/>
      <c r="AB8" s="104"/>
      <c r="AC8" s="104"/>
      <c r="AD8" s="104"/>
      <c r="AE8" s="104"/>
      <c r="AF8" s="104"/>
      <c r="AG8" s="104"/>
      <c r="AH8" s="104"/>
      <c r="AI8" s="104"/>
      <c r="AJ8" s="104"/>
      <c r="AK8" s="104"/>
      <c r="AL8" s="104"/>
      <c r="BY8" s="12"/>
      <c r="CA8" s="12"/>
      <c r="CE8" s="42"/>
      <c r="EX8" s="10" t="str">
        <f t="shared" ref="EX8:EX181" si="0">IF($C8="","",$D8)</f>
        <v/>
      </c>
    </row>
    <row r="9" spans="1:154" x14ac:dyDescent="0.25">
      <c r="A9" s="362" cm="1">
        <f t="array" aca="1" ref="A9" ca="1">HYPERLINK(CONCATENATE("#",CELL("address",IF(SUM($CA9:$CE9)=0,A9,INDEX($CA9:$CE9,MATCH(1,$CA9:$CE9,0))))),SUM($CA9:$CE9))</f>
        <v>0</v>
      </c>
      <c r="D9" s="93" t="s">
        <v>305</v>
      </c>
      <c r="E9" s="67"/>
      <c r="H9" s="9"/>
      <c r="S9" s="335"/>
      <c r="AA9" s="203">
        <v>0.12560001433516235</v>
      </c>
      <c r="AB9" s="203">
        <v>9.439999047529482E-2</v>
      </c>
      <c r="AC9" s="203">
        <v>9.5600019145619511E-2</v>
      </c>
      <c r="AD9" s="203">
        <v>7.4399973638694744E-2</v>
      </c>
      <c r="AE9" s="203">
        <v>5.5999974985622744E-2</v>
      </c>
      <c r="AF9" s="203">
        <v>5.5999974985622744E-2</v>
      </c>
      <c r="AG9" s="203">
        <v>5.2000019722874373E-2</v>
      </c>
      <c r="AH9" s="203">
        <v>5.1599970078956441E-2</v>
      </c>
      <c r="AI9" s="203">
        <v>0.12560001433516235</v>
      </c>
      <c r="AJ9" s="203">
        <v>0.11600002549542297</v>
      </c>
      <c r="AK9" s="203">
        <v>9.6000008658822897E-2</v>
      </c>
      <c r="AL9" s="203">
        <v>5.6800014142744062E-2</v>
      </c>
      <c r="AM9" s="203">
        <v>0.12560001433516235</v>
      </c>
      <c r="AN9" s="203">
        <v>9.439999047529482E-2</v>
      </c>
      <c r="AO9" s="203">
        <v>9.5600019145619511E-2</v>
      </c>
      <c r="AP9" s="203">
        <v>7.4399973638694744E-2</v>
      </c>
      <c r="AQ9" s="203">
        <v>5.5999974985622744E-2</v>
      </c>
      <c r="AR9" s="203">
        <v>5.5999974985622744E-2</v>
      </c>
      <c r="AS9" s="203">
        <v>5.2000019722874373E-2</v>
      </c>
      <c r="AT9" s="203">
        <v>5.1599970078956441E-2</v>
      </c>
      <c r="AU9" s="203">
        <v>0.12560001433516235</v>
      </c>
      <c r="AV9" s="203">
        <v>0.11600002549542297</v>
      </c>
      <c r="AW9" s="203">
        <v>9.6000008658822897E-2</v>
      </c>
      <c r="AX9" s="203">
        <v>5.6800014142744062E-2</v>
      </c>
      <c r="AY9" s="203">
        <v>0.12560001433516235</v>
      </c>
      <c r="AZ9" s="203">
        <v>9.439999047529482E-2</v>
      </c>
      <c r="BA9" s="203">
        <v>9.5600019145619511E-2</v>
      </c>
      <c r="BB9" s="203">
        <v>7.4399973638694744E-2</v>
      </c>
      <c r="BC9" s="203">
        <v>5.5999974985622744E-2</v>
      </c>
      <c r="BD9" s="203">
        <v>5.5999974985622744E-2</v>
      </c>
      <c r="BE9" s="203">
        <v>5.2000019722874373E-2</v>
      </c>
      <c r="BF9" s="203">
        <v>5.1599970078956441E-2</v>
      </c>
      <c r="BG9" s="203">
        <v>0.12560001433516235</v>
      </c>
      <c r="BH9" s="203">
        <v>0.11600002549542297</v>
      </c>
      <c r="BI9" s="203">
        <v>9.6000008658822897E-2</v>
      </c>
      <c r="BJ9" s="203">
        <v>5.6800014142744062E-2</v>
      </c>
      <c r="BY9" s="12"/>
      <c r="BZ9" s="363">
        <f t="shared" ref="BZ9:BZ40" si="1">IF(MIN($AA9:$BJ9)&lt;0, 1, 0)</f>
        <v>0</v>
      </c>
      <c r="CA9" s="12"/>
      <c r="CB9" s="7">
        <f t="shared" ref="CB9:CB37" si="2">IF(OR(SUM(AA9:AL9)=1, SUM(AA9:AL9)=0), 0, 1)</f>
        <v>0</v>
      </c>
      <c r="CC9" s="7">
        <f t="shared" ref="CC9:CC37" si="3">IF(OR(SUM(AM9:AX9)=1, SUM(AM9:AX9)=0), 0, 1)</f>
        <v>0</v>
      </c>
      <c r="CD9" s="7">
        <f t="shared" ref="CD9:CD37" si="4">IF(OR(SUM(AY9:BJ9)=1, SUM(AY9:BJ9)=0), 0, 1)</f>
        <v>0</v>
      </c>
      <c r="CE9" s="42"/>
      <c r="EX9" s="10" t="str">
        <f t="shared" si="0"/>
        <v/>
      </c>
    </row>
    <row r="10" spans="1:154" x14ac:dyDescent="0.25">
      <c r="A10" s="362" cm="1">
        <f t="array" aca="1" ref="A10" ca="1">HYPERLINK(CONCATENATE("#",CELL("address",IF(SUM($CA10:$CE10)=0,A10,INDEX($CA10:$CE10,MATCH(1,$CA10:$CE10,0))))),SUM($CA10:$CE10))</f>
        <v>0</v>
      </c>
      <c r="D10" s="93" t="s">
        <v>333</v>
      </c>
      <c r="E10" s="67"/>
      <c r="H10" s="9"/>
      <c r="S10" s="335"/>
      <c r="AA10" s="66">
        <f>1/12</f>
        <v>8.3333333333333329E-2</v>
      </c>
      <c r="AB10" s="66">
        <f t="shared" ref="AB10:BJ10" si="5">1/12</f>
        <v>8.3333333333333329E-2</v>
      </c>
      <c r="AC10" s="66">
        <f t="shared" si="5"/>
        <v>8.3333333333333329E-2</v>
      </c>
      <c r="AD10" s="66">
        <f t="shared" si="5"/>
        <v>8.3333333333333329E-2</v>
      </c>
      <c r="AE10" s="66">
        <f t="shared" si="5"/>
        <v>8.3333333333333329E-2</v>
      </c>
      <c r="AF10" s="66">
        <f t="shared" si="5"/>
        <v>8.3333333333333329E-2</v>
      </c>
      <c r="AG10" s="66">
        <f t="shared" si="5"/>
        <v>8.3333333333333329E-2</v>
      </c>
      <c r="AH10" s="66">
        <f t="shared" si="5"/>
        <v>8.3333333333333329E-2</v>
      </c>
      <c r="AI10" s="66">
        <f t="shared" si="5"/>
        <v>8.3333333333333329E-2</v>
      </c>
      <c r="AJ10" s="66">
        <f t="shared" si="5"/>
        <v>8.3333333333333329E-2</v>
      </c>
      <c r="AK10" s="66">
        <f t="shared" si="5"/>
        <v>8.3333333333333329E-2</v>
      </c>
      <c r="AL10" s="66">
        <f t="shared" si="5"/>
        <v>8.3333333333333329E-2</v>
      </c>
      <c r="AM10" s="66">
        <f t="shared" si="5"/>
        <v>8.3333333333333329E-2</v>
      </c>
      <c r="AN10" s="66">
        <f t="shared" si="5"/>
        <v>8.3333333333333329E-2</v>
      </c>
      <c r="AO10" s="66">
        <f t="shared" si="5"/>
        <v>8.3333333333333329E-2</v>
      </c>
      <c r="AP10" s="66">
        <f t="shared" si="5"/>
        <v>8.3333333333333329E-2</v>
      </c>
      <c r="AQ10" s="66">
        <f t="shared" si="5"/>
        <v>8.3333333333333329E-2</v>
      </c>
      <c r="AR10" s="66">
        <f t="shared" si="5"/>
        <v>8.3333333333333329E-2</v>
      </c>
      <c r="AS10" s="66">
        <f t="shared" si="5"/>
        <v>8.3333333333333329E-2</v>
      </c>
      <c r="AT10" s="66">
        <f t="shared" si="5"/>
        <v>8.3333333333333329E-2</v>
      </c>
      <c r="AU10" s="66">
        <f t="shared" si="5"/>
        <v>8.3333333333333329E-2</v>
      </c>
      <c r="AV10" s="66">
        <f t="shared" si="5"/>
        <v>8.3333333333333329E-2</v>
      </c>
      <c r="AW10" s="66">
        <f t="shared" si="5"/>
        <v>8.3333333333333329E-2</v>
      </c>
      <c r="AX10" s="66">
        <f t="shared" si="5"/>
        <v>8.3333333333333329E-2</v>
      </c>
      <c r="AY10" s="66">
        <f t="shared" si="5"/>
        <v>8.3333333333333329E-2</v>
      </c>
      <c r="AZ10" s="66">
        <f t="shared" si="5"/>
        <v>8.3333333333333329E-2</v>
      </c>
      <c r="BA10" s="66">
        <f t="shared" si="5"/>
        <v>8.3333333333333329E-2</v>
      </c>
      <c r="BB10" s="66">
        <f t="shared" si="5"/>
        <v>8.3333333333333329E-2</v>
      </c>
      <c r="BC10" s="66">
        <f t="shared" si="5"/>
        <v>8.3333333333333329E-2</v>
      </c>
      <c r="BD10" s="66">
        <f t="shared" si="5"/>
        <v>8.3333333333333329E-2</v>
      </c>
      <c r="BE10" s="66">
        <f t="shared" si="5"/>
        <v>8.3333333333333329E-2</v>
      </c>
      <c r="BF10" s="66">
        <f t="shared" si="5"/>
        <v>8.3333333333333329E-2</v>
      </c>
      <c r="BG10" s="66">
        <f t="shared" si="5"/>
        <v>8.3333333333333329E-2</v>
      </c>
      <c r="BH10" s="66">
        <f t="shared" si="5"/>
        <v>8.3333333333333329E-2</v>
      </c>
      <c r="BI10" s="66">
        <f t="shared" si="5"/>
        <v>8.3333333333333329E-2</v>
      </c>
      <c r="BJ10" s="66">
        <f t="shared" si="5"/>
        <v>8.3333333333333329E-2</v>
      </c>
      <c r="BY10" s="12"/>
      <c r="BZ10" s="363">
        <f t="shared" si="1"/>
        <v>0</v>
      </c>
      <c r="CA10" s="12"/>
      <c r="CB10" s="7">
        <f t="shared" si="2"/>
        <v>0</v>
      </c>
      <c r="CC10" s="7">
        <f t="shared" si="3"/>
        <v>0</v>
      </c>
      <c r="CD10" s="7">
        <f t="shared" si="4"/>
        <v>0</v>
      </c>
      <c r="CE10" s="42"/>
      <c r="EX10" s="10" t="str">
        <f t="shared" si="0"/>
        <v/>
      </c>
    </row>
    <row r="11" spans="1:154" x14ac:dyDescent="0.25">
      <c r="A11" s="362" cm="1">
        <f t="array" aca="1" ref="A11" ca="1">HYPERLINK(CONCATENATE("#",CELL("address",IF(SUM($CA11:$CE11)=0,A11,INDEX($CA11:$CE11,MATCH(1,$CA11:$CE11,0))))),SUM($CA11:$CE11))</f>
        <v>0</v>
      </c>
      <c r="D11" s="93" t="s">
        <v>306</v>
      </c>
      <c r="E11" s="67"/>
      <c r="H11" s="9"/>
      <c r="S11" s="335"/>
      <c r="AA11" s="66">
        <v>0.1444</v>
      </c>
      <c r="AB11" s="66">
        <v>8.5800000000000001E-2</v>
      </c>
      <c r="AC11" s="66">
        <v>8.6699999999999999E-2</v>
      </c>
      <c r="AD11" s="66">
        <v>7.0800000000000002E-2</v>
      </c>
      <c r="AE11" s="66">
        <v>5.6899999999999999E-2</v>
      </c>
      <c r="AF11" s="66">
        <v>7.4399999999999994E-2</v>
      </c>
      <c r="AG11" s="66">
        <v>5.3900000000000003E-2</v>
      </c>
      <c r="AH11" s="66">
        <v>5.3600000000000002E-2</v>
      </c>
      <c r="AI11" s="66">
        <v>0.12690000000000001</v>
      </c>
      <c r="AJ11" s="66">
        <v>0.1021</v>
      </c>
      <c r="AK11" s="66">
        <v>8.6999999999999994E-2</v>
      </c>
      <c r="AL11" s="66">
        <v>5.7500000000000002E-2</v>
      </c>
      <c r="AM11" s="66">
        <v>0.1444</v>
      </c>
      <c r="AN11" s="66">
        <v>8.5800000000000001E-2</v>
      </c>
      <c r="AO11" s="66">
        <v>8.6699999999999999E-2</v>
      </c>
      <c r="AP11" s="66">
        <v>7.0800000000000002E-2</v>
      </c>
      <c r="AQ11" s="66">
        <v>5.6899999999999999E-2</v>
      </c>
      <c r="AR11" s="66">
        <v>7.4399999999999994E-2</v>
      </c>
      <c r="AS11" s="66">
        <v>5.3900000000000003E-2</v>
      </c>
      <c r="AT11" s="66">
        <v>5.3600000000000002E-2</v>
      </c>
      <c r="AU11" s="66">
        <v>0.12690000000000001</v>
      </c>
      <c r="AV11" s="66">
        <v>0.1021</v>
      </c>
      <c r="AW11" s="66">
        <v>8.6999999999999994E-2</v>
      </c>
      <c r="AX11" s="66">
        <v>5.7500000000000002E-2</v>
      </c>
      <c r="AY11" s="66">
        <v>0.1444</v>
      </c>
      <c r="AZ11" s="66">
        <v>8.5800000000000001E-2</v>
      </c>
      <c r="BA11" s="66">
        <v>8.6699999999999999E-2</v>
      </c>
      <c r="BB11" s="66">
        <v>7.0800000000000002E-2</v>
      </c>
      <c r="BC11" s="66">
        <v>5.6899999999999999E-2</v>
      </c>
      <c r="BD11" s="66">
        <v>7.4399999999999994E-2</v>
      </c>
      <c r="BE11" s="66">
        <v>5.3900000000000003E-2</v>
      </c>
      <c r="BF11" s="66">
        <v>5.3600000000000002E-2</v>
      </c>
      <c r="BG11" s="66">
        <v>0.12690000000000001</v>
      </c>
      <c r="BH11" s="66">
        <v>0.1021</v>
      </c>
      <c r="BI11" s="66">
        <v>8.6999999999999994E-2</v>
      </c>
      <c r="BJ11" s="66">
        <v>5.7500000000000002E-2</v>
      </c>
      <c r="BY11" s="12"/>
      <c r="BZ11" s="363">
        <f t="shared" si="1"/>
        <v>0</v>
      </c>
      <c r="CA11" s="12"/>
      <c r="CB11" s="7">
        <f t="shared" si="2"/>
        <v>0</v>
      </c>
      <c r="CC11" s="7">
        <f>IF(OR(SUM(AM11:AX11)=1, SUM(AM11:AX11)=0), 0, 1)</f>
        <v>0</v>
      </c>
      <c r="CD11" s="7">
        <f t="shared" si="4"/>
        <v>0</v>
      </c>
      <c r="CE11" s="42"/>
      <c r="EX11" s="10" t="str">
        <f t="shared" si="0"/>
        <v/>
      </c>
    </row>
    <row r="12" spans="1:154" x14ac:dyDescent="0.25">
      <c r="A12" s="362" cm="1">
        <f t="array" aca="1" ref="A12" ca="1">HYPERLINK(CONCATENATE("#",CELL("address",IF(SUM($CA12:$CE12)=0,A12,INDEX($CA12:$CE12,MATCH(1,$CA12:$CE12,0))))),SUM($CA12:$CE12))</f>
        <v>0</v>
      </c>
      <c r="D12" s="93" t="s">
        <v>307</v>
      </c>
      <c r="E12" s="67"/>
      <c r="H12" s="9"/>
      <c r="S12" s="335"/>
      <c r="AA12" s="66">
        <v>0.5</v>
      </c>
      <c r="AB12" s="66">
        <v>0</v>
      </c>
      <c r="AC12" s="66">
        <v>0</v>
      </c>
      <c r="AD12" s="66">
        <v>0</v>
      </c>
      <c r="AE12" s="66">
        <v>0</v>
      </c>
      <c r="AF12" s="66">
        <v>0.25</v>
      </c>
      <c r="AG12" s="66">
        <v>0</v>
      </c>
      <c r="AH12" s="66">
        <v>0</v>
      </c>
      <c r="AI12" s="66">
        <v>0.25</v>
      </c>
      <c r="AJ12" s="66">
        <v>0</v>
      </c>
      <c r="AK12" s="66">
        <v>0</v>
      </c>
      <c r="AL12" s="66">
        <v>0</v>
      </c>
      <c r="AM12" s="66">
        <v>0.5</v>
      </c>
      <c r="AN12" s="66">
        <v>0</v>
      </c>
      <c r="AO12" s="66">
        <v>0</v>
      </c>
      <c r="AP12" s="66">
        <v>0</v>
      </c>
      <c r="AQ12" s="66">
        <v>0</v>
      </c>
      <c r="AR12" s="66">
        <v>0.25</v>
      </c>
      <c r="AS12" s="66">
        <v>0</v>
      </c>
      <c r="AT12" s="66">
        <v>0</v>
      </c>
      <c r="AU12" s="66">
        <v>0.25</v>
      </c>
      <c r="AV12" s="66">
        <v>0</v>
      </c>
      <c r="AW12" s="66">
        <v>0</v>
      </c>
      <c r="AX12" s="66">
        <v>0</v>
      </c>
      <c r="AY12" s="66">
        <v>0.5</v>
      </c>
      <c r="AZ12" s="66">
        <v>0</v>
      </c>
      <c r="BA12" s="66">
        <v>0</v>
      </c>
      <c r="BB12" s="66">
        <v>0</v>
      </c>
      <c r="BC12" s="66">
        <v>0</v>
      </c>
      <c r="BD12" s="66">
        <v>0.25</v>
      </c>
      <c r="BE12" s="66">
        <v>0</v>
      </c>
      <c r="BF12" s="66">
        <v>0</v>
      </c>
      <c r="BG12" s="66">
        <v>0.25</v>
      </c>
      <c r="BH12" s="66">
        <v>0</v>
      </c>
      <c r="BI12" s="66">
        <v>0</v>
      </c>
      <c r="BJ12" s="66">
        <v>0</v>
      </c>
      <c r="BY12" s="12"/>
      <c r="BZ12" s="363">
        <f t="shared" si="1"/>
        <v>0</v>
      </c>
      <c r="CA12" s="12"/>
      <c r="CB12" s="7">
        <f t="shared" si="2"/>
        <v>0</v>
      </c>
      <c r="CC12" s="7">
        <f>IF(OR(SUM(AM12:AX12)=1, SUM(AM12:AX12)=0), 0, 1)</f>
        <v>0</v>
      </c>
      <c r="CD12" s="7">
        <f t="shared" si="4"/>
        <v>0</v>
      </c>
      <c r="CE12" s="42"/>
      <c r="EX12" s="10" t="str">
        <f t="shared" si="0"/>
        <v/>
      </c>
    </row>
    <row r="13" spans="1:154" x14ac:dyDescent="0.25">
      <c r="A13" s="362" cm="1">
        <f t="array" aca="1" ref="A13" ca="1">HYPERLINK(CONCATENATE("#",CELL("address",IF(SUM($CA13:$CE13)=0,A13,INDEX($CA13:$CE13,MATCH(1,$CA13:$CE13,0))))),SUM($CA13:$CE13))</f>
        <v>0</v>
      </c>
      <c r="D13" s="141" t="s">
        <v>332</v>
      </c>
      <c r="H13" s="9"/>
      <c r="S13" s="33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Y13" s="12"/>
      <c r="BZ13" s="363">
        <f t="shared" si="1"/>
        <v>0</v>
      </c>
      <c r="CA13" s="12"/>
      <c r="CB13" s="7">
        <f t="shared" si="2"/>
        <v>0</v>
      </c>
      <c r="CC13" s="7">
        <f>IF(OR(SUM(AM13:AX13)=1, SUM(AM13:AX13)=0), 0, 1)</f>
        <v>0</v>
      </c>
      <c r="CD13" s="7">
        <f t="shared" si="4"/>
        <v>0</v>
      </c>
      <c r="CE13" s="42"/>
      <c r="EX13" s="10" t="str">
        <f t="shared" si="0"/>
        <v/>
      </c>
    </row>
    <row r="14" spans="1:154" x14ac:dyDescent="0.25">
      <c r="A14" s="362" cm="1">
        <f t="array" aca="1" ref="A14" ca="1">HYPERLINK(CONCATENATE("#",CELL("address",IF(SUM($CA14:$CE14)=0,A14,INDEX($CA14:$CE14,MATCH(1,$CA14:$CE14,0))))),SUM($CA14:$CE14))</f>
        <v>0</v>
      </c>
      <c r="D14" s="141" t="s">
        <v>308</v>
      </c>
      <c r="H14" s="9"/>
      <c r="S14" s="33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Y14" s="12"/>
      <c r="BZ14" s="363">
        <f t="shared" si="1"/>
        <v>0</v>
      </c>
      <c r="CA14" s="12"/>
      <c r="CB14" s="7">
        <f t="shared" si="2"/>
        <v>0</v>
      </c>
      <c r="CC14" s="7">
        <f t="shared" si="3"/>
        <v>0</v>
      </c>
      <c r="CD14" s="7">
        <f t="shared" si="4"/>
        <v>0</v>
      </c>
      <c r="CE14" s="42"/>
      <c r="EX14" s="10" t="str">
        <f t="shared" si="0"/>
        <v/>
      </c>
    </row>
    <row r="15" spans="1:154" x14ac:dyDescent="0.25">
      <c r="A15" s="362" cm="1">
        <f t="array" aca="1" ref="A15" ca="1">HYPERLINK(CONCATENATE("#",CELL("address",IF(SUM($CA15:$CE15)=0,A15,INDEX($CA15:$CE15,MATCH(1,$CA15:$CE15,0))))),SUM($CA15:$CE15))</f>
        <v>0</v>
      </c>
      <c r="D15" s="141" t="s">
        <v>309</v>
      </c>
      <c r="H15" s="9"/>
      <c r="S15" s="33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Y15" s="12"/>
      <c r="BZ15" s="363">
        <f t="shared" si="1"/>
        <v>0</v>
      </c>
      <c r="CA15" s="12"/>
      <c r="CB15" s="7">
        <f t="shared" si="2"/>
        <v>0</v>
      </c>
      <c r="CC15" s="7">
        <f t="shared" si="3"/>
        <v>0</v>
      </c>
      <c r="CD15" s="7">
        <f t="shared" si="4"/>
        <v>0</v>
      </c>
      <c r="CE15" s="42"/>
      <c r="EX15" s="10" t="str">
        <f t="shared" si="0"/>
        <v/>
      </c>
    </row>
    <row r="16" spans="1:154" x14ac:dyDescent="0.25">
      <c r="A16" s="362" cm="1">
        <f t="array" aca="1" ref="A16" ca="1">HYPERLINK(CONCATENATE("#",CELL("address",IF(SUM($CA16:$CE16)=0,A16,INDEX($CA16:$CE16,MATCH(1,$CA16:$CE16,0))))),SUM($CA16:$CE16))</f>
        <v>0</v>
      </c>
      <c r="D16" s="141" t="s">
        <v>310</v>
      </c>
      <c r="H16" s="9"/>
      <c r="S16" s="33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Y16" s="12"/>
      <c r="BZ16" s="363">
        <f t="shared" si="1"/>
        <v>0</v>
      </c>
      <c r="CA16" s="12"/>
      <c r="CB16" s="7">
        <f t="shared" si="2"/>
        <v>0</v>
      </c>
      <c r="CC16" s="7">
        <f t="shared" si="3"/>
        <v>0</v>
      </c>
      <c r="CD16" s="7">
        <f t="shared" si="4"/>
        <v>0</v>
      </c>
      <c r="CE16" s="42"/>
      <c r="EX16" s="10" t="str">
        <f t="shared" si="0"/>
        <v/>
      </c>
    </row>
    <row r="17" spans="1:154" x14ac:dyDescent="0.25">
      <c r="A17" s="362" cm="1">
        <f t="array" aca="1" ref="A17" ca="1">HYPERLINK(CONCATENATE("#",CELL("address",IF(SUM($CA17:$CE17)=0,A17,INDEX($CA17:$CE17,MATCH(1,$CA17:$CE17,0))))),SUM($CA17:$CE17))</f>
        <v>0</v>
      </c>
      <c r="D17" s="141" t="s">
        <v>311</v>
      </c>
      <c r="H17" s="9"/>
      <c r="S17" s="33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Y17" s="12"/>
      <c r="BZ17" s="363">
        <f t="shared" si="1"/>
        <v>0</v>
      </c>
      <c r="CA17" s="12"/>
      <c r="CB17" s="7">
        <f t="shared" si="2"/>
        <v>0</v>
      </c>
      <c r="CC17" s="7">
        <f t="shared" si="3"/>
        <v>0</v>
      </c>
      <c r="CD17" s="7">
        <f t="shared" si="4"/>
        <v>0</v>
      </c>
      <c r="CE17" s="42"/>
      <c r="EX17" s="10" t="str">
        <f t="shared" si="0"/>
        <v/>
      </c>
    </row>
    <row r="18" spans="1:154" x14ac:dyDescent="0.25">
      <c r="A18" s="362" cm="1">
        <f t="array" aca="1" ref="A18" ca="1">HYPERLINK(CONCATENATE("#",CELL("address",IF(SUM($CA18:$CE18)=0,A18,INDEX($CA18:$CE18,MATCH(1,$CA18:$CE18,0))))),SUM($CA18:$CE18))</f>
        <v>0</v>
      </c>
      <c r="D18" s="141" t="s">
        <v>312</v>
      </c>
      <c r="H18" s="9"/>
      <c r="S18" s="33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Y18" s="12"/>
      <c r="BZ18" s="363">
        <f t="shared" si="1"/>
        <v>0</v>
      </c>
      <c r="CA18" s="12"/>
      <c r="CB18" s="7">
        <f t="shared" si="2"/>
        <v>0</v>
      </c>
      <c r="CC18" s="7">
        <f t="shared" si="3"/>
        <v>0</v>
      </c>
      <c r="CD18" s="7">
        <f t="shared" si="4"/>
        <v>0</v>
      </c>
      <c r="CE18" s="42"/>
      <c r="EX18" s="10" t="str">
        <f t="shared" si="0"/>
        <v/>
      </c>
    </row>
    <row r="19" spans="1:154" x14ac:dyDescent="0.25">
      <c r="A19" s="362" cm="1">
        <f t="array" aca="1" ref="A19" ca="1">HYPERLINK(CONCATENATE("#",CELL("address",IF(SUM($CA19:$CE19)=0,A19,INDEX($CA19:$CE19,MATCH(1,$CA19:$CE19,0))))),SUM($CA19:$CE19))</f>
        <v>0</v>
      </c>
      <c r="D19" s="141" t="s">
        <v>313</v>
      </c>
      <c r="H19" s="9"/>
      <c r="S19" s="33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Y19" s="12"/>
      <c r="BZ19" s="363">
        <f t="shared" si="1"/>
        <v>0</v>
      </c>
      <c r="CA19" s="12"/>
      <c r="CB19" s="7">
        <f t="shared" si="2"/>
        <v>0</v>
      </c>
      <c r="CC19" s="7">
        <f t="shared" si="3"/>
        <v>0</v>
      </c>
      <c r="CD19" s="7">
        <f t="shared" si="4"/>
        <v>0</v>
      </c>
      <c r="CE19" s="42"/>
      <c r="EX19" s="10" t="str">
        <f t="shared" si="0"/>
        <v/>
      </c>
    </row>
    <row r="20" spans="1:154" x14ac:dyDescent="0.25">
      <c r="A20" s="362" cm="1">
        <f t="array" aca="1" ref="A20" ca="1">HYPERLINK(CONCATENATE("#",CELL("address",IF(SUM($CA20:$CE20)=0,A20,INDEX($CA20:$CE20,MATCH(1,$CA20:$CE20,0))))),SUM($CA20:$CE20))</f>
        <v>0</v>
      </c>
      <c r="D20" s="141" t="s">
        <v>314</v>
      </c>
      <c r="H20" s="9"/>
      <c r="S20" s="33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Y20" s="12"/>
      <c r="BZ20" s="363">
        <f t="shared" si="1"/>
        <v>0</v>
      </c>
      <c r="CA20" s="12"/>
      <c r="CB20" s="7">
        <f t="shared" si="2"/>
        <v>0</v>
      </c>
      <c r="CC20" s="7">
        <f t="shared" si="3"/>
        <v>0</v>
      </c>
      <c r="CD20" s="7">
        <f t="shared" si="4"/>
        <v>0</v>
      </c>
      <c r="CE20" s="42"/>
      <c r="EX20" s="10" t="str">
        <f t="shared" si="0"/>
        <v/>
      </c>
    </row>
    <row r="21" spans="1:154" x14ac:dyDescent="0.25">
      <c r="A21" s="362" cm="1">
        <f t="array" aca="1" ref="A21" ca="1">HYPERLINK(CONCATENATE("#",CELL("address",IF(SUM($CA21:$CE21)=0,A21,INDEX($CA21:$CE21,MATCH(1,$CA21:$CE21,0))))),SUM($CA21:$CE21))</f>
        <v>0</v>
      </c>
      <c r="D21" s="141" t="s">
        <v>315</v>
      </c>
      <c r="H21" s="9"/>
      <c r="S21" s="33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Y21" s="12"/>
      <c r="BZ21" s="363">
        <f t="shared" si="1"/>
        <v>0</v>
      </c>
      <c r="CA21" s="12"/>
      <c r="CB21" s="7">
        <f t="shared" si="2"/>
        <v>0</v>
      </c>
      <c r="CC21" s="7">
        <f t="shared" si="3"/>
        <v>0</v>
      </c>
      <c r="CD21" s="7">
        <f t="shared" si="4"/>
        <v>0</v>
      </c>
      <c r="CE21" s="42"/>
      <c r="EX21" s="10" t="str">
        <f t="shared" si="0"/>
        <v/>
      </c>
    </row>
    <row r="22" spans="1:154" x14ac:dyDescent="0.25">
      <c r="A22" s="362" cm="1">
        <f t="array" aca="1" ref="A22" ca="1">HYPERLINK(CONCATENATE("#",CELL("address",IF(SUM($CA22:$CE22)=0,A22,INDEX($CA22:$CE22,MATCH(1,$CA22:$CE22,0))))),SUM($CA22:$CE22))</f>
        <v>0</v>
      </c>
      <c r="D22" s="141" t="s">
        <v>316</v>
      </c>
      <c r="H22" s="9"/>
      <c r="S22" s="33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Y22" s="12"/>
      <c r="BZ22" s="363">
        <f t="shared" si="1"/>
        <v>0</v>
      </c>
      <c r="CA22" s="12"/>
      <c r="CB22" s="7">
        <f t="shared" si="2"/>
        <v>0</v>
      </c>
      <c r="CC22" s="7">
        <f t="shared" si="3"/>
        <v>0</v>
      </c>
      <c r="CD22" s="7">
        <f t="shared" si="4"/>
        <v>0</v>
      </c>
      <c r="CE22" s="42"/>
      <c r="EX22" s="10" t="str">
        <f t="shared" si="0"/>
        <v/>
      </c>
    </row>
    <row r="23" spans="1:154" x14ac:dyDescent="0.25">
      <c r="A23" s="362" cm="1">
        <f t="array" aca="1" ref="A23" ca="1">HYPERLINK(CONCATENATE("#",CELL("address",IF(SUM($CA23:$CE23)=0,A23,INDEX($CA23:$CE23,MATCH(1,$CA23:$CE23,0))))),SUM($CA23:$CE23))</f>
        <v>0</v>
      </c>
      <c r="D23" s="141" t="s">
        <v>317</v>
      </c>
      <c r="H23" s="9"/>
      <c r="S23" s="33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Y23" s="12"/>
      <c r="BZ23" s="363">
        <f t="shared" si="1"/>
        <v>0</v>
      </c>
      <c r="CA23" s="12"/>
      <c r="CB23" s="7">
        <f t="shared" si="2"/>
        <v>0</v>
      </c>
      <c r="CC23" s="7">
        <f t="shared" si="3"/>
        <v>0</v>
      </c>
      <c r="CD23" s="7">
        <f t="shared" si="4"/>
        <v>0</v>
      </c>
      <c r="CE23" s="42"/>
      <c r="EX23" s="10" t="str">
        <f t="shared" si="0"/>
        <v/>
      </c>
    </row>
    <row r="24" spans="1:154" x14ac:dyDescent="0.25">
      <c r="A24" s="362" cm="1">
        <f t="array" aca="1" ref="A24" ca="1">HYPERLINK(CONCATENATE("#",CELL("address",IF(SUM($CA24:$CE24)=0,A24,INDEX($CA24:$CE24,MATCH(1,$CA24:$CE24,0))))),SUM($CA24:$CE24))</f>
        <v>0</v>
      </c>
      <c r="D24" s="141" t="s">
        <v>318</v>
      </c>
      <c r="H24" s="9"/>
      <c r="S24" s="33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Y24" s="12"/>
      <c r="BZ24" s="363">
        <f t="shared" si="1"/>
        <v>0</v>
      </c>
      <c r="CA24" s="12"/>
      <c r="CB24" s="7">
        <f t="shared" si="2"/>
        <v>0</v>
      </c>
      <c r="CC24" s="7">
        <f t="shared" si="3"/>
        <v>0</v>
      </c>
      <c r="CD24" s="7">
        <f t="shared" si="4"/>
        <v>0</v>
      </c>
      <c r="CE24" s="42"/>
      <c r="EX24" s="10" t="str">
        <f t="shared" si="0"/>
        <v/>
      </c>
    </row>
    <row r="25" spans="1:154" x14ac:dyDescent="0.25">
      <c r="A25" s="362" cm="1">
        <f t="array" aca="1" ref="A25" ca="1">HYPERLINK(CONCATENATE("#",CELL("address",IF(SUM($CA25:$CE25)=0,A25,INDEX($CA25:$CE25,MATCH(1,$CA25:$CE25,0))))),SUM($CA25:$CE25))</f>
        <v>0</v>
      </c>
      <c r="D25" s="141" t="s">
        <v>319</v>
      </c>
      <c r="H25" s="9"/>
      <c r="S25" s="33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Y25" s="12"/>
      <c r="BZ25" s="363">
        <f t="shared" si="1"/>
        <v>0</v>
      </c>
      <c r="CA25" s="12"/>
      <c r="CB25" s="7">
        <f t="shared" si="2"/>
        <v>0</v>
      </c>
      <c r="CC25" s="7">
        <f t="shared" si="3"/>
        <v>0</v>
      </c>
      <c r="CD25" s="7">
        <f t="shared" si="4"/>
        <v>0</v>
      </c>
      <c r="CE25" s="42"/>
      <c r="EX25" s="10" t="str">
        <f t="shared" si="0"/>
        <v/>
      </c>
    </row>
    <row r="26" spans="1:154" x14ac:dyDescent="0.25">
      <c r="A26" s="362" cm="1">
        <f t="array" aca="1" ref="A26" ca="1">HYPERLINK(CONCATENATE("#",CELL("address",IF(SUM($CA26:$CE26)=0,A26,INDEX($CA26:$CE26,MATCH(1,$CA26:$CE26,0))))),SUM($CA26:$CE26))</f>
        <v>0</v>
      </c>
      <c r="D26" s="141" t="s">
        <v>320</v>
      </c>
      <c r="H26" s="9"/>
      <c r="S26" s="33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Y26" s="12"/>
      <c r="BZ26" s="363">
        <f t="shared" si="1"/>
        <v>0</v>
      </c>
      <c r="CA26" s="12"/>
      <c r="CB26" s="7">
        <f t="shared" si="2"/>
        <v>0</v>
      </c>
      <c r="CC26" s="7">
        <f t="shared" si="3"/>
        <v>0</v>
      </c>
      <c r="CD26" s="7">
        <f t="shared" si="4"/>
        <v>0</v>
      </c>
      <c r="CE26" s="42"/>
      <c r="EX26" s="10" t="str">
        <f t="shared" si="0"/>
        <v/>
      </c>
    </row>
    <row r="27" spans="1:154" x14ac:dyDescent="0.25">
      <c r="A27" s="362" cm="1">
        <f t="array" aca="1" ref="A27" ca="1">HYPERLINK(CONCATENATE("#",CELL("address",IF(SUM($CA27:$CE27)=0,A27,INDEX($CA27:$CE27,MATCH(1,$CA27:$CE27,0))))),SUM($CA27:$CE27))</f>
        <v>0</v>
      </c>
      <c r="D27" s="141" t="s">
        <v>321</v>
      </c>
      <c r="H27" s="9"/>
      <c r="S27" s="33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Y27" s="12"/>
      <c r="BZ27" s="363">
        <f t="shared" si="1"/>
        <v>0</v>
      </c>
      <c r="CA27" s="12"/>
      <c r="CB27" s="7">
        <f t="shared" si="2"/>
        <v>0</v>
      </c>
      <c r="CC27" s="7">
        <f>IF(OR(SUM(AM27:AX27)=1, SUM(AM27:AX27)=0), 0, 1)</f>
        <v>0</v>
      </c>
      <c r="CD27" s="7">
        <f t="shared" si="4"/>
        <v>0</v>
      </c>
      <c r="CE27" s="42"/>
      <c r="EX27" s="10" t="str">
        <f t="shared" si="0"/>
        <v/>
      </c>
    </row>
    <row r="28" spans="1:154" x14ac:dyDescent="0.25">
      <c r="A28" s="362" cm="1">
        <f t="array" aca="1" ref="A28" ca="1">HYPERLINK(CONCATENATE("#",CELL("address",IF(SUM($CA28:$CE28)=0,A28,INDEX($CA28:$CE28,MATCH(1,$CA28:$CE28,0))))),SUM($CA28:$CE28))</f>
        <v>0</v>
      </c>
      <c r="D28" s="141" t="s">
        <v>322</v>
      </c>
      <c r="H28" s="9"/>
      <c r="S28" s="33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Y28" s="12"/>
      <c r="BZ28" s="363">
        <f t="shared" si="1"/>
        <v>0</v>
      </c>
      <c r="CA28" s="12"/>
      <c r="CB28" s="7">
        <f t="shared" si="2"/>
        <v>0</v>
      </c>
      <c r="CC28" s="7">
        <f t="shared" si="3"/>
        <v>0</v>
      </c>
      <c r="CD28" s="7">
        <f>IF(OR(SUM(AY28:BJ28)=1, SUM(AY28:BJ28)=0), 0, 1)</f>
        <v>0</v>
      </c>
      <c r="CE28" s="42"/>
      <c r="EX28" s="10" t="str">
        <f t="shared" si="0"/>
        <v/>
      </c>
    </row>
    <row r="29" spans="1:154" x14ac:dyDescent="0.25">
      <c r="A29" s="362" cm="1">
        <f t="array" aca="1" ref="A29" ca="1">HYPERLINK(CONCATENATE("#",CELL("address",IF(SUM($CA29:$CE29)=0,A29,INDEX($CA29:$CE29,MATCH(1,$CA29:$CE29,0))))),SUM($CA29:$CE29))</f>
        <v>0</v>
      </c>
      <c r="D29" s="141" t="s">
        <v>323</v>
      </c>
      <c r="H29" s="9"/>
      <c r="S29" s="33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Y29" s="12"/>
      <c r="BZ29" s="363">
        <f t="shared" si="1"/>
        <v>0</v>
      </c>
      <c r="CA29" s="12"/>
      <c r="CB29" s="7">
        <f t="shared" si="2"/>
        <v>0</v>
      </c>
      <c r="CC29" s="7">
        <f t="shared" si="3"/>
        <v>0</v>
      </c>
      <c r="CD29" s="7">
        <f t="shared" si="4"/>
        <v>0</v>
      </c>
      <c r="CE29" s="42"/>
      <c r="EX29" s="10" t="str">
        <f t="shared" si="0"/>
        <v/>
      </c>
    </row>
    <row r="30" spans="1:154" s="5" customFormat="1" x14ac:dyDescent="0.25">
      <c r="A30" s="362" cm="1">
        <f t="array" aca="1" ref="A30" ca="1">HYPERLINK(CONCATENATE("#",CELL("address",IF(SUM($CA30:$CE30)=0,A30,INDEX($CA30:$CE30,MATCH(1,$CA30:$CE30,0))))),SUM($CA30:$CE30))</f>
        <v>0</v>
      </c>
      <c r="B30" s="67"/>
      <c r="C30" s="67"/>
      <c r="D30" s="141" t="s">
        <v>324</v>
      </c>
      <c r="E30" s="1"/>
      <c r="F30" s="67"/>
      <c r="G30" s="67"/>
      <c r="H30" s="9"/>
      <c r="I30" s="67"/>
      <c r="J30" s="67"/>
      <c r="K30" s="67"/>
      <c r="L30" s="67"/>
      <c r="M30" s="67"/>
      <c r="N30" s="67"/>
      <c r="O30" s="67"/>
      <c r="P30" s="67"/>
      <c r="Q30" s="67"/>
      <c r="R30" s="67"/>
      <c r="S30" s="335"/>
      <c r="T30" s="67"/>
      <c r="U30" s="67"/>
      <c r="V30" s="67"/>
      <c r="W30" s="67"/>
      <c r="X30" s="67"/>
      <c r="Y30" s="67"/>
      <c r="Z30" s="67"/>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67"/>
      <c r="BL30" s="67"/>
      <c r="BM30" s="67"/>
      <c r="BN30" s="67"/>
      <c r="BO30" s="67"/>
      <c r="BP30" s="67"/>
      <c r="BQ30" s="67"/>
      <c r="BR30" s="67"/>
      <c r="BS30" s="67"/>
      <c r="BT30" s="67"/>
      <c r="BU30" s="67"/>
      <c r="BV30" s="67"/>
      <c r="BW30" s="67"/>
      <c r="BX30" s="67"/>
      <c r="BY30" s="12"/>
      <c r="BZ30" s="363">
        <f t="shared" si="1"/>
        <v>0</v>
      </c>
      <c r="CA30" s="12"/>
      <c r="CB30" s="7">
        <f t="shared" si="2"/>
        <v>0</v>
      </c>
      <c r="CC30" s="7">
        <f t="shared" si="3"/>
        <v>0</v>
      </c>
      <c r="CD30" s="7">
        <f t="shared" si="4"/>
        <v>0</v>
      </c>
      <c r="CE30" s="42"/>
      <c r="EX30" s="10" t="str">
        <f t="shared" si="0"/>
        <v/>
      </c>
    </row>
    <row r="31" spans="1:154" x14ac:dyDescent="0.25">
      <c r="A31" s="362" cm="1">
        <f t="array" aca="1" ref="A31" ca="1">HYPERLINK(CONCATENATE("#",CELL("address",IF(SUM($CA31:$CE31)=0,A31,INDEX($CA31:$CE31,MATCH(1,$CA31:$CE31,0))))),SUM($CA31:$CE31))</f>
        <v>0</v>
      </c>
      <c r="D31" s="141" t="s">
        <v>325</v>
      </c>
      <c r="H31" s="9"/>
      <c r="S31" s="33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Y31" s="12"/>
      <c r="BZ31" s="363">
        <f t="shared" si="1"/>
        <v>0</v>
      </c>
      <c r="CA31" s="12"/>
      <c r="CB31" s="7">
        <f t="shared" si="2"/>
        <v>0</v>
      </c>
      <c r="CC31" s="7">
        <f t="shared" si="3"/>
        <v>0</v>
      </c>
      <c r="CD31" s="7">
        <f t="shared" si="4"/>
        <v>0</v>
      </c>
      <c r="CE31" s="42"/>
      <c r="EX31" s="10" t="str">
        <f t="shared" si="0"/>
        <v/>
      </c>
    </row>
    <row r="32" spans="1:154" x14ac:dyDescent="0.25">
      <c r="A32" s="362" cm="1">
        <f t="array" aca="1" ref="A32" ca="1">HYPERLINK(CONCATENATE("#",CELL("address",IF(SUM($CA32:$CE32)=0,A32,INDEX($CA32:$CE32,MATCH(1,$CA32:$CE32,0))))),SUM($CA32:$CE32))</f>
        <v>0</v>
      </c>
      <c r="D32" s="141" t="s">
        <v>326</v>
      </c>
      <c r="H32" s="9"/>
      <c r="S32" s="33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Y32" s="12"/>
      <c r="BZ32" s="363">
        <f t="shared" si="1"/>
        <v>0</v>
      </c>
      <c r="CA32" s="12"/>
      <c r="CB32" s="7">
        <f t="shared" si="2"/>
        <v>0</v>
      </c>
      <c r="CC32" s="7">
        <f t="shared" si="3"/>
        <v>0</v>
      </c>
      <c r="CD32" s="7">
        <f t="shared" si="4"/>
        <v>0</v>
      </c>
      <c r="CE32" s="42"/>
      <c r="EX32" s="10" t="str">
        <f t="shared" si="0"/>
        <v/>
      </c>
    </row>
    <row r="33" spans="1:154" x14ac:dyDescent="0.25">
      <c r="A33" s="362" cm="1">
        <f t="array" aca="1" ref="A33" ca="1">HYPERLINK(CONCATENATE("#",CELL("address",IF(SUM($CA33:$CE33)=0,A33,INDEX($CA33:$CE33,MATCH(1,$CA33:$CE33,0))))),SUM($CA33:$CE33))</f>
        <v>0</v>
      </c>
      <c r="D33" s="141" t="s">
        <v>327</v>
      </c>
      <c r="H33" s="9"/>
      <c r="S33" s="33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Y33" s="12"/>
      <c r="BZ33" s="363">
        <f t="shared" si="1"/>
        <v>0</v>
      </c>
      <c r="CA33" s="12"/>
      <c r="CB33" s="7">
        <f t="shared" si="2"/>
        <v>0</v>
      </c>
      <c r="CC33" s="7">
        <f t="shared" si="3"/>
        <v>0</v>
      </c>
      <c r="CD33" s="7">
        <f t="shared" si="4"/>
        <v>0</v>
      </c>
      <c r="CE33" s="42"/>
      <c r="EX33" s="10" t="str">
        <f t="shared" si="0"/>
        <v/>
      </c>
    </row>
    <row r="34" spans="1:154" x14ac:dyDescent="0.25">
      <c r="A34" s="362" cm="1">
        <f t="array" aca="1" ref="A34" ca="1">HYPERLINK(CONCATENATE("#",CELL("address",IF(SUM($CA34:$CE34)=0,A34,INDEX($CA34:$CE34,MATCH(1,$CA34:$CE34,0))))),SUM($CA34:$CE34))</f>
        <v>0</v>
      </c>
      <c r="D34" s="141" t="s">
        <v>328</v>
      </c>
      <c r="H34" s="9"/>
      <c r="S34" s="33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Y34" s="12"/>
      <c r="BZ34" s="363">
        <f t="shared" si="1"/>
        <v>0</v>
      </c>
      <c r="CA34" s="12"/>
      <c r="CB34" s="7">
        <f t="shared" si="2"/>
        <v>0</v>
      </c>
      <c r="CC34" s="7">
        <f t="shared" si="3"/>
        <v>0</v>
      </c>
      <c r="CD34" s="7">
        <f t="shared" si="4"/>
        <v>0</v>
      </c>
      <c r="CE34" s="42"/>
      <c r="EX34" s="10" t="str">
        <f t="shared" si="0"/>
        <v/>
      </c>
    </row>
    <row r="35" spans="1:154" x14ac:dyDescent="0.25">
      <c r="A35" s="362" cm="1">
        <f t="array" aca="1" ref="A35" ca="1">HYPERLINK(CONCATENATE("#",CELL("address",IF(SUM($CA35:$CE35)=0,A35,INDEX($CA35:$CE35,MATCH(1,$CA35:$CE35,0))))),SUM($CA35:$CE35))</f>
        <v>0</v>
      </c>
      <c r="D35" s="141" t="s">
        <v>329</v>
      </c>
      <c r="H35" s="9"/>
      <c r="S35" s="33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Y35" s="12"/>
      <c r="BZ35" s="363">
        <f t="shared" si="1"/>
        <v>0</v>
      </c>
      <c r="CA35" s="12"/>
      <c r="CB35" s="7">
        <f t="shared" si="2"/>
        <v>0</v>
      </c>
      <c r="CC35" s="7">
        <f t="shared" si="3"/>
        <v>0</v>
      </c>
      <c r="CD35" s="7">
        <f t="shared" si="4"/>
        <v>0</v>
      </c>
      <c r="CE35" s="42"/>
      <c r="EX35" s="10" t="str">
        <f t="shared" si="0"/>
        <v/>
      </c>
    </row>
    <row r="36" spans="1:154" x14ac:dyDescent="0.25">
      <c r="A36" s="362" cm="1">
        <f t="array" aca="1" ref="A36" ca="1">HYPERLINK(CONCATENATE("#",CELL("address",IF(SUM($CA36:$CE36)=0,A36,INDEX($CA36:$CE36,MATCH(1,$CA36:$CE36,0))))),SUM($CA36:$CE36))</f>
        <v>0</v>
      </c>
      <c r="D36" s="141" t="s">
        <v>330</v>
      </c>
      <c r="H36" s="9"/>
      <c r="S36" s="33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Y36" s="12"/>
      <c r="BZ36" s="363">
        <f t="shared" si="1"/>
        <v>0</v>
      </c>
      <c r="CA36" s="12"/>
      <c r="CB36" s="7">
        <f t="shared" si="2"/>
        <v>0</v>
      </c>
      <c r="CC36" s="7">
        <f t="shared" si="3"/>
        <v>0</v>
      </c>
      <c r="CD36" s="7">
        <f t="shared" si="4"/>
        <v>0</v>
      </c>
      <c r="CE36" s="42"/>
      <c r="EX36" s="10" t="str">
        <f t="shared" si="0"/>
        <v/>
      </c>
    </row>
    <row r="37" spans="1:154" x14ac:dyDescent="0.25">
      <c r="A37" s="362" cm="1">
        <f t="array" aca="1" ref="A37" ca="1">HYPERLINK(CONCATENATE("#",CELL("address",IF(SUM($CA37:$CE37)=0,A37,INDEX($CA37:$CE37,MATCH(1,$CA37:$CE37,0))))),SUM($CA37:$CE37))</f>
        <v>0</v>
      </c>
      <c r="D37" s="141" t="s">
        <v>331</v>
      </c>
      <c r="H37" s="9"/>
      <c r="S37" s="33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Y37" s="12"/>
      <c r="BZ37" s="363">
        <f t="shared" si="1"/>
        <v>0</v>
      </c>
      <c r="CA37" s="12"/>
      <c r="CB37" s="7">
        <f t="shared" si="2"/>
        <v>0</v>
      </c>
      <c r="CC37" s="7">
        <f t="shared" si="3"/>
        <v>0</v>
      </c>
      <c r="CD37" s="7">
        <f t="shared" si="4"/>
        <v>0</v>
      </c>
      <c r="CE37" s="42"/>
      <c r="EX37" s="10" t="str">
        <f t="shared" si="0"/>
        <v/>
      </c>
    </row>
    <row r="38" spans="1:154" s="335" customFormat="1" x14ac:dyDescent="0.25">
      <c r="A38" s="362" cm="1">
        <f t="array" aca="1" ref="A38" ca="1">HYPERLINK(CONCATENATE("#",CELL("address",IF(SUM($CA38:$CE38)=0,A38,INDEX($CA38:$CE38,MATCH(1,$CA38:$CE38,0))))),SUM($CA38:$CE38))</f>
        <v>0</v>
      </c>
      <c r="D38" s="141" t="s">
        <v>1633</v>
      </c>
      <c r="E38" s="1"/>
      <c r="H38" s="9"/>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Y38" s="12"/>
      <c r="BZ38" s="363">
        <f t="shared" si="1"/>
        <v>0</v>
      </c>
      <c r="CA38" s="12"/>
      <c r="CB38" s="7">
        <f t="shared" ref="CB38:CB62" si="6">IF(OR(SUM(AA38:AL38)=1, SUM(AA38:AL38)=0), 0, 1)</f>
        <v>0</v>
      </c>
      <c r="CC38" s="7">
        <f t="shared" ref="CC38:CC51" si="7">IF(OR(SUM(AM38:AX38)=1, SUM(AM38:AX38)=0), 0, 1)</f>
        <v>0</v>
      </c>
      <c r="CD38" s="7">
        <f t="shared" ref="CD38:CD52" si="8">IF(OR(SUM(AY38:BJ38)=1, SUM(AY38:BJ38)=0), 0, 1)</f>
        <v>0</v>
      </c>
      <c r="CE38" s="42"/>
      <c r="EX38" s="10" t="str">
        <f t="shared" si="0"/>
        <v/>
      </c>
    </row>
    <row r="39" spans="1:154" s="335" customFormat="1" x14ac:dyDescent="0.25">
      <c r="A39" s="362" cm="1">
        <f t="array" aca="1" ref="A39" ca="1">HYPERLINK(CONCATENATE("#",CELL("address",IF(SUM($CA39:$CE39)=0,A39,INDEX($CA39:$CE39,MATCH(1,$CA39:$CE39,0))))),SUM($CA39:$CE39))</f>
        <v>0</v>
      </c>
      <c r="D39" s="141" t="s">
        <v>1634</v>
      </c>
      <c r="E39" s="1"/>
      <c r="H39" s="9"/>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Y39" s="12"/>
      <c r="BZ39" s="363">
        <f t="shared" si="1"/>
        <v>0</v>
      </c>
      <c r="CA39" s="12"/>
      <c r="CB39" s="7">
        <f t="shared" si="6"/>
        <v>0</v>
      </c>
      <c r="CC39" s="7">
        <f t="shared" si="7"/>
        <v>0</v>
      </c>
      <c r="CD39" s="7">
        <f t="shared" si="8"/>
        <v>0</v>
      </c>
      <c r="CE39" s="42"/>
      <c r="EX39" s="10" t="str">
        <f t="shared" si="0"/>
        <v/>
      </c>
    </row>
    <row r="40" spans="1:154" s="335" customFormat="1" x14ac:dyDescent="0.25">
      <c r="A40" s="362" cm="1">
        <f t="array" aca="1" ref="A40" ca="1">HYPERLINK(CONCATENATE("#",CELL("address",IF(SUM($CA40:$CE40)=0,A40,INDEX($CA40:$CE40,MATCH(1,$CA40:$CE40,0))))),SUM($CA40:$CE40))</f>
        <v>0</v>
      </c>
      <c r="D40" s="141" t="s">
        <v>1635</v>
      </c>
      <c r="E40" s="1"/>
      <c r="H40" s="9"/>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Y40" s="12"/>
      <c r="BZ40" s="363">
        <f t="shared" si="1"/>
        <v>0</v>
      </c>
      <c r="CA40" s="12"/>
      <c r="CB40" s="7">
        <f t="shared" si="6"/>
        <v>0</v>
      </c>
      <c r="CC40" s="7">
        <f t="shared" si="7"/>
        <v>0</v>
      </c>
      <c r="CD40" s="7">
        <f t="shared" si="8"/>
        <v>0</v>
      </c>
      <c r="CE40" s="42"/>
      <c r="EX40" s="10" t="str">
        <f t="shared" si="0"/>
        <v/>
      </c>
    </row>
    <row r="41" spans="1:154" s="335" customFormat="1" x14ac:dyDescent="0.25">
      <c r="A41" s="362" cm="1">
        <f t="array" aca="1" ref="A41" ca="1">HYPERLINK(CONCATENATE("#",CELL("address",IF(SUM($CA41:$CE41)=0,A41,INDEX($CA41:$CE41,MATCH(1,$CA41:$CE41,0))))),SUM($CA41:$CE41))</f>
        <v>0</v>
      </c>
      <c r="D41" s="141" t="s">
        <v>1636</v>
      </c>
      <c r="E41" s="1"/>
      <c r="H41" s="9"/>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Y41" s="12"/>
      <c r="BZ41" s="363">
        <f t="shared" ref="BZ41:BZ72" si="9">IF(MIN($AA41:$BJ41)&lt;0, 1, 0)</f>
        <v>0</v>
      </c>
      <c r="CA41" s="12"/>
      <c r="CB41" s="7">
        <f t="shared" si="6"/>
        <v>0</v>
      </c>
      <c r="CC41" s="7">
        <f t="shared" si="7"/>
        <v>0</v>
      </c>
      <c r="CD41" s="7">
        <f t="shared" si="8"/>
        <v>0</v>
      </c>
      <c r="CE41" s="42"/>
      <c r="EX41" s="10" t="str">
        <f t="shared" si="0"/>
        <v/>
      </c>
    </row>
    <row r="42" spans="1:154" s="335" customFormat="1" x14ac:dyDescent="0.25">
      <c r="A42" s="362" cm="1">
        <f t="array" aca="1" ref="A42" ca="1">HYPERLINK(CONCATENATE("#",CELL("address",IF(SUM($CA42:$CE42)=0,A42,INDEX($CA42:$CE42,MATCH(1,$CA42:$CE42,0))))),SUM($CA42:$CE42))</f>
        <v>0</v>
      </c>
      <c r="D42" s="141" t="s">
        <v>1637</v>
      </c>
      <c r="E42" s="1"/>
      <c r="H42" s="9"/>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Y42" s="12"/>
      <c r="BZ42" s="363">
        <f t="shared" si="9"/>
        <v>0</v>
      </c>
      <c r="CA42" s="12"/>
      <c r="CB42" s="7">
        <f t="shared" si="6"/>
        <v>0</v>
      </c>
      <c r="CC42" s="7">
        <f t="shared" si="7"/>
        <v>0</v>
      </c>
      <c r="CD42" s="7">
        <f t="shared" si="8"/>
        <v>0</v>
      </c>
      <c r="CE42" s="42"/>
      <c r="EX42" s="10" t="str">
        <f t="shared" si="0"/>
        <v/>
      </c>
    </row>
    <row r="43" spans="1:154" s="335" customFormat="1" x14ac:dyDescent="0.25">
      <c r="A43" s="362" cm="1">
        <f t="array" aca="1" ref="A43" ca="1">HYPERLINK(CONCATENATE("#",CELL("address",IF(SUM($CA43:$CE43)=0,A43,INDEX($CA43:$CE43,MATCH(1,$CA43:$CE43,0))))),SUM($CA43:$CE43))</f>
        <v>0</v>
      </c>
      <c r="D43" s="141" t="s">
        <v>1638</v>
      </c>
      <c r="E43" s="1"/>
      <c r="H43" s="9"/>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Y43" s="12"/>
      <c r="BZ43" s="363">
        <f t="shared" si="9"/>
        <v>0</v>
      </c>
      <c r="CA43" s="12"/>
      <c r="CB43" s="7">
        <f t="shared" si="6"/>
        <v>0</v>
      </c>
      <c r="CC43" s="7">
        <f t="shared" si="7"/>
        <v>0</v>
      </c>
      <c r="CD43" s="7">
        <f t="shared" si="8"/>
        <v>0</v>
      </c>
      <c r="CE43" s="42"/>
      <c r="EX43" s="10" t="str">
        <f t="shared" si="0"/>
        <v/>
      </c>
    </row>
    <row r="44" spans="1:154" s="335" customFormat="1" x14ac:dyDescent="0.25">
      <c r="A44" s="362" cm="1">
        <f t="array" aca="1" ref="A44" ca="1">HYPERLINK(CONCATENATE("#",CELL("address",IF(SUM($CA44:$CE44)=0,A44,INDEX($CA44:$CE44,MATCH(1,$CA44:$CE44,0))))),SUM($CA44:$CE44))</f>
        <v>0</v>
      </c>
      <c r="D44" s="141" t="s">
        <v>1639</v>
      </c>
      <c r="E44" s="1"/>
      <c r="H44" s="9"/>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Y44" s="12"/>
      <c r="BZ44" s="363">
        <f t="shared" si="9"/>
        <v>0</v>
      </c>
      <c r="CA44" s="12"/>
      <c r="CB44" s="7">
        <f t="shared" si="6"/>
        <v>0</v>
      </c>
      <c r="CC44" s="7">
        <f t="shared" si="7"/>
        <v>0</v>
      </c>
      <c r="CD44" s="7">
        <f t="shared" si="8"/>
        <v>0</v>
      </c>
      <c r="CE44" s="42"/>
      <c r="EX44" s="10" t="str">
        <f t="shared" si="0"/>
        <v/>
      </c>
    </row>
    <row r="45" spans="1:154" s="335" customFormat="1" x14ac:dyDescent="0.25">
      <c r="A45" s="362" cm="1">
        <f t="array" aca="1" ref="A45" ca="1">HYPERLINK(CONCATENATE("#",CELL("address",IF(SUM($CA45:$CE45)=0,A45,INDEX($CA45:$CE45,MATCH(1,$CA45:$CE45,0))))),SUM($CA45:$CE45))</f>
        <v>0</v>
      </c>
      <c r="D45" s="141" t="s">
        <v>1640</v>
      </c>
      <c r="E45" s="1"/>
      <c r="H45" s="9"/>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Y45" s="12"/>
      <c r="BZ45" s="363">
        <f t="shared" si="9"/>
        <v>0</v>
      </c>
      <c r="CA45" s="12"/>
      <c r="CB45" s="7">
        <f t="shared" si="6"/>
        <v>0</v>
      </c>
      <c r="CC45" s="7">
        <f t="shared" si="7"/>
        <v>0</v>
      </c>
      <c r="CD45" s="7">
        <f t="shared" si="8"/>
        <v>0</v>
      </c>
      <c r="CE45" s="42"/>
      <c r="EX45" s="10" t="str">
        <f t="shared" si="0"/>
        <v/>
      </c>
    </row>
    <row r="46" spans="1:154" s="335" customFormat="1" x14ac:dyDescent="0.25">
      <c r="A46" s="362" cm="1">
        <f t="array" aca="1" ref="A46" ca="1">HYPERLINK(CONCATENATE("#",CELL("address",IF(SUM($CA46:$CE46)=0,A46,INDEX($CA46:$CE46,MATCH(1,$CA46:$CE46,0))))),SUM($CA46:$CE46))</f>
        <v>0</v>
      </c>
      <c r="D46" s="141" t="s">
        <v>1641</v>
      </c>
      <c r="E46" s="1"/>
      <c r="H46" s="9"/>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Y46" s="12"/>
      <c r="BZ46" s="363">
        <f t="shared" si="9"/>
        <v>0</v>
      </c>
      <c r="CA46" s="12"/>
      <c r="CB46" s="7">
        <f t="shared" si="6"/>
        <v>0</v>
      </c>
      <c r="CC46" s="7">
        <f t="shared" si="7"/>
        <v>0</v>
      </c>
      <c r="CD46" s="7">
        <f t="shared" si="8"/>
        <v>0</v>
      </c>
      <c r="CE46" s="42"/>
      <c r="EX46" s="10" t="str">
        <f t="shared" si="0"/>
        <v/>
      </c>
    </row>
    <row r="47" spans="1:154" s="335" customFormat="1" x14ac:dyDescent="0.25">
      <c r="A47" s="362" cm="1">
        <f t="array" aca="1" ref="A47" ca="1">HYPERLINK(CONCATENATE("#",CELL("address",IF(SUM($CA47:$CE47)=0,A47,INDEX($CA47:$CE47,MATCH(1,$CA47:$CE47,0))))),SUM($CA47:$CE47))</f>
        <v>0</v>
      </c>
      <c r="D47" s="141" t="s">
        <v>1642</v>
      </c>
      <c r="E47" s="1"/>
      <c r="H47" s="9"/>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Y47" s="12"/>
      <c r="BZ47" s="363">
        <f t="shared" si="9"/>
        <v>0</v>
      </c>
      <c r="CA47" s="12"/>
      <c r="CB47" s="7">
        <f t="shared" si="6"/>
        <v>0</v>
      </c>
      <c r="CC47" s="7">
        <f t="shared" si="7"/>
        <v>0</v>
      </c>
      <c r="CD47" s="7">
        <f t="shared" si="8"/>
        <v>0</v>
      </c>
      <c r="CE47" s="42"/>
      <c r="EX47" s="10" t="str">
        <f t="shared" si="0"/>
        <v/>
      </c>
    </row>
    <row r="48" spans="1:154" s="335" customFormat="1" x14ac:dyDescent="0.25">
      <c r="A48" s="362" cm="1">
        <f t="array" aca="1" ref="A48" ca="1">HYPERLINK(CONCATENATE("#",CELL("address",IF(SUM($CA48:$CE48)=0,A48,INDEX($CA48:$CE48,MATCH(1,$CA48:$CE48,0))))),SUM($CA48:$CE48))</f>
        <v>0</v>
      </c>
      <c r="D48" s="141" t="s">
        <v>1643</v>
      </c>
      <c r="E48" s="1"/>
      <c r="H48" s="9"/>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Y48" s="12"/>
      <c r="BZ48" s="363">
        <f t="shared" si="9"/>
        <v>0</v>
      </c>
      <c r="CA48" s="12"/>
      <c r="CB48" s="7">
        <f t="shared" si="6"/>
        <v>0</v>
      </c>
      <c r="CC48" s="7">
        <f t="shared" si="7"/>
        <v>0</v>
      </c>
      <c r="CD48" s="7">
        <f t="shared" si="8"/>
        <v>0</v>
      </c>
      <c r="CE48" s="42"/>
      <c r="EX48" s="10" t="str">
        <f t="shared" si="0"/>
        <v/>
      </c>
    </row>
    <row r="49" spans="1:154" s="335" customFormat="1" x14ac:dyDescent="0.25">
      <c r="A49" s="362" cm="1">
        <f t="array" aca="1" ref="A49" ca="1">HYPERLINK(CONCATENATE("#",CELL("address",IF(SUM($CA49:$CE49)=0,A49,INDEX($CA49:$CE49,MATCH(1,$CA49:$CE49,0))))),SUM($CA49:$CE49))</f>
        <v>0</v>
      </c>
      <c r="D49" s="141" t="s">
        <v>1644</v>
      </c>
      <c r="E49" s="1"/>
      <c r="H49" s="9"/>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Y49" s="12"/>
      <c r="BZ49" s="363">
        <f t="shared" si="9"/>
        <v>0</v>
      </c>
      <c r="CA49" s="12"/>
      <c r="CB49" s="7">
        <f t="shared" si="6"/>
        <v>0</v>
      </c>
      <c r="CC49" s="7">
        <f t="shared" si="7"/>
        <v>0</v>
      </c>
      <c r="CD49" s="7">
        <f t="shared" si="8"/>
        <v>0</v>
      </c>
      <c r="CE49" s="42"/>
      <c r="EX49" s="10" t="str">
        <f t="shared" si="0"/>
        <v/>
      </c>
    </row>
    <row r="50" spans="1:154" s="335" customFormat="1" x14ac:dyDescent="0.25">
      <c r="A50" s="362" cm="1">
        <f t="array" aca="1" ref="A50" ca="1">HYPERLINK(CONCATENATE("#",CELL("address",IF(SUM($CA50:$CE50)=0,A50,INDEX($CA50:$CE50,MATCH(1,$CA50:$CE50,0))))),SUM($CA50:$CE50))</f>
        <v>0</v>
      </c>
      <c r="D50" s="141" t="s">
        <v>1645</v>
      </c>
      <c r="E50" s="1"/>
      <c r="H50" s="9"/>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Y50" s="12"/>
      <c r="BZ50" s="363">
        <f t="shared" si="9"/>
        <v>0</v>
      </c>
      <c r="CA50" s="12"/>
      <c r="CB50" s="7">
        <f t="shared" si="6"/>
        <v>0</v>
      </c>
      <c r="CC50" s="7">
        <f t="shared" si="7"/>
        <v>0</v>
      </c>
      <c r="CD50" s="7">
        <f t="shared" si="8"/>
        <v>0</v>
      </c>
      <c r="CE50" s="42"/>
      <c r="EX50" s="10" t="str">
        <f t="shared" si="0"/>
        <v/>
      </c>
    </row>
    <row r="51" spans="1:154" s="335" customFormat="1" x14ac:dyDescent="0.25">
      <c r="A51" s="362" cm="1">
        <f t="array" aca="1" ref="A51" ca="1">HYPERLINK(CONCATENATE("#",CELL("address",IF(SUM($CA51:$CE51)=0,A51,INDEX($CA51:$CE51,MATCH(1,$CA51:$CE51,0))))),SUM($CA51:$CE51))</f>
        <v>0</v>
      </c>
      <c r="D51" s="141" t="s">
        <v>1646</v>
      </c>
      <c r="E51" s="1"/>
      <c r="H51" s="9"/>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Y51" s="12"/>
      <c r="BZ51" s="363">
        <f t="shared" si="9"/>
        <v>0</v>
      </c>
      <c r="CA51" s="12"/>
      <c r="CB51" s="7">
        <f t="shared" si="6"/>
        <v>0</v>
      </c>
      <c r="CC51" s="7">
        <f t="shared" si="7"/>
        <v>0</v>
      </c>
      <c r="CD51" s="7">
        <f t="shared" si="8"/>
        <v>0</v>
      </c>
      <c r="CE51" s="42"/>
      <c r="EX51" s="10" t="str">
        <f t="shared" si="0"/>
        <v/>
      </c>
    </row>
    <row r="52" spans="1:154" s="335" customFormat="1" x14ac:dyDescent="0.25">
      <c r="A52" s="362" cm="1">
        <f t="array" aca="1" ref="A52" ca="1">HYPERLINK(CONCATENATE("#",CELL("address",IF(SUM($CA52:$CE52)=0,A52,INDEX($CA52:$CE52,MATCH(1,$CA52:$CE52,0))))),SUM($CA52:$CE52))</f>
        <v>0</v>
      </c>
      <c r="D52" s="141" t="s">
        <v>1647</v>
      </c>
      <c r="E52" s="1"/>
      <c r="H52" s="9"/>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Y52" s="12"/>
      <c r="BZ52" s="363">
        <f t="shared" si="9"/>
        <v>0</v>
      </c>
      <c r="CA52" s="12"/>
      <c r="CB52" s="7">
        <f t="shared" si="6"/>
        <v>0</v>
      </c>
      <c r="CC52" s="7">
        <f>IF(OR(SUM(AM52:AX52)=1, SUM(AM52:AX52)=0), 0, 1)</f>
        <v>0</v>
      </c>
      <c r="CD52" s="7">
        <f t="shared" si="8"/>
        <v>0</v>
      </c>
      <c r="CE52" s="42"/>
      <c r="EX52" s="10" t="str">
        <f t="shared" si="0"/>
        <v/>
      </c>
    </row>
    <row r="53" spans="1:154" s="335" customFormat="1" x14ac:dyDescent="0.25">
      <c r="A53" s="362" cm="1">
        <f t="array" aca="1" ref="A53" ca="1">HYPERLINK(CONCATENATE("#",CELL("address",IF(SUM($CA53:$CE53)=0,A53,INDEX($CA53:$CE53,MATCH(1,$CA53:$CE53,0))))),SUM($CA53:$CE53))</f>
        <v>0</v>
      </c>
      <c r="D53" s="141" t="s">
        <v>1648</v>
      </c>
      <c r="E53" s="1"/>
      <c r="H53" s="9"/>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Y53" s="12"/>
      <c r="BZ53" s="363">
        <f t="shared" si="9"/>
        <v>0</v>
      </c>
      <c r="CA53" s="12"/>
      <c r="CB53" s="7">
        <f t="shared" si="6"/>
        <v>0</v>
      </c>
      <c r="CC53" s="7">
        <f t="shared" ref="CC53:CC76" si="10">IF(OR(SUM(AM53:AX53)=1, SUM(AM53:AX53)=0), 0, 1)</f>
        <v>0</v>
      </c>
      <c r="CD53" s="7">
        <f>IF(OR(SUM(AY53:BJ53)=1, SUM(AY53:BJ53)=0), 0, 1)</f>
        <v>0</v>
      </c>
      <c r="CE53" s="42"/>
      <c r="EX53" s="10" t="str">
        <f t="shared" si="0"/>
        <v/>
      </c>
    </row>
    <row r="54" spans="1:154" s="335" customFormat="1" x14ac:dyDescent="0.25">
      <c r="A54" s="362" cm="1">
        <f t="array" aca="1" ref="A54" ca="1">HYPERLINK(CONCATENATE("#",CELL("address",IF(SUM($CA54:$CE54)=0,A54,INDEX($CA54:$CE54,MATCH(1,$CA54:$CE54,0))))),SUM($CA54:$CE54))</f>
        <v>0</v>
      </c>
      <c r="D54" s="141" t="s">
        <v>1649</v>
      </c>
      <c r="E54" s="1"/>
      <c r="H54" s="9"/>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Y54" s="12"/>
      <c r="BZ54" s="363">
        <f t="shared" si="9"/>
        <v>0</v>
      </c>
      <c r="CA54" s="12"/>
      <c r="CB54" s="7">
        <f t="shared" si="6"/>
        <v>0</v>
      </c>
      <c r="CC54" s="7">
        <f t="shared" si="10"/>
        <v>0</v>
      </c>
      <c r="CD54" s="7">
        <f t="shared" ref="CD54:CD77" si="11">IF(OR(SUM(AY54:BJ54)=1, SUM(AY54:BJ54)=0), 0, 1)</f>
        <v>0</v>
      </c>
      <c r="CE54" s="42"/>
      <c r="EX54" s="10" t="str">
        <f t="shared" si="0"/>
        <v/>
      </c>
    </row>
    <row r="55" spans="1:154" s="5" customFormat="1" x14ac:dyDescent="0.25">
      <c r="A55" s="362" cm="1">
        <f t="array" aca="1" ref="A55" ca="1">HYPERLINK(CONCATENATE("#",CELL("address",IF(SUM($CA55:$CE55)=0,A55,INDEX($CA55:$CE55,MATCH(1,$CA55:$CE55,0))))),SUM($CA55:$CE55))</f>
        <v>0</v>
      </c>
      <c r="B55" s="335"/>
      <c r="C55" s="335"/>
      <c r="D55" s="141" t="s">
        <v>1650</v>
      </c>
      <c r="E55" s="1"/>
      <c r="F55" s="335"/>
      <c r="G55" s="335"/>
      <c r="H55" s="9"/>
      <c r="I55" s="335"/>
      <c r="J55" s="335"/>
      <c r="K55" s="335"/>
      <c r="L55" s="335"/>
      <c r="M55" s="335"/>
      <c r="N55" s="335"/>
      <c r="O55" s="335"/>
      <c r="P55" s="335"/>
      <c r="Q55" s="335"/>
      <c r="R55" s="335"/>
      <c r="S55" s="335"/>
      <c r="T55" s="335"/>
      <c r="U55" s="335"/>
      <c r="V55" s="335"/>
      <c r="W55" s="335"/>
      <c r="X55" s="335"/>
      <c r="Y55" s="335"/>
      <c r="Z55" s="33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335"/>
      <c r="BL55" s="335"/>
      <c r="BM55" s="335"/>
      <c r="BN55" s="335"/>
      <c r="BO55" s="335"/>
      <c r="BP55" s="335"/>
      <c r="BQ55" s="335"/>
      <c r="BR55" s="335"/>
      <c r="BS55" s="335"/>
      <c r="BT55" s="335"/>
      <c r="BU55" s="335"/>
      <c r="BV55" s="335"/>
      <c r="BW55" s="335"/>
      <c r="BX55" s="335"/>
      <c r="BY55" s="12"/>
      <c r="BZ55" s="363">
        <f t="shared" si="9"/>
        <v>0</v>
      </c>
      <c r="CA55" s="12"/>
      <c r="CB55" s="7">
        <f t="shared" si="6"/>
        <v>0</v>
      </c>
      <c r="CC55" s="7">
        <f t="shared" si="10"/>
        <v>0</v>
      </c>
      <c r="CD55" s="7">
        <f t="shared" si="11"/>
        <v>0</v>
      </c>
      <c r="CE55" s="42"/>
      <c r="EX55" s="10" t="str">
        <f t="shared" si="0"/>
        <v/>
      </c>
    </row>
    <row r="56" spans="1:154" s="335" customFormat="1" x14ac:dyDescent="0.25">
      <c r="A56" s="362" cm="1">
        <f t="array" aca="1" ref="A56" ca="1">HYPERLINK(CONCATENATE("#",CELL("address",IF(SUM($CA56:$CE56)=0,A56,INDEX($CA56:$CE56,MATCH(1,$CA56:$CE56,0))))),SUM($CA56:$CE56))</f>
        <v>0</v>
      </c>
      <c r="D56" s="141" t="s">
        <v>1651</v>
      </c>
      <c r="E56" s="1"/>
      <c r="H56" s="9"/>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Y56" s="12"/>
      <c r="BZ56" s="363">
        <f t="shared" si="9"/>
        <v>0</v>
      </c>
      <c r="CA56" s="12"/>
      <c r="CB56" s="7">
        <f t="shared" si="6"/>
        <v>0</v>
      </c>
      <c r="CC56" s="7">
        <f t="shared" si="10"/>
        <v>0</v>
      </c>
      <c r="CD56" s="7">
        <f t="shared" si="11"/>
        <v>0</v>
      </c>
      <c r="CE56" s="42"/>
      <c r="EX56" s="10" t="str">
        <f t="shared" si="0"/>
        <v/>
      </c>
    </row>
    <row r="57" spans="1:154" s="335" customFormat="1" x14ac:dyDescent="0.25">
      <c r="A57" s="362" cm="1">
        <f t="array" aca="1" ref="A57" ca="1">HYPERLINK(CONCATENATE("#",CELL("address",IF(SUM($CA57:$CE57)=0,A57,INDEX($CA57:$CE57,MATCH(1,$CA57:$CE57,0))))),SUM($CA57:$CE57))</f>
        <v>0</v>
      </c>
      <c r="D57" s="141" t="s">
        <v>1652</v>
      </c>
      <c r="E57" s="1"/>
      <c r="H57" s="9"/>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Y57" s="12"/>
      <c r="BZ57" s="363">
        <f t="shared" si="9"/>
        <v>0</v>
      </c>
      <c r="CA57" s="12"/>
      <c r="CB57" s="7">
        <f t="shared" si="6"/>
        <v>0</v>
      </c>
      <c r="CC57" s="7">
        <f t="shared" si="10"/>
        <v>0</v>
      </c>
      <c r="CD57" s="7">
        <f t="shared" si="11"/>
        <v>0</v>
      </c>
      <c r="CE57" s="42"/>
      <c r="EX57" s="10" t="str">
        <f t="shared" si="0"/>
        <v/>
      </c>
    </row>
    <row r="58" spans="1:154" s="335" customFormat="1" x14ac:dyDescent="0.25">
      <c r="A58" s="362" cm="1">
        <f t="array" aca="1" ref="A58" ca="1">HYPERLINK(CONCATENATE("#",CELL("address",IF(SUM($CA58:$CE58)=0,A58,INDEX($CA58:$CE58,MATCH(1,$CA58:$CE58,0))))),SUM($CA58:$CE58))</f>
        <v>0</v>
      </c>
      <c r="D58" s="141" t="s">
        <v>1653</v>
      </c>
      <c r="E58" s="1"/>
      <c r="H58" s="9"/>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Y58" s="12"/>
      <c r="BZ58" s="363">
        <f t="shared" si="9"/>
        <v>0</v>
      </c>
      <c r="CA58" s="12"/>
      <c r="CB58" s="7">
        <f t="shared" si="6"/>
        <v>0</v>
      </c>
      <c r="CC58" s="7">
        <f t="shared" si="10"/>
        <v>0</v>
      </c>
      <c r="CD58" s="7">
        <f t="shared" si="11"/>
        <v>0</v>
      </c>
      <c r="CE58" s="42"/>
      <c r="EX58" s="10" t="str">
        <f t="shared" si="0"/>
        <v/>
      </c>
    </row>
    <row r="59" spans="1:154" s="335" customFormat="1" x14ac:dyDescent="0.25">
      <c r="A59" s="362" cm="1">
        <f t="array" aca="1" ref="A59" ca="1">HYPERLINK(CONCATENATE("#",CELL("address",IF(SUM($CA59:$CE59)=0,A59,INDEX($CA59:$CE59,MATCH(1,$CA59:$CE59,0))))),SUM($CA59:$CE59))</f>
        <v>0</v>
      </c>
      <c r="D59" s="141" t="s">
        <v>1654</v>
      </c>
      <c r="E59" s="1"/>
      <c r="H59" s="9"/>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Y59" s="12"/>
      <c r="BZ59" s="363">
        <f t="shared" si="9"/>
        <v>0</v>
      </c>
      <c r="CA59" s="12"/>
      <c r="CB59" s="7">
        <f t="shared" si="6"/>
        <v>0</v>
      </c>
      <c r="CC59" s="7">
        <f t="shared" si="10"/>
        <v>0</v>
      </c>
      <c r="CD59" s="7">
        <f t="shared" si="11"/>
        <v>0</v>
      </c>
      <c r="CE59" s="42"/>
      <c r="EX59" s="10" t="str">
        <f t="shared" si="0"/>
        <v/>
      </c>
    </row>
    <row r="60" spans="1:154" s="335" customFormat="1" x14ac:dyDescent="0.25">
      <c r="A60" s="362" cm="1">
        <f t="array" aca="1" ref="A60" ca="1">HYPERLINK(CONCATENATE("#",CELL("address",IF(SUM($CA60:$CE60)=0,A60,INDEX($CA60:$CE60,MATCH(1,$CA60:$CE60,0))))),SUM($CA60:$CE60))</f>
        <v>0</v>
      </c>
      <c r="D60" s="141" t="s">
        <v>1655</v>
      </c>
      <c r="E60" s="1"/>
      <c r="H60" s="9"/>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Y60" s="12"/>
      <c r="BZ60" s="363">
        <f t="shared" si="9"/>
        <v>0</v>
      </c>
      <c r="CA60" s="12"/>
      <c r="CB60" s="7">
        <f t="shared" si="6"/>
        <v>0</v>
      </c>
      <c r="CC60" s="7">
        <f t="shared" si="10"/>
        <v>0</v>
      </c>
      <c r="CD60" s="7">
        <f t="shared" si="11"/>
        <v>0</v>
      </c>
      <c r="CE60" s="42"/>
      <c r="EX60" s="10" t="str">
        <f t="shared" si="0"/>
        <v/>
      </c>
    </row>
    <row r="61" spans="1:154" s="335" customFormat="1" x14ac:dyDescent="0.25">
      <c r="A61" s="362" cm="1">
        <f t="array" aca="1" ref="A61" ca="1">HYPERLINK(CONCATENATE("#",CELL("address",IF(SUM($CA61:$CE61)=0,A61,INDEX($CA61:$CE61,MATCH(1,$CA61:$CE61,0))))),SUM($CA61:$CE61))</f>
        <v>0</v>
      </c>
      <c r="D61" s="141" t="s">
        <v>1656</v>
      </c>
      <c r="E61" s="1"/>
      <c r="H61" s="9"/>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Y61" s="12"/>
      <c r="BZ61" s="363">
        <f t="shared" si="9"/>
        <v>0</v>
      </c>
      <c r="CA61" s="12"/>
      <c r="CB61" s="7">
        <f t="shared" si="6"/>
        <v>0</v>
      </c>
      <c r="CC61" s="7">
        <f t="shared" si="10"/>
        <v>0</v>
      </c>
      <c r="CD61" s="7">
        <f t="shared" si="11"/>
        <v>0</v>
      </c>
      <c r="CE61" s="42"/>
      <c r="EX61" s="10" t="str">
        <f t="shared" si="0"/>
        <v/>
      </c>
    </row>
    <row r="62" spans="1:154" s="335" customFormat="1" x14ac:dyDescent="0.25">
      <c r="A62" s="362" cm="1">
        <f t="array" aca="1" ref="A62" ca="1">HYPERLINK(CONCATENATE("#",CELL("address",IF(SUM($CA62:$CE62)=0,A62,INDEX($CA62:$CE62,MATCH(1,$CA62:$CE62,0))))),SUM($CA62:$CE62))</f>
        <v>0</v>
      </c>
      <c r="D62" s="141" t="s">
        <v>1657</v>
      </c>
      <c r="E62" s="1"/>
      <c r="H62" s="9"/>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Y62" s="12"/>
      <c r="BZ62" s="363">
        <f t="shared" si="9"/>
        <v>0</v>
      </c>
      <c r="CA62" s="12"/>
      <c r="CB62" s="7">
        <f t="shared" si="6"/>
        <v>0</v>
      </c>
      <c r="CC62" s="7">
        <f t="shared" si="10"/>
        <v>0</v>
      </c>
      <c r="CD62" s="7">
        <f t="shared" si="11"/>
        <v>0</v>
      </c>
      <c r="CE62" s="42"/>
      <c r="EX62" s="10" t="str">
        <f t="shared" si="0"/>
        <v/>
      </c>
    </row>
    <row r="63" spans="1:154" s="335" customFormat="1" x14ac:dyDescent="0.25">
      <c r="A63" s="362" cm="1">
        <f t="array" aca="1" ref="A63" ca="1">HYPERLINK(CONCATENATE("#",CELL("address",IF(SUM($CA63:$CE63)=0,A63,INDEX($CA63:$CE63,MATCH(1,$CA63:$CE63,0))))),SUM($CA63:$CE63))</f>
        <v>0</v>
      </c>
      <c r="D63" s="141" t="s">
        <v>1658</v>
      </c>
      <c r="E63" s="1"/>
      <c r="H63" s="9"/>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Y63" s="12"/>
      <c r="BZ63" s="363">
        <f t="shared" si="9"/>
        <v>0</v>
      </c>
      <c r="CA63" s="12"/>
      <c r="CB63" s="7">
        <f t="shared" ref="CB63:CB87" si="12">IF(OR(SUM(AA63:AL63)=1, SUM(AA63:AL63)=0), 0, 1)</f>
        <v>0</v>
      </c>
      <c r="CC63" s="7">
        <f t="shared" si="10"/>
        <v>0</v>
      </c>
      <c r="CD63" s="7">
        <f t="shared" si="11"/>
        <v>0</v>
      </c>
      <c r="CE63" s="42"/>
      <c r="EX63" s="10" t="str">
        <f t="shared" si="0"/>
        <v/>
      </c>
    </row>
    <row r="64" spans="1:154" s="335" customFormat="1" x14ac:dyDescent="0.25">
      <c r="A64" s="362" cm="1">
        <f t="array" aca="1" ref="A64" ca="1">HYPERLINK(CONCATENATE("#",CELL("address",IF(SUM($CA64:$CE64)=0,A64,INDEX($CA64:$CE64,MATCH(1,$CA64:$CE64,0))))),SUM($CA64:$CE64))</f>
        <v>0</v>
      </c>
      <c r="D64" s="141" t="s">
        <v>1659</v>
      </c>
      <c r="E64" s="1"/>
      <c r="H64" s="9"/>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Y64" s="12"/>
      <c r="BZ64" s="363">
        <f t="shared" si="9"/>
        <v>0</v>
      </c>
      <c r="CA64" s="12"/>
      <c r="CB64" s="7">
        <f t="shared" si="12"/>
        <v>0</v>
      </c>
      <c r="CC64" s="7">
        <f t="shared" si="10"/>
        <v>0</v>
      </c>
      <c r="CD64" s="7">
        <f t="shared" si="11"/>
        <v>0</v>
      </c>
      <c r="CE64" s="42"/>
      <c r="EX64" s="10" t="str">
        <f t="shared" si="0"/>
        <v/>
      </c>
    </row>
    <row r="65" spans="1:154" s="335" customFormat="1" x14ac:dyDescent="0.25">
      <c r="A65" s="362" cm="1">
        <f t="array" aca="1" ref="A65" ca="1">HYPERLINK(CONCATENATE("#",CELL("address",IF(SUM($CA65:$CE65)=0,A65,INDEX($CA65:$CE65,MATCH(1,$CA65:$CE65,0))))),SUM($CA65:$CE65))</f>
        <v>0</v>
      </c>
      <c r="D65" s="141" t="s">
        <v>1660</v>
      </c>
      <c r="E65" s="1"/>
      <c r="H65" s="9"/>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Y65" s="12"/>
      <c r="BZ65" s="363">
        <f t="shared" si="9"/>
        <v>0</v>
      </c>
      <c r="CA65" s="12"/>
      <c r="CB65" s="7">
        <f t="shared" si="12"/>
        <v>0</v>
      </c>
      <c r="CC65" s="7">
        <f t="shared" si="10"/>
        <v>0</v>
      </c>
      <c r="CD65" s="7">
        <f t="shared" si="11"/>
        <v>0</v>
      </c>
      <c r="CE65" s="42"/>
      <c r="EX65" s="10" t="str">
        <f t="shared" si="0"/>
        <v/>
      </c>
    </row>
    <row r="66" spans="1:154" s="335" customFormat="1" x14ac:dyDescent="0.25">
      <c r="A66" s="362" cm="1">
        <f t="array" aca="1" ref="A66" ca="1">HYPERLINK(CONCATENATE("#",CELL("address",IF(SUM($CA66:$CE66)=0,A66,INDEX($CA66:$CE66,MATCH(1,$CA66:$CE66,0))))),SUM($CA66:$CE66))</f>
        <v>0</v>
      </c>
      <c r="D66" s="141" t="s">
        <v>1661</v>
      </c>
      <c r="E66" s="1"/>
      <c r="H66" s="9"/>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Y66" s="12"/>
      <c r="BZ66" s="363">
        <f t="shared" si="9"/>
        <v>0</v>
      </c>
      <c r="CA66" s="12"/>
      <c r="CB66" s="7">
        <f t="shared" si="12"/>
        <v>0</v>
      </c>
      <c r="CC66" s="7">
        <f t="shared" si="10"/>
        <v>0</v>
      </c>
      <c r="CD66" s="7">
        <f t="shared" si="11"/>
        <v>0</v>
      </c>
      <c r="CE66" s="42"/>
      <c r="EX66" s="10" t="str">
        <f t="shared" si="0"/>
        <v/>
      </c>
    </row>
    <row r="67" spans="1:154" s="335" customFormat="1" x14ac:dyDescent="0.25">
      <c r="A67" s="362" cm="1">
        <f t="array" aca="1" ref="A67" ca="1">HYPERLINK(CONCATENATE("#",CELL("address",IF(SUM($CA67:$CE67)=0,A67,INDEX($CA67:$CE67,MATCH(1,$CA67:$CE67,0))))),SUM($CA67:$CE67))</f>
        <v>0</v>
      </c>
      <c r="D67" s="141" t="s">
        <v>1662</v>
      </c>
      <c r="E67" s="1"/>
      <c r="H67" s="9"/>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Y67" s="12"/>
      <c r="BZ67" s="363">
        <f t="shared" si="9"/>
        <v>0</v>
      </c>
      <c r="CA67" s="12"/>
      <c r="CB67" s="7">
        <f t="shared" si="12"/>
        <v>0</v>
      </c>
      <c r="CC67" s="7">
        <f t="shared" si="10"/>
        <v>0</v>
      </c>
      <c r="CD67" s="7">
        <f t="shared" si="11"/>
        <v>0</v>
      </c>
      <c r="CE67" s="42"/>
      <c r="EX67" s="10" t="str">
        <f t="shared" si="0"/>
        <v/>
      </c>
    </row>
    <row r="68" spans="1:154" s="335" customFormat="1" x14ac:dyDescent="0.25">
      <c r="A68" s="362" cm="1">
        <f t="array" aca="1" ref="A68" ca="1">HYPERLINK(CONCATENATE("#",CELL("address",IF(SUM($CA68:$CE68)=0,A68,INDEX($CA68:$CE68,MATCH(1,$CA68:$CE68,0))))),SUM($CA68:$CE68))</f>
        <v>0</v>
      </c>
      <c r="D68" s="141" t="s">
        <v>1663</v>
      </c>
      <c r="E68" s="1"/>
      <c r="H68" s="9"/>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Y68" s="12"/>
      <c r="BZ68" s="363">
        <f t="shared" si="9"/>
        <v>0</v>
      </c>
      <c r="CA68" s="12"/>
      <c r="CB68" s="7">
        <f t="shared" si="12"/>
        <v>0</v>
      </c>
      <c r="CC68" s="7">
        <f t="shared" si="10"/>
        <v>0</v>
      </c>
      <c r="CD68" s="7">
        <f t="shared" si="11"/>
        <v>0</v>
      </c>
      <c r="CE68" s="42"/>
      <c r="EX68" s="10" t="str">
        <f t="shared" si="0"/>
        <v/>
      </c>
    </row>
    <row r="69" spans="1:154" s="335" customFormat="1" x14ac:dyDescent="0.25">
      <c r="A69" s="362" cm="1">
        <f t="array" aca="1" ref="A69" ca="1">HYPERLINK(CONCATENATE("#",CELL("address",IF(SUM($CA69:$CE69)=0,A69,INDEX($CA69:$CE69,MATCH(1,$CA69:$CE69,0))))),SUM($CA69:$CE69))</f>
        <v>0</v>
      </c>
      <c r="D69" s="141" t="s">
        <v>1664</v>
      </c>
      <c r="E69" s="1"/>
      <c r="H69" s="9"/>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Y69" s="12"/>
      <c r="BZ69" s="363">
        <f t="shared" si="9"/>
        <v>0</v>
      </c>
      <c r="CA69" s="12"/>
      <c r="CB69" s="7">
        <f t="shared" si="12"/>
        <v>0</v>
      </c>
      <c r="CC69" s="7">
        <f t="shared" si="10"/>
        <v>0</v>
      </c>
      <c r="CD69" s="7">
        <f t="shared" si="11"/>
        <v>0</v>
      </c>
      <c r="CE69" s="42"/>
      <c r="EX69" s="10" t="str">
        <f t="shared" si="0"/>
        <v/>
      </c>
    </row>
    <row r="70" spans="1:154" s="335" customFormat="1" x14ac:dyDescent="0.25">
      <c r="A70" s="362" cm="1">
        <f t="array" aca="1" ref="A70" ca="1">HYPERLINK(CONCATENATE("#",CELL("address",IF(SUM($CA70:$CE70)=0,A70,INDEX($CA70:$CE70,MATCH(1,$CA70:$CE70,0))))),SUM($CA70:$CE70))</f>
        <v>0</v>
      </c>
      <c r="D70" s="141" t="s">
        <v>1665</v>
      </c>
      <c r="E70" s="1"/>
      <c r="H70" s="9"/>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Y70" s="12"/>
      <c r="BZ70" s="363">
        <f t="shared" si="9"/>
        <v>0</v>
      </c>
      <c r="CA70" s="12"/>
      <c r="CB70" s="7">
        <f t="shared" si="12"/>
        <v>0</v>
      </c>
      <c r="CC70" s="7">
        <f t="shared" si="10"/>
        <v>0</v>
      </c>
      <c r="CD70" s="7">
        <f t="shared" si="11"/>
        <v>0</v>
      </c>
      <c r="CE70" s="42"/>
      <c r="EX70" s="10" t="str">
        <f t="shared" si="0"/>
        <v/>
      </c>
    </row>
    <row r="71" spans="1:154" s="335" customFormat="1" x14ac:dyDescent="0.25">
      <c r="A71" s="362" cm="1">
        <f t="array" aca="1" ref="A71" ca="1">HYPERLINK(CONCATENATE("#",CELL("address",IF(SUM($CA71:$CE71)=0,A71,INDEX($CA71:$CE71,MATCH(1,$CA71:$CE71,0))))),SUM($CA71:$CE71))</f>
        <v>0</v>
      </c>
      <c r="D71" s="141" t="s">
        <v>1666</v>
      </c>
      <c r="E71" s="1"/>
      <c r="H71" s="9"/>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Y71" s="12"/>
      <c r="BZ71" s="363">
        <f t="shared" si="9"/>
        <v>0</v>
      </c>
      <c r="CA71" s="12"/>
      <c r="CB71" s="7">
        <f t="shared" si="12"/>
        <v>0</v>
      </c>
      <c r="CC71" s="7">
        <f t="shared" si="10"/>
        <v>0</v>
      </c>
      <c r="CD71" s="7">
        <f t="shared" si="11"/>
        <v>0</v>
      </c>
      <c r="CE71" s="42"/>
      <c r="EX71" s="10" t="str">
        <f t="shared" si="0"/>
        <v/>
      </c>
    </row>
    <row r="72" spans="1:154" s="335" customFormat="1" x14ac:dyDescent="0.25">
      <c r="A72" s="362" cm="1">
        <f t="array" aca="1" ref="A72" ca="1">HYPERLINK(CONCATENATE("#",CELL("address",IF(SUM($CA72:$CE72)=0,A72,INDEX($CA72:$CE72,MATCH(1,$CA72:$CE72,0))))),SUM($CA72:$CE72))</f>
        <v>0</v>
      </c>
      <c r="D72" s="141" t="s">
        <v>1667</v>
      </c>
      <c r="E72" s="1"/>
      <c r="H72" s="9"/>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Y72" s="12"/>
      <c r="BZ72" s="363">
        <f t="shared" si="9"/>
        <v>0</v>
      </c>
      <c r="CA72" s="12"/>
      <c r="CB72" s="7">
        <f t="shared" si="12"/>
        <v>0</v>
      </c>
      <c r="CC72" s="7">
        <f t="shared" si="10"/>
        <v>0</v>
      </c>
      <c r="CD72" s="7">
        <f t="shared" si="11"/>
        <v>0</v>
      </c>
      <c r="CE72" s="42"/>
      <c r="EX72" s="10" t="str">
        <f t="shared" si="0"/>
        <v/>
      </c>
    </row>
    <row r="73" spans="1:154" s="335" customFormat="1" x14ac:dyDescent="0.25">
      <c r="A73" s="362" cm="1">
        <f t="array" aca="1" ref="A73" ca="1">HYPERLINK(CONCATENATE("#",CELL("address",IF(SUM($CA73:$CE73)=0,A73,INDEX($CA73:$CE73,MATCH(1,$CA73:$CE73,0))))),SUM($CA73:$CE73))</f>
        <v>0</v>
      </c>
      <c r="D73" s="141" t="s">
        <v>1668</v>
      </c>
      <c r="E73" s="1"/>
      <c r="H73" s="9"/>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Y73" s="12"/>
      <c r="BZ73" s="363">
        <f t="shared" ref="BZ73:BZ92" si="13">IF(MIN($AA73:$BJ73)&lt;0, 1, 0)</f>
        <v>0</v>
      </c>
      <c r="CA73" s="12"/>
      <c r="CB73" s="7">
        <f t="shared" si="12"/>
        <v>0</v>
      </c>
      <c r="CC73" s="7">
        <f t="shared" si="10"/>
        <v>0</v>
      </c>
      <c r="CD73" s="7">
        <f t="shared" si="11"/>
        <v>0</v>
      </c>
      <c r="CE73" s="42"/>
      <c r="EX73" s="10" t="str">
        <f t="shared" si="0"/>
        <v/>
      </c>
    </row>
    <row r="74" spans="1:154" s="335" customFormat="1" x14ac:dyDescent="0.25">
      <c r="A74" s="362" cm="1">
        <f t="array" aca="1" ref="A74" ca="1">HYPERLINK(CONCATENATE("#",CELL("address",IF(SUM($CA74:$CE74)=0,A74,INDEX($CA74:$CE74,MATCH(1,$CA74:$CE74,0))))),SUM($CA74:$CE74))</f>
        <v>0</v>
      </c>
      <c r="D74" s="141" t="s">
        <v>1669</v>
      </c>
      <c r="E74" s="1"/>
      <c r="H74" s="9"/>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Y74" s="12"/>
      <c r="BZ74" s="363">
        <f t="shared" si="13"/>
        <v>0</v>
      </c>
      <c r="CA74" s="12"/>
      <c r="CB74" s="7">
        <f t="shared" si="12"/>
        <v>0</v>
      </c>
      <c r="CC74" s="7">
        <f t="shared" si="10"/>
        <v>0</v>
      </c>
      <c r="CD74" s="7">
        <f t="shared" si="11"/>
        <v>0</v>
      </c>
      <c r="CE74" s="42"/>
      <c r="EX74" s="10" t="str">
        <f t="shared" si="0"/>
        <v/>
      </c>
    </row>
    <row r="75" spans="1:154" s="335" customFormat="1" x14ac:dyDescent="0.25">
      <c r="A75" s="362" cm="1">
        <f t="array" aca="1" ref="A75" ca="1">HYPERLINK(CONCATENATE("#",CELL("address",IF(SUM($CA75:$CE75)=0,A75,INDEX($CA75:$CE75,MATCH(1,$CA75:$CE75,0))))),SUM($CA75:$CE75))</f>
        <v>0</v>
      </c>
      <c r="D75" s="141" t="s">
        <v>1670</v>
      </c>
      <c r="E75" s="1"/>
      <c r="H75" s="9"/>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Y75" s="12"/>
      <c r="BZ75" s="363">
        <f t="shared" si="13"/>
        <v>0</v>
      </c>
      <c r="CA75" s="12"/>
      <c r="CB75" s="7">
        <f t="shared" si="12"/>
        <v>0</v>
      </c>
      <c r="CC75" s="7">
        <f t="shared" si="10"/>
        <v>0</v>
      </c>
      <c r="CD75" s="7">
        <f t="shared" si="11"/>
        <v>0</v>
      </c>
      <c r="CE75" s="42"/>
      <c r="EX75" s="10" t="str">
        <f t="shared" si="0"/>
        <v/>
      </c>
    </row>
    <row r="76" spans="1:154" s="335" customFormat="1" x14ac:dyDescent="0.25">
      <c r="A76" s="362" cm="1">
        <f t="array" aca="1" ref="A76" ca="1">HYPERLINK(CONCATENATE("#",CELL("address",IF(SUM($CA76:$CE76)=0,A76,INDEX($CA76:$CE76,MATCH(1,$CA76:$CE76,0))))),SUM($CA76:$CE76))</f>
        <v>0</v>
      </c>
      <c r="D76" s="141" t="s">
        <v>1671</v>
      </c>
      <c r="E76" s="1"/>
      <c r="H76" s="9"/>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Y76" s="12"/>
      <c r="BZ76" s="363">
        <f t="shared" si="13"/>
        <v>0</v>
      </c>
      <c r="CA76" s="12"/>
      <c r="CB76" s="7">
        <f t="shared" si="12"/>
        <v>0</v>
      </c>
      <c r="CC76" s="7">
        <f t="shared" si="10"/>
        <v>0</v>
      </c>
      <c r="CD76" s="7">
        <f t="shared" si="11"/>
        <v>0</v>
      </c>
      <c r="CE76" s="42"/>
      <c r="EX76" s="10" t="str">
        <f t="shared" si="0"/>
        <v/>
      </c>
    </row>
    <row r="77" spans="1:154" s="335" customFormat="1" x14ac:dyDescent="0.25">
      <c r="A77" s="362" cm="1">
        <f t="array" aca="1" ref="A77" ca="1">HYPERLINK(CONCATENATE("#",CELL("address",IF(SUM($CA77:$CE77)=0,A77,INDEX($CA77:$CE77,MATCH(1,$CA77:$CE77,0))))),SUM($CA77:$CE77))</f>
        <v>0</v>
      </c>
      <c r="D77" s="141" t="s">
        <v>1672</v>
      </c>
      <c r="E77" s="1"/>
      <c r="H77" s="9"/>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Y77" s="12"/>
      <c r="BZ77" s="363">
        <f t="shared" si="13"/>
        <v>0</v>
      </c>
      <c r="CA77" s="12"/>
      <c r="CB77" s="7">
        <f t="shared" si="12"/>
        <v>0</v>
      </c>
      <c r="CC77" s="7">
        <f>IF(OR(SUM(AM77:AX77)=1, SUM(AM77:AX77)=0), 0, 1)</f>
        <v>0</v>
      </c>
      <c r="CD77" s="7">
        <f t="shared" si="11"/>
        <v>0</v>
      </c>
      <c r="CE77" s="42"/>
      <c r="EX77" s="10" t="str">
        <f t="shared" si="0"/>
        <v/>
      </c>
    </row>
    <row r="78" spans="1:154" s="335" customFormat="1" x14ac:dyDescent="0.25">
      <c r="A78" s="362" cm="1">
        <f t="array" aca="1" ref="A78" ca="1">HYPERLINK(CONCATENATE("#",CELL("address",IF(SUM($CA78:$CE78)=0,A78,INDEX($CA78:$CE78,MATCH(1,$CA78:$CE78,0))))),SUM($CA78:$CE78))</f>
        <v>0</v>
      </c>
      <c r="D78" s="141" t="s">
        <v>1673</v>
      </c>
      <c r="E78" s="1"/>
      <c r="H78" s="9"/>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Y78" s="12"/>
      <c r="BZ78" s="363">
        <f t="shared" si="13"/>
        <v>0</v>
      </c>
      <c r="CA78" s="12"/>
      <c r="CB78" s="7">
        <f t="shared" si="12"/>
        <v>0</v>
      </c>
      <c r="CC78" s="7">
        <f t="shared" ref="CC78:CC87" si="14">IF(OR(SUM(AM78:AX78)=1, SUM(AM78:AX78)=0), 0, 1)</f>
        <v>0</v>
      </c>
      <c r="CD78" s="7">
        <f>IF(OR(SUM(AY78:BJ78)=1, SUM(AY78:BJ78)=0), 0, 1)</f>
        <v>0</v>
      </c>
      <c r="CE78" s="42"/>
      <c r="EX78" s="10" t="str">
        <f t="shared" si="0"/>
        <v/>
      </c>
    </row>
    <row r="79" spans="1:154" s="335" customFormat="1" x14ac:dyDescent="0.25">
      <c r="A79" s="362" cm="1">
        <f t="array" aca="1" ref="A79" ca="1">HYPERLINK(CONCATENATE("#",CELL("address",IF(SUM($CA79:$CE79)=0,A79,INDEX($CA79:$CE79,MATCH(1,$CA79:$CE79,0))))),SUM($CA79:$CE79))</f>
        <v>0</v>
      </c>
      <c r="D79" s="141" t="s">
        <v>1674</v>
      </c>
      <c r="E79" s="1"/>
      <c r="H79" s="9"/>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Y79" s="12"/>
      <c r="BZ79" s="363">
        <f t="shared" si="13"/>
        <v>0</v>
      </c>
      <c r="CA79" s="12"/>
      <c r="CB79" s="7">
        <f t="shared" si="12"/>
        <v>0</v>
      </c>
      <c r="CC79" s="7">
        <f t="shared" si="14"/>
        <v>0</v>
      </c>
      <c r="CD79" s="7">
        <f t="shared" ref="CD79:CD87" si="15">IF(OR(SUM(AY79:BJ79)=1, SUM(AY79:BJ79)=0), 0, 1)</f>
        <v>0</v>
      </c>
      <c r="CE79" s="42"/>
      <c r="EX79" s="10" t="str">
        <f t="shared" si="0"/>
        <v/>
      </c>
    </row>
    <row r="80" spans="1:154" s="5" customFormat="1" x14ac:dyDescent="0.25">
      <c r="A80" s="362" cm="1">
        <f t="array" aca="1" ref="A80" ca="1">HYPERLINK(CONCATENATE("#",CELL("address",IF(SUM($CA80:$CE80)=0,A80,INDEX($CA80:$CE80,MATCH(1,$CA80:$CE80,0))))),SUM($CA80:$CE80))</f>
        <v>0</v>
      </c>
      <c r="B80" s="335"/>
      <c r="C80" s="335"/>
      <c r="D80" s="141" t="s">
        <v>1675</v>
      </c>
      <c r="E80" s="1"/>
      <c r="F80" s="335"/>
      <c r="G80" s="335"/>
      <c r="H80" s="9"/>
      <c r="I80" s="335"/>
      <c r="J80" s="335"/>
      <c r="K80" s="335"/>
      <c r="L80" s="335"/>
      <c r="M80" s="335"/>
      <c r="N80" s="335"/>
      <c r="O80" s="335"/>
      <c r="P80" s="335"/>
      <c r="Q80" s="335"/>
      <c r="R80" s="335"/>
      <c r="S80" s="335"/>
      <c r="T80" s="335"/>
      <c r="U80" s="335"/>
      <c r="V80" s="335"/>
      <c r="W80" s="335"/>
      <c r="X80" s="335"/>
      <c r="Y80" s="335"/>
      <c r="Z80" s="33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335"/>
      <c r="BL80" s="335"/>
      <c r="BM80" s="335"/>
      <c r="BN80" s="335"/>
      <c r="BO80" s="335"/>
      <c r="BP80" s="335"/>
      <c r="BQ80" s="335"/>
      <c r="BR80" s="335"/>
      <c r="BS80" s="335"/>
      <c r="BT80" s="335"/>
      <c r="BU80" s="335"/>
      <c r="BV80" s="335"/>
      <c r="BW80" s="335"/>
      <c r="BX80" s="335"/>
      <c r="BY80" s="12"/>
      <c r="BZ80" s="363">
        <f t="shared" si="13"/>
        <v>0</v>
      </c>
      <c r="CA80" s="12"/>
      <c r="CB80" s="7">
        <f t="shared" si="12"/>
        <v>0</v>
      </c>
      <c r="CC80" s="7">
        <f t="shared" si="14"/>
        <v>0</v>
      </c>
      <c r="CD80" s="7">
        <f t="shared" si="15"/>
        <v>0</v>
      </c>
      <c r="CE80" s="42"/>
      <c r="EX80" s="10" t="str">
        <f t="shared" si="0"/>
        <v/>
      </c>
    </row>
    <row r="81" spans="1:154" s="335" customFormat="1" x14ac:dyDescent="0.25">
      <c r="A81" s="362" cm="1">
        <f t="array" aca="1" ref="A81" ca="1">HYPERLINK(CONCATENATE("#",CELL("address",IF(SUM($CA81:$CE81)=0,A81,INDEX($CA81:$CE81,MATCH(1,$CA81:$CE81,0))))),SUM($CA81:$CE81))</f>
        <v>0</v>
      </c>
      <c r="D81" s="141" t="s">
        <v>1676</v>
      </c>
      <c r="E81" s="1"/>
      <c r="H81" s="9"/>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Y81" s="12"/>
      <c r="BZ81" s="363">
        <f t="shared" si="13"/>
        <v>0</v>
      </c>
      <c r="CA81" s="12"/>
      <c r="CB81" s="7">
        <f t="shared" si="12"/>
        <v>0</v>
      </c>
      <c r="CC81" s="7">
        <f t="shared" si="14"/>
        <v>0</v>
      </c>
      <c r="CD81" s="7">
        <f t="shared" si="15"/>
        <v>0</v>
      </c>
      <c r="CE81" s="42"/>
      <c r="EX81" s="10" t="str">
        <f t="shared" si="0"/>
        <v/>
      </c>
    </row>
    <row r="82" spans="1:154" s="335" customFormat="1" x14ac:dyDescent="0.25">
      <c r="A82" s="362" cm="1">
        <f t="array" aca="1" ref="A82" ca="1">HYPERLINK(CONCATENATE("#",CELL("address",IF(SUM($CA82:$CE82)=0,A82,INDEX($CA82:$CE82,MATCH(1,$CA82:$CE82,0))))),SUM($CA82:$CE82))</f>
        <v>0</v>
      </c>
      <c r="D82" s="141" t="s">
        <v>1677</v>
      </c>
      <c r="E82" s="1"/>
      <c r="H82" s="9"/>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Y82" s="12"/>
      <c r="BZ82" s="363">
        <f t="shared" si="13"/>
        <v>0</v>
      </c>
      <c r="CA82" s="12"/>
      <c r="CB82" s="7">
        <f t="shared" si="12"/>
        <v>0</v>
      </c>
      <c r="CC82" s="7">
        <f t="shared" si="14"/>
        <v>0</v>
      </c>
      <c r="CD82" s="7">
        <f t="shared" si="15"/>
        <v>0</v>
      </c>
      <c r="CE82" s="42"/>
      <c r="EX82" s="10" t="str">
        <f t="shared" si="0"/>
        <v/>
      </c>
    </row>
    <row r="83" spans="1:154" s="335" customFormat="1" x14ac:dyDescent="0.25">
      <c r="A83" s="362" cm="1">
        <f t="array" aca="1" ref="A83" ca="1">HYPERLINK(CONCATENATE("#",CELL("address",IF(SUM($CA83:$CE83)=0,A83,INDEX($CA83:$CE83,MATCH(1,$CA83:$CE83,0))))),SUM($CA83:$CE83))</f>
        <v>0</v>
      </c>
      <c r="D83" s="141" t="s">
        <v>1678</v>
      </c>
      <c r="E83" s="1"/>
      <c r="H83" s="9"/>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Y83" s="12"/>
      <c r="BZ83" s="363">
        <f t="shared" si="13"/>
        <v>0</v>
      </c>
      <c r="CA83" s="12"/>
      <c r="CB83" s="7">
        <f t="shared" si="12"/>
        <v>0</v>
      </c>
      <c r="CC83" s="7">
        <f t="shared" si="14"/>
        <v>0</v>
      </c>
      <c r="CD83" s="7">
        <f t="shared" si="15"/>
        <v>0</v>
      </c>
      <c r="CE83" s="42"/>
      <c r="EX83" s="10" t="str">
        <f t="shared" si="0"/>
        <v/>
      </c>
    </row>
    <row r="84" spans="1:154" s="335" customFormat="1" x14ac:dyDescent="0.25">
      <c r="A84" s="362" cm="1">
        <f t="array" aca="1" ref="A84" ca="1">HYPERLINK(CONCATENATE("#",CELL("address",IF(SUM($CA84:$CE84)=0,A84,INDEX($CA84:$CE84,MATCH(1,$CA84:$CE84,0))))),SUM($CA84:$CE84))</f>
        <v>0</v>
      </c>
      <c r="D84" s="141" t="s">
        <v>1679</v>
      </c>
      <c r="E84" s="1"/>
      <c r="H84" s="9"/>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Y84" s="12"/>
      <c r="BZ84" s="363">
        <f t="shared" si="13"/>
        <v>0</v>
      </c>
      <c r="CA84" s="12"/>
      <c r="CB84" s="7">
        <f t="shared" si="12"/>
        <v>0</v>
      </c>
      <c r="CC84" s="7">
        <f t="shared" si="14"/>
        <v>0</v>
      </c>
      <c r="CD84" s="7">
        <f t="shared" si="15"/>
        <v>0</v>
      </c>
      <c r="CE84" s="42"/>
      <c r="EX84" s="10" t="str">
        <f t="shared" si="0"/>
        <v/>
      </c>
    </row>
    <row r="85" spans="1:154" s="335" customFormat="1" x14ac:dyDescent="0.25">
      <c r="A85" s="362" cm="1">
        <f t="array" aca="1" ref="A85" ca="1">HYPERLINK(CONCATENATE("#",CELL("address",IF(SUM($CA85:$CE85)=0,A85,INDEX($CA85:$CE85,MATCH(1,$CA85:$CE85,0))))),SUM($CA85:$CE85))</f>
        <v>0</v>
      </c>
      <c r="D85" s="141" t="s">
        <v>1680</v>
      </c>
      <c r="E85" s="1"/>
      <c r="H85" s="9"/>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Y85" s="12"/>
      <c r="BZ85" s="363">
        <f t="shared" si="13"/>
        <v>0</v>
      </c>
      <c r="CA85" s="12"/>
      <c r="CB85" s="7">
        <f t="shared" si="12"/>
        <v>0</v>
      </c>
      <c r="CC85" s="7">
        <f t="shared" si="14"/>
        <v>0</v>
      </c>
      <c r="CD85" s="7">
        <f t="shared" si="15"/>
        <v>0</v>
      </c>
      <c r="CE85" s="42"/>
      <c r="EX85" s="10" t="str">
        <f t="shared" si="0"/>
        <v/>
      </c>
    </row>
    <row r="86" spans="1:154" s="335" customFormat="1" x14ac:dyDescent="0.25">
      <c r="A86" s="362" cm="1">
        <f t="array" aca="1" ref="A86" ca="1">HYPERLINK(CONCATENATE("#",CELL("address",IF(SUM($CA86:$CE86)=0,A86,INDEX($CA86:$CE86,MATCH(1,$CA86:$CE86,0))))),SUM($CA86:$CE86))</f>
        <v>0</v>
      </c>
      <c r="D86" s="141" t="s">
        <v>1681</v>
      </c>
      <c r="E86" s="1"/>
      <c r="H86" s="9"/>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Y86" s="12"/>
      <c r="BZ86" s="363">
        <f t="shared" si="13"/>
        <v>0</v>
      </c>
      <c r="CA86" s="12"/>
      <c r="CB86" s="7">
        <f t="shared" si="12"/>
        <v>0</v>
      </c>
      <c r="CC86" s="7">
        <f t="shared" si="14"/>
        <v>0</v>
      </c>
      <c r="CD86" s="7">
        <f t="shared" si="15"/>
        <v>0</v>
      </c>
      <c r="CE86" s="42"/>
      <c r="EX86" s="10" t="str">
        <f t="shared" si="0"/>
        <v/>
      </c>
    </row>
    <row r="87" spans="1:154" s="335" customFormat="1" x14ac:dyDescent="0.25">
      <c r="A87" s="362" cm="1">
        <f t="array" aca="1" ref="A87" ca="1">HYPERLINK(CONCATENATE("#",CELL("address",IF(SUM($CA87:$CE87)=0,A87,INDEX($CA87:$CE87,MATCH(1,$CA87:$CE87,0))))),SUM($CA87:$CE87))</f>
        <v>0</v>
      </c>
      <c r="D87" s="141" t="s">
        <v>1682</v>
      </c>
      <c r="E87" s="1"/>
      <c r="H87" s="9"/>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Y87" s="12"/>
      <c r="BZ87" s="363">
        <f t="shared" si="13"/>
        <v>0</v>
      </c>
      <c r="CA87" s="12"/>
      <c r="CB87" s="7">
        <f t="shared" si="12"/>
        <v>0</v>
      </c>
      <c r="CC87" s="7">
        <f t="shared" si="14"/>
        <v>0</v>
      </c>
      <c r="CD87" s="7">
        <f t="shared" si="15"/>
        <v>0</v>
      </c>
      <c r="CE87" s="42"/>
      <c r="EX87" s="10" t="str">
        <f t="shared" si="0"/>
        <v/>
      </c>
    </row>
    <row r="88" spans="1:154" s="335" customFormat="1" x14ac:dyDescent="0.25">
      <c r="A88" s="362" cm="1">
        <f t="array" aca="1" ref="A88" ca="1">HYPERLINK(CONCATENATE("#",CELL("address",IF(SUM($CA88:$CE88)=0,A88,INDEX($CA88:$CE88,MATCH(1,$CA88:$CE88,0))))),SUM($CA88:$CE88))</f>
        <v>0</v>
      </c>
      <c r="D88" s="141" t="s">
        <v>1683</v>
      </c>
      <c r="E88" s="1"/>
      <c r="H88" s="9"/>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Y88" s="12"/>
      <c r="BZ88" s="363">
        <f t="shared" si="13"/>
        <v>0</v>
      </c>
      <c r="CA88" s="12"/>
      <c r="CB88" s="7">
        <f t="shared" ref="CB88:CB92" si="16">IF(OR(SUM(AA88:AL88)=1, SUM(AA88:AL88)=0), 0, 1)</f>
        <v>0</v>
      </c>
      <c r="CC88" s="7">
        <f t="shared" ref="CC88:CC92" si="17">IF(OR(SUM(AM88:AX88)=1, SUM(AM88:AX88)=0), 0, 1)</f>
        <v>0</v>
      </c>
      <c r="CD88" s="7">
        <f t="shared" ref="CD88:CD92" si="18">IF(OR(SUM(AY88:BJ88)=1, SUM(AY88:BJ88)=0), 0, 1)</f>
        <v>0</v>
      </c>
      <c r="CE88" s="42"/>
      <c r="EX88" s="10" t="str">
        <f t="shared" si="0"/>
        <v/>
      </c>
    </row>
    <row r="89" spans="1:154" s="335" customFormat="1" x14ac:dyDescent="0.25">
      <c r="A89" s="362" cm="1">
        <f t="array" aca="1" ref="A89" ca="1">HYPERLINK(CONCATENATE("#",CELL("address",IF(SUM($CA89:$CE89)=0,A89,INDEX($CA89:$CE89,MATCH(1,$CA89:$CE89,0))))),SUM($CA89:$CE89))</f>
        <v>0</v>
      </c>
      <c r="D89" s="141" t="s">
        <v>1684</v>
      </c>
      <c r="E89" s="1"/>
      <c r="H89" s="9"/>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Y89" s="12"/>
      <c r="BZ89" s="363">
        <f t="shared" si="13"/>
        <v>0</v>
      </c>
      <c r="CA89" s="12"/>
      <c r="CB89" s="7">
        <f t="shared" si="16"/>
        <v>0</v>
      </c>
      <c r="CC89" s="7">
        <f t="shared" si="17"/>
        <v>0</v>
      </c>
      <c r="CD89" s="7">
        <f t="shared" si="18"/>
        <v>0</v>
      </c>
      <c r="CE89" s="42"/>
      <c r="EX89" s="10" t="str">
        <f t="shared" si="0"/>
        <v/>
      </c>
    </row>
    <row r="90" spans="1:154" s="335" customFormat="1" x14ac:dyDescent="0.25">
      <c r="A90" s="362" cm="1">
        <f t="array" aca="1" ref="A90" ca="1">HYPERLINK(CONCATENATE("#",CELL("address",IF(SUM($CA90:$CE90)=0,A90,INDEX($CA90:$CE90,MATCH(1,$CA90:$CE90,0))))),SUM($CA90:$CE90))</f>
        <v>0</v>
      </c>
      <c r="D90" s="141" t="s">
        <v>1685</v>
      </c>
      <c r="E90" s="1"/>
      <c r="H90" s="9"/>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Y90" s="12"/>
      <c r="BZ90" s="363">
        <f t="shared" si="13"/>
        <v>0</v>
      </c>
      <c r="CA90" s="12"/>
      <c r="CB90" s="7">
        <f t="shared" si="16"/>
        <v>0</v>
      </c>
      <c r="CC90" s="7">
        <f t="shared" si="17"/>
        <v>0</v>
      </c>
      <c r="CD90" s="7">
        <f t="shared" si="18"/>
        <v>0</v>
      </c>
      <c r="CE90" s="42"/>
      <c r="EX90" s="10" t="str">
        <f t="shared" si="0"/>
        <v/>
      </c>
    </row>
    <row r="91" spans="1:154" s="335" customFormat="1" x14ac:dyDescent="0.25">
      <c r="A91" s="362" cm="1">
        <f t="array" aca="1" ref="A91" ca="1">HYPERLINK(CONCATENATE("#",CELL("address",IF(SUM($CA91:$CE91)=0,A91,INDEX($CA91:$CE91,MATCH(1,$CA91:$CE91,0))))),SUM($CA91:$CE91))</f>
        <v>0</v>
      </c>
      <c r="D91" s="141" t="s">
        <v>1686</v>
      </c>
      <c r="E91" s="1"/>
      <c r="H91" s="9"/>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Y91" s="12"/>
      <c r="BZ91" s="363">
        <f t="shared" si="13"/>
        <v>0</v>
      </c>
      <c r="CA91" s="12"/>
      <c r="CB91" s="7">
        <f t="shared" si="16"/>
        <v>0</v>
      </c>
      <c r="CC91" s="7">
        <f t="shared" si="17"/>
        <v>0</v>
      </c>
      <c r="CD91" s="7">
        <f t="shared" si="18"/>
        <v>0</v>
      </c>
      <c r="CE91" s="42"/>
      <c r="EX91" s="10" t="str">
        <f t="shared" si="0"/>
        <v/>
      </c>
    </row>
    <row r="92" spans="1:154" s="335" customFormat="1" x14ac:dyDescent="0.25">
      <c r="A92" s="362" cm="1">
        <f t="array" aca="1" ref="A92" ca="1">HYPERLINK(CONCATENATE("#",CELL("address",IF(SUM($CA92:$CE92)=0,A92,INDEX($CA92:$CE92,MATCH(1,$CA92:$CE92,0))))),SUM($CA92:$CE92))</f>
        <v>0</v>
      </c>
      <c r="D92" s="141" t="s">
        <v>1687</v>
      </c>
      <c r="E92" s="1"/>
      <c r="H92" s="9"/>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Y92" s="12"/>
      <c r="BZ92" s="363">
        <f t="shared" si="13"/>
        <v>0</v>
      </c>
      <c r="CA92" s="12"/>
      <c r="CB92" s="7">
        <f t="shared" si="16"/>
        <v>0</v>
      </c>
      <c r="CC92" s="7">
        <f t="shared" si="17"/>
        <v>0</v>
      </c>
      <c r="CD92" s="7">
        <f t="shared" si="18"/>
        <v>0</v>
      </c>
      <c r="CE92" s="42"/>
      <c r="EX92" s="10" t="str">
        <f t="shared" si="0"/>
        <v/>
      </c>
    </row>
    <row r="93" spans="1:154" x14ac:dyDescent="0.25">
      <c r="D93" s="96" t="s">
        <v>412</v>
      </c>
      <c r="E93" s="97"/>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Y93" s="12"/>
      <c r="CA93" s="12"/>
      <c r="CE93" s="42"/>
      <c r="EX93" s="10" t="str">
        <f t="shared" si="0"/>
        <v/>
      </c>
    </row>
    <row r="94" spans="1:154" ht="6.6" customHeight="1" x14ac:dyDescent="0.25">
      <c r="D94" s="1"/>
      <c r="E94" s="67"/>
      <c r="S94" s="335"/>
      <c r="BM94" s="6"/>
      <c r="BY94" s="42"/>
      <c r="CA94" s="42"/>
      <c r="CE94" s="42"/>
      <c r="EX94" s="10" t="str">
        <f t="shared" si="0"/>
        <v/>
      </c>
    </row>
    <row r="95" spans="1:154" ht="15.75" x14ac:dyDescent="0.25">
      <c r="D95" s="5" t="s">
        <v>350</v>
      </c>
      <c r="E95" s="67"/>
      <c r="S95" s="335"/>
      <c r="AA95" s="170" t="s">
        <v>335</v>
      </c>
      <c r="AB95" s="104"/>
      <c r="AC95" s="104"/>
      <c r="AD95" s="104"/>
      <c r="AE95" s="104"/>
      <c r="AF95" s="104"/>
      <c r="AG95" s="104"/>
      <c r="AH95" s="104"/>
      <c r="AI95" s="104"/>
      <c r="AJ95" s="104"/>
      <c r="AK95" s="104"/>
      <c r="AL95" s="104"/>
      <c r="BY95" s="12"/>
      <c r="CA95" s="12"/>
      <c r="CE95" s="42"/>
      <c r="EX95" s="10" t="str">
        <f t="shared" si="0"/>
        <v/>
      </c>
    </row>
    <row r="96" spans="1:154" x14ac:dyDescent="0.25">
      <c r="A96" s="362" cm="1">
        <f t="array" aca="1" ref="A96" ca="1">HYPERLINK(CONCATENATE("#",CELL("address",IF(SUM($CA96:$CE96)=0,A96,INDEX($CA96:$CE96,MATCH(1,$CA96:$CE96,0))))),SUM($CA96:$CE96))</f>
        <v>0</v>
      </c>
      <c r="D96" s="67" t="s">
        <v>305</v>
      </c>
      <c r="E96" s="67"/>
      <c r="H96" s="9"/>
      <c r="S96" s="335"/>
      <c r="AA96" s="203">
        <f>IF(SUMIFS($AA9:$BJ9, $AA$3:$BJ$3, AA$3, $AA$4:$BJ$4, 1)=0, 0,(AA9/SUMIFS($AA9:$BJ9, $AA$3:$BJ$3, AA$3, $AA$4:$BJ$4, 1))*AA$4)</f>
        <v>0</v>
      </c>
      <c r="AB96" s="66">
        <f t="shared" ref="AB96:BJ96" si="19">IF(SUMIFS($AA9:$BJ9, $AA$3:$BJ$3, AB$3, $AA$4:$BJ$4, 1)=0, 0,(AB9/SUMIFS($AA9:$BJ9, $AA$3:$BJ$3, AB$3, $AA$4:$BJ$4, 1))*AB$4)</f>
        <v>0</v>
      </c>
      <c r="AC96" s="66">
        <f t="shared" si="19"/>
        <v>0</v>
      </c>
      <c r="AD96" s="66">
        <f t="shared" si="19"/>
        <v>0</v>
      </c>
      <c r="AE96" s="66">
        <f t="shared" si="19"/>
        <v>0</v>
      </c>
      <c r="AF96" s="66">
        <f t="shared" si="19"/>
        <v>0</v>
      </c>
      <c r="AG96" s="66">
        <f t="shared" si="19"/>
        <v>0</v>
      </c>
      <c r="AH96" s="66">
        <f>IF(SUMIFS($AA9:$BJ9, $AA$3:$BJ$3, AH$3, $AA$4:$BJ$4, 1)=0, 0,(AH9/SUMIFS($AA9:$BJ9, $AA$3:$BJ$3, AH$3, $AA$4:$BJ$4, 1))*AH$4)</f>
        <v>0</v>
      </c>
      <c r="AI96" s="66">
        <f t="shared" si="19"/>
        <v>0</v>
      </c>
      <c r="AJ96" s="66">
        <f t="shared" si="19"/>
        <v>0</v>
      </c>
      <c r="AK96" s="66">
        <f t="shared" si="19"/>
        <v>0</v>
      </c>
      <c r="AL96" s="66">
        <f t="shared" si="19"/>
        <v>1</v>
      </c>
      <c r="AM96" s="66">
        <f t="shared" si="19"/>
        <v>0.12560001433516235</v>
      </c>
      <c r="AN96" s="66">
        <f t="shared" si="19"/>
        <v>9.439999047529482E-2</v>
      </c>
      <c r="AO96" s="66">
        <f t="shared" si="19"/>
        <v>9.5600019145619511E-2</v>
      </c>
      <c r="AP96" s="66">
        <f t="shared" si="19"/>
        <v>7.4399973638694744E-2</v>
      </c>
      <c r="AQ96" s="66">
        <f t="shared" si="19"/>
        <v>5.5999974985622744E-2</v>
      </c>
      <c r="AR96" s="66">
        <f t="shared" si="19"/>
        <v>5.5999974985622744E-2</v>
      </c>
      <c r="AS96" s="66">
        <f t="shared" si="19"/>
        <v>5.2000019722874373E-2</v>
      </c>
      <c r="AT96" s="66">
        <f t="shared" si="19"/>
        <v>5.1599970078956441E-2</v>
      </c>
      <c r="AU96" s="66">
        <f t="shared" si="19"/>
        <v>0.12560001433516235</v>
      </c>
      <c r="AV96" s="66">
        <f t="shared" si="19"/>
        <v>0.11600002549542297</v>
      </c>
      <c r="AW96" s="66">
        <f t="shared" si="19"/>
        <v>9.6000008658822897E-2</v>
      </c>
      <c r="AX96" s="66">
        <f t="shared" si="19"/>
        <v>5.6800014142744062E-2</v>
      </c>
      <c r="AY96" s="66">
        <f t="shared" si="19"/>
        <v>0.12560001433516235</v>
      </c>
      <c r="AZ96" s="66">
        <f t="shared" si="19"/>
        <v>9.439999047529482E-2</v>
      </c>
      <c r="BA96" s="66">
        <f t="shared" si="19"/>
        <v>9.5600019145619511E-2</v>
      </c>
      <c r="BB96" s="66">
        <f t="shared" si="19"/>
        <v>7.4399973638694744E-2</v>
      </c>
      <c r="BC96" s="66">
        <f t="shared" si="19"/>
        <v>5.5999974985622744E-2</v>
      </c>
      <c r="BD96" s="66">
        <f t="shared" si="19"/>
        <v>5.5999974985622744E-2</v>
      </c>
      <c r="BE96" s="66">
        <f t="shared" si="19"/>
        <v>5.2000019722874373E-2</v>
      </c>
      <c r="BF96" s="66">
        <f t="shared" si="19"/>
        <v>5.1599970078956441E-2</v>
      </c>
      <c r="BG96" s="66">
        <f t="shared" si="19"/>
        <v>0.12560001433516235</v>
      </c>
      <c r="BH96" s="66">
        <f t="shared" si="19"/>
        <v>0.11600002549542297</v>
      </c>
      <c r="BI96" s="66">
        <f t="shared" si="19"/>
        <v>9.6000008658822897E-2</v>
      </c>
      <c r="BJ96" s="66">
        <f t="shared" si="19"/>
        <v>5.6800014142744062E-2</v>
      </c>
      <c r="BY96" s="12"/>
      <c r="BZ96" s="363">
        <f t="shared" ref="BZ96:BZ127" si="20">IF(MIN($AA96:$BJ96)&lt;0, 1, 0)</f>
        <v>0</v>
      </c>
      <c r="CA96" s="12"/>
      <c r="CB96" s="7">
        <f t="shared" ref="CB96:CB124" si="21">IF(OR(SUM(AA96:AL96)=1, SUM(AA96:AL96)=0), 0, 1)</f>
        <v>0</v>
      </c>
      <c r="CC96" s="7">
        <f t="shared" ref="CC96:CC124" si="22">IF(OR(SUM(AM96:AX96)=1, SUM(AM96:AX96)=0), 0, 1)</f>
        <v>0</v>
      </c>
      <c r="CD96" s="7">
        <f t="shared" ref="CD96:CD124" si="23">IF(OR(SUM(AY96:BJ96)=1, SUM(AY96:BJ96)=0), 0, 1)</f>
        <v>0</v>
      </c>
      <c r="CE96" s="42"/>
      <c r="EX96" s="13" t="str">
        <f>IF($C96="","",CONCATENATE($D95, "  ",$D96))</f>
        <v/>
      </c>
    </row>
    <row r="97" spans="1:154" x14ac:dyDescent="0.25">
      <c r="A97" s="362" cm="1">
        <f t="array" aca="1" ref="A97" ca="1">HYPERLINK(CONCATENATE("#",CELL("address",IF(SUM($CA97:$CE97)=0,A97,INDEX($CA97:$CE97,MATCH(1,$CA97:$CE97,0))))),SUM($CA97:$CE97))</f>
        <v>0</v>
      </c>
      <c r="D97" s="67" t="s">
        <v>333</v>
      </c>
      <c r="E97" s="67"/>
      <c r="H97" s="9"/>
      <c r="S97" s="335"/>
      <c r="AA97" s="203">
        <f t="shared" ref="AA97:BJ97" si="24">IF(SUMIFS($AA10:$BJ10, $AA$3:$BJ$3, AA$3, $AA$4:$BJ$4, 1)=0, 0,(AA10/SUMIFS($AA10:$BJ10, $AA$3:$BJ$3, AA$3, $AA$4:$BJ$4, 1))*AA$4)</f>
        <v>0</v>
      </c>
      <c r="AB97" s="66">
        <f t="shared" si="24"/>
        <v>0</v>
      </c>
      <c r="AC97" s="66">
        <f t="shared" si="24"/>
        <v>0</v>
      </c>
      <c r="AD97" s="66">
        <f t="shared" si="24"/>
        <v>0</v>
      </c>
      <c r="AE97" s="66">
        <f t="shared" si="24"/>
        <v>0</v>
      </c>
      <c r="AF97" s="66">
        <f t="shared" si="24"/>
        <v>0</v>
      </c>
      <c r="AG97" s="66">
        <f t="shared" si="24"/>
        <v>0</v>
      </c>
      <c r="AH97" s="66">
        <f t="shared" si="24"/>
        <v>0</v>
      </c>
      <c r="AI97" s="66">
        <f>IF(SUMIFS($AA10:$BJ10, $AA$3:$BJ$3, AI$3, $AA$4:$BJ$4, 1)=0, 0,(AI10/SUMIFS($AA10:$BJ10, $AA$3:$BJ$3, AI$3, $AA$4:$BJ$4, 1))*AI$4)</f>
        <v>0</v>
      </c>
      <c r="AJ97" s="66">
        <f t="shared" si="24"/>
        <v>0</v>
      </c>
      <c r="AK97" s="66">
        <f t="shared" si="24"/>
        <v>0</v>
      </c>
      <c r="AL97" s="66">
        <f t="shared" si="24"/>
        <v>1</v>
      </c>
      <c r="AM97" s="66">
        <f t="shared" si="24"/>
        <v>8.3333333333333329E-2</v>
      </c>
      <c r="AN97" s="66">
        <f t="shared" si="24"/>
        <v>8.3333333333333329E-2</v>
      </c>
      <c r="AO97" s="66">
        <f t="shared" si="24"/>
        <v>8.3333333333333329E-2</v>
      </c>
      <c r="AP97" s="66">
        <f t="shared" si="24"/>
        <v>8.3333333333333329E-2</v>
      </c>
      <c r="AQ97" s="66">
        <f t="shared" si="24"/>
        <v>8.3333333333333329E-2</v>
      </c>
      <c r="AR97" s="66">
        <f t="shared" si="24"/>
        <v>8.3333333333333329E-2</v>
      </c>
      <c r="AS97" s="66">
        <f t="shared" si="24"/>
        <v>8.3333333333333329E-2</v>
      </c>
      <c r="AT97" s="66">
        <f t="shared" si="24"/>
        <v>8.3333333333333329E-2</v>
      </c>
      <c r="AU97" s="66">
        <f t="shared" si="24"/>
        <v>8.3333333333333329E-2</v>
      </c>
      <c r="AV97" s="66">
        <f t="shared" si="24"/>
        <v>8.3333333333333329E-2</v>
      </c>
      <c r="AW97" s="66">
        <f t="shared" si="24"/>
        <v>8.3333333333333329E-2</v>
      </c>
      <c r="AX97" s="66">
        <f t="shared" si="24"/>
        <v>8.3333333333333329E-2</v>
      </c>
      <c r="AY97" s="66">
        <f t="shared" si="24"/>
        <v>8.3333333333333329E-2</v>
      </c>
      <c r="AZ97" s="66">
        <f t="shared" si="24"/>
        <v>8.3333333333333329E-2</v>
      </c>
      <c r="BA97" s="66">
        <f t="shared" si="24"/>
        <v>8.3333333333333329E-2</v>
      </c>
      <c r="BB97" s="66">
        <f t="shared" si="24"/>
        <v>8.3333333333333329E-2</v>
      </c>
      <c r="BC97" s="66">
        <f t="shared" si="24"/>
        <v>8.3333333333333329E-2</v>
      </c>
      <c r="BD97" s="66">
        <f t="shared" si="24"/>
        <v>8.3333333333333329E-2</v>
      </c>
      <c r="BE97" s="66">
        <f t="shared" si="24"/>
        <v>8.3333333333333329E-2</v>
      </c>
      <c r="BF97" s="66">
        <f t="shared" si="24"/>
        <v>8.3333333333333329E-2</v>
      </c>
      <c r="BG97" s="66">
        <f t="shared" si="24"/>
        <v>8.3333333333333329E-2</v>
      </c>
      <c r="BH97" s="66">
        <f t="shared" si="24"/>
        <v>8.3333333333333329E-2</v>
      </c>
      <c r="BI97" s="66">
        <f t="shared" si="24"/>
        <v>8.3333333333333329E-2</v>
      </c>
      <c r="BJ97" s="66">
        <f t="shared" si="24"/>
        <v>8.3333333333333329E-2</v>
      </c>
      <c r="BY97" s="12"/>
      <c r="BZ97" s="363">
        <f t="shared" si="20"/>
        <v>0</v>
      </c>
      <c r="CA97" s="12"/>
      <c r="CB97" s="7">
        <f t="shared" si="21"/>
        <v>0</v>
      </c>
      <c r="CC97" s="7">
        <f t="shared" si="22"/>
        <v>0</v>
      </c>
      <c r="CD97" s="7">
        <f t="shared" si="23"/>
        <v>0</v>
      </c>
      <c r="CE97" s="42"/>
      <c r="EX97" s="13" t="str">
        <f t="shared" ref="EX97:EX124" si="25">IF($C97="","",CONCATENATE($D96, "  ",$D97))</f>
        <v/>
      </c>
    </row>
    <row r="98" spans="1:154" x14ac:dyDescent="0.25">
      <c r="A98" s="362" cm="1">
        <f t="array" aca="1" ref="A98" ca="1">HYPERLINK(CONCATENATE("#",CELL("address",IF(SUM($CA98:$CE98)=0,A98,INDEX($CA98:$CE98,MATCH(1,$CA98:$CE98,0))))),SUM($CA98:$CE98))</f>
        <v>0</v>
      </c>
      <c r="D98" s="67" t="s">
        <v>306</v>
      </c>
      <c r="E98" s="67"/>
      <c r="H98" s="9"/>
      <c r="S98" s="335"/>
      <c r="AA98" s="203">
        <f t="shared" ref="AA98:BJ98" si="26">IF(SUMIFS($AA11:$BJ11, $AA$3:$BJ$3, AA$3, $AA$4:$BJ$4, 1)=0, 0,(AA11/SUMIFS($AA11:$BJ11, $AA$3:$BJ$3, AA$3, $AA$4:$BJ$4, 1))*AA$4)</f>
        <v>0</v>
      </c>
      <c r="AB98" s="66">
        <f t="shared" si="26"/>
        <v>0</v>
      </c>
      <c r="AC98" s="66">
        <f t="shared" si="26"/>
        <v>0</v>
      </c>
      <c r="AD98" s="66">
        <f t="shared" si="26"/>
        <v>0</v>
      </c>
      <c r="AE98" s="66">
        <f t="shared" si="26"/>
        <v>0</v>
      </c>
      <c r="AF98" s="66">
        <f t="shared" si="26"/>
        <v>0</v>
      </c>
      <c r="AG98" s="66">
        <f t="shared" si="26"/>
        <v>0</v>
      </c>
      <c r="AH98" s="66">
        <f t="shared" si="26"/>
        <v>0</v>
      </c>
      <c r="AI98" s="66">
        <f t="shared" si="26"/>
        <v>0</v>
      </c>
      <c r="AJ98" s="66">
        <f t="shared" si="26"/>
        <v>0</v>
      </c>
      <c r="AK98" s="66">
        <f t="shared" si="26"/>
        <v>0</v>
      </c>
      <c r="AL98" s="66">
        <f t="shared" si="26"/>
        <v>1</v>
      </c>
      <c r="AM98" s="66">
        <f t="shared" si="26"/>
        <v>0.14440000000000003</v>
      </c>
      <c r="AN98" s="66">
        <f t="shared" si="26"/>
        <v>8.5800000000000015E-2</v>
      </c>
      <c r="AO98" s="66">
        <f t="shared" si="26"/>
        <v>8.6700000000000013E-2</v>
      </c>
      <c r="AP98" s="66">
        <f t="shared" si="26"/>
        <v>7.0800000000000016E-2</v>
      </c>
      <c r="AQ98" s="66">
        <f t="shared" si="26"/>
        <v>5.6900000000000006E-2</v>
      </c>
      <c r="AR98" s="66">
        <f t="shared" si="26"/>
        <v>7.4400000000000008E-2</v>
      </c>
      <c r="AS98" s="66">
        <f t="shared" si="26"/>
        <v>5.390000000000001E-2</v>
      </c>
      <c r="AT98" s="66">
        <f t="shared" si="26"/>
        <v>5.3600000000000009E-2</v>
      </c>
      <c r="AU98" s="66">
        <f t="shared" si="26"/>
        <v>0.12690000000000004</v>
      </c>
      <c r="AV98" s="66">
        <f t="shared" si="26"/>
        <v>0.10210000000000001</v>
      </c>
      <c r="AW98" s="66">
        <f t="shared" si="26"/>
        <v>8.7000000000000008E-2</v>
      </c>
      <c r="AX98" s="66">
        <f t="shared" si="26"/>
        <v>5.7500000000000009E-2</v>
      </c>
      <c r="AY98" s="66">
        <f t="shared" si="26"/>
        <v>0.14440000000000003</v>
      </c>
      <c r="AZ98" s="66">
        <f t="shared" si="26"/>
        <v>8.5800000000000015E-2</v>
      </c>
      <c r="BA98" s="66">
        <f t="shared" si="26"/>
        <v>8.6700000000000013E-2</v>
      </c>
      <c r="BB98" s="66">
        <f t="shared" si="26"/>
        <v>7.0800000000000016E-2</v>
      </c>
      <c r="BC98" s="66">
        <f t="shared" si="26"/>
        <v>5.6900000000000006E-2</v>
      </c>
      <c r="BD98" s="66">
        <f t="shared" si="26"/>
        <v>7.4400000000000008E-2</v>
      </c>
      <c r="BE98" s="66">
        <f t="shared" si="26"/>
        <v>5.390000000000001E-2</v>
      </c>
      <c r="BF98" s="66">
        <f t="shared" si="26"/>
        <v>5.3600000000000009E-2</v>
      </c>
      <c r="BG98" s="66">
        <f t="shared" si="26"/>
        <v>0.12690000000000004</v>
      </c>
      <c r="BH98" s="66">
        <f t="shared" si="26"/>
        <v>0.10210000000000001</v>
      </c>
      <c r="BI98" s="66">
        <f t="shared" si="26"/>
        <v>8.7000000000000008E-2</v>
      </c>
      <c r="BJ98" s="66">
        <f t="shared" si="26"/>
        <v>5.7500000000000009E-2</v>
      </c>
      <c r="BY98" s="12"/>
      <c r="BZ98" s="363">
        <f t="shared" si="20"/>
        <v>0</v>
      </c>
      <c r="CA98" s="12"/>
      <c r="CB98" s="7">
        <f t="shared" si="21"/>
        <v>0</v>
      </c>
      <c r="CC98" s="7">
        <f t="shared" si="22"/>
        <v>0</v>
      </c>
      <c r="CD98" s="7">
        <f t="shared" si="23"/>
        <v>0</v>
      </c>
      <c r="CE98" s="42"/>
      <c r="EX98" s="13" t="str">
        <f t="shared" si="25"/>
        <v/>
      </c>
    </row>
    <row r="99" spans="1:154" x14ac:dyDescent="0.25">
      <c r="A99" s="362" cm="1">
        <f t="array" aca="1" ref="A99" ca="1">HYPERLINK(CONCATENATE("#",CELL("address",IF(SUM($CA99:$CE99)=0,A99,INDEX($CA99:$CE99,MATCH(1,$CA99:$CE99,0))))),SUM($CA99:$CE99))</f>
        <v>0</v>
      </c>
      <c r="D99" s="67" t="s">
        <v>307</v>
      </c>
      <c r="E99" s="67"/>
      <c r="H99" s="9"/>
      <c r="S99" s="335"/>
      <c r="AA99" s="203">
        <f t="shared" ref="AA99:BJ99" si="27">IF(SUMIFS($AA12:$BJ12, $AA$3:$BJ$3, AA$3, $AA$4:$BJ$4, 1)=0, 0,(AA12/SUMIFS($AA12:$BJ12, $AA$3:$BJ$3, AA$3, $AA$4:$BJ$4, 1))*AA$4)</f>
        <v>0</v>
      </c>
      <c r="AB99" s="66">
        <f t="shared" si="27"/>
        <v>0</v>
      </c>
      <c r="AC99" s="66">
        <f t="shared" si="27"/>
        <v>0</v>
      </c>
      <c r="AD99" s="66">
        <f t="shared" si="27"/>
        <v>0</v>
      </c>
      <c r="AE99" s="66">
        <f t="shared" si="27"/>
        <v>0</v>
      </c>
      <c r="AF99" s="66">
        <f t="shared" si="27"/>
        <v>0</v>
      </c>
      <c r="AG99" s="66">
        <f t="shared" si="27"/>
        <v>0</v>
      </c>
      <c r="AH99" s="66">
        <f t="shared" si="27"/>
        <v>0</v>
      </c>
      <c r="AI99" s="66">
        <f t="shared" si="27"/>
        <v>0</v>
      </c>
      <c r="AJ99" s="66">
        <f t="shared" si="27"/>
        <v>0</v>
      </c>
      <c r="AK99" s="66">
        <f t="shared" si="27"/>
        <v>0</v>
      </c>
      <c r="AL99" s="66">
        <f t="shared" si="27"/>
        <v>0</v>
      </c>
      <c r="AM99" s="66">
        <f t="shared" si="27"/>
        <v>0.5</v>
      </c>
      <c r="AN99" s="66">
        <f t="shared" si="27"/>
        <v>0</v>
      </c>
      <c r="AO99" s="66">
        <f t="shared" si="27"/>
        <v>0</v>
      </c>
      <c r="AP99" s="66">
        <f t="shared" si="27"/>
        <v>0</v>
      </c>
      <c r="AQ99" s="66">
        <f t="shared" si="27"/>
        <v>0</v>
      </c>
      <c r="AR99" s="66">
        <f t="shared" si="27"/>
        <v>0.25</v>
      </c>
      <c r="AS99" s="66">
        <f t="shared" si="27"/>
        <v>0</v>
      </c>
      <c r="AT99" s="66">
        <f t="shared" si="27"/>
        <v>0</v>
      </c>
      <c r="AU99" s="66">
        <f t="shared" si="27"/>
        <v>0.25</v>
      </c>
      <c r="AV99" s="66">
        <f t="shared" si="27"/>
        <v>0</v>
      </c>
      <c r="AW99" s="66">
        <f t="shared" si="27"/>
        <v>0</v>
      </c>
      <c r="AX99" s="66">
        <f t="shared" si="27"/>
        <v>0</v>
      </c>
      <c r="AY99" s="66">
        <f t="shared" si="27"/>
        <v>0.5</v>
      </c>
      <c r="AZ99" s="66">
        <f t="shared" si="27"/>
        <v>0</v>
      </c>
      <c r="BA99" s="66">
        <f t="shared" si="27"/>
        <v>0</v>
      </c>
      <c r="BB99" s="66">
        <f t="shared" si="27"/>
        <v>0</v>
      </c>
      <c r="BC99" s="66">
        <f t="shared" si="27"/>
        <v>0</v>
      </c>
      <c r="BD99" s="66">
        <f t="shared" si="27"/>
        <v>0.25</v>
      </c>
      <c r="BE99" s="66">
        <f t="shared" si="27"/>
        <v>0</v>
      </c>
      <c r="BF99" s="66">
        <f t="shared" si="27"/>
        <v>0</v>
      </c>
      <c r="BG99" s="66">
        <f t="shared" si="27"/>
        <v>0.25</v>
      </c>
      <c r="BH99" s="66">
        <f t="shared" si="27"/>
        <v>0</v>
      </c>
      <c r="BI99" s="66">
        <f t="shared" si="27"/>
        <v>0</v>
      </c>
      <c r="BJ99" s="66">
        <f t="shared" si="27"/>
        <v>0</v>
      </c>
      <c r="BY99" s="12"/>
      <c r="BZ99" s="363">
        <f t="shared" si="20"/>
        <v>0</v>
      </c>
      <c r="CA99" s="12"/>
      <c r="CB99" s="7">
        <f t="shared" si="21"/>
        <v>0</v>
      </c>
      <c r="CC99" s="7">
        <f t="shared" si="22"/>
        <v>0</v>
      </c>
      <c r="CD99" s="7">
        <f t="shared" si="23"/>
        <v>0</v>
      </c>
      <c r="CE99" s="42"/>
      <c r="EX99" s="13" t="str">
        <f t="shared" si="25"/>
        <v/>
      </c>
    </row>
    <row r="100" spans="1:154" x14ac:dyDescent="0.25">
      <c r="A100" s="362" cm="1">
        <f t="array" aca="1" ref="A100" ca="1">HYPERLINK(CONCATENATE("#",CELL("address",IF(SUM($CA100:$CE100)=0,A100,INDEX($CA100:$CE100,MATCH(1,$CA100:$CE100,0))))),SUM($CA100:$CE100))</f>
        <v>0</v>
      </c>
      <c r="D100" s="10" t="str">
        <f t="shared" ref="D100:D124" si="28">D13</f>
        <v xml:space="preserve">Custom 1 </v>
      </c>
      <c r="H100" s="9"/>
      <c r="S100" s="335"/>
      <c r="AA100" s="203">
        <f t="shared" ref="AA100:BJ100" si="29">IF(SUMIFS($AA13:$BJ13, $AA$3:$BJ$3, AA$3, $AA$4:$BJ$4, 1)=0, 0,(AA13/SUMIFS($AA13:$BJ13, $AA$3:$BJ$3, AA$3, $AA$4:$BJ$4, 1))*AA$4)</f>
        <v>0</v>
      </c>
      <c r="AB100" s="66">
        <f t="shared" si="29"/>
        <v>0</v>
      </c>
      <c r="AC100" s="66">
        <f t="shared" si="29"/>
        <v>0</v>
      </c>
      <c r="AD100" s="66">
        <f t="shared" si="29"/>
        <v>0</v>
      </c>
      <c r="AE100" s="66">
        <f t="shared" si="29"/>
        <v>0</v>
      </c>
      <c r="AF100" s="66">
        <f t="shared" si="29"/>
        <v>0</v>
      </c>
      <c r="AG100" s="66">
        <f t="shared" si="29"/>
        <v>0</v>
      </c>
      <c r="AH100" s="66">
        <f t="shared" si="29"/>
        <v>0</v>
      </c>
      <c r="AI100" s="66">
        <f t="shared" si="29"/>
        <v>0</v>
      </c>
      <c r="AJ100" s="66">
        <f t="shared" si="29"/>
        <v>0</v>
      </c>
      <c r="AK100" s="66">
        <f t="shared" si="29"/>
        <v>0</v>
      </c>
      <c r="AL100" s="66">
        <f t="shared" si="29"/>
        <v>0</v>
      </c>
      <c r="AM100" s="66">
        <f t="shared" si="29"/>
        <v>0</v>
      </c>
      <c r="AN100" s="66">
        <f t="shared" si="29"/>
        <v>0</v>
      </c>
      <c r="AO100" s="66">
        <f t="shared" si="29"/>
        <v>0</v>
      </c>
      <c r="AP100" s="66">
        <f t="shared" si="29"/>
        <v>0</v>
      </c>
      <c r="AQ100" s="66">
        <f t="shared" si="29"/>
        <v>0</v>
      </c>
      <c r="AR100" s="66">
        <f t="shared" si="29"/>
        <v>0</v>
      </c>
      <c r="AS100" s="66">
        <f t="shared" si="29"/>
        <v>0</v>
      </c>
      <c r="AT100" s="66">
        <f t="shared" si="29"/>
        <v>0</v>
      </c>
      <c r="AU100" s="66">
        <f t="shared" si="29"/>
        <v>0</v>
      </c>
      <c r="AV100" s="66">
        <f t="shared" si="29"/>
        <v>0</v>
      </c>
      <c r="AW100" s="66">
        <f t="shared" si="29"/>
        <v>0</v>
      </c>
      <c r="AX100" s="66">
        <f t="shared" si="29"/>
        <v>0</v>
      </c>
      <c r="AY100" s="66">
        <f t="shared" si="29"/>
        <v>0</v>
      </c>
      <c r="AZ100" s="66">
        <f t="shared" si="29"/>
        <v>0</v>
      </c>
      <c r="BA100" s="66">
        <f t="shared" si="29"/>
        <v>0</v>
      </c>
      <c r="BB100" s="66">
        <f t="shared" si="29"/>
        <v>0</v>
      </c>
      <c r="BC100" s="66">
        <f t="shared" si="29"/>
        <v>0</v>
      </c>
      <c r="BD100" s="66">
        <f t="shared" si="29"/>
        <v>0</v>
      </c>
      <c r="BE100" s="66">
        <f t="shared" si="29"/>
        <v>0</v>
      </c>
      <c r="BF100" s="66">
        <f t="shared" si="29"/>
        <v>0</v>
      </c>
      <c r="BG100" s="66">
        <f t="shared" si="29"/>
        <v>0</v>
      </c>
      <c r="BH100" s="66">
        <f t="shared" si="29"/>
        <v>0</v>
      </c>
      <c r="BI100" s="66">
        <f t="shared" si="29"/>
        <v>0</v>
      </c>
      <c r="BJ100" s="66">
        <f t="shared" si="29"/>
        <v>0</v>
      </c>
      <c r="BY100" s="12"/>
      <c r="BZ100" s="363">
        <f t="shared" si="20"/>
        <v>0</v>
      </c>
      <c r="CA100" s="12"/>
      <c r="CB100" s="7">
        <f t="shared" si="21"/>
        <v>0</v>
      </c>
      <c r="CC100" s="7">
        <f t="shared" si="22"/>
        <v>0</v>
      </c>
      <c r="CD100" s="7">
        <f t="shared" si="23"/>
        <v>0</v>
      </c>
      <c r="CE100" s="42"/>
      <c r="EX100" s="13" t="str">
        <f t="shared" si="25"/>
        <v/>
      </c>
    </row>
    <row r="101" spans="1:154" x14ac:dyDescent="0.25">
      <c r="A101" s="362" cm="1">
        <f t="array" aca="1" ref="A101" ca="1">HYPERLINK(CONCATENATE("#",CELL("address",IF(SUM($CA101:$CE101)=0,A101,INDEX($CA101:$CE101,MATCH(1,$CA101:$CE101,0))))),SUM($CA101:$CE101))</f>
        <v>0</v>
      </c>
      <c r="D101" s="10" t="str">
        <f t="shared" si="28"/>
        <v>Custom 2</v>
      </c>
      <c r="H101" s="9"/>
      <c r="S101" s="335"/>
      <c r="AA101" s="203">
        <f t="shared" ref="AA101:BJ101" si="30">IF(SUMIFS($AA14:$BJ14, $AA$3:$BJ$3, AA$3, $AA$4:$BJ$4, 1)=0, 0,(AA14/SUMIFS($AA14:$BJ14, $AA$3:$BJ$3, AA$3, $AA$4:$BJ$4, 1))*AA$4)</f>
        <v>0</v>
      </c>
      <c r="AB101" s="66">
        <f t="shared" si="30"/>
        <v>0</v>
      </c>
      <c r="AC101" s="66">
        <f t="shared" si="30"/>
        <v>0</v>
      </c>
      <c r="AD101" s="66">
        <f t="shared" si="30"/>
        <v>0</v>
      </c>
      <c r="AE101" s="66">
        <f t="shared" si="30"/>
        <v>0</v>
      </c>
      <c r="AF101" s="66">
        <f t="shared" si="30"/>
        <v>0</v>
      </c>
      <c r="AG101" s="66">
        <f t="shared" si="30"/>
        <v>0</v>
      </c>
      <c r="AH101" s="66">
        <f t="shared" si="30"/>
        <v>0</v>
      </c>
      <c r="AI101" s="66">
        <f t="shared" si="30"/>
        <v>0</v>
      </c>
      <c r="AJ101" s="66">
        <f t="shared" si="30"/>
        <v>0</v>
      </c>
      <c r="AK101" s="66">
        <f t="shared" si="30"/>
        <v>0</v>
      </c>
      <c r="AL101" s="66">
        <f t="shared" si="30"/>
        <v>0</v>
      </c>
      <c r="AM101" s="66">
        <f t="shared" si="30"/>
        <v>0</v>
      </c>
      <c r="AN101" s="66">
        <f t="shared" si="30"/>
        <v>0</v>
      </c>
      <c r="AO101" s="66">
        <f t="shared" si="30"/>
        <v>0</v>
      </c>
      <c r="AP101" s="66">
        <f t="shared" si="30"/>
        <v>0</v>
      </c>
      <c r="AQ101" s="66">
        <f t="shared" si="30"/>
        <v>0</v>
      </c>
      <c r="AR101" s="66">
        <f t="shared" si="30"/>
        <v>0</v>
      </c>
      <c r="AS101" s="66">
        <f t="shared" si="30"/>
        <v>0</v>
      </c>
      <c r="AT101" s="66">
        <f t="shared" si="30"/>
        <v>0</v>
      </c>
      <c r="AU101" s="66">
        <f t="shared" si="30"/>
        <v>0</v>
      </c>
      <c r="AV101" s="66">
        <f t="shared" si="30"/>
        <v>0</v>
      </c>
      <c r="AW101" s="66">
        <f t="shared" si="30"/>
        <v>0</v>
      </c>
      <c r="AX101" s="66">
        <f t="shared" si="30"/>
        <v>0</v>
      </c>
      <c r="AY101" s="66">
        <f t="shared" si="30"/>
        <v>0</v>
      </c>
      <c r="AZ101" s="66">
        <f t="shared" si="30"/>
        <v>0</v>
      </c>
      <c r="BA101" s="66">
        <f t="shared" si="30"/>
        <v>0</v>
      </c>
      <c r="BB101" s="66">
        <f t="shared" si="30"/>
        <v>0</v>
      </c>
      <c r="BC101" s="66">
        <f t="shared" si="30"/>
        <v>0</v>
      </c>
      <c r="BD101" s="66">
        <f t="shared" si="30"/>
        <v>0</v>
      </c>
      <c r="BE101" s="66">
        <f t="shared" si="30"/>
        <v>0</v>
      </c>
      <c r="BF101" s="66">
        <f t="shared" si="30"/>
        <v>0</v>
      </c>
      <c r="BG101" s="66">
        <f t="shared" si="30"/>
        <v>0</v>
      </c>
      <c r="BH101" s="66">
        <f t="shared" si="30"/>
        <v>0</v>
      </c>
      <c r="BI101" s="66">
        <f t="shared" si="30"/>
        <v>0</v>
      </c>
      <c r="BJ101" s="66">
        <f t="shared" si="30"/>
        <v>0</v>
      </c>
      <c r="BY101" s="12"/>
      <c r="BZ101" s="363">
        <f t="shared" si="20"/>
        <v>0</v>
      </c>
      <c r="CA101" s="12"/>
      <c r="CB101" s="7">
        <f t="shared" si="21"/>
        <v>0</v>
      </c>
      <c r="CC101" s="7">
        <f t="shared" si="22"/>
        <v>0</v>
      </c>
      <c r="CD101" s="7">
        <f t="shared" si="23"/>
        <v>0</v>
      </c>
      <c r="CE101" s="42"/>
      <c r="EX101" s="13" t="str">
        <f t="shared" si="25"/>
        <v/>
      </c>
    </row>
    <row r="102" spans="1:154" x14ac:dyDescent="0.25">
      <c r="A102" s="362" cm="1">
        <f t="array" aca="1" ref="A102" ca="1">HYPERLINK(CONCATENATE("#",CELL("address",IF(SUM($CA102:$CE102)=0,A102,INDEX($CA102:$CE102,MATCH(1,$CA102:$CE102,0))))),SUM($CA102:$CE102))</f>
        <v>0</v>
      </c>
      <c r="D102" s="10" t="str">
        <f t="shared" si="28"/>
        <v>Custom 3</v>
      </c>
      <c r="H102" s="9"/>
      <c r="S102" s="335"/>
      <c r="AA102" s="203">
        <f t="shared" ref="AA102:BJ102" si="31">IF(SUMIFS($AA15:$BJ15, $AA$3:$BJ$3, AA$3, $AA$4:$BJ$4, 1)=0, 0,(AA15/SUMIFS($AA15:$BJ15, $AA$3:$BJ$3, AA$3, $AA$4:$BJ$4, 1))*AA$4)</f>
        <v>0</v>
      </c>
      <c r="AB102" s="66">
        <f t="shared" si="31"/>
        <v>0</v>
      </c>
      <c r="AC102" s="66">
        <f t="shared" si="31"/>
        <v>0</v>
      </c>
      <c r="AD102" s="66">
        <f t="shared" si="31"/>
        <v>0</v>
      </c>
      <c r="AE102" s="66">
        <f t="shared" si="31"/>
        <v>0</v>
      </c>
      <c r="AF102" s="66">
        <f t="shared" si="31"/>
        <v>0</v>
      </c>
      <c r="AG102" s="66">
        <f t="shared" si="31"/>
        <v>0</v>
      </c>
      <c r="AH102" s="66">
        <f t="shared" si="31"/>
        <v>0</v>
      </c>
      <c r="AI102" s="66">
        <f t="shared" si="31"/>
        <v>0</v>
      </c>
      <c r="AJ102" s="66">
        <f t="shared" si="31"/>
        <v>0</v>
      </c>
      <c r="AK102" s="66">
        <f t="shared" si="31"/>
        <v>0</v>
      </c>
      <c r="AL102" s="66">
        <f t="shared" si="31"/>
        <v>0</v>
      </c>
      <c r="AM102" s="66">
        <f t="shared" si="31"/>
        <v>0</v>
      </c>
      <c r="AN102" s="66">
        <f t="shared" si="31"/>
        <v>0</v>
      </c>
      <c r="AO102" s="66">
        <f t="shared" si="31"/>
        <v>0</v>
      </c>
      <c r="AP102" s="66">
        <f t="shared" si="31"/>
        <v>0</v>
      </c>
      <c r="AQ102" s="66">
        <f t="shared" si="31"/>
        <v>0</v>
      </c>
      <c r="AR102" s="66">
        <f t="shared" si="31"/>
        <v>0</v>
      </c>
      <c r="AS102" s="66">
        <f t="shared" si="31"/>
        <v>0</v>
      </c>
      <c r="AT102" s="66">
        <f t="shared" si="31"/>
        <v>0</v>
      </c>
      <c r="AU102" s="66">
        <f t="shared" si="31"/>
        <v>0</v>
      </c>
      <c r="AV102" s="66">
        <f t="shared" si="31"/>
        <v>0</v>
      </c>
      <c r="AW102" s="66">
        <f t="shared" si="31"/>
        <v>0</v>
      </c>
      <c r="AX102" s="66">
        <f t="shared" si="31"/>
        <v>0</v>
      </c>
      <c r="AY102" s="66">
        <f t="shared" si="31"/>
        <v>0</v>
      </c>
      <c r="AZ102" s="66">
        <f t="shared" si="31"/>
        <v>0</v>
      </c>
      <c r="BA102" s="66">
        <f t="shared" si="31"/>
        <v>0</v>
      </c>
      <c r="BB102" s="66">
        <f t="shared" si="31"/>
        <v>0</v>
      </c>
      <c r="BC102" s="66">
        <f t="shared" si="31"/>
        <v>0</v>
      </c>
      <c r="BD102" s="66">
        <f t="shared" si="31"/>
        <v>0</v>
      </c>
      <c r="BE102" s="66">
        <f t="shared" si="31"/>
        <v>0</v>
      </c>
      <c r="BF102" s="66">
        <f t="shared" si="31"/>
        <v>0</v>
      </c>
      <c r="BG102" s="66">
        <f t="shared" si="31"/>
        <v>0</v>
      </c>
      <c r="BH102" s="66">
        <f t="shared" si="31"/>
        <v>0</v>
      </c>
      <c r="BI102" s="66">
        <f t="shared" si="31"/>
        <v>0</v>
      </c>
      <c r="BJ102" s="66">
        <f t="shared" si="31"/>
        <v>0</v>
      </c>
      <c r="BY102" s="12"/>
      <c r="BZ102" s="363">
        <f t="shared" si="20"/>
        <v>0</v>
      </c>
      <c r="CA102" s="12"/>
      <c r="CB102" s="7">
        <f t="shared" si="21"/>
        <v>0</v>
      </c>
      <c r="CC102" s="7">
        <f t="shared" si="22"/>
        <v>0</v>
      </c>
      <c r="CD102" s="7">
        <f t="shared" si="23"/>
        <v>0</v>
      </c>
      <c r="CE102" s="42"/>
      <c r="EX102" s="13" t="str">
        <f t="shared" si="25"/>
        <v/>
      </c>
    </row>
    <row r="103" spans="1:154" x14ac:dyDescent="0.25">
      <c r="A103" s="362" cm="1">
        <f t="array" aca="1" ref="A103" ca="1">HYPERLINK(CONCATENATE("#",CELL("address",IF(SUM($CA103:$CE103)=0,A103,INDEX($CA103:$CE103,MATCH(1,$CA103:$CE103,0))))),SUM($CA103:$CE103))</f>
        <v>0</v>
      </c>
      <c r="D103" s="10" t="str">
        <f t="shared" si="28"/>
        <v>Custom 4</v>
      </c>
      <c r="H103" s="9"/>
      <c r="S103" s="335"/>
      <c r="AA103" s="203">
        <f t="shared" ref="AA103:BJ103" si="32">IF(SUMIFS($AA16:$BJ16, $AA$3:$BJ$3, AA$3, $AA$4:$BJ$4, 1)=0, 0,(AA16/SUMIFS($AA16:$BJ16, $AA$3:$BJ$3, AA$3, $AA$4:$BJ$4, 1))*AA$4)</f>
        <v>0</v>
      </c>
      <c r="AB103" s="66">
        <f t="shared" si="32"/>
        <v>0</v>
      </c>
      <c r="AC103" s="66">
        <f t="shared" si="32"/>
        <v>0</v>
      </c>
      <c r="AD103" s="66">
        <f t="shared" si="32"/>
        <v>0</v>
      </c>
      <c r="AE103" s="66">
        <f t="shared" si="32"/>
        <v>0</v>
      </c>
      <c r="AF103" s="66">
        <f t="shared" si="32"/>
        <v>0</v>
      </c>
      <c r="AG103" s="66">
        <f t="shared" si="32"/>
        <v>0</v>
      </c>
      <c r="AH103" s="66">
        <f t="shared" si="32"/>
        <v>0</v>
      </c>
      <c r="AI103" s="66">
        <f t="shared" si="32"/>
        <v>0</v>
      </c>
      <c r="AJ103" s="66">
        <f t="shared" si="32"/>
        <v>0</v>
      </c>
      <c r="AK103" s="66">
        <f t="shared" si="32"/>
        <v>0</v>
      </c>
      <c r="AL103" s="66">
        <f t="shared" si="32"/>
        <v>0</v>
      </c>
      <c r="AM103" s="66">
        <f t="shared" si="32"/>
        <v>0</v>
      </c>
      <c r="AN103" s="66">
        <f t="shared" si="32"/>
        <v>0</v>
      </c>
      <c r="AO103" s="66">
        <f t="shared" si="32"/>
        <v>0</v>
      </c>
      <c r="AP103" s="66">
        <f t="shared" si="32"/>
        <v>0</v>
      </c>
      <c r="AQ103" s="66">
        <f t="shared" si="32"/>
        <v>0</v>
      </c>
      <c r="AR103" s="66">
        <f t="shared" si="32"/>
        <v>0</v>
      </c>
      <c r="AS103" s="66">
        <f t="shared" si="32"/>
        <v>0</v>
      </c>
      <c r="AT103" s="66">
        <f t="shared" si="32"/>
        <v>0</v>
      </c>
      <c r="AU103" s="66">
        <f t="shared" si="32"/>
        <v>0</v>
      </c>
      <c r="AV103" s="66">
        <f t="shared" si="32"/>
        <v>0</v>
      </c>
      <c r="AW103" s="66">
        <f t="shared" si="32"/>
        <v>0</v>
      </c>
      <c r="AX103" s="66">
        <f t="shared" si="32"/>
        <v>0</v>
      </c>
      <c r="AY103" s="66">
        <f t="shared" si="32"/>
        <v>0</v>
      </c>
      <c r="AZ103" s="66">
        <f t="shared" si="32"/>
        <v>0</v>
      </c>
      <c r="BA103" s="66">
        <f t="shared" si="32"/>
        <v>0</v>
      </c>
      <c r="BB103" s="66">
        <f t="shared" si="32"/>
        <v>0</v>
      </c>
      <c r="BC103" s="66">
        <f t="shared" si="32"/>
        <v>0</v>
      </c>
      <c r="BD103" s="66">
        <f t="shared" si="32"/>
        <v>0</v>
      </c>
      <c r="BE103" s="66">
        <f t="shared" si="32"/>
        <v>0</v>
      </c>
      <c r="BF103" s="66">
        <f t="shared" si="32"/>
        <v>0</v>
      </c>
      <c r="BG103" s="66">
        <f t="shared" si="32"/>
        <v>0</v>
      </c>
      <c r="BH103" s="66">
        <f t="shared" si="32"/>
        <v>0</v>
      </c>
      <c r="BI103" s="66">
        <f t="shared" si="32"/>
        <v>0</v>
      </c>
      <c r="BJ103" s="66">
        <f t="shared" si="32"/>
        <v>0</v>
      </c>
      <c r="BY103" s="12"/>
      <c r="BZ103" s="363">
        <f t="shared" si="20"/>
        <v>0</v>
      </c>
      <c r="CA103" s="12"/>
      <c r="CB103" s="7">
        <f t="shared" si="21"/>
        <v>0</v>
      </c>
      <c r="CC103" s="7">
        <f t="shared" si="22"/>
        <v>0</v>
      </c>
      <c r="CD103" s="7">
        <f t="shared" si="23"/>
        <v>0</v>
      </c>
      <c r="CE103" s="42"/>
      <c r="EX103" s="13" t="str">
        <f t="shared" si="25"/>
        <v/>
      </c>
    </row>
    <row r="104" spans="1:154" x14ac:dyDescent="0.25">
      <c r="A104" s="362" cm="1">
        <f t="array" aca="1" ref="A104" ca="1">HYPERLINK(CONCATENATE("#",CELL("address",IF(SUM($CA104:$CE104)=0,A104,INDEX($CA104:$CE104,MATCH(1,$CA104:$CE104,0))))),SUM($CA104:$CE104))</f>
        <v>0</v>
      </c>
      <c r="D104" s="10" t="str">
        <f t="shared" si="28"/>
        <v>Custom 5</v>
      </c>
      <c r="H104" s="9"/>
      <c r="S104" s="335"/>
      <c r="AA104" s="203">
        <f t="shared" ref="AA104:BJ104" si="33">IF(SUMIFS($AA17:$BJ17, $AA$3:$BJ$3, AA$3, $AA$4:$BJ$4, 1)=0, 0,(AA17/SUMIFS($AA17:$BJ17, $AA$3:$BJ$3, AA$3, $AA$4:$BJ$4, 1))*AA$4)</f>
        <v>0</v>
      </c>
      <c r="AB104" s="66">
        <f t="shared" si="33"/>
        <v>0</v>
      </c>
      <c r="AC104" s="66">
        <f t="shared" si="33"/>
        <v>0</v>
      </c>
      <c r="AD104" s="66">
        <f t="shared" si="33"/>
        <v>0</v>
      </c>
      <c r="AE104" s="66">
        <f t="shared" si="33"/>
        <v>0</v>
      </c>
      <c r="AF104" s="66">
        <f t="shared" si="33"/>
        <v>0</v>
      </c>
      <c r="AG104" s="66">
        <f t="shared" si="33"/>
        <v>0</v>
      </c>
      <c r="AH104" s="66">
        <f t="shared" si="33"/>
        <v>0</v>
      </c>
      <c r="AI104" s="66">
        <f t="shared" si="33"/>
        <v>0</v>
      </c>
      <c r="AJ104" s="66">
        <f t="shared" si="33"/>
        <v>0</v>
      </c>
      <c r="AK104" s="66">
        <f t="shared" si="33"/>
        <v>0</v>
      </c>
      <c r="AL104" s="66">
        <f t="shared" si="33"/>
        <v>0</v>
      </c>
      <c r="AM104" s="66">
        <f t="shared" si="33"/>
        <v>0</v>
      </c>
      <c r="AN104" s="66">
        <f t="shared" si="33"/>
        <v>0</v>
      </c>
      <c r="AO104" s="66">
        <f t="shared" si="33"/>
        <v>0</v>
      </c>
      <c r="AP104" s="66">
        <f t="shared" si="33"/>
        <v>0</v>
      </c>
      <c r="AQ104" s="66">
        <f t="shared" si="33"/>
        <v>0</v>
      </c>
      <c r="AR104" s="66">
        <f t="shared" si="33"/>
        <v>0</v>
      </c>
      <c r="AS104" s="66">
        <f t="shared" si="33"/>
        <v>0</v>
      </c>
      <c r="AT104" s="66">
        <f t="shared" si="33"/>
        <v>0</v>
      </c>
      <c r="AU104" s="66">
        <f t="shared" si="33"/>
        <v>0</v>
      </c>
      <c r="AV104" s="66">
        <f t="shared" si="33"/>
        <v>0</v>
      </c>
      <c r="AW104" s="66">
        <f t="shared" si="33"/>
        <v>0</v>
      </c>
      <c r="AX104" s="66">
        <f t="shared" si="33"/>
        <v>0</v>
      </c>
      <c r="AY104" s="66">
        <f t="shared" si="33"/>
        <v>0</v>
      </c>
      <c r="AZ104" s="66">
        <f t="shared" si="33"/>
        <v>0</v>
      </c>
      <c r="BA104" s="66">
        <f t="shared" si="33"/>
        <v>0</v>
      </c>
      <c r="BB104" s="66">
        <f t="shared" si="33"/>
        <v>0</v>
      </c>
      <c r="BC104" s="66">
        <f t="shared" si="33"/>
        <v>0</v>
      </c>
      <c r="BD104" s="66">
        <f t="shared" si="33"/>
        <v>0</v>
      </c>
      <c r="BE104" s="66">
        <f t="shared" si="33"/>
        <v>0</v>
      </c>
      <c r="BF104" s="66">
        <f t="shared" si="33"/>
        <v>0</v>
      </c>
      <c r="BG104" s="66">
        <f t="shared" si="33"/>
        <v>0</v>
      </c>
      <c r="BH104" s="66">
        <f t="shared" si="33"/>
        <v>0</v>
      </c>
      <c r="BI104" s="66">
        <f t="shared" si="33"/>
        <v>0</v>
      </c>
      <c r="BJ104" s="66">
        <f t="shared" si="33"/>
        <v>0</v>
      </c>
      <c r="BY104" s="12"/>
      <c r="BZ104" s="363">
        <f t="shared" si="20"/>
        <v>0</v>
      </c>
      <c r="CA104" s="12"/>
      <c r="CB104" s="7">
        <f t="shared" si="21"/>
        <v>0</v>
      </c>
      <c r="CC104" s="7">
        <f t="shared" si="22"/>
        <v>0</v>
      </c>
      <c r="CD104" s="7">
        <f t="shared" si="23"/>
        <v>0</v>
      </c>
      <c r="CE104" s="42"/>
      <c r="EX104" s="13" t="str">
        <f t="shared" si="25"/>
        <v/>
      </c>
    </row>
    <row r="105" spans="1:154" x14ac:dyDescent="0.25">
      <c r="A105" s="362" cm="1">
        <f t="array" aca="1" ref="A105" ca="1">HYPERLINK(CONCATENATE("#",CELL("address",IF(SUM($CA105:$CE105)=0,A105,INDEX($CA105:$CE105,MATCH(1,$CA105:$CE105,0))))),SUM($CA105:$CE105))</f>
        <v>0</v>
      </c>
      <c r="D105" s="10" t="str">
        <f t="shared" si="28"/>
        <v>Custom 6</v>
      </c>
      <c r="H105" s="9"/>
      <c r="S105" s="335"/>
      <c r="AA105" s="203">
        <f t="shared" ref="AA105:BJ105" si="34">IF(SUMIFS($AA18:$BJ18, $AA$3:$BJ$3, AA$3, $AA$4:$BJ$4, 1)=0, 0,(AA18/SUMIFS($AA18:$BJ18, $AA$3:$BJ$3, AA$3, $AA$4:$BJ$4, 1))*AA$4)</f>
        <v>0</v>
      </c>
      <c r="AB105" s="66">
        <f t="shared" si="34"/>
        <v>0</v>
      </c>
      <c r="AC105" s="66">
        <f t="shared" si="34"/>
        <v>0</v>
      </c>
      <c r="AD105" s="66">
        <f t="shared" si="34"/>
        <v>0</v>
      </c>
      <c r="AE105" s="66">
        <f t="shared" si="34"/>
        <v>0</v>
      </c>
      <c r="AF105" s="66">
        <f t="shared" si="34"/>
        <v>0</v>
      </c>
      <c r="AG105" s="66">
        <f t="shared" si="34"/>
        <v>0</v>
      </c>
      <c r="AH105" s="66">
        <f t="shared" si="34"/>
        <v>0</v>
      </c>
      <c r="AI105" s="66">
        <f t="shared" si="34"/>
        <v>0</v>
      </c>
      <c r="AJ105" s="66">
        <f t="shared" si="34"/>
        <v>0</v>
      </c>
      <c r="AK105" s="66">
        <f t="shared" si="34"/>
        <v>0</v>
      </c>
      <c r="AL105" s="66">
        <f t="shared" si="34"/>
        <v>0</v>
      </c>
      <c r="AM105" s="66">
        <f t="shared" si="34"/>
        <v>0</v>
      </c>
      <c r="AN105" s="66">
        <f t="shared" si="34"/>
        <v>0</v>
      </c>
      <c r="AO105" s="66">
        <f t="shared" si="34"/>
        <v>0</v>
      </c>
      <c r="AP105" s="66">
        <f t="shared" si="34"/>
        <v>0</v>
      </c>
      <c r="AQ105" s="66">
        <f t="shared" si="34"/>
        <v>0</v>
      </c>
      <c r="AR105" s="66">
        <f t="shared" si="34"/>
        <v>0</v>
      </c>
      <c r="AS105" s="66">
        <f t="shared" si="34"/>
        <v>0</v>
      </c>
      <c r="AT105" s="66">
        <f t="shared" si="34"/>
        <v>0</v>
      </c>
      <c r="AU105" s="66">
        <f t="shared" si="34"/>
        <v>0</v>
      </c>
      <c r="AV105" s="66">
        <f t="shared" si="34"/>
        <v>0</v>
      </c>
      <c r="AW105" s="66">
        <f t="shared" si="34"/>
        <v>0</v>
      </c>
      <c r="AX105" s="66">
        <f t="shared" si="34"/>
        <v>0</v>
      </c>
      <c r="AY105" s="66">
        <f t="shared" si="34"/>
        <v>0</v>
      </c>
      <c r="AZ105" s="66">
        <f t="shared" si="34"/>
        <v>0</v>
      </c>
      <c r="BA105" s="66">
        <f t="shared" si="34"/>
        <v>0</v>
      </c>
      <c r="BB105" s="66">
        <f t="shared" si="34"/>
        <v>0</v>
      </c>
      <c r="BC105" s="66">
        <f t="shared" si="34"/>
        <v>0</v>
      </c>
      <c r="BD105" s="66">
        <f t="shared" si="34"/>
        <v>0</v>
      </c>
      <c r="BE105" s="66">
        <f t="shared" si="34"/>
        <v>0</v>
      </c>
      <c r="BF105" s="66">
        <f t="shared" si="34"/>
        <v>0</v>
      </c>
      <c r="BG105" s="66">
        <f t="shared" si="34"/>
        <v>0</v>
      </c>
      <c r="BH105" s="66">
        <f t="shared" si="34"/>
        <v>0</v>
      </c>
      <c r="BI105" s="66">
        <f t="shared" si="34"/>
        <v>0</v>
      </c>
      <c r="BJ105" s="66">
        <f t="shared" si="34"/>
        <v>0</v>
      </c>
      <c r="BY105" s="12"/>
      <c r="BZ105" s="363">
        <f t="shared" si="20"/>
        <v>0</v>
      </c>
      <c r="CA105" s="12"/>
      <c r="CB105" s="7">
        <f t="shared" si="21"/>
        <v>0</v>
      </c>
      <c r="CC105" s="7">
        <f t="shared" si="22"/>
        <v>0</v>
      </c>
      <c r="CD105" s="7">
        <f t="shared" si="23"/>
        <v>0</v>
      </c>
      <c r="CE105" s="42"/>
      <c r="EX105" s="13" t="str">
        <f t="shared" si="25"/>
        <v/>
      </c>
    </row>
    <row r="106" spans="1:154" x14ac:dyDescent="0.25">
      <c r="A106" s="362" cm="1">
        <f t="array" aca="1" ref="A106" ca="1">HYPERLINK(CONCATENATE("#",CELL("address",IF(SUM($CA106:$CE106)=0,A106,INDEX($CA106:$CE106,MATCH(1,$CA106:$CE106,0))))),SUM($CA106:$CE106))</f>
        <v>0</v>
      </c>
      <c r="D106" s="10" t="str">
        <f t="shared" si="28"/>
        <v>Custom 7</v>
      </c>
      <c r="H106" s="9"/>
      <c r="S106" s="335"/>
      <c r="AA106" s="203">
        <f t="shared" ref="AA106:BJ106" si="35">IF(SUMIFS($AA19:$BJ19, $AA$3:$BJ$3, AA$3, $AA$4:$BJ$4, 1)=0, 0,(AA19/SUMIFS($AA19:$BJ19, $AA$3:$BJ$3, AA$3, $AA$4:$BJ$4, 1))*AA$4)</f>
        <v>0</v>
      </c>
      <c r="AB106" s="66">
        <f t="shared" si="35"/>
        <v>0</v>
      </c>
      <c r="AC106" s="66">
        <f t="shared" si="35"/>
        <v>0</v>
      </c>
      <c r="AD106" s="66">
        <f t="shared" si="35"/>
        <v>0</v>
      </c>
      <c r="AE106" s="66">
        <f t="shared" si="35"/>
        <v>0</v>
      </c>
      <c r="AF106" s="66">
        <f t="shared" si="35"/>
        <v>0</v>
      </c>
      <c r="AG106" s="66">
        <f t="shared" si="35"/>
        <v>0</v>
      </c>
      <c r="AH106" s="66">
        <f t="shared" si="35"/>
        <v>0</v>
      </c>
      <c r="AI106" s="66">
        <f t="shared" si="35"/>
        <v>0</v>
      </c>
      <c r="AJ106" s="66">
        <f t="shared" si="35"/>
        <v>0</v>
      </c>
      <c r="AK106" s="66">
        <f t="shared" si="35"/>
        <v>0</v>
      </c>
      <c r="AL106" s="66">
        <f t="shared" si="35"/>
        <v>0</v>
      </c>
      <c r="AM106" s="66">
        <f t="shared" si="35"/>
        <v>0</v>
      </c>
      <c r="AN106" s="66">
        <f t="shared" si="35"/>
        <v>0</v>
      </c>
      <c r="AO106" s="66">
        <f t="shared" si="35"/>
        <v>0</v>
      </c>
      <c r="AP106" s="66">
        <f t="shared" si="35"/>
        <v>0</v>
      </c>
      <c r="AQ106" s="66">
        <f t="shared" si="35"/>
        <v>0</v>
      </c>
      <c r="AR106" s="66">
        <f t="shared" si="35"/>
        <v>0</v>
      </c>
      <c r="AS106" s="66">
        <f t="shared" si="35"/>
        <v>0</v>
      </c>
      <c r="AT106" s="66">
        <f t="shared" si="35"/>
        <v>0</v>
      </c>
      <c r="AU106" s="66">
        <f t="shared" si="35"/>
        <v>0</v>
      </c>
      <c r="AV106" s="66">
        <f t="shared" si="35"/>
        <v>0</v>
      </c>
      <c r="AW106" s="66">
        <f t="shared" si="35"/>
        <v>0</v>
      </c>
      <c r="AX106" s="66">
        <f t="shared" si="35"/>
        <v>0</v>
      </c>
      <c r="AY106" s="66">
        <f t="shared" si="35"/>
        <v>0</v>
      </c>
      <c r="AZ106" s="66">
        <f t="shared" si="35"/>
        <v>0</v>
      </c>
      <c r="BA106" s="66">
        <f t="shared" si="35"/>
        <v>0</v>
      </c>
      <c r="BB106" s="66">
        <f t="shared" si="35"/>
        <v>0</v>
      </c>
      <c r="BC106" s="66">
        <f t="shared" si="35"/>
        <v>0</v>
      </c>
      <c r="BD106" s="66">
        <f t="shared" si="35"/>
        <v>0</v>
      </c>
      <c r="BE106" s="66">
        <f t="shared" si="35"/>
        <v>0</v>
      </c>
      <c r="BF106" s="66">
        <f t="shared" si="35"/>
        <v>0</v>
      </c>
      <c r="BG106" s="66">
        <f t="shared" si="35"/>
        <v>0</v>
      </c>
      <c r="BH106" s="66">
        <f t="shared" si="35"/>
        <v>0</v>
      </c>
      <c r="BI106" s="66">
        <f t="shared" si="35"/>
        <v>0</v>
      </c>
      <c r="BJ106" s="66">
        <f t="shared" si="35"/>
        <v>0</v>
      </c>
      <c r="BY106" s="12"/>
      <c r="BZ106" s="363">
        <f t="shared" si="20"/>
        <v>0</v>
      </c>
      <c r="CA106" s="12"/>
      <c r="CB106" s="7">
        <f t="shared" si="21"/>
        <v>0</v>
      </c>
      <c r="CC106" s="7">
        <f t="shared" si="22"/>
        <v>0</v>
      </c>
      <c r="CD106" s="7">
        <f t="shared" si="23"/>
        <v>0</v>
      </c>
      <c r="CE106" s="42"/>
      <c r="EX106" s="13" t="str">
        <f t="shared" si="25"/>
        <v/>
      </c>
    </row>
    <row r="107" spans="1:154" x14ac:dyDescent="0.25">
      <c r="A107" s="362" cm="1">
        <f t="array" aca="1" ref="A107" ca="1">HYPERLINK(CONCATENATE("#",CELL("address",IF(SUM($CA107:$CE107)=0,A107,INDEX($CA107:$CE107,MATCH(1,$CA107:$CE107,0))))),SUM($CA107:$CE107))</f>
        <v>0</v>
      </c>
      <c r="D107" s="10" t="str">
        <f t="shared" si="28"/>
        <v>Custom 8</v>
      </c>
      <c r="H107" s="9"/>
      <c r="S107" s="335"/>
      <c r="AA107" s="203">
        <f t="shared" ref="AA107:BJ107" si="36">IF(SUMIFS($AA20:$BJ20, $AA$3:$BJ$3, AA$3, $AA$4:$BJ$4, 1)=0, 0,(AA20/SUMIFS($AA20:$BJ20, $AA$3:$BJ$3, AA$3, $AA$4:$BJ$4, 1))*AA$4)</f>
        <v>0</v>
      </c>
      <c r="AB107" s="66">
        <f t="shared" si="36"/>
        <v>0</v>
      </c>
      <c r="AC107" s="66">
        <f t="shared" si="36"/>
        <v>0</v>
      </c>
      <c r="AD107" s="66">
        <f t="shared" si="36"/>
        <v>0</v>
      </c>
      <c r="AE107" s="66">
        <f t="shared" si="36"/>
        <v>0</v>
      </c>
      <c r="AF107" s="66">
        <f t="shared" si="36"/>
        <v>0</v>
      </c>
      <c r="AG107" s="66">
        <f t="shared" si="36"/>
        <v>0</v>
      </c>
      <c r="AH107" s="66">
        <f t="shared" si="36"/>
        <v>0</v>
      </c>
      <c r="AI107" s="66">
        <f t="shared" si="36"/>
        <v>0</v>
      </c>
      <c r="AJ107" s="66">
        <f t="shared" si="36"/>
        <v>0</v>
      </c>
      <c r="AK107" s="66">
        <f t="shared" si="36"/>
        <v>0</v>
      </c>
      <c r="AL107" s="66">
        <f t="shared" si="36"/>
        <v>0</v>
      </c>
      <c r="AM107" s="66">
        <f t="shared" si="36"/>
        <v>0</v>
      </c>
      <c r="AN107" s="66">
        <f t="shared" si="36"/>
        <v>0</v>
      </c>
      <c r="AO107" s="66">
        <f t="shared" si="36"/>
        <v>0</v>
      </c>
      <c r="AP107" s="66">
        <f t="shared" si="36"/>
        <v>0</v>
      </c>
      <c r="AQ107" s="66">
        <f t="shared" si="36"/>
        <v>0</v>
      </c>
      <c r="AR107" s="66">
        <f t="shared" si="36"/>
        <v>0</v>
      </c>
      <c r="AS107" s="66">
        <f t="shared" si="36"/>
        <v>0</v>
      </c>
      <c r="AT107" s="66">
        <f t="shared" si="36"/>
        <v>0</v>
      </c>
      <c r="AU107" s="66">
        <f t="shared" si="36"/>
        <v>0</v>
      </c>
      <c r="AV107" s="66">
        <f t="shared" si="36"/>
        <v>0</v>
      </c>
      <c r="AW107" s="66">
        <f t="shared" si="36"/>
        <v>0</v>
      </c>
      <c r="AX107" s="66">
        <f t="shared" si="36"/>
        <v>0</v>
      </c>
      <c r="AY107" s="66">
        <f t="shared" si="36"/>
        <v>0</v>
      </c>
      <c r="AZ107" s="66">
        <f t="shared" si="36"/>
        <v>0</v>
      </c>
      <c r="BA107" s="66">
        <f t="shared" si="36"/>
        <v>0</v>
      </c>
      <c r="BB107" s="66">
        <f t="shared" si="36"/>
        <v>0</v>
      </c>
      <c r="BC107" s="66">
        <f t="shared" si="36"/>
        <v>0</v>
      </c>
      <c r="BD107" s="66">
        <f t="shared" si="36"/>
        <v>0</v>
      </c>
      <c r="BE107" s="66">
        <f t="shared" si="36"/>
        <v>0</v>
      </c>
      <c r="BF107" s="66">
        <f t="shared" si="36"/>
        <v>0</v>
      </c>
      <c r="BG107" s="66">
        <f t="shared" si="36"/>
        <v>0</v>
      </c>
      <c r="BH107" s="66">
        <f t="shared" si="36"/>
        <v>0</v>
      </c>
      <c r="BI107" s="66">
        <f t="shared" si="36"/>
        <v>0</v>
      </c>
      <c r="BJ107" s="66">
        <f t="shared" si="36"/>
        <v>0</v>
      </c>
      <c r="BY107" s="12"/>
      <c r="BZ107" s="363">
        <f t="shared" si="20"/>
        <v>0</v>
      </c>
      <c r="CA107" s="12"/>
      <c r="CB107" s="7">
        <f t="shared" si="21"/>
        <v>0</v>
      </c>
      <c r="CC107" s="7">
        <f t="shared" si="22"/>
        <v>0</v>
      </c>
      <c r="CD107" s="7">
        <f t="shared" si="23"/>
        <v>0</v>
      </c>
      <c r="CE107" s="42"/>
      <c r="EX107" s="13" t="str">
        <f t="shared" si="25"/>
        <v/>
      </c>
    </row>
    <row r="108" spans="1:154" x14ac:dyDescent="0.25">
      <c r="A108" s="362" cm="1">
        <f t="array" aca="1" ref="A108" ca="1">HYPERLINK(CONCATENATE("#",CELL("address",IF(SUM($CA108:$CE108)=0,A108,INDEX($CA108:$CE108,MATCH(1,$CA108:$CE108,0))))),SUM($CA108:$CE108))</f>
        <v>0</v>
      </c>
      <c r="D108" s="10" t="str">
        <f t="shared" si="28"/>
        <v>Custom 9</v>
      </c>
      <c r="H108" s="9"/>
      <c r="S108" s="335"/>
      <c r="AA108" s="203">
        <f t="shared" ref="AA108:BJ108" si="37">IF(SUMIFS($AA21:$BJ21, $AA$3:$BJ$3, AA$3, $AA$4:$BJ$4, 1)=0, 0,(AA21/SUMIFS($AA21:$BJ21, $AA$3:$BJ$3, AA$3, $AA$4:$BJ$4, 1))*AA$4)</f>
        <v>0</v>
      </c>
      <c r="AB108" s="66">
        <f t="shared" si="37"/>
        <v>0</v>
      </c>
      <c r="AC108" s="66">
        <f t="shared" si="37"/>
        <v>0</v>
      </c>
      <c r="AD108" s="66">
        <f t="shared" si="37"/>
        <v>0</v>
      </c>
      <c r="AE108" s="66">
        <f t="shared" si="37"/>
        <v>0</v>
      </c>
      <c r="AF108" s="66">
        <f t="shared" si="37"/>
        <v>0</v>
      </c>
      <c r="AG108" s="66">
        <f t="shared" si="37"/>
        <v>0</v>
      </c>
      <c r="AH108" s="66">
        <f t="shared" si="37"/>
        <v>0</v>
      </c>
      <c r="AI108" s="66">
        <f t="shared" si="37"/>
        <v>0</v>
      </c>
      <c r="AJ108" s="66">
        <f t="shared" si="37"/>
        <v>0</v>
      </c>
      <c r="AK108" s="66">
        <f t="shared" si="37"/>
        <v>0</v>
      </c>
      <c r="AL108" s="66">
        <f t="shared" si="37"/>
        <v>0</v>
      </c>
      <c r="AM108" s="66">
        <f t="shared" si="37"/>
        <v>0</v>
      </c>
      <c r="AN108" s="66">
        <f t="shared" si="37"/>
        <v>0</v>
      </c>
      <c r="AO108" s="66">
        <f t="shared" si="37"/>
        <v>0</v>
      </c>
      <c r="AP108" s="66">
        <f t="shared" si="37"/>
        <v>0</v>
      </c>
      <c r="AQ108" s="66">
        <f t="shared" si="37"/>
        <v>0</v>
      </c>
      <c r="AR108" s="66">
        <f t="shared" si="37"/>
        <v>0</v>
      </c>
      <c r="AS108" s="66">
        <f t="shared" si="37"/>
        <v>0</v>
      </c>
      <c r="AT108" s="66">
        <f t="shared" si="37"/>
        <v>0</v>
      </c>
      <c r="AU108" s="66">
        <f t="shared" si="37"/>
        <v>0</v>
      </c>
      <c r="AV108" s="66">
        <f t="shared" si="37"/>
        <v>0</v>
      </c>
      <c r="AW108" s="66">
        <f t="shared" si="37"/>
        <v>0</v>
      </c>
      <c r="AX108" s="66">
        <f t="shared" si="37"/>
        <v>0</v>
      </c>
      <c r="AY108" s="66">
        <f t="shared" si="37"/>
        <v>0</v>
      </c>
      <c r="AZ108" s="66">
        <f t="shared" si="37"/>
        <v>0</v>
      </c>
      <c r="BA108" s="66">
        <f t="shared" si="37"/>
        <v>0</v>
      </c>
      <c r="BB108" s="66">
        <f t="shared" si="37"/>
        <v>0</v>
      </c>
      <c r="BC108" s="66">
        <f t="shared" si="37"/>
        <v>0</v>
      </c>
      <c r="BD108" s="66">
        <f t="shared" si="37"/>
        <v>0</v>
      </c>
      <c r="BE108" s="66">
        <f t="shared" si="37"/>
        <v>0</v>
      </c>
      <c r="BF108" s="66">
        <f t="shared" si="37"/>
        <v>0</v>
      </c>
      <c r="BG108" s="66">
        <f t="shared" si="37"/>
        <v>0</v>
      </c>
      <c r="BH108" s="66">
        <f t="shared" si="37"/>
        <v>0</v>
      </c>
      <c r="BI108" s="66">
        <f t="shared" si="37"/>
        <v>0</v>
      </c>
      <c r="BJ108" s="66">
        <f t="shared" si="37"/>
        <v>0</v>
      </c>
      <c r="BY108" s="12"/>
      <c r="BZ108" s="363">
        <f t="shared" si="20"/>
        <v>0</v>
      </c>
      <c r="CA108" s="12"/>
      <c r="CB108" s="7">
        <f t="shared" si="21"/>
        <v>0</v>
      </c>
      <c r="CC108" s="7">
        <f t="shared" si="22"/>
        <v>0</v>
      </c>
      <c r="CD108" s="7">
        <f t="shared" si="23"/>
        <v>0</v>
      </c>
      <c r="CE108" s="42"/>
      <c r="EX108" s="13" t="str">
        <f t="shared" si="25"/>
        <v/>
      </c>
    </row>
    <row r="109" spans="1:154" x14ac:dyDescent="0.25">
      <c r="A109" s="362" cm="1">
        <f t="array" aca="1" ref="A109" ca="1">HYPERLINK(CONCATENATE("#",CELL("address",IF(SUM($CA109:$CE109)=0,A109,INDEX($CA109:$CE109,MATCH(1,$CA109:$CE109,0))))),SUM($CA109:$CE109))</f>
        <v>0</v>
      </c>
      <c r="D109" s="10" t="str">
        <f t="shared" si="28"/>
        <v>Custom 10</v>
      </c>
      <c r="H109" s="9"/>
      <c r="S109" s="335"/>
      <c r="AA109" s="203">
        <f t="shared" ref="AA109:BJ109" si="38">IF(SUMIFS($AA22:$BJ22, $AA$3:$BJ$3, AA$3, $AA$4:$BJ$4, 1)=0, 0,(AA22/SUMIFS($AA22:$BJ22, $AA$3:$BJ$3, AA$3, $AA$4:$BJ$4, 1))*AA$4)</f>
        <v>0</v>
      </c>
      <c r="AB109" s="66">
        <f t="shared" si="38"/>
        <v>0</v>
      </c>
      <c r="AC109" s="66">
        <f t="shared" si="38"/>
        <v>0</v>
      </c>
      <c r="AD109" s="66">
        <f t="shared" si="38"/>
        <v>0</v>
      </c>
      <c r="AE109" s="66">
        <f t="shared" si="38"/>
        <v>0</v>
      </c>
      <c r="AF109" s="66">
        <f t="shared" si="38"/>
        <v>0</v>
      </c>
      <c r="AG109" s="66">
        <f t="shared" si="38"/>
        <v>0</v>
      </c>
      <c r="AH109" s="66">
        <f t="shared" si="38"/>
        <v>0</v>
      </c>
      <c r="AI109" s="66">
        <f t="shared" si="38"/>
        <v>0</v>
      </c>
      <c r="AJ109" s="66">
        <f t="shared" si="38"/>
        <v>0</v>
      </c>
      <c r="AK109" s="66">
        <f t="shared" si="38"/>
        <v>0</v>
      </c>
      <c r="AL109" s="66">
        <f t="shared" si="38"/>
        <v>0</v>
      </c>
      <c r="AM109" s="66">
        <f t="shared" si="38"/>
        <v>0</v>
      </c>
      <c r="AN109" s="66">
        <f t="shared" si="38"/>
        <v>0</v>
      </c>
      <c r="AO109" s="66">
        <f t="shared" si="38"/>
        <v>0</v>
      </c>
      <c r="AP109" s="66">
        <f t="shared" si="38"/>
        <v>0</v>
      </c>
      <c r="AQ109" s="66">
        <f t="shared" si="38"/>
        <v>0</v>
      </c>
      <c r="AR109" s="66">
        <f t="shared" si="38"/>
        <v>0</v>
      </c>
      <c r="AS109" s="66">
        <f t="shared" si="38"/>
        <v>0</v>
      </c>
      <c r="AT109" s="66">
        <f t="shared" si="38"/>
        <v>0</v>
      </c>
      <c r="AU109" s="66">
        <f t="shared" si="38"/>
        <v>0</v>
      </c>
      <c r="AV109" s="66">
        <f t="shared" si="38"/>
        <v>0</v>
      </c>
      <c r="AW109" s="66">
        <f t="shared" si="38"/>
        <v>0</v>
      </c>
      <c r="AX109" s="66">
        <f t="shared" si="38"/>
        <v>0</v>
      </c>
      <c r="AY109" s="66">
        <f t="shared" si="38"/>
        <v>0</v>
      </c>
      <c r="AZ109" s="66">
        <f t="shared" si="38"/>
        <v>0</v>
      </c>
      <c r="BA109" s="66">
        <f t="shared" si="38"/>
        <v>0</v>
      </c>
      <c r="BB109" s="66">
        <f t="shared" si="38"/>
        <v>0</v>
      </c>
      <c r="BC109" s="66">
        <f t="shared" si="38"/>
        <v>0</v>
      </c>
      <c r="BD109" s="66">
        <f t="shared" si="38"/>
        <v>0</v>
      </c>
      <c r="BE109" s="66">
        <f t="shared" si="38"/>
        <v>0</v>
      </c>
      <c r="BF109" s="66">
        <f t="shared" si="38"/>
        <v>0</v>
      </c>
      <c r="BG109" s="66">
        <f t="shared" si="38"/>
        <v>0</v>
      </c>
      <c r="BH109" s="66">
        <f t="shared" si="38"/>
        <v>0</v>
      </c>
      <c r="BI109" s="66">
        <f t="shared" si="38"/>
        <v>0</v>
      </c>
      <c r="BJ109" s="66">
        <f t="shared" si="38"/>
        <v>0</v>
      </c>
      <c r="BY109" s="12"/>
      <c r="BZ109" s="363">
        <f t="shared" si="20"/>
        <v>0</v>
      </c>
      <c r="CA109" s="12"/>
      <c r="CB109" s="7">
        <f t="shared" si="21"/>
        <v>0</v>
      </c>
      <c r="CC109" s="7">
        <f t="shared" si="22"/>
        <v>0</v>
      </c>
      <c r="CD109" s="7">
        <f t="shared" si="23"/>
        <v>0</v>
      </c>
      <c r="CE109" s="42"/>
      <c r="EX109" s="13" t="str">
        <f t="shared" si="25"/>
        <v/>
      </c>
    </row>
    <row r="110" spans="1:154" x14ac:dyDescent="0.25">
      <c r="A110" s="362" cm="1">
        <f t="array" aca="1" ref="A110" ca="1">HYPERLINK(CONCATENATE("#",CELL("address",IF(SUM($CA110:$CE110)=0,A110,INDEX($CA110:$CE110,MATCH(1,$CA110:$CE110,0))))),SUM($CA110:$CE110))</f>
        <v>0</v>
      </c>
      <c r="D110" s="10" t="str">
        <f t="shared" si="28"/>
        <v>Custom 11</v>
      </c>
      <c r="H110" s="9"/>
      <c r="S110" s="335"/>
      <c r="AA110" s="203">
        <f t="shared" ref="AA110:BJ110" si="39">IF(SUMIFS($AA23:$BJ23, $AA$3:$BJ$3, AA$3, $AA$4:$BJ$4, 1)=0, 0,(AA23/SUMIFS($AA23:$BJ23, $AA$3:$BJ$3, AA$3, $AA$4:$BJ$4, 1))*AA$4)</f>
        <v>0</v>
      </c>
      <c r="AB110" s="66">
        <f t="shared" si="39"/>
        <v>0</v>
      </c>
      <c r="AC110" s="66">
        <f t="shared" si="39"/>
        <v>0</v>
      </c>
      <c r="AD110" s="66">
        <f t="shared" si="39"/>
        <v>0</v>
      </c>
      <c r="AE110" s="66">
        <f t="shared" si="39"/>
        <v>0</v>
      </c>
      <c r="AF110" s="66">
        <f t="shared" si="39"/>
        <v>0</v>
      </c>
      <c r="AG110" s="66">
        <f t="shared" si="39"/>
        <v>0</v>
      </c>
      <c r="AH110" s="66">
        <f t="shared" si="39"/>
        <v>0</v>
      </c>
      <c r="AI110" s="66">
        <f t="shared" si="39"/>
        <v>0</v>
      </c>
      <c r="AJ110" s="66">
        <f t="shared" si="39"/>
        <v>0</v>
      </c>
      <c r="AK110" s="66">
        <f t="shared" si="39"/>
        <v>0</v>
      </c>
      <c r="AL110" s="66">
        <f t="shared" si="39"/>
        <v>0</v>
      </c>
      <c r="AM110" s="66">
        <f t="shared" si="39"/>
        <v>0</v>
      </c>
      <c r="AN110" s="66">
        <f t="shared" si="39"/>
        <v>0</v>
      </c>
      <c r="AO110" s="66">
        <f t="shared" si="39"/>
        <v>0</v>
      </c>
      <c r="AP110" s="66">
        <f t="shared" si="39"/>
        <v>0</v>
      </c>
      <c r="AQ110" s="66">
        <f t="shared" si="39"/>
        <v>0</v>
      </c>
      <c r="AR110" s="66">
        <f t="shared" si="39"/>
        <v>0</v>
      </c>
      <c r="AS110" s="66">
        <f t="shared" si="39"/>
        <v>0</v>
      </c>
      <c r="AT110" s="66">
        <f t="shared" si="39"/>
        <v>0</v>
      </c>
      <c r="AU110" s="66">
        <f t="shared" si="39"/>
        <v>0</v>
      </c>
      <c r="AV110" s="66">
        <f t="shared" si="39"/>
        <v>0</v>
      </c>
      <c r="AW110" s="66">
        <f t="shared" si="39"/>
        <v>0</v>
      </c>
      <c r="AX110" s="66">
        <f t="shared" si="39"/>
        <v>0</v>
      </c>
      <c r="AY110" s="66">
        <f t="shared" si="39"/>
        <v>0</v>
      </c>
      <c r="AZ110" s="66">
        <f t="shared" si="39"/>
        <v>0</v>
      </c>
      <c r="BA110" s="66">
        <f t="shared" si="39"/>
        <v>0</v>
      </c>
      <c r="BB110" s="66">
        <f t="shared" si="39"/>
        <v>0</v>
      </c>
      <c r="BC110" s="66">
        <f t="shared" si="39"/>
        <v>0</v>
      </c>
      <c r="BD110" s="66">
        <f t="shared" si="39"/>
        <v>0</v>
      </c>
      <c r="BE110" s="66">
        <f t="shared" si="39"/>
        <v>0</v>
      </c>
      <c r="BF110" s="66">
        <f t="shared" si="39"/>
        <v>0</v>
      </c>
      <c r="BG110" s="66">
        <f t="shared" si="39"/>
        <v>0</v>
      </c>
      <c r="BH110" s="66">
        <f t="shared" si="39"/>
        <v>0</v>
      </c>
      <c r="BI110" s="66">
        <f t="shared" si="39"/>
        <v>0</v>
      </c>
      <c r="BJ110" s="66">
        <f t="shared" si="39"/>
        <v>0</v>
      </c>
      <c r="BY110" s="12"/>
      <c r="BZ110" s="363">
        <f t="shared" si="20"/>
        <v>0</v>
      </c>
      <c r="CA110" s="12"/>
      <c r="CB110" s="7">
        <f t="shared" si="21"/>
        <v>0</v>
      </c>
      <c r="CC110" s="7">
        <f t="shared" si="22"/>
        <v>0</v>
      </c>
      <c r="CD110" s="7">
        <f t="shared" si="23"/>
        <v>0</v>
      </c>
      <c r="CE110" s="42"/>
      <c r="EX110" s="13" t="str">
        <f t="shared" si="25"/>
        <v/>
      </c>
    </row>
    <row r="111" spans="1:154" x14ac:dyDescent="0.25">
      <c r="A111" s="362" cm="1">
        <f t="array" aca="1" ref="A111" ca="1">HYPERLINK(CONCATENATE("#",CELL("address",IF(SUM($CA111:$CE111)=0,A111,INDEX($CA111:$CE111,MATCH(1,$CA111:$CE111,0))))),SUM($CA111:$CE111))</f>
        <v>0</v>
      </c>
      <c r="D111" s="10" t="str">
        <f t="shared" si="28"/>
        <v>Custom 12</v>
      </c>
      <c r="H111" s="9"/>
      <c r="S111" s="335"/>
      <c r="AA111" s="203">
        <f t="shared" ref="AA111:BJ111" si="40">IF(SUMIFS($AA24:$BJ24, $AA$3:$BJ$3, AA$3, $AA$4:$BJ$4, 1)=0, 0,(AA24/SUMIFS($AA24:$BJ24, $AA$3:$BJ$3, AA$3, $AA$4:$BJ$4, 1))*AA$4)</f>
        <v>0</v>
      </c>
      <c r="AB111" s="66">
        <f t="shared" si="40"/>
        <v>0</v>
      </c>
      <c r="AC111" s="66">
        <f t="shared" si="40"/>
        <v>0</v>
      </c>
      <c r="AD111" s="66">
        <f t="shared" si="40"/>
        <v>0</v>
      </c>
      <c r="AE111" s="66">
        <f t="shared" si="40"/>
        <v>0</v>
      </c>
      <c r="AF111" s="66">
        <f t="shared" si="40"/>
        <v>0</v>
      </c>
      <c r="AG111" s="66">
        <f t="shared" si="40"/>
        <v>0</v>
      </c>
      <c r="AH111" s="66">
        <f t="shared" si="40"/>
        <v>0</v>
      </c>
      <c r="AI111" s="66">
        <f t="shared" si="40"/>
        <v>0</v>
      </c>
      <c r="AJ111" s="66">
        <f t="shared" si="40"/>
        <v>0</v>
      </c>
      <c r="AK111" s="66">
        <f t="shared" si="40"/>
        <v>0</v>
      </c>
      <c r="AL111" s="66">
        <f t="shared" si="40"/>
        <v>0</v>
      </c>
      <c r="AM111" s="66">
        <f t="shared" si="40"/>
        <v>0</v>
      </c>
      <c r="AN111" s="66">
        <f t="shared" si="40"/>
        <v>0</v>
      </c>
      <c r="AO111" s="66">
        <f t="shared" si="40"/>
        <v>0</v>
      </c>
      <c r="AP111" s="66">
        <f t="shared" si="40"/>
        <v>0</v>
      </c>
      <c r="AQ111" s="66">
        <f t="shared" si="40"/>
        <v>0</v>
      </c>
      <c r="AR111" s="66">
        <f t="shared" si="40"/>
        <v>0</v>
      </c>
      <c r="AS111" s="66">
        <f t="shared" si="40"/>
        <v>0</v>
      </c>
      <c r="AT111" s="66">
        <f t="shared" si="40"/>
        <v>0</v>
      </c>
      <c r="AU111" s="66">
        <f t="shared" si="40"/>
        <v>0</v>
      </c>
      <c r="AV111" s="66">
        <f t="shared" si="40"/>
        <v>0</v>
      </c>
      <c r="AW111" s="66">
        <f t="shared" si="40"/>
        <v>0</v>
      </c>
      <c r="AX111" s="66">
        <f t="shared" si="40"/>
        <v>0</v>
      </c>
      <c r="AY111" s="66">
        <f t="shared" si="40"/>
        <v>0</v>
      </c>
      <c r="AZ111" s="66">
        <f t="shared" si="40"/>
        <v>0</v>
      </c>
      <c r="BA111" s="66">
        <f t="shared" si="40"/>
        <v>0</v>
      </c>
      <c r="BB111" s="66">
        <f t="shared" si="40"/>
        <v>0</v>
      </c>
      <c r="BC111" s="66">
        <f t="shared" si="40"/>
        <v>0</v>
      </c>
      <c r="BD111" s="66">
        <f t="shared" si="40"/>
        <v>0</v>
      </c>
      <c r="BE111" s="66">
        <f t="shared" si="40"/>
        <v>0</v>
      </c>
      <c r="BF111" s="66">
        <f t="shared" si="40"/>
        <v>0</v>
      </c>
      <c r="BG111" s="66">
        <f t="shared" si="40"/>
        <v>0</v>
      </c>
      <c r="BH111" s="66">
        <f t="shared" si="40"/>
        <v>0</v>
      </c>
      <c r="BI111" s="66">
        <f t="shared" si="40"/>
        <v>0</v>
      </c>
      <c r="BJ111" s="66">
        <f t="shared" si="40"/>
        <v>0</v>
      </c>
      <c r="BY111" s="12"/>
      <c r="BZ111" s="363">
        <f t="shared" si="20"/>
        <v>0</v>
      </c>
      <c r="CA111" s="12"/>
      <c r="CB111" s="7">
        <f t="shared" si="21"/>
        <v>0</v>
      </c>
      <c r="CC111" s="7">
        <f t="shared" si="22"/>
        <v>0</v>
      </c>
      <c r="CD111" s="7">
        <f t="shared" si="23"/>
        <v>0</v>
      </c>
      <c r="CE111" s="42"/>
      <c r="EX111" s="13" t="str">
        <f t="shared" si="25"/>
        <v/>
      </c>
    </row>
    <row r="112" spans="1:154" x14ac:dyDescent="0.25">
      <c r="A112" s="362" cm="1">
        <f t="array" aca="1" ref="A112" ca="1">HYPERLINK(CONCATENATE("#",CELL("address",IF(SUM($CA112:$CE112)=0,A112,INDEX($CA112:$CE112,MATCH(1,$CA112:$CE112,0))))),SUM($CA112:$CE112))</f>
        <v>0</v>
      </c>
      <c r="D112" s="10" t="str">
        <f t="shared" si="28"/>
        <v>Custom 13</v>
      </c>
      <c r="H112" s="9"/>
      <c r="S112" s="335"/>
      <c r="AA112" s="203">
        <f t="shared" ref="AA112:BJ112" si="41">IF(SUMIFS($AA25:$BJ25, $AA$3:$BJ$3, AA$3, $AA$4:$BJ$4, 1)=0, 0,(AA25/SUMIFS($AA25:$BJ25, $AA$3:$BJ$3, AA$3, $AA$4:$BJ$4, 1))*AA$4)</f>
        <v>0</v>
      </c>
      <c r="AB112" s="66">
        <f t="shared" si="41"/>
        <v>0</v>
      </c>
      <c r="AC112" s="66">
        <f t="shared" si="41"/>
        <v>0</v>
      </c>
      <c r="AD112" s="66">
        <f t="shared" si="41"/>
        <v>0</v>
      </c>
      <c r="AE112" s="66">
        <f t="shared" si="41"/>
        <v>0</v>
      </c>
      <c r="AF112" s="66">
        <f t="shared" si="41"/>
        <v>0</v>
      </c>
      <c r="AG112" s="66">
        <f t="shared" si="41"/>
        <v>0</v>
      </c>
      <c r="AH112" s="66">
        <f t="shared" si="41"/>
        <v>0</v>
      </c>
      <c r="AI112" s="66">
        <f t="shared" si="41"/>
        <v>0</v>
      </c>
      <c r="AJ112" s="66">
        <f t="shared" si="41"/>
        <v>0</v>
      </c>
      <c r="AK112" s="66">
        <f t="shared" si="41"/>
        <v>0</v>
      </c>
      <c r="AL112" s="66">
        <f t="shared" si="41"/>
        <v>0</v>
      </c>
      <c r="AM112" s="66">
        <f t="shared" si="41"/>
        <v>0</v>
      </c>
      <c r="AN112" s="66">
        <f t="shared" si="41"/>
        <v>0</v>
      </c>
      <c r="AO112" s="66">
        <f t="shared" si="41"/>
        <v>0</v>
      </c>
      <c r="AP112" s="66">
        <f t="shared" si="41"/>
        <v>0</v>
      </c>
      <c r="AQ112" s="66">
        <f t="shared" si="41"/>
        <v>0</v>
      </c>
      <c r="AR112" s="66">
        <f t="shared" si="41"/>
        <v>0</v>
      </c>
      <c r="AS112" s="66">
        <f t="shared" si="41"/>
        <v>0</v>
      </c>
      <c r="AT112" s="66">
        <f t="shared" si="41"/>
        <v>0</v>
      </c>
      <c r="AU112" s="66">
        <f t="shared" si="41"/>
        <v>0</v>
      </c>
      <c r="AV112" s="66">
        <f t="shared" si="41"/>
        <v>0</v>
      </c>
      <c r="AW112" s="66">
        <f t="shared" si="41"/>
        <v>0</v>
      </c>
      <c r="AX112" s="66">
        <f t="shared" si="41"/>
        <v>0</v>
      </c>
      <c r="AY112" s="66">
        <f t="shared" si="41"/>
        <v>0</v>
      </c>
      <c r="AZ112" s="66">
        <f t="shared" si="41"/>
        <v>0</v>
      </c>
      <c r="BA112" s="66">
        <f t="shared" si="41"/>
        <v>0</v>
      </c>
      <c r="BB112" s="66">
        <f t="shared" si="41"/>
        <v>0</v>
      </c>
      <c r="BC112" s="66">
        <f t="shared" si="41"/>
        <v>0</v>
      </c>
      <c r="BD112" s="66">
        <f t="shared" si="41"/>
        <v>0</v>
      </c>
      <c r="BE112" s="66">
        <f t="shared" si="41"/>
        <v>0</v>
      </c>
      <c r="BF112" s="66">
        <f t="shared" si="41"/>
        <v>0</v>
      </c>
      <c r="BG112" s="66">
        <f t="shared" si="41"/>
        <v>0</v>
      </c>
      <c r="BH112" s="66">
        <f t="shared" si="41"/>
        <v>0</v>
      </c>
      <c r="BI112" s="66">
        <f t="shared" si="41"/>
        <v>0</v>
      </c>
      <c r="BJ112" s="66">
        <f t="shared" si="41"/>
        <v>0</v>
      </c>
      <c r="BY112" s="12"/>
      <c r="BZ112" s="363">
        <f t="shared" si="20"/>
        <v>0</v>
      </c>
      <c r="CA112" s="12"/>
      <c r="CB112" s="7">
        <f t="shared" si="21"/>
        <v>0</v>
      </c>
      <c r="CC112" s="7">
        <f t="shared" si="22"/>
        <v>0</v>
      </c>
      <c r="CD112" s="7">
        <f t="shared" si="23"/>
        <v>0</v>
      </c>
      <c r="CE112" s="42"/>
      <c r="EX112" s="13" t="str">
        <f t="shared" si="25"/>
        <v/>
      </c>
    </row>
    <row r="113" spans="1:154" x14ac:dyDescent="0.25">
      <c r="A113" s="362" cm="1">
        <f t="array" aca="1" ref="A113" ca="1">HYPERLINK(CONCATENATE("#",CELL("address",IF(SUM($CA113:$CE113)=0,A113,INDEX($CA113:$CE113,MATCH(1,$CA113:$CE113,0))))),SUM($CA113:$CE113))</f>
        <v>0</v>
      </c>
      <c r="D113" s="10" t="str">
        <f t="shared" si="28"/>
        <v>Custom 14</v>
      </c>
      <c r="H113" s="9"/>
      <c r="S113" s="335"/>
      <c r="AA113" s="203">
        <f t="shared" ref="AA113:BJ113" si="42">IF(SUMIFS($AA26:$BJ26, $AA$3:$BJ$3, AA$3, $AA$4:$BJ$4, 1)=0, 0,(AA26/SUMIFS($AA26:$BJ26, $AA$3:$BJ$3, AA$3, $AA$4:$BJ$4, 1))*AA$4)</f>
        <v>0</v>
      </c>
      <c r="AB113" s="66">
        <f t="shared" si="42"/>
        <v>0</v>
      </c>
      <c r="AC113" s="66">
        <f t="shared" si="42"/>
        <v>0</v>
      </c>
      <c r="AD113" s="66">
        <f t="shared" si="42"/>
        <v>0</v>
      </c>
      <c r="AE113" s="66">
        <f t="shared" si="42"/>
        <v>0</v>
      </c>
      <c r="AF113" s="66">
        <f t="shared" si="42"/>
        <v>0</v>
      </c>
      <c r="AG113" s="66">
        <f t="shared" si="42"/>
        <v>0</v>
      </c>
      <c r="AH113" s="66">
        <f t="shared" si="42"/>
        <v>0</v>
      </c>
      <c r="AI113" s="66">
        <f t="shared" si="42"/>
        <v>0</v>
      </c>
      <c r="AJ113" s="66">
        <f t="shared" si="42"/>
        <v>0</v>
      </c>
      <c r="AK113" s="66">
        <f t="shared" si="42"/>
        <v>0</v>
      </c>
      <c r="AL113" s="66">
        <f t="shared" si="42"/>
        <v>0</v>
      </c>
      <c r="AM113" s="66">
        <f t="shared" si="42"/>
        <v>0</v>
      </c>
      <c r="AN113" s="66">
        <f t="shared" si="42"/>
        <v>0</v>
      </c>
      <c r="AO113" s="66">
        <f t="shared" si="42"/>
        <v>0</v>
      </c>
      <c r="AP113" s="66">
        <f t="shared" si="42"/>
        <v>0</v>
      </c>
      <c r="AQ113" s="66">
        <f t="shared" si="42"/>
        <v>0</v>
      </c>
      <c r="AR113" s="66">
        <f t="shared" si="42"/>
        <v>0</v>
      </c>
      <c r="AS113" s="66">
        <f t="shared" si="42"/>
        <v>0</v>
      </c>
      <c r="AT113" s="66">
        <f t="shared" si="42"/>
        <v>0</v>
      </c>
      <c r="AU113" s="66">
        <f t="shared" si="42"/>
        <v>0</v>
      </c>
      <c r="AV113" s="66">
        <f t="shared" si="42"/>
        <v>0</v>
      </c>
      <c r="AW113" s="66">
        <f t="shared" si="42"/>
        <v>0</v>
      </c>
      <c r="AX113" s="66">
        <f t="shared" si="42"/>
        <v>0</v>
      </c>
      <c r="AY113" s="66">
        <f t="shared" si="42"/>
        <v>0</v>
      </c>
      <c r="AZ113" s="66">
        <f t="shared" si="42"/>
        <v>0</v>
      </c>
      <c r="BA113" s="66">
        <f t="shared" si="42"/>
        <v>0</v>
      </c>
      <c r="BB113" s="66">
        <f t="shared" si="42"/>
        <v>0</v>
      </c>
      <c r="BC113" s="66">
        <f t="shared" si="42"/>
        <v>0</v>
      </c>
      <c r="BD113" s="66">
        <f t="shared" si="42"/>
        <v>0</v>
      </c>
      <c r="BE113" s="66">
        <f t="shared" si="42"/>
        <v>0</v>
      </c>
      <c r="BF113" s="66">
        <f t="shared" si="42"/>
        <v>0</v>
      </c>
      <c r="BG113" s="66">
        <f t="shared" si="42"/>
        <v>0</v>
      </c>
      <c r="BH113" s="66">
        <f t="shared" si="42"/>
        <v>0</v>
      </c>
      <c r="BI113" s="66">
        <f t="shared" si="42"/>
        <v>0</v>
      </c>
      <c r="BJ113" s="66">
        <f t="shared" si="42"/>
        <v>0</v>
      </c>
      <c r="BY113" s="12"/>
      <c r="BZ113" s="363">
        <f t="shared" si="20"/>
        <v>0</v>
      </c>
      <c r="CA113" s="12"/>
      <c r="CB113" s="7">
        <f t="shared" si="21"/>
        <v>0</v>
      </c>
      <c r="CC113" s="7">
        <f t="shared" si="22"/>
        <v>0</v>
      </c>
      <c r="CD113" s="7">
        <f t="shared" si="23"/>
        <v>0</v>
      </c>
      <c r="CE113" s="42"/>
      <c r="EX113" s="13" t="str">
        <f t="shared" si="25"/>
        <v/>
      </c>
    </row>
    <row r="114" spans="1:154" x14ac:dyDescent="0.25">
      <c r="A114" s="362" cm="1">
        <f t="array" aca="1" ref="A114" ca="1">HYPERLINK(CONCATENATE("#",CELL("address",IF(SUM($CA114:$CE114)=0,A114,INDEX($CA114:$CE114,MATCH(1,$CA114:$CE114,0))))),SUM($CA114:$CE114))</f>
        <v>0</v>
      </c>
      <c r="D114" s="10" t="str">
        <f t="shared" si="28"/>
        <v>Custom 15</v>
      </c>
      <c r="H114" s="9"/>
      <c r="S114" s="335"/>
      <c r="AA114" s="203">
        <f t="shared" ref="AA114:BJ114" si="43">IF(SUMIFS($AA27:$BJ27, $AA$3:$BJ$3, AA$3, $AA$4:$BJ$4, 1)=0, 0,(AA27/SUMIFS($AA27:$BJ27, $AA$3:$BJ$3, AA$3, $AA$4:$BJ$4, 1))*AA$4)</f>
        <v>0</v>
      </c>
      <c r="AB114" s="66">
        <f t="shared" si="43"/>
        <v>0</v>
      </c>
      <c r="AC114" s="66">
        <f t="shared" si="43"/>
        <v>0</v>
      </c>
      <c r="AD114" s="66">
        <f t="shared" si="43"/>
        <v>0</v>
      </c>
      <c r="AE114" s="66">
        <f t="shared" si="43"/>
        <v>0</v>
      </c>
      <c r="AF114" s="66">
        <f t="shared" si="43"/>
        <v>0</v>
      </c>
      <c r="AG114" s="66">
        <f t="shared" si="43"/>
        <v>0</v>
      </c>
      <c r="AH114" s="66">
        <f t="shared" si="43"/>
        <v>0</v>
      </c>
      <c r="AI114" s="66">
        <f t="shared" si="43"/>
        <v>0</v>
      </c>
      <c r="AJ114" s="66">
        <f t="shared" si="43"/>
        <v>0</v>
      </c>
      <c r="AK114" s="66">
        <f t="shared" si="43"/>
        <v>0</v>
      </c>
      <c r="AL114" s="66">
        <f t="shared" si="43"/>
        <v>0</v>
      </c>
      <c r="AM114" s="66">
        <f t="shared" si="43"/>
        <v>0</v>
      </c>
      <c r="AN114" s="66">
        <f t="shared" si="43"/>
        <v>0</v>
      </c>
      <c r="AO114" s="66">
        <f t="shared" si="43"/>
        <v>0</v>
      </c>
      <c r="AP114" s="66">
        <f t="shared" si="43"/>
        <v>0</v>
      </c>
      <c r="AQ114" s="66">
        <f t="shared" si="43"/>
        <v>0</v>
      </c>
      <c r="AR114" s="66">
        <f t="shared" si="43"/>
        <v>0</v>
      </c>
      <c r="AS114" s="66">
        <f t="shared" si="43"/>
        <v>0</v>
      </c>
      <c r="AT114" s="66">
        <f t="shared" si="43"/>
        <v>0</v>
      </c>
      <c r="AU114" s="66">
        <f t="shared" si="43"/>
        <v>0</v>
      </c>
      <c r="AV114" s="66">
        <f t="shared" si="43"/>
        <v>0</v>
      </c>
      <c r="AW114" s="66">
        <f t="shared" si="43"/>
        <v>0</v>
      </c>
      <c r="AX114" s="66">
        <f t="shared" si="43"/>
        <v>0</v>
      </c>
      <c r="AY114" s="66">
        <f t="shared" si="43"/>
        <v>0</v>
      </c>
      <c r="AZ114" s="66">
        <f t="shared" si="43"/>
        <v>0</v>
      </c>
      <c r="BA114" s="66">
        <f t="shared" si="43"/>
        <v>0</v>
      </c>
      <c r="BB114" s="66">
        <f t="shared" si="43"/>
        <v>0</v>
      </c>
      <c r="BC114" s="66">
        <f t="shared" si="43"/>
        <v>0</v>
      </c>
      <c r="BD114" s="66">
        <f t="shared" si="43"/>
        <v>0</v>
      </c>
      <c r="BE114" s="66">
        <f t="shared" si="43"/>
        <v>0</v>
      </c>
      <c r="BF114" s="66">
        <f t="shared" si="43"/>
        <v>0</v>
      </c>
      <c r="BG114" s="66">
        <f t="shared" si="43"/>
        <v>0</v>
      </c>
      <c r="BH114" s="66">
        <f t="shared" si="43"/>
        <v>0</v>
      </c>
      <c r="BI114" s="66">
        <f t="shared" si="43"/>
        <v>0</v>
      </c>
      <c r="BJ114" s="66">
        <f t="shared" si="43"/>
        <v>0</v>
      </c>
      <c r="BY114" s="12"/>
      <c r="BZ114" s="363">
        <f t="shared" si="20"/>
        <v>0</v>
      </c>
      <c r="CA114" s="12"/>
      <c r="CB114" s="7">
        <f t="shared" si="21"/>
        <v>0</v>
      </c>
      <c r="CC114" s="7">
        <f t="shared" si="22"/>
        <v>0</v>
      </c>
      <c r="CD114" s="7">
        <f t="shared" si="23"/>
        <v>0</v>
      </c>
      <c r="CE114" s="42"/>
      <c r="EX114" s="13" t="str">
        <f t="shared" si="25"/>
        <v/>
      </c>
    </row>
    <row r="115" spans="1:154" x14ac:dyDescent="0.25">
      <c r="A115" s="362" cm="1">
        <f t="array" aca="1" ref="A115" ca="1">HYPERLINK(CONCATENATE("#",CELL("address",IF(SUM($CA115:$CE115)=0,A115,INDEX($CA115:$CE115,MATCH(1,$CA115:$CE115,0))))),SUM($CA115:$CE115))</f>
        <v>0</v>
      </c>
      <c r="D115" s="10" t="str">
        <f t="shared" si="28"/>
        <v>Custom 16</v>
      </c>
      <c r="H115" s="9"/>
      <c r="S115" s="335"/>
      <c r="AA115" s="203">
        <f t="shared" ref="AA115:BJ115" si="44">IF(SUMIFS($AA28:$BJ28, $AA$3:$BJ$3, AA$3, $AA$4:$BJ$4, 1)=0, 0,(AA28/SUMIFS($AA28:$BJ28, $AA$3:$BJ$3, AA$3, $AA$4:$BJ$4, 1))*AA$4)</f>
        <v>0</v>
      </c>
      <c r="AB115" s="66">
        <f t="shared" si="44"/>
        <v>0</v>
      </c>
      <c r="AC115" s="66">
        <f t="shared" si="44"/>
        <v>0</v>
      </c>
      <c r="AD115" s="66">
        <f t="shared" si="44"/>
        <v>0</v>
      </c>
      <c r="AE115" s="66">
        <f t="shared" si="44"/>
        <v>0</v>
      </c>
      <c r="AF115" s="66">
        <f t="shared" si="44"/>
        <v>0</v>
      </c>
      <c r="AG115" s="66">
        <f t="shared" si="44"/>
        <v>0</v>
      </c>
      <c r="AH115" s="66">
        <f t="shared" si="44"/>
        <v>0</v>
      </c>
      <c r="AI115" s="66">
        <f t="shared" si="44"/>
        <v>0</v>
      </c>
      <c r="AJ115" s="66">
        <f t="shared" si="44"/>
        <v>0</v>
      </c>
      <c r="AK115" s="66">
        <f t="shared" si="44"/>
        <v>0</v>
      </c>
      <c r="AL115" s="66">
        <f t="shared" si="44"/>
        <v>0</v>
      </c>
      <c r="AM115" s="66">
        <f t="shared" si="44"/>
        <v>0</v>
      </c>
      <c r="AN115" s="66">
        <f t="shared" si="44"/>
        <v>0</v>
      </c>
      <c r="AO115" s="66">
        <f t="shared" si="44"/>
        <v>0</v>
      </c>
      <c r="AP115" s="66">
        <f t="shared" si="44"/>
        <v>0</v>
      </c>
      <c r="AQ115" s="66">
        <f t="shared" si="44"/>
        <v>0</v>
      </c>
      <c r="AR115" s="66">
        <f t="shared" si="44"/>
        <v>0</v>
      </c>
      <c r="AS115" s="66">
        <f t="shared" si="44"/>
        <v>0</v>
      </c>
      <c r="AT115" s="66">
        <f t="shared" si="44"/>
        <v>0</v>
      </c>
      <c r="AU115" s="66">
        <f t="shared" si="44"/>
        <v>0</v>
      </c>
      <c r="AV115" s="66">
        <f t="shared" si="44"/>
        <v>0</v>
      </c>
      <c r="AW115" s="66">
        <f t="shared" si="44"/>
        <v>0</v>
      </c>
      <c r="AX115" s="66">
        <f t="shared" si="44"/>
        <v>0</v>
      </c>
      <c r="AY115" s="66">
        <f t="shared" si="44"/>
        <v>0</v>
      </c>
      <c r="AZ115" s="66">
        <f t="shared" si="44"/>
        <v>0</v>
      </c>
      <c r="BA115" s="66">
        <f t="shared" si="44"/>
        <v>0</v>
      </c>
      <c r="BB115" s="66">
        <f t="shared" si="44"/>
        <v>0</v>
      </c>
      <c r="BC115" s="66">
        <f t="shared" si="44"/>
        <v>0</v>
      </c>
      <c r="BD115" s="66">
        <f t="shared" si="44"/>
        <v>0</v>
      </c>
      <c r="BE115" s="66">
        <f t="shared" si="44"/>
        <v>0</v>
      </c>
      <c r="BF115" s="66">
        <f t="shared" si="44"/>
        <v>0</v>
      </c>
      <c r="BG115" s="66">
        <f t="shared" si="44"/>
        <v>0</v>
      </c>
      <c r="BH115" s="66">
        <f t="shared" si="44"/>
        <v>0</v>
      </c>
      <c r="BI115" s="66">
        <f t="shared" si="44"/>
        <v>0</v>
      </c>
      <c r="BJ115" s="66">
        <f t="shared" si="44"/>
        <v>0</v>
      </c>
      <c r="BY115" s="12"/>
      <c r="BZ115" s="363">
        <f t="shared" si="20"/>
        <v>0</v>
      </c>
      <c r="CA115" s="12"/>
      <c r="CB115" s="7">
        <f t="shared" si="21"/>
        <v>0</v>
      </c>
      <c r="CC115" s="7">
        <f t="shared" si="22"/>
        <v>0</v>
      </c>
      <c r="CD115" s="7">
        <f t="shared" si="23"/>
        <v>0</v>
      </c>
      <c r="CE115" s="42"/>
      <c r="EX115" s="13" t="str">
        <f t="shared" si="25"/>
        <v/>
      </c>
    </row>
    <row r="116" spans="1:154" x14ac:dyDescent="0.25">
      <c r="A116" s="362" cm="1">
        <f t="array" aca="1" ref="A116" ca="1">HYPERLINK(CONCATENATE("#",CELL("address",IF(SUM($CA116:$CE116)=0,A116,INDEX($CA116:$CE116,MATCH(1,$CA116:$CE116,0))))),SUM($CA116:$CE116))</f>
        <v>0</v>
      </c>
      <c r="D116" s="10" t="str">
        <f t="shared" si="28"/>
        <v>Custom 17</v>
      </c>
      <c r="H116" s="9"/>
      <c r="S116" s="335"/>
      <c r="AA116" s="203">
        <f t="shared" ref="AA116:BJ116" si="45">IF(SUMIFS($AA29:$BJ29, $AA$3:$BJ$3, AA$3, $AA$4:$BJ$4, 1)=0, 0,(AA29/SUMIFS($AA29:$BJ29, $AA$3:$BJ$3, AA$3, $AA$4:$BJ$4, 1))*AA$4)</f>
        <v>0</v>
      </c>
      <c r="AB116" s="66">
        <f t="shared" si="45"/>
        <v>0</v>
      </c>
      <c r="AC116" s="66">
        <f t="shared" si="45"/>
        <v>0</v>
      </c>
      <c r="AD116" s="66">
        <f t="shared" si="45"/>
        <v>0</v>
      </c>
      <c r="AE116" s="66">
        <f t="shared" si="45"/>
        <v>0</v>
      </c>
      <c r="AF116" s="66">
        <f t="shared" si="45"/>
        <v>0</v>
      </c>
      <c r="AG116" s="66">
        <f t="shared" si="45"/>
        <v>0</v>
      </c>
      <c r="AH116" s="66">
        <f t="shared" si="45"/>
        <v>0</v>
      </c>
      <c r="AI116" s="66">
        <f t="shared" si="45"/>
        <v>0</v>
      </c>
      <c r="AJ116" s="66">
        <f t="shared" si="45"/>
        <v>0</v>
      </c>
      <c r="AK116" s="66">
        <f t="shared" si="45"/>
        <v>0</v>
      </c>
      <c r="AL116" s="66">
        <f t="shared" si="45"/>
        <v>0</v>
      </c>
      <c r="AM116" s="66">
        <f t="shared" si="45"/>
        <v>0</v>
      </c>
      <c r="AN116" s="66">
        <f t="shared" si="45"/>
        <v>0</v>
      </c>
      <c r="AO116" s="66">
        <f t="shared" si="45"/>
        <v>0</v>
      </c>
      <c r="AP116" s="66">
        <f t="shared" si="45"/>
        <v>0</v>
      </c>
      <c r="AQ116" s="66">
        <f t="shared" si="45"/>
        <v>0</v>
      </c>
      <c r="AR116" s="66">
        <f t="shared" si="45"/>
        <v>0</v>
      </c>
      <c r="AS116" s="66">
        <f t="shared" si="45"/>
        <v>0</v>
      </c>
      <c r="AT116" s="66">
        <f t="shared" si="45"/>
        <v>0</v>
      </c>
      <c r="AU116" s="66">
        <f t="shared" si="45"/>
        <v>0</v>
      </c>
      <c r="AV116" s="66">
        <f t="shared" si="45"/>
        <v>0</v>
      </c>
      <c r="AW116" s="66">
        <f t="shared" si="45"/>
        <v>0</v>
      </c>
      <c r="AX116" s="66">
        <f t="shared" si="45"/>
        <v>0</v>
      </c>
      <c r="AY116" s="66">
        <f t="shared" si="45"/>
        <v>0</v>
      </c>
      <c r="AZ116" s="66">
        <f t="shared" si="45"/>
        <v>0</v>
      </c>
      <c r="BA116" s="66">
        <f t="shared" si="45"/>
        <v>0</v>
      </c>
      <c r="BB116" s="66">
        <f t="shared" si="45"/>
        <v>0</v>
      </c>
      <c r="BC116" s="66">
        <f t="shared" si="45"/>
        <v>0</v>
      </c>
      <c r="BD116" s="66">
        <f t="shared" si="45"/>
        <v>0</v>
      </c>
      <c r="BE116" s="66">
        <f t="shared" si="45"/>
        <v>0</v>
      </c>
      <c r="BF116" s="66">
        <f t="shared" si="45"/>
        <v>0</v>
      </c>
      <c r="BG116" s="66">
        <f t="shared" si="45"/>
        <v>0</v>
      </c>
      <c r="BH116" s="66">
        <f t="shared" si="45"/>
        <v>0</v>
      </c>
      <c r="BI116" s="66">
        <f t="shared" si="45"/>
        <v>0</v>
      </c>
      <c r="BJ116" s="66">
        <f t="shared" si="45"/>
        <v>0</v>
      </c>
      <c r="BY116" s="12"/>
      <c r="BZ116" s="363">
        <f t="shared" si="20"/>
        <v>0</v>
      </c>
      <c r="CA116" s="12"/>
      <c r="CB116" s="7">
        <f t="shared" si="21"/>
        <v>0</v>
      </c>
      <c r="CC116" s="7">
        <f t="shared" si="22"/>
        <v>0</v>
      </c>
      <c r="CD116" s="7">
        <f t="shared" si="23"/>
        <v>0</v>
      </c>
      <c r="CE116" s="42"/>
      <c r="EX116" s="13" t="str">
        <f t="shared" si="25"/>
        <v/>
      </c>
    </row>
    <row r="117" spans="1:154" s="5" customFormat="1" x14ac:dyDescent="0.25">
      <c r="A117" s="362" cm="1">
        <f t="array" aca="1" ref="A117" ca="1">HYPERLINK(CONCATENATE("#",CELL("address",IF(SUM($CA117:$CE117)=0,A117,INDEX($CA117:$CE117,MATCH(1,$CA117:$CE117,0))))),SUM($CA117:$CE117))</f>
        <v>0</v>
      </c>
      <c r="B117" s="67"/>
      <c r="C117" s="67"/>
      <c r="D117" s="10" t="str">
        <f t="shared" si="28"/>
        <v>Custom 18</v>
      </c>
      <c r="E117" s="1"/>
      <c r="F117" s="67"/>
      <c r="G117" s="67"/>
      <c r="H117" s="9"/>
      <c r="I117" s="67"/>
      <c r="J117" s="67"/>
      <c r="K117" s="67"/>
      <c r="L117" s="67"/>
      <c r="M117" s="67"/>
      <c r="N117" s="67"/>
      <c r="O117" s="67"/>
      <c r="P117" s="67"/>
      <c r="Q117" s="67"/>
      <c r="R117" s="67"/>
      <c r="S117" s="335"/>
      <c r="T117" s="67"/>
      <c r="U117" s="67"/>
      <c r="V117" s="67"/>
      <c r="W117" s="67"/>
      <c r="X117" s="67"/>
      <c r="Y117" s="67"/>
      <c r="Z117" s="67"/>
      <c r="AA117" s="203">
        <f t="shared" ref="AA117:BJ117" si="46">IF(SUMIFS($AA30:$BJ30, $AA$3:$BJ$3, AA$3, $AA$4:$BJ$4, 1)=0, 0,(AA30/SUMIFS($AA30:$BJ30, $AA$3:$BJ$3, AA$3, $AA$4:$BJ$4, 1))*AA$4)</f>
        <v>0</v>
      </c>
      <c r="AB117" s="66">
        <f t="shared" si="46"/>
        <v>0</v>
      </c>
      <c r="AC117" s="66">
        <f t="shared" si="46"/>
        <v>0</v>
      </c>
      <c r="AD117" s="66">
        <f t="shared" si="46"/>
        <v>0</v>
      </c>
      <c r="AE117" s="66">
        <f t="shared" si="46"/>
        <v>0</v>
      </c>
      <c r="AF117" s="66">
        <f t="shared" si="46"/>
        <v>0</v>
      </c>
      <c r="AG117" s="66">
        <f t="shared" si="46"/>
        <v>0</v>
      </c>
      <c r="AH117" s="66">
        <f t="shared" si="46"/>
        <v>0</v>
      </c>
      <c r="AI117" s="66">
        <f t="shared" si="46"/>
        <v>0</v>
      </c>
      <c r="AJ117" s="66">
        <f t="shared" si="46"/>
        <v>0</v>
      </c>
      <c r="AK117" s="66">
        <f t="shared" si="46"/>
        <v>0</v>
      </c>
      <c r="AL117" s="66">
        <f t="shared" si="46"/>
        <v>0</v>
      </c>
      <c r="AM117" s="66">
        <f t="shared" si="46"/>
        <v>0</v>
      </c>
      <c r="AN117" s="66">
        <f t="shared" si="46"/>
        <v>0</v>
      </c>
      <c r="AO117" s="66">
        <f t="shared" si="46"/>
        <v>0</v>
      </c>
      <c r="AP117" s="66">
        <f t="shared" si="46"/>
        <v>0</v>
      </c>
      <c r="AQ117" s="66">
        <f t="shared" si="46"/>
        <v>0</v>
      </c>
      <c r="AR117" s="66">
        <f t="shared" si="46"/>
        <v>0</v>
      </c>
      <c r="AS117" s="66">
        <f t="shared" si="46"/>
        <v>0</v>
      </c>
      <c r="AT117" s="66">
        <f t="shared" si="46"/>
        <v>0</v>
      </c>
      <c r="AU117" s="66">
        <f t="shared" si="46"/>
        <v>0</v>
      </c>
      <c r="AV117" s="66">
        <f t="shared" si="46"/>
        <v>0</v>
      </c>
      <c r="AW117" s="66">
        <f t="shared" si="46"/>
        <v>0</v>
      </c>
      <c r="AX117" s="66">
        <f t="shared" si="46"/>
        <v>0</v>
      </c>
      <c r="AY117" s="66">
        <f t="shared" si="46"/>
        <v>0</v>
      </c>
      <c r="AZ117" s="66">
        <f t="shared" si="46"/>
        <v>0</v>
      </c>
      <c r="BA117" s="66">
        <f t="shared" si="46"/>
        <v>0</v>
      </c>
      <c r="BB117" s="66">
        <f t="shared" si="46"/>
        <v>0</v>
      </c>
      <c r="BC117" s="66">
        <f t="shared" si="46"/>
        <v>0</v>
      </c>
      <c r="BD117" s="66">
        <f t="shared" si="46"/>
        <v>0</v>
      </c>
      <c r="BE117" s="66">
        <f t="shared" si="46"/>
        <v>0</v>
      </c>
      <c r="BF117" s="66">
        <f t="shared" si="46"/>
        <v>0</v>
      </c>
      <c r="BG117" s="66">
        <f t="shared" si="46"/>
        <v>0</v>
      </c>
      <c r="BH117" s="66">
        <f t="shared" si="46"/>
        <v>0</v>
      </c>
      <c r="BI117" s="66">
        <f t="shared" si="46"/>
        <v>0</v>
      </c>
      <c r="BJ117" s="66">
        <f t="shared" si="46"/>
        <v>0</v>
      </c>
      <c r="BK117" s="67"/>
      <c r="BL117" s="67"/>
      <c r="BM117" s="67"/>
      <c r="BN117" s="67"/>
      <c r="BO117" s="67"/>
      <c r="BP117" s="67"/>
      <c r="BQ117" s="67"/>
      <c r="BR117" s="67"/>
      <c r="BS117" s="67"/>
      <c r="BT117" s="67"/>
      <c r="BU117" s="67"/>
      <c r="BV117" s="67"/>
      <c r="BW117" s="67"/>
      <c r="BX117" s="67"/>
      <c r="BY117" s="12"/>
      <c r="BZ117" s="363">
        <f t="shared" si="20"/>
        <v>0</v>
      </c>
      <c r="CA117" s="12"/>
      <c r="CB117" s="7">
        <f t="shared" si="21"/>
        <v>0</v>
      </c>
      <c r="CC117" s="7">
        <f t="shared" si="22"/>
        <v>0</v>
      </c>
      <c r="CD117" s="7">
        <f t="shared" si="23"/>
        <v>0</v>
      </c>
      <c r="CE117" s="42"/>
      <c r="EX117" s="13" t="str">
        <f t="shared" si="25"/>
        <v/>
      </c>
    </row>
    <row r="118" spans="1:154" x14ac:dyDescent="0.25">
      <c r="A118" s="362" cm="1">
        <f t="array" aca="1" ref="A118" ca="1">HYPERLINK(CONCATENATE("#",CELL("address",IF(SUM($CA118:$CE118)=0,A118,INDEX($CA118:$CE118,MATCH(1,$CA118:$CE118,0))))),SUM($CA118:$CE118))</f>
        <v>0</v>
      </c>
      <c r="D118" s="10" t="str">
        <f t="shared" si="28"/>
        <v>Custom 19</v>
      </c>
      <c r="H118" s="9"/>
      <c r="S118" s="335"/>
      <c r="AA118" s="203">
        <f t="shared" ref="AA118:BJ118" si="47">IF(SUMIFS($AA31:$BJ31, $AA$3:$BJ$3, AA$3, $AA$4:$BJ$4, 1)=0, 0,(AA31/SUMIFS($AA31:$BJ31, $AA$3:$BJ$3, AA$3, $AA$4:$BJ$4, 1))*AA$4)</f>
        <v>0</v>
      </c>
      <c r="AB118" s="66">
        <f t="shared" si="47"/>
        <v>0</v>
      </c>
      <c r="AC118" s="66">
        <f t="shared" si="47"/>
        <v>0</v>
      </c>
      <c r="AD118" s="66">
        <f t="shared" si="47"/>
        <v>0</v>
      </c>
      <c r="AE118" s="66">
        <f t="shared" si="47"/>
        <v>0</v>
      </c>
      <c r="AF118" s="66">
        <f t="shared" si="47"/>
        <v>0</v>
      </c>
      <c r="AG118" s="66">
        <f t="shared" si="47"/>
        <v>0</v>
      </c>
      <c r="AH118" s="66">
        <f t="shared" si="47"/>
        <v>0</v>
      </c>
      <c r="AI118" s="66">
        <f t="shared" si="47"/>
        <v>0</v>
      </c>
      <c r="AJ118" s="66">
        <f t="shared" si="47"/>
        <v>0</v>
      </c>
      <c r="AK118" s="66">
        <f t="shared" si="47"/>
        <v>0</v>
      </c>
      <c r="AL118" s="66">
        <f t="shared" si="47"/>
        <v>0</v>
      </c>
      <c r="AM118" s="66">
        <f t="shared" si="47"/>
        <v>0</v>
      </c>
      <c r="AN118" s="66">
        <f t="shared" si="47"/>
        <v>0</v>
      </c>
      <c r="AO118" s="66">
        <f t="shared" si="47"/>
        <v>0</v>
      </c>
      <c r="AP118" s="66">
        <f t="shared" si="47"/>
        <v>0</v>
      </c>
      <c r="AQ118" s="66">
        <f t="shared" si="47"/>
        <v>0</v>
      </c>
      <c r="AR118" s="66">
        <f t="shared" si="47"/>
        <v>0</v>
      </c>
      <c r="AS118" s="66">
        <f t="shared" si="47"/>
        <v>0</v>
      </c>
      <c r="AT118" s="66">
        <f t="shared" si="47"/>
        <v>0</v>
      </c>
      <c r="AU118" s="66">
        <f t="shared" si="47"/>
        <v>0</v>
      </c>
      <c r="AV118" s="66">
        <f t="shared" si="47"/>
        <v>0</v>
      </c>
      <c r="AW118" s="66">
        <f t="shared" si="47"/>
        <v>0</v>
      </c>
      <c r="AX118" s="66">
        <f t="shared" si="47"/>
        <v>0</v>
      </c>
      <c r="AY118" s="66">
        <f t="shared" si="47"/>
        <v>0</v>
      </c>
      <c r="AZ118" s="66">
        <f t="shared" si="47"/>
        <v>0</v>
      </c>
      <c r="BA118" s="66">
        <f t="shared" si="47"/>
        <v>0</v>
      </c>
      <c r="BB118" s="66">
        <f t="shared" si="47"/>
        <v>0</v>
      </c>
      <c r="BC118" s="66">
        <f t="shared" si="47"/>
        <v>0</v>
      </c>
      <c r="BD118" s="66">
        <f t="shared" si="47"/>
        <v>0</v>
      </c>
      <c r="BE118" s="66">
        <f t="shared" si="47"/>
        <v>0</v>
      </c>
      <c r="BF118" s="66">
        <f t="shared" si="47"/>
        <v>0</v>
      </c>
      <c r="BG118" s="66">
        <f t="shared" si="47"/>
        <v>0</v>
      </c>
      <c r="BH118" s="66">
        <f t="shared" si="47"/>
        <v>0</v>
      </c>
      <c r="BI118" s="66">
        <f t="shared" si="47"/>
        <v>0</v>
      </c>
      <c r="BJ118" s="66">
        <f t="shared" si="47"/>
        <v>0</v>
      </c>
      <c r="BY118" s="12"/>
      <c r="BZ118" s="363">
        <f t="shared" si="20"/>
        <v>0</v>
      </c>
      <c r="CA118" s="12"/>
      <c r="CB118" s="7">
        <f t="shared" si="21"/>
        <v>0</v>
      </c>
      <c r="CC118" s="7">
        <f t="shared" si="22"/>
        <v>0</v>
      </c>
      <c r="CD118" s="7">
        <f t="shared" si="23"/>
        <v>0</v>
      </c>
      <c r="CE118" s="42"/>
      <c r="EX118" s="13" t="str">
        <f t="shared" si="25"/>
        <v/>
      </c>
    </row>
    <row r="119" spans="1:154" x14ac:dyDescent="0.25">
      <c r="A119" s="362" cm="1">
        <f t="array" aca="1" ref="A119" ca="1">HYPERLINK(CONCATENATE("#",CELL("address",IF(SUM($CA119:$CE119)=0,A119,INDEX($CA119:$CE119,MATCH(1,$CA119:$CE119,0))))),SUM($CA119:$CE119))</f>
        <v>0</v>
      </c>
      <c r="D119" s="10" t="str">
        <f t="shared" si="28"/>
        <v>Custom 20</v>
      </c>
      <c r="H119" s="9"/>
      <c r="S119" s="335"/>
      <c r="AA119" s="203">
        <f t="shared" ref="AA119:BJ119" si="48">IF(SUMIFS($AA32:$BJ32, $AA$3:$BJ$3, AA$3, $AA$4:$BJ$4, 1)=0, 0,(AA32/SUMIFS($AA32:$BJ32, $AA$3:$BJ$3, AA$3, $AA$4:$BJ$4, 1))*AA$4)</f>
        <v>0</v>
      </c>
      <c r="AB119" s="66">
        <f t="shared" si="48"/>
        <v>0</v>
      </c>
      <c r="AC119" s="66">
        <f t="shared" si="48"/>
        <v>0</v>
      </c>
      <c r="AD119" s="66">
        <f t="shared" si="48"/>
        <v>0</v>
      </c>
      <c r="AE119" s="66">
        <f t="shared" si="48"/>
        <v>0</v>
      </c>
      <c r="AF119" s="66">
        <f t="shared" si="48"/>
        <v>0</v>
      </c>
      <c r="AG119" s="66">
        <f t="shared" si="48"/>
        <v>0</v>
      </c>
      <c r="AH119" s="66">
        <f t="shared" si="48"/>
        <v>0</v>
      </c>
      <c r="AI119" s="66">
        <f t="shared" si="48"/>
        <v>0</v>
      </c>
      <c r="AJ119" s="66">
        <f t="shared" si="48"/>
        <v>0</v>
      </c>
      <c r="AK119" s="66">
        <f t="shared" si="48"/>
        <v>0</v>
      </c>
      <c r="AL119" s="66">
        <f t="shared" si="48"/>
        <v>0</v>
      </c>
      <c r="AM119" s="66">
        <f t="shared" si="48"/>
        <v>0</v>
      </c>
      <c r="AN119" s="66">
        <f t="shared" si="48"/>
        <v>0</v>
      </c>
      <c r="AO119" s="66">
        <f t="shared" si="48"/>
        <v>0</v>
      </c>
      <c r="AP119" s="66">
        <f t="shared" si="48"/>
        <v>0</v>
      </c>
      <c r="AQ119" s="66">
        <f t="shared" si="48"/>
        <v>0</v>
      </c>
      <c r="AR119" s="66">
        <f t="shared" si="48"/>
        <v>0</v>
      </c>
      <c r="AS119" s="66">
        <f t="shared" si="48"/>
        <v>0</v>
      </c>
      <c r="AT119" s="66">
        <f t="shared" si="48"/>
        <v>0</v>
      </c>
      <c r="AU119" s="66">
        <f t="shared" si="48"/>
        <v>0</v>
      </c>
      <c r="AV119" s="66">
        <f t="shared" si="48"/>
        <v>0</v>
      </c>
      <c r="AW119" s="66">
        <f t="shared" si="48"/>
        <v>0</v>
      </c>
      <c r="AX119" s="66">
        <f t="shared" si="48"/>
        <v>0</v>
      </c>
      <c r="AY119" s="66">
        <f t="shared" si="48"/>
        <v>0</v>
      </c>
      <c r="AZ119" s="66">
        <f t="shared" si="48"/>
        <v>0</v>
      </c>
      <c r="BA119" s="66">
        <f t="shared" si="48"/>
        <v>0</v>
      </c>
      <c r="BB119" s="66">
        <f t="shared" si="48"/>
        <v>0</v>
      </c>
      <c r="BC119" s="66">
        <f t="shared" si="48"/>
        <v>0</v>
      </c>
      <c r="BD119" s="66">
        <f t="shared" si="48"/>
        <v>0</v>
      </c>
      <c r="BE119" s="66">
        <f t="shared" si="48"/>
        <v>0</v>
      </c>
      <c r="BF119" s="66">
        <f t="shared" si="48"/>
        <v>0</v>
      </c>
      <c r="BG119" s="66">
        <f t="shared" si="48"/>
        <v>0</v>
      </c>
      <c r="BH119" s="66">
        <f t="shared" si="48"/>
        <v>0</v>
      </c>
      <c r="BI119" s="66">
        <f t="shared" si="48"/>
        <v>0</v>
      </c>
      <c r="BJ119" s="66">
        <f t="shared" si="48"/>
        <v>0</v>
      </c>
      <c r="BY119" s="12"/>
      <c r="BZ119" s="363">
        <f t="shared" si="20"/>
        <v>0</v>
      </c>
      <c r="CA119" s="12"/>
      <c r="CB119" s="7">
        <f t="shared" si="21"/>
        <v>0</v>
      </c>
      <c r="CC119" s="7">
        <f t="shared" si="22"/>
        <v>0</v>
      </c>
      <c r="CD119" s="7">
        <f t="shared" si="23"/>
        <v>0</v>
      </c>
      <c r="CE119" s="42"/>
      <c r="EX119" s="13" t="str">
        <f t="shared" si="25"/>
        <v/>
      </c>
    </row>
    <row r="120" spans="1:154" x14ac:dyDescent="0.25">
      <c r="A120" s="362" cm="1">
        <f t="array" aca="1" ref="A120" ca="1">HYPERLINK(CONCATENATE("#",CELL("address",IF(SUM($CA120:$CE120)=0,A120,INDEX($CA120:$CE120,MATCH(1,$CA120:$CE120,0))))),SUM($CA120:$CE120))</f>
        <v>0</v>
      </c>
      <c r="D120" s="10" t="str">
        <f t="shared" si="28"/>
        <v>Custom 21</v>
      </c>
      <c r="H120" s="9"/>
      <c r="S120" s="335"/>
      <c r="AA120" s="203">
        <f t="shared" ref="AA120:BJ120" si="49">IF(SUMIFS($AA33:$BJ33, $AA$3:$BJ$3, AA$3, $AA$4:$BJ$4, 1)=0, 0,(AA33/SUMIFS($AA33:$BJ33, $AA$3:$BJ$3, AA$3, $AA$4:$BJ$4, 1))*AA$4)</f>
        <v>0</v>
      </c>
      <c r="AB120" s="66">
        <f t="shared" si="49"/>
        <v>0</v>
      </c>
      <c r="AC120" s="66">
        <f t="shared" si="49"/>
        <v>0</v>
      </c>
      <c r="AD120" s="66">
        <f t="shared" si="49"/>
        <v>0</v>
      </c>
      <c r="AE120" s="66">
        <f t="shared" si="49"/>
        <v>0</v>
      </c>
      <c r="AF120" s="66">
        <f t="shared" si="49"/>
        <v>0</v>
      </c>
      <c r="AG120" s="66">
        <f t="shared" si="49"/>
        <v>0</v>
      </c>
      <c r="AH120" s="66">
        <f t="shared" si="49"/>
        <v>0</v>
      </c>
      <c r="AI120" s="66">
        <f t="shared" si="49"/>
        <v>0</v>
      </c>
      <c r="AJ120" s="66">
        <f t="shared" si="49"/>
        <v>0</v>
      </c>
      <c r="AK120" s="66">
        <f t="shared" si="49"/>
        <v>0</v>
      </c>
      <c r="AL120" s="66">
        <f t="shared" si="49"/>
        <v>0</v>
      </c>
      <c r="AM120" s="66">
        <f t="shared" si="49"/>
        <v>0</v>
      </c>
      <c r="AN120" s="66">
        <f t="shared" si="49"/>
        <v>0</v>
      </c>
      <c r="AO120" s="66">
        <f t="shared" si="49"/>
        <v>0</v>
      </c>
      <c r="AP120" s="66">
        <f t="shared" si="49"/>
        <v>0</v>
      </c>
      <c r="AQ120" s="66">
        <f t="shared" si="49"/>
        <v>0</v>
      </c>
      <c r="AR120" s="66">
        <f t="shared" si="49"/>
        <v>0</v>
      </c>
      <c r="AS120" s="66">
        <f t="shared" si="49"/>
        <v>0</v>
      </c>
      <c r="AT120" s="66">
        <f t="shared" si="49"/>
        <v>0</v>
      </c>
      <c r="AU120" s="66">
        <f t="shared" si="49"/>
        <v>0</v>
      </c>
      <c r="AV120" s="66">
        <f t="shared" si="49"/>
        <v>0</v>
      </c>
      <c r="AW120" s="66">
        <f t="shared" si="49"/>
        <v>0</v>
      </c>
      <c r="AX120" s="66">
        <f t="shared" si="49"/>
        <v>0</v>
      </c>
      <c r="AY120" s="66">
        <f t="shared" si="49"/>
        <v>0</v>
      </c>
      <c r="AZ120" s="66">
        <f t="shared" si="49"/>
        <v>0</v>
      </c>
      <c r="BA120" s="66">
        <f t="shared" si="49"/>
        <v>0</v>
      </c>
      <c r="BB120" s="66">
        <f t="shared" si="49"/>
        <v>0</v>
      </c>
      <c r="BC120" s="66">
        <f t="shared" si="49"/>
        <v>0</v>
      </c>
      <c r="BD120" s="66">
        <f t="shared" si="49"/>
        <v>0</v>
      </c>
      <c r="BE120" s="66">
        <f t="shared" si="49"/>
        <v>0</v>
      </c>
      <c r="BF120" s="66">
        <f t="shared" si="49"/>
        <v>0</v>
      </c>
      <c r="BG120" s="66">
        <f t="shared" si="49"/>
        <v>0</v>
      </c>
      <c r="BH120" s="66">
        <f t="shared" si="49"/>
        <v>0</v>
      </c>
      <c r="BI120" s="66">
        <f t="shared" si="49"/>
        <v>0</v>
      </c>
      <c r="BJ120" s="66">
        <f t="shared" si="49"/>
        <v>0</v>
      </c>
      <c r="BY120" s="12"/>
      <c r="BZ120" s="363">
        <f t="shared" si="20"/>
        <v>0</v>
      </c>
      <c r="CA120" s="12"/>
      <c r="CB120" s="7">
        <f t="shared" si="21"/>
        <v>0</v>
      </c>
      <c r="CC120" s="7">
        <f t="shared" si="22"/>
        <v>0</v>
      </c>
      <c r="CD120" s="7">
        <f t="shared" si="23"/>
        <v>0</v>
      </c>
      <c r="CE120" s="42"/>
      <c r="EX120" s="13" t="str">
        <f t="shared" si="25"/>
        <v/>
      </c>
    </row>
    <row r="121" spans="1:154" x14ac:dyDescent="0.25">
      <c r="A121" s="362" cm="1">
        <f t="array" aca="1" ref="A121" ca="1">HYPERLINK(CONCATENATE("#",CELL("address",IF(SUM($CA121:$CE121)=0,A121,INDEX($CA121:$CE121,MATCH(1,$CA121:$CE121,0))))),SUM($CA121:$CE121))</f>
        <v>0</v>
      </c>
      <c r="D121" s="10" t="str">
        <f t="shared" si="28"/>
        <v>Custom 22</v>
      </c>
      <c r="H121" s="9"/>
      <c r="S121" s="335"/>
      <c r="AA121" s="203">
        <f t="shared" ref="AA121:BJ121" si="50">IF(SUMIFS($AA34:$BJ34, $AA$3:$BJ$3, AA$3, $AA$4:$BJ$4, 1)=0, 0,(AA34/SUMIFS($AA34:$BJ34, $AA$3:$BJ$3, AA$3, $AA$4:$BJ$4, 1))*AA$4)</f>
        <v>0</v>
      </c>
      <c r="AB121" s="66">
        <f t="shared" si="50"/>
        <v>0</v>
      </c>
      <c r="AC121" s="66">
        <f t="shared" si="50"/>
        <v>0</v>
      </c>
      <c r="AD121" s="66">
        <f t="shared" si="50"/>
        <v>0</v>
      </c>
      <c r="AE121" s="66">
        <f t="shared" si="50"/>
        <v>0</v>
      </c>
      <c r="AF121" s="66">
        <f t="shared" si="50"/>
        <v>0</v>
      </c>
      <c r="AG121" s="66">
        <f t="shared" si="50"/>
        <v>0</v>
      </c>
      <c r="AH121" s="66">
        <f t="shared" si="50"/>
        <v>0</v>
      </c>
      <c r="AI121" s="66">
        <f t="shared" si="50"/>
        <v>0</v>
      </c>
      <c r="AJ121" s="66">
        <f t="shared" si="50"/>
        <v>0</v>
      </c>
      <c r="AK121" s="66">
        <f t="shared" si="50"/>
        <v>0</v>
      </c>
      <c r="AL121" s="66">
        <f t="shared" si="50"/>
        <v>0</v>
      </c>
      <c r="AM121" s="66">
        <f t="shared" si="50"/>
        <v>0</v>
      </c>
      <c r="AN121" s="66">
        <f t="shared" si="50"/>
        <v>0</v>
      </c>
      <c r="AO121" s="66">
        <f t="shared" si="50"/>
        <v>0</v>
      </c>
      <c r="AP121" s="66">
        <f t="shared" si="50"/>
        <v>0</v>
      </c>
      <c r="AQ121" s="66">
        <f t="shared" si="50"/>
        <v>0</v>
      </c>
      <c r="AR121" s="66">
        <f t="shared" si="50"/>
        <v>0</v>
      </c>
      <c r="AS121" s="66">
        <f t="shared" si="50"/>
        <v>0</v>
      </c>
      <c r="AT121" s="66">
        <f t="shared" si="50"/>
        <v>0</v>
      </c>
      <c r="AU121" s="66">
        <f t="shared" si="50"/>
        <v>0</v>
      </c>
      <c r="AV121" s="66">
        <f t="shared" si="50"/>
        <v>0</v>
      </c>
      <c r="AW121" s="66">
        <f t="shared" si="50"/>
        <v>0</v>
      </c>
      <c r="AX121" s="66">
        <f t="shared" si="50"/>
        <v>0</v>
      </c>
      <c r="AY121" s="66">
        <f t="shared" si="50"/>
        <v>0</v>
      </c>
      <c r="AZ121" s="66">
        <f t="shared" si="50"/>
        <v>0</v>
      </c>
      <c r="BA121" s="66">
        <f t="shared" si="50"/>
        <v>0</v>
      </c>
      <c r="BB121" s="66">
        <f t="shared" si="50"/>
        <v>0</v>
      </c>
      <c r="BC121" s="66">
        <f t="shared" si="50"/>
        <v>0</v>
      </c>
      <c r="BD121" s="66">
        <f t="shared" si="50"/>
        <v>0</v>
      </c>
      <c r="BE121" s="66">
        <f t="shared" si="50"/>
        <v>0</v>
      </c>
      <c r="BF121" s="66">
        <f t="shared" si="50"/>
        <v>0</v>
      </c>
      <c r="BG121" s="66">
        <f t="shared" si="50"/>
        <v>0</v>
      </c>
      <c r="BH121" s="66">
        <f t="shared" si="50"/>
        <v>0</v>
      </c>
      <c r="BI121" s="66">
        <f t="shared" si="50"/>
        <v>0</v>
      </c>
      <c r="BJ121" s="66">
        <f t="shared" si="50"/>
        <v>0</v>
      </c>
      <c r="BY121" s="12"/>
      <c r="BZ121" s="363">
        <f t="shared" si="20"/>
        <v>0</v>
      </c>
      <c r="CA121" s="12"/>
      <c r="CB121" s="7">
        <f t="shared" si="21"/>
        <v>0</v>
      </c>
      <c r="CC121" s="7">
        <f t="shared" si="22"/>
        <v>0</v>
      </c>
      <c r="CD121" s="7">
        <f t="shared" si="23"/>
        <v>0</v>
      </c>
      <c r="CE121" s="42"/>
      <c r="EX121" s="13" t="str">
        <f t="shared" si="25"/>
        <v/>
      </c>
    </row>
    <row r="122" spans="1:154" x14ac:dyDescent="0.25">
      <c r="A122" s="362" cm="1">
        <f t="array" aca="1" ref="A122" ca="1">HYPERLINK(CONCATENATE("#",CELL("address",IF(SUM($CA122:$CE122)=0,A122,INDEX($CA122:$CE122,MATCH(1,$CA122:$CE122,0))))),SUM($CA122:$CE122))</f>
        <v>0</v>
      </c>
      <c r="D122" s="10" t="str">
        <f t="shared" si="28"/>
        <v>Custom 23</v>
      </c>
      <c r="H122" s="9"/>
      <c r="S122" s="335"/>
      <c r="AA122" s="203">
        <f t="shared" ref="AA122:BJ122" si="51">IF(SUMIFS($AA35:$BJ35, $AA$3:$BJ$3, AA$3, $AA$4:$BJ$4, 1)=0, 0,(AA35/SUMIFS($AA35:$BJ35, $AA$3:$BJ$3, AA$3, $AA$4:$BJ$4, 1))*AA$4)</f>
        <v>0</v>
      </c>
      <c r="AB122" s="66">
        <f t="shared" si="51"/>
        <v>0</v>
      </c>
      <c r="AC122" s="66">
        <f t="shared" si="51"/>
        <v>0</v>
      </c>
      <c r="AD122" s="66">
        <f t="shared" si="51"/>
        <v>0</v>
      </c>
      <c r="AE122" s="66">
        <f t="shared" si="51"/>
        <v>0</v>
      </c>
      <c r="AF122" s="66">
        <f t="shared" si="51"/>
        <v>0</v>
      </c>
      <c r="AG122" s="66">
        <f t="shared" si="51"/>
        <v>0</v>
      </c>
      <c r="AH122" s="66">
        <f t="shared" si="51"/>
        <v>0</v>
      </c>
      <c r="AI122" s="66">
        <f t="shared" si="51"/>
        <v>0</v>
      </c>
      <c r="AJ122" s="66">
        <f t="shared" si="51"/>
        <v>0</v>
      </c>
      <c r="AK122" s="66">
        <f t="shared" si="51"/>
        <v>0</v>
      </c>
      <c r="AL122" s="66">
        <f t="shared" si="51"/>
        <v>0</v>
      </c>
      <c r="AM122" s="66">
        <f t="shared" si="51"/>
        <v>0</v>
      </c>
      <c r="AN122" s="66">
        <f t="shared" si="51"/>
        <v>0</v>
      </c>
      <c r="AO122" s="66">
        <f t="shared" si="51"/>
        <v>0</v>
      </c>
      <c r="AP122" s="66">
        <f t="shared" si="51"/>
        <v>0</v>
      </c>
      <c r="AQ122" s="66">
        <f t="shared" si="51"/>
        <v>0</v>
      </c>
      <c r="AR122" s="66">
        <f t="shared" si="51"/>
        <v>0</v>
      </c>
      <c r="AS122" s="66">
        <f t="shared" si="51"/>
        <v>0</v>
      </c>
      <c r="AT122" s="66">
        <f t="shared" si="51"/>
        <v>0</v>
      </c>
      <c r="AU122" s="66">
        <f t="shared" si="51"/>
        <v>0</v>
      </c>
      <c r="AV122" s="66">
        <f t="shared" si="51"/>
        <v>0</v>
      </c>
      <c r="AW122" s="66">
        <f t="shared" si="51"/>
        <v>0</v>
      </c>
      <c r="AX122" s="66">
        <f t="shared" si="51"/>
        <v>0</v>
      </c>
      <c r="AY122" s="66">
        <f t="shared" si="51"/>
        <v>0</v>
      </c>
      <c r="AZ122" s="66">
        <f t="shared" si="51"/>
        <v>0</v>
      </c>
      <c r="BA122" s="66">
        <f t="shared" si="51"/>
        <v>0</v>
      </c>
      <c r="BB122" s="66">
        <f t="shared" si="51"/>
        <v>0</v>
      </c>
      <c r="BC122" s="66">
        <f t="shared" si="51"/>
        <v>0</v>
      </c>
      <c r="BD122" s="66">
        <f t="shared" si="51"/>
        <v>0</v>
      </c>
      <c r="BE122" s="66">
        <f t="shared" si="51"/>
        <v>0</v>
      </c>
      <c r="BF122" s="66">
        <f t="shared" si="51"/>
        <v>0</v>
      </c>
      <c r="BG122" s="66">
        <f t="shared" si="51"/>
        <v>0</v>
      </c>
      <c r="BH122" s="66">
        <f t="shared" si="51"/>
        <v>0</v>
      </c>
      <c r="BI122" s="66">
        <f t="shared" si="51"/>
        <v>0</v>
      </c>
      <c r="BJ122" s="66">
        <f t="shared" si="51"/>
        <v>0</v>
      </c>
      <c r="BY122" s="12"/>
      <c r="BZ122" s="363">
        <f t="shared" si="20"/>
        <v>0</v>
      </c>
      <c r="CA122" s="12"/>
      <c r="CB122" s="7">
        <f t="shared" si="21"/>
        <v>0</v>
      </c>
      <c r="CC122" s="7">
        <f t="shared" si="22"/>
        <v>0</v>
      </c>
      <c r="CD122" s="7">
        <f t="shared" si="23"/>
        <v>0</v>
      </c>
      <c r="CE122" s="42"/>
      <c r="EX122" s="13" t="str">
        <f t="shared" si="25"/>
        <v/>
      </c>
    </row>
    <row r="123" spans="1:154" x14ac:dyDescent="0.25">
      <c r="A123" s="362" cm="1">
        <f t="array" aca="1" ref="A123" ca="1">HYPERLINK(CONCATENATE("#",CELL("address",IF(SUM($CA123:$CE123)=0,A123,INDEX($CA123:$CE123,MATCH(1,$CA123:$CE123,0))))),SUM($CA123:$CE123))</f>
        <v>0</v>
      </c>
      <c r="D123" s="10" t="str">
        <f t="shared" si="28"/>
        <v>Custom 24</v>
      </c>
      <c r="H123" s="9"/>
      <c r="S123" s="335"/>
      <c r="AA123" s="203">
        <f t="shared" ref="AA123:BJ123" si="52">IF(SUMIFS($AA36:$BJ36, $AA$3:$BJ$3, AA$3, $AA$4:$BJ$4, 1)=0, 0,(AA36/SUMIFS($AA36:$BJ36, $AA$3:$BJ$3, AA$3, $AA$4:$BJ$4, 1))*AA$4)</f>
        <v>0</v>
      </c>
      <c r="AB123" s="66">
        <f t="shared" si="52"/>
        <v>0</v>
      </c>
      <c r="AC123" s="66">
        <f t="shared" si="52"/>
        <v>0</v>
      </c>
      <c r="AD123" s="66">
        <f t="shared" si="52"/>
        <v>0</v>
      </c>
      <c r="AE123" s="66">
        <f t="shared" si="52"/>
        <v>0</v>
      </c>
      <c r="AF123" s="66">
        <f t="shared" si="52"/>
        <v>0</v>
      </c>
      <c r="AG123" s="66">
        <f t="shared" si="52"/>
        <v>0</v>
      </c>
      <c r="AH123" s="66">
        <f t="shared" si="52"/>
        <v>0</v>
      </c>
      <c r="AI123" s="66">
        <f t="shared" si="52"/>
        <v>0</v>
      </c>
      <c r="AJ123" s="66">
        <f t="shared" si="52"/>
        <v>0</v>
      </c>
      <c r="AK123" s="66">
        <f t="shared" si="52"/>
        <v>0</v>
      </c>
      <c r="AL123" s="66">
        <f t="shared" si="52"/>
        <v>0</v>
      </c>
      <c r="AM123" s="66">
        <f t="shared" si="52"/>
        <v>0</v>
      </c>
      <c r="AN123" s="66">
        <f t="shared" si="52"/>
        <v>0</v>
      </c>
      <c r="AO123" s="66">
        <f t="shared" si="52"/>
        <v>0</v>
      </c>
      <c r="AP123" s="66">
        <f t="shared" si="52"/>
        <v>0</v>
      </c>
      <c r="AQ123" s="66">
        <f t="shared" si="52"/>
        <v>0</v>
      </c>
      <c r="AR123" s="66">
        <f t="shared" si="52"/>
        <v>0</v>
      </c>
      <c r="AS123" s="66">
        <f t="shared" si="52"/>
        <v>0</v>
      </c>
      <c r="AT123" s="66">
        <f t="shared" si="52"/>
        <v>0</v>
      </c>
      <c r="AU123" s="66">
        <f t="shared" si="52"/>
        <v>0</v>
      </c>
      <c r="AV123" s="66">
        <f t="shared" si="52"/>
        <v>0</v>
      </c>
      <c r="AW123" s="66">
        <f t="shared" si="52"/>
        <v>0</v>
      </c>
      <c r="AX123" s="66">
        <f t="shared" si="52"/>
        <v>0</v>
      </c>
      <c r="AY123" s="66">
        <f t="shared" si="52"/>
        <v>0</v>
      </c>
      <c r="AZ123" s="66">
        <f t="shared" si="52"/>
        <v>0</v>
      </c>
      <c r="BA123" s="66">
        <f t="shared" si="52"/>
        <v>0</v>
      </c>
      <c r="BB123" s="66">
        <f t="shared" si="52"/>
        <v>0</v>
      </c>
      <c r="BC123" s="66">
        <f t="shared" si="52"/>
        <v>0</v>
      </c>
      <c r="BD123" s="66">
        <f t="shared" si="52"/>
        <v>0</v>
      </c>
      <c r="BE123" s="66">
        <f t="shared" si="52"/>
        <v>0</v>
      </c>
      <c r="BF123" s="66">
        <f t="shared" si="52"/>
        <v>0</v>
      </c>
      <c r="BG123" s="66">
        <f t="shared" si="52"/>
        <v>0</v>
      </c>
      <c r="BH123" s="66">
        <f t="shared" si="52"/>
        <v>0</v>
      </c>
      <c r="BI123" s="66">
        <f t="shared" si="52"/>
        <v>0</v>
      </c>
      <c r="BJ123" s="66">
        <f t="shared" si="52"/>
        <v>0</v>
      </c>
      <c r="BY123" s="12"/>
      <c r="BZ123" s="363">
        <f t="shared" si="20"/>
        <v>0</v>
      </c>
      <c r="CA123" s="12"/>
      <c r="CB123" s="7">
        <f t="shared" si="21"/>
        <v>0</v>
      </c>
      <c r="CC123" s="7">
        <f t="shared" si="22"/>
        <v>0</v>
      </c>
      <c r="CD123" s="7">
        <f t="shared" si="23"/>
        <v>0</v>
      </c>
      <c r="CE123" s="42"/>
      <c r="EX123" s="13" t="str">
        <f t="shared" si="25"/>
        <v/>
      </c>
    </row>
    <row r="124" spans="1:154" x14ac:dyDescent="0.25">
      <c r="A124" s="362" cm="1">
        <f t="array" aca="1" ref="A124" ca="1">HYPERLINK(CONCATENATE("#",CELL("address",IF(SUM($CA124:$CE124)=0,A124,INDEX($CA124:$CE124,MATCH(1,$CA124:$CE124,0))))),SUM($CA124:$CE124))</f>
        <v>0</v>
      </c>
      <c r="D124" s="10" t="str">
        <f t="shared" si="28"/>
        <v>Custom 25</v>
      </c>
      <c r="H124" s="9"/>
      <c r="S124" s="335"/>
      <c r="AA124" s="203">
        <f t="shared" ref="AA124:BJ124" si="53">IF(SUMIFS($AA37:$BJ37, $AA$3:$BJ$3, AA$3, $AA$4:$BJ$4, 1)=0, 0,(AA37/SUMIFS($AA37:$BJ37, $AA$3:$BJ$3, AA$3, $AA$4:$BJ$4, 1))*AA$4)</f>
        <v>0</v>
      </c>
      <c r="AB124" s="66">
        <f t="shared" si="53"/>
        <v>0</v>
      </c>
      <c r="AC124" s="66">
        <f t="shared" si="53"/>
        <v>0</v>
      </c>
      <c r="AD124" s="66">
        <f t="shared" si="53"/>
        <v>0</v>
      </c>
      <c r="AE124" s="66">
        <f t="shared" si="53"/>
        <v>0</v>
      </c>
      <c r="AF124" s="66">
        <f t="shared" si="53"/>
        <v>0</v>
      </c>
      <c r="AG124" s="66">
        <f t="shared" si="53"/>
        <v>0</v>
      </c>
      <c r="AH124" s="66">
        <f t="shared" si="53"/>
        <v>0</v>
      </c>
      <c r="AI124" s="66">
        <f t="shared" si="53"/>
        <v>0</v>
      </c>
      <c r="AJ124" s="66">
        <f t="shared" si="53"/>
        <v>0</v>
      </c>
      <c r="AK124" s="66">
        <f t="shared" si="53"/>
        <v>0</v>
      </c>
      <c r="AL124" s="66">
        <f t="shared" si="53"/>
        <v>0</v>
      </c>
      <c r="AM124" s="66">
        <f t="shared" si="53"/>
        <v>0</v>
      </c>
      <c r="AN124" s="66">
        <f t="shared" si="53"/>
        <v>0</v>
      </c>
      <c r="AO124" s="66">
        <f t="shared" si="53"/>
        <v>0</v>
      </c>
      <c r="AP124" s="66">
        <f t="shared" si="53"/>
        <v>0</v>
      </c>
      <c r="AQ124" s="66">
        <f t="shared" si="53"/>
        <v>0</v>
      </c>
      <c r="AR124" s="66">
        <f t="shared" si="53"/>
        <v>0</v>
      </c>
      <c r="AS124" s="66">
        <f t="shared" si="53"/>
        <v>0</v>
      </c>
      <c r="AT124" s="66">
        <f t="shared" si="53"/>
        <v>0</v>
      </c>
      <c r="AU124" s="66">
        <f t="shared" si="53"/>
        <v>0</v>
      </c>
      <c r="AV124" s="66">
        <f t="shared" si="53"/>
        <v>0</v>
      </c>
      <c r="AW124" s="66">
        <f t="shared" si="53"/>
        <v>0</v>
      </c>
      <c r="AX124" s="66">
        <f t="shared" si="53"/>
        <v>0</v>
      </c>
      <c r="AY124" s="66">
        <f t="shared" si="53"/>
        <v>0</v>
      </c>
      <c r="AZ124" s="66">
        <f t="shared" si="53"/>
        <v>0</v>
      </c>
      <c r="BA124" s="66">
        <f t="shared" si="53"/>
        <v>0</v>
      </c>
      <c r="BB124" s="66">
        <f t="shared" si="53"/>
        <v>0</v>
      </c>
      <c r="BC124" s="66">
        <f t="shared" si="53"/>
        <v>0</v>
      </c>
      <c r="BD124" s="66">
        <f t="shared" si="53"/>
        <v>0</v>
      </c>
      <c r="BE124" s="66">
        <f t="shared" si="53"/>
        <v>0</v>
      </c>
      <c r="BF124" s="66">
        <f t="shared" si="53"/>
        <v>0</v>
      </c>
      <c r="BG124" s="66">
        <f t="shared" si="53"/>
        <v>0</v>
      </c>
      <c r="BH124" s="66">
        <f t="shared" si="53"/>
        <v>0</v>
      </c>
      <c r="BI124" s="66">
        <f t="shared" si="53"/>
        <v>0</v>
      </c>
      <c r="BJ124" s="66">
        <f t="shared" si="53"/>
        <v>0</v>
      </c>
      <c r="BY124" s="12"/>
      <c r="BZ124" s="363">
        <f t="shared" si="20"/>
        <v>0</v>
      </c>
      <c r="CA124" s="12"/>
      <c r="CB124" s="7">
        <f t="shared" si="21"/>
        <v>0</v>
      </c>
      <c r="CC124" s="7">
        <f t="shared" si="22"/>
        <v>0</v>
      </c>
      <c r="CD124" s="7">
        <f t="shared" si="23"/>
        <v>0</v>
      </c>
      <c r="CE124" s="42"/>
      <c r="EX124" s="13" t="str">
        <f t="shared" si="25"/>
        <v/>
      </c>
    </row>
    <row r="125" spans="1:154" s="335" customFormat="1" x14ac:dyDescent="0.25">
      <c r="A125" s="362" cm="1">
        <f t="array" aca="1" ref="A125" ca="1">HYPERLINK(CONCATENATE("#",CELL("address",IF(SUM($CA125:$CE125)=0,A125,INDEX($CA125:$CE125,MATCH(1,$CA125:$CE125,0))))),SUM($CA125:$CE125))</f>
        <v>0</v>
      </c>
      <c r="D125" s="10" t="str">
        <f t="shared" ref="D125:D179" si="54">D38</f>
        <v>Custom 26</v>
      </c>
      <c r="E125" s="1"/>
      <c r="H125" s="9"/>
      <c r="AA125" s="203">
        <f t="shared" ref="AA125:BJ125" si="55">IF(SUMIFS($AA38:$BJ38, $AA$3:$BJ$3, AA$3, $AA$4:$BJ$4, 1)=0, 0,(AA38/SUMIFS($AA38:$BJ38, $AA$3:$BJ$3, AA$3, $AA$4:$BJ$4, 1))*AA$4)</f>
        <v>0</v>
      </c>
      <c r="AB125" s="66">
        <f t="shared" si="55"/>
        <v>0</v>
      </c>
      <c r="AC125" s="66">
        <f t="shared" si="55"/>
        <v>0</v>
      </c>
      <c r="AD125" s="66">
        <f t="shared" si="55"/>
        <v>0</v>
      </c>
      <c r="AE125" s="66">
        <f t="shared" si="55"/>
        <v>0</v>
      </c>
      <c r="AF125" s="66">
        <f t="shared" si="55"/>
        <v>0</v>
      </c>
      <c r="AG125" s="66">
        <f t="shared" si="55"/>
        <v>0</v>
      </c>
      <c r="AH125" s="66">
        <f t="shared" si="55"/>
        <v>0</v>
      </c>
      <c r="AI125" s="66">
        <f t="shared" si="55"/>
        <v>0</v>
      </c>
      <c r="AJ125" s="66">
        <f t="shared" si="55"/>
        <v>0</v>
      </c>
      <c r="AK125" s="66">
        <f t="shared" si="55"/>
        <v>0</v>
      </c>
      <c r="AL125" s="66">
        <f t="shared" si="55"/>
        <v>0</v>
      </c>
      <c r="AM125" s="66">
        <f t="shared" si="55"/>
        <v>0</v>
      </c>
      <c r="AN125" s="66">
        <f t="shared" si="55"/>
        <v>0</v>
      </c>
      <c r="AO125" s="66">
        <f t="shared" si="55"/>
        <v>0</v>
      </c>
      <c r="AP125" s="66">
        <f t="shared" si="55"/>
        <v>0</v>
      </c>
      <c r="AQ125" s="66">
        <f t="shared" si="55"/>
        <v>0</v>
      </c>
      <c r="AR125" s="66">
        <f t="shared" si="55"/>
        <v>0</v>
      </c>
      <c r="AS125" s="66">
        <f t="shared" si="55"/>
        <v>0</v>
      </c>
      <c r="AT125" s="66">
        <f t="shared" si="55"/>
        <v>0</v>
      </c>
      <c r="AU125" s="66">
        <f t="shared" si="55"/>
        <v>0</v>
      </c>
      <c r="AV125" s="66">
        <f t="shared" si="55"/>
        <v>0</v>
      </c>
      <c r="AW125" s="66">
        <f t="shared" si="55"/>
        <v>0</v>
      </c>
      <c r="AX125" s="66">
        <f t="shared" si="55"/>
        <v>0</v>
      </c>
      <c r="AY125" s="66">
        <f t="shared" si="55"/>
        <v>0</v>
      </c>
      <c r="AZ125" s="66">
        <f t="shared" si="55"/>
        <v>0</v>
      </c>
      <c r="BA125" s="66">
        <f t="shared" si="55"/>
        <v>0</v>
      </c>
      <c r="BB125" s="66">
        <f t="shared" si="55"/>
        <v>0</v>
      </c>
      <c r="BC125" s="66">
        <f t="shared" si="55"/>
        <v>0</v>
      </c>
      <c r="BD125" s="66">
        <f t="shared" si="55"/>
        <v>0</v>
      </c>
      <c r="BE125" s="66">
        <f t="shared" si="55"/>
        <v>0</v>
      </c>
      <c r="BF125" s="66">
        <f t="shared" si="55"/>
        <v>0</v>
      </c>
      <c r="BG125" s="66">
        <f t="shared" si="55"/>
        <v>0</v>
      </c>
      <c r="BH125" s="66">
        <f t="shared" si="55"/>
        <v>0</v>
      </c>
      <c r="BI125" s="66">
        <f t="shared" si="55"/>
        <v>0</v>
      </c>
      <c r="BJ125" s="66">
        <f t="shared" si="55"/>
        <v>0</v>
      </c>
      <c r="BY125" s="12"/>
      <c r="BZ125" s="363">
        <f t="shared" si="20"/>
        <v>0</v>
      </c>
      <c r="CA125" s="12"/>
      <c r="CB125" s="7">
        <f t="shared" ref="CB125" si="56">IF(OR(SUM(AA125:AL125)=1, SUM(AA125:AL125)=0), 0, 1)</f>
        <v>0</v>
      </c>
      <c r="CC125" s="7">
        <f t="shared" ref="CC125" si="57">IF(OR(SUM(AM125:AX125)=1, SUM(AM125:AX125)=0), 0, 1)</f>
        <v>0</v>
      </c>
      <c r="CD125" s="7">
        <f t="shared" ref="CD125" si="58">IF(OR(SUM(AY125:BJ125)=1, SUM(AY125:BJ125)=0), 0, 1)</f>
        <v>0</v>
      </c>
      <c r="CE125" s="42"/>
      <c r="EX125" s="10" t="str">
        <f t="shared" si="0"/>
        <v/>
      </c>
    </row>
    <row r="126" spans="1:154" s="335" customFormat="1" x14ac:dyDescent="0.25">
      <c r="A126" s="362" cm="1">
        <f t="array" aca="1" ref="A126" ca="1">HYPERLINK(CONCATENATE("#",CELL("address",IF(SUM($CA126:$CE126)=0,A126,INDEX($CA126:$CE126,MATCH(1,$CA126:$CE126,0))))),SUM($CA126:$CE126))</f>
        <v>0</v>
      </c>
      <c r="D126" s="10" t="str">
        <f t="shared" si="54"/>
        <v>Custom 27</v>
      </c>
      <c r="E126" s="1"/>
      <c r="H126" s="9"/>
      <c r="AA126" s="203">
        <f t="shared" ref="AA126:BJ126" si="59">IF(SUMIFS($AA39:$BJ39, $AA$3:$BJ$3, AA$3, $AA$4:$BJ$4, 1)=0, 0,(AA39/SUMIFS($AA39:$BJ39, $AA$3:$BJ$3, AA$3, $AA$4:$BJ$4, 1))*AA$4)</f>
        <v>0</v>
      </c>
      <c r="AB126" s="66">
        <f t="shared" si="59"/>
        <v>0</v>
      </c>
      <c r="AC126" s="66">
        <f t="shared" si="59"/>
        <v>0</v>
      </c>
      <c r="AD126" s="66">
        <f t="shared" si="59"/>
        <v>0</v>
      </c>
      <c r="AE126" s="66">
        <f t="shared" si="59"/>
        <v>0</v>
      </c>
      <c r="AF126" s="66">
        <f t="shared" si="59"/>
        <v>0</v>
      </c>
      <c r="AG126" s="66">
        <f t="shared" si="59"/>
        <v>0</v>
      </c>
      <c r="AH126" s="66">
        <f t="shared" si="59"/>
        <v>0</v>
      </c>
      <c r="AI126" s="66">
        <f t="shared" si="59"/>
        <v>0</v>
      </c>
      <c r="AJ126" s="66">
        <f t="shared" si="59"/>
        <v>0</v>
      </c>
      <c r="AK126" s="66">
        <f t="shared" si="59"/>
        <v>0</v>
      </c>
      <c r="AL126" s="66">
        <f t="shared" si="59"/>
        <v>0</v>
      </c>
      <c r="AM126" s="66">
        <f t="shared" si="59"/>
        <v>0</v>
      </c>
      <c r="AN126" s="66">
        <f t="shared" si="59"/>
        <v>0</v>
      </c>
      <c r="AO126" s="66">
        <f t="shared" si="59"/>
        <v>0</v>
      </c>
      <c r="AP126" s="66">
        <f t="shared" si="59"/>
        <v>0</v>
      </c>
      <c r="AQ126" s="66">
        <f t="shared" si="59"/>
        <v>0</v>
      </c>
      <c r="AR126" s="66">
        <f t="shared" si="59"/>
        <v>0</v>
      </c>
      <c r="AS126" s="66">
        <f t="shared" si="59"/>
        <v>0</v>
      </c>
      <c r="AT126" s="66">
        <f t="shared" si="59"/>
        <v>0</v>
      </c>
      <c r="AU126" s="66">
        <f t="shared" si="59"/>
        <v>0</v>
      </c>
      <c r="AV126" s="66">
        <f t="shared" si="59"/>
        <v>0</v>
      </c>
      <c r="AW126" s="66">
        <f t="shared" si="59"/>
        <v>0</v>
      </c>
      <c r="AX126" s="66">
        <f t="shared" si="59"/>
        <v>0</v>
      </c>
      <c r="AY126" s="66">
        <f t="shared" si="59"/>
        <v>0</v>
      </c>
      <c r="AZ126" s="66">
        <f t="shared" si="59"/>
        <v>0</v>
      </c>
      <c r="BA126" s="66">
        <f t="shared" si="59"/>
        <v>0</v>
      </c>
      <c r="BB126" s="66">
        <f t="shared" si="59"/>
        <v>0</v>
      </c>
      <c r="BC126" s="66">
        <f t="shared" si="59"/>
        <v>0</v>
      </c>
      <c r="BD126" s="66">
        <f t="shared" si="59"/>
        <v>0</v>
      </c>
      <c r="BE126" s="66">
        <f t="shared" si="59"/>
        <v>0</v>
      </c>
      <c r="BF126" s="66">
        <f t="shared" si="59"/>
        <v>0</v>
      </c>
      <c r="BG126" s="66">
        <f t="shared" si="59"/>
        <v>0</v>
      </c>
      <c r="BH126" s="66">
        <f t="shared" si="59"/>
        <v>0</v>
      </c>
      <c r="BI126" s="66">
        <f t="shared" si="59"/>
        <v>0</v>
      </c>
      <c r="BJ126" s="66">
        <f t="shared" si="59"/>
        <v>0</v>
      </c>
      <c r="BY126" s="12"/>
      <c r="BZ126" s="363">
        <f t="shared" si="20"/>
        <v>0</v>
      </c>
      <c r="CA126" s="12"/>
      <c r="CB126" s="7">
        <f t="shared" ref="CB126:CB127" si="60">IF(OR(SUM(AA126:AL126)=1, SUM(AA126:AL126)=0), 0, 1)</f>
        <v>0</v>
      </c>
      <c r="CC126" s="7">
        <f t="shared" ref="CC126:CC127" si="61">IF(OR(SUM(AM126:AX126)=1, SUM(AM126:AX126)=0), 0, 1)</f>
        <v>0</v>
      </c>
      <c r="CD126" s="7">
        <f t="shared" ref="CD126:CD127" si="62">IF(OR(SUM(AY126:BJ126)=1, SUM(AY126:BJ126)=0), 0, 1)</f>
        <v>0</v>
      </c>
      <c r="CE126" s="42"/>
      <c r="EX126" s="10" t="str">
        <f t="shared" si="0"/>
        <v/>
      </c>
    </row>
    <row r="127" spans="1:154" s="335" customFormat="1" x14ac:dyDescent="0.25">
      <c r="A127" s="362" cm="1">
        <f t="array" aca="1" ref="A127" ca="1">HYPERLINK(CONCATENATE("#",CELL("address",IF(SUM($CA127:$CE127)=0,A127,INDEX($CA127:$CE127,MATCH(1,$CA127:$CE127,0))))),SUM($CA127:$CE127))</f>
        <v>0</v>
      </c>
      <c r="D127" s="10" t="str">
        <f t="shared" si="54"/>
        <v>Custom 28</v>
      </c>
      <c r="E127" s="1"/>
      <c r="H127" s="9"/>
      <c r="AA127" s="203">
        <f t="shared" ref="AA127:BJ127" si="63">IF(SUMIFS($AA40:$BJ40, $AA$3:$BJ$3, AA$3, $AA$4:$BJ$4, 1)=0, 0,(AA40/SUMIFS($AA40:$BJ40, $AA$3:$BJ$3, AA$3, $AA$4:$BJ$4, 1))*AA$4)</f>
        <v>0</v>
      </c>
      <c r="AB127" s="66">
        <f t="shared" si="63"/>
        <v>0</v>
      </c>
      <c r="AC127" s="66">
        <f t="shared" si="63"/>
        <v>0</v>
      </c>
      <c r="AD127" s="66">
        <f t="shared" si="63"/>
        <v>0</v>
      </c>
      <c r="AE127" s="66">
        <f t="shared" si="63"/>
        <v>0</v>
      </c>
      <c r="AF127" s="66">
        <f t="shared" si="63"/>
        <v>0</v>
      </c>
      <c r="AG127" s="66">
        <f t="shared" si="63"/>
        <v>0</v>
      </c>
      <c r="AH127" s="66">
        <f t="shared" si="63"/>
        <v>0</v>
      </c>
      <c r="AI127" s="66">
        <f t="shared" si="63"/>
        <v>0</v>
      </c>
      <c r="AJ127" s="66">
        <f t="shared" si="63"/>
        <v>0</v>
      </c>
      <c r="AK127" s="66">
        <f t="shared" si="63"/>
        <v>0</v>
      </c>
      <c r="AL127" s="66">
        <f t="shared" si="63"/>
        <v>0</v>
      </c>
      <c r="AM127" s="66">
        <f t="shared" si="63"/>
        <v>0</v>
      </c>
      <c r="AN127" s="66">
        <f t="shared" si="63"/>
        <v>0</v>
      </c>
      <c r="AO127" s="66">
        <f t="shared" si="63"/>
        <v>0</v>
      </c>
      <c r="AP127" s="66">
        <f t="shared" si="63"/>
        <v>0</v>
      </c>
      <c r="AQ127" s="66">
        <f t="shared" si="63"/>
        <v>0</v>
      </c>
      <c r="AR127" s="66">
        <f t="shared" si="63"/>
        <v>0</v>
      </c>
      <c r="AS127" s="66">
        <f t="shared" si="63"/>
        <v>0</v>
      </c>
      <c r="AT127" s="66">
        <f t="shared" si="63"/>
        <v>0</v>
      </c>
      <c r="AU127" s="66">
        <f t="shared" si="63"/>
        <v>0</v>
      </c>
      <c r="AV127" s="66">
        <f t="shared" si="63"/>
        <v>0</v>
      </c>
      <c r="AW127" s="66">
        <f t="shared" si="63"/>
        <v>0</v>
      </c>
      <c r="AX127" s="66">
        <f t="shared" si="63"/>
        <v>0</v>
      </c>
      <c r="AY127" s="66">
        <f t="shared" si="63"/>
        <v>0</v>
      </c>
      <c r="AZ127" s="66">
        <f t="shared" si="63"/>
        <v>0</v>
      </c>
      <c r="BA127" s="66">
        <f t="shared" si="63"/>
        <v>0</v>
      </c>
      <c r="BB127" s="66">
        <f t="shared" si="63"/>
        <v>0</v>
      </c>
      <c r="BC127" s="66">
        <f t="shared" si="63"/>
        <v>0</v>
      </c>
      <c r="BD127" s="66">
        <f t="shared" si="63"/>
        <v>0</v>
      </c>
      <c r="BE127" s="66">
        <f t="shared" si="63"/>
        <v>0</v>
      </c>
      <c r="BF127" s="66">
        <f t="shared" si="63"/>
        <v>0</v>
      </c>
      <c r="BG127" s="66">
        <f t="shared" si="63"/>
        <v>0</v>
      </c>
      <c r="BH127" s="66">
        <f t="shared" si="63"/>
        <v>0</v>
      </c>
      <c r="BI127" s="66">
        <f t="shared" si="63"/>
        <v>0</v>
      </c>
      <c r="BJ127" s="66">
        <f t="shared" si="63"/>
        <v>0</v>
      </c>
      <c r="BY127" s="12"/>
      <c r="BZ127" s="363">
        <f t="shared" si="20"/>
        <v>0</v>
      </c>
      <c r="CA127" s="12"/>
      <c r="CB127" s="7">
        <f t="shared" si="60"/>
        <v>0</v>
      </c>
      <c r="CC127" s="7">
        <f t="shared" si="61"/>
        <v>0</v>
      </c>
      <c r="CD127" s="7">
        <f t="shared" si="62"/>
        <v>0</v>
      </c>
      <c r="CE127" s="42"/>
      <c r="EX127" s="10" t="str">
        <f t="shared" si="0"/>
        <v/>
      </c>
    </row>
    <row r="128" spans="1:154" s="335" customFormat="1" x14ac:dyDescent="0.25">
      <c r="A128" s="362" cm="1">
        <f t="array" aca="1" ref="A128" ca="1">HYPERLINK(CONCATENATE("#",CELL("address",IF(SUM($CA128:$CE128)=0,A128,INDEX($CA128:$CE128,MATCH(1,$CA128:$CE128,0))))),SUM($CA128:$CE128))</f>
        <v>0</v>
      </c>
      <c r="D128" s="10" t="str">
        <f t="shared" si="54"/>
        <v>Custom 29</v>
      </c>
      <c r="E128" s="1"/>
      <c r="H128" s="9"/>
      <c r="AA128" s="203">
        <f t="shared" ref="AA128:BJ128" si="64">IF(SUMIFS($AA41:$BJ41, $AA$3:$BJ$3, AA$3, $AA$4:$BJ$4, 1)=0, 0,(AA41/SUMIFS($AA41:$BJ41, $AA$3:$BJ$3, AA$3, $AA$4:$BJ$4, 1))*AA$4)</f>
        <v>0</v>
      </c>
      <c r="AB128" s="66">
        <f t="shared" si="64"/>
        <v>0</v>
      </c>
      <c r="AC128" s="66">
        <f t="shared" si="64"/>
        <v>0</v>
      </c>
      <c r="AD128" s="66">
        <f t="shared" si="64"/>
        <v>0</v>
      </c>
      <c r="AE128" s="66">
        <f t="shared" si="64"/>
        <v>0</v>
      </c>
      <c r="AF128" s="66">
        <f t="shared" si="64"/>
        <v>0</v>
      </c>
      <c r="AG128" s="66">
        <f t="shared" si="64"/>
        <v>0</v>
      </c>
      <c r="AH128" s="66">
        <f t="shared" si="64"/>
        <v>0</v>
      </c>
      <c r="AI128" s="66">
        <f t="shared" si="64"/>
        <v>0</v>
      </c>
      <c r="AJ128" s="66">
        <f t="shared" si="64"/>
        <v>0</v>
      </c>
      <c r="AK128" s="66">
        <f t="shared" si="64"/>
        <v>0</v>
      </c>
      <c r="AL128" s="66">
        <f t="shared" si="64"/>
        <v>0</v>
      </c>
      <c r="AM128" s="66">
        <f t="shared" si="64"/>
        <v>0</v>
      </c>
      <c r="AN128" s="66">
        <f t="shared" si="64"/>
        <v>0</v>
      </c>
      <c r="AO128" s="66">
        <f t="shared" si="64"/>
        <v>0</v>
      </c>
      <c r="AP128" s="66">
        <f t="shared" si="64"/>
        <v>0</v>
      </c>
      <c r="AQ128" s="66">
        <f t="shared" si="64"/>
        <v>0</v>
      </c>
      <c r="AR128" s="66">
        <f t="shared" si="64"/>
        <v>0</v>
      </c>
      <c r="AS128" s="66">
        <f t="shared" si="64"/>
        <v>0</v>
      </c>
      <c r="AT128" s="66">
        <f t="shared" si="64"/>
        <v>0</v>
      </c>
      <c r="AU128" s="66">
        <f t="shared" si="64"/>
        <v>0</v>
      </c>
      <c r="AV128" s="66">
        <f t="shared" si="64"/>
        <v>0</v>
      </c>
      <c r="AW128" s="66">
        <f t="shared" si="64"/>
        <v>0</v>
      </c>
      <c r="AX128" s="66">
        <f t="shared" si="64"/>
        <v>0</v>
      </c>
      <c r="AY128" s="66">
        <f t="shared" si="64"/>
        <v>0</v>
      </c>
      <c r="AZ128" s="66">
        <f t="shared" si="64"/>
        <v>0</v>
      </c>
      <c r="BA128" s="66">
        <f t="shared" si="64"/>
        <v>0</v>
      </c>
      <c r="BB128" s="66">
        <f t="shared" si="64"/>
        <v>0</v>
      </c>
      <c r="BC128" s="66">
        <f t="shared" si="64"/>
        <v>0</v>
      </c>
      <c r="BD128" s="66">
        <f t="shared" si="64"/>
        <v>0</v>
      </c>
      <c r="BE128" s="66">
        <f t="shared" si="64"/>
        <v>0</v>
      </c>
      <c r="BF128" s="66">
        <f t="shared" si="64"/>
        <v>0</v>
      </c>
      <c r="BG128" s="66">
        <f t="shared" si="64"/>
        <v>0</v>
      </c>
      <c r="BH128" s="66">
        <f t="shared" si="64"/>
        <v>0</v>
      </c>
      <c r="BI128" s="66">
        <f t="shared" si="64"/>
        <v>0</v>
      </c>
      <c r="BJ128" s="66">
        <f t="shared" si="64"/>
        <v>0</v>
      </c>
      <c r="BY128" s="12"/>
      <c r="BZ128" s="363">
        <f t="shared" ref="BZ128:BZ159" si="65">IF(MIN($AA128:$BJ128)&lt;0, 1, 0)</f>
        <v>0</v>
      </c>
      <c r="CA128" s="12"/>
      <c r="CB128" s="7">
        <f t="shared" ref="CB128:CB131" si="66">IF(OR(SUM(AA128:AL128)=1, SUM(AA128:AL128)=0), 0, 1)</f>
        <v>0</v>
      </c>
      <c r="CC128" s="7">
        <f t="shared" ref="CC128:CC131" si="67">IF(OR(SUM(AM128:AX128)=1, SUM(AM128:AX128)=0), 0, 1)</f>
        <v>0</v>
      </c>
      <c r="CD128" s="7">
        <f t="shared" ref="CD128:CD131" si="68">IF(OR(SUM(AY128:BJ128)=1, SUM(AY128:BJ128)=0), 0, 1)</f>
        <v>0</v>
      </c>
      <c r="CE128" s="42"/>
      <c r="EX128" s="10" t="str">
        <f t="shared" si="0"/>
        <v/>
      </c>
    </row>
    <row r="129" spans="1:154" s="335" customFormat="1" x14ac:dyDescent="0.25">
      <c r="A129" s="362" cm="1">
        <f t="array" aca="1" ref="A129" ca="1">HYPERLINK(CONCATENATE("#",CELL("address",IF(SUM($CA129:$CE129)=0,A129,INDEX($CA129:$CE129,MATCH(1,$CA129:$CE129,0))))),SUM($CA129:$CE129))</f>
        <v>0</v>
      </c>
      <c r="D129" s="10" t="str">
        <f t="shared" si="54"/>
        <v>Custom 30</v>
      </c>
      <c r="E129" s="1"/>
      <c r="H129" s="9"/>
      <c r="AA129" s="203">
        <f t="shared" ref="AA129:BJ129" si="69">IF(SUMIFS($AA42:$BJ42, $AA$3:$BJ$3, AA$3, $AA$4:$BJ$4, 1)=0, 0,(AA42/SUMIFS($AA42:$BJ42, $AA$3:$BJ$3, AA$3, $AA$4:$BJ$4, 1))*AA$4)</f>
        <v>0</v>
      </c>
      <c r="AB129" s="66">
        <f t="shared" si="69"/>
        <v>0</v>
      </c>
      <c r="AC129" s="66">
        <f t="shared" si="69"/>
        <v>0</v>
      </c>
      <c r="AD129" s="66">
        <f t="shared" si="69"/>
        <v>0</v>
      </c>
      <c r="AE129" s="66">
        <f t="shared" si="69"/>
        <v>0</v>
      </c>
      <c r="AF129" s="66">
        <f t="shared" si="69"/>
        <v>0</v>
      </c>
      <c r="AG129" s="66">
        <f t="shared" si="69"/>
        <v>0</v>
      </c>
      <c r="AH129" s="66">
        <f t="shared" si="69"/>
        <v>0</v>
      </c>
      <c r="AI129" s="66">
        <f t="shared" si="69"/>
        <v>0</v>
      </c>
      <c r="AJ129" s="66">
        <f t="shared" si="69"/>
        <v>0</v>
      </c>
      <c r="AK129" s="66">
        <f t="shared" si="69"/>
        <v>0</v>
      </c>
      <c r="AL129" s="66">
        <f t="shared" si="69"/>
        <v>0</v>
      </c>
      <c r="AM129" s="66">
        <f t="shared" si="69"/>
        <v>0</v>
      </c>
      <c r="AN129" s="66">
        <f t="shared" si="69"/>
        <v>0</v>
      </c>
      <c r="AO129" s="66">
        <f t="shared" si="69"/>
        <v>0</v>
      </c>
      <c r="AP129" s="66">
        <f t="shared" si="69"/>
        <v>0</v>
      </c>
      <c r="AQ129" s="66">
        <f t="shared" si="69"/>
        <v>0</v>
      </c>
      <c r="AR129" s="66">
        <f t="shared" si="69"/>
        <v>0</v>
      </c>
      <c r="AS129" s="66">
        <f t="shared" si="69"/>
        <v>0</v>
      </c>
      <c r="AT129" s="66">
        <f t="shared" si="69"/>
        <v>0</v>
      </c>
      <c r="AU129" s="66">
        <f t="shared" si="69"/>
        <v>0</v>
      </c>
      <c r="AV129" s="66">
        <f t="shared" si="69"/>
        <v>0</v>
      </c>
      <c r="AW129" s="66">
        <f t="shared" si="69"/>
        <v>0</v>
      </c>
      <c r="AX129" s="66">
        <f t="shared" si="69"/>
        <v>0</v>
      </c>
      <c r="AY129" s="66">
        <f t="shared" si="69"/>
        <v>0</v>
      </c>
      <c r="AZ129" s="66">
        <f t="shared" si="69"/>
        <v>0</v>
      </c>
      <c r="BA129" s="66">
        <f t="shared" si="69"/>
        <v>0</v>
      </c>
      <c r="BB129" s="66">
        <f t="shared" si="69"/>
        <v>0</v>
      </c>
      <c r="BC129" s="66">
        <f t="shared" si="69"/>
        <v>0</v>
      </c>
      <c r="BD129" s="66">
        <f t="shared" si="69"/>
        <v>0</v>
      </c>
      <c r="BE129" s="66">
        <f t="shared" si="69"/>
        <v>0</v>
      </c>
      <c r="BF129" s="66">
        <f t="shared" si="69"/>
        <v>0</v>
      </c>
      <c r="BG129" s="66">
        <f t="shared" si="69"/>
        <v>0</v>
      </c>
      <c r="BH129" s="66">
        <f t="shared" si="69"/>
        <v>0</v>
      </c>
      <c r="BI129" s="66">
        <f t="shared" si="69"/>
        <v>0</v>
      </c>
      <c r="BJ129" s="66">
        <f t="shared" si="69"/>
        <v>0</v>
      </c>
      <c r="BY129" s="12"/>
      <c r="BZ129" s="363">
        <f t="shared" si="65"/>
        <v>0</v>
      </c>
      <c r="CA129" s="12"/>
      <c r="CB129" s="7">
        <f t="shared" si="66"/>
        <v>0</v>
      </c>
      <c r="CC129" s="7">
        <f t="shared" si="67"/>
        <v>0</v>
      </c>
      <c r="CD129" s="7">
        <f t="shared" si="68"/>
        <v>0</v>
      </c>
      <c r="CE129" s="42"/>
      <c r="EX129" s="10" t="str">
        <f t="shared" si="0"/>
        <v/>
      </c>
    </row>
    <row r="130" spans="1:154" s="335" customFormat="1" x14ac:dyDescent="0.25">
      <c r="A130" s="362" cm="1">
        <f t="array" aca="1" ref="A130" ca="1">HYPERLINK(CONCATENATE("#",CELL("address",IF(SUM($CA130:$CE130)=0,A130,INDEX($CA130:$CE130,MATCH(1,$CA130:$CE130,0))))),SUM($CA130:$CE130))</f>
        <v>0</v>
      </c>
      <c r="D130" s="10" t="str">
        <f t="shared" si="54"/>
        <v>Custom 31</v>
      </c>
      <c r="E130" s="1"/>
      <c r="H130" s="9"/>
      <c r="AA130" s="203">
        <f t="shared" ref="AA130:BJ130" si="70">IF(SUMIFS($AA43:$BJ43, $AA$3:$BJ$3, AA$3, $AA$4:$BJ$4, 1)=0, 0,(AA43/SUMIFS($AA43:$BJ43, $AA$3:$BJ$3, AA$3, $AA$4:$BJ$4, 1))*AA$4)</f>
        <v>0</v>
      </c>
      <c r="AB130" s="66">
        <f t="shared" si="70"/>
        <v>0</v>
      </c>
      <c r="AC130" s="66">
        <f t="shared" si="70"/>
        <v>0</v>
      </c>
      <c r="AD130" s="66">
        <f t="shared" si="70"/>
        <v>0</v>
      </c>
      <c r="AE130" s="66">
        <f t="shared" si="70"/>
        <v>0</v>
      </c>
      <c r="AF130" s="66">
        <f t="shared" si="70"/>
        <v>0</v>
      </c>
      <c r="AG130" s="66">
        <f t="shared" si="70"/>
        <v>0</v>
      </c>
      <c r="AH130" s="66">
        <f t="shared" si="70"/>
        <v>0</v>
      </c>
      <c r="AI130" s="66">
        <f t="shared" si="70"/>
        <v>0</v>
      </c>
      <c r="AJ130" s="66">
        <f t="shared" si="70"/>
        <v>0</v>
      </c>
      <c r="AK130" s="66">
        <f t="shared" si="70"/>
        <v>0</v>
      </c>
      <c r="AL130" s="66">
        <f t="shared" si="70"/>
        <v>0</v>
      </c>
      <c r="AM130" s="66">
        <f t="shared" si="70"/>
        <v>0</v>
      </c>
      <c r="AN130" s="66">
        <f t="shared" si="70"/>
        <v>0</v>
      </c>
      <c r="AO130" s="66">
        <f t="shared" si="70"/>
        <v>0</v>
      </c>
      <c r="AP130" s="66">
        <f t="shared" si="70"/>
        <v>0</v>
      </c>
      <c r="AQ130" s="66">
        <f t="shared" si="70"/>
        <v>0</v>
      </c>
      <c r="AR130" s="66">
        <f t="shared" si="70"/>
        <v>0</v>
      </c>
      <c r="AS130" s="66">
        <f t="shared" si="70"/>
        <v>0</v>
      </c>
      <c r="AT130" s="66">
        <f t="shared" si="70"/>
        <v>0</v>
      </c>
      <c r="AU130" s="66">
        <f t="shared" si="70"/>
        <v>0</v>
      </c>
      <c r="AV130" s="66">
        <f t="shared" si="70"/>
        <v>0</v>
      </c>
      <c r="AW130" s="66">
        <f t="shared" si="70"/>
        <v>0</v>
      </c>
      <c r="AX130" s="66">
        <f t="shared" si="70"/>
        <v>0</v>
      </c>
      <c r="AY130" s="66">
        <f t="shared" si="70"/>
        <v>0</v>
      </c>
      <c r="AZ130" s="66">
        <f t="shared" si="70"/>
        <v>0</v>
      </c>
      <c r="BA130" s="66">
        <f t="shared" si="70"/>
        <v>0</v>
      </c>
      <c r="BB130" s="66">
        <f t="shared" si="70"/>
        <v>0</v>
      </c>
      <c r="BC130" s="66">
        <f t="shared" si="70"/>
        <v>0</v>
      </c>
      <c r="BD130" s="66">
        <f t="shared" si="70"/>
        <v>0</v>
      </c>
      <c r="BE130" s="66">
        <f t="shared" si="70"/>
        <v>0</v>
      </c>
      <c r="BF130" s="66">
        <f t="shared" si="70"/>
        <v>0</v>
      </c>
      <c r="BG130" s="66">
        <f t="shared" si="70"/>
        <v>0</v>
      </c>
      <c r="BH130" s="66">
        <f t="shared" si="70"/>
        <v>0</v>
      </c>
      <c r="BI130" s="66">
        <f t="shared" si="70"/>
        <v>0</v>
      </c>
      <c r="BJ130" s="66">
        <f t="shared" si="70"/>
        <v>0</v>
      </c>
      <c r="BY130" s="12"/>
      <c r="BZ130" s="363">
        <f t="shared" si="65"/>
        <v>0</v>
      </c>
      <c r="CA130" s="12"/>
      <c r="CB130" s="7">
        <f t="shared" si="66"/>
        <v>0</v>
      </c>
      <c r="CC130" s="7">
        <f t="shared" si="67"/>
        <v>0</v>
      </c>
      <c r="CD130" s="7">
        <f t="shared" si="68"/>
        <v>0</v>
      </c>
      <c r="CE130" s="42"/>
      <c r="EX130" s="10" t="str">
        <f t="shared" si="0"/>
        <v/>
      </c>
    </row>
    <row r="131" spans="1:154" s="335" customFormat="1" x14ac:dyDescent="0.25">
      <c r="A131" s="362" cm="1">
        <f t="array" aca="1" ref="A131" ca="1">HYPERLINK(CONCATENATE("#",CELL("address",IF(SUM($CA131:$CE131)=0,A131,INDEX($CA131:$CE131,MATCH(1,$CA131:$CE131,0))))),SUM($CA131:$CE131))</f>
        <v>0</v>
      </c>
      <c r="D131" s="10" t="str">
        <f t="shared" si="54"/>
        <v>Custom 32</v>
      </c>
      <c r="E131" s="1"/>
      <c r="H131" s="9"/>
      <c r="AA131" s="203">
        <f t="shared" ref="AA131:BJ131" si="71">IF(SUMIFS($AA44:$BJ44, $AA$3:$BJ$3, AA$3, $AA$4:$BJ$4, 1)=0, 0,(AA44/SUMIFS($AA44:$BJ44, $AA$3:$BJ$3, AA$3, $AA$4:$BJ$4, 1))*AA$4)</f>
        <v>0</v>
      </c>
      <c r="AB131" s="66">
        <f t="shared" si="71"/>
        <v>0</v>
      </c>
      <c r="AC131" s="66">
        <f t="shared" si="71"/>
        <v>0</v>
      </c>
      <c r="AD131" s="66">
        <f t="shared" si="71"/>
        <v>0</v>
      </c>
      <c r="AE131" s="66">
        <f t="shared" si="71"/>
        <v>0</v>
      </c>
      <c r="AF131" s="66">
        <f t="shared" si="71"/>
        <v>0</v>
      </c>
      <c r="AG131" s="66">
        <f t="shared" si="71"/>
        <v>0</v>
      </c>
      <c r="AH131" s="66">
        <f t="shared" si="71"/>
        <v>0</v>
      </c>
      <c r="AI131" s="66">
        <f t="shared" si="71"/>
        <v>0</v>
      </c>
      <c r="AJ131" s="66">
        <f t="shared" si="71"/>
        <v>0</v>
      </c>
      <c r="AK131" s="66">
        <f t="shared" si="71"/>
        <v>0</v>
      </c>
      <c r="AL131" s="66">
        <f t="shared" si="71"/>
        <v>0</v>
      </c>
      <c r="AM131" s="66">
        <f t="shared" si="71"/>
        <v>0</v>
      </c>
      <c r="AN131" s="66">
        <f t="shared" si="71"/>
        <v>0</v>
      </c>
      <c r="AO131" s="66">
        <f t="shared" si="71"/>
        <v>0</v>
      </c>
      <c r="AP131" s="66">
        <f t="shared" si="71"/>
        <v>0</v>
      </c>
      <c r="AQ131" s="66">
        <f t="shared" si="71"/>
        <v>0</v>
      </c>
      <c r="AR131" s="66">
        <f t="shared" si="71"/>
        <v>0</v>
      </c>
      <c r="AS131" s="66">
        <f t="shared" si="71"/>
        <v>0</v>
      </c>
      <c r="AT131" s="66">
        <f t="shared" si="71"/>
        <v>0</v>
      </c>
      <c r="AU131" s="66">
        <f t="shared" si="71"/>
        <v>0</v>
      </c>
      <c r="AV131" s="66">
        <f t="shared" si="71"/>
        <v>0</v>
      </c>
      <c r="AW131" s="66">
        <f t="shared" si="71"/>
        <v>0</v>
      </c>
      <c r="AX131" s="66">
        <f t="shared" si="71"/>
        <v>0</v>
      </c>
      <c r="AY131" s="66">
        <f t="shared" si="71"/>
        <v>0</v>
      </c>
      <c r="AZ131" s="66">
        <f t="shared" si="71"/>
        <v>0</v>
      </c>
      <c r="BA131" s="66">
        <f t="shared" si="71"/>
        <v>0</v>
      </c>
      <c r="BB131" s="66">
        <f t="shared" si="71"/>
        <v>0</v>
      </c>
      <c r="BC131" s="66">
        <f t="shared" si="71"/>
        <v>0</v>
      </c>
      <c r="BD131" s="66">
        <f t="shared" si="71"/>
        <v>0</v>
      </c>
      <c r="BE131" s="66">
        <f t="shared" si="71"/>
        <v>0</v>
      </c>
      <c r="BF131" s="66">
        <f t="shared" si="71"/>
        <v>0</v>
      </c>
      <c r="BG131" s="66">
        <f t="shared" si="71"/>
        <v>0</v>
      </c>
      <c r="BH131" s="66">
        <f t="shared" si="71"/>
        <v>0</v>
      </c>
      <c r="BI131" s="66">
        <f t="shared" si="71"/>
        <v>0</v>
      </c>
      <c r="BJ131" s="66">
        <f t="shared" si="71"/>
        <v>0</v>
      </c>
      <c r="BY131" s="12"/>
      <c r="BZ131" s="363">
        <f t="shared" si="65"/>
        <v>0</v>
      </c>
      <c r="CA131" s="12"/>
      <c r="CB131" s="7">
        <f t="shared" si="66"/>
        <v>0</v>
      </c>
      <c r="CC131" s="7">
        <f t="shared" si="67"/>
        <v>0</v>
      </c>
      <c r="CD131" s="7">
        <f t="shared" si="68"/>
        <v>0</v>
      </c>
      <c r="CE131" s="42"/>
      <c r="EX131" s="10" t="str">
        <f t="shared" si="0"/>
        <v/>
      </c>
    </row>
    <row r="132" spans="1:154" s="335" customFormat="1" x14ac:dyDescent="0.25">
      <c r="A132" s="362" cm="1">
        <f t="array" aca="1" ref="A132" ca="1">HYPERLINK(CONCATENATE("#",CELL("address",IF(SUM($CA132:$CE132)=0,A132,INDEX($CA132:$CE132,MATCH(1,$CA132:$CE132,0))))),SUM($CA132:$CE132))</f>
        <v>0</v>
      </c>
      <c r="D132" s="10" t="str">
        <f t="shared" si="54"/>
        <v>Custom 33</v>
      </c>
      <c r="E132" s="1"/>
      <c r="H132" s="9"/>
      <c r="AA132" s="203">
        <f t="shared" ref="AA132:BJ132" si="72">IF(SUMIFS($AA45:$BJ45, $AA$3:$BJ$3, AA$3, $AA$4:$BJ$4, 1)=0, 0,(AA45/SUMIFS($AA45:$BJ45, $AA$3:$BJ$3, AA$3, $AA$4:$BJ$4, 1))*AA$4)</f>
        <v>0</v>
      </c>
      <c r="AB132" s="66">
        <f t="shared" si="72"/>
        <v>0</v>
      </c>
      <c r="AC132" s="66">
        <f t="shared" si="72"/>
        <v>0</v>
      </c>
      <c r="AD132" s="66">
        <f t="shared" si="72"/>
        <v>0</v>
      </c>
      <c r="AE132" s="66">
        <f t="shared" si="72"/>
        <v>0</v>
      </c>
      <c r="AF132" s="66">
        <f t="shared" si="72"/>
        <v>0</v>
      </c>
      <c r="AG132" s="66">
        <f t="shared" si="72"/>
        <v>0</v>
      </c>
      <c r="AH132" s="66">
        <f t="shared" si="72"/>
        <v>0</v>
      </c>
      <c r="AI132" s="66">
        <f t="shared" si="72"/>
        <v>0</v>
      </c>
      <c r="AJ132" s="66">
        <f t="shared" si="72"/>
        <v>0</v>
      </c>
      <c r="AK132" s="66">
        <f t="shared" si="72"/>
        <v>0</v>
      </c>
      <c r="AL132" s="66">
        <f t="shared" si="72"/>
        <v>0</v>
      </c>
      <c r="AM132" s="66">
        <f t="shared" si="72"/>
        <v>0</v>
      </c>
      <c r="AN132" s="66">
        <f t="shared" si="72"/>
        <v>0</v>
      </c>
      <c r="AO132" s="66">
        <f t="shared" si="72"/>
        <v>0</v>
      </c>
      <c r="AP132" s="66">
        <f t="shared" si="72"/>
        <v>0</v>
      </c>
      <c r="AQ132" s="66">
        <f t="shared" si="72"/>
        <v>0</v>
      </c>
      <c r="AR132" s="66">
        <f t="shared" si="72"/>
        <v>0</v>
      </c>
      <c r="AS132" s="66">
        <f t="shared" si="72"/>
        <v>0</v>
      </c>
      <c r="AT132" s="66">
        <f t="shared" si="72"/>
        <v>0</v>
      </c>
      <c r="AU132" s="66">
        <f t="shared" si="72"/>
        <v>0</v>
      </c>
      <c r="AV132" s="66">
        <f t="shared" si="72"/>
        <v>0</v>
      </c>
      <c r="AW132" s="66">
        <f t="shared" si="72"/>
        <v>0</v>
      </c>
      <c r="AX132" s="66">
        <f t="shared" si="72"/>
        <v>0</v>
      </c>
      <c r="AY132" s="66">
        <f t="shared" si="72"/>
        <v>0</v>
      </c>
      <c r="AZ132" s="66">
        <f t="shared" si="72"/>
        <v>0</v>
      </c>
      <c r="BA132" s="66">
        <f t="shared" si="72"/>
        <v>0</v>
      </c>
      <c r="BB132" s="66">
        <f t="shared" si="72"/>
        <v>0</v>
      </c>
      <c r="BC132" s="66">
        <f t="shared" si="72"/>
        <v>0</v>
      </c>
      <c r="BD132" s="66">
        <f t="shared" si="72"/>
        <v>0</v>
      </c>
      <c r="BE132" s="66">
        <f t="shared" si="72"/>
        <v>0</v>
      </c>
      <c r="BF132" s="66">
        <f t="shared" si="72"/>
        <v>0</v>
      </c>
      <c r="BG132" s="66">
        <f t="shared" si="72"/>
        <v>0</v>
      </c>
      <c r="BH132" s="66">
        <f t="shared" si="72"/>
        <v>0</v>
      </c>
      <c r="BI132" s="66">
        <f t="shared" si="72"/>
        <v>0</v>
      </c>
      <c r="BJ132" s="66">
        <f t="shared" si="72"/>
        <v>0</v>
      </c>
      <c r="BY132" s="12"/>
      <c r="BZ132" s="363">
        <f t="shared" si="65"/>
        <v>0</v>
      </c>
      <c r="CA132" s="12"/>
      <c r="CB132" s="7">
        <f t="shared" ref="CB132:CB139" si="73">IF(OR(SUM(AA132:AL132)=1, SUM(AA132:AL132)=0), 0, 1)</f>
        <v>0</v>
      </c>
      <c r="CC132" s="7">
        <f t="shared" ref="CC132:CC139" si="74">IF(OR(SUM(AM132:AX132)=1, SUM(AM132:AX132)=0), 0, 1)</f>
        <v>0</v>
      </c>
      <c r="CD132" s="7">
        <f t="shared" ref="CD132:CD139" si="75">IF(OR(SUM(AY132:BJ132)=1, SUM(AY132:BJ132)=0), 0, 1)</f>
        <v>0</v>
      </c>
      <c r="CE132" s="42"/>
      <c r="EX132" s="10" t="str">
        <f t="shared" si="0"/>
        <v/>
      </c>
    </row>
    <row r="133" spans="1:154" s="335" customFormat="1" x14ac:dyDescent="0.25">
      <c r="A133" s="362" cm="1">
        <f t="array" aca="1" ref="A133" ca="1">HYPERLINK(CONCATENATE("#",CELL("address",IF(SUM($CA133:$CE133)=0,A133,INDEX($CA133:$CE133,MATCH(1,$CA133:$CE133,0))))),SUM($CA133:$CE133))</f>
        <v>0</v>
      </c>
      <c r="D133" s="10" t="str">
        <f t="shared" si="54"/>
        <v>Custom 34</v>
      </c>
      <c r="E133" s="1"/>
      <c r="H133" s="9"/>
      <c r="AA133" s="203">
        <f t="shared" ref="AA133:BJ133" si="76">IF(SUMIFS($AA46:$BJ46, $AA$3:$BJ$3, AA$3, $AA$4:$BJ$4, 1)=0, 0,(AA46/SUMIFS($AA46:$BJ46, $AA$3:$BJ$3, AA$3, $AA$4:$BJ$4, 1))*AA$4)</f>
        <v>0</v>
      </c>
      <c r="AB133" s="66">
        <f t="shared" si="76"/>
        <v>0</v>
      </c>
      <c r="AC133" s="66">
        <f t="shared" si="76"/>
        <v>0</v>
      </c>
      <c r="AD133" s="66">
        <f t="shared" si="76"/>
        <v>0</v>
      </c>
      <c r="AE133" s="66">
        <f t="shared" si="76"/>
        <v>0</v>
      </c>
      <c r="AF133" s="66">
        <f t="shared" si="76"/>
        <v>0</v>
      </c>
      <c r="AG133" s="66">
        <f t="shared" si="76"/>
        <v>0</v>
      </c>
      <c r="AH133" s="66">
        <f t="shared" si="76"/>
        <v>0</v>
      </c>
      <c r="AI133" s="66">
        <f t="shared" si="76"/>
        <v>0</v>
      </c>
      <c r="AJ133" s="66">
        <f t="shared" si="76"/>
        <v>0</v>
      </c>
      <c r="AK133" s="66">
        <f t="shared" si="76"/>
        <v>0</v>
      </c>
      <c r="AL133" s="66">
        <f t="shared" si="76"/>
        <v>0</v>
      </c>
      <c r="AM133" s="66">
        <f t="shared" si="76"/>
        <v>0</v>
      </c>
      <c r="AN133" s="66">
        <f t="shared" si="76"/>
        <v>0</v>
      </c>
      <c r="AO133" s="66">
        <f t="shared" si="76"/>
        <v>0</v>
      </c>
      <c r="AP133" s="66">
        <f t="shared" si="76"/>
        <v>0</v>
      </c>
      <c r="AQ133" s="66">
        <f t="shared" si="76"/>
        <v>0</v>
      </c>
      <c r="AR133" s="66">
        <f t="shared" si="76"/>
        <v>0</v>
      </c>
      <c r="AS133" s="66">
        <f t="shared" si="76"/>
        <v>0</v>
      </c>
      <c r="AT133" s="66">
        <f t="shared" si="76"/>
        <v>0</v>
      </c>
      <c r="AU133" s="66">
        <f t="shared" si="76"/>
        <v>0</v>
      </c>
      <c r="AV133" s="66">
        <f t="shared" si="76"/>
        <v>0</v>
      </c>
      <c r="AW133" s="66">
        <f t="shared" si="76"/>
        <v>0</v>
      </c>
      <c r="AX133" s="66">
        <f t="shared" si="76"/>
        <v>0</v>
      </c>
      <c r="AY133" s="66">
        <f t="shared" si="76"/>
        <v>0</v>
      </c>
      <c r="AZ133" s="66">
        <f t="shared" si="76"/>
        <v>0</v>
      </c>
      <c r="BA133" s="66">
        <f t="shared" si="76"/>
        <v>0</v>
      </c>
      <c r="BB133" s="66">
        <f t="shared" si="76"/>
        <v>0</v>
      </c>
      <c r="BC133" s="66">
        <f t="shared" si="76"/>
        <v>0</v>
      </c>
      <c r="BD133" s="66">
        <f t="shared" si="76"/>
        <v>0</v>
      </c>
      <c r="BE133" s="66">
        <f t="shared" si="76"/>
        <v>0</v>
      </c>
      <c r="BF133" s="66">
        <f t="shared" si="76"/>
        <v>0</v>
      </c>
      <c r="BG133" s="66">
        <f t="shared" si="76"/>
        <v>0</v>
      </c>
      <c r="BH133" s="66">
        <f t="shared" si="76"/>
        <v>0</v>
      </c>
      <c r="BI133" s="66">
        <f t="shared" si="76"/>
        <v>0</v>
      </c>
      <c r="BJ133" s="66">
        <f t="shared" si="76"/>
        <v>0</v>
      </c>
      <c r="BY133" s="12"/>
      <c r="BZ133" s="363">
        <f t="shared" si="65"/>
        <v>0</v>
      </c>
      <c r="CA133" s="12"/>
      <c r="CB133" s="7">
        <f t="shared" si="73"/>
        <v>0</v>
      </c>
      <c r="CC133" s="7">
        <f t="shared" si="74"/>
        <v>0</v>
      </c>
      <c r="CD133" s="7">
        <f t="shared" si="75"/>
        <v>0</v>
      </c>
      <c r="CE133" s="42"/>
      <c r="EX133" s="10" t="str">
        <f t="shared" si="0"/>
        <v/>
      </c>
    </row>
    <row r="134" spans="1:154" s="335" customFormat="1" x14ac:dyDescent="0.25">
      <c r="A134" s="362" cm="1">
        <f t="array" aca="1" ref="A134" ca="1">HYPERLINK(CONCATENATE("#",CELL("address",IF(SUM($CA134:$CE134)=0,A134,INDEX($CA134:$CE134,MATCH(1,$CA134:$CE134,0))))),SUM($CA134:$CE134))</f>
        <v>0</v>
      </c>
      <c r="D134" s="10" t="str">
        <f t="shared" si="54"/>
        <v>Custom 35</v>
      </c>
      <c r="E134" s="1"/>
      <c r="H134" s="9"/>
      <c r="AA134" s="203">
        <f t="shared" ref="AA134:BJ134" si="77">IF(SUMIFS($AA47:$BJ47, $AA$3:$BJ$3, AA$3, $AA$4:$BJ$4, 1)=0, 0,(AA47/SUMIFS($AA47:$BJ47, $AA$3:$BJ$3, AA$3, $AA$4:$BJ$4, 1))*AA$4)</f>
        <v>0</v>
      </c>
      <c r="AB134" s="66">
        <f t="shared" si="77"/>
        <v>0</v>
      </c>
      <c r="AC134" s="66">
        <f t="shared" si="77"/>
        <v>0</v>
      </c>
      <c r="AD134" s="66">
        <f t="shared" si="77"/>
        <v>0</v>
      </c>
      <c r="AE134" s="66">
        <f t="shared" si="77"/>
        <v>0</v>
      </c>
      <c r="AF134" s="66">
        <f t="shared" si="77"/>
        <v>0</v>
      </c>
      <c r="AG134" s="66">
        <f t="shared" si="77"/>
        <v>0</v>
      </c>
      <c r="AH134" s="66">
        <f t="shared" si="77"/>
        <v>0</v>
      </c>
      <c r="AI134" s="66">
        <f t="shared" si="77"/>
        <v>0</v>
      </c>
      <c r="AJ134" s="66">
        <f t="shared" si="77"/>
        <v>0</v>
      </c>
      <c r="AK134" s="66">
        <f t="shared" si="77"/>
        <v>0</v>
      </c>
      <c r="AL134" s="66">
        <f t="shared" si="77"/>
        <v>0</v>
      </c>
      <c r="AM134" s="66">
        <f t="shared" si="77"/>
        <v>0</v>
      </c>
      <c r="AN134" s="66">
        <f t="shared" si="77"/>
        <v>0</v>
      </c>
      <c r="AO134" s="66">
        <f t="shared" si="77"/>
        <v>0</v>
      </c>
      <c r="AP134" s="66">
        <f t="shared" si="77"/>
        <v>0</v>
      </c>
      <c r="AQ134" s="66">
        <f t="shared" si="77"/>
        <v>0</v>
      </c>
      <c r="AR134" s="66">
        <f t="shared" si="77"/>
        <v>0</v>
      </c>
      <c r="AS134" s="66">
        <f t="shared" si="77"/>
        <v>0</v>
      </c>
      <c r="AT134" s="66">
        <f t="shared" si="77"/>
        <v>0</v>
      </c>
      <c r="AU134" s="66">
        <f t="shared" si="77"/>
        <v>0</v>
      </c>
      <c r="AV134" s="66">
        <f t="shared" si="77"/>
        <v>0</v>
      </c>
      <c r="AW134" s="66">
        <f t="shared" si="77"/>
        <v>0</v>
      </c>
      <c r="AX134" s="66">
        <f t="shared" si="77"/>
        <v>0</v>
      </c>
      <c r="AY134" s="66">
        <f t="shared" si="77"/>
        <v>0</v>
      </c>
      <c r="AZ134" s="66">
        <f t="shared" si="77"/>
        <v>0</v>
      </c>
      <c r="BA134" s="66">
        <f t="shared" si="77"/>
        <v>0</v>
      </c>
      <c r="BB134" s="66">
        <f t="shared" si="77"/>
        <v>0</v>
      </c>
      <c r="BC134" s="66">
        <f t="shared" si="77"/>
        <v>0</v>
      </c>
      <c r="BD134" s="66">
        <f t="shared" si="77"/>
        <v>0</v>
      </c>
      <c r="BE134" s="66">
        <f t="shared" si="77"/>
        <v>0</v>
      </c>
      <c r="BF134" s="66">
        <f t="shared" si="77"/>
        <v>0</v>
      </c>
      <c r="BG134" s="66">
        <f t="shared" si="77"/>
        <v>0</v>
      </c>
      <c r="BH134" s="66">
        <f t="shared" si="77"/>
        <v>0</v>
      </c>
      <c r="BI134" s="66">
        <f t="shared" si="77"/>
        <v>0</v>
      </c>
      <c r="BJ134" s="66">
        <f t="shared" si="77"/>
        <v>0</v>
      </c>
      <c r="BY134" s="12"/>
      <c r="BZ134" s="363">
        <f t="shared" si="65"/>
        <v>0</v>
      </c>
      <c r="CA134" s="12"/>
      <c r="CB134" s="7">
        <f t="shared" si="73"/>
        <v>0</v>
      </c>
      <c r="CC134" s="7">
        <f t="shared" si="74"/>
        <v>0</v>
      </c>
      <c r="CD134" s="7">
        <f t="shared" si="75"/>
        <v>0</v>
      </c>
      <c r="CE134" s="42"/>
      <c r="EX134" s="10" t="str">
        <f t="shared" si="0"/>
        <v/>
      </c>
    </row>
    <row r="135" spans="1:154" s="335" customFormat="1" x14ac:dyDescent="0.25">
      <c r="A135" s="362" cm="1">
        <f t="array" aca="1" ref="A135" ca="1">HYPERLINK(CONCATENATE("#",CELL("address",IF(SUM($CA135:$CE135)=0,A135,INDEX($CA135:$CE135,MATCH(1,$CA135:$CE135,0))))),SUM($CA135:$CE135))</f>
        <v>0</v>
      </c>
      <c r="D135" s="10" t="str">
        <f t="shared" si="54"/>
        <v>Custom 36</v>
      </c>
      <c r="E135" s="1"/>
      <c r="H135" s="9"/>
      <c r="AA135" s="203">
        <f t="shared" ref="AA135:BJ135" si="78">IF(SUMIFS($AA48:$BJ48, $AA$3:$BJ$3, AA$3, $AA$4:$BJ$4, 1)=0, 0,(AA48/SUMIFS($AA48:$BJ48, $AA$3:$BJ$3, AA$3, $AA$4:$BJ$4, 1))*AA$4)</f>
        <v>0</v>
      </c>
      <c r="AB135" s="66">
        <f t="shared" si="78"/>
        <v>0</v>
      </c>
      <c r="AC135" s="66">
        <f t="shared" si="78"/>
        <v>0</v>
      </c>
      <c r="AD135" s="66">
        <f t="shared" si="78"/>
        <v>0</v>
      </c>
      <c r="AE135" s="66">
        <f t="shared" si="78"/>
        <v>0</v>
      </c>
      <c r="AF135" s="66">
        <f t="shared" si="78"/>
        <v>0</v>
      </c>
      <c r="AG135" s="66">
        <f t="shared" si="78"/>
        <v>0</v>
      </c>
      <c r="AH135" s="66">
        <f t="shared" si="78"/>
        <v>0</v>
      </c>
      <c r="AI135" s="66">
        <f t="shared" si="78"/>
        <v>0</v>
      </c>
      <c r="AJ135" s="66">
        <f t="shared" si="78"/>
        <v>0</v>
      </c>
      <c r="AK135" s="66">
        <f t="shared" si="78"/>
        <v>0</v>
      </c>
      <c r="AL135" s="66">
        <f t="shared" si="78"/>
        <v>0</v>
      </c>
      <c r="AM135" s="66">
        <f t="shared" si="78"/>
        <v>0</v>
      </c>
      <c r="AN135" s="66">
        <f t="shared" si="78"/>
        <v>0</v>
      </c>
      <c r="AO135" s="66">
        <f t="shared" si="78"/>
        <v>0</v>
      </c>
      <c r="AP135" s="66">
        <f t="shared" si="78"/>
        <v>0</v>
      </c>
      <c r="AQ135" s="66">
        <f t="shared" si="78"/>
        <v>0</v>
      </c>
      <c r="AR135" s="66">
        <f t="shared" si="78"/>
        <v>0</v>
      </c>
      <c r="AS135" s="66">
        <f t="shared" si="78"/>
        <v>0</v>
      </c>
      <c r="AT135" s="66">
        <f t="shared" si="78"/>
        <v>0</v>
      </c>
      <c r="AU135" s="66">
        <f t="shared" si="78"/>
        <v>0</v>
      </c>
      <c r="AV135" s="66">
        <f t="shared" si="78"/>
        <v>0</v>
      </c>
      <c r="AW135" s="66">
        <f t="shared" si="78"/>
        <v>0</v>
      </c>
      <c r="AX135" s="66">
        <f t="shared" si="78"/>
        <v>0</v>
      </c>
      <c r="AY135" s="66">
        <f t="shared" si="78"/>
        <v>0</v>
      </c>
      <c r="AZ135" s="66">
        <f t="shared" si="78"/>
        <v>0</v>
      </c>
      <c r="BA135" s="66">
        <f t="shared" si="78"/>
        <v>0</v>
      </c>
      <c r="BB135" s="66">
        <f t="shared" si="78"/>
        <v>0</v>
      </c>
      <c r="BC135" s="66">
        <f t="shared" si="78"/>
        <v>0</v>
      </c>
      <c r="BD135" s="66">
        <f t="shared" si="78"/>
        <v>0</v>
      </c>
      <c r="BE135" s="66">
        <f t="shared" si="78"/>
        <v>0</v>
      </c>
      <c r="BF135" s="66">
        <f t="shared" si="78"/>
        <v>0</v>
      </c>
      <c r="BG135" s="66">
        <f t="shared" si="78"/>
        <v>0</v>
      </c>
      <c r="BH135" s="66">
        <f t="shared" si="78"/>
        <v>0</v>
      </c>
      <c r="BI135" s="66">
        <f t="shared" si="78"/>
        <v>0</v>
      </c>
      <c r="BJ135" s="66">
        <f t="shared" si="78"/>
        <v>0</v>
      </c>
      <c r="BY135" s="12"/>
      <c r="BZ135" s="363">
        <f t="shared" si="65"/>
        <v>0</v>
      </c>
      <c r="CA135" s="12"/>
      <c r="CB135" s="7">
        <f t="shared" si="73"/>
        <v>0</v>
      </c>
      <c r="CC135" s="7">
        <f t="shared" si="74"/>
        <v>0</v>
      </c>
      <c r="CD135" s="7">
        <f t="shared" si="75"/>
        <v>0</v>
      </c>
      <c r="CE135" s="42"/>
      <c r="EX135" s="10" t="str">
        <f t="shared" si="0"/>
        <v/>
      </c>
    </row>
    <row r="136" spans="1:154" s="335" customFormat="1" x14ac:dyDescent="0.25">
      <c r="A136" s="362" cm="1">
        <f t="array" aca="1" ref="A136" ca="1">HYPERLINK(CONCATENATE("#",CELL("address",IF(SUM($CA136:$CE136)=0,A136,INDEX($CA136:$CE136,MATCH(1,$CA136:$CE136,0))))),SUM($CA136:$CE136))</f>
        <v>0</v>
      </c>
      <c r="D136" s="10" t="str">
        <f t="shared" si="54"/>
        <v>Custom 37</v>
      </c>
      <c r="E136" s="1"/>
      <c r="H136" s="9"/>
      <c r="AA136" s="203">
        <f t="shared" ref="AA136:BJ136" si="79">IF(SUMIFS($AA49:$BJ49, $AA$3:$BJ$3, AA$3, $AA$4:$BJ$4, 1)=0, 0,(AA49/SUMIFS($AA49:$BJ49, $AA$3:$BJ$3, AA$3, $AA$4:$BJ$4, 1))*AA$4)</f>
        <v>0</v>
      </c>
      <c r="AB136" s="66">
        <f t="shared" si="79"/>
        <v>0</v>
      </c>
      <c r="AC136" s="66">
        <f t="shared" si="79"/>
        <v>0</v>
      </c>
      <c r="AD136" s="66">
        <f t="shared" si="79"/>
        <v>0</v>
      </c>
      <c r="AE136" s="66">
        <f t="shared" si="79"/>
        <v>0</v>
      </c>
      <c r="AF136" s="66">
        <f t="shared" si="79"/>
        <v>0</v>
      </c>
      <c r="AG136" s="66">
        <f t="shared" si="79"/>
        <v>0</v>
      </c>
      <c r="AH136" s="66">
        <f t="shared" si="79"/>
        <v>0</v>
      </c>
      <c r="AI136" s="66">
        <f t="shared" si="79"/>
        <v>0</v>
      </c>
      <c r="AJ136" s="66">
        <f t="shared" si="79"/>
        <v>0</v>
      </c>
      <c r="AK136" s="66">
        <f t="shared" si="79"/>
        <v>0</v>
      </c>
      <c r="AL136" s="66">
        <f t="shared" si="79"/>
        <v>0</v>
      </c>
      <c r="AM136" s="66">
        <f t="shared" si="79"/>
        <v>0</v>
      </c>
      <c r="AN136" s="66">
        <f t="shared" si="79"/>
        <v>0</v>
      </c>
      <c r="AO136" s="66">
        <f t="shared" si="79"/>
        <v>0</v>
      </c>
      <c r="AP136" s="66">
        <f t="shared" si="79"/>
        <v>0</v>
      </c>
      <c r="AQ136" s="66">
        <f t="shared" si="79"/>
        <v>0</v>
      </c>
      <c r="AR136" s="66">
        <f t="shared" si="79"/>
        <v>0</v>
      </c>
      <c r="AS136" s="66">
        <f t="shared" si="79"/>
        <v>0</v>
      </c>
      <c r="AT136" s="66">
        <f t="shared" si="79"/>
        <v>0</v>
      </c>
      <c r="AU136" s="66">
        <f t="shared" si="79"/>
        <v>0</v>
      </c>
      <c r="AV136" s="66">
        <f t="shared" si="79"/>
        <v>0</v>
      </c>
      <c r="AW136" s="66">
        <f t="shared" si="79"/>
        <v>0</v>
      </c>
      <c r="AX136" s="66">
        <f t="shared" si="79"/>
        <v>0</v>
      </c>
      <c r="AY136" s="66">
        <f t="shared" si="79"/>
        <v>0</v>
      </c>
      <c r="AZ136" s="66">
        <f t="shared" si="79"/>
        <v>0</v>
      </c>
      <c r="BA136" s="66">
        <f t="shared" si="79"/>
        <v>0</v>
      </c>
      <c r="BB136" s="66">
        <f t="shared" si="79"/>
        <v>0</v>
      </c>
      <c r="BC136" s="66">
        <f t="shared" si="79"/>
        <v>0</v>
      </c>
      <c r="BD136" s="66">
        <f t="shared" si="79"/>
        <v>0</v>
      </c>
      <c r="BE136" s="66">
        <f t="shared" si="79"/>
        <v>0</v>
      </c>
      <c r="BF136" s="66">
        <f t="shared" si="79"/>
        <v>0</v>
      </c>
      <c r="BG136" s="66">
        <f t="shared" si="79"/>
        <v>0</v>
      </c>
      <c r="BH136" s="66">
        <f t="shared" si="79"/>
        <v>0</v>
      </c>
      <c r="BI136" s="66">
        <f t="shared" si="79"/>
        <v>0</v>
      </c>
      <c r="BJ136" s="66">
        <f t="shared" si="79"/>
        <v>0</v>
      </c>
      <c r="BY136" s="12"/>
      <c r="BZ136" s="363">
        <f t="shared" si="65"/>
        <v>0</v>
      </c>
      <c r="CA136" s="12"/>
      <c r="CB136" s="7">
        <f t="shared" si="73"/>
        <v>0</v>
      </c>
      <c r="CC136" s="7">
        <f t="shared" si="74"/>
        <v>0</v>
      </c>
      <c r="CD136" s="7">
        <f t="shared" si="75"/>
        <v>0</v>
      </c>
      <c r="CE136" s="42"/>
      <c r="EX136" s="10" t="str">
        <f t="shared" si="0"/>
        <v/>
      </c>
    </row>
    <row r="137" spans="1:154" s="335" customFormat="1" x14ac:dyDescent="0.25">
      <c r="A137" s="362" cm="1">
        <f t="array" aca="1" ref="A137" ca="1">HYPERLINK(CONCATENATE("#",CELL("address",IF(SUM($CA137:$CE137)=0,A137,INDEX($CA137:$CE137,MATCH(1,$CA137:$CE137,0))))),SUM($CA137:$CE137))</f>
        <v>0</v>
      </c>
      <c r="D137" s="10" t="str">
        <f t="shared" si="54"/>
        <v>Custom 38</v>
      </c>
      <c r="E137" s="1"/>
      <c r="H137" s="9"/>
      <c r="AA137" s="203">
        <f t="shared" ref="AA137:BJ137" si="80">IF(SUMIFS($AA50:$BJ50, $AA$3:$BJ$3, AA$3, $AA$4:$BJ$4, 1)=0, 0,(AA50/SUMIFS($AA50:$BJ50, $AA$3:$BJ$3, AA$3, $AA$4:$BJ$4, 1))*AA$4)</f>
        <v>0</v>
      </c>
      <c r="AB137" s="66">
        <f t="shared" si="80"/>
        <v>0</v>
      </c>
      <c r="AC137" s="66">
        <f t="shared" si="80"/>
        <v>0</v>
      </c>
      <c r="AD137" s="66">
        <f t="shared" si="80"/>
        <v>0</v>
      </c>
      <c r="AE137" s="66">
        <f t="shared" si="80"/>
        <v>0</v>
      </c>
      <c r="AF137" s="66">
        <f t="shared" si="80"/>
        <v>0</v>
      </c>
      <c r="AG137" s="66">
        <f t="shared" si="80"/>
        <v>0</v>
      </c>
      <c r="AH137" s="66">
        <f t="shared" si="80"/>
        <v>0</v>
      </c>
      <c r="AI137" s="66">
        <f t="shared" si="80"/>
        <v>0</v>
      </c>
      <c r="AJ137" s="66">
        <f t="shared" si="80"/>
        <v>0</v>
      </c>
      <c r="AK137" s="66">
        <f t="shared" si="80"/>
        <v>0</v>
      </c>
      <c r="AL137" s="66">
        <f t="shared" si="80"/>
        <v>0</v>
      </c>
      <c r="AM137" s="66">
        <f t="shared" si="80"/>
        <v>0</v>
      </c>
      <c r="AN137" s="66">
        <f t="shared" si="80"/>
        <v>0</v>
      </c>
      <c r="AO137" s="66">
        <f t="shared" si="80"/>
        <v>0</v>
      </c>
      <c r="AP137" s="66">
        <f t="shared" si="80"/>
        <v>0</v>
      </c>
      <c r="AQ137" s="66">
        <f t="shared" si="80"/>
        <v>0</v>
      </c>
      <c r="AR137" s="66">
        <f t="shared" si="80"/>
        <v>0</v>
      </c>
      <c r="AS137" s="66">
        <f t="shared" si="80"/>
        <v>0</v>
      </c>
      <c r="AT137" s="66">
        <f t="shared" si="80"/>
        <v>0</v>
      </c>
      <c r="AU137" s="66">
        <f t="shared" si="80"/>
        <v>0</v>
      </c>
      <c r="AV137" s="66">
        <f t="shared" si="80"/>
        <v>0</v>
      </c>
      <c r="AW137" s="66">
        <f t="shared" si="80"/>
        <v>0</v>
      </c>
      <c r="AX137" s="66">
        <f t="shared" si="80"/>
        <v>0</v>
      </c>
      <c r="AY137" s="66">
        <f t="shared" si="80"/>
        <v>0</v>
      </c>
      <c r="AZ137" s="66">
        <f t="shared" si="80"/>
        <v>0</v>
      </c>
      <c r="BA137" s="66">
        <f t="shared" si="80"/>
        <v>0</v>
      </c>
      <c r="BB137" s="66">
        <f t="shared" si="80"/>
        <v>0</v>
      </c>
      <c r="BC137" s="66">
        <f t="shared" si="80"/>
        <v>0</v>
      </c>
      <c r="BD137" s="66">
        <f t="shared" si="80"/>
        <v>0</v>
      </c>
      <c r="BE137" s="66">
        <f t="shared" si="80"/>
        <v>0</v>
      </c>
      <c r="BF137" s="66">
        <f t="shared" si="80"/>
        <v>0</v>
      </c>
      <c r="BG137" s="66">
        <f t="shared" si="80"/>
        <v>0</v>
      </c>
      <c r="BH137" s="66">
        <f t="shared" si="80"/>
        <v>0</v>
      </c>
      <c r="BI137" s="66">
        <f t="shared" si="80"/>
        <v>0</v>
      </c>
      <c r="BJ137" s="66">
        <f t="shared" si="80"/>
        <v>0</v>
      </c>
      <c r="BY137" s="12"/>
      <c r="BZ137" s="363">
        <f t="shared" si="65"/>
        <v>0</v>
      </c>
      <c r="CA137" s="12"/>
      <c r="CB137" s="7">
        <f t="shared" si="73"/>
        <v>0</v>
      </c>
      <c r="CC137" s="7">
        <f t="shared" si="74"/>
        <v>0</v>
      </c>
      <c r="CD137" s="7">
        <f t="shared" si="75"/>
        <v>0</v>
      </c>
      <c r="CE137" s="42"/>
      <c r="EX137" s="10" t="str">
        <f t="shared" si="0"/>
        <v/>
      </c>
    </row>
    <row r="138" spans="1:154" s="335" customFormat="1" x14ac:dyDescent="0.25">
      <c r="A138" s="362" cm="1">
        <f t="array" aca="1" ref="A138" ca="1">HYPERLINK(CONCATENATE("#",CELL("address",IF(SUM($CA138:$CE138)=0,A138,INDEX($CA138:$CE138,MATCH(1,$CA138:$CE138,0))))),SUM($CA138:$CE138))</f>
        <v>0</v>
      </c>
      <c r="D138" s="10" t="str">
        <f t="shared" si="54"/>
        <v>Custom 39</v>
      </c>
      <c r="E138" s="1"/>
      <c r="H138" s="9"/>
      <c r="AA138" s="203">
        <f t="shared" ref="AA138:BJ138" si="81">IF(SUMIFS($AA51:$BJ51, $AA$3:$BJ$3, AA$3, $AA$4:$BJ$4, 1)=0, 0,(AA51/SUMIFS($AA51:$BJ51, $AA$3:$BJ$3, AA$3, $AA$4:$BJ$4, 1))*AA$4)</f>
        <v>0</v>
      </c>
      <c r="AB138" s="66">
        <f t="shared" si="81"/>
        <v>0</v>
      </c>
      <c r="AC138" s="66">
        <f t="shared" si="81"/>
        <v>0</v>
      </c>
      <c r="AD138" s="66">
        <f t="shared" si="81"/>
        <v>0</v>
      </c>
      <c r="AE138" s="66">
        <f t="shared" si="81"/>
        <v>0</v>
      </c>
      <c r="AF138" s="66">
        <f t="shared" si="81"/>
        <v>0</v>
      </c>
      <c r="AG138" s="66">
        <f t="shared" si="81"/>
        <v>0</v>
      </c>
      <c r="AH138" s="66">
        <f t="shared" si="81"/>
        <v>0</v>
      </c>
      <c r="AI138" s="66">
        <f t="shared" si="81"/>
        <v>0</v>
      </c>
      <c r="AJ138" s="66">
        <f t="shared" si="81"/>
        <v>0</v>
      </c>
      <c r="AK138" s="66">
        <f t="shared" si="81"/>
        <v>0</v>
      </c>
      <c r="AL138" s="66">
        <f t="shared" si="81"/>
        <v>0</v>
      </c>
      <c r="AM138" s="66">
        <f t="shared" si="81"/>
        <v>0</v>
      </c>
      <c r="AN138" s="66">
        <f t="shared" si="81"/>
        <v>0</v>
      </c>
      <c r="AO138" s="66">
        <f t="shared" si="81"/>
        <v>0</v>
      </c>
      <c r="AP138" s="66">
        <f t="shared" si="81"/>
        <v>0</v>
      </c>
      <c r="AQ138" s="66">
        <f t="shared" si="81"/>
        <v>0</v>
      </c>
      <c r="AR138" s="66">
        <f t="shared" si="81"/>
        <v>0</v>
      </c>
      <c r="AS138" s="66">
        <f t="shared" si="81"/>
        <v>0</v>
      </c>
      <c r="AT138" s="66">
        <f t="shared" si="81"/>
        <v>0</v>
      </c>
      <c r="AU138" s="66">
        <f t="shared" si="81"/>
        <v>0</v>
      </c>
      <c r="AV138" s="66">
        <f t="shared" si="81"/>
        <v>0</v>
      </c>
      <c r="AW138" s="66">
        <f t="shared" si="81"/>
        <v>0</v>
      </c>
      <c r="AX138" s="66">
        <f t="shared" si="81"/>
        <v>0</v>
      </c>
      <c r="AY138" s="66">
        <f t="shared" si="81"/>
        <v>0</v>
      </c>
      <c r="AZ138" s="66">
        <f t="shared" si="81"/>
        <v>0</v>
      </c>
      <c r="BA138" s="66">
        <f t="shared" si="81"/>
        <v>0</v>
      </c>
      <c r="BB138" s="66">
        <f t="shared" si="81"/>
        <v>0</v>
      </c>
      <c r="BC138" s="66">
        <f t="shared" si="81"/>
        <v>0</v>
      </c>
      <c r="BD138" s="66">
        <f t="shared" si="81"/>
        <v>0</v>
      </c>
      <c r="BE138" s="66">
        <f t="shared" si="81"/>
        <v>0</v>
      </c>
      <c r="BF138" s="66">
        <f t="shared" si="81"/>
        <v>0</v>
      </c>
      <c r="BG138" s="66">
        <f t="shared" si="81"/>
        <v>0</v>
      </c>
      <c r="BH138" s="66">
        <f t="shared" si="81"/>
        <v>0</v>
      </c>
      <c r="BI138" s="66">
        <f t="shared" si="81"/>
        <v>0</v>
      </c>
      <c r="BJ138" s="66">
        <f t="shared" si="81"/>
        <v>0</v>
      </c>
      <c r="BY138" s="12"/>
      <c r="BZ138" s="363">
        <f t="shared" si="65"/>
        <v>0</v>
      </c>
      <c r="CA138" s="12"/>
      <c r="CB138" s="7">
        <f t="shared" si="73"/>
        <v>0</v>
      </c>
      <c r="CC138" s="7">
        <f t="shared" si="74"/>
        <v>0</v>
      </c>
      <c r="CD138" s="7">
        <f t="shared" si="75"/>
        <v>0</v>
      </c>
      <c r="CE138" s="42"/>
      <c r="EX138" s="10" t="str">
        <f t="shared" si="0"/>
        <v/>
      </c>
    </row>
    <row r="139" spans="1:154" s="335" customFormat="1" x14ac:dyDescent="0.25">
      <c r="A139" s="362" cm="1">
        <f t="array" aca="1" ref="A139" ca="1">HYPERLINK(CONCATENATE("#",CELL("address",IF(SUM($CA139:$CE139)=0,A139,INDEX($CA139:$CE139,MATCH(1,$CA139:$CE139,0))))),SUM($CA139:$CE139))</f>
        <v>0</v>
      </c>
      <c r="D139" s="10" t="str">
        <f t="shared" si="54"/>
        <v>Custom 40</v>
      </c>
      <c r="E139" s="1"/>
      <c r="H139" s="9"/>
      <c r="AA139" s="203">
        <f t="shared" ref="AA139:BJ139" si="82">IF(SUMIFS($AA52:$BJ52, $AA$3:$BJ$3, AA$3, $AA$4:$BJ$4, 1)=0, 0,(AA52/SUMIFS($AA52:$BJ52, $AA$3:$BJ$3, AA$3, $AA$4:$BJ$4, 1))*AA$4)</f>
        <v>0</v>
      </c>
      <c r="AB139" s="66">
        <f t="shared" si="82"/>
        <v>0</v>
      </c>
      <c r="AC139" s="66">
        <f t="shared" si="82"/>
        <v>0</v>
      </c>
      <c r="AD139" s="66">
        <f t="shared" si="82"/>
        <v>0</v>
      </c>
      <c r="AE139" s="66">
        <f t="shared" si="82"/>
        <v>0</v>
      </c>
      <c r="AF139" s="66">
        <f t="shared" si="82"/>
        <v>0</v>
      </c>
      <c r="AG139" s="66">
        <f t="shared" si="82"/>
        <v>0</v>
      </c>
      <c r="AH139" s="66">
        <f t="shared" si="82"/>
        <v>0</v>
      </c>
      <c r="AI139" s="66">
        <f t="shared" si="82"/>
        <v>0</v>
      </c>
      <c r="AJ139" s="66">
        <f t="shared" si="82"/>
        <v>0</v>
      </c>
      <c r="AK139" s="66">
        <f t="shared" si="82"/>
        <v>0</v>
      </c>
      <c r="AL139" s="66">
        <f t="shared" si="82"/>
        <v>0</v>
      </c>
      <c r="AM139" s="66">
        <f t="shared" si="82"/>
        <v>0</v>
      </c>
      <c r="AN139" s="66">
        <f t="shared" si="82"/>
        <v>0</v>
      </c>
      <c r="AO139" s="66">
        <f t="shared" si="82"/>
        <v>0</v>
      </c>
      <c r="AP139" s="66">
        <f t="shared" si="82"/>
        <v>0</v>
      </c>
      <c r="AQ139" s="66">
        <f t="shared" si="82"/>
        <v>0</v>
      </c>
      <c r="AR139" s="66">
        <f t="shared" si="82"/>
        <v>0</v>
      </c>
      <c r="AS139" s="66">
        <f t="shared" si="82"/>
        <v>0</v>
      </c>
      <c r="AT139" s="66">
        <f t="shared" si="82"/>
        <v>0</v>
      </c>
      <c r="AU139" s="66">
        <f t="shared" si="82"/>
        <v>0</v>
      </c>
      <c r="AV139" s="66">
        <f t="shared" si="82"/>
        <v>0</v>
      </c>
      <c r="AW139" s="66">
        <f t="shared" si="82"/>
        <v>0</v>
      </c>
      <c r="AX139" s="66">
        <f t="shared" si="82"/>
        <v>0</v>
      </c>
      <c r="AY139" s="66">
        <f t="shared" si="82"/>
        <v>0</v>
      </c>
      <c r="AZ139" s="66">
        <f t="shared" si="82"/>
        <v>0</v>
      </c>
      <c r="BA139" s="66">
        <f t="shared" si="82"/>
        <v>0</v>
      </c>
      <c r="BB139" s="66">
        <f t="shared" si="82"/>
        <v>0</v>
      </c>
      <c r="BC139" s="66">
        <f t="shared" si="82"/>
        <v>0</v>
      </c>
      <c r="BD139" s="66">
        <f t="shared" si="82"/>
        <v>0</v>
      </c>
      <c r="BE139" s="66">
        <f t="shared" si="82"/>
        <v>0</v>
      </c>
      <c r="BF139" s="66">
        <f t="shared" si="82"/>
        <v>0</v>
      </c>
      <c r="BG139" s="66">
        <f t="shared" si="82"/>
        <v>0</v>
      </c>
      <c r="BH139" s="66">
        <f t="shared" si="82"/>
        <v>0</v>
      </c>
      <c r="BI139" s="66">
        <f t="shared" si="82"/>
        <v>0</v>
      </c>
      <c r="BJ139" s="66">
        <f t="shared" si="82"/>
        <v>0</v>
      </c>
      <c r="BY139" s="12"/>
      <c r="BZ139" s="363">
        <f t="shared" si="65"/>
        <v>0</v>
      </c>
      <c r="CA139" s="12"/>
      <c r="CB139" s="7">
        <f t="shared" si="73"/>
        <v>0</v>
      </c>
      <c r="CC139" s="7">
        <f t="shared" si="74"/>
        <v>0</v>
      </c>
      <c r="CD139" s="7">
        <f t="shared" si="75"/>
        <v>0</v>
      </c>
      <c r="CE139" s="42"/>
      <c r="EX139" s="10" t="str">
        <f t="shared" si="0"/>
        <v/>
      </c>
    </row>
    <row r="140" spans="1:154" s="335" customFormat="1" x14ac:dyDescent="0.25">
      <c r="A140" s="362" cm="1">
        <f t="array" aca="1" ref="A140" ca="1">HYPERLINK(CONCATENATE("#",CELL("address",IF(SUM($CA140:$CE140)=0,A140,INDEX($CA140:$CE140,MATCH(1,$CA140:$CE140,0))))),SUM($CA140:$CE140))</f>
        <v>0</v>
      </c>
      <c r="D140" s="10" t="str">
        <f t="shared" si="54"/>
        <v>Custom 41</v>
      </c>
      <c r="E140" s="1"/>
      <c r="H140" s="9"/>
      <c r="AA140" s="203">
        <f t="shared" ref="AA140:BJ140" si="83">IF(SUMIFS($AA53:$BJ53, $AA$3:$BJ$3, AA$3, $AA$4:$BJ$4, 1)=0, 0,(AA53/SUMIFS($AA53:$BJ53, $AA$3:$BJ$3, AA$3, $AA$4:$BJ$4, 1))*AA$4)</f>
        <v>0</v>
      </c>
      <c r="AB140" s="66">
        <f t="shared" si="83"/>
        <v>0</v>
      </c>
      <c r="AC140" s="66">
        <f t="shared" si="83"/>
        <v>0</v>
      </c>
      <c r="AD140" s="66">
        <f t="shared" si="83"/>
        <v>0</v>
      </c>
      <c r="AE140" s="66">
        <f t="shared" si="83"/>
        <v>0</v>
      </c>
      <c r="AF140" s="66">
        <f t="shared" si="83"/>
        <v>0</v>
      </c>
      <c r="AG140" s="66">
        <f t="shared" si="83"/>
        <v>0</v>
      </c>
      <c r="AH140" s="66">
        <f t="shared" si="83"/>
        <v>0</v>
      </c>
      <c r="AI140" s="66">
        <f t="shared" si="83"/>
        <v>0</v>
      </c>
      <c r="AJ140" s="66">
        <f t="shared" si="83"/>
        <v>0</v>
      </c>
      <c r="AK140" s="66">
        <f t="shared" si="83"/>
        <v>0</v>
      </c>
      <c r="AL140" s="66">
        <f t="shared" si="83"/>
        <v>0</v>
      </c>
      <c r="AM140" s="66">
        <f t="shared" si="83"/>
        <v>0</v>
      </c>
      <c r="AN140" s="66">
        <f t="shared" si="83"/>
        <v>0</v>
      </c>
      <c r="AO140" s="66">
        <f t="shared" si="83"/>
        <v>0</v>
      </c>
      <c r="AP140" s="66">
        <f t="shared" si="83"/>
        <v>0</v>
      </c>
      <c r="AQ140" s="66">
        <f t="shared" si="83"/>
        <v>0</v>
      </c>
      <c r="AR140" s="66">
        <f t="shared" si="83"/>
        <v>0</v>
      </c>
      <c r="AS140" s="66">
        <f t="shared" si="83"/>
        <v>0</v>
      </c>
      <c r="AT140" s="66">
        <f t="shared" si="83"/>
        <v>0</v>
      </c>
      <c r="AU140" s="66">
        <f t="shared" si="83"/>
        <v>0</v>
      </c>
      <c r="AV140" s="66">
        <f t="shared" si="83"/>
        <v>0</v>
      </c>
      <c r="AW140" s="66">
        <f t="shared" si="83"/>
        <v>0</v>
      </c>
      <c r="AX140" s="66">
        <f t="shared" si="83"/>
        <v>0</v>
      </c>
      <c r="AY140" s="66">
        <f t="shared" si="83"/>
        <v>0</v>
      </c>
      <c r="AZ140" s="66">
        <f t="shared" si="83"/>
        <v>0</v>
      </c>
      <c r="BA140" s="66">
        <f t="shared" si="83"/>
        <v>0</v>
      </c>
      <c r="BB140" s="66">
        <f t="shared" si="83"/>
        <v>0</v>
      </c>
      <c r="BC140" s="66">
        <f t="shared" si="83"/>
        <v>0</v>
      </c>
      <c r="BD140" s="66">
        <f t="shared" si="83"/>
        <v>0</v>
      </c>
      <c r="BE140" s="66">
        <f t="shared" si="83"/>
        <v>0</v>
      </c>
      <c r="BF140" s="66">
        <f t="shared" si="83"/>
        <v>0</v>
      </c>
      <c r="BG140" s="66">
        <f t="shared" si="83"/>
        <v>0</v>
      </c>
      <c r="BH140" s="66">
        <f t="shared" si="83"/>
        <v>0</v>
      </c>
      <c r="BI140" s="66">
        <f t="shared" si="83"/>
        <v>0</v>
      </c>
      <c r="BJ140" s="66">
        <f t="shared" si="83"/>
        <v>0</v>
      </c>
      <c r="BY140" s="12"/>
      <c r="BZ140" s="363">
        <f t="shared" si="65"/>
        <v>0</v>
      </c>
      <c r="CA140" s="12"/>
      <c r="CB140" s="7">
        <f t="shared" ref="CB140:CB155" si="84">IF(OR(SUM(AA140:AL140)=1, SUM(AA140:AL140)=0), 0, 1)</f>
        <v>0</v>
      </c>
      <c r="CC140" s="7">
        <f t="shared" ref="CC140:CC155" si="85">IF(OR(SUM(AM140:AX140)=1, SUM(AM140:AX140)=0), 0, 1)</f>
        <v>0</v>
      </c>
      <c r="CD140" s="7">
        <f t="shared" ref="CD140:CD155" si="86">IF(OR(SUM(AY140:BJ140)=1, SUM(AY140:BJ140)=0), 0, 1)</f>
        <v>0</v>
      </c>
      <c r="CE140" s="42"/>
      <c r="EX140" s="10" t="str">
        <f t="shared" si="0"/>
        <v/>
      </c>
    </row>
    <row r="141" spans="1:154" s="335" customFormat="1" x14ac:dyDescent="0.25">
      <c r="A141" s="362" cm="1">
        <f t="array" aca="1" ref="A141" ca="1">HYPERLINK(CONCATENATE("#",CELL("address",IF(SUM($CA141:$CE141)=0,A141,INDEX($CA141:$CE141,MATCH(1,$CA141:$CE141,0))))),SUM($CA141:$CE141))</f>
        <v>0</v>
      </c>
      <c r="D141" s="10" t="str">
        <f t="shared" si="54"/>
        <v>Custom 42</v>
      </c>
      <c r="E141" s="1"/>
      <c r="H141" s="9"/>
      <c r="AA141" s="203">
        <f t="shared" ref="AA141:BJ141" si="87">IF(SUMIFS($AA54:$BJ54, $AA$3:$BJ$3, AA$3, $AA$4:$BJ$4, 1)=0, 0,(AA54/SUMIFS($AA54:$BJ54, $AA$3:$BJ$3, AA$3, $AA$4:$BJ$4, 1))*AA$4)</f>
        <v>0</v>
      </c>
      <c r="AB141" s="66">
        <f t="shared" si="87"/>
        <v>0</v>
      </c>
      <c r="AC141" s="66">
        <f t="shared" si="87"/>
        <v>0</v>
      </c>
      <c r="AD141" s="66">
        <f t="shared" si="87"/>
        <v>0</v>
      </c>
      <c r="AE141" s="66">
        <f t="shared" si="87"/>
        <v>0</v>
      </c>
      <c r="AF141" s="66">
        <f t="shared" si="87"/>
        <v>0</v>
      </c>
      <c r="AG141" s="66">
        <f t="shared" si="87"/>
        <v>0</v>
      </c>
      <c r="AH141" s="66">
        <f t="shared" si="87"/>
        <v>0</v>
      </c>
      <c r="AI141" s="66">
        <f t="shared" si="87"/>
        <v>0</v>
      </c>
      <c r="AJ141" s="66">
        <f t="shared" si="87"/>
        <v>0</v>
      </c>
      <c r="AK141" s="66">
        <f t="shared" si="87"/>
        <v>0</v>
      </c>
      <c r="AL141" s="66">
        <f t="shared" si="87"/>
        <v>0</v>
      </c>
      <c r="AM141" s="66">
        <f t="shared" si="87"/>
        <v>0</v>
      </c>
      <c r="AN141" s="66">
        <f t="shared" si="87"/>
        <v>0</v>
      </c>
      <c r="AO141" s="66">
        <f t="shared" si="87"/>
        <v>0</v>
      </c>
      <c r="AP141" s="66">
        <f t="shared" si="87"/>
        <v>0</v>
      </c>
      <c r="AQ141" s="66">
        <f t="shared" si="87"/>
        <v>0</v>
      </c>
      <c r="AR141" s="66">
        <f t="shared" si="87"/>
        <v>0</v>
      </c>
      <c r="AS141" s="66">
        <f t="shared" si="87"/>
        <v>0</v>
      </c>
      <c r="AT141" s="66">
        <f t="shared" si="87"/>
        <v>0</v>
      </c>
      <c r="AU141" s="66">
        <f t="shared" si="87"/>
        <v>0</v>
      </c>
      <c r="AV141" s="66">
        <f t="shared" si="87"/>
        <v>0</v>
      </c>
      <c r="AW141" s="66">
        <f t="shared" si="87"/>
        <v>0</v>
      </c>
      <c r="AX141" s="66">
        <f t="shared" si="87"/>
        <v>0</v>
      </c>
      <c r="AY141" s="66">
        <f t="shared" si="87"/>
        <v>0</v>
      </c>
      <c r="AZ141" s="66">
        <f t="shared" si="87"/>
        <v>0</v>
      </c>
      <c r="BA141" s="66">
        <f t="shared" si="87"/>
        <v>0</v>
      </c>
      <c r="BB141" s="66">
        <f t="shared" si="87"/>
        <v>0</v>
      </c>
      <c r="BC141" s="66">
        <f t="shared" si="87"/>
        <v>0</v>
      </c>
      <c r="BD141" s="66">
        <f t="shared" si="87"/>
        <v>0</v>
      </c>
      <c r="BE141" s="66">
        <f t="shared" si="87"/>
        <v>0</v>
      </c>
      <c r="BF141" s="66">
        <f t="shared" si="87"/>
        <v>0</v>
      </c>
      <c r="BG141" s="66">
        <f t="shared" si="87"/>
        <v>0</v>
      </c>
      <c r="BH141" s="66">
        <f t="shared" si="87"/>
        <v>0</v>
      </c>
      <c r="BI141" s="66">
        <f t="shared" si="87"/>
        <v>0</v>
      </c>
      <c r="BJ141" s="66">
        <f t="shared" si="87"/>
        <v>0</v>
      </c>
      <c r="BY141" s="12"/>
      <c r="BZ141" s="363">
        <f t="shared" si="65"/>
        <v>0</v>
      </c>
      <c r="CA141" s="12"/>
      <c r="CB141" s="7">
        <f t="shared" si="84"/>
        <v>0</v>
      </c>
      <c r="CC141" s="7">
        <f t="shared" si="85"/>
        <v>0</v>
      </c>
      <c r="CD141" s="7">
        <f t="shared" si="86"/>
        <v>0</v>
      </c>
      <c r="CE141" s="42"/>
      <c r="EX141" s="10" t="str">
        <f t="shared" si="0"/>
        <v/>
      </c>
    </row>
    <row r="142" spans="1:154" s="335" customFormat="1" x14ac:dyDescent="0.25">
      <c r="A142" s="362" cm="1">
        <f t="array" aca="1" ref="A142" ca="1">HYPERLINK(CONCATENATE("#",CELL("address",IF(SUM($CA142:$CE142)=0,A142,INDEX($CA142:$CE142,MATCH(1,$CA142:$CE142,0))))),SUM($CA142:$CE142))</f>
        <v>0</v>
      </c>
      <c r="D142" s="10" t="str">
        <f t="shared" si="54"/>
        <v>Custom 43</v>
      </c>
      <c r="E142" s="1"/>
      <c r="H142" s="9"/>
      <c r="AA142" s="203">
        <f t="shared" ref="AA142:BJ142" si="88">IF(SUMIFS($AA55:$BJ55, $AA$3:$BJ$3, AA$3, $AA$4:$BJ$4, 1)=0, 0,(AA55/SUMIFS($AA55:$BJ55, $AA$3:$BJ$3, AA$3, $AA$4:$BJ$4, 1))*AA$4)</f>
        <v>0</v>
      </c>
      <c r="AB142" s="66">
        <f t="shared" si="88"/>
        <v>0</v>
      </c>
      <c r="AC142" s="66">
        <f t="shared" si="88"/>
        <v>0</v>
      </c>
      <c r="AD142" s="66">
        <f t="shared" si="88"/>
        <v>0</v>
      </c>
      <c r="AE142" s="66">
        <f t="shared" si="88"/>
        <v>0</v>
      </c>
      <c r="AF142" s="66">
        <f t="shared" si="88"/>
        <v>0</v>
      </c>
      <c r="AG142" s="66">
        <f t="shared" si="88"/>
        <v>0</v>
      </c>
      <c r="AH142" s="66">
        <f t="shared" si="88"/>
        <v>0</v>
      </c>
      <c r="AI142" s="66">
        <f t="shared" si="88"/>
        <v>0</v>
      </c>
      <c r="AJ142" s="66">
        <f t="shared" si="88"/>
        <v>0</v>
      </c>
      <c r="AK142" s="66">
        <f t="shared" si="88"/>
        <v>0</v>
      </c>
      <c r="AL142" s="66">
        <f t="shared" si="88"/>
        <v>0</v>
      </c>
      <c r="AM142" s="66">
        <f t="shared" si="88"/>
        <v>0</v>
      </c>
      <c r="AN142" s="66">
        <f t="shared" si="88"/>
        <v>0</v>
      </c>
      <c r="AO142" s="66">
        <f t="shared" si="88"/>
        <v>0</v>
      </c>
      <c r="AP142" s="66">
        <f t="shared" si="88"/>
        <v>0</v>
      </c>
      <c r="AQ142" s="66">
        <f t="shared" si="88"/>
        <v>0</v>
      </c>
      <c r="AR142" s="66">
        <f t="shared" si="88"/>
        <v>0</v>
      </c>
      <c r="AS142" s="66">
        <f t="shared" si="88"/>
        <v>0</v>
      </c>
      <c r="AT142" s="66">
        <f t="shared" si="88"/>
        <v>0</v>
      </c>
      <c r="AU142" s="66">
        <f t="shared" si="88"/>
        <v>0</v>
      </c>
      <c r="AV142" s="66">
        <f t="shared" si="88"/>
        <v>0</v>
      </c>
      <c r="AW142" s="66">
        <f t="shared" si="88"/>
        <v>0</v>
      </c>
      <c r="AX142" s="66">
        <f t="shared" si="88"/>
        <v>0</v>
      </c>
      <c r="AY142" s="66">
        <f t="shared" si="88"/>
        <v>0</v>
      </c>
      <c r="AZ142" s="66">
        <f t="shared" si="88"/>
        <v>0</v>
      </c>
      <c r="BA142" s="66">
        <f t="shared" si="88"/>
        <v>0</v>
      </c>
      <c r="BB142" s="66">
        <f t="shared" si="88"/>
        <v>0</v>
      </c>
      <c r="BC142" s="66">
        <f t="shared" si="88"/>
        <v>0</v>
      </c>
      <c r="BD142" s="66">
        <f t="shared" si="88"/>
        <v>0</v>
      </c>
      <c r="BE142" s="66">
        <f t="shared" si="88"/>
        <v>0</v>
      </c>
      <c r="BF142" s="66">
        <f t="shared" si="88"/>
        <v>0</v>
      </c>
      <c r="BG142" s="66">
        <f t="shared" si="88"/>
        <v>0</v>
      </c>
      <c r="BH142" s="66">
        <f t="shared" si="88"/>
        <v>0</v>
      </c>
      <c r="BI142" s="66">
        <f t="shared" si="88"/>
        <v>0</v>
      </c>
      <c r="BJ142" s="66">
        <f t="shared" si="88"/>
        <v>0</v>
      </c>
      <c r="BY142" s="12"/>
      <c r="BZ142" s="363">
        <f t="shared" si="65"/>
        <v>0</v>
      </c>
      <c r="CA142" s="12"/>
      <c r="CB142" s="7">
        <f t="shared" si="84"/>
        <v>0</v>
      </c>
      <c r="CC142" s="7">
        <f t="shared" si="85"/>
        <v>0</v>
      </c>
      <c r="CD142" s="7">
        <f t="shared" si="86"/>
        <v>0</v>
      </c>
      <c r="CE142" s="42"/>
      <c r="EX142" s="10" t="str">
        <f t="shared" si="0"/>
        <v/>
      </c>
    </row>
    <row r="143" spans="1:154" s="335" customFormat="1" x14ac:dyDescent="0.25">
      <c r="A143" s="362" cm="1">
        <f t="array" aca="1" ref="A143" ca="1">HYPERLINK(CONCATENATE("#",CELL("address",IF(SUM($CA143:$CE143)=0,A143,INDEX($CA143:$CE143,MATCH(1,$CA143:$CE143,0))))),SUM($CA143:$CE143))</f>
        <v>0</v>
      </c>
      <c r="D143" s="10" t="str">
        <f t="shared" si="54"/>
        <v>Custom 44</v>
      </c>
      <c r="E143" s="1"/>
      <c r="H143" s="9"/>
      <c r="AA143" s="203">
        <f t="shared" ref="AA143:BJ143" si="89">IF(SUMIFS($AA56:$BJ56, $AA$3:$BJ$3, AA$3, $AA$4:$BJ$4, 1)=0, 0,(AA56/SUMIFS($AA56:$BJ56, $AA$3:$BJ$3, AA$3, $AA$4:$BJ$4, 1))*AA$4)</f>
        <v>0</v>
      </c>
      <c r="AB143" s="66">
        <f t="shared" si="89"/>
        <v>0</v>
      </c>
      <c r="AC143" s="66">
        <f t="shared" si="89"/>
        <v>0</v>
      </c>
      <c r="AD143" s="66">
        <f t="shared" si="89"/>
        <v>0</v>
      </c>
      <c r="AE143" s="66">
        <f t="shared" si="89"/>
        <v>0</v>
      </c>
      <c r="AF143" s="66">
        <f t="shared" si="89"/>
        <v>0</v>
      </c>
      <c r="AG143" s="66">
        <f t="shared" si="89"/>
        <v>0</v>
      </c>
      <c r="AH143" s="66">
        <f t="shared" si="89"/>
        <v>0</v>
      </c>
      <c r="AI143" s="66">
        <f t="shared" si="89"/>
        <v>0</v>
      </c>
      <c r="AJ143" s="66">
        <f t="shared" si="89"/>
        <v>0</v>
      </c>
      <c r="AK143" s="66">
        <f t="shared" si="89"/>
        <v>0</v>
      </c>
      <c r="AL143" s="66">
        <f t="shared" si="89"/>
        <v>0</v>
      </c>
      <c r="AM143" s="66">
        <f t="shared" si="89"/>
        <v>0</v>
      </c>
      <c r="AN143" s="66">
        <f t="shared" si="89"/>
        <v>0</v>
      </c>
      <c r="AO143" s="66">
        <f t="shared" si="89"/>
        <v>0</v>
      </c>
      <c r="AP143" s="66">
        <f t="shared" si="89"/>
        <v>0</v>
      </c>
      <c r="AQ143" s="66">
        <f t="shared" si="89"/>
        <v>0</v>
      </c>
      <c r="AR143" s="66">
        <f t="shared" si="89"/>
        <v>0</v>
      </c>
      <c r="AS143" s="66">
        <f t="shared" si="89"/>
        <v>0</v>
      </c>
      <c r="AT143" s="66">
        <f t="shared" si="89"/>
        <v>0</v>
      </c>
      <c r="AU143" s="66">
        <f t="shared" si="89"/>
        <v>0</v>
      </c>
      <c r="AV143" s="66">
        <f t="shared" si="89"/>
        <v>0</v>
      </c>
      <c r="AW143" s="66">
        <f t="shared" si="89"/>
        <v>0</v>
      </c>
      <c r="AX143" s="66">
        <f t="shared" si="89"/>
        <v>0</v>
      </c>
      <c r="AY143" s="66">
        <f t="shared" si="89"/>
        <v>0</v>
      </c>
      <c r="AZ143" s="66">
        <f t="shared" si="89"/>
        <v>0</v>
      </c>
      <c r="BA143" s="66">
        <f t="shared" si="89"/>
        <v>0</v>
      </c>
      <c r="BB143" s="66">
        <f t="shared" si="89"/>
        <v>0</v>
      </c>
      <c r="BC143" s="66">
        <f t="shared" si="89"/>
        <v>0</v>
      </c>
      <c r="BD143" s="66">
        <f t="shared" si="89"/>
        <v>0</v>
      </c>
      <c r="BE143" s="66">
        <f t="shared" si="89"/>
        <v>0</v>
      </c>
      <c r="BF143" s="66">
        <f t="shared" si="89"/>
        <v>0</v>
      </c>
      <c r="BG143" s="66">
        <f t="shared" si="89"/>
        <v>0</v>
      </c>
      <c r="BH143" s="66">
        <f t="shared" si="89"/>
        <v>0</v>
      </c>
      <c r="BI143" s="66">
        <f t="shared" si="89"/>
        <v>0</v>
      </c>
      <c r="BJ143" s="66">
        <f t="shared" si="89"/>
        <v>0</v>
      </c>
      <c r="BY143" s="12"/>
      <c r="BZ143" s="363">
        <f t="shared" si="65"/>
        <v>0</v>
      </c>
      <c r="CA143" s="12"/>
      <c r="CB143" s="7">
        <f t="shared" si="84"/>
        <v>0</v>
      </c>
      <c r="CC143" s="7">
        <f t="shared" si="85"/>
        <v>0</v>
      </c>
      <c r="CD143" s="7">
        <f t="shared" si="86"/>
        <v>0</v>
      </c>
      <c r="CE143" s="42"/>
      <c r="EX143" s="10" t="str">
        <f t="shared" si="0"/>
        <v/>
      </c>
    </row>
    <row r="144" spans="1:154" s="335" customFormat="1" x14ac:dyDescent="0.25">
      <c r="A144" s="362" cm="1">
        <f t="array" aca="1" ref="A144" ca="1">HYPERLINK(CONCATENATE("#",CELL("address",IF(SUM($CA144:$CE144)=0,A144,INDEX($CA144:$CE144,MATCH(1,$CA144:$CE144,0))))),SUM($CA144:$CE144))</f>
        <v>0</v>
      </c>
      <c r="D144" s="10" t="str">
        <f t="shared" si="54"/>
        <v>Custom 45</v>
      </c>
      <c r="E144" s="1"/>
      <c r="H144" s="9"/>
      <c r="AA144" s="203">
        <f t="shared" ref="AA144:BJ144" si="90">IF(SUMIFS($AA57:$BJ57, $AA$3:$BJ$3, AA$3, $AA$4:$BJ$4, 1)=0, 0,(AA57/SUMIFS($AA57:$BJ57, $AA$3:$BJ$3, AA$3, $AA$4:$BJ$4, 1))*AA$4)</f>
        <v>0</v>
      </c>
      <c r="AB144" s="66">
        <f t="shared" si="90"/>
        <v>0</v>
      </c>
      <c r="AC144" s="66">
        <f t="shared" si="90"/>
        <v>0</v>
      </c>
      <c r="AD144" s="66">
        <f t="shared" si="90"/>
        <v>0</v>
      </c>
      <c r="AE144" s="66">
        <f t="shared" si="90"/>
        <v>0</v>
      </c>
      <c r="AF144" s="66">
        <f t="shared" si="90"/>
        <v>0</v>
      </c>
      <c r="AG144" s="66">
        <f t="shared" si="90"/>
        <v>0</v>
      </c>
      <c r="AH144" s="66">
        <f t="shared" si="90"/>
        <v>0</v>
      </c>
      <c r="AI144" s="66">
        <f t="shared" si="90"/>
        <v>0</v>
      </c>
      <c r="AJ144" s="66">
        <f t="shared" si="90"/>
        <v>0</v>
      </c>
      <c r="AK144" s="66">
        <f t="shared" si="90"/>
        <v>0</v>
      </c>
      <c r="AL144" s="66">
        <f t="shared" si="90"/>
        <v>0</v>
      </c>
      <c r="AM144" s="66">
        <f t="shared" si="90"/>
        <v>0</v>
      </c>
      <c r="AN144" s="66">
        <f t="shared" si="90"/>
        <v>0</v>
      </c>
      <c r="AO144" s="66">
        <f t="shared" si="90"/>
        <v>0</v>
      </c>
      <c r="AP144" s="66">
        <f t="shared" si="90"/>
        <v>0</v>
      </c>
      <c r="AQ144" s="66">
        <f t="shared" si="90"/>
        <v>0</v>
      </c>
      <c r="AR144" s="66">
        <f t="shared" si="90"/>
        <v>0</v>
      </c>
      <c r="AS144" s="66">
        <f t="shared" si="90"/>
        <v>0</v>
      </c>
      <c r="AT144" s="66">
        <f t="shared" si="90"/>
        <v>0</v>
      </c>
      <c r="AU144" s="66">
        <f t="shared" si="90"/>
        <v>0</v>
      </c>
      <c r="AV144" s="66">
        <f t="shared" si="90"/>
        <v>0</v>
      </c>
      <c r="AW144" s="66">
        <f t="shared" si="90"/>
        <v>0</v>
      </c>
      <c r="AX144" s="66">
        <f t="shared" si="90"/>
        <v>0</v>
      </c>
      <c r="AY144" s="66">
        <f t="shared" si="90"/>
        <v>0</v>
      </c>
      <c r="AZ144" s="66">
        <f t="shared" si="90"/>
        <v>0</v>
      </c>
      <c r="BA144" s="66">
        <f t="shared" si="90"/>
        <v>0</v>
      </c>
      <c r="BB144" s="66">
        <f t="shared" si="90"/>
        <v>0</v>
      </c>
      <c r="BC144" s="66">
        <f t="shared" si="90"/>
        <v>0</v>
      </c>
      <c r="BD144" s="66">
        <f t="shared" si="90"/>
        <v>0</v>
      </c>
      <c r="BE144" s="66">
        <f t="shared" si="90"/>
        <v>0</v>
      </c>
      <c r="BF144" s="66">
        <f t="shared" si="90"/>
        <v>0</v>
      </c>
      <c r="BG144" s="66">
        <f t="shared" si="90"/>
        <v>0</v>
      </c>
      <c r="BH144" s="66">
        <f t="shared" si="90"/>
        <v>0</v>
      </c>
      <c r="BI144" s="66">
        <f t="shared" si="90"/>
        <v>0</v>
      </c>
      <c r="BJ144" s="66">
        <f t="shared" si="90"/>
        <v>0</v>
      </c>
      <c r="BY144" s="12"/>
      <c r="BZ144" s="363">
        <f t="shared" si="65"/>
        <v>0</v>
      </c>
      <c r="CA144" s="12"/>
      <c r="CB144" s="7">
        <f t="shared" si="84"/>
        <v>0</v>
      </c>
      <c r="CC144" s="7">
        <f t="shared" si="85"/>
        <v>0</v>
      </c>
      <c r="CD144" s="7">
        <f t="shared" si="86"/>
        <v>0</v>
      </c>
      <c r="CE144" s="42"/>
      <c r="EX144" s="10" t="str">
        <f t="shared" si="0"/>
        <v/>
      </c>
    </row>
    <row r="145" spans="1:154" s="335" customFormat="1" x14ac:dyDescent="0.25">
      <c r="A145" s="362" cm="1">
        <f t="array" aca="1" ref="A145" ca="1">HYPERLINK(CONCATENATE("#",CELL("address",IF(SUM($CA145:$CE145)=0,A145,INDEX($CA145:$CE145,MATCH(1,$CA145:$CE145,0))))),SUM($CA145:$CE145))</f>
        <v>0</v>
      </c>
      <c r="D145" s="10" t="str">
        <f t="shared" si="54"/>
        <v>Custom 46</v>
      </c>
      <c r="E145" s="1"/>
      <c r="H145" s="9"/>
      <c r="AA145" s="203">
        <f t="shared" ref="AA145:BJ145" si="91">IF(SUMIFS($AA58:$BJ58, $AA$3:$BJ$3, AA$3, $AA$4:$BJ$4, 1)=0, 0,(AA58/SUMIFS($AA58:$BJ58, $AA$3:$BJ$3, AA$3, $AA$4:$BJ$4, 1))*AA$4)</f>
        <v>0</v>
      </c>
      <c r="AB145" s="66">
        <f t="shared" si="91"/>
        <v>0</v>
      </c>
      <c r="AC145" s="66">
        <f t="shared" si="91"/>
        <v>0</v>
      </c>
      <c r="AD145" s="66">
        <f t="shared" si="91"/>
        <v>0</v>
      </c>
      <c r="AE145" s="66">
        <f t="shared" si="91"/>
        <v>0</v>
      </c>
      <c r="AF145" s="66">
        <f t="shared" si="91"/>
        <v>0</v>
      </c>
      <c r="AG145" s="66">
        <f t="shared" si="91"/>
        <v>0</v>
      </c>
      <c r="AH145" s="66">
        <f t="shared" si="91"/>
        <v>0</v>
      </c>
      <c r="AI145" s="66">
        <f t="shared" si="91"/>
        <v>0</v>
      </c>
      <c r="AJ145" s="66">
        <f t="shared" si="91"/>
        <v>0</v>
      </c>
      <c r="AK145" s="66">
        <f t="shared" si="91"/>
        <v>0</v>
      </c>
      <c r="AL145" s="66">
        <f t="shared" si="91"/>
        <v>0</v>
      </c>
      <c r="AM145" s="66">
        <f t="shared" si="91"/>
        <v>0</v>
      </c>
      <c r="AN145" s="66">
        <f t="shared" si="91"/>
        <v>0</v>
      </c>
      <c r="AO145" s="66">
        <f t="shared" si="91"/>
        <v>0</v>
      </c>
      <c r="AP145" s="66">
        <f t="shared" si="91"/>
        <v>0</v>
      </c>
      <c r="AQ145" s="66">
        <f t="shared" si="91"/>
        <v>0</v>
      </c>
      <c r="AR145" s="66">
        <f t="shared" si="91"/>
        <v>0</v>
      </c>
      <c r="AS145" s="66">
        <f t="shared" si="91"/>
        <v>0</v>
      </c>
      <c r="AT145" s="66">
        <f t="shared" si="91"/>
        <v>0</v>
      </c>
      <c r="AU145" s="66">
        <f t="shared" si="91"/>
        <v>0</v>
      </c>
      <c r="AV145" s="66">
        <f t="shared" si="91"/>
        <v>0</v>
      </c>
      <c r="AW145" s="66">
        <f t="shared" si="91"/>
        <v>0</v>
      </c>
      <c r="AX145" s="66">
        <f t="shared" si="91"/>
        <v>0</v>
      </c>
      <c r="AY145" s="66">
        <f t="shared" si="91"/>
        <v>0</v>
      </c>
      <c r="AZ145" s="66">
        <f t="shared" si="91"/>
        <v>0</v>
      </c>
      <c r="BA145" s="66">
        <f t="shared" si="91"/>
        <v>0</v>
      </c>
      <c r="BB145" s="66">
        <f t="shared" si="91"/>
        <v>0</v>
      </c>
      <c r="BC145" s="66">
        <f t="shared" si="91"/>
        <v>0</v>
      </c>
      <c r="BD145" s="66">
        <f t="shared" si="91"/>
        <v>0</v>
      </c>
      <c r="BE145" s="66">
        <f t="shared" si="91"/>
        <v>0</v>
      </c>
      <c r="BF145" s="66">
        <f t="shared" si="91"/>
        <v>0</v>
      </c>
      <c r="BG145" s="66">
        <f t="shared" si="91"/>
        <v>0</v>
      </c>
      <c r="BH145" s="66">
        <f t="shared" si="91"/>
        <v>0</v>
      </c>
      <c r="BI145" s="66">
        <f t="shared" si="91"/>
        <v>0</v>
      </c>
      <c r="BJ145" s="66">
        <f t="shared" si="91"/>
        <v>0</v>
      </c>
      <c r="BY145" s="12"/>
      <c r="BZ145" s="363">
        <f t="shared" si="65"/>
        <v>0</v>
      </c>
      <c r="CA145" s="12"/>
      <c r="CB145" s="7">
        <f t="shared" si="84"/>
        <v>0</v>
      </c>
      <c r="CC145" s="7">
        <f t="shared" si="85"/>
        <v>0</v>
      </c>
      <c r="CD145" s="7">
        <f t="shared" si="86"/>
        <v>0</v>
      </c>
      <c r="CE145" s="42"/>
      <c r="EX145" s="10" t="str">
        <f t="shared" si="0"/>
        <v/>
      </c>
    </row>
    <row r="146" spans="1:154" s="335" customFormat="1" x14ac:dyDescent="0.25">
      <c r="A146" s="362" cm="1">
        <f t="array" aca="1" ref="A146" ca="1">HYPERLINK(CONCATENATE("#",CELL("address",IF(SUM($CA146:$CE146)=0,A146,INDEX($CA146:$CE146,MATCH(1,$CA146:$CE146,0))))),SUM($CA146:$CE146))</f>
        <v>0</v>
      </c>
      <c r="D146" s="10" t="str">
        <f t="shared" si="54"/>
        <v>Custom 47</v>
      </c>
      <c r="E146" s="1"/>
      <c r="H146" s="9"/>
      <c r="AA146" s="203">
        <f t="shared" ref="AA146:BJ146" si="92">IF(SUMIFS($AA59:$BJ59, $AA$3:$BJ$3, AA$3, $AA$4:$BJ$4, 1)=0, 0,(AA59/SUMIFS($AA59:$BJ59, $AA$3:$BJ$3, AA$3, $AA$4:$BJ$4, 1))*AA$4)</f>
        <v>0</v>
      </c>
      <c r="AB146" s="66">
        <f t="shared" si="92"/>
        <v>0</v>
      </c>
      <c r="AC146" s="66">
        <f t="shared" si="92"/>
        <v>0</v>
      </c>
      <c r="AD146" s="66">
        <f t="shared" si="92"/>
        <v>0</v>
      </c>
      <c r="AE146" s="66">
        <f t="shared" si="92"/>
        <v>0</v>
      </c>
      <c r="AF146" s="66">
        <f t="shared" si="92"/>
        <v>0</v>
      </c>
      <c r="AG146" s="66">
        <f t="shared" si="92"/>
        <v>0</v>
      </c>
      <c r="AH146" s="66">
        <f t="shared" si="92"/>
        <v>0</v>
      </c>
      <c r="AI146" s="66">
        <f t="shared" si="92"/>
        <v>0</v>
      </c>
      <c r="AJ146" s="66">
        <f t="shared" si="92"/>
        <v>0</v>
      </c>
      <c r="AK146" s="66">
        <f t="shared" si="92"/>
        <v>0</v>
      </c>
      <c r="AL146" s="66">
        <f t="shared" si="92"/>
        <v>0</v>
      </c>
      <c r="AM146" s="66">
        <f t="shared" si="92"/>
        <v>0</v>
      </c>
      <c r="AN146" s="66">
        <f t="shared" si="92"/>
        <v>0</v>
      </c>
      <c r="AO146" s="66">
        <f t="shared" si="92"/>
        <v>0</v>
      </c>
      <c r="AP146" s="66">
        <f t="shared" si="92"/>
        <v>0</v>
      </c>
      <c r="AQ146" s="66">
        <f t="shared" si="92"/>
        <v>0</v>
      </c>
      <c r="AR146" s="66">
        <f t="shared" si="92"/>
        <v>0</v>
      </c>
      <c r="AS146" s="66">
        <f t="shared" si="92"/>
        <v>0</v>
      </c>
      <c r="AT146" s="66">
        <f t="shared" si="92"/>
        <v>0</v>
      </c>
      <c r="AU146" s="66">
        <f t="shared" si="92"/>
        <v>0</v>
      </c>
      <c r="AV146" s="66">
        <f t="shared" si="92"/>
        <v>0</v>
      </c>
      <c r="AW146" s="66">
        <f t="shared" si="92"/>
        <v>0</v>
      </c>
      <c r="AX146" s="66">
        <f t="shared" si="92"/>
        <v>0</v>
      </c>
      <c r="AY146" s="66">
        <f t="shared" si="92"/>
        <v>0</v>
      </c>
      <c r="AZ146" s="66">
        <f t="shared" si="92"/>
        <v>0</v>
      </c>
      <c r="BA146" s="66">
        <f t="shared" si="92"/>
        <v>0</v>
      </c>
      <c r="BB146" s="66">
        <f t="shared" si="92"/>
        <v>0</v>
      </c>
      <c r="BC146" s="66">
        <f t="shared" si="92"/>
        <v>0</v>
      </c>
      <c r="BD146" s="66">
        <f t="shared" si="92"/>
        <v>0</v>
      </c>
      <c r="BE146" s="66">
        <f t="shared" si="92"/>
        <v>0</v>
      </c>
      <c r="BF146" s="66">
        <f t="shared" si="92"/>
        <v>0</v>
      </c>
      <c r="BG146" s="66">
        <f t="shared" si="92"/>
        <v>0</v>
      </c>
      <c r="BH146" s="66">
        <f t="shared" si="92"/>
        <v>0</v>
      </c>
      <c r="BI146" s="66">
        <f t="shared" si="92"/>
        <v>0</v>
      </c>
      <c r="BJ146" s="66">
        <f t="shared" si="92"/>
        <v>0</v>
      </c>
      <c r="BY146" s="12"/>
      <c r="BZ146" s="363">
        <f t="shared" si="65"/>
        <v>0</v>
      </c>
      <c r="CA146" s="12"/>
      <c r="CB146" s="7">
        <f t="shared" si="84"/>
        <v>0</v>
      </c>
      <c r="CC146" s="7">
        <f t="shared" si="85"/>
        <v>0</v>
      </c>
      <c r="CD146" s="7">
        <f t="shared" si="86"/>
        <v>0</v>
      </c>
      <c r="CE146" s="42"/>
      <c r="EX146" s="10" t="str">
        <f t="shared" si="0"/>
        <v/>
      </c>
    </row>
    <row r="147" spans="1:154" s="335" customFormat="1" x14ac:dyDescent="0.25">
      <c r="A147" s="362" cm="1">
        <f t="array" aca="1" ref="A147" ca="1">HYPERLINK(CONCATENATE("#",CELL("address",IF(SUM($CA147:$CE147)=0,A147,INDEX($CA147:$CE147,MATCH(1,$CA147:$CE147,0))))),SUM($CA147:$CE147))</f>
        <v>0</v>
      </c>
      <c r="D147" s="10" t="str">
        <f t="shared" si="54"/>
        <v>Custom 48</v>
      </c>
      <c r="E147" s="1"/>
      <c r="H147" s="9"/>
      <c r="AA147" s="203">
        <f t="shared" ref="AA147:BJ147" si="93">IF(SUMIFS($AA60:$BJ60, $AA$3:$BJ$3, AA$3, $AA$4:$BJ$4, 1)=0, 0,(AA60/SUMIFS($AA60:$BJ60, $AA$3:$BJ$3, AA$3, $AA$4:$BJ$4, 1))*AA$4)</f>
        <v>0</v>
      </c>
      <c r="AB147" s="66">
        <f t="shared" si="93"/>
        <v>0</v>
      </c>
      <c r="AC147" s="66">
        <f t="shared" si="93"/>
        <v>0</v>
      </c>
      <c r="AD147" s="66">
        <f t="shared" si="93"/>
        <v>0</v>
      </c>
      <c r="AE147" s="66">
        <f t="shared" si="93"/>
        <v>0</v>
      </c>
      <c r="AF147" s="66">
        <f t="shared" si="93"/>
        <v>0</v>
      </c>
      <c r="AG147" s="66">
        <f t="shared" si="93"/>
        <v>0</v>
      </c>
      <c r="AH147" s="66">
        <f t="shared" si="93"/>
        <v>0</v>
      </c>
      <c r="AI147" s="66">
        <f t="shared" si="93"/>
        <v>0</v>
      </c>
      <c r="AJ147" s="66">
        <f t="shared" si="93"/>
        <v>0</v>
      </c>
      <c r="AK147" s="66">
        <f t="shared" si="93"/>
        <v>0</v>
      </c>
      <c r="AL147" s="66">
        <f t="shared" si="93"/>
        <v>0</v>
      </c>
      <c r="AM147" s="66">
        <f t="shared" si="93"/>
        <v>0</v>
      </c>
      <c r="AN147" s="66">
        <f t="shared" si="93"/>
        <v>0</v>
      </c>
      <c r="AO147" s="66">
        <f t="shared" si="93"/>
        <v>0</v>
      </c>
      <c r="AP147" s="66">
        <f t="shared" si="93"/>
        <v>0</v>
      </c>
      <c r="AQ147" s="66">
        <f t="shared" si="93"/>
        <v>0</v>
      </c>
      <c r="AR147" s="66">
        <f t="shared" si="93"/>
        <v>0</v>
      </c>
      <c r="AS147" s="66">
        <f t="shared" si="93"/>
        <v>0</v>
      </c>
      <c r="AT147" s="66">
        <f t="shared" si="93"/>
        <v>0</v>
      </c>
      <c r="AU147" s="66">
        <f t="shared" si="93"/>
        <v>0</v>
      </c>
      <c r="AV147" s="66">
        <f t="shared" si="93"/>
        <v>0</v>
      </c>
      <c r="AW147" s="66">
        <f t="shared" si="93"/>
        <v>0</v>
      </c>
      <c r="AX147" s="66">
        <f t="shared" si="93"/>
        <v>0</v>
      </c>
      <c r="AY147" s="66">
        <f t="shared" si="93"/>
        <v>0</v>
      </c>
      <c r="AZ147" s="66">
        <f t="shared" si="93"/>
        <v>0</v>
      </c>
      <c r="BA147" s="66">
        <f t="shared" si="93"/>
        <v>0</v>
      </c>
      <c r="BB147" s="66">
        <f t="shared" si="93"/>
        <v>0</v>
      </c>
      <c r="BC147" s="66">
        <f t="shared" si="93"/>
        <v>0</v>
      </c>
      <c r="BD147" s="66">
        <f t="shared" si="93"/>
        <v>0</v>
      </c>
      <c r="BE147" s="66">
        <f t="shared" si="93"/>
        <v>0</v>
      </c>
      <c r="BF147" s="66">
        <f t="shared" si="93"/>
        <v>0</v>
      </c>
      <c r="BG147" s="66">
        <f t="shared" si="93"/>
        <v>0</v>
      </c>
      <c r="BH147" s="66">
        <f t="shared" si="93"/>
        <v>0</v>
      </c>
      <c r="BI147" s="66">
        <f t="shared" si="93"/>
        <v>0</v>
      </c>
      <c r="BJ147" s="66">
        <f t="shared" si="93"/>
        <v>0</v>
      </c>
      <c r="BY147" s="12"/>
      <c r="BZ147" s="363">
        <f t="shared" si="65"/>
        <v>0</v>
      </c>
      <c r="CA147" s="12"/>
      <c r="CB147" s="7">
        <f t="shared" si="84"/>
        <v>0</v>
      </c>
      <c r="CC147" s="7">
        <f t="shared" si="85"/>
        <v>0</v>
      </c>
      <c r="CD147" s="7">
        <f t="shared" si="86"/>
        <v>0</v>
      </c>
      <c r="CE147" s="42"/>
      <c r="EX147" s="10" t="str">
        <f t="shared" si="0"/>
        <v/>
      </c>
    </row>
    <row r="148" spans="1:154" s="335" customFormat="1" x14ac:dyDescent="0.25">
      <c r="A148" s="362" cm="1">
        <f t="array" aca="1" ref="A148" ca="1">HYPERLINK(CONCATENATE("#",CELL("address",IF(SUM($CA148:$CE148)=0,A148,INDEX($CA148:$CE148,MATCH(1,$CA148:$CE148,0))))),SUM($CA148:$CE148))</f>
        <v>0</v>
      </c>
      <c r="D148" s="10" t="str">
        <f t="shared" si="54"/>
        <v>Custom 49</v>
      </c>
      <c r="E148" s="1"/>
      <c r="H148" s="9"/>
      <c r="AA148" s="203">
        <f t="shared" ref="AA148:BJ148" si="94">IF(SUMIFS($AA61:$BJ61, $AA$3:$BJ$3, AA$3, $AA$4:$BJ$4, 1)=0, 0,(AA61/SUMIFS($AA61:$BJ61, $AA$3:$BJ$3, AA$3, $AA$4:$BJ$4, 1))*AA$4)</f>
        <v>0</v>
      </c>
      <c r="AB148" s="66">
        <f t="shared" si="94"/>
        <v>0</v>
      </c>
      <c r="AC148" s="66">
        <f t="shared" si="94"/>
        <v>0</v>
      </c>
      <c r="AD148" s="66">
        <f t="shared" si="94"/>
        <v>0</v>
      </c>
      <c r="AE148" s="66">
        <f t="shared" si="94"/>
        <v>0</v>
      </c>
      <c r="AF148" s="66">
        <f t="shared" si="94"/>
        <v>0</v>
      </c>
      <c r="AG148" s="66">
        <f t="shared" si="94"/>
        <v>0</v>
      </c>
      <c r="AH148" s="66">
        <f t="shared" si="94"/>
        <v>0</v>
      </c>
      <c r="AI148" s="66">
        <f t="shared" si="94"/>
        <v>0</v>
      </c>
      <c r="AJ148" s="66">
        <f t="shared" si="94"/>
        <v>0</v>
      </c>
      <c r="AK148" s="66">
        <f t="shared" si="94"/>
        <v>0</v>
      </c>
      <c r="AL148" s="66">
        <f t="shared" si="94"/>
        <v>0</v>
      </c>
      <c r="AM148" s="66">
        <f t="shared" si="94"/>
        <v>0</v>
      </c>
      <c r="AN148" s="66">
        <f t="shared" si="94"/>
        <v>0</v>
      </c>
      <c r="AO148" s="66">
        <f t="shared" si="94"/>
        <v>0</v>
      </c>
      <c r="AP148" s="66">
        <f t="shared" si="94"/>
        <v>0</v>
      </c>
      <c r="AQ148" s="66">
        <f t="shared" si="94"/>
        <v>0</v>
      </c>
      <c r="AR148" s="66">
        <f t="shared" si="94"/>
        <v>0</v>
      </c>
      <c r="AS148" s="66">
        <f t="shared" si="94"/>
        <v>0</v>
      </c>
      <c r="AT148" s="66">
        <f t="shared" si="94"/>
        <v>0</v>
      </c>
      <c r="AU148" s="66">
        <f t="shared" si="94"/>
        <v>0</v>
      </c>
      <c r="AV148" s="66">
        <f t="shared" si="94"/>
        <v>0</v>
      </c>
      <c r="AW148" s="66">
        <f t="shared" si="94"/>
        <v>0</v>
      </c>
      <c r="AX148" s="66">
        <f t="shared" si="94"/>
        <v>0</v>
      </c>
      <c r="AY148" s="66">
        <f t="shared" si="94"/>
        <v>0</v>
      </c>
      <c r="AZ148" s="66">
        <f t="shared" si="94"/>
        <v>0</v>
      </c>
      <c r="BA148" s="66">
        <f t="shared" si="94"/>
        <v>0</v>
      </c>
      <c r="BB148" s="66">
        <f t="shared" si="94"/>
        <v>0</v>
      </c>
      <c r="BC148" s="66">
        <f t="shared" si="94"/>
        <v>0</v>
      </c>
      <c r="BD148" s="66">
        <f t="shared" si="94"/>
        <v>0</v>
      </c>
      <c r="BE148" s="66">
        <f t="shared" si="94"/>
        <v>0</v>
      </c>
      <c r="BF148" s="66">
        <f t="shared" si="94"/>
        <v>0</v>
      </c>
      <c r="BG148" s="66">
        <f t="shared" si="94"/>
        <v>0</v>
      </c>
      <c r="BH148" s="66">
        <f t="shared" si="94"/>
        <v>0</v>
      </c>
      <c r="BI148" s="66">
        <f t="shared" si="94"/>
        <v>0</v>
      </c>
      <c r="BJ148" s="66">
        <f t="shared" si="94"/>
        <v>0</v>
      </c>
      <c r="BY148" s="12"/>
      <c r="BZ148" s="363">
        <f t="shared" si="65"/>
        <v>0</v>
      </c>
      <c r="CA148" s="12"/>
      <c r="CB148" s="7">
        <f t="shared" si="84"/>
        <v>0</v>
      </c>
      <c r="CC148" s="7">
        <f t="shared" si="85"/>
        <v>0</v>
      </c>
      <c r="CD148" s="7">
        <f t="shared" si="86"/>
        <v>0</v>
      </c>
      <c r="CE148" s="42"/>
      <c r="EX148" s="10" t="str">
        <f t="shared" si="0"/>
        <v/>
      </c>
    </row>
    <row r="149" spans="1:154" s="335" customFormat="1" x14ac:dyDescent="0.25">
      <c r="A149" s="362" cm="1">
        <f t="array" aca="1" ref="A149" ca="1">HYPERLINK(CONCATENATE("#",CELL("address",IF(SUM($CA149:$CE149)=0,A149,INDEX($CA149:$CE149,MATCH(1,$CA149:$CE149,0))))),SUM($CA149:$CE149))</f>
        <v>0</v>
      </c>
      <c r="D149" s="10" t="str">
        <f t="shared" si="54"/>
        <v>Custom 50</v>
      </c>
      <c r="E149" s="1"/>
      <c r="H149" s="9"/>
      <c r="AA149" s="203">
        <f t="shared" ref="AA149:BJ149" si="95">IF(SUMIFS($AA62:$BJ62, $AA$3:$BJ$3, AA$3, $AA$4:$BJ$4, 1)=0, 0,(AA62/SUMIFS($AA62:$BJ62, $AA$3:$BJ$3, AA$3, $AA$4:$BJ$4, 1))*AA$4)</f>
        <v>0</v>
      </c>
      <c r="AB149" s="66">
        <f t="shared" si="95"/>
        <v>0</v>
      </c>
      <c r="AC149" s="66">
        <f t="shared" si="95"/>
        <v>0</v>
      </c>
      <c r="AD149" s="66">
        <f t="shared" si="95"/>
        <v>0</v>
      </c>
      <c r="AE149" s="66">
        <f t="shared" si="95"/>
        <v>0</v>
      </c>
      <c r="AF149" s="66">
        <f t="shared" si="95"/>
        <v>0</v>
      </c>
      <c r="AG149" s="66">
        <f t="shared" si="95"/>
        <v>0</v>
      </c>
      <c r="AH149" s="66">
        <f t="shared" si="95"/>
        <v>0</v>
      </c>
      <c r="AI149" s="66">
        <f t="shared" si="95"/>
        <v>0</v>
      </c>
      <c r="AJ149" s="66">
        <f t="shared" si="95"/>
        <v>0</v>
      </c>
      <c r="AK149" s="66">
        <f t="shared" si="95"/>
        <v>0</v>
      </c>
      <c r="AL149" s="66">
        <f t="shared" si="95"/>
        <v>0</v>
      </c>
      <c r="AM149" s="66">
        <f t="shared" si="95"/>
        <v>0</v>
      </c>
      <c r="AN149" s="66">
        <f t="shared" si="95"/>
        <v>0</v>
      </c>
      <c r="AO149" s="66">
        <f t="shared" si="95"/>
        <v>0</v>
      </c>
      <c r="AP149" s="66">
        <f t="shared" si="95"/>
        <v>0</v>
      </c>
      <c r="AQ149" s="66">
        <f t="shared" si="95"/>
        <v>0</v>
      </c>
      <c r="AR149" s="66">
        <f t="shared" si="95"/>
        <v>0</v>
      </c>
      <c r="AS149" s="66">
        <f t="shared" si="95"/>
        <v>0</v>
      </c>
      <c r="AT149" s="66">
        <f t="shared" si="95"/>
        <v>0</v>
      </c>
      <c r="AU149" s="66">
        <f t="shared" si="95"/>
        <v>0</v>
      </c>
      <c r="AV149" s="66">
        <f t="shared" si="95"/>
        <v>0</v>
      </c>
      <c r="AW149" s="66">
        <f t="shared" si="95"/>
        <v>0</v>
      </c>
      <c r="AX149" s="66">
        <f t="shared" si="95"/>
        <v>0</v>
      </c>
      <c r="AY149" s="66">
        <f t="shared" si="95"/>
        <v>0</v>
      </c>
      <c r="AZ149" s="66">
        <f t="shared" si="95"/>
        <v>0</v>
      </c>
      <c r="BA149" s="66">
        <f t="shared" si="95"/>
        <v>0</v>
      </c>
      <c r="BB149" s="66">
        <f t="shared" si="95"/>
        <v>0</v>
      </c>
      <c r="BC149" s="66">
        <f t="shared" si="95"/>
        <v>0</v>
      </c>
      <c r="BD149" s="66">
        <f t="shared" si="95"/>
        <v>0</v>
      </c>
      <c r="BE149" s="66">
        <f t="shared" si="95"/>
        <v>0</v>
      </c>
      <c r="BF149" s="66">
        <f t="shared" si="95"/>
        <v>0</v>
      </c>
      <c r="BG149" s="66">
        <f t="shared" si="95"/>
        <v>0</v>
      </c>
      <c r="BH149" s="66">
        <f t="shared" si="95"/>
        <v>0</v>
      </c>
      <c r="BI149" s="66">
        <f t="shared" si="95"/>
        <v>0</v>
      </c>
      <c r="BJ149" s="66">
        <f t="shared" si="95"/>
        <v>0</v>
      </c>
      <c r="BY149" s="12"/>
      <c r="BZ149" s="363">
        <f t="shared" si="65"/>
        <v>0</v>
      </c>
      <c r="CA149" s="12"/>
      <c r="CB149" s="7">
        <f t="shared" si="84"/>
        <v>0</v>
      </c>
      <c r="CC149" s="7">
        <f t="shared" si="85"/>
        <v>0</v>
      </c>
      <c r="CD149" s="7">
        <f t="shared" si="86"/>
        <v>0</v>
      </c>
      <c r="CE149" s="42"/>
      <c r="EX149" s="10" t="str">
        <f t="shared" si="0"/>
        <v/>
      </c>
    </row>
    <row r="150" spans="1:154" s="335" customFormat="1" x14ac:dyDescent="0.25">
      <c r="A150" s="362" cm="1">
        <f t="array" aca="1" ref="A150" ca="1">HYPERLINK(CONCATENATE("#",CELL("address",IF(SUM($CA150:$CE150)=0,A150,INDEX($CA150:$CE150,MATCH(1,$CA150:$CE150,0))))),SUM($CA150:$CE150))</f>
        <v>0</v>
      </c>
      <c r="D150" s="10" t="str">
        <f t="shared" si="54"/>
        <v>Custom 51</v>
      </c>
      <c r="E150" s="1"/>
      <c r="H150" s="9"/>
      <c r="AA150" s="203">
        <f t="shared" ref="AA150:BJ150" si="96">IF(SUMIFS($AA63:$BJ63, $AA$3:$BJ$3, AA$3, $AA$4:$BJ$4, 1)=0, 0,(AA63/SUMIFS($AA63:$BJ63, $AA$3:$BJ$3, AA$3, $AA$4:$BJ$4, 1))*AA$4)</f>
        <v>0</v>
      </c>
      <c r="AB150" s="66">
        <f t="shared" si="96"/>
        <v>0</v>
      </c>
      <c r="AC150" s="66">
        <f t="shared" si="96"/>
        <v>0</v>
      </c>
      <c r="AD150" s="66">
        <f t="shared" si="96"/>
        <v>0</v>
      </c>
      <c r="AE150" s="66">
        <f t="shared" si="96"/>
        <v>0</v>
      </c>
      <c r="AF150" s="66">
        <f t="shared" si="96"/>
        <v>0</v>
      </c>
      <c r="AG150" s="66">
        <f t="shared" si="96"/>
        <v>0</v>
      </c>
      <c r="AH150" s="66">
        <f t="shared" si="96"/>
        <v>0</v>
      </c>
      <c r="AI150" s="66">
        <f t="shared" si="96"/>
        <v>0</v>
      </c>
      <c r="AJ150" s="66">
        <f t="shared" si="96"/>
        <v>0</v>
      </c>
      <c r="AK150" s="66">
        <f t="shared" si="96"/>
        <v>0</v>
      </c>
      <c r="AL150" s="66">
        <f t="shared" si="96"/>
        <v>0</v>
      </c>
      <c r="AM150" s="66">
        <f t="shared" si="96"/>
        <v>0</v>
      </c>
      <c r="AN150" s="66">
        <f t="shared" si="96"/>
        <v>0</v>
      </c>
      <c r="AO150" s="66">
        <f t="shared" si="96"/>
        <v>0</v>
      </c>
      <c r="AP150" s="66">
        <f t="shared" si="96"/>
        <v>0</v>
      </c>
      <c r="AQ150" s="66">
        <f t="shared" si="96"/>
        <v>0</v>
      </c>
      <c r="AR150" s="66">
        <f t="shared" si="96"/>
        <v>0</v>
      </c>
      <c r="AS150" s="66">
        <f t="shared" si="96"/>
        <v>0</v>
      </c>
      <c r="AT150" s="66">
        <f t="shared" si="96"/>
        <v>0</v>
      </c>
      <c r="AU150" s="66">
        <f t="shared" si="96"/>
        <v>0</v>
      </c>
      <c r="AV150" s="66">
        <f t="shared" si="96"/>
        <v>0</v>
      </c>
      <c r="AW150" s="66">
        <f t="shared" si="96"/>
        <v>0</v>
      </c>
      <c r="AX150" s="66">
        <f t="shared" si="96"/>
        <v>0</v>
      </c>
      <c r="AY150" s="66">
        <f t="shared" si="96"/>
        <v>0</v>
      </c>
      <c r="AZ150" s="66">
        <f t="shared" si="96"/>
        <v>0</v>
      </c>
      <c r="BA150" s="66">
        <f t="shared" si="96"/>
        <v>0</v>
      </c>
      <c r="BB150" s="66">
        <f t="shared" si="96"/>
        <v>0</v>
      </c>
      <c r="BC150" s="66">
        <f t="shared" si="96"/>
        <v>0</v>
      </c>
      <c r="BD150" s="66">
        <f t="shared" si="96"/>
        <v>0</v>
      </c>
      <c r="BE150" s="66">
        <f t="shared" si="96"/>
        <v>0</v>
      </c>
      <c r="BF150" s="66">
        <f t="shared" si="96"/>
        <v>0</v>
      </c>
      <c r="BG150" s="66">
        <f t="shared" si="96"/>
        <v>0</v>
      </c>
      <c r="BH150" s="66">
        <f t="shared" si="96"/>
        <v>0</v>
      </c>
      <c r="BI150" s="66">
        <f t="shared" si="96"/>
        <v>0</v>
      </c>
      <c r="BJ150" s="66">
        <f t="shared" si="96"/>
        <v>0</v>
      </c>
      <c r="BY150" s="12"/>
      <c r="BZ150" s="363">
        <f t="shared" si="65"/>
        <v>0</v>
      </c>
      <c r="CA150" s="12"/>
      <c r="CB150" s="7">
        <f t="shared" si="84"/>
        <v>0</v>
      </c>
      <c r="CC150" s="7">
        <f t="shared" si="85"/>
        <v>0</v>
      </c>
      <c r="CD150" s="7">
        <f t="shared" si="86"/>
        <v>0</v>
      </c>
      <c r="CE150" s="42"/>
      <c r="EX150" s="10" t="str">
        <f t="shared" si="0"/>
        <v/>
      </c>
    </row>
    <row r="151" spans="1:154" s="335" customFormat="1" x14ac:dyDescent="0.25">
      <c r="A151" s="362" cm="1">
        <f t="array" aca="1" ref="A151" ca="1">HYPERLINK(CONCATENATE("#",CELL("address",IF(SUM($CA151:$CE151)=0,A151,INDEX($CA151:$CE151,MATCH(1,$CA151:$CE151,0))))),SUM($CA151:$CE151))</f>
        <v>0</v>
      </c>
      <c r="D151" s="10" t="str">
        <f t="shared" si="54"/>
        <v>Custom 52</v>
      </c>
      <c r="E151" s="1"/>
      <c r="H151" s="9"/>
      <c r="AA151" s="203">
        <f t="shared" ref="AA151:BJ151" si="97">IF(SUMIFS($AA64:$BJ64, $AA$3:$BJ$3, AA$3, $AA$4:$BJ$4, 1)=0, 0,(AA64/SUMIFS($AA64:$BJ64, $AA$3:$BJ$3, AA$3, $AA$4:$BJ$4, 1))*AA$4)</f>
        <v>0</v>
      </c>
      <c r="AB151" s="66">
        <f t="shared" si="97"/>
        <v>0</v>
      </c>
      <c r="AC151" s="66">
        <f t="shared" si="97"/>
        <v>0</v>
      </c>
      <c r="AD151" s="66">
        <f t="shared" si="97"/>
        <v>0</v>
      </c>
      <c r="AE151" s="66">
        <f t="shared" si="97"/>
        <v>0</v>
      </c>
      <c r="AF151" s="66">
        <f t="shared" si="97"/>
        <v>0</v>
      </c>
      <c r="AG151" s="66">
        <f t="shared" si="97"/>
        <v>0</v>
      </c>
      <c r="AH151" s="66">
        <f t="shared" si="97"/>
        <v>0</v>
      </c>
      <c r="AI151" s="66">
        <f t="shared" si="97"/>
        <v>0</v>
      </c>
      <c r="AJ151" s="66">
        <f t="shared" si="97"/>
        <v>0</v>
      </c>
      <c r="AK151" s="66">
        <f t="shared" si="97"/>
        <v>0</v>
      </c>
      <c r="AL151" s="66">
        <f t="shared" si="97"/>
        <v>0</v>
      </c>
      <c r="AM151" s="66">
        <f t="shared" si="97"/>
        <v>0</v>
      </c>
      <c r="AN151" s="66">
        <f t="shared" si="97"/>
        <v>0</v>
      </c>
      <c r="AO151" s="66">
        <f t="shared" si="97"/>
        <v>0</v>
      </c>
      <c r="AP151" s="66">
        <f t="shared" si="97"/>
        <v>0</v>
      </c>
      <c r="AQ151" s="66">
        <f t="shared" si="97"/>
        <v>0</v>
      </c>
      <c r="AR151" s="66">
        <f t="shared" si="97"/>
        <v>0</v>
      </c>
      <c r="AS151" s="66">
        <f t="shared" si="97"/>
        <v>0</v>
      </c>
      <c r="AT151" s="66">
        <f t="shared" si="97"/>
        <v>0</v>
      </c>
      <c r="AU151" s="66">
        <f t="shared" si="97"/>
        <v>0</v>
      </c>
      <c r="AV151" s="66">
        <f t="shared" si="97"/>
        <v>0</v>
      </c>
      <c r="AW151" s="66">
        <f t="shared" si="97"/>
        <v>0</v>
      </c>
      <c r="AX151" s="66">
        <f t="shared" si="97"/>
        <v>0</v>
      </c>
      <c r="AY151" s="66">
        <f t="shared" si="97"/>
        <v>0</v>
      </c>
      <c r="AZ151" s="66">
        <f t="shared" si="97"/>
        <v>0</v>
      </c>
      <c r="BA151" s="66">
        <f t="shared" si="97"/>
        <v>0</v>
      </c>
      <c r="BB151" s="66">
        <f t="shared" si="97"/>
        <v>0</v>
      </c>
      <c r="BC151" s="66">
        <f t="shared" si="97"/>
        <v>0</v>
      </c>
      <c r="BD151" s="66">
        <f t="shared" si="97"/>
        <v>0</v>
      </c>
      <c r="BE151" s="66">
        <f t="shared" si="97"/>
        <v>0</v>
      </c>
      <c r="BF151" s="66">
        <f t="shared" si="97"/>
        <v>0</v>
      </c>
      <c r="BG151" s="66">
        <f t="shared" si="97"/>
        <v>0</v>
      </c>
      <c r="BH151" s="66">
        <f t="shared" si="97"/>
        <v>0</v>
      </c>
      <c r="BI151" s="66">
        <f t="shared" si="97"/>
        <v>0</v>
      </c>
      <c r="BJ151" s="66">
        <f t="shared" si="97"/>
        <v>0</v>
      </c>
      <c r="BY151" s="12"/>
      <c r="BZ151" s="363">
        <f t="shared" si="65"/>
        <v>0</v>
      </c>
      <c r="CA151" s="12"/>
      <c r="CB151" s="7">
        <f t="shared" si="84"/>
        <v>0</v>
      </c>
      <c r="CC151" s="7">
        <f t="shared" si="85"/>
        <v>0</v>
      </c>
      <c r="CD151" s="7">
        <f t="shared" si="86"/>
        <v>0</v>
      </c>
      <c r="CE151" s="42"/>
      <c r="EX151" s="10" t="str">
        <f t="shared" si="0"/>
        <v/>
      </c>
    </row>
    <row r="152" spans="1:154" s="335" customFormat="1" x14ac:dyDescent="0.25">
      <c r="A152" s="362" cm="1">
        <f t="array" aca="1" ref="A152" ca="1">HYPERLINK(CONCATENATE("#",CELL("address",IF(SUM($CA152:$CE152)=0,A152,INDEX($CA152:$CE152,MATCH(1,$CA152:$CE152,0))))),SUM($CA152:$CE152))</f>
        <v>0</v>
      </c>
      <c r="D152" s="10" t="str">
        <f t="shared" si="54"/>
        <v>Custom 53</v>
      </c>
      <c r="E152" s="1"/>
      <c r="H152" s="9"/>
      <c r="AA152" s="203">
        <f t="shared" ref="AA152:BJ152" si="98">IF(SUMIFS($AA65:$BJ65, $AA$3:$BJ$3, AA$3, $AA$4:$BJ$4, 1)=0, 0,(AA65/SUMIFS($AA65:$BJ65, $AA$3:$BJ$3, AA$3, $AA$4:$BJ$4, 1))*AA$4)</f>
        <v>0</v>
      </c>
      <c r="AB152" s="66">
        <f t="shared" si="98"/>
        <v>0</v>
      </c>
      <c r="AC152" s="66">
        <f t="shared" si="98"/>
        <v>0</v>
      </c>
      <c r="AD152" s="66">
        <f t="shared" si="98"/>
        <v>0</v>
      </c>
      <c r="AE152" s="66">
        <f t="shared" si="98"/>
        <v>0</v>
      </c>
      <c r="AF152" s="66">
        <f t="shared" si="98"/>
        <v>0</v>
      </c>
      <c r="AG152" s="66">
        <f t="shared" si="98"/>
        <v>0</v>
      </c>
      <c r="AH152" s="66">
        <f t="shared" si="98"/>
        <v>0</v>
      </c>
      <c r="AI152" s="66">
        <f t="shared" si="98"/>
        <v>0</v>
      </c>
      <c r="AJ152" s="66">
        <f t="shared" si="98"/>
        <v>0</v>
      </c>
      <c r="AK152" s="66">
        <f t="shared" si="98"/>
        <v>0</v>
      </c>
      <c r="AL152" s="66">
        <f t="shared" si="98"/>
        <v>0</v>
      </c>
      <c r="AM152" s="66">
        <f t="shared" si="98"/>
        <v>0</v>
      </c>
      <c r="AN152" s="66">
        <f t="shared" si="98"/>
        <v>0</v>
      </c>
      <c r="AO152" s="66">
        <f t="shared" si="98"/>
        <v>0</v>
      </c>
      <c r="AP152" s="66">
        <f t="shared" si="98"/>
        <v>0</v>
      </c>
      <c r="AQ152" s="66">
        <f t="shared" si="98"/>
        <v>0</v>
      </c>
      <c r="AR152" s="66">
        <f t="shared" si="98"/>
        <v>0</v>
      </c>
      <c r="AS152" s="66">
        <f t="shared" si="98"/>
        <v>0</v>
      </c>
      <c r="AT152" s="66">
        <f t="shared" si="98"/>
        <v>0</v>
      </c>
      <c r="AU152" s="66">
        <f t="shared" si="98"/>
        <v>0</v>
      </c>
      <c r="AV152" s="66">
        <f t="shared" si="98"/>
        <v>0</v>
      </c>
      <c r="AW152" s="66">
        <f t="shared" si="98"/>
        <v>0</v>
      </c>
      <c r="AX152" s="66">
        <f t="shared" si="98"/>
        <v>0</v>
      </c>
      <c r="AY152" s="66">
        <f t="shared" si="98"/>
        <v>0</v>
      </c>
      <c r="AZ152" s="66">
        <f t="shared" si="98"/>
        <v>0</v>
      </c>
      <c r="BA152" s="66">
        <f t="shared" si="98"/>
        <v>0</v>
      </c>
      <c r="BB152" s="66">
        <f t="shared" si="98"/>
        <v>0</v>
      </c>
      <c r="BC152" s="66">
        <f t="shared" si="98"/>
        <v>0</v>
      </c>
      <c r="BD152" s="66">
        <f t="shared" si="98"/>
        <v>0</v>
      </c>
      <c r="BE152" s="66">
        <f t="shared" si="98"/>
        <v>0</v>
      </c>
      <c r="BF152" s="66">
        <f t="shared" si="98"/>
        <v>0</v>
      </c>
      <c r="BG152" s="66">
        <f t="shared" si="98"/>
        <v>0</v>
      </c>
      <c r="BH152" s="66">
        <f t="shared" si="98"/>
        <v>0</v>
      </c>
      <c r="BI152" s="66">
        <f t="shared" si="98"/>
        <v>0</v>
      </c>
      <c r="BJ152" s="66">
        <f t="shared" si="98"/>
        <v>0</v>
      </c>
      <c r="BY152" s="12"/>
      <c r="BZ152" s="363">
        <f t="shared" si="65"/>
        <v>0</v>
      </c>
      <c r="CA152" s="12"/>
      <c r="CB152" s="7">
        <f t="shared" si="84"/>
        <v>0</v>
      </c>
      <c r="CC152" s="7">
        <f t="shared" si="85"/>
        <v>0</v>
      </c>
      <c r="CD152" s="7">
        <f t="shared" si="86"/>
        <v>0</v>
      </c>
      <c r="CE152" s="42"/>
      <c r="EX152" s="10" t="str">
        <f t="shared" si="0"/>
        <v/>
      </c>
    </row>
    <row r="153" spans="1:154" s="335" customFormat="1" x14ac:dyDescent="0.25">
      <c r="A153" s="362" cm="1">
        <f t="array" aca="1" ref="A153" ca="1">HYPERLINK(CONCATENATE("#",CELL("address",IF(SUM($CA153:$CE153)=0,A153,INDEX($CA153:$CE153,MATCH(1,$CA153:$CE153,0))))),SUM($CA153:$CE153))</f>
        <v>0</v>
      </c>
      <c r="D153" s="10" t="str">
        <f t="shared" si="54"/>
        <v>Custom 54</v>
      </c>
      <c r="E153" s="1"/>
      <c r="H153" s="9"/>
      <c r="AA153" s="203">
        <f t="shared" ref="AA153:BJ153" si="99">IF(SUMIFS($AA66:$BJ66, $AA$3:$BJ$3, AA$3, $AA$4:$BJ$4, 1)=0, 0,(AA66/SUMIFS($AA66:$BJ66, $AA$3:$BJ$3, AA$3, $AA$4:$BJ$4, 1))*AA$4)</f>
        <v>0</v>
      </c>
      <c r="AB153" s="66">
        <f t="shared" si="99"/>
        <v>0</v>
      </c>
      <c r="AC153" s="66">
        <f t="shared" si="99"/>
        <v>0</v>
      </c>
      <c r="AD153" s="66">
        <f t="shared" si="99"/>
        <v>0</v>
      </c>
      <c r="AE153" s="66">
        <f t="shared" si="99"/>
        <v>0</v>
      </c>
      <c r="AF153" s="66">
        <f t="shared" si="99"/>
        <v>0</v>
      </c>
      <c r="AG153" s="66">
        <f t="shared" si="99"/>
        <v>0</v>
      </c>
      <c r="AH153" s="66">
        <f t="shared" si="99"/>
        <v>0</v>
      </c>
      <c r="AI153" s="66">
        <f t="shared" si="99"/>
        <v>0</v>
      </c>
      <c r="AJ153" s="66">
        <f t="shared" si="99"/>
        <v>0</v>
      </c>
      <c r="AK153" s="66">
        <f t="shared" si="99"/>
        <v>0</v>
      </c>
      <c r="AL153" s="66">
        <f t="shared" si="99"/>
        <v>0</v>
      </c>
      <c r="AM153" s="66">
        <f t="shared" si="99"/>
        <v>0</v>
      </c>
      <c r="AN153" s="66">
        <f t="shared" si="99"/>
        <v>0</v>
      </c>
      <c r="AO153" s="66">
        <f t="shared" si="99"/>
        <v>0</v>
      </c>
      <c r="AP153" s="66">
        <f t="shared" si="99"/>
        <v>0</v>
      </c>
      <c r="AQ153" s="66">
        <f t="shared" si="99"/>
        <v>0</v>
      </c>
      <c r="AR153" s="66">
        <f t="shared" si="99"/>
        <v>0</v>
      </c>
      <c r="AS153" s="66">
        <f t="shared" si="99"/>
        <v>0</v>
      </c>
      <c r="AT153" s="66">
        <f t="shared" si="99"/>
        <v>0</v>
      </c>
      <c r="AU153" s="66">
        <f t="shared" si="99"/>
        <v>0</v>
      </c>
      <c r="AV153" s="66">
        <f t="shared" si="99"/>
        <v>0</v>
      </c>
      <c r="AW153" s="66">
        <f t="shared" si="99"/>
        <v>0</v>
      </c>
      <c r="AX153" s="66">
        <f t="shared" si="99"/>
        <v>0</v>
      </c>
      <c r="AY153" s="66">
        <f t="shared" si="99"/>
        <v>0</v>
      </c>
      <c r="AZ153" s="66">
        <f t="shared" si="99"/>
        <v>0</v>
      </c>
      <c r="BA153" s="66">
        <f t="shared" si="99"/>
        <v>0</v>
      </c>
      <c r="BB153" s="66">
        <f t="shared" si="99"/>
        <v>0</v>
      </c>
      <c r="BC153" s="66">
        <f t="shared" si="99"/>
        <v>0</v>
      </c>
      <c r="BD153" s="66">
        <f t="shared" si="99"/>
        <v>0</v>
      </c>
      <c r="BE153" s="66">
        <f t="shared" si="99"/>
        <v>0</v>
      </c>
      <c r="BF153" s="66">
        <f t="shared" si="99"/>
        <v>0</v>
      </c>
      <c r="BG153" s="66">
        <f t="shared" si="99"/>
        <v>0</v>
      </c>
      <c r="BH153" s="66">
        <f t="shared" si="99"/>
        <v>0</v>
      </c>
      <c r="BI153" s="66">
        <f t="shared" si="99"/>
        <v>0</v>
      </c>
      <c r="BJ153" s="66">
        <f t="shared" si="99"/>
        <v>0</v>
      </c>
      <c r="BY153" s="12"/>
      <c r="BZ153" s="363">
        <f t="shared" si="65"/>
        <v>0</v>
      </c>
      <c r="CA153" s="12"/>
      <c r="CB153" s="7">
        <f t="shared" si="84"/>
        <v>0</v>
      </c>
      <c r="CC153" s="7">
        <f t="shared" si="85"/>
        <v>0</v>
      </c>
      <c r="CD153" s="7">
        <f t="shared" si="86"/>
        <v>0</v>
      </c>
      <c r="CE153" s="42"/>
      <c r="EX153" s="10" t="str">
        <f t="shared" si="0"/>
        <v/>
      </c>
    </row>
    <row r="154" spans="1:154" s="335" customFormat="1" x14ac:dyDescent="0.25">
      <c r="A154" s="362" cm="1">
        <f t="array" aca="1" ref="A154" ca="1">HYPERLINK(CONCATENATE("#",CELL("address",IF(SUM($CA154:$CE154)=0,A154,INDEX($CA154:$CE154,MATCH(1,$CA154:$CE154,0))))),SUM($CA154:$CE154))</f>
        <v>0</v>
      </c>
      <c r="D154" s="10" t="str">
        <f t="shared" si="54"/>
        <v>Custom 55</v>
      </c>
      <c r="E154" s="1"/>
      <c r="H154" s="9"/>
      <c r="AA154" s="203">
        <f t="shared" ref="AA154:BJ154" si="100">IF(SUMIFS($AA67:$BJ67, $AA$3:$BJ$3, AA$3, $AA$4:$BJ$4, 1)=0, 0,(AA67/SUMIFS($AA67:$BJ67, $AA$3:$BJ$3, AA$3, $AA$4:$BJ$4, 1))*AA$4)</f>
        <v>0</v>
      </c>
      <c r="AB154" s="66">
        <f t="shared" si="100"/>
        <v>0</v>
      </c>
      <c r="AC154" s="66">
        <f t="shared" si="100"/>
        <v>0</v>
      </c>
      <c r="AD154" s="66">
        <f t="shared" si="100"/>
        <v>0</v>
      </c>
      <c r="AE154" s="66">
        <f t="shared" si="100"/>
        <v>0</v>
      </c>
      <c r="AF154" s="66">
        <f t="shared" si="100"/>
        <v>0</v>
      </c>
      <c r="AG154" s="66">
        <f t="shared" si="100"/>
        <v>0</v>
      </c>
      <c r="AH154" s="66">
        <f t="shared" si="100"/>
        <v>0</v>
      </c>
      <c r="AI154" s="66">
        <f t="shared" si="100"/>
        <v>0</v>
      </c>
      <c r="AJ154" s="66">
        <f t="shared" si="100"/>
        <v>0</v>
      </c>
      <c r="AK154" s="66">
        <f t="shared" si="100"/>
        <v>0</v>
      </c>
      <c r="AL154" s="66">
        <f t="shared" si="100"/>
        <v>0</v>
      </c>
      <c r="AM154" s="66">
        <f t="shared" si="100"/>
        <v>0</v>
      </c>
      <c r="AN154" s="66">
        <f t="shared" si="100"/>
        <v>0</v>
      </c>
      <c r="AO154" s="66">
        <f t="shared" si="100"/>
        <v>0</v>
      </c>
      <c r="AP154" s="66">
        <f t="shared" si="100"/>
        <v>0</v>
      </c>
      <c r="AQ154" s="66">
        <f t="shared" si="100"/>
        <v>0</v>
      </c>
      <c r="AR154" s="66">
        <f t="shared" si="100"/>
        <v>0</v>
      </c>
      <c r="AS154" s="66">
        <f t="shared" si="100"/>
        <v>0</v>
      </c>
      <c r="AT154" s="66">
        <f t="shared" si="100"/>
        <v>0</v>
      </c>
      <c r="AU154" s="66">
        <f t="shared" si="100"/>
        <v>0</v>
      </c>
      <c r="AV154" s="66">
        <f t="shared" si="100"/>
        <v>0</v>
      </c>
      <c r="AW154" s="66">
        <f t="shared" si="100"/>
        <v>0</v>
      </c>
      <c r="AX154" s="66">
        <f t="shared" si="100"/>
        <v>0</v>
      </c>
      <c r="AY154" s="66">
        <f t="shared" si="100"/>
        <v>0</v>
      </c>
      <c r="AZ154" s="66">
        <f t="shared" si="100"/>
        <v>0</v>
      </c>
      <c r="BA154" s="66">
        <f t="shared" si="100"/>
        <v>0</v>
      </c>
      <c r="BB154" s="66">
        <f t="shared" si="100"/>
        <v>0</v>
      </c>
      <c r="BC154" s="66">
        <f t="shared" si="100"/>
        <v>0</v>
      </c>
      <c r="BD154" s="66">
        <f t="shared" si="100"/>
        <v>0</v>
      </c>
      <c r="BE154" s="66">
        <f t="shared" si="100"/>
        <v>0</v>
      </c>
      <c r="BF154" s="66">
        <f t="shared" si="100"/>
        <v>0</v>
      </c>
      <c r="BG154" s="66">
        <f t="shared" si="100"/>
        <v>0</v>
      </c>
      <c r="BH154" s="66">
        <f t="shared" si="100"/>
        <v>0</v>
      </c>
      <c r="BI154" s="66">
        <f t="shared" si="100"/>
        <v>0</v>
      </c>
      <c r="BJ154" s="66">
        <f t="shared" si="100"/>
        <v>0</v>
      </c>
      <c r="BY154" s="12"/>
      <c r="BZ154" s="363">
        <f t="shared" si="65"/>
        <v>0</v>
      </c>
      <c r="CA154" s="12"/>
      <c r="CB154" s="7">
        <f t="shared" si="84"/>
        <v>0</v>
      </c>
      <c r="CC154" s="7">
        <f t="shared" si="85"/>
        <v>0</v>
      </c>
      <c r="CD154" s="7">
        <f t="shared" si="86"/>
        <v>0</v>
      </c>
      <c r="CE154" s="42"/>
      <c r="EX154" s="10" t="str">
        <f t="shared" si="0"/>
        <v/>
      </c>
    </row>
    <row r="155" spans="1:154" s="335" customFormat="1" x14ac:dyDescent="0.25">
      <c r="A155" s="362" cm="1">
        <f t="array" aca="1" ref="A155" ca="1">HYPERLINK(CONCATENATE("#",CELL("address",IF(SUM($CA155:$CE155)=0,A155,INDEX($CA155:$CE155,MATCH(1,$CA155:$CE155,0))))),SUM($CA155:$CE155))</f>
        <v>0</v>
      </c>
      <c r="D155" s="10" t="str">
        <f t="shared" si="54"/>
        <v>Custom 56</v>
      </c>
      <c r="E155" s="1"/>
      <c r="H155" s="9"/>
      <c r="AA155" s="203">
        <f t="shared" ref="AA155:BJ155" si="101">IF(SUMIFS($AA68:$BJ68, $AA$3:$BJ$3, AA$3, $AA$4:$BJ$4, 1)=0, 0,(AA68/SUMIFS($AA68:$BJ68, $AA$3:$BJ$3, AA$3, $AA$4:$BJ$4, 1))*AA$4)</f>
        <v>0</v>
      </c>
      <c r="AB155" s="66">
        <f t="shared" si="101"/>
        <v>0</v>
      </c>
      <c r="AC155" s="66">
        <f t="shared" si="101"/>
        <v>0</v>
      </c>
      <c r="AD155" s="66">
        <f t="shared" si="101"/>
        <v>0</v>
      </c>
      <c r="AE155" s="66">
        <f t="shared" si="101"/>
        <v>0</v>
      </c>
      <c r="AF155" s="66">
        <f t="shared" si="101"/>
        <v>0</v>
      </c>
      <c r="AG155" s="66">
        <f t="shared" si="101"/>
        <v>0</v>
      </c>
      <c r="AH155" s="66">
        <f t="shared" si="101"/>
        <v>0</v>
      </c>
      <c r="AI155" s="66">
        <f t="shared" si="101"/>
        <v>0</v>
      </c>
      <c r="AJ155" s="66">
        <f t="shared" si="101"/>
        <v>0</v>
      </c>
      <c r="AK155" s="66">
        <f t="shared" si="101"/>
        <v>0</v>
      </c>
      <c r="AL155" s="66">
        <f t="shared" si="101"/>
        <v>0</v>
      </c>
      <c r="AM155" s="66">
        <f t="shared" si="101"/>
        <v>0</v>
      </c>
      <c r="AN155" s="66">
        <f t="shared" si="101"/>
        <v>0</v>
      </c>
      <c r="AO155" s="66">
        <f t="shared" si="101"/>
        <v>0</v>
      </c>
      <c r="AP155" s="66">
        <f t="shared" si="101"/>
        <v>0</v>
      </c>
      <c r="AQ155" s="66">
        <f t="shared" si="101"/>
        <v>0</v>
      </c>
      <c r="AR155" s="66">
        <f t="shared" si="101"/>
        <v>0</v>
      </c>
      <c r="AS155" s="66">
        <f t="shared" si="101"/>
        <v>0</v>
      </c>
      <c r="AT155" s="66">
        <f t="shared" si="101"/>
        <v>0</v>
      </c>
      <c r="AU155" s="66">
        <f t="shared" si="101"/>
        <v>0</v>
      </c>
      <c r="AV155" s="66">
        <f t="shared" si="101"/>
        <v>0</v>
      </c>
      <c r="AW155" s="66">
        <f t="shared" si="101"/>
        <v>0</v>
      </c>
      <c r="AX155" s="66">
        <f t="shared" si="101"/>
        <v>0</v>
      </c>
      <c r="AY155" s="66">
        <f t="shared" si="101"/>
        <v>0</v>
      </c>
      <c r="AZ155" s="66">
        <f t="shared" si="101"/>
        <v>0</v>
      </c>
      <c r="BA155" s="66">
        <f t="shared" si="101"/>
        <v>0</v>
      </c>
      <c r="BB155" s="66">
        <f t="shared" si="101"/>
        <v>0</v>
      </c>
      <c r="BC155" s="66">
        <f t="shared" si="101"/>
        <v>0</v>
      </c>
      <c r="BD155" s="66">
        <f t="shared" si="101"/>
        <v>0</v>
      </c>
      <c r="BE155" s="66">
        <f t="shared" si="101"/>
        <v>0</v>
      </c>
      <c r="BF155" s="66">
        <f t="shared" si="101"/>
        <v>0</v>
      </c>
      <c r="BG155" s="66">
        <f t="shared" si="101"/>
        <v>0</v>
      </c>
      <c r="BH155" s="66">
        <f t="shared" si="101"/>
        <v>0</v>
      </c>
      <c r="BI155" s="66">
        <f t="shared" si="101"/>
        <v>0</v>
      </c>
      <c r="BJ155" s="66">
        <f t="shared" si="101"/>
        <v>0</v>
      </c>
      <c r="BY155" s="12"/>
      <c r="BZ155" s="363">
        <f t="shared" si="65"/>
        <v>0</v>
      </c>
      <c r="CA155" s="12"/>
      <c r="CB155" s="7">
        <f t="shared" si="84"/>
        <v>0</v>
      </c>
      <c r="CC155" s="7">
        <f t="shared" si="85"/>
        <v>0</v>
      </c>
      <c r="CD155" s="7">
        <f t="shared" si="86"/>
        <v>0</v>
      </c>
      <c r="CE155" s="42"/>
      <c r="EX155" s="10" t="str">
        <f t="shared" si="0"/>
        <v/>
      </c>
    </row>
    <row r="156" spans="1:154" s="335" customFormat="1" x14ac:dyDescent="0.25">
      <c r="A156" s="362" cm="1">
        <f t="array" aca="1" ref="A156" ca="1">HYPERLINK(CONCATENATE("#",CELL("address",IF(SUM($CA156:$CE156)=0,A156,INDEX($CA156:$CE156,MATCH(1,$CA156:$CE156,0))))),SUM($CA156:$CE156))</f>
        <v>0</v>
      </c>
      <c r="D156" s="10" t="str">
        <f t="shared" si="54"/>
        <v>Custom 57</v>
      </c>
      <c r="E156" s="1"/>
      <c r="H156" s="9"/>
      <c r="AA156" s="203">
        <f t="shared" ref="AA156:BJ156" si="102">IF(SUMIFS($AA69:$BJ69, $AA$3:$BJ$3, AA$3, $AA$4:$BJ$4, 1)=0, 0,(AA69/SUMIFS($AA69:$BJ69, $AA$3:$BJ$3, AA$3, $AA$4:$BJ$4, 1))*AA$4)</f>
        <v>0</v>
      </c>
      <c r="AB156" s="66">
        <f t="shared" si="102"/>
        <v>0</v>
      </c>
      <c r="AC156" s="66">
        <f t="shared" si="102"/>
        <v>0</v>
      </c>
      <c r="AD156" s="66">
        <f t="shared" si="102"/>
        <v>0</v>
      </c>
      <c r="AE156" s="66">
        <f t="shared" si="102"/>
        <v>0</v>
      </c>
      <c r="AF156" s="66">
        <f t="shared" si="102"/>
        <v>0</v>
      </c>
      <c r="AG156" s="66">
        <f t="shared" si="102"/>
        <v>0</v>
      </c>
      <c r="AH156" s="66">
        <f t="shared" si="102"/>
        <v>0</v>
      </c>
      <c r="AI156" s="66">
        <f t="shared" si="102"/>
        <v>0</v>
      </c>
      <c r="AJ156" s="66">
        <f t="shared" si="102"/>
        <v>0</v>
      </c>
      <c r="AK156" s="66">
        <f t="shared" si="102"/>
        <v>0</v>
      </c>
      <c r="AL156" s="66">
        <f t="shared" si="102"/>
        <v>0</v>
      </c>
      <c r="AM156" s="66">
        <f t="shared" si="102"/>
        <v>0</v>
      </c>
      <c r="AN156" s="66">
        <f t="shared" si="102"/>
        <v>0</v>
      </c>
      <c r="AO156" s="66">
        <f t="shared" si="102"/>
        <v>0</v>
      </c>
      <c r="AP156" s="66">
        <f t="shared" si="102"/>
        <v>0</v>
      </c>
      <c r="AQ156" s="66">
        <f t="shared" si="102"/>
        <v>0</v>
      </c>
      <c r="AR156" s="66">
        <f t="shared" si="102"/>
        <v>0</v>
      </c>
      <c r="AS156" s="66">
        <f t="shared" si="102"/>
        <v>0</v>
      </c>
      <c r="AT156" s="66">
        <f t="shared" si="102"/>
        <v>0</v>
      </c>
      <c r="AU156" s="66">
        <f t="shared" si="102"/>
        <v>0</v>
      </c>
      <c r="AV156" s="66">
        <f t="shared" si="102"/>
        <v>0</v>
      </c>
      <c r="AW156" s="66">
        <f t="shared" si="102"/>
        <v>0</v>
      </c>
      <c r="AX156" s="66">
        <f t="shared" si="102"/>
        <v>0</v>
      </c>
      <c r="AY156" s="66">
        <f t="shared" si="102"/>
        <v>0</v>
      </c>
      <c r="AZ156" s="66">
        <f t="shared" si="102"/>
        <v>0</v>
      </c>
      <c r="BA156" s="66">
        <f t="shared" si="102"/>
        <v>0</v>
      </c>
      <c r="BB156" s="66">
        <f t="shared" si="102"/>
        <v>0</v>
      </c>
      <c r="BC156" s="66">
        <f t="shared" si="102"/>
        <v>0</v>
      </c>
      <c r="BD156" s="66">
        <f t="shared" si="102"/>
        <v>0</v>
      </c>
      <c r="BE156" s="66">
        <f t="shared" si="102"/>
        <v>0</v>
      </c>
      <c r="BF156" s="66">
        <f t="shared" si="102"/>
        <v>0</v>
      </c>
      <c r="BG156" s="66">
        <f t="shared" si="102"/>
        <v>0</v>
      </c>
      <c r="BH156" s="66">
        <f t="shared" si="102"/>
        <v>0</v>
      </c>
      <c r="BI156" s="66">
        <f t="shared" si="102"/>
        <v>0</v>
      </c>
      <c r="BJ156" s="66">
        <f t="shared" si="102"/>
        <v>0</v>
      </c>
      <c r="BY156" s="12"/>
      <c r="BZ156" s="363">
        <f t="shared" si="65"/>
        <v>0</v>
      </c>
      <c r="CA156" s="12"/>
      <c r="CB156" s="7">
        <f t="shared" ref="CB156:CB179" si="103">IF(OR(SUM(AA156:AL156)=1, SUM(AA156:AL156)=0), 0, 1)</f>
        <v>0</v>
      </c>
      <c r="CC156" s="7">
        <f t="shared" ref="CC156:CC179" si="104">IF(OR(SUM(AM156:AX156)=1, SUM(AM156:AX156)=0), 0, 1)</f>
        <v>0</v>
      </c>
      <c r="CD156" s="7">
        <f t="shared" ref="CD156:CD179" si="105">IF(OR(SUM(AY156:BJ156)=1, SUM(AY156:BJ156)=0), 0, 1)</f>
        <v>0</v>
      </c>
      <c r="CE156" s="42"/>
      <c r="EX156" s="10" t="str">
        <f t="shared" si="0"/>
        <v/>
      </c>
    </row>
    <row r="157" spans="1:154" s="335" customFormat="1" x14ac:dyDescent="0.25">
      <c r="A157" s="362" cm="1">
        <f t="array" aca="1" ref="A157" ca="1">HYPERLINK(CONCATENATE("#",CELL("address",IF(SUM($CA157:$CE157)=0,A157,INDEX($CA157:$CE157,MATCH(1,$CA157:$CE157,0))))),SUM($CA157:$CE157))</f>
        <v>0</v>
      </c>
      <c r="D157" s="10" t="str">
        <f t="shared" si="54"/>
        <v>Custom 58</v>
      </c>
      <c r="E157" s="1"/>
      <c r="H157" s="9"/>
      <c r="AA157" s="203">
        <f t="shared" ref="AA157:BJ157" si="106">IF(SUMIFS($AA70:$BJ70, $AA$3:$BJ$3, AA$3, $AA$4:$BJ$4, 1)=0, 0,(AA70/SUMIFS($AA70:$BJ70, $AA$3:$BJ$3, AA$3, $AA$4:$BJ$4, 1))*AA$4)</f>
        <v>0</v>
      </c>
      <c r="AB157" s="66">
        <f t="shared" si="106"/>
        <v>0</v>
      </c>
      <c r="AC157" s="66">
        <f t="shared" si="106"/>
        <v>0</v>
      </c>
      <c r="AD157" s="66">
        <f t="shared" si="106"/>
        <v>0</v>
      </c>
      <c r="AE157" s="66">
        <f t="shared" si="106"/>
        <v>0</v>
      </c>
      <c r="AF157" s="66">
        <f t="shared" si="106"/>
        <v>0</v>
      </c>
      <c r="AG157" s="66">
        <f t="shared" si="106"/>
        <v>0</v>
      </c>
      <c r="AH157" s="66">
        <f t="shared" si="106"/>
        <v>0</v>
      </c>
      <c r="AI157" s="66">
        <f t="shared" si="106"/>
        <v>0</v>
      </c>
      <c r="AJ157" s="66">
        <f t="shared" si="106"/>
        <v>0</v>
      </c>
      <c r="AK157" s="66">
        <f t="shared" si="106"/>
        <v>0</v>
      </c>
      <c r="AL157" s="66">
        <f t="shared" si="106"/>
        <v>0</v>
      </c>
      <c r="AM157" s="66">
        <f t="shared" si="106"/>
        <v>0</v>
      </c>
      <c r="AN157" s="66">
        <f t="shared" si="106"/>
        <v>0</v>
      </c>
      <c r="AO157" s="66">
        <f t="shared" si="106"/>
        <v>0</v>
      </c>
      <c r="AP157" s="66">
        <f t="shared" si="106"/>
        <v>0</v>
      </c>
      <c r="AQ157" s="66">
        <f t="shared" si="106"/>
        <v>0</v>
      </c>
      <c r="AR157" s="66">
        <f t="shared" si="106"/>
        <v>0</v>
      </c>
      <c r="AS157" s="66">
        <f t="shared" si="106"/>
        <v>0</v>
      </c>
      <c r="AT157" s="66">
        <f t="shared" si="106"/>
        <v>0</v>
      </c>
      <c r="AU157" s="66">
        <f t="shared" si="106"/>
        <v>0</v>
      </c>
      <c r="AV157" s="66">
        <f t="shared" si="106"/>
        <v>0</v>
      </c>
      <c r="AW157" s="66">
        <f t="shared" si="106"/>
        <v>0</v>
      </c>
      <c r="AX157" s="66">
        <f t="shared" si="106"/>
        <v>0</v>
      </c>
      <c r="AY157" s="66">
        <f t="shared" si="106"/>
        <v>0</v>
      </c>
      <c r="AZ157" s="66">
        <f t="shared" si="106"/>
        <v>0</v>
      </c>
      <c r="BA157" s="66">
        <f t="shared" si="106"/>
        <v>0</v>
      </c>
      <c r="BB157" s="66">
        <f t="shared" si="106"/>
        <v>0</v>
      </c>
      <c r="BC157" s="66">
        <f t="shared" si="106"/>
        <v>0</v>
      </c>
      <c r="BD157" s="66">
        <f t="shared" si="106"/>
        <v>0</v>
      </c>
      <c r="BE157" s="66">
        <f t="shared" si="106"/>
        <v>0</v>
      </c>
      <c r="BF157" s="66">
        <f t="shared" si="106"/>
        <v>0</v>
      </c>
      <c r="BG157" s="66">
        <f t="shared" si="106"/>
        <v>0</v>
      </c>
      <c r="BH157" s="66">
        <f t="shared" si="106"/>
        <v>0</v>
      </c>
      <c r="BI157" s="66">
        <f t="shared" si="106"/>
        <v>0</v>
      </c>
      <c r="BJ157" s="66">
        <f t="shared" si="106"/>
        <v>0</v>
      </c>
      <c r="BY157" s="12"/>
      <c r="BZ157" s="363">
        <f t="shared" si="65"/>
        <v>0</v>
      </c>
      <c r="CA157" s="12"/>
      <c r="CB157" s="7">
        <f t="shared" si="103"/>
        <v>0</v>
      </c>
      <c r="CC157" s="7">
        <f t="shared" si="104"/>
        <v>0</v>
      </c>
      <c r="CD157" s="7">
        <f t="shared" si="105"/>
        <v>0</v>
      </c>
      <c r="CE157" s="42"/>
      <c r="EX157" s="10" t="str">
        <f t="shared" si="0"/>
        <v/>
      </c>
    </row>
    <row r="158" spans="1:154" s="335" customFormat="1" x14ac:dyDescent="0.25">
      <c r="A158" s="362" cm="1">
        <f t="array" aca="1" ref="A158" ca="1">HYPERLINK(CONCATENATE("#",CELL("address",IF(SUM($CA158:$CE158)=0,A158,INDEX($CA158:$CE158,MATCH(1,$CA158:$CE158,0))))),SUM($CA158:$CE158))</f>
        <v>0</v>
      </c>
      <c r="D158" s="10" t="str">
        <f t="shared" si="54"/>
        <v>Custom 59</v>
      </c>
      <c r="E158" s="1"/>
      <c r="H158" s="9"/>
      <c r="AA158" s="203">
        <f t="shared" ref="AA158:BJ158" si="107">IF(SUMIFS($AA71:$BJ71, $AA$3:$BJ$3, AA$3, $AA$4:$BJ$4, 1)=0, 0,(AA71/SUMIFS($AA71:$BJ71, $AA$3:$BJ$3, AA$3, $AA$4:$BJ$4, 1))*AA$4)</f>
        <v>0</v>
      </c>
      <c r="AB158" s="66">
        <f t="shared" si="107"/>
        <v>0</v>
      </c>
      <c r="AC158" s="66">
        <f t="shared" si="107"/>
        <v>0</v>
      </c>
      <c r="AD158" s="66">
        <f t="shared" si="107"/>
        <v>0</v>
      </c>
      <c r="AE158" s="66">
        <f t="shared" si="107"/>
        <v>0</v>
      </c>
      <c r="AF158" s="66">
        <f t="shared" si="107"/>
        <v>0</v>
      </c>
      <c r="AG158" s="66">
        <f t="shared" si="107"/>
        <v>0</v>
      </c>
      <c r="AH158" s="66">
        <f t="shared" si="107"/>
        <v>0</v>
      </c>
      <c r="AI158" s="66">
        <f t="shared" si="107"/>
        <v>0</v>
      </c>
      <c r="AJ158" s="66">
        <f t="shared" si="107"/>
        <v>0</v>
      </c>
      <c r="AK158" s="66">
        <f t="shared" si="107"/>
        <v>0</v>
      </c>
      <c r="AL158" s="66">
        <f t="shared" si="107"/>
        <v>0</v>
      </c>
      <c r="AM158" s="66">
        <f t="shared" si="107"/>
        <v>0</v>
      </c>
      <c r="AN158" s="66">
        <f t="shared" si="107"/>
        <v>0</v>
      </c>
      <c r="AO158" s="66">
        <f t="shared" si="107"/>
        <v>0</v>
      </c>
      <c r="AP158" s="66">
        <f t="shared" si="107"/>
        <v>0</v>
      </c>
      <c r="AQ158" s="66">
        <f t="shared" si="107"/>
        <v>0</v>
      </c>
      <c r="AR158" s="66">
        <f t="shared" si="107"/>
        <v>0</v>
      </c>
      <c r="AS158" s="66">
        <f t="shared" si="107"/>
        <v>0</v>
      </c>
      <c r="AT158" s="66">
        <f t="shared" si="107"/>
        <v>0</v>
      </c>
      <c r="AU158" s="66">
        <f t="shared" si="107"/>
        <v>0</v>
      </c>
      <c r="AV158" s="66">
        <f t="shared" si="107"/>
        <v>0</v>
      </c>
      <c r="AW158" s="66">
        <f t="shared" si="107"/>
        <v>0</v>
      </c>
      <c r="AX158" s="66">
        <f t="shared" si="107"/>
        <v>0</v>
      </c>
      <c r="AY158" s="66">
        <f t="shared" si="107"/>
        <v>0</v>
      </c>
      <c r="AZ158" s="66">
        <f t="shared" si="107"/>
        <v>0</v>
      </c>
      <c r="BA158" s="66">
        <f t="shared" si="107"/>
        <v>0</v>
      </c>
      <c r="BB158" s="66">
        <f t="shared" si="107"/>
        <v>0</v>
      </c>
      <c r="BC158" s="66">
        <f t="shared" si="107"/>
        <v>0</v>
      </c>
      <c r="BD158" s="66">
        <f t="shared" si="107"/>
        <v>0</v>
      </c>
      <c r="BE158" s="66">
        <f t="shared" si="107"/>
        <v>0</v>
      </c>
      <c r="BF158" s="66">
        <f t="shared" si="107"/>
        <v>0</v>
      </c>
      <c r="BG158" s="66">
        <f t="shared" si="107"/>
        <v>0</v>
      </c>
      <c r="BH158" s="66">
        <f t="shared" si="107"/>
        <v>0</v>
      </c>
      <c r="BI158" s="66">
        <f t="shared" si="107"/>
        <v>0</v>
      </c>
      <c r="BJ158" s="66">
        <f t="shared" si="107"/>
        <v>0</v>
      </c>
      <c r="BY158" s="12"/>
      <c r="BZ158" s="363">
        <f t="shared" si="65"/>
        <v>0</v>
      </c>
      <c r="CA158" s="12"/>
      <c r="CB158" s="7">
        <f t="shared" si="103"/>
        <v>0</v>
      </c>
      <c r="CC158" s="7">
        <f t="shared" si="104"/>
        <v>0</v>
      </c>
      <c r="CD158" s="7">
        <f t="shared" si="105"/>
        <v>0</v>
      </c>
      <c r="CE158" s="42"/>
      <c r="EX158" s="10" t="str">
        <f t="shared" si="0"/>
        <v/>
      </c>
    </row>
    <row r="159" spans="1:154" s="335" customFormat="1" x14ac:dyDescent="0.25">
      <c r="A159" s="362" cm="1">
        <f t="array" aca="1" ref="A159" ca="1">HYPERLINK(CONCATENATE("#",CELL("address",IF(SUM($CA159:$CE159)=0,A159,INDEX($CA159:$CE159,MATCH(1,$CA159:$CE159,0))))),SUM($CA159:$CE159))</f>
        <v>0</v>
      </c>
      <c r="D159" s="10" t="str">
        <f t="shared" si="54"/>
        <v>Custom 60</v>
      </c>
      <c r="E159" s="1"/>
      <c r="H159" s="9"/>
      <c r="AA159" s="203">
        <f t="shared" ref="AA159:BJ159" si="108">IF(SUMIFS($AA72:$BJ72, $AA$3:$BJ$3, AA$3, $AA$4:$BJ$4, 1)=0, 0,(AA72/SUMIFS($AA72:$BJ72, $AA$3:$BJ$3, AA$3, $AA$4:$BJ$4, 1))*AA$4)</f>
        <v>0</v>
      </c>
      <c r="AB159" s="66">
        <f t="shared" si="108"/>
        <v>0</v>
      </c>
      <c r="AC159" s="66">
        <f t="shared" si="108"/>
        <v>0</v>
      </c>
      <c r="AD159" s="66">
        <f t="shared" si="108"/>
        <v>0</v>
      </c>
      <c r="AE159" s="66">
        <f t="shared" si="108"/>
        <v>0</v>
      </c>
      <c r="AF159" s="66">
        <f t="shared" si="108"/>
        <v>0</v>
      </c>
      <c r="AG159" s="66">
        <f t="shared" si="108"/>
        <v>0</v>
      </c>
      <c r="AH159" s="66">
        <f t="shared" si="108"/>
        <v>0</v>
      </c>
      <c r="AI159" s="66">
        <f t="shared" si="108"/>
        <v>0</v>
      </c>
      <c r="AJ159" s="66">
        <f t="shared" si="108"/>
        <v>0</v>
      </c>
      <c r="AK159" s="66">
        <f t="shared" si="108"/>
        <v>0</v>
      </c>
      <c r="AL159" s="66">
        <f t="shared" si="108"/>
        <v>0</v>
      </c>
      <c r="AM159" s="66">
        <f t="shared" si="108"/>
        <v>0</v>
      </c>
      <c r="AN159" s="66">
        <f t="shared" si="108"/>
        <v>0</v>
      </c>
      <c r="AO159" s="66">
        <f t="shared" si="108"/>
        <v>0</v>
      </c>
      <c r="AP159" s="66">
        <f t="shared" si="108"/>
        <v>0</v>
      </c>
      <c r="AQ159" s="66">
        <f t="shared" si="108"/>
        <v>0</v>
      </c>
      <c r="AR159" s="66">
        <f t="shared" si="108"/>
        <v>0</v>
      </c>
      <c r="AS159" s="66">
        <f t="shared" si="108"/>
        <v>0</v>
      </c>
      <c r="AT159" s="66">
        <f t="shared" si="108"/>
        <v>0</v>
      </c>
      <c r="AU159" s="66">
        <f t="shared" si="108"/>
        <v>0</v>
      </c>
      <c r="AV159" s="66">
        <f t="shared" si="108"/>
        <v>0</v>
      </c>
      <c r="AW159" s="66">
        <f t="shared" si="108"/>
        <v>0</v>
      </c>
      <c r="AX159" s="66">
        <f t="shared" si="108"/>
        <v>0</v>
      </c>
      <c r="AY159" s="66">
        <f t="shared" si="108"/>
        <v>0</v>
      </c>
      <c r="AZ159" s="66">
        <f t="shared" si="108"/>
        <v>0</v>
      </c>
      <c r="BA159" s="66">
        <f t="shared" si="108"/>
        <v>0</v>
      </c>
      <c r="BB159" s="66">
        <f t="shared" si="108"/>
        <v>0</v>
      </c>
      <c r="BC159" s="66">
        <f t="shared" si="108"/>
        <v>0</v>
      </c>
      <c r="BD159" s="66">
        <f t="shared" si="108"/>
        <v>0</v>
      </c>
      <c r="BE159" s="66">
        <f t="shared" si="108"/>
        <v>0</v>
      </c>
      <c r="BF159" s="66">
        <f t="shared" si="108"/>
        <v>0</v>
      </c>
      <c r="BG159" s="66">
        <f t="shared" si="108"/>
        <v>0</v>
      </c>
      <c r="BH159" s="66">
        <f t="shared" si="108"/>
        <v>0</v>
      </c>
      <c r="BI159" s="66">
        <f t="shared" si="108"/>
        <v>0</v>
      </c>
      <c r="BJ159" s="66">
        <f t="shared" si="108"/>
        <v>0</v>
      </c>
      <c r="BY159" s="12"/>
      <c r="BZ159" s="363">
        <f t="shared" si="65"/>
        <v>0</v>
      </c>
      <c r="CA159" s="12"/>
      <c r="CB159" s="7">
        <f t="shared" si="103"/>
        <v>0</v>
      </c>
      <c r="CC159" s="7">
        <f t="shared" si="104"/>
        <v>0</v>
      </c>
      <c r="CD159" s="7">
        <f t="shared" si="105"/>
        <v>0</v>
      </c>
      <c r="CE159" s="42"/>
      <c r="EX159" s="10" t="str">
        <f t="shared" si="0"/>
        <v/>
      </c>
    </row>
    <row r="160" spans="1:154" s="335" customFormat="1" x14ac:dyDescent="0.25">
      <c r="A160" s="362" cm="1">
        <f t="array" aca="1" ref="A160" ca="1">HYPERLINK(CONCATENATE("#",CELL("address",IF(SUM($CA160:$CE160)=0,A160,INDEX($CA160:$CE160,MATCH(1,$CA160:$CE160,0))))),SUM($CA160:$CE160))</f>
        <v>0</v>
      </c>
      <c r="D160" s="10" t="str">
        <f t="shared" si="54"/>
        <v>Custom 61</v>
      </c>
      <c r="E160" s="1"/>
      <c r="H160" s="9"/>
      <c r="AA160" s="203">
        <f t="shared" ref="AA160:BJ160" si="109">IF(SUMIFS($AA73:$BJ73, $AA$3:$BJ$3, AA$3, $AA$4:$BJ$4, 1)=0, 0,(AA73/SUMIFS($AA73:$BJ73, $AA$3:$BJ$3, AA$3, $AA$4:$BJ$4, 1))*AA$4)</f>
        <v>0</v>
      </c>
      <c r="AB160" s="66">
        <f t="shared" si="109"/>
        <v>0</v>
      </c>
      <c r="AC160" s="66">
        <f t="shared" si="109"/>
        <v>0</v>
      </c>
      <c r="AD160" s="66">
        <f t="shared" si="109"/>
        <v>0</v>
      </c>
      <c r="AE160" s="66">
        <f t="shared" si="109"/>
        <v>0</v>
      </c>
      <c r="AF160" s="66">
        <f t="shared" si="109"/>
        <v>0</v>
      </c>
      <c r="AG160" s="66">
        <f t="shared" si="109"/>
        <v>0</v>
      </c>
      <c r="AH160" s="66">
        <f t="shared" si="109"/>
        <v>0</v>
      </c>
      <c r="AI160" s="66">
        <f t="shared" si="109"/>
        <v>0</v>
      </c>
      <c r="AJ160" s="66">
        <f t="shared" si="109"/>
        <v>0</v>
      </c>
      <c r="AK160" s="66">
        <f t="shared" si="109"/>
        <v>0</v>
      </c>
      <c r="AL160" s="66">
        <f t="shared" si="109"/>
        <v>0</v>
      </c>
      <c r="AM160" s="66">
        <f t="shared" si="109"/>
        <v>0</v>
      </c>
      <c r="AN160" s="66">
        <f t="shared" si="109"/>
        <v>0</v>
      </c>
      <c r="AO160" s="66">
        <f t="shared" si="109"/>
        <v>0</v>
      </c>
      <c r="AP160" s="66">
        <f t="shared" si="109"/>
        <v>0</v>
      </c>
      <c r="AQ160" s="66">
        <f t="shared" si="109"/>
        <v>0</v>
      </c>
      <c r="AR160" s="66">
        <f t="shared" si="109"/>
        <v>0</v>
      </c>
      <c r="AS160" s="66">
        <f t="shared" si="109"/>
        <v>0</v>
      </c>
      <c r="AT160" s="66">
        <f t="shared" si="109"/>
        <v>0</v>
      </c>
      <c r="AU160" s="66">
        <f t="shared" si="109"/>
        <v>0</v>
      </c>
      <c r="AV160" s="66">
        <f t="shared" si="109"/>
        <v>0</v>
      </c>
      <c r="AW160" s="66">
        <f t="shared" si="109"/>
        <v>0</v>
      </c>
      <c r="AX160" s="66">
        <f t="shared" si="109"/>
        <v>0</v>
      </c>
      <c r="AY160" s="66">
        <f t="shared" si="109"/>
        <v>0</v>
      </c>
      <c r="AZ160" s="66">
        <f t="shared" si="109"/>
        <v>0</v>
      </c>
      <c r="BA160" s="66">
        <f t="shared" si="109"/>
        <v>0</v>
      </c>
      <c r="BB160" s="66">
        <f t="shared" si="109"/>
        <v>0</v>
      </c>
      <c r="BC160" s="66">
        <f t="shared" si="109"/>
        <v>0</v>
      </c>
      <c r="BD160" s="66">
        <f t="shared" si="109"/>
        <v>0</v>
      </c>
      <c r="BE160" s="66">
        <f t="shared" si="109"/>
        <v>0</v>
      </c>
      <c r="BF160" s="66">
        <f t="shared" si="109"/>
        <v>0</v>
      </c>
      <c r="BG160" s="66">
        <f t="shared" si="109"/>
        <v>0</v>
      </c>
      <c r="BH160" s="66">
        <f t="shared" si="109"/>
        <v>0</v>
      </c>
      <c r="BI160" s="66">
        <f t="shared" si="109"/>
        <v>0</v>
      </c>
      <c r="BJ160" s="66">
        <f t="shared" si="109"/>
        <v>0</v>
      </c>
      <c r="BY160" s="12"/>
      <c r="BZ160" s="363">
        <f t="shared" ref="BZ160:BZ179" si="110">IF(MIN($AA160:$BJ160)&lt;0, 1, 0)</f>
        <v>0</v>
      </c>
      <c r="CA160" s="12"/>
      <c r="CB160" s="7">
        <f t="shared" si="103"/>
        <v>0</v>
      </c>
      <c r="CC160" s="7">
        <f t="shared" si="104"/>
        <v>0</v>
      </c>
      <c r="CD160" s="7">
        <f t="shared" si="105"/>
        <v>0</v>
      </c>
      <c r="CE160" s="42"/>
      <c r="EX160" s="10" t="str">
        <f t="shared" si="0"/>
        <v/>
      </c>
    </row>
    <row r="161" spans="1:154" s="335" customFormat="1" x14ac:dyDescent="0.25">
      <c r="A161" s="362" cm="1">
        <f t="array" aca="1" ref="A161" ca="1">HYPERLINK(CONCATENATE("#",CELL("address",IF(SUM($CA161:$CE161)=0,A161,INDEX($CA161:$CE161,MATCH(1,$CA161:$CE161,0))))),SUM($CA161:$CE161))</f>
        <v>0</v>
      </c>
      <c r="D161" s="10" t="str">
        <f t="shared" si="54"/>
        <v>Custom 62</v>
      </c>
      <c r="E161" s="1"/>
      <c r="H161" s="9"/>
      <c r="AA161" s="203">
        <f t="shared" ref="AA161:BJ161" si="111">IF(SUMIFS($AA74:$BJ74, $AA$3:$BJ$3, AA$3, $AA$4:$BJ$4, 1)=0, 0,(AA74/SUMIFS($AA74:$BJ74, $AA$3:$BJ$3, AA$3, $AA$4:$BJ$4, 1))*AA$4)</f>
        <v>0</v>
      </c>
      <c r="AB161" s="66">
        <f t="shared" si="111"/>
        <v>0</v>
      </c>
      <c r="AC161" s="66">
        <f t="shared" si="111"/>
        <v>0</v>
      </c>
      <c r="AD161" s="66">
        <f t="shared" si="111"/>
        <v>0</v>
      </c>
      <c r="AE161" s="66">
        <f t="shared" si="111"/>
        <v>0</v>
      </c>
      <c r="AF161" s="66">
        <f t="shared" si="111"/>
        <v>0</v>
      </c>
      <c r="AG161" s="66">
        <f t="shared" si="111"/>
        <v>0</v>
      </c>
      <c r="AH161" s="66">
        <f t="shared" si="111"/>
        <v>0</v>
      </c>
      <c r="AI161" s="66">
        <f t="shared" si="111"/>
        <v>0</v>
      </c>
      <c r="AJ161" s="66">
        <f t="shared" si="111"/>
        <v>0</v>
      </c>
      <c r="AK161" s="66">
        <f t="shared" si="111"/>
        <v>0</v>
      </c>
      <c r="AL161" s="66">
        <f t="shared" si="111"/>
        <v>0</v>
      </c>
      <c r="AM161" s="66">
        <f t="shared" si="111"/>
        <v>0</v>
      </c>
      <c r="AN161" s="66">
        <f t="shared" si="111"/>
        <v>0</v>
      </c>
      <c r="AO161" s="66">
        <f t="shared" si="111"/>
        <v>0</v>
      </c>
      <c r="AP161" s="66">
        <f t="shared" si="111"/>
        <v>0</v>
      </c>
      <c r="AQ161" s="66">
        <f t="shared" si="111"/>
        <v>0</v>
      </c>
      <c r="AR161" s="66">
        <f t="shared" si="111"/>
        <v>0</v>
      </c>
      <c r="AS161" s="66">
        <f t="shared" si="111"/>
        <v>0</v>
      </c>
      <c r="AT161" s="66">
        <f t="shared" si="111"/>
        <v>0</v>
      </c>
      <c r="AU161" s="66">
        <f t="shared" si="111"/>
        <v>0</v>
      </c>
      <c r="AV161" s="66">
        <f t="shared" si="111"/>
        <v>0</v>
      </c>
      <c r="AW161" s="66">
        <f t="shared" si="111"/>
        <v>0</v>
      </c>
      <c r="AX161" s="66">
        <f t="shared" si="111"/>
        <v>0</v>
      </c>
      <c r="AY161" s="66">
        <f t="shared" si="111"/>
        <v>0</v>
      </c>
      <c r="AZ161" s="66">
        <f t="shared" si="111"/>
        <v>0</v>
      </c>
      <c r="BA161" s="66">
        <f t="shared" si="111"/>
        <v>0</v>
      </c>
      <c r="BB161" s="66">
        <f t="shared" si="111"/>
        <v>0</v>
      </c>
      <c r="BC161" s="66">
        <f t="shared" si="111"/>
        <v>0</v>
      </c>
      <c r="BD161" s="66">
        <f t="shared" si="111"/>
        <v>0</v>
      </c>
      <c r="BE161" s="66">
        <f t="shared" si="111"/>
        <v>0</v>
      </c>
      <c r="BF161" s="66">
        <f t="shared" si="111"/>
        <v>0</v>
      </c>
      <c r="BG161" s="66">
        <f t="shared" si="111"/>
        <v>0</v>
      </c>
      <c r="BH161" s="66">
        <f t="shared" si="111"/>
        <v>0</v>
      </c>
      <c r="BI161" s="66">
        <f t="shared" si="111"/>
        <v>0</v>
      </c>
      <c r="BJ161" s="66">
        <f t="shared" si="111"/>
        <v>0</v>
      </c>
      <c r="BY161" s="12"/>
      <c r="BZ161" s="363">
        <f t="shared" si="110"/>
        <v>0</v>
      </c>
      <c r="CA161" s="12"/>
      <c r="CB161" s="7">
        <f t="shared" si="103"/>
        <v>0</v>
      </c>
      <c r="CC161" s="7">
        <f t="shared" si="104"/>
        <v>0</v>
      </c>
      <c r="CD161" s="7">
        <f t="shared" si="105"/>
        <v>0</v>
      </c>
      <c r="CE161" s="42"/>
      <c r="EX161" s="10" t="str">
        <f t="shared" si="0"/>
        <v/>
      </c>
    </row>
    <row r="162" spans="1:154" s="335" customFormat="1" x14ac:dyDescent="0.25">
      <c r="A162" s="362" cm="1">
        <f t="array" aca="1" ref="A162" ca="1">HYPERLINK(CONCATENATE("#",CELL("address",IF(SUM($CA162:$CE162)=0,A162,INDEX($CA162:$CE162,MATCH(1,$CA162:$CE162,0))))),SUM($CA162:$CE162))</f>
        <v>0</v>
      </c>
      <c r="D162" s="10" t="str">
        <f t="shared" si="54"/>
        <v>Custom 63</v>
      </c>
      <c r="E162" s="1"/>
      <c r="H162" s="9"/>
      <c r="AA162" s="203">
        <f t="shared" ref="AA162:BJ162" si="112">IF(SUMIFS($AA75:$BJ75, $AA$3:$BJ$3, AA$3, $AA$4:$BJ$4, 1)=0, 0,(AA75/SUMIFS($AA75:$BJ75, $AA$3:$BJ$3, AA$3, $AA$4:$BJ$4, 1))*AA$4)</f>
        <v>0</v>
      </c>
      <c r="AB162" s="66">
        <f t="shared" si="112"/>
        <v>0</v>
      </c>
      <c r="AC162" s="66">
        <f t="shared" si="112"/>
        <v>0</v>
      </c>
      <c r="AD162" s="66">
        <f t="shared" si="112"/>
        <v>0</v>
      </c>
      <c r="AE162" s="66">
        <f t="shared" si="112"/>
        <v>0</v>
      </c>
      <c r="AF162" s="66">
        <f t="shared" si="112"/>
        <v>0</v>
      </c>
      <c r="AG162" s="66">
        <f t="shared" si="112"/>
        <v>0</v>
      </c>
      <c r="AH162" s="66">
        <f t="shared" si="112"/>
        <v>0</v>
      </c>
      <c r="AI162" s="66">
        <f t="shared" si="112"/>
        <v>0</v>
      </c>
      <c r="AJ162" s="66">
        <f t="shared" si="112"/>
        <v>0</v>
      </c>
      <c r="AK162" s="66">
        <f t="shared" si="112"/>
        <v>0</v>
      </c>
      <c r="AL162" s="66">
        <f t="shared" si="112"/>
        <v>0</v>
      </c>
      <c r="AM162" s="66">
        <f t="shared" si="112"/>
        <v>0</v>
      </c>
      <c r="AN162" s="66">
        <f t="shared" si="112"/>
        <v>0</v>
      </c>
      <c r="AO162" s="66">
        <f t="shared" si="112"/>
        <v>0</v>
      </c>
      <c r="AP162" s="66">
        <f t="shared" si="112"/>
        <v>0</v>
      </c>
      <c r="AQ162" s="66">
        <f t="shared" si="112"/>
        <v>0</v>
      </c>
      <c r="AR162" s="66">
        <f t="shared" si="112"/>
        <v>0</v>
      </c>
      <c r="AS162" s="66">
        <f t="shared" si="112"/>
        <v>0</v>
      </c>
      <c r="AT162" s="66">
        <f t="shared" si="112"/>
        <v>0</v>
      </c>
      <c r="AU162" s="66">
        <f t="shared" si="112"/>
        <v>0</v>
      </c>
      <c r="AV162" s="66">
        <f t="shared" si="112"/>
        <v>0</v>
      </c>
      <c r="AW162" s="66">
        <f t="shared" si="112"/>
        <v>0</v>
      </c>
      <c r="AX162" s="66">
        <f t="shared" si="112"/>
        <v>0</v>
      </c>
      <c r="AY162" s="66">
        <f t="shared" si="112"/>
        <v>0</v>
      </c>
      <c r="AZ162" s="66">
        <f t="shared" si="112"/>
        <v>0</v>
      </c>
      <c r="BA162" s="66">
        <f t="shared" si="112"/>
        <v>0</v>
      </c>
      <c r="BB162" s="66">
        <f t="shared" si="112"/>
        <v>0</v>
      </c>
      <c r="BC162" s="66">
        <f t="shared" si="112"/>
        <v>0</v>
      </c>
      <c r="BD162" s="66">
        <f t="shared" si="112"/>
        <v>0</v>
      </c>
      <c r="BE162" s="66">
        <f t="shared" si="112"/>
        <v>0</v>
      </c>
      <c r="BF162" s="66">
        <f t="shared" si="112"/>
        <v>0</v>
      </c>
      <c r="BG162" s="66">
        <f t="shared" si="112"/>
        <v>0</v>
      </c>
      <c r="BH162" s="66">
        <f t="shared" si="112"/>
        <v>0</v>
      </c>
      <c r="BI162" s="66">
        <f t="shared" si="112"/>
        <v>0</v>
      </c>
      <c r="BJ162" s="66">
        <f t="shared" si="112"/>
        <v>0</v>
      </c>
      <c r="BY162" s="12"/>
      <c r="BZ162" s="363">
        <f t="shared" si="110"/>
        <v>0</v>
      </c>
      <c r="CA162" s="12"/>
      <c r="CB162" s="7">
        <f t="shared" si="103"/>
        <v>0</v>
      </c>
      <c r="CC162" s="7">
        <f t="shared" si="104"/>
        <v>0</v>
      </c>
      <c r="CD162" s="7">
        <f t="shared" si="105"/>
        <v>0</v>
      </c>
      <c r="CE162" s="42"/>
      <c r="EX162" s="10" t="str">
        <f t="shared" si="0"/>
        <v/>
      </c>
    </row>
    <row r="163" spans="1:154" s="335" customFormat="1" x14ac:dyDescent="0.25">
      <c r="A163" s="362" cm="1">
        <f t="array" aca="1" ref="A163" ca="1">HYPERLINK(CONCATENATE("#",CELL("address",IF(SUM($CA163:$CE163)=0,A163,INDEX($CA163:$CE163,MATCH(1,$CA163:$CE163,0))))),SUM($CA163:$CE163))</f>
        <v>0</v>
      </c>
      <c r="D163" s="10" t="str">
        <f t="shared" si="54"/>
        <v>Custom 64</v>
      </c>
      <c r="E163" s="1"/>
      <c r="H163" s="9"/>
      <c r="AA163" s="203">
        <f t="shared" ref="AA163:BJ163" si="113">IF(SUMIFS($AA76:$BJ76, $AA$3:$BJ$3, AA$3, $AA$4:$BJ$4, 1)=0, 0,(AA76/SUMIFS($AA76:$BJ76, $AA$3:$BJ$3, AA$3, $AA$4:$BJ$4, 1))*AA$4)</f>
        <v>0</v>
      </c>
      <c r="AB163" s="66">
        <f t="shared" si="113"/>
        <v>0</v>
      </c>
      <c r="AC163" s="66">
        <f t="shared" si="113"/>
        <v>0</v>
      </c>
      <c r="AD163" s="66">
        <f t="shared" si="113"/>
        <v>0</v>
      </c>
      <c r="AE163" s="66">
        <f t="shared" si="113"/>
        <v>0</v>
      </c>
      <c r="AF163" s="66">
        <f t="shared" si="113"/>
        <v>0</v>
      </c>
      <c r="AG163" s="66">
        <f t="shared" si="113"/>
        <v>0</v>
      </c>
      <c r="AH163" s="66">
        <f t="shared" si="113"/>
        <v>0</v>
      </c>
      <c r="AI163" s="66">
        <f t="shared" si="113"/>
        <v>0</v>
      </c>
      <c r="AJ163" s="66">
        <f t="shared" si="113"/>
        <v>0</v>
      </c>
      <c r="AK163" s="66">
        <f t="shared" si="113"/>
        <v>0</v>
      </c>
      <c r="AL163" s="66">
        <f t="shared" si="113"/>
        <v>0</v>
      </c>
      <c r="AM163" s="66">
        <f t="shared" si="113"/>
        <v>0</v>
      </c>
      <c r="AN163" s="66">
        <f t="shared" si="113"/>
        <v>0</v>
      </c>
      <c r="AO163" s="66">
        <f t="shared" si="113"/>
        <v>0</v>
      </c>
      <c r="AP163" s="66">
        <f t="shared" si="113"/>
        <v>0</v>
      </c>
      <c r="AQ163" s="66">
        <f t="shared" si="113"/>
        <v>0</v>
      </c>
      <c r="AR163" s="66">
        <f t="shared" si="113"/>
        <v>0</v>
      </c>
      <c r="AS163" s="66">
        <f t="shared" si="113"/>
        <v>0</v>
      </c>
      <c r="AT163" s="66">
        <f t="shared" si="113"/>
        <v>0</v>
      </c>
      <c r="AU163" s="66">
        <f t="shared" si="113"/>
        <v>0</v>
      </c>
      <c r="AV163" s="66">
        <f t="shared" si="113"/>
        <v>0</v>
      </c>
      <c r="AW163" s="66">
        <f t="shared" si="113"/>
        <v>0</v>
      </c>
      <c r="AX163" s="66">
        <f t="shared" si="113"/>
        <v>0</v>
      </c>
      <c r="AY163" s="66">
        <f t="shared" si="113"/>
        <v>0</v>
      </c>
      <c r="AZ163" s="66">
        <f t="shared" si="113"/>
        <v>0</v>
      </c>
      <c r="BA163" s="66">
        <f t="shared" si="113"/>
        <v>0</v>
      </c>
      <c r="BB163" s="66">
        <f t="shared" si="113"/>
        <v>0</v>
      </c>
      <c r="BC163" s="66">
        <f t="shared" si="113"/>
        <v>0</v>
      </c>
      <c r="BD163" s="66">
        <f t="shared" si="113"/>
        <v>0</v>
      </c>
      <c r="BE163" s="66">
        <f t="shared" si="113"/>
        <v>0</v>
      </c>
      <c r="BF163" s="66">
        <f t="shared" si="113"/>
        <v>0</v>
      </c>
      <c r="BG163" s="66">
        <f t="shared" si="113"/>
        <v>0</v>
      </c>
      <c r="BH163" s="66">
        <f t="shared" si="113"/>
        <v>0</v>
      </c>
      <c r="BI163" s="66">
        <f t="shared" si="113"/>
        <v>0</v>
      </c>
      <c r="BJ163" s="66">
        <f t="shared" si="113"/>
        <v>0</v>
      </c>
      <c r="BY163" s="12"/>
      <c r="BZ163" s="363">
        <f t="shared" si="110"/>
        <v>0</v>
      </c>
      <c r="CA163" s="12"/>
      <c r="CB163" s="7">
        <f t="shared" si="103"/>
        <v>0</v>
      </c>
      <c r="CC163" s="7">
        <f t="shared" si="104"/>
        <v>0</v>
      </c>
      <c r="CD163" s="7">
        <f t="shared" si="105"/>
        <v>0</v>
      </c>
      <c r="CE163" s="42"/>
      <c r="EX163" s="10" t="str">
        <f t="shared" si="0"/>
        <v/>
      </c>
    </row>
    <row r="164" spans="1:154" s="335" customFormat="1" x14ac:dyDescent="0.25">
      <c r="A164" s="362" cm="1">
        <f t="array" aca="1" ref="A164" ca="1">HYPERLINK(CONCATENATE("#",CELL("address",IF(SUM($CA164:$CE164)=0,A164,INDEX($CA164:$CE164,MATCH(1,$CA164:$CE164,0))))),SUM($CA164:$CE164))</f>
        <v>0</v>
      </c>
      <c r="D164" s="10" t="str">
        <f t="shared" si="54"/>
        <v>Custom 65</v>
      </c>
      <c r="E164" s="1"/>
      <c r="H164" s="9"/>
      <c r="AA164" s="203">
        <f t="shared" ref="AA164:BJ164" si="114">IF(SUMIFS($AA77:$BJ77, $AA$3:$BJ$3, AA$3, $AA$4:$BJ$4, 1)=0, 0,(AA77/SUMIFS($AA77:$BJ77, $AA$3:$BJ$3, AA$3, $AA$4:$BJ$4, 1))*AA$4)</f>
        <v>0</v>
      </c>
      <c r="AB164" s="66">
        <f t="shared" si="114"/>
        <v>0</v>
      </c>
      <c r="AC164" s="66">
        <f t="shared" si="114"/>
        <v>0</v>
      </c>
      <c r="AD164" s="66">
        <f t="shared" si="114"/>
        <v>0</v>
      </c>
      <c r="AE164" s="66">
        <f t="shared" si="114"/>
        <v>0</v>
      </c>
      <c r="AF164" s="66">
        <f t="shared" si="114"/>
        <v>0</v>
      </c>
      <c r="AG164" s="66">
        <f t="shared" si="114"/>
        <v>0</v>
      </c>
      <c r="AH164" s="66">
        <f t="shared" si="114"/>
        <v>0</v>
      </c>
      <c r="AI164" s="66">
        <f t="shared" si="114"/>
        <v>0</v>
      </c>
      <c r="AJ164" s="66">
        <f t="shared" si="114"/>
        <v>0</v>
      </c>
      <c r="AK164" s="66">
        <f t="shared" si="114"/>
        <v>0</v>
      </c>
      <c r="AL164" s="66">
        <f t="shared" si="114"/>
        <v>0</v>
      </c>
      <c r="AM164" s="66">
        <f t="shared" si="114"/>
        <v>0</v>
      </c>
      <c r="AN164" s="66">
        <f t="shared" si="114"/>
        <v>0</v>
      </c>
      <c r="AO164" s="66">
        <f t="shared" si="114"/>
        <v>0</v>
      </c>
      <c r="AP164" s="66">
        <f t="shared" si="114"/>
        <v>0</v>
      </c>
      <c r="AQ164" s="66">
        <f t="shared" si="114"/>
        <v>0</v>
      </c>
      <c r="AR164" s="66">
        <f t="shared" si="114"/>
        <v>0</v>
      </c>
      <c r="AS164" s="66">
        <f t="shared" si="114"/>
        <v>0</v>
      </c>
      <c r="AT164" s="66">
        <f t="shared" si="114"/>
        <v>0</v>
      </c>
      <c r="AU164" s="66">
        <f t="shared" si="114"/>
        <v>0</v>
      </c>
      <c r="AV164" s="66">
        <f t="shared" si="114"/>
        <v>0</v>
      </c>
      <c r="AW164" s="66">
        <f t="shared" si="114"/>
        <v>0</v>
      </c>
      <c r="AX164" s="66">
        <f t="shared" si="114"/>
        <v>0</v>
      </c>
      <c r="AY164" s="66">
        <f t="shared" si="114"/>
        <v>0</v>
      </c>
      <c r="AZ164" s="66">
        <f t="shared" si="114"/>
        <v>0</v>
      </c>
      <c r="BA164" s="66">
        <f t="shared" si="114"/>
        <v>0</v>
      </c>
      <c r="BB164" s="66">
        <f t="shared" si="114"/>
        <v>0</v>
      </c>
      <c r="BC164" s="66">
        <f t="shared" si="114"/>
        <v>0</v>
      </c>
      <c r="BD164" s="66">
        <f t="shared" si="114"/>
        <v>0</v>
      </c>
      <c r="BE164" s="66">
        <f t="shared" si="114"/>
        <v>0</v>
      </c>
      <c r="BF164" s="66">
        <f t="shared" si="114"/>
        <v>0</v>
      </c>
      <c r="BG164" s="66">
        <f t="shared" si="114"/>
        <v>0</v>
      </c>
      <c r="BH164" s="66">
        <f t="shared" si="114"/>
        <v>0</v>
      </c>
      <c r="BI164" s="66">
        <f t="shared" si="114"/>
        <v>0</v>
      </c>
      <c r="BJ164" s="66">
        <f t="shared" si="114"/>
        <v>0</v>
      </c>
      <c r="BY164" s="12"/>
      <c r="BZ164" s="363">
        <f t="shared" si="110"/>
        <v>0</v>
      </c>
      <c r="CA164" s="12"/>
      <c r="CB164" s="7">
        <f t="shared" si="103"/>
        <v>0</v>
      </c>
      <c r="CC164" s="7">
        <f t="shared" si="104"/>
        <v>0</v>
      </c>
      <c r="CD164" s="7">
        <f t="shared" si="105"/>
        <v>0</v>
      </c>
      <c r="CE164" s="42"/>
      <c r="EX164" s="10" t="str">
        <f t="shared" si="0"/>
        <v/>
      </c>
    </row>
    <row r="165" spans="1:154" s="335" customFormat="1" x14ac:dyDescent="0.25">
      <c r="A165" s="362" cm="1">
        <f t="array" aca="1" ref="A165" ca="1">HYPERLINK(CONCATENATE("#",CELL("address",IF(SUM($CA165:$CE165)=0,A165,INDEX($CA165:$CE165,MATCH(1,$CA165:$CE165,0))))),SUM($CA165:$CE165))</f>
        <v>0</v>
      </c>
      <c r="D165" s="10" t="str">
        <f t="shared" si="54"/>
        <v>Custom 66</v>
      </c>
      <c r="E165" s="1"/>
      <c r="H165" s="9"/>
      <c r="AA165" s="203">
        <f t="shared" ref="AA165:BJ165" si="115">IF(SUMIFS($AA78:$BJ78, $AA$3:$BJ$3, AA$3, $AA$4:$BJ$4, 1)=0, 0,(AA78/SUMIFS($AA78:$BJ78, $AA$3:$BJ$3, AA$3, $AA$4:$BJ$4, 1))*AA$4)</f>
        <v>0</v>
      </c>
      <c r="AB165" s="66">
        <f t="shared" si="115"/>
        <v>0</v>
      </c>
      <c r="AC165" s="66">
        <f t="shared" si="115"/>
        <v>0</v>
      </c>
      <c r="AD165" s="66">
        <f t="shared" si="115"/>
        <v>0</v>
      </c>
      <c r="AE165" s="66">
        <f t="shared" si="115"/>
        <v>0</v>
      </c>
      <c r="AF165" s="66">
        <f t="shared" si="115"/>
        <v>0</v>
      </c>
      <c r="AG165" s="66">
        <f t="shared" si="115"/>
        <v>0</v>
      </c>
      <c r="AH165" s="66">
        <f t="shared" si="115"/>
        <v>0</v>
      </c>
      <c r="AI165" s="66">
        <f t="shared" si="115"/>
        <v>0</v>
      </c>
      <c r="AJ165" s="66">
        <f t="shared" si="115"/>
        <v>0</v>
      </c>
      <c r="AK165" s="66">
        <f t="shared" si="115"/>
        <v>0</v>
      </c>
      <c r="AL165" s="66">
        <f t="shared" si="115"/>
        <v>0</v>
      </c>
      <c r="AM165" s="66">
        <f t="shared" si="115"/>
        <v>0</v>
      </c>
      <c r="AN165" s="66">
        <f t="shared" si="115"/>
        <v>0</v>
      </c>
      <c r="AO165" s="66">
        <f t="shared" si="115"/>
        <v>0</v>
      </c>
      <c r="AP165" s="66">
        <f t="shared" si="115"/>
        <v>0</v>
      </c>
      <c r="AQ165" s="66">
        <f t="shared" si="115"/>
        <v>0</v>
      </c>
      <c r="AR165" s="66">
        <f t="shared" si="115"/>
        <v>0</v>
      </c>
      <c r="AS165" s="66">
        <f t="shared" si="115"/>
        <v>0</v>
      </c>
      <c r="AT165" s="66">
        <f t="shared" si="115"/>
        <v>0</v>
      </c>
      <c r="AU165" s="66">
        <f t="shared" si="115"/>
        <v>0</v>
      </c>
      <c r="AV165" s="66">
        <f t="shared" si="115"/>
        <v>0</v>
      </c>
      <c r="AW165" s="66">
        <f t="shared" si="115"/>
        <v>0</v>
      </c>
      <c r="AX165" s="66">
        <f t="shared" si="115"/>
        <v>0</v>
      </c>
      <c r="AY165" s="66">
        <f t="shared" si="115"/>
        <v>0</v>
      </c>
      <c r="AZ165" s="66">
        <f t="shared" si="115"/>
        <v>0</v>
      </c>
      <c r="BA165" s="66">
        <f t="shared" si="115"/>
        <v>0</v>
      </c>
      <c r="BB165" s="66">
        <f t="shared" si="115"/>
        <v>0</v>
      </c>
      <c r="BC165" s="66">
        <f t="shared" si="115"/>
        <v>0</v>
      </c>
      <c r="BD165" s="66">
        <f t="shared" si="115"/>
        <v>0</v>
      </c>
      <c r="BE165" s="66">
        <f t="shared" si="115"/>
        <v>0</v>
      </c>
      <c r="BF165" s="66">
        <f t="shared" si="115"/>
        <v>0</v>
      </c>
      <c r="BG165" s="66">
        <f t="shared" si="115"/>
        <v>0</v>
      </c>
      <c r="BH165" s="66">
        <f t="shared" si="115"/>
        <v>0</v>
      </c>
      <c r="BI165" s="66">
        <f t="shared" si="115"/>
        <v>0</v>
      </c>
      <c r="BJ165" s="66">
        <f t="shared" si="115"/>
        <v>0</v>
      </c>
      <c r="BY165" s="12"/>
      <c r="BZ165" s="363">
        <f t="shared" si="110"/>
        <v>0</v>
      </c>
      <c r="CA165" s="12"/>
      <c r="CB165" s="7">
        <f t="shared" si="103"/>
        <v>0</v>
      </c>
      <c r="CC165" s="7">
        <f t="shared" si="104"/>
        <v>0</v>
      </c>
      <c r="CD165" s="7">
        <f t="shared" si="105"/>
        <v>0</v>
      </c>
      <c r="CE165" s="42"/>
      <c r="EX165" s="10" t="str">
        <f t="shared" si="0"/>
        <v/>
      </c>
    </row>
    <row r="166" spans="1:154" s="335" customFormat="1" x14ac:dyDescent="0.25">
      <c r="A166" s="362" cm="1">
        <f t="array" aca="1" ref="A166" ca="1">HYPERLINK(CONCATENATE("#",CELL("address",IF(SUM($CA166:$CE166)=0,A166,INDEX($CA166:$CE166,MATCH(1,$CA166:$CE166,0))))),SUM($CA166:$CE166))</f>
        <v>0</v>
      </c>
      <c r="D166" s="10" t="str">
        <f t="shared" si="54"/>
        <v>Custom 67</v>
      </c>
      <c r="E166" s="1"/>
      <c r="H166" s="9"/>
      <c r="AA166" s="203">
        <f t="shared" ref="AA166:BJ166" si="116">IF(SUMIFS($AA79:$BJ79, $AA$3:$BJ$3, AA$3, $AA$4:$BJ$4, 1)=0, 0,(AA79/SUMIFS($AA79:$BJ79, $AA$3:$BJ$3, AA$3, $AA$4:$BJ$4, 1))*AA$4)</f>
        <v>0</v>
      </c>
      <c r="AB166" s="66">
        <f t="shared" si="116"/>
        <v>0</v>
      </c>
      <c r="AC166" s="66">
        <f t="shared" si="116"/>
        <v>0</v>
      </c>
      <c r="AD166" s="66">
        <f t="shared" si="116"/>
        <v>0</v>
      </c>
      <c r="AE166" s="66">
        <f t="shared" si="116"/>
        <v>0</v>
      </c>
      <c r="AF166" s="66">
        <f t="shared" si="116"/>
        <v>0</v>
      </c>
      <c r="AG166" s="66">
        <f t="shared" si="116"/>
        <v>0</v>
      </c>
      <c r="AH166" s="66">
        <f t="shared" si="116"/>
        <v>0</v>
      </c>
      <c r="AI166" s="66">
        <f t="shared" si="116"/>
        <v>0</v>
      </c>
      <c r="AJ166" s="66">
        <f t="shared" si="116"/>
        <v>0</v>
      </c>
      <c r="AK166" s="66">
        <f t="shared" si="116"/>
        <v>0</v>
      </c>
      <c r="AL166" s="66">
        <f t="shared" si="116"/>
        <v>0</v>
      </c>
      <c r="AM166" s="66">
        <f t="shared" si="116"/>
        <v>0</v>
      </c>
      <c r="AN166" s="66">
        <f t="shared" si="116"/>
        <v>0</v>
      </c>
      <c r="AO166" s="66">
        <f t="shared" si="116"/>
        <v>0</v>
      </c>
      <c r="AP166" s="66">
        <f t="shared" si="116"/>
        <v>0</v>
      </c>
      <c r="AQ166" s="66">
        <f t="shared" si="116"/>
        <v>0</v>
      </c>
      <c r="AR166" s="66">
        <f t="shared" si="116"/>
        <v>0</v>
      </c>
      <c r="AS166" s="66">
        <f t="shared" si="116"/>
        <v>0</v>
      </c>
      <c r="AT166" s="66">
        <f t="shared" si="116"/>
        <v>0</v>
      </c>
      <c r="AU166" s="66">
        <f t="shared" si="116"/>
        <v>0</v>
      </c>
      <c r="AV166" s="66">
        <f t="shared" si="116"/>
        <v>0</v>
      </c>
      <c r="AW166" s="66">
        <f t="shared" si="116"/>
        <v>0</v>
      </c>
      <c r="AX166" s="66">
        <f t="shared" si="116"/>
        <v>0</v>
      </c>
      <c r="AY166" s="66">
        <f t="shared" si="116"/>
        <v>0</v>
      </c>
      <c r="AZ166" s="66">
        <f t="shared" si="116"/>
        <v>0</v>
      </c>
      <c r="BA166" s="66">
        <f t="shared" si="116"/>
        <v>0</v>
      </c>
      <c r="BB166" s="66">
        <f t="shared" si="116"/>
        <v>0</v>
      </c>
      <c r="BC166" s="66">
        <f t="shared" si="116"/>
        <v>0</v>
      </c>
      <c r="BD166" s="66">
        <f t="shared" si="116"/>
        <v>0</v>
      </c>
      <c r="BE166" s="66">
        <f t="shared" si="116"/>
        <v>0</v>
      </c>
      <c r="BF166" s="66">
        <f t="shared" si="116"/>
        <v>0</v>
      </c>
      <c r="BG166" s="66">
        <f t="shared" si="116"/>
        <v>0</v>
      </c>
      <c r="BH166" s="66">
        <f t="shared" si="116"/>
        <v>0</v>
      </c>
      <c r="BI166" s="66">
        <f t="shared" si="116"/>
        <v>0</v>
      </c>
      <c r="BJ166" s="66">
        <f t="shared" si="116"/>
        <v>0</v>
      </c>
      <c r="BY166" s="12"/>
      <c r="BZ166" s="363">
        <f t="shared" si="110"/>
        <v>0</v>
      </c>
      <c r="CA166" s="12"/>
      <c r="CB166" s="7">
        <f t="shared" si="103"/>
        <v>0</v>
      </c>
      <c r="CC166" s="7">
        <f t="shared" si="104"/>
        <v>0</v>
      </c>
      <c r="CD166" s="7">
        <f t="shared" si="105"/>
        <v>0</v>
      </c>
      <c r="CE166" s="42"/>
      <c r="EX166" s="10" t="str">
        <f t="shared" si="0"/>
        <v/>
      </c>
    </row>
    <row r="167" spans="1:154" s="335" customFormat="1" x14ac:dyDescent="0.25">
      <c r="A167" s="362" cm="1">
        <f t="array" aca="1" ref="A167" ca="1">HYPERLINK(CONCATENATE("#",CELL("address",IF(SUM($CA167:$CE167)=0,A167,INDEX($CA167:$CE167,MATCH(1,$CA167:$CE167,0))))),SUM($CA167:$CE167))</f>
        <v>0</v>
      </c>
      <c r="D167" s="10" t="str">
        <f t="shared" si="54"/>
        <v>Custom 68</v>
      </c>
      <c r="E167" s="1"/>
      <c r="H167" s="9"/>
      <c r="AA167" s="203">
        <f t="shared" ref="AA167:BJ167" si="117">IF(SUMIFS($AA80:$BJ80, $AA$3:$BJ$3, AA$3, $AA$4:$BJ$4, 1)=0, 0,(AA80/SUMIFS($AA80:$BJ80, $AA$3:$BJ$3, AA$3, $AA$4:$BJ$4, 1))*AA$4)</f>
        <v>0</v>
      </c>
      <c r="AB167" s="66">
        <f t="shared" si="117"/>
        <v>0</v>
      </c>
      <c r="AC167" s="66">
        <f t="shared" si="117"/>
        <v>0</v>
      </c>
      <c r="AD167" s="66">
        <f t="shared" si="117"/>
        <v>0</v>
      </c>
      <c r="AE167" s="66">
        <f t="shared" si="117"/>
        <v>0</v>
      </c>
      <c r="AF167" s="66">
        <f t="shared" si="117"/>
        <v>0</v>
      </c>
      <c r="AG167" s="66">
        <f t="shared" si="117"/>
        <v>0</v>
      </c>
      <c r="AH167" s="66">
        <f t="shared" si="117"/>
        <v>0</v>
      </c>
      <c r="AI167" s="66">
        <f t="shared" si="117"/>
        <v>0</v>
      </c>
      <c r="AJ167" s="66">
        <f t="shared" si="117"/>
        <v>0</v>
      </c>
      <c r="AK167" s="66">
        <f t="shared" si="117"/>
        <v>0</v>
      </c>
      <c r="AL167" s="66">
        <f t="shared" si="117"/>
        <v>0</v>
      </c>
      <c r="AM167" s="66">
        <f t="shared" si="117"/>
        <v>0</v>
      </c>
      <c r="AN167" s="66">
        <f t="shared" si="117"/>
        <v>0</v>
      </c>
      <c r="AO167" s="66">
        <f t="shared" si="117"/>
        <v>0</v>
      </c>
      <c r="AP167" s="66">
        <f t="shared" si="117"/>
        <v>0</v>
      </c>
      <c r="AQ167" s="66">
        <f t="shared" si="117"/>
        <v>0</v>
      </c>
      <c r="AR167" s="66">
        <f t="shared" si="117"/>
        <v>0</v>
      </c>
      <c r="AS167" s="66">
        <f t="shared" si="117"/>
        <v>0</v>
      </c>
      <c r="AT167" s="66">
        <f t="shared" si="117"/>
        <v>0</v>
      </c>
      <c r="AU167" s="66">
        <f t="shared" si="117"/>
        <v>0</v>
      </c>
      <c r="AV167" s="66">
        <f t="shared" si="117"/>
        <v>0</v>
      </c>
      <c r="AW167" s="66">
        <f t="shared" si="117"/>
        <v>0</v>
      </c>
      <c r="AX167" s="66">
        <f t="shared" si="117"/>
        <v>0</v>
      </c>
      <c r="AY167" s="66">
        <f t="shared" si="117"/>
        <v>0</v>
      </c>
      <c r="AZ167" s="66">
        <f t="shared" si="117"/>
        <v>0</v>
      </c>
      <c r="BA167" s="66">
        <f t="shared" si="117"/>
        <v>0</v>
      </c>
      <c r="BB167" s="66">
        <f t="shared" si="117"/>
        <v>0</v>
      </c>
      <c r="BC167" s="66">
        <f t="shared" si="117"/>
        <v>0</v>
      </c>
      <c r="BD167" s="66">
        <f t="shared" si="117"/>
        <v>0</v>
      </c>
      <c r="BE167" s="66">
        <f t="shared" si="117"/>
        <v>0</v>
      </c>
      <c r="BF167" s="66">
        <f t="shared" si="117"/>
        <v>0</v>
      </c>
      <c r="BG167" s="66">
        <f t="shared" si="117"/>
        <v>0</v>
      </c>
      <c r="BH167" s="66">
        <f t="shared" si="117"/>
        <v>0</v>
      </c>
      <c r="BI167" s="66">
        <f t="shared" si="117"/>
        <v>0</v>
      </c>
      <c r="BJ167" s="66">
        <f t="shared" si="117"/>
        <v>0</v>
      </c>
      <c r="BY167" s="12"/>
      <c r="BZ167" s="363">
        <f t="shared" si="110"/>
        <v>0</v>
      </c>
      <c r="CA167" s="12"/>
      <c r="CB167" s="7">
        <f t="shared" si="103"/>
        <v>0</v>
      </c>
      <c r="CC167" s="7">
        <f t="shared" si="104"/>
        <v>0</v>
      </c>
      <c r="CD167" s="7">
        <f t="shared" si="105"/>
        <v>0</v>
      </c>
      <c r="CE167" s="42"/>
      <c r="EX167" s="10" t="str">
        <f t="shared" si="0"/>
        <v/>
      </c>
    </row>
    <row r="168" spans="1:154" s="335" customFormat="1" x14ac:dyDescent="0.25">
      <c r="A168" s="362" cm="1">
        <f t="array" aca="1" ref="A168" ca="1">HYPERLINK(CONCATENATE("#",CELL("address",IF(SUM($CA168:$CE168)=0,A168,INDEX($CA168:$CE168,MATCH(1,$CA168:$CE168,0))))),SUM($CA168:$CE168))</f>
        <v>0</v>
      </c>
      <c r="D168" s="10" t="str">
        <f t="shared" si="54"/>
        <v>Custom 69</v>
      </c>
      <c r="E168" s="1"/>
      <c r="H168" s="9"/>
      <c r="AA168" s="203">
        <f t="shared" ref="AA168:BJ168" si="118">IF(SUMIFS($AA81:$BJ81, $AA$3:$BJ$3, AA$3, $AA$4:$BJ$4, 1)=0, 0,(AA81/SUMIFS($AA81:$BJ81, $AA$3:$BJ$3, AA$3, $AA$4:$BJ$4, 1))*AA$4)</f>
        <v>0</v>
      </c>
      <c r="AB168" s="66">
        <f t="shared" si="118"/>
        <v>0</v>
      </c>
      <c r="AC168" s="66">
        <f t="shared" si="118"/>
        <v>0</v>
      </c>
      <c r="AD168" s="66">
        <f t="shared" si="118"/>
        <v>0</v>
      </c>
      <c r="AE168" s="66">
        <f t="shared" si="118"/>
        <v>0</v>
      </c>
      <c r="AF168" s="66">
        <f t="shared" si="118"/>
        <v>0</v>
      </c>
      <c r="AG168" s="66">
        <f t="shared" si="118"/>
        <v>0</v>
      </c>
      <c r="AH168" s="66">
        <f t="shared" si="118"/>
        <v>0</v>
      </c>
      <c r="AI168" s="66">
        <f t="shared" si="118"/>
        <v>0</v>
      </c>
      <c r="AJ168" s="66">
        <f t="shared" si="118"/>
        <v>0</v>
      </c>
      <c r="AK168" s="66">
        <f t="shared" si="118"/>
        <v>0</v>
      </c>
      <c r="AL168" s="66">
        <f t="shared" si="118"/>
        <v>0</v>
      </c>
      <c r="AM168" s="66">
        <f t="shared" si="118"/>
        <v>0</v>
      </c>
      <c r="AN168" s="66">
        <f t="shared" si="118"/>
        <v>0</v>
      </c>
      <c r="AO168" s="66">
        <f t="shared" si="118"/>
        <v>0</v>
      </c>
      <c r="AP168" s="66">
        <f t="shared" si="118"/>
        <v>0</v>
      </c>
      <c r="AQ168" s="66">
        <f t="shared" si="118"/>
        <v>0</v>
      </c>
      <c r="AR168" s="66">
        <f t="shared" si="118"/>
        <v>0</v>
      </c>
      <c r="AS168" s="66">
        <f t="shared" si="118"/>
        <v>0</v>
      </c>
      <c r="AT168" s="66">
        <f t="shared" si="118"/>
        <v>0</v>
      </c>
      <c r="AU168" s="66">
        <f t="shared" si="118"/>
        <v>0</v>
      </c>
      <c r="AV168" s="66">
        <f t="shared" si="118"/>
        <v>0</v>
      </c>
      <c r="AW168" s="66">
        <f t="shared" si="118"/>
        <v>0</v>
      </c>
      <c r="AX168" s="66">
        <f t="shared" si="118"/>
        <v>0</v>
      </c>
      <c r="AY168" s="66">
        <f t="shared" si="118"/>
        <v>0</v>
      </c>
      <c r="AZ168" s="66">
        <f t="shared" si="118"/>
        <v>0</v>
      </c>
      <c r="BA168" s="66">
        <f t="shared" si="118"/>
        <v>0</v>
      </c>
      <c r="BB168" s="66">
        <f t="shared" si="118"/>
        <v>0</v>
      </c>
      <c r="BC168" s="66">
        <f t="shared" si="118"/>
        <v>0</v>
      </c>
      <c r="BD168" s="66">
        <f t="shared" si="118"/>
        <v>0</v>
      </c>
      <c r="BE168" s="66">
        <f t="shared" si="118"/>
        <v>0</v>
      </c>
      <c r="BF168" s="66">
        <f t="shared" si="118"/>
        <v>0</v>
      </c>
      <c r="BG168" s="66">
        <f t="shared" si="118"/>
        <v>0</v>
      </c>
      <c r="BH168" s="66">
        <f t="shared" si="118"/>
        <v>0</v>
      </c>
      <c r="BI168" s="66">
        <f t="shared" si="118"/>
        <v>0</v>
      </c>
      <c r="BJ168" s="66">
        <f t="shared" si="118"/>
        <v>0</v>
      </c>
      <c r="BY168" s="12"/>
      <c r="BZ168" s="363">
        <f t="shared" si="110"/>
        <v>0</v>
      </c>
      <c r="CA168" s="12"/>
      <c r="CB168" s="7">
        <f t="shared" si="103"/>
        <v>0</v>
      </c>
      <c r="CC168" s="7">
        <f t="shared" si="104"/>
        <v>0</v>
      </c>
      <c r="CD168" s="7">
        <f t="shared" si="105"/>
        <v>0</v>
      </c>
      <c r="CE168" s="42"/>
      <c r="EX168" s="10" t="str">
        <f t="shared" si="0"/>
        <v/>
      </c>
    </row>
    <row r="169" spans="1:154" s="335" customFormat="1" x14ac:dyDescent="0.25">
      <c r="A169" s="362" cm="1">
        <f t="array" aca="1" ref="A169" ca="1">HYPERLINK(CONCATENATE("#",CELL("address",IF(SUM($CA169:$CE169)=0,A169,INDEX($CA169:$CE169,MATCH(1,$CA169:$CE169,0))))),SUM($CA169:$CE169))</f>
        <v>0</v>
      </c>
      <c r="D169" s="10" t="str">
        <f t="shared" si="54"/>
        <v>Custom 70</v>
      </c>
      <c r="E169" s="1"/>
      <c r="H169" s="9"/>
      <c r="AA169" s="203">
        <f t="shared" ref="AA169:BJ169" si="119">IF(SUMIFS($AA82:$BJ82, $AA$3:$BJ$3, AA$3, $AA$4:$BJ$4, 1)=0, 0,(AA82/SUMIFS($AA82:$BJ82, $AA$3:$BJ$3, AA$3, $AA$4:$BJ$4, 1))*AA$4)</f>
        <v>0</v>
      </c>
      <c r="AB169" s="66">
        <f t="shared" si="119"/>
        <v>0</v>
      </c>
      <c r="AC169" s="66">
        <f t="shared" si="119"/>
        <v>0</v>
      </c>
      <c r="AD169" s="66">
        <f t="shared" si="119"/>
        <v>0</v>
      </c>
      <c r="AE169" s="66">
        <f t="shared" si="119"/>
        <v>0</v>
      </c>
      <c r="AF169" s="66">
        <f t="shared" si="119"/>
        <v>0</v>
      </c>
      <c r="AG169" s="66">
        <f t="shared" si="119"/>
        <v>0</v>
      </c>
      <c r="AH169" s="66">
        <f t="shared" si="119"/>
        <v>0</v>
      </c>
      <c r="AI169" s="66">
        <f t="shared" si="119"/>
        <v>0</v>
      </c>
      <c r="AJ169" s="66">
        <f t="shared" si="119"/>
        <v>0</v>
      </c>
      <c r="AK169" s="66">
        <f t="shared" si="119"/>
        <v>0</v>
      </c>
      <c r="AL169" s="66">
        <f t="shared" si="119"/>
        <v>0</v>
      </c>
      <c r="AM169" s="66">
        <f t="shared" si="119"/>
        <v>0</v>
      </c>
      <c r="AN169" s="66">
        <f t="shared" si="119"/>
        <v>0</v>
      </c>
      <c r="AO169" s="66">
        <f t="shared" si="119"/>
        <v>0</v>
      </c>
      <c r="AP169" s="66">
        <f t="shared" si="119"/>
        <v>0</v>
      </c>
      <c r="AQ169" s="66">
        <f t="shared" si="119"/>
        <v>0</v>
      </c>
      <c r="AR169" s="66">
        <f t="shared" si="119"/>
        <v>0</v>
      </c>
      <c r="AS169" s="66">
        <f t="shared" si="119"/>
        <v>0</v>
      </c>
      <c r="AT169" s="66">
        <f t="shared" si="119"/>
        <v>0</v>
      </c>
      <c r="AU169" s="66">
        <f t="shared" si="119"/>
        <v>0</v>
      </c>
      <c r="AV169" s="66">
        <f t="shared" si="119"/>
        <v>0</v>
      </c>
      <c r="AW169" s="66">
        <f t="shared" si="119"/>
        <v>0</v>
      </c>
      <c r="AX169" s="66">
        <f t="shared" si="119"/>
        <v>0</v>
      </c>
      <c r="AY169" s="66">
        <f t="shared" si="119"/>
        <v>0</v>
      </c>
      <c r="AZ169" s="66">
        <f t="shared" si="119"/>
        <v>0</v>
      </c>
      <c r="BA169" s="66">
        <f t="shared" si="119"/>
        <v>0</v>
      </c>
      <c r="BB169" s="66">
        <f t="shared" si="119"/>
        <v>0</v>
      </c>
      <c r="BC169" s="66">
        <f t="shared" si="119"/>
        <v>0</v>
      </c>
      <c r="BD169" s="66">
        <f t="shared" si="119"/>
        <v>0</v>
      </c>
      <c r="BE169" s="66">
        <f t="shared" si="119"/>
        <v>0</v>
      </c>
      <c r="BF169" s="66">
        <f t="shared" si="119"/>
        <v>0</v>
      </c>
      <c r="BG169" s="66">
        <f t="shared" si="119"/>
        <v>0</v>
      </c>
      <c r="BH169" s="66">
        <f t="shared" si="119"/>
        <v>0</v>
      </c>
      <c r="BI169" s="66">
        <f t="shared" si="119"/>
        <v>0</v>
      </c>
      <c r="BJ169" s="66">
        <f t="shared" si="119"/>
        <v>0</v>
      </c>
      <c r="BY169" s="12"/>
      <c r="BZ169" s="363">
        <f t="shared" si="110"/>
        <v>0</v>
      </c>
      <c r="CA169" s="12"/>
      <c r="CB169" s="7">
        <f t="shared" si="103"/>
        <v>0</v>
      </c>
      <c r="CC169" s="7">
        <f t="shared" si="104"/>
        <v>0</v>
      </c>
      <c r="CD169" s="7">
        <f t="shared" si="105"/>
        <v>0</v>
      </c>
      <c r="CE169" s="42"/>
      <c r="EX169" s="10" t="str">
        <f t="shared" si="0"/>
        <v/>
      </c>
    </row>
    <row r="170" spans="1:154" s="335" customFormat="1" x14ac:dyDescent="0.25">
      <c r="A170" s="362" cm="1">
        <f t="array" aca="1" ref="A170" ca="1">HYPERLINK(CONCATENATE("#",CELL("address",IF(SUM($CA170:$CE170)=0,A170,INDEX($CA170:$CE170,MATCH(1,$CA170:$CE170,0))))),SUM($CA170:$CE170))</f>
        <v>0</v>
      </c>
      <c r="D170" s="10" t="str">
        <f t="shared" si="54"/>
        <v>Custom 71</v>
      </c>
      <c r="E170" s="1"/>
      <c r="H170" s="9"/>
      <c r="AA170" s="203">
        <f t="shared" ref="AA170:BJ170" si="120">IF(SUMIFS($AA83:$BJ83, $AA$3:$BJ$3, AA$3, $AA$4:$BJ$4, 1)=0, 0,(AA83/SUMIFS($AA83:$BJ83, $AA$3:$BJ$3, AA$3, $AA$4:$BJ$4, 1))*AA$4)</f>
        <v>0</v>
      </c>
      <c r="AB170" s="66">
        <f t="shared" si="120"/>
        <v>0</v>
      </c>
      <c r="AC170" s="66">
        <f t="shared" si="120"/>
        <v>0</v>
      </c>
      <c r="AD170" s="66">
        <f t="shared" si="120"/>
        <v>0</v>
      </c>
      <c r="AE170" s="66">
        <f t="shared" si="120"/>
        <v>0</v>
      </c>
      <c r="AF170" s="66">
        <f t="shared" si="120"/>
        <v>0</v>
      </c>
      <c r="AG170" s="66">
        <f t="shared" si="120"/>
        <v>0</v>
      </c>
      <c r="AH170" s="66">
        <f t="shared" si="120"/>
        <v>0</v>
      </c>
      <c r="AI170" s="66">
        <f t="shared" si="120"/>
        <v>0</v>
      </c>
      <c r="AJ170" s="66">
        <f t="shared" si="120"/>
        <v>0</v>
      </c>
      <c r="AK170" s="66">
        <f t="shared" si="120"/>
        <v>0</v>
      </c>
      <c r="AL170" s="66">
        <f t="shared" si="120"/>
        <v>0</v>
      </c>
      <c r="AM170" s="66">
        <f t="shared" si="120"/>
        <v>0</v>
      </c>
      <c r="AN170" s="66">
        <f t="shared" si="120"/>
        <v>0</v>
      </c>
      <c r="AO170" s="66">
        <f t="shared" si="120"/>
        <v>0</v>
      </c>
      <c r="AP170" s="66">
        <f t="shared" si="120"/>
        <v>0</v>
      </c>
      <c r="AQ170" s="66">
        <f t="shared" si="120"/>
        <v>0</v>
      </c>
      <c r="AR170" s="66">
        <f t="shared" si="120"/>
        <v>0</v>
      </c>
      <c r="AS170" s="66">
        <f t="shared" si="120"/>
        <v>0</v>
      </c>
      <c r="AT170" s="66">
        <f t="shared" si="120"/>
        <v>0</v>
      </c>
      <c r="AU170" s="66">
        <f t="shared" si="120"/>
        <v>0</v>
      </c>
      <c r="AV170" s="66">
        <f t="shared" si="120"/>
        <v>0</v>
      </c>
      <c r="AW170" s="66">
        <f t="shared" si="120"/>
        <v>0</v>
      </c>
      <c r="AX170" s="66">
        <f t="shared" si="120"/>
        <v>0</v>
      </c>
      <c r="AY170" s="66">
        <f t="shared" si="120"/>
        <v>0</v>
      </c>
      <c r="AZ170" s="66">
        <f t="shared" si="120"/>
        <v>0</v>
      </c>
      <c r="BA170" s="66">
        <f t="shared" si="120"/>
        <v>0</v>
      </c>
      <c r="BB170" s="66">
        <f t="shared" si="120"/>
        <v>0</v>
      </c>
      <c r="BC170" s="66">
        <f t="shared" si="120"/>
        <v>0</v>
      </c>
      <c r="BD170" s="66">
        <f t="shared" si="120"/>
        <v>0</v>
      </c>
      <c r="BE170" s="66">
        <f t="shared" si="120"/>
        <v>0</v>
      </c>
      <c r="BF170" s="66">
        <f t="shared" si="120"/>
        <v>0</v>
      </c>
      <c r="BG170" s="66">
        <f t="shared" si="120"/>
        <v>0</v>
      </c>
      <c r="BH170" s="66">
        <f t="shared" si="120"/>
        <v>0</v>
      </c>
      <c r="BI170" s="66">
        <f t="shared" si="120"/>
        <v>0</v>
      </c>
      <c r="BJ170" s="66">
        <f t="shared" si="120"/>
        <v>0</v>
      </c>
      <c r="BY170" s="12"/>
      <c r="BZ170" s="363">
        <f t="shared" si="110"/>
        <v>0</v>
      </c>
      <c r="CA170" s="12"/>
      <c r="CB170" s="7">
        <f t="shared" si="103"/>
        <v>0</v>
      </c>
      <c r="CC170" s="7">
        <f t="shared" si="104"/>
        <v>0</v>
      </c>
      <c r="CD170" s="7">
        <f t="shared" si="105"/>
        <v>0</v>
      </c>
      <c r="CE170" s="42"/>
      <c r="EX170" s="10" t="str">
        <f t="shared" si="0"/>
        <v/>
      </c>
    </row>
    <row r="171" spans="1:154" s="335" customFormat="1" x14ac:dyDescent="0.25">
      <c r="A171" s="362" cm="1">
        <f t="array" aca="1" ref="A171" ca="1">HYPERLINK(CONCATENATE("#",CELL("address",IF(SUM($CA171:$CE171)=0,A171,INDEX($CA171:$CE171,MATCH(1,$CA171:$CE171,0))))),SUM($CA171:$CE171))</f>
        <v>0</v>
      </c>
      <c r="D171" s="10" t="str">
        <f t="shared" si="54"/>
        <v>Custom 72</v>
      </c>
      <c r="E171" s="1"/>
      <c r="H171" s="9"/>
      <c r="AA171" s="203">
        <f t="shared" ref="AA171:BJ171" si="121">IF(SUMIFS($AA84:$BJ84, $AA$3:$BJ$3, AA$3, $AA$4:$BJ$4, 1)=0, 0,(AA84/SUMIFS($AA84:$BJ84, $AA$3:$BJ$3, AA$3, $AA$4:$BJ$4, 1))*AA$4)</f>
        <v>0</v>
      </c>
      <c r="AB171" s="66">
        <f t="shared" si="121"/>
        <v>0</v>
      </c>
      <c r="AC171" s="66">
        <f t="shared" si="121"/>
        <v>0</v>
      </c>
      <c r="AD171" s="66">
        <f t="shared" si="121"/>
        <v>0</v>
      </c>
      <c r="AE171" s="66">
        <f t="shared" si="121"/>
        <v>0</v>
      </c>
      <c r="AF171" s="66">
        <f t="shared" si="121"/>
        <v>0</v>
      </c>
      <c r="AG171" s="66">
        <f t="shared" si="121"/>
        <v>0</v>
      </c>
      <c r="AH171" s="66">
        <f t="shared" si="121"/>
        <v>0</v>
      </c>
      <c r="AI171" s="66">
        <f t="shared" si="121"/>
        <v>0</v>
      </c>
      <c r="AJ171" s="66">
        <f t="shared" si="121"/>
        <v>0</v>
      </c>
      <c r="AK171" s="66">
        <f t="shared" si="121"/>
        <v>0</v>
      </c>
      <c r="AL171" s="66">
        <f t="shared" si="121"/>
        <v>0</v>
      </c>
      <c r="AM171" s="66">
        <f t="shared" si="121"/>
        <v>0</v>
      </c>
      <c r="AN171" s="66">
        <f t="shared" si="121"/>
        <v>0</v>
      </c>
      <c r="AO171" s="66">
        <f t="shared" si="121"/>
        <v>0</v>
      </c>
      <c r="AP171" s="66">
        <f t="shared" si="121"/>
        <v>0</v>
      </c>
      <c r="AQ171" s="66">
        <f t="shared" si="121"/>
        <v>0</v>
      </c>
      <c r="AR171" s="66">
        <f t="shared" si="121"/>
        <v>0</v>
      </c>
      <c r="AS171" s="66">
        <f t="shared" si="121"/>
        <v>0</v>
      </c>
      <c r="AT171" s="66">
        <f t="shared" si="121"/>
        <v>0</v>
      </c>
      <c r="AU171" s="66">
        <f t="shared" si="121"/>
        <v>0</v>
      </c>
      <c r="AV171" s="66">
        <f t="shared" si="121"/>
        <v>0</v>
      </c>
      <c r="AW171" s="66">
        <f t="shared" si="121"/>
        <v>0</v>
      </c>
      <c r="AX171" s="66">
        <f t="shared" si="121"/>
        <v>0</v>
      </c>
      <c r="AY171" s="66">
        <f t="shared" si="121"/>
        <v>0</v>
      </c>
      <c r="AZ171" s="66">
        <f t="shared" si="121"/>
        <v>0</v>
      </c>
      <c r="BA171" s="66">
        <f t="shared" si="121"/>
        <v>0</v>
      </c>
      <c r="BB171" s="66">
        <f t="shared" si="121"/>
        <v>0</v>
      </c>
      <c r="BC171" s="66">
        <f t="shared" si="121"/>
        <v>0</v>
      </c>
      <c r="BD171" s="66">
        <f t="shared" si="121"/>
        <v>0</v>
      </c>
      <c r="BE171" s="66">
        <f t="shared" si="121"/>
        <v>0</v>
      </c>
      <c r="BF171" s="66">
        <f t="shared" si="121"/>
        <v>0</v>
      </c>
      <c r="BG171" s="66">
        <f t="shared" si="121"/>
        <v>0</v>
      </c>
      <c r="BH171" s="66">
        <f t="shared" si="121"/>
        <v>0</v>
      </c>
      <c r="BI171" s="66">
        <f t="shared" si="121"/>
        <v>0</v>
      </c>
      <c r="BJ171" s="66">
        <f t="shared" si="121"/>
        <v>0</v>
      </c>
      <c r="BY171" s="12"/>
      <c r="BZ171" s="363">
        <f t="shared" si="110"/>
        <v>0</v>
      </c>
      <c r="CA171" s="12"/>
      <c r="CB171" s="7">
        <f t="shared" si="103"/>
        <v>0</v>
      </c>
      <c r="CC171" s="7">
        <f t="shared" si="104"/>
        <v>0</v>
      </c>
      <c r="CD171" s="7">
        <f t="shared" si="105"/>
        <v>0</v>
      </c>
      <c r="CE171" s="42"/>
      <c r="EX171" s="10" t="str">
        <f t="shared" si="0"/>
        <v/>
      </c>
    </row>
    <row r="172" spans="1:154" s="335" customFormat="1" x14ac:dyDescent="0.25">
      <c r="A172" s="362" cm="1">
        <f t="array" aca="1" ref="A172" ca="1">HYPERLINK(CONCATENATE("#",CELL("address",IF(SUM($CA172:$CE172)=0,A172,INDEX($CA172:$CE172,MATCH(1,$CA172:$CE172,0))))),SUM($CA172:$CE172))</f>
        <v>0</v>
      </c>
      <c r="D172" s="10" t="str">
        <f t="shared" si="54"/>
        <v>Custom 73</v>
      </c>
      <c r="E172" s="1"/>
      <c r="H172" s="9"/>
      <c r="AA172" s="203">
        <f t="shared" ref="AA172:BI172" si="122">IF(SUMIFS($AA85:$BJ85, $AA$3:$BJ$3, AA$3, $AA$4:$BJ$4, 1)=0, 0,(AA85/SUMIFS($AA85:$BJ85, $AA$3:$BJ$3, AA$3, $AA$4:$BJ$4, 1))*AA$4)</f>
        <v>0</v>
      </c>
      <c r="AB172" s="66">
        <f t="shared" si="122"/>
        <v>0</v>
      </c>
      <c r="AC172" s="66">
        <f t="shared" si="122"/>
        <v>0</v>
      </c>
      <c r="AD172" s="66">
        <f t="shared" si="122"/>
        <v>0</v>
      </c>
      <c r="AE172" s="66">
        <f t="shared" si="122"/>
        <v>0</v>
      </c>
      <c r="AF172" s="66">
        <f t="shared" si="122"/>
        <v>0</v>
      </c>
      <c r="AG172" s="66">
        <f t="shared" si="122"/>
        <v>0</v>
      </c>
      <c r="AH172" s="66">
        <f t="shared" si="122"/>
        <v>0</v>
      </c>
      <c r="AI172" s="66">
        <f t="shared" si="122"/>
        <v>0</v>
      </c>
      <c r="AJ172" s="66">
        <f t="shared" si="122"/>
        <v>0</v>
      </c>
      <c r="AK172" s="66">
        <f t="shared" si="122"/>
        <v>0</v>
      </c>
      <c r="AL172" s="66">
        <f t="shared" si="122"/>
        <v>0</v>
      </c>
      <c r="AM172" s="66">
        <f t="shared" si="122"/>
        <v>0</v>
      </c>
      <c r="AN172" s="66">
        <f t="shared" si="122"/>
        <v>0</v>
      </c>
      <c r="AO172" s="66">
        <f t="shared" si="122"/>
        <v>0</v>
      </c>
      <c r="AP172" s="66">
        <f t="shared" si="122"/>
        <v>0</v>
      </c>
      <c r="AQ172" s="66">
        <f t="shared" si="122"/>
        <v>0</v>
      </c>
      <c r="AR172" s="66">
        <f t="shared" si="122"/>
        <v>0</v>
      </c>
      <c r="AS172" s="66">
        <f t="shared" si="122"/>
        <v>0</v>
      </c>
      <c r="AT172" s="66">
        <f t="shared" si="122"/>
        <v>0</v>
      </c>
      <c r="AU172" s="66">
        <f t="shared" si="122"/>
        <v>0</v>
      </c>
      <c r="AV172" s="66">
        <f t="shared" si="122"/>
        <v>0</v>
      </c>
      <c r="AW172" s="66">
        <f t="shared" si="122"/>
        <v>0</v>
      </c>
      <c r="AX172" s="66">
        <f t="shared" si="122"/>
        <v>0</v>
      </c>
      <c r="AY172" s="66">
        <f t="shared" si="122"/>
        <v>0</v>
      </c>
      <c r="AZ172" s="66">
        <f t="shared" si="122"/>
        <v>0</v>
      </c>
      <c r="BA172" s="66">
        <f t="shared" si="122"/>
        <v>0</v>
      </c>
      <c r="BB172" s="66">
        <f t="shared" si="122"/>
        <v>0</v>
      </c>
      <c r="BC172" s="66">
        <f t="shared" si="122"/>
        <v>0</v>
      </c>
      <c r="BD172" s="66">
        <f t="shared" si="122"/>
        <v>0</v>
      </c>
      <c r="BE172" s="66">
        <f t="shared" si="122"/>
        <v>0</v>
      </c>
      <c r="BF172" s="66">
        <f t="shared" si="122"/>
        <v>0</v>
      </c>
      <c r="BG172" s="66">
        <f t="shared" si="122"/>
        <v>0</v>
      </c>
      <c r="BH172" s="66">
        <f t="shared" si="122"/>
        <v>0</v>
      </c>
      <c r="BI172" s="66">
        <f t="shared" si="122"/>
        <v>0</v>
      </c>
      <c r="BJ172" s="66">
        <f>IF(SUMIFS($AA85:$BJ85, $AA$3:$BJ$3, BJ$3, $AA$4:$BJ$4, 1)=0, 0,(BJ85/SUMIFS($AA85:$BJ85, $AA$3:$BJ$3, BJ$3, $AA$4:$BJ$4, 1))*BJ$4)</f>
        <v>0</v>
      </c>
      <c r="BY172" s="12"/>
      <c r="BZ172" s="363">
        <f t="shared" si="110"/>
        <v>0</v>
      </c>
      <c r="CA172" s="12"/>
      <c r="CB172" s="7">
        <f t="shared" si="103"/>
        <v>0</v>
      </c>
      <c r="CC172" s="7">
        <f t="shared" si="104"/>
        <v>0</v>
      </c>
      <c r="CD172" s="7">
        <f t="shared" si="105"/>
        <v>0</v>
      </c>
      <c r="CE172" s="42"/>
      <c r="EX172" s="10" t="str">
        <f t="shared" si="0"/>
        <v/>
      </c>
    </row>
    <row r="173" spans="1:154" s="335" customFormat="1" x14ac:dyDescent="0.25">
      <c r="A173" s="362" cm="1">
        <f t="array" aca="1" ref="A173" ca="1">HYPERLINK(CONCATENATE("#",CELL("address",IF(SUM($CA173:$CE173)=0,A173,INDEX($CA173:$CE173,MATCH(1,$CA173:$CE173,0))))),SUM($CA173:$CE173))</f>
        <v>0</v>
      </c>
      <c r="D173" s="10" t="str">
        <f t="shared" si="54"/>
        <v>Custom 74</v>
      </c>
      <c r="E173" s="1"/>
      <c r="H173" s="9"/>
      <c r="AA173" s="203">
        <f t="shared" ref="AA173:BJ173" si="123">IF(SUMIFS($AA86:$BJ86, $AA$3:$BJ$3, AA$3, $AA$4:$BJ$4, 1)=0, 0,(AA86/SUMIFS($AA86:$BJ86, $AA$3:$BJ$3, AA$3, $AA$4:$BJ$4, 1))*AA$4)</f>
        <v>0</v>
      </c>
      <c r="AB173" s="66">
        <f t="shared" si="123"/>
        <v>0</v>
      </c>
      <c r="AC173" s="66">
        <f t="shared" si="123"/>
        <v>0</v>
      </c>
      <c r="AD173" s="66">
        <f t="shared" si="123"/>
        <v>0</v>
      </c>
      <c r="AE173" s="66">
        <f t="shared" si="123"/>
        <v>0</v>
      </c>
      <c r="AF173" s="66">
        <f t="shared" si="123"/>
        <v>0</v>
      </c>
      <c r="AG173" s="66">
        <f t="shared" si="123"/>
        <v>0</v>
      </c>
      <c r="AH173" s="66">
        <f t="shared" si="123"/>
        <v>0</v>
      </c>
      <c r="AI173" s="66">
        <f t="shared" si="123"/>
        <v>0</v>
      </c>
      <c r="AJ173" s="66">
        <f t="shared" si="123"/>
        <v>0</v>
      </c>
      <c r="AK173" s="66">
        <f t="shared" si="123"/>
        <v>0</v>
      </c>
      <c r="AL173" s="66">
        <f t="shared" si="123"/>
        <v>0</v>
      </c>
      <c r="AM173" s="66">
        <f t="shared" si="123"/>
        <v>0</v>
      </c>
      <c r="AN173" s="66">
        <f t="shared" si="123"/>
        <v>0</v>
      </c>
      <c r="AO173" s="66">
        <f t="shared" si="123"/>
        <v>0</v>
      </c>
      <c r="AP173" s="66">
        <f t="shared" si="123"/>
        <v>0</v>
      </c>
      <c r="AQ173" s="66">
        <f t="shared" si="123"/>
        <v>0</v>
      </c>
      <c r="AR173" s="66">
        <f t="shared" si="123"/>
        <v>0</v>
      </c>
      <c r="AS173" s="66">
        <f t="shared" si="123"/>
        <v>0</v>
      </c>
      <c r="AT173" s="66">
        <f t="shared" si="123"/>
        <v>0</v>
      </c>
      <c r="AU173" s="66">
        <f t="shared" si="123"/>
        <v>0</v>
      </c>
      <c r="AV173" s="66">
        <f t="shared" si="123"/>
        <v>0</v>
      </c>
      <c r="AW173" s="66">
        <f t="shared" si="123"/>
        <v>0</v>
      </c>
      <c r="AX173" s="66">
        <f t="shared" si="123"/>
        <v>0</v>
      </c>
      <c r="AY173" s="66">
        <f t="shared" si="123"/>
        <v>0</v>
      </c>
      <c r="AZ173" s="66">
        <f t="shared" si="123"/>
        <v>0</v>
      </c>
      <c r="BA173" s="66">
        <f t="shared" si="123"/>
        <v>0</v>
      </c>
      <c r="BB173" s="66">
        <f t="shared" si="123"/>
        <v>0</v>
      </c>
      <c r="BC173" s="66">
        <f t="shared" si="123"/>
        <v>0</v>
      </c>
      <c r="BD173" s="66">
        <f t="shared" si="123"/>
        <v>0</v>
      </c>
      <c r="BE173" s="66">
        <f t="shared" si="123"/>
        <v>0</v>
      </c>
      <c r="BF173" s="66">
        <f t="shared" si="123"/>
        <v>0</v>
      </c>
      <c r="BG173" s="66">
        <f t="shared" si="123"/>
        <v>0</v>
      </c>
      <c r="BH173" s="66">
        <f t="shared" si="123"/>
        <v>0</v>
      </c>
      <c r="BI173" s="66">
        <f t="shared" si="123"/>
        <v>0</v>
      </c>
      <c r="BJ173" s="66">
        <f t="shared" si="123"/>
        <v>0</v>
      </c>
      <c r="BY173" s="12"/>
      <c r="BZ173" s="363">
        <f t="shared" si="110"/>
        <v>0</v>
      </c>
      <c r="CA173" s="12"/>
      <c r="CB173" s="7">
        <f t="shared" si="103"/>
        <v>0</v>
      </c>
      <c r="CC173" s="7">
        <f t="shared" si="104"/>
        <v>0</v>
      </c>
      <c r="CD173" s="7">
        <f t="shared" si="105"/>
        <v>0</v>
      </c>
      <c r="CE173" s="42"/>
      <c r="EX173" s="10" t="str">
        <f t="shared" si="0"/>
        <v/>
      </c>
    </row>
    <row r="174" spans="1:154" s="335" customFormat="1" x14ac:dyDescent="0.25">
      <c r="A174" s="362" cm="1">
        <f t="array" aca="1" ref="A174" ca="1">HYPERLINK(CONCATENATE("#",CELL("address",IF(SUM($CA174:$CE174)=0,A174,INDEX($CA174:$CE174,MATCH(1,$CA174:$CE174,0))))),SUM($CA174:$CE174))</f>
        <v>0</v>
      </c>
      <c r="D174" s="10" t="str">
        <f t="shared" si="54"/>
        <v>Custom 75</v>
      </c>
      <c r="E174" s="1"/>
      <c r="H174" s="9"/>
      <c r="AA174" s="203">
        <f t="shared" ref="AA174:BJ174" si="124">IF(SUMIFS($AA87:$BJ87, $AA$3:$BJ$3, AA$3, $AA$4:$BJ$4, 1)=0, 0,(AA87/SUMIFS($AA87:$BJ87, $AA$3:$BJ$3, AA$3, $AA$4:$BJ$4, 1))*AA$4)</f>
        <v>0</v>
      </c>
      <c r="AB174" s="66">
        <f t="shared" si="124"/>
        <v>0</v>
      </c>
      <c r="AC174" s="66">
        <f t="shared" si="124"/>
        <v>0</v>
      </c>
      <c r="AD174" s="66">
        <f t="shared" si="124"/>
        <v>0</v>
      </c>
      <c r="AE174" s="66">
        <f t="shared" si="124"/>
        <v>0</v>
      </c>
      <c r="AF174" s="66">
        <f>IF(SUMIFS($AA87:$BJ87, $AA$3:$BJ$3, AF$3, $AA$4:$BJ$4, 1)=0, 0,(AF87/SUMIFS($AA87:$BJ87, $AA$3:$BJ$3, AF$3, $AA$4:$BJ$4, 1))*AF$4)</f>
        <v>0</v>
      </c>
      <c r="AG174" s="66">
        <f t="shared" si="124"/>
        <v>0</v>
      </c>
      <c r="AH174" s="66">
        <f t="shared" si="124"/>
        <v>0</v>
      </c>
      <c r="AI174" s="66">
        <f t="shared" si="124"/>
        <v>0</v>
      </c>
      <c r="AJ174" s="66">
        <f t="shared" si="124"/>
        <v>0</v>
      </c>
      <c r="AK174" s="66">
        <f t="shared" si="124"/>
        <v>0</v>
      </c>
      <c r="AL174" s="66">
        <f t="shared" si="124"/>
        <v>0</v>
      </c>
      <c r="AM174" s="66">
        <f t="shared" si="124"/>
        <v>0</v>
      </c>
      <c r="AN174" s="66">
        <f t="shared" si="124"/>
        <v>0</v>
      </c>
      <c r="AO174" s="66">
        <f t="shared" si="124"/>
        <v>0</v>
      </c>
      <c r="AP174" s="66">
        <f t="shared" si="124"/>
        <v>0</v>
      </c>
      <c r="AQ174" s="66">
        <f t="shared" si="124"/>
        <v>0</v>
      </c>
      <c r="AR174" s="66">
        <f t="shared" si="124"/>
        <v>0</v>
      </c>
      <c r="AS174" s="66">
        <f t="shared" si="124"/>
        <v>0</v>
      </c>
      <c r="AT174" s="66">
        <f t="shared" si="124"/>
        <v>0</v>
      </c>
      <c r="AU174" s="66">
        <f t="shared" si="124"/>
        <v>0</v>
      </c>
      <c r="AV174" s="66">
        <f t="shared" si="124"/>
        <v>0</v>
      </c>
      <c r="AW174" s="66">
        <f t="shared" si="124"/>
        <v>0</v>
      </c>
      <c r="AX174" s="66">
        <f t="shared" si="124"/>
        <v>0</v>
      </c>
      <c r="AY174" s="66">
        <f t="shared" si="124"/>
        <v>0</v>
      </c>
      <c r="AZ174" s="66">
        <f t="shared" si="124"/>
        <v>0</v>
      </c>
      <c r="BA174" s="66">
        <f t="shared" si="124"/>
        <v>0</v>
      </c>
      <c r="BB174" s="66">
        <f t="shared" si="124"/>
        <v>0</v>
      </c>
      <c r="BC174" s="66">
        <f t="shared" si="124"/>
        <v>0</v>
      </c>
      <c r="BD174" s="66">
        <f t="shared" si="124"/>
        <v>0</v>
      </c>
      <c r="BE174" s="66">
        <f t="shared" si="124"/>
        <v>0</v>
      </c>
      <c r="BF174" s="66">
        <f t="shared" si="124"/>
        <v>0</v>
      </c>
      <c r="BG174" s="66">
        <f t="shared" si="124"/>
        <v>0</v>
      </c>
      <c r="BH174" s="66">
        <f t="shared" si="124"/>
        <v>0</v>
      </c>
      <c r="BI174" s="66">
        <f t="shared" si="124"/>
        <v>0</v>
      </c>
      <c r="BJ174" s="66">
        <f t="shared" si="124"/>
        <v>0</v>
      </c>
      <c r="BY174" s="12"/>
      <c r="BZ174" s="363">
        <f t="shared" si="110"/>
        <v>0</v>
      </c>
      <c r="CA174" s="12"/>
      <c r="CB174" s="7">
        <f t="shared" si="103"/>
        <v>0</v>
      </c>
      <c r="CC174" s="7">
        <f t="shared" si="104"/>
        <v>0</v>
      </c>
      <c r="CD174" s="7">
        <f t="shared" si="105"/>
        <v>0</v>
      </c>
      <c r="CE174" s="42"/>
      <c r="EX174" s="10" t="str">
        <f t="shared" si="0"/>
        <v/>
      </c>
    </row>
    <row r="175" spans="1:154" s="335" customFormat="1" x14ac:dyDescent="0.25">
      <c r="A175" s="362" cm="1">
        <f t="array" aca="1" ref="A175" ca="1">HYPERLINK(CONCATENATE("#",CELL("address",IF(SUM($CA175:$CE175)=0,A175,INDEX($CA175:$CE175,MATCH(1,$CA175:$CE175,0))))),SUM($CA175:$CE175))</f>
        <v>0</v>
      </c>
      <c r="D175" s="10" t="str">
        <f t="shared" si="54"/>
        <v>Custom 76</v>
      </c>
      <c r="E175" s="1"/>
      <c r="H175" s="9"/>
      <c r="AA175" s="203">
        <f t="shared" ref="AA175:BJ175" si="125">IF(SUMIFS($AA88:$BJ88, $AA$3:$BJ$3, AA$3, $AA$4:$BJ$4, 1)=0, 0,(AA88/SUMIFS($AA88:$BJ88, $AA$3:$BJ$3, AA$3, $AA$4:$BJ$4, 1))*AA$4)</f>
        <v>0</v>
      </c>
      <c r="AB175" s="66">
        <f t="shared" si="125"/>
        <v>0</v>
      </c>
      <c r="AC175" s="66">
        <f t="shared" si="125"/>
        <v>0</v>
      </c>
      <c r="AD175" s="66">
        <f t="shared" si="125"/>
        <v>0</v>
      </c>
      <c r="AE175" s="66">
        <f t="shared" si="125"/>
        <v>0</v>
      </c>
      <c r="AF175" s="66">
        <f t="shared" si="125"/>
        <v>0</v>
      </c>
      <c r="AG175" s="66">
        <f t="shared" si="125"/>
        <v>0</v>
      </c>
      <c r="AH175" s="66">
        <f t="shared" si="125"/>
        <v>0</v>
      </c>
      <c r="AI175" s="66">
        <f t="shared" si="125"/>
        <v>0</v>
      </c>
      <c r="AJ175" s="66">
        <f t="shared" si="125"/>
        <v>0</v>
      </c>
      <c r="AK175" s="66">
        <f t="shared" si="125"/>
        <v>0</v>
      </c>
      <c r="AL175" s="66">
        <f t="shared" si="125"/>
        <v>0</v>
      </c>
      <c r="AM175" s="66">
        <f t="shared" si="125"/>
        <v>0</v>
      </c>
      <c r="AN175" s="66">
        <f t="shared" si="125"/>
        <v>0</v>
      </c>
      <c r="AO175" s="66">
        <f t="shared" si="125"/>
        <v>0</v>
      </c>
      <c r="AP175" s="66">
        <f t="shared" si="125"/>
        <v>0</v>
      </c>
      <c r="AQ175" s="66">
        <f t="shared" si="125"/>
        <v>0</v>
      </c>
      <c r="AR175" s="66">
        <f t="shared" si="125"/>
        <v>0</v>
      </c>
      <c r="AS175" s="66">
        <f t="shared" si="125"/>
        <v>0</v>
      </c>
      <c r="AT175" s="66">
        <f t="shared" si="125"/>
        <v>0</v>
      </c>
      <c r="AU175" s="66">
        <f t="shared" si="125"/>
        <v>0</v>
      </c>
      <c r="AV175" s="66">
        <f t="shared" si="125"/>
        <v>0</v>
      </c>
      <c r="AW175" s="66">
        <f t="shared" si="125"/>
        <v>0</v>
      </c>
      <c r="AX175" s="66">
        <f t="shared" si="125"/>
        <v>0</v>
      </c>
      <c r="AY175" s="66">
        <f t="shared" si="125"/>
        <v>0</v>
      </c>
      <c r="AZ175" s="66">
        <f t="shared" si="125"/>
        <v>0</v>
      </c>
      <c r="BA175" s="66">
        <f t="shared" si="125"/>
        <v>0</v>
      </c>
      <c r="BB175" s="66">
        <f t="shared" si="125"/>
        <v>0</v>
      </c>
      <c r="BC175" s="66">
        <f t="shared" si="125"/>
        <v>0</v>
      </c>
      <c r="BD175" s="66">
        <f t="shared" si="125"/>
        <v>0</v>
      </c>
      <c r="BE175" s="66">
        <f t="shared" si="125"/>
        <v>0</v>
      </c>
      <c r="BF175" s="66">
        <f t="shared" si="125"/>
        <v>0</v>
      </c>
      <c r="BG175" s="66">
        <f t="shared" si="125"/>
        <v>0</v>
      </c>
      <c r="BH175" s="66">
        <f t="shared" si="125"/>
        <v>0</v>
      </c>
      <c r="BI175" s="66">
        <f t="shared" si="125"/>
        <v>0</v>
      </c>
      <c r="BJ175" s="66">
        <f t="shared" si="125"/>
        <v>0</v>
      </c>
      <c r="BY175" s="12"/>
      <c r="BZ175" s="363">
        <f t="shared" si="110"/>
        <v>0</v>
      </c>
      <c r="CA175" s="12"/>
      <c r="CB175" s="7">
        <f t="shared" si="103"/>
        <v>0</v>
      </c>
      <c r="CC175" s="7">
        <f t="shared" si="104"/>
        <v>0</v>
      </c>
      <c r="CD175" s="7">
        <f t="shared" si="105"/>
        <v>0</v>
      </c>
      <c r="CE175" s="42"/>
      <c r="EX175" s="10" t="str">
        <f t="shared" si="0"/>
        <v/>
      </c>
    </row>
    <row r="176" spans="1:154" s="335" customFormat="1" x14ac:dyDescent="0.25">
      <c r="A176" s="362" cm="1">
        <f t="array" aca="1" ref="A176" ca="1">HYPERLINK(CONCATENATE("#",CELL("address",IF(SUM($CA176:$CE176)=0,A176,INDEX($CA176:$CE176,MATCH(1,$CA176:$CE176,0))))),SUM($CA176:$CE176))</f>
        <v>0</v>
      </c>
      <c r="D176" s="10" t="str">
        <f t="shared" si="54"/>
        <v>Custom 77</v>
      </c>
      <c r="E176" s="1"/>
      <c r="H176" s="9"/>
      <c r="AA176" s="203">
        <f t="shared" ref="AA176:BJ176" si="126">IF(SUMIFS($AA89:$BJ89, $AA$3:$BJ$3, AA$3, $AA$4:$BJ$4, 1)=0, 0,(AA89/SUMIFS($AA89:$BJ89, $AA$3:$BJ$3, AA$3, $AA$4:$BJ$4, 1))*AA$4)</f>
        <v>0</v>
      </c>
      <c r="AB176" s="66">
        <f t="shared" si="126"/>
        <v>0</v>
      </c>
      <c r="AC176" s="66">
        <f t="shared" si="126"/>
        <v>0</v>
      </c>
      <c r="AD176" s="66">
        <f t="shared" si="126"/>
        <v>0</v>
      </c>
      <c r="AE176" s="66">
        <f t="shared" si="126"/>
        <v>0</v>
      </c>
      <c r="AF176" s="66">
        <f t="shared" si="126"/>
        <v>0</v>
      </c>
      <c r="AG176" s="66">
        <f t="shared" si="126"/>
        <v>0</v>
      </c>
      <c r="AH176" s="66">
        <f t="shared" si="126"/>
        <v>0</v>
      </c>
      <c r="AI176" s="66">
        <f t="shared" si="126"/>
        <v>0</v>
      </c>
      <c r="AJ176" s="66">
        <f t="shared" si="126"/>
        <v>0</v>
      </c>
      <c r="AK176" s="66">
        <f t="shared" si="126"/>
        <v>0</v>
      </c>
      <c r="AL176" s="66">
        <f t="shared" si="126"/>
        <v>0</v>
      </c>
      <c r="AM176" s="66">
        <f t="shared" si="126"/>
        <v>0</v>
      </c>
      <c r="AN176" s="66">
        <f t="shared" si="126"/>
        <v>0</v>
      </c>
      <c r="AO176" s="66">
        <f t="shared" si="126"/>
        <v>0</v>
      </c>
      <c r="AP176" s="66">
        <f t="shared" si="126"/>
        <v>0</v>
      </c>
      <c r="AQ176" s="66">
        <f t="shared" si="126"/>
        <v>0</v>
      </c>
      <c r="AR176" s="66">
        <f t="shared" si="126"/>
        <v>0</v>
      </c>
      <c r="AS176" s="66">
        <f t="shared" si="126"/>
        <v>0</v>
      </c>
      <c r="AT176" s="66">
        <f t="shared" si="126"/>
        <v>0</v>
      </c>
      <c r="AU176" s="66">
        <f t="shared" si="126"/>
        <v>0</v>
      </c>
      <c r="AV176" s="66">
        <f t="shared" si="126"/>
        <v>0</v>
      </c>
      <c r="AW176" s="66">
        <f t="shared" si="126"/>
        <v>0</v>
      </c>
      <c r="AX176" s="66">
        <f t="shared" si="126"/>
        <v>0</v>
      </c>
      <c r="AY176" s="66">
        <f t="shared" si="126"/>
        <v>0</v>
      </c>
      <c r="AZ176" s="66">
        <f t="shared" si="126"/>
        <v>0</v>
      </c>
      <c r="BA176" s="66">
        <f t="shared" si="126"/>
        <v>0</v>
      </c>
      <c r="BB176" s="66">
        <f t="shared" si="126"/>
        <v>0</v>
      </c>
      <c r="BC176" s="66">
        <f t="shared" si="126"/>
        <v>0</v>
      </c>
      <c r="BD176" s="66">
        <f t="shared" si="126"/>
        <v>0</v>
      </c>
      <c r="BE176" s="66">
        <f t="shared" si="126"/>
        <v>0</v>
      </c>
      <c r="BF176" s="66">
        <f t="shared" si="126"/>
        <v>0</v>
      </c>
      <c r="BG176" s="66">
        <f t="shared" si="126"/>
        <v>0</v>
      </c>
      <c r="BH176" s="66">
        <f t="shared" si="126"/>
        <v>0</v>
      </c>
      <c r="BI176" s="66">
        <f t="shared" si="126"/>
        <v>0</v>
      </c>
      <c r="BJ176" s="66">
        <f t="shared" si="126"/>
        <v>0</v>
      </c>
      <c r="BY176" s="12"/>
      <c r="BZ176" s="363">
        <f t="shared" si="110"/>
        <v>0</v>
      </c>
      <c r="CA176" s="12"/>
      <c r="CB176" s="7">
        <f t="shared" si="103"/>
        <v>0</v>
      </c>
      <c r="CC176" s="7">
        <f t="shared" si="104"/>
        <v>0</v>
      </c>
      <c r="CD176" s="7">
        <f t="shared" si="105"/>
        <v>0</v>
      </c>
      <c r="CE176" s="42"/>
      <c r="EX176" s="10" t="str">
        <f t="shared" si="0"/>
        <v/>
      </c>
    </row>
    <row r="177" spans="1:154" s="335" customFormat="1" x14ac:dyDescent="0.25">
      <c r="A177" s="362" cm="1">
        <f t="array" aca="1" ref="A177" ca="1">HYPERLINK(CONCATENATE("#",CELL("address",IF(SUM($CA177:$CE177)=0,A177,INDEX($CA177:$CE177,MATCH(1,$CA177:$CE177,0))))),SUM($CA177:$CE177))</f>
        <v>0</v>
      </c>
      <c r="D177" s="10" t="str">
        <f t="shared" si="54"/>
        <v>Custom 78</v>
      </c>
      <c r="E177" s="1"/>
      <c r="H177" s="9"/>
      <c r="AA177" s="203">
        <f t="shared" ref="AA177:BJ177" si="127">IF(SUMIFS($AA90:$BJ90, $AA$3:$BJ$3, AA$3, $AA$4:$BJ$4, 1)=0, 0,(AA90/SUMIFS($AA90:$BJ90, $AA$3:$BJ$3, AA$3, $AA$4:$BJ$4, 1))*AA$4)</f>
        <v>0</v>
      </c>
      <c r="AB177" s="66">
        <f t="shared" si="127"/>
        <v>0</v>
      </c>
      <c r="AC177" s="66">
        <f t="shared" si="127"/>
        <v>0</v>
      </c>
      <c r="AD177" s="66">
        <f t="shared" si="127"/>
        <v>0</v>
      </c>
      <c r="AE177" s="66">
        <f t="shared" si="127"/>
        <v>0</v>
      </c>
      <c r="AF177" s="66">
        <f t="shared" si="127"/>
        <v>0</v>
      </c>
      <c r="AG177" s="66">
        <f t="shared" si="127"/>
        <v>0</v>
      </c>
      <c r="AH177" s="66">
        <f t="shared" si="127"/>
        <v>0</v>
      </c>
      <c r="AI177" s="66">
        <f t="shared" si="127"/>
        <v>0</v>
      </c>
      <c r="AJ177" s="66">
        <f t="shared" si="127"/>
        <v>0</v>
      </c>
      <c r="AK177" s="66">
        <f t="shared" si="127"/>
        <v>0</v>
      </c>
      <c r="AL177" s="66">
        <f t="shared" si="127"/>
        <v>0</v>
      </c>
      <c r="AM177" s="66">
        <f t="shared" si="127"/>
        <v>0</v>
      </c>
      <c r="AN177" s="66">
        <f t="shared" si="127"/>
        <v>0</v>
      </c>
      <c r="AO177" s="66">
        <f t="shared" si="127"/>
        <v>0</v>
      </c>
      <c r="AP177" s="66">
        <f t="shared" si="127"/>
        <v>0</v>
      </c>
      <c r="AQ177" s="66">
        <f t="shared" si="127"/>
        <v>0</v>
      </c>
      <c r="AR177" s="66">
        <f t="shared" si="127"/>
        <v>0</v>
      </c>
      <c r="AS177" s="66">
        <f t="shared" si="127"/>
        <v>0</v>
      </c>
      <c r="AT177" s="66">
        <f t="shared" si="127"/>
        <v>0</v>
      </c>
      <c r="AU177" s="66">
        <f t="shared" si="127"/>
        <v>0</v>
      </c>
      <c r="AV177" s="66">
        <f t="shared" si="127"/>
        <v>0</v>
      </c>
      <c r="AW177" s="66">
        <f t="shared" si="127"/>
        <v>0</v>
      </c>
      <c r="AX177" s="66">
        <f t="shared" si="127"/>
        <v>0</v>
      </c>
      <c r="AY177" s="66">
        <f t="shared" si="127"/>
        <v>0</v>
      </c>
      <c r="AZ177" s="66">
        <f t="shared" si="127"/>
        <v>0</v>
      </c>
      <c r="BA177" s="66">
        <f t="shared" si="127"/>
        <v>0</v>
      </c>
      <c r="BB177" s="66">
        <f t="shared" si="127"/>
        <v>0</v>
      </c>
      <c r="BC177" s="66">
        <f t="shared" si="127"/>
        <v>0</v>
      </c>
      <c r="BD177" s="66">
        <f t="shared" si="127"/>
        <v>0</v>
      </c>
      <c r="BE177" s="66">
        <f t="shared" si="127"/>
        <v>0</v>
      </c>
      <c r="BF177" s="66">
        <f t="shared" si="127"/>
        <v>0</v>
      </c>
      <c r="BG177" s="66">
        <f t="shared" si="127"/>
        <v>0</v>
      </c>
      <c r="BH177" s="66">
        <f t="shared" si="127"/>
        <v>0</v>
      </c>
      <c r="BI177" s="66">
        <f t="shared" si="127"/>
        <v>0</v>
      </c>
      <c r="BJ177" s="66">
        <f t="shared" si="127"/>
        <v>0</v>
      </c>
      <c r="BY177" s="12"/>
      <c r="BZ177" s="363">
        <f t="shared" si="110"/>
        <v>0</v>
      </c>
      <c r="CA177" s="12"/>
      <c r="CB177" s="7">
        <f t="shared" si="103"/>
        <v>0</v>
      </c>
      <c r="CC177" s="7">
        <f t="shared" si="104"/>
        <v>0</v>
      </c>
      <c r="CD177" s="7">
        <f t="shared" si="105"/>
        <v>0</v>
      </c>
      <c r="CE177" s="42"/>
      <c r="EX177" s="10" t="str">
        <f t="shared" si="0"/>
        <v/>
      </c>
    </row>
    <row r="178" spans="1:154" s="335" customFormat="1" x14ac:dyDescent="0.25">
      <c r="A178" s="362" cm="1">
        <f t="array" aca="1" ref="A178" ca="1">HYPERLINK(CONCATENATE("#",CELL("address",IF(SUM($CA178:$CE178)=0,A178,INDEX($CA178:$CE178,MATCH(1,$CA178:$CE178,0))))),SUM($CA178:$CE178))</f>
        <v>0</v>
      </c>
      <c r="D178" s="10" t="str">
        <f t="shared" si="54"/>
        <v>Custom 79</v>
      </c>
      <c r="E178" s="1"/>
      <c r="H178" s="9"/>
      <c r="AA178" s="203">
        <f t="shared" ref="AA178:BJ178" si="128">IF(SUMIFS($AA91:$BJ91, $AA$3:$BJ$3, AA$3, $AA$4:$BJ$4, 1)=0, 0,(AA91/SUMIFS($AA91:$BJ91, $AA$3:$BJ$3, AA$3, $AA$4:$BJ$4, 1))*AA$4)</f>
        <v>0</v>
      </c>
      <c r="AB178" s="66">
        <f t="shared" si="128"/>
        <v>0</v>
      </c>
      <c r="AC178" s="66">
        <f t="shared" si="128"/>
        <v>0</v>
      </c>
      <c r="AD178" s="66">
        <f t="shared" si="128"/>
        <v>0</v>
      </c>
      <c r="AE178" s="66">
        <f t="shared" si="128"/>
        <v>0</v>
      </c>
      <c r="AF178" s="66">
        <f t="shared" si="128"/>
        <v>0</v>
      </c>
      <c r="AG178" s="66">
        <f t="shared" si="128"/>
        <v>0</v>
      </c>
      <c r="AH178" s="66">
        <f t="shared" si="128"/>
        <v>0</v>
      </c>
      <c r="AI178" s="66">
        <f t="shared" si="128"/>
        <v>0</v>
      </c>
      <c r="AJ178" s="66">
        <f t="shared" si="128"/>
        <v>0</v>
      </c>
      <c r="AK178" s="66">
        <f t="shared" si="128"/>
        <v>0</v>
      </c>
      <c r="AL178" s="66">
        <f t="shared" si="128"/>
        <v>0</v>
      </c>
      <c r="AM178" s="66">
        <f t="shared" si="128"/>
        <v>0</v>
      </c>
      <c r="AN178" s="66">
        <f t="shared" si="128"/>
        <v>0</v>
      </c>
      <c r="AO178" s="66">
        <f t="shared" si="128"/>
        <v>0</v>
      </c>
      <c r="AP178" s="66">
        <f t="shared" si="128"/>
        <v>0</v>
      </c>
      <c r="AQ178" s="66">
        <f t="shared" si="128"/>
        <v>0</v>
      </c>
      <c r="AR178" s="66">
        <f t="shared" si="128"/>
        <v>0</v>
      </c>
      <c r="AS178" s="66">
        <f t="shared" si="128"/>
        <v>0</v>
      </c>
      <c r="AT178" s="66">
        <f t="shared" si="128"/>
        <v>0</v>
      </c>
      <c r="AU178" s="66">
        <f t="shared" si="128"/>
        <v>0</v>
      </c>
      <c r="AV178" s="66">
        <f t="shared" si="128"/>
        <v>0</v>
      </c>
      <c r="AW178" s="66">
        <f t="shared" si="128"/>
        <v>0</v>
      </c>
      <c r="AX178" s="66">
        <f t="shared" si="128"/>
        <v>0</v>
      </c>
      <c r="AY178" s="66">
        <f t="shared" si="128"/>
        <v>0</v>
      </c>
      <c r="AZ178" s="66">
        <f t="shared" si="128"/>
        <v>0</v>
      </c>
      <c r="BA178" s="66">
        <f t="shared" si="128"/>
        <v>0</v>
      </c>
      <c r="BB178" s="66">
        <f t="shared" si="128"/>
        <v>0</v>
      </c>
      <c r="BC178" s="66">
        <f t="shared" si="128"/>
        <v>0</v>
      </c>
      <c r="BD178" s="66">
        <f t="shared" si="128"/>
        <v>0</v>
      </c>
      <c r="BE178" s="66">
        <f t="shared" si="128"/>
        <v>0</v>
      </c>
      <c r="BF178" s="66">
        <f t="shared" si="128"/>
        <v>0</v>
      </c>
      <c r="BG178" s="66">
        <f t="shared" si="128"/>
        <v>0</v>
      </c>
      <c r="BH178" s="66">
        <f t="shared" si="128"/>
        <v>0</v>
      </c>
      <c r="BI178" s="66">
        <f t="shared" si="128"/>
        <v>0</v>
      </c>
      <c r="BJ178" s="66">
        <f t="shared" si="128"/>
        <v>0</v>
      </c>
      <c r="BY178" s="12"/>
      <c r="BZ178" s="363">
        <f t="shared" si="110"/>
        <v>0</v>
      </c>
      <c r="CA178" s="12"/>
      <c r="CB178" s="7">
        <f t="shared" si="103"/>
        <v>0</v>
      </c>
      <c r="CC178" s="7">
        <f t="shared" si="104"/>
        <v>0</v>
      </c>
      <c r="CD178" s="7">
        <f t="shared" si="105"/>
        <v>0</v>
      </c>
      <c r="CE178" s="42"/>
      <c r="EX178" s="10" t="str">
        <f t="shared" si="0"/>
        <v/>
      </c>
    </row>
    <row r="179" spans="1:154" s="335" customFormat="1" x14ac:dyDescent="0.25">
      <c r="A179" s="362" cm="1">
        <f t="array" aca="1" ref="A179" ca="1">HYPERLINK(CONCATENATE("#",CELL("address",IF(SUM($CA179:$CE179)=0,A179,INDEX($CA179:$CE179,MATCH(1,$CA179:$CE179,0))))),SUM($CA179:$CE179))</f>
        <v>0</v>
      </c>
      <c r="D179" s="10" t="str">
        <f t="shared" si="54"/>
        <v>Custom 80</v>
      </c>
      <c r="E179" s="1"/>
      <c r="H179" s="9"/>
      <c r="AA179" s="203">
        <f t="shared" ref="AA179:BJ179" si="129">IF(SUMIFS($AA92:$BJ92, $AA$3:$BJ$3, AA$3, $AA$4:$BJ$4, 1)=0, 0,(AA92/SUMIFS($AA92:$BJ92, $AA$3:$BJ$3, AA$3, $AA$4:$BJ$4, 1))*AA$4)</f>
        <v>0</v>
      </c>
      <c r="AB179" s="66">
        <f t="shared" si="129"/>
        <v>0</v>
      </c>
      <c r="AC179" s="66">
        <f t="shared" si="129"/>
        <v>0</v>
      </c>
      <c r="AD179" s="66">
        <f t="shared" si="129"/>
        <v>0</v>
      </c>
      <c r="AE179" s="66">
        <f t="shared" si="129"/>
        <v>0</v>
      </c>
      <c r="AF179" s="66">
        <f t="shared" si="129"/>
        <v>0</v>
      </c>
      <c r="AG179" s="66">
        <f t="shared" si="129"/>
        <v>0</v>
      </c>
      <c r="AH179" s="66">
        <f t="shared" si="129"/>
        <v>0</v>
      </c>
      <c r="AI179" s="66">
        <f t="shared" si="129"/>
        <v>0</v>
      </c>
      <c r="AJ179" s="66">
        <f t="shared" si="129"/>
        <v>0</v>
      </c>
      <c r="AK179" s="66">
        <f t="shared" si="129"/>
        <v>0</v>
      </c>
      <c r="AL179" s="66">
        <f t="shared" si="129"/>
        <v>0</v>
      </c>
      <c r="AM179" s="66">
        <f t="shared" si="129"/>
        <v>0</v>
      </c>
      <c r="AN179" s="66">
        <f t="shared" si="129"/>
        <v>0</v>
      </c>
      <c r="AO179" s="66">
        <f t="shared" si="129"/>
        <v>0</v>
      </c>
      <c r="AP179" s="66">
        <f t="shared" si="129"/>
        <v>0</v>
      </c>
      <c r="AQ179" s="66">
        <f t="shared" si="129"/>
        <v>0</v>
      </c>
      <c r="AR179" s="66">
        <f t="shared" si="129"/>
        <v>0</v>
      </c>
      <c r="AS179" s="66">
        <f t="shared" si="129"/>
        <v>0</v>
      </c>
      <c r="AT179" s="66">
        <f t="shared" si="129"/>
        <v>0</v>
      </c>
      <c r="AU179" s="66">
        <f t="shared" si="129"/>
        <v>0</v>
      </c>
      <c r="AV179" s="66">
        <f t="shared" si="129"/>
        <v>0</v>
      </c>
      <c r="AW179" s="66">
        <f t="shared" si="129"/>
        <v>0</v>
      </c>
      <c r="AX179" s="66">
        <f t="shared" si="129"/>
        <v>0</v>
      </c>
      <c r="AY179" s="66">
        <f t="shared" si="129"/>
        <v>0</v>
      </c>
      <c r="AZ179" s="66">
        <f t="shared" si="129"/>
        <v>0</v>
      </c>
      <c r="BA179" s="66">
        <f t="shared" si="129"/>
        <v>0</v>
      </c>
      <c r="BB179" s="66">
        <f t="shared" si="129"/>
        <v>0</v>
      </c>
      <c r="BC179" s="66">
        <f t="shared" si="129"/>
        <v>0</v>
      </c>
      <c r="BD179" s="66">
        <f t="shared" si="129"/>
        <v>0</v>
      </c>
      <c r="BE179" s="66">
        <f t="shared" si="129"/>
        <v>0</v>
      </c>
      <c r="BF179" s="66">
        <f t="shared" si="129"/>
        <v>0</v>
      </c>
      <c r="BG179" s="66">
        <f t="shared" si="129"/>
        <v>0</v>
      </c>
      <c r="BH179" s="66">
        <f t="shared" si="129"/>
        <v>0</v>
      </c>
      <c r="BI179" s="66">
        <f t="shared" si="129"/>
        <v>0</v>
      </c>
      <c r="BJ179" s="66">
        <f t="shared" si="129"/>
        <v>0</v>
      </c>
      <c r="BY179" s="12"/>
      <c r="BZ179" s="363">
        <f t="shared" si="110"/>
        <v>0</v>
      </c>
      <c r="CA179" s="12"/>
      <c r="CB179" s="7">
        <f t="shared" si="103"/>
        <v>0</v>
      </c>
      <c r="CC179" s="7">
        <f t="shared" si="104"/>
        <v>0</v>
      </c>
      <c r="CD179" s="7">
        <f t="shared" si="105"/>
        <v>0</v>
      </c>
      <c r="CE179" s="42"/>
      <c r="EX179" s="10" t="str">
        <f t="shared" si="0"/>
        <v/>
      </c>
    </row>
    <row r="180" spans="1:154" x14ac:dyDescent="0.25">
      <c r="D180" s="96" t="s">
        <v>412</v>
      </c>
      <c r="F180" s="335"/>
      <c r="G180" s="335"/>
      <c r="H180" s="9"/>
      <c r="I180" s="96"/>
      <c r="J180" s="96"/>
      <c r="K180" s="96"/>
      <c r="L180" s="96"/>
      <c r="M180" s="96"/>
      <c r="N180" s="96"/>
      <c r="O180" s="96"/>
      <c r="P180" s="96"/>
      <c r="Q180" s="96"/>
      <c r="R180" s="96"/>
      <c r="S180" s="96"/>
      <c r="T180" s="96"/>
      <c r="U180" s="96"/>
      <c r="V180" s="96"/>
      <c r="W180" s="96"/>
      <c r="X180" s="96"/>
      <c r="Y180" s="96"/>
      <c r="Z180" s="96"/>
      <c r="AA180" s="318"/>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Y180" s="12"/>
      <c r="CA180" s="12"/>
      <c r="CE180" s="42"/>
      <c r="EX180" s="10" t="str">
        <f t="shared" si="0"/>
        <v/>
      </c>
    </row>
    <row r="181" spans="1:154" ht="6.6" customHeight="1" x14ac:dyDescent="0.25">
      <c r="D181" s="1"/>
      <c r="E181" s="67"/>
      <c r="BM181" s="6"/>
      <c r="BY181" s="42"/>
      <c r="CA181" s="42"/>
      <c r="CE181" s="42"/>
      <c r="EX181" s="10" t="str">
        <f t="shared" si="0"/>
        <v/>
      </c>
    </row>
    <row r="182" spans="1:154" x14ac:dyDescent="0.25">
      <c r="A182" s="12" t="s">
        <v>88</v>
      </c>
      <c r="B182" s="12" t="s">
        <v>88</v>
      </c>
      <c r="C182" s="12" t="s">
        <v>88</v>
      </c>
      <c r="D182" s="12" t="s">
        <v>88</v>
      </c>
      <c r="E182" s="28" t="s">
        <v>88</v>
      </c>
      <c r="F182" s="12" t="s">
        <v>88</v>
      </c>
      <c r="G182" s="12" t="s">
        <v>88</v>
      </c>
      <c r="H182" s="12" t="s">
        <v>88</v>
      </c>
      <c r="I182" s="12" t="s">
        <v>88</v>
      </c>
      <c r="J182" s="12" t="s">
        <v>88</v>
      </c>
      <c r="K182" s="12" t="s">
        <v>88</v>
      </c>
      <c r="L182" s="12" t="s">
        <v>88</v>
      </c>
      <c r="M182" s="12" t="s">
        <v>88</v>
      </c>
      <c r="N182" s="12" t="s">
        <v>88</v>
      </c>
      <c r="O182" s="12" t="s">
        <v>88</v>
      </c>
      <c r="P182" s="12" t="s">
        <v>88</v>
      </c>
      <c r="Q182" s="12" t="s">
        <v>88</v>
      </c>
      <c r="R182" s="12" t="s">
        <v>88</v>
      </c>
      <c r="S182" s="12"/>
      <c r="T182" s="12" t="s">
        <v>88</v>
      </c>
      <c r="U182" s="12" t="s">
        <v>88</v>
      </c>
      <c r="V182" s="12" t="s">
        <v>88</v>
      </c>
      <c r="W182" s="12" t="s">
        <v>88</v>
      </c>
      <c r="X182" s="12"/>
      <c r="Y182" s="12"/>
      <c r="Z182" s="12" t="s">
        <v>88</v>
      </c>
      <c r="AA182" s="12" t="s">
        <v>88</v>
      </c>
      <c r="AB182" s="12" t="s">
        <v>88</v>
      </c>
      <c r="AC182" s="12" t="s">
        <v>88</v>
      </c>
      <c r="AD182" s="12" t="s">
        <v>88</v>
      </c>
      <c r="AE182" s="12" t="s">
        <v>88</v>
      </c>
      <c r="AF182" s="12" t="s">
        <v>88</v>
      </c>
      <c r="AG182" s="12" t="s">
        <v>88</v>
      </c>
      <c r="AH182" s="12" t="s">
        <v>88</v>
      </c>
      <c r="AI182" s="12" t="s">
        <v>88</v>
      </c>
      <c r="AJ182" s="12" t="s">
        <v>88</v>
      </c>
      <c r="AK182" s="12" t="s">
        <v>88</v>
      </c>
      <c r="AL182" s="12" t="s">
        <v>88</v>
      </c>
      <c r="AM182" s="12" t="s">
        <v>88</v>
      </c>
      <c r="AN182" s="12" t="s">
        <v>88</v>
      </c>
      <c r="AO182" s="12" t="s">
        <v>88</v>
      </c>
      <c r="AP182" s="12" t="s">
        <v>88</v>
      </c>
      <c r="AQ182" s="12" t="s">
        <v>88</v>
      </c>
      <c r="AR182" s="12" t="s">
        <v>88</v>
      </c>
      <c r="AS182" s="12" t="s">
        <v>88</v>
      </c>
      <c r="AT182" s="12" t="s">
        <v>88</v>
      </c>
      <c r="AU182" s="12" t="s">
        <v>88</v>
      </c>
      <c r="AV182" s="12" t="s">
        <v>88</v>
      </c>
      <c r="AW182" s="12" t="s">
        <v>88</v>
      </c>
      <c r="AX182" s="12" t="s">
        <v>88</v>
      </c>
      <c r="AY182" s="12" t="s">
        <v>88</v>
      </c>
      <c r="AZ182" s="12" t="s">
        <v>88</v>
      </c>
      <c r="BA182" s="12" t="s">
        <v>88</v>
      </c>
      <c r="BB182" s="12" t="s">
        <v>88</v>
      </c>
      <c r="BC182" s="12" t="s">
        <v>88</v>
      </c>
      <c r="BD182" s="12" t="s">
        <v>88</v>
      </c>
      <c r="BE182" s="12" t="s">
        <v>88</v>
      </c>
      <c r="BF182" s="12" t="s">
        <v>88</v>
      </c>
      <c r="BG182" s="12" t="s">
        <v>88</v>
      </c>
      <c r="BH182" s="12" t="s">
        <v>88</v>
      </c>
      <c r="BI182" s="12" t="s">
        <v>88</v>
      </c>
      <c r="BJ182" s="12" t="s">
        <v>88</v>
      </c>
      <c r="BK182" s="12" t="s">
        <v>88</v>
      </c>
      <c r="BL182" s="12" t="s">
        <v>88</v>
      </c>
      <c r="BM182" s="12" t="s">
        <v>88</v>
      </c>
      <c r="BN182" s="12" t="s">
        <v>88</v>
      </c>
      <c r="BO182" s="12" t="s">
        <v>88</v>
      </c>
      <c r="BP182" s="12" t="s">
        <v>88</v>
      </c>
      <c r="BQ182" s="12" t="s">
        <v>88</v>
      </c>
      <c r="BR182" s="12" t="s">
        <v>88</v>
      </c>
      <c r="BS182" s="12" t="s">
        <v>88</v>
      </c>
      <c r="BT182" s="12" t="s">
        <v>88</v>
      </c>
      <c r="BU182" s="12" t="s">
        <v>88</v>
      </c>
      <c r="BV182" s="12" t="s">
        <v>88</v>
      </c>
      <c r="BW182" s="12" t="s">
        <v>88</v>
      </c>
      <c r="BX182" s="12" t="s">
        <v>88</v>
      </c>
      <c r="BY182" s="12" t="s">
        <v>88</v>
      </c>
      <c r="BZ182" s="12" t="s">
        <v>88</v>
      </c>
      <c r="CA182" s="12" t="s">
        <v>88</v>
      </c>
      <c r="CB182" s="12" t="s">
        <v>88</v>
      </c>
      <c r="CC182" s="12" t="s">
        <v>88</v>
      </c>
      <c r="CD182" s="12" t="s">
        <v>88</v>
      </c>
      <c r="CE182" s="12" t="s">
        <v>88</v>
      </c>
      <c r="EX182" s="10" t="str">
        <f>IF($C182="","",$D182)</f>
        <v>*</v>
      </c>
    </row>
  </sheetData>
  <sheetProtection algorithmName="SHA-512" hashValue="dR4HH2h15sQVcAxOfWJxvRRTlIj7NEcWcgZb+a+0L/38h8PDN61WN6Oanb2yMEv7EQtpnpfaOmKL4a2p1jWgKA==" saltValue="fleUCrMG2BK7GAHolyqp8g==" spinCount="100000" sheet="1" objects="1" scenarios="1"/>
  <mergeCells count="6">
    <mergeCell ref="BY1:BY6"/>
    <mergeCell ref="CA1:CA6"/>
    <mergeCell ref="CE1:CE6"/>
    <mergeCell ref="CB4:CB6"/>
    <mergeCell ref="CC4:CC6"/>
    <mergeCell ref="CD4:CD6"/>
  </mergeCells>
  <phoneticPr fontId="9" type="noConversion"/>
  <conditionalFormatting sqref="CB96:CD125">
    <cfRule type="cellIs" dxfId="1481" priority="421" operator="equal">
      <formula>0</formula>
    </cfRule>
    <cfRule type="cellIs" dxfId="1480" priority="422" operator="equal">
      <formula>1</formula>
    </cfRule>
  </conditionalFormatting>
  <conditionalFormatting sqref="CB9:CD37">
    <cfRule type="cellIs" dxfId="1479" priority="409" operator="equal">
      <formula>0</formula>
    </cfRule>
    <cfRule type="cellIs" dxfId="1478" priority="410" operator="equal">
      <formula>1</formula>
    </cfRule>
  </conditionalFormatting>
  <conditionalFormatting sqref="A1">
    <cfRule type="cellIs" dxfId="1477" priority="403" operator="equal">
      <formula>0</formula>
    </cfRule>
    <cfRule type="cellIs" dxfId="1476" priority="404" operator="greaterThan">
      <formula>0</formula>
    </cfRule>
  </conditionalFormatting>
  <conditionalFormatting sqref="CB38:CD62">
    <cfRule type="cellIs" dxfId="1475" priority="399" operator="equal">
      <formula>0</formula>
    </cfRule>
    <cfRule type="cellIs" dxfId="1474" priority="400" operator="equal">
      <formula>1</formula>
    </cfRule>
  </conditionalFormatting>
  <conditionalFormatting sqref="CB63:CD87">
    <cfRule type="cellIs" dxfId="1473" priority="395" operator="equal">
      <formula>0</formula>
    </cfRule>
    <cfRule type="cellIs" dxfId="1472" priority="396" operator="equal">
      <formula>1</formula>
    </cfRule>
  </conditionalFormatting>
  <conditionalFormatting sqref="CB88:CD92">
    <cfRule type="cellIs" dxfId="1471" priority="391" operator="equal">
      <formula>0</formula>
    </cfRule>
    <cfRule type="cellIs" dxfId="1470" priority="392" operator="equal">
      <formula>1</formula>
    </cfRule>
  </conditionalFormatting>
  <conditionalFormatting sqref="CB126:CD126">
    <cfRule type="cellIs" dxfId="1469" priority="387" operator="equal">
      <formula>0</formula>
    </cfRule>
    <cfRule type="cellIs" dxfId="1468" priority="388" operator="equal">
      <formula>1</formula>
    </cfRule>
  </conditionalFormatting>
  <conditionalFormatting sqref="CB127:CD127">
    <cfRule type="cellIs" dxfId="1467" priority="383" operator="equal">
      <formula>0</formula>
    </cfRule>
    <cfRule type="cellIs" dxfId="1466" priority="384" operator="equal">
      <formula>1</formula>
    </cfRule>
  </conditionalFormatting>
  <conditionalFormatting sqref="CB128:CD128">
    <cfRule type="cellIs" dxfId="1465" priority="379" operator="equal">
      <formula>0</formula>
    </cfRule>
    <cfRule type="cellIs" dxfId="1464" priority="380" operator="equal">
      <formula>1</formula>
    </cfRule>
  </conditionalFormatting>
  <conditionalFormatting sqref="CB129:CD129">
    <cfRule type="cellIs" dxfId="1463" priority="375" operator="equal">
      <formula>0</formula>
    </cfRule>
    <cfRule type="cellIs" dxfId="1462" priority="376" operator="equal">
      <formula>1</formula>
    </cfRule>
  </conditionalFormatting>
  <conditionalFormatting sqref="CB130:CD130">
    <cfRule type="cellIs" dxfId="1461" priority="371" operator="equal">
      <formula>0</formula>
    </cfRule>
    <cfRule type="cellIs" dxfId="1460" priority="372" operator="equal">
      <formula>1</formula>
    </cfRule>
  </conditionalFormatting>
  <conditionalFormatting sqref="CB131:CD131">
    <cfRule type="cellIs" dxfId="1459" priority="367" operator="equal">
      <formula>0</formula>
    </cfRule>
    <cfRule type="cellIs" dxfId="1458" priority="368" operator="equal">
      <formula>1</formula>
    </cfRule>
  </conditionalFormatting>
  <conditionalFormatting sqref="CB132:CD132">
    <cfRule type="cellIs" dxfId="1457" priority="363" operator="equal">
      <formula>0</formula>
    </cfRule>
    <cfRule type="cellIs" dxfId="1456" priority="364" operator="equal">
      <formula>1</formula>
    </cfRule>
  </conditionalFormatting>
  <conditionalFormatting sqref="CB133:CD133">
    <cfRule type="cellIs" dxfId="1455" priority="359" operator="equal">
      <formula>0</formula>
    </cfRule>
    <cfRule type="cellIs" dxfId="1454" priority="360" operator="equal">
      <formula>1</formula>
    </cfRule>
  </conditionalFormatting>
  <conditionalFormatting sqref="CB134:CD134">
    <cfRule type="cellIs" dxfId="1453" priority="355" operator="equal">
      <formula>0</formula>
    </cfRule>
    <cfRule type="cellIs" dxfId="1452" priority="356" operator="equal">
      <formula>1</formula>
    </cfRule>
  </conditionalFormatting>
  <conditionalFormatting sqref="CB135:CD135">
    <cfRule type="cellIs" dxfId="1451" priority="351" operator="equal">
      <formula>0</formula>
    </cfRule>
    <cfRule type="cellIs" dxfId="1450" priority="352" operator="equal">
      <formula>1</formula>
    </cfRule>
  </conditionalFormatting>
  <conditionalFormatting sqref="CB136:CD136">
    <cfRule type="cellIs" dxfId="1449" priority="347" operator="equal">
      <formula>0</formula>
    </cfRule>
    <cfRule type="cellIs" dxfId="1448" priority="348" operator="equal">
      <formula>1</formula>
    </cfRule>
  </conditionalFormatting>
  <conditionalFormatting sqref="CB137:CD137">
    <cfRule type="cellIs" dxfId="1447" priority="343" operator="equal">
      <formula>0</formula>
    </cfRule>
    <cfRule type="cellIs" dxfId="1446" priority="344" operator="equal">
      <formula>1</formula>
    </cfRule>
  </conditionalFormatting>
  <conditionalFormatting sqref="CB138:CD138">
    <cfRule type="cellIs" dxfId="1445" priority="339" operator="equal">
      <formula>0</formula>
    </cfRule>
    <cfRule type="cellIs" dxfId="1444" priority="340" operator="equal">
      <formula>1</formula>
    </cfRule>
  </conditionalFormatting>
  <conditionalFormatting sqref="CB139:CD139">
    <cfRule type="cellIs" dxfId="1443" priority="335" operator="equal">
      <formula>0</formula>
    </cfRule>
    <cfRule type="cellIs" dxfId="1442" priority="336" operator="equal">
      <formula>1</formula>
    </cfRule>
  </conditionalFormatting>
  <conditionalFormatting sqref="CB140:CD140">
    <cfRule type="cellIs" dxfId="1441" priority="331" operator="equal">
      <formula>0</formula>
    </cfRule>
    <cfRule type="cellIs" dxfId="1440" priority="332" operator="equal">
      <formula>1</formula>
    </cfRule>
  </conditionalFormatting>
  <conditionalFormatting sqref="CB141:CD141">
    <cfRule type="cellIs" dxfId="1439" priority="327" operator="equal">
      <formula>0</formula>
    </cfRule>
    <cfRule type="cellIs" dxfId="1438" priority="328" operator="equal">
      <formula>1</formula>
    </cfRule>
  </conditionalFormatting>
  <conditionalFormatting sqref="CB142:CD142">
    <cfRule type="cellIs" dxfId="1437" priority="323" operator="equal">
      <formula>0</formula>
    </cfRule>
    <cfRule type="cellIs" dxfId="1436" priority="324" operator="equal">
      <formula>1</formula>
    </cfRule>
  </conditionalFormatting>
  <conditionalFormatting sqref="CB143:CD143">
    <cfRule type="cellIs" dxfId="1435" priority="319" operator="equal">
      <formula>0</formula>
    </cfRule>
    <cfRule type="cellIs" dxfId="1434" priority="320" operator="equal">
      <formula>1</formula>
    </cfRule>
  </conditionalFormatting>
  <conditionalFormatting sqref="CB144:CD144">
    <cfRule type="cellIs" dxfId="1433" priority="315" operator="equal">
      <formula>0</formula>
    </cfRule>
    <cfRule type="cellIs" dxfId="1432" priority="316" operator="equal">
      <formula>1</formula>
    </cfRule>
  </conditionalFormatting>
  <conditionalFormatting sqref="CB145:CD145">
    <cfRule type="cellIs" dxfId="1431" priority="311" operator="equal">
      <formula>0</formula>
    </cfRule>
    <cfRule type="cellIs" dxfId="1430" priority="312" operator="equal">
      <formula>1</formula>
    </cfRule>
  </conditionalFormatting>
  <conditionalFormatting sqref="CB146:CD146">
    <cfRule type="cellIs" dxfId="1429" priority="307" operator="equal">
      <formula>0</formula>
    </cfRule>
    <cfRule type="cellIs" dxfId="1428" priority="308" operator="equal">
      <formula>1</formula>
    </cfRule>
  </conditionalFormatting>
  <conditionalFormatting sqref="CB147:CD147">
    <cfRule type="cellIs" dxfId="1427" priority="303" operator="equal">
      <formula>0</formula>
    </cfRule>
    <cfRule type="cellIs" dxfId="1426" priority="304" operator="equal">
      <formula>1</formula>
    </cfRule>
  </conditionalFormatting>
  <conditionalFormatting sqref="CB148:CD148">
    <cfRule type="cellIs" dxfId="1425" priority="299" operator="equal">
      <formula>0</formula>
    </cfRule>
    <cfRule type="cellIs" dxfId="1424" priority="300" operator="equal">
      <formula>1</formula>
    </cfRule>
  </conditionalFormatting>
  <conditionalFormatting sqref="CB149:CD149">
    <cfRule type="cellIs" dxfId="1423" priority="295" operator="equal">
      <formula>0</formula>
    </cfRule>
    <cfRule type="cellIs" dxfId="1422" priority="296" operator="equal">
      <formula>1</formula>
    </cfRule>
  </conditionalFormatting>
  <conditionalFormatting sqref="CB150:CD150">
    <cfRule type="cellIs" dxfId="1421" priority="291" operator="equal">
      <formula>0</formula>
    </cfRule>
    <cfRule type="cellIs" dxfId="1420" priority="292" operator="equal">
      <formula>1</formula>
    </cfRule>
  </conditionalFormatting>
  <conditionalFormatting sqref="CB151:CD151">
    <cfRule type="cellIs" dxfId="1419" priority="287" operator="equal">
      <formula>0</formula>
    </cfRule>
    <cfRule type="cellIs" dxfId="1418" priority="288" operator="equal">
      <formula>1</formula>
    </cfRule>
  </conditionalFormatting>
  <conditionalFormatting sqref="CB152:CD152">
    <cfRule type="cellIs" dxfId="1417" priority="283" operator="equal">
      <formula>0</formula>
    </cfRule>
    <cfRule type="cellIs" dxfId="1416" priority="284" operator="equal">
      <formula>1</formula>
    </cfRule>
  </conditionalFormatting>
  <conditionalFormatting sqref="CB153:CD153">
    <cfRule type="cellIs" dxfId="1415" priority="279" operator="equal">
      <formula>0</formula>
    </cfRule>
    <cfRule type="cellIs" dxfId="1414" priority="280" operator="equal">
      <formula>1</formula>
    </cfRule>
  </conditionalFormatting>
  <conditionalFormatting sqref="CB154:CD154">
    <cfRule type="cellIs" dxfId="1413" priority="275" operator="equal">
      <formula>0</formula>
    </cfRule>
    <cfRule type="cellIs" dxfId="1412" priority="276" operator="equal">
      <formula>1</formula>
    </cfRule>
  </conditionalFormatting>
  <conditionalFormatting sqref="CB155:CD155">
    <cfRule type="cellIs" dxfId="1411" priority="271" operator="equal">
      <formula>0</formula>
    </cfRule>
    <cfRule type="cellIs" dxfId="1410" priority="272" operator="equal">
      <formula>1</formula>
    </cfRule>
  </conditionalFormatting>
  <conditionalFormatting sqref="CB156:CD156">
    <cfRule type="cellIs" dxfId="1409" priority="267" operator="equal">
      <formula>0</formula>
    </cfRule>
    <cfRule type="cellIs" dxfId="1408" priority="268" operator="equal">
      <formula>1</formula>
    </cfRule>
  </conditionalFormatting>
  <conditionalFormatting sqref="CB157:CD157">
    <cfRule type="cellIs" dxfId="1407" priority="263" operator="equal">
      <formula>0</formula>
    </cfRule>
    <cfRule type="cellIs" dxfId="1406" priority="264" operator="equal">
      <formula>1</formula>
    </cfRule>
  </conditionalFormatting>
  <conditionalFormatting sqref="CB158:CD158">
    <cfRule type="cellIs" dxfId="1405" priority="259" operator="equal">
      <formula>0</formula>
    </cfRule>
    <cfRule type="cellIs" dxfId="1404" priority="260" operator="equal">
      <formula>1</formula>
    </cfRule>
  </conditionalFormatting>
  <conditionalFormatting sqref="CB159:CD159">
    <cfRule type="cellIs" dxfId="1403" priority="255" operator="equal">
      <formula>0</formula>
    </cfRule>
    <cfRule type="cellIs" dxfId="1402" priority="256" operator="equal">
      <formula>1</formula>
    </cfRule>
  </conditionalFormatting>
  <conditionalFormatting sqref="CB160:CD160">
    <cfRule type="cellIs" dxfId="1401" priority="251" operator="equal">
      <formula>0</formula>
    </cfRule>
    <cfRule type="cellIs" dxfId="1400" priority="252" operator="equal">
      <formula>1</formula>
    </cfRule>
  </conditionalFormatting>
  <conditionalFormatting sqref="CB161:CD161">
    <cfRule type="cellIs" dxfId="1399" priority="247" operator="equal">
      <formula>0</formula>
    </cfRule>
    <cfRule type="cellIs" dxfId="1398" priority="248" operator="equal">
      <formula>1</formula>
    </cfRule>
  </conditionalFormatting>
  <conditionalFormatting sqref="CB162:CD162">
    <cfRule type="cellIs" dxfId="1397" priority="243" operator="equal">
      <formula>0</formula>
    </cfRule>
    <cfRule type="cellIs" dxfId="1396" priority="244" operator="equal">
      <formula>1</formula>
    </cfRule>
  </conditionalFormatting>
  <conditionalFormatting sqref="CB163:CD163">
    <cfRule type="cellIs" dxfId="1395" priority="239" operator="equal">
      <formula>0</formula>
    </cfRule>
    <cfRule type="cellIs" dxfId="1394" priority="240" operator="equal">
      <formula>1</formula>
    </cfRule>
  </conditionalFormatting>
  <conditionalFormatting sqref="CB164:CD164">
    <cfRule type="cellIs" dxfId="1393" priority="235" operator="equal">
      <formula>0</formula>
    </cfRule>
    <cfRule type="cellIs" dxfId="1392" priority="236" operator="equal">
      <formula>1</formula>
    </cfRule>
  </conditionalFormatting>
  <conditionalFormatting sqref="CB165:CD165">
    <cfRule type="cellIs" dxfId="1391" priority="231" operator="equal">
      <formula>0</formula>
    </cfRule>
    <cfRule type="cellIs" dxfId="1390" priority="232" operator="equal">
      <formula>1</formula>
    </cfRule>
  </conditionalFormatting>
  <conditionalFormatting sqref="CB166:CD166">
    <cfRule type="cellIs" dxfId="1389" priority="227" operator="equal">
      <formula>0</formula>
    </cfRule>
    <cfRule type="cellIs" dxfId="1388" priority="228" operator="equal">
      <formula>1</formula>
    </cfRule>
  </conditionalFormatting>
  <conditionalFormatting sqref="CB167:CD167">
    <cfRule type="cellIs" dxfId="1387" priority="223" operator="equal">
      <formula>0</formula>
    </cfRule>
    <cfRule type="cellIs" dxfId="1386" priority="224" operator="equal">
      <formula>1</formula>
    </cfRule>
  </conditionalFormatting>
  <conditionalFormatting sqref="CB168:CD168">
    <cfRule type="cellIs" dxfId="1385" priority="219" operator="equal">
      <formula>0</formula>
    </cfRule>
    <cfRule type="cellIs" dxfId="1384" priority="220" operator="equal">
      <formula>1</formula>
    </cfRule>
  </conditionalFormatting>
  <conditionalFormatting sqref="CB169:CD169">
    <cfRule type="cellIs" dxfId="1383" priority="215" operator="equal">
      <formula>0</formula>
    </cfRule>
    <cfRule type="cellIs" dxfId="1382" priority="216" operator="equal">
      <formula>1</formula>
    </cfRule>
  </conditionalFormatting>
  <conditionalFormatting sqref="CB170:CD170">
    <cfRule type="cellIs" dxfId="1381" priority="211" operator="equal">
      <formula>0</formula>
    </cfRule>
    <cfRule type="cellIs" dxfId="1380" priority="212" operator="equal">
      <formula>1</formula>
    </cfRule>
  </conditionalFormatting>
  <conditionalFormatting sqref="CB171:CD171">
    <cfRule type="cellIs" dxfId="1379" priority="207" operator="equal">
      <formula>0</formula>
    </cfRule>
    <cfRule type="cellIs" dxfId="1378" priority="208" operator="equal">
      <formula>1</formula>
    </cfRule>
  </conditionalFormatting>
  <conditionalFormatting sqref="CB172:CD172">
    <cfRule type="cellIs" dxfId="1377" priority="203" operator="equal">
      <formula>0</formula>
    </cfRule>
    <cfRule type="cellIs" dxfId="1376" priority="204" operator="equal">
      <formula>1</formula>
    </cfRule>
  </conditionalFormatting>
  <conditionalFormatting sqref="CB173:CD173">
    <cfRule type="cellIs" dxfId="1375" priority="199" operator="equal">
      <formula>0</formula>
    </cfRule>
    <cfRule type="cellIs" dxfId="1374" priority="200" operator="equal">
      <formula>1</formula>
    </cfRule>
  </conditionalFormatting>
  <conditionalFormatting sqref="CB174:CD174">
    <cfRule type="cellIs" dxfId="1373" priority="195" operator="equal">
      <formula>0</formula>
    </cfRule>
    <cfRule type="cellIs" dxfId="1372" priority="196" operator="equal">
      <formula>1</formula>
    </cfRule>
  </conditionalFormatting>
  <conditionalFormatting sqref="CB175:CD175">
    <cfRule type="cellIs" dxfId="1371" priority="191" operator="equal">
      <formula>0</formula>
    </cfRule>
    <cfRule type="cellIs" dxfId="1370" priority="192" operator="equal">
      <formula>1</formula>
    </cfRule>
  </conditionalFormatting>
  <conditionalFormatting sqref="CB176:CD176">
    <cfRule type="cellIs" dxfId="1369" priority="187" operator="equal">
      <formula>0</formula>
    </cfRule>
    <cfRule type="cellIs" dxfId="1368" priority="188" operator="equal">
      <formula>1</formula>
    </cfRule>
  </conditionalFormatting>
  <conditionalFormatting sqref="CB177:CD177">
    <cfRule type="cellIs" dxfId="1367" priority="183" operator="equal">
      <formula>0</formula>
    </cfRule>
    <cfRule type="cellIs" dxfId="1366" priority="184" operator="equal">
      <formula>1</formula>
    </cfRule>
  </conditionalFormatting>
  <conditionalFormatting sqref="CB178:CD178">
    <cfRule type="cellIs" dxfId="1365" priority="179" operator="equal">
      <formula>0</formula>
    </cfRule>
    <cfRule type="cellIs" dxfId="1364" priority="180" operator="equal">
      <formula>1</formula>
    </cfRule>
  </conditionalFormatting>
  <conditionalFormatting sqref="CB179:CD179">
    <cfRule type="cellIs" dxfId="1363" priority="175" operator="equal">
      <formula>0</formula>
    </cfRule>
    <cfRule type="cellIs" dxfId="1362" priority="176" operator="equal">
      <formula>1</formula>
    </cfRule>
  </conditionalFormatting>
  <conditionalFormatting sqref="BZ9:BZ92">
    <cfRule type="cellIs" dxfId="1361" priority="19" operator="equal">
      <formula>1</formula>
    </cfRule>
    <cfRule type="cellIs" dxfId="1360" priority="20" operator="equal">
      <formula>0</formula>
    </cfRule>
  </conditionalFormatting>
  <conditionalFormatting sqref="BZ9:BZ92">
    <cfRule type="cellIs" dxfId="1359" priority="17" operator="equal">
      <formula>1</formula>
    </cfRule>
    <cfRule type="cellIs" dxfId="1358" priority="18" operator="equal">
      <formula>0</formula>
    </cfRule>
  </conditionalFormatting>
  <conditionalFormatting sqref="BZ96:BZ179">
    <cfRule type="cellIs" dxfId="1357" priority="15" operator="equal">
      <formula>1</formula>
    </cfRule>
    <cfRule type="cellIs" dxfId="1356" priority="16" operator="equal">
      <formula>0</formula>
    </cfRule>
  </conditionalFormatting>
  <conditionalFormatting sqref="BZ96:BZ179">
    <cfRule type="cellIs" dxfId="1355" priority="13" operator="equal">
      <formula>1</formula>
    </cfRule>
    <cfRule type="cellIs" dxfId="1354" priority="14" operator="equal">
      <formula>0</formula>
    </cfRule>
  </conditionalFormatting>
  <conditionalFormatting sqref="BZ2">
    <cfRule type="cellIs" dxfId="1353" priority="11" operator="greaterThan">
      <formula>0</formula>
    </cfRule>
    <cfRule type="cellIs" dxfId="1352" priority="12" operator="equal">
      <formula>0</formula>
    </cfRule>
  </conditionalFormatting>
  <conditionalFormatting sqref="A2">
    <cfRule type="cellIs" dxfId="1351" priority="9" operator="equal">
      <formula>0</formula>
    </cfRule>
    <cfRule type="cellIs" dxfId="1350" priority="10" operator="greaterThan">
      <formula>0</formula>
    </cfRule>
  </conditionalFormatting>
  <conditionalFormatting sqref="A9">
    <cfRule type="cellIs" dxfId="1349" priority="7" operator="equal">
      <formula>0</formula>
    </cfRule>
    <cfRule type="cellIs" dxfId="1348" priority="8" operator="greaterThan">
      <formula>0</formula>
    </cfRule>
  </conditionalFormatting>
  <conditionalFormatting sqref="A10:A92">
    <cfRule type="cellIs" dxfId="1347" priority="5" operator="equal">
      <formula>0</formula>
    </cfRule>
    <cfRule type="cellIs" dxfId="1346" priority="6" operator="greaterThan">
      <formula>0</formula>
    </cfRule>
  </conditionalFormatting>
  <conditionalFormatting sqref="A97:A179">
    <cfRule type="cellIs" dxfId="1345" priority="3" operator="equal">
      <formula>0</formula>
    </cfRule>
    <cfRule type="cellIs" dxfId="1344" priority="4" operator="greaterThan">
      <formula>0</formula>
    </cfRule>
  </conditionalFormatting>
  <conditionalFormatting sqref="A96">
    <cfRule type="cellIs" dxfId="1343" priority="1" operator="equal">
      <formula>0</formula>
    </cfRule>
    <cfRule type="cellIs" dxfId="1342" priority="2" operator="greaterThan">
      <formula>0</formula>
    </cfRule>
  </conditionalFormatting>
  <dataValidations count="5">
    <dataValidation allowBlank="1" showInputMessage="1" promptTitle="I&amp;E profiles - forecast periods" prompt="The formula rolls forward the I&amp;E profile for the remaining forecast period._x000a__x000a_&gt; 0% income/expenditure is allocated to actual periods._x000a_&gt; For forecast periods the I&amp;E% is allocated as a weighted average of that Month's % out of 100%._x000a_" sqref="AA95" xr:uid="{6D9326ED-2219-4BCE-B5DA-8677080D7B5B}"/>
    <dataValidation allowBlank="1" showInputMessage="1" promptTitle="Year 1 I&amp;E Profile" prompt="Checks that the I&amp;E profile adds up to 100% if used." sqref="CB7" xr:uid="{F8497AEC-0ABD-4B1C-A86E-D13FC63F6091}"/>
    <dataValidation allowBlank="1" showInputMessage="1" promptTitle="Year 2 I&amp;E Profile" prompt="Checks that the I&amp;E profile adds up to 100% if used." sqref="CC7" xr:uid="{A119AFDE-C144-4154-BEA8-4F9C000E24BF}"/>
    <dataValidation allowBlank="1" showInputMessage="1" promptTitle="Year 3 I&amp;E Profile" prompt="Checks that the I&amp;E profile adds up to 100% if used." sqref="CD7" xr:uid="{2142660D-D627-486A-AA8B-7A5797A827D0}"/>
    <dataValidation allowBlank="1" showInputMessage="1" promptTitle="Sign Warning" prompt="The sign flag checks for unexpected input signs._x000a__x000a_I&amp;E Profile percentages over by month are expected to be entered as positive numbers. The warning will be triggerred in case of a negative number." sqref="BZ7" xr:uid="{96E01A0F-BDCF-4FF5-8670-88B9A9E27E06}"/>
  </dataValidations>
  <pageMargins left="0.70866141732283472" right="0.70866141732283472" top="0.74803149606299213" bottom="0.74803149606299213" header="0.31496062992125984" footer="0.31496062992125984"/>
  <pageSetup paperSize="9" scale="4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848B-A1BD-46A8-9A39-F4959431B0C6}">
  <sheetPr codeName="Sheet7">
    <tabColor theme="7" tint="0.59999389629810485"/>
    <outlinePr summaryBelow="0" summaryRight="0"/>
    <pageSetUpPr autoPageBreaks="0"/>
  </sheetPr>
  <dimension ref="A1:EX83"/>
  <sheetViews>
    <sheetView showGridLines="0" zoomScaleNormal="100" workbookViewId="0">
      <pane xSplit="8" ySplit="7" topLeftCell="I50" activePane="bottomRight" state="frozen"/>
      <selection pane="topRight"/>
      <selection pane="bottomLeft"/>
      <selection pane="bottomRight" activeCell="W76" sqref="W76"/>
    </sheetView>
  </sheetViews>
  <sheetFormatPr defaultColWidth="8.5703125" defaultRowHeight="15" outlineLevelRow="1" outlineLevelCol="1" x14ac:dyDescent="0.25"/>
  <cols>
    <col min="1" max="1" width="6.5703125" style="67" bestFit="1" customWidth="1" collapsed="1"/>
    <col min="2" max="3" width="9.42578125" style="67" bestFit="1" customWidth="1"/>
    <col min="4" max="4" width="48.42578125" style="1" customWidth="1"/>
    <col min="5" max="7" width="2" style="67" bestFit="1" customWidth="1"/>
    <col min="8" max="8" width="15" style="67" customWidth="1"/>
    <col min="9" max="9" width="2" style="67" bestFit="1" customWidth="1" collapsed="1"/>
    <col min="10" max="18" width="8.5703125" style="67" hidden="1" customWidth="1" outlineLevel="1"/>
    <col min="19" max="19" width="3" style="67" hidden="1" customWidth="1" outlineLevel="1"/>
    <col min="20" max="20" width="11.5703125" style="67" hidden="1" customWidth="1" outlineLevel="1"/>
    <col min="21" max="21" width="9.5703125" style="67" hidden="1" customWidth="1" outlineLevel="1"/>
    <col min="22" max="22" width="12" style="67" customWidth="1"/>
    <col min="23" max="23" width="12" style="67" customWidth="1" collapsed="1"/>
    <col min="24" max="24" width="9.5703125" style="67" hidden="1" customWidth="1" outlineLevel="1"/>
    <col min="25" max="25" width="9.5703125" style="67" hidden="1" customWidth="1" outlineLevel="1" collapsed="1"/>
    <col min="26" max="26" width="3" style="67" hidden="1" customWidth="1" outlineLevel="1"/>
    <col min="27" max="27" width="9.5703125" style="67" hidden="1" customWidth="1" outlineLevel="1"/>
    <col min="28" max="29" width="9.42578125" style="67" hidden="1" customWidth="1" outlineLevel="1"/>
    <col min="30" max="31" width="9.5703125" style="67" hidden="1" customWidth="1" outlineLevel="1"/>
    <col min="32" max="33" width="9.42578125" style="67" hidden="1" customWidth="1" outlineLevel="1"/>
    <col min="34" max="34" width="9.5703125" style="67" hidden="1" customWidth="1" outlineLevel="1"/>
    <col min="35" max="35" width="9.42578125" style="67" hidden="1" customWidth="1" outlineLevel="1"/>
    <col min="36" max="36" width="10.42578125" style="67" hidden="1" customWidth="1" outlineLevel="1"/>
    <col min="37" max="37" width="9.42578125" style="67" hidden="1" customWidth="1" outlineLevel="1"/>
    <col min="38" max="38" width="8.5703125" style="67" hidden="1" customWidth="1" outlineLevel="1"/>
    <col min="39" max="39" width="9.5703125" style="67" hidden="1" customWidth="1" outlineLevel="1"/>
    <col min="40" max="41" width="9.42578125" style="67" hidden="1" customWidth="1" outlineLevel="1"/>
    <col min="42" max="43" width="9.5703125" style="67" hidden="1" customWidth="1" outlineLevel="1"/>
    <col min="44" max="45" width="9.42578125" style="67" hidden="1" customWidth="1" outlineLevel="1"/>
    <col min="46" max="46" width="9.5703125" style="67" hidden="1" customWidth="1" outlineLevel="1"/>
    <col min="47" max="47" width="9.42578125" style="67" hidden="1" customWidth="1" outlineLevel="1"/>
    <col min="48" max="48" width="10.42578125" style="67" hidden="1" customWidth="1" outlineLevel="1"/>
    <col min="49" max="49" width="9.42578125" style="67" hidden="1" customWidth="1" outlineLevel="1"/>
    <col min="50" max="50" width="8.5703125" style="67" hidden="1" customWidth="1" outlineLevel="1"/>
    <col min="51" max="51" width="9.5703125" style="67" hidden="1" customWidth="1" outlineLevel="1"/>
    <col min="52" max="53" width="9.42578125" style="67" hidden="1" customWidth="1" outlineLevel="1"/>
    <col min="54" max="55" width="9.5703125" style="67" hidden="1" customWidth="1" outlineLevel="1"/>
    <col min="56" max="57" width="9.42578125" style="67" hidden="1" customWidth="1" outlineLevel="1"/>
    <col min="58" max="58" width="9.5703125" style="67" hidden="1" customWidth="1" outlineLevel="1"/>
    <col min="59" max="59" width="9.42578125" style="67" hidden="1" customWidth="1" outlineLevel="1"/>
    <col min="60" max="60" width="10.42578125" style="67" hidden="1" customWidth="1" outlineLevel="1"/>
    <col min="61" max="61" width="9.42578125" style="67" hidden="1" customWidth="1" outlineLevel="1"/>
    <col min="62" max="62" width="8.5703125" style="67" hidden="1" customWidth="1" outlineLevel="1"/>
    <col min="63" max="63" width="3" style="67" hidden="1" customWidth="1" outlineLevel="1"/>
    <col min="64" max="64" width="9.5703125" style="67" hidden="1" customWidth="1" outlineLevel="1"/>
    <col min="65" max="65" width="10.5703125" style="67" hidden="1" customWidth="1" outlineLevel="1"/>
    <col min="66" max="74" width="9.5703125" style="67" hidden="1" customWidth="1" outlineLevel="1"/>
    <col min="75" max="75" width="8.5703125" style="67" hidden="1" customWidth="1" outlineLevel="1"/>
    <col min="76" max="76" width="2" style="67" bestFit="1" customWidth="1"/>
    <col min="77" max="77" width="3.42578125" style="335" customWidth="1"/>
    <col min="78" max="78" width="13.42578125" style="335" customWidth="1"/>
    <col min="79" max="79" width="3.42578125" style="67" customWidth="1"/>
    <col min="80" max="80" width="13.42578125" style="67" customWidth="1"/>
    <col min="81" max="81" width="2.5703125" style="67" customWidth="1"/>
    <col min="82" max="152" width="8.5703125" style="67"/>
    <col min="153" max="153" width="8.5703125" style="67" collapsed="1"/>
    <col min="154" max="154" width="37.42578125" style="67" hidden="1" customWidth="1" outlineLevel="1"/>
    <col min="155" max="16384" width="8.5703125" style="67"/>
  </cols>
  <sheetData>
    <row r="1" spans="1:154" x14ac:dyDescent="0.25">
      <c r="A1" s="7">
        <f ca="1">ToC!A1</f>
        <v>0</v>
      </c>
      <c r="B1" s="14" t="s">
        <v>750</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5" t="s">
        <v>1561</v>
      </c>
      <c r="CA1" s="575"/>
      <c r="CB1" s="5" t="s">
        <v>1771</v>
      </c>
      <c r="CC1" s="575"/>
      <c r="EX1" s="5" t="s">
        <v>1563</v>
      </c>
    </row>
    <row r="2" spans="1:154" ht="14.45" customHeight="1" x14ac:dyDescent="0.25">
      <c r="A2" s="362" cm="1">
        <f t="array" aca="1" ref="A2" ca="1">HYPERLINK(CONCATENATE("#",CELL("address",IF(SUM(A$7:A$83)=0,$A$2,INDEX(A$7:A$83,MATCH(1,A$7:A$83,0))))),SUM(A$7:A$83))</f>
        <v>0</v>
      </c>
      <c r="B2" s="92" t="str" cm="1">
        <f t="array" aca="1" ref="B2" ca="1">HYPERLINK(CONCATENATE("#",CELL("address",Guide!$C$99)),Guide!$B$1)</f>
        <v>Guide</v>
      </c>
      <c r="C2" s="26"/>
      <c r="D2" s="26"/>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BZ2" s="366" cm="1">
        <f t="array" aca="1" ref="BZ2" ca="1">HYPERLINK(CONCATENATE("#",CELL("address",IF(SUM(BZ$7:BZ$83)=0,$BZ$2,INDEX(BZ$7:BZ$83,MATCH(1,BZ$7:BZ$83,0))))),SUM(BZ$7:BZ$83))</f>
        <v>0</v>
      </c>
      <c r="CA2" s="575"/>
      <c r="CC2" s="575"/>
      <c r="EX2" s="335"/>
    </row>
    <row r="3" spans="1:154" x14ac:dyDescent="0.25">
      <c r="A3" s="92" t="str" cm="1">
        <f t="array" aca="1" ref="A3" ca="1">HYPERLINK(CONCATENATE("#",CELL("address",ToC!$A$1)),ToC!$C$1)</f>
        <v>ToC</v>
      </c>
      <c r="B3" s="80" t="str" cm="1">
        <f t="array" aca="1" ref="B3" ca="1">HYPERLINK(CONCATENATE("#",CELL("address",B8)),"NCA")</f>
        <v>NCA</v>
      </c>
      <c r="C3" s="14"/>
      <c r="D3" s="43" t="str">
        <f>Timeline!D3</f>
        <v>Financial Year</v>
      </c>
      <c r="E3" s="14"/>
      <c r="F3" s="14"/>
      <c r="G3" s="14"/>
      <c r="H3" s="14"/>
      <c r="I3" s="14"/>
      <c r="J3" s="14"/>
      <c r="K3" s="14"/>
      <c r="L3" s="14"/>
      <c r="M3" s="14"/>
      <c r="N3" s="14"/>
      <c r="O3" s="14"/>
      <c r="P3" s="14"/>
      <c r="Q3" s="14"/>
      <c r="R3" s="14"/>
      <c r="S3" s="14"/>
      <c r="T3" s="14"/>
      <c r="U3" s="14"/>
      <c r="V3" s="516" t="str">
        <f>Timeline!V3</f>
        <v>FY2020</v>
      </c>
      <c r="W3" s="516" t="str">
        <f>Timeline!W3</f>
        <v>FY2021</v>
      </c>
      <c r="X3" s="18" t="str">
        <f>Timeline!X3</f>
        <v>FY2022</v>
      </c>
      <c r="Y3" s="19" t="str">
        <f>Timeline!Y3</f>
        <v>FY2023</v>
      </c>
      <c r="Z3" s="14"/>
      <c r="AA3" s="17" t="str">
        <f>Timeline!AA3</f>
        <v>FY2021</v>
      </c>
      <c r="AB3" s="18" t="str">
        <f>Timeline!AB3</f>
        <v>FY2021</v>
      </c>
      <c r="AC3" s="18" t="str">
        <f>Timeline!AC3</f>
        <v>FY2021</v>
      </c>
      <c r="AD3" s="18" t="str">
        <f>Timeline!AD3</f>
        <v>FY2021</v>
      </c>
      <c r="AE3" s="18" t="str">
        <f>Timeline!AE3</f>
        <v>FY2021</v>
      </c>
      <c r="AF3" s="18" t="str">
        <f>Timeline!AF3</f>
        <v>FY2021</v>
      </c>
      <c r="AG3" s="18" t="str">
        <f>Timeline!AG3</f>
        <v>FY2021</v>
      </c>
      <c r="AH3" s="18" t="str">
        <f>Timeline!AH3</f>
        <v>FY2021</v>
      </c>
      <c r="AI3" s="18" t="str">
        <f>Timeline!AI3</f>
        <v>FY2021</v>
      </c>
      <c r="AJ3" s="18" t="str">
        <f>Timeline!AJ3</f>
        <v>FY2021</v>
      </c>
      <c r="AK3" s="18" t="str">
        <f>Timeline!AK3</f>
        <v>FY2021</v>
      </c>
      <c r="AL3" s="19"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576" t="s">
        <v>965</v>
      </c>
      <c r="CA3" s="575"/>
      <c r="CB3" s="576" t="s">
        <v>2334</v>
      </c>
      <c r="CC3" s="575"/>
      <c r="EX3" s="335"/>
    </row>
    <row r="4" spans="1:154" ht="14.45" customHeight="1" collapsed="1" x14ac:dyDescent="0.25">
      <c r="A4" s="14"/>
      <c r="B4" s="80" t="str" cm="1">
        <f t="array" aca="1" ref="B4" ca="1">HYPERLINK(CONCATENATE("#",CELL("address",B19)),"Current Assets")</f>
        <v>Current Assets</v>
      </c>
      <c r="C4" s="14"/>
      <c r="D4" s="43" t="str">
        <f>Timeline!D4</f>
        <v>Forecast vs Actual</v>
      </c>
      <c r="E4" s="14"/>
      <c r="F4" s="14"/>
      <c r="G4" s="14"/>
      <c r="H4" s="14"/>
      <c r="I4" s="14"/>
      <c r="J4" s="14"/>
      <c r="K4" s="14"/>
      <c r="L4" s="14"/>
      <c r="M4" s="14"/>
      <c r="N4" s="14"/>
      <c r="O4" s="14"/>
      <c r="P4" s="14"/>
      <c r="Q4" s="14"/>
      <c r="R4" s="14"/>
      <c r="S4" s="14"/>
      <c r="T4" s="14"/>
      <c r="U4" s="14"/>
      <c r="V4" s="33">
        <f>Timeline!V4</f>
        <v>0</v>
      </c>
      <c r="W4" s="33">
        <f>Timeline!W4</f>
        <v>-1</v>
      </c>
      <c r="X4" s="33">
        <f>Timeline!X4</f>
        <v>1</v>
      </c>
      <c r="Y4" s="34">
        <f>Timeline!Y4</f>
        <v>1</v>
      </c>
      <c r="Z4" s="14"/>
      <c r="AA4" s="32">
        <f>Timeline!AA4</f>
        <v>0</v>
      </c>
      <c r="AB4" s="33">
        <f>Timeline!AB4</f>
        <v>0</v>
      </c>
      <c r="AC4" s="33">
        <f>Timeline!AC4</f>
        <v>0</v>
      </c>
      <c r="AD4" s="33">
        <f>Timeline!AD4</f>
        <v>0</v>
      </c>
      <c r="AE4" s="33">
        <f>Timeline!AE4</f>
        <v>0</v>
      </c>
      <c r="AF4" s="33">
        <f>Timeline!AF4</f>
        <v>0</v>
      </c>
      <c r="AG4" s="33">
        <f>Timeline!AG4</f>
        <v>0</v>
      </c>
      <c r="AH4" s="33">
        <f>Timeline!AH4</f>
        <v>0</v>
      </c>
      <c r="AI4" s="33">
        <f>Timeline!AI4</f>
        <v>0</v>
      </c>
      <c r="AJ4" s="33">
        <f>Timeline!AJ4</f>
        <v>0</v>
      </c>
      <c r="AK4" s="33">
        <f>Timeline!AK4</f>
        <v>0</v>
      </c>
      <c r="AL4" s="34">
        <f>Timeline!AL4</f>
        <v>1</v>
      </c>
      <c r="AM4" s="81">
        <f>Timeline!AM4</f>
        <v>1</v>
      </c>
      <c r="AN4" s="81">
        <f>Timeline!AN4</f>
        <v>1</v>
      </c>
      <c r="AO4" s="81">
        <f>Timeline!AO4</f>
        <v>1</v>
      </c>
      <c r="AP4" s="81">
        <f>Timeline!AP4</f>
        <v>1</v>
      </c>
      <c r="AQ4" s="81">
        <f>Timeline!AQ4</f>
        <v>1</v>
      </c>
      <c r="AR4" s="81">
        <f>Timeline!AR4</f>
        <v>1</v>
      </c>
      <c r="AS4" s="81">
        <f>Timeline!AS4</f>
        <v>1</v>
      </c>
      <c r="AT4" s="81">
        <f>Timeline!AT4</f>
        <v>1</v>
      </c>
      <c r="AU4" s="81">
        <f>Timeline!AU4</f>
        <v>1</v>
      </c>
      <c r="AV4" s="81">
        <f>Timeline!AV4</f>
        <v>1</v>
      </c>
      <c r="AW4" s="81">
        <f>Timeline!AW4</f>
        <v>1</v>
      </c>
      <c r="AX4" s="81">
        <f>Timeline!AX4</f>
        <v>1</v>
      </c>
      <c r="AY4" s="32">
        <f>Timeline!AY4</f>
        <v>1</v>
      </c>
      <c r="AZ4" s="33">
        <f>Timeline!AZ4</f>
        <v>1</v>
      </c>
      <c r="BA4" s="33">
        <f>Timeline!BA4</f>
        <v>1</v>
      </c>
      <c r="BB4" s="33">
        <f>Timeline!BB4</f>
        <v>1</v>
      </c>
      <c r="BC4" s="33">
        <f>Timeline!BC4</f>
        <v>1</v>
      </c>
      <c r="BD4" s="33">
        <f>Timeline!BD4</f>
        <v>1</v>
      </c>
      <c r="BE4" s="33">
        <f>Timeline!BE4</f>
        <v>1</v>
      </c>
      <c r="BF4" s="33">
        <f>Timeline!BF4</f>
        <v>1</v>
      </c>
      <c r="BG4" s="33">
        <f>Timeline!BG4</f>
        <v>1</v>
      </c>
      <c r="BH4" s="33">
        <f>Timeline!BH4</f>
        <v>1</v>
      </c>
      <c r="BI4" s="33">
        <f>Timeline!BI4</f>
        <v>1</v>
      </c>
      <c r="BJ4" s="34">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6"/>
      <c r="CA4" s="575"/>
      <c r="CB4" s="576"/>
      <c r="CC4" s="575"/>
      <c r="EX4" s="335"/>
    </row>
    <row r="5" spans="1:154" hidden="1" outlineLevel="1" x14ac:dyDescent="0.25">
      <c r="A5" s="14"/>
      <c r="B5" s="14"/>
      <c r="C5" s="14"/>
      <c r="D5" s="43" t="str">
        <f>Timeline!D5</f>
        <v>Period End Date</v>
      </c>
      <c r="E5" s="14"/>
      <c r="F5" s="14"/>
      <c r="G5" s="14"/>
      <c r="H5" s="14"/>
      <c r="I5" s="14"/>
      <c r="J5" s="14"/>
      <c r="K5" s="14"/>
      <c r="L5" s="14"/>
      <c r="M5" s="14"/>
      <c r="N5" s="14"/>
      <c r="O5" s="14"/>
      <c r="P5" s="14"/>
      <c r="Q5" s="14"/>
      <c r="R5" s="14"/>
      <c r="S5" s="14"/>
      <c r="T5" s="14"/>
      <c r="U5" s="14"/>
      <c r="V5" s="21">
        <f>Timeline!V5</f>
        <v>44043</v>
      </c>
      <c r="W5" s="22">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6"/>
      <c r="CA5" s="575"/>
      <c r="CB5" s="576"/>
      <c r="CC5" s="575"/>
      <c r="EX5" s="335"/>
    </row>
    <row r="6" spans="1:154" x14ac:dyDescent="0.25">
      <c r="A6" s="80" t="str" cm="1">
        <f t="array" aca="1" ref="A6" ca="1">HYPERLINK(CONCATENATE("#",CELL("address",CA7)),"Check")</f>
        <v>Check</v>
      </c>
      <c r="B6" s="80" t="str" cm="1">
        <f t="array" aca="1" ref="B6" ca="1">HYPERLINK(CONCATENATE("#",CELL("address",B34)),"Liabilities")</f>
        <v>Liabilities</v>
      </c>
      <c r="C6" s="14" t="str">
        <f>Template!$C$6</f>
        <v>Ref. No.</v>
      </c>
      <c r="D6" s="14" t="str">
        <f>Template!D6</f>
        <v>Description</v>
      </c>
      <c r="E6" s="44"/>
      <c r="F6" s="14"/>
      <c r="G6" s="14"/>
      <c r="H6" s="14" t="str">
        <f>Template!H6</f>
        <v>Signage</v>
      </c>
      <c r="I6" s="14"/>
      <c r="J6" s="14"/>
      <c r="K6" s="14"/>
      <c r="L6" s="14"/>
      <c r="M6" s="14"/>
      <c r="N6" s="16"/>
      <c r="O6" s="14"/>
      <c r="P6" s="14"/>
      <c r="Q6" s="14"/>
      <c r="R6" s="14"/>
      <c r="S6" s="14"/>
      <c r="T6" s="14"/>
      <c r="U6" s="14"/>
      <c r="V6" s="268"/>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576"/>
      <c r="CA6" s="575"/>
      <c r="CB6" s="576"/>
      <c r="CC6" s="575"/>
      <c r="EX6" s="335"/>
    </row>
    <row r="7" spans="1:154" ht="15.75" x14ac:dyDescent="0.3">
      <c r="B7" s="139" t="s">
        <v>2515</v>
      </c>
      <c r="D7" s="43" t="s">
        <v>1688</v>
      </c>
      <c r="E7" s="14"/>
      <c r="F7" s="14"/>
      <c r="G7" s="14"/>
      <c r="H7" s="14"/>
      <c r="I7" s="14"/>
      <c r="S7" s="335"/>
      <c r="V7" s="420">
        <f>Timeline!V8</f>
        <v>43678</v>
      </c>
      <c r="W7" s="420">
        <f>Timeline!W8</f>
        <v>44044</v>
      </c>
      <c r="BM7" s="6"/>
      <c r="BX7" s="14"/>
      <c r="BY7" s="42"/>
      <c r="BZ7" s="479" t="s">
        <v>335</v>
      </c>
      <c r="CA7" s="42"/>
      <c r="CB7" s="479" t="s">
        <v>335</v>
      </c>
      <c r="CC7" s="42"/>
      <c r="EX7" s="335"/>
    </row>
    <row r="8" spans="1:154" x14ac:dyDescent="0.25">
      <c r="A8" s="40"/>
      <c r="B8" s="40"/>
      <c r="C8" s="379"/>
      <c r="D8" s="40" t="s">
        <v>87</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12"/>
      <c r="CA8" s="12"/>
      <c r="CC8" s="12"/>
      <c r="EX8" s="10" t="str">
        <f>IF($C8="","",$D8)</f>
        <v/>
      </c>
    </row>
    <row r="9" spans="1:154" ht="8.1" customHeight="1" x14ac:dyDescent="0.25">
      <c r="C9" s="380"/>
      <c r="S9" s="335"/>
      <c r="BM9" s="6"/>
      <c r="BY9" s="12"/>
      <c r="CA9" s="12"/>
      <c r="CC9" s="12"/>
      <c r="EX9" s="10" t="str">
        <f t="shared" ref="EX9:EX72" si="0">IF($C9="","",$D9)</f>
        <v/>
      </c>
    </row>
    <row r="10" spans="1:154" x14ac:dyDescent="0.25">
      <c r="A10" s="335"/>
      <c r="C10" s="340" t="s">
        <v>1016</v>
      </c>
      <c r="D10" s="39" t="s">
        <v>122</v>
      </c>
      <c r="E10" s="39"/>
      <c r="G10" s="46"/>
      <c r="H10" s="47" t="s">
        <v>92</v>
      </c>
      <c r="S10" s="335"/>
      <c r="V10" s="141"/>
      <c r="W10" s="198">
        <f>29910+1988</f>
        <v>31898</v>
      </c>
      <c r="BY10" s="12"/>
      <c r="BZ10" s="363">
        <f t="shared" ref="BZ10:BZ16" si="1">IF(MIN(V10:W10)&lt;0, 1, 0)</f>
        <v>0</v>
      </c>
      <c r="CA10" s="12"/>
      <c r="CC10" s="12"/>
      <c r="EX10" s="10" t="str">
        <f t="shared" si="0"/>
        <v>Land &amp; Buildings</v>
      </c>
    </row>
    <row r="11" spans="1:154" x14ac:dyDescent="0.25">
      <c r="A11" s="335"/>
      <c r="C11" s="340" t="s">
        <v>1017</v>
      </c>
      <c r="D11" s="39" t="s">
        <v>100</v>
      </c>
      <c r="E11" s="39"/>
      <c r="G11" s="46"/>
      <c r="H11" s="47" t="s">
        <v>92</v>
      </c>
      <c r="S11" s="335"/>
      <c r="V11" s="141"/>
      <c r="W11" s="198">
        <v>1667</v>
      </c>
      <c r="BY11" s="12"/>
      <c r="BZ11" s="363">
        <f t="shared" si="1"/>
        <v>0</v>
      </c>
      <c r="CA11" s="12"/>
      <c r="CC11" s="12"/>
      <c r="EX11" s="10" t="str">
        <f t="shared" si="0"/>
        <v>Equipment</v>
      </c>
    </row>
    <row r="12" spans="1:154" x14ac:dyDescent="0.25">
      <c r="A12" s="335"/>
      <c r="C12" s="340" t="s">
        <v>1018</v>
      </c>
      <c r="D12" s="39" t="s">
        <v>1632</v>
      </c>
      <c r="E12" s="39"/>
      <c r="G12" s="46"/>
      <c r="H12" s="47" t="s">
        <v>92</v>
      </c>
      <c r="S12" s="335"/>
      <c r="V12" s="141"/>
      <c r="W12" s="372">
        <v>600</v>
      </c>
      <c r="BX12" s="2"/>
      <c r="BY12" s="12"/>
      <c r="BZ12" s="363">
        <f t="shared" si="1"/>
        <v>0</v>
      </c>
      <c r="CA12" s="12"/>
      <c r="CC12" s="12"/>
      <c r="EX12" s="10" t="str">
        <f t="shared" si="0"/>
        <v>Other NCA</v>
      </c>
    </row>
    <row r="13" spans="1:154" x14ac:dyDescent="0.25">
      <c r="A13" s="335"/>
      <c r="C13" s="340" t="s">
        <v>1019</v>
      </c>
      <c r="D13" s="39" t="s">
        <v>104</v>
      </c>
      <c r="E13" s="39"/>
      <c r="G13" s="46"/>
      <c r="H13" s="47" t="s">
        <v>92</v>
      </c>
      <c r="S13" s="335"/>
      <c r="V13" s="141"/>
      <c r="W13" s="372"/>
      <c r="BY13" s="12"/>
      <c r="BZ13" s="363">
        <f t="shared" si="1"/>
        <v>0</v>
      </c>
      <c r="CA13" s="12"/>
      <c r="CC13" s="12"/>
      <c r="EX13" s="10" t="str">
        <f t="shared" si="0"/>
        <v>Assets under Construction</v>
      </c>
    </row>
    <row r="14" spans="1:154" x14ac:dyDescent="0.25">
      <c r="A14" s="335"/>
      <c r="C14" s="340" t="s">
        <v>1020</v>
      </c>
      <c r="D14" s="39" t="s">
        <v>102</v>
      </c>
      <c r="E14" s="39"/>
      <c r="G14" s="46"/>
      <c r="H14" s="47" t="s">
        <v>92</v>
      </c>
      <c r="S14" s="335"/>
      <c r="V14" s="141"/>
      <c r="W14" s="372"/>
      <c r="BY14" s="12"/>
      <c r="BZ14" s="363">
        <f t="shared" si="1"/>
        <v>0</v>
      </c>
      <c r="CA14" s="12"/>
      <c r="CC14" s="12"/>
      <c r="EX14" s="10" t="str">
        <f t="shared" si="0"/>
        <v>Investments</v>
      </c>
    </row>
    <row r="15" spans="1:154" x14ac:dyDescent="0.25">
      <c r="A15" s="335"/>
      <c r="C15" s="340" t="s">
        <v>1021</v>
      </c>
      <c r="D15" s="39" t="s">
        <v>2509</v>
      </c>
      <c r="E15" s="39"/>
      <c r="G15" s="46"/>
      <c r="H15" s="47" t="s">
        <v>92</v>
      </c>
      <c r="S15" s="335"/>
      <c r="V15" s="141"/>
      <c r="W15" s="372"/>
      <c r="BY15" s="12"/>
      <c r="BZ15" s="363">
        <f t="shared" si="1"/>
        <v>0</v>
      </c>
      <c r="CA15" s="12"/>
      <c r="CC15" s="12"/>
      <c r="EX15" s="10" t="str">
        <f t="shared" si="0"/>
        <v>Investment in JVs and Associates (inc. overseas)</v>
      </c>
    </row>
    <row r="16" spans="1:154" s="335" customFormat="1" x14ac:dyDescent="0.25">
      <c r="C16" s="340" t="s">
        <v>1022</v>
      </c>
      <c r="D16" s="360" t="s">
        <v>941</v>
      </c>
      <c r="E16" s="39"/>
      <c r="G16" s="46"/>
      <c r="H16" s="47" t="s">
        <v>92</v>
      </c>
      <c r="V16" s="141"/>
      <c r="W16" s="372"/>
      <c r="BX16" s="2"/>
      <c r="BY16" s="12"/>
      <c r="BZ16" s="363">
        <f t="shared" si="1"/>
        <v>0</v>
      </c>
      <c r="CA16" s="12"/>
      <c r="CC16" s="12"/>
      <c r="EX16" s="10" t="str">
        <f t="shared" si="0"/>
        <v>Debtors falling due after one year</v>
      </c>
    </row>
    <row r="17" spans="1:154" x14ac:dyDescent="0.25">
      <c r="C17" s="340" t="s">
        <v>1023</v>
      </c>
      <c r="D17" s="27" t="s">
        <v>174</v>
      </c>
      <c r="S17" s="335"/>
      <c r="V17" s="211">
        <f>SUM(V10:V16)</f>
        <v>0</v>
      </c>
      <c r="W17" s="211">
        <f>SUM(W10:W16)</f>
        <v>34165</v>
      </c>
      <c r="BM17" s="6"/>
      <c r="BN17" s="6"/>
      <c r="BY17" s="12"/>
      <c r="CA17" s="12"/>
      <c r="CC17" s="12"/>
      <c r="EX17" s="10" t="str">
        <f t="shared" si="0"/>
        <v>Total Non-Current Assets</v>
      </c>
    </row>
    <row r="18" spans="1:154" ht="8.1" customHeight="1" x14ac:dyDescent="0.25">
      <c r="C18" s="380"/>
      <c r="G18" s="48"/>
      <c r="H18" s="48"/>
      <c r="S18" s="335"/>
      <c r="V18" s="335"/>
      <c r="BM18" s="6"/>
      <c r="BY18" s="12"/>
      <c r="CA18" s="12"/>
      <c r="CC18" s="12"/>
      <c r="EX18" s="10" t="str">
        <f t="shared" si="0"/>
        <v/>
      </c>
    </row>
    <row r="19" spans="1:154" x14ac:dyDescent="0.25">
      <c r="A19" s="40"/>
      <c r="B19" s="40"/>
      <c r="C19" s="381"/>
      <c r="D19" s="40" t="s">
        <v>105</v>
      </c>
      <c r="E19" s="40"/>
      <c r="F19" s="40"/>
      <c r="G19" s="49"/>
      <c r="H19" s="49"/>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12"/>
      <c r="CA19" s="12"/>
      <c r="CC19" s="12"/>
      <c r="EX19" s="10" t="str">
        <f t="shared" si="0"/>
        <v/>
      </c>
    </row>
    <row r="20" spans="1:154" ht="8.1" customHeight="1" x14ac:dyDescent="0.25">
      <c r="C20" s="380"/>
      <c r="G20" s="48"/>
      <c r="H20" s="48"/>
      <c r="S20" s="335"/>
      <c r="V20" s="335"/>
      <c r="BM20" s="6"/>
      <c r="BY20" s="12"/>
      <c r="CA20" s="12"/>
      <c r="CC20" s="12"/>
      <c r="EX20" s="10" t="str">
        <f t="shared" si="0"/>
        <v/>
      </c>
    </row>
    <row r="21" spans="1:154" x14ac:dyDescent="0.25">
      <c r="A21" s="335"/>
      <c r="C21" s="340" t="s">
        <v>1024</v>
      </c>
      <c r="D21" s="39" t="s">
        <v>106</v>
      </c>
      <c r="E21" s="39"/>
      <c r="G21" s="46"/>
      <c r="H21" s="47" t="s">
        <v>92</v>
      </c>
      <c r="S21" s="335"/>
      <c r="V21" s="141"/>
      <c r="W21" s="144"/>
      <c r="BY21" s="12"/>
      <c r="BZ21" s="363">
        <f>IF(MIN(V21:W21)&lt;0, 1, 0)</f>
        <v>0</v>
      </c>
      <c r="CA21" s="12"/>
      <c r="CC21" s="12"/>
      <c r="EX21" s="10" t="str">
        <f t="shared" si="0"/>
        <v xml:space="preserve">Assets Held for Sale </v>
      </c>
    </row>
    <row r="22" spans="1:154" x14ac:dyDescent="0.25">
      <c r="A22" s="335"/>
      <c r="C22" s="340" t="s">
        <v>1025</v>
      </c>
      <c r="D22" s="39" t="s">
        <v>107</v>
      </c>
      <c r="E22" s="39"/>
      <c r="G22" s="46"/>
      <c r="H22" s="47" t="s">
        <v>92</v>
      </c>
      <c r="S22" s="335"/>
      <c r="V22" s="141"/>
      <c r="W22" s="144">
        <v>34</v>
      </c>
      <c r="BY22" s="12"/>
      <c r="BZ22" s="363">
        <f>IF(MIN(V22:W22)&lt;0, 1, 0)</f>
        <v>0</v>
      </c>
      <c r="CA22" s="12"/>
      <c r="CC22" s="12"/>
      <c r="EX22" s="10" t="str">
        <f t="shared" si="0"/>
        <v>Stock</v>
      </c>
    </row>
    <row r="23" spans="1:154" x14ac:dyDescent="0.25">
      <c r="A23" s="335"/>
      <c r="C23" s="340" t="s">
        <v>1026</v>
      </c>
      <c r="D23" s="39" t="s">
        <v>109</v>
      </c>
      <c r="E23" s="39"/>
      <c r="G23" s="46"/>
      <c r="H23" s="47" t="s">
        <v>92</v>
      </c>
      <c r="S23" s="335"/>
      <c r="V23" s="141"/>
      <c r="W23" s="144">
        <v>314</v>
      </c>
      <c r="BY23" s="12"/>
      <c r="BZ23" s="363">
        <f>IF(MIN(V23:W23)&lt;0, 1, 0)</f>
        <v>0</v>
      </c>
      <c r="CA23" s="12"/>
      <c r="CC23" s="12"/>
      <c r="EX23" s="10" t="str">
        <f t="shared" si="0"/>
        <v>Trade Receivables</v>
      </c>
    </row>
    <row r="24" spans="1:154" x14ac:dyDescent="0.25">
      <c r="A24" s="335"/>
      <c r="C24" s="340" t="s">
        <v>1027</v>
      </c>
      <c r="D24" s="39" t="s">
        <v>112</v>
      </c>
      <c r="E24" s="39"/>
      <c r="G24" s="46"/>
      <c r="H24" s="47" t="s">
        <v>92</v>
      </c>
      <c r="S24" s="335"/>
      <c r="V24" s="141"/>
      <c r="W24" s="144"/>
      <c r="BY24" s="12"/>
      <c r="BZ24" s="363">
        <f>IF(MIN(V24:W24)&lt;0, 1, 0)</f>
        <v>0</v>
      </c>
      <c r="CA24" s="12"/>
      <c r="CC24" s="12"/>
      <c r="EX24" s="10" t="str">
        <f t="shared" si="0"/>
        <v>Other Receivables</v>
      </c>
    </row>
    <row r="25" spans="1:154" ht="15.75" x14ac:dyDescent="0.3">
      <c r="A25" s="335"/>
      <c r="B25" s="105" t="s">
        <v>335</v>
      </c>
      <c r="C25" s="343" t="s">
        <v>1028</v>
      </c>
      <c r="D25" s="4" t="s">
        <v>143</v>
      </c>
      <c r="G25" s="8"/>
      <c r="H25" s="47" t="s">
        <v>98</v>
      </c>
      <c r="S25" s="335"/>
      <c r="V25" s="141"/>
      <c r="W25" s="372"/>
      <c r="BY25" s="12"/>
      <c r="BZ25" s="363">
        <f>IF(MAX(V25:W25)&gt;0, 1, 0)</f>
        <v>0</v>
      </c>
      <c r="CA25" s="12"/>
      <c r="CC25" s="12"/>
      <c r="EX25" s="10" t="str">
        <f t="shared" si="0"/>
        <v>Bad Debt Provision</v>
      </c>
    </row>
    <row r="26" spans="1:154" x14ac:dyDescent="0.25">
      <c r="A26" s="335"/>
      <c r="C26" s="340" t="s">
        <v>1029</v>
      </c>
      <c r="D26" s="39" t="s">
        <v>113</v>
      </c>
      <c r="E26" s="39"/>
      <c r="G26" s="46"/>
      <c r="H26" s="47" t="s">
        <v>92</v>
      </c>
      <c r="S26" s="335"/>
      <c r="V26" s="141"/>
      <c r="W26" s="144"/>
      <c r="BY26" s="12"/>
      <c r="BZ26" s="363">
        <f>IF(MIN(V26:W26)&lt;0, 1, 0)</f>
        <v>0</v>
      </c>
      <c r="CA26" s="12"/>
      <c r="CC26" s="12"/>
      <c r="EX26" s="10" t="str">
        <f t="shared" si="0"/>
        <v>Prepayments</v>
      </c>
    </row>
    <row r="27" spans="1:154" x14ac:dyDescent="0.25">
      <c r="A27" s="335"/>
      <c r="C27" s="340" t="s">
        <v>1030</v>
      </c>
      <c r="D27" s="39" t="s">
        <v>114</v>
      </c>
      <c r="E27" s="39"/>
      <c r="G27" s="46"/>
      <c r="H27" s="47" t="s">
        <v>92</v>
      </c>
      <c r="S27" s="335"/>
      <c r="V27" s="141"/>
      <c r="W27" s="144">
        <v>1216</v>
      </c>
      <c r="BY27" s="12"/>
      <c r="BZ27" s="363">
        <f t="shared" ref="BZ27:BZ30" si="2">IF(MIN(V27:W27)&lt;0, 1, 0)</f>
        <v>0</v>
      </c>
      <c r="CA27" s="12"/>
      <c r="CC27" s="12"/>
      <c r="EX27" s="10" t="str">
        <f t="shared" si="0"/>
        <v>Accrued Income</v>
      </c>
    </row>
    <row r="28" spans="1:154" x14ac:dyDescent="0.25">
      <c r="A28" s="335"/>
      <c r="C28" s="343" t="s">
        <v>1031</v>
      </c>
      <c r="D28" s="39" t="s">
        <v>2511</v>
      </c>
      <c r="E28" s="39"/>
      <c r="G28" s="46"/>
      <c r="H28" s="47" t="s">
        <v>92</v>
      </c>
      <c r="S28" s="335"/>
      <c r="V28" s="141"/>
      <c r="W28" s="144">
        <v>7911</v>
      </c>
      <c r="BY28" s="12"/>
      <c r="BZ28" s="363">
        <f>IF(MIN(V28:W28)&lt;0, 1, 0)</f>
        <v>0</v>
      </c>
      <c r="CA28" s="12"/>
      <c r="CC28" s="12"/>
      <c r="EX28" s="10" t="str">
        <f t="shared" si="0"/>
        <v>Short-term Investments</v>
      </c>
    </row>
    <row r="29" spans="1:154" x14ac:dyDescent="0.25">
      <c r="A29" s="335"/>
      <c r="C29" s="343" t="s">
        <v>1032</v>
      </c>
      <c r="D29" s="39" t="s">
        <v>956</v>
      </c>
      <c r="E29" s="39"/>
      <c r="G29" s="46"/>
      <c r="H29" s="47" t="s">
        <v>92</v>
      </c>
      <c r="S29" s="335"/>
      <c r="V29" s="141"/>
      <c r="W29" s="144">
        <v>3647</v>
      </c>
      <c r="BY29" s="12"/>
      <c r="BZ29" s="363">
        <f t="shared" si="2"/>
        <v>0</v>
      </c>
      <c r="CA29" s="12"/>
      <c r="CC29" s="12"/>
      <c r="EX29" s="10" t="str">
        <f t="shared" si="0"/>
        <v>Cash and Cash Equivalents</v>
      </c>
    </row>
    <row r="30" spans="1:154" s="335" customFormat="1" x14ac:dyDescent="0.25">
      <c r="C30" s="343" t="s">
        <v>1033</v>
      </c>
      <c r="D30" s="39" t="s">
        <v>115</v>
      </c>
      <c r="E30" s="39"/>
      <c r="G30" s="46"/>
      <c r="H30" s="47" t="s">
        <v>92</v>
      </c>
      <c r="V30" s="141"/>
      <c r="W30" s="144"/>
      <c r="BY30" s="12"/>
      <c r="BZ30" s="363">
        <f t="shared" si="2"/>
        <v>0</v>
      </c>
      <c r="CA30" s="12"/>
      <c r="CC30" s="12"/>
      <c r="EX30" s="10" t="str">
        <f t="shared" si="0"/>
        <v xml:space="preserve">Restricted Cash </v>
      </c>
    </row>
    <row r="31" spans="1:154" x14ac:dyDescent="0.25">
      <c r="A31" s="335"/>
      <c r="C31" s="340" t="s">
        <v>1034</v>
      </c>
      <c r="D31" s="27" t="s">
        <v>175</v>
      </c>
      <c r="G31" s="48"/>
      <c r="H31" s="48"/>
      <c r="S31" s="335"/>
      <c r="V31" s="211">
        <f>SUM(V21:V30)</f>
        <v>0</v>
      </c>
      <c r="W31" s="211">
        <f>SUM(W21:W30)</f>
        <v>13122</v>
      </c>
      <c r="BM31" s="6"/>
      <c r="BN31" s="6"/>
      <c r="BY31" s="12"/>
      <c r="CA31" s="12"/>
      <c r="CC31" s="12"/>
      <c r="EX31" s="10" t="str">
        <f t="shared" si="0"/>
        <v>Total Current Assets</v>
      </c>
    </row>
    <row r="32" spans="1:154" ht="8.1" customHeight="1" x14ac:dyDescent="0.25">
      <c r="C32" s="380"/>
      <c r="S32" s="335"/>
      <c r="V32" s="335"/>
      <c r="BM32" s="6"/>
      <c r="BY32" s="12"/>
      <c r="CA32" s="12"/>
      <c r="CC32" s="12"/>
      <c r="EX32" s="10" t="str">
        <f t="shared" si="0"/>
        <v/>
      </c>
    </row>
    <row r="33" spans="1:154" x14ac:dyDescent="0.25">
      <c r="A33" s="40"/>
      <c r="B33" s="40"/>
      <c r="C33" s="381"/>
      <c r="D33" s="40" t="s">
        <v>177</v>
      </c>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12"/>
      <c r="CA33" s="12"/>
      <c r="CC33" s="12"/>
      <c r="EX33" s="10" t="str">
        <f t="shared" si="0"/>
        <v/>
      </c>
    </row>
    <row r="34" spans="1:154" ht="8.1" customHeight="1" x14ac:dyDescent="0.25">
      <c r="C34" s="380"/>
      <c r="S34" s="335"/>
      <c r="V34" s="335"/>
      <c r="BM34" s="6"/>
      <c r="BY34" s="12"/>
      <c r="CA34" s="12"/>
      <c r="CC34" s="12"/>
      <c r="EX34" s="10" t="str">
        <f t="shared" si="0"/>
        <v/>
      </c>
    </row>
    <row r="35" spans="1:154" x14ac:dyDescent="0.25">
      <c r="B35" s="29"/>
      <c r="C35" s="380"/>
      <c r="D35" s="89" t="s">
        <v>289</v>
      </c>
      <c r="S35" s="335"/>
      <c r="V35" s="335"/>
      <c r="BY35" s="12"/>
      <c r="CA35" s="12"/>
      <c r="CC35" s="12"/>
      <c r="EX35" s="10" t="str">
        <f t="shared" si="0"/>
        <v/>
      </c>
    </row>
    <row r="36" spans="1:154" x14ac:dyDescent="0.25">
      <c r="B36" s="29"/>
      <c r="C36" s="343" t="s">
        <v>1035</v>
      </c>
      <c r="D36" s="88" t="s">
        <v>123</v>
      </c>
      <c r="G36" s="8"/>
      <c r="H36" s="47" t="s">
        <v>125</v>
      </c>
      <c r="S36" s="335"/>
      <c r="V36" s="141"/>
      <c r="W36" s="144"/>
      <c r="BY36" s="12"/>
      <c r="BZ36" s="363">
        <f t="shared" ref="BZ36:BZ54" si="3">IF(MIN(V36:W36)&lt;0, 1, 0)</f>
        <v>0</v>
      </c>
      <c r="CA36" s="12"/>
      <c r="CC36" s="12"/>
      <c r="EX36" s="10" t="str">
        <f t="shared" si="0"/>
        <v>Overdrafts</v>
      </c>
    </row>
    <row r="37" spans="1:154" x14ac:dyDescent="0.25">
      <c r="A37" s="335"/>
      <c r="B37" s="29"/>
      <c r="C37" s="340" t="s">
        <v>1036</v>
      </c>
      <c r="D37" s="88" t="s">
        <v>1015</v>
      </c>
      <c r="G37" s="8"/>
      <c r="H37" s="47" t="s">
        <v>125</v>
      </c>
      <c r="S37" s="335"/>
      <c r="V37" s="141"/>
      <c r="W37" s="144"/>
      <c r="BY37" s="12"/>
      <c r="BZ37" s="363">
        <f t="shared" si="3"/>
        <v>0</v>
      </c>
      <c r="CA37" s="12"/>
      <c r="CC37" s="12"/>
      <c r="EX37" s="13" t="str">
        <f>IF($C37="","",CONCATENATE(D$35, " ",$D37))</f>
        <v>Creditors: amounts falling due within one year EFS/RF Loans</v>
      </c>
    </row>
    <row r="38" spans="1:154" x14ac:dyDescent="0.25">
      <c r="A38" s="335"/>
      <c r="B38" s="29"/>
      <c r="C38" s="340" t="s">
        <v>1037</v>
      </c>
      <c r="D38" s="88" t="s">
        <v>127</v>
      </c>
      <c r="G38" s="8"/>
      <c r="H38" s="47" t="s">
        <v>125</v>
      </c>
      <c r="S38" s="335"/>
      <c r="V38" s="141"/>
      <c r="W38" s="144">
        <v>339</v>
      </c>
      <c r="BY38" s="12"/>
      <c r="BZ38" s="363">
        <f t="shared" si="3"/>
        <v>0</v>
      </c>
      <c r="CA38" s="12"/>
      <c r="CC38" s="12"/>
      <c r="EX38" s="13" t="str">
        <f t="shared" ref="EX38:EX41" si="4">IF($C38="","",CONCATENATE(D$35, " ",$D38))</f>
        <v>Creditors: amounts falling due within one year Commercial Loans</v>
      </c>
    </row>
    <row r="39" spans="1:154" x14ac:dyDescent="0.25">
      <c r="B39" s="29"/>
      <c r="C39" s="343" t="s">
        <v>1038</v>
      </c>
      <c r="D39" s="4" t="s">
        <v>128</v>
      </c>
      <c r="G39" s="8"/>
      <c r="H39" s="47" t="s">
        <v>125</v>
      </c>
      <c r="S39" s="335"/>
      <c r="V39" s="141"/>
      <c r="W39" s="372">
        <v>131</v>
      </c>
      <c r="BY39" s="12"/>
      <c r="BZ39" s="363">
        <f t="shared" si="3"/>
        <v>0</v>
      </c>
      <c r="CA39" s="12"/>
      <c r="CC39" s="12"/>
      <c r="EX39" s="13" t="str">
        <f t="shared" si="4"/>
        <v>Creditors: amounts falling due within one year Finance Lease Obligations</v>
      </c>
    </row>
    <row r="40" spans="1:154" x14ac:dyDescent="0.25">
      <c r="B40" s="29"/>
      <c r="C40" s="340" t="s">
        <v>1039</v>
      </c>
      <c r="D40" s="4" t="s">
        <v>1564</v>
      </c>
      <c r="G40" s="8"/>
      <c r="H40" s="47" t="s">
        <v>125</v>
      </c>
      <c r="S40" s="335"/>
      <c r="V40" s="141"/>
      <c r="W40" s="372"/>
      <c r="BY40" s="12"/>
      <c r="BZ40" s="363">
        <f t="shared" si="3"/>
        <v>0</v>
      </c>
      <c r="CA40" s="12"/>
      <c r="CC40" s="12"/>
      <c r="EX40" s="13" t="str">
        <f t="shared" si="4"/>
        <v xml:space="preserve">Creditors: amounts falling due within one year Interest Payable </v>
      </c>
    </row>
    <row r="41" spans="1:154" x14ac:dyDescent="0.25">
      <c r="B41" s="29"/>
      <c r="C41" s="340" t="s">
        <v>1040</v>
      </c>
      <c r="D41" s="4" t="s">
        <v>138</v>
      </c>
      <c r="G41" s="8"/>
      <c r="H41" s="47" t="s">
        <v>125</v>
      </c>
      <c r="S41" s="335"/>
      <c r="V41" s="141"/>
      <c r="W41" s="372">
        <v>389</v>
      </c>
      <c r="BY41" s="12"/>
      <c r="BZ41" s="363">
        <f t="shared" si="3"/>
        <v>0</v>
      </c>
      <c r="CA41" s="12"/>
      <c r="CC41" s="12"/>
      <c r="EX41" s="13" t="str">
        <f t="shared" si="4"/>
        <v>Creditors: amounts falling due within one year Capital Grant Liability</v>
      </c>
    </row>
    <row r="42" spans="1:154" x14ac:dyDescent="0.25">
      <c r="B42" s="29"/>
      <c r="C42" s="343" t="s">
        <v>1041</v>
      </c>
      <c r="D42" s="91" t="s">
        <v>129</v>
      </c>
      <c r="E42" s="39"/>
      <c r="G42" s="46"/>
      <c r="H42" s="47" t="s">
        <v>125</v>
      </c>
      <c r="S42" s="335"/>
      <c r="V42" s="141"/>
      <c r="W42" s="372">
        <v>905</v>
      </c>
      <c r="BY42" s="12"/>
      <c r="BZ42" s="363">
        <f t="shared" si="3"/>
        <v>0</v>
      </c>
      <c r="CA42" s="12"/>
      <c r="CC42" s="12"/>
      <c r="EX42" s="10" t="str">
        <f t="shared" si="0"/>
        <v>Trade Payables</v>
      </c>
    </row>
    <row r="43" spans="1:154" x14ac:dyDescent="0.25">
      <c r="B43" s="29"/>
      <c r="C43" s="340" t="s">
        <v>1042</v>
      </c>
      <c r="D43" s="91" t="s">
        <v>290</v>
      </c>
      <c r="E43" s="39"/>
      <c r="G43" s="46"/>
      <c r="H43" s="47" t="s">
        <v>92</v>
      </c>
      <c r="S43" s="335"/>
      <c r="V43" s="141"/>
      <c r="W43" s="372"/>
      <c r="BY43" s="12"/>
      <c r="BZ43" s="363">
        <f t="shared" si="3"/>
        <v>0</v>
      </c>
      <c r="CA43" s="12"/>
      <c r="CC43" s="12"/>
      <c r="EX43" s="10" t="str">
        <f t="shared" si="0"/>
        <v>Other Payments on Account</v>
      </c>
    </row>
    <row r="44" spans="1:154" x14ac:dyDescent="0.25">
      <c r="B44" s="29"/>
      <c r="C44" s="340" t="s">
        <v>1043</v>
      </c>
      <c r="D44" s="4" t="s">
        <v>130</v>
      </c>
      <c r="G44" s="8"/>
      <c r="H44" s="47" t="s">
        <v>125</v>
      </c>
      <c r="S44" s="335"/>
      <c r="V44" s="141"/>
      <c r="W44" s="372"/>
      <c r="BY44" s="12"/>
      <c r="BZ44" s="363">
        <f t="shared" si="3"/>
        <v>0</v>
      </c>
      <c r="CA44" s="12"/>
      <c r="CC44" s="12"/>
      <c r="EX44" s="13" t="str">
        <f>IF($C44="","",CONCATENATE(D$35, " ",$D44))</f>
        <v>Creditors: amounts falling due within one year Other Liabilities</v>
      </c>
    </row>
    <row r="45" spans="1:154" x14ac:dyDescent="0.25">
      <c r="B45" s="29"/>
      <c r="C45" s="343" t="s">
        <v>1044</v>
      </c>
      <c r="D45" s="88" t="s">
        <v>400</v>
      </c>
      <c r="G45" s="8"/>
      <c r="H45" s="47" t="s">
        <v>125</v>
      </c>
      <c r="S45" s="335"/>
      <c r="V45" s="141"/>
      <c r="W45" s="372"/>
      <c r="BY45" s="12"/>
      <c r="BZ45" s="363">
        <f t="shared" si="3"/>
        <v>0</v>
      </c>
      <c r="CA45" s="12"/>
      <c r="CC45" s="12"/>
      <c r="EX45" s="10" t="str">
        <f t="shared" si="0"/>
        <v>Fixed Asset Retentions</v>
      </c>
    </row>
    <row r="46" spans="1:154" x14ac:dyDescent="0.25">
      <c r="B46" s="29"/>
      <c r="C46" s="340" t="s">
        <v>1045</v>
      </c>
      <c r="D46" s="88" t="s">
        <v>133</v>
      </c>
      <c r="G46" s="8"/>
      <c r="H46" s="47" t="s">
        <v>125</v>
      </c>
      <c r="S46" s="335"/>
      <c r="V46" s="141"/>
      <c r="W46" s="372">
        <v>257</v>
      </c>
      <c r="BY46" s="12"/>
      <c r="BZ46" s="363">
        <f t="shared" si="3"/>
        <v>0</v>
      </c>
      <c r="CA46" s="12"/>
      <c r="CC46" s="12"/>
      <c r="EX46" s="10" t="str">
        <f t="shared" si="0"/>
        <v>Recovery of ESFA/DA Funding</v>
      </c>
    </row>
    <row r="47" spans="1:154" s="325" customFormat="1" x14ac:dyDescent="0.25">
      <c r="B47" s="29"/>
      <c r="C47" s="340" t="s">
        <v>1046</v>
      </c>
      <c r="D47" s="88" t="s">
        <v>861</v>
      </c>
      <c r="G47" s="8"/>
      <c r="H47" s="47"/>
      <c r="S47" s="335"/>
      <c r="V47" s="141"/>
      <c r="W47" s="372"/>
      <c r="BY47" s="12"/>
      <c r="BZ47" s="363">
        <f t="shared" si="3"/>
        <v>0</v>
      </c>
      <c r="CA47" s="12"/>
      <c r="CC47" s="12"/>
      <c r="EX47" s="10" t="str">
        <f t="shared" si="0"/>
        <v>AEB Clawback</v>
      </c>
    </row>
    <row r="48" spans="1:154" x14ac:dyDescent="0.25">
      <c r="B48" s="29"/>
      <c r="C48" s="343" t="s">
        <v>1047</v>
      </c>
      <c r="D48" s="88" t="s">
        <v>134</v>
      </c>
      <c r="G48" s="8"/>
      <c r="H48" s="47" t="s">
        <v>125</v>
      </c>
      <c r="S48" s="335"/>
      <c r="V48" s="141"/>
      <c r="W48" s="372">
        <v>86</v>
      </c>
      <c r="BY48" s="12"/>
      <c r="BZ48" s="363">
        <f t="shared" si="3"/>
        <v>0</v>
      </c>
      <c r="CA48" s="12"/>
      <c r="CC48" s="12"/>
      <c r="EX48" s="10" t="str">
        <f t="shared" si="0"/>
        <v>Deferred Income</v>
      </c>
    </row>
    <row r="49" spans="2:154" x14ac:dyDescent="0.25">
      <c r="B49" s="29"/>
      <c r="C49" s="340" t="s">
        <v>1048</v>
      </c>
      <c r="D49" s="88" t="s">
        <v>135</v>
      </c>
      <c r="G49" s="8"/>
      <c r="H49" s="47" t="s">
        <v>125</v>
      </c>
      <c r="S49" s="335"/>
      <c r="V49" s="141"/>
      <c r="W49" s="372">
        <v>526</v>
      </c>
      <c r="BY49" s="12"/>
      <c r="BZ49" s="363">
        <f t="shared" si="3"/>
        <v>0</v>
      </c>
      <c r="CA49" s="12"/>
      <c r="CC49" s="12"/>
      <c r="EX49" s="10" t="str">
        <f t="shared" si="0"/>
        <v>Accruals</v>
      </c>
    </row>
    <row r="50" spans="2:154" x14ac:dyDescent="0.25">
      <c r="B50" s="29"/>
      <c r="C50" s="340" t="s">
        <v>1049</v>
      </c>
      <c r="D50" s="88" t="s">
        <v>136</v>
      </c>
      <c r="G50" s="8"/>
      <c r="H50" s="47" t="s">
        <v>125</v>
      </c>
      <c r="S50" s="335"/>
      <c r="V50" s="141"/>
      <c r="W50" s="372"/>
      <c r="BY50" s="12"/>
      <c r="BZ50" s="363">
        <f t="shared" si="3"/>
        <v>0</v>
      </c>
      <c r="CA50" s="12"/>
      <c r="CC50" s="12"/>
      <c r="EX50" s="10" t="str">
        <f t="shared" si="0"/>
        <v>Holiday and Sabbatical Pay Accrual</v>
      </c>
    </row>
    <row r="51" spans="2:154" x14ac:dyDescent="0.25">
      <c r="B51" s="29"/>
      <c r="C51" s="343" t="s">
        <v>1050</v>
      </c>
      <c r="D51" s="88" t="s">
        <v>146</v>
      </c>
      <c r="G51" s="8"/>
      <c r="H51" s="47" t="s">
        <v>125</v>
      </c>
      <c r="S51" s="335"/>
      <c r="V51" s="141"/>
      <c r="W51" s="372"/>
      <c r="BY51" s="12"/>
      <c r="BZ51" s="363">
        <f t="shared" si="3"/>
        <v>0</v>
      </c>
      <c r="CA51" s="12"/>
      <c r="CC51" s="12"/>
      <c r="EX51" s="10" t="str">
        <f t="shared" si="0"/>
        <v>Bursary Deferred Income Account</v>
      </c>
    </row>
    <row r="52" spans="2:154" x14ac:dyDescent="0.25">
      <c r="B52" s="29"/>
      <c r="C52" s="340" t="s">
        <v>1051</v>
      </c>
      <c r="D52" s="88" t="s">
        <v>160</v>
      </c>
      <c r="G52" s="8"/>
      <c r="H52" s="47" t="s">
        <v>8</v>
      </c>
      <c r="S52" s="335"/>
      <c r="V52" s="141"/>
      <c r="W52" s="372"/>
      <c r="BY52" s="12"/>
      <c r="CA52" s="12"/>
      <c r="CB52" s="335"/>
      <c r="CC52" s="12"/>
      <c r="EX52" s="10" t="str">
        <f t="shared" si="0"/>
        <v>Corporation Tax</v>
      </c>
    </row>
    <row r="53" spans="2:154" s="335" customFormat="1" x14ac:dyDescent="0.25">
      <c r="B53" s="29"/>
      <c r="C53" s="340" t="s">
        <v>1052</v>
      </c>
      <c r="D53" s="88" t="s">
        <v>957</v>
      </c>
      <c r="G53" s="8"/>
      <c r="H53" s="47" t="s">
        <v>125</v>
      </c>
      <c r="V53" s="141"/>
      <c r="W53" s="372">
        <v>571</v>
      </c>
      <c r="BY53" s="12"/>
      <c r="BZ53" s="363">
        <f t="shared" si="3"/>
        <v>0</v>
      </c>
      <c r="CA53" s="12"/>
      <c r="CC53" s="12"/>
      <c r="EX53" s="10" t="str">
        <f t="shared" si="0"/>
        <v>Other Taxation and Social Security</v>
      </c>
    </row>
    <row r="54" spans="2:154" x14ac:dyDescent="0.25">
      <c r="B54" s="29"/>
      <c r="C54" s="340" t="s">
        <v>1053</v>
      </c>
      <c r="D54" s="89" t="s">
        <v>291</v>
      </c>
      <c r="G54" s="87"/>
      <c r="S54" s="335"/>
      <c r="T54" s="335"/>
      <c r="U54" s="335"/>
      <c r="V54" s="211">
        <f>SUM(V36:V53)</f>
        <v>0</v>
      </c>
      <c r="W54" s="211">
        <f>SUM(W36:W53)</f>
        <v>3204</v>
      </c>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Y54" s="12"/>
      <c r="BZ54" s="363">
        <f t="shared" si="3"/>
        <v>0</v>
      </c>
      <c r="CA54" s="12"/>
      <c r="CC54" s="12"/>
      <c r="EX54" s="10" t="str">
        <f t="shared" si="0"/>
        <v>Total Creditors: amounts falling due within one year</v>
      </c>
    </row>
    <row r="55" spans="2:154" ht="8.1" customHeight="1" x14ac:dyDescent="0.25">
      <c r="B55" s="29"/>
      <c r="C55" s="380"/>
      <c r="S55" s="335"/>
      <c r="V55" s="335"/>
      <c r="W55" s="335"/>
      <c r="BY55" s="12"/>
      <c r="CA55" s="12"/>
      <c r="CC55" s="12"/>
      <c r="EX55" s="10" t="str">
        <f t="shared" si="0"/>
        <v/>
      </c>
    </row>
    <row r="56" spans="2:154" x14ac:dyDescent="0.25">
      <c r="B56" s="5"/>
      <c r="C56" s="380"/>
      <c r="D56" s="27" t="s">
        <v>292</v>
      </c>
      <c r="S56" s="335"/>
      <c r="V56" s="335"/>
      <c r="W56" s="335"/>
      <c r="BY56" s="12"/>
      <c r="CA56" s="12"/>
      <c r="CC56" s="12"/>
      <c r="EX56" s="10" t="str">
        <f t="shared" si="0"/>
        <v/>
      </c>
    </row>
    <row r="57" spans="2:154" x14ac:dyDescent="0.25">
      <c r="B57" s="29"/>
      <c r="C57" s="343" t="s">
        <v>1054</v>
      </c>
      <c r="D57" s="88" t="s">
        <v>1015</v>
      </c>
      <c r="G57" s="8"/>
      <c r="H57" s="47" t="s">
        <v>125</v>
      </c>
      <c r="S57" s="335"/>
      <c r="V57" s="141"/>
      <c r="W57" s="372"/>
      <c r="BY57" s="12"/>
      <c r="BZ57" s="363">
        <f t="shared" ref="BZ57:BZ63" si="5">IF(MIN(V57:W57)&lt;0, 1, 0)</f>
        <v>0</v>
      </c>
      <c r="CA57" s="12"/>
      <c r="CC57" s="12"/>
      <c r="EX57" s="13" t="str">
        <f>IF($C57="","",CONCATENATE(D$56, " ",$D57))</f>
        <v>Creditors: amounts falling due after one year EFS/RF Loans</v>
      </c>
    </row>
    <row r="58" spans="2:154" x14ac:dyDescent="0.25">
      <c r="B58" s="29"/>
      <c r="C58" s="343" t="s">
        <v>1055</v>
      </c>
      <c r="D58" s="88" t="s">
        <v>127</v>
      </c>
      <c r="G58" s="8"/>
      <c r="H58" s="47" t="s">
        <v>125</v>
      </c>
      <c r="S58" s="335"/>
      <c r="V58" s="141"/>
      <c r="W58" s="372">
        <v>2703</v>
      </c>
      <c r="BY58" s="12"/>
      <c r="BZ58" s="363">
        <f t="shared" si="5"/>
        <v>0</v>
      </c>
      <c r="CA58" s="12"/>
      <c r="CC58" s="12"/>
      <c r="EX58" s="13" t="str">
        <f t="shared" ref="EX58:EX62" si="6">IF($C58="","",CONCATENATE(D$56, " ",$D58))</f>
        <v>Creditors: amounts falling due after one year Commercial Loans</v>
      </c>
    </row>
    <row r="59" spans="2:154" x14ac:dyDescent="0.25">
      <c r="B59" s="29"/>
      <c r="C59" s="343" t="s">
        <v>1056</v>
      </c>
      <c r="D59" s="88" t="s">
        <v>128</v>
      </c>
      <c r="G59" s="8"/>
      <c r="H59" s="47" t="s">
        <v>125</v>
      </c>
      <c r="S59" s="335"/>
      <c r="V59" s="141"/>
      <c r="W59" s="372">
        <v>393</v>
      </c>
      <c r="BY59" s="12"/>
      <c r="BZ59" s="363">
        <f t="shared" si="5"/>
        <v>0</v>
      </c>
      <c r="CA59" s="12"/>
      <c r="CC59" s="12"/>
      <c r="EX59" s="13" t="str">
        <f t="shared" si="6"/>
        <v>Creditors: amounts falling due after one year Finance Lease Obligations</v>
      </c>
    </row>
    <row r="60" spans="2:154" s="335" customFormat="1" x14ac:dyDescent="0.25">
      <c r="B60" s="29"/>
      <c r="C60" s="343" t="s">
        <v>1057</v>
      </c>
      <c r="D60" s="4" t="s">
        <v>1564</v>
      </c>
      <c r="G60" s="8"/>
      <c r="H60" s="47"/>
      <c r="V60" s="141"/>
      <c r="W60" s="144"/>
      <c r="BY60" s="12"/>
      <c r="BZ60" s="363">
        <f t="shared" si="5"/>
        <v>0</v>
      </c>
      <c r="CA60" s="12"/>
      <c r="CC60" s="12"/>
      <c r="EX60" s="13" t="str">
        <f t="shared" si="6"/>
        <v xml:space="preserve">Creditors: amounts falling due after one year Interest Payable </v>
      </c>
    </row>
    <row r="61" spans="2:154" x14ac:dyDescent="0.25">
      <c r="B61" s="29"/>
      <c r="C61" s="340" t="s">
        <v>1058</v>
      </c>
      <c r="D61" s="4" t="s">
        <v>138</v>
      </c>
      <c r="G61" s="8"/>
      <c r="H61" s="47" t="s">
        <v>125</v>
      </c>
      <c r="S61" s="335"/>
      <c r="V61" s="141"/>
      <c r="W61" s="372">
        <v>9537</v>
      </c>
      <c r="BY61" s="12"/>
      <c r="BZ61" s="363">
        <f t="shared" si="5"/>
        <v>0</v>
      </c>
      <c r="CA61" s="12"/>
      <c r="CC61" s="12"/>
      <c r="EX61" s="13" t="str">
        <f t="shared" si="6"/>
        <v>Creditors: amounts falling due after one year Capital Grant Liability</v>
      </c>
    </row>
    <row r="62" spans="2:154" x14ac:dyDescent="0.25">
      <c r="B62" s="29"/>
      <c r="C62" s="343" t="s">
        <v>1059</v>
      </c>
      <c r="D62" s="4" t="s">
        <v>130</v>
      </c>
      <c r="G62" s="8"/>
      <c r="H62" s="47" t="s">
        <v>125</v>
      </c>
      <c r="S62" s="335"/>
      <c r="V62" s="141"/>
      <c r="W62" s="372">
        <v>38</v>
      </c>
      <c r="BY62" s="12"/>
      <c r="BZ62" s="363">
        <f t="shared" si="5"/>
        <v>0</v>
      </c>
      <c r="CA62" s="12"/>
      <c r="CC62" s="12"/>
      <c r="EX62" s="13" t="str">
        <f t="shared" si="6"/>
        <v>Creditors: amounts falling due after one year Other Liabilities</v>
      </c>
    </row>
    <row r="63" spans="2:154" x14ac:dyDescent="0.25">
      <c r="B63" s="29"/>
      <c r="C63" s="340" t="s">
        <v>1060</v>
      </c>
      <c r="D63" s="89" t="s">
        <v>293</v>
      </c>
      <c r="G63" s="87"/>
      <c r="S63" s="335"/>
      <c r="V63" s="211">
        <f>SUM(V57:V62)</f>
        <v>0</v>
      </c>
      <c r="W63" s="211">
        <f>SUM(W57:W62)</f>
        <v>12671</v>
      </c>
      <c r="BY63" s="12"/>
      <c r="BZ63" s="363">
        <f t="shared" si="5"/>
        <v>0</v>
      </c>
      <c r="CA63" s="12"/>
      <c r="CC63" s="12"/>
      <c r="EX63" s="10" t="str">
        <f t="shared" si="0"/>
        <v>Total Creditors: amounts falling due after one year</v>
      </c>
    </row>
    <row r="64" spans="2:154" ht="8.1" customHeight="1" x14ac:dyDescent="0.25">
      <c r="C64" s="380"/>
      <c r="D64" s="90"/>
      <c r="S64" s="335"/>
      <c r="V64" s="335"/>
      <c r="BY64" s="12"/>
      <c r="CA64" s="12"/>
      <c r="CC64" s="12"/>
      <c r="EX64" s="10" t="str">
        <f t="shared" si="0"/>
        <v/>
      </c>
    </row>
    <row r="65" spans="1:154" x14ac:dyDescent="0.25">
      <c r="B65" s="29"/>
      <c r="C65" s="380"/>
      <c r="D65" s="27" t="s">
        <v>294</v>
      </c>
      <c r="S65" s="335"/>
      <c r="V65" s="335"/>
      <c r="BY65" s="12"/>
      <c r="CA65" s="12"/>
      <c r="CC65" s="12"/>
      <c r="EX65" s="10" t="str">
        <f t="shared" si="0"/>
        <v/>
      </c>
    </row>
    <row r="66" spans="1:154" x14ac:dyDescent="0.25">
      <c r="C66" s="340" t="s">
        <v>1061</v>
      </c>
      <c r="D66" s="1" t="s">
        <v>147</v>
      </c>
      <c r="G66" s="8"/>
      <c r="H66" s="47" t="s">
        <v>125</v>
      </c>
      <c r="S66" s="335"/>
      <c r="V66" s="141"/>
      <c r="W66" s="372">
        <v>20870</v>
      </c>
      <c r="BY66" s="12"/>
      <c r="BZ66" s="363">
        <f t="shared" ref="BZ66:BZ69" si="7">IF(MIN(V66:W66)&lt;0, 1, 0)</f>
        <v>0</v>
      </c>
      <c r="CA66" s="12"/>
      <c r="CC66" s="12"/>
      <c r="EX66" s="10" t="str">
        <f t="shared" si="0"/>
        <v>Local Government Pension Scheme Provision</v>
      </c>
    </row>
    <row r="67" spans="1:154" x14ac:dyDescent="0.25">
      <c r="C67" s="340" t="s">
        <v>1062</v>
      </c>
      <c r="D67" s="67" t="s">
        <v>148</v>
      </c>
      <c r="G67" s="8"/>
      <c r="H67" s="47" t="s">
        <v>125</v>
      </c>
      <c r="S67" s="335"/>
      <c r="V67" s="141"/>
      <c r="W67" s="372">
        <v>148</v>
      </c>
      <c r="BY67" s="12"/>
      <c r="BZ67" s="363">
        <f t="shared" si="7"/>
        <v>0</v>
      </c>
      <c r="CA67" s="12"/>
      <c r="CC67" s="12"/>
      <c r="EX67" s="10" t="str">
        <f t="shared" si="0"/>
        <v>Enhanced Pension Provision</v>
      </c>
    </row>
    <row r="68" spans="1:154" x14ac:dyDescent="0.25">
      <c r="C68" s="340" t="s">
        <v>1063</v>
      </c>
      <c r="D68" s="67" t="s">
        <v>159</v>
      </c>
      <c r="G68" s="8"/>
      <c r="H68" s="47" t="s">
        <v>125</v>
      </c>
      <c r="S68" s="335"/>
      <c r="V68" s="141"/>
      <c r="W68" s="372"/>
      <c r="BY68" s="12"/>
      <c r="BZ68" s="363">
        <f t="shared" si="7"/>
        <v>0</v>
      </c>
      <c r="CA68" s="12"/>
      <c r="CC68" s="12"/>
      <c r="EX68" s="10" t="str">
        <f t="shared" si="0"/>
        <v>Other Pension Provisions</v>
      </c>
    </row>
    <row r="69" spans="1:154" x14ac:dyDescent="0.25">
      <c r="C69" s="340" t="s">
        <v>1064</v>
      </c>
      <c r="D69" s="67" t="s">
        <v>158</v>
      </c>
      <c r="G69" s="8"/>
      <c r="H69" s="47" t="s">
        <v>125</v>
      </c>
      <c r="S69" s="335"/>
      <c r="V69" s="141"/>
      <c r="W69" s="372"/>
      <c r="BY69" s="12"/>
      <c r="BZ69" s="363">
        <f t="shared" si="7"/>
        <v>0</v>
      </c>
      <c r="CA69" s="12"/>
      <c r="CC69" s="12"/>
      <c r="EX69" s="10" t="str">
        <f t="shared" si="0"/>
        <v>Other Provisions</v>
      </c>
    </row>
    <row r="70" spans="1:154" x14ac:dyDescent="0.25">
      <c r="C70" s="340" t="s">
        <v>1065</v>
      </c>
      <c r="D70" s="27" t="s">
        <v>295</v>
      </c>
      <c r="G70" s="87"/>
      <c r="S70" s="335"/>
      <c r="V70" s="211">
        <f>SUM(V66:V69)</f>
        <v>0</v>
      </c>
      <c r="W70" s="211">
        <f>SUM(W66:W69)</f>
        <v>21018</v>
      </c>
      <c r="BY70" s="12"/>
      <c r="BZ70" s="363">
        <f t="shared" ref="BZ70" si="8">IF(MIN(V70:W70)&lt;0, 1, 0)</f>
        <v>0</v>
      </c>
      <c r="CA70" s="12"/>
      <c r="CC70" s="12"/>
      <c r="EX70" s="10" t="str">
        <f t="shared" si="0"/>
        <v>Total Provisions</v>
      </c>
    </row>
    <row r="71" spans="1:154" ht="8.1" customHeight="1" x14ac:dyDescent="0.25">
      <c r="C71" s="380"/>
      <c r="S71" s="335"/>
      <c r="V71" s="335"/>
      <c r="BY71" s="12"/>
      <c r="CA71" s="12"/>
      <c r="CC71" s="12"/>
      <c r="EX71" s="10" t="str">
        <f t="shared" si="0"/>
        <v/>
      </c>
    </row>
    <row r="72" spans="1:154" x14ac:dyDescent="0.25">
      <c r="B72" s="29"/>
      <c r="C72" s="380"/>
      <c r="D72" s="27" t="s">
        <v>418</v>
      </c>
      <c r="S72" s="335"/>
      <c r="V72" s="335"/>
      <c r="BY72" s="12"/>
      <c r="CA72" s="12"/>
      <c r="CC72" s="12"/>
      <c r="EX72" s="10" t="str">
        <f t="shared" si="0"/>
        <v/>
      </c>
    </row>
    <row r="73" spans="1:154" x14ac:dyDescent="0.25">
      <c r="C73" s="340" t="s">
        <v>1066</v>
      </c>
      <c r="D73" s="67" t="s">
        <v>165</v>
      </c>
      <c r="G73" s="8"/>
      <c r="H73" s="47" t="s">
        <v>125</v>
      </c>
      <c r="S73" s="335"/>
      <c r="V73" s="141"/>
      <c r="W73" s="372">
        <v>1653</v>
      </c>
      <c r="BY73" s="12"/>
      <c r="BZ73" s="363">
        <f t="shared" ref="BZ73:BZ75" si="9">IF(MIN(V73:W73)&lt;0, 1, 0)</f>
        <v>0</v>
      </c>
      <c r="CA73" s="12"/>
      <c r="CC73" s="12"/>
      <c r="EX73" s="10" t="str">
        <f t="shared" ref="EX73:EX83" si="10">IF($C73="","",$D73)</f>
        <v>Revaluation Reserve</v>
      </c>
    </row>
    <row r="74" spans="1:154" x14ac:dyDescent="0.25">
      <c r="C74" s="340" t="s">
        <v>1067</v>
      </c>
      <c r="D74" s="1" t="s">
        <v>162</v>
      </c>
      <c r="G74" s="8"/>
      <c r="H74" s="47" t="s">
        <v>125</v>
      </c>
      <c r="S74" s="335"/>
      <c r="V74" s="141"/>
      <c r="W74" s="372"/>
      <c r="BY74" s="12"/>
      <c r="BZ74" s="363">
        <f t="shared" si="9"/>
        <v>0</v>
      </c>
      <c r="CA74" s="12"/>
      <c r="CC74" s="12"/>
      <c r="CD74" s="335"/>
      <c r="EX74" s="10" t="str">
        <f t="shared" si="10"/>
        <v>Restricted Reserve</v>
      </c>
    </row>
    <row r="75" spans="1:154" x14ac:dyDescent="0.25">
      <c r="C75" s="340" t="s">
        <v>1068</v>
      </c>
      <c r="D75" s="1" t="s">
        <v>166</v>
      </c>
      <c r="G75" s="8"/>
      <c r="H75" s="47" t="s">
        <v>125</v>
      </c>
      <c r="S75" s="335"/>
      <c r="V75" s="141"/>
      <c r="W75" s="372">
        <v>8741</v>
      </c>
      <c r="BY75" s="12"/>
      <c r="BZ75" s="363">
        <f t="shared" si="9"/>
        <v>0</v>
      </c>
      <c r="CA75" s="12"/>
      <c r="CC75" s="12"/>
      <c r="EX75" s="10" t="str">
        <f t="shared" si="10"/>
        <v>I&amp;E Reserve</v>
      </c>
    </row>
    <row r="76" spans="1:154" x14ac:dyDescent="0.25">
      <c r="C76" s="340" t="s">
        <v>1069</v>
      </c>
      <c r="D76" s="5" t="s">
        <v>296</v>
      </c>
      <c r="G76" s="87"/>
      <c r="H76" s="47"/>
      <c r="S76" s="335"/>
      <c r="V76" s="211">
        <f>SUM(V73:V75)</f>
        <v>0</v>
      </c>
      <c r="W76" s="211">
        <f>SUM(W73:W75)</f>
        <v>10394</v>
      </c>
      <c r="BY76" s="12"/>
      <c r="CA76" s="12"/>
      <c r="CC76" s="12"/>
      <c r="EX76" s="10" t="str">
        <f t="shared" si="10"/>
        <v>Total Reserves</v>
      </c>
    </row>
    <row r="77" spans="1:154" ht="8.1" customHeight="1" x14ac:dyDescent="0.25">
      <c r="C77" s="380"/>
      <c r="S77" s="335"/>
      <c r="V77" s="335"/>
      <c r="BY77" s="12"/>
      <c r="CA77" s="12"/>
      <c r="CC77" s="12"/>
      <c r="EX77" s="10" t="str">
        <f t="shared" si="10"/>
        <v/>
      </c>
    </row>
    <row r="78" spans="1:154" s="323" customFormat="1" x14ac:dyDescent="0.25">
      <c r="C78" s="380"/>
      <c r="D78" s="5" t="s">
        <v>601</v>
      </c>
      <c r="H78" s="47"/>
      <c r="S78" s="335"/>
      <c r="V78" s="169">
        <f>SUM(V17,V31)-SUM(V54,V63,V70,V76)</f>
        <v>0</v>
      </c>
      <c r="W78" s="169">
        <f>SUM(W17,W31)-SUM(W54,W63,W70,W76)</f>
        <v>0</v>
      </c>
      <c r="BX78" s="60"/>
      <c r="BY78" s="12"/>
      <c r="BZ78" s="335"/>
      <c r="CA78" s="12"/>
      <c r="CC78" s="12"/>
      <c r="EX78" s="10" t="str">
        <f t="shared" si="10"/>
        <v/>
      </c>
    </row>
    <row r="79" spans="1:154" x14ac:dyDescent="0.25">
      <c r="A79" s="362" cm="1">
        <f t="array" aca="1" ref="A79" ca="1">HYPERLINK(CONCATENATE("#",CELL("address",IF(SUM($CA79:$CC79)=0,A79,INDEX($CA79:$CC79,MATCH(1,$CA79:$CC79,0))))),SUM($CA79:$CC79))</f>
        <v>0</v>
      </c>
      <c r="C79" s="380"/>
      <c r="D79" s="5" t="s">
        <v>297</v>
      </c>
      <c r="H79" s="47"/>
      <c r="S79" s="335"/>
      <c r="V79" s="169">
        <f>IF(ABS(V78)&lt;Parameters!$D$33,0,1)</f>
        <v>0</v>
      </c>
      <c r="W79" s="169">
        <f>IF(ABS(W78)&lt;Parameters!$D$33,0,1)</f>
        <v>0</v>
      </c>
      <c r="BY79" s="12"/>
      <c r="CA79" s="12"/>
      <c r="CB79" s="7">
        <f>IF(SUM(V79:W79)=0, 0, 1)</f>
        <v>0</v>
      </c>
      <c r="CC79" s="12"/>
      <c r="EX79" s="10" t="str">
        <f t="shared" si="10"/>
        <v/>
      </c>
    </row>
    <row r="80" spans="1:154" ht="8.1" customHeight="1" x14ac:dyDescent="0.25">
      <c r="C80" s="380"/>
      <c r="S80" s="335"/>
      <c r="V80" s="335"/>
      <c r="BY80" s="12"/>
      <c r="CA80" s="12"/>
      <c r="CC80" s="12"/>
      <c r="EX80" s="10" t="str">
        <f t="shared" si="10"/>
        <v/>
      </c>
    </row>
    <row r="81" spans="1:154" s="328" customFormat="1" ht="15.75" x14ac:dyDescent="0.3">
      <c r="B81" s="479" t="s">
        <v>335</v>
      </c>
      <c r="C81" s="380"/>
      <c r="D81" s="5" t="s">
        <v>939</v>
      </c>
      <c r="H81" s="47"/>
      <c r="S81" s="335"/>
      <c r="V81" s="45">
        <f>IF(COUNTA(V73:V75,V66:V69,V57:V62,V36:V53,V21:V30,V10:V16)=0, 0, 1)</f>
        <v>0</v>
      </c>
      <c r="W81" s="45">
        <f>IF(COUNTA(W73:W75,W66:W69,W57:W62,W36:BW53,W21:W30,W10:W16)=0, 0, 1)</f>
        <v>1</v>
      </c>
      <c r="BY81" s="12"/>
      <c r="BZ81" s="335"/>
      <c r="CA81" s="12"/>
      <c r="CC81" s="12"/>
      <c r="EX81" s="10" t="str">
        <f t="shared" si="10"/>
        <v/>
      </c>
    </row>
    <row r="82" spans="1:154" s="328" customFormat="1" ht="8.1" customHeight="1" x14ac:dyDescent="0.25">
      <c r="C82" s="380"/>
      <c r="D82" s="1"/>
      <c r="S82" s="335"/>
      <c r="BY82" s="12"/>
      <c r="BZ82" s="335"/>
      <c r="CA82" s="12"/>
      <c r="CC82" s="12"/>
      <c r="EX82" s="10" t="str">
        <f t="shared" si="10"/>
        <v/>
      </c>
    </row>
    <row r="83" spans="1:154" x14ac:dyDescent="0.25">
      <c r="A83" s="12" t="s">
        <v>88</v>
      </c>
      <c r="B83" s="12" t="s">
        <v>88</v>
      </c>
      <c r="C83" s="384" t="s">
        <v>88</v>
      </c>
      <c r="D83" s="28" t="s">
        <v>88</v>
      </c>
      <c r="E83" s="12" t="s">
        <v>88</v>
      </c>
      <c r="F83" s="12" t="s">
        <v>88</v>
      </c>
      <c r="G83" s="12" t="s">
        <v>88</v>
      </c>
      <c r="H83" s="12" t="s">
        <v>88</v>
      </c>
      <c r="I83" s="12" t="s">
        <v>88</v>
      </c>
      <c r="J83" s="12" t="s">
        <v>88</v>
      </c>
      <c r="K83" s="12" t="s">
        <v>88</v>
      </c>
      <c r="L83" s="12" t="s">
        <v>88</v>
      </c>
      <c r="M83" s="12" t="s">
        <v>88</v>
      </c>
      <c r="N83" s="12" t="s">
        <v>88</v>
      </c>
      <c r="O83" s="12" t="s">
        <v>88</v>
      </c>
      <c r="P83" s="12" t="s">
        <v>88</v>
      </c>
      <c r="Q83" s="12" t="s">
        <v>88</v>
      </c>
      <c r="R83" s="12" t="s">
        <v>88</v>
      </c>
      <c r="S83" s="12"/>
      <c r="T83" s="12" t="s">
        <v>88</v>
      </c>
      <c r="U83" s="12" t="s">
        <v>88</v>
      </c>
      <c r="V83" s="12" t="s">
        <v>88</v>
      </c>
      <c r="W83" s="12" t="s">
        <v>88</v>
      </c>
      <c r="X83" s="12"/>
      <c r="Y83" s="12"/>
      <c r="Z83" s="12" t="s">
        <v>88</v>
      </c>
      <c r="AA83" s="12" t="s">
        <v>88</v>
      </c>
      <c r="AB83" s="12" t="s">
        <v>88</v>
      </c>
      <c r="AC83" s="12" t="s">
        <v>88</v>
      </c>
      <c r="AD83" s="12" t="s">
        <v>88</v>
      </c>
      <c r="AE83" s="12" t="s">
        <v>88</v>
      </c>
      <c r="AF83" s="12" t="s">
        <v>88</v>
      </c>
      <c r="AG83" s="12" t="s">
        <v>88</v>
      </c>
      <c r="AH83" s="12" t="s">
        <v>88</v>
      </c>
      <c r="AI83" s="12" t="s">
        <v>88</v>
      </c>
      <c r="AJ83" s="12" t="s">
        <v>88</v>
      </c>
      <c r="AK83" s="12" t="s">
        <v>88</v>
      </c>
      <c r="AL83" s="12" t="s">
        <v>88</v>
      </c>
      <c r="AM83" s="12" t="s">
        <v>88</v>
      </c>
      <c r="AN83" s="12" t="s">
        <v>88</v>
      </c>
      <c r="AO83" s="12" t="s">
        <v>88</v>
      </c>
      <c r="AP83" s="12" t="s">
        <v>88</v>
      </c>
      <c r="AQ83" s="12" t="s">
        <v>88</v>
      </c>
      <c r="AR83" s="12" t="s">
        <v>88</v>
      </c>
      <c r="AS83" s="12" t="s">
        <v>88</v>
      </c>
      <c r="AT83" s="12" t="s">
        <v>88</v>
      </c>
      <c r="AU83" s="12" t="s">
        <v>88</v>
      </c>
      <c r="AV83" s="12" t="s">
        <v>88</v>
      </c>
      <c r="AW83" s="12" t="s">
        <v>88</v>
      </c>
      <c r="AX83" s="12" t="s">
        <v>88</v>
      </c>
      <c r="AY83" s="12" t="s">
        <v>88</v>
      </c>
      <c r="AZ83" s="12" t="s">
        <v>88</v>
      </c>
      <c r="BA83" s="12" t="s">
        <v>88</v>
      </c>
      <c r="BB83" s="12" t="s">
        <v>88</v>
      </c>
      <c r="BC83" s="12" t="s">
        <v>88</v>
      </c>
      <c r="BD83" s="12" t="s">
        <v>88</v>
      </c>
      <c r="BE83" s="12" t="s">
        <v>88</v>
      </c>
      <c r="BF83" s="12" t="s">
        <v>88</v>
      </c>
      <c r="BG83" s="12" t="s">
        <v>88</v>
      </c>
      <c r="BH83" s="12" t="s">
        <v>88</v>
      </c>
      <c r="BI83" s="12" t="s">
        <v>88</v>
      </c>
      <c r="BJ83" s="12" t="s">
        <v>88</v>
      </c>
      <c r="BK83" s="12" t="s">
        <v>88</v>
      </c>
      <c r="BL83" s="12" t="s">
        <v>88</v>
      </c>
      <c r="BM83" s="12" t="s">
        <v>88</v>
      </c>
      <c r="BN83" s="12" t="s">
        <v>88</v>
      </c>
      <c r="BO83" s="12" t="s">
        <v>88</v>
      </c>
      <c r="BP83" s="12" t="s">
        <v>88</v>
      </c>
      <c r="BQ83" s="12" t="s">
        <v>88</v>
      </c>
      <c r="BR83" s="12" t="s">
        <v>88</v>
      </c>
      <c r="BS83" s="12" t="s">
        <v>88</v>
      </c>
      <c r="BT83" s="12" t="s">
        <v>88</v>
      </c>
      <c r="BU83" s="12" t="s">
        <v>88</v>
      </c>
      <c r="BV83" s="12" t="s">
        <v>88</v>
      </c>
      <c r="BW83" s="12" t="s">
        <v>88</v>
      </c>
      <c r="BX83" s="12" t="s">
        <v>88</v>
      </c>
      <c r="BY83" s="12" t="s">
        <v>88</v>
      </c>
      <c r="BZ83" s="12" t="s">
        <v>88</v>
      </c>
      <c r="CA83" s="12" t="s">
        <v>88</v>
      </c>
      <c r="CB83" s="12" t="s">
        <v>88</v>
      </c>
      <c r="CC83" s="12" t="s">
        <v>88</v>
      </c>
      <c r="EX83" s="10" t="str">
        <f t="shared" si="10"/>
        <v>*</v>
      </c>
    </row>
  </sheetData>
  <sheetProtection algorithmName="SHA-512" hashValue="prDIEcKX8zw3V9KgW8RruoZ3hSzr147/cae5hZR87QPjQMNws4qftHIV+gp9wc0S9+elkBEVWtQ8TcwcyTTmyA==" saltValue="NPXkE0ki5Z6LviGQIvaECw==" spinCount="100000" sheet="1" objects="1" scenarios="1"/>
  <mergeCells count="5">
    <mergeCell ref="BY1:BY6"/>
    <mergeCell ref="BZ3:BZ6"/>
    <mergeCell ref="CA1:CA6"/>
    <mergeCell ref="CC1:CC6"/>
    <mergeCell ref="CB3:CB6"/>
  </mergeCells>
  <phoneticPr fontId="9" type="noConversion"/>
  <conditionalFormatting sqref="CB79">
    <cfRule type="cellIs" dxfId="1341" priority="67" operator="equal">
      <formula>0</formula>
    </cfRule>
    <cfRule type="cellIs" dxfId="1340" priority="68" operator="equal">
      <formula>1</formula>
    </cfRule>
  </conditionalFormatting>
  <conditionalFormatting sqref="A1">
    <cfRule type="cellIs" dxfId="1339" priority="61" operator="equal">
      <formula>0</formula>
    </cfRule>
    <cfRule type="cellIs" dxfId="1338" priority="62" operator="greaterThan">
      <formula>0</formula>
    </cfRule>
  </conditionalFormatting>
  <conditionalFormatting sqref="W78:W79">
    <cfRule type="cellIs" dxfId="1337" priority="53" operator="equal">
      <formula>0</formula>
    </cfRule>
    <cfRule type="cellIs" dxfId="1336" priority="54" operator="greaterThan">
      <formula>0</formula>
    </cfRule>
  </conditionalFormatting>
  <conditionalFormatting sqref="V79">
    <cfRule type="cellIs" dxfId="1335" priority="39" operator="equal">
      <formula>0</formula>
    </cfRule>
    <cfRule type="cellIs" dxfId="1334" priority="40" operator="greaterThan">
      <formula>0</formula>
    </cfRule>
  </conditionalFormatting>
  <conditionalFormatting sqref="BZ2">
    <cfRule type="cellIs" dxfId="1333" priority="31" operator="greaterThan">
      <formula>0</formula>
    </cfRule>
    <cfRule type="cellIs" dxfId="1332" priority="32" operator="equal">
      <formula>0</formula>
    </cfRule>
  </conditionalFormatting>
  <conditionalFormatting sqref="BZ10:BZ16 BZ25:BZ30">
    <cfRule type="cellIs" dxfId="1331" priority="29" operator="equal">
      <formula>1</formula>
    </cfRule>
    <cfRule type="cellIs" dxfId="1330" priority="30" operator="equal">
      <formula>0</formula>
    </cfRule>
  </conditionalFormatting>
  <conditionalFormatting sqref="BZ21:BZ24">
    <cfRule type="cellIs" dxfId="1329" priority="23" operator="equal">
      <formula>1</formula>
    </cfRule>
    <cfRule type="cellIs" dxfId="1328" priority="24" operator="equal">
      <formula>0</formula>
    </cfRule>
  </conditionalFormatting>
  <conditionalFormatting sqref="BZ36:BZ51 BZ53:BZ54">
    <cfRule type="cellIs" dxfId="1327" priority="21" operator="equal">
      <formula>1</formula>
    </cfRule>
    <cfRule type="cellIs" dxfId="1326" priority="22" operator="equal">
      <formula>0</formula>
    </cfRule>
  </conditionalFormatting>
  <conditionalFormatting sqref="BZ57:BZ63">
    <cfRule type="cellIs" dxfId="1325" priority="17" operator="equal">
      <formula>1</formula>
    </cfRule>
    <cfRule type="cellIs" dxfId="1324" priority="18" operator="equal">
      <formula>0</formula>
    </cfRule>
  </conditionalFormatting>
  <conditionalFormatting sqref="BZ70">
    <cfRule type="cellIs" dxfId="1323" priority="15" operator="equal">
      <formula>1</formula>
    </cfRule>
    <cfRule type="cellIs" dxfId="1322" priority="16" operator="equal">
      <formula>0</formula>
    </cfRule>
  </conditionalFormatting>
  <conditionalFormatting sqref="BZ66:BZ69">
    <cfRule type="cellIs" dxfId="1321" priority="13" operator="equal">
      <formula>1</formula>
    </cfRule>
    <cfRule type="cellIs" dxfId="1320" priority="14" operator="equal">
      <formula>0</formula>
    </cfRule>
  </conditionalFormatting>
  <conditionalFormatting sqref="A2">
    <cfRule type="cellIs" dxfId="1319" priority="9" operator="equal">
      <formula>0</formula>
    </cfRule>
    <cfRule type="cellIs" dxfId="1318" priority="10" operator="greaterThan">
      <formula>0</formula>
    </cfRule>
  </conditionalFormatting>
  <conditionalFormatting sqref="A79">
    <cfRule type="cellIs" dxfId="1317" priority="7" operator="equal">
      <formula>0</formula>
    </cfRule>
    <cfRule type="cellIs" dxfId="1316" priority="8" operator="greaterThan">
      <formula>0</formula>
    </cfRule>
  </conditionalFormatting>
  <conditionalFormatting sqref="V78">
    <cfRule type="cellIs" dxfId="1315" priority="3" operator="equal">
      <formula>0</formula>
    </cfRule>
    <cfRule type="cellIs" dxfId="1314" priority="4" operator="greaterThan">
      <formula>0</formula>
    </cfRule>
  </conditionalFormatting>
  <conditionalFormatting sqref="BZ73:BZ75">
    <cfRule type="cellIs" dxfId="1313" priority="1" operator="equal">
      <formula>1</formula>
    </cfRule>
    <cfRule type="cellIs" dxfId="1312" priority="2" operator="equal">
      <formula>0</formula>
    </cfRule>
  </conditionalFormatting>
  <dataValidations count="4">
    <dataValidation allowBlank="1" showInputMessage="1" promptTitle="Bad Debt Provision Initial Bal." prompt="Bad debt provision initial balance to be entered as a negative asset amount to be netted against receivables as follows:_x000a_Credit Assets: -ve (Cr.)" sqref="B25" xr:uid="{7FD9D240-1D99-428E-9560-85D4814A05CF}"/>
    <dataValidation allowBlank="1" showInputMessage="1" promptTitle="Sign Warning" prompt="The sign flag checks for unexpected input signs. Both asset and liability accounts should be entered as positives as follows:_x000a_Debit asset: +ve (Dr.)_x000a_Credit liability: +ve (Cr.)_x000a__x000a_Bad Debt Provision account is an exception to be recorded as a negative asset" sqref="BZ7" xr:uid="{A459471F-6A17-4BFD-AFD8-C1F2B7E28A33}"/>
    <dataValidation allowBlank="1" showInputMessage="1" promptTitle="Balance Sheet check" prompt="Checks that the balance sheet balances:_x000a_Assets = Liabilities + Reserves" sqref="CB7" xr:uid="{A37AC326-351A-4291-9FF0-3EE093DB511C}"/>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81" xr:uid="{C98A3A0A-23BE-4B5E-A4D3-CAAE87F0D170}"/>
  </dataValidations>
  <pageMargins left="0.70866141732283472" right="0.70866141732283472" top="0.74803149606299213" bottom="0.74803149606299213" header="0.31496062992125984" footer="0.31496062992125984"/>
  <pageSetup paperSize="9" scale="5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56E1-24F4-4F15-A4B8-289167731173}">
  <sheetPr codeName="Sheet18">
    <tabColor theme="7" tint="0.59999389629810485"/>
    <outlinePr summaryBelow="0" summaryRight="0"/>
    <pageSetUpPr autoPageBreaks="0"/>
  </sheetPr>
  <dimension ref="A1:EX337"/>
  <sheetViews>
    <sheetView showGridLines="0" zoomScaleNormal="100" workbookViewId="0">
      <pane xSplit="8" ySplit="7" topLeftCell="AF8" activePane="bottomRight" state="frozen"/>
      <selection pane="topRight"/>
      <selection pane="bottomLeft"/>
      <selection pane="bottomRight" activeCell="H207" sqref="H207"/>
    </sheetView>
  </sheetViews>
  <sheetFormatPr defaultColWidth="8.5703125" defaultRowHeight="15" outlineLevelCol="1" x14ac:dyDescent="0.25"/>
  <cols>
    <col min="1" max="1" width="8.140625" style="67" bestFit="1" customWidth="1" collapsed="1"/>
    <col min="2" max="2" width="6.5703125" style="67" customWidth="1"/>
    <col min="3" max="3" width="11" style="67" customWidth="1"/>
    <col min="4" max="4" width="49.140625" style="67" customWidth="1"/>
    <col min="5" max="5" width="27.85546875" style="1" customWidth="1"/>
    <col min="6" max="6" width="16.5703125" style="67" customWidth="1"/>
    <col min="7" max="7" width="20.42578125" style="67" customWidth="1"/>
    <col min="8" max="8" width="15" style="67" customWidth="1"/>
    <col min="9" max="9" width="2" style="67" customWidth="1" collapsed="1"/>
    <col min="10" max="10" width="8.5703125" style="67" hidden="1" customWidth="1" outlineLevel="1" collapsed="1"/>
    <col min="11" max="15" width="8.5703125" style="67" hidden="1" customWidth="1" outlineLevel="1"/>
    <col min="16" max="18" width="11.5703125" style="67" hidden="1" customWidth="1" outlineLevel="1"/>
    <col min="19" max="19" width="1.42578125" style="67" hidden="1" customWidth="1" outlineLevel="1"/>
    <col min="20" max="20" width="12.140625" style="67" hidden="1" customWidth="1" outlineLevel="1"/>
    <col min="21" max="21" width="11.140625" style="67" hidden="1" customWidth="1" outlineLevel="1"/>
    <col min="22" max="25" width="9.42578125" style="67" bestFit="1" customWidth="1"/>
    <col min="26" max="26" width="1.42578125" style="67" customWidth="1"/>
    <col min="27" max="62" width="9.5703125" style="67" bestFit="1" customWidth="1"/>
    <col min="63" max="63" width="1.42578125" style="67" customWidth="1"/>
    <col min="64" max="75" width="9.42578125" style="67" bestFit="1" customWidth="1"/>
    <col min="76" max="76" width="1.42578125" style="67" customWidth="1"/>
    <col min="77" max="77" width="3.42578125" style="335" customWidth="1"/>
    <col min="78" max="78" width="15.5703125" style="335" customWidth="1"/>
    <col min="79" max="79" width="3.42578125" style="67" customWidth="1"/>
    <col min="80" max="82" width="13.42578125" style="67" customWidth="1"/>
    <col min="83" max="83" width="13.42578125" style="335" customWidth="1"/>
    <col min="84" max="84" width="13.42578125" style="67" customWidth="1"/>
    <col min="85" max="85" width="13.42578125" style="335" customWidth="1"/>
    <col min="86" max="86" width="14.5703125" style="67" customWidth="1"/>
    <col min="87" max="89" width="14.5703125" style="335" customWidth="1"/>
    <col min="90" max="90" width="2.5703125" style="67" customWidth="1"/>
    <col min="91" max="93" width="9.85546875" style="335" customWidth="1"/>
    <col min="94" max="94" width="11.42578125" style="335" customWidth="1"/>
    <col min="95" max="97" width="12.5703125" style="335" customWidth="1"/>
    <col min="98" max="98" width="2.5703125" style="335" customWidth="1"/>
    <col min="99" max="152" width="8.5703125" style="67"/>
    <col min="153" max="153" width="8.5703125" style="67" collapsed="1"/>
    <col min="154" max="154" width="41.85546875" style="67" hidden="1" customWidth="1" outlineLevel="1"/>
    <col min="155" max="16384" width="8.5703125" style="67"/>
  </cols>
  <sheetData>
    <row r="1" spans="1:154" x14ac:dyDescent="0.25">
      <c r="A1" s="7">
        <f ca="1">ToC!A1</f>
        <v>0</v>
      </c>
      <c r="B1" s="14" t="s">
        <v>772</v>
      </c>
      <c r="C1" s="14"/>
      <c r="D1" s="20" t="str">
        <f>CollegeNameInput</f>
        <v>HALESOWEN COLLEGE</v>
      </c>
      <c r="E1" s="14"/>
      <c r="F1" s="24"/>
      <c r="G1" s="24"/>
      <c r="H1" s="14"/>
      <c r="I1" s="14"/>
      <c r="J1" s="14"/>
      <c r="K1" s="14"/>
      <c r="L1" s="14"/>
      <c r="M1" s="14"/>
      <c r="N1" s="14"/>
      <c r="O1" s="14"/>
      <c r="P1" s="14"/>
      <c r="Q1" s="14"/>
      <c r="R1" s="14"/>
      <c r="S1" s="14"/>
      <c r="T1" s="14"/>
      <c r="U1" s="14"/>
      <c r="V1" s="14" t="str">
        <f>Timeline!V1</f>
        <v>Annual Timeline</v>
      </c>
      <c r="W1" s="14"/>
      <c r="X1" s="14"/>
      <c r="Y1" s="14"/>
      <c r="Z1" s="14"/>
      <c r="AA1" s="14" t="str">
        <f>Timeline!AA1</f>
        <v>Monthly Timeline</v>
      </c>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t="str">
        <f>Timeline!BL1</f>
        <v>12 Year Annual Timeline</v>
      </c>
      <c r="BM1" s="14"/>
      <c r="BN1" s="14"/>
      <c r="BO1" s="14"/>
      <c r="BP1" s="14"/>
      <c r="BQ1" s="14"/>
      <c r="BR1" s="14"/>
      <c r="BS1" s="14"/>
      <c r="BT1" s="14"/>
      <c r="BU1" s="14"/>
      <c r="BV1" s="14"/>
      <c r="BW1" s="14"/>
      <c r="BX1" s="14"/>
      <c r="BY1" s="575"/>
      <c r="BZ1" s="5" t="s">
        <v>1561</v>
      </c>
      <c r="CA1" s="575"/>
      <c r="CB1" s="189" t="s">
        <v>1771</v>
      </c>
      <c r="CF1" s="93"/>
      <c r="CH1" s="189" t="s">
        <v>2326</v>
      </c>
      <c r="CI1" s="189"/>
      <c r="CJ1" s="189"/>
      <c r="CK1" s="189"/>
      <c r="CL1" s="575"/>
      <c r="CM1" s="5" t="s">
        <v>932</v>
      </c>
      <c r="CT1" s="575"/>
      <c r="CU1" s="5" t="s">
        <v>2311</v>
      </c>
      <c r="EX1" s="5" t="s">
        <v>1563</v>
      </c>
    </row>
    <row r="2" spans="1:154" ht="14.45" customHeight="1" x14ac:dyDescent="0.25">
      <c r="A2" s="362" cm="1">
        <f t="array" aca="1" ref="A2" ca="1">HYPERLINK(CONCATENATE("#",CELL("address",IF(SUM(A$7:A$331)=0,$A$2,INDEX(A$7:A$331,MATCH(1,A$7:A$331,0))))),SUM(A$7:A$331))</f>
        <v>0</v>
      </c>
      <c r="B2" s="92" t="str" cm="1">
        <f t="array" aca="1" ref="B2" ca="1">HYPERLINK(CONCATENATE("#",CELL("address",Guide!$C$100)),Guide!$B$1)</f>
        <v>Guide</v>
      </c>
      <c r="C2" s="26"/>
      <c r="D2" s="141"/>
      <c r="E2" s="14"/>
      <c r="F2" s="14"/>
      <c r="G2" s="14"/>
      <c r="H2" s="14"/>
      <c r="I2" s="14"/>
      <c r="J2" s="14"/>
      <c r="K2" s="14"/>
      <c r="L2" s="14"/>
      <c r="M2" s="14"/>
      <c r="N2" s="14"/>
      <c r="O2" s="14"/>
      <c r="P2" s="14"/>
      <c r="Q2" s="14"/>
      <c r="R2" s="14"/>
      <c r="S2" s="14"/>
      <c r="T2" s="14"/>
      <c r="U2" s="14"/>
      <c r="V2" s="393" t="str">
        <f>_xlfn.IFNA(INDEX('Dash Data'!V$93:V$100, MATCH($D2, 'Dash Data'!$D$93:$D$100, 0)), "")</f>
        <v/>
      </c>
      <c r="W2" s="393" t="str">
        <f>_xlfn.IFNA(INDEX('Dash Data'!W$93:W$100, MATCH($D2, 'Dash Data'!$D$93:$D$100, 0)), "")</f>
        <v/>
      </c>
      <c r="X2" s="393" t="str">
        <f>_xlfn.IFNA(INDEX('Dash Data'!X$93:X$100, MATCH($D2, 'Dash Data'!$D$93:$D$100, 0)), "")</f>
        <v/>
      </c>
      <c r="Y2" s="393" t="str">
        <f>_xlfn.IFNA(INDEX('Dash Data'!Y$93:Y$100, MATCH($D2, 'Dash Data'!$D$93:$D$100, 0)), "")</f>
        <v/>
      </c>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575"/>
      <c r="BZ2" s="366" cm="1">
        <f t="array" aca="1" ref="BZ2" ca="1">HYPERLINK(CONCATENATE("#",CELL("address",IF(SUM(BZ$7:BZ$331)=0,$BZ$2,INDEX(BZ$7:BZ$331,MATCH(1,BZ$7:BZ$331,0))))),SUM(BZ$7:BZ$331))</f>
        <v>0</v>
      </c>
      <c r="CA2" s="575"/>
      <c r="CG2" s="69"/>
      <c r="CI2" s="576" t="s">
        <v>2296</v>
      </c>
      <c r="CJ2" s="576" t="s">
        <v>953</v>
      </c>
      <c r="CK2" s="576" t="s">
        <v>951</v>
      </c>
      <c r="CL2" s="575"/>
      <c r="CM2" s="580" t="s">
        <v>945</v>
      </c>
      <c r="CN2" s="583" t="s">
        <v>946</v>
      </c>
      <c r="CO2" s="586" t="s">
        <v>947</v>
      </c>
      <c r="CP2" s="580" t="s">
        <v>948</v>
      </c>
      <c r="CQ2" s="583" t="s">
        <v>949</v>
      </c>
      <c r="CR2" s="586" t="s">
        <v>950</v>
      </c>
      <c r="CS2" s="589" t="s">
        <v>951</v>
      </c>
      <c r="CT2" s="575"/>
      <c r="CU2" s="576" t="s">
        <v>2308</v>
      </c>
      <c r="CV2" s="576" t="s">
        <v>2320</v>
      </c>
      <c r="EX2" s="335"/>
    </row>
    <row r="3" spans="1:154" ht="14.1" customHeight="1" x14ac:dyDescent="0.25">
      <c r="A3" s="92" t="str" cm="1">
        <f t="array" aca="1" ref="A3" ca="1">HYPERLINK(CONCATENATE("#",CELL("address",ToC!$A$1)),ToC!$C$1)</f>
        <v>ToC</v>
      </c>
      <c r="B3" s="80" t="str" cm="1">
        <f t="array" aca="1" ref="B3" ca="1">HYPERLINK(CONCATENATE("#",CELL("address",$D$8)),"Capex")</f>
        <v>Capex</v>
      </c>
      <c r="C3" s="80" t="str" cm="1">
        <f t="array" aca="1" ref="C3" ca="1">HYPERLINK(CONCATENATE("#",CELL("address",D48)),"Assets under Constr.")</f>
        <v>Assets under Constr.</v>
      </c>
      <c r="D3" s="43" t="str">
        <f>Timeline!D3</f>
        <v>Financial Year</v>
      </c>
      <c r="E3" s="14"/>
      <c r="F3" s="14"/>
      <c r="G3" s="14"/>
      <c r="H3" s="14"/>
      <c r="I3" s="14"/>
      <c r="J3" s="14"/>
      <c r="K3" s="14"/>
      <c r="L3" s="14"/>
      <c r="M3" s="14"/>
      <c r="N3" s="14"/>
      <c r="O3" s="14"/>
      <c r="P3" s="14"/>
      <c r="Q3" s="14"/>
      <c r="R3" s="14"/>
      <c r="S3" s="14"/>
      <c r="T3" s="14"/>
      <c r="U3" s="14"/>
      <c r="V3" s="17" t="str">
        <f>Timeline!V3</f>
        <v>FY2020</v>
      </c>
      <c r="W3" s="18" t="str">
        <f>Timeline!W3</f>
        <v>FY2021</v>
      </c>
      <c r="X3" s="18" t="str">
        <f>Timeline!X3</f>
        <v>FY2022</v>
      </c>
      <c r="Y3" s="19" t="str">
        <f>Timeline!Y3</f>
        <v>FY2023</v>
      </c>
      <c r="Z3" s="14"/>
      <c r="AA3" s="204" t="str">
        <f>Timeline!AA3</f>
        <v>FY2021</v>
      </c>
      <c r="AB3" s="205" t="str">
        <f>Timeline!AB3</f>
        <v>FY2021</v>
      </c>
      <c r="AC3" s="205" t="str">
        <f>Timeline!AC3</f>
        <v>FY2021</v>
      </c>
      <c r="AD3" s="205" t="str">
        <f>Timeline!AD3</f>
        <v>FY2021</v>
      </c>
      <c r="AE3" s="205" t="str">
        <f>Timeline!AE3</f>
        <v>FY2021</v>
      </c>
      <c r="AF3" s="205" t="str">
        <f>Timeline!AF3</f>
        <v>FY2021</v>
      </c>
      <c r="AG3" s="205" t="str">
        <f>Timeline!AG3</f>
        <v>FY2021</v>
      </c>
      <c r="AH3" s="205" t="str">
        <f>Timeline!AH3</f>
        <v>FY2021</v>
      </c>
      <c r="AI3" s="205" t="str">
        <f>Timeline!AI3</f>
        <v>FY2021</v>
      </c>
      <c r="AJ3" s="205" t="str">
        <f>Timeline!AJ3</f>
        <v>FY2021</v>
      </c>
      <c r="AK3" s="205" t="str">
        <f>Timeline!AK3</f>
        <v>FY2021</v>
      </c>
      <c r="AL3" s="206" t="str">
        <f>Timeline!AL3</f>
        <v>FY2021</v>
      </c>
      <c r="AM3" s="18" t="str">
        <f>Timeline!AM3</f>
        <v>FY2022</v>
      </c>
      <c r="AN3" s="18" t="str">
        <f>Timeline!AN3</f>
        <v>FY2022</v>
      </c>
      <c r="AO3" s="18" t="str">
        <f>Timeline!AO3</f>
        <v>FY2022</v>
      </c>
      <c r="AP3" s="18" t="str">
        <f>Timeline!AP3</f>
        <v>FY2022</v>
      </c>
      <c r="AQ3" s="18" t="str">
        <f>Timeline!AQ3</f>
        <v>FY2022</v>
      </c>
      <c r="AR3" s="18" t="str">
        <f>Timeline!AR3</f>
        <v>FY2022</v>
      </c>
      <c r="AS3" s="18" t="str">
        <f>Timeline!AS3</f>
        <v>FY2022</v>
      </c>
      <c r="AT3" s="18" t="str">
        <f>Timeline!AT3</f>
        <v>FY2022</v>
      </c>
      <c r="AU3" s="18" t="str">
        <f>Timeline!AU3</f>
        <v>FY2022</v>
      </c>
      <c r="AV3" s="18" t="str">
        <f>Timeline!AV3</f>
        <v>FY2022</v>
      </c>
      <c r="AW3" s="18" t="str">
        <f>Timeline!AW3</f>
        <v>FY2022</v>
      </c>
      <c r="AX3" s="18" t="str">
        <f>Timeline!AX3</f>
        <v>FY2022</v>
      </c>
      <c r="AY3" s="17" t="str">
        <f>Timeline!AY3</f>
        <v>FY2023</v>
      </c>
      <c r="AZ3" s="18" t="str">
        <f>Timeline!AZ3</f>
        <v>FY2023</v>
      </c>
      <c r="BA3" s="18" t="str">
        <f>Timeline!BA3</f>
        <v>FY2023</v>
      </c>
      <c r="BB3" s="18" t="str">
        <f>Timeline!BB3</f>
        <v>FY2023</v>
      </c>
      <c r="BC3" s="18" t="str">
        <f>Timeline!BC3</f>
        <v>FY2023</v>
      </c>
      <c r="BD3" s="18" t="str">
        <f>Timeline!BD3</f>
        <v>FY2023</v>
      </c>
      <c r="BE3" s="18" t="str">
        <f>Timeline!BE3</f>
        <v>FY2023</v>
      </c>
      <c r="BF3" s="18" t="str">
        <f>Timeline!BF3</f>
        <v>FY2023</v>
      </c>
      <c r="BG3" s="18" t="str">
        <f>Timeline!BG3</f>
        <v>FY2023</v>
      </c>
      <c r="BH3" s="18" t="str">
        <f>Timeline!BH3</f>
        <v>FY2023</v>
      </c>
      <c r="BI3" s="18" t="str">
        <f>Timeline!BI3</f>
        <v>FY2023</v>
      </c>
      <c r="BJ3" s="19" t="str">
        <f>Timeline!BJ3</f>
        <v>FY2023</v>
      </c>
      <c r="BK3" s="14"/>
      <c r="BL3" s="17" t="str">
        <f>Timeline!BL3</f>
        <v>FY2020</v>
      </c>
      <c r="BM3" s="18" t="str">
        <f>Timeline!BM3</f>
        <v>FY2021</v>
      </c>
      <c r="BN3" s="18" t="str">
        <f>Timeline!BN3</f>
        <v>FY2022</v>
      </c>
      <c r="BO3" s="19" t="str">
        <f>Timeline!BO3</f>
        <v>FY2023</v>
      </c>
      <c r="BP3" s="18" t="str">
        <f>Timeline!BP3</f>
        <v>FY2024</v>
      </c>
      <c r="BQ3" s="18" t="str">
        <f>Timeline!BQ3</f>
        <v>FY2025</v>
      </c>
      <c r="BR3" s="18" t="str">
        <f>Timeline!BR3</f>
        <v>FY2026</v>
      </c>
      <c r="BS3" s="18" t="str">
        <f>Timeline!BS3</f>
        <v>FY2027</v>
      </c>
      <c r="BT3" s="18" t="str">
        <f>Timeline!BT3</f>
        <v>FY2028</v>
      </c>
      <c r="BU3" s="18" t="str">
        <f>Timeline!BU3</f>
        <v>FY2029</v>
      </c>
      <c r="BV3" s="18" t="str">
        <f>Timeline!BV3</f>
        <v>FY2030</v>
      </c>
      <c r="BW3" s="19" t="str">
        <f>Timeline!BW3</f>
        <v>FY2031</v>
      </c>
      <c r="BX3" s="14"/>
      <c r="BY3" s="575"/>
      <c r="BZ3" s="576" t="s">
        <v>965</v>
      </c>
      <c r="CA3" s="575"/>
      <c r="CB3" s="576" t="s">
        <v>361</v>
      </c>
      <c r="CC3" s="576" t="s">
        <v>365</v>
      </c>
      <c r="CD3" s="576" t="s">
        <v>368</v>
      </c>
      <c r="CE3" s="592" t="s">
        <v>980</v>
      </c>
      <c r="CF3" s="593" t="s">
        <v>2357</v>
      </c>
      <c r="CG3" s="576" t="s">
        <v>2335</v>
      </c>
      <c r="CH3" s="592" t="s">
        <v>2358</v>
      </c>
      <c r="CI3" s="576"/>
      <c r="CJ3" s="576"/>
      <c r="CK3" s="576"/>
      <c r="CL3" s="575"/>
      <c r="CM3" s="581"/>
      <c r="CN3" s="584"/>
      <c r="CO3" s="587"/>
      <c r="CP3" s="581"/>
      <c r="CQ3" s="584"/>
      <c r="CR3" s="587"/>
      <c r="CS3" s="590"/>
      <c r="CT3" s="575"/>
      <c r="CU3" s="576"/>
      <c r="CV3" s="576"/>
      <c r="EX3" s="335"/>
    </row>
    <row r="4" spans="1:154" x14ac:dyDescent="0.25">
      <c r="A4" s="14"/>
      <c r="B4" s="80" t="str" cm="1">
        <f t="array" aca="1" ref="B4" ca="1">HYPERLINK(CONCATENATE("#",CELL("address",$D$73)),"Revals")</f>
        <v>Revals</v>
      </c>
      <c r="C4" s="80" t="str" cm="1">
        <f t="array" aca="1" ref="C4" ca="1">HYPERLINK(CONCATENATE("#",CELL("address",$D$99)),"Assets for Sale")</f>
        <v>Assets for Sale</v>
      </c>
      <c r="D4" s="43" t="str">
        <f>Timeline!D4</f>
        <v>Forecast vs Actual</v>
      </c>
      <c r="E4" s="14"/>
      <c r="F4" s="14"/>
      <c r="G4" s="14"/>
      <c r="H4" s="14"/>
      <c r="I4" s="14"/>
      <c r="J4" s="14"/>
      <c r="K4" s="14"/>
      <c r="L4" s="14"/>
      <c r="M4" s="14"/>
      <c r="N4" s="14"/>
      <c r="O4" s="14"/>
      <c r="P4" s="14"/>
      <c r="Q4" s="14"/>
      <c r="R4" s="14"/>
      <c r="S4" s="14"/>
      <c r="T4" s="14"/>
      <c r="U4" s="14"/>
      <c r="V4" s="32">
        <f>Timeline!V4</f>
        <v>0</v>
      </c>
      <c r="W4" s="207">
        <f>Timeline!W4</f>
        <v>-1</v>
      </c>
      <c r="X4" s="33">
        <f>Timeline!X4</f>
        <v>1</v>
      </c>
      <c r="Y4" s="34">
        <f>Timeline!Y4</f>
        <v>1</v>
      </c>
      <c r="Z4" s="14"/>
      <c r="AA4" s="202">
        <f>Timeline!AA4</f>
        <v>0</v>
      </c>
      <c r="AB4" s="207">
        <f>Timeline!AB4</f>
        <v>0</v>
      </c>
      <c r="AC4" s="207">
        <f>Timeline!AC4</f>
        <v>0</v>
      </c>
      <c r="AD4" s="207">
        <f>Timeline!AD4</f>
        <v>0</v>
      </c>
      <c r="AE4" s="207">
        <f>Timeline!AE4</f>
        <v>0</v>
      </c>
      <c r="AF4" s="207">
        <f>Timeline!AF4</f>
        <v>0</v>
      </c>
      <c r="AG4" s="207">
        <f>Timeline!AG4</f>
        <v>0</v>
      </c>
      <c r="AH4" s="207">
        <f>Timeline!AH4</f>
        <v>0</v>
      </c>
      <c r="AI4" s="207">
        <f>Timeline!AI4</f>
        <v>0</v>
      </c>
      <c r="AJ4" s="207">
        <f>Timeline!AJ4</f>
        <v>0</v>
      </c>
      <c r="AK4" s="207">
        <f>Timeline!AK4</f>
        <v>0</v>
      </c>
      <c r="AL4" s="208">
        <f>Timeline!AL4</f>
        <v>1</v>
      </c>
      <c r="AM4" s="209">
        <f>Timeline!AM4</f>
        <v>1</v>
      </c>
      <c r="AN4" s="209">
        <f>Timeline!AN4</f>
        <v>1</v>
      </c>
      <c r="AO4" s="209">
        <f>Timeline!AO4</f>
        <v>1</v>
      </c>
      <c r="AP4" s="209">
        <f>Timeline!AP4</f>
        <v>1</v>
      </c>
      <c r="AQ4" s="209">
        <f>Timeline!AQ4</f>
        <v>1</v>
      </c>
      <c r="AR4" s="209">
        <f>Timeline!AR4</f>
        <v>1</v>
      </c>
      <c r="AS4" s="209">
        <f>Timeline!AS4</f>
        <v>1</v>
      </c>
      <c r="AT4" s="209">
        <f>Timeline!AT4</f>
        <v>1</v>
      </c>
      <c r="AU4" s="209">
        <f>Timeline!AU4</f>
        <v>1</v>
      </c>
      <c r="AV4" s="209">
        <f>Timeline!AV4</f>
        <v>1</v>
      </c>
      <c r="AW4" s="209">
        <f>Timeline!AW4</f>
        <v>1</v>
      </c>
      <c r="AX4" s="209">
        <f>Timeline!AX4</f>
        <v>1</v>
      </c>
      <c r="AY4" s="202">
        <f>Timeline!AY4</f>
        <v>1</v>
      </c>
      <c r="AZ4" s="207">
        <f>Timeline!AZ4</f>
        <v>1</v>
      </c>
      <c r="BA4" s="207">
        <f>Timeline!BA4</f>
        <v>1</v>
      </c>
      <c r="BB4" s="207">
        <f>Timeline!BB4</f>
        <v>1</v>
      </c>
      <c r="BC4" s="207">
        <f>Timeline!BC4</f>
        <v>1</v>
      </c>
      <c r="BD4" s="207">
        <f>Timeline!BD4</f>
        <v>1</v>
      </c>
      <c r="BE4" s="207">
        <f>Timeline!BE4</f>
        <v>1</v>
      </c>
      <c r="BF4" s="207">
        <f>Timeline!BF4</f>
        <v>1</v>
      </c>
      <c r="BG4" s="207">
        <f>Timeline!BG4</f>
        <v>1</v>
      </c>
      <c r="BH4" s="207">
        <f>Timeline!BH4</f>
        <v>1</v>
      </c>
      <c r="BI4" s="207">
        <f>Timeline!BI4</f>
        <v>1</v>
      </c>
      <c r="BJ4" s="208">
        <f>Timeline!BJ4</f>
        <v>1</v>
      </c>
      <c r="BK4" s="14"/>
      <c r="BL4" s="32">
        <f>Timeline!BL4</f>
        <v>0</v>
      </c>
      <c r="BM4" s="33">
        <f>Timeline!BM4</f>
        <v>-1</v>
      </c>
      <c r="BN4" s="33">
        <f>Timeline!BN4</f>
        <v>1</v>
      </c>
      <c r="BO4" s="34">
        <f>Timeline!BO4</f>
        <v>1</v>
      </c>
      <c r="BP4" s="33">
        <f>Timeline!BP4</f>
        <v>1</v>
      </c>
      <c r="BQ4" s="33">
        <f>Timeline!BQ4</f>
        <v>1</v>
      </c>
      <c r="BR4" s="33">
        <f>Timeline!BR4</f>
        <v>1</v>
      </c>
      <c r="BS4" s="33">
        <f>Timeline!BS4</f>
        <v>1</v>
      </c>
      <c r="BT4" s="33">
        <f>Timeline!BT4</f>
        <v>1</v>
      </c>
      <c r="BU4" s="33">
        <f>Timeline!BU4</f>
        <v>1</v>
      </c>
      <c r="BV4" s="33">
        <f>Timeline!BV4</f>
        <v>1</v>
      </c>
      <c r="BW4" s="34">
        <f>Timeline!BW4</f>
        <v>1</v>
      </c>
      <c r="BX4" s="14"/>
      <c r="BY4" s="575"/>
      <c r="BZ4" s="576"/>
      <c r="CA4" s="575"/>
      <c r="CB4" s="576"/>
      <c r="CC4" s="576"/>
      <c r="CD4" s="576"/>
      <c r="CE4" s="592"/>
      <c r="CF4" s="593"/>
      <c r="CG4" s="576"/>
      <c r="CH4" s="592"/>
      <c r="CI4" s="576"/>
      <c r="CJ4" s="576"/>
      <c r="CK4" s="576"/>
      <c r="CL4" s="575"/>
      <c r="CM4" s="581"/>
      <c r="CN4" s="584"/>
      <c r="CO4" s="587"/>
      <c r="CP4" s="581"/>
      <c r="CQ4" s="584"/>
      <c r="CR4" s="587"/>
      <c r="CS4" s="590"/>
      <c r="CT4" s="575"/>
      <c r="CU4" s="576"/>
      <c r="CV4" s="576"/>
      <c r="EX4" s="335"/>
    </row>
    <row r="5" spans="1:154" x14ac:dyDescent="0.25">
      <c r="A5" s="14"/>
      <c r="B5" s="80" t="str" cm="1">
        <f t="array" aca="1" ref="B5" ca="1">HYPERLINK(CONCATENATE("#",CELL("address",D125)),"Disposals")</f>
        <v>Disposals</v>
      </c>
      <c r="C5" s="80" t="str" cm="1">
        <f t="array" aca="1" ref="C5" ca="1">HYPERLINK(CONCATENATE("#",CELL("address",D200)),"Account Balances")</f>
        <v>Account Balances</v>
      </c>
      <c r="D5" s="43" t="str">
        <f>Timeline!D5</f>
        <v>Period End Date</v>
      </c>
      <c r="E5" s="14"/>
      <c r="F5" s="14"/>
      <c r="G5" s="14"/>
      <c r="H5" s="14"/>
      <c r="I5" s="14"/>
      <c r="J5" s="14"/>
      <c r="K5" s="14"/>
      <c r="L5" s="14"/>
      <c r="M5" s="14"/>
      <c r="N5" s="14"/>
      <c r="O5" s="14"/>
      <c r="P5" s="14"/>
      <c r="Q5" s="14"/>
      <c r="R5" s="14"/>
      <c r="S5" s="14"/>
      <c r="T5" s="14"/>
      <c r="U5" s="14"/>
      <c r="V5" s="213">
        <f>Timeline!V5</f>
        <v>44043</v>
      </c>
      <c r="W5" s="214">
        <f>Timeline!W5</f>
        <v>44408</v>
      </c>
      <c r="X5" s="22">
        <f>Timeline!X5</f>
        <v>44773</v>
      </c>
      <c r="Y5" s="23">
        <f>Timeline!Y5</f>
        <v>45138</v>
      </c>
      <c r="Z5" s="14"/>
      <c r="AA5" s="21">
        <f>Timeline!AA5</f>
        <v>44074</v>
      </c>
      <c r="AB5" s="22">
        <f>Timeline!AB5</f>
        <v>44104</v>
      </c>
      <c r="AC5" s="22">
        <f>Timeline!AC5</f>
        <v>44135</v>
      </c>
      <c r="AD5" s="22">
        <f>Timeline!AD5</f>
        <v>44165</v>
      </c>
      <c r="AE5" s="22">
        <f>Timeline!AE5</f>
        <v>44196</v>
      </c>
      <c r="AF5" s="22">
        <f>Timeline!AF5</f>
        <v>44227</v>
      </c>
      <c r="AG5" s="22">
        <f>Timeline!AG5</f>
        <v>44255</v>
      </c>
      <c r="AH5" s="22">
        <f>Timeline!AH5</f>
        <v>44286</v>
      </c>
      <c r="AI5" s="22">
        <f>Timeline!AI5</f>
        <v>44316</v>
      </c>
      <c r="AJ5" s="22">
        <f>Timeline!AJ5</f>
        <v>44347</v>
      </c>
      <c r="AK5" s="22">
        <f>Timeline!AK5</f>
        <v>44377</v>
      </c>
      <c r="AL5" s="23">
        <f>Timeline!AL5</f>
        <v>44408</v>
      </c>
      <c r="AM5" s="22">
        <f>Timeline!AM5</f>
        <v>44439</v>
      </c>
      <c r="AN5" s="22">
        <f>Timeline!AN5</f>
        <v>44469</v>
      </c>
      <c r="AO5" s="22">
        <f>Timeline!AO5</f>
        <v>44500</v>
      </c>
      <c r="AP5" s="22">
        <f>Timeline!AP5</f>
        <v>44530</v>
      </c>
      <c r="AQ5" s="22">
        <f>Timeline!AQ5</f>
        <v>44561</v>
      </c>
      <c r="AR5" s="22">
        <f>Timeline!AR5</f>
        <v>44592</v>
      </c>
      <c r="AS5" s="22">
        <f>Timeline!AS5</f>
        <v>44620</v>
      </c>
      <c r="AT5" s="22">
        <f>Timeline!AT5</f>
        <v>44651</v>
      </c>
      <c r="AU5" s="22">
        <f>Timeline!AU5</f>
        <v>44681</v>
      </c>
      <c r="AV5" s="22">
        <f>Timeline!AV5</f>
        <v>44712</v>
      </c>
      <c r="AW5" s="22">
        <f>Timeline!AW5</f>
        <v>44742</v>
      </c>
      <c r="AX5" s="22">
        <f>Timeline!AX5</f>
        <v>44773</v>
      </c>
      <c r="AY5" s="21">
        <f>Timeline!AY5</f>
        <v>44804</v>
      </c>
      <c r="AZ5" s="22">
        <f>Timeline!AZ5</f>
        <v>44834</v>
      </c>
      <c r="BA5" s="22">
        <f>Timeline!BA5</f>
        <v>44865</v>
      </c>
      <c r="BB5" s="22">
        <f>Timeline!BB5</f>
        <v>44895</v>
      </c>
      <c r="BC5" s="22">
        <f>Timeline!BC5</f>
        <v>44926</v>
      </c>
      <c r="BD5" s="22">
        <f>Timeline!BD5</f>
        <v>44957</v>
      </c>
      <c r="BE5" s="22">
        <f>Timeline!BE5</f>
        <v>44985</v>
      </c>
      <c r="BF5" s="22">
        <f>Timeline!BF5</f>
        <v>45016</v>
      </c>
      <c r="BG5" s="22">
        <f>Timeline!BG5</f>
        <v>45046</v>
      </c>
      <c r="BH5" s="22">
        <f>Timeline!BH5</f>
        <v>45077</v>
      </c>
      <c r="BI5" s="22">
        <f>Timeline!BI5</f>
        <v>45107</v>
      </c>
      <c r="BJ5" s="23">
        <f>Timeline!BJ5</f>
        <v>45138</v>
      </c>
      <c r="BK5" s="14"/>
      <c r="BL5" s="21">
        <f>Timeline!BL5</f>
        <v>44043</v>
      </c>
      <c r="BM5" s="22">
        <f>Timeline!BM5</f>
        <v>44408</v>
      </c>
      <c r="BN5" s="22">
        <f>Timeline!BN5</f>
        <v>44773</v>
      </c>
      <c r="BO5" s="23">
        <f>Timeline!BO5</f>
        <v>45138</v>
      </c>
      <c r="BP5" s="22">
        <f>Timeline!BP5</f>
        <v>45504</v>
      </c>
      <c r="BQ5" s="22">
        <f>Timeline!BQ5</f>
        <v>45869</v>
      </c>
      <c r="BR5" s="22">
        <f>Timeline!BR5</f>
        <v>46234</v>
      </c>
      <c r="BS5" s="22">
        <f>Timeline!BS5</f>
        <v>46599</v>
      </c>
      <c r="BT5" s="22">
        <f>Timeline!BT5</f>
        <v>46965</v>
      </c>
      <c r="BU5" s="22">
        <f>Timeline!BU5</f>
        <v>47330</v>
      </c>
      <c r="BV5" s="22">
        <f>Timeline!BV5</f>
        <v>47695</v>
      </c>
      <c r="BW5" s="23">
        <f>Timeline!BW5</f>
        <v>48060</v>
      </c>
      <c r="BX5" s="14"/>
      <c r="BY5" s="575"/>
      <c r="BZ5" s="576"/>
      <c r="CA5" s="575"/>
      <c r="CB5" s="576"/>
      <c r="CC5" s="576"/>
      <c r="CD5" s="576"/>
      <c r="CE5" s="592"/>
      <c r="CF5" s="593"/>
      <c r="CG5" s="576"/>
      <c r="CH5" s="592"/>
      <c r="CI5" s="576"/>
      <c r="CJ5" s="576"/>
      <c r="CK5" s="576"/>
      <c r="CL5" s="575"/>
      <c r="CM5" s="581"/>
      <c r="CN5" s="584"/>
      <c r="CO5" s="587"/>
      <c r="CP5" s="581"/>
      <c r="CQ5" s="584"/>
      <c r="CR5" s="587"/>
      <c r="CS5" s="590"/>
      <c r="CT5" s="575"/>
      <c r="CU5" s="576"/>
      <c r="CV5" s="576"/>
      <c r="EX5" s="335"/>
    </row>
    <row r="6" spans="1:154" x14ac:dyDescent="0.25">
      <c r="A6" s="80" t="str" cm="1">
        <f t="array" aca="1" ref="A6" ca="1">HYPERLINK(CONCATENATE("#",CELL("address",CA7)),"Check")</f>
        <v>Check</v>
      </c>
      <c r="B6" s="14"/>
      <c r="C6" s="14" t="str">
        <f>Template!$C$6</f>
        <v>Ref. No.</v>
      </c>
      <c r="D6" s="26" t="s">
        <v>5</v>
      </c>
      <c r="E6" s="14"/>
      <c r="F6" s="14"/>
      <c r="G6" s="14"/>
      <c r="H6" s="14" t="s">
        <v>117</v>
      </c>
      <c r="I6" s="14"/>
      <c r="J6" s="14"/>
      <c r="K6" s="14"/>
      <c r="L6" s="14"/>
      <c r="M6" s="14"/>
      <c r="N6" s="16"/>
      <c r="O6" s="14"/>
      <c r="P6" s="14"/>
      <c r="Q6" s="14"/>
      <c r="R6" s="14"/>
      <c r="S6" s="14"/>
      <c r="T6" s="14"/>
      <c r="U6" s="14"/>
      <c r="V6" s="80" t="str" cm="1">
        <f t="array" aca="1" ref="V6" ca="1">HYPERLINK(CONCATENATE("#",CELL("address",$BW$6)),"Link to 12 Year Annual Timeline")</f>
        <v>Link to 12 Year Annual Timeline</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80" t="str" cm="1">
        <f t="array" aca="1" ref="BL6" ca="1">HYPERLINK(CONCATENATE("#",CELL("address",$V$6)),"Link to 4 Year Annual Timeline")</f>
        <v>Link to 4 Year Annual Timeline</v>
      </c>
      <c r="BM6" s="14"/>
      <c r="BN6" s="14"/>
      <c r="BO6" s="14"/>
      <c r="BP6" s="14"/>
      <c r="BQ6" s="14"/>
      <c r="BR6" s="14"/>
      <c r="BS6" s="14"/>
      <c r="BT6" s="14"/>
      <c r="BU6" s="14"/>
      <c r="BV6" s="16"/>
      <c r="BW6" s="14"/>
      <c r="BX6" s="14"/>
      <c r="BY6" s="575"/>
      <c r="BZ6" s="576"/>
      <c r="CA6" s="575"/>
      <c r="CB6" s="576"/>
      <c r="CC6" s="576"/>
      <c r="CD6" s="576"/>
      <c r="CE6" s="592"/>
      <c r="CF6" s="593"/>
      <c r="CG6" s="576"/>
      <c r="CH6" s="592"/>
      <c r="CI6" s="576"/>
      <c r="CJ6" s="576"/>
      <c r="CK6" s="576"/>
      <c r="CL6" s="575"/>
      <c r="CM6" s="582"/>
      <c r="CN6" s="585"/>
      <c r="CO6" s="588"/>
      <c r="CP6" s="582"/>
      <c r="CQ6" s="585"/>
      <c r="CR6" s="588"/>
      <c r="CS6" s="591"/>
      <c r="CT6" s="575"/>
      <c r="CU6" s="576"/>
      <c r="CV6" s="576"/>
      <c r="EX6" s="335"/>
    </row>
    <row r="7" spans="1:154" ht="15.75" x14ac:dyDescent="0.3">
      <c r="B7" s="139" t="s">
        <v>2494</v>
      </c>
      <c r="C7" s="378"/>
      <c r="D7" s="1"/>
      <c r="E7" s="67"/>
      <c r="Z7" s="335"/>
      <c r="BM7" s="6"/>
      <c r="BY7" s="42"/>
      <c r="BZ7" s="105" t="s">
        <v>335</v>
      </c>
      <c r="CA7" s="42"/>
      <c r="CB7" s="105" t="s">
        <v>335</v>
      </c>
      <c r="CC7" s="105" t="s">
        <v>335</v>
      </c>
      <c r="CD7" s="105" t="s">
        <v>335</v>
      </c>
      <c r="CE7" s="105" t="s">
        <v>335</v>
      </c>
      <c r="CF7" s="479" t="s">
        <v>335</v>
      </c>
      <c r="CG7" s="479" t="s">
        <v>335</v>
      </c>
      <c r="CH7" s="479" t="s">
        <v>335</v>
      </c>
      <c r="CI7" s="105" t="s">
        <v>335</v>
      </c>
      <c r="CJ7" s="105" t="s">
        <v>335</v>
      </c>
      <c r="CK7" s="105" t="s">
        <v>335</v>
      </c>
      <c r="CL7" s="42"/>
      <c r="CT7" s="42"/>
      <c r="EX7" s="335"/>
    </row>
    <row r="8" spans="1:154" x14ac:dyDescent="0.25">
      <c r="A8" s="108"/>
      <c r="B8" s="40"/>
      <c r="C8" s="409"/>
      <c r="D8" s="40" t="s">
        <v>351</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2"/>
      <c r="CA8" s="42"/>
      <c r="CL8" s="42"/>
      <c r="CT8" s="42"/>
      <c r="EX8" s="10" t="str">
        <f>IF($C8="","",$D8)</f>
        <v/>
      </c>
    </row>
    <row r="9" spans="1:154" ht="6.6" customHeight="1" x14ac:dyDescent="0.25">
      <c r="C9" s="410"/>
      <c r="D9" s="1"/>
      <c r="E9" s="67"/>
      <c r="Z9" s="335"/>
      <c r="BM9" s="6"/>
      <c r="BY9" s="42"/>
      <c r="CA9" s="42"/>
      <c r="CL9" s="42"/>
      <c r="CT9" s="42"/>
      <c r="EX9" s="10" t="str">
        <f t="shared" ref="EX9:EX72" si="0">IF($C9="","",$D9)</f>
        <v/>
      </c>
    </row>
    <row r="10" spans="1:154" ht="15.75" x14ac:dyDescent="0.3">
      <c r="C10" s="410"/>
      <c r="E10" s="105" t="s">
        <v>335</v>
      </c>
      <c r="F10" s="105" t="s">
        <v>335</v>
      </c>
      <c r="G10" s="335"/>
      <c r="Z10" s="335"/>
      <c r="BY10" s="12"/>
      <c r="CA10" s="12"/>
      <c r="CL10" s="42"/>
      <c r="CT10" s="42"/>
      <c r="EX10" s="10" t="str">
        <f t="shared" si="0"/>
        <v/>
      </c>
    </row>
    <row r="11" spans="1:154" x14ac:dyDescent="0.25">
      <c r="C11" s="410"/>
      <c r="D11" s="55" t="s">
        <v>355</v>
      </c>
      <c r="E11" s="56" t="s">
        <v>352</v>
      </c>
      <c r="F11" s="56" t="s">
        <v>354</v>
      </c>
      <c r="G11" s="57" t="s">
        <v>609</v>
      </c>
      <c r="Z11" s="335"/>
      <c r="BY11" s="12"/>
      <c r="CA11" s="12"/>
      <c r="CL11" s="42"/>
      <c r="CT11" s="42"/>
      <c r="EX11" s="10" t="str">
        <f t="shared" si="0"/>
        <v/>
      </c>
    </row>
    <row r="12" spans="1:154" x14ac:dyDescent="0.25">
      <c r="C12" s="410"/>
      <c r="D12" s="374"/>
      <c r="E12" s="375" t="s">
        <v>189</v>
      </c>
      <c r="F12" s="375" t="s">
        <v>189</v>
      </c>
      <c r="G12" s="376" t="s">
        <v>187</v>
      </c>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35"/>
      <c r="BN12" s="335"/>
      <c r="BO12" s="335"/>
      <c r="BP12" s="335"/>
      <c r="BQ12" s="335"/>
      <c r="BR12" s="335"/>
      <c r="BS12" s="335"/>
      <c r="BT12" s="335"/>
      <c r="BU12" s="335"/>
      <c r="BV12" s="335"/>
      <c r="BW12" s="335"/>
      <c r="BY12" s="12"/>
      <c r="CA12" s="12"/>
      <c r="CL12" s="42"/>
      <c r="CT12" s="42"/>
      <c r="EX12" s="10" t="str">
        <f t="shared" si="0"/>
        <v/>
      </c>
    </row>
    <row r="13" spans="1:154" x14ac:dyDescent="0.25">
      <c r="A13" s="362" cm="1">
        <f t="array" aca="1" ref="A13" ca="1">HYPERLINK(CONCATENATE("#",CELL("address",IF(SUM($CA13:$CL13)=0,A13,INDEX($CA13:$CL13,MATCH(1,$CA13:$CL13,0))))),SUM($CA13:$CL13))</f>
        <v>0</v>
      </c>
      <c r="C13" s="521" t="s">
        <v>1070</v>
      </c>
      <c r="D13" s="388" t="s">
        <v>2565</v>
      </c>
      <c r="E13" s="388" t="s">
        <v>122</v>
      </c>
      <c r="F13" s="388" t="s">
        <v>356</v>
      </c>
      <c r="G13" s="146">
        <v>70</v>
      </c>
      <c r="H13" s="47" t="s">
        <v>92</v>
      </c>
      <c r="S13" s="335"/>
      <c r="T13" s="335"/>
      <c r="U13" s="335"/>
      <c r="V13" s="156"/>
      <c r="W13" s="215">
        <f t="shared" ref="W13:Y27" si="1" xml:space="preserve"> SUMIFS($AA13:$BJ13, $AA$3:$BJ$3, W$3)</f>
        <v>73</v>
      </c>
      <c r="X13" s="215">
        <f t="shared" si="1"/>
        <v>2301</v>
      </c>
      <c r="Y13" s="215">
        <f t="shared" si="1"/>
        <v>48</v>
      </c>
      <c r="Z13" s="335"/>
      <c r="AA13" s="147"/>
      <c r="AB13" s="147"/>
      <c r="AC13" s="147"/>
      <c r="AD13" s="147"/>
      <c r="AE13" s="147"/>
      <c r="AF13" s="147"/>
      <c r="AG13" s="147"/>
      <c r="AH13" s="147"/>
      <c r="AI13" s="147"/>
      <c r="AJ13" s="147"/>
      <c r="AK13" s="147"/>
      <c r="AL13" s="147">
        <v>73</v>
      </c>
      <c r="AM13" s="147">
        <v>97</v>
      </c>
      <c r="AN13" s="147">
        <v>121</v>
      </c>
      <c r="AO13" s="147">
        <v>363</v>
      </c>
      <c r="AP13" s="147">
        <v>194</v>
      </c>
      <c r="AQ13" s="147">
        <v>242</v>
      </c>
      <c r="AR13" s="147">
        <v>242</v>
      </c>
      <c r="AS13" s="147">
        <v>242</v>
      </c>
      <c r="AT13" s="147">
        <v>291</v>
      </c>
      <c r="AU13" s="147">
        <v>194</v>
      </c>
      <c r="AV13" s="147">
        <v>145</v>
      </c>
      <c r="AW13" s="147">
        <v>73</v>
      </c>
      <c r="AX13" s="147">
        <v>97</v>
      </c>
      <c r="AY13" s="147">
        <v>48</v>
      </c>
      <c r="AZ13" s="147"/>
      <c r="BA13" s="147"/>
      <c r="BB13" s="147"/>
      <c r="BC13" s="147"/>
      <c r="BD13" s="147"/>
      <c r="BE13" s="147"/>
      <c r="BF13" s="147"/>
      <c r="BG13" s="147"/>
      <c r="BH13" s="147"/>
      <c r="BI13" s="147"/>
      <c r="BJ13" s="147"/>
      <c r="BL13" s="153">
        <f t="shared" ref="BL13:BL27" si="2">V13</f>
        <v>0</v>
      </c>
      <c r="BM13" s="153">
        <f t="shared" ref="BM13:BM27" si="3">W13</f>
        <v>73</v>
      </c>
      <c r="BN13" s="153">
        <f t="shared" ref="BN13:BN27" si="4">X13</f>
        <v>2301</v>
      </c>
      <c r="BO13" s="153">
        <f t="shared" ref="BO13:BO27" si="5">Y13</f>
        <v>48</v>
      </c>
      <c r="BP13" s="156"/>
      <c r="BQ13" s="156"/>
      <c r="BR13" s="156"/>
      <c r="BS13" s="156"/>
      <c r="BT13" s="156"/>
      <c r="BU13" s="156"/>
      <c r="BV13" s="156"/>
      <c r="BW13" s="156"/>
      <c r="BY13" s="12"/>
      <c r="BZ13" s="363">
        <f t="shared" ref="BZ13:BZ30" si="6">IF(MIN($V13:$BW13)&lt;0, 1, 0)</f>
        <v>0</v>
      </c>
      <c r="CA13" s="12"/>
      <c r="CB13" s="7">
        <f t="shared" ref="CB13:CB27" si="7">IF(AND(E13="", ABS(SUM($AA13:$BJ13))&gt;0), 1,0)</f>
        <v>0</v>
      </c>
      <c r="CC13" s="7" cm="1">
        <f t="array" ref="CC13">IF(AND(OR(MAX(ABS($AA13:$BW13))&gt;0, ABS($V13)&gt;0), _xlfn.IFNA(MATCH(E13, Parameters!$D$39:$D$42, 0), 0)=0), 1, 0)</f>
        <v>0</v>
      </c>
      <c r="CD13" s="7" cm="1">
        <f t="array" ref="CD13">IF(AND(OR(MAX(ABS($AA13:$BW13))&gt;0, ABS($V13)&gt;0), _xlfn.IFNA(MATCH(F13, Parameters!$D$52:$D$58, 0), "N/A")="N/A"), 1, 0)</f>
        <v>0</v>
      </c>
      <c r="CI13" s="7">
        <f>IF(SUM($CM13:$CO13)=0, 0, 1)</f>
        <v>0</v>
      </c>
      <c r="CJ13" s="7">
        <f>IF(SUM($CP13:$CR13)=0, 0, 1)</f>
        <v>0</v>
      </c>
      <c r="CK13" s="7">
        <f>IF($CS13=0, 0, 1)</f>
        <v>0</v>
      </c>
      <c r="CL13" s="42"/>
      <c r="CM13" s="352">
        <f t="shared" ref="CM13:CM32" si="8">ROUND(W13-SUMIFS($AA13:$BJ13, $AA$3:$BJ$3, W$3), rounding)</f>
        <v>0</v>
      </c>
      <c r="CN13" s="352">
        <f t="shared" ref="CN13:CN32" si="9">ROUND(X13-SUMIFS($AA13:$BJ13, $AA$3:$BJ$3, X$3), rounding)</f>
        <v>0</v>
      </c>
      <c r="CO13" s="352">
        <f t="shared" ref="CO13:CO32" si="10">ROUND(Y13-SUMIFS($AA13:$BJ13, $AA$3:$BJ$3, Y$3), rounding)</f>
        <v>0</v>
      </c>
      <c r="CP13" s="352">
        <f t="shared" ref="CP13:CP32" si="11">ROUND($BM13-SUMIFS($AA13:$BJ13, $AA$3:$BJ$3, $BM$3), rounding)</f>
        <v>0</v>
      </c>
      <c r="CQ13" s="352">
        <f t="shared" ref="CQ13:CQ32" si="12">ROUND($BN13-SUMIFS($AA13:$BJ13, $AA$3:$BJ$3, $BN$3), rounding)</f>
        <v>0</v>
      </c>
      <c r="CR13" s="352">
        <f t="shared" ref="CR13:CR32" si="13">ROUND($BO13-SUMIFS($AA13:$BJ13, $AA$3:$BJ$3, $BO$3), rounding)</f>
        <v>0</v>
      </c>
      <c r="CS13" s="352">
        <f t="shared" ref="CS13:CS32" si="14">ROUND($V13-$BL13, rounding)</f>
        <v>0</v>
      </c>
      <c r="CT13" s="42"/>
      <c r="CU13" s="67">
        <v>1</v>
      </c>
      <c r="CV13" s="67">
        <v>1</v>
      </c>
      <c r="EX13" s="13" t="str">
        <f t="shared" ref="EX13:EX27" si="15">IF($C13="","",CONCATENATE(D$8, " ",$C13))</f>
        <v>Capital Expenditure CP1</v>
      </c>
    </row>
    <row r="14" spans="1:154" x14ac:dyDescent="0.25">
      <c r="A14" s="362" cm="1">
        <f t="array" aca="1" ref="A14" ca="1">HYPERLINK(CONCATENATE("#",CELL("address",IF(SUM($CA14:$CL14)=0,A14,INDEX($CA14:$CL14,MATCH(1,$CA14:$CL14,0))))),SUM($CA14:$CL14))</f>
        <v>0</v>
      </c>
      <c r="C14" s="521" t="s">
        <v>1071</v>
      </c>
      <c r="D14" s="388"/>
      <c r="E14" s="388" t="s">
        <v>100</v>
      </c>
      <c r="F14" s="388" t="s">
        <v>976</v>
      </c>
      <c r="G14" s="147"/>
      <c r="H14" s="47" t="s">
        <v>92</v>
      </c>
      <c r="S14" s="335"/>
      <c r="T14" s="335"/>
      <c r="U14" s="335"/>
      <c r="V14" s="156"/>
      <c r="W14" s="215">
        <f t="shared" si="1"/>
        <v>112</v>
      </c>
      <c r="X14" s="215">
        <f t="shared" si="1"/>
        <v>270</v>
      </c>
      <c r="Y14" s="215">
        <f t="shared" si="1"/>
        <v>0</v>
      </c>
      <c r="Z14" s="335"/>
      <c r="AA14" s="147">
        <v>100</v>
      </c>
      <c r="AB14" s="147"/>
      <c r="AC14" s="147"/>
      <c r="AD14" s="147"/>
      <c r="AE14" s="147"/>
      <c r="AF14" s="147"/>
      <c r="AG14" s="147"/>
      <c r="AH14" s="147"/>
      <c r="AI14" s="147"/>
      <c r="AJ14" s="147"/>
      <c r="AK14" s="147">
        <v>12</v>
      </c>
      <c r="AL14" s="147"/>
      <c r="AM14" s="147">
        <v>270</v>
      </c>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93"/>
      <c r="BL14" s="215">
        <f t="shared" si="2"/>
        <v>0</v>
      </c>
      <c r="BM14" s="215">
        <f t="shared" si="3"/>
        <v>112</v>
      </c>
      <c r="BN14" s="215">
        <f t="shared" si="4"/>
        <v>270</v>
      </c>
      <c r="BO14" s="215">
        <f t="shared" si="5"/>
        <v>0</v>
      </c>
      <c r="BP14" s="222"/>
      <c r="BQ14" s="222"/>
      <c r="BR14" s="222"/>
      <c r="BS14" s="222"/>
      <c r="BT14" s="222"/>
      <c r="BU14" s="222"/>
      <c r="BV14" s="222"/>
      <c r="BW14" s="222"/>
      <c r="BY14" s="12"/>
      <c r="BZ14" s="363">
        <f t="shared" si="6"/>
        <v>0</v>
      </c>
      <c r="CA14" s="12"/>
      <c r="CB14" s="7">
        <f t="shared" si="7"/>
        <v>0</v>
      </c>
      <c r="CC14" s="7" cm="1">
        <f t="array" ref="CC14">IF(AND(OR(MAX(ABS($AA14:$BW14))&gt;0, ABS($V14)&gt;0), _xlfn.IFNA(MATCH(E14, Parameters!$D$39:$D$42, 0), 0)=0), 1, 0)</f>
        <v>0</v>
      </c>
      <c r="CD14" s="7" cm="1">
        <f t="array" ref="CD14">IF(AND(OR(MAX(ABS($AA14:$BW14))&gt;0, ABS($V14)&gt;0), _xlfn.IFNA(MATCH(F14, Parameters!$D$52:$D$58, 0), "N/A")="N/A"), 1, 0)</f>
        <v>0</v>
      </c>
      <c r="CI14" s="7">
        <f t="shared" ref="CI14:CI39" si="16">IF(SUM($CM14:$CO14)=0, 0, 1)</f>
        <v>0</v>
      </c>
      <c r="CJ14" s="7">
        <f t="shared" ref="CJ14:CJ39" si="17">IF(SUM($CP14:$CR14)=0, 0, 1)</f>
        <v>0</v>
      </c>
      <c r="CK14" s="7">
        <f t="shared" ref="CK14:CK39" si="18">IF($CS14=0, 0, 1)</f>
        <v>0</v>
      </c>
      <c r="CL14" s="42"/>
      <c r="CM14" s="352">
        <f t="shared" si="8"/>
        <v>0</v>
      </c>
      <c r="CN14" s="352">
        <f t="shared" si="9"/>
        <v>0</v>
      </c>
      <c r="CO14" s="352">
        <f t="shared" si="10"/>
        <v>0</v>
      </c>
      <c r="CP14" s="352">
        <f t="shared" si="11"/>
        <v>0</v>
      </c>
      <c r="CQ14" s="352">
        <f t="shared" si="12"/>
        <v>0</v>
      </c>
      <c r="CR14" s="352">
        <f t="shared" si="13"/>
        <v>0</v>
      </c>
      <c r="CS14" s="352">
        <f t="shared" si="14"/>
        <v>0</v>
      </c>
      <c r="CT14" s="42"/>
      <c r="CU14" s="67">
        <v>1</v>
      </c>
      <c r="CV14" s="67">
        <v>1</v>
      </c>
      <c r="EX14" s="13" t="str">
        <f t="shared" si="15"/>
        <v>Capital Expenditure CP2</v>
      </c>
    </row>
    <row r="15" spans="1:154" x14ac:dyDescent="0.25">
      <c r="A15" s="362" cm="1">
        <f t="array" aca="1" ref="A15" ca="1">HYPERLINK(CONCATENATE("#",CELL("address",IF(SUM($CA15:$CL15)=0,A15,INDEX($CA15:$CL15,MATCH(1,$CA15:$CL15,0))))),SUM($CA15:$CL15))</f>
        <v>0</v>
      </c>
      <c r="C15" s="521" t="s">
        <v>1072</v>
      </c>
      <c r="D15" s="388"/>
      <c r="E15" s="388" t="s">
        <v>122</v>
      </c>
      <c r="F15" s="389" t="s">
        <v>976</v>
      </c>
      <c r="G15" s="147"/>
      <c r="H15" s="47" t="s">
        <v>92</v>
      </c>
      <c r="S15" s="335"/>
      <c r="T15" s="335"/>
      <c r="U15" s="335"/>
      <c r="V15" s="156"/>
      <c r="W15" s="215">
        <f t="shared" si="1"/>
        <v>10</v>
      </c>
      <c r="X15" s="215">
        <f t="shared" si="1"/>
        <v>855</v>
      </c>
      <c r="Y15" s="215">
        <f t="shared" si="1"/>
        <v>0</v>
      </c>
      <c r="Z15" s="335"/>
      <c r="AA15" s="147">
        <v>10</v>
      </c>
      <c r="AB15" s="147"/>
      <c r="AC15" s="147"/>
      <c r="AD15" s="147"/>
      <c r="AE15" s="147"/>
      <c r="AF15" s="147"/>
      <c r="AG15" s="147"/>
      <c r="AH15" s="147"/>
      <c r="AI15" s="147"/>
      <c r="AJ15" s="147"/>
      <c r="AK15" s="147"/>
      <c r="AL15" s="147"/>
      <c r="AM15" s="147">
        <v>186</v>
      </c>
      <c r="AN15" s="147">
        <v>669</v>
      </c>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L15" s="153">
        <f t="shared" si="2"/>
        <v>0</v>
      </c>
      <c r="BM15" s="153">
        <f t="shared" si="3"/>
        <v>10</v>
      </c>
      <c r="BN15" s="153">
        <f t="shared" si="4"/>
        <v>855</v>
      </c>
      <c r="BO15" s="153">
        <f t="shared" si="5"/>
        <v>0</v>
      </c>
      <c r="BP15" s="156"/>
      <c r="BQ15" s="156"/>
      <c r="BR15" s="156"/>
      <c r="BS15" s="156"/>
      <c r="BT15" s="156"/>
      <c r="BU15" s="156"/>
      <c r="BV15" s="156"/>
      <c r="BW15" s="156"/>
      <c r="BY15" s="195"/>
      <c r="BZ15" s="363">
        <f t="shared" si="6"/>
        <v>0</v>
      </c>
      <c r="CA15" s="195"/>
      <c r="CB15" s="188">
        <f t="shared" si="7"/>
        <v>0</v>
      </c>
      <c r="CC15" s="7" cm="1">
        <f t="array" ref="CC15">IF(AND(OR(MAX(ABS($AA15:$BW15))&gt;0, ABS($V15)&gt;0), _xlfn.IFNA(MATCH(E15, Parameters!$D$39:$D$42, 0), 0)=0), 1, 0)</f>
        <v>0</v>
      </c>
      <c r="CD15" s="7" cm="1">
        <f t="array" ref="CD15">IF(AND(OR(MAX(ABS($AA15:$BW15))&gt;0, ABS($V15)&gt;0), _xlfn.IFNA(MATCH(F15, Parameters!$D$52:$D$58, 0), "N/A")="N/A"), 1, 0)</f>
        <v>0</v>
      </c>
      <c r="CF15" s="93"/>
      <c r="CG15" s="93"/>
      <c r="CI15" s="7">
        <f t="shared" si="16"/>
        <v>0</v>
      </c>
      <c r="CJ15" s="7">
        <f t="shared" si="17"/>
        <v>0</v>
      </c>
      <c r="CK15" s="7">
        <f t="shared" si="18"/>
        <v>0</v>
      </c>
      <c r="CL15" s="196"/>
      <c r="CM15" s="352">
        <f t="shared" si="8"/>
        <v>0</v>
      </c>
      <c r="CN15" s="352">
        <f t="shared" si="9"/>
        <v>0</v>
      </c>
      <c r="CO15" s="352">
        <f t="shared" si="10"/>
        <v>0</v>
      </c>
      <c r="CP15" s="352">
        <f t="shared" si="11"/>
        <v>0</v>
      </c>
      <c r="CQ15" s="352">
        <f t="shared" si="12"/>
        <v>0</v>
      </c>
      <c r="CR15" s="352">
        <f t="shared" si="13"/>
        <v>0</v>
      </c>
      <c r="CS15" s="352">
        <f t="shared" si="14"/>
        <v>0</v>
      </c>
      <c r="CT15" s="196"/>
      <c r="CU15" s="67">
        <v>1</v>
      </c>
      <c r="CV15" s="67">
        <v>1</v>
      </c>
      <c r="EX15" s="13" t="str">
        <f t="shared" si="15"/>
        <v>Capital Expenditure CP3</v>
      </c>
    </row>
    <row r="16" spans="1:154" x14ac:dyDescent="0.25">
      <c r="A16" s="362" cm="1">
        <f t="array" aca="1" ref="A16" ca="1">HYPERLINK(CONCATENATE("#",CELL("address",IF(SUM($CA16:$CL16)=0,A16,INDEX($CA16:$CL16,MATCH(1,$CA16:$CL16,0))))),SUM($CA16:$CL16))</f>
        <v>0</v>
      </c>
      <c r="C16" s="521" t="s">
        <v>1073</v>
      </c>
      <c r="D16" s="388" t="s">
        <v>2566</v>
      </c>
      <c r="E16" s="388" t="s">
        <v>122</v>
      </c>
      <c r="F16" s="388" t="s">
        <v>356</v>
      </c>
      <c r="G16" s="147">
        <v>70</v>
      </c>
      <c r="H16" s="47" t="s">
        <v>92</v>
      </c>
      <c r="S16" s="335"/>
      <c r="T16" s="335"/>
      <c r="U16" s="335"/>
      <c r="V16" s="156"/>
      <c r="W16" s="215">
        <f t="shared" si="1"/>
        <v>0</v>
      </c>
      <c r="X16" s="215">
        <f t="shared" si="1"/>
        <v>1780</v>
      </c>
      <c r="Y16" s="215">
        <f t="shared" si="1"/>
        <v>2330</v>
      </c>
      <c r="Z16" s="335"/>
      <c r="AA16" s="147"/>
      <c r="AB16" s="147"/>
      <c r="AC16" s="147"/>
      <c r="AD16" s="147"/>
      <c r="AE16" s="147"/>
      <c r="AF16" s="147"/>
      <c r="AG16" s="147"/>
      <c r="AH16" s="147"/>
      <c r="AI16" s="147"/>
      <c r="AJ16" s="147"/>
      <c r="AK16" s="147"/>
      <c r="AL16" s="147"/>
      <c r="AM16" s="147"/>
      <c r="AN16" s="147"/>
      <c r="AO16" s="147"/>
      <c r="AP16" s="147"/>
      <c r="AQ16" s="147">
        <v>196</v>
      </c>
      <c r="AR16" s="147">
        <v>203</v>
      </c>
      <c r="AS16" s="147">
        <v>204</v>
      </c>
      <c r="AT16" s="147">
        <v>250</v>
      </c>
      <c r="AU16" s="147">
        <v>305</v>
      </c>
      <c r="AV16" s="147">
        <v>177</v>
      </c>
      <c r="AW16" s="147">
        <v>245</v>
      </c>
      <c r="AX16" s="147">
        <v>200</v>
      </c>
      <c r="AY16" s="147">
        <v>194</v>
      </c>
      <c r="AZ16" s="147">
        <v>195</v>
      </c>
      <c r="BA16" s="147">
        <v>204</v>
      </c>
      <c r="BB16" s="147">
        <v>210</v>
      </c>
      <c r="BC16" s="147">
        <v>210</v>
      </c>
      <c r="BD16" s="147">
        <v>205</v>
      </c>
      <c r="BE16" s="147">
        <v>265</v>
      </c>
      <c r="BF16" s="147">
        <v>155</v>
      </c>
      <c r="BG16" s="147">
        <v>156</v>
      </c>
      <c r="BH16" s="147">
        <v>175</v>
      </c>
      <c r="BI16" s="147">
        <v>180</v>
      </c>
      <c r="BJ16" s="147">
        <v>181</v>
      </c>
      <c r="BL16" s="153">
        <f t="shared" si="2"/>
        <v>0</v>
      </c>
      <c r="BM16" s="153">
        <f t="shared" si="3"/>
        <v>0</v>
      </c>
      <c r="BN16" s="153">
        <f t="shared" si="4"/>
        <v>1780</v>
      </c>
      <c r="BO16" s="153">
        <f t="shared" si="5"/>
        <v>2330</v>
      </c>
      <c r="BP16" s="156"/>
      <c r="BQ16" s="156"/>
      <c r="BR16" s="156"/>
      <c r="BS16" s="156"/>
      <c r="BT16" s="156"/>
      <c r="BU16" s="156"/>
      <c r="BV16" s="156"/>
      <c r="BW16" s="156"/>
      <c r="BY16" s="12"/>
      <c r="BZ16" s="363">
        <f t="shared" si="6"/>
        <v>0</v>
      </c>
      <c r="CA16" s="12"/>
      <c r="CB16" s="7">
        <f t="shared" si="7"/>
        <v>0</v>
      </c>
      <c r="CC16" s="7" cm="1">
        <f t="array" ref="CC16">IF(AND(OR(MAX(ABS($AA16:$BW16))&gt;0, ABS($V16)&gt;0), _xlfn.IFNA(MATCH(E16, Parameters!$D$39:$D$42, 0), 0)=0), 1, 0)</f>
        <v>0</v>
      </c>
      <c r="CD16" s="7" cm="1">
        <f t="array" ref="CD16">IF(AND(OR(MAX(ABS($AA16:$BW16))&gt;0, ABS($V16)&gt;0), _xlfn.IFNA(MATCH(F16, Parameters!$D$52:$D$58, 0), "N/A")="N/A"), 1, 0)</f>
        <v>0</v>
      </c>
      <c r="CI16" s="7">
        <f t="shared" si="16"/>
        <v>0</v>
      </c>
      <c r="CJ16" s="7">
        <f t="shared" si="17"/>
        <v>0</v>
      </c>
      <c r="CK16" s="7">
        <f t="shared" si="18"/>
        <v>0</v>
      </c>
      <c r="CL16" s="42"/>
      <c r="CM16" s="352">
        <f t="shared" si="8"/>
        <v>0</v>
      </c>
      <c r="CN16" s="352">
        <f t="shared" si="9"/>
        <v>0</v>
      </c>
      <c r="CO16" s="352">
        <f t="shared" si="10"/>
        <v>0</v>
      </c>
      <c r="CP16" s="352">
        <f t="shared" si="11"/>
        <v>0</v>
      </c>
      <c r="CQ16" s="352">
        <f t="shared" si="12"/>
        <v>0</v>
      </c>
      <c r="CR16" s="352">
        <f t="shared" si="13"/>
        <v>0</v>
      </c>
      <c r="CS16" s="352">
        <f t="shared" si="14"/>
        <v>0</v>
      </c>
      <c r="CT16" s="42"/>
      <c r="CU16" s="67">
        <v>1</v>
      </c>
      <c r="CV16" s="67">
        <v>1</v>
      </c>
      <c r="EX16" s="13" t="str">
        <f t="shared" si="15"/>
        <v>Capital Expenditure CP4</v>
      </c>
    </row>
    <row r="17" spans="1:154" x14ac:dyDescent="0.25">
      <c r="A17" s="362" cm="1">
        <f t="array" aca="1" ref="A17" ca="1">HYPERLINK(CONCATENATE("#",CELL("address",IF(SUM($CA17:$CL17)=0,A17,INDEX($CA17:$CL17,MATCH(1,$CA17:$CL17,0))))),SUM($CA17:$CL17))</f>
        <v>0</v>
      </c>
      <c r="C17" s="521" t="s">
        <v>1074</v>
      </c>
      <c r="D17" s="388" t="s">
        <v>2567</v>
      </c>
      <c r="E17" s="388" t="s">
        <v>122</v>
      </c>
      <c r="F17" s="388" t="s">
        <v>356</v>
      </c>
      <c r="G17" s="147">
        <v>75</v>
      </c>
      <c r="H17" s="47" t="s">
        <v>92</v>
      </c>
      <c r="S17" s="335"/>
      <c r="T17" s="335"/>
      <c r="U17" s="335"/>
      <c r="V17" s="141"/>
      <c r="W17" s="215">
        <f t="shared" si="1"/>
        <v>1426</v>
      </c>
      <c r="X17" s="215">
        <f t="shared" si="1"/>
        <v>0</v>
      </c>
      <c r="Y17" s="215">
        <f t="shared" si="1"/>
        <v>0</v>
      </c>
      <c r="Z17" s="335"/>
      <c r="AA17" s="147"/>
      <c r="AB17" s="147"/>
      <c r="AC17" s="147"/>
      <c r="AD17" s="147"/>
      <c r="AE17" s="147"/>
      <c r="AF17" s="147"/>
      <c r="AG17" s="147"/>
      <c r="AH17" s="147">
        <v>1426</v>
      </c>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L17" s="10">
        <f t="shared" si="2"/>
        <v>0</v>
      </c>
      <c r="BM17" s="10">
        <f t="shared" si="3"/>
        <v>1426</v>
      </c>
      <c r="BN17" s="10">
        <f t="shared" si="4"/>
        <v>0</v>
      </c>
      <c r="BO17" s="10">
        <f t="shared" si="5"/>
        <v>0</v>
      </c>
      <c r="BP17" s="141"/>
      <c r="BQ17" s="141"/>
      <c r="BR17" s="141"/>
      <c r="BS17" s="141"/>
      <c r="BT17" s="141"/>
      <c r="BU17" s="141"/>
      <c r="BV17" s="141"/>
      <c r="BW17" s="141"/>
      <c r="BY17" s="12"/>
      <c r="BZ17" s="363">
        <f t="shared" si="6"/>
        <v>0</v>
      </c>
      <c r="CA17" s="12"/>
      <c r="CB17" s="7">
        <f t="shared" si="7"/>
        <v>0</v>
      </c>
      <c r="CC17" s="7" cm="1">
        <f t="array" ref="CC17">IF(AND(OR(MAX(ABS($AA17:$BW17))&gt;0, ABS($V17)&gt;0), _xlfn.IFNA(MATCH(E17, Parameters!$D$39:$D$42, 0), 0)=0), 1, 0)</f>
        <v>0</v>
      </c>
      <c r="CD17" s="7" cm="1">
        <f t="array" ref="CD17">IF(AND(OR(MAX(ABS($AA17:$BW17))&gt;0, ABS($V17)&gt;0), _xlfn.IFNA(MATCH(F17, Parameters!$D$52:$D$58, 0), "N/A")="N/A"), 1, 0)</f>
        <v>0</v>
      </c>
      <c r="CI17" s="7">
        <f t="shared" si="16"/>
        <v>0</v>
      </c>
      <c r="CJ17" s="7">
        <f t="shared" si="17"/>
        <v>0</v>
      </c>
      <c r="CK17" s="7">
        <f t="shared" si="18"/>
        <v>0</v>
      </c>
      <c r="CL17" s="42"/>
      <c r="CM17" s="352">
        <f t="shared" si="8"/>
        <v>0</v>
      </c>
      <c r="CN17" s="352">
        <f t="shared" si="9"/>
        <v>0</v>
      </c>
      <c r="CO17" s="352">
        <f t="shared" si="10"/>
        <v>0</v>
      </c>
      <c r="CP17" s="352">
        <f t="shared" si="11"/>
        <v>0</v>
      </c>
      <c r="CQ17" s="352">
        <f t="shared" si="12"/>
        <v>0</v>
      </c>
      <c r="CR17" s="352">
        <f t="shared" si="13"/>
        <v>0</v>
      </c>
      <c r="CS17" s="352">
        <f t="shared" si="14"/>
        <v>0</v>
      </c>
      <c r="CT17" s="42"/>
      <c r="CU17" s="67">
        <v>1</v>
      </c>
      <c r="CV17" s="67">
        <v>1</v>
      </c>
      <c r="EX17" s="13" t="str">
        <f t="shared" si="15"/>
        <v>Capital Expenditure CP5</v>
      </c>
    </row>
    <row r="18" spans="1:154" x14ac:dyDescent="0.25">
      <c r="A18" s="362" cm="1">
        <f t="array" aca="1" ref="A18" ca="1">HYPERLINK(CONCATENATE("#",CELL("address",IF(SUM($CA18:$CL18)=0,A18,INDEX($CA18:$CL18,MATCH(1,$CA18:$CL18,0))))),SUM($CA18:$CL18))</f>
        <v>0</v>
      </c>
      <c r="C18" s="521" t="s">
        <v>1075</v>
      </c>
      <c r="D18" s="388" t="s">
        <v>2568</v>
      </c>
      <c r="E18" s="388" t="s">
        <v>122</v>
      </c>
      <c r="F18" s="388" t="s">
        <v>358</v>
      </c>
      <c r="G18" s="142">
        <v>70.010000000000005</v>
      </c>
      <c r="H18" s="47" t="s">
        <v>92</v>
      </c>
      <c r="S18" s="335"/>
      <c r="T18" s="335"/>
      <c r="U18" s="335"/>
      <c r="V18" s="141"/>
      <c r="W18" s="215">
        <f t="shared" si="1"/>
        <v>2809</v>
      </c>
      <c r="X18" s="215">
        <f t="shared" si="1"/>
        <v>0</v>
      </c>
      <c r="Y18" s="215">
        <f t="shared" si="1"/>
        <v>0</v>
      </c>
      <c r="Z18" s="335"/>
      <c r="AA18" s="147"/>
      <c r="AB18" s="147"/>
      <c r="AC18" s="147">
        <v>2809</v>
      </c>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L18" s="10">
        <f t="shared" si="2"/>
        <v>0</v>
      </c>
      <c r="BM18" s="10">
        <f t="shared" si="3"/>
        <v>2809</v>
      </c>
      <c r="BN18" s="10">
        <f t="shared" si="4"/>
        <v>0</v>
      </c>
      <c r="BO18" s="10">
        <f t="shared" si="5"/>
        <v>0</v>
      </c>
      <c r="BP18" s="141"/>
      <c r="BQ18" s="141"/>
      <c r="BR18" s="141"/>
      <c r="BS18" s="141"/>
      <c r="BT18" s="141"/>
      <c r="BU18" s="141"/>
      <c r="BV18" s="141"/>
      <c r="BW18" s="141"/>
      <c r="BY18" s="12"/>
      <c r="BZ18" s="363">
        <f t="shared" si="6"/>
        <v>0</v>
      </c>
      <c r="CA18" s="12"/>
      <c r="CB18" s="7">
        <f t="shared" si="7"/>
        <v>0</v>
      </c>
      <c r="CC18" s="7" cm="1">
        <f t="array" ref="CC18">IF(AND(OR(MAX(ABS($AA18:$BW18))&gt;0, ABS($V18)&gt;0), _xlfn.IFNA(MATCH(E18, Parameters!$D$39:$D$42, 0), 0)=0), 1, 0)</f>
        <v>0</v>
      </c>
      <c r="CD18" s="7" cm="1">
        <f t="array" ref="CD18">IF(AND(OR(MAX(ABS($AA18:$BW18))&gt;0, ABS($V18)&gt;0), _xlfn.IFNA(MATCH(F18, Parameters!$D$52:$D$58, 0), "N/A")="N/A"), 1, 0)</f>
        <v>0</v>
      </c>
      <c r="CI18" s="7">
        <f t="shared" si="16"/>
        <v>0</v>
      </c>
      <c r="CJ18" s="7">
        <f t="shared" si="17"/>
        <v>0</v>
      </c>
      <c r="CK18" s="7">
        <f t="shared" si="18"/>
        <v>0</v>
      </c>
      <c r="CL18" s="42"/>
      <c r="CM18" s="352">
        <f t="shared" si="8"/>
        <v>0</v>
      </c>
      <c r="CN18" s="352">
        <f t="shared" si="9"/>
        <v>0</v>
      </c>
      <c r="CO18" s="352">
        <f t="shared" si="10"/>
        <v>0</v>
      </c>
      <c r="CP18" s="352">
        <f t="shared" si="11"/>
        <v>0</v>
      </c>
      <c r="CQ18" s="352">
        <f t="shared" si="12"/>
        <v>0</v>
      </c>
      <c r="CR18" s="352">
        <f t="shared" si="13"/>
        <v>0</v>
      </c>
      <c r="CS18" s="352">
        <f t="shared" si="14"/>
        <v>0</v>
      </c>
      <c r="CT18" s="42"/>
      <c r="CU18" s="67">
        <v>1</v>
      </c>
      <c r="CV18" s="67">
        <v>1</v>
      </c>
      <c r="EX18" s="13" t="str">
        <f t="shared" si="15"/>
        <v>Capital Expenditure CP6</v>
      </c>
    </row>
    <row r="19" spans="1:154" x14ac:dyDescent="0.25">
      <c r="A19" s="362" cm="1">
        <f t="array" aca="1" ref="A19" ca="1">HYPERLINK(CONCATENATE("#",CELL("address",IF(SUM($CA19:$CL19)=0,A19,INDEX($CA19:$CL19,MATCH(1,$CA19:$CL19,0))))),SUM($CA19:$CL19))</f>
        <v>0</v>
      </c>
      <c r="C19" s="521" t="s">
        <v>1076</v>
      </c>
      <c r="D19" s="388" t="s">
        <v>2569</v>
      </c>
      <c r="E19" s="388" t="s">
        <v>100</v>
      </c>
      <c r="F19" s="388" t="s">
        <v>356</v>
      </c>
      <c r="G19" s="142">
        <v>50</v>
      </c>
      <c r="H19" s="47" t="s">
        <v>92</v>
      </c>
      <c r="S19" s="335"/>
      <c r="T19" s="335"/>
      <c r="U19" s="335"/>
      <c r="V19" s="141"/>
      <c r="W19" s="215">
        <f t="shared" si="1"/>
        <v>0</v>
      </c>
      <c r="X19" s="215">
        <f t="shared" si="1"/>
        <v>528</v>
      </c>
      <c r="Y19" s="215">
        <f t="shared" si="1"/>
        <v>0</v>
      </c>
      <c r="Z19" s="335"/>
      <c r="AA19" s="147"/>
      <c r="AB19" s="147"/>
      <c r="AC19" s="147"/>
      <c r="AD19" s="147"/>
      <c r="AE19" s="147"/>
      <c r="AF19" s="147"/>
      <c r="AG19" s="147"/>
      <c r="AH19" s="147"/>
      <c r="AI19" s="147"/>
      <c r="AJ19" s="147"/>
      <c r="AK19" s="147"/>
      <c r="AL19" s="147"/>
      <c r="AM19" s="147">
        <v>528</v>
      </c>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L19" s="10">
        <f t="shared" si="2"/>
        <v>0</v>
      </c>
      <c r="BM19" s="10">
        <f t="shared" si="3"/>
        <v>0</v>
      </c>
      <c r="BN19" s="10">
        <f t="shared" si="4"/>
        <v>528</v>
      </c>
      <c r="BO19" s="10">
        <f t="shared" si="5"/>
        <v>0</v>
      </c>
      <c r="BP19" s="141"/>
      <c r="BQ19" s="141"/>
      <c r="BR19" s="141"/>
      <c r="BS19" s="141"/>
      <c r="BT19" s="141"/>
      <c r="BU19" s="141"/>
      <c r="BV19" s="141"/>
      <c r="BW19" s="141"/>
      <c r="BY19" s="12"/>
      <c r="BZ19" s="363">
        <f t="shared" si="6"/>
        <v>0</v>
      </c>
      <c r="CA19" s="12"/>
      <c r="CB19" s="7">
        <f t="shared" si="7"/>
        <v>0</v>
      </c>
      <c r="CC19" s="7" cm="1">
        <f t="array" ref="CC19">IF(AND(OR(MAX(ABS($AA19:$BW19))&gt;0, ABS($V19)&gt;0), _xlfn.IFNA(MATCH(E19, Parameters!$D$39:$D$42, 0), 0)=0), 1, 0)</f>
        <v>0</v>
      </c>
      <c r="CD19" s="7" cm="1">
        <f t="array" ref="CD19">IF(AND(OR(MAX(ABS($AA19:$BW19))&gt;0, ABS($V19)&gt;0), _xlfn.IFNA(MATCH(F19, Parameters!$D$52:$D$58, 0), "N/A")="N/A"), 1, 0)</f>
        <v>0</v>
      </c>
      <c r="CI19" s="7">
        <f t="shared" si="16"/>
        <v>0</v>
      </c>
      <c r="CJ19" s="7">
        <f t="shared" si="17"/>
        <v>0</v>
      </c>
      <c r="CK19" s="7">
        <f t="shared" si="18"/>
        <v>0</v>
      </c>
      <c r="CL19" s="42"/>
      <c r="CM19" s="352">
        <f t="shared" si="8"/>
        <v>0</v>
      </c>
      <c r="CN19" s="352">
        <f t="shared" si="9"/>
        <v>0</v>
      </c>
      <c r="CO19" s="352">
        <f t="shared" si="10"/>
        <v>0</v>
      </c>
      <c r="CP19" s="352">
        <f t="shared" si="11"/>
        <v>0</v>
      </c>
      <c r="CQ19" s="352">
        <f t="shared" si="12"/>
        <v>0</v>
      </c>
      <c r="CR19" s="352">
        <f t="shared" si="13"/>
        <v>0</v>
      </c>
      <c r="CS19" s="352">
        <f t="shared" si="14"/>
        <v>0</v>
      </c>
      <c r="CT19" s="42"/>
      <c r="CU19" s="67">
        <v>1</v>
      </c>
      <c r="CV19" s="67">
        <v>1</v>
      </c>
      <c r="EX19" s="13" t="str">
        <f t="shared" si="15"/>
        <v>Capital Expenditure CP7</v>
      </c>
    </row>
    <row r="20" spans="1:154" x14ac:dyDescent="0.25">
      <c r="A20" s="362" cm="1">
        <f t="array" aca="1" ref="A20" ca="1">HYPERLINK(CONCATENATE("#",CELL("address",IF(SUM($CA20:$CL20)=0,A20,INDEX($CA20:$CL20,MATCH(1,$CA20:$CL20,0))))),SUM($CA20:$CL20))</f>
        <v>0</v>
      </c>
      <c r="C20" s="521" t="s">
        <v>1077</v>
      </c>
      <c r="D20" s="388"/>
      <c r="E20" s="388"/>
      <c r="F20" s="388"/>
      <c r="G20" s="142"/>
      <c r="H20" s="47" t="s">
        <v>92</v>
      </c>
      <c r="S20" s="335"/>
      <c r="T20" s="335"/>
      <c r="U20" s="335"/>
      <c r="V20" s="141"/>
      <c r="W20" s="215">
        <f t="shared" si="1"/>
        <v>0</v>
      </c>
      <c r="X20" s="215">
        <f t="shared" si="1"/>
        <v>0</v>
      </c>
      <c r="Y20" s="215">
        <f t="shared" si="1"/>
        <v>0</v>
      </c>
      <c r="Z20" s="335"/>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L20" s="10">
        <f t="shared" si="2"/>
        <v>0</v>
      </c>
      <c r="BM20" s="10">
        <f t="shared" si="3"/>
        <v>0</v>
      </c>
      <c r="BN20" s="10">
        <f t="shared" si="4"/>
        <v>0</v>
      </c>
      <c r="BO20" s="10">
        <f t="shared" si="5"/>
        <v>0</v>
      </c>
      <c r="BP20" s="141"/>
      <c r="BQ20" s="141"/>
      <c r="BR20" s="141"/>
      <c r="BS20" s="141"/>
      <c r="BT20" s="141"/>
      <c r="BU20" s="141"/>
      <c r="BV20" s="141"/>
      <c r="BW20" s="141"/>
      <c r="BY20" s="12"/>
      <c r="BZ20" s="363">
        <f t="shared" si="6"/>
        <v>0</v>
      </c>
      <c r="CA20" s="12"/>
      <c r="CB20" s="7">
        <f t="shared" si="7"/>
        <v>0</v>
      </c>
      <c r="CC20" s="7" cm="1">
        <f t="array" ref="CC20">IF(AND(OR(MAX(ABS($AA20:$BW20))&gt;0, ABS($V20)&gt;0), _xlfn.IFNA(MATCH(E20, Parameters!$D$39:$D$42, 0), 0)=0), 1, 0)</f>
        <v>0</v>
      </c>
      <c r="CD20" s="7" cm="1">
        <f t="array" ref="CD20">IF(AND(OR(MAX(ABS($AA20:$BW20))&gt;0, ABS($V20)&gt;0), _xlfn.IFNA(MATCH(F20, Parameters!$D$52:$D$58, 0), "N/A")="N/A"), 1, 0)</f>
        <v>0</v>
      </c>
      <c r="CI20" s="7">
        <f t="shared" si="16"/>
        <v>0</v>
      </c>
      <c r="CJ20" s="7">
        <f t="shared" si="17"/>
        <v>0</v>
      </c>
      <c r="CK20" s="7">
        <f t="shared" si="18"/>
        <v>0</v>
      </c>
      <c r="CL20" s="42"/>
      <c r="CM20" s="352">
        <f t="shared" si="8"/>
        <v>0</v>
      </c>
      <c r="CN20" s="352">
        <f t="shared" si="9"/>
        <v>0</v>
      </c>
      <c r="CO20" s="352">
        <f t="shared" si="10"/>
        <v>0</v>
      </c>
      <c r="CP20" s="352">
        <f t="shared" si="11"/>
        <v>0</v>
      </c>
      <c r="CQ20" s="352">
        <f t="shared" si="12"/>
        <v>0</v>
      </c>
      <c r="CR20" s="352">
        <f t="shared" si="13"/>
        <v>0</v>
      </c>
      <c r="CS20" s="352">
        <f t="shared" si="14"/>
        <v>0</v>
      </c>
      <c r="CT20" s="42"/>
      <c r="CU20" s="67">
        <v>1</v>
      </c>
      <c r="CV20" s="67">
        <v>1</v>
      </c>
      <c r="EX20" s="13" t="str">
        <f t="shared" si="15"/>
        <v>Capital Expenditure CP8</v>
      </c>
    </row>
    <row r="21" spans="1:154" x14ac:dyDescent="0.25">
      <c r="A21" s="362" cm="1">
        <f t="array" aca="1" ref="A21" ca="1">HYPERLINK(CONCATENATE("#",CELL("address",IF(SUM($CA21:$CL21)=0,A21,INDEX($CA21:$CL21,MATCH(1,$CA21:$CL21,0))))),SUM($CA21:$CL21))</f>
        <v>0</v>
      </c>
      <c r="C21" s="521" t="s">
        <v>1078</v>
      </c>
      <c r="D21" s="388"/>
      <c r="E21" s="388"/>
      <c r="F21" s="388"/>
      <c r="G21" s="142"/>
      <c r="H21" s="47" t="s">
        <v>92</v>
      </c>
      <c r="S21" s="335"/>
      <c r="T21" s="335"/>
      <c r="U21" s="335"/>
      <c r="V21" s="141"/>
      <c r="W21" s="215">
        <f t="shared" si="1"/>
        <v>0</v>
      </c>
      <c r="X21" s="215">
        <f t="shared" si="1"/>
        <v>0</v>
      </c>
      <c r="Y21" s="215">
        <f t="shared" si="1"/>
        <v>0</v>
      </c>
      <c r="Z21" s="335"/>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L21" s="10">
        <f t="shared" si="2"/>
        <v>0</v>
      </c>
      <c r="BM21" s="10">
        <f t="shared" si="3"/>
        <v>0</v>
      </c>
      <c r="BN21" s="10">
        <f t="shared" si="4"/>
        <v>0</v>
      </c>
      <c r="BO21" s="10">
        <f t="shared" si="5"/>
        <v>0</v>
      </c>
      <c r="BP21" s="141"/>
      <c r="BQ21" s="141"/>
      <c r="BR21" s="141"/>
      <c r="BS21" s="141"/>
      <c r="BT21" s="141"/>
      <c r="BU21" s="141"/>
      <c r="BV21" s="141"/>
      <c r="BW21" s="141"/>
      <c r="BY21" s="12"/>
      <c r="BZ21" s="363">
        <f t="shared" si="6"/>
        <v>0</v>
      </c>
      <c r="CA21" s="12"/>
      <c r="CB21" s="7">
        <f t="shared" si="7"/>
        <v>0</v>
      </c>
      <c r="CC21" s="7" cm="1">
        <f t="array" ref="CC21">IF(AND(OR(MAX(ABS($AA21:$BW21))&gt;0, ABS($V21)&gt;0), _xlfn.IFNA(MATCH(E21, Parameters!$D$39:$D$42, 0), 0)=0), 1, 0)</f>
        <v>0</v>
      </c>
      <c r="CD21" s="7" cm="1">
        <f t="array" ref="CD21">IF(AND(OR(MAX(ABS($AA21:$BW21))&gt;0, ABS($V21)&gt;0), _xlfn.IFNA(MATCH(F21, Parameters!$D$52:$D$58, 0), "N/A")="N/A"), 1, 0)</f>
        <v>0</v>
      </c>
      <c r="CI21" s="7">
        <f t="shared" si="16"/>
        <v>0</v>
      </c>
      <c r="CJ21" s="7">
        <f t="shared" si="17"/>
        <v>0</v>
      </c>
      <c r="CK21" s="7">
        <f t="shared" si="18"/>
        <v>0</v>
      </c>
      <c r="CL21" s="42"/>
      <c r="CM21" s="352">
        <f t="shared" si="8"/>
        <v>0</v>
      </c>
      <c r="CN21" s="352">
        <f t="shared" si="9"/>
        <v>0</v>
      </c>
      <c r="CO21" s="352">
        <f t="shared" si="10"/>
        <v>0</v>
      </c>
      <c r="CP21" s="352">
        <f t="shared" si="11"/>
        <v>0</v>
      </c>
      <c r="CQ21" s="352">
        <f t="shared" si="12"/>
        <v>0</v>
      </c>
      <c r="CR21" s="352">
        <f t="shared" si="13"/>
        <v>0</v>
      </c>
      <c r="CS21" s="352">
        <f t="shared" si="14"/>
        <v>0</v>
      </c>
      <c r="CT21" s="42"/>
      <c r="CU21" s="67">
        <v>1</v>
      </c>
      <c r="CV21" s="67">
        <v>1</v>
      </c>
      <c r="EX21" s="13" t="str">
        <f t="shared" si="15"/>
        <v>Capital Expenditure CP9</v>
      </c>
    </row>
    <row r="22" spans="1:154" x14ac:dyDescent="0.25">
      <c r="A22" s="362" cm="1">
        <f t="array" aca="1" ref="A22" ca="1">HYPERLINK(CONCATENATE("#",CELL("address",IF(SUM($CA22:$CL22)=0,A22,INDEX($CA22:$CL22,MATCH(1,$CA22:$CL22,0))))),SUM($CA22:$CL22))</f>
        <v>0</v>
      </c>
      <c r="C22" s="521" t="s">
        <v>1079</v>
      </c>
      <c r="D22" s="388"/>
      <c r="E22" s="388"/>
      <c r="F22" s="388"/>
      <c r="G22" s="142"/>
      <c r="H22" s="47" t="s">
        <v>92</v>
      </c>
      <c r="S22" s="335"/>
      <c r="T22" s="335"/>
      <c r="U22" s="335"/>
      <c r="V22" s="141"/>
      <c r="W22" s="215">
        <f t="shared" si="1"/>
        <v>0</v>
      </c>
      <c r="X22" s="215">
        <f t="shared" si="1"/>
        <v>0</v>
      </c>
      <c r="Y22" s="215">
        <f t="shared" si="1"/>
        <v>0</v>
      </c>
      <c r="Z22" s="335"/>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L22" s="10">
        <f t="shared" si="2"/>
        <v>0</v>
      </c>
      <c r="BM22" s="10">
        <f t="shared" si="3"/>
        <v>0</v>
      </c>
      <c r="BN22" s="10">
        <f t="shared" si="4"/>
        <v>0</v>
      </c>
      <c r="BO22" s="10">
        <f t="shared" si="5"/>
        <v>0</v>
      </c>
      <c r="BP22" s="141"/>
      <c r="BQ22" s="141"/>
      <c r="BR22" s="141"/>
      <c r="BS22" s="141"/>
      <c r="BT22" s="141"/>
      <c r="BU22" s="141"/>
      <c r="BV22" s="141"/>
      <c r="BW22" s="141"/>
      <c r="BY22" s="12"/>
      <c r="BZ22" s="363">
        <f t="shared" si="6"/>
        <v>0</v>
      </c>
      <c r="CA22" s="12"/>
      <c r="CB22" s="7">
        <f t="shared" si="7"/>
        <v>0</v>
      </c>
      <c r="CC22" s="7" cm="1">
        <f t="array" ref="CC22">IF(AND(OR(MAX(ABS($AA22:$BW22))&gt;0, ABS($V22)&gt;0), _xlfn.IFNA(MATCH(E22, Parameters!$D$39:$D$42, 0), 0)=0), 1, 0)</f>
        <v>0</v>
      </c>
      <c r="CD22" s="7" cm="1">
        <f t="array" ref="CD22">IF(AND(OR(MAX(ABS($AA22:$BW22))&gt;0, ABS($V22)&gt;0), _xlfn.IFNA(MATCH(F22, Parameters!$D$52:$D$58, 0), "N/A")="N/A"), 1, 0)</f>
        <v>0</v>
      </c>
      <c r="CI22" s="7">
        <f t="shared" si="16"/>
        <v>0</v>
      </c>
      <c r="CJ22" s="7">
        <f t="shared" si="17"/>
        <v>0</v>
      </c>
      <c r="CK22" s="7">
        <f t="shared" si="18"/>
        <v>0</v>
      </c>
      <c r="CL22" s="42"/>
      <c r="CM22" s="352">
        <f t="shared" si="8"/>
        <v>0</v>
      </c>
      <c r="CN22" s="352">
        <f t="shared" si="9"/>
        <v>0</v>
      </c>
      <c r="CO22" s="352">
        <f t="shared" si="10"/>
        <v>0</v>
      </c>
      <c r="CP22" s="352">
        <f t="shared" si="11"/>
        <v>0</v>
      </c>
      <c r="CQ22" s="352">
        <f t="shared" si="12"/>
        <v>0</v>
      </c>
      <c r="CR22" s="352">
        <f t="shared" si="13"/>
        <v>0</v>
      </c>
      <c r="CS22" s="352">
        <f t="shared" si="14"/>
        <v>0</v>
      </c>
      <c r="CT22" s="42"/>
      <c r="CU22" s="67">
        <v>1</v>
      </c>
      <c r="CV22" s="67">
        <v>1</v>
      </c>
      <c r="EX22" s="13" t="str">
        <f t="shared" si="15"/>
        <v>Capital Expenditure CP10</v>
      </c>
    </row>
    <row r="23" spans="1:154" x14ac:dyDescent="0.25">
      <c r="A23" s="362" cm="1">
        <f t="array" aca="1" ref="A23" ca="1">HYPERLINK(CONCATENATE("#",CELL("address",IF(SUM($CA23:$CL23)=0,A23,INDEX($CA23:$CL23,MATCH(1,$CA23:$CL23,0))))),SUM($CA23:$CL23))</f>
        <v>0</v>
      </c>
      <c r="C23" s="521" t="s">
        <v>1080</v>
      </c>
      <c r="D23" s="388"/>
      <c r="E23" s="388"/>
      <c r="F23" s="388"/>
      <c r="G23" s="142"/>
      <c r="H23" s="47" t="s">
        <v>92</v>
      </c>
      <c r="S23" s="335"/>
      <c r="T23" s="335"/>
      <c r="U23" s="335"/>
      <c r="V23" s="141"/>
      <c r="W23" s="215">
        <f t="shared" si="1"/>
        <v>0</v>
      </c>
      <c r="X23" s="215">
        <f t="shared" si="1"/>
        <v>0</v>
      </c>
      <c r="Y23" s="215">
        <f t="shared" si="1"/>
        <v>0</v>
      </c>
      <c r="Z23" s="335"/>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L23" s="10">
        <f t="shared" si="2"/>
        <v>0</v>
      </c>
      <c r="BM23" s="10">
        <f t="shared" si="3"/>
        <v>0</v>
      </c>
      <c r="BN23" s="10">
        <f t="shared" si="4"/>
        <v>0</v>
      </c>
      <c r="BO23" s="10">
        <f t="shared" si="5"/>
        <v>0</v>
      </c>
      <c r="BP23" s="141"/>
      <c r="BQ23" s="141"/>
      <c r="BR23" s="141"/>
      <c r="BS23" s="141"/>
      <c r="BT23" s="141"/>
      <c r="BU23" s="141"/>
      <c r="BV23" s="141"/>
      <c r="BW23" s="141"/>
      <c r="BY23" s="12"/>
      <c r="BZ23" s="363">
        <f t="shared" si="6"/>
        <v>0</v>
      </c>
      <c r="CA23" s="12"/>
      <c r="CB23" s="7">
        <f t="shared" si="7"/>
        <v>0</v>
      </c>
      <c r="CC23" s="7" cm="1">
        <f t="array" ref="CC23">IF(AND(OR(MAX(ABS($AA23:$BW23))&gt;0, ABS($V23)&gt;0), _xlfn.IFNA(MATCH(E23, Parameters!$D$39:$D$42, 0), 0)=0), 1, 0)</f>
        <v>0</v>
      </c>
      <c r="CD23" s="7" cm="1">
        <f t="array" ref="CD23">IF(AND(OR(MAX(ABS($AA23:$BW23))&gt;0, ABS($V23)&gt;0), _xlfn.IFNA(MATCH(F23, Parameters!$D$52:$D$58, 0), "N/A")="N/A"), 1, 0)</f>
        <v>0</v>
      </c>
      <c r="CI23" s="7">
        <f t="shared" si="16"/>
        <v>0</v>
      </c>
      <c r="CJ23" s="7">
        <f t="shared" si="17"/>
        <v>0</v>
      </c>
      <c r="CK23" s="7">
        <f t="shared" si="18"/>
        <v>0</v>
      </c>
      <c r="CL23" s="42"/>
      <c r="CM23" s="352">
        <f t="shared" si="8"/>
        <v>0</v>
      </c>
      <c r="CN23" s="352">
        <f t="shared" si="9"/>
        <v>0</v>
      </c>
      <c r="CO23" s="352">
        <f t="shared" si="10"/>
        <v>0</v>
      </c>
      <c r="CP23" s="352">
        <f t="shared" si="11"/>
        <v>0</v>
      </c>
      <c r="CQ23" s="352">
        <f t="shared" si="12"/>
        <v>0</v>
      </c>
      <c r="CR23" s="352">
        <f t="shared" si="13"/>
        <v>0</v>
      </c>
      <c r="CS23" s="352">
        <f t="shared" si="14"/>
        <v>0</v>
      </c>
      <c r="CT23" s="42"/>
      <c r="CU23" s="67">
        <v>1</v>
      </c>
      <c r="CV23" s="67">
        <v>1</v>
      </c>
      <c r="EX23" s="13" t="str">
        <f t="shared" si="15"/>
        <v>Capital Expenditure CP11</v>
      </c>
    </row>
    <row r="24" spans="1:154" x14ac:dyDescent="0.25">
      <c r="A24" s="362" cm="1">
        <f t="array" aca="1" ref="A24" ca="1">HYPERLINK(CONCATENATE("#",CELL("address",IF(SUM($CA24:$CL24)=0,A24,INDEX($CA24:$CL24,MATCH(1,$CA24:$CL24,0))))),SUM($CA24:$CL24))</f>
        <v>0</v>
      </c>
      <c r="C24" s="521" t="s">
        <v>1081</v>
      </c>
      <c r="D24" s="388"/>
      <c r="E24" s="388"/>
      <c r="F24" s="388"/>
      <c r="G24" s="142"/>
      <c r="H24" s="47" t="s">
        <v>92</v>
      </c>
      <c r="S24" s="335"/>
      <c r="T24" s="335"/>
      <c r="U24" s="335"/>
      <c r="V24" s="141"/>
      <c r="W24" s="215">
        <f t="shared" si="1"/>
        <v>0</v>
      </c>
      <c r="X24" s="215">
        <f t="shared" si="1"/>
        <v>0</v>
      </c>
      <c r="Y24" s="215">
        <f t="shared" si="1"/>
        <v>0</v>
      </c>
      <c r="Z24" s="335"/>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L24" s="10">
        <f t="shared" si="2"/>
        <v>0</v>
      </c>
      <c r="BM24" s="10">
        <f t="shared" si="3"/>
        <v>0</v>
      </c>
      <c r="BN24" s="10">
        <f t="shared" si="4"/>
        <v>0</v>
      </c>
      <c r="BO24" s="10">
        <f t="shared" si="5"/>
        <v>0</v>
      </c>
      <c r="BP24" s="141"/>
      <c r="BQ24" s="141"/>
      <c r="BR24" s="141"/>
      <c r="BS24" s="141"/>
      <c r="BT24" s="141"/>
      <c r="BU24" s="141"/>
      <c r="BV24" s="141"/>
      <c r="BW24" s="141"/>
      <c r="BY24" s="12"/>
      <c r="BZ24" s="363">
        <f t="shared" si="6"/>
        <v>0</v>
      </c>
      <c r="CA24" s="12"/>
      <c r="CB24" s="7">
        <f t="shared" si="7"/>
        <v>0</v>
      </c>
      <c r="CC24" s="7" cm="1">
        <f t="array" ref="CC24">IF(AND(OR(MAX(ABS($AA24:$BW24))&gt;0, ABS($V24)&gt;0), _xlfn.IFNA(MATCH(E24, Parameters!$D$39:$D$42, 0), 0)=0), 1, 0)</f>
        <v>0</v>
      </c>
      <c r="CD24" s="7" cm="1">
        <f t="array" ref="CD24">IF(AND(OR(MAX(ABS($AA24:$BW24))&gt;0, ABS($V24)&gt;0), _xlfn.IFNA(MATCH(F24, Parameters!$D$52:$D$58, 0), "N/A")="N/A"), 1, 0)</f>
        <v>0</v>
      </c>
      <c r="CI24" s="7">
        <f t="shared" si="16"/>
        <v>0</v>
      </c>
      <c r="CJ24" s="7">
        <f t="shared" si="17"/>
        <v>0</v>
      </c>
      <c r="CK24" s="7">
        <f t="shared" si="18"/>
        <v>0</v>
      </c>
      <c r="CL24" s="42"/>
      <c r="CM24" s="352">
        <f t="shared" si="8"/>
        <v>0</v>
      </c>
      <c r="CN24" s="352">
        <f t="shared" si="9"/>
        <v>0</v>
      </c>
      <c r="CO24" s="352">
        <f t="shared" si="10"/>
        <v>0</v>
      </c>
      <c r="CP24" s="352">
        <f t="shared" si="11"/>
        <v>0</v>
      </c>
      <c r="CQ24" s="352">
        <f t="shared" si="12"/>
        <v>0</v>
      </c>
      <c r="CR24" s="352">
        <f t="shared" si="13"/>
        <v>0</v>
      </c>
      <c r="CS24" s="352">
        <f t="shared" si="14"/>
        <v>0</v>
      </c>
      <c r="CT24" s="42"/>
      <c r="CU24" s="67">
        <v>1</v>
      </c>
      <c r="CV24" s="67">
        <v>1</v>
      </c>
      <c r="EX24" s="13" t="str">
        <f t="shared" si="15"/>
        <v>Capital Expenditure CP12</v>
      </c>
    </row>
    <row r="25" spans="1:154" x14ac:dyDescent="0.25">
      <c r="A25" s="362" cm="1">
        <f t="array" aca="1" ref="A25" ca="1">HYPERLINK(CONCATENATE("#",CELL("address",IF(SUM($CA25:$CL25)=0,A25,INDEX($CA25:$CL25,MATCH(1,$CA25:$CL25,0))))),SUM($CA25:$CL25))</f>
        <v>0</v>
      </c>
      <c r="C25" s="521" t="s">
        <v>1082</v>
      </c>
      <c r="D25" s="388"/>
      <c r="E25" s="388"/>
      <c r="F25" s="388"/>
      <c r="G25" s="142"/>
      <c r="H25" s="47" t="s">
        <v>92</v>
      </c>
      <c r="S25" s="335"/>
      <c r="T25" s="335"/>
      <c r="U25" s="335"/>
      <c r="V25" s="141"/>
      <c r="W25" s="215">
        <f t="shared" si="1"/>
        <v>0</v>
      </c>
      <c r="X25" s="215">
        <f t="shared" si="1"/>
        <v>0</v>
      </c>
      <c r="Y25" s="215">
        <f t="shared" si="1"/>
        <v>0</v>
      </c>
      <c r="Z25" s="335"/>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L25" s="10">
        <f t="shared" si="2"/>
        <v>0</v>
      </c>
      <c r="BM25" s="10">
        <f t="shared" si="3"/>
        <v>0</v>
      </c>
      <c r="BN25" s="10">
        <f t="shared" si="4"/>
        <v>0</v>
      </c>
      <c r="BO25" s="10">
        <f t="shared" si="5"/>
        <v>0</v>
      </c>
      <c r="BP25" s="141"/>
      <c r="BQ25" s="141"/>
      <c r="BR25" s="141"/>
      <c r="BS25" s="141"/>
      <c r="BT25" s="141"/>
      <c r="BU25" s="141"/>
      <c r="BV25" s="141"/>
      <c r="BW25" s="141"/>
      <c r="BY25" s="12"/>
      <c r="BZ25" s="363">
        <f t="shared" si="6"/>
        <v>0</v>
      </c>
      <c r="CA25" s="12"/>
      <c r="CB25" s="7">
        <f t="shared" si="7"/>
        <v>0</v>
      </c>
      <c r="CC25" s="7" cm="1">
        <f t="array" ref="CC25">IF(AND(OR(MAX(ABS($AA25:$BW25))&gt;0, ABS($V25)&gt;0), _xlfn.IFNA(MATCH(E25, Parameters!$D$39:$D$42, 0), 0)=0), 1, 0)</f>
        <v>0</v>
      </c>
      <c r="CD25" s="7" cm="1">
        <f t="array" ref="CD25">IF(AND(OR(MAX(ABS($AA25:$BW25))&gt;0, ABS($V25)&gt;0), _xlfn.IFNA(MATCH(F25, Parameters!$D$52:$D$58, 0), "N/A")="N/A"), 1, 0)</f>
        <v>0</v>
      </c>
      <c r="CI25" s="7">
        <f t="shared" si="16"/>
        <v>0</v>
      </c>
      <c r="CJ25" s="7">
        <f t="shared" si="17"/>
        <v>0</v>
      </c>
      <c r="CK25" s="7">
        <f t="shared" si="18"/>
        <v>0</v>
      </c>
      <c r="CL25" s="42"/>
      <c r="CM25" s="352">
        <f t="shared" si="8"/>
        <v>0</v>
      </c>
      <c r="CN25" s="352">
        <f t="shared" si="9"/>
        <v>0</v>
      </c>
      <c r="CO25" s="352">
        <f t="shared" si="10"/>
        <v>0</v>
      </c>
      <c r="CP25" s="352">
        <f t="shared" si="11"/>
        <v>0</v>
      </c>
      <c r="CQ25" s="352">
        <f t="shared" si="12"/>
        <v>0</v>
      </c>
      <c r="CR25" s="352">
        <f t="shared" si="13"/>
        <v>0</v>
      </c>
      <c r="CS25" s="352">
        <f t="shared" si="14"/>
        <v>0</v>
      </c>
      <c r="CT25" s="42"/>
      <c r="CU25" s="67">
        <v>1</v>
      </c>
      <c r="CV25" s="67">
        <v>1</v>
      </c>
      <c r="EX25" s="13" t="str">
        <f t="shared" si="15"/>
        <v>Capital Expenditure CP13</v>
      </c>
    </row>
    <row r="26" spans="1:154" x14ac:dyDescent="0.25">
      <c r="A26" s="362" cm="1">
        <f t="array" aca="1" ref="A26" ca="1">HYPERLINK(CONCATENATE("#",CELL("address",IF(SUM($CA26:$CL26)=0,A26,INDEX($CA26:$CL26,MATCH(1,$CA26:$CL26,0))))),SUM($CA26:$CL26))</f>
        <v>0</v>
      </c>
      <c r="C26" s="521" t="s">
        <v>1083</v>
      </c>
      <c r="D26" s="388"/>
      <c r="E26" s="388"/>
      <c r="F26" s="388"/>
      <c r="G26" s="142"/>
      <c r="H26" s="47" t="s">
        <v>92</v>
      </c>
      <c r="S26" s="335"/>
      <c r="T26" s="335"/>
      <c r="U26" s="335"/>
      <c r="V26" s="141"/>
      <c r="W26" s="215">
        <f t="shared" si="1"/>
        <v>0</v>
      </c>
      <c r="X26" s="215">
        <f t="shared" si="1"/>
        <v>0</v>
      </c>
      <c r="Y26" s="215">
        <f t="shared" si="1"/>
        <v>0</v>
      </c>
      <c r="Z26" s="335"/>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L26" s="10">
        <f t="shared" si="2"/>
        <v>0</v>
      </c>
      <c r="BM26" s="10">
        <f t="shared" si="3"/>
        <v>0</v>
      </c>
      <c r="BN26" s="10">
        <f t="shared" si="4"/>
        <v>0</v>
      </c>
      <c r="BO26" s="10">
        <f t="shared" si="5"/>
        <v>0</v>
      </c>
      <c r="BP26" s="141"/>
      <c r="BQ26" s="141"/>
      <c r="BR26" s="141"/>
      <c r="BS26" s="141"/>
      <c r="BT26" s="141"/>
      <c r="BU26" s="141"/>
      <c r="BV26" s="141"/>
      <c r="BW26" s="141"/>
      <c r="BY26" s="12"/>
      <c r="BZ26" s="363">
        <f t="shared" si="6"/>
        <v>0</v>
      </c>
      <c r="CA26" s="12"/>
      <c r="CB26" s="7">
        <f t="shared" si="7"/>
        <v>0</v>
      </c>
      <c r="CC26" s="7" cm="1">
        <f t="array" ref="CC26">IF(AND(OR(MAX(ABS($AA26:$BW26))&gt;0, ABS($V26)&gt;0), _xlfn.IFNA(MATCH(E26, Parameters!$D$39:$D$42, 0), 0)=0), 1, 0)</f>
        <v>0</v>
      </c>
      <c r="CD26" s="7" cm="1">
        <f t="array" ref="CD26">IF(AND(OR(MAX(ABS($AA26:$BW26))&gt;0, ABS($V26)&gt;0), _xlfn.IFNA(MATCH(F26, Parameters!$D$52:$D$58, 0), "N/A")="N/A"), 1, 0)</f>
        <v>0</v>
      </c>
      <c r="CI26" s="7">
        <f t="shared" si="16"/>
        <v>0</v>
      </c>
      <c r="CJ26" s="7">
        <f t="shared" si="17"/>
        <v>0</v>
      </c>
      <c r="CK26" s="7">
        <f t="shared" si="18"/>
        <v>0</v>
      </c>
      <c r="CL26" s="42"/>
      <c r="CM26" s="352">
        <f t="shared" si="8"/>
        <v>0</v>
      </c>
      <c r="CN26" s="352">
        <f t="shared" si="9"/>
        <v>0</v>
      </c>
      <c r="CO26" s="352">
        <f t="shared" si="10"/>
        <v>0</v>
      </c>
      <c r="CP26" s="352">
        <f t="shared" si="11"/>
        <v>0</v>
      </c>
      <c r="CQ26" s="352">
        <f t="shared" si="12"/>
        <v>0</v>
      </c>
      <c r="CR26" s="352">
        <f t="shared" si="13"/>
        <v>0</v>
      </c>
      <c r="CS26" s="352">
        <f t="shared" si="14"/>
        <v>0</v>
      </c>
      <c r="CT26" s="42"/>
      <c r="CU26" s="67">
        <v>1</v>
      </c>
      <c r="CV26" s="67">
        <v>1</v>
      </c>
      <c r="EX26" s="13" t="str">
        <f t="shared" si="15"/>
        <v>Capital Expenditure CP14</v>
      </c>
    </row>
    <row r="27" spans="1:154" x14ac:dyDescent="0.25">
      <c r="A27" s="362" cm="1">
        <f t="array" aca="1" ref="A27" ca="1">HYPERLINK(CONCATENATE("#",CELL("address",IF(SUM($CA27:$CL27)=0,A27,INDEX($CA27:$CL27,MATCH(1,$CA27:$CL27,0))))),SUM($CA27:$CL27))</f>
        <v>0</v>
      </c>
      <c r="C27" s="521" t="s">
        <v>1084</v>
      </c>
      <c r="D27" s="388"/>
      <c r="E27" s="388"/>
      <c r="F27" s="388"/>
      <c r="G27" s="142"/>
      <c r="H27" s="47" t="s">
        <v>92</v>
      </c>
      <c r="S27" s="335"/>
      <c r="T27" s="335"/>
      <c r="U27" s="335"/>
      <c r="V27" s="141"/>
      <c r="W27" s="215">
        <f t="shared" si="1"/>
        <v>0</v>
      </c>
      <c r="X27" s="215">
        <f t="shared" si="1"/>
        <v>0</v>
      </c>
      <c r="Y27" s="215">
        <f t="shared" si="1"/>
        <v>0</v>
      </c>
      <c r="Z27" s="335"/>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L27" s="10">
        <f t="shared" si="2"/>
        <v>0</v>
      </c>
      <c r="BM27" s="10">
        <f t="shared" si="3"/>
        <v>0</v>
      </c>
      <c r="BN27" s="10">
        <f t="shared" si="4"/>
        <v>0</v>
      </c>
      <c r="BO27" s="10">
        <f t="shared" si="5"/>
        <v>0</v>
      </c>
      <c r="BP27" s="141"/>
      <c r="BQ27" s="141"/>
      <c r="BR27" s="141"/>
      <c r="BS27" s="141"/>
      <c r="BT27" s="141"/>
      <c r="BU27" s="141"/>
      <c r="BV27" s="141"/>
      <c r="BW27" s="141"/>
      <c r="BY27" s="12"/>
      <c r="BZ27" s="363">
        <f t="shared" si="6"/>
        <v>0</v>
      </c>
      <c r="CA27" s="12"/>
      <c r="CB27" s="7">
        <f t="shared" si="7"/>
        <v>0</v>
      </c>
      <c r="CC27" s="7" cm="1">
        <f t="array" ref="CC27">IF(AND(OR(MAX(ABS($AA27:$BW27))&gt;0, ABS($V27)&gt;0), _xlfn.IFNA(MATCH(E27, Parameters!$D$39:$D$42, 0), 0)=0), 1, 0)</f>
        <v>0</v>
      </c>
      <c r="CD27" s="7" cm="1">
        <f t="array" ref="CD27">IF(AND(OR(MAX(ABS($AA27:$BW27))&gt;0, ABS($V27)&gt;0), _xlfn.IFNA(MATCH(F27, Parameters!$D$52:$D$58, 0), "N/A")="N/A"), 1, 0)</f>
        <v>0</v>
      </c>
      <c r="CI27" s="7">
        <f t="shared" si="16"/>
        <v>0</v>
      </c>
      <c r="CJ27" s="7">
        <f t="shared" si="17"/>
        <v>0</v>
      </c>
      <c r="CK27" s="7">
        <f t="shared" si="18"/>
        <v>0</v>
      </c>
      <c r="CL27" s="42"/>
      <c r="CM27" s="352">
        <f t="shared" si="8"/>
        <v>0</v>
      </c>
      <c r="CN27" s="352">
        <f t="shared" si="9"/>
        <v>0</v>
      </c>
      <c r="CO27" s="352">
        <f t="shared" si="10"/>
        <v>0</v>
      </c>
      <c r="CP27" s="352">
        <f t="shared" si="11"/>
        <v>0</v>
      </c>
      <c r="CQ27" s="352">
        <f t="shared" si="12"/>
        <v>0</v>
      </c>
      <c r="CR27" s="352">
        <f t="shared" si="13"/>
        <v>0</v>
      </c>
      <c r="CS27" s="352">
        <f t="shared" si="14"/>
        <v>0</v>
      </c>
      <c r="CT27" s="42"/>
      <c r="CU27" s="67">
        <v>1</v>
      </c>
      <c r="CV27" s="67">
        <v>1</v>
      </c>
      <c r="EX27" s="13" t="str">
        <f t="shared" si="15"/>
        <v>Capital Expenditure CP15</v>
      </c>
    </row>
    <row r="28" spans="1:154" x14ac:dyDescent="0.25">
      <c r="A28" s="362" cm="1">
        <f t="array" aca="1" ref="A28" ca="1">HYPERLINK(CONCATENATE("#",CELL("address",IF(SUM($CA28:$CL28)=0,A28,INDEX($CA28:$CL28,MATCH(1,$CA28:$CL28,0))))),SUM($CA28:$CL28))</f>
        <v>0</v>
      </c>
      <c r="C28" s="410"/>
      <c r="D28" s="82" t="s">
        <v>383</v>
      </c>
      <c r="E28" s="82" t="str">
        <f>Parameters!$D$39</f>
        <v>Land &amp; Buildings</v>
      </c>
      <c r="F28" s="25"/>
      <c r="G28" s="25"/>
      <c r="S28" s="335"/>
      <c r="T28" s="335"/>
      <c r="U28" s="335"/>
      <c r="V28" s="13">
        <f t="shared" ref="V28:Y31" si="19">SUMIFS(V$13:V$27, $E$13:$E$27, $E28)</f>
        <v>0</v>
      </c>
      <c r="W28" s="13">
        <f t="shared" si="19"/>
        <v>4318</v>
      </c>
      <c r="X28" s="13">
        <f t="shared" si="19"/>
        <v>4936</v>
      </c>
      <c r="Y28" s="13">
        <f t="shared" si="19"/>
        <v>2378</v>
      </c>
      <c r="Z28" s="335"/>
      <c r="AA28" s="13">
        <f t="shared" ref="AA28:AJ31" si="20">SUMIFS(AA$13:AA$27, $E$13:$E$27, $E28)</f>
        <v>10</v>
      </c>
      <c r="AB28" s="13">
        <f t="shared" si="20"/>
        <v>0</v>
      </c>
      <c r="AC28" s="13">
        <f t="shared" si="20"/>
        <v>2809</v>
      </c>
      <c r="AD28" s="13">
        <f t="shared" si="20"/>
        <v>0</v>
      </c>
      <c r="AE28" s="13">
        <f t="shared" si="20"/>
        <v>0</v>
      </c>
      <c r="AF28" s="13">
        <f t="shared" si="20"/>
        <v>0</v>
      </c>
      <c r="AG28" s="13">
        <f t="shared" si="20"/>
        <v>0</v>
      </c>
      <c r="AH28" s="13">
        <f t="shared" si="20"/>
        <v>1426</v>
      </c>
      <c r="AI28" s="13">
        <f t="shared" si="20"/>
        <v>0</v>
      </c>
      <c r="AJ28" s="13">
        <f t="shared" si="20"/>
        <v>0</v>
      </c>
      <c r="AK28" s="13">
        <f t="shared" ref="AK28:AT31" si="21">SUMIFS(AK$13:AK$27, $E$13:$E$27, $E28)</f>
        <v>0</v>
      </c>
      <c r="AL28" s="13">
        <f t="shared" si="21"/>
        <v>73</v>
      </c>
      <c r="AM28" s="13">
        <f t="shared" si="21"/>
        <v>283</v>
      </c>
      <c r="AN28" s="13">
        <f t="shared" si="21"/>
        <v>790</v>
      </c>
      <c r="AO28" s="13">
        <f t="shared" si="21"/>
        <v>363</v>
      </c>
      <c r="AP28" s="13">
        <f t="shared" si="21"/>
        <v>194</v>
      </c>
      <c r="AQ28" s="13">
        <f t="shared" si="21"/>
        <v>438</v>
      </c>
      <c r="AR28" s="13">
        <f t="shared" si="21"/>
        <v>445</v>
      </c>
      <c r="AS28" s="13">
        <f t="shared" si="21"/>
        <v>446</v>
      </c>
      <c r="AT28" s="13">
        <f t="shared" si="21"/>
        <v>541</v>
      </c>
      <c r="AU28" s="13">
        <f t="shared" ref="AU28:BD31" si="22">SUMIFS(AU$13:AU$27, $E$13:$E$27, $E28)</f>
        <v>499</v>
      </c>
      <c r="AV28" s="13">
        <f t="shared" si="22"/>
        <v>322</v>
      </c>
      <c r="AW28" s="13">
        <f t="shared" si="22"/>
        <v>318</v>
      </c>
      <c r="AX28" s="13">
        <f t="shared" si="22"/>
        <v>297</v>
      </c>
      <c r="AY28" s="13">
        <f t="shared" si="22"/>
        <v>242</v>
      </c>
      <c r="AZ28" s="13">
        <f t="shared" si="22"/>
        <v>195</v>
      </c>
      <c r="BA28" s="13">
        <f t="shared" si="22"/>
        <v>204</v>
      </c>
      <c r="BB28" s="13">
        <f t="shared" si="22"/>
        <v>210</v>
      </c>
      <c r="BC28" s="13">
        <f t="shared" si="22"/>
        <v>210</v>
      </c>
      <c r="BD28" s="13">
        <f t="shared" si="22"/>
        <v>205</v>
      </c>
      <c r="BE28" s="13">
        <f t="shared" ref="BE28:BJ31" si="23">SUMIFS(BE$13:BE$27, $E$13:$E$27, $E28)</f>
        <v>265</v>
      </c>
      <c r="BF28" s="13">
        <f t="shared" si="23"/>
        <v>155</v>
      </c>
      <c r="BG28" s="13">
        <f t="shared" si="23"/>
        <v>156</v>
      </c>
      <c r="BH28" s="13">
        <f t="shared" si="23"/>
        <v>175</v>
      </c>
      <c r="BI28" s="13">
        <f t="shared" si="23"/>
        <v>180</v>
      </c>
      <c r="BJ28" s="13">
        <f t="shared" si="23"/>
        <v>181</v>
      </c>
      <c r="BK28" s="335"/>
      <c r="BL28" s="13">
        <f t="shared" ref="BL28:BW31" si="24">SUMIFS(BL$13:BL$27, $E$13:$E$27, $E28)</f>
        <v>0</v>
      </c>
      <c r="BM28" s="13">
        <f t="shared" si="24"/>
        <v>4318</v>
      </c>
      <c r="BN28" s="13">
        <f t="shared" si="24"/>
        <v>4936</v>
      </c>
      <c r="BO28" s="13">
        <f t="shared" si="24"/>
        <v>2378</v>
      </c>
      <c r="BP28" s="13">
        <f t="shared" si="24"/>
        <v>0</v>
      </c>
      <c r="BQ28" s="13">
        <f t="shared" si="24"/>
        <v>0</v>
      </c>
      <c r="BR28" s="13">
        <f t="shared" si="24"/>
        <v>0</v>
      </c>
      <c r="BS28" s="13">
        <f t="shared" si="24"/>
        <v>0</v>
      </c>
      <c r="BT28" s="13">
        <f t="shared" si="24"/>
        <v>0</v>
      </c>
      <c r="BU28" s="13">
        <f t="shared" si="24"/>
        <v>0</v>
      </c>
      <c r="BV28" s="13">
        <f t="shared" si="24"/>
        <v>0</v>
      </c>
      <c r="BW28" s="13">
        <f t="shared" si="24"/>
        <v>0</v>
      </c>
      <c r="BY28" s="12"/>
      <c r="BZ28" s="363">
        <f t="shared" si="6"/>
        <v>0</v>
      </c>
      <c r="CA28" s="12"/>
      <c r="CB28" s="335"/>
      <c r="CC28" s="335"/>
      <c r="CD28" s="335"/>
      <c r="CF28" s="335"/>
      <c r="CH28" s="335"/>
      <c r="CI28" s="7">
        <f t="shared" si="16"/>
        <v>0</v>
      </c>
      <c r="CJ28" s="7">
        <f t="shared" si="17"/>
        <v>0</v>
      </c>
      <c r="CK28" s="7">
        <f t="shared" si="18"/>
        <v>0</v>
      </c>
      <c r="CL28" s="42"/>
      <c r="CM28" s="352">
        <f t="shared" si="8"/>
        <v>0</v>
      </c>
      <c r="CN28" s="352">
        <f t="shared" si="9"/>
        <v>0</v>
      </c>
      <c r="CO28" s="352">
        <f t="shared" si="10"/>
        <v>0</v>
      </c>
      <c r="CP28" s="352">
        <f t="shared" si="11"/>
        <v>0</v>
      </c>
      <c r="CQ28" s="352">
        <f t="shared" si="12"/>
        <v>0</v>
      </c>
      <c r="CR28" s="352">
        <f t="shared" si="13"/>
        <v>0</v>
      </c>
      <c r="CS28" s="352">
        <f t="shared" si="14"/>
        <v>0</v>
      </c>
      <c r="CT28" s="42"/>
      <c r="CU28" s="67">
        <v>0</v>
      </c>
      <c r="CV28" s="67">
        <v>0</v>
      </c>
      <c r="EX28" s="10" t="str">
        <f t="shared" si="0"/>
        <v/>
      </c>
    </row>
    <row r="29" spans="1:154" x14ac:dyDescent="0.25">
      <c r="A29" s="362" cm="1">
        <f t="array" aca="1" ref="A29" ca="1">HYPERLINK(CONCATENATE("#",CELL("address",IF(SUM($CA29:$CL29)=0,A29,INDEX($CA29:$CL29,MATCH(1,$CA29:$CL29,0))))),SUM($CA29:$CL29))</f>
        <v>0</v>
      </c>
      <c r="C29" s="410"/>
      <c r="D29" s="82" t="s">
        <v>384</v>
      </c>
      <c r="E29" s="82" t="str">
        <f>Parameters!$D$40</f>
        <v>Equipment</v>
      </c>
      <c r="F29" s="25"/>
      <c r="G29" s="25"/>
      <c r="S29" s="335"/>
      <c r="T29" s="335"/>
      <c r="U29" s="335"/>
      <c r="V29" s="13">
        <f t="shared" si="19"/>
        <v>0</v>
      </c>
      <c r="W29" s="13">
        <f t="shared" si="19"/>
        <v>112</v>
      </c>
      <c r="X29" s="13">
        <f t="shared" si="19"/>
        <v>798</v>
      </c>
      <c r="Y29" s="13">
        <f t="shared" si="19"/>
        <v>0</v>
      </c>
      <c r="Z29" s="335"/>
      <c r="AA29" s="13">
        <f t="shared" si="20"/>
        <v>100</v>
      </c>
      <c r="AB29" s="13">
        <f t="shared" si="20"/>
        <v>0</v>
      </c>
      <c r="AC29" s="13">
        <f t="shared" si="20"/>
        <v>0</v>
      </c>
      <c r="AD29" s="13">
        <f t="shared" si="20"/>
        <v>0</v>
      </c>
      <c r="AE29" s="13">
        <f t="shared" si="20"/>
        <v>0</v>
      </c>
      <c r="AF29" s="13">
        <f t="shared" si="20"/>
        <v>0</v>
      </c>
      <c r="AG29" s="13">
        <f t="shared" si="20"/>
        <v>0</v>
      </c>
      <c r="AH29" s="13">
        <f t="shared" si="20"/>
        <v>0</v>
      </c>
      <c r="AI29" s="13">
        <f t="shared" si="20"/>
        <v>0</v>
      </c>
      <c r="AJ29" s="13">
        <f t="shared" si="20"/>
        <v>0</v>
      </c>
      <c r="AK29" s="13">
        <f t="shared" si="21"/>
        <v>12</v>
      </c>
      <c r="AL29" s="13">
        <f t="shared" si="21"/>
        <v>0</v>
      </c>
      <c r="AM29" s="13">
        <f t="shared" si="21"/>
        <v>798</v>
      </c>
      <c r="AN29" s="13">
        <f t="shared" si="21"/>
        <v>0</v>
      </c>
      <c r="AO29" s="13">
        <f t="shared" si="21"/>
        <v>0</v>
      </c>
      <c r="AP29" s="13">
        <f t="shared" si="21"/>
        <v>0</v>
      </c>
      <c r="AQ29" s="13">
        <f t="shared" si="21"/>
        <v>0</v>
      </c>
      <c r="AR29" s="13">
        <f t="shared" si="21"/>
        <v>0</v>
      </c>
      <c r="AS29" s="13">
        <f t="shared" si="21"/>
        <v>0</v>
      </c>
      <c r="AT29" s="13">
        <f t="shared" si="21"/>
        <v>0</v>
      </c>
      <c r="AU29" s="13">
        <f t="shared" si="22"/>
        <v>0</v>
      </c>
      <c r="AV29" s="13">
        <f t="shared" si="22"/>
        <v>0</v>
      </c>
      <c r="AW29" s="13">
        <f t="shared" si="22"/>
        <v>0</v>
      </c>
      <c r="AX29" s="13">
        <f t="shared" si="22"/>
        <v>0</v>
      </c>
      <c r="AY29" s="13">
        <f t="shared" si="22"/>
        <v>0</v>
      </c>
      <c r="AZ29" s="13">
        <f t="shared" si="22"/>
        <v>0</v>
      </c>
      <c r="BA29" s="13">
        <f t="shared" si="22"/>
        <v>0</v>
      </c>
      <c r="BB29" s="13">
        <f t="shared" si="22"/>
        <v>0</v>
      </c>
      <c r="BC29" s="13">
        <f t="shared" si="22"/>
        <v>0</v>
      </c>
      <c r="BD29" s="13">
        <f t="shared" si="22"/>
        <v>0</v>
      </c>
      <c r="BE29" s="13">
        <f t="shared" si="23"/>
        <v>0</v>
      </c>
      <c r="BF29" s="13">
        <f t="shared" si="23"/>
        <v>0</v>
      </c>
      <c r="BG29" s="13">
        <f t="shared" si="23"/>
        <v>0</v>
      </c>
      <c r="BH29" s="13">
        <f t="shared" si="23"/>
        <v>0</v>
      </c>
      <c r="BI29" s="13">
        <f t="shared" si="23"/>
        <v>0</v>
      </c>
      <c r="BJ29" s="13">
        <f t="shared" si="23"/>
        <v>0</v>
      </c>
      <c r="BK29" s="335"/>
      <c r="BL29" s="13">
        <f t="shared" si="24"/>
        <v>0</v>
      </c>
      <c r="BM29" s="13">
        <f t="shared" si="24"/>
        <v>112</v>
      </c>
      <c r="BN29" s="13">
        <f t="shared" si="24"/>
        <v>798</v>
      </c>
      <c r="BO29" s="13">
        <f t="shared" si="24"/>
        <v>0</v>
      </c>
      <c r="BP29" s="13">
        <f t="shared" si="24"/>
        <v>0</v>
      </c>
      <c r="BQ29" s="13">
        <f t="shared" si="24"/>
        <v>0</v>
      </c>
      <c r="BR29" s="13">
        <f t="shared" si="24"/>
        <v>0</v>
      </c>
      <c r="BS29" s="13">
        <f t="shared" si="24"/>
        <v>0</v>
      </c>
      <c r="BT29" s="13">
        <f t="shared" si="24"/>
        <v>0</v>
      </c>
      <c r="BU29" s="13">
        <f t="shared" si="24"/>
        <v>0</v>
      </c>
      <c r="BV29" s="13">
        <f t="shared" si="24"/>
        <v>0</v>
      </c>
      <c r="BW29" s="13">
        <f t="shared" si="24"/>
        <v>0</v>
      </c>
      <c r="BY29" s="12"/>
      <c r="BZ29" s="363">
        <f t="shared" si="6"/>
        <v>0</v>
      </c>
      <c r="CA29" s="12"/>
      <c r="CB29" s="335"/>
      <c r="CC29" s="335"/>
      <c r="CD29" s="335"/>
      <c r="CF29" s="335"/>
      <c r="CH29" s="335"/>
      <c r="CI29" s="7">
        <f t="shared" si="16"/>
        <v>0</v>
      </c>
      <c r="CJ29" s="7">
        <f t="shared" si="17"/>
        <v>0</v>
      </c>
      <c r="CK29" s="7">
        <f t="shared" si="18"/>
        <v>0</v>
      </c>
      <c r="CL29" s="42"/>
      <c r="CM29" s="352">
        <f t="shared" si="8"/>
        <v>0</v>
      </c>
      <c r="CN29" s="352">
        <f t="shared" si="9"/>
        <v>0</v>
      </c>
      <c r="CO29" s="352">
        <f t="shared" si="10"/>
        <v>0</v>
      </c>
      <c r="CP29" s="352">
        <f t="shared" si="11"/>
        <v>0</v>
      </c>
      <c r="CQ29" s="352">
        <f t="shared" si="12"/>
        <v>0</v>
      </c>
      <c r="CR29" s="352">
        <f t="shared" si="13"/>
        <v>0</v>
      </c>
      <c r="CS29" s="352">
        <f t="shared" si="14"/>
        <v>0</v>
      </c>
      <c r="CT29" s="42"/>
      <c r="CU29" s="67">
        <v>0</v>
      </c>
      <c r="CV29" s="67">
        <v>0</v>
      </c>
      <c r="EX29" s="10" t="str">
        <f t="shared" si="0"/>
        <v/>
      </c>
    </row>
    <row r="30" spans="1:154" s="335" customFormat="1" x14ac:dyDescent="0.25">
      <c r="A30" s="362" cm="1">
        <f t="array" aca="1" ref="A30" ca="1">HYPERLINK(CONCATENATE("#",CELL("address",IF(SUM($CA30:$CL30)=0,A30,INDEX($CA30:$CL30,MATCH(1,$CA30:$CL30,0))))),SUM($CA30:$CL30))</f>
        <v>0</v>
      </c>
      <c r="C30" s="410"/>
      <c r="D30" s="82" t="s">
        <v>399</v>
      </c>
      <c r="E30" s="82" t="str">
        <f>Parameters!$D$41</f>
        <v>Other NCA</v>
      </c>
      <c r="F30" s="25"/>
      <c r="G30" s="25"/>
      <c r="V30" s="13">
        <f t="shared" si="19"/>
        <v>0</v>
      </c>
      <c r="W30" s="13">
        <f t="shared" si="19"/>
        <v>0</v>
      </c>
      <c r="X30" s="13">
        <f t="shared" si="19"/>
        <v>0</v>
      </c>
      <c r="Y30" s="13">
        <f t="shared" si="19"/>
        <v>0</v>
      </c>
      <c r="AA30" s="13">
        <f t="shared" si="20"/>
        <v>0</v>
      </c>
      <c r="AB30" s="13">
        <f t="shared" si="20"/>
        <v>0</v>
      </c>
      <c r="AC30" s="13">
        <f t="shared" si="20"/>
        <v>0</v>
      </c>
      <c r="AD30" s="13">
        <f t="shared" si="20"/>
        <v>0</v>
      </c>
      <c r="AE30" s="13">
        <f t="shared" si="20"/>
        <v>0</v>
      </c>
      <c r="AF30" s="13">
        <f t="shared" si="20"/>
        <v>0</v>
      </c>
      <c r="AG30" s="13">
        <f t="shared" si="20"/>
        <v>0</v>
      </c>
      <c r="AH30" s="13">
        <f t="shared" si="20"/>
        <v>0</v>
      </c>
      <c r="AI30" s="13">
        <f t="shared" si="20"/>
        <v>0</v>
      </c>
      <c r="AJ30" s="13">
        <f t="shared" si="20"/>
        <v>0</v>
      </c>
      <c r="AK30" s="13">
        <f t="shared" si="21"/>
        <v>0</v>
      </c>
      <c r="AL30" s="13">
        <f t="shared" si="21"/>
        <v>0</v>
      </c>
      <c r="AM30" s="13">
        <f t="shared" si="21"/>
        <v>0</v>
      </c>
      <c r="AN30" s="13">
        <f t="shared" si="21"/>
        <v>0</v>
      </c>
      <c r="AO30" s="13">
        <f t="shared" si="21"/>
        <v>0</v>
      </c>
      <c r="AP30" s="13">
        <f t="shared" si="21"/>
        <v>0</v>
      </c>
      <c r="AQ30" s="13">
        <f t="shared" si="21"/>
        <v>0</v>
      </c>
      <c r="AR30" s="13">
        <f t="shared" si="21"/>
        <v>0</v>
      </c>
      <c r="AS30" s="13">
        <f t="shared" si="21"/>
        <v>0</v>
      </c>
      <c r="AT30" s="13">
        <f t="shared" si="21"/>
        <v>0</v>
      </c>
      <c r="AU30" s="13">
        <f t="shared" si="22"/>
        <v>0</v>
      </c>
      <c r="AV30" s="13">
        <f t="shared" si="22"/>
        <v>0</v>
      </c>
      <c r="AW30" s="13">
        <f t="shared" si="22"/>
        <v>0</v>
      </c>
      <c r="AX30" s="13">
        <f t="shared" si="22"/>
        <v>0</v>
      </c>
      <c r="AY30" s="13">
        <f t="shared" si="22"/>
        <v>0</v>
      </c>
      <c r="AZ30" s="13">
        <f t="shared" si="22"/>
        <v>0</v>
      </c>
      <c r="BA30" s="13">
        <f t="shared" si="22"/>
        <v>0</v>
      </c>
      <c r="BB30" s="13">
        <f t="shared" si="22"/>
        <v>0</v>
      </c>
      <c r="BC30" s="13">
        <f t="shared" si="22"/>
        <v>0</v>
      </c>
      <c r="BD30" s="13">
        <f t="shared" si="22"/>
        <v>0</v>
      </c>
      <c r="BE30" s="13">
        <f t="shared" si="23"/>
        <v>0</v>
      </c>
      <c r="BF30" s="13">
        <f t="shared" si="23"/>
        <v>0</v>
      </c>
      <c r="BG30" s="13">
        <f t="shared" si="23"/>
        <v>0</v>
      </c>
      <c r="BH30" s="13">
        <f t="shared" si="23"/>
        <v>0</v>
      </c>
      <c r="BI30" s="13">
        <f t="shared" si="23"/>
        <v>0</v>
      </c>
      <c r="BJ30" s="13">
        <f t="shared" si="23"/>
        <v>0</v>
      </c>
      <c r="BL30" s="13">
        <f t="shared" si="24"/>
        <v>0</v>
      </c>
      <c r="BM30" s="13">
        <f t="shared" si="24"/>
        <v>0</v>
      </c>
      <c r="BN30" s="13">
        <f t="shared" si="24"/>
        <v>0</v>
      </c>
      <c r="BO30" s="13">
        <f t="shared" si="24"/>
        <v>0</v>
      </c>
      <c r="BP30" s="13">
        <f t="shared" si="24"/>
        <v>0</v>
      </c>
      <c r="BQ30" s="13">
        <f t="shared" si="24"/>
        <v>0</v>
      </c>
      <c r="BR30" s="13">
        <f t="shared" si="24"/>
        <v>0</v>
      </c>
      <c r="BS30" s="13">
        <f t="shared" si="24"/>
        <v>0</v>
      </c>
      <c r="BT30" s="13">
        <f t="shared" si="24"/>
        <v>0</v>
      </c>
      <c r="BU30" s="13">
        <f t="shared" si="24"/>
        <v>0</v>
      </c>
      <c r="BV30" s="13">
        <f t="shared" si="24"/>
        <v>0</v>
      </c>
      <c r="BW30" s="13">
        <f t="shared" si="24"/>
        <v>0</v>
      </c>
      <c r="BY30" s="12"/>
      <c r="BZ30" s="363">
        <f t="shared" si="6"/>
        <v>0</v>
      </c>
      <c r="CA30" s="12"/>
      <c r="CI30" s="7">
        <f t="shared" si="16"/>
        <v>0</v>
      </c>
      <c r="CJ30" s="7">
        <f t="shared" si="17"/>
        <v>0</v>
      </c>
      <c r="CK30" s="7">
        <f t="shared" si="18"/>
        <v>0</v>
      </c>
      <c r="CL30" s="42"/>
      <c r="CM30" s="352">
        <f t="shared" si="8"/>
        <v>0</v>
      </c>
      <c r="CN30" s="352">
        <f t="shared" si="9"/>
        <v>0</v>
      </c>
      <c r="CO30" s="352">
        <f t="shared" si="10"/>
        <v>0</v>
      </c>
      <c r="CP30" s="352">
        <f t="shared" si="11"/>
        <v>0</v>
      </c>
      <c r="CQ30" s="352">
        <f t="shared" si="12"/>
        <v>0</v>
      </c>
      <c r="CR30" s="352">
        <f t="shared" si="13"/>
        <v>0</v>
      </c>
      <c r="CS30" s="352">
        <f t="shared" si="14"/>
        <v>0</v>
      </c>
      <c r="CT30" s="42"/>
      <c r="CU30" s="335">
        <v>0</v>
      </c>
      <c r="CV30" s="335">
        <v>0</v>
      </c>
      <c r="EX30" s="10" t="str">
        <f t="shared" si="0"/>
        <v/>
      </c>
    </row>
    <row r="31" spans="1:154" x14ac:dyDescent="0.25">
      <c r="A31" s="362" cm="1">
        <f t="array" aca="1" ref="A31" ca="1">HYPERLINK(CONCATENATE("#",CELL("address",IF(SUM($CA31:$CL31)=0,A31,INDEX($CA31:$CL31,MATCH(1,$CA31:$CL31,0))))),SUM($CA31:$CL31))</f>
        <v>0</v>
      </c>
      <c r="C31" s="410"/>
      <c r="D31" s="82" t="s">
        <v>104</v>
      </c>
      <c r="E31" s="82" t="str">
        <f>Parameters!$D$42</f>
        <v>Assets under Construction</v>
      </c>
      <c r="F31" s="25"/>
      <c r="G31" s="25"/>
      <c r="S31" s="335"/>
      <c r="T31" s="335"/>
      <c r="U31" s="335"/>
      <c r="V31" s="13">
        <f t="shared" si="19"/>
        <v>0</v>
      </c>
      <c r="W31" s="13">
        <f t="shared" si="19"/>
        <v>0</v>
      </c>
      <c r="X31" s="13">
        <f t="shared" si="19"/>
        <v>0</v>
      </c>
      <c r="Y31" s="13">
        <f t="shared" si="19"/>
        <v>0</v>
      </c>
      <c r="Z31" s="335"/>
      <c r="AA31" s="13">
        <f t="shared" si="20"/>
        <v>0</v>
      </c>
      <c r="AB31" s="13">
        <f t="shared" si="20"/>
        <v>0</v>
      </c>
      <c r="AC31" s="13">
        <f t="shared" si="20"/>
        <v>0</v>
      </c>
      <c r="AD31" s="13">
        <f t="shared" si="20"/>
        <v>0</v>
      </c>
      <c r="AE31" s="13">
        <f t="shared" si="20"/>
        <v>0</v>
      </c>
      <c r="AF31" s="13">
        <f t="shared" si="20"/>
        <v>0</v>
      </c>
      <c r="AG31" s="13">
        <f t="shared" si="20"/>
        <v>0</v>
      </c>
      <c r="AH31" s="13">
        <f t="shared" si="20"/>
        <v>0</v>
      </c>
      <c r="AI31" s="13">
        <f t="shared" si="20"/>
        <v>0</v>
      </c>
      <c r="AJ31" s="13">
        <f t="shared" si="20"/>
        <v>0</v>
      </c>
      <c r="AK31" s="13">
        <f t="shared" si="21"/>
        <v>0</v>
      </c>
      <c r="AL31" s="13">
        <f t="shared" si="21"/>
        <v>0</v>
      </c>
      <c r="AM31" s="13">
        <f t="shared" si="21"/>
        <v>0</v>
      </c>
      <c r="AN31" s="13">
        <f t="shared" si="21"/>
        <v>0</v>
      </c>
      <c r="AO31" s="13">
        <f t="shared" si="21"/>
        <v>0</v>
      </c>
      <c r="AP31" s="13">
        <f t="shared" si="21"/>
        <v>0</v>
      </c>
      <c r="AQ31" s="13">
        <f t="shared" si="21"/>
        <v>0</v>
      </c>
      <c r="AR31" s="13">
        <f t="shared" si="21"/>
        <v>0</v>
      </c>
      <c r="AS31" s="13">
        <f t="shared" si="21"/>
        <v>0</v>
      </c>
      <c r="AT31" s="13">
        <f t="shared" si="21"/>
        <v>0</v>
      </c>
      <c r="AU31" s="13">
        <f t="shared" si="22"/>
        <v>0</v>
      </c>
      <c r="AV31" s="13">
        <f t="shared" si="22"/>
        <v>0</v>
      </c>
      <c r="AW31" s="13">
        <f t="shared" si="22"/>
        <v>0</v>
      </c>
      <c r="AX31" s="13">
        <f t="shared" si="22"/>
        <v>0</v>
      </c>
      <c r="AY31" s="13">
        <f t="shared" si="22"/>
        <v>0</v>
      </c>
      <c r="AZ31" s="13">
        <f t="shared" si="22"/>
        <v>0</v>
      </c>
      <c r="BA31" s="13">
        <f t="shared" si="22"/>
        <v>0</v>
      </c>
      <c r="BB31" s="13">
        <f t="shared" si="22"/>
        <v>0</v>
      </c>
      <c r="BC31" s="13">
        <f t="shared" si="22"/>
        <v>0</v>
      </c>
      <c r="BD31" s="13">
        <f t="shared" si="22"/>
        <v>0</v>
      </c>
      <c r="BE31" s="13">
        <f t="shared" si="23"/>
        <v>0</v>
      </c>
      <c r="BF31" s="13">
        <f t="shared" si="23"/>
        <v>0</v>
      </c>
      <c r="BG31" s="13">
        <f t="shared" si="23"/>
        <v>0</v>
      </c>
      <c r="BH31" s="13">
        <f t="shared" si="23"/>
        <v>0</v>
      </c>
      <c r="BI31" s="13">
        <f t="shared" si="23"/>
        <v>0</v>
      </c>
      <c r="BJ31" s="13">
        <f t="shared" si="23"/>
        <v>0</v>
      </c>
      <c r="BK31" s="335"/>
      <c r="BL31" s="13">
        <f t="shared" si="24"/>
        <v>0</v>
      </c>
      <c r="BM31" s="13">
        <f t="shared" si="24"/>
        <v>0</v>
      </c>
      <c r="BN31" s="13">
        <f t="shared" si="24"/>
        <v>0</v>
      </c>
      <c r="BO31" s="13">
        <f t="shared" si="24"/>
        <v>0</v>
      </c>
      <c r="BP31" s="13">
        <f t="shared" si="24"/>
        <v>0</v>
      </c>
      <c r="BQ31" s="13">
        <f t="shared" si="24"/>
        <v>0</v>
      </c>
      <c r="BR31" s="13">
        <f t="shared" si="24"/>
        <v>0</v>
      </c>
      <c r="BS31" s="13">
        <f t="shared" si="24"/>
        <v>0</v>
      </c>
      <c r="BT31" s="13">
        <f t="shared" si="24"/>
        <v>0</v>
      </c>
      <c r="BU31" s="13">
        <f t="shared" si="24"/>
        <v>0</v>
      </c>
      <c r="BV31" s="13">
        <f t="shared" si="24"/>
        <v>0</v>
      </c>
      <c r="BW31" s="13">
        <f t="shared" si="24"/>
        <v>0</v>
      </c>
      <c r="BY31" s="12"/>
      <c r="BZ31" s="363">
        <f>IF(MIN($V31:$BW31)&lt;0, 1, 0)</f>
        <v>0</v>
      </c>
      <c r="CA31" s="12"/>
      <c r="CB31" s="335"/>
      <c r="CC31" s="335"/>
      <c r="CD31" s="335"/>
      <c r="CF31" s="335"/>
      <c r="CH31" s="335"/>
      <c r="CI31" s="7">
        <f t="shared" si="16"/>
        <v>0</v>
      </c>
      <c r="CJ31" s="7">
        <f t="shared" si="17"/>
        <v>0</v>
      </c>
      <c r="CK31" s="7">
        <f t="shared" si="18"/>
        <v>0</v>
      </c>
      <c r="CL31" s="42"/>
      <c r="CM31" s="352">
        <f t="shared" si="8"/>
        <v>0</v>
      </c>
      <c r="CN31" s="352">
        <f t="shared" si="9"/>
        <v>0</v>
      </c>
      <c r="CO31" s="352">
        <f t="shared" si="10"/>
        <v>0</v>
      </c>
      <c r="CP31" s="352">
        <f t="shared" si="11"/>
        <v>0</v>
      </c>
      <c r="CQ31" s="352">
        <f t="shared" si="12"/>
        <v>0</v>
      </c>
      <c r="CR31" s="352">
        <f t="shared" si="13"/>
        <v>0</v>
      </c>
      <c r="CS31" s="352">
        <f t="shared" si="14"/>
        <v>0</v>
      </c>
      <c r="CT31" s="42"/>
      <c r="CU31" s="67">
        <v>0</v>
      </c>
      <c r="CV31" s="67">
        <v>0</v>
      </c>
      <c r="EX31" s="10" t="str">
        <f t="shared" si="0"/>
        <v/>
      </c>
    </row>
    <row r="32" spans="1:154" x14ac:dyDescent="0.25">
      <c r="A32" s="362" cm="1">
        <f t="array" aca="1" ref="A32" ca="1">HYPERLINK(CONCATENATE("#",CELL("address",IF(SUM($CA32:$CL32)=0,A32,INDEX($CA32:$CL32,MATCH(1,$CA32:$CL32,0))))),SUM($CA32:$CL32))</f>
        <v>0</v>
      </c>
      <c r="C32" s="410"/>
      <c r="D32" s="82" t="s">
        <v>392</v>
      </c>
      <c r="E32" s="82" t="s">
        <v>391</v>
      </c>
      <c r="F32" s="25"/>
      <c r="G32" s="25"/>
      <c r="S32" s="335"/>
      <c r="T32" s="335"/>
      <c r="U32" s="335"/>
      <c r="V32" s="13">
        <f>SUM(V28:V31)</f>
        <v>0</v>
      </c>
      <c r="W32" s="13">
        <f t="shared" ref="W32:BV32" si="25">SUM(W28:W31)</f>
        <v>4430</v>
      </c>
      <c r="X32" s="13">
        <f t="shared" si="25"/>
        <v>5734</v>
      </c>
      <c r="Y32" s="13">
        <f t="shared" si="25"/>
        <v>2378</v>
      </c>
      <c r="Z32" s="335"/>
      <c r="AA32" s="13">
        <f t="shared" si="25"/>
        <v>110</v>
      </c>
      <c r="AB32" s="13">
        <f>SUM(AB28:AB31)</f>
        <v>0</v>
      </c>
      <c r="AC32" s="13">
        <f t="shared" si="25"/>
        <v>2809</v>
      </c>
      <c r="AD32" s="13">
        <f t="shared" si="25"/>
        <v>0</v>
      </c>
      <c r="AE32" s="13">
        <f t="shared" si="25"/>
        <v>0</v>
      </c>
      <c r="AF32" s="13">
        <f t="shared" si="25"/>
        <v>0</v>
      </c>
      <c r="AG32" s="13">
        <f t="shared" si="25"/>
        <v>0</v>
      </c>
      <c r="AH32" s="13">
        <f t="shared" si="25"/>
        <v>1426</v>
      </c>
      <c r="AI32" s="13">
        <f t="shared" si="25"/>
        <v>0</v>
      </c>
      <c r="AJ32" s="13">
        <f t="shared" si="25"/>
        <v>0</v>
      </c>
      <c r="AK32" s="13">
        <f t="shared" si="25"/>
        <v>12</v>
      </c>
      <c r="AL32" s="13">
        <f t="shared" si="25"/>
        <v>73</v>
      </c>
      <c r="AM32" s="13">
        <f t="shared" si="25"/>
        <v>1081</v>
      </c>
      <c r="AN32" s="13">
        <f t="shared" si="25"/>
        <v>790</v>
      </c>
      <c r="AO32" s="13">
        <f t="shared" si="25"/>
        <v>363</v>
      </c>
      <c r="AP32" s="13">
        <f t="shared" si="25"/>
        <v>194</v>
      </c>
      <c r="AQ32" s="13">
        <f t="shared" si="25"/>
        <v>438</v>
      </c>
      <c r="AR32" s="13">
        <f t="shared" si="25"/>
        <v>445</v>
      </c>
      <c r="AS32" s="13">
        <f t="shared" si="25"/>
        <v>446</v>
      </c>
      <c r="AT32" s="13">
        <f t="shared" si="25"/>
        <v>541</v>
      </c>
      <c r="AU32" s="13">
        <f t="shared" si="25"/>
        <v>499</v>
      </c>
      <c r="AV32" s="13">
        <f t="shared" si="25"/>
        <v>322</v>
      </c>
      <c r="AW32" s="13">
        <f t="shared" si="25"/>
        <v>318</v>
      </c>
      <c r="AX32" s="13">
        <f t="shared" si="25"/>
        <v>297</v>
      </c>
      <c r="AY32" s="13">
        <f t="shared" si="25"/>
        <v>242</v>
      </c>
      <c r="AZ32" s="13">
        <f t="shared" si="25"/>
        <v>195</v>
      </c>
      <c r="BA32" s="13">
        <f t="shared" si="25"/>
        <v>204</v>
      </c>
      <c r="BB32" s="13">
        <f t="shared" si="25"/>
        <v>210</v>
      </c>
      <c r="BC32" s="13">
        <f t="shared" si="25"/>
        <v>210</v>
      </c>
      <c r="BD32" s="13">
        <f t="shared" si="25"/>
        <v>205</v>
      </c>
      <c r="BE32" s="13">
        <f t="shared" si="25"/>
        <v>265</v>
      </c>
      <c r="BF32" s="13">
        <f t="shared" si="25"/>
        <v>155</v>
      </c>
      <c r="BG32" s="13">
        <f t="shared" si="25"/>
        <v>156</v>
      </c>
      <c r="BH32" s="13">
        <f t="shared" si="25"/>
        <v>175</v>
      </c>
      <c r="BI32" s="13">
        <f t="shared" si="25"/>
        <v>180</v>
      </c>
      <c r="BJ32" s="13">
        <f t="shared" si="25"/>
        <v>181</v>
      </c>
      <c r="BL32" s="13">
        <f t="shared" si="25"/>
        <v>0</v>
      </c>
      <c r="BM32" s="13">
        <f t="shared" si="25"/>
        <v>4430</v>
      </c>
      <c r="BN32" s="13">
        <f t="shared" si="25"/>
        <v>5734</v>
      </c>
      <c r="BO32" s="13">
        <f t="shared" si="25"/>
        <v>2378</v>
      </c>
      <c r="BP32" s="13">
        <f t="shared" si="25"/>
        <v>0</v>
      </c>
      <c r="BQ32" s="13">
        <f t="shared" si="25"/>
        <v>0</v>
      </c>
      <c r="BR32" s="13">
        <f t="shared" si="25"/>
        <v>0</v>
      </c>
      <c r="BS32" s="13">
        <f t="shared" si="25"/>
        <v>0</v>
      </c>
      <c r="BT32" s="13">
        <f t="shared" si="25"/>
        <v>0</v>
      </c>
      <c r="BU32" s="13">
        <f t="shared" si="25"/>
        <v>0</v>
      </c>
      <c r="BV32" s="13">
        <f t="shared" si="25"/>
        <v>0</v>
      </c>
      <c r="BW32" s="13">
        <f>SUM(BW28:BW31)</f>
        <v>0</v>
      </c>
      <c r="BY32" s="12"/>
      <c r="BZ32" s="363">
        <f>IF(MIN($V32:$BW32)&lt;0, 1, 0)</f>
        <v>0</v>
      </c>
      <c r="CA32" s="12"/>
      <c r="CH32" s="7">
        <f>IF(ROUND(SUM($V32:$BW32)-SUM($V13:$BW27), rounding)=0, 0, 1)</f>
        <v>0</v>
      </c>
      <c r="CI32" s="7">
        <f t="shared" si="16"/>
        <v>0</v>
      </c>
      <c r="CJ32" s="7">
        <f t="shared" si="17"/>
        <v>0</v>
      </c>
      <c r="CK32" s="7">
        <f t="shared" si="18"/>
        <v>0</v>
      </c>
      <c r="CL32" s="42"/>
      <c r="CM32" s="352">
        <f t="shared" si="8"/>
        <v>0</v>
      </c>
      <c r="CN32" s="352">
        <f t="shared" si="9"/>
        <v>0</v>
      </c>
      <c r="CO32" s="352">
        <f t="shared" si="10"/>
        <v>0</v>
      </c>
      <c r="CP32" s="352">
        <f t="shared" si="11"/>
        <v>0</v>
      </c>
      <c r="CQ32" s="352">
        <f t="shared" si="12"/>
        <v>0</v>
      </c>
      <c r="CR32" s="352">
        <f t="shared" si="13"/>
        <v>0</v>
      </c>
      <c r="CS32" s="352">
        <f t="shared" si="14"/>
        <v>0</v>
      </c>
      <c r="CT32" s="42"/>
      <c r="CU32" s="67">
        <v>0</v>
      </c>
      <c r="CV32" s="67">
        <v>0</v>
      </c>
      <c r="EX32" s="10" t="str">
        <f t="shared" si="0"/>
        <v/>
      </c>
    </row>
    <row r="33" spans="1:154" ht="6.6" customHeight="1" x14ac:dyDescent="0.25">
      <c r="C33" s="410"/>
      <c r="D33" s="35"/>
      <c r="E33" s="25"/>
      <c r="F33" s="25"/>
      <c r="G33" s="25"/>
      <c r="S33" s="335"/>
      <c r="T33" s="335"/>
      <c r="U33" s="335"/>
      <c r="V33" s="25"/>
      <c r="W33" s="229"/>
      <c r="X33" s="25"/>
      <c r="Y33" s="25"/>
      <c r="Z33" s="33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L33" s="25"/>
      <c r="BM33" s="155"/>
      <c r="BN33" s="25"/>
      <c r="BO33" s="25"/>
      <c r="BP33" s="25"/>
      <c r="BQ33" s="25"/>
      <c r="BR33" s="25"/>
      <c r="BS33" s="25"/>
      <c r="BT33" s="25"/>
      <c r="BU33" s="25"/>
      <c r="BV33" s="25"/>
      <c r="BW33" s="25"/>
      <c r="BY33" s="42"/>
      <c r="CA33" s="42"/>
      <c r="CL33" s="42"/>
      <c r="CM33" s="352"/>
      <c r="CN33" s="352"/>
      <c r="CO33" s="352"/>
      <c r="CP33" s="352"/>
      <c r="CQ33" s="352"/>
      <c r="CR33" s="352"/>
      <c r="CS33" s="352"/>
      <c r="CT33" s="42"/>
      <c r="CU33" s="67">
        <v>0</v>
      </c>
      <c r="CV33" s="67">
        <v>0</v>
      </c>
      <c r="EX33" s="10" t="str">
        <f t="shared" si="0"/>
        <v/>
      </c>
    </row>
    <row r="34" spans="1:154" ht="14.85" customHeight="1" x14ac:dyDescent="0.25">
      <c r="C34" s="410"/>
      <c r="D34" s="5" t="s">
        <v>616</v>
      </c>
      <c r="E34" s="5" t="str">
        <f>Parameters!$D$55</f>
        <v>Donation of FA</v>
      </c>
      <c r="S34" s="335"/>
      <c r="T34" s="335"/>
      <c r="U34" s="335"/>
      <c r="Z34" s="335"/>
      <c r="BY34" s="42"/>
      <c r="CA34" s="42"/>
      <c r="CL34" s="42"/>
      <c r="CM34" s="352"/>
      <c r="CN34" s="352"/>
      <c r="CO34" s="352"/>
      <c r="CP34" s="352"/>
      <c r="CQ34" s="352"/>
      <c r="CR34" s="352"/>
      <c r="CS34" s="352"/>
      <c r="CT34" s="42"/>
      <c r="CU34" s="67">
        <v>0</v>
      </c>
      <c r="CV34" s="67">
        <v>0</v>
      </c>
      <c r="EX34" s="10" t="str">
        <f t="shared" si="0"/>
        <v/>
      </c>
    </row>
    <row r="35" spans="1:154" ht="14.85" customHeight="1" x14ac:dyDescent="0.25">
      <c r="A35" s="362" cm="1">
        <f t="array" aca="1" ref="A35" ca="1">HYPERLINK(CONCATENATE("#",CELL("address",IF(SUM($CA35:$CL35)=0,A35,INDEX($CA35:$CL35,MATCH(1,$CA35:$CL35,0))))),SUM($CA35:$CL35))</f>
        <v>0</v>
      </c>
      <c r="C35" s="410"/>
      <c r="D35" s="48" t="s">
        <v>972</v>
      </c>
      <c r="E35" s="48" t="str">
        <f>Parameters!$D$39</f>
        <v>Land &amp; Buildings</v>
      </c>
      <c r="F35" s="48"/>
      <c r="S35" s="335"/>
      <c r="T35" s="335"/>
      <c r="U35" s="335"/>
      <c r="V35" s="211">
        <f t="shared" ref="V35:Y38" si="26">SUMIFS(V$13:V$27, $E$13:$E$27, $E35, $F$13:$F$27, $E$34)</f>
        <v>0</v>
      </c>
      <c r="W35" s="211">
        <f t="shared" si="26"/>
        <v>0</v>
      </c>
      <c r="X35" s="211">
        <f t="shared" si="26"/>
        <v>0</v>
      </c>
      <c r="Y35" s="211">
        <f t="shared" si="26"/>
        <v>0</v>
      </c>
      <c r="Z35" s="335"/>
      <c r="AA35" s="211">
        <f t="shared" ref="AA35:AJ38" si="27">SUMIFS(AA$13:AA$27, $E$13:$E$27, $E35, $F$13:$F$27, $E$34)</f>
        <v>0</v>
      </c>
      <c r="AB35" s="211">
        <f t="shared" si="27"/>
        <v>0</v>
      </c>
      <c r="AC35" s="211">
        <f t="shared" si="27"/>
        <v>0</v>
      </c>
      <c r="AD35" s="211">
        <f t="shared" si="27"/>
        <v>0</v>
      </c>
      <c r="AE35" s="211">
        <f t="shared" si="27"/>
        <v>0</v>
      </c>
      <c r="AF35" s="211">
        <f t="shared" si="27"/>
        <v>0</v>
      </c>
      <c r="AG35" s="211">
        <f t="shared" si="27"/>
        <v>0</v>
      </c>
      <c r="AH35" s="211">
        <f t="shared" si="27"/>
        <v>0</v>
      </c>
      <c r="AI35" s="211">
        <f t="shared" si="27"/>
        <v>0</v>
      </c>
      <c r="AJ35" s="211">
        <f t="shared" si="27"/>
        <v>0</v>
      </c>
      <c r="AK35" s="211">
        <f t="shared" ref="AK35:AT38" si="28">SUMIFS(AK$13:AK$27, $E$13:$E$27, $E35, $F$13:$F$27, $E$34)</f>
        <v>0</v>
      </c>
      <c r="AL35" s="211">
        <f t="shared" si="28"/>
        <v>0</v>
      </c>
      <c r="AM35" s="211">
        <f t="shared" si="28"/>
        <v>0</v>
      </c>
      <c r="AN35" s="211">
        <f t="shared" si="28"/>
        <v>0</v>
      </c>
      <c r="AO35" s="211">
        <f t="shared" si="28"/>
        <v>0</v>
      </c>
      <c r="AP35" s="211">
        <f t="shared" si="28"/>
        <v>0</v>
      </c>
      <c r="AQ35" s="211">
        <f t="shared" si="28"/>
        <v>0</v>
      </c>
      <c r="AR35" s="211">
        <f t="shared" si="28"/>
        <v>0</v>
      </c>
      <c r="AS35" s="211">
        <f t="shared" si="28"/>
        <v>0</v>
      </c>
      <c r="AT35" s="211">
        <f t="shared" si="28"/>
        <v>0</v>
      </c>
      <c r="AU35" s="211">
        <f t="shared" ref="AU35:BD38" si="29">SUMIFS(AU$13:AU$27, $E$13:$E$27, $E35, $F$13:$F$27, $E$34)</f>
        <v>0</v>
      </c>
      <c r="AV35" s="211">
        <f t="shared" si="29"/>
        <v>0</v>
      </c>
      <c r="AW35" s="211">
        <f t="shared" si="29"/>
        <v>0</v>
      </c>
      <c r="AX35" s="211">
        <f t="shared" si="29"/>
        <v>0</v>
      </c>
      <c r="AY35" s="211">
        <f t="shared" si="29"/>
        <v>0</v>
      </c>
      <c r="AZ35" s="211">
        <f t="shared" si="29"/>
        <v>0</v>
      </c>
      <c r="BA35" s="211">
        <f t="shared" si="29"/>
        <v>0</v>
      </c>
      <c r="BB35" s="211">
        <f t="shared" si="29"/>
        <v>0</v>
      </c>
      <c r="BC35" s="211">
        <f t="shared" si="29"/>
        <v>0</v>
      </c>
      <c r="BD35" s="211">
        <f t="shared" si="29"/>
        <v>0</v>
      </c>
      <c r="BE35" s="211">
        <f t="shared" ref="BE35:BJ38" si="30">SUMIFS(BE$13:BE$27, $E$13:$E$27, $E35, $F$13:$F$27, $E$34)</f>
        <v>0</v>
      </c>
      <c r="BF35" s="211">
        <f t="shared" si="30"/>
        <v>0</v>
      </c>
      <c r="BG35" s="211">
        <f t="shared" si="30"/>
        <v>0</v>
      </c>
      <c r="BH35" s="211">
        <f t="shared" si="30"/>
        <v>0</v>
      </c>
      <c r="BI35" s="211">
        <f t="shared" si="30"/>
        <v>0</v>
      </c>
      <c r="BJ35" s="211">
        <f t="shared" si="30"/>
        <v>0</v>
      </c>
      <c r="BK35" s="335"/>
      <c r="BL35" s="211">
        <f t="shared" ref="BL35:BW38" si="31">SUMIFS(BL$13:BL$27, $E$13:$E$27, $E35, $F$13:$F$27, $E$34)</f>
        <v>0</v>
      </c>
      <c r="BM35" s="211">
        <f t="shared" si="31"/>
        <v>0</v>
      </c>
      <c r="BN35" s="211">
        <f t="shared" si="31"/>
        <v>0</v>
      </c>
      <c r="BO35" s="211">
        <f t="shared" si="31"/>
        <v>0</v>
      </c>
      <c r="BP35" s="211">
        <f t="shared" si="31"/>
        <v>0</v>
      </c>
      <c r="BQ35" s="211">
        <f t="shared" si="31"/>
        <v>0</v>
      </c>
      <c r="BR35" s="211">
        <f t="shared" si="31"/>
        <v>0</v>
      </c>
      <c r="BS35" s="211">
        <f t="shared" si="31"/>
        <v>0</v>
      </c>
      <c r="BT35" s="211">
        <f t="shared" si="31"/>
        <v>0</v>
      </c>
      <c r="BU35" s="211">
        <f t="shared" si="31"/>
        <v>0</v>
      </c>
      <c r="BV35" s="211">
        <f t="shared" si="31"/>
        <v>0</v>
      </c>
      <c r="BW35" s="211">
        <f t="shared" si="31"/>
        <v>0</v>
      </c>
      <c r="BY35" s="42"/>
      <c r="BZ35" s="363">
        <f t="shared" ref="BZ35:BZ39" si="32">IF(MIN($V35:$BW35)&lt;0, 1, 0)</f>
        <v>0</v>
      </c>
      <c r="CA35" s="42"/>
      <c r="CI35" s="7">
        <f t="shared" si="16"/>
        <v>0</v>
      </c>
      <c r="CJ35" s="7">
        <f t="shared" si="17"/>
        <v>0</v>
      </c>
      <c r="CK35" s="7">
        <f t="shared" si="18"/>
        <v>0</v>
      </c>
      <c r="CL35" s="42"/>
      <c r="CM35" s="352">
        <f t="shared" ref="CM35:CO39" si="33">ROUND(W35-SUMIFS($AA35:$BJ35, $AA$3:$BJ$3, W$3), rounding)</f>
        <v>0</v>
      </c>
      <c r="CN35" s="352">
        <f t="shared" si="33"/>
        <v>0</v>
      </c>
      <c r="CO35" s="352">
        <f t="shared" si="33"/>
        <v>0</v>
      </c>
      <c r="CP35" s="352">
        <f>ROUND($BM35-SUMIFS($AA35:$BJ35, $AA$3:$BJ$3, $BM$3), rounding)</f>
        <v>0</v>
      </c>
      <c r="CQ35" s="352">
        <f>ROUND($BN35-SUMIFS($AA35:$BJ35, $AA$3:$BJ$3, $BN$3), rounding)</f>
        <v>0</v>
      </c>
      <c r="CR35" s="352">
        <f>ROUND($BO35-SUMIFS($AA35:$BJ35, $AA$3:$BJ$3, $BO$3), rounding)</f>
        <v>0</v>
      </c>
      <c r="CS35" s="352">
        <f>ROUND($V35-$BL35, rounding)</f>
        <v>0</v>
      </c>
      <c r="CT35" s="42"/>
      <c r="CU35" s="67">
        <v>0</v>
      </c>
      <c r="CV35" s="67">
        <v>0</v>
      </c>
      <c r="EX35" s="10" t="str">
        <f t="shared" si="0"/>
        <v/>
      </c>
    </row>
    <row r="36" spans="1:154" ht="14.85" customHeight="1" x14ac:dyDescent="0.25">
      <c r="A36" s="362" cm="1">
        <f t="array" aca="1" ref="A36" ca="1">HYPERLINK(CONCATENATE("#",CELL("address",IF(SUM($CA36:$CL36)=0,A36,INDEX($CA36:$CL36,MATCH(1,$CA36:$CL36,0))))),SUM($CA36:$CL36))</f>
        <v>0</v>
      </c>
      <c r="C36" s="410"/>
      <c r="D36" s="48" t="s">
        <v>973</v>
      </c>
      <c r="E36" s="48" t="str">
        <f>Parameters!$D$40</f>
        <v>Equipment</v>
      </c>
      <c r="F36" s="48"/>
      <c r="S36" s="335"/>
      <c r="T36" s="335"/>
      <c r="U36" s="335"/>
      <c r="V36" s="211">
        <f t="shared" si="26"/>
        <v>0</v>
      </c>
      <c r="W36" s="211">
        <f t="shared" si="26"/>
        <v>0</v>
      </c>
      <c r="X36" s="211">
        <f t="shared" si="26"/>
        <v>0</v>
      </c>
      <c r="Y36" s="211">
        <f t="shared" si="26"/>
        <v>0</v>
      </c>
      <c r="Z36" s="335"/>
      <c r="AA36" s="211">
        <f t="shared" si="27"/>
        <v>0</v>
      </c>
      <c r="AB36" s="211">
        <f t="shared" si="27"/>
        <v>0</v>
      </c>
      <c r="AC36" s="211">
        <f t="shared" si="27"/>
        <v>0</v>
      </c>
      <c r="AD36" s="211">
        <f t="shared" si="27"/>
        <v>0</v>
      </c>
      <c r="AE36" s="211">
        <f t="shared" si="27"/>
        <v>0</v>
      </c>
      <c r="AF36" s="211">
        <f t="shared" si="27"/>
        <v>0</v>
      </c>
      <c r="AG36" s="211">
        <f t="shared" si="27"/>
        <v>0</v>
      </c>
      <c r="AH36" s="211">
        <f t="shared" si="27"/>
        <v>0</v>
      </c>
      <c r="AI36" s="211">
        <f t="shared" si="27"/>
        <v>0</v>
      </c>
      <c r="AJ36" s="211">
        <f t="shared" si="27"/>
        <v>0</v>
      </c>
      <c r="AK36" s="211">
        <f t="shared" si="28"/>
        <v>0</v>
      </c>
      <c r="AL36" s="211">
        <f t="shared" si="28"/>
        <v>0</v>
      </c>
      <c r="AM36" s="211">
        <f t="shared" si="28"/>
        <v>0</v>
      </c>
      <c r="AN36" s="211">
        <f t="shared" si="28"/>
        <v>0</v>
      </c>
      <c r="AO36" s="211">
        <f t="shared" si="28"/>
        <v>0</v>
      </c>
      <c r="AP36" s="211">
        <f t="shared" si="28"/>
        <v>0</v>
      </c>
      <c r="AQ36" s="211">
        <f t="shared" si="28"/>
        <v>0</v>
      </c>
      <c r="AR36" s="211">
        <f t="shared" si="28"/>
        <v>0</v>
      </c>
      <c r="AS36" s="211">
        <f t="shared" si="28"/>
        <v>0</v>
      </c>
      <c r="AT36" s="211">
        <f t="shared" si="28"/>
        <v>0</v>
      </c>
      <c r="AU36" s="211">
        <f t="shared" si="29"/>
        <v>0</v>
      </c>
      <c r="AV36" s="211">
        <f t="shared" si="29"/>
        <v>0</v>
      </c>
      <c r="AW36" s="211">
        <f t="shared" si="29"/>
        <v>0</v>
      </c>
      <c r="AX36" s="211">
        <f t="shared" si="29"/>
        <v>0</v>
      </c>
      <c r="AY36" s="211">
        <f t="shared" si="29"/>
        <v>0</v>
      </c>
      <c r="AZ36" s="211">
        <f t="shared" si="29"/>
        <v>0</v>
      </c>
      <c r="BA36" s="211">
        <f t="shared" si="29"/>
        <v>0</v>
      </c>
      <c r="BB36" s="211">
        <f t="shared" si="29"/>
        <v>0</v>
      </c>
      <c r="BC36" s="211">
        <f t="shared" si="29"/>
        <v>0</v>
      </c>
      <c r="BD36" s="211">
        <f t="shared" si="29"/>
        <v>0</v>
      </c>
      <c r="BE36" s="211">
        <f t="shared" si="30"/>
        <v>0</v>
      </c>
      <c r="BF36" s="211">
        <f t="shared" si="30"/>
        <v>0</v>
      </c>
      <c r="BG36" s="211">
        <f t="shared" si="30"/>
        <v>0</v>
      </c>
      <c r="BH36" s="211">
        <f t="shared" si="30"/>
        <v>0</v>
      </c>
      <c r="BI36" s="211">
        <f t="shared" si="30"/>
        <v>0</v>
      </c>
      <c r="BJ36" s="211">
        <f t="shared" si="30"/>
        <v>0</v>
      </c>
      <c r="BK36" s="335"/>
      <c r="BL36" s="211">
        <f t="shared" si="31"/>
        <v>0</v>
      </c>
      <c r="BM36" s="211">
        <f t="shared" si="31"/>
        <v>0</v>
      </c>
      <c r="BN36" s="211">
        <f t="shared" si="31"/>
        <v>0</v>
      </c>
      <c r="BO36" s="211">
        <f t="shared" si="31"/>
        <v>0</v>
      </c>
      <c r="BP36" s="211">
        <f t="shared" si="31"/>
        <v>0</v>
      </c>
      <c r="BQ36" s="211">
        <f t="shared" si="31"/>
        <v>0</v>
      </c>
      <c r="BR36" s="211">
        <f t="shared" si="31"/>
        <v>0</v>
      </c>
      <c r="BS36" s="211">
        <f t="shared" si="31"/>
        <v>0</v>
      </c>
      <c r="BT36" s="211">
        <f t="shared" si="31"/>
        <v>0</v>
      </c>
      <c r="BU36" s="211">
        <f t="shared" si="31"/>
        <v>0</v>
      </c>
      <c r="BV36" s="211">
        <f t="shared" si="31"/>
        <v>0</v>
      </c>
      <c r="BW36" s="211">
        <f t="shared" si="31"/>
        <v>0</v>
      </c>
      <c r="BY36" s="42"/>
      <c r="BZ36" s="363">
        <f t="shared" si="32"/>
        <v>0</v>
      </c>
      <c r="CA36" s="42"/>
      <c r="CI36" s="7">
        <f t="shared" si="16"/>
        <v>0</v>
      </c>
      <c r="CJ36" s="7">
        <f t="shared" si="17"/>
        <v>0</v>
      </c>
      <c r="CK36" s="7">
        <f t="shared" si="18"/>
        <v>0</v>
      </c>
      <c r="CL36" s="42"/>
      <c r="CM36" s="352">
        <f t="shared" si="33"/>
        <v>0</v>
      </c>
      <c r="CN36" s="352">
        <f t="shared" si="33"/>
        <v>0</v>
      </c>
      <c r="CO36" s="352">
        <f t="shared" si="33"/>
        <v>0</v>
      </c>
      <c r="CP36" s="352">
        <f>ROUND($BM36-SUMIFS($AA36:$BJ36, $AA$3:$BJ$3, $BM$3), rounding)</f>
        <v>0</v>
      </c>
      <c r="CQ36" s="352">
        <f>ROUND($BN36-SUMIFS($AA36:$BJ36, $AA$3:$BJ$3, $BN$3), rounding)</f>
        <v>0</v>
      </c>
      <c r="CR36" s="352">
        <f>ROUND($BO36-SUMIFS($AA36:$BJ36, $AA$3:$BJ$3, $BO$3), rounding)</f>
        <v>0</v>
      </c>
      <c r="CS36" s="352">
        <f>ROUND($V36-$BL36, rounding)</f>
        <v>0</v>
      </c>
      <c r="CT36" s="42"/>
      <c r="CU36" s="67">
        <v>0</v>
      </c>
      <c r="CV36" s="67">
        <v>0</v>
      </c>
      <c r="EX36" s="10" t="str">
        <f t="shared" si="0"/>
        <v/>
      </c>
    </row>
    <row r="37" spans="1:154" s="335" customFormat="1" ht="14.85" customHeight="1" x14ac:dyDescent="0.25">
      <c r="A37" s="362" cm="1">
        <f t="array" aca="1" ref="A37" ca="1">HYPERLINK(CONCATENATE("#",CELL("address",IF(SUM($CA37:$CL37)=0,A37,INDEX($CA37:$CL37,MATCH(1,$CA37:$CL37,0))))),SUM($CA37:$CL37))</f>
        <v>0</v>
      </c>
      <c r="C37" s="410"/>
      <c r="D37" s="48" t="s">
        <v>977</v>
      </c>
      <c r="E37" s="48" t="str">
        <f>Parameters!$D$41</f>
        <v>Other NCA</v>
      </c>
      <c r="F37" s="48"/>
      <c r="V37" s="211">
        <f t="shared" si="26"/>
        <v>0</v>
      </c>
      <c r="W37" s="211">
        <f t="shared" si="26"/>
        <v>0</v>
      </c>
      <c r="X37" s="211">
        <f t="shared" si="26"/>
        <v>0</v>
      </c>
      <c r="Y37" s="211">
        <f t="shared" si="26"/>
        <v>0</v>
      </c>
      <c r="AA37" s="211">
        <f t="shared" si="27"/>
        <v>0</v>
      </c>
      <c r="AB37" s="211">
        <f t="shared" si="27"/>
        <v>0</v>
      </c>
      <c r="AC37" s="211">
        <f t="shared" si="27"/>
        <v>0</v>
      </c>
      <c r="AD37" s="211">
        <f t="shared" si="27"/>
        <v>0</v>
      </c>
      <c r="AE37" s="211">
        <f t="shared" si="27"/>
        <v>0</v>
      </c>
      <c r="AF37" s="211">
        <f t="shared" si="27"/>
        <v>0</v>
      </c>
      <c r="AG37" s="211">
        <f t="shared" si="27"/>
        <v>0</v>
      </c>
      <c r="AH37" s="211">
        <f t="shared" si="27"/>
        <v>0</v>
      </c>
      <c r="AI37" s="211">
        <f t="shared" si="27"/>
        <v>0</v>
      </c>
      <c r="AJ37" s="211">
        <f t="shared" si="27"/>
        <v>0</v>
      </c>
      <c r="AK37" s="211">
        <f t="shared" si="28"/>
        <v>0</v>
      </c>
      <c r="AL37" s="211">
        <f t="shared" si="28"/>
        <v>0</v>
      </c>
      <c r="AM37" s="211">
        <f t="shared" si="28"/>
        <v>0</v>
      </c>
      <c r="AN37" s="211">
        <f t="shared" si="28"/>
        <v>0</v>
      </c>
      <c r="AO37" s="211">
        <f t="shared" si="28"/>
        <v>0</v>
      </c>
      <c r="AP37" s="211">
        <f t="shared" si="28"/>
        <v>0</v>
      </c>
      <c r="AQ37" s="211">
        <f t="shared" si="28"/>
        <v>0</v>
      </c>
      <c r="AR37" s="211">
        <f t="shared" si="28"/>
        <v>0</v>
      </c>
      <c r="AS37" s="211">
        <f t="shared" si="28"/>
        <v>0</v>
      </c>
      <c r="AT37" s="211">
        <f t="shared" si="28"/>
        <v>0</v>
      </c>
      <c r="AU37" s="211">
        <f t="shared" si="29"/>
        <v>0</v>
      </c>
      <c r="AV37" s="211">
        <f t="shared" si="29"/>
        <v>0</v>
      </c>
      <c r="AW37" s="211">
        <f t="shared" si="29"/>
        <v>0</v>
      </c>
      <c r="AX37" s="211">
        <f t="shared" si="29"/>
        <v>0</v>
      </c>
      <c r="AY37" s="211">
        <f t="shared" si="29"/>
        <v>0</v>
      </c>
      <c r="AZ37" s="211">
        <f t="shared" si="29"/>
        <v>0</v>
      </c>
      <c r="BA37" s="211">
        <f t="shared" si="29"/>
        <v>0</v>
      </c>
      <c r="BB37" s="211">
        <f t="shared" si="29"/>
        <v>0</v>
      </c>
      <c r="BC37" s="211">
        <f t="shared" si="29"/>
        <v>0</v>
      </c>
      <c r="BD37" s="211">
        <f t="shared" si="29"/>
        <v>0</v>
      </c>
      <c r="BE37" s="211">
        <f t="shared" si="30"/>
        <v>0</v>
      </c>
      <c r="BF37" s="211">
        <f t="shared" si="30"/>
        <v>0</v>
      </c>
      <c r="BG37" s="211">
        <f t="shared" si="30"/>
        <v>0</v>
      </c>
      <c r="BH37" s="211">
        <f t="shared" si="30"/>
        <v>0</v>
      </c>
      <c r="BI37" s="211">
        <f t="shared" si="30"/>
        <v>0</v>
      </c>
      <c r="BJ37" s="211">
        <f t="shared" si="30"/>
        <v>0</v>
      </c>
      <c r="BL37" s="211">
        <f t="shared" si="31"/>
        <v>0</v>
      </c>
      <c r="BM37" s="211">
        <f t="shared" si="31"/>
        <v>0</v>
      </c>
      <c r="BN37" s="211">
        <f t="shared" si="31"/>
        <v>0</v>
      </c>
      <c r="BO37" s="211">
        <f t="shared" si="31"/>
        <v>0</v>
      </c>
      <c r="BP37" s="211">
        <f t="shared" si="31"/>
        <v>0</v>
      </c>
      <c r="BQ37" s="211">
        <f t="shared" si="31"/>
        <v>0</v>
      </c>
      <c r="BR37" s="211">
        <f t="shared" si="31"/>
        <v>0</v>
      </c>
      <c r="BS37" s="211">
        <f t="shared" si="31"/>
        <v>0</v>
      </c>
      <c r="BT37" s="211">
        <f t="shared" si="31"/>
        <v>0</v>
      </c>
      <c r="BU37" s="211">
        <f t="shared" si="31"/>
        <v>0</v>
      </c>
      <c r="BV37" s="211">
        <f t="shared" si="31"/>
        <v>0</v>
      </c>
      <c r="BW37" s="211">
        <f t="shared" si="31"/>
        <v>0</v>
      </c>
      <c r="BY37" s="42"/>
      <c r="BZ37" s="363">
        <f t="shared" si="32"/>
        <v>0</v>
      </c>
      <c r="CA37" s="42"/>
      <c r="CI37" s="7">
        <f t="shared" si="16"/>
        <v>0</v>
      </c>
      <c r="CJ37" s="7">
        <f t="shared" si="17"/>
        <v>0</v>
      </c>
      <c r="CK37" s="7">
        <f t="shared" si="18"/>
        <v>0</v>
      </c>
      <c r="CL37" s="42"/>
      <c r="CM37" s="352">
        <f t="shared" si="33"/>
        <v>0</v>
      </c>
      <c r="CN37" s="352">
        <f t="shared" si="33"/>
        <v>0</v>
      </c>
      <c r="CO37" s="352">
        <f t="shared" si="33"/>
        <v>0</v>
      </c>
      <c r="CP37" s="352">
        <f>ROUND($BM37-SUMIFS($AA37:$BJ37, $AA$3:$BJ$3, $BM$3), rounding)</f>
        <v>0</v>
      </c>
      <c r="CQ37" s="352">
        <f>ROUND($BN37-SUMIFS($AA37:$BJ37, $AA$3:$BJ$3, $BN$3), rounding)</f>
        <v>0</v>
      </c>
      <c r="CR37" s="352">
        <f>ROUND($BO37-SUMIFS($AA37:$BJ37, $AA$3:$BJ$3, $BO$3), rounding)</f>
        <v>0</v>
      </c>
      <c r="CS37" s="352">
        <f>ROUND($V37-$BL37, rounding)</f>
        <v>0</v>
      </c>
      <c r="CT37" s="42"/>
      <c r="CU37" s="335">
        <v>0</v>
      </c>
      <c r="CV37" s="335">
        <v>0</v>
      </c>
      <c r="EX37" s="10" t="str">
        <f t="shared" si="0"/>
        <v/>
      </c>
    </row>
    <row r="38" spans="1:154" ht="14.85" customHeight="1" x14ac:dyDescent="0.25">
      <c r="A38" s="362" cm="1">
        <f t="array" aca="1" ref="A38" ca="1">HYPERLINK(CONCATENATE("#",CELL("address",IF(SUM($CA38:$CL38)=0,A38,INDEX($CA38:$CL38,MATCH(1,$CA38:$CL38,0))))),SUM($CA38:$CL38))</f>
        <v>0</v>
      </c>
      <c r="C38" s="410"/>
      <c r="D38" s="48" t="s">
        <v>974</v>
      </c>
      <c r="E38" s="48" t="str">
        <f>Parameters!$D$42</f>
        <v>Assets under Construction</v>
      </c>
      <c r="F38" s="48"/>
      <c r="S38" s="335"/>
      <c r="T38" s="335"/>
      <c r="U38" s="335"/>
      <c r="V38" s="211">
        <f t="shared" si="26"/>
        <v>0</v>
      </c>
      <c r="W38" s="211">
        <f t="shared" si="26"/>
        <v>0</v>
      </c>
      <c r="X38" s="211">
        <f t="shared" si="26"/>
        <v>0</v>
      </c>
      <c r="Y38" s="211">
        <f t="shared" si="26"/>
        <v>0</v>
      </c>
      <c r="Z38" s="335"/>
      <c r="AA38" s="211">
        <f t="shared" si="27"/>
        <v>0</v>
      </c>
      <c r="AB38" s="211">
        <f t="shared" si="27"/>
        <v>0</v>
      </c>
      <c r="AC38" s="211">
        <f t="shared" si="27"/>
        <v>0</v>
      </c>
      <c r="AD38" s="211">
        <f t="shared" si="27"/>
        <v>0</v>
      </c>
      <c r="AE38" s="211">
        <f t="shared" si="27"/>
        <v>0</v>
      </c>
      <c r="AF38" s="211">
        <f t="shared" si="27"/>
        <v>0</v>
      </c>
      <c r="AG38" s="211">
        <f t="shared" si="27"/>
        <v>0</v>
      </c>
      <c r="AH38" s="211">
        <f t="shared" si="27"/>
        <v>0</v>
      </c>
      <c r="AI38" s="211">
        <f t="shared" si="27"/>
        <v>0</v>
      </c>
      <c r="AJ38" s="211">
        <f t="shared" si="27"/>
        <v>0</v>
      </c>
      <c r="AK38" s="211">
        <f t="shared" si="28"/>
        <v>0</v>
      </c>
      <c r="AL38" s="211">
        <f t="shared" si="28"/>
        <v>0</v>
      </c>
      <c r="AM38" s="211">
        <f t="shared" si="28"/>
        <v>0</v>
      </c>
      <c r="AN38" s="211">
        <f t="shared" si="28"/>
        <v>0</v>
      </c>
      <c r="AO38" s="211">
        <f t="shared" si="28"/>
        <v>0</v>
      </c>
      <c r="AP38" s="211">
        <f t="shared" si="28"/>
        <v>0</v>
      </c>
      <c r="AQ38" s="211">
        <f t="shared" si="28"/>
        <v>0</v>
      </c>
      <c r="AR38" s="211">
        <f t="shared" si="28"/>
        <v>0</v>
      </c>
      <c r="AS38" s="211">
        <f t="shared" si="28"/>
        <v>0</v>
      </c>
      <c r="AT38" s="211">
        <f t="shared" si="28"/>
        <v>0</v>
      </c>
      <c r="AU38" s="211">
        <f t="shared" si="29"/>
        <v>0</v>
      </c>
      <c r="AV38" s="211">
        <f t="shared" si="29"/>
        <v>0</v>
      </c>
      <c r="AW38" s="211">
        <f t="shared" si="29"/>
        <v>0</v>
      </c>
      <c r="AX38" s="211">
        <f t="shared" si="29"/>
        <v>0</v>
      </c>
      <c r="AY38" s="211">
        <f t="shared" si="29"/>
        <v>0</v>
      </c>
      <c r="AZ38" s="211">
        <f t="shared" si="29"/>
        <v>0</v>
      </c>
      <c r="BA38" s="211">
        <f t="shared" si="29"/>
        <v>0</v>
      </c>
      <c r="BB38" s="211">
        <f t="shared" si="29"/>
        <v>0</v>
      </c>
      <c r="BC38" s="211">
        <f t="shared" si="29"/>
        <v>0</v>
      </c>
      <c r="BD38" s="211">
        <f t="shared" si="29"/>
        <v>0</v>
      </c>
      <c r="BE38" s="211">
        <f t="shared" si="30"/>
        <v>0</v>
      </c>
      <c r="BF38" s="211">
        <f t="shared" si="30"/>
        <v>0</v>
      </c>
      <c r="BG38" s="211">
        <f t="shared" si="30"/>
        <v>0</v>
      </c>
      <c r="BH38" s="211">
        <f t="shared" si="30"/>
        <v>0</v>
      </c>
      <c r="BI38" s="211">
        <f t="shared" si="30"/>
        <v>0</v>
      </c>
      <c r="BJ38" s="211">
        <f t="shared" si="30"/>
        <v>0</v>
      </c>
      <c r="BK38" s="335"/>
      <c r="BL38" s="211">
        <f t="shared" si="31"/>
        <v>0</v>
      </c>
      <c r="BM38" s="211">
        <f t="shared" si="31"/>
        <v>0</v>
      </c>
      <c r="BN38" s="211">
        <f t="shared" si="31"/>
        <v>0</v>
      </c>
      <c r="BO38" s="211">
        <f t="shared" si="31"/>
        <v>0</v>
      </c>
      <c r="BP38" s="211">
        <f t="shared" si="31"/>
        <v>0</v>
      </c>
      <c r="BQ38" s="211">
        <f t="shared" si="31"/>
        <v>0</v>
      </c>
      <c r="BR38" s="211">
        <f t="shared" si="31"/>
        <v>0</v>
      </c>
      <c r="BS38" s="211">
        <f t="shared" si="31"/>
        <v>0</v>
      </c>
      <c r="BT38" s="211">
        <f t="shared" si="31"/>
        <v>0</v>
      </c>
      <c r="BU38" s="211">
        <f t="shared" si="31"/>
        <v>0</v>
      </c>
      <c r="BV38" s="211">
        <f t="shared" si="31"/>
        <v>0</v>
      </c>
      <c r="BW38" s="211">
        <f t="shared" si="31"/>
        <v>0</v>
      </c>
      <c r="BY38" s="42"/>
      <c r="BZ38" s="363">
        <f t="shared" si="32"/>
        <v>0</v>
      </c>
      <c r="CA38" s="42"/>
      <c r="CI38" s="7">
        <f t="shared" si="16"/>
        <v>0</v>
      </c>
      <c r="CJ38" s="7">
        <f t="shared" si="17"/>
        <v>0</v>
      </c>
      <c r="CK38" s="7">
        <f t="shared" si="18"/>
        <v>0</v>
      </c>
      <c r="CL38" s="42"/>
      <c r="CM38" s="352">
        <f t="shared" si="33"/>
        <v>0</v>
      </c>
      <c r="CN38" s="352">
        <f t="shared" si="33"/>
        <v>0</v>
      </c>
      <c r="CO38" s="352">
        <f t="shared" si="33"/>
        <v>0</v>
      </c>
      <c r="CP38" s="352">
        <f>ROUND($BM38-SUMIFS($AA38:$BJ38, $AA$3:$BJ$3, $BM$3), rounding)</f>
        <v>0</v>
      </c>
      <c r="CQ38" s="352">
        <f>ROUND($BN38-SUMIFS($AA38:$BJ38, $AA$3:$BJ$3, $BN$3), rounding)</f>
        <v>0</v>
      </c>
      <c r="CR38" s="352">
        <f>ROUND($BO38-SUMIFS($AA38:$BJ38, $AA$3:$BJ$3, $BO$3), rounding)</f>
        <v>0</v>
      </c>
      <c r="CS38" s="352">
        <f>ROUND($V38-$BL38, rounding)</f>
        <v>0</v>
      </c>
      <c r="CT38" s="42"/>
      <c r="CU38" s="67">
        <v>0</v>
      </c>
      <c r="CV38" s="67">
        <v>0</v>
      </c>
      <c r="EX38" s="10" t="str">
        <f t="shared" si="0"/>
        <v/>
      </c>
    </row>
    <row r="39" spans="1:154" ht="14.85" customHeight="1" x14ac:dyDescent="0.25">
      <c r="A39" s="362" cm="1">
        <f t="array" aca="1" ref="A39" ca="1">HYPERLINK(CONCATENATE("#",CELL("address",IF(SUM($CA39:$CL39)=0,A39,INDEX($CA39:$CL39,MATCH(1,$CA39:$CL39,0))))),SUM($CA39:$CL39))</f>
        <v>0</v>
      </c>
      <c r="C39" s="410"/>
      <c r="D39" s="5" t="s">
        <v>615</v>
      </c>
      <c r="E39" s="5" t="s">
        <v>391</v>
      </c>
      <c r="S39" s="335"/>
      <c r="T39" s="335"/>
      <c r="U39" s="335"/>
      <c r="V39" s="211">
        <f>SUM(V35:V38)</f>
        <v>0</v>
      </c>
      <c r="W39" s="211">
        <f t="shared" ref="W39:BW39" si="34">SUM(W35:W38)</f>
        <v>0</v>
      </c>
      <c r="X39" s="211">
        <f t="shared" si="34"/>
        <v>0</v>
      </c>
      <c r="Y39" s="211">
        <f t="shared" si="34"/>
        <v>0</v>
      </c>
      <c r="Z39" s="335"/>
      <c r="AA39" s="211">
        <f t="shared" si="34"/>
        <v>0</v>
      </c>
      <c r="AB39" s="211">
        <f t="shared" si="34"/>
        <v>0</v>
      </c>
      <c r="AC39" s="211">
        <f t="shared" si="34"/>
        <v>0</v>
      </c>
      <c r="AD39" s="211">
        <f t="shared" si="34"/>
        <v>0</v>
      </c>
      <c r="AE39" s="211">
        <f t="shared" si="34"/>
        <v>0</v>
      </c>
      <c r="AF39" s="211">
        <f t="shared" si="34"/>
        <v>0</v>
      </c>
      <c r="AG39" s="211">
        <f t="shared" si="34"/>
        <v>0</v>
      </c>
      <c r="AH39" s="211">
        <f t="shared" si="34"/>
        <v>0</v>
      </c>
      <c r="AI39" s="211">
        <f t="shared" si="34"/>
        <v>0</v>
      </c>
      <c r="AJ39" s="211">
        <f t="shared" si="34"/>
        <v>0</v>
      </c>
      <c r="AK39" s="211">
        <f t="shared" si="34"/>
        <v>0</v>
      </c>
      <c r="AL39" s="211">
        <f t="shared" si="34"/>
        <v>0</v>
      </c>
      <c r="AM39" s="211">
        <f t="shared" si="34"/>
        <v>0</v>
      </c>
      <c r="AN39" s="211">
        <f t="shared" si="34"/>
        <v>0</v>
      </c>
      <c r="AO39" s="211">
        <f t="shared" si="34"/>
        <v>0</v>
      </c>
      <c r="AP39" s="211">
        <f t="shared" si="34"/>
        <v>0</v>
      </c>
      <c r="AQ39" s="211">
        <f t="shared" si="34"/>
        <v>0</v>
      </c>
      <c r="AR39" s="211">
        <f t="shared" si="34"/>
        <v>0</v>
      </c>
      <c r="AS39" s="211">
        <f t="shared" si="34"/>
        <v>0</v>
      </c>
      <c r="AT39" s="211">
        <f t="shared" si="34"/>
        <v>0</v>
      </c>
      <c r="AU39" s="211">
        <f t="shared" si="34"/>
        <v>0</v>
      </c>
      <c r="AV39" s="211">
        <f t="shared" si="34"/>
        <v>0</v>
      </c>
      <c r="AW39" s="211">
        <f t="shared" si="34"/>
        <v>0</v>
      </c>
      <c r="AX39" s="211">
        <f t="shared" si="34"/>
        <v>0</v>
      </c>
      <c r="AY39" s="211">
        <f t="shared" si="34"/>
        <v>0</v>
      </c>
      <c r="AZ39" s="211">
        <f t="shared" si="34"/>
        <v>0</v>
      </c>
      <c r="BA39" s="211">
        <f t="shared" si="34"/>
        <v>0</v>
      </c>
      <c r="BB39" s="211">
        <f t="shared" si="34"/>
        <v>0</v>
      </c>
      <c r="BC39" s="211">
        <f t="shared" si="34"/>
        <v>0</v>
      </c>
      <c r="BD39" s="211">
        <f t="shared" si="34"/>
        <v>0</v>
      </c>
      <c r="BE39" s="211">
        <f t="shared" si="34"/>
        <v>0</v>
      </c>
      <c r="BF39" s="211">
        <f t="shared" si="34"/>
        <v>0</v>
      </c>
      <c r="BG39" s="211">
        <f t="shared" si="34"/>
        <v>0</v>
      </c>
      <c r="BH39" s="211">
        <f t="shared" si="34"/>
        <v>0</v>
      </c>
      <c r="BI39" s="211">
        <f t="shared" si="34"/>
        <v>0</v>
      </c>
      <c r="BJ39" s="211">
        <f t="shared" si="34"/>
        <v>0</v>
      </c>
      <c r="BK39" s="335"/>
      <c r="BL39" s="211">
        <f t="shared" si="34"/>
        <v>0</v>
      </c>
      <c r="BM39" s="211">
        <f t="shared" si="34"/>
        <v>0</v>
      </c>
      <c r="BN39" s="211">
        <f t="shared" si="34"/>
        <v>0</v>
      </c>
      <c r="BO39" s="211">
        <f t="shared" si="34"/>
        <v>0</v>
      </c>
      <c r="BP39" s="211">
        <f t="shared" si="34"/>
        <v>0</v>
      </c>
      <c r="BQ39" s="211">
        <f t="shared" si="34"/>
        <v>0</v>
      </c>
      <c r="BR39" s="211">
        <f t="shared" si="34"/>
        <v>0</v>
      </c>
      <c r="BS39" s="211">
        <f t="shared" si="34"/>
        <v>0</v>
      </c>
      <c r="BT39" s="211">
        <f t="shared" si="34"/>
        <v>0</v>
      </c>
      <c r="BU39" s="211">
        <f t="shared" si="34"/>
        <v>0</v>
      </c>
      <c r="BV39" s="211">
        <f t="shared" si="34"/>
        <v>0</v>
      </c>
      <c r="BW39" s="211">
        <f t="shared" si="34"/>
        <v>0</v>
      </c>
      <c r="BY39" s="42"/>
      <c r="BZ39" s="363">
        <f t="shared" si="32"/>
        <v>0</v>
      </c>
      <c r="CA39" s="42"/>
      <c r="CI39" s="7">
        <f t="shared" si="16"/>
        <v>0</v>
      </c>
      <c r="CJ39" s="7">
        <f t="shared" si="17"/>
        <v>0</v>
      </c>
      <c r="CK39" s="7">
        <f t="shared" si="18"/>
        <v>0</v>
      </c>
      <c r="CL39" s="42"/>
      <c r="CM39" s="352">
        <f t="shared" si="33"/>
        <v>0</v>
      </c>
      <c r="CN39" s="352">
        <f t="shared" si="33"/>
        <v>0</v>
      </c>
      <c r="CO39" s="352">
        <f t="shared" si="33"/>
        <v>0</v>
      </c>
      <c r="CP39" s="352">
        <f>ROUND($BM39-SUMIFS($AA39:$BJ39, $AA$3:$BJ$3, $BM$3), rounding)</f>
        <v>0</v>
      </c>
      <c r="CQ39" s="352">
        <f>ROUND($BN39-SUMIFS($AA39:$BJ39, $AA$3:$BJ$3, $BN$3), rounding)</f>
        <v>0</v>
      </c>
      <c r="CR39" s="352">
        <f>ROUND($BO39-SUMIFS($AA39:$BJ39, $AA$3:$BJ$3, $BO$3), rounding)</f>
        <v>0</v>
      </c>
      <c r="CS39" s="352">
        <f>ROUND($V39-$BL39, rounding)</f>
        <v>0</v>
      </c>
      <c r="CT39" s="42"/>
      <c r="CU39" s="67">
        <v>0</v>
      </c>
      <c r="CV39" s="67">
        <v>0</v>
      </c>
      <c r="EX39" s="10" t="str">
        <f t="shared" si="0"/>
        <v/>
      </c>
    </row>
    <row r="40" spans="1:154" s="326" customFormat="1" ht="14.85" customHeight="1" x14ac:dyDescent="0.25">
      <c r="C40" s="410"/>
      <c r="D40" s="1"/>
      <c r="S40" s="335"/>
      <c r="T40" s="335"/>
      <c r="U40" s="335"/>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Y40" s="42"/>
      <c r="BZ40" s="335"/>
      <c r="CA40" s="42"/>
      <c r="CE40" s="335"/>
      <c r="CG40" s="335"/>
      <c r="CI40" s="335"/>
      <c r="CJ40" s="335"/>
      <c r="CK40" s="335"/>
      <c r="CL40" s="42"/>
      <c r="CM40" s="352"/>
      <c r="CN40" s="352"/>
      <c r="CO40" s="352"/>
      <c r="CP40" s="352"/>
      <c r="CQ40" s="335"/>
      <c r="CR40" s="335"/>
      <c r="CS40" s="335"/>
      <c r="CT40" s="42"/>
      <c r="CU40" s="326">
        <v>0</v>
      </c>
      <c r="CV40" s="326">
        <v>0</v>
      </c>
      <c r="EX40" s="10" t="str">
        <f t="shared" si="0"/>
        <v/>
      </c>
    </row>
    <row r="41" spans="1:154" s="326" customFormat="1" ht="14.85" customHeight="1" x14ac:dyDescent="0.25">
      <c r="C41" s="410"/>
      <c r="D41" s="5" t="s">
        <v>915</v>
      </c>
      <c r="E41" s="5" t="str">
        <f>Parameters!$D$56</f>
        <v>Finance Lease</v>
      </c>
      <c r="S41" s="335"/>
      <c r="T41" s="335"/>
      <c r="U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Y41" s="42"/>
      <c r="BZ41" s="335"/>
      <c r="CA41" s="42"/>
      <c r="CE41" s="335"/>
      <c r="CG41" s="335"/>
      <c r="CI41" s="335"/>
      <c r="CJ41" s="335"/>
      <c r="CK41" s="335"/>
      <c r="CL41" s="42"/>
      <c r="CM41" s="352"/>
      <c r="CN41" s="352"/>
      <c r="CO41" s="352"/>
      <c r="CP41" s="352"/>
      <c r="CQ41" s="352"/>
      <c r="CR41" s="352"/>
      <c r="CS41" s="352"/>
      <c r="CT41" s="42"/>
      <c r="CU41" s="326">
        <v>0</v>
      </c>
      <c r="CV41" s="326">
        <v>0</v>
      </c>
      <c r="EX41" s="10" t="str">
        <f t="shared" si="0"/>
        <v/>
      </c>
    </row>
    <row r="42" spans="1:154" s="326" customFormat="1" ht="14.85" customHeight="1" x14ac:dyDescent="0.25">
      <c r="A42" s="362" cm="1">
        <f t="array" aca="1" ref="A42" ca="1">HYPERLINK(CONCATENATE("#",CELL("address",IF(SUM($CA42:$CL42)=0,A42,INDEX($CA42:$CL42,MATCH(1,$CA42:$CL42,0))))),SUM($CA42:$CL42))</f>
        <v>0</v>
      </c>
      <c r="C42" s="410"/>
      <c r="D42" s="326" t="s">
        <v>969</v>
      </c>
      <c r="E42" s="326" t="str">
        <f>Parameters!$D$39</f>
        <v>Land &amp; Buildings</v>
      </c>
      <c r="S42" s="335"/>
      <c r="T42" s="335"/>
      <c r="U42" s="335"/>
      <c r="V42" s="211">
        <f t="shared" ref="V42:Y45" si="35">SUMIFS(V$13:V$27, $E$13:$E$27, $E42, $F$13:$F$27, $E$41)</f>
        <v>0</v>
      </c>
      <c r="W42" s="211">
        <f t="shared" si="35"/>
        <v>0</v>
      </c>
      <c r="X42" s="211">
        <f t="shared" si="35"/>
        <v>0</v>
      </c>
      <c r="Y42" s="211">
        <f t="shared" si="35"/>
        <v>0</v>
      </c>
      <c r="Z42" s="335"/>
      <c r="AA42" s="211">
        <f t="shared" ref="AA42:AJ45" si="36">SUMIFS(AA$13:AA$27, $E$13:$E$27, $E42, $F$13:$F$27, $E$41)</f>
        <v>0</v>
      </c>
      <c r="AB42" s="211">
        <f t="shared" si="36"/>
        <v>0</v>
      </c>
      <c r="AC42" s="211">
        <f t="shared" si="36"/>
        <v>0</v>
      </c>
      <c r="AD42" s="211">
        <f t="shared" si="36"/>
        <v>0</v>
      </c>
      <c r="AE42" s="211">
        <f t="shared" si="36"/>
        <v>0</v>
      </c>
      <c r="AF42" s="211">
        <f t="shared" si="36"/>
        <v>0</v>
      </c>
      <c r="AG42" s="211">
        <f t="shared" si="36"/>
        <v>0</v>
      </c>
      <c r="AH42" s="211">
        <f t="shared" si="36"/>
        <v>0</v>
      </c>
      <c r="AI42" s="211">
        <f t="shared" si="36"/>
        <v>0</v>
      </c>
      <c r="AJ42" s="211">
        <f t="shared" si="36"/>
        <v>0</v>
      </c>
      <c r="AK42" s="211">
        <f t="shared" ref="AK42:AT45" si="37">SUMIFS(AK$13:AK$27, $E$13:$E$27, $E42, $F$13:$F$27, $E$41)</f>
        <v>0</v>
      </c>
      <c r="AL42" s="211">
        <f t="shared" si="37"/>
        <v>0</v>
      </c>
      <c r="AM42" s="211">
        <f t="shared" si="37"/>
        <v>0</v>
      </c>
      <c r="AN42" s="211">
        <f t="shared" si="37"/>
        <v>0</v>
      </c>
      <c r="AO42" s="211">
        <f t="shared" si="37"/>
        <v>0</v>
      </c>
      <c r="AP42" s="211">
        <f t="shared" si="37"/>
        <v>0</v>
      </c>
      <c r="AQ42" s="211">
        <f t="shared" si="37"/>
        <v>0</v>
      </c>
      <c r="AR42" s="211">
        <f t="shared" si="37"/>
        <v>0</v>
      </c>
      <c r="AS42" s="211">
        <f t="shared" si="37"/>
        <v>0</v>
      </c>
      <c r="AT42" s="211">
        <f t="shared" si="37"/>
        <v>0</v>
      </c>
      <c r="AU42" s="211">
        <f t="shared" ref="AU42:BD45" si="38">SUMIFS(AU$13:AU$27, $E$13:$E$27, $E42, $F$13:$F$27, $E$41)</f>
        <v>0</v>
      </c>
      <c r="AV42" s="211">
        <f t="shared" si="38"/>
        <v>0</v>
      </c>
      <c r="AW42" s="211">
        <f t="shared" si="38"/>
        <v>0</v>
      </c>
      <c r="AX42" s="211">
        <f t="shared" si="38"/>
        <v>0</v>
      </c>
      <c r="AY42" s="211">
        <f t="shared" si="38"/>
        <v>0</v>
      </c>
      <c r="AZ42" s="211">
        <f t="shared" si="38"/>
        <v>0</v>
      </c>
      <c r="BA42" s="211">
        <f t="shared" si="38"/>
        <v>0</v>
      </c>
      <c r="BB42" s="211">
        <f t="shared" si="38"/>
        <v>0</v>
      </c>
      <c r="BC42" s="211">
        <f t="shared" si="38"/>
        <v>0</v>
      </c>
      <c r="BD42" s="211">
        <f t="shared" si="38"/>
        <v>0</v>
      </c>
      <c r="BE42" s="211">
        <f t="shared" ref="BE42:BJ45" si="39">SUMIFS(BE$13:BE$27, $E$13:$E$27, $E42, $F$13:$F$27, $E$41)</f>
        <v>0</v>
      </c>
      <c r="BF42" s="211">
        <f t="shared" si="39"/>
        <v>0</v>
      </c>
      <c r="BG42" s="211">
        <f t="shared" si="39"/>
        <v>0</v>
      </c>
      <c r="BH42" s="211">
        <f t="shared" si="39"/>
        <v>0</v>
      </c>
      <c r="BI42" s="211">
        <f t="shared" si="39"/>
        <v>0</v>
      </c>
      <c r="BJ42" s="211">
        <f t="shared" si="39"/>
        <v>0</v>
      </c>
      <c r="BK42" s="335"/>
      <c r="BL42" s="211">
        <f t="shared" ref="BL42:BW45" si="40">SUMIFS(BL$13:BL$27, $E$13:$E$27, $E42, $F$13:$F$27, $E$41)</f>
        <v>0</v>
      </c>
      <c r="BM42" s="211">
        <f t="shared" si="40"/>
        <v>0</v>
      </c>
      <c r="BN42" s="211">
        <f t="shared" si="40"/>
        <v>0</v>
      </c>
      <c r="BO42" s="211">
        <f t="shared" si="40"/>
        <v>0</v>
      </c>
      <c r="BP42" s="211">
        <f t="shared" si="40"/>
        <v>0</v>
      </c>
      <c r="BQ42" s="211">
        <f t="shared" si="40"/>
        <v>0</v>
      </c>
      <c r="BR42" s="211">
        <f t="shared" si="40"/>
        <v>0</v>
      </c>
      <c r="BS42" s="211">
        <f t="shared" si="40"/>
        <v>0</v>
      </c>
      <c r="BT42" s="211">
        <f t="shared" si="40"/>
        <v>0</v>
      </c>
      <c r="BU42" s="211">
        <f t="shared" si="40"/>
        <v>0</v>
      </c>
      <c r="BV42" s="211">
        <f t="shared" si="40"/>
        <v>0</v>
      </c>
      <c r="BW42" s="211">
        <f t="shared" si="40"/>
        <v>0</v>
      </c>
      <c r="BY42" s="42"/>
      <c r="BZ42" s="363">
        <f t="shared" ref="BZ42:BZ46" si="41">IF(MIN($V42:$BW42)&lt;0, 1, 0)</f>
        <v>0</v>
      </c>
      <c r="CA42" s="42"/>
      <c r="CE42" s="335"/>
      <c r="CG42" s="335"/>
      <c r="CI42" s="7">
        <f t="shared" ref="CI42:CI46" si="42">IF(SUM($CM42:$CO42)=0, 0, 1)</f>
        <v>0</v>
      </c>
      <c r="CJ42" s="7">
        <f t="shared" ref="CJ42:CJ46" si="43">IF(SUM($CP42:$CR42)=0, 0, 1)</f>
        <v>0</v>
      </c>
      <c r="CK42" s="7">
        <f t="shared" ref="CK42:CK46" si="44">IF($CS42=0, 0, 1)</f>
        <v>0</v>
      </c>
      <c r="CL42" s="42"/>
      <c r="CM42" s="352">
        <f t="shared" ref="CM42:CO46" si="45">ROUND(W42-SUMIFS($AA42:$BJ42, $AA$3:$BJ$3, W$3), rounding)</f>
        <v>0</v>
      </c>
      <c r="CN42" s="352">
        <f t="shared" si="45"/>
        <v>0</v>
      </c>
      <c r="CO42" s="352">
        <f t="shared" si="45"/>
        <v>0</v>
      </c>
      <c r="CP42" s="352">
        <f>ROUND($BM42-SUMIFS($AA42:$BJ42, $AA$3:$BJ$3, $BM$3), rounding)</f>
        <v>0</v>
      </c>
      <c r="CQ42" s="352">
        <f>ROUND($BN42-SUMIFS($AA42:$BJ42, $AA$3:$BJ$3, $BN$3), rounding)</f>
        <v>0</v>
      </c>
      <c r="CR42" s="352">
        <f>ROUND($BO42-SUMIFS($AA42:$BJ42, $AA$3:$BJ$3, $BO$3), rounding)</f>
        <v>0</v>
      </c>
      <c r="CS42" s="352">
        <f>ROUND($V42-$BL42, rounding)</f>
        <v>0</v>
      </c>
      <c r="CT42" s="42"/>
      <c r="CU42" s="326">
        <v>0</v>
      </c>
      <c r="CV42" s="326">
        <v>0</v>
      </c>
      <c r="EX42" s="10" t="str">
        <f t="shared" si="0"/>
        <v/>
      </c>
    </row>
    <row r="43" spans="1:154" s="326" customFormat="1" ht="14.85" customHeight="1" x14ac:dyDescent="0.25">
      <c r="A43" s="362" cm="1">
        <f t="array" aca="1" ref="A43" ca="1">HYPERLINK(CONCATENATE("#",CELL("address",IF(SUM($CA43:$CL43)=0,A43,INDEX($CA43:$CL43,MATCH(1,$CA43:$CL43,0))))),SUM($CA43:$CL43))</f>
        <v>0</v>
      </c>
      <c r="C43" s="410"/>
      <c r="D43" s="326" t="s">
        <v>970</v>
      </c>
      <c r="E43" s="326" t="str">
        <f>Parameters!$D$40</f>
        <v>Equipment</v>
      </c>
      <c r="S43" s="335"/>
      <c r="T43" s="335"/>
      <c r="U43" s="335"/>
      <c r="V43" s="211">
        <f t="shared" si="35"/>
        <v>0</v>
      </c>
      <c r="W43" s="211">
        <f t="shared" si="35"/>
        <v>0</v>
      </c>
      <c r="X43" s="211">
        <f t="shared" si="35"/>
        <v>0</v>
      </c>
      <c r="Y43" s="211">
        <f t="shared" si="35"/>
        <v>0</v>
      </c>
      <c r="Z43" s="335"/>
      <c r="AA43" s="211">
        <f t="shared" si="36"/>
        <v>0</v>
      </c>
      <c r="AB43" s="211">
        <f t="shared" si="36"/>
        <v>0</v>
      </c>
      <c r="AC43" s="211">
        <f t="shared" si="36"/>
        <v>0</v>
      </c>
      <c r="AD43" s="211">
        <f t="shared" si="36"/>
        <v>0</v>
      </c>
      <c r="AE43" s="211">
        <f t="shared" si="36"/>
        <v>0</v>
      </c>
      <c r="AF43" s="211">
        <f t="shared" si="36"/>
        <v>0</v>
      </c>
      <c r="AG43" s="211">
        <f t="shared" si="36"/>
        <v>0</v>
      </c>
      <c r="AH43" s="211">
        <f t="shared" si="36"/>
        <v>0</v>
      </c>
      <c r="AI43" s="211">
        <f t="shared" si="36"/>
        <v>0</v>
      </c>
      <c r="AJ43" s="211">
        <f t="shared" si="36"/>
        <v>0</v>
      </c>
      <c r="AK43" s="211">
        <f t="shared" si="37"/>
        <v>0</v>
      </c>
      <c r="AL43" s="211">
        <f t="shared" si="37"/>
        <v>0</v>
      </c>
      <c r="AM43" s="211">
        <f t="shared" si="37"/>
        <v>0</v>
      </c>
      <c r="AN43" s="211">
        <f t="shared" si="37"/>
        <v>0</v>
      </c>
      <c r="AO43" s="211">
        <f t="shared" si="37"/>
        <v>0</v>
      </c>
      <c r="AP43" s="211">
        <f t="shared" si="37"/>
        <v>0</v>
      </c>
      <c r="AQ43" s="211">
        <f t="shared" si="37"/>
        <v>0</v>
      </c>
      <c r="AR43" s="211">
        <f t="shared" si="37"/>
        <v>0</v>
      </c>
      <c r="AS43" s="211">
        <f t="shared" si="37"/>
        <v>0</v>
      </c>
      <c r="AT43" s="211">
        <f t="shared" si="37"/>
        <v>0</v>
      </c>
      <c r="AU43" s="211">
        <f t="shared" si="38"/>
        <v>0</v>
      </c>
      <c r="AV43" s="211">
        <f t="shared" si="38"/>
        <v>0</v>
      </c>
      <c r="AW43" s="211">
        <f t="shared" si="38"/>
        <v>0</v>
      </c>
      <c r="AX43" s="211">
        <f t="shared" si="38"/>
        <v>0</v>
      </c>
      <c r="AY43" s="211">
        <f t="shared" si="38"/>
        <v>0</v>
      </c>
      <c r="AZ43" s="211">
        <f t="shared" si="38"/>
        <v>0</v>
      </c>
      <c r="BA43" s="211">
        <f t="shared" si="38"/>
        <v>0</v>
      </c>
      <c r="BB43" s="211">
        <f t="shared" si="38"/>
        <v>0</v>
      </c>
      <c r="BC43" s="211">
        <f t="shared" si="38"/>
        <v>0</v>
      </c>
      <c r="BD43" s="211">
        <f t="shared" si="38"/>
        <v>0</v>
      </c>
      <c r="BE43" s="211">
        <f t="shared" si="39"/>
        <v>0</v>
      </c>
      <c r="BF43" s="211">
        <f t="shared" si="39"/>
        <v>0</v>
      </c>
      <c r="BG43" s="211">
        <f t="shared" si="39"/>
        <v>0</v>
      </c>
      <c r="BH43" s="211">
        <f t="shared" si="39"/>
        <v>0</v>
      </c>
      <c r="BI43" s="211">
        <f t="shared" si="39"/>
        <v>0</v>
      </c>
      <c r="BJ43" s="211">
        <f t="shared" si="39"/>
        <v>0</v>
      </c>
      <c r="BK43" s="335"/>
      <c r="BL43" s="211">
        <f t="shared" si="40"/>
        <v>0</v>
      </c>
      <c r="BM43" s="211">
        <f t="shared" si="40"/>
        <v>0</v>
      </c>
      <c r="BN43" s="211">
        <f t="shared" si="40"/>
        <v>0</v>
      </c>
      <c r="BO43" s="211">
        <f t="shared" si="40"/>
        <v>0</v>
      </c>
      <c r="BP43" s="211">
        <f t="shared" si="40"/>
        <v>0</v>
      </c>
      <c r="BQ43" s="211">
        <f t="shared" si="40"/>
        <v>0</v>
      </c>
      <c r="BR43" s="211">
        <f t="shared" si="40"/>
        <v>0</v>
      </c>
      <c r="BS43" s="211">
        <f t="shared" si="40"/>
        <v>0</v>
      </c>
      <c r="BT43" s="211">
        <f t="shared" si="40"/>
        <v>0</v>
      </c>
      <c r="BU43" s="211">
        <f t="shared" si="40"/>
        <v>0</v>
      </c>
      <c r="BV43" s="211">
        <f t="shared" si="40"/>
        <v>0</v>
      </c>
      <c r="BW43" s="211">
        <f t="shared" si="40"/>
        <v>0</v>
      </c>
      <c r="BY43" s="42"/>
      <c r="BZ43" s="363">
        <f t="shared" si="41"/>
        <v>0</v>
      </c>
      <c r="CA43" s="42"/>
      <c r="CE43" s="335"/>
      <c r="CG43" s="335"/>
      <c r="CI43" s="7">
        <f t="shared" si="42"/>
        <v>0</v>
      </c>
      <c r="CJ43" s="7">
        <f t="shared" si="43"/>
        <v>0</v>
      </c>
      <c r="CK43" s="7">
        <f t="shared" si="44"/>
        <v>0</v>
      </c>
      <c r="CL43" s="42"/>
      <c r="CM43" s="352">
        <f t="shared" si="45"/>
        <v>0</v>
      </c>
      <c r="CN43" s="352">
        <f t="shared" si="45"/>
        <v>0</v>
      </c>
      <c r="CO43" s="352">
        <f t="shared" si="45"/>
        <v>0</v>
      </c>
      <c r="CP43" s="352">
        <f>ROUND($BM43-SUMIFS($AA43:$BJ43, $AA$3:$BJ$3, $BM$3), rounding)</f>
        <v>0</v>
      </c>
      <c r="CQ43" s="352">
        <f>ROUND($BN43-SUMIFS($AA43:$BJ43, $AA$3:$BJ$3, $BN$3), rounding)</f>
        <v>0</v>
      </c>
      <c r="CR43" s="352">
        <f>ROUND($BO43-SUMIFS($AA43:$BJ43, $AA$3:$BJ$3, $BO$3), rounding)</f>
        <v>0</v>
      </c>
      <c r="CS43" s="352">
        <f>ROUND($V43-$BL43, rounding)</f>
        <v>0</v>
      </c>
      <c r="CT43" s="42"/>
      <c r="CU43" s="326">
        <v>0</v>
      </c>
      <c r="CV43" s="326">
        <v>0</v>
      </c>
      <c r="EX43" s="10" t="str">
        <f t="shared" si="0"/>
        <v/>
      </c>
    </row>
    <row r="44" spans="1:154" s="335" customFormat="1" ht="14.85" customHeight="1" x14ac:dyDescent="0.25">
      <c r="A44" s="362" cm="1">
        <f t="array" aca="1" ref="A44" ca="1">HYPERLINK(CONCATENATE("#",CELL("address",IF(SUM($CA44:$CL44)=0,A44,INDEX($CA44:$CL44,MATCH(1,$CA44:$CL44,0))))),SUM($CA44:$CL44))</f>
        <v>0</v>
      </c>
      <c r="C44" s="410"/>
      <c r="D44" s="335" t="s">
        <v>978</v>
      </c>
      <c r="E44" s="335" t="str">
        <f>Parameters!$D$41</f>
        <v>Other NCA</v>
      </c>
      <c r="V44" s="211">
        <f t="shared" si="35"/>
        <v>0</v>
      </c>
      <c r="W44" s="211">
        <f t="shared" si="35"/>
        <v>0</v>
      </c>
      <c r="X44" s="211">
        <f t="shared" si="35"/>
        <v>0</v>
      </c>
      <c r="Y44" s="211">
        <f t="shared" si="35"/>
        <v>0</v>
      </c>
      <c r="AA44" s="211">
        <f t="shared" si="36"/>
        <v>0</v>
      </c>
      <c r="AB44" s="211">
        <f t="shared" si="36"/>
        <v>0</v>
      </c>
      <c r="AC44" s="211">
        <f t="shared" si="36"/>
        <v>0</v>
      </c>
      <c r="AD44" s="211">
        <f t="shared" si="36"/>
        <v>0</v>
      </c>
      <c r="AE44" s="211">
        <f t="shared" si="36"/>
        <v>0</v>
      </c>
      <c r="AF44" s="211">
        <f t="shared" si="36"/>
        <v>0</v>
      </c>
      <c r="AG44" s="211">
        <f t="shared" si="36"/>
        <v>0</v>
      </c>
      <c r="AH44" s="211">
        <f t="shared" si="36"/>
        <v>0</v>
      </c>
      <c r="AI44" s="211">
        <f t="shared" si="36"/>
        <v>0</v>
      </c>
      <c r="AJ44" s="211">
        <f t="shared" si="36"/>
        <v>0</v>
      </c>
      <c r="AK44" s="211">
        <f t="shared" si="37"/>
        <v>0</v>
      </c>
      <c r="AL44" s="211">
        <f t="shared" si="37"/>
        <v>0</v>
      </c>
      <c r="AM44" s="211">
        <f t="shared" si="37"/>
        <v>0</v>
      </c>
      <c r="AN44" s="211">
        <f t="shared" si="37"/>
        <v>0</v>
      </c>
      <c r="AO44" s="211">
        <f t="shared" si="37"/>
        <v>0</v>
      </c>
      <c r="AP44" s="211">
        <f t="shared" si="37"/>
        <v>0</v>
      </c>
      <c r="AQ44" s="211">
        <f t="shared" si="37"/>
        <v>0</v>
      </c>
      <c r="AR44" s="211">
        <f t="shared" si="37"/>
        <v>0</v>
      </c>
      <c r="AS44" s="211">
        <f t="shared" si="37"/>
        <v>0</v>
      </c>
      <c r="AT44" s="211">
        <f t="shared" si="37"/>
        <v>0</v>
      </c>
      <c r="AU44" s="211">
        <f t="shared" si="38"/>
        <v>0</v>
      </c>
      <c r="AV44" s="211">
        <f t="shared" si="38"/>
        <v>0</v>
      </c>
      <c r="AW44" s="211">
        <f t="shared" si="38"/>
        <v>0</v>
      </c>
      <c r="AX44" s="211">
        <f t="shared" si="38"/>
        <v>0</v>
      </c>
      <c r="AY44" s="211">
        <f t="shared" si="38"/>
        <v>0</v>
      </c>
      <c r="AZ44" s="211">
        <f t="shared" si="38"/>
        <v>0</v>
      </c>
      <c r="BA44" s="211">
        <f t="shared" si="38"/>
        <v>0</v>
      </c>
      <c r="BB44" s="211">
        <f t="shared" si="38"/>
        <v>0</v>
      </c>
      <c r="BC44" s="211">
        <f t="shared" si="38"/>
        <v>0</v>
      </c>
      <c r="BD44" s="211">
        <f t="shared" si="38"/>
        <v>0</v>
      </c>
      <c r="BE44" s="211">
        <f t="shared" si="39"/>
        <v>0</v>
      </c>
      <c r="BF44" s="211">
        <f t="shared" si="39"/>
        <v>0</v>
      </c>
      <c r="BG44" s="211">
        <f t="shared" si="39"/>
        <v>0</v>
      </c>
      <c r="BH44" s="211">
        <f t="shared" si="39"/>
        <v>0</v>
      </c>
      <c r="BI44" s="211">
        <f t="shared" si="39"/>
        <v>0</v>
      </c>
      <c r="BJ44" s="211">
        <f t="shared" si="39"/>
        <v>0</v>
      </c>
      <c r="BL44" s="211">
        <f t="shared" si="40"/>
        <v>0</v>
      </c>
      <c r="BM44" s="211">
        <f t="shared" si="40"/>
        <v>0</v>
      </c>
      <c r="BN44" s="211">
        <f t="shared" si="40"/>
        <v>0</v>
      </c>
      <c r="BO44" s="211">
        <f t="shared" si="40"/>
        <v>0</v>
      </c>
      <c r="BP44" s="211">
        <f t="shared" si="40"/>
        <v>0</v>
      </c>
      <c r="BQ44" s="211">
        <f t="shared" si="40"/>
        <v>0</v>
      </c>
      <c r="BR44" s="211">
        <f t="shared" si="40"/>
        <v>0</v>
      </c>
      <c r="BS44" s="211">
        <f t="shared" si="40"/>
        <v>0</v>
      </c>
      <c r="BT44" s="211">
        <f t="shared" si="40"/>
        <v>0</v>
      </c>
      <c r="BU44" s="211">
        <f t="shared" si="40"/>
        <v>0</v>
      </c>
      <c r="BV44" s="211">
        <f t="shared" si="40"/>
        <v>0</v>
      </c>
      <c r="BW44" s="211">
        <f t="shared" si="40"/>
        <v>0</v>
      </c>
      <c r="BY44" s="42"/>
      <c r="BZ44" s="363">
        <f t="shared" si="41"/>
        <v>0</v>
      </c>
      <c r="CA44" s="42"/>
      <c r="CI44" s="7">
        <f t="shared" si="42"/>
        <v>0</v>
      </c>
      <c r="CJ44" s="7">
        <f t="shared" si="43"/>
        <v>0</v>
      </c>
      <c r="CK44" s="7">
        <f t="shared" si="44"/>
        <v>0</v>
      </c>
      <c r="CL44" s="42"/>
      <c r="CM44" s="352">
        <f t="shared" si="45"/>
        <v>0</v>
      </c>
      <c r="CN44" s="352">
        <f t="shared" si="45"/>
        <v>0</v>
      </c>
      <c r="CO44" s="352">
        <f t="shared" si="45"/>
        <v>0</v>
      </c>
      <c r="CP44" s="352">
        <f>ROUND($BM44-SUMIFS($AA44:$BJ44, $AA$3:$BJ$3, $BM$3), rounding)</f>
        <v>0</v>
      </c>
      <c r="CQ44" s="352">
        <f>ROUND($BN44-SUMIFS($AA44:$BJ44, $AA$3:$BJ$3, $BN$3), rounding)</f>
        <v>0</v>
      </c>
      <c r="CR44" s="352">
        <f>ROUND($BO44-SUMIFS($AA44:$BJ44, $AA$3:$BJ$3, $BO$3), rounding)</f>
        <v>0</v>
      </c>
      <c r="CS44" s="352">
        <f>ROUND($V44-$BL44, rounding)</f>
        <v>0</v>
      </c>
      <c r="CT44" s="42"/>
      <c r="CU44" s="335">
        <v>0</v>
      </c>
      <c r="CV44" s="335">
        <v>0</v>
      </c>
      <c r="EX44" s="10" t="str">
        <f t="shared" si="0"/>
        <v/>
      </c>
    </row>
    <row r="45" spans="1:154" s="326" customFormat="1" ht="14.85" customHeight="1" x14ac:dyDescent="0.25">
      <c r="A45" s="362" cm="1">
        <f t="array" aca="1" ref="A45" ca="1">HYPERLINK(CONCATENATE("#",CELL("address",IF(SUM($CA45:$CL45)=0,A45,INDEX($CA45:$CL45,MATCH(1,$CA45:$CL45,0))))),SUM($CA45:$CL45))</f>
        <v>0</v>
      </c>
      <c r="C45" s="410"/>
      <c r="D45" s="326" t="s">
        <v>971</v>
      </c>
      <c r="E45" s="326" t="str">
        <f>Parameters!$D$42</f>
        <v>Assets under Construction</v>
      </c>
      <c r="S45" s="335"/>
      <c r="T45" s="335"/>
      <c r="U45" s="335"/>
      <c r="V45" s="211">
        <f t="shared" si="35"/>
        <v>0</v>
      </c>
      <c r="W45" s="211">
        <f t="shared" si="35"/>
        <v>0</v>
      </c>
      <c r="X45" s="211">
        <f t="shared" si="35"/>
        <v>0</v>
      </c>
      <c r="Y45" s="211">
        <f t="shared" si="35"/>
        <v>0</v>
      </c>
      <c r="Z45" s="335"/>
      <c r="AA45" s="211">
        <f t="shared" si="36"/>
        <v>0</v>
      </c>
      <c r="AB45" s="211">
        <f t="shared" si="36"/>
        <v>0</v>
      </c>
      <c r="AC45" s="211">
        <f t="shared" si="36"/>
        <v>0</v>
      </c>
      <c r="AD45" s="211">
        <f t="shared" si="36"/>
        <v>0</v>
      </c>
      <c r="AE45" s="211">
        <f t="shared" si="36"/>
        <v>0</v>
      </c>
      <c r="AF45" s="211">
        <f t="shared" si="36"/>
        <v>0</v>
      </c>
      <c r="AG45" s="211">
        <f t="shared" si="36"/>
        <v>0</v>
      </c>
      <c r="AH45" s="211">
        <f t="shared" si="36"/>
        <v>0</v>
      </c>
      <c r="AI45" s="211">
        <f t="shared" si="36"/>
        <v>0</v>
      </c>
      <c r="AJ45" s="211">
        <f t="shared" si="36"/>
        <v>0</v>
      </c>
      <c r="AK45" s="211">
        <f t="shared" si="37"/>
        <v>0</v>
      </c>
      <c r="AL45" s="211">
        <f t="shared" si="37"/>
        <v>0</v>
      </c>
      <c r="AM45" s="211">
        <f t="shared" si="37"/>
        <v>0</v>
      </c>
      <c r="AN45" s="211">
        <f t="shared" si="37"/>
        <v>0</v>
      </c>
      <c r="AO45" s="211">
        <f t="shared" si="37"/>
        <v>0</v>
      </c>
      <c r="AP45" s="211">
        <f t="shared" si="37"/>
        <v>0</v>
      </c>
      <c r="AQ45" s="211">
        <f t="shared" si="37"/>
        <v>0</v>
      </c>
      <c r="AR45" s="211">
        <f t="shared" si="37"/>
        <v>0</v>
      </c>
      <c r="AS45" s="211">
        <f t="shared" si="37"/>
        <v>0</v>
      </c>
      <c r="AT45" s="211">
        <f t="shared" si="37"/>
        <v>0</v>
      </c>
      <c r="AU45" s="211">
        <f t="shared" si="38"/>
        <v>0</v>
      </c>
      <c r="AV45" s="211">
        <f t="shared" si="38"/>
        <v>0</v>
      </c>
      <c r="AW45" s="211">
        <f t="shared" si="38"/>
        <v>0</v>
      </c>
      <c r="AX45" s="211">
        <f t="shared" si="38"/>
        <v>0</v>
      </c>
      <c r="AY45" s="211">
        <f t="shared" si="38"/>
        <v>0</v>
      </c>
      <c r="AZ45" s="211">
        <f t="shared" si="38"/>
        <v>0</v>
      </c>
      <c r="BA45" s="211">
        <f t="shared" si="38"/>
        <v>0</v>
      </c>
      <c r="BB45" s="211">
        <f t="shared" si="38"/>
        <v>0</v>
      </c>
      <c r="BC45" s="211">
        <f t="shared" si="38"/>
        <v>0</v>
      </c>
      <c r="BD45" s="211">
        <f t="shared" si="38"/>
        <v>0</v>
      </c>
      <c r="BE45" s="211">
        <f t="shared" si="39"/>
        <v>0</v>
      </c>
      <c r="BF45" s="211">
        <f t="shared" si="39"/>
        <v>0</v>
      </c>
      <c r="BG45" s="211">
        <f t="shared" si="39"/>
        <v>0</v>
      </c>
      <c r="BH45" s="211">
        <f t="shared" si="39"/>
        <v>0</v>
      </c>
      <c r="BI45" s="211">
        <f t="shared" si="39"/>
        <v>0</v>
      </c>
      <c r="BJ45" s="211">
        <f t="shared" si="39"/>
        <v>0</v>
      </c>
      <c r="BK45" s="335"/>
      <c r="BL45" s="211">
        <f t="shared" si="40"/>
        <v>0</v>
      </c>
      <c r="BM45" s="211">
        <f t="shared" si="40"/>
        <v>0</v>
      </c>
      <c r="BN45" s="211">
        <f t="shared" si="40"/>
        <v>0</v>
      </c>
      <c r="BO45" s="211">
        <f t="shared" si="40"/>
        <v>0</v>
      </c>
      <c r="BP45" s="211">
        <f t="shared" si="40"/>
        <v>0</v>
      </c>
      <c r="BQ45" s="211">
        <f t="shared" si="40"/>
        <v>0</v>
      </c>
      <c r="BR45" s="211">
        <f t="shared" si="40"/>
        <v>0</v>
      </c>
      <c r="BS45" s="211">
        <f t="shared" si="40"/>
        <v>0</v>
      </c>
      <c r="BT45" s="211">
        <f t="shared" si="40"/>
        <v>0</v>
      </c>
      <c r="BU45" s="211">
        <f t="shared" si="40"/>
        <v>0</v>
      </c>
      <c r="BV45" s="211">
        <f t="shared" si="40"/>
        <v>0</v>
      </c>
      <c r="BW45" s="211">
        <f t="shared" si="40"/>
        <v>0</v>
      </c>
      <c r="BY45" s="42"/>
      <c r="BZ45" s="363">
        <f t="shared" si="41"/>
        <v>0</v>
      </c>
      <c r="CA45" s="42"/>
      <c r="CE45" s="335"/>
      <c r="CG45" s="335"/>
      <c r="CI45" s="7">
        <f t="shared" si="42"/>
        <v>0</v>
      </c>
      <c r="CJ45" s="7">
        <f t="shared" si="43"/>
        <v>0</v>
      </c>
      <c r="CK45" s="7">
        <f t="shared" si="44"/>
        <v>0</v>
      </c>
      <c r="CL45" s="42"/>
      <c r="CM45" s="352">
        <f t="shared" si="45"/>
        <v>0</v>
      </c>
      <c r="CN45" s="352">
        <f t="shared" si="45"/>
        <v>0</v>
      </c>
      <c r="CO45" s="352">
        <f t="shared" si="45"/>
        <v>0</v>
      </c>
      <c r="CP45" s="352">
        <f>ROUND($BM45-SUMIFS($AA45:$BJ45, $AA$3:$BJ$3, $BM$3), rounding)</f>
        <v>0</v>
      </c>
      <c r="CQ45" s="352">
        <f>ROUND($BN45-SUMIFS($AA45:$BJ45, $AA$3:$BJ$3, $BN$3), rounding)</f>
        <v>0</v>
      </c>
      <c r="CR45" s="352">
        <f>ROUND($BO45-SUMIFS($AA45:$BJ45, $AA$3:$BJ$3, $BO$3), rounding)</f>
        <v>0</v>
      </c>
      <c r="CS45" s="352">
        <f>ROUND($V45-$BL45, rounding)</f>
        <v>0</v>
      </c>
      <c r="CT45" s="42"/>
      <c r="CU45" s="326">
        <v>0</v>
      </c>
      <c r="CV45" s="326">
        <v>0</v>
      </c>
      <c r="EX45" s="10" t="str">
        <f t="shared" si="0"/>
        <v/>
      </c>
    </row>
    <row r="46" spans="1:154" s="326" customFormat="1" ht="14.85" customHeight="1" x14ac:dyDescent="0.25">
      <c r="A46" s="362" cm="1">
        <f t="array" aca="1" ref="A46" ca="1">HYPERLINK(CONCATENATE("#",CELL("address",IF(SUM($CA46:$CL46)=0,A46,INDEX($CA46:$CL46,MATCH(1,$CA46:$CL46,0))))),SUM($CA46:$CL46))</f>
        <v>0</v>
      </c>
      <c r="C46" s="410"/>
      <c r="D46" s="5" t="s">
        <v>866</v>
      </c>
      <c r="E46" s="5" t="s">
        <v>391</v>
      </c>
      <c r="S46" s="335"/>
      <c r="T46" s="335"/>
      <c r="U46" s="335"/>
      <c r="V46" s="211">
        <f>SUM(V42:V45)</f>
        <v>0</v>
      </c>
      <c r="W46" s="211">
        <f t="shared" ref="W46:BW46" si="46">SUM(W42:W45)</f>
        <v>0</v>
      </c>
      <c r="X46" s="211">
        <f t="shared" si="46"/>
        <v>0</v>
      </c>
      <c r="Y46" s="211">
        <f t="shared" si="46"/>
        <v>0</v>
      </c>
      <c r="Z46" s="335"/>
      <c r="AA46" s="211">
        <f t="shared" si="46"/>
        <v>0</v>
      </c>
      <c r="AB46" s="211">
        <f t="shared" si="46"/>
        <v>0</v>
      </c>
      <c r="AC46" s="211">
        <f t="shared" si="46"/>
        <v>0</v>
      </c>
      <c r="AD46" s="211">
        <f t="shared" si="46"/>
        <v>0</v>
      </c>
      <c r="AE46" s="211">
        <f t="shared" si="46"/>
        <v>0</v>
      </c>
      <c r="AF46" s="211">
        <f t="shared" si="46"/>
        <v>0</v>
      </c>
      <c r="AG46" s="211">
        <f t="shared" si="46"/>
        <v>0</v>
      </c>
      <c r="AH46" s="211">
        <f t="shared" si="46"/>
        <v>0</v>
      </c>
      <c r="AI46" s="211">
        <f t="shared" si="46"/>
        <v>0</v>
      </c>
      <c r="AJ46" s="211">
        <f t="shared" si="46"/>
        <v>0</v>
      </c>
      <c r="AK46" s="211">
        <f t="shared" si="46"/>
        <v>0</v>
      </c>
      <c r="AL46" s="211">
        <f t="shared" si="46"/>
        <v>0</v>
      </c>
      <c r="AM46" s="211">
        <f t="shared" si="46"/>
        <v>0</v>
      </c>
      <c r="AN46" s="211">
        <f t="shared" si="46"/>
        <v>0</v>
      </c>
      <c r="AO46" s="211">
        <f t="shared" si="46"/>
        <v>0</v>
      </c>
      <c r="AP46" s="211">
        <f t="shared" si="46"/>
        <v>0</v>
      </c>
      <c r="AQ46" s="211">
        <f t="shared" si="46"/>
        <v>0</v>
      </c>
      <c r="AR46" s="211">
        <f t="shared" si="46"/>
        <v>0</v>
      </c>
      <c r="AS46" s="211">
        <f t="shared" si="46"/>
        <v>0</v>
      </c>
      <c r="AT46" s="211">
        <f t="shared" si="46"/>
        <v>0</v>
      </c>
      <c r="AU46" s="211">
        <f t="shared" si="46"/>
        <v>0</v>
      </c>
      <c r="AV46" s="211">
        <f t="shared" si="46"/>
        <v>0</v>
      </c>
      <c r="AW46" s="211">
        <f t="shared" si="46"/>
        <v>0</v>
      </c>
      <c r="AX46" s="211">
        <f t="shared" si="46"/>
        <v>0</v>
      </c>
      <c r="AY46" s="211">
        <f t="shared" si="46"/>
        <v>0</v>
      </c>
      <c r="AZ46" s="211">
        <f t="shared" si="46"/>
        <v>0</v>
      </c>
      <c r="BA46" s="211">
        <f t="shared" si="46"/>
        <v>0</v>
      </c>
      <c r="BB46" s="211">
        <f t="shared" si="46"/>
        <v>0</v>
      </c>
      <c r="BC46" s="211">
        <f t="shared" si="46"/>
        <v>0</v>
      </c>
      <c r="BD46" s="211">
        <f t="shared" si="46"/>
        <v>0</v>
      </c>
      <c r="BE46" s="211">
        <f t="shared" si="46"/>
        <v>0</v>
      </c>
      <c r="BF46" s="211">
        <f t="shared" si="46"/>
        <v>0</v>
      </c>
      <c r="BG46" s="211">
        <f t="shared" si="46"/>
        <v>0</v>
      </c>
      <c r="BH46" s="211">
        <f t="shared" si="46"/>
        <v>0</v>
      </c>
      <c r="BI46" s="211">
        <f t="shared" si="46"/>
        <v>0</v>
      </c>
      <c r="BJ46" s="211">
        <f t="shared" si="46"/>
        <v>0</v>
      </c>
      <c r="BK46" s="335"/>
      <c r="BL46" s="211">
        <f t="shared" si="46"/>
        <v>0</v>
      </c>
      <c r="BM46" s="211">
        <f t="shared" si="46"/>
        <v>0</v>
      </c>
      <c r="BN46" s="211">
        <f t="shared" si="46"/>
        <v>0</v>
      </c>
      <c r="BO46" s="211">
        <f t="shared" si="46"/>
        <v>0</v>
      </c>
      <c r="BP46" s="211">
        <f t="shared" si="46"/>
        <v>0</v>
      </c>
      <c r="BQ46" s="211">
        <f t="shared" si="46"/>
        <v>0</v>
      </c>
      <c r="BR46" s="211">
        <f t="shared" si="46"/>
        <v>0</v>
      </c>
      <c r="BS46" s="211">
        <f t="shared" si="46"/>
        <v>0</v>
      </c>
      <c r="BT46" s="211">
        <f t="shared" si="46"/>
        <v>0</v>
      </c>
      <c r="BU46" s="211">
        <f t="shared" si="46"/>
        <v>0</v>
      </c>
      <c r="BV46" s="211">
        <f t="shared" si="46"/>
        <v>0</v>
      </c>
      <c r="BW46" s="211">
        <f t="shared" si="46"/>
        <v>0</v>
      </c>
      <c r="BY46" s="42"/>
      <c r="BZ46" s="363">
        <f t="shared" si="41"/>
        <v>0</v>
      </c>
      <c r="CA46" s="42"/>
      <c r="CE46" s="335"/>
      <c r="CG46" s="335"/>
      <c r="CI46" s="7">
        <f t="shared" si="42"/>
        <v>0</v>
      </c>
      <c r="CJ46" s="7">
        <f t="shared" si="43"/>
        <v>0</v>
      </c>
      <c r="CK46" s="7">
        <f t="shared" si="44"/>
        <v>0</v>
      </c>
      <c r="CL46" s="42"/>
      <c r="CM46" s="352">
        <f t="shared" si="45"/>
        <v>0</v>
      </c>
      <c r="CN46" s="352">
        <f t="shared" si="45"/>
        <v>0</v>
      </c>
      <c r="CO46" s="352">
        <f t="shared" si="45"/>
        <v>0</v>
      </c>
      <c r="CP46" s="352">
        <f>ROUND($BM46-SUMIFS($AA46:$BJ46, $AA$3:$BJ$3, $BM$3), rounding)</f>
        <v>0</v>
      </c>
      <c r="CQ46" s="352">
        <f>ROUND($BN46-SUMIFS($AA46:$BJ46, $AA$3:$BJ$3, $BN$3), rounding)</f>
        <v>0</v>
      </c>
      <c r="CR46" s="352">
        <f>ROUND($BO46-SUMIFS($AA46:$BJ46, $AA$3:$BJ$3, $BO$3), rounding)</f>
        <v>0</v>
      </c>
      <c r="CS46" s="352">
        <f>ROUND($V46-$BL46, rounding)</f>
        <v>0</v>
      </c>
      <c r="CT46" s="42"/>
      <c r="CU46" s="326">
        <v>0</v>
      </c>
      <c r="CV46" s="326">
        <v>0</v>
      </c>
      <c r="EX46" s="10" t="str">
        <f t="shared" si="0"/>
        <v/>
      </c>
    </row>
    <row r="47" spans="1:154" ht="6.6" customHeight="1" x14ac:dyDescent="0.25">
      <c r="C47" s="410"/>
      <c r="D47" s="1"/>
      <c r="E47" s="67"/>
      <c r="Z47" s="335"/>
      <c r="BM47" s="6"/>
      <c r="BY47" s="42"/>
      <c r="CA47" s="42"/>
      <c r="CL47" s="42"/>
      <c r="CM47" s="352"/>
      <c r="CN47" s="352"/>
      <c r="CO47" s="352"/>
      <c r="CP47" s="352"/>
      <c r="CQ47" s="352"/>
      <c r="CR47" s="352"/>
      <c r="CS47" s="352"/>
      <c r="CT47" s="42"/>
      <c r="CU47" s="67">
        <v>0</v>
      </c>
      <c r="CV47" s="67">
        <v>0</v>
      </c>
      <c r="EX47" s="10" t="str">
        <f t="shared" si="0"/>
        <v/>
      </c>
    </row>
    <row r="48" spans="1:154" x14ac:dyDescent="0.25">
      <c r="A48" s="108"/>
      <c r="B48" s="108"/>
      <c r="C48" s="411"/>
      <c r="D48" s="148" t="s">
        <v>385</v>
      </c>
      <c r="E48" s="148"/>
      <c r="F48" s="148"/>
      <c r="G48" s="148"/>
      <c r="H48" s="40"/>
      <c r="I48" s="40"/>
      <c r="J48" s="40"/>
      <c r="K48" s="40"/>
      <c r="L48" s="40"/>
      <c r="M48" s="40"/>
      <c r="N48" s="40"/>
      <c r="O48" s="40"/>
      <c r="P48" s="40"/>
      <c r="Q48" s="40"/>
      <c r="R48" s="40"/>
      <c r="S48" s="40"/>
      <c r="T48" s="148"/>
      <c r="U48" s="148"/>
      <c r="V48" s="148"/>
      <c r="W48" s="148"/>
      <c r="X48" s="148"/>
      <c r="Y48" s="148"/>
      <c r="Z48" s="335"/>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40"/>
      <c r="BL48" s="148"/>
      <c r="BM48" s="148"/>
      <c r="BN48" s="148"/>
      <c r="BO48" s="148"/>
      <c r="BP48" s="148"/>
      <c r="BQ48" s="148"/>
      <c r="BR48" s="148"/>
      <c r="BS48" s="148"/>
      <c r="BT48" s="148"/>
      <c r="BU48" s="148"/>
      <c r="BV48" s="148"/>
      <c r="BW48" s="148"/>
      <c r="BX48" s="40"/>
      <c r="BY48" s="42"/>
      <c r="CA48" s="42"/>
      <c r="CL48" s="42"/>
      <c r="CM48" s="352"/>
      <c r="CN48" s="352"/>
      <c r="CO48" s="352"/>
      <c r="CP48" s="352"/>
      <c r="CQ48" s="352"/>
      <c r="CR48" s="352"/>
      <c r="CS48" s="352"/>
      <c r="CT48" s="42"/>
      <c r="CU48" s="67">
        <v>0</v>
      </c>
      <c r="CV48" s="67">
        <v>0</v>
      </c>
      <c r="EX48" s="10" t="str">
        <f t="shared" si="0"/>
        <v/>
      </c>
    </row>
    <row r="49" spans="1:154" ht="6.6" customHeight="1" x14ac:dyDescent="0.25">
      <c r="C49" s="410"/>
      <c r="D49" s="35"/>
      <c r="E49" s="25"/>
      <c r="F49" s="25"/>
      <c r="G49" s="25"/>
      <c r="T49" s="25"/>
      <c r="U49" s="25"/>
      <c r="V49" s="25"/>
      <c r="W49" s="25"/>
      <c r="X49" s="25"/>
      <c r="Y49" s="25"/>
      <c r="Z49" s="33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L49" s="25"/>
      <c r="BM49" s="155"/>
      <c r="BN49" s="25"/>
      <c r="BO49" s="25"/>
      <c r="BP49" s="25"/>
      <c r="BQ49" s="25"/>
      <c r="BR49" s="25"/>
      <c r="BS49" s="25"/>
      <c r="BT49" s="25"/>
      <c r="BU49" s="25"/>
      <c r="BV49" s="25"/>
      <c r="BW49" s="25"/>
      <c r="BY49" s="42"/>
      <c r="CA49" s="42"/>
      <c r="CL49" s="42"/>
      <c r="CM49" s="352"/>
      <c r="CN49" s="352"/>
      <c r="CO49" s="352"/>
      <c r="CP49" s="352"/>
      <c r="CQ49" s="352"/>
      <c r="CR49" s="352"/>
      <c r="CS49" s="352"/>
      <c r="CT49" s="42"/>
      <c r="CU49" s="67">
        <v>0</v>
      </c>
      <c r="CV49" s="67">
        <v>0</v>
      </c>
      <c r="EX49" s="10" t="str">
        <f t="shared" si="0"/>
        <v/>
      </c>
    </row>
    <row r="50" spans="1:154" ht="15.75" x14ac:dyDescent="0.3">
      <c r="C50" s="410"/>
      <c r="D50" s="35"/>
      <c r="E50" s="149" t="s">
        <v>335</v>
      </c>
      <c r="F50" s="479" t="s">
        <v>335</v>
      </c>
      <c r="G50" s="479" t="s">
        <v>335</v>
      </c>
      <c r="H50" s="335"/>
      <c r="T50" s="25"/>
      <c r="U50" s="25"/>
      <c r="V50" s="25"/>
      <c r="W50" s="25"/>
      <c r="X50" s="25"/>
      <c r="Y50" s="25"/>
      <c r="Z50" s="33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L50" s="25"/>
      <c r="BM50" s="25"/>
      <c r="BN50" s="25"/>
      <c r="BO50" s="25"/>
      <c r="BP50" s="25"/>
      <c r="BQ50" s="25"/>
      <c r="BR50" s="25"/>
      <c r="BS50" s="25"/>
      <c r="BT50" s="25"/>
      <c r="BU50" s="25"/>
      <c r="BV50" s="25"/>
      <c r="BW50" s="25"/>
      <c r="BY50" s="12"/>
      <c r="CA50" s="12"/>
      <c r="CL50" s="42"/>
      <c r="CM50" s="352"/>
      <c r="CN50" s="352"/>
      <c r="CO50" s="352"/>
      <c r="CP50" s="352"/>
      <c r="CQ50" s="352"/>
      <c r="CR50" s="352"/>
      <c r="CS50" s="352"/>
      <c r="CT50" s="42"/>
      <c r="CU50" s="67">
        <v>0</v>
      </c>
      <c r="CV50" s="67">
        <v>0</v>
      </c>
      <c r="EX50" s="10" t="str">
        <f t="shared" si="0"/>
        <v/>
      </c>
    </row>
    <row r="51" spans="1:154" s="1" customFormat="1" ht="51" x14ac:dyDescent="0.25">
      <c r="C51" s="412"/>
      <c r="D51" s="55" t="s">
        <v>382</v>
      </c>
      <c r="E51" s="56" t="s">
        <v>352</v>
      </c>
      <c r="F51" s="56" t="s">
        <v>386</v>
      </c>
      <c r="G51" s="57" t="s">
        <v>371</v>
      </c>
      <c r="H51" s="67"/>
      <c r="T51" s="35"/>
      <c r="U51" s="35"/>
      <c r="V51" s="35"/>
      <c r="W51" s="35"/>
      <c r="X51" s="35"/>
      <c r="Y51" s="35"/>
      <c r="Z51" s="3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L51" s="35"/>
      <c r="BM51" s="35"/>
      <c r="BN51" s="35"/>
      <c r="BO51" s="35"/>
      <c r="BP51" s="35"/>
      <c r="BQ51" s="35"/>
      <c r="BR51" s="35"/>
      <c r="BS51" s="35"/>
      <c r="BT51" s="35"/>
      <c r="BU51" s="35"/>
      <c r="BV51" s="35"/>
      <c r="BW51" s="35"/>
      <c r="BY51" s="28"/>
      <c r="CA51" s="28"/>
      <c r="CE51" s="335"/>
      <c r="CH51" s="67"/>
      <c r="CI51" s="335"/>
      <c r="CJ51" s="335"/>
      <c r="CK51" s="335"/>
      <c r="CL51" s="54"/>
      <c r="CM51" s="352"/>
      <c r="CN51" s="352"/>
      <c r="CO51" s="352"/>
      <c r="CP51" s="352">
        <f>$BM51-SUMIFS($AA51:$BJ51, $AA$3:$BJ$3, $BM$3)</f>
        <v>0</v>
      </c>
      <c r="CQ51" s="335"/>
      <c r="CR51" s="335"/>
      <c r="CS51" s="335"/>
      <c r="CT51" s="54"/>
      <c r="CU51" s="1">
        <v>0</v>
      </c>
      <c r="CV51" s="1">
        <v>0</v>
      </c>
      <c r="EX51" s="10" t="str">
        <f t="shared" si="0"/>
        <v/>
      </c>
    </row>
    <row r="52" spans="1:154" x14ac:dyDescent="0.25">
      <c r="C52" s="410"/>
      <c r="D52" s="374"/>
      <c r="E52" s="375" t="s">
        <v>189</v>
      </c>
      <c r="F52" s="375" t="s">
        <v>118</v>
      </c>
      <c r="G52" s="376" t="s">
        <v>7</v>
      </c>
      <c r="S52" s="1"/>
      <c r="T52" s="25"/>
      <c r="U52" s="25"/>
      <c r="V52" s="25"/>
      <c r="W52" s="25"/>
      <c r="X52" s="25"/>
      <c r="Y52" s="25"/>
      <c r="Z52" s="33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1"/>
      <c r="BL52" s="25"/>
      <c r="BM52" s="25"/>
      <c r="BN52" s="25"/>
      <c r="BO52" s="25"/>
      <c r="BP52" s="25"/>
      <c r="BQ52" s="25"/>
      <c r="BR52" s="25"/>
      <c r="BS52" s="25"/>
      <c r="BT52" s="25"/>
      <c r="BU52" s="25"/>
      <c r="BV52" s="25"/>
      <c r="BW52" s="25"/>
      <c r="BY52" s="12"/>
      <c r="CA52" s="12"/>
      <c r="CL52" s="42"/>
      <c r="CM52" s="352"/>
      <c r="CN52" s="352"/>
      <c r="CO52" s="352"/>
      <c r="CP52" s="352"/>
      <c r="CT52" s="42"/>
      <c r="CU52" s="67">
        <v>0</v>
      </c>
      <c r="CV52" s="67">
        <v>0</v>
      </c>
      <c r="EX52" s="10" t="str">
        <f t="shared" si="0"/>
        <v/>
      </c>
    </row>
    <row r="53" spans="1:154" x14ac:dyDescent="0.25">
      <c r="A53" s="362" cm="1">
        <f t="array" aca="1" ref="A53" ca="1">HYPERLINK(CONCATENATE("#",CELL("address",IF(SUM($CA53:$CL53)=0,A53,INDEX($CA53:$CL53,MATCH(1,$CA53:$CL53,0))))),SUM($CA53:$CL53))</f>
        <v>0</v>
      </c>
      <c r="C53" s="521" t="s">
        <v>1085</v>
      </c>
      <c r="D53" s="146"/>
      <c r="E53" s="146"/>
      <c r="F53" s="197"/>
      <c r="G53" s="212"/>
      <c r="H53" s="47" t="s">
        <v>92</v>
      </c>
      <c r="I53" s="9"/>
      <c r="S53" s="1"/>
      <c r="T53" s="25"/>
      <c r="U53" s="25"/>
      <c r="V53" s="13">
        <f>0-IF(AND($F53&gt;=Timeline!$V$8,$F53 &lt;=V$5), $G53, 0)</f>
        <v>0</v>
      </c>
      <c r="W53" s="201">
        <f t="shared" ref="W53:Y67" si="47">IF(AND($F53&gt;V$5,$F53 &lt;=W$5), $G53, 0)</f>
        <v>0</v>
      </c>
      <c r="X53" s="201">
        <f t="shared" si="47"/>
        <v>0</v>
      </c>
      <c r="Y53" s="201">
        <f t="shared" si="47"/>
        <v>0</v>
      </c>
      <c r="Z53" s="335"/>
      <c r="AA53" s="201">
        <f t="shared" ref="AA53:BJ53" si="48">IF(AND($F53&gt;Z$5,$F53 &lt;=AA$5), $G53, 0)</f>
        <v>0</v>
      </c>
      <c r="AB53" s="201">
        <f t="shared" si="48"/>
        <v>0</v>
      </c>
      <c r="AC53" s="201">
        <f t="shared" si="48"/>
        <v>0</v>
      </c>
      <c r="AD53" s="201">
        <f t="shared" si="48"/>
        <v>0</v>
      </c>
      <c r="AE53" s="201">
        <f t="shared" si="48"/>
        <v>0</v>
      </c>
      <c r="AF53" s="201">
        <f t="shared" si="48"/>
        <v>0</v>
      </c>
      <c r="AG53" s="201">
        <f t="shared" si="48"/>
        <v>0</v>
      </c>
      <c r="AH53" s="201">
        <f t="shared" si="48"/>
        <v>0</v>
      </c>
      <c r="AI53" s="201">
        <f t="shared" si="48"/>
        <v>0</v>
      </c>
      <c r="AJ53" s="201">
        <f t="shared" si="48"/>
        <v>0</v>
      </c>
      <c r="AK53" s="201">
        <f t="shared" si="48"/>
        <v>0</v>
      </c>
      <c r="AL53" s="201">
        <f t="shared" si="48"/>
        <v>0</v>
      </c>
      <c r="AM53" s="201">
        <f t="shared" si="48"/>
        <v>0</v>
      </c>
      <c r="AN53" s="201">
        <f t="shared" si="48"/>
        <v>0</v>
      </c>
      <c r="AO53" s="201">
        <f t="shared" si="48"/>
        <v>0</v>
      </c>
      <c r="AP53" s="201">
        <f t="shared" si="48"/>
        <v>0</v>
      </c>
      <c r="AQ53" s="201">
        <f t="shared" si="48"/>
        <v>0</v>
      </c>
      <c r="AR53" s="201">
        <f t="shared" si="48"/>
        <v>0</v>
      </c>
      <c r="AS53" s="201">
        <f t="shared" si="48"/>
        <v>0</v>
      </c>
      <c r="AT53" s="201">
        <f t="shared" si="48"/>
        <v>0</v>
      </c>
      <c r="AU53" s="201">
        <f t="shared" si="48"/>
        <v>0</v>
      </c>
      <c r="AV53" s="201">
        <f t="shared" si="48"/>
        <v>0</v>
      </c>
      <c r="AW53" s="201">
        <f t="shared" si="48"/>
        <v>0</v>
      </c>
      <c r="AX53" s="201">
        <f t="shared" si="48"/>
        <v>0</v>
      </c>
      <c r="AY53" s="201">
        <f t="shared" si="48"/>
        <v>0</v>
      </c>
      <c r="AZ53" s="201">
        <f t="shared" si="48"/>
        <v>0</v>
      </c>
      <c r="BA53" s="201">
        <f t="shared" si="48"/>
        <v>0</v>
      </c>
      <c r="BB53" s="201">
        <f t="shared" si="48"/>
        <v>0</v>
      </c>
      <c r="BC53" s="201">
        <f t="shared" si="48"/>
        <v>0</v>
      </c>
      <c r="BD53" s="201">
        <f t="shared" si="48"/>
        <v>0</v>
      </c>
      <c r="BE53" s="201">
        <f t="shared" si="48"/>
        <v>0</v>
      </c>
      <c r="BF53" s="201">
        <f t="shared" si="48"/>
        <v>0</v>
      </c>
      <c r="BG53" s="201">
        <f t="shared" si="48"/>
        <v>0</v>
      </c>
      <c r="BH53" s="201">
        <f t="shared" si="48"/>
        <v>0</v>
      </c>
      <c r="BI53" s="201">
        <f t="shared" si="48"/>
        <v>0</v>
      </c>
      <c r="BJ53" s="201">
        <f t="shared" si="48"/>
        <v>0</v>
      </c>
      <c r="BK53" s="1"/>
      <c r="BL53" s="13">
        <f t="shared" ref="BL53:BL67" si="49">V53</f>
        <v>0</v>
      </c>
      <c r="BM53" s="201">
        <f t="shared" ref="BM53:BW53" si="50">IF(AND($F53&gt;BL$5,$F53 &lt;=BM$5), $G53, 0)</f>
        <v>0</v>
      </c>
      <c r="BN53" s="201">
        <f t="shared" si="50"/>
        <v>0</v>
      </c>
      <c r="BO53" s="201">
        <f t="shared" si="50"/>
        <v>0</v>
      </c>
      <c r="BP53" s="201">
        <f t="shared" si="50"/>
        <v>0</v>
      </c>
      <c r="BQ53" s="201">
        <f t="shared" si="50"/>
        <v>0</v>
      </c>
      <c r="BR53" s="201">
        <f t="shared" si="50"/>
        <v>0</v>
      </c>
      <c r="BS53" s="201">
        <f t="shared" si="50"/>
        <v>0</v>
      </c>
      <c r="BT53" s="201">
        <f t="shared" si="50"/>
        <v>0</v>
      </c>
      <c r="BU53" s="201">
        <f t="shared" si="50"/>
        <v>0</v>
      </c>
      <c r="BV53" s="201">
        <f t="shared" si="50"/>
        <v>0</v>
      </c>
      <c r="BW53" s="201">
        <f t="shared" si="50"/>
        <v>0</v>
      </c>
      <c r="BY53" s="12"/>
      <c r="BZ53" s="363">
        <f t="shared" ref="BZ53:BZ71" si="51">IF($G53&lt;0, 1, 0)</f>
        <v>0</v>
      </c>
      <c r="CA53" s="12"/>
      <c r="CB53" s="7">
        <f t="shared" ref="CB53:CB67" si="52">IF(AND(E53="", ABS(G53)&gt;0), 1,0)</f>
        <v>0</v>
      </c>
      <c r="CC53" s="7">
        <f>IF(AND(G53&lt;&gt;0, _xlfn.IFNA(MATCH(E53, Parameters!$D$45:$D$48, 0), "N/A")="N/A"), 1, 0)</f>
        <v>0</v>
      </c>
      <c r="CE53" s="7">
        <f>IF($F53="", 0, IF(AND($F53&lt;=$BW$5, $F53&gt;=Timeline!$V$8), 0, 1))</f>
        <v>0</v>
      </c>
      <c r="CI53" s="7">
        <f>IF(SUM($CM53:$CO53)=0, 0, 1)</f>
        <v>0</v>
      </c>
      <c r="CJ53" s="7">
        <f>IF(SUM($CP53:$CR53)=0, 0, 1)</f>
        <v>0</v>
      </c>
      <c r="CK53" s="7">
        <f>IF($CS53=0, 0, 1)</f>
        <v>0</v>
      </c>
      <c r="CL53" s="42"/>
      <c r="CM53" s="352">
        <f t="shared" ref="CM53:CM71" si="53">ROUND(W53-SUMIFS($AA53:$BJ53, $AA$3:$BJ$3, W$3), rounding)</f>
        <v>0</v>
      </c>
      <c r="CN53" s="352">
        <f t="shared" ref="CN53:CN71" si="54">ROUND(X53-SUMIFS($AA53:$BJ53, $AA$3:$BJ$3, X$3), rounding)</f>
        <v>0</v>
      </c>
      <c r="CO53" s="352">
        <f t="shared" ref="CO53:CO71" si="55">ROUND(Y53-SUMIFS($AA53:$BJ53, $AA$3:$BJ$3, Y$3), rounding)</f>
        <v>0</v>
      </c>
      <c r="CP53" s="352">
        <f t="shared" ref="CP53:CP71" si="56">ROUND($BM53-SUMIFS($AA53:$BJ53, $AA$3:$BJ$3, $BM$3), rounding)</f>
        <v>0</v>
      </c>
      <c r="CQ53" s="352">
        <f t="shared" ref="CQ53:CQ71" si="57">ROUND($BN53-SUMIFS($AA53:$BJ53, $AA$3:$BJ$3, $BN$3), rounding)</f>
        <v>0</v>
      </c>
      <c r="CR53" s="352">
        <f t="shared" ref="CR53:CR71" si="58">ROUND($BO53-SUMIFS($AA53:$BJ53, $AA$3:$BJ$3, $BO$3), rounding)</f>
        <v>0</v>
      </c>
      <c r="CS53" s="352">
        <f t="shared" ref="CS53:CS71" si="59">ROUND($V53-$BL53, rounding)</f>
        <v>0</v>
      </c>
      <c r="CT53" s="42"/>
      <c r="CU53" s="67">
        <v>0</v>
      </c>
      <c r="CV53" s="67">
        <v>0</v>
      </c>
      <c r="EX53" s="13" t="str">
        <f t="shared" ref="EX53:EX67" si="60">IF($C53="","",CONCATENATE(D$48, " ",$C53))</f>
        <v>Movement from Assets under Construction AC1</v>
      </c>
    </row>
    <row r="54" spans="1:154" x14ac:dyDescent="0.25">
      <c r="A54" s="362" cm="1">
        <f t="array" aca="1" ref="A54" ca="1">HYPERLINK(CONCATENATE("#",CELL("address",IF(SUM($CA54:$CL54)=0,A54,INDEX($CA54:$CL54,MATCH(1,$CA54:$CL54,0))))),SUM($CA54:$CL54))</f>
        <v>0</v>
      </c>
      <c r="C54" s="521" t="s">
        <v>1086</v>
      </c>
      <c r="D54" s="142"/>
      <c r="E54" s="146"/>
      <c r="F54" s="143"/>
      <c r="G54" s="142"/>
      <c r="H54" s="47" t="s">
        <v>92</v>
      </c>
      <c r="I54" s="9"/>
      <c r="S54" s="1"/>
      <c r="T54" s="25"/>
      <c r="U54" s="25"/>
      <c r="V54" s="13">
        <f>0-IF(AND($F54&gt;=Timeline!$V$8,$F54 &lt;=V$5), $G54, 0)</f>
        <v>0</v>
      </c>
      <c r="W54" s="10">
        <f t="shared" si="47"/>
        <v>0</v>
      </c>
      <c r="X54" s="10">
        <f t="shared" si="47"/>
        <v>0</v>
      </c>
      <c r="Y54" s="10">
        <f t="shared" si="47"/>
        <v>0</v>
      </c>
      <c r="Z54" s="335"/>
      <c r="AA54" s="10">
        <f t="shared" ref="AA54:BJ54" si="61">IF(AND($F54&gt;Z$5,$F54 &lt;=AA$5), $G54, 0)</f>
        <v>0</v>
      </c>
      <c r="AB54" s="10">
        <f t="shared" si="61"/>
        <v>0</v>
      </c>
      <c r="AC54" s="10">
        <f t="shared" si="61"/>
        <v>0</v>
      </c>
      <c r="AD54" s="10">
        <f t="shared" si="61"/>
        <v>0</v>
      </c>
      <c r="AE54" s="10">
        <f t="shared" si="61"/>
        <v>0</v>
      </c>
      <c r="AF54" s="10">
        <f t="shared" si="61"/>
        <v>0</v>
      </c>
      <c r="AG54" s="10">
        <f t="shared" si="61"/>
        <v>0</v>
      </c>
      <c r="AH54" s="10">
        <f t="shared" si="61"/>
        <v>0</v>
      </c>
      <c r="AI54" s="10">
        <f t="shared" si="61"/>
        <v>0</v>
      </c>
      <c r="AJ54" s="10">
        <f t="shared" si="61"/>
        <v>0</v>
      </c>
      <c r="AK54" s="10">
        <f t="shared" si="61"/>
        <v>0</v>
      </c>
      <c r="AL54" s="10">
        <f t="shared" si="61"/>
        <v>0</v>
      </c>
      <c r="AM54" s="10">
        <f t="shared" si="61"/>
        <v>0</v>
      </c>
      <c r="AN54" s="10">
        <f t="shared" si="61"/>
        <v>0</v>
      </c>
      <c r="AO54" s="10">
        <f t="shared" si="61"/>
        <v>0</v>
      </c>
      <c r="AP54" s="10">
        <f t="shared" si="61"/>
        <v>0</v>
      </c>
      <c r="AQ54" s="10">
        <f t="shared" si="61"/>
        <v>0</v>
      </c>
      <c r="AR54" s="10">
        <f t="shared" si="61"/>
        <v>0</v>
      </c>
      <c r="AS54" s="10">
        <f t="shared" si="61"/>
        <v>0</v>
      </c>
      <c r="AT54" s="10">
        <f t="shared" si="61"/>
        <v>0</v>
      </c>
      <c r="AU54" s="10">
        <f t="shared" si="61"/>
        <v>0</v>
      </c>
      <c r="AV54" s="10">
        <f t="shared" si="61"/>
        <v>0</v>
      </c>
      <c r="AW54" s="10">
        <f t="shared" si="61"/>
        <v>0</v>
      </c>
      <c r="AX54" s="10">
        <f t="shared" si="61"/>
        <v>0</v>
      </c>
      <c r="AY54" s="10">
        <f t="shared" si="61"/>
        <v>0</v>
      </c>
      <c r="AZ54" s="10">
        <f t="shared" si="61"/>
        <v>0</v>
      </c>
      <c r="BA54" s="10">
        <f t="shared" si="61"/>
        <v>0</v>
      </c>
      <c r="BB54" s="10">
        <f t="shared" si="61"/>
        <v>0</v>
      </c>
      <c r="BC54" s="10">
        <f t="shared" si="61"/>
        <v>0</v>
      </c>
      <c r="BD54" s="10">
        <f t="shared" si="61"/>
        <v>0</v>
      </c>
      <c r="BE54" s="10">
        <f t="shared" si="61"/>
        <v>0</v>
      </c>
      <c r="BF54" s="10">
        <f t="shared" si="61"/>
        <v>0</v>
      </c>
      <c r="BG54" s="10">
        <f t="shared" si="61"/>
        <v>0</v>
      </c>
      <c r="BH54" s="10">
        <f t="shared" si="61"/>
        <v>0</v>
      </c>
      <c r="BI54" s="10">
        <f t="shared" si="61"/>
        <v>0</v>
      </c>
      <c r="BJ54" s="10">
        <f t="shared" si="61"/>
        <v>0</v>
      </c>
      <c r="BK54" s="1"/>
      <c r="BL54" s="13">
        <f t="shared" si="49"/>
        <v>0</v>
      </c>
      <c r="BM54" s="10">
        <f t="shared" ref="BM54:BW54" si="62">IF(AND($F54&gt;BL$5,$F54 &lt;=BM$5), $G54, 0)</f>
        <v>0</v>
      </c>
      <c r="BN54" s="10">
        <f t="shared" si="62"/>
        <v>0</v>
      </c>
      <c r="BO54" s="10">
        <f t="shared" si="62"/>
        <v>0</v>
      </c>
      <c r="BP54" s="201">
        <f t="shared" si="62"/>
        <v>0</v>
      </c>
      <c r="BQ54" s="201">
        <f t="shared" si="62"/>
        <v>0</v>
      </c>
      <c r="BR54" s="201">
        <f t="shared" si="62"/>
        <v>0</v>
      </c>
      <c r="BS54" s="201">
        <f t="shared" si="62"/>
        <v>0</v>
      </c>
      <c r="BT54" s="201">
        <f t="shared" si="62"/>
        <v>0</v>
      </c>
      <c r="BU54" s="201">
        <f t="shared" si="62"/>
        <v>0</v>
      </c>
      <c r="BV54" s="201">
        <f t="shared" si="62"/>
        <v>0</v>
      </c>
      <c r="BW54" s="201">
        <f t="shared" si="62"/>
        <v>0</v>
      </c>
      <c r="BY54" s="12"/>
      <c r="BZ54" s="363">
        <f t="shared" si="51"/>
        <v>0</v>
      </c>
      <c r="CA54" s="12"/>
      <c r="CB54" s="7">
        <f t="shared" si="52"/>
        <v>0</v>
      </c>
      <c r="CC54" s="7">
        <f>IF(AND(G54&lt;&gt;0, _xlfn.IFNA(MATCH(E54, Parameters!$D$45:$D$48, 0), "N/A")="N/A"), 1, 0)</f>
        <v>0</v>
      </c>
      <c r="CE54" s="7">
        <f>IF($F54="", 0, IF(AND($F54&lt;=$BW$5, $F54&gt;=Timeline!$V$8), 0, 1))</f>
        <v>0</v>
      </c>
      <c r="CI54" s="7">
        <f t="shared" ref="CI54:CI71" si="63">IF(SUM($CM54:$CO54)=0, 0, 1)</f>
        <v>0</v>
      </c>
      <c r="CJ54" s="7">
        <f t="shared" ref="CJ54:CJ71" si="64">IF(SUM($CP54:$CR54)=0, 0, 1)</f>
        <v>0</v>
      </c>
      <c r="CK54" s="7">
        <f t="shared" ref="CK54:CK71" si="65">IF($CS54=0, 0, 1)</f>
        <v>0</v>
      </c>
      <c r="CL54" s="42"/>
      <c r="CM54" s="352">
        <f t="shared" si="53"/>
        <v>0</v>
      </c>
      <c r="CN54" s="352">
        <f t="shared" si="54"/>
        <v>0</v>
      </c>
      <c r="CO54" s="352">
        <f t="shared" si="55"/>
        <v>0</v>
      </c>
      <c r="CP54" s="352">
        <f t="shared" si="56"/>
        <v>0</v>
      </c>
      <c r="CQ54" s="352">
        <f t="shared" si="57"/>
        <v>0</v>
      </c>
      <c r="CR54" s="352">
        <f t="shared" si="58"/>
        <v>0</v>
      </c>
      <c r="CS54" s="352">
        <f t="shared" si="59"/>
        <v>0</v>
      </c>
      <c r="CT54" s="42"/>
      <c r="CU54" s="67">
        <v>0</v>
      </c>
      <c r="CV54" s="67">
        <v>0</v>
      </c>
      <c r="EX54" s="13" t="str">
        <f t="shared" si="60"/>
        <v>Movement from Assets under Construction AC2</v>
      </c>
    </row>
    <row r="55" spans="1:154" x14ac:dyDescent="0.25">
      <c r="A55" s="362" cm="1">
        <f t="array" aca="1" ref="A55" ca="1">HYPERLINK(CONCATENATE("#",CELL("address",IF(SUM($CA55:$CL55)=0,A55,INDEX($CA55:$CL55,MATCH(1,$CA55:$CL55,0))))),SUM($CA55:$CL55))</f>
        <v>0</v>
      </c>
      <c r="C55" s="521" t="s">
        <v>1087</v>
      </c>
      <c r="D55" s="142"/>
      <c r="E55" s="146"/>
      <c r="F55" s="143"/>
      <c r="G55" s="142"/>
      <c r="H55" s="47" t="s">
        <v>92</v>
      </c>
      <c r="I55" s="9"/>
      <c r="S55" s="1"/>
      <c r="T55" s="25"/>
      <c r="U55" s="25"/>
      <c r="V55" s="13">
        <f>0-IF(AND($F55&gt;=Timeline!$V$8,$F55 &lt;=V$5), $G55, 0)</f>
        <v>0</v>
      </c>
      <c r="W55" s="10">
        <f t="shared" si="47"/>
        <v>0</v>
      </c>
      <c r="X55" s="10">
        <f t="shared" si="47"/>
        <v>0</v>
      </c>
      <c r="Y55" s="10">
        <f t="shared" si="47"/>
        <v>0</v>
      </c>
      <c r="Z55" s="335"/>
      <c r="AA55" s="10">
        <f t="shared" ref="AA55:BJ55" si="66">IF(AND($F55&gt;Z$5,$F55 &lt;=AA$5), $G55, 0)</f>
        <v>0</v>
      </c>
      <c r="AB55" s="10">
        <f t="shared" si="66"/>
        <v>0</v>
      </c>
      <c r="AC55" s="10">
        <f t="shared" si="66"/>
        <v>0</v>
      </c>
      <c r="AD55" s="10">
        <f t="shared" si="66"/>
        <v>0</v>
      </c>
      <c r="AE55" s="10">
        <f t="shared" si="66"/>
        <v>0</v>
      </c>
      <c r="AF55" s="10">
        <f t="shared" si="66"/>
        <v>0</v>
      </c>
      <c r="AG55" s="10">
        <f t="shared" si="66"/>
        <v>0</v>
      </c>
      <c r="AH55" s="10">
        <f t="shared" si="66"/>
        <v>0</v>
      </c>
      <c r="AI55" s="10">
        <f t="shared" si="66"/>
        <v>0</v>
      </c>
      <c r="AJ55" s="10">
        <f t="shared" si="66"/>
        <v>0</v>
      </c>
      <c r="AK55" s="10">
        <f t="shared" si="66"/>
        <v>0</v>
      </c>
      <c r="AL55" s="10">
        <f t="shared" si="66"/>
        <v>0</v>
      </c>
      <c r="AM55" s="10">
        <f t="shared" si="66"/>
        <v>0</v>
      </c>
      <c r="AN55" s="10">
        <f t="shared" si="66"/>
        <v>0</v>
      </c>
      <c r="AO55" s="10">
        <f t="shared" si="66"/>
        <v>0</v>
      </c>
      <c r="AP55" s="10">
        <f t="shared" si="66"/>
        <v>0</v>
      </c>
      <c r="AQ55" s="10">
        <f t="shared" si="66"/>
        <v>0</v>
      </c>
      <c r="AR55" s="10">
        <f t="shared" si="66"/>
        <v>0</v>
      </c>
      <c r="AS55" s="10">
        <f t="shared" si="66"/>
        <v>0</v>
      </c>
      <c r="AT55" s="10">
        <f t="shared" si="66"/>
        <v>0</v>
      </c>
      <c r="AU55" s="10">
        <f t="shared" si="66"/>
        <v>0</v>
      </c>
      <c r="AV55" s="10">
        <f t="shared" si="66"/>
        <v>0</v>
      </c>
      <c r="AW55" s="10">
        <f t="shared" si="66"/>
        <v>0</v>
      </c>
      <c r="AX55" s="10">
        <f t="shared" si="66"/>
        <v>0</v>
      </c>
      <c r="AY55" s="10">
        <f t="shared" si="66"/>
        <v>0</v>
      </c>
      <c r="AZ55" s="10">
        <f t="shared" si="66"/>
        <v>0</v>
      </c>
      <c r="BA55" s="10">
        <f t="shared" si="66"/>
        <v>0</v>
      </c>
      <c r="BB55" s="10">
        <f t="shared" si="66"/>
        <v>0</v>
      </c>
      <c r="BC55" s="10">
        <f t="shared" si="66"/>
        <v>0</v>
      </c>
      <c r="BD55" s="10">
        <f t="shared" si="66"/>
        <v>0</v>
      </c>
      <c r="BE55" s="10">
        <f t="shared" si="66"/>
        <v>0</v>
      </c>
      <c r="BF55" s="10">
        <f t="shared" si="66"/>
        <v>0</v>
      </c>
      <c r="BG55" s="10">
        <f t="shared" si="66"/>
        <v>0</v>
      </c>
      <c r="BH55" s="10">
        <f t="shared" si="66"/>
        <v>0</v>
      </c>
      <c r="BI55" s="10">
        <f t="shared" si="66"/>
        <v>0</v>
      </c>
      <c r="BJ55" s="10">
        <f t="shared" si="66"/>
        <v>0</v>
      </c>
      <c r="BK55" s="1"/>
      <c r="BL55" s="13">
        <f t="shared" si="49"/>
        <v>0</v>
      </c>
      <c r="BM55" s="10">
        <f t="shared" ref="BM55:BW55" si="67">IF(AND($F55&gt;BL$5,$F55 &lt;=BM$5), $G55, 0)</f>
        <v>0</v>
      </c>
      <c r="BN55" s="10">
        <f t="shared" si="67"/>
        <v>0</v>
      </c>
      <c r="BO55" s="10">
        <f t="shared" si="67"/>
        <v>0</v>
      </c>
      <c r="BP55" s="201">
        <f t="shared" si="67"/>
        <v>0</v>
      </c>
      <c r="BQ55" s="201">
        <f t="shared" si="67"/>
        <v>0</v>
      </c>
      <c r="BR55" s="201">
        <f t="shared" si="67"/>
        <v>0</v>
      </c>
      <c r="BS55" s="201">
        <f t="shared" si="67"/>
        <v>0</v>
      </c>
      <c r="BT55" s="201">
        <f t="shared" si="67"/>
        <v>0</v>
      </c>
      <c r="BU55" s="201">
        <f t="shared" si="67"/>
        <v>0</v>
      </c>
      <c r="BV55" s="201">
        <f t="shared" si="67"/>
        <v>0</v>
      </c>
      <c r="BW55" s="201">
        <f t="shared" si="67"/>
        <v>0</v>
      </c>
      <c r="BY55" s="12"/>
      <c r="BZ55" s="363">
        <f t="shared" si="51"/>
        <v>0</v>
      </c>
      <c r="CA55" s="12"/>
      <c r="CB55" s="7">
        <f t="shared" si="52"/>
        <v>0</v>
      </c>
      <c r="CC55" s="7">
        <f>IF(AND(G55&lt;&gt;0, _xlfn.IFNA(MATCH(E55, Parameters!$D$45:$D$48, 0), "N/A")="N/A"), 1, 0)</f>
        <v>0</v>
      </c>
      <c r="CE55" s="7">
        <f>IF($F55="", 0, IF(AND($F55&lt;=$BW$5, $F55&gt;=Timeline!$V$8), 0, 1))</f>
        <v>0</v>
      </c>
      <c r="CI55" s="7">
        <f t="shared" si="63"/>
        <v>0</v>
      </c>
      <c r="CJ55" s="7">
        <f t="shared" si="64"/>
        <v>0</v>
      </c>
      <c r="CK55" s="7">
        <f t="shared" si="65"/>
        <v>0</v>
      </c>
      <c r="CL55" s="196"/>
      <c r="CM55" s="352">
        <f t="shared" si="53"/>
        <v>0</v>
      </c>
      <c r="CN55" s="352">
        <f t="shared" si="54"/>
        <v>0</v>
      </c>
      <c r="CO55" s="352">
        <f t="shared" si="55"/>
        <v>0</v>
      </c>
      <c r="CP55" s="352">
        <f t="shared" si="56"/>
        <v>0</v>
      </c>
      <c r="CQ55" s="352">
        <f t="shared" si="57"/>
        <v>0</v>
      </c>
      <c r="CR55" s="352">
        <f t="shared" si="58"/>
        <v>0</v>
      </c>
      <c r="CS55" s="352">
        <f t="shared" si="59"/>
        <v>0</v>
      </c>
      <c r="CT55" s="42"/>
      <c r="CU55" s="67">
        <v>0</v>
      </c>
      <c r="CV55" s="67">
        <v>0</v>
      </c>
      <c r="EX55" s="13" t="str">
        <f t="shared" si="60"/>
        <v>Movement from Assets under Construction AC3</v>
      </c>
    </row>
    <row r="56" spans="1:154" x14ac:dyDescent="0.25">
      <c r="A56" s="362" cm="1">
        <f t="array" aca="1" ref="A56" ca="1">HYPERLINK(CONCATENATE("#",CELL("address",IF(SUM($CA56:$CL56)=0,A56,INDEX($CA56:$CL56,MATCH(1,$CA56:$CL56,0))))),SUM($CA56:$CL56))</f>
        <v>0</v>
      </c>
      <c r="C56" s="521" t="s">
        <v>1088</v>
      </c>
      <c r="D56" s="142"/>
      <c r="E56" s="146"/>
      <c r="F56" s="143"/>
      <c r="G56" s="142"/>
      <c r="H56" s="47" t="s">
        <v>92</v>
      </c>
      <c r="I56" s="9"/>
      <c r="S56" s="1"/>
      <c r="T56" s="25"/>
      <c r="U56" s="25"/>
      <c r="V56" s="13">
        <f>0-IF(AND($F56&gt;=Timeline!$V$8,$F56 &lt;=V$5), $G56, 0)</f>
        <v>0</v>
      </c>
      <c r="W56" s="10">
        <f t="shared" si="47"/>
        <v>0</v>
      </c>
      <c r="X56" s="10">
        <f t="shared" si="47"/>
        <v>0</v>
      </c>
      <c r="Y56" s="10">
        <f t="shared" si="47"/>
        <v>0</v>
      </c>
      <c r="Z56" s="335"/>
      <c r="AA56" s="10">
        <f t="shared" ref="AA56:BJ56" si="68">IF(AND($F56&gt;Z$5,$F56 &lt;=AA$5), $G56, 0)</f>
        <v>0</v>
      </c>
      <c r="AB56" s="10">
        <f t="shared" si="68"/>
        <v>0</v>
      </c>
      <c r="AC56" s="10">
        <f t="shared" si="68"/>
        <v>0</v>
      </c>
      <c r="AD56" s="10">
        <f t="shared" si="68"/>
        <v>0</v>
      </c>
      <c r="AE56" s="10">
        <f t="shared" si="68"/>
        <v>0</v>
      </c>
      <c r="AF56" s="10">
        <f t="shared" si="68"/>
        <v>0</v>
      </c>
      <c r="AG56" s="10">
        <f t="shared" si="68"/>
        <v>0</v>
      </c>
      <c r="AH56" s="10">
        <f t="shared" si="68"/>
        <v>0</v>
      </c>
      <c r="AI56" s="10">
        <f t="shared" si="68"/>
        <v>0</v>
      </c>
      <c r="AJ56" s="10">
        <f t="shared" si="68"/>
        <v>0</v>
      </c>
      <c r="AK56" s="10">
        <f t="shared" si="68"/>
        <v>0</v>
      </c>
      <c r="AL56" s="10">
        <f t="shared" si="68"/>
        <v>0</v>
      </c>
      <c r="AM56" s="10">
        <f t="shared" si="68"/>
        <v>0</v>
      </c>
      <c r="AN56" s="10">
        <f t="shared" si="68"/>
        <v>0</v>
      </c>
      <c r="AO56" s="10">
        <f t="shared" si="68"/>
        <v>0</v>
      </c>
      <c r="AP56" s="10">
        <f t="shared" si="68"/>
        <v>0</v>
      </c>
      <c r="AQ56" s="10">
        <f t="shared" si="68"/>
        <v>0</v>
      </c>
      <c r="AR56" s="10">
        <f t="shared" si="68"/>
        <v>0</v>
      </c>
      <c r="AS56" s="10">
        <f t="shared" si="68"/>
        <v>0</v>
      </c>
      <c r="AT56" s="10">
        <f t="shared" si="68"/>
        <v>0</v>
      </c>
      <c r="AU56" s="10">
        <f t="shared" si="68"/>
        <v>0</v>
      </c>
      <c r="AV56" s="10">
        <f t="shared" si="68"/>
        <v>0</v>
      </c>
      <c r="AW56" s="10">
        <f t="shared" si="68"/>
        <v>0</v>
      </c>
      <c r="AX56" s="10">
        <f t="shared" si="68"/>
        <v>0</v>
      </c>
      <c r="AY56" s="10">
        <f t="shared" si="68"/>
        <v>0</v>
      </c>
      <c r="AZ56" s="10">
        <f t="shared" si="68"/>
        <v>0</v>
      </c>
      <c r="BA56" s="10">
        <f t="shared" si="68"/>
        <v>0</v>
      </c>
      <c r="BB56" s="10">
        <f t="shared" si="68"/>
        <v>0</v>
      </c>
      <c r="BC56" s="10">
        <f t="shared" si="68"/>
        <v>0</v>
      </c>
      <c r="BD56" s="10">
        <f t="shared" si="68"/>
        <v>0</v>
      </c>
      <c r="BE56" s="10">
        <f t="shared" si="68"/>
        <v>0</v>
      </c>
      <c r="BF56" s="10">
        <f t="shared" si="68"/>
        <v>0</v>
      </c>
      <c r="BG56" s="10">
        <f t="shared" si="68"/>
        <v>0</v>
      </c>
      <c r="BH56" s="10">
        <f t="shared" si="68"/>
        <v>0</v>
      </c>
      <c r="BI56" s="10">
        <f t="shared" si="68"/>
        <v>0</v>
      </c>
      <c r="BJ56" s="10">
        <f t="shared" si="68"/>
        <v>0</v>
      </c>
      <c r="BK56" s="1"/>
      <c r="BL56" s="13">
        <f t="shared" si="49"/>
        <v>0</v>
      </c>
      <c r="BM56" s="10">
        <f t="shared" ref="BM56:BW56" si="69">IF(AND($F56&gt;BL$5,$F56 &lt;=BM$5), $G56, 0)</f>
        <v>0</v>
      </c>
      <c r="BN56" s="10">
        <f t="shared" si="69"/>
        <v>0</v>
      </c>
      <c r="BO56" s="10">
        <f t="shared" si="69"/>
        <v>0</v>
      </c>
      <c r="BP56" s="201">
        <f t="shared" si="69"/>
        <v>0</v>
      </c>
      <c r="BQ56" s="201">
        <f t="shared" si="69"/>
        <v>0</v>
      </c>
      <c r="BR56" s="201">
        <f t="shared" si="69"/>
        <v>0</v>
      </c>
      <c r="BS56" s="201">
        <f t="shared" si="69"/>
        <v>0</v>
      </c>
      <c r="BT56" s="201">
        <f t="shared" si="69"/>
        <v>0</v>
      </c>
      <c r="BU56" s="201">
        <f t="shared" si="69"/>
        <v>0</v>
      </c>
      <c r="BV56" s="201">
        <f t="shared" si="69"/>
        <v>0</v>
      </c>
      <c r="BW56" s="201">
        <f t="shared" si="69"/>
        <v>0</v>
      </c>
      <c r="BY56" s="12"/>
      <c r="BZ56" s="363">
        <f t="shared" si="51"/>
        <v>0</v>
      </c>
      <c r="CA56" s="12"/>
      <c r="CB56" s="7">
        <f t="shared" si="52"/>
        <v>0</v>
      </c>
      <c r="CC56" s="7">
        <f>IF(AND(G56&lt;&gt;0, _xlfn.IFNA(MATCH(E56, Parameters!$D$45:$D$48, 0), "N/A")="N/A"), 1, 0)</f>
        <v>0</v>
      </c>
      <c r="CE56" s="7">
        <f>IF($F56="", 0, IF(AND($F56&lt;=$BW$5, $F56&gt;=Timeline!$V$8), 0, 1))</f>
        <v>0</v>
      </c>
      <c r="CI56" s="7">
        <f t="shared" si="63"/>
        <v>0</v>
      </c>
      <c r="CJ56" s="7">
        <f t="shared" si="64"/>
        <v>0</v>
      </c>
      <c r="CK56" s="7">
        <f t="shared" si="65"/>
        <v>0</v>
      </c>
      <c r="CL56" s="42"/>
      <c r="CM56" s="352">
        <f t="shared" si="53"/>
        <v>0</v>
      </c>
      <c r="CN56" s="352">
        <f t="shared" si="54"/>
        <v>0</v>
      </c>
      <c r="CO56" s="352">
        <f t="shared" si="55"/>
        <v>0</v>
      </c>
      <c r="CP56" s="352">
        <f t="shared" si="56"/>
        <v>0</v>
      </c>
      <c r="CQ56" s="352">
        <f t="shared" si="57"/>
        <v>0</v>
      </c>
      <c r="CR56" s="352">
        <f t="shared" si="58"/>
        <v>0</v>
      </c>
      <c r="CS56" s="352">
        <f t="shared" si="59"/>
        <v>0</v>
      </c>
      <c r="CT56" s="42"/>
      <c r="CU56" s="67">
        <v>0</v>
      </c>
      <c r="CV56" s="67">
        <v>0</v>
      </c>
      <c r="EX56" s="13" t="str">
        <f t="shared" si="60"/>
        <v>Movement from Assets under Construction AC4</v>
      </c>
    </row>
    <row r="57" spans="1:154" x14ac:dyDescent="0.25">
      <c r="A57" s="362" cm="1">
        <f t="array" aca="1" ref="A57" ca="1">HYPERLINK(CONCATENATE("#",CELL("address",IF(SUM($CA57:$CL57)=0,A57,INDEX($CA57:$CL57,MATCH(1,$CA57:$CL57,0))))),SUM($CA57:$CL57))</f>
        <v>0</v>
      </c>
      <c r="C57" s="521" t="s">
        <v>1089</v>
      </c>
      <c r="D57" s="142"/>
      <c r="E57" s="146"/>
      <c r="F57" s="143"/>
      <c r="G57" s="142"/>
      <c r="H57" s="47" t="s">
        <v>92</v>
      </c>
      <c r="I57" s="9"/>
      <c r="S57" s="1"/>
      <c r="T57" s="25"/>
      <c r="U57" s="25"/>
      <c r="V57" s="13">
        <f>0-IF(AND($F57&gt;=Timeline!$V$8,$F57 &lt;=V$5), $G57, 0)</f>
        <v>0</v>
      </c>
      <c r="W57" s="10">
        <f t="shared" si="47"/>
        <v>0</v>
      </c>
      <c r="X57" s="10">
        <f t="shared" si="47"/>
        <v>0</v>
      </c>
      <c r="Y57" s="10">
        <f t="shared" si="47"/>
        <v>0</v>
      </c>
      <c r="Z57" s="335"/>
      <c r="AA57" s="10">
        <f t="shared" ref="AA57:BJ57" si="70">IF(AND($F57&gt;Z$5,$F57 &lt;=AA$5), $G57, 0)</f>
        <v>0</v>
      </c>
      <c r="AB57" s="10">
        <f t="shared" si="70"/>
        <v>0</v>
      </c>
      <c r="AC57" s="10">
        <f t="shared" si="70"/>
        <v>0</v>
      </c>
      <c r="AD57" s="10">
        <f t="shared" si="70"/>
        <v>0</v>
      </c>
      <c r="AE57" s="10">
        <f t="shared" si="70"/>
        <v>0</v>
      </c>
      <c r="AF57" s="10">
        <f t="shared" si="70"/>
        <v>0</v>
      </c>
      <c r="AG57" s="10">
        <f t="shared" si="70"/>
        <v>0</v>
      </c>
      <c r="AH57" s="10">
        <f t="shared" si="70"/>
        <v>0</v>
      </c>
      <c r="AI57" s="10">
        <f t="shared" si="70"/>
        <v>0</v>
      </c>
      <c r="AJ57" s="10">
        <f t="shared" si="70"/>
        <v>0</v>
      </c>
      <c r="AK57" s="10">
        <f t="shared" si="70"/>
        <v>0</v>
      </c>
      <c r="AL57" s="10">
        <f t="shared" si="70"/>
        <v>0</v>
      </c>
      <c r="AM57" s="10">
        <f t="shared" si="70"/>
        <v>0</v>
      </c>
      <c r="AN57" s="10">
        <f t="shared" si="70"/>
        <v>0</v>
      </c>
      <c r="AO57" s="10">
        <f t="shared" si="70"/>
        <v>0</v>
      </c>
      <c r="AP57" s="10">
        <f t="shared" si="70"/>
        <v>0</v>
      </c>
      <c r="AQ57" s="10">
        <f t="shared" si="70"/>
        <v>0</v>
      </c>
      <c r="AR57" s="10">
        <f t="shared" si="70"/>
        <v>0</v>
      </c>
      <c r="AS57" s="10">
        <f t="shared" si="70"/>
        <v>0</v>
      </c>
      <c r="AT57" s="10">
        <f t="shared" si="70"/>
        <v>0</v>
      </c>
      <c r="AU57" s="10">
        <f t="shared" si="70"/>
        <v>0</v>
      </c>
      <c r="AV57" s="10">
        <f t="shared" si="70"/>
        <v>0</v>
      </c>
      <c r="AW57" s="10">
        <f t="shared" si="70"/>
        <v>0</v>
      </c>
      <c r="AX57" s="10">
        <f t="shared" si="70"/>
        <v>0</v>
      </c>
      <c r="AY57" s="10">
        <f t="shared" si="70"/>
        <v>0</v>
      </c>
      <c r="AZ57" s="10">
        <f t="shared" si="70"/>
        <v>0</v>
      </c>
      <c r="BA57" s="10">
        <f t="shared" si="70"/>
        <v>0</v>
      </c>
      <c r="BB57" s="10">
        <f t="shared" si="70"/>
        <v>0</v>
      </c>
      <c r="BC57" s="10">
        <f t="shared" si="70"/>
        <v>0</v>
      </c>
      <c r="BD57" s="10">
        <f t="shared" si="70"/>
        <v>0</v>
      </c>
      <c r="BE57" s="10">
        <f t="shared" si="70"/>
        <v>0</v>
      </c>
      <c r="BF57" s="10">
        <f t="shared" si="70"/>
        <v>0</v>
      </c>
      <c r="BG57" s="10">
        <f t="shared" si="70"/>
        <v>0</v>
      </c>
      <c r="BH57" s="10">
        <f t="shared" si="70"/>
        <v>0</v>
      </c>
      <c r="BI57" s="10">
        <f t="shared" si="70"/>
        <v>0</v>
      </c>
      <c r="BJ57" s="10">
        <f t="shared" si="70"/>
        <v>0</v>
      </c>
      <c r="BK57" s="1"/>
      <c r="BL57" s="13">
        <f t="shared" si="49"/>
        <v>0</v>
      </c>
      <c r="BM57" s="10">
        <f t="shared" ref="BM57:BW57" si="71">IF(AND($F57&gt;BL$5,$F57 &lt;=BM$5), $G57, 0)</f>
        <v>0</v>
      </c>
      <c r="BN57" s="10">
        <f t="shared" si="71"/>
        <v>0</v>
      </c>
      <c r="BO57" s="10">
        <f t="shared" si="71"/>
        <v>0</v>
      </c>
      <c r="BP57" s="201">
        <f t="shared" si="71"/>
        <v>0</v>
      </c>
      <c r="BQ57" s="201">
        <f t="shared" si="71"/>
        <v>0</v>
      </c>
      <c r="BR57" s="201">
        <f t="shared" si="71"/>
        <v>0</v>
      </c>
      <c r="BS57" s="201">
        <f t="shared" si="71"/>
        <v>0</v>
      </c>
      <c r="BT57" s="201">
        <f t="shared" si="71"/>
        <v>0</v>
      </c>
      <c r="BU57" s="201">
        <f t="shared" si="71"/>
        <v>0</v>
      </c>
      <c r="BV57" s="201">
        <f t="shared" si="71"/>
        <v>0</v>
      </c>
      <c r="BW57" s="201">
        <f t="shared" si="71"/>
        <v>0</v>
      </c>
      <c r="BY57" s="12"/>
      <c r="BZ57" s="363">
        <f t="shared" si="51"/>
        <v>0</v>
      </c>
      <c r="CA57" s="12"/>
      <c r="CB57" s="7">
        <f t="shared" si="52"/>
        <v>0</v>
      </c>
      <c r="CC57" s="7">
        <f>IF(AND(G57&lt;&gt;0, _xlfn.IFNA(MATCH(E57, Parameters!$D$45:$D$48, 0), "N/A")="N/A"), 1, 0)</f>
        <v>0</v>
      </c>
      <c r="CE57" s="7">
        <f>IF($F57="", 0, IF(AND($F57&lt;=$BW$5, $F57&gt;=Timeline!$V$8), 0, 1))</f>
        <v>0</v>
      </c>
      <c r="CI57" s="7">
        <f t="shared" si="63"/>
        <v>0</v>
      </c>
      <c r="CJ57" s="7">
        <f t="shared" si="64"/>
        <v>0</v>
      </c>
      <c r="CK57" s="7">
        <f t="shared" si="65"/>
        <v>0</v>
      </c>
      <c r="CL57" s="42"/>
      <c r="CM57" s="352">
        <f t="shared" si="53"/>
        <v>0</v>
      </c>
      <c r="CN57" s="352">
        <f t="shared" si="54"/>
        <v>0</v>
      </c>
      <c r="CO57" s="352">
        <f t="shared" si="55"/>
        <v>0</v>
      </c>
      <c r="CP57" s="352">
        <f t="shared" si="56"/>
        <v>0</v>
      </c>
      <c r="CQ57" s="352">
        <f t="shared" si="57"/>
        <v>0</v>
      </c>
      <c r="CR57" s="352">
        <f t="shared" si="58"/>
        <v>0</v>
      </c>
      <c r="CS57" s="352">
        <f t="shared" si="59"/>
        <v>0</v>
      </c>
      <c r="CT57" s="42"/>
      <c r="CU57" s="67">
        <v>0</v>
      </c>
      <c r="CV57" s="67">
        <v>0</v>
      </c>
      <c r="EX57" s="13" t="str">
        <f t="shared" si="60"/>
        <v>Movement from Assets under Construction AC5</v>
      </c>
    </row>
    <row r="58" spans="1:154" x14ac:dyDescent="0.25">
      <c r="A58" s="362" cm="1">
        <f t="array" aca="1" ref="A58" ca="1">HYPERLINK(CONCATENATE("#",CELL("address",IF(SUM($CA58:$CL58)=0,A58,INDEX($CA58:$CL58,MATCH(1,$CA58:$CL58,0))))),SUM($CA58:$CL58))</f>
        <v>0</v>
      </c>
      <c r="C58" s="521" t="s">
        <v>1090</v>
      </c>
      <c r="D58" s="147"/>
      <c r="E58" s="146"/>
      <c r="F58" s="150"/>
      <c r="G58" s="147"/>
      <c r="H58" s="47" t="s">
        <v>92</v>
      </c>
      <c r="I58" s="9"/>
      <c r="S58" s="1"/>
      <c r="T58" s="25"/>
      <c r="U58" s="25"/>
      <c r="V58" s="13">
        <f>0-IF(AND($F58&gt;=Timeline!$V$8,$F58 &lt;=V$5), $G58, 0)</f>
        <v>0</v>
      </c>
      <c r="W58" s="10">
        <f t="shared" si="47"/>
        <v>0</v>
      </c>
      <c r="X58" s="10">
        <f t="shared" si="47"/>
        <v>0</v>
      </c>
      <c r="Y58" s="10">
        <f t="shared" si="47"/>
        <v>0</v>
      </c>
      <c r="Z58" s="335"/>
      <c r="AA58" s="10">
        <f t="shared" ref="AA58:BJ58" si="72">IF(AND($F58&gt;Z$5,$F58 &lt;=AA$5), $G58, 0)</f>
        <v>0</v>
      </c>
      <c r="AB58" s="10">
        <f t="shared" si="72"/>
        <v>0</v>
      </c>
      <c r="AC58" s="10">
        <f t="shared" si="72"/>
        <v>0</v>
      </c>
      <c r="AD58" s="10">
        <f t="shared" si="72"/>
        <v>0</v>
      </c>
      <c r="AE58" s="10">
        <f t="shared" si="72"/>
        <v>0</v>
      </c>
      <c r="AF58" s="10">
        <f t="shared" si="72"/>
        <v>0</v>
      </c>
      <c r="AG58" s="10">
        <f t="shared" si="72"/>
        <v>0</v>
      </c>
      <c r="AH58" s="10">
        <f t="shared" si="72"/>
        <v>0</v>
      </c>
      <c r="AI58" s="10">
        <f t="shared" si="72"/>
        <v>0</v>
      </c>
      <c r="AJ58" s="10">
        <f t="shared" si="72"/>
        <v>0</v>
      </c>
      <c r="AK58" s="10">
        <f t="shared" si="72"/>
        <v>0</v>
      </c>
      <c r="AL58" s="10">
        <f t="shared" si="72"/>
        <v>0</v>
      </c>
      <c r="AM58" s="10">
        <f t="shared" si="72"/>
        <v>0</v>
      </c>
      <c r="AN58" s="10">
        <f t="shared" si="72"/>
        <v>0</v>
      </c>
      <c r="AO58" s="10">
        <f t="shared" si="72"/>
        <v>0</v>
      </c>
      <c r="AP58" s="10">
        <f t="shared" si="72"/>
        <v>0</v>
      </c>
      <c r="AQ58" s="10">
        <f t="shared" si="72"/>
        <v>0</v>
      </c>
      <c r="AR58" s="10">
        <f t="shared" si="72"/>
        <v>0</v>
      </c>
      <c r="AS58" s="10">
        <f t="shared" si="72"/>
        <v>0</v>
      </c>
      <c r="AT58" s="10">
        <f t="shared" si="72"/>
        <v>0</v>
      </c>
      <c r="AU58" s="10">
        <f t="shared" si="72"/>
        <v>0</v>
      </c>
      <c r="AV58" s="10">
        <f t="shared" si="72"/>
        <v>0</v>
      </c>
      <c r="AW58" s="10">
        <f t="shared" si="72"/>
        <v>0</v>
      </c>
      <c r="AX58" s="10">
        <f t="shared" si="72"/>
        <v>0</v>
      </c>
      <c r="AY58" s="10">
        <f t="shared" si="72"/>
        <v>0</v>
      </c>
      <c r="AZ58" s="10">
        <f t="shared" si="72"/>
        <v>0</v>
      </c>
      <c r="BA58" s="10">
        <f t="shared" si="72"/>
        <v>0</v>
      </c>
      <c r="BB58" s="10">
        <f t="shared" si="72"/>
        <v>0</v>
      </c>
      <c r="BC58" s="10">
        <f t="shared" si="72"/>
        <v>0</v>
      </c>
      <c r="BD58" s="10">
        <f t="shared" si="72"/>
        <v>0</v>
      </c>
      <c r="BE58" s="10">
        <f t="shared" si="72"/>
        <v>0</v>
      </c>
      <c r="BF58" s="10">
        <f t="shared" si="72"/>
        <v>0</v>
      </c>
      <c r="BG58" s="10">
        <f t="shared" si="72"/>
        <v>0</v>
      </c>
      <c r="BH58" s="10">
        <f t="shared" si="72"/>
        <v>0</v>
      </c>
      <c r="BI58" s="10">
        <f t="shared" si="72"/>
        <v>0</v>
      </c>
      <c r="BJ58" s="10">
        <f t="shared" si="72"/>
        <v>0</v>
      </c>
      <c r="BK58" s="1"/>
      <c r="BL58" s="13">
        <f t="shared" si="49"/>
        <v>0</v>
      </c>
      <c r="BM58" s="10">
        <f t="shared" ref="BM58:BW58" si="73">IF(AND($F58&gt;BL$5,$F58 &lt;=BM$5), $G58, 0)</f>
        <v>0</v>
      </c>
      <c r="BN58" s="10">
        <f t="shared" si="73"/>
        <v>0</v>
      </c>
      <c r="BO58" s="10">
        <f t="shared" si="73"/>
        <v>0</v>
      </c>
      <c r="BP58" s="201">
        <f t="shared" si="73"/>
        <v>0</v>
      </c>
      <c r="BQ58" s="201">
        <f t="shared" si="73"/>
        <v>0</v>
      </c>
      <c r="BR58" s="201">
        <f t="shared" si="73"/>
        <v>0</v>
      </c>
      <c r="BS58" s="201">
        <f t="shared" si="73"/>
        <v>0</v>
      </c>
      <c r="BT58" s="201">
        <f t="shared" si="73"/>
        <v>0</v>
      </c>
      <c r="BU58" s="201">
        <f t="shared" si="73"/>
        <v>0</v>
      </c>
      <c r="BV58" s="201">
        <f t="shared" si="73"/>
        <v>0</v>
      </c>
      <c r="BW58" s="201">
        <f t="shared" si="73"/>
        <v>0</v>
      </c>
      <c r="BY58" s="12"/>
      <c r="BZ58" s="363">
        <f t="shared" si="51"/>
        <v>0</v>
      </c>
      <c r="CA58" s="12"/>
      <c r="CB58" s="7">
        <f t="shared" si="52"/>
        <v>0</v>
      </c>
      <c r="CC58" s="7">
        <f>IF(AND(G58&lt;&gt;0, _xlfn.IFNA(MATCH(E58, Parameters!$D$45:$D$48, 0), "N/A")="N/A"), 1, 0)</f>
        <v>0</v>
      </c>
      <c r="CE58" s="7">
        <f>IF($F58="", 0, IF(AND($F58&lt;=$BW$5, $F58&gt;=Timeline!$V$8), 0, 1))</f>
        <v>0</v>
      </c>
      <c r="CI58" s="7">
        <f t="shared" si="63"/>
        <v>0</v>
      </c>
      <c r="CJ58" s="7">
        <f t="shared" si="64"/>
        <v>0</v>
      </c>
      <c r="CK58" s="7">
        <f t="shared" si="65"/>
        <v>0</v>
      </c>
      <c r="CL58" s="42"/>
      <c r="CM58" s="352">
        <f t="shared" si="53"/>
        <v>0</v>
      </c>
      <c r="CN58" s="352">
        <f t="shared" si="54"/>
        <v>0</v>
      </c>
      <c r="CO58" s="352">
        <f t="shared" si="55"/>
        <v>0</v>
      </c>
      <c r="CP58" s="352">
        <f t="shared" si="56"/>
        <v>0</v>
      </c>
      <c r="CQ58" s="352">
        <f t="shared" si="57"/>
        <v>0</v>
      </c>
      <c r="CR58" s="352">
        <f t="shared" si="58"/>
        <v>0</v>
      </c>
      <c r="CS58" s="352">
        <f t="shared" si="59"/>
        <v>0</v>
      </c>
      <c r="CT58" s="42"/>
      <c r="CU58" s="67">
        <v>0</v>
      </c>
      <c r="CV58" s="67">
        <v>0</v>
      </c>
      <c r="EX58" s="13" t="str">
        <f t="shared" si="60"/>
        <v>Movement from Assets under Construction AC6</v>
      </c>
    </row>
    <row r="59" spans="1:154" x14ac:dyDescent="0.25">
      <c r="A59" s="362" cm="1">
        <f t="array" aca="1" ref="A59" ca="1">HYPERLINK(CONCATENATE("#",CELL("address",IF(SUM($CA59:$CL59)=0,A59,INDEX($CA59:$CL59,MATCH(1,$CA59:$CL59,0))))),SUM($CA59:$CL59))</f>
        <v>0</v>
      </c>
      <c r="C59" s="521" t="s">
        <v>1091</v>
      </c>
      <c r="D59" s="147"/>
      <c r="E59" s="146"/>
      <c r="F59" s="150"/>
      <c r="G59" s="147"/>
      <c r="H59" s="47" t="s">
        <v>92</v>
      </c>
      <c r="I59" s="9"/>
      <c r="S59" s="1"/>
      <c r="T59" s="25"/>
      <c r="U59" s="25"/>
      <c r="V59" s="13">
        <f>0-IF(AND($F59&gt;=Timeline!$V$8,$F59 &lt;=V$5), $G59, 0)</f>
        <v>0</v>
      </c>
      <c r="W59" s="10">
        <f t="shared" si="47"/>
        <v>0</v>
      </c>
      <c r="X59" s="10">
        <f t="shared" si="47"/>
        <v>0</v>
      </c>
      <c r="Y59" s="10">
        <f t="shared" si="47"/>
        <v>0</v>
      </c>
      <c r="Z59" s="335"/>
      <c r="AA59" s="10">
        <f t="shared" ref="AA59:BJ59" si="74">IF(AND($F59&gt;Z$5,$F59 &lt;=AA$5), $G59, 0)</f>
        <v>0</v>
      </c>
      <c r="AB59" s="10">
        <f t="shared" si="74"/>
        <v>0</v>
      </c>
      <c r="AC59" s="10">
        <f t="shared" si="74"/>
        <v>0</v>
      </c>
      <c r="AD59" s="10">
        <f t="shared" si="74"/>
        <v>0</v>
      </c>
      <c r="AE59" s="10">
        <f t="shared" si="74"/>
        <v>0</v>
      </c>
      <c r="AF59" s="10">
        <f t="shared" si="74"/>
        <v>0</v>
      </c>
      <c r="AG59" s="10">
        <f t="shared" si="74"/>
        <v>0</v>
      </c>
      <c r="AH59" s="10">
        <f t="shared" si="74"/>
        <v>0</v>
      </c>
      <c r="AI59" s="10">
        <f t="shared" si="74"/>
        <v>0</v>
      </c>
      <c r="AJ59" s="10">
        <f t="shared" si="74"/>
        <v>0</v>
      </c>
      <c r="AK59" s="10">
        <f t="shared" si="74"/>
        <v>0</v>
      </c>
      <c r="AL59" s="10">
        <f t="shared" si="74"/>
        <v>0</v>
      </c>
      <c r="AM59" s="10">
        <f t="shared" si="74"/>
        <v>0</v>
      </c>
      <c r="AN59" s="10">
        <f t="shared" si="74"/>
        <v>0</v>
      </c>
      <c r="AO59" s="10">
        <f t="shared" si="74"/>
        <v>0</v>
      </c>
      <c r="AP59" s="10">
        <f t="shared" si="74"/>
        <v>0</v>
      </c>
      <c r="AQ59" s="10">
        <f t="shared" si="74"/>
        <v>0</v>
      </c>
      <c r="AR59" s="10">
        <f t="shared" si="74"/>
        <v>0</v>
      </c>
      <c r="AS59" s="10">
        <f t="shared" si="74"/>
        <v>0</v>
      </c>
      <c r="AT59" s="10">
        <f t="shared" si="74"/>
        <v>0</v>
      </c>
      <c r="AU59" s="10">
        <f t="shared" si="74"/>
        <v>0</v>
      </c>
      <c r="AV59" s="10">
        <f t="shared" si="74"/>
        <v>0</v>
      </c>
      <c r="AW59" s="10">
        <f t="shared" si="74"/>
        <v>0</v>
      </c>
      <c r="AX59" s="10">
        <f t="shared" si="74"/>
        <v>0</v>
      </c>
      <c r="AY59" s="10">
        <f t="shared" si="74"/>
        <v>0</v>
      </c>
      <c r="AZ59" s="10">
        <f t="shared" si="74"/>
        <v>0</v>
      </c>
      <c r="BA59" s="10">
        <f t="shared" si="74"/>
        <v>0</v>
      </c>
      <c r="BB59" s="10">
        <f t="shared" si="74"/>
        <v>0</v>
      </c>
      <c r="BC59" s="10">
        <f t="shared" si="74"/>
        <v>0</v>
      </c>
      <c r="BD59" s="10">
        <f t="shared" si="74"/>
        <v>0</v>
      </c>
      <c r="BE59" s="10">
        <f t="shared" si="74"/>
        <v>0</v>
      </c>
      <c r="BF59" s="10">
        <f t="shared" si="74"/>
        <v>0</v>
      </c>
      <c r="BG59" s="10">
        <f t="shared" si="74"/>
        <v>0</v>
      </c>
      <c r="BH59" s="10">
        <f t="shared" si="74"/>
        <v>0</v>
      </c>
      <c r="BI59" s="10">
        <f t="shared" si="74"/>
        <v>0</v>
      </c>
      <c r="BJ59" s="10">
        <f t="shared" si="74"/>
        <v>0</v>
      </c>
      <c r="BK59" s="1"/>
      <c r="BL59" s="13">
        <f t="shared" si="49"/>
        <v>0</v>
      </c>
      <c r="BM59" s="10">
        <f t="shared" ref="BM59:BW59" si="75">IF(AND($F59&gt;BL$5,$F59 &lt;=BM$5), $G59, 0)</f>
        <v>0</v>
      </c>
      <c r="BN59" s="10">
        <f t="shared" si="75"/>
        <v>0</v>
      </c>
      <c r="BO59" s="10">
        <f t="shared" si="75"/>
        <v>0</v>
      </c>
      <c r="BP59" s="201">
        <f t="shared" si="75"/>
        <v>0</v>
      </c>
      <c r="BQ59" s="201">
        <f t="shared" si="75"/>
        <v>0</v>
      </c>
      <c r="BR59" s="201">
        <f t="shared" si="75"/>
        <v>0</v>
      </c>
      <c r="BS59" s="201">
        <f t="shared" si="75"/>
        <v>0</v>
      </c>
      <c r="BT59" s="201">
        <f t="shared" si="75"/>
        <v>0</v>
      </c>
      <c r="BU59" s="201">
        <f t="shared" si="75"/>
        <v>0</v>
      </c>
      <c r="BV59" s="201">
        <f t="shared" si="75"/>
        <v>0</v>
      </c>
      <c r="BW59" s="201">
        <f t="shared" si="75"/>
        <v>0</v>
      </c>
      <c r="BY59" s="12"/>
      <c r="BZ59" s="363">
        <f t="shared" si="51"/>
        <v>0</v>
      </c>
      <c r="CA59" s="12"/>
      <c r="CB59" s="7">
        <f t="shared" si="52"/>
        <v>0</v>
      </c>
      <c r="CC59" s="7">
        <f>IF(AND(G59&lt;&gt;0, _xlfn.IFNA(MATCH(E59, Parameters!$D$45:$D$48, 0), "N/A")="N/A"), 1, 0)</f>
        <v>0</v>
      </c>
      <c r="CE59" s="7">
        <f>IF($F59="", 0, IF(AND($F59&lt;=$BW$5, $F59&gt;=Timeline!$V$8), 0, 1))</f>
        <v>0</v>
      </c>
      <c r="CI59" s="7">
        <f t="shared" si="63"/>
        <v>0</v>
      </c>
      <c r="CJ59" s="7">
        <f t="shared" si="64"/>
        <v>0</v>
      </c>
      <c r="CK59" s="7">
        <f t="shared" si="65"/>
        <v>0</v>
      </c>
      <c r="CL59" s="42"/>
      <c r="CM59" s="352">
        <f t="shared" si="53"/>
        <v>0</v>
      </c>
      <c r="CN59" s="352">
        <f t="shared" si="54"/>
        <v>0</v>
      </c>
      <c r="CO59" s="352">
        <f t="shared" si="55"/>
        <v>0</v>
      </c>
      <c r="CP59" s="352">
        <f t="shared" si="56"/>
        <v>0</v>
      </c>
      <c r="CQ59" s="352">
        <f t="shared" si="57"/>
        <v>0</v>
      </c>
      <c r="CR59" s="352">
        <f t="shared" si="58"/>
        <v>0</v>
      </c>
      <c r="CS59" s="352">
        <f t="shared" si="59"/>
        <v>0</v>
      </c>
      <c r="CT59" s="42"/>
      <c r="CU59" s="67">
        <v>0</v>
      </c>
      <c r="CV59" s="67">
        <v>0</v>
      </c>
      <c r="EX59" s="13" t="str">
        <f t="shared" si="60"/>
        <v>Movement from Assets under Construction AC7</v>
      </c>
    </row>
    <row r="60" spans="1:154" x14ac:dyDescent="0.25">
      <c r="A60" s="362" cm="1">
        <f t="array" aca="1" ref="A60" ca="1">HYPERLINK(CONCATENATE("#",CELL("address",IF(SUM($CA60:$CL60)=0,A60,INDEX($CA60:$CL60,MATCH(1,$CA60:$CL60,0))))),SUM($CA60:$CL60))</f>
        <v>0</v>
      </c>
      <c r="C60" s="521" t="s">
        <v>1092</v>
      </c>
      <c r="D60" s="147"/>
      <c r="E60" s="146"/>
      <c r="F60" s="150"/>
      <c r="G60" s="147"/>
      <c r="H60" s="47" t="s">
        <v>92</v>
      </c>
      <c r="I60" s="9"/>
      <c r="S60" s="1"/>
      <c r="T60" s="25"/>
      <c r="U60" s="25"/>
      <c r="V60" s="13">
        <f>0-IF(AND($F60&gt;=Timeline!$V$8,$F60 &lt;=V$5), $G60, 0)</f>
        <v>0</v>
      </c>
      <c r="W60" s="10">
        <f t="shared" si="47"/>
        <v>0</v>
      </c>
      <c r="X60" s="10">
        <f t="shared" si="47"/>
        <v>0</v>
      </c>
      <c r="Y60" s="10">
        <f t="shared" si="47"/>
        <v>0</v>
      </c>
      <c r="Z60" s="335"/>
      <c r="AA60" s="10">
        <f t="shared" ref="AA60:BJ60" si="76">IF(AND($F60&gt;Z$5,$F60 &lt;=AA$5), $G60, 0)</f>
        <v>0</v>
      </c>
      <c r="AB60" s="10">
        <f t="shared" si="76"/>
        <v>0</v>
      </c>
      <c r="AC60" s="10">
        <f t="shared" si="76"/>
        <v>0</v>
      </c>
      <c r="AD60" s="10">
        <f t="shared" si="76"/>
        <v>0</v>
      </c>
      <c r="AE60" s="10">
        <f t="shared" si="76"/>
        <v>0</v>
      </c>
      <c r="AF60" s="10">
        <f t="shared" si="76"/>
        <v>0</v>
      </c>
      <c r="AG60" s="10">
        <f t="shared" si="76"/>
        <v>0</v>
      </c>
      <c r="AH60" s="10">
        <f t="shared" si="76"/>
        <v>0</v>
      </c>
      <c r="AI60" s="10">
        <f t="shared" si="76"/>
        <v>0</v>
      </c>
      <c r="AJ60" s="10">
        <f t="shared" si="76"/>
        <v>0</v>
      </c>
      <c r="AK60" s="10">
        <f t="shared" si="76"/>
        <v>0</v>
      </c>
      <c r="AL60" s="10">
        <f t="shared" si="76"/>
        <v>0</v>
      </c>
      <c r="AM60" s="10">
        <f t="shared" si="76"/>
        <v>0</v>
      </c>
      <c r="AN60" s="10">
        <f t="shared" si="76"/>
        <v>0</v>
      </c>
      <c r="AO60" s="10">
        <f t="shared" si="76"/>
        <v>0</v>
      </c>
      <c r="AP60" s="10">
        <f t="shared" si="76"/>
        <v>0</v>
      </c>
      <c r="AQ60" s="10">
        <f t="shared" si="76"/>
        <v>0</v>
      </c>
      <c r="AR60" s="10">
        <f t="shared" si="76"/>
        <v>0</v>
      </c>
      <c r="AS60" s="10">
        <f t="shared" si="76"/>
        <v>0</v>
      </c>
      <c r="AT60" s="10">
        <f t="shared" si="76"/>
        <v>0</v>
      </c>
      <c r="AU60" s="10">
        <f t="shared" si="76"/>
        <v>0</v>
      </c>
      <c r="AV60" s="10">
        <f t="shared" si="76"/>
        <v>0</v>
      </c>
      <c r="AW60" s="10">
        <f t="shared" si="76"/>
        <v>0</v>
      </c>
      <c r="AX60" s="10">
        <f t="shared" si="76"/>
        <v>0</v>
      </c>
      <c r="AY60" s="10">
        <f t="shared" si="76"/>
        <v>0</v>
      </c>
      <c r="AZ60" s="10">
        <f t="shared" si="76"/>
        <v>0</v>
      </c>
      <c r="BA60" s="10">
        <f t="shared" si="76"/>
        <v>0</v>
      </c>
      <c r="BB60" s="10">
        <f t="shared" si="76"/>
        <v>0</v>
      </c>
      <c r="BC60" s="10">
        <f t="shared" si="76"/>
        <v>0</v>
      </c>
      <c r="BD60" s="10">
        <f t="shared" si="76"/>
        <v>0</v>
      </c>
      <c r="BE60" s="10">
        <f t="shared" si="76"/>
        <v>0</v>
      </c>
      <c r="BF60" s="10">
        <f t="shared" si="76"/>
        <v>0</v>
      </c>
      <c r="BG60" s="10">
        <f t="shared" si="76"/>
        <v>0</v>
      </c>
      <c r="BH60" s="10">
        <f t="shared" si="76"/>
        <v>0</v>
      </c>
      <c r="BI60" s="10">
        <f t="shared" si="76"/>
        <v>0</v>
      </c>
      <c r="BJ60" s="10">
        <f t="shared" si="76"/>
        <v>0</v>
      </c>
      <c r="BK60" s="1"/>
      <c r="BL60" s="13">
        <f t="shared" si="49"/>
        <v>0</v>
      </c>
      <c r="BM60" s="10">
        <f t="shared" ref="BM60:BW60" si="77">IF(AND($F60&gt;BL$5,$F60 &lt;=BM$5), $G60, 0)</f>
        <v>0</v>
      </c>
      <c r="BN60" s="10">
        <f t="shared" si="77"/>
        <v>0</v>
      </c>
      <c r="BO60" s="10">
        <f t="shared" si="77"/>
        <v>0</v>
      </c>
      <c r="BP60" s="201">
        <f t="shared" si="77"/>
        <v>0</v>
      </c>
      <c r="BQ60" s="201">
        <f t="shared" si="77"/>
        <v>0</v>
      </c>
      <c r="BR60" s="201">
        <f t="shared" si="77"/>
        <v>0</v>
      </c>
      <c r="BS60" s="201">
        <f t="shared" si="77"/>
        <v>0</v>
      </c>
      <c r="BT60" s="201">
        <f t="shared" si="77"/>
        <v>0</v>
      </c>
      <c r="BU60" s="201">
        <f t="shared" si="77"/>
        <v>0</v>
      </c>
      <c r="BV60" s="201">
        <f t="shared" si="77"/>
        <v>0</v>
      </c>
      <c r="BW60" s="201">
        <f t="shared" si="77"/>
        <v>0</v>
      </c>
      <c r="BY60" s="12"/>
      <c r="BZ60" s="363">
        <f t="shared" si="51"/>
        <v>0</v>
      </c>
      <c r="CA60" s="12"/>
      <c r="CB60" s="7">
        <f t="shared" si="52"/>
        <v>0</v>
      </c>
      <c r="CC60" s="7">
        <f>IF(AND(G60&lt;&gt;0, _xlfn.IFNA(MATCH(E60, Parameters!$D$45:$D$48, 0), "N/A")="N/A"), 1, 0)</f>
        <v>0</v>
      </c>
      <c r="CE60" s="7">
        <f>IF($F60="", 0, IF(AND($F60&lt;=$BW$5, $F60&gt;=Timeline!$V$8), 0, 1))</f>
        <v>0</v>
      </c>
      <c r="CI60" s="7">
        <f t="shared" si="63"/>
        <v>0</v>
      </c>
      <c r="CJ60" s="7">
        <f t="shared" si="64"/>
        <v>0</v>
      </c>
      <c r="CK60" s="7">
        <f t="shared" si="65"/>
        <v>0</v>
      </c>
      <c r="CL60" s="42"/>
      <c r="CM60" s="352">
        <f t="shared" si="53"/>
        <v>0</v>
      </c>
      <c r="CN60" s="352">
        <f t="shared" si="54"/>
        <v>0</v>
      </c>
      <c r="CO60" s="352">
        <f t="shared" si="55"/>
        <v>0</v>
      </c>
      <c r="CP60" s="352">
        <f t="shared" si="56"/>
        <v>0</v>
      </c>
      <c r="CQ60" s="352">
        <f t="shared" si="57"/>
        <v>0</v>
      </c>
      <c r="CR60" s="352">
        <f t="shared" si="58"/>
        <v>0</v>
      </c>
      <c r="CS60" s="352">
        <f t="shared" si="59"/>
        <v>0</v>
      </c>
      <c r="CT60" s="42"/>
      <c r="CU60" s="67">
        <v>0</v>
      </c>
      <c r="CV60" s="67">
        <v>0</v>
      </c>
      <c r="EX60" s="13" t="str">
        <f t="shared" si="60"/>
        <v>Movement from Assets under Construction AC8</v>
      </c>
    </row>
    <row r="61" spans="1:154" x14ac:dyDescent="0.25">
      <c r="A61" s="362" cm="1">
        <f t="array" aca="1" ref="A61" ca="1">HYPERLINK(CONCATENATE("#",CELL("address",IF(SUM($CA61:$CL61)=0,A61,INDEX($CA61:$CL61,MATCH(1,$CA61:$CL61,0))))),SUM($CA61:$CL61))</f>
        <v>0</v>
      </c>
      <c r="C61" s="521" t="s">
        <v>1093</v>
      </c>
      <c r="D61" s="147"/>
      <c r="E61" s="146"/>
      <c r="F61" s="150"/>
      <c r="G61" s="147"/>
      <c r="H61" s="47" t="s">
        <v>92</v>
      </c>
      <c r="I61" s="9"/>
      <c r="S61" s="1"/>
      <c r="T61" s="25"/>
      <c r="U61" s="25"/>
      <c r="V61" s="13">
        <f>0-IF(AND($F61&gt;=Timeline!$V$8,$F61 &lt;=V$5), $G61, 0)</f>
        <v>0</v>
      </c>
      <c r="W61" s="153">
        <f t="shared" si="47"/>
        <v>0</v>
      </c>
      <c r="X61" s="153">
        <f t="shared" si="47"/>
        <v>0</v>
      </c>
      <c r="Y61" s="153">
        <f t="shared" si="47"/>
        <v>0</v>
      </c>
      <c r="Z61" s="335"/>
      <c r="AA61" s="153">
        <f t="shared" ref="AA61:BJ61" si="78">IF(AND($F61&gt;Z$5,$F61 &lt;=AA$5), $G61, 0)</f>
        <v>0</v>
      </c>
      <c r="AB61" s="153">
        <f t="shared" si="78"/>
        <v>0</v>
      </c>
      <c r="AC61" s="153">
        <f t="shared" si="78"/>
        <v>0</v>
      </c>
      <c r="AD61" s="153">
        <f t="shared" si="78"/>
        <v>0</v>
      </c>
      <c r="AE61" s="153">
        <f t="shared" si="78"/>
        <v>0</v>
      </c>
      <c r="AF61" s="153">
        <f t="shared" si="78"/>
        <v>0</v>
      </c>
      <c r="AG61" s="153">
        <f t="shared" si="78"/>
        <v>0</v>
      </c>
      <c r="AH61" s="153">
        <f t="shared" si="78"/>
        <v>0</v>
      </c>
      <c r="AI61" s="153">
        <f t="shared" si="78"/>
        <v>0</v>
      </c>
      <c r="AJ61" s="153">
        <f t="shared" si="78"/>
        <v>0</v>
      </c>
      <c r="AK61" s="153">
        <f t="shared" si="78"/>
        <v>0</v>
      </c>
      <c r="AL61" s="153">
        <f t="shared" si="78"/>
        <v>0</v>
      </c>
      <c r="AM61" s="153">
        <f t="shared" si="78"/>
        <v>0</v>
      </c>
      <c r="AN61" s="153">
        <f t="shared" si="78"/>
        <v>0</v>
      </c>
      <c r="AO61" s="153">
        <f t="shared" si="78"/>
        <v>0</v>
      </c>
      <c r="AP61" s="153">
        <f t="shared" si="78"/>
        <v>0</v>
      </c>
      <c r="AQ61" s="153">
        <f t="shared" si="78"/>
        <v>0</v>
      </c>
      <c r="AR61" s="153">
        <f t="shared" si="78"/>
        <v>0</v>
      </c>
      <c r="AS61" s="153">
        <f t="shared" si="78"/>
        <v>0</v>
      </c>
      <c r="AT61" s="153">
        <f t="shared" si="78"/>
        <v>0</v>
      </c>
      <c r="AU61" s="153">
        <f t="shared" si="78"/>
        <v>0</v>
      </c>
      <c r="AV61" s="153">
        <f t="shared" si="78"/>
        <v>0</v>
      </c>
      <c r="AW61" s="153">
        <f t="shared" si="78"/>
        <v>0</v>
      </c>
      <c r="AX61" s="153">
        <f t="shared" si="78"/>
        <v>0</v>
      </c>
      <c r="AY61" s="153">
        <f t="shared" si="78"/>
        <v>0</v>
      </c>
      <c r="AZ61" s="153">
        <f t="shared" si="78"/>
        <v>0</v>
      </c>
      <c r="BA61" s="153">
        <f t="shared" si="78"/>
        <v>0</v>
      </c>
      <c r="BB61" s="153">
        <f t="shared" si="78"/>
        <v>0</v>
      </c>
      <c r="BC61" s="153">
        <f t="shared" si="78"/>
        <v>0</v>
      </c>
      <c r="BD61" s="153">
        <f t="shared" si="78"/>
        <v>0</v>
      </c>
      <c r="BE61" s="153">
        <f t="shared" si="78"/>
        <v>0</v>
      </c>
      <c r="BF61" s="153">
        <f t="shared" si="78"/>
        <v>0</v>
      </c>
      <c r="BG61" s="153">
        <f t="shared" si="78"/>
        <v>0</v>
      </c>
      <c r="BH61" s="153">
        <f t="shared" si="78"/>
        <v>0</v>
      </c>
      <c r="BI61" s="153">
        <f t="shared" si="78"/>
        <v>0</v>
      </c>
      <c r="BJ61" s="153">
        <f t="shared" si="78"/>
        <v>0</v>
      </c>
      <c r="BK61" s="1"/>
      <c r="BL61" s="13">
        <f t="shared" si="49"/>
        <v>0</v>
      </c>
      <c r="BM61" s="153">
        <f t="shared" ref="BM61:BW61" si="79">IF(AND($F61&gt;BL$5,$F61 &lt;=BM$5), $G61, 0)</f>
        <v>0</v>
      </c>
      <c r="BN61" s="153">
        <f t="shared" si="79"/>
        <v>0</v>
      </c>
      <c r="BO61" s="153">
        <f t="shared" si="79"/>
        <v>0</v>
      </c>
      <c r="BP61" s="201">
        <f t="shared" si="79"/>
        <v>0</v>
      </c>
      <c r="BQ61" s="201">
        <f t="shared" si="79"/>
        <v>0</v>
      </c>
      <c r="BR61" s="201">
        <f t="shared" si="79"/>
        <v>0</v>
      </c>
      <c r="BS61" s="201">
        <f t="shared" si="79"/>
        <v>0</v>
      </c>
      <c r="BT61" s="201">
        <f t="shared" si="79"/>
        <v>0</v>
      </c>
      <c r="BU61" s="201">
        <f t="shared" si="79"/>
        <v>0</v>
      </c>
      <c r="BV61" s="201">
        <f t="shared" si="79"/>
        <v>0</v>
      </c>
      <c r="BW61" s="201">
        <f t="shared" si="79"/>
        <v>0</v>
      </c>
      <c r="BY61" s="12"/>
      <c r="BZ61" s="363">
        <f t="shared" si="51"/>
        <v>0</v>
      </c>
      <c r="CA61" s="12"/>
      <c r="CB61" s="7">
        <f t="shared" si="52"/>
        <v>0</v>
      </c>
      <c r="CC61" s="7">
        <f>IF(AND(G61&lt;&gt;0, _xlfn.IFNA(MATCH(E61, Parameters!$D$45:$D$48, 0), "N/A")="N/A"), 1, 0)</f>
        <v>0</v>
      </c>
      <c r="CE61" s="7">
        <f>IF($F61="", 0, IF(AND($F61&lt;=$BW$5, $F61&gt;=Timeline!$V$8), 0, 1))</f>
        <v>0</v>
      </c>
      <c r="CI61" s="7">
        <f t="shared" si="63"/>
        <v>0</v>
      </c>
      <c r="CJ61" s="7">
        <f t="shared" si="64"/>
        <v>0</v>
      </c>
      <c r="CK61" s="7">
        <f t="shared" si="65"/>
        <v>0</v>
      </c>
      <c r="CL61" s="42"/>
      <c r="CM61" s="352">
        <f t="shared" si="53"/>
        <v>0</v>
      </c>
      <c r="CN61" s="352">
        <f t="shared" si="54"/>
        <v>0</v>
      </c>
      <c r="CO61" s="352">
        <f t="shared" si="55"/>
        <v>0</v>
      </c>
      <c r="CP61" s="352">
        <f t="shared" si="56"/>
        <v>0</v>
      </c>
      <c r="CQ61" s="352">
        <f t="shared" si="57"/>
        <v>0</v>
      </c>
      <c r="CR61" s="352">
        <f t="shared" si="58"/>
        <v>0</v>
      </c>
      <c r="CS61" s="352">
        <f t="shared" si="59"/>
        <v>0</v>
      </c>
      <c r="CT61" s="42"/>
      <c r="CU61" s="67">
        <v>0</v>
      </c>
      <c r="CV61" s="67">
        <v>0</v>
      </c>
      <c r="EX61" s="13" t="str">
        <f t="shared" si="60"/>
        <v>Movement from Assets under Construction AC9</v>
      </c>
    </row>
    <row r="62" spans="1:154" x14ac:dyDescent="0.25">
      <c r="A62" s="362" cm="1">
        <f t="array" aca="1" ref="A62" ca="1">HYPERLINK(CONCATENATE("#",CELL("address",IF(SUM($CA62:$CL62)=0,A62,INDEX($CA62:$CL62,MATCH(1,$CA62:$CL62,0))))),SUM($CA62:$CL62))</f>
        <v>0</v>
      </c>
      <c r="C62" s="521" t="s">
        <v>1094</v>
      </c>
      <c r="D62" s="147"/>
      <c r="E62" s="146"/>
      <c r="F62" s="150"/>
      <c r="G62" s="147"/>
      <c r="H62" s="47" t="s">
        <v>92</v>
      </c>
      <c r="I62" s="9"/>
      <c r="S62" s="1"/>
      <c r="T62" s="25"/>
      <c r="U62" s="25"/>
      <c r="V62" s="13">
        <f>0-IF(AND($F62&gt;=Timeline!$V$8,$F62 &lt;=V$5), $G62, 0)</f>
        <v>0</v>
      </c>
      <c r="W62" s="153">
        <f t="shared" si="47"/>
        <v>0</v>
      </c>
      <c r="X62" s="153">
        <f t="shared" si="47"/>
        <v>0</v>
      </c>
      <c r="Y62" s="153">
        <f t="shared" si="47"/>
        <v>0</v>
      </c>
      <c r="Z62" s="335"/>
      <c r="AA62" s="153">
        <f t="shared" ref="AA62:BJ62" si="80">IF(AND($F62&gt;Z$5,$F62 &lt;=AA$5), $G62, 0)</f>
        <v>0</v>
      </c>
      <c r="AB62" s="153">
        <f t="shared" si="80"/>
        <v>0</v>
      </c>
      <c r="AC62" s="153">
        <f t="shared" si="80"/>
        <v>0</v>
      </c>
      <c r="AD62" s="153">
        <f t="shared" si="80"/>
        <v>0</v>
      </c>
      <c r="AE62" s="153">
        <f t="shared" si="80"/>
        <v>0</v>
      </c>
      <c r="AF62" s="153">
        <f t="shared" si="80"/>
        <v>0</v>
      </c>
      <c r="AG62" s="153">
        <f t="shared" si="80"/>
        <v>0</v>
      </c>
      <c r="AH62" s="153">
        <f t="shared" si="80"/>
        <v>0</v>
      </c>
      <c r="AI62" s="153">
        <f t="shared" si="80"/>
        <v>0</v>
      </c>
      <c r="AJ62" s="153">
        <f t="shared" si="80"/>
        <v>0</v>
      </c>
      <c r="AK62" s="153">
        <f t="shared" si="80"/>
        <v>0</v>
      </c>
      <c r="AL62" s="153">
        <f t="shared" si="80"/>
        <v>0</v>
      </c>
      <c r="AM62" s="153">
        <f t="shared" si="80"/>
        <v>0</v>
      </c>
      <c r="AN62" s="153">
        <f t="shared" si="80"/>
        <v>0</v>
      </c>
      <c r="AO62" s="153">
        <f t="shared" si="80"/>
        <v>0</v>
      </c>
      <c r="AP62" s="153">
        <f t="shared" si="80"/>
        <v>0</v>
      </c>
      <c r="AQ62" s="153">
        <f t="shared" si="80"/>
        <v>0</v>
      </c>
      <c r="AR62" s="153">
        <f t="shared" si="80"/>
        <v>0</v>
      </c>
      <c r="AS62" s="153">
        <f t="shared" si="80"/>
        <v>0</v>
      </c>
      <c r="AT62" s="153">
        <f t="shared" si="80"/>
        <v>0</v>
      </c>
      <c r="AU62" s="153">
        <f t="shared" si="80"/>
        <v>0</v>
      </c>
      <c r="AV62" s="153">
        <f t="shared" si="80"/>
        <v>0</v>
      </c>
      <c r="AW62" s="153">
        <f t="shared" si="80"/>
        <v>0</v>
      </c>
      <c r="AX62" s="153">
        <f t="shared" si="80"/>
        <v>0</v>
      </c>
      <c r="AY62" s="153">
        <f t="shared" si="80"/>
        <v>0</v>
      </c>
      <c r="AZ62" s="153">
        <f t="shared" si="80"/>
        <v>0</v>
      </c>
      <c r="BA62" s="153">
        <f t="shared" si="80"/>
        <v>0</v>
      </c>
      <c r="BB62" s="153">
        <f t="shared" si="80"/>
        <v>0</v>
      </c>
      <c r="BC62" s="153">
        <f t="shared" si="80"/>
        <v>0</v>
      </c>
      <c r="BD62" s="153">
        <f t="shared" si="80"/>
        <v>0</v>
      </c>
      <c r="BE62" s="153">
        <f t="shared" si="80"/>
        <v>0</v>
      </c>
      <c r="BF62" s="153">
        <f t="shared" si="80"/>
        <v>0</v>
      </c>
      <c r="BG62" s="153">
        <f t="shared" si="80"/>
        <v>0</v>
      </c>
      <c r="BH62" s="153">
        <f t="shared" si="80"/>
        <v>0</v>
      </c>
      <c r="BI62" s="153">
        <f t="shared" si="80"/>
        <v>0</v>
      </c>
      <c r="BJ62" s="153">
        <f t="shared" si="80"/>
        <v>0</v>
      </c>
      <c r="BK62" s="1"/>
      <c r="BL62" s="13">
        <f t="shared" si="49"/>
        <v>0</v>
      </c>
      <c r="BM62" s="153">
        <f t="shared" ref="BM62:BW62" si="81">IF(AND($F62&gt;BL$5,$F62 &lt;=BM$5), $G62, 0)</f>
        <v>0</v>
      </c>
      <c r="BN62" s="153">
        <f t="shared" si="81"/>
        <v>0</v>
      </c>
      <c r="BO62" s="153">
        <f t="shared" si="81"/>
        <v>0</v>
      </c>
      <c r="BP62" s="201">
        <f t="shared" si="81"/>
        <v>0</v>
      </c>
      <c r="BQ62" s="201">
        <f t="shared" si="81"/>
        <v>0</v>
      </c>
      <c r="BR62" s="201">
        <f t="shared" si="81"/>
        <v>0</v>
      </c>
      <c r="BS62" s="201">
        <f t="shared" si="81"/>
        <v>0</v>
      </c>
      <c r="BT62" s="201">
        <f t="shared" si="81"/>
        <v>0</v>
      </c>
      <c r="BU62" s="201">
        <f t="shared" si="81"/>
        <v>0</v>
      </c>
      <c r="BV62" s="201">
        <f t="shared" si="81"/>
        <v>0</v>
      </c>
      <c r="BW62" s="201">
        <f t="shared" si="81"/>
        <v>0</v>
      </c>
      <c r="BY62" s="12"/>
      <c r="BZ62" s="363">
        <f t="shared" si="51"/>
        <v>0</v>
      </c>
      <c r="CA62" s="12"/>
      <c r="CB62" s="7">
        <f t="shared" si="52"/>
        <v>0</v>
      </c>
      <c r="CC62" s="7">
        <f>IF(AND(G62&lt;&gt;0, _xlfn.IFNA(MATCH(E62, Parameters!$D$45:$D$48, 0), "N/A")="N/A"), 1, 0)</f>
        <v>0</v>
      </c>
      <c r="CE62" s="7">
        <f>IF($F62="", 0, IF(AND($F62&lt;=$BW$5, $F62&gt;=Timeline!$V$8), 0, 1))</f>
        <v>0</v>
      </c>
      <c r="CI62" s="7">
        <f t="shared" si="63"/>
        <v>0</v>
      </c>
      <c r="CJ62" s="7">
        <f t="shared" si="64"/>
        <v>0</v>
      </c>
      <c r="CK62" s="7">
        <f t="shared" si="65"/>
        <v>0</v>
      </c>
      <c r="CL62" s="42"/>
      <c r="CM62" s="352">
        <f t="shared" si="53"/>
        <v>0</v>
      </c>
      <c r="CN62" s="352">
        <f t="shared" si="54"/>
        <v>0</v>
      </c>
      <c r="CO62" s="352">
        <f t="shared" si="55"/>
        <v>0</v>
      </c>
      <c r="CP62" s="352">
        <f t="shared" si="56"/>
        <v>0</v>
      </c>
      <c r="CQ62" s="352">
        <f t="shared" si="57"/>
        <v>0</v>
      </c>
      <c r="CR62" s="352">
        <f t="shared" si="58"/>
        <v>0</v>
      </c>
      <c r="CS62" s="352">
        <f t="shared" si="59"/>
        <v>0</v>
      </c>
      <c r="CT62" s="42"/>
      <c r="CU62" s="67">
        <v>0</v>
      </c>
      <c r="CV62" s="67">
        <v>0</v>
      </c>
      <c r="EX62" s="13" t="str">
        <f t="shared" si="60"/>
        <v>Movement from Assets under Construction AC10</v>
      </c>
    </row>
    <row r="63" spans="1:154" x14ac:dyDescent="0.25">
      <c r="A63" s="362" cm="1">
        <f t="array" aca="1" ref="A63" ca="1">HYPERLINK(CONCATENATE("#",CELL("address",IF(SUM($CA63:$CL63)=0,A63,INDEX($CA63:$CL63,MATCH(1,$CA63:$CL63,0))))),SUM($CA63:$CL63))</f>
        <v>0</v>
      </c>
      <c r="C63" s="521" t="s">
        <v>1095</v>
      </c>
      <c r="D63" s="147"/>
      <c r="E63" s="146"/>
      <c r="F63" s="150"/>
      <c r="G63" s="147"/>
      <c r="H63" s="47" t="s">
        <v>92</v>
      </c>
      <c r="I63" s="9"/>
      <c r="S63" s="1"/>
      <c r="T63" s="25"/>
      <c r="U63" s="25"/>
      <c r="V63" s="13">
        <f>0-IF(AND($F63&gt;=Timeline!$V$8,$F63 &lt;=V$5), $G63, 0)</f>
        <v>0</v>
      </c>
      <c r="W63" s="153">
        <f t="shared" si="47"/>
        <v>0</v>
      </c>
      <c r="X63" s="153">
        <f t="shared" si="47"/>
        <v>0</v>
      </c>
      <c r="Y63" s="153">
        <f t="shared" si="47"/>
        <v>0</v>
      </c>
      <c r="Z63" s="335"/>
      <c r="AA63" s="153">
        <f t="shared" ref="AA63:BJ63" si="82">IF(AND($F63&gt;Z$5,$F63 &lt;=AA$5), $G63, 0)</f>
        <v>0</v>
      </c>
      <c r="AB63" s="153">
        <f t="shared" si="82"/>
        <v>0</v>
      </c>
      <c r="AC63" s="153">
        <f t="shared" si="82"/>
        <v>0</v>
      </c>
      <c r="AD63" s="153">
        <f t="shared" si="82"/>
        <v>0</v>
      </c>
      <c r="AE63" s="153">
        <f t="shared" si="82"/>
        <v>0</v>
      </c>
      <c r="AF63" s="153">
        <f t="shared" si="82"/>
        <v>0</v>
      </c>
      <c r="AG63" s="153">
        <f t="shared" si="82"/>
        <v>0</v>
      </c>
      <c r="AH63" s="153">
        <f t="shared" si="82"/>
        <v>0</v>
      </c>
      <c r="AI63" s="153">
        <f t="shared" si="82"/>
        <v>0</v>
      </c>
      <c r="AJ63" s="153">
        <f t="shared" si="82"/>
        <v>0</v>
      </c>
      <c r="AK63" s="153">
        <f t="shared" si="82"/>
        <v>0</v>
      </c>
      <c r="AL63" s="153">
        <f t="shared" si="82"/>
        <v>0</v>
      </c>
      <c r="AM63" s="153">
        <f t="shared" si="82"/>
        <v>0</v>
      </c>
      <c r="AN63" s="153">
        <f t="shared" si="82"/>
        <v>0</v>
      </c>
      <c r="AO63" s="153">
        <f t="shared" si="82"/>
        <v>0</v>
      </c>
      <c r="AP63" s="153">
        <f t="shared" si="82"/>
        <v>0</v>
      </c>
      <c r="AQ63" s="153">
        <f t="shared" si="82"/>
        <v>0</v>
      </c>
      <c r="AR63" s="153">
        <f t="shared" si="82"/>
        <v>0</v>
      </c>
      <c r="AS63" s="153">
        <f t="shared" si="82"/>
        <v>0</v>
      </c>
      <c r="AT63" s="153">
        <f t="shared" si="82"/>
        <v>0</v>
      </c>
      <c r="AU63" s="153">
        <f t="shared" si="82"/>
        <v>0</v>
      </c>
      <c r="AV63" s="153">
        <f t="shared" si="82"/>
        <v>0</v>
      </c>
      <c r="AW63" s="153">
        <f t="shared" si="82"/>
        <v>0</v>
      </c>
      <c r="AX63" s="153">
        <f t="shared" si="82"/>
        <v>0</v>
      </c>
      <c r="AY63" s="153">
        <f t="shared" si="82"/>
        <v>0</v>
      </c>
      <c r="AZ63" s="153">
        <f t="shared" si="82"/>
        <v>0</v>
      </c>
      <c r="BA63" s="153">
        <f t="shared" si="82"/>
        <v>0</v>
      </c>
      <c r="BB63" s="153">
        <f t="shared" si="82"/>
        <v>0</v>
      </c>
      <c r="BC63" s="153">
        <f t="shared" si="82"/>
        <v>0</v>
      </c>
      <c r="BD63" s="153">
        <f t="shared" si="82"/>
        <v>0</v>
      </c>
      <c r="BE63" s="153">
        <f t="shared" si="82"/>
        <v>0</v>
      </c>
      <c r="BF63" s="153">
        <f t="shared" si="82"/>
        <v>0</v>
      </c>
      <c r="BG63" s="153">
        <f t="shared" si="82"/>
        <v>0</v>
      </c>
      <c r="BH63" s="153">
        <f t="shared" si="82"/>
        <v>0</v>
      </c>
      <c r="BI63" s="153">
        <f t="shared" si="82"/>
        <v>0</v>
      </c>
      <c r="BJ63" s="153">
        <f t="shared" si="82"/>
        <v>0</v>
      </c>
      <c r="BK63" s="1"/>
      <c r="BL63" s="13">
        <f t="shared" si="49"/>
        <v>0</v>
      </c>
      <c r="BM63" s="153">
        <f t="shared" ref="BM63:BW63" si="83">IF(AND($F63&gt;BL$5,$F63 &lt;=BM$5), $G63, 0)</f>
        <v>0</v>
      </c>
      <c r="BN63" s="153">
        <f t="shared" si="83"/>
        <v>0</v>
      </c>
      <c r="BO63" s="153">
        <f t="shared" si="83"/>
        <v>0</v>
      </c>
      <c r="BP63" s="201">
        <f t="shared" si="83"/>
        <v>0</v>
      </c>
      <c r="BQ63" s="201">
        <f t="shared" si="83"/>
        <v>0</v>
      </c>
      <c r="BR63" s="201">
        <f t="shared" si="83"/>
        <v>0</v>
      </c>
      <c r="BS63" s="201">
        <f t="shared" si="83"/>
        <v>0</v>
      </c>
      <c r="BT63" s="201">
        <f t="shared" si="83"/>
        <v>0</v>
      </c>
      <c r="BU63" s="201">
        <f t="shared" si="83"/>
        <v>0</v>
      </c>
      <c r="BV63" s="201">
        <f t="shared" si="83"/>
        <v>0</v>
      </c>
      <c r="BW63" s="201">
        <f t="shared" si="83"/>
        <v>0</v>
      </c>
      <c r="BY63" s="12"/>
      <c r="BZ63" s="363">
        <f t="shared" si="51"/>
        <v>0</v>
      </c>
      <c r="CA63" s="12"/>
      <c r="CB63" s="7">
        <f t="shared" si="52"/>
        <v>0</v>
      </c>
      <c r="CC63" s="7">
        <f>IF(AND(G63&lt;&gt;0, _xlfn.IFNA(MATCH(E63, Parameters!$D$45:$D$48, 0), "N/A")="N/A"), 1, 0)</f>
        <v>0</v>
      </c>
      <c r="CE63" s="7">
        <f>IF($F63="", 0, IF(AND($F63&lt;=$BW$5, $F63&gt;=Timeline!$V$8), 0, 1))</f>
        <v>0</v>
      </c>
      <c r="CI63" s="7">
        <f t="shared" si="63"/>
        <v>0</v>
      </c>
      <c r="CJ63" s="7">
        <f t="shared" si="64"/>
        <v>0</v>
      </c>
      <c r="CK63" s="7">
        <f t="shared" si="65"/>
        <v>0</v>
      </c>
      <c r="CL63" s="42"/>
      <c r="CM63" s="352">
        <f t="shared" si="53"/>
        <v>0</v>
      </c>
      <c r="CN63" s="352">
        <f t="shared" si="54"/>
        <v>0</v>
      </c>
      <c r="CO63" s="352">
        <f t="shared" si="55"/>
        <v>0</v>
      </c>
      <c r="CP63" s="352">
        <f t="shared" si="56"/>
        <v>0</v>
      </c>
      <c r="CQ63" s="352">
        <f t="shared" si="57"/>
        <v>0</v>
      </c>
      <c r="CR63" s="352">
        <f t="shared" si="58"/>
        <v>0</v>
      </c>
      <c r="CS63" s="352">
        <f t="shared" si="59"/>
        <v>0</v>
      </c>
      <c r="CT63" s="42"/>
      <c r="CU63" s="67">
        <v>0</v>
      </c>
      <c r="CV63" s="67">
        <v>0</v>
      </c>
      <c r="EX63" s="13" t="str">
        <f t="shared" si="60"/>
        <v>Movement from Assets under Construction AC11</v>
      </c>
    </row>
    <row r="64" spans="1:154" x14ac:dyDescent="0.25">
      <c r="A64" s="362" cm="1">
        <f t="array" aca="1" ref="A64" ca="1">HYPERLINK(CONCATENATE("#",CELL("address",IF(SUM($CA64:$CL64)=0,A64,INDEX($CA64:$CL64,MATCH(1,$CA64:$CL64,0))))),SUM($CA64:$CL64))</f>
        <v>0</v>
      </c>
      <c r="C64" s="521" t="s">
        <v>1096</v>
      </c>
      <c r="D64" s="147"/>
      <c r="E64" s="146"/>
      <c r="F64" s="150"/>
      <c r="G64" s="147"/>
      <c r="H64" s="47" t="s">
        <v>92</v>
      </c>
      <c r="I64" s="9"/>
      <c r="S64" s="1"/>
      <c r="T64" s="25"/>
      <c r="U64" s="25"/>
      <c r="V64" s="13">
        <f>0-IF(AND($F64&gt;=Timeline!$V$8,$F64 &lt;=V$5), $G64, 0)</f>
        <v>0</v>
      </c>
      <c r="W64" s="153">
        <f t="shared" si="47"/>
        <v>0</v>
      </c>
      <c r="X64" s="153">
        <f t="shared" si="47"/>
        <v>0</v>
      </c>
      <c r="Y64" s="153">
        <f t="shared" si="47"/>
        <v>0</v>
      </c>
      <c r="Z64" s="335"/>
      <c r="AA64" s="153">
        <f t="shared" ref="AA64:BJ64" si="84">IF(AND($F64&gt;Z$5,$F64 &lt;=AA$5), $G64, 0)</f>
        <v>0</v>
      </c>
      <c r="AB64" s="153">
        <f t="shared" si="84"/>
        <v>0</v>
      </c>
      <c r="AC64" s="153">
        <f t="shared" si="84"/>
        <v>0</v>
      </c>
      <c r="AD64" s="153">
        <f t="shared" si="84"/>
        <v>0</v>
      </c>
      <c r="AE64" s="153">
        <f t="shared" si="84"/>
        <v>0</v>
      </c>
      <c r="AF64" s="153">
        <f t="shared" si="84"/>
        <v>0</v>
      </c>
      <c r="AG64" s="153">
        <f t="shared" si="84"/>
        <v>0</v>
      </c>
      <c r="AH64" s="153">
        <f t="shared" si="84"/>
        <v>0</v>
      </c>
      <c r="AI64" s="153">
        <f t="shared" si="84"/>
        <v>0</v>
      </c>
      <c r="AJ64" s="153">
        <f t="shared" si="84"/>
        <v>0</v>
      </c>
      <c r="AK64" s="153">
        <f t="shared" si="84"/>
        <v>0</v>
      </c>
      <c r="AL64" s="153">
        <f t="shared" si="84"/>
        <v>0</v>
      </c>
      <c r="AM64" s="153">
        <f t="shared" si="84"/>
        <v>0</v>
      </c>
      <c r="AN64" s="153">
        <f t="shared" si="84"/>
        <v>0</v>
      </c>
      <c r="AO64" s="153">
        <f t="shared" si="84"/>
        <v>0</v>
      </c>
      <c r="AP64" s="153">
        <f t="shared" si="84"/>
        <v>0</v>
      </c>
      <c r="AQ64" s="153">
        <f t="shared" si="84"/>
        <v>0</v>
      </c>
      <c r="AR64" s="153">
        <f t="shared" si="84"/>
        <v>0</v>
      </c>
      <c r="AS64" s="153">
        <f t="shared" si="84"/>
        <v>0</v>
      </c>
      <c r="AT64" s="153">
        <f t="shared" si="84"/>
        <v>0</v>
      </c>
      <c r="AU64" s="153">
        <f t="shared" si="84"/>
        <v>0</v>
      </c>
      <c r="AV64" s="153">
        <f t="shared" si="84"/>
        <v>0</v>
      </c>
      <c r="AW64" s="153">
        <f t="shared" si="84"/>
        <v>0</v>
      </c>
      <c r="AX64" s="153">
        <f t="shared" si="84"/>
        <v>0</v>
      </c>
      <c r="AY64" s="153">
        <f t="shared" si="84"/>
        <v>0</v>
      </c>
      <c r="AZ64" s="153">
        <f t="shared" si="84"/>
        <v>0</v>
      </c>
      <c r="BA64" s="153">
        <f t="shared" si="84"/>
        <v>0</v>
      </c>
      <c r="BB64" s="153">
        <f t="shared" si="84"/>
        <v>0</v>
      </c>
      <c r="BC64" s="153">
        <f t="shared" si="84"/>
        <v>0</v>
      </c>
      <c r="BD64" s="153">
        <f t="shared" si="84"/>
        <v>0</v>
      </c>
      <c r="BE64" s="153">
        <f t="shared" si="84"/>
        <v>0</v>
      </c>
      <c r="BF64" s="153">
        <f t="shared" si="84"/>
        <v>0</v>
      </c>
      <c r="BG64" s="153">
        <f t="shared" si="84"/>
        <v>0</v>
      </c>
      <c r="BH64" s="153">
        <f t="shared" si="84"/>
        <v>0</v>
      </c>
      <c r="BI64" s="153">
        <f t="shared" si="84"/>
        <v>0</v>
      </c>
      <c r="BJ64" s="153">
        <f t="shared" si="84"/>
        <v>0</v>
      </c>
      <c r="BK64" s="1"/>
      <c r="BL64" s="13">
        <f t="shared" si="49"/>
        <v>0</v>
      </c>
      <c r="BM64" s="153">
        <f t="shared" ref="BM64:BW64" si="85">IF(AND($F64&gt;BL$5,$F64 &lt;=BM$5), $G64, 0)</f>
        <v>0</v>
      </c>
      <c r="BN64" s="153">
        <f t="shared" si="85"/>
        <v>0</v>
      </c>
      <c r="BO64" s="153">
        <f t="shared" si="85"/>
        <v>0</v>
      </c>
      <c r="BP64" s="201">
        <f t="shared" si="85"/>
        <v>0</v>
      </c>
      <c r="BQ64" s="201">
        <f t="shared" si="85"/>
        <v>0</v>
      </c>
      <c r="BR64" s="201">
        <f t="shared" si="85"/>
        <v>0</v>
      </c>
      <c r="BS64" s="201">
        <f t="shared" si="85"/>
        <v>0</v>
      </c>
      <c r="BT64" s="201">
        <f t="shared" si="85"/>
        <v>0</v>
      </c>
      <c r="BU64" s="201">
        <f t="shared" si="85"/>
        <v>0</v>
      </c>
      <c r="BV64" s="201">
        <f t="shared" si="85"/>
        <v>0</v>
      </c>
      <c r="BW64" s="201">
        <f t="shared" si="85"/>
        <v>0</v>
      </c>
      <c r="BY64" s="12"/>
      <c r="BZ64" s="363">
        <f t="shared" si="51"/>
        <v>0</v>
      </c>
      <c r="CA64" s="12"/>
      <c r="CB64" s="7">
        <f t="shared" si="52"/>
        <v>0</v>
      </c>
      <c r="CC64" s="7">
        <f>IF(AND(G64&lt;&gt;0, _xlfn.IFNA(MATCH(E64, Parameters!$D$45:$D$48, 0), "N/A")="N/A"), 1, 0)</f>
        <v>0</v>
      </c>
      <c r="CE64" s="7">
        <f>IF($F64="", 0, IF(AND($F64&lt;=$BW$5, $F64&gt;=Timeline!$V$8), 0, 1))</f>
        <v>0</v>
      </c>
      <c r="CI64" s="7">
        <f t="shared" si="63"/>
        <v>0</v>
      </c>
      <c r="CJ64" s="7">
        <f t="shared" si="64"/>
        <v>0</v>
      </c>
      <c r="CK64" s="7">
        <f t="shared" si="65"/>
        <v>0</v>
      </c>
      <c r="CL64" s="42"/>
      <c r="CM64" s="352">
        <f t="shared" si="53"/>
        <v>0</v>
      </c>
      <c r="CN64" s="352">
        <f t="shared" si="54"/>
        <v>0</v>
      </c>
      <c r="CO64" s="352">
        <f t="shared" si="55"/>
        <v>0</v>
      </c>
      <c r="CP64" s="352">
        <f t="shared" si="56"/>
        <v>0</v>
      </c>
      <c r="CQ64" s="352">
        <f t="shared" si="57"/>
        <v>0</v>
      </c>
      <c r="CR64" s="352">
        <f t="shared" si="58"/>
        <v>0</v>
      </c>
      <c r="CS64" s="352">
        <f t="shared" si="59"/>
        <v>0</v>
      </c>
      <c r="CT64" s="42"/>
      <c r="CU64" s="67">
        <v>0</v>
      </c>
      <c r="CV64" s="67">
        <v>0</v>
      </c>
      <c r="EX64" s="13" t="str">
        <f t="shared" si="60"/>
        <v>Movement from Assets under Construction AC12</v>
      </c>
    </row>
    <row r="65" spans="1:154" x14ac:dyDescent="0.25">
      <c r="A65" s="362" cm="1">
        <f t="array" aca="1" ref="A65" ca="1">HYPERLINK(CONCATENATE("#",CELL("address",IF(SUM($CA65:$CL65)=0,A65,INDEX($CA65:$CL65,MATCH(1,$CA65:$CL65,0))))),SUM($CA65:$CL65))</f>
        <v>0</v>
      </c>
      <c r="C65" s="521" t="s">
        <v>1097</v>
      </c>
      <c r="D65" s="147"/>
      <c r="E65" s="146"/>
      <c r="F65" s="150"/>
      <c r="G65" s="147"/>
      <c r="H65" s="47" t="s">
        <v>92</v>
      </c>
      <c r="I65" s="9"/>
      <c r="S65" s="1"/>
      <c r="T65" s="25"/>
      <c r="U65" s="25"/>
      <c r="V65" s="13">
        <f>0-IF(AND($F65&gt;=Timeline!$V$8,$F65 &lt;=V$5), $G65, 0)</f>
        <v>0</v>
      </c>
      <c r="W65" s="153">
        <f t="shared" si="47"/>
        <v>0</v>
      </c>
      <c r="X65" s="153">
        <f t="shared" si="47"/>
        <v>0</v>
      </c>
      <c r="Y65" s="153">
        <f t="shared" si="47"/>
        <v>0</v>
      </c>
      <c r="Z65" s="335"/>
      <c r="AA65" s="153">
        <f t="shared" ref="AA65:BJ65" si="86">IF(AND($F65&gt;Z$5,$F65 &lt;=AA$5), $G65, 0)</f>
        <v>0</v>
      </c>
      <c r="AB65" s="153">
        <f t="shared" si="86"/>
        <v>0</v>
      </c>
      <c r="AC65" s="153">
        <f t="shared" si="86"/>
        <v>0</v>
      </c>
      <c r="AD65" s="153">
        <f t="shared" si="86"/>
        <v>0</v>
      </c>
      <c r="AE65" s="153">
        <f t="shared" si="86"/>
        <v>0</v>
      </c>
      <c r="AF65" s="153">
        <f t="shared" si="86"/>
        <v>0</v>
      </c>
      <c r="AG65" s="153">
        <f t="shared" si="86"/>
        <v>0</v>
      </c>
      <c r="AH65" s="153">
        <f t="shared" si="86"/>
        <v>0</v>
      </c>
      <c r="AI65" s="153">
        <f t="shared" si="86"/>
        <v>0</v>
      </c>
      <c r="AJ65" s="153">
        <f t="shared" si="86"/>
        <v>0</v>
      </c>
      <c r="AK65" s="153">
        <f t="shared" si="86"/>
        <v>0</v>
      </c>
      <c r="AL65" s="153">
        <f t="shared" si="86"/>
        <v>0</v>
      </c>
      <c r="AM65" s="153">
        <f t="shared" si="86"/>
        <v>0</v>
      </c>
      <c r="AN65" s="153">
        <f t="shared" si="86"/>
        <v>0</v>
      </c>
      <c r="AO65" s="153">
        <f t="shared" si="86"/>
        <v>0</v>
      </c>
      <c r="AP65" s="153">
        <f t="shared" si="86"/>
        <v>0</v>
      </c>
      <c r="AQ65" s="153">
        <f t="shared" si="86"/>
        <v>0</v>
      </c>
      <c r="AR65" s="153">
        <f t="shared" si="86"/>
        <v>0</v>
      </c>
      <c r="AS65" s="153">
        <f t="shared" si="86"/>
        <v>0</v>
      </c>
      <c r="AT65" s="153">
        <f t="shared" si="86"/>
        <v>0</v>
      </c>
      <c r="AU65" s="153">
        <f t="shared" si="86"/>
        <v>0</v>
      </c>
      <c r="AV65" s="153">
        <f t="shared" si="86"/>
        <v>0</v>
      </c>
      <c r="AW65" s="153">
        <f t="shared" si="86"/>
        <v>0</v>
      </c>
      <c r="AX65" s="153">
        <f t="shared" si="86"/>
        <v>0</v>
      </c>
      <c r="AY65" s="153">
        <f t="shared" si="86"/>
        <v>0</v>
      </c>
      <c r="AZ65" s="153">
        <f t="shared" si="86"/>
        <v>0</v>
      </c>
      <c r="BA65" s="153">
        <f t="shared" si="86"/>
        <v>0</v>
      </c>
      <c r="BB65" s="153">
        <f t="shared" si="86"/>
        <v>0</v>
      </c>
      <c r="BC65" s="153">
        <f t="shared" si="86"/>
        <v>0</v>
      </c>
      <c r="BD65" s="153">
        <f t="shared" si="86"/>
        <v>0</v>
      </c>
      <c r="BE65" s="153">
        <f t="shared" si="86"/>
        <v>0</v>
      </c>
      <c r="BF65" s="153">
        <f t="shared" si="86"/>
        <v>0</v>
      </c>
      <c r="BG65" s="153">
        <f t="shared" si="86"/>
        <v>0</v>
      </c>
      <c r="BH65" s="153">
        <f t="shared" si="86"/>
        <v>0</v>
      </c>
      <c r="BI65" s="153">
        <f t="shared" si="86"/>
        <v>0</v>
      </c>
      <c r="BJ65" s="153">
        <f t="shared" si="86"/>
        <v>0</v>
      </c>
      <c r="BK65" s="1"/>
      <c r="BL65" s="13">
        <f t="shared" si="49"/>
        <v>0</v>
      </c>
      <c r="BM65" s="153">
        <f t="shared" ref="BM65:BW65" si="87">IF(AND($F65&gt;BL$5,$F65 &lt;=BM$5), $G65, 0)</f>
        <v>0</v>
      </c>
      <c r="BN65" s="153">
        <f t="shared" si="87"/>
        <v>0</v>
      </c>
      <c r="BO65" s="153">
        <f t="shared" si="87"/>
        <v>0</v>
      </c>
      <c r="BP65" s="201">
        <f t="shared" si="87"/>
        <v>0</v>
      </c>
      <c r="BQ65" s="201">
        <f t="shared" si="87"/>
        <v>0</v>
      </c>
      <c r="BR65" s="201">
        <f t="shared" si="87"/>
        <v>0</v>
      </c>
      <c r="BS65" s="201">
        <f t="shared" si="87"/>
        <v>0</v>
      </c>
      <c r="BT65" s="201">
        <f t="shared" si="87"/>
        <v>0</v>
      </c>
      <c r="BU65" s="201">
        <f t="shared" si="87"/>
        <v>0</v>
      </c>
      <c r="BV65" s="201">
        <f t="shared" si="87"/>
        <v>0</v>
      </c>
      <c r="BW65" s="201">
        <f t="shared" si="87"/>
        <v>0</v>
      </c>
      <c r="BY65" s="12"/>
      <c r="BZ65" s="363">
        <f t="shared" si="51"/>
        <v>0</v>
      </c>
      <c r="CA65" s="12"/>
      <c r="CB65" s="7">
        <f t="shared" si="52"/>
        <v>0</v>
      </c>
      <c r="CC65" s="7">
        <f>IF(AND(G65&lt;&gt;0, _xlfn.IFNA(MATCH(E65, Parameters!$D$45:$D$48, 0), "N/A")="N/A"), 1, 0)</f>
        <v>0</v>
      </c>
      <c r="CE65" s="7">
        <f>IF($F65="", 0, IF(AND($F65&lt;=$BW$5, $F65&gt;=Timeline!$V$8), 0, 1))</f>
        <v>0</v>
      </c>
      <c r="CI65" s="7">
        <f t="shared" si="63"/>
        <v>0</v>
      </c>
      <c r="CJ65" s="7">
        <f t="shared" si="64"/>
        <v>0</v>
      </c>
      <c r="CK65" s="7">
        <f t="shared" si="65"/>
        <v>0</v>
      </c>
      <c r="CL65" s="42"/>
      <c r="CM65" s="352">
        <f t="shared" si="53"/>
        <v>0</v>
      </c>
      <c r="CN65" s="352">
        <f t="shared" si="54"/>
        <v>0</v>
      </c>
      <c r="CO65" s="352">
        <f t="shared" si="55"/>
        <v>0</v>
      </c>
      <c r="CP65" s="352">
        <f t="shared" si="56"/>
        <v>0</v>
      </c>
      <c r="CQ65" s="352">
        <f t="shared" si="57"/>
        <v>0</v>
      </c>
      <c r="CR65" s="352">
        <f t="shared" si="58"/>
        <v>0</v>
      </c>
      <c r="CS65" s="352">
        <f t="shared" si="59"/>
        <v>0</v>
      </c>
      <c r="CT65" s="42"/>
      <c r="CU65" s="67">
        <v>0</v>
      </c>
      <c r="CV65" s="67">
        <v>0</v>
      </c>
      <c r="EX65" s="13" t="str">
        <f t="shared" si="60"/>
        <v>Movement from Assets under Construction AC13</v>
      </c>
    </row>
    <row r="66" spans="1:154" x14ac:dyDescent="0.25">
      <c r="A66" s="362" cm="1">
        <f t="array" aca="1" ref="A66" ca="1">HYPERLINK(CONCATENATE("#",CELL("address",IF(SUM($CA66:$CL66)=0,A66,INDEX($CA66:$CL66,MATCH(1,$CA66:$CL66,0))))),SUM($CA66:$CL66))</f>
        <v>0</v>
      </c>
      <c r="C66" s="521" t="s">
        <v>1098</v>
      </c>
      <c r="D66" s="147"/>
      <c r="E66" s="146"/>
      <c r="F66" s="150"/>
      <c r="G66" s="147"/>
      <c r="H66" s="47" t="s">
        <v>92</v>
      </c>
      <c r="I66" s="9"/>
      <c r="S66" s="1"/>
      <c r="T66" s="25"/>
      <c r="U66" s="25"/>
      <c r="V66" s="13">
        <f>0-IF(AND($F66&gt;=Timeline!$V$8,$F66 &lt;=V$5), $G66, 0)</f>
        <v>0</v>
      </c>
      <c r="W66" s="153">
        <f t="shared" si="47"/>
        <v>0</v>
      </c>
      <c r="X66" s="153">
        <f t="shared" si="47"/>
        <v>0</v>
      </c>
      <c r="Y66" s="153">
        <f t="shared" si="47"/>
        <v>0</v>
      </c>
      <c r="Z66" s="335"/>
      <c r="AA66" s="153">
        <f t="shared" ref="AA66:BJ66" si="88">IF(AND($F66&gt;Z$5,$F66 &lt;=AA$5), $G66, 0)</f>
        <v>0</v>
      </c>
      <c r="AB66" s="153">
        <f t="shared" si="88"/>
        <v>0</v>
      </c>
      <c r="AC66" s="153">
        <f t="shared" si="88"/>
        <v>0</v>
      </c>
      <c r="AD66" s="153">
        <f t="shared" si="88"/>
        <v>0</v>
      </c>
      <c r="AE66" s="153">
        <f t="shared" si="88"/>
        <v>0</v>
      </c>
      <c r="AF66" s="153">
        <f t="shared" si="88"/>
        <v>0</v>
      </c>
      <c r="AG66" s="153">
        <f t="shared" si="88"/>
        <v>0</v>
      </c>
      <c r="AH66" s="153">
        <f t="shared" si="88"/>
        <v>0</v>
      </c>
      <c r="AI66" s="153">
        <f t="shared" si="88"/>
        <v>0</v>
      </c>
      <c r="AJ66" s="153">
        <f t="shared" si="88"/>
        <v>0</v>
      </c>
      <c r="AK66" s="153">
        <f t="shared" si="88"/>
        <v>0</v>
      </c>
      <c r="AL66" s="153">
        <f t="shared" si="88"/>
        <v>0</v>
      </c>
      <c r="AM66" s="153">
        <f t="shared" si="88"/>
        <v>0</v>
      </c>
      <c r="AN66" s="153">
        <f t="shared" si="88"/>
        <v>0</v>
      </c>
      <c r="AO66" s="153">
        <f t="shared" si="88"/>
        <v>0</v>
      </c>
      <c r="AP66" s="153">
        <f t="shared" si="88"/>
        <v>0</v>
      </c>
      <c r="AQ66" s="153">
        <f t="shared" si="88"/>
        <v>0</v>
      </c>
      <c r="AR66" s="153">
        <f t="shared" si="88"/>
        <v>0</v>
      </c>
      <c r="AS66" s="153">
        <f t="shared" si="88"/>
        <v>0</v>
      </c>
      <c r="AT66" s="153">
        <f t="shared" si="88"/>
        <v>0</v>
      </c>
      <c r="AU66" s="153">
        <f t="shared" si="88"/>
        <v>0</v>
      </c>
      <c r="AV66" s="153">
        <f t="shared" si="88"/>
        <v>0</v>
      </c>
      <c r="AW66" s="153">
        <f t="shared" si="88"/>
        <v>0</v>
      </c>
      <c r="AX66" s="153">
        <f t="shared" si="88"/>
        <v>0</v>
      </c>
      <c r="AY66" s="153">
        <f t="shared" si="88"/>
        <v>0</v>
      </c>
      <c r="AZ66" s="153">
        <f t="shared" si="88"/>
        <v>0</v>
      </c>
      <c r="BA66" s="153">
        <f t="shared" si="88"/>
        <v>0</v>
      </c>
      <c r="BB66" s="153">
        <f t="shared" si="88"/>
        <v>0</v>
      </c>
      <c r="BC66" s="153">
        <f t="shared" si="88"/>
        <v>0</v>
      </c>
      <c r="BD66" s="153">
        <f t="shared" si="88"/>
        <v>0</v>
      </c>
      <c r="BE66" s="153">
        <f t="shared" si="88"/>
        <v>0</v>
      </c>
      <c r="BF66" s="153">
        <f t="shared" si="88"/>
        <v>0</v>
      </c>
      <c r="BG66" s="153">
        <f t="shared" si="88"/>
        <v>0</v>
      </c>
      <c r="BH66" s="153">
        <f t="shared" si="88"/>
        <v>0</v>
      </c>
      <c r="BI66" s="153">
        <f t="shared" si="88"/>
        <v>0</v>
      </c>
      <c r="BJ66" s="153">
        <f t="shared" si="88"/>
        <v>0</v>
      </c>
      <c r="BK66" s="1"/>
      <c r="BL66" s="13">
        <f t="shared" si="49"/>
        <v>0</v>
      </c>
      <c r="BM66" s="153">
        <f t="shared" ref="BM66:BW66" si="89">IF(AND($F66&gt;BL$5,$F66 &lt;=BM$5), $G66, 0)</f>
        <v>0</v>
      </c>
      <c r="BN66" s="153">
        <f t="shared" si="89"/>
        <v>0</v>
      </c>
      <c r="BO66" s="153">
        <f t="shared" si="89"/>
        <v>0</v>
      </c>
      <c r="BP66" s="201">
        <f t="shared" si="89"/>
        <v>0</v>
      </c>
      <c r="BQ66" s="201">
        <f t="shared" si="89"/>
        <v>0</v>
      </c>
      <c r="BR66" s="201">
        <f t="shared" si="89"/>
        <v>0</v>
      </c>
      <c r="BS66" s="201">
        <f t="shared" si="89"/>
        <v>0</v>
      </c>
      <c r="BT66" s="201">
        <f t="shared" si="89"/>
        <v>0</v>
      </c>
      <c r="BU66" s="201">
        <f t="shared" si="89"/>
        <v>0</v>
      </c>
      <c r="BV66" s="201">
        <f t="shared" si="89"/>
        <v>0</v>
      </c>
      <c r="BW66" s="201">
        <f t="shared" si="89"/>
        <v>0</v>
      </c>
      <c r="BY66" s="12"/>
      <c r="BZ66" s="363">
        <f t="shared" si="51"/>
        <v>0</v>
      </c>
      <c r="CA66" s="12"/>
      <c r="CB66" s="7">
        <f t="shared" si="52"/>
        <v>0</v>
      </c>
      <c r="CC66" s="7">
        <f>IF(AND(G66&lt;&gt;0, _xlfn.IFNA(MATCH(E66, Parameters!$D$45:$D$48, 0), "N/A")="N/A"), 1, 0)</f>
        <v>0</v>
      </c>
      <c r="CE66" s="7">
        <f>IF($F66="", 0, IF(AND($F66&lt;=$BW$5, $F66&gt;=Timeline!$V$8), 0, 1))</f>
        <v>0</v>
      </c>
      <c r="CI66" s="7">
        <f t="shared" si="63"/>
        <v>0</v>
      </c>
      <c r="CJ66" s="7">
        <f t="shared" si="64"/>
        <v>0</v>
      </c>
      <c r="CK66" s="7">
        <f t="shared" si="65"/>
        <v>0</v>
      </c>
      <c r="CL66" s="42"/>
      <c r="CM66" s="352">
        <f t="shared" si="53"/>
        <v>0</v>
      </c>
      <c r="CN66" s="352">
        <f t="shared" si="54"/>
        <v>0</v>
      </c>
      <c r="CO66" s="352">
        <f t="shared" si="55"/>
        <v>0</v>
      </c>
      <c r="CP66" s="352">
        <f t="shared" si="56"/>
        <v>0</v>
      </c>
      <c r="CQ66" s="352">
        <f t="shared" si="57"/>
        <v>0</v>
      </c>
      <c r="CR66" s="352">
        <f t="shared" si="58"/>
        <v>0</v>
      </c>
      <c r="CS66" s="352">
        <f t="shared" si="59"/>
        <v>0</v>
      </c>
      <c r="CT66" s="42"/>
      <c r="CU66" s="67">
        <v>0</v>
      </c>
      <c r="CV66" s="67">
        <v>0</v>
      </c>
      <c r="EX66" s="13" t="str">
        <f t="shared" si="60"/>
        <v>Movement from Assets under Construction AC14</v>
      </c>
    </row>
    <row r="67" spans="1:154" x14ac:dyDescent="0.25">
      <c r="A67" s="362" cm="1">
        <f t="array" aca="1" ref="A67" ca="1">HYPERLINK(CONCATENATE("#",CELL("address",IF(SUM($CA67:$CL67)=0,A67,INDEX($CA67:$CL67,MATCH(1,$CA67:$CL67,0))))),SUM($CA67:$CL67))</f>
        <v>0</v>
      </c>
      <c r="C67" s="521" t="s">
        <v>1099</v>
      </c>
      <c r="D67" s="147"/>
      <c r="E67" s="146"/>
      <c r="F67" s="143"/>
      <c r="G67" s="147"/>
      <c r="H67" s="47" t="s">
        <v>92</v>
      </c>
      <c r="I67" s="9"/>
      <c r="S67" s="1"/>
      <c r="T67" s="25"/>
      <c r="U67" s="25"/>
      <c r="V67" s="13">
        <f>0-IF(AND($F67&gt;=Timeline!$V$8,$F67 &lt;=V$5), $G67, 0)</f>
        <v>0</v>
      </c>
      <c r="W67" s="10">
        <f t="shared" si="47"/>
        <v>0</v>
      </c>
      <c r="X67" s="10">
        <f t="shared" si="47"/>
        <v>0</v>
      </c>
      <c r="Y67" s="10">
        <f t="shared" si="47"/>
        <v>0</v>
      </c>
      <c r="Z67" s="335"/>
      <c r="AA67" s="10">
        <f t="shared" ref="AA67:BJ67" si="90">IF(AND($F67&gt;Z$5,$F67 &lt;=AA$5), $G67, 0)</f>
        <v>0</v>
      </c>
      <c r="AB67" s="10">
        <f t="shared" si="90"/>
        <v>0</v>
      </c>
      <c r="AC67" s="10">
        <f t="shared" si="90"/>
        <v>0</v>
      </c>
      <c r="AD67" s="10">
        <f t="shared" si="90"/>
        <v>0</v>
      </c>
      <c r="AE67" s="10">
        <f t="shared" si="90"/>
        <v>0</v>
      </c>
      <c r="AF67" s="10">
        <f t="shared" si="90"/>
        <v>0</v>
      </c>
      <c r="AG67" s="10">
        <f t="shared" si="90"/>
        <v>0</v>
      </c>
      <c r="AH67" s="10">
        <f t="shared" si="90"/>
        <v>0</v>
      </c>
      <c r="AI67" s="10">
        <f t="shared" si="90"/>
        <v>0</v>
      </c>
      <c r="AJ67" s="10">
        <f t="shared" si="90"/>
        <v>0</v>
      </c>
      <c r="AK67" s="10">
        <f t="shared" si="90"/>
        <v>0</v>
      </c>
      <c r="AL67" s="10">
        <f t="shared" si="90"/>
        <v>0</v>
      </c>
      <c r="AM67" s="10">
        <f t="shared" si="90"/>
        <v>0</v>
      </c>
      <c r="AN67" s="10">
        <f t="shared" si="90"/>
        <v>0</v>
      </c>
      <c r="AO67" s="10">
        <f t="shared" si="90"/>
        <v>0</v>
      </c>
      <c r="AP67" s="10">
        <f t="shared" si="90"/>
        <v>0</v>
      </c>
      <c r="AQ67" s="10">
        <f t="shared" si="90"/>
        <v>0</v>
      </c>
      <c r="AR67" s="10">
        <f t="shared" si="90"/>
        <v>0</v>
      </c>
      <c r="AS67" s="10">
        <f t="shared" si="90"/>
        <v>0</v>
      </c>
      <c r="AT67" s="10">
        <f t="shared" si="90"/>
        <v>0</v>
      </c>
      <c r="AU67" s="10">
        <f t="shared" si="90"/>
        <v>0</v>
      </c>
      <c r="AV67" s="10">
        <f t="shared" si="90"/>
        <v>0</v>
      </c>
      <c r="AW67" s="10">
        <f t="shared" si="90"/>
        <v>0</v>
      </c>
      <c r="AX67" s="10">
        <f t="shared" si="90"/>
        <v>0</v>
      </c>
      <c r="AY67" s="10">
        <f t="shared" si="90"/>
        <v>0</v>
      </c>
      <c r="AZ67" s="10">
        <f t="shared" si="90"/>
        <v>0</v>
      </c>
      <c r="BA67" s="10">
        <f t="shared" si="90"/>
        <v>0</v>
      </c>
      <c r="BB67" s="10">
        <f t="shared" si="90"/>
        <v>0</v>
      </c>
      <c r="BC67" s="10">
        <f t="shared" si="90"/>
        <v>0</v>
      </c>
      <c r="BD67" s="10">
        <f t="shared" si="90"/>
        <v>0</v>
      </c>
      <c r="BE67" s="10">
        <f t="shared" si="90"/>
        <v>0</v>
      </c>
      <c r="BF67" s="10">
        <f t="shared" si="90"/>
        <v>0</v>
      </c>
      <c r="BG67" s="10">
        <f t="shared" si="90"/>
        <v>0</v>
      </c>
      <c r="BH67" s="10">
        <f t="shared" si="90"/>
        <v>0</v>
      </c>
      <c r="BI67" s="10">
        <f t="shared" si="90"/>
        <v>0</v>
      </c>
      <c r="BJ67" s="10">
        <f t="shared" si="90"/>
        <v>0</v>
      </c>
      <c r="BK67" s="1"/>
      <c r="BL67" s="13">
        <f t="shared" si="49"/>
        <v>0</v>
      </c>
      <c r="BM67" s="10">
        <f t="shared" ref="BM67:BW67" si="91">IF(AND($F67&gt;BL$5,$F67 &lt;=BM$5), $G67, 0)</f>
        <v>0</v>
      </c>
      <c r="BN67" s="10">
        <f t="shared" si="91"/>
        <v>0</v>
      </c>
      <c r="BO67" s="10">
        <f t="shared" si="91"/>
        <v>0</v>
      </c>
      <c r="BP67" s="201">
        <f t="shared" si="91"/>
        <v>0</v>
      </c>
      <c r="BQ67" s="201">
        <f t="shared" si="91"/>
        <v>0</v>
      </c>
      <c r="BR67" s="201">
        <f t="shared" si="91"/>
        <v>0</v>
      </c>
      <c r="BS67" s="201">
        <f t="shared" si="91"/>
        <v>0</v>
      </c>
      <c r="BT67" s="201">
        <f t="shared" si="91"/>
        <v>0</v>
      </c>
      <c r="BU67" s="201">
        <f t="shared" si="91"/>
        <v>0</v>
      </c>
      <c r="BV67" s="201">
        <f t="shared" si="91"/>
        <v>0</v>
      </c>
      <c r="BW67" s="201">
        <f t="shared" si="91"/>
        <v>0</v>
      </c>
      <c r="BY67" s="12"/>
      <c r="BZ67" s="363">
        <f t="shared" si="51"/>
        <v>0</v>
      </c>
      <c r="CA67" s="12"/>
      <c r="CB67" s="7">
        <f t="shared" si="52"/>
        <v>0</v>
      </c>
      <c r="CC67" s="7">
        <f>IF(AND(G67&lt;&gt;0, _xlfn.IFNA(MATCH(E67, Parameters!$D$45:$D$48, 0), "N/A")="N/A"), 1, 0)</f>
        <v>0</v>
      </c>
      <c r="CE67" s="7">
        <f>IF($F67="", 0, IF(AND($F67&lt;=$BW$5, $F67&gt;=Timeline!$V$8), 0, 1))</f>
        <v>0</v>
      </c>
      <c r="CI67" s="7">
        <f t="shared" si="63"/>
        <v>0</v>
      </c>
      <c r="CJ67" s="7">
        <f t="shared" si="64"/>
        <v>0</v>
      </c>
      <c r="CK67" s="7">
        <f t="shared" si="65"/>
        <v>0</v>
      </c>
      <c r="CL67" s="42"/>
      <c r="CM67" s="352">
        <f t="shared" si="53"/>
        <v>0</v>
      </c>
      <c r="CN67" s="352">
        <f t="shared" si="54"/>
        <v>0</v>
      </c>
      <c r="CO67" s="352">
        <f t="shared" si="55"/>
        <v>0</v>
      </c>
      <c r="CP67" s="352">
        <f t="shared" si="56"/>
        <v>0</v>
      </c>
      <c r="CQ67" s="352">
        <f t="shared" si="57"/>
        <v>0</v>
      </c>
      <c r="CR67" s="352">
        <f t="shared" si="58"/>
        <v>0</v>
      </c>
      <c r="CS67" s="352">
        <f t="shared" si="59"/>
        <v>0</v>
      </c>
      <c r="CT67" s="42"/>
      <c r="CU67" s="67">
        <v>0</v>
      </c>
      <c r="CV67" s="67">
        <v>0</v>
      </c>
      <c r="EX67" s="13" t="str">
        <f t="shared" si="60"/>
        <v>Movement from Assets under Construction AC15</v>
      </c>
    </row>
    <row r="68" spans="1:154" x14ac:dyDescent="0.25">
      <c r="A68" s="362" cm="1">
        <f t="array" aca="1" ref="A68" ca="1">HYPERLINK(CONCATENATE("#",CELL("address",IF(SUM($CA68:$CL68)=0,A68,INDEX($CA68:$CL68,MATCH(1,$CA68:$CL68,0))))),SUM($CA68:$CL68))</f>
        <v>0</v>
      </c>
      <c r="C68" s="410"/>
      <c r="D68" s="82" t="s">
        <v>383</v>
      </c>
      <c r="E68" s="82" t="str">
        <f>Parameters!$D$39</f>
        <v>Land &amp; Buildings</v>
      </c>
      <c r="F68" s="25"/>
      <c r="G68" s="25"/>
      <c r="I68" s="116"/>
      <c r="S68" s="1"/>
      <c r="T68" s="25"/>
      <c r="U68" s="25"/>
      <c r="V68" s="211">
        <f t="shared" ref="V68:Y70" si="92">SUMIFS(V$53:V$67, $E$53:$E$67, $E68)</f>
        <v>0</v>
      </c>
      <c r="W68" s="211">
        <f t="shared" si="92"/>
        <v>0</v>
      </c>
      <c r="X68" s="211">
        <f t="shared" si="92"/>
        <v>0</v>
      </c>
      <c r="Y68" s="211">
        <f t="shared" si="92"/>
        <v>0</v>
      </c>
      <c r="Z68" s="335"/>
      <c r="AA68" s="211">
        <f t="shared" ref="AA68:AJ70" si="93">SUMIFS(AA$53:AA$67, $E$53:$E$67, $E68)</f>
        <v>0</v>
      </c>
      <c r="AB68" s="211">
        <f t="shared" si="93"/>
        <v>0</v>
      </c>
      <c r="AC68" s="211">
        <f t="shared" si="93"/>
        <v>0</v>
      </c>
      <c r="AD68" s="211">
        <f t="shared" si="93"/>
        <v>0</v>
      </c>
      <c r="AE68" s="211">
        <f t="shared" si="93"/>
        <v>0</v>
      </c>
      <c r="AF68" s="211">
        <f t="shared" si="93"/>
        <v>0</v>
      </c>
      <c r="AG68" s="211">
        <f t="shared" si="93"/>
        <v>0</v>
      </c>
      <c r="AH68" s="211">
        <f t="shared" si="93"/>
        <v>0</v>
      </c>
      <c r="AI68" s="211">
        <f t="shared" si="93"/>
        <v>0</v>
      </c>
      <c r="AJ68" s="211">
        <f t="shared" si="93"/>
        <v>0</v>
      </c>
      <c r="AK68" s="211">
        <f t="shared" ref="AK68:AT70" si="94">SUMIFS(AK$53:AK$67, $E$53:$E$67, $E68)</f>
        <v>0</v>
      </c>
      <c r="AL68" s="211">
        <f t="shared" si="94"/>
        <v>0</v>
      </c>
      <c r="AM68" s="211">
        <f t="shared" si="94"/>
        <v>0</v>
      </c>
      <c r="AN68" s="211">
        <f t="shared" si="94"/>
        <v>0</v>
      </c>
      <c r="AO68" s="211">
        <f t="shared" si="94"/>
        <v>0</v>
      </c>
      <c r="AP68" s="211">
        <f t="shared" si="94"/>
        <v>0</v>
      </c>
      <c r="AQ68" s="211">
        <f t="shared" si="94"/>
        <v>0</v>
      </c>
      <c r="AR68" s="211">
        <f t="shared" si="94"/>
        <v>0</v>
      </c>
      <c r="AS68" s="211">
        <f t="shared" si="94"/>
        <v>0</v>
      </c>
      <c r="AT68" s="211">
        <f t="shared" si="94"/>
        <v>0</v>
      </c>
      <c r="AU68" s="211">
        <f t="shared" ref="AU68:BD70" si="95">SUMIFS(AU$53:AU$67, $E$53:$E$67, $E68)</f>
        <v>0</v>
      </c>
      <c r="AV68" s="211">
        <f t="shared" si="95"/>
        <v>0</v>
      </c>
      <c r="AW68" s="211">
        <f t="shared" si="95"/>
        <v>0</v>
      </c>
      <c r="AX68" s="211">
        <f t="shared" si="95"/>
        <v>0</v>
      </c>
      <c r="AY68" s="211">
        <f t="shared" si="95"/>
        <v>0</v>
      </c>
      <c r="AZ68" s="211">
        <f t="shared" si="95"/>
        <v>0</v>
      </c>
      <c r="BA68" s="211">
        <f t="shared" si="95"/>
        <v>0</v>
      </c>
      <c r="BB68" s="211">
        <f t="shared" si="95"/>
        <v>0</v>
      </c>
      <c r="BC68" s="211">
        <f t="shared" si="95"/>
        <v>0</v>
      </c>
      <c r="BD68" s="211">
        <f t="shared" si="95"/>
        <v>0</v>
      </c>
      <c r="BE68" s="211">
        <f t="shared" ref="BE68:BJ70" si="96">SUMIFS(BE$53:BE$67, $E$53:$E$67, $E68)</f>
        <v>0</v>
      </c>
      <c r="BF68" s="211">
        <f t="shared" si="96"/>
        <v>0</v>
      </c>
      <c r="BG68" s="211">
        <f t="shared" si="96"/>
        <v>0</v>
      </c>
      <c r="BH68" s="211">
        <f t="shared" si="96"/>
        <v>0</v>
      </c>
      <c r="BI68" s="211">
        <f t="shared" si="96"/>
        <v>0</v>
      </c>
      <c r="BJ68" s="211">
        <f t="shared" si="96"/>
        <v>0</v>
      </c>
      <c r="BK68" s="1"/>
      <c r="BL68" s="211">
        <f t="shared" ref="BL68:BW70" si="97">SUMIFS(BL$53:BL$67, $E$53:$E$67, $E68)</f>
        <v>0</v>
      </c>
      <c r="BM68" s="211">
        <f t="shared" si="97"/>
        <v>0</v>
      </c>
      <c r="BN68" s="211">
        <f t="shared" si="97"/>
        <v>0</v>
      </c>
      <c r="BO68" s="211">
        <f t="shared" si="97"/>
        <v>0</v>
      </c>
      <c r="BP68" s="211">
        <f t="shared" si="97"/>
        <v>0</v>
      </c>
      <c r="BQ68" s="211">
        <f t="shared" si="97"/>
        <v>0</v>
      </c>
      <c r="BR68" s="211">
        <f t="shared" si="97"/>
        <v>0</v>
      </c>
      <c r="BS68" s="211">
        <f t="shared" si="97"/>
        <v>0</v>
      </c>
      <c r="BT68" s="211">
        <f t="shared" si="97"/>
        <v>0</v>
      </c>
      <c r="BU68" s="211">
        <f t="shared" si="97"/>
        <v>0</v>
      </c>
      <c r="BV68" s="211">
        <f t="shared" si="97"/>
        <v>0</v>
      </c>
      <c r="BW68" s="211">
        <f t="shared" si="97"/>
        <v>0</v>
      </c>
      <c r="BY68" s="12"/>
      <c r="BZ68" s="363">
        <f t="shared" si="51"/>
        <v>0</v>
      </c>
      <c r="CA68" s="12"/>
      <c r="CI68" s="7">
        <f t="shared" si="63"/>
        <v>0</v>
      </c>
      <c r="CJ68" s="7">
        <f t="shared" si="64"/>
        <v>0</v>
      </c>
      <c r="CK68" s="7">
        <f t="shared" si="65"/>
        <v>0</v>
      </c>
      <c r="CL68" s="42"/>
      <c r="CM68" s="352">
        <f t="shared" si="53"/>
        <v>0</v>
      </c>
      <c r="CN68" s="352">
        <f t="shared" si="54"/>
        <v>0</v>
      </c>
      <c r="CO68" s="352">
        <f t="shared" si="55"/>
        <v>0</v>
      </c>
      <c r="CP68" s="352">
        <f t="shared" si="56"/>
        <v>0</v>
      </c>
      <c r="CQ68" s="352">
        <f t="shared" si="57"/>
        <v>0</v>
      </c>
      <c r="CR68" s="352">
        <f t="shared" si="58"/>
        <v>0</v>
      </c>
      <c r="CS68" s="352">
        <f t="shared" si="59"/>
        <v>0</v>
      </c>
      <c r="CT68" s="42"/>
      <c r="CU68" s="67">
        <v>0</v>
      </c>
      <c r="CV68" s="67">
        <v>0</v>
      </c>
      <c r="EX68" s="10" t="str">
        <f t="shared" si="0"/>
        <v/>
      </c>
    </row>
    <row r="69" spans="1:154" x14ac:dyDescent="0.25">
      <c r="A69" s="362" cm="1">
        <f t="array" aca="1" ref="A69" ca="1">HYPERLINK(CONCATENATE("#",CELL("address",IF(SUM($CA69:$CL69)=0,A69,INDEX($CA69:$CL69,MATCH(1,$CA69:$CL69,0))))),SUM($CA69:$CL69))</f>
        <v>0</v>
      </c>
      <c r="C69" s="410"/>
      <c r="D69" s="82" t="s">
        <v>384</v>
      </c>
      <c r="E69" s="82" t="str">
        <f>Parameters!$D$40</f>
        <v>Equipment</v>
      </c>
      <c r="F69" s="25"/>
      <c r="G69" s="25"/>
      <c r="I69" s="116"/>
      <c r="S69" s="1"/>
      <c r="T69" s="25"/>
      <c r="U69" s="25"/>
      <c r="V69" s="211">
        <f t="shared" si="92"/>
        <v>0</v>
      </c>
      <c r="W69" s="211">
        <f t="shared" si="92"/>
        <v>0</v>
      </c>
      <c r="X69" s="211">
        <f t="shared" si="92"/>
        <v>0</v>
      </c>
      <c r="Y69" s="211">
        <f t="shared" si="92"/>
        <v>0</v>
      </c>
      <c r="Z69" s="335"/>
      <c r="AA69" s="211">
        <f t="shared" si="93"/>
        <v>0</v>
      </c>
      <c r="AB69" s="211">
        <f t="shared" si="93"/>
        <v>0</v>
      </c>
      <c r="AC69" s="211">
        <f t="shared" si="93"/>
        <v>0</v>
      </c>
      <c r="AD69" s="211">
        <f t="shared" si="93"/>
        <v>0</v>
      </c>
      <c r="AE69" s="211">
        <f t="shared" si="93"/>
        <v>0</v>
      </c>
      <c r="AF69" s="211">
        <f t="shared" si="93"/>
        <v>0</v>
      </c>
      <c r="AG69" s="211">
        <f t="shared" si="93"/>
        <v>0</v>
      </c>
      <c r="AH69" s="211">
        <f t="shared" si="93"/>
        <v>0</v>
      </c>
      <c r="AI69" s="211">
        <f t="shared" si="93"/>
        <v>0</v>
      </c>
      <c r="AJ69" s="211">
        <f t="shared" si="93"/>
        <v>0</v>
      </c>
      <c r="AK69" s="211">
        <f t="shared" si="94"/>
        <v>0</v>
      </c>
      <c r="AL69" s="211">
        <f t="shared" si="94"/>
        <v>0</v>
      </c>
      <c r="AM69" s="211">
        <f t="shared" si="94"/>
        <v>0</v>
      </c>
      <c r="AN69" s="211">
        <f t="shared" si="94"/>
        <v>0</v>
      </c>
      <c r="AO69" s="211">
        <f t="shared" si="94"/>
        <v>0</v>
      </c>
      <c r="AP69" s="211">
        <f t="shared" si="94"/>
        <v>0</v>
      </c>
      <c r="AQ69" s="211">
        <f t="shared" si="94"/>
        <v>0</v>
      </c>
      <c r="AR69" s="211">
        <f t="shared" si="94"/>
        <v>0</v>
      </c>
      <c r="AS69" s="211">
        <f t="shared" si="94"/>
        <v>0</v>
      </c>
      <c r="AT69" s="211">
        <f t="shared" si="94"/>
        <v>0</v>
      </c>
      <c r="AU69" s="211">
        <f t="shared" si="95"/>
        <v>0</v>
      </c>
      <c r="AV69" s="211">
        <f t="shared" si="95"/>
        <v>0</v>
      </c>
      <c r="AW69" s="211">
        <f t="shared" si="95"/>
        <v>0</v>
      </c>
      <c r="AX69" s="211">
        <f t="shared" si="95"/>
        <v>0</v>
      </c>
      <c r="AY69" s="211">
        <f t="shared" si="95"/>
        <v>0</v>
      </c>
      <c r="AZ69" s="211">
        <f t="shared" si="95"/>
        <v>0</v>
      </c>
      <c r="BA69" s="211">
        <f t="shared" si="95"/>
        <v>0</v>
      </c>
      <c r="BB69" s="211">
        <f t="shared" si="95"/>
        <v>0</v>
      </c>
      <c r="BC69" s="211">
        <f t="shared" si="95"/>
        <v>0</v>
      </c>
      <c r="BD69" s="211">
        <f t="shared" si="95"/>
        <v>0</v>
      </c>
      <c r="BE69" s="211">
        <f t="shared" si="96"/>
        <v>0</v>
      </c>
      <c r="BF69" s="211">
        <f t="shared" si="96"/>
        <v>0</v>
      </c>
      <c r="BG69" s="211">
        <f t="shared" si="96"/>
        <v>0</v>
      </c>
      <c r="BH69" s="211">
        <f t="shared" si="96"/>
        <v>0</v>
      </c>
      <c r="BI69" s="211">
        <f t="shared" si="96"/>
        <v>0</v>
      </c>
      <c r="BJ69" s="211">
        <f t="shared" si="96"/>
        <v>0</v>
      </c>
      <c r="BK69" s="1"/>
      <c r="BL69" s="211">
        <f t="shared" si="97"/>
        <v>0</v>
      </c>
      <c r="BM69" s="211">
        <f t="shared" si="97"/>
        <v>0</v>
      </c>
      <c r="BN69" s="211">
        <f t="shared" si="97"/>
        <v>0</v>
      </c>
      <c r="BO69" s="211">
        <f t="shared" si="97"/>
        <v>0</v>
      </c>
      <c r="BP69" s="211">
        <f t="shared" si="97"/>
        <v>0</v>
      </c>
      <c r="BQ69" s="211">
        <f t="shared" si="97"/>
        <v>0</v>
      </c>
      <c r="BR69" s="211">
        <f t="shared" si="97"/>
        <v>0</v>
      </c>
      <c r="BS69" s="211">
        <f t="shared" si="97"/>
        <v>0</v>
      </c>
      <c r="BT69" s="211">
        <f t="shared" si="97"/>
        <v>0</v>
      </c>
      <c r="BU69" s="211">
        <f t="shared" si="97"/>
        <v>0</v>
      </c>
      <c r="BV69" s="211">
        <f t="shared" si="97"/>
        <v>0</v>
      </c>
      <c r="BW69" s="211">
        <f t="shared" si="97"/>
        <v>0</v>
      </c>
      <c r="BY69" s="12"/>
      <c r="BZ69" s="363">
        <f t="shared" si="51"/>
        <v>0</v>
      </c>
      <c r="CA69" s="12"/>
      <c r="CI69" s="7">
        <f t="shared" si="63"/>
        <v>0</v>
      </c>
      <c r="CJ69" s="7">
        <f t="shared" si="64"/>
        <v>0</v>
      </c>
      <c r="CK69" s="7">
        <f t="shared" si="65"/>
        <v>0</v>
      </c>
      <c r="CL69" s="42"/>
      <c r="CM69" s="352">
        <f t="shared" si="53"/>
        <v>0</v>
      </c>
      <c r="CN69" s="352">
        <f t="shared" si="54"/>
        <v>0</v>
      </c>
      <c r="CO69" s="352">
        <f t="shared" si="55"/>
        <v>0</v>
      </c>
      <c r="CP69" s="352">
        <f t="shared" si="56"/>
        <v>0</v>
      </c>
      <c r="CQ69" s="352">
        <f t="shared" si="57"/>
        <v>0</v>
      </c>
      <c r="CR69" s="352">
        <f t="shared" si="58"/>
        <v>0</v>
      </c>
      <c r="CS69" s="352">
        <f t="shared" si="59"/>
        <v>0</v>
      </c>
      <c r="CT69" s="42"/>
      <c r="CU69" s="67">
        <v>0</v>
      </c>
      <c r="CV69" s="67">
        <v>0</v>
      </c>
      <c r="EX69" s="10" t="str">
        <f t="shared" si="0"/>
        <v/>
      </c>
    </row>
    <row r="70" spans="1:154" s="335" customFormat="1" x14ac:dyDescent="0.25">
      <c r="A70" s="362" cm="1">
        <f t="array" aca="1" ref="A70" ca="1">HYPERLINK(CONCATENATE("#",CELL("address",IF(SUM($CA70:$CL70)=0,A70,INDEX($CA70:$CL70,MATCH(1,$CA70:$CL70,0))))),SUM($CA70:$CL70))</f>
        <v>0</v>
      </c>
      <c r="C70" s="410"/>
      <c r="D70" s="82" t="s">
        <v>399</v>
      </c>
      <c r="E70" s="82" t="str">
        <f>Parameters!$D$41</f>
        <v>Other NCA</v>
      </c>
      <c r="F70" s="25"/>
      <c r="G70" s="25"/>
      <c r="I70" s="116"/>
      <c r="S70" s="1"/>
      <c r="T70" s="25"/>
      <c r="U70" s="25"/>
      <c r="V70" s="211">
        <f t="shared" si="92"/>
        <v>0</v>
      </c>
      <c r="W70" s="211">
        <f t="shared" si="92"/>
        <v>0</v>
      </c>
      <c r="X70" s="211">
        <f t="shared" si="92"/>
        <v>0</v>
      </c>
      <c r="Y70" s="211">
        <f t="shared" si="92"/>
        <v>0</v>
      </c>
      <c r="AA70" s="211">
        <f t="shared" si="93"/>
        <v>0</v>
      </c>
      <c r="AB70" s="211">
        <f t="shared" si="93"/>
        <v>0</v>
      </c>
      <c r="AC70" s="211">
        <f t="shared" si="93"/>
        <v>0</v>
      </c>
      <c r="AD70" s="211">
        <f t="shared" si="93"/>
        <v>0</v>
      </c>
      <c r="AE70" s="211">
        <f t="shared" si="93"/>
        <v>0</v>
      </c>
      <c r="AF70" s="211">
        <f t="shared" si="93"/>
        <v>0</v>
      </c>
      <c r="AG70" s="211">
        <f t="shared" si="93"/>
        <v>0</v>
      </c>
      <c r="AH70" s="211">
        <f t="shared" si="93"/>
        <v>0</v>
      </c>
      <c r="AI70" s="211">
        <f t="shared" si="93"/>
        <v>0</v>
      </c>
      <c r="AJ70" s="211">
        <f t="shared" si="93"/>
        <v>0</v>
      </c>
      <c r="AK70" s="211">
        <f t="shared" si="94"/>
        <v>0</v>
      </c>
      <c r="AL70" s="211">
        <f t="shared" si="94"/>
        <v>0</v>
      </c>
      <c r="AM70" s="211">
        <f t="shared" si="94"/>
        <v>0</v>
      </c>
      <c r="AN70" s="211">
        <f t="shared" si="94"/>
        <v>0</v>
      </c>
      <c r="AO70" s="211">
        <f t="shared" si="94"/>
        <v>0</v>
      </c>
      <c r="AP70" s="211">
        <f t="shared" si="94"/>
        <v>0</v>
      </c>
      <c r="AQ70" s="211">
        <f t="shared" si="94"/>
        <v>0</v>
      </c>
      <c r="AR70" s="211">
        <f t="shared" si="94"/>
        <v>0</v>
      </c>
      <c r="AS70" s="211">
        <f t="shared" si="94"/>
        <v>0</v>
      </c>
      <c r="AT70" s="211">
        <f t="shared" si="94"/>
        <v>0</v>
      </c>
      <c r="AU70" s="211">
        <f t="shared" si="95"/>
        <v>0</v>
      </c>
      <c r="AV70" s="211">
        <f t="shared" si="95"/>
        <v>0</v>
      </c>
      <c r="AW70" s="211">
        <f t="shared" si="95"/>
        <v>0</v>
      </c>
      <c r="AX70" s="211">
        <f t="shared" si="95"/>
        <v>0</v>
      </c>
      <c r="AY70" s="211">
        <f t="shared" si="95"/>
        <v>0</v>
      </c>
      <c r="AZ70" s="211">
        <f t="shared" si="95"/>
        <v>0</v>
      </c>
      <c r="BA70" s="211">
        <f t="shared" si="95"/>
        <v>0</v>
      </c>
      <c r="BB70" s="211">
        <f t="shared" si="95"/>
        <v>0</v>
      </c>
      <c r="BC70" s="211">
        <f t="shared" si="95"/>
        <v>0</v>
      </c>
      <c r="BD70" s="211">
        <f t="shared" si="95"/>
        <v>0</v>
      </c>
      <c r="BE70" s="211">
        <f t="shared" si="96"/>
        <v>0</v>
      </c>
      <c r="BF70" s="211">
        <f t="shared" si="96"/>
        <v>0</v>
      </c>
      <c r="BG70" s="211">
        <f t="shared" si="96"/>
        <v>0</v>
      </c>
      <c r="BH70" s="211">
        <f t="shared" si="96"/>
        <v>0</v>
      </c>
      <c r="BI70" s="211">
        <f t="shared" si="96"/>
        <v>0</v>
      </c>
      <c r="BJ70" s="211">
        <f t="shared" si="96"/>
        <v>0</v>
      </c>
      <c r="BK70" s="1"/>
      <c r="BL70" s="211">
        <f t="shared" si="97"/>
        <v>0</v>
      </c>
      <c r="BM70" s="211">
        <f t="shared" si="97"/>
        <v>0</v>
      </c>
      <c r="BN70" s="211">
        <f t="shared" si="97"/>
        <v>0</v>
      </c>
      <c r="BO70" s="211">
        <f t="shared" si="97"/>
        <v>0</v>
      </c>
      <c r="BP70" s="211">
        <f t="shared" si="97"/>
        <v>0</v>
      </c>
      <c r="BQ70" s="211">
        <f t="shared" si="97"/>
        <v>0</v>
      </c>
      <c r="BR70" s="211">
        <f t="shared" si="97"/>
        <v>0</v>
      </c>
      <c r="BS70" s="211">
        <f t="shared" si="97"/>
        <v>0</v>
      </c>
      <c r="BT70" s="211">
        <f t="shared" si="97"/>
        <v>0</v>
      </c>
      <c r="BU70" s="211">
        <f t="shared" si="97"/>
        <v>0</v>
      </c>
      <c r="BV70" s="211">
        <f t="shared" si="97"/>
        <v>0</v>
      </c>
      <c r="BW70" s="211">
        <f t="shared" si="97"/>
        <v>0</v>
      </c>
      <c r="BY70" s="12"/>
      <c r="BZ70" s="363">
        <f t="shared" si="51"/>
        <v>0</v>
      </c>
      <c r="CA70" s="12"/>
      <c r="CI70" s="7">
        <f t="shared" si="63"/>
        <v>0</v>
      </c>
      <c r="CJ70" s="7">
        <f t="shared" si="64"/>
        <v>0</v>
      </c>
      <c r="CK70" s="7">
        <f t="shared" si="65"/>
        <v>0</v>
      </c>
      <c r="CL70" s="42"/>
      <c r="CM70" s="352">
        <f t="shared" si="53"/>
        <v>0</v>
      </c>
      <c r="CN70" s="352">
        <f t="shared" si="54"/>
        <v>0</v>
      </c>
      <c r="CO70" s="352">
        <f t="shared" si="55"/>
        <v>0</v>
      </c>
      <c r="CP70" s="352">
        <f t="shared" si="56"/>
        <v>0</v>
      </c>
      <c r="CQ70" s="352">
        <f t="shared" si="57"/>
        <v>0</v>
      </c>
      <c r="CR70" s="352">
        <f t="shared" si="58"/>
        <v>0</v>
      </c>
      <c r="CS70" s="352">
        <f t="shared" si="59"/>
        <v>0</v>
      </c>
      <c r="CT70" s="42"/>
      <c r="CU70" s="335">
        <v>0</v>
      </c>
      <c r="CV70" s="335">
        <v>0</v>
      </c>
      <c r="EX70" s="10" t="str">
        <f t="shared" si="0"/>
        <v/>
      </c>
    </row>
    <row r="71" spans="1:154" x14ac:dyDescent="0.25">
      <c r="A71" s="362" cm="1">
        <f t="array" aca="1" ref="A71" ca="1">HYPERLINK(CONCATENATE("#",CELL("address",IF(SUM($CA71:$CL71)=0,A71,INDEX($CA71:$CL71,MATCH(1,$CA71:$CL71,0))))),SUM($CA71:$CL71))</f>
        <v>0</v>
      </c>
      <c r="C71" s="410"/>
      <c r="D71" s="82" t="s">
        <v>387</v>
      </c>
      <c r="E71" s="82" t="s">
        <v>391</v>
      </c>
      <c r="F71" s="25"/>
      <c r="G71" s="25"/>
      <c r="I71" s="116"/>
      <c r="S71" s="1"/>
      <c r="T71" s="25"/>
      <c r="U71" s="25"/>
      <c r="V71" s="13">
        <f>SUM(V68:V70)</f>
        <v>0</v>
      </c>
      <c r="W71" s="13">
        <f t="shared" ref="W71:BW71" si="98">SUM(W68:W70)</f>
        <v>0</v>
      </c>
      <c r="X71" s="13">
        <f t="shared" si="98"/>
        <v>0</v>
      </c>
      <c r="Y71" s="13">
        <f t="shared" si="98"/>
        <v>0</v>
      </c>
      <c r="Z71" s="335"/>
      <c r="AA71" s="13">
        <f t="shared" si="98"/>
        <v>0</v>
      </c>
      <c r="AB71" s="13">
        <f t="shared" si="98"/>
        <v>0</v>
      </c>
      <c r="AC71" s="13">
        <f t="shared" si="98"/>
        <v>0</v>
      </c>
      <c r="AD71" s="13">
        <f t="shared" si="98"/>
        <v>0</v>
      </c>
      <c r="AE71" s="13">
        <f t="shared" si="98"/>
        <v>0</v>
      </c>
      <c r="AF71" s="13">
        <f t="shared" si="98"/>
        <v>0</v>
      </c>
      <c r="AG71" s="13">
        <f t="shared" si="98"/>
        <v>0</v>
      </c>
      <c r="AH71" s="13">
        <f t="shared" si="98"/>
        <v>0</v>
      </c>
      <c r="AI71" s="13">
        <f t="shared" si="98"/>
        <v>0</v>
      </c>
      <c r="AJ71" s="13">
        <f t="shared" si="98"/>
        <v>0</v>
      </c>
      <c r="AK71" s="13">
        <f t="shared" si="98"/>
        <v>0</v>
      </c>
      <c r="AL71" s="13">
        <f t="shared" si="98"/>
        <v>0</v>
      </c>
      <c r="AM71" s="13">
        <f t="shared" si="98"/>
        <v>0</v>
      </c>
      <c r="AN71" s="13">
        <f t="shared" si="98"/>
        <v>0</v>
      </c>
      <c r="AO71" s="13">
        <f t="shared" si="98"/>
        <v>0</v>
      </c>
      <c r="AP71" s="13">
        <f t="shared" si="98"/>
        <v>0</v>
      </c>
      <c r="AQ71" s="13">
        <f t="shared" si="98"/>
        <v>0</v>
      </c>
      <c r="AR71" s="13">
        <f t="shared" si="98"/>
        <v>0</v>
      </c>
      <c r="AS71" s="13">
        <f t="shared" si="98"/>
        <v>0</v>
      </c>
      <c r="AT71" s="13">
        <f t="shared" si="98"/>
        <v>0</v>
      </c>
      <c r="AU71" s="13">
        <f t="shared" si="98"/>
        <v>0</v>
      </c>
      <c r="AV71" s="13">
        <f t="shared" si="98"/>
        <v>0</v>
      </c>
      <c r="AW71" s="13">
        <f t="shared" si="98"/>
        <v>0</v>
      </c>
      <c r="AX71" s="13">
        <f t="shared" si="98"/>
        <v>0</v>
      </c>
      <c r="AY71" s="13">
        <f t="shared" si="98"/>
        <v>0</v>
      </c>
      <c r="AZ71" s="13">
        <f t="shared" si="98"/>
        <v>0</v>
      </c>
      <c r="BA71" s="13">
        <f t="shared" si="98"/>
        <v>0</v>
      </c>
      <c r="BB71" s="13">
        <f t="shared" si="98"/>
        <v>0</v>
      </c>
      <c r="BC71" s="13">
        <f t="shared" si="98"/>
        <v>0</v>
      </c>
      <c r="BD71" s="13">
        <f t="shared" si="98"/>
        <v>0</v>
      </c>
      <c r="BE71" s="13">
        <f t="shared" si="98"/>
        <v>0</v>
      </c>
      <c r="BF71" s="13">
        <f t="shared" si="98"/>
        <v>0</v>
      </c>
      <c r="BG71" s="13">
        <f t="shared" si="98"/>
        <v>0</v>
      </c>
      <c r="BH71" s="13">
        <f t="shared" si="98"/>
        <v>0</v>
      </c>
      <c r="BI71" s="13">
        <f t="shared" si="98"/>
        <v>0</v>
      </c>
      <c r="BJ71" s="13">
        <f t="shared" si="98"/>
        <v>0</v>
      </c>
      <c r="BK71" s="1"/>
      <c r="BL71" s="13">
        <f t="shared" si="98"/>
        <v>0</v>
      </c>
      <c r="BM71" s="13">
        <f t="shared" si="98"/>
        <v>0</v>
      </c>
      <c r="BN71" s="13">
        <f t="shared" si="98"/>
        <v>0</v>
      </c>
      <c r="BO71" s="13">
        <f t="shared" si="98"/>
        <v>0</v>
      </c>
      <c r="BP71" s="13">
        <f t="shared" si="98"/>
        <v>0</v>
      </c>
      <c r="BQ71" s="13">
        <f t="shared" si="98"/>
        <v>0</v>
      </c>
      <c r="BR71" s="13">
        <f t="shared" si="98"/>
        <v>0</v>
      </c>
      <c r="BS71" s="13">
        <f t="shared" si="98"/>
        <v>0</v>
      </c>
      <c r="BT71" s="13">
        <f t="shared" si="98"/>
        <v>0</v>
      </c>
      <c r="BU71" s="13">
        <f t="shared" si="98"/>
        <v>0</v>
      </c>
      <c r="BV71" s="13">
        <f t="shared" si="98"/>
        <v>0</v>
      </c>
      <c r="BW71" s="13">
        <f t="shared" si="98"/>
        <v>0</v>
      </c>
      <c r="BY71" s="12"/>
      <c r="BZ71" s="363">
        <f t="shared" si="51"/>
        <v>0</v>
      </c>
      <c r="CA71" s="12"/>
      <c r="CH71" s="7">
        <f>IF(ROUND(SUM($V71:$BW71)-SUM($V53:$BW67), rounding)=0, 0, 1)</f>
        <v>0</v>
      </c>
      <c r="CI71" s="7">
        <f t="shared" si="63"/>
        <v>0</v>
      </c>
      <c r="CJ71" s="7">
        <f t="shared" si="64"/>
        <v>0</v>
      </c>
      <c r="CK71" s="7">
        <f t="shared" si="65"/>
        <v>0</v>
      </c>
      <c r="CL71" s="42"/>
      <c r="CM71" s="352">
        <f t="shared" si="53"/>
        <v>0</v>
      </c>
      <c r="CN71" s="352">
        <f t="shared" si="54"/>
        <v>0</v>
      </c>
      <c r="CO71" s="352">
        <f t="shared" si="55"/>
        <v>0</v>
      </c>
      <c r="CP71" s="352">
        <f t="shared" si="56"/>
        <v>0</v>
      </c>
      <c r="CQ71" s="352">
        <f t="shared" si="57"/>
        <v>0</v>
      </c>
      <c r="CR71" s="352">
        <f t="shared" si="58"/>
        <v>0</v>
      </c>
      <c r="CS71" s="352">
        <f t="shared" si="59"/>
        <v>0</v>
      </c>
      <c r="CT71" s="42"/>
      <c r="CU71" s="67">
        <v>0</v>
      </c>
      <c r="CV71" s="67">
        <v>0</v>
      </c>
      <c r="EX71" s="10" t="str">
        <f t="shared" si="0"/>
        <v/>
      </c>
    </row>
    <row r="72" spans="1:154" ht="6.6" customHeight="1" x14ac:dyDescent="0.25">
      <c r="C72" s="410"/>
      <c r="D72" s="35"/>
      <c r="E72" s="25"/>
      <c r="F72" s="25"/>
      <c r="G72" s="25"/>
      <c r="T72" s="25"/>
      <c r="U72" s="25"/>
      <c r="V72" s="25"/>
      <c r="W72" s="25"/>
      <c r="X72" s="25"/>
      <c r="Y72" s="25"/>
      <c r="Z72" s="33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L72" s="25"/>
      <c r="BM72" s="155"/>
      <c r="BN72" s="25"/>
      <c r="BO72" s="25"/>
      <c r="BP72" s="25"/>
      <c r="BQ72" s="25"/>
      <c r="BR72" s="25"/>
      <c r="BS72" s="25"/>
      <c r="BT72" s="25"/>
      <c r="BU72" s="25"/>
      <c r="BV72" s="25"/>
      <c r="BW72" s="25"/>
      <c r="BY72" s="42"/>
      <c r="CA72" s="42"/>
      <c r="CL72" s="42"/>
      <c r="CT72" s="42"/>
      <c r="CU72" s="67">
        <v>0</v>
      </c>
      <c r="CV72" s="67">
        <v>0</v>
      </c>
      <c r="EX72" s="10" t="str">
        <f t="shared" si="0"/>
        <v/>
      </c>
    </row>
    <row r="73" spans="1:154" x14ac:dyDescent="0.25">
      <c r="A73" s="108"/>
      <c r="B73" s="108"/>
      <c r="C73" s="411"/>
      <c r="D73" s="377" t="s">
        <v>1115</v>
      </c>
      <c r="E73" s="148"/>
      <c r="F73" s="148"/>
      <c r="G73" s="148"/>
      <c r="H73" s="40"/>
      <c r="I73" s="40"/>
      <c r="J73" s="40"/>
      <c r="K73" s="40"/>
      <c r="L73" s="40"/>
      <c r="M73" s="40"/>
      <c r="N73" s="40"/>
      <c r="O73" s="40"/>
      <c r="P73" s="40"/>
      <c r="Q73" s="40"/>
      <c r="R73" s="40"/>
      <c r="S73" s="40"/>
      <c r="T73" s="148"/>
      <c r="U73" s="148"/>
      <c r="V73" s="148"/>
      <c r="W73" s="148"/>
      <c r="X73" s="148"/>
      <c r="Y73" s="148"/>
      <c r="Z73" s="335"/>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40"/>
      <c r="BL73" s="148"/>
      <c r="BM73" s="148"/>
      <c r="BN73" s="148"/>
      <c r="BO73" s="148"/>
      <c r="BP73" s="148"/>
      <c r="BQ73" s="148"/>
      <c r="BR73" s="148"/>
      <c r="BS73" s="148"/>
      <c r="BT73" s="148"/>
      <c r="BU73" s="148"/>
      <c r="BV73" s="148"/>
      <c r="BW73" s="148"/>
      <c r="BX73" s="40"/>
      <c r="BY73" s="42"/>
      <c r="CA73" s="42"/>
      <c r="CL73" s="42"/>
      <c r="CM73" s="352"/>
      <c r="CN73" s="352"/>
      <c r="CO73" s="352"/>
      <c r="CP73" s="352"/>
      <c r="CQ73" s="352"/>
      <c r="CR73" s="352"/>
      <c r="CS73" s="352"/>
      <c r="CT73" s="42"/>
      <c r="CU73" s="67">
        <v>0</v>
      </c>
      <c r="CV73" s="67">
        <v>0</v>
      </c>
      <c r="EX73" s="10" t="str">
        <f t="shared" ref="EX73:EX129" si="99">IF($C73="","",$D73)</f>
        <v/>
      </c>
    </row>
    <row r="74" spans="1:154" ht="6.6" customHeight="1" x14ac:dyDescent="0.25">
      <c r="C74" s="410"/>
      <c r="D74" s="35"/>
      <c r="E74" s="25"/>
      <c r="F74" s="25"/>
      <c r="G74" s="25"/>
      <c r="T74" s="25"/>
      <c r="U74" s="25"/>
      <c r="V74" s="25"/>
      <c r="W74" s="25"/>
      <c r="X74" s="25"/>
      <c r="Y74" s="25"/>
      <c r="Z74" s="33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L74" s="25"/>
      <c r="BM74" s="155"/>
      <c r="BN74" s="25"/>
      <c r="BO74" s="25"/>
      <c r="BP74" s="25"/>
      <c r="BQ74" s="25"/>
      <c r="BR74" s="25"/>
      <c r="BS74" s="25"/>
      <c r="BT74" s="25"/>
      <c r="BU74" s="25"/>
      <c r="BV74" s="25"/>
      <c r="BW74" s="25"/>
      <c r="BY74" s="42"/>
      <c r="CA74" s="42"/>
      <c r="CL74" s="42"/>
      <c r="CM74" s="352"/>
      <c r="CN74" s="352"/>
      <c r="CO74" s="352"/>
      <c r="CP74" s="352"/>
      <c r="CQ74" s="352"/>
      <c r="CR74" s="352"/>
      <c r="CS74" s="352"/>
      <c r="CT74" s="42"/>
      <c r="CU74" s="67">
        <v>0</v>
      </c>
      <c r="CV74" s="67">
        <v>0</v>
      </c>
      <c r="EX74" s="10" t="str">
        <f t="shared" si="99"/>
        <v/>
      </c>
    </row>
    <row r="75" spans="1:154" ht="15.75" x14ac:dyDescent="0.3">
      <c r="C75" s="410"/>
      <c r="D75" s="25"/>
      <c r="E75" s="149" t="s">
        <v>335</v>
      </c>
      <c r="F75" s="479" t="s">
        <v>335</v>
      </c>
      <c r="G75" s="479" t="s">
        <v>335</v>
      </c>
      <c r="T75" s="25"/>
      <c r="U75" s="25"/>
      <c r="V75" s="25"/>
      <c r="W75" s="25"/>
      <c r="X75" s="25"/>
      <c r="Y75" s="25"/>
      <c r="Z75" s="33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L75" s="25"/>
      <c r="BM75" s="25"/>
      <c r="BN75" s="25"/>
      <c r="BO75" s="25"/>
      <c r="BP75" s="25"/>
      <c r="BQ75" s="25"/>
      <c r="BR75" s="25"/>
      <c r="BS75" s="25"/>
      <c r="BT75" s="25"/>
      <c r="BU75" s="25"/>
      <c r="BV75" s="25"/>
      <c r="BW75" s="25"/>
      <c r="BY75" s="12"/>
      <c r="CA75" s="12"/>
      <c r="CL75" s="42"/>
      <c r="CM75" s="352"/>
      <c r="CN75" s="352"/>
      <c r="CO75" s="352"/>
      <c r="CP75" s="352"/>
      <c r="CQ75" s="352"/>
      <c r="CR75" s="352"/>
      <c r="CS75" s="352"/>
      <c r="CT75" s="42"/>
      <c r="CU75" s="67">
        <v>0</v>
      </c>
      <c r="CV75" s="67">
        <v>0</v>
      </c>
      <c r="EX75" s="10" t="str">
        <f t="shared" si="99"/>
        <v/>
      </c>
    </row>
    <row r="76" spans="1:154" s="1" customFormat="1" ht="38.25" x14ac:dyDescent="0.25">
      <c r="C76" s="412"/>
      <c r="D76" s="55" t="s">
        <v>975</v>
      </c>
      <c r="E76" s="56" t="s">
        <v>352</v>
      </c>
      <c r="F76" s="56" t="s">
        <v>367</v>
      </c>
      <c r="G76" s="57" t="s">
        <v>989</v>
      </c>
      <c r="H76" s="67"/>
      <c r="T76" s="35"/>
      <c r="U76" s="35"/>
      <c r="V76" s="35"/>
      <c r="W76" s="35"/>
      <c r="X76" s="35"/>
      <c r="Y76" s="35"/>
      <c r="Z76" s="3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L76" s="35"/>
      <c r="BM76" s="35"/>
      <c r="BN76" s="35"/>
      <c r="BO76" s="35"/>
      <c r="BP76" s="35"/>
      <c r="BQ76" s="35"/>
      <c r="BR76" s="35"/>
      <c r="BS76" s="35"/>
      <c r="BT76" s="35"/>
      <c r="BU76" s="35"/>
      <c r="BV76" s="35"/>
      <c r="BW76" s="35"/>
      <c r="BY76" s="28"/>
      <c r="CA76" s="28"/>
      <c r="CE76" s="335"/>
      <c r="CH76" s="67"/>
      <c r="CI76" s="335"/>
      <c r="CJ76" s="335"/>
      <c r="CK76" s="335"/>
      <c r="CL76" s="54"/>
      <c r="CM76" s="352"/>
      <c r="CN76" s="352"/>
      <c r="CO76" s="352"/>
      <c r="CP76" s="352"/>
      <c r="CQ76" s="352"/>
      <c r="CR76" s="352"/>
      <c r="CS76" s="352"/>
      <c r="CT76" s="54"/>
      <c r="CU76" s="1">
        <v>0</v>
      </c>
      <c r="CV76" s="1">
        <v>0</v>
      </c>
      <c r="EX76" s="10" t="str">
        <f t="shared" si="99"/>
        <v/>
      </c>
    </row>
    <row r="77" spans="1:154" x14ac:dyDescent="0.25">
      <c r="C77" s="410"/>
      <c r="D77" s="374"/>
      <c r="E77" s="375" t="s">
        <v>189</v>
      </c>
      <c r="F77" s="375" t="s">
        <v>118</v>
      </c>
      <c r="G77" s="376" t="s">
        <v>366</v>
      </c>
      <c r="T77" s="25"/>
      <c r="U77" s="25"/>
      <c r="V77" s="25"/>
      <c r="W77" s="25"/>
      <c r="X77" s="25"/>
      <c r="Y77" s="25"/>
      <c r="Z77" s="33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L77" s="25"/>
      <c r="BM77" s="25"/>
      <c r="BN77" s="25"/>
      <c r="BO77" s="25"/>
      <c r="BP77" s="25"/>
      <c r="BQ77" s="25"/>
      <c r="BR77" s="25"/>
      <c r="BS77" s="25"/>
      <c r="BT77" s="25"/>
      <c r="BU77" s="25"/>
      <c r="BV77" s="25"/>
      <c r="BW77" s="25"/>
      <c r="BY77" s="12"/>
      <c r="CA77" s="12"/>
      <c r="CL77" s="42"/>
      <c r="CM77" s="352"/>
      <c r="CN77" s="352"/>
      <c r="CO77" s="352"/>
      <c r="CP77" s="352"/>
      <c r="CQ77" s="352"/>
      <c r="CR77" s="352"/>
      <c r="CS77" s="352"/>
      <c r="CT77" s="42"/>
      <c r="CU77" s="67">
        <v>0</v>
      </c>
      <c r="CV77" s="67">
        <v>0</v>
      </c>
      <c r="EX77" s="10" t="str">
        <f t="shared" si="99"/>
        <v/>
      </c>
    </row>
    <row r="78" spans="1:154" x14ac:dyDescent="0.25">
      <c r="A78" s="362" cm="1">
        <f t="array" aca="1" ref="A78" ca="1">HYPERLINK(CONCATENATE("#",CELL("address",IF(SUM($CA78:$CL78)=0,A78,INDEX($CA78:$CL78,MATCH(1,$CA78:$CL78,0))))),SUM($CA78:$CL78))</f>
        <v>0</v>
      </c>
      <c r="C78" s="521" t="s">
        <v>1100</v>
      </c>
      <c r="D78" s="146"/>
      <c r="E78" s="146"/>
      <c r="F78" s="197"/>
      <c r="G78" s="146"/>
      <c r="H78" s="335" t="s">
        <v>86</v>
      </c>
      <c r="I78" s="9"/>
      <c r="T78" s="25"/>
      <c r="U78" s="25"/>
      <c r="V78" s="13">
        <f>0-IF(AND($F78&gt;=Timeline!$V$8,$F78 &lt;=V$5), $G78, 0)</f>
        <v>0</v>
      </c>
      <c r="W78" s="10">
        <f t="shared" ref="W78:Y92" si="100">IF(AND($F78&gt;V$5,$F78 &lt;=W$5), $G78, 0)</f>
        <v>0</v>
      </c>
      <c r="X78" s="10">
        <f t="shared" si="100"/>
        <v>0</v>
      </c>
      <c r="Y78" s="10">
        <f t="shared" si="100"/>
        <v>0</v>
      </c>
      <c r="Z78" s="335"/>
      <c r="AA78" s="201">
        <f t="shared" ref="AA78:BJ78" si="101">IF(AND($F78&gt;Z$5,$F78 &lt;=AA$5), $G78, 0)</f>
        <v>0</v>
      </c>
      <c r="AB78" s="10">
        <f t="shared" si="101"/>
        <v>0</v>
      </c>
      <c r="AC78" s="10">
        <f t="shared" si="101"/>
        <v>0</v>
      </c>
      <c r="AD78" s="10">
        <f t="shared" si="101"/>
        <v>0</v>
      </c>
      <c r="AE78" s="10">
        <f t="shared" si="101"/>
        <v>0</v>
      </c>
      <c r="AF78" s="10">
        <f t="shared" si="101"/>
        <v>0</v>
      </c>
      <c r="AG78" s="10">
        <f t="shared" si="101"/>
        <v>0</v>
      </c>
      <c r="AH78" s="10">
        <f t="shared" si="101"/>
        <v>0</v>
      </c>
      <c r="AI78" s="10">
        <f t="shared" si="101"/>
        <v>0</v>
      </c>
      <c r="AJ78" s="10">
        <f t="shared" si="101"/>
        <v>0</v>
      </c>
      <c r="AK78" s="10">
        <f t="shared" si="101"/>
        <v>0</v>
      </c>
      <c r="AL78" s="10">
        <f t="shared" si="101"/>
        <v>0</v>
      </c>
      <c r="AM78" s="10">
        <f t="shared" si="101"/>
        <v>0</v>
      </c>
      <c r="AN78" s="10">
        <f t="shared" si="101"/>
        <v>0</v>
      </c>
      <c r="AO78" s="10">
        <f t="shared" si="101"/>
        <v>0</v>
      </c>
      <c r="AP78" s="10">
        <f t="shared" si="101"/>
        <v>0</v>
      </c>
      <c r="AQ78" s="10">
        <f t="shared" si="101"/>
        <v>0</v>
      </c>
      <c r="AR78" s="10">
        <f t="shared" si="101"/>
        <v>0</v>
      </c>
      <c r="AS78" s="10">
        <f t="shared" si="101"/>
        <v>0</v>
      </c>
      <c r="AT78" s="10">
        <f t="shared" si="101"/>
        <v>0</v>
      </c>
      <c r="AU78" s="10">
        <f t="shared" si="101"/>
        <v>0</v>
      </c>
      <c r="AV78" s="10">
        <f t="shared" si="101"/>
        <v>0</v>
      </c>
      <c r="AW78" s="10">
        <f t="shared" si="101"/>
        <v>0</v>
      </c>
      <c r="AX78" s="10">
        <f t="shared" si="101"/>
        <v>0</v>
      </c>
      <c r="AY78" s="10">
        <f t="shared" si="101"/>
        <v>0</v>
      </c>
      <c r="AZ78" s="10">
        <f t="shared" si="101"/>
        <v>0</v>
      </c>
      <c r="BA78" s="10">
        <f t="shared" si="101"/>
        <v>0</v>
      </c>
      <c r="BB78" s="10">
        <f t="shared" si="101"/>
        <v>0</v>
      </c>
      <c r="BC78" s="10">
        <f t="shared" si="101"/>
        <v>0</v>
      </c>
      <c r="BD78" s="10">
        <f t="shared" si="101"/>
        <v>0</v>
      </c>
      <c r="BE78" s="10">
        <f t="shared" si="101"/>
        <v>0</v>
      </c>
      <c r="BF78" s="10">
        <f t="shared" si="101"/>
        <v>0</v>
      </c>
      <c r="BG78" s="10">
        <f t="shared" si="101"/>
        <v>0</v>
      </c>
      <c r="BH78" s="10">
        <f t="shared" si="101"/>
        <v>0</v>
      </c>
      <c r="BI78" s="10">
        <f t="shared" si="101"/>
        <v>0</v>
      </c>
      <c r="BJ78" s="10">
        <f t="shared" si="101"/>
        <v>0</v>
      </c>
      <c r="BL78" s="13">
        <f t="shared" ref="BL78:BL92" si="102">V78</f>
        <v>0</v>
      </c>
      <c r="BM78" s="10">
        <f t="shared" ref="BM78:BW78" si="103">IF(AND($F78&gt;BL$5,$F78 &lt;=BM$5), $G78, 0)</f>
        <v>0</v>
      </c>
      <c r="BN78" s="10">
        <f t="shared" si="103"/>
        <v>0</v>
      </c>
      <c r="BO78" s="10">
        <f t="shared" si="103"/>
        <v>0</v>
      </c>
      <c r="BP78" s="10">
        <f t="shared" si="103"/>
        <v>0</v>
      </c>
      <c r="BQ78" s="10">
        <f t="shared" si="103"/>
        <v>0</v>
      </c>
      <c r="BR78" s="10">
        <f t="shared" si="103"/>
        <v>0</v>
      </c>
      <c r="BS78" s="10">
        <f t="shared" si="103"/>
        <v>0</v>
      </c>
      <c r="BT78" s="10">
        <f t="shared" si="103"/>
        <v>0</v>
      </c>
      <c r="BU78" s="10">
        <f t="shared" si="103"/>
        <v>0</v>
      </c>
      <c r="BV78" s="10">
        <f t="shared" si="103"/>
        <v>0</v>
      </c>
      <c r="BW78" s="10">
        <f t="shared" si="103"/>
        <v>0</v>
      </c>
      <c r="BY78" s="12"/>
      <c r="CA78" s="12"/>
      <c r="CB78" s="7">
        <f t="shared" ref="CB78:CB92" si="104">IF(AND(E78="", ABS(G78)&gt;0), 1,0)</f>
        <v>0</v>
      </c>
      <c r="CC78" s="7">
        <f>IF(AND(G78&lt;&gt;0, _xlfn.IFNA(MATCH(E78, Parameters!$D$45:$D$48, 0), "N/A")="N/A"), 1, 0)</f>
        <v>0</v>
      </c>
      <c r="CE78" s="7">
        <f>IF($F78="", 0, IF(AND($F78&lt;=$BW$5, $F78&gt;=Timeline!$V$8), 0, 1))</f>
        <v>0</v>
      </c>
      <c r="CI78" s="7">
        <f>IF(SUM($CM78:$CO78)=0, 0, 1)</f>
        <v>0</v>
      </c>
      <c r="CJ78" s="7">
        <f>IF(SUM($CP78:$CR78)=0, 0, 1)</f>
        <v>0</v>
      </c>
      <c r="CK78" s="7">
        <f>IF($CS78=0, 0, 1)</f>
        <v>0</v>
      </c>
      <c r="CL78" s="42"/>
      <c r="CM78" s="352">
        <f t="shared" ref="CM78:CM97" si="105">ROUND(W78-SUMIFS($AA78:$BJ78, $AA$3:$BJ$3, W$3), rounding)</f>
        <v>0</v>
      </c>
      <c r="CN78" s="352">
        <f t="shared" ref="CN78:CN97" si="106">ROUND(X78-SUMIFS($AA78:$BJ78, $AA$3:$BJ$3, X$3), rounding)</f>
        <v>0</v>
      </c>
      <c r="CO78" s="352">
        <f t="shared" ref="CO78:CO97" si="107">ROUND(Y78-SUMIFS($AA78:$BJ78, $AA$3:$BJ$3, Y$3), rounding)</f>
        <v>0</v>
      </c>
      <c r="CP78" s="352">
        <f t="shared" ref="CP78:CP97" si="108">ROUND($BM78-SUMIFS($AA78:$BJ78, $AA$3:$BJ$3, $BM$3), rounding)</f>
        <v>0</v>
      </c>
      <c r="CQ78" s="352">
        <f t="shared" ref="CQ78:CQ97" si="109">ROUND($BN78-SUMIFS($AA78:$BJ78, $AA$3:$BJ$3, $BN$3), rounding)</f>
        <v>0</v>
      </c>
      <c r="CR78" s="352">
        <f t="shared" ref="CR78:CR97" si="110">ROUND($BO78-SUMIFS($AA78:$BJ78, $AA$3:$BJ$3, $BO$3), rounding)</f>
        <v>0</v>
      </c>
      <c r="CS78" s="352">
        <f t="shared" ref="CS78:CS97" si="111">ROUND($V78-$BL78, rounding)</f>
        <v>0</v>
      </c>
      <c r="CT78" s="42"/>
      <c r="CU78" s="67">
        <v>0</v>
      </c>
      <c r="CV78" s="67">
        <v>0</v>
      </c>
      <c r="EX78" s="13" t="str">
        <f t="shared" ref="EX78:EX92" si="112">IF($C78="","",CONCATENATE(D$73, " ",$C78))</f>
        <v>Surplus/Loss on Revaluation/ Fair Value Adjustment RV1</v>
      </c>
    </row>
    <row r="79" spans="1:154" x14ac:dyDescent="0.25">
      <c r="A79" s="362" cm="1">
        <f t="array" aca="1" ref="A79" ca="1">HYPERLINK(CONCATENATE("#",CELL("address",IF(SUM($CA79:$CL79)=0,A79,INDEX($CA79:$CL79,MATCH(1,$CA79:$CL79,0))))),SUM($CA79:$CL79))</f>
        <v>0</v>
      </c>
      <c r="C79" s="521" t="s">
        <v>1101</v>
      </c>
      <c r="D79" s="142"/>
      <c r="E79" s="146"/>
      <c r="F79" s="143"/>
      <c r="G79" s="142"/>
      <c r="H79" s="335" t="s">
        <v>86</v>
      </c>
      <c r="I79" s="9"/>
      <c r="T79" s="25"/>
      <c r="U79" s="25"/>
      <c r="V79" s="13">
        <f>0-IF(AND($F79&gt;=Timeline!$V$8,$F79 &lt;=V$5), $G79, 0)</f>
        <v>0</v>
      </c>
      <c r="W79" s="10">
        <f t="shared" si="100"/>
        <v>0</v>
      </c>
      <c r="X79" s="10">
        <f t="shared" si="100"/>
        <v>0</v>
      </c>
      <c r="Y79" s="10">
        <f t="shared" si="100"/>
        <v>0</v>
      </c>
      <c r="Z79" s="335"/>
      <c r="AA79" s="10">
        <f t="shared" ref="AA79:BJ79" si="113">IF(AND($F79&gt;Z$5,$F79 &lt;=AA$5), $G79, 0)</f>
        <v>0</v>
      </c>
      <c r="AB79" s="10">
        <f t="shared" si="113"/>
        <v>0</v>
      </c>
      <c r="AC79" s="10">
        <f t="shared" si="113"/>
        <v>0</v>
      </c>
      <c r="AD79" s="10">
        <f t="shared" si="113"/>
        <v>0</v>
      </c>
      <c r="AE79" s="10">
        <f t="shared" si="113"/>
        <v>0</v>
      </c>
      <c r="AF79" s="10">
        <f t="shared" si="113"/>
        <v>0</v>
      </c>
      <c r="AG79" s="10">
        <f t="shared" si="113"/>
        <v>0</v>
      </c>
      <c r="AH79" s="10">
        <f t="shared" si="113"/>
        <v>0</v>
      </c>
      <c r="AI79" s="10">
        <f t="shared" si="113"/>
        <v>0</v>
      </c>
      <c r="AJ79" s="10">
        <f t="shared" si="113"/>
        <v>0</v>
      </c>
      <c r="AK79" s="10">
        <f t="shared" si="113"/>
        <v>0</v>
      </c>
      <c r="AL79" s="10">
        <f t="shared" si="113"/>
        <v>0</v>
      </c>
      <c r="AM79" s="10">
        <f t="shared" si="113"/>
        <v>0</v>
      </c>
      <c r="AN79" s="10">
        <f t="shared" si="113"/>
        <v>0</v>
      </c>
      <c r="AO79" s="10">
        <f t="shared" si="113"/>
        <v>0</v>
      </c>
      <c r="AP79" s="10">
        <f t="shared" si="113"/>
        <v>0</v>
      </c>
      <c r="AQ79" s="10">
        <f t="shared" si="113"/>
        <v>0</v>
      </c>
      <c r="AR79" s="10">
        <f t="shared" si="113"/>
        <v>0</v>
      </c>
      <c r="AS79" s="10">
        <f t="shared" si="113"/>
        <v>0</v>
      </c>
      <c r="AT79" s="10">
        <f t="shared" si="113"/>
        <v>0</v>
      </c>
      <c r="AU79" s="10">
        <f t="shared" si="113"/>
        <v>0</v>
      </c>
      <c r="AV79" s="10">
        <f t="shared" si="113"/>
        <v>0</v>
      </c>
      <c r="AW79" s="10">
        <f t="shared" si="113"/>
        <v>0</v>
      </c>
      <c r="AX79" s="10">
        <f t="shared" si="113"/>
        <v>0</v>
      </c>
      <c r="AY79" s="10">
        <f t="shared" si="113"/>
        <v>0</v>
      </c>
      <c r="AZ79" s="10">
        <f t="shared" si="113"/>
        <v>0</v>
      </c>
      <c r="BA79" s="10">
        <f t="shared" si="113"/>
        <v>0</v>
      </c>
      <c r="BB79" s="10">
        <f t="shared" si="113"/>
        <v>0</v>
      </c>
      <c r="BC79" s="10">
        <f t="shared" si="113"/>
        <v>0</v>
      </c>
      <c r="BD79" s="10">
        <f t="shared" si="113"/>
        <v>0</v>
      </c>
      <c r="BE79" s="10">
        <f t="shared" si="113"/>
        <v>0</v>
      </c>
      <c r="BF79" s="10">
        <f t="shared" si="113"/>
        <v>0</v>
      </c>
      <c r="BG79" s="10">
        <f t="shared" si="113"/>
        <v>0</v>
      </c>
      <c r="BH79" s="10">
        <f t="shared" si="113"/>
        <v>0</v>
      </c>
      <c r="BI79" s="10">
        <f t="shared" si="113"/>
        <v>0</v>
      </c>
      <c r="BJ79" s="10">
        <f t="shared" si="113"/>
        <v>0</v>
      </c>
      <c r="BL79" s="13">
        <f t="shared" si="102"/>
        <v>0</v>
      </c>
      <c r="BM79" s="10">
        <f t="shared" ref="BM79:BW79" si="114">IF(AND($F79&gt;BL$5,$F79 &lt;=BM$5), $G79, 0)</f>
        <v>0</v>
      </c>
      <c r="BN79" s="10">
        <f t="shared" si="114"/>
        <v>0</v>
      </c>
      <c r="BO79" s="10">
        <f t="shared" si="114"/>
        <v>0</v>
      </c>
      <c r="BP79" s="10">
        <f t="shared" si="114"/>
        <v>0</v>
      </c>
      <c r="BQ79" s="10">
        <f t="shared" si="114"/>
        <v>0</v>
      </c>
      <c r="BR79" s="10">
        <f t="shared" si="114"/>
        <v>0</v>
      </c>
      <c r="BS79" s="10">
        <f t="shared" si="114"/>
        <v>0</v>
      </c>
      <c r="BT79" s="10">
        <f t="shared" si="114"/>
        <v>0</v>
      </c>
      <c r="BU79" s="10">
        <f t="shared" si="114"/>
        <v>0</v>
      </c>
      <c r="BV79" s="10">
        <f t="shared" si="114"/>
        <v>0</v>
      </c>
      <c r="BW79" s="10">
        <f t="shared" si="114"/>
        <v>0</v>
      </c>
      <c r="BY79" s="12"/>
      <c r="CA79" s="12"/>
      <c r="CB79" s="7">
        <f t="shared" si="104"/>
        <v>0</v>
      </c>
      <c r="CC79" s="7">
        <f>IF(AND(G79&lt;&gt;0, _xlfn.IFNA(MATCH(E79, Parameters!$D$45:$D$48, 0), "N/A")="N/A"), 1, 0)</f>
        <v>0</v>
      </c>
      <c r="CE79" s="7">
        <f>IF($F79="", 0, IF(AND($F79&lt;=$BW$5, $F79&gt;=Timeline!$V$8), 0, 1))</f>
        <v>0</v>
      </c>
      <c r="CI79" s="7">
        <f t="shared" ref="CI79:CI97" si="115">IF(SUM($CM79:$CO79)=0, 0, 1)</f>
        <v>0</v>
      </c>
      <c r="CJ79" s="7">
        <f t="shared" ref="CJ79:CJ97" si="116">IF(SUM($CP79:$CR79)=0, 0, 1)</f>
        <v>0</v>
      </c>
      <c r="CK79" s="7">
        <f t="shared" ref="CK79:CK97" si="117">IF($CS79=0, 0, 1)</f>
        <v>0</v>
      </c>
      <c r="CL79" s="42"/>
      <c r="CM79" s="352">
        <f t="shared" si="105"/>
        <v>0</v>
      </c>
      <c r="CN79" s="352">
        <f t="shared" si="106"/>
        <v>0</v>
      </c>
      <c r="CO79" s="352">
        <f t="shared" si="107"/>
        <v>0</v>
      </c>
      <c r="CP79" s="352">
        <f t="shared" si="108"/>
        <v>0</v>
      </c>
      <c r="CQ79" s="352">
        <f t="shared" si="109"/>
        <v>0</v>
      </c>
      <c r="CR79" s="352">
        <f t="shared" si="110"/>
        <v>0</v>
      </c>
      <c r="CS79" s="352">
        <f t="shared" si="111"/>
        <v>0</v>
      </c>
      <c r="CT79" s="42"/>
      <c r="CU79" s="67">
        <v>0</v>
      </c>
      <c r="CV79" s="67">
        <v>0</v>
      </c>
      <c r="EX79" s="13" t="str">
        <f t="shared" si="112"/>
        <v>Surplus/Loss on Revaluation/ Fair Value Adjustment RV2</v>
      </c>
    </row>
    <row r="80" spans="1:154" x14ac:dyDescent="0.25">
      <c r="A80" s="362" cm="1">
        <f t="array" aca="1" ref="A80" ca="1">HYPERLINK(CONCATENATE("#",CELL("address",IF(SUM($CA80:$CL80)=0,A80,INDEX($CA80:$CL80,MATCH(1,$CA80:$CL80,0))))),SUM($CA80:$CL80))</f>
        <v>0</v>
      </c>
      <c r="C80" s="521" t="s">
        <v>1102</v>
      </c>
      <c r="D80" s="142"/>
      <c r="E80" s="146"/>
      <c r="F80" s="143"/>
      <c r="G80" s="142"/>
      <c r="H80" s="335" t="s">
        <v>86</v>
      </c>
      <c r="I80" s="9"/>
      <c r="T80" s="25"/>
      <c r="U80" s="25"/>
      <c r="V80" s="13">
        <f>0-IF(AND($F80&gt;=Timeline!$V$8,$F80 &lt;=V$5), $G80, 0)</f>
        <v>0</v>
      </c>
      <c r="W80" s="10">
        <f t="shared" si="100"/>
        <v>0</v>
      </c>
      <c r="X80" s="10">
        <f t="shared" si="100"/>
        <v>0</v>
      </c>
      <c r="Y80" s="10">
        <f t="shared" si="100"/>
        <v>0</v>
      </c>
      <c r="Z80" s="335"/>
      <c r="AA80" s="10">
        <f t="shared" ref="AA80:BJ80" si="118">IF(AND($F80&gt;Z$5,$F80 &lt;=AA$5), $G80, 0)</f>
        <v>0</v>
      </c>
      <c r="AB80" s="10">
        <f t="shared" si="118"/>
        <v>0</v>
      </c>
      <c r="AC80" s="10">
        <f t="shared" si="118"/>
        <v>0</v>
      </c>
      <c r="AD80" s="10">
        <f t="shared" si="118"/>
        <v>0</v>
      </c>
      <c r="AE80" s="10">
        <f t="shared" si="118"/>
        <v>0</v>
      </c>
      <c r="AF80" s="10">
        <f t="shared" si="118"/>
        <v>0</v>
      </c>
      <c r="AG80" s="10">
        <f t="shared" si="118"/>
        <v>0</v>
      </c>
      <c r="AH80" s="10">
        <f t="shared" si="118"/>
        <v>0</v>
      </c>
      <c r="AI80" s="10">
        <f t="shared" si="118"/>
        <v>0</v>
      </c>
      <c r="AJ80" s="10">
        <f t="shared" si="118"/>
        <v>0</v>
      </c>
      <c r="AK80" s="10">
        <f t="shared" si="118"/>
        <v>0</v>
      </c>
      <c r="AL80" s="10">
        <f t="shared" si="118"/>
        <v>0</v>
      </c>
      <c r="AM80" s="10">
        <f t="shared" si="118"/>
        <v>0</v>
      </c>
      <c r="AN80" s="10">
        <f t="shared" si="118"/>
        <v>0</v>
      </c>
      <c r="AO80" s="10">
        <f t="shared" si="118"/>
        <v>0</v>
      </c>
      <c r="AP80" s="10">
        <f t="shared" si="118"/>
        <v>0</v>
      </c>
      <c r="AQ80" s="10">
        <f t="shared" si="118"/>
        <v>0</v>
      </c>
      <c r="AR80" s="10">
        <f t="shared" si="118"/>
        <v>0</v>
      </c>
      <c r="AS80" s="10">
        <f t="shared" si="118"/>
        <v>0</v>
      </c>
      <c r="AT80" s="10">
        <f t="shared" si="118"/>
        <v>0</v>
      </c>
      <c r="AU80" s="10">
        <f t="shared" si="118"/>
        <v>0</v>
      </c>
      <c r="AV80" s="10">
        <f t="shared" si="118"/>
        <v>0</v>
      </c>
      <c r="AW80" s="10">
        <f t="shared" si="118"/>
        <v>0</v>
      </c>
      <c r="AX80" s="10">
        <f t="shared" si="118"/>
        <v>0</v>
      </c>
      <c r="AY80" s="10">
        <f t="shared" si="118"/>
        <v>0</v>
      </c>
      <c r="AZ80" s="10">
        <f t="shared" si="118"/>
        <v>0</v>
      </c>
      <c r="BA80" s="10">
        <f t="shared" si="118"/>
        <v>0</v>
      </c>
      <c r="BB80" s="10">
        <f t="shared" si="118"/>
        <v>0</v>
      </c>
      <c r="BC80" s="10">
        <f t="shared" si="118"/>
        <v>0</v>
      </c>
      <c r="BD80" s="10">
        <f t="shared" si="118"/>
        <v>0</v>
      </c>
      <c r="BE80" s="10">
        <f t="shared" si="118"/>
        <v>0</v>
      </c>
      <c r="BF80" s="10">
        <f t="shared" si="118"/>
        <v>0</v>
      </c>
      <c r="BG80" s="10">
        <f t="shared" si="118"/>
        <v>0</v>
      </c>
      <c r="BH80" s="10">
        <f t="shared" si="118"/>
        <v>0</v>
      </c>
      <c r="BI80" s="10">
        <f t="shared" si="118"/>
        <v>0</v>
      </c>
      <c r="BJ80" s="10">
        <f t="shared" si="118"/>
        <v>0</v>
      </c>
      <c r="BL80" s="13">
        <f t="shared" si="102"/>
        <v>0</v>
      </c>
      <c r="BM80" s="10">
        <f t="shared" ref="BM80:BW80" si="119">IF(AND($F80&gt;BL$5,$F80 &lt;=BM$5), $G80, 0)</f>
        <v>0</v>
      </c>
      <c r="BN80" s="10">
        <f t="shared" si="119"/>
        <v>0</v>
      </c>
      <c r="BO80" s="10">
        <f t="shared" si="119"/>
        <v>0</v>
      </c>
      <c r="BP80" s="10">
        <f t="shared" si="119"/>
        <v>0</v>
      </c>
      <c r="BQ80" s="10">
        <f t="shared" si="119"/>
        <v>0</v>
      </c>
      <c r="BR80" s="10">
        <f t="shared" si="119"/>
        <v>0</v>
      </c>
      <c r="BS80" s="10">
        <f t="shared" si="119"/>
        <v>0</v>
      </c>
      <c r="BT80" s="10">
        <f t="shared" si="119"/>
        <v>0</v>
      </c>
      <c r="BU80" s="10">
        <f t="shared" si="119"/>
        <v>0</v>
      </c>
      <c r="BV80" s="10">
        <f t="shared" si="119"/>
        <v>0</v>
      </c>
      <c r="BW80" s="10">
        <f t="shared" si="119"/>
        <v>0</v>
      </c>
      <c r="BY80" s="12"/>
      <c r="CA80" s="12"/>
      <c r="CB80" s="7">
        <f t="shared" si="104"/>
        <v>0</v>
      </c>
      <c r="CC80" s="7">
        <f>IF(AND(G80&lt;&gt;0, _xlfn.IFNA(MATCH(E80, Parameters!$D$45:$D$48, 0), "N/A")="N/A"), 1, 0)</f>
        <v>0</v>
      </c>
      <c r="CE80" s="7">
        <f>IF($F80="", 0, IF(AND($F80&lt;=$BW$5, $F80&gt;=Timeline!$V$8), 0, 1))</f>
        <v>0</v>
      </c>
      <c r="CI80" s="7">
        <f t="shared" si="115"/>
        <v>0</v>
      </c>
      <c r="CJ80" s="7">
        <f t="shared" si="116"/>
        <v>0</v>
      </c>
      <c r="CK80" s="7">
        <f t="shared" si="117"/>
        <v>0</v>
      </c>
      <c r="CL80" s="196"/>
      <c r="CM80" s="352">
        <f t="shared" si="105"/>
        <v>0</v>
      </c>
      <c r="CN80" s="352">
        <f t="shared" si="106"/>
        <v>0</v>
      </c>
      <c r="CO80" s="352">
        <f t="shared" si="107"/>
        <v>0</v>
      </c>
      <c r="CP80" s="352">
        <f t="shared" si="108"/>
        <v>0</v>
      </c>
      <c r="CQ80" s="352">
        <f t="shared" si="109"/>
        <v>0</v>
      </c>
      <c r="CR80" s="352">
        <f t="shared" si="110"/>
        <v>0</v>
      </c>
      <c r="CS80" s="352">
        <f t="shared" si="111"/>
        <v>0</v>
      </c>
      <c r="CT80" s="42"/>
      <c r="CU80" s="67">
        <v>0</v>
      </c>
      <c r="CV80" s="67">
        <v>0</v>
      </c>
      <c r="EX80" s="13" t="str">
        <f t="shared" si="112"/>
        <v>Surplus/Loss on Revaluation/ Fair Value Adjustment RV3</v>
      </c>
    </row>
    <row r="81" spans="1:154" x14ac:dyDescent="0.25">
      <c r="A81" s="362" cm="1">
        <f t="array" aca="1" ref="A81" ca="1">HYPERLINK(CONCATENATE("#",CELL("address",IF(SUM($CA81:$CL81)=0,A81,INDEX($CA81:$CL81,MATCH(1,$CA81:$CL81,0))))),SUM($CA81:$CL81))</f>
        <v>0</v>
      </c>
      <c r="C81" s="521" t="s">
        <v>1103</v>
      </c>
      <c r="D81" s="142"/>
      <c r="E81" s="146"/>
      <c r="F81" s="143"/>
      <c r="G81" s="142"/>
      <c r="H81" s="335" t="s">
        <v>86</v>
      </c>
      <c r="I81" s="9"/>
      <c r="T81" s="25"/>
      <c r="U81" s="25"/>
      <c r="V81" s="13">
        <f>0-IF(AND($F81&gt;=Timeline!$V$8,$F81 &lt;=V$5), $G81, 0)</f>
        <v>0</v>
      </c>
      <c r="W81" s="10">
        <f t="shared" si="100"/>
        <v>0</v>
      </c>
      <c r="X81" s="10">
        <f t="shared" si="100"/>
        <v>0</v>
      </c>
      <c r="Y81" s="10">
        <f t="shared" si="100"/>
        <v>0</v>
      </c>
      <c r="Z81" s="335"/>
      <c r="AA81" s="10">
        <f t="shared" ref="AA81:BJ81" si="120">IF(AND($F81&gt;Z$5,$F81 &lt;=AA$5), $G81, 0)</f>
        <v>0</v>
      </c>
      <c r="AB81" s="10">
        <f t="shared" si="120"/>
        <v>0</v>
      </c>
      <c r="AC81" s="10">
        <f t="shared" si="120"/>
        <v>0</v>
      </c>
      <c r="AD81" s="10">
        <f t="shared" si="120"/>
        <v>0</v>
      </c>
      <c r="AE81" s="10">
        <f t="shared" si="120"/>
        <v>0</v>
      </c>
      <c r="AF81" s="10">
        <f t="shared" si="120"/>
        <v>0</v>
      </c>
      <c r="AG81" s="10">
        <f t="shared" si="120"/>
        <v>0</v>
      </c>
      <c r="AH81" s="10">
        <f t="shared" si="120"/>
        <v>0</v>
      </c>
      <c r="AI81" s="10">
        <f t="shared" si="120"/>
        <v>0</v>
      </c>
      <c r="AJ81" s="10">
        <f t="shared" si="120"/>
        <v>0</v>
      </c>
      <c r="AK81" s="10">
        <f t="shared" si="120"/>
        <v>0</v>
      </c>
      <c r="AL81" s="10">
        <f t="shared" si="120"/>
        <v>0</v>
      </c>
      <c r="AM81" s="10">
        <f t="shared" si="120"/>
        <v>0</v>
      </c>
      <c r="AN81" s="10">
        <f t="shared" si="120"/>
        <v>0</v>
      </c>
      <c r="AO81" s="10">
        <f t="shared" si="120"/>
        <v>0</v>
      </c>
      <c r="AP81" s="10">
        <f t="shared" si="120"/>
        <v>0</v>
      </c>
      <c r="AQ81" s="10">
        <f t="shared" si="120"/>
        <v>0</v>
      </c>
      <c r="AR81" s="10">
        <f t="shared" si="120"/>
        <v>0</v>
      </c>
      <c r="AS81" s="10">
        <f t="shared" si="120"/>
        <v>0</v>
      </c>
      <c r="AT81" s="10">
        <f t="shared" si="120"/>
        <v>0</v>
      </c>
      <c r="AU81" s="10">
        <f t="shared" si="120"/>
        <v>0</v>
      </c>
      <c r="AV81" s="10">
        <f t="shared" si="120"/>
        <v>0</v>
      </c>
      <c r="AW81" s="10">
        <f t="shared" si="120"/>
        <v>0</v>
      </c>
      <c r="AX81" s="10">
        <f t="shared" si="120"/>
        <v>0</v>
      </c>
      <c r="AY81" s="10">
        <f t="shared" si="120"/>
        <v>0</v>
      </c>
      <c r="AZ81" s="10">
        <f t="shared" si="120"/>
        <v>0</v>
      </c>
      <c r="BA81" s="10">
        <f t="shared" si="120"/>
        <v>0</v>
      </c>
      <c r="BB81" s="10">
        <f t="shared" si="120"/>
        <v>0</v>
      </c>
      <c r="BC81" s="10">
        <f t="shared" si="120"/>
        <v>0</v>
      </c>
      <c r="BD81" s="10">
        <f t="shared" si="120"/>
        <v>0</v>
      </c>
      <c r="BE81" s="10">
        <f t="shared" si="120"/>
        <v>0</v>
      </c>
      <c r="BF81" s="10">
        <f t="shared" si="120"/>
        <v>0</v>
      </c>
      <c r="BG81" s="10">
        <f t="shared" si="120"/>
        <v>0</v>
      </c>
      <c r="BH81" s="10">
        <f t="shared" si="120"/>
        <v>0</v>
      </c>
      <c r="BI81" s="10">
        <f t="shared" si="120"/>
        <v>0</v>
      </c>
      <c r="BJ81" s="10">
        <f t="shared" si="120"/>
        <v>0</v>
      </c>
      <c r="BL81" s="13">
        <f t="shared" si="102"/>
        <v>0</v>
      </c>
      <c r="BM81" s="10">
        <f t="shared" ref="BM81:BW81" si="121">IF(AND($F81&gt;BL$5,$F81 &lt;=BM$5), $G81, 0)</f>
        <v>0</v>
      </c>
      <c r="BN81" s="10">
        <f t="shared" si="121"/>
        <v>0</v>
      </c>
      <c r="BO81" s="10">
        <f t="shared" si="121"/>
        <v>0</v>
      </c>
      <c r="BP81" s="10">
        <f t="shared" si="121"/>
        <v>0</v>
      </c>
      <c r="BQ81" s="10">
        <f t="shared" si="121"/>
        <v>0</v>
      </c>
      <c r="BR81" s="10">
        <f t="shared" si="121"/>
        <v>0</v>
      </c>
      <c r="BS81" s="10">
        <f t="shared" si="121"/>
        <v>0</v>
      </c>
      <c r="BT81" s="10">
        <f t="shared" si="121"/>
        <v>0</v>
      </c>
      <c r="BU81" s="10">
        <f t="shared" si="121"/>
        <v>0</v>
      </c>
      <c r="BV81" s="10">
        <f t="shared" si="121"/>
        <v>0</v>
      </c>
      <c r="BW81" s="10">
        <f t="shared" si="121"/>
        <v>0</v>
      </c>
      <c r="BY81" s="12"/>
      <c r="CA81" s="12"/>
      <c r="CB81" s="7">
        <f t="shared" si="104"/>
        <v>0</v>
      </c>
      <c r="CC81" s="7">
        <f>IF(AND(G81&lt;&gt;0, _xlfn.IFNA(MATCH(E81, Parameters!$D$45:$D$48, 0), "N/A")="N/A"), 1, 0)</f>
        <v>0</v>
      </c>
      <c r="CE81" s="7">
        <f>IF($F81="", 0, IF(AND($F81&lt;=$BW$5, $F81&gt;=Timeline!$V$8), 0, 1))</f>
        <v>0</v>
      </c>
      <c r="CI81" s="7">
        <f t="shared" si="115"/>
        <v>0</v>
      </c>
      <c r="CJ81" s="7">
        <f t="shared" si="116"/>
        <v>0</v>
      </c>
      <c r="CK81" s="7">
        <f t="shared" si="117"/>
        <v>0</v>
      </c>
      <c r="CL81" s="42"/>
      <c r="CM81" s="352">
        <f t="shared" si="105"/>
        <v>0</v>
      </c>
      <c r="CN81" s="352">
        <f t="shared" si="106"/>
        <v>0</v>
      </c>
      <c r="CO81" s="352">
        <f t="shared" si="107"/>
        <v>0</v>
      </c>
      <c r="CP81" s="352">
        <f t="shared" si="108"/>
        <v>0</v>
      </c>
      <c r="CQ81" s="352">
        <f t="shared" si="109"/>
        <v>0</v>
      </c>
      <c r="CR81" s="352">
        <f t="shared" si="110"/>
        <v>0</v>
      </c>
      <c r="CS81" s="352">
        <f t="shared" si="111"/>
        <v>0</v>
      </c>
      <c r="CT81" s="42"/>
      <c r="CU81" s="67">
        <v>0</v>
      </c>
      <c r="CV81" s="67">
        <v>0</v>
      </c>
      <c r="EX81" s="13" t="str">
        <f t="shared" si="112"/>
        <v>Surplus/Loss on Revaluation/ Fair Value Adjustment RV4</v>
      </c>
    </row>
    <row r="82" spans="1:154" x14ac:dyDescent="0.25">
      <c r="A82" s="362" cm="1">
        <f t="array" aca="1" ref="A82" ca="1">HYPERLINK(CONCATENATE("#",CELL("address",IF(SUM($CA82:$CL82)=0,A82,INDEX($CA82:$CL82,MATCH(1,$CA82:$CL82,0))))),SUM($CA82:$CL82))</f>
        <v>0</v>
      </c>
      <c r="C82" s="521" t="s">
        <v>1104</v>
      </c>
      <c r="D82" s="142"/>
      <c r="E82" s="146"/>
      <c r="F82" s="143"/>
      <c r="G82" s="142"/>
      <c r="H82" s="335" t="s">
        <v>86</v>
      </c>
      <c r="I82" s="9"/>
      <c r="T82" s="25"/>
      <c r="U82" s="25"/>
      <c r="V82" s="13">
        <f>0-IF(AND($F82&gt;=Timeline!$V$8,$F82 &lt;=V$5), $G82, 0)</f>
        <v>0</v>
      </c>
      <c r="W82" s="10">
        <f t="shared" si="100"/>
        <v>0</v>
      </c>
      <c r="X82" s="10">
        <f t="shared" si="100"/>
        <v>0</v>
      </c>
      <c r="Y82" s="10">
        <f t="shared" si="100"/>
        <v>0</v>
      </c>
      <c r="Z82" s="335"/>
      <c r="AA82" s="10">
        <f t="shared" ref="AA82:BJ82" si="122">IF(AND($F82&gt;Z$5,$F82 &lt;=AA$5), $G82, 0)</f>
        <v>0</v>
      </c>
      <c r="AB82" s="10">
        <f t="shared" si="122"/>
        <v>0</v>
      </c>
      <c r="AC82" s="10">
        <f t="shared" si="122"/>
        <v>0</v>
      </c>
      <c r="AD82" s="10">
        <f t="shared" si="122"/>
        <v>0</v>
      </c>
      <c r="AE82" s="10">
        <f t="shared" si="122"/>
        <v>0</v>
      </c>
      <c r="AF82" s="10">
        <f t="shared" si="122"/>
        <v>0</v>
      </c>
      <c r="AG82" s="10">
        <f t="shared" si="122"/>
        <v>0</v>
      </c>
      <c r="AH82" s="10">
        <f t="shared" si="122"/>
        <v>0</v>
      </c>
      <c r="AI82" s="10">
        <f t="shared" si="122"/>
        <v>0</v>
      </c>
      <c r="AJ82" s="10">
        <f t="shared" si="122"/>
        <v>0</v>
      </c>
      <c r="AK82" s="10">
        <f t="shared" si="122"/>
        <v>0</v>
      </c>
      <c r="AL82" s="10">
        <f t="shared" si="122"/>
        <v>0</v>
      </c>
      <c r="AM82" s="10">
        <f t="shared" si="122"/>
        <v>0</v>
      </c>
      <c r="AN82" s="10">
        <f t="shared" si="122"/>
        <v>0</v>
      </c>
      <c r="AO82" s="10">
        <f t="shared" si="122"/>
        <v>0</v>
      </c>
      <c r="AP82" s="10">
        <f t="shared" si="122"/>
        <v>0</v>
      </c>
      <c r="AQ82" s="10">
        <f t="shared" si="122"/>
        <v>0</v>
      </c>
      <c r="AR82" s="10">
        <f t="shared" si="122"/>
        <v>0</v>
      </c>
      <c r="AS82" s="10">
        <f t="shared" si="122"/>
        <v>0</v>
      </c>
      <c r="AT82" s="10">
        <f t="shared" si="122"/>
        <v>0</v>
      </c>
      <c r="AU82" s="10">
        <f t="shared" si="122"/>
        <v>0</v>
      </c>
      <c r="AV82" s="10">
        <f t="shared" si="122"/>
        <v>0</v>
      </c>
      <c r="AW82" s="10">
        <f t="shared" si="122"/>
        <v>0</v>
      </c>
      <c r="AX82" s="10">
        <f t="shared" si="122"/>
        <v>0</v>
      </c>
      <c r="AY82" s="10">
        <f t="shared" si="122"/>
        <v>0</v>
      </c>
      <c r="AZ82" s="10">
        <f t="shared" si="122"/>
        <v>0</v>
      </c>
      <c r="BA82" s="10">
        <f t="shared" si="122"/>
        <v>0</v>
      </c>
      <c r="BB82" s="10">
        <f t="shared" si="122"/>
        <v>0</v>
      </c>
      <c r="BC82" s="10">
        <f t="shared" si="122"/>
        <v>0</v>
      </c>
      <c r="BD82" s="10">
        <f t="shared" si="122"/>
        <v>0</v>
      </c>
      <c r="BE82" s="10">
        <f t="shared" si="122"/>
        <v>0</v>
      </c>
      <c r="BF82" s="10">
        <f t="shared" si="122"/>
        <v>0</v>
      </c>
      <c r="BG82" s="10">
        <f t="shared" si="122"/>
        <v>0</v>
      </c>
      <c r="BH82" s="10">
        <f t="shared" si="122"/>
        <v>0</v>
      </c>
      <c r="BI82" s="10">
        <f t="shared" si="122"/>
        <v>0</v>
      </c>
      <c r="BJ82" s="10">
        <f t="shared" si="122"/>
        <v>0</v>
      </c>
      <c r="BL82" s="13">
        <f t="shared" si="102"/>
        <v>0</v>
      </c>
      <c r="BM82" s="10">
        <f t="shared" ref="BM82:BW82" si="123">IF(AND($F82&gt;BL$5,$F82 &lt;=BM$5), $G82, 0)</f>
        <v>0</v>
      </c>
      <c r="BN82" s="10">
        <f t="shared" si="123"/>
        <v>0</v>
      </c>
      <c r="BO82" s="10">
        <f t="shared" si="123"/>
        <v>0</v>
      </c>
      <c r="BP82" s="10">
        <f t="shared" si="123"/>
        <v>0</v>
      </c>
      <c r="BQ82" s="10">
        <f t="shared" si="123"/>
        <v>0</v>
      </c>
      <c r="BR82" s="10">
        <f t="shared" si="123"/>
        <v>0</v>
      </c>
      <c r="BS82" s="10">
        <f t="shared" si="123"/>
        <v>0</v>
      </c>
      <c r="BT82" s="10">
        <f t="shared" si="123"/>
        <v>0</v>
      </c>
      <c r="BU82" s="10">
        <f t="shared" si="123"/>
        <v>0</v>
      </c>
      <c r="BV82" s="10">
        <f t="shared" si="123"/>
        <v>0</v>
      </c>
      <c r="BW82" s="10">
        <f t="shared" si="123"/>
        <v>0</v>
      </c>
      <c r="BY82" s="12"/>
      <c r="CA82" s="12"/>
      <c r="CB82" s="7">
        <f t="shared" si="104"/>
        <v>0</v>
      </c>
      <c r="CC82" s="7">
        <f>IF(AND(G82&lt;&gt;0, _xlfn.IFNA(MATCH(E82, Parameters!$D$45:$D$48, 0), "N/A")="N/A"), 1, 0)</f>
        <v>0</v>
      </c>
      <c r="CE82" s="7">
        <f>IF($F82="", 0, IF(AND($F82&lt;=$BW$5, $F82&gt;=Timeline!$V$8), 0, 1))</f>
        <v>0</v>
      </c>
      <c r="CI82" s="7">
        <f t="shared" si="115"/>
        <v>0</v>
      </c>
      <c r="CJ82" s="7">
        <f t="shared" si="116"/>
        <v>0</v>
      </c>
      <c r="CK82" s="7">
        <f t="shared" si="117"/>
        <v>0</v>
      </c>
      <c r="CL82" s="42"/>
      <c r="CM82" s="352">
        <f t="shared" si="105"/>
        <v>0</v>
      </c>
      <c r="CN82" s="352">
        <f t="shared" si="106"/>
        <v>0</v>
      </c>
      <c r="CO82" s="352">
        <f t="shared" si="107"/>
        <v>0</v>
      </c>
      <c r="CP82" s="352">
        <f t="shared" si="108"/>
        <v>0</v>
      </c>
      <c r="CQ82" s="352">
        <f t="shared" si="109"/>
        <v>0</v>
      </c>
      <c r="CR82" s="352">
        <f t="shared" si="110"/>
        <v>0</v>
      </c>
      <c r="CS82" s="352">
        <f t="shared" si="111"/>
        <v>0</v>
      </c>
      <c r="CT82" s="42"/>
      <c r="CU82" s="67">
        <v>0</v>
      </c>
      <c r="CV82" s="67">
        <v>0</v>
      </c>
      <c r="EX82" s="13" t="str">
        <f t="shared" si="112"/>
        <v>Surplus/Loss on Revaluation/ Fair Value Adjustment RV5</v>
      </c>
    </row>
    <row r="83" spans="1:154" x14ac:dyDescent="0.25">
      <c r="A83" s="362" cm="1">
        <f t="array" aca="1" ref="A83" ca="1">HYPERLINK(CONCATENATE("#",CELL("address",IF(SUM($CA83:$CL83)=0,A83,INDEX($CA83:$CL83,MATCH(1,$CA83:$CL83,0))))),SUM($CA83:$CL83))</f>
        <v>0</v>
      </c>
      <c r="C83" s="521" t="s">
        <v>1105</v>
      </c>
      <c r="D83" s="147"/>
      <c r="E83" s="146"/>
      <c r="F83" s="150"/>
      <c r="G83" s="147"/>
      <c r="H83" s="335" t="s">
        <v>86</v>
      </c>
      <c r="I83" s="9"/>
      <c r="T83" s="25"/>
      <c r="U83" s="25"/>
      <c r="V83" s="13">
        <f>0-IF(AND($F83&gt;=Timeline!$V$8,$F83 &lt;=V$5), $G83, 0)</f>
        <v>0</v>
      </c>
      <c r="W83" s="10">
        <f t="shared" si="100"/>
        <v>0</v>
      </c>
      <c r="X83" s="10">
        <f t="shared" si="100"/>
        <v>0</v>
      </c>
      <c r="Y83" s="10">
        <f t="shared" si="100"/>
        <v>0</v>
      </c>
      <c r="Z83" s="335"/>
      <c r="AA83" s="10">
        <f t="shared" ref="AA83:BJ83" si="124">IF(AND($F83&gt;Z$5,$F83 &lt;=AA$5), $G83, 0)</f>
        <v>0</v>
      </c>
      <c r="AB83" s="10">
        <f t="shared" si="124"/>
        <v>0</v>
      </c>
      <c r="AC83" s="10">
        <f t="shared" si="124"/>
        <v>0</v>
      </c>
      <c r="AD83" s="10">
        <f t="shared" si="124"/>
        <v>0</v>
      </c>
      <c r="AE83" s="10">
        <f t="shared" si="124"/>
        <v>0</v>
      </c>
      <c r="AF83" s="10">
        <f t="shared" si="124"/>
        <v>0</v>
      </c>
      <c r="AG83" s="10">
        <f t="shared" si="124"/>
        <v>0</v>
      </c>
      <c r="AH83" s="10">
        <f t="shared" si="124"/>
        <v>0</v>
      </c>
      <c r="AI83" s="10">
        <f t="shared" si="124"/>
        <v>0</v>
      </c>
      <c r="AJ83" s="10">
        <f t="shared" si="124"/>
        <v>0</v>
      </c>
      <c r="AK83" s="10">
        <f t="shared" si="124"/>
        <v>0</v>
      </c>
      <c r="AL83" s="10">
        <f t="shared" si="124"/>
        <v>0</v>
      </c>
      <c r="AM83" s="10">
        <f t="shared" si="124"/>
        <v>0</v>
      </c>
      <c r="AN83" s="10">
        <f t="shared" si="124"/>
        <v>0</v>
      </c>
      <c r="AO83" s="10">
        <f t="shared" si="124"/>
        <v>0</v>
      </c>
      <c r="AP83" s="10">
        <f t="shared" si="124"/>
        <v>0</v>
      </c>
      <c r="AQ83" s="10">
        <f t="shared" si="124"/>
        <v>0</v>
      </c>
      <c r="AR83" s="10">
        <f t="shared" si="124"/>
        <v>0</v>
      </c>
      <c r="AS83" s="10">
        <f t="shared" si="124"/>
        <v>0</v>
      </c>
      <c r="AT83" s="10">
        <f t="shared" si="124"/>
        <v>0</v>
      </c>
      <c r="AU83" s="10">
        <f t="shared" si="124"/>
        <v>0</v>
      </c>
      <c r="AV83" s="10">
        <f t="shared" si="124"/>
        <v>0</v>
      </c>
      <c r="AW83" s="10">
        <f t="shared" si="124"/>
        <v>0</v>
      </c>
      <c r="AX83" s="10">
        <f t="shared" si="124"/>
        <v>0</v>
      </c>
      <c r="AY83" s="10">
        <f t="shared" si="124"/>
        <v>0</v>
      </c>
      <c r="AZ83" s="10">
        <f t="shared" si="124"/>
        <v>0</v>
      </c>
      <c r="BA83" s="10">
        <f t="shared" si="124"/>
        <v>0</v>
      </c>
      <c r="BB83" s="10">
        <f t="shared" si="124"/>
        <v>0</v>
      </c>
      <c r="BC83" s="10">
        <f t="shared" si="124"/>
        <v>0</v>
      </c>
      <c r="BD83" s="10">
        <f t="shared" si="124"/>
        <v>0</v>
      </c>
      <c r="BE83" s="10">
        <f t="shared" si="124"/>
        <v>0</v>
      </c>
      <c r="BF83" s="10">
        <f t="shared" si="124"/>
        <v>0</v>
      </c>
      <c r="BG83" s="10">
        <f t="shared" si="124"/>
        <v>0</v>
      </c>
      <c r="BH83" s="10">
        <f t="shared" si="124"/>
        <v>0</v>
      </c>
      <c r="BI83" s="10">
        <f t="shared" si="124"/>
        <v>0</v>
      </c>
      <c r="BJ83" s="10">
        <f t="shared" si="124"/>
        <v>0</v>
      </c>
      <c r="BL83" s="13">
        <f t="shared" si="102"/>
        <v>0</v>
      </c>
      <c r="BM83" s="10">
        <f t="shared" ref="BM83:BW83" si="125">IF(AND($F83&gt;BL$5,$F83 &lt;=BM$5), $G83, 0)</f>
        <v>0</v>
      </c>
      <c r="BN83" s="10">
        <f t="shared" si="125"/>
        <v>0</v>
      </c>
      <c r="BO83" s="10">
        <f t="shared" si="125"/>
        <v>0</v>
      </c>
      <c r="BP83" s="10">
        <f t="shared" si="125"/>
        <v>0</v>
      </c>
      <c r="BQ83" s="10">
        <f t="shared" si="125"/>
        <v>0</v>
      </c>
      <c r="BR83" s="10">
        <f t="shared" si="125"/>
        <v>0</v>
      </c>
      <c r="BS83" s="10">
        <f t="shared" si="125"/>
        <v>0</v>
      </c>
      <c r="BT83" s="10">
        <f t="shared" si="125"/>
        <v>0</v>
      </c>
      <c r="BU83" s="10">
        <f t="shared" si="125"/>
        <v>0</v>
      </c>
      <c r="BV83" s="10">
        <f t="shared" si="125"/>
        <v>0</v>
      </c>
      <c r="BW83" s="10">
        <f t="shared" si="125"/>
        <v>0</v>
      </c>
      <c r="BY83" s="12"/>
      <c r="CA83" s="12"/>
      <c r="CB83" s="7">
        <f t="shared" si="104"/>
        <v>0</v>
      </c>
      <c r="CC83" s="7">
        <f>IF(AND(G83&lt;&gt;0, _xlfn.IFNA(MATCH(E83, Parameters!$D$45:$D$48, 0), "N/A")="N/A"), 1, 0)</f>
        <v>0</v>
      </c>
      <c r="CE83" s="7">
        <f>IF($F83="", 0, IF(AND($F83&lt;=$BW$5, $F83&gt;=Timeline!$V$8), 0, 1))</f>
        <v>0</v>
      </c>
      <c r="CI83" s="7">
        <f t="shared" si="115"/>
        <v>0</v>
      </c>
      <c r="CJ83" s="7">
        <f t="shared" si="116"/>
        <v>0</v>
      </c>
      <c r="CK83" s="7">
        <f t="shared" si="117"/>
        <v>0</v>
      </c>
      <c r="CL83" s="42"/>
      <c r="CM83" s="352">
        <f t="shared" si="105"/>
        <v>0</v>
      </c>
      <c r="CN83" s="352">
        <f t="shared" si="106"/>
        <v>0</v>
      </c>
      <c r="CO83" s="352">
        <f t="shared" si="107"/>
        <v>0</v>
      </c>
      <c r="CP83" s="352">
        <f t="shared" si="108"/>
        <v>0</v>
      </c>
      <c r="CQ83" s="352">
        <f t="shared" si="109"/>
        <v>0</v>
      </c>
      <c r="CR83" s="352">
        <f t="shared" si="110"/>
        <v>0</v>
      </c>
      <c r="CS83" s="352">
        <f t="shared" si="111"/>
        <v>0</v>
      </c>
      <c r="CT83" s="42"/>
      <c r="CU83" s="67">
        <v>0</v>
      </c>
      <c r="CV83" s="67">
        <v>0</v>
      </c>
      <c r="EX83" s="13" t="str">
        <f t="shared" si="112"/>
        <v>Surplus/Loss on Revaluation/ Fair Value Adjustment RV6</v>
      </c>
    </row>
    <row r="84" spans="1:154" x14ac:dyDescent="0.25">
      <c r="A84" s="362" cm="1">
        <f t="array" aca="1" ref="A84" ca="1">HYPERLINK(CONCATENATE("#",CELL("address",IF(SUM($CA84:$CL84)=0,A84,INDEX($CA84:$CL84,MATCH(1,$CA84:$CL84,0))))),SUM($CA84:$CL84))</f>
        <v>0</v>
      </c>
      <c r="C84" s="521" t="s">
        <v>1106</v>
      </c>
      <c r="D84" s="147"/>
      <c r="E84" s="146"/>
      <c r="F84" s="150"/>
      <c r="G84" s="147"/>
      <c r="H84" s="335" t="s">
        <v>86</v>
      </c>
      <c r="I84" s="9"/>
      <c r="T84" s="25"/>
      <c r="U84" s="25"/>
      <c r="V84" s="13">
        <f>0-IF(AND($F84&gt;=Timeline!$V$8,$F84 &lt;=V$5), $G84, 0)</f>
        <v>0</v>
      </c>
      <c r="W84" s="10">
        <f t="shared" si="100"/>
        <v>0</v>
      </c>
      <c r="X84" s="10">
        <f t="shared" si="100"/>
        <v>0</v>
      </c>
      <c r="Y84" s="10">
        <f t="shared" si="100"/>
        <v>0</v>
      </c>
      <c r="Z84" s="335"/>
      <c r="AA84" s="10">
        <f t="shared" ref="AA84:BJ84" si="126">IF(AND($F84&gt;Z$5,$F84 &lt;=AA$5), $G84, 0)</f>
        <v>0</v>
      </c>
      <c r="AB84" s="10">
        <f t="shared" si="126"/>
        <v>0</v>
      </c>
      <c r="AC84" s="10">
        <f t="shared" si="126"/>
        <v>0</v>
      </c>
      <c r="AD84" s="10">
        <f t="shared" si="126"/>
        <v>0</v>
      </c>
      <c r="AE84" s="10">
        <f t="shared" si="126"/>
        <v>0</v>
      </c>
      <c r="AF84" s="10">
        <f t="shared" si="126"/>
        <v>0</v>
      </c>
      <c r="AG84" s="10">
        <f t="shared" si="126"/>
        <v>0</v>
      </c>
      <c r="AH84" s="10">
        <f t="shared" si="126"/>
        <v>0</v>
      </c>
      <c r="AI84" s="10">
        <f t="shared" si="126"/>
        <v>0</v>
      </c>
      <c r="AJ84" s="10">
        <f t="shared" si="126"/>
        <v>0</v>
      </c>
      <c r="AK84" s="10">
        <f t="shared" si="126"/>
        <v>0</v>
      </c>
      <c r="AL84" s="10">
        <f t="shared" si="126"/>
        <v>0</v>
      </c>
      <c r="AM84" s="10">
        <f t="shared" si="126"/>
        <v>0</v>
      </c>
      <c r="AN84" s="10">
        <f t="shared" si="126"/>
        <v>0</v>
      </c>
      <c r="AO84" s="10">
        <f t="shared" si="126"/>
        <v>0</v>
      </c>
      <c r="AP84" s="10">
        <f t="shared" si="126"/>
        <v>0</v>
      </c>
      <c r="AQ84" s="10">
        <f t="shared" si="126"/>
        <v>0</v>
      </c>
      <c r="AR84" s="10">
        <f t="shared" si="126"/>
        <v>0</v>
      </c>
      <c r="AS84" s="10">
        <f t="shared" si="126"/>
        <v>0</v>
      </c>
      <c r="AT84" s="10">
        <f t="shared" si="126"/>
        <v>0</v>
      </c>
      <c r="AU84" s="10">
        <f t="shared" si="126"/>
        <v>0</v>
      </c>
      <c r="AV84" s="10">
        <f t="shared" si="126"/>
        <v>0</v>
      </c>
      <c r="AW84" s="10">
        <f t="shared" si="126"/>
        <v>0</v>
      </c>
      <c r="AX84" s="10">
        <f t="shared" si="126"/>
        <v>0</v>
      </c>
      <c r="AY84" s="10">
        <f t="shared" si="126"/>
        <v>0</v>
      </c>
      <c r="AZ84" s="10">
        <f t="shared" si="126"/>
        <v>0</v>
      </c>
      <c r="BA84" s="10">
        <f t="shared" si="126"/>
        <v>0</v>
      </c>
      <c r="BB84" s="10">
        <f t="shared" si="126"/>
        <v>0</v>
      </c>
      <c r="BC84" s="10">
        <f t="shared" si="126"/>
        <v>0</v>
      </c>
      <c r="BD84" s="10">
        <f t="shared" si="126"/>
        <v>0</v>
      </c>
      <c r="BE84" s="10">
        <f t="shared" si="126"/>
        <v>0</v>
      </c>
      <c r="BF84" s="10">
        <f t="shared" si="126"/>
        <v>0</v>
      </c>
      <c r="BG84" s="10">
        <f t="shared" si="126"/>
        <v>0</v>
      </c>
      <c r="BH84" s="10">
        <f t="shared" si="126"/>
        <v>0</v>
      </c>
      <c r="BI84" s="10">
        <f t="shared" si="126"/>
        <v>0</v>
      </c>
      <c r="BJ84" s="10">
        <f t="shared" si="126"/>
        <v>0</v>
      </c>
      <c r="BL84" s="13">
        <f t="shared" si="102"/>
        <v>0</v>
      </c>
      <c r="BM84" s="10">
        <f t="shared" ref="BM84:BW84" si="127">IF(AND($F84&gt;BL$5,$F84 &lt;=BM$5), $G84, 0)</f>
        <v>0</v>
      </c>
      <c r="BN84" s="10">
        <f t="shared" si="127"/>
        <v>0</v>
      </c>
      <c r="BO84" s="10">
        <f t="shared" si="127"/>
        <v>0</v>
      </c>
      <c r="BP84" s="10">
        <f t="shared" si="127"/>
        <v>0</v>
      </c>
      <c r="BQ84" s="10">
        <f t="shared" si="127"/>
        <v>0</v>
      </c>
      <c r="BR84" s="10">
        <f t="shared" si="127"/>
        <v>0</v>
      </c>
      <c r="BS84" s="10">
        <f t="shared" si="127"/>
        <v>0</v>
      </c>
      <c r="BT84" s="10">
        <f t="shared" si="127"/>
        <v>0</v>
      </c>
      <c r="BU84" s="10">
        <f t="shared" si="127"/>
        <v>0</v>
      </c>
      <c r="BV84" s="10">
        <f t="shared" si="127"/>
        <v>0</v>
      </c>
      <c r="BW84" s="10">
        <f t="shared" si="127"/>
        <v>0</v>
      </c>
      <c r="BY84" s="12"/>
      <c r="CA84" s="12"/>
      <c r="CB84" s="7">
        <f t="shared" si="104"/>
        <v>0</v>
      </c>
      <c r="CC84" s="7">
        <f>IF(AND(G84&lt;&gt;0, _xlfn.IFNA(MATCH(E84, Parameters!$D$45:$D$48, 0), "N/A")="N/A"), 1, 0)</f>
        <v>0</v>
      </c>
      <c r="CE84" s="7">
        <f>IF($F84="", 0, IF(AND($F84&lt;=$BW$5, $F84&gt;=Timeline!$V$8), 0, 1))</f>
        <v>0</v>
      </c>
      <c r="CI84" s="7">
        <f t="shared" si="115"/>
        <v>0</v>
      </c>
      <c r="CJ84" s="7">
        <f t="shared" si="116"/>
        <v>0</v>
      </c>
      <c r="CK84" s="7">
        <f t="shared" si="117"/>
        <v>0</v>
      </c>
      <c r="CL84" s="42"/>
      <c r="CM84" s="352">
        <f t="shared" si="105"/>
        <v>0</v>
      </c>
      <c r="CN84" s="352">
        <f t="shared" si="106"/>
        <v>0</v>
      </c>
      <c r="CO84" s="352">
        <f t="shared" si="107"/>
        <v>0</v>
      </c>
      <c r="CP84" s="352">
        <f t="shared" si="108"/>
        <v>0</v>
      </c>
      <c r="CQ84" s="352">
        <f t="shared" si="109"/>
        <v>0</v>
      </c>
      <c r="CR84" s="352">
        <f t="shared" si="110"/>
        <v>0</v>
      </c>
      <c r="CS84" s="352">
        <f t="shared" si="111"/>
        <v>0</v>
      </c>
      <c r="CT84" s="42"/>
      <c r="CU84" s="67">
        <v>0</v>
      </c>
      <c r="CV84" s="67">
        <v>0</v>
      </c>
      <c r="EX84" s="13" t="str">
        <f t="shared" si="112"/>
        <v>Surplus/Loss on Revaluation/ Fair Value Adjustment RV7</v>
      </c>
    </row>
    <row r="85" spans="1:154" x14ac:dyDescent="0.25">
      <c r="A85" s="362" cm="1">
        <f t="array" aca="1" ref="A85" ca="1">HYPERLINK(CONCATENATE("#",CELL("address",IF(SUM($CA85:$CL85)=0,A85,INDEX($CA85:$CL85,MATCH(1,$CA85:$CL85,0))))),SUM($CA85:$CL85))</f>
        <v>0</v>
      </c>
      <c r="C85" s="521" t="s">
        <v>1107</v>
      </c>
      <c r="D85" s="147"/>
      <c r="E85" s="146"/>
      <c r="F85" s="150"/>
      <c r="G85" s="147"/>
      <c r="H85" s="335" t="s">
        <v>86</v>
      </c>
      <c r="I85" s="9"/>
      <c r="T85" s="25"/>
      <c r="U85" s="25"/>
      <c r="V85" s="13">
        <f>0-IF(AND($F85&gt;=Timeline!$V$8,$F85 &lt;=V$5), $G85, 0)</f>
        <v>0</v>
      </c>
      <c r="W85" s="10">
        <f t="shared" si="100"/>
        <v>0</v>
      </c>
      <c r="X85" s="10">
        <f t="shared" si="100"/>
        <v>0</v>
      </c>
      <c r="Y85" s="10">
        <f t="shared" si="100"/>
        <v>0</v>
      </c>
      <c r="Z85" s="335"/>
      <c r="AA85" s="10">
        <f t="shared" ref="AA85:BJ85" si="128">IF(AND($F85&gt;Z$5,$F85 &lt;=AA$5), $G85, 0)</f>
        <v>0</v>
      </c>
      <c r="AB85" s="10">
        <f t="shared" si="128"/>
        <v>0</v>
      </c>
      <c r="AC85" s="10">
        <f t="shared" si="128"/>
        <v>0</v>
      </c>
      <c r="AD85" s="10">
        <f t="shared" si="128"/>
        <v>0</v>
      </c>
      <c r="AE85" s="10">
        <f t="shared" si="128"/>
        <v>0</v>
      </c>
      <c r="AF85" s="10">
        <f t="shared" si="128"/>
        <v>0</v>
      </c>
      <c r="AG85" s="10">
        <f t="shared" si="128"/>
        <v>0</v>
      </c>
      <c r="AH85" s="10">
        <f t="shared" si="128"/>
        <v>0</v>
      </c>
      <c r="AI85" s="10">
        <f t="shared" si="128"/>
        <v>0</v>
      </c>
      <c r="AJ85" s="10">
        <f t="shared" si="128"/>
        <v>0</v>
      </c>
      <c r="AK85" s="10">
        <f t="shared" si="128"/>
        <v>0</v>
      </c>
      <c r="AL85" s="10">
        <f t="shared" si="128"/>
        <v>0</v>
      </c>
      <c r="AM85" s="10">
        <f t="shared" si="128"/>
        <v>0</v>
      </c>
      <c r="AN85" s="10">
        <f t="shared" si="128"/>
        <v>0</v>
      </c>
      <c r="AO85" s="10">
        <f t="shared" si="128"/>
        <v>0</v>
      </c>
      <c r="AP85" s="10">
        <f t="shared" si="128"/>
        <v>0</v>
      </c>
      <c r="AQ85" s="10">
        <f t="shared" si="128"/>
        <v>0</v>
      </c>
      <c r="AR85" s="10">
        <f t="shared" si="128"/>
        <v>0</v>
      </c>
      <c r="AS85" s="10">
        <f t="shared" si="128"/>
        <v>0</v>
      </c>
      <c r="AT85" s="10">
        <f t="shared" si="128"/>
        <v>0</v>
      </c>
      <c r="AU85" s="10">
        <f t="shared" si="128"/>
        <v>0</v>
      </c>
      <c r="AV85" s="10">
        <f t="shared" si="128"/>
        <v>0</v>
      </c>
      <c r="AW85" s="10">
        <f t="shared" si="128"/>
        <v>0</v>
      </c>
      <c r="AX85" s="10">
        <f t="shared" si="128"/>
        <v>0</v>
      </c>
      <c r="AY85" s="10">
        <f t="shared" si="128"/>
        <v>0</v>
      </c>
      <c r="AZ85" s="10">
        <f t="shared" si="128"/>
        <v>0</v>
      </c>
      <c r="BA85" s="10">
        <f t="shared" si="128"/>
        <v>0</v>
      </c>
      <c r="BB85" s="10">
        <f t="shared" si="128"/>
        <v>0</v>
      </c>
      <c r="BC85" s="10">
        <f t="shared" si="128"/>
        <v>0</v>
      </c>
      <c r="BD85" s="10">
        <f t="shared" si="128"/>
        <v>0</v>
      </c>
      <c r="BE85" s="10">
        <f t="shared" si="128"/>
        <v>0</v>
      </c>
      <c r="BF85" s="10">
        <f t="shared" si="128"/>
        <v>0</v>
      </c>
      <c r="BG85" s="10">
        <f t="shared" si="128"/>
        <v>0</v>
      </c>
      <c r="BH85" s="10">
        <f t="shared" si="128"/>
        <v>0</v>
      </c>
      <c r="BI85" s="10">
        <f t="shared" si="128"/>
        <v>0</v>
      </c>
      <c r="BJ85" s="10">
        <f t="shared" si="128"/>
        <v>0</v>
      </c>
      <c r="BL85" s="13">
        <f t="shared" si="102"/>
        <v>0</v>
      </c>
      <c r="BM85" s="10">
        <f t="shared" ref="BM85:BW85" si="129">IF(AND($F85&gt;BL$5,$F85 &lt;=BM$5), $G85, 0)</f>
        <v>0</v>
      </c>
      <c r="BN85" s="10">
        <f t="shared" si="129"/>
        <v>0</v>
      </c>
      <c r="BO85" s="10">
        <f t="shared" si="129"/>
        <v>0</v>
      </c>
      <c r="BP85" s="10">
        <f t="shared" si="129"/>
        <v>0</v>
      </c>
      <c r="BQ85" s="10">
        <f t="shared" si="129"/>
        <v>0</v>
      </c>
      <c r="BR85" s="10">
        <f t="shared" si="129"/>
        <v>0</v>
      </c>
      <c r="BS85" s="10">
        <f t="shared" si="129"/>
        <v>0</v>
      </c>
      <c r="BT85" s="10">
        <f t="shared" si="129"/>
        <v>0</v>
      </c>
      <c r="BU85" s="10">
        <f t="shared" si="129"/>
        <v>0</v>
      </c>
      <c r="BV85" s="10">
        <f t="shared" si="129"/>
        <v>0</v>
      </c>
      <c r="BW85" s="10">
        <f t="shared" si="129"/>
        <v>0</v>
      </c>
      <c r="BY85" s="12"/>
      <c r="CA85" s="12"/>
      <c r="CB85" s="7">
        <f t="shared" si="104"/>
        <v>0</v>
      </c>
      <c r="CC85" s="7">
        <f>IF(AND(G85&lt;&gt;0, _xlfn.IFNA(MATCH(E85, Parameters!$D$45:$D$48, 0), "N/A")="N/A"), 1, 0)</f>
        <v>0</v>
      </c>
      <c r="CE85" s="7">
        <f>IF($F85="", 0, IF(AND($F85&lt;=$BW$5, $F85&gt;=Timeline!$V$8), 0, 1))</f>
        <v>0</v>
      </c>
      <c r="CI85" s="7">
        <f t="shared" si="115"/>
        <v>0</v>
      </c>
      <c r="CJ85" s="7">
        <f t="shared" si="116"/>
        <v>0</v>
      </c>
      <c r="CK85" s="7">
        <f t="shared" si="117"/>
        <v>0</v>
      </c>
      <c r="CL85" s="42"/>
      <c r="CM85" s="352">
        <f t="shared" si="105"/>
        <v>0</v>
      </c>
      <c r="CN85" s="352">
        <f t="shared" si="106"/>
        <v>0</v>
      </c>
      <c r="CO85" s="352">
        <f t="shared" si="107"/>
        <v>0</v>
      </c>
      <c r="CP85" s="352">
        <f t="shared" si="108"/>
        <v>0</v>
      </c>
      <c r="CQ85" s="352">
        <f t="shared" si="109"/>
        <v>0</v>
      </c>
      <c r="CR85" s="352">
        <f t="shared" si="110"/>
        <v>0</v>
      </c>
      <c r="CS85" s="352">
        <f t="shared" si="111"/>
        <v>0</v>
      </c>
      <c r="CT85" s="42"/>
      <c r="CU85" s="67">
        <v>0</v>
      </c>
      <c r="CV85" s="67">
        <v>0</v>
      </c>
      <c r="EX85" s="13" t="str">
        <f t="shared" si="112"/>
        <v>Surplus/Loss on Revaluation/ Fair Value Adjustment RV8</v>
      </c>
    </row>
    <row r="86" spans="1:154" x14ac:dyDescent="0.25">
      <c r="A86" s="362" cm="1">
        <f t="array" aca="1" ref="A86" ca="1">HYPERLINK(CONCATENATE("#",CELL("address",IF(SUM($CA86:$CL86)=0,A86,INDEX($CA86:$CL86,MATCH(1,$CA86:$CL86,0))))),SUM($CA86:$CL86))</f>
        <v>0</v>
      </c>
      <c r="C86" s="521" t="s">
        <v>1108</v>
      </c>
      <c r="D86" s="147"/>
      <c r="E86" s="146"/>
      <c r="F86" s="150"/>
      <c r="G86" s="147"/>
      <c r="H86" s="335" t="s">
        <v>86</v>
      </c>
      <c r="I86" s="9"/>
      <c r="T86" s="25"/>
      <c r="U86" s="25"/>
      <c r="V86" s="13">
        <f>0-IF(AND($F86&gt;=Timeline!$V$8,$F86 &lt;=V$5), $G86, 0)</f>
        <v>0</v>
      </c>
      <c r="W86" s="10">
        <f t="shared" si="100"/>
        <v>0</v>
      </c>
      <c r="X86" s="10">
        <f t="shared" si="100"/>
        <v>0</v>
      </c>
      <c r="Y86" s="10">
        <f t="shared" si="100"/>
        <v>0</v>
      </c>
      <c r="Z86" s="335"/>
      <c r="AA86" s="10">
        <f t="shared" ref="AA86:BJ86" si="130">IF(AND($F86&gt;Z$5,$F86 &lt;=AA$5), $G86, 0)</f>
        <v>0</v>
      </c>
      <c r="AB86" s="10">
        <f t="shared" si="130"/>
        <v>0</v>
      </c>
      <c r="AC86" s="10">
        <f t="shared" si="130"/>
        <v>0</v>
      </c>
      <c r="AD86" s="10">
        <f t="shared" si="130"/>
        <v>0</v>
      </c>
      <c r="AE86" s="10">
        <f t="shared" si="130"/>
        <v>0</v>
      </c>
      <c r="AF86" s="10">
        <f t="shared" si="130"/>
        <v>0</v>
      </c>
      <c r="AG86" s="10">
        <f t="shared" si="130"/>
        <v>0</v>
      </c>
      <c r="AH86" s="10">
        <f t="shared" si="130"/>
        <v>0</v>
      </c>
      <c r="AI86" s="10">
        <f t="shared" si="130"/>
        <v>0</v>
      </c>
      <c r="AJ86" s="10">
        <f t="shared" si="130"/>
        <v>0</v>
      </c>
      <c r="AK86" s="10">
        <f t="shared" si="130"/>
        <v>0</v>
      </c>
      <c r="AL86" s="10">
        <f t="shared" si="130"/>
        <v>0</v>
      </c>
      <c r="AM86" s="10">
        <f t="shared" si="130"/>
        <v>0</v>
      </c>
      <c r="AN86" s="10">
        <f t="shared" si="130"/>
        <v>0</v>
      </c>
      <c r="AO86" s="10">
        <f t="shared" si="130"/>
        <v>0</v>
      </c>
      <c r="AP86" s="10">
        <f t="shared" si="130"/>
        <v>0</v>
      </c>
      <c r="AQ86" s="10">
        <f t="shared" si="130"/>
        <v>0</v>
      </c>
      <c r="AR86" s="10">
        <f t="shared" si="130"/>
        <v>0</v>
      </c>
      <c r="AS86" s="10">
        <f t="shared" si="130"/>
        <v>0</v>
      </c>
      <c r="AT86" s="10">
        <f t="shared" si="130"/>
        <v>0</v>
      </c>
      <c r="AU86" s="10">
        <f t="shared" si="130"/>
        <v>0</v>
      </c>
      <c r="AV86" s="10">
        <f t="shared" si="130"/>
        <v>0</v>
      </c>
      <c r="AW86" s="10">
        <f t="shared" si="130"/>
        <v>0</v>
      </c>
      <c r="AX86" s="10">
        <f t="shared" si="130"/>
        <v>0</v>
      </c>
      <c r="AY86" s="10">
        <f t="shared" si="130"/>
        <v>0</v>
      </c>
      <c r="AZ86" s="10">
        <f t="shared" si="130"/>
        <v>0</v>
      </c>
      <c r="BA86" s="10">
        <f t="shared" si="130"/>
        <v>0</v>
      </c>
      <c r="BB86" s="10">
        <f t="shared" si="130"/>
        <v>0</v>
      </c>
      <c r="BC86" s="10">
        <f t="shared" si="130"/>
        <v>0</v>
      </c>
      <c r="BD86" s="10">
        <f t="shared" si="130"/>
        <v>0</v>
      </c>
      <c r="BE86" s="10">
        <f t="shared" si="130"/>
        <v>0</v>
      </c>
      <c r="BF86" s="10">
        <f t="shared" si="130"/>
        <v>0</v>
      </c>
      <c r="BG86" s="10">
        <f t="shared" si="130"/>
        <v>0</v>
      </c>
      <c r="BH86" s="10">
        <f t="shared" si="130"/>
        <v>0</v>
      </c>
      <c r="BI86" s="10">
        <f t="shared" si="130"/>
        <v>0</v>
      </c>
      <c r="BJ86" s="10">
        <f t="shared" si="130"/>
        <v>0</v>
      </c>
      <c r="BL86" s="13">
        <f t="shared" si="102"/>
        <v>0</v>
      </c>
      <c r="BM86" s="10">
        <f t="shared" ref="BM86:BW86" si="131">IF(AND($F86&gt;BL$5,$F86 &lt;=BM$5), $G86, 0)</f>
        <v>0</v>
      </c>
      <c r="BN86" s="10">
        <f t="shared" si="131"/>
        <v>0</v>
      </c>
      <c r="BO86" s="10">
        <f t="shared" si="131"/>
        <v>0</v>
      </c>
      <c r="BP86" s="10">
        <f t="shared" si="131"/>
        <v>0</v>
      </c>
      <c r="BQ86" s="10">
        <f t="shared" si="131"/>
        <v>0</v>
      </c>
      <c r="BR86" s="10">
        <f t="shared" si="131"/>
        <v>0</v>
      </c>
      <c r="BS86" s="10">
        <f t="shared" si="131"/>
        <v>0</v>
      </c>
      <c r="BT86" s="10">
        <f t="shared" si="131"/>
        <v>0</v>
      </c>
      <c r="BU86" s="10">
        <f t="shared" si="131"/>
        <v>0</v>
      </c>
      <c r="BV86" s="10">
        <f t="shared" si="131"/>
        <v>0</v>
      </c>
      <c r="BW86" s="10">
        <f t="shared" si="131"/>
        <v>0</v>
      </c>
      <c r="BY86" s="12"/>
      <c r="CA86" s="12"/>
      <c r="CB86" s="7">
        <f t="shared" si="104"/>
        <v>0</v>
      </c>
      <c r="CC86" s="7">
        <f>IF(AND(G86&lt;&gt;0, _xlfn.IFNA(MATCH(E86, Parameters!$D$45:$D$48, 0), "N/A")="N/A"), 1, 0)</f>
        <v>0</v>
      </c>
      <c r="CE86" s="7">
        <f>IF($F86="", 0, IF(AND($F86&lt;=$BW$5, $F86&gt;=Timeline!$V$8), 0, 1))</f>
        <v>0</v>
      </c>
      <c r="CI86" s="7">
        <f t="shared" si="115"/>
        <v>0</v>
      </c>
      <c r="CJ86" s="7">
        <f t="shared" si="116"/>
        <v>0</v>
      </c>
      <c r="CK86" s="7">
        <f t="shared" si="117"/>
        <v>0</v>
      </c>
      <c r="CL86" s="42"/>
      <c r="CM86" s="352">
        <f t="shared" si="105"/>
        <v>0</v>
      </c>
      <c r="CN86" s="352">
        <f t="shared" si="106"/>
        <v>0</v>
      </c>
      <c r="CO86" s="352">
        <f t="shared" si="107"/>
        <v>0</v>
      </c>
      <c r="CP86" s="352">
        <f t="shared" si="108"/>
        <v>0</v>
      </c>
      <c r="CQ86" s="352">
        <f t="shared" si="109"/>
        <v>0</v>
      </c>
      <c r="CR86" s="352">
        <f t="shared" si="110"/>
        <v>0</v>
      </c>
      <c r="CS86" s="352">
        <f t="shared" si="111"/>
        <v>0</v>
      </c>
      <c r="CT86" s="42"/>
      <c r="CU86" s="67">
        <v>0</v>
      </c>
      <c r="CV86" s="67">
        <v>0</v>
      </c>
      <c r="EX86" s="13" t="str">
        <f t="shared" si="112"/>
        <v>Surplus/Loss on Revaluation/ Fair Value Adjustment RV9</v>
      </c>
    </row>
    <row r="87" spans="1:154" x14ac:dyDescent="0.25">
      <c r="A87" s="362" cm="1">
        <f t="array" aca="1" ref="A87" ca="1">HYPERLINK(CONCATENATE("#",CELL("address",IF(SUM($CA87:$CL87)=0,A87,INDEX($CA87:$CL87,MATCH(1,$CA87:$CL87,0))))),SUM($CA87:$CL87))</f>
        <v>0</v>
      </c>
      <c r="C87" s="521" t="s">
        <v>1109</v>
      </c>
      <c r="D87" s="147"/>
      <c r="E87" s="146"/>
      <c r="F87" s="150"/>
      <c r="G87" s="147"/>
      <c r="H87" s="335" t="s">
        <v>86</v>
      </c>
      <c r="I87" s="9"/>
      <c r="T87" s="25"/>
      <c r="U87" s="25"/>
      <c r="V87" s="13">
        <f>0-IF(AND($F87&gt;=Timeline!$V$8,$F87 &lt;=V$5), $G87, 0)</f>
        <v>0</v>
      </c>
      <c r="W87" s="10">
        <f t="shared" si="100"/>
        <v>0</v>
      </c>
      <c r="X87" s="10">
        <f t="shared" si="100"/>
        <v>0</v>
      </c>
      <c r="Y87" s="10">
        <f t="shared" si="100"/>
        <v>0</v>
      </c>
      <c r="Z87" s="335"/>
      <c r="AA87" s="10">
        <f t="shared" ref="AA87:BJ87" si="132">IF(AND($F87&gt;Z$5,$F87 &lt;=AA$5), $G87, 0)</f>
        <v>0</v>
      </c>
      <c r="AB87" s="10">
        <f t="shared" si="132"/>
        <v>0</v>
      </c>
      <c r="AC87" s="10">
        <f t="shared" si="132"/>
        <v>0</v>
      </c>
      <c r="AD87" s="10">
        <f t="shared" si="132"/>
        <v>0</v>
      </c>
      <c r="AE87" s="10">
        <f t="shared" si="132"/>
        <v>0</v>
      </c>
      <c r="AF87" s="10">
        <f t="shared" si="132"/>
        <v>0</v>
      </c>
      <c r="AG87" s="10">
        <f t="shared" si="132"/>
        <v>0</v>
      </c>
      <c r="AH87" s="10">
        <f t="shared" si="132"/>
        <v>0</v>
      </c>
      <c r="AI87" s="10">
        <f t="shared" si="132"/>
        <v>0</v>
      </c>
      <c r="AJ87" s="10">
        <f t="shared" si="132"/>
        <v>0</v>
      </c>
      <c r="AK87" s="10">
        <f t="shared" si="132"/>
        <v>0</v>
      </c>
      <c r="AL87" s="10">
        <f t="shared" si="132"/>
        <v>0</v>
      </c>
      <c r="AM87" s="10">
        <f t="shared" si="132"/>
        <v>0</v>
      </c>
      <c r="AN87" s="10">
        <f t="shared" si="132"/>
        <v>0</v>
      </c>
      <c r="AO87" s="10">
        <f t="shared" si="132"/>
        <v>0</v>
      </c>
      <c r="AP87" s="10">
        <f t="shared" si="132"/>
        <v>0</v>
      </c>
      <c r="AQ87" s="10">
        <f t="shared" si="132"/>
        <v>0</v>
      </c>
      <c r="AR87" s="10">
        <f t="shared" si="132"/>
        <v>0</v>
      </c>
      <c r="AS87" s="10">
        <f t="shared" si="132"/>
        <v>0</v>
      </c>
      <c r="AT87" s="10">
        <f t="shared" si="132"/>
        <v>0</v>
      </c>
      <c r="AU87" s="10">
        <f t="shared" si="132"/>
        <v>0</v>
      </c>
      <c r="AV87" s="10">
        <f t="shared" si="132"/>
        <v>0</v>
      </c>
      <c r="AW87" s="10">
        <f t="shared" si="132"/>
        <v>0</v>
      </c>
      <c r="AX87" s="10">
        <f t="shared" si="132"/>
        <v>0</v>
      </c>
      <c r="AY87" s="10">
        <f t="shared" si="132"/>
        <v>0</v>
      </c>
      <c r="AZ87" s="10">
        <f t="shared" si="132"/>
        <v>0</v>
      </c>
      <c r="BA87" s="10">
        <f t="shared" si="132"/>
        <v>0</v>
      </c>
      <c r="BB87" s="10">
        <f t="shared" si="132"/>
        <v>0</v>
      </c>
      <c r="BC87" s="10">
        <f t="shared" si="132"/>
        <v>0</v>
      </c>
      <c r="BD87" s="10">
        <f t="shared" si="132"/>
        <v>0</v>
      </c>
      <c r="BE87" s="10">
        <f t="shared" si="132"/>
        <v>0</v>
      </c>
      <c r="BF87" s="10">
        <f t="shared" si="132"/>
        <v>0</v>
      </c>
      <c r="BG87" s="10">
        <f t="shared" si="132"/>
        <v>0</v>
      </c>
      <c r="BH87" s="10">
        <f t="shared" si="132"/>
        <v>0</v>
      </c>
      <c r="BI87" s="10">
        <f t="shared" si="132"/>
        <v>0</v>
      </c>
      <c r="BJ87" s="10">
        <f t="shared" si="132"/>
        <v>0</v>
      </c>
      <c r="BL87" s="13">
        <f t="shared" si="102"/>
        <v>0</v>
      </c>
      <c r="BM87" s="10">
        <f t="shared" ref="BM87:BW87" si="133">IF(AND($F87&gt;BL$5,$F87 &lt;=BM$5), $G87, 0)</f>
        <v>0</v>
      </c>
      <c r="BN87" s="10">
        <f t="shared" si="133"/>
        <v>0</v>
      </c>
      <c r="BO87" s="10">
        <f t="shared" si="133"/>
        <v>0</v>
      </c>
      <c r="BP87" s="10">
        <f t="shared" si="133"/>
        <v>0</v>
      </c>
      <c r="BQ87" s="10">
        <f t="shared" si="133"/>
        <v>0</v>
      </c>
      <c r="BR87" s="10">
        <f t="shared" si="133"/>
        <v>0</v>
      </c>
      <c r="BS87" s="10">
        <f t="shared" si="133"/>
        <v>0</v>
      </c>
      <c r="BT87" s="10">
        <f t="shared" si="133"/>
        <v>0</v>
      </c>
      <c r="BU87" s="10">
        <f t="shared" si="133"/>
        <v>0</v>
      </c>
      <c r="BV87" s="10">
        <f t="shared" si="133"/>
        <v>0</v>
      </c>
      <c r="BW87" s="10">
        <f t="shared" si="133"/>
        <v>0</v>
      </c>
      <c r="BY87" s="12"/>
      <c r="CA87" s="12"/>
      <c r="CB87" s="7">
        <f t="shared" si="104"/>
        <v>0</v>
      </c>
      <c r="CC87" s="7">
        <f>IF(AND(G87&lt;&gt;0, _xlfn.IFNA(MATCH(E87, Parameters!$D$45:$D$48, 0), "N/A")="N/A"), 1, 0)</f>
        <v>0</v>
      </c>
      <c r="CE87" s="7">
        <f>IF($F87="", 0, IF(AND($F87&lt;=$BW$5, $F87&gt;=Timeline!$V$8), 0, 1))</f>
        <v>0</v>
      </c>
      <c r="CI87" s="7">
        <f t="shared" si="115"/>
        <v>0</v>
      </c>
      <c r="CJ87" s="7">
        <f t="shared" si="116"/>
        <v>0</v>
      </c>
      <c r="CK87" s="7">
        <f t="shared" si="117"/>
        <v>0</v>
      </c>
      <c r="CL87" s="42"/>
      <c r="CM87" s="352">
        <f t="shared" si="105"/>
        <v>0</v>
      </c>
      <c r="CN87" s="352">
        <f t="shared" si="106"/>
        <v>0</v>
      </c>
      <c r="CO87" s="352">
        <f t="shared" si="107"/>
        <v>0</v>
      </c>
      <c r="CP87" s="352">
        <f t="shared" si="108"/>
        <v>0</v>
      </c>
      <c r="CQ87" s="352">
        <f t="shared" si="109"/>
        <v>0</v>
      </c>
      <c r="CR87" s="352">
        <f t="shared" si="110"/>
        <v>0</v>
      </c>
      <c r="CS87" s="352">
        <f t="shared" si="111"/>
        <v>0</v>
      </c>
      <c r="CT87" s="42"/>
      <c r="CU87" s="67">
        <v>0</v>
      </c>
      <c r="CV87" s="67">
        <v>0</v>
      </c>
      <c r="EX87" s="13" t="str">
        <f t="shared" si="112"/>
        <v>Surplus/Loss on Revaluation/ Fair Value Adjustment RV10</v>
      </c>
    </row>
    <row r="88" spans="1:154" x14ac:dyDescent="0.25">
      <c r="A88" s="362" cm="1">
        <f t="array" aca="1" ref="A88" ca="1">HYPERLINK(CONCATENATE("#",CELL("address",IF(SUM($CA88:$CL88)=0,A88,INDEX($CA88:$CL88,MATCH(1,$CA88:$CL88,0))))),SUM($CA88:$CL88))</f>
        <v>0</v>
      </c>
      <c r="C88" s="521" t="s">
        <v>1110</v>
      </c>
      <c r="D88" s="147"/>
      <c r="E88" s="146"/>
      <c r="F88" s="150"/>
      <c r="G88" s="147"/>
      <c r="H88" s="335" t="s">
        <v>86</v>
      </c>
      <c r="I88" s="9"/>
      <c r="T88" s="25"/>
      <c r="U88" s="25"/>
      <c r="V88" s="13">
        <f>0-IF(AND($F88&gt;=Timeline!$V$8,$F88 &lt;=V$5), $G88, 0)</f>
        <v>0</v>
      </c>
      <c r="W88" s="153">
        <f t="shared" si="100"/>
        <v>0</v>
      </c>
      <c r="X88" s="153">
        <f t="shared" si="100"/>
        <v>0</v>
      </c>
      <c r="Y88" s="153">
        <f t="shared" si="100"/>
        <v>0</v>
      </c>
      <c r="Z88" s="335"/>
      <c r="AA88" s="153">
        <f t="shared" ref="AA88:BJ88" si="134">IF(AND($F88&gt;Z$5,$F88 &lt;=AA$5), $G88, 0)</f>
        <v>0</v>
      </c>
      <c r="AB88" s="153">
        <f t="shared" si="134"/>
        <v>0</v>
      </c>
      <c r="AC88" s="153">
        <f t="shared" si="134"/>
        <v>0</v>
      </c>
      <c r="AD88" s="153">
        <f t="shared" si="134"/>
        <v>0</v>
      </c>
      <c r="AE88" s="153">
        <f t="shared" si="134"/>
        <v>0</v>
      </c>
      <c r="AF88" s="153">
        <f t="shared" si="134"/>
        <v>0</v>
      </c>
      <c r="AG88" s="153">
        <f t="shared" si="134"/>
        <v>0</v>
      </c>
      <c r="AH88" s="153">
        <f t="shared" si="134"/>
        <v>0</v>
      </c>
      <c r="AI88" s="153">
        <f t="shared" si="134"/>
        <v>0</v>
      </c>
      <c r="AJ88" s="153">
        <f t="shared" si="134"/>
        <v>0</v>
      </c>
      <c r="AK88" s="153">
        <f t="shared" si="134"/>
        <v>0</v>
      </c>
      <c r="AL88" s="153">
        <f t="shared" si="134"/>
        <v>0</v>
      </c>
      <c r="AM88" s="153">
        <f t="shared" si="134"/>
        <v>0</v>
      </c>
      <c r="AN88" s="153">
        <f t="shared" si="134"/>
        <v>0</v>
      </c>
      <c r="AO88" s="153">
        <f t="shared" si="134"/>
        <v>0</v>
      </c>
      <c r="AP88" s="153">
        <f t="shared" si="134"/>
        <v>0</v>
      </c>
      <c r="AQ88" s="153">
        <f t="shared" si="134"/>
        <v>0</v>
      </c>
      <c r="AR88" s="153">
        <f t="shared" si="134"/>
        <v>0</v>
      </c>
      <c r="AS88" s="153">
        <f t="shared" si="134"/>
        <v>0</v>
      </c>
      <c r="AT88" s="153">
        <f t="shared" si="134"/>
        <v>0</v>
      </c>
      <c r="AU88" s="153">
        <f t="shared" si="134"/>
        <v>0</v>
      </c>
      <c r="AV88" s="153">
        <f t="shared" si="134"/>
        <v>0</v>
      </c>
      <c r="AW88" s="153">
        <f t="shared" si="134"/>
        <v>0</v>
      </c>
      <c r="AX88" s="153">
        <f t="shared" si="134"/>
        <v>0</v>
      </c>
      <c r="AY88" s="153">
        <f t="shared" si="134"/>
        <v>0</v>
      </c>
      <c r="AZ88" s="153">
        <f t="shared" si="134"/>
        <v>0</v>
      </c>
      <c r="BA88" s="153">
        <f t="shared" si="134"/>
        <v>0</v>
      </c>
      <c r="BB88" s="153">
        <f t="shared" si="134"/>
        <v>0</v>
      </c>
      <c r="BC88" s="153">
        <f t="shared" si="134"/>
        <v>0</v>
      </c>
      <c r="BD88" s="153">
        <f t="shared" si="134"/>
        <v>0</v>
      </c>
      <c r="BE88" s="153">
        <f t="shared" si="134"/>
        <v>0</v>
      </c>
      <c r="BF88" s="153">
        <f t="shared" si="134"/>
        <v>0</v>
      </c>
      <c r="BG88" s="153">
        <f t="shared" si="134"/>
        <v>0</v>
      </c>
      <c r="BH88" s="153">
        <f t="shared" si="134"/>
        <v>0</v>
      </c>
      <c r="BI88" s="153">
        <f t="shared" si="134"/>
        <v>0</v>
      </c>
      <c r="BJ88" s="153">
        <f t="shared" si="134"/>
        <v>0</v>
      </c>
      <c r="BL88" s="13">
        <f t="shared" si="102"/>
        <v>0</v>
      </c>
      <c r="BM88" s="10">
        <f t="shared" ref="BM88:BW88" si="135">IF(AND($F88&gt;BL$5,$F88 &lt;=BM$5), $G88, 0)</f>
        <v>0</v>
      </c>
      <c r="BN88" s="10">
        <f t="shared" si="135"/>
        <v>0</v>
      </c>
      <c r="BO88" s="10">
        <f t="shared" si="135"/>
        <v>0</v>
      </c>
      <c r="BP88" s="10">
        <f t="shared" si="135"/>
        <v>0</v>
      </c>
      <c r="BQ88" s="10">
        <f t="shared" si="135"/>
        <v>0</v>
      </c>
      <c r="BR88" s="10">
        <f t="shared" si="135"/>
        <v>0</v>
      </c>
      <c r="BS88" s="10">
        <f t="shared" si="135"/>
        <v>0</v>
      </c>
      <c r="BT88" s="10">
        <f t="shared" si="135"/>
        <v>0</v>
      </c>
      <c r="BU88" s="10">
        <f t="shared" si="135"/>
        <v>0</v>
      </c>
      <c r="BV88" s="10">
        <f t="shared" si="135"/>
        <v>0</v>
      </c>
      <c r="BW88" s="10">
        <f t="shared" si="135"/>
        <v>0</v>
      </c>
      <c r="BY88" s="12"/>
      <c r="CA88" s="12"/>
      <c r="CB88" s="7">
        <f t="shared" si="104"/>
        <v>0</v>
      </c>
      <c r="CC88" s="7">
        <f>IF(AND(G88&lt;&gt;0, _xlfn.IFNA(MATCH(E88, Parameters!$D$45:$D$48, 0), "N/A")="N/A"), 1, 0)</f>
        <v>0</v>
      </c>
      <c r="CE88" s="7">
        <f>IF($F88="", 0, IF(AND($F88&lt;=$BW$5, $F88&gt;=Timeline!$V$8), 0, 1))</f>
        <v>0</v>
      </c>
      <c r="CI88" s="7">
        <f t="shared" si="115"/>
        <v>0</v>
      </c>
      <c r="CJ88" s="7">
        <f t="shared" si="116"/>
        <v>0</v>
      </c>
      <c r="CK88" s="7">
        <f t="shared" si="117"/>
        <v>0</v>
      </c>
      <c r="CL88" s="42"/>
      <c r="CM88" s="352">
        <f t="shared" si="105"/>
        <v>0</v>
      </c>
      <c r="CN88" s="352">
        <f t="shared" si="106"/>
        <v>0</v>
      </c>
      <c r="CO88" s="352">
        <f t="shared" si="107"/>
        <v>0</v>
      </c>
      <c r="CP88" s="352">
        <f t="shared" si="108"/>
        <v>0</v>
      </c>
      <c r="CQ88" s="352">
        <f t="shared" si="109"/>
        <v>0</v>
      </c>
      <c r="CR88" s="352">
        <f t="shared" si="110"/>
        <v>0</v>
      </c>
      <c r="CS88" s="352">
        <f t="shared" si="111"/>
        <v>0</v>
      </c>
      <c r="CT88" s="42"/>
      <c r="CU88" s="67">
        <v>0</v>
      </c>
      <c r="CV88" s="67">
        <v>0</v>
      </c>
      <c r="EX88" s="13" t="str">
        <f t="shared" si="112"/>
        <v>Surplus/Loss on Revaluation/ Fair Value Adjustment RV11</v>
      </c>
    </row>
    <row r="89" spans="1:154" x14ac:dyDescent="0.25">
      <c r="A89" s="362" cm="1">
        <f t="array" aca="1" ref="A89" ca="1">HYPERLINK(CONCATENATE("#",CELL("address",IF(SUM($CA89:$CL89)=0,A89,INDEX($CA89:$CL89,MATCH(1,$CA89:$CL89,0))))),SUM($CA89:$CL89))</f>
        <v>0</v>
      </c>
      <c r="C89" s="521" t="s">
        <v>1111</v>
      </c>
      <c r="D89" s="147"/>
      <c r="E89" s="146"/>
      <c r="F89" s="150"/>
      <c r="G89" s="147"/>
      <c r="H89" s="335" t="s">
        <v>86</v>
      </c>
      <c r="I89" s="9"/>
      <c r="T89" s="25"/>
      <c r="U89" s="25"/>
      <c r="V89" s="13">
        <f>0-IF(AND($F89&gt;=Timeline!$V$8,$F89 &lt;=V$5), $G89, 0)</f>
        <v>0</v>
      </c>
      <c r="W89" s="153">
        <f t="shared" si="100"/>
        <v>0</v>
      </c>
      <c r="X89" s="153">
        <f t="shared" si="100"/>
        <v>0</v>
      </c>
      <c r="Y89" s="153">
        <f t="shared" si="100"/>
        <v>0</v>
      </c>
      <c r="Z89" s="335"/>
      <c r="AA89" s="153">
        <f t="shared" ref="AA89:BJ89" si="136">IF(AND($F89&gt;Z$5,$F89 &lt;=AA$5), $G89, 0)</f>
        <v>0</v>
      </c>
      <c r="AB89" s="153">
        <f t="shared" si="136"/>
        <v>0</v>
      </c>
      <c r="AC89" s="153">
        <f t="shared" si="136"/>
        <v>0</v>
      </c>
      <c r="AD89" s="153">
        <f t="shared" si="136"/>
        <v>0</v>
      </c>
      <c r="AE89" s="153">
        <f t="shared" si="136"/>
        <v>0</v>
      </c>
      <c r="AF89" s="153">
        <f t="shared" si="136"/>
        <v>0</v>
      </c>
      <c r="AG89" s="153">
        <f t="shared" si="136"/>
        <v>0</v>
      </c>
      <c r="AH89" s="153">
        <f t="shared" si="136"/>
        <v>0</v>
      </c>
      <c r="AI89" s="153">
        <f t="shared" si="136"/>
        <v>0</v>
      </c>
      <c r="AJ89" s="153">
        <f t="shared" si="136"/>
        <v>0</v>
      </c>
      <c r="AK89" s="153">
        <f t="shared" si="136"/>
        <v>0</v>
      </c>
      <c r="AL89" s="153">
        <f t="shared" si="136"/>
        <v>0</v>
      </c>
      <c r="AM89" s="153">
        <f t="shared" si="136"/>
        <v>0</v>
      </c>
      <c r="AN89" s="153">
        <f t="shared" si="136"/>
        <v>0</v>
      </c>
      <c r="AO89" s="153">
        <f t="shared" si="136"/>
        <v>0</v>
      </c>
      <c r="AP89" s="153">
        <f t="shared" si="136"/>
        <v>0</v>
      </c>
      <c r="AQ89" s="153">
        <f t="shared" si="136"/>
        <v>0</v>
      </c>
      <c r="AR89" s="153">
        <f t="shared" si="136"/>
        <v>0</v>
      </c>
      <c r="AS89" s="153">
        <f t="shared" si="136"/>
        <v>0</v>
      </c>
      <c r="AT89" s="153">
        <f t="shared" si="136"/>
        <v>0</v>
      </c>
      <c r="AU89" s="153">
        <f t="shared" si="136"/>
        <v>0</v>
      </c>
      <c r="AV89" s="153">
        <f t="shared" si="136"/>
        <v>0</v>
      </c>
      <c r="AW89" s="153">
        <f t="shared" si="136"/>
        <v>0</v>
      </c>
      <c r="AX89" s="153">
        <f t="shared" si="136"/>
        <v>0</v>
      </c>
      <c r="AY89" s="153">
        <f t="shared" si="136"/>
        <v>0</v>
      </c>
      <c r="AZ89" s="153">
        <f t="shared" si="136"/>
        <v>0</v>
      </c>
      <c r="BA89" s="153">
        <f t="shared" si="136"/>
        <v>0</v>
      </c>
      <c r="BB89" s="153">
        <f t="shared" si="136"/>
        <v>0</v>
      </c>
      <c r="BC89" s="153">
        <f t="shared" si="136"/>
        <v>0</v>
      </c>
      <c r="BD89" s="153">
        <f t="shared" si="136"/>
        <v>0</v>
      </c>
      <c r="BE89" s="153">
        <f t="shared" si="136"/>
        <v>0</v>
      </c>
      <c r="BF89" s="153">
        <f t="shared" si="136"/>
        <v>0</v>
      </c>
      <c r="BG89" s="153">
        <f t="shared" si="136"/>
        <v>0</v>
      </c>
      <c r="BH89" s="153">
        <f t="shared" si="136"/>
        <v>0</v>
      </c>
      <c r="BI89" s="153">
        <f t="shared" si="136"/>
        <v>0</v>
      </c>
      <c r="BJ89" s="153">
        <f t="shared" si="136"/>
        <v>0</v>
      </c>
      <c r="BL89" s="13">
        <f t="shared" si="102"/>
        <v>0</v>
      </c>
      <c r="BM89" s="10">
        <f t="shared" ref="BM89:BW89" si="137">IF(AND($F89&gt;BL$5,$F89 &lt;=BM$5), $G89, 0)</f>
        <v>0</v>
      </c>
      <c r="BN89" s="10">
        <f t="shared" si="137"/>
        <v>0</v>
      </c>
      <c r="BO89" s="10">
        <f t="shared" si="137"/>
        <v>0</v>
      </c>
      <c r="BP89" s="10">
        <f t="shared" si="137"/>
        <v>0</v>
      </c>
      <c r="BQ89" s="10">
        <f t="shared" si="137"/>
        <v>0</v>
      </c>
      <c r="BR89" s="10">
        <f t="shared" si="137"/>
        <v>0</v>
      </c>
      <c r="BS89" s="10">
        <f t="shared" si="137"/>
        <v>0</v>
      </c>
      <c r="BT89" s="10">
        <f t="shared" si="137"/>
        <v>0</v>
      </c>
      <c r="BU89" s="10">
        <f t="shared" si="137"/>
        <v>0</v>
      </c>
      <c r="BV89" s="10">
        <f t="shared" si="137"/>
        <v>0</v>
      </c>
      <c r="BW89" s="10">
        <f t="shared" si="137"/>
        <v>0</v>
      </c>
      <c r="BY89" s="12"/>
      <c r="CA89" s="12"/>
      <c r="CB89" s="7">
        <f t="shared" si="104"/>
        <v>0</v>
      </c>
      <c r="CC89" s="7">
        <f>IF(AND(G89&lt;&gt;0, _xlfn.IFNA(MATCH(E89, Parameters!$D$45:$D$48, 0), "N/A")="N/A"), 1, 0)</f>
        <v>0</v>
      </c>
      <c r="CE89" s="7">
        <f>IF($F89="", 0, IF(AND($F89&lt;=$BW$5, $F89&gt;=Timeline!$V$8), 0, 1))</f>
        <v>0</v>
      </c>
      <c r="CI89" s="7">
        <f t="shared" si="115"/>
        <v>0</v>
      </c>
      <c r="CJ89" s="7">
        <f t="shared" si="116"/>
        <v>0</v>
      </c>
      <c r="CK89" s="7">
        <f t="shared" si="117"/>
        <v>0</v>
      </c>
      <c r="CL89" s="42"/>
      <c r="CM89" s="352">
        <f t="shared" si="105"/>
        <v>0</v>
      </c>
      <c r="CN89" s="352">
        <f t="shared" si="106"/>
        <v>0</v>
      </c>
      <c r="CO89" s="352">
        <f t="shared" si="107"/>
        <v>0</v>
      </c>
      <c r="CP89" s="352">
        <f t="shared" si="108"/>
        <v>0</v>
      </c>
      <c r="CQ89" s="352">
        <f t="shared" si="109"/>
        <v>0</v>
      </c>
      <c r="CR89" s="352">
        <f t="shared" si="110"/>
        <v>0</v>
      </c>
      <c r="CS89" s="352">
        <f t="shared" si="111"/>
        <v>0</v>
      </c>
      <c r="CT89" s="42"/>
      <c r="CU89" s="67">
        <v>0</v>
      </c>
      <c r="CV89" s="67">
        <v>0</v>
      </c>
      <c r="EX89" s="13" t="str">
        <f t="shared" si="112"/>
        <v>Surplus/Loss on Revaluation/ Fair Value Adjustment RV12</v>
      </c>
    </row>
    <row r="90" spans="1:154" x14ac:dyDescent="0.25">
      <c r="A90" s="362" cm="1">
        <f t="array" aca="1" ref="A90" ca="1">HYPERLINK(CONCATENATE("#",CELL("address",IF(SUM($CA90:$CL90)=0,A90,INDEX($CA90:$CL90,MATCH(1,$CA90:$CL90,0))))),SUM($CA90:$CL90))</f>
        <v>0</v>
      </c>
      <c r="C90" s="521" t="s">
        <v>1112</v>
      </c>
      <c r="D90" s="147"/>
      <c r="E90" s="146"/>
      <c r="F90" s="150"/>
      <c r="G90" s="147"/>
      <c r="H90" s="335" t="s">
        <v>86</v>
      </c>
      <c r="I90" s="9"/>
      <c r="T90" s="25"/>
      <c r="U90" s="25"/>
      <c r="V90" s="13">
        <f>0-IF(AND($F90&gt;=Timeline!$V$8,$F90 &lt;=V$5), $G90, 0)</f>
        <v>0</v>
      </c>
      <c r="W90" s="153">
        <f t="shared" si="100"/>
        <v>0</v>
      </c>
      <c r="X90" s="153">
        <f t="shared" si="100"/>
        <v>0</v>
      </c>
      <c r="Y90" s="153">
        <f t="shared" si="100"/>
        <v>0</v>
      </c>
      <c r="Z90" s="335"/>
      <c r="AA90" s="153">
        <f t="shared" ref="AA90:BJ90" si="138">IF(AND($F90&gt;Z$5,$F90 &lt;=AA$5), $G90, 0)</f>
        <v>0</v>
      </c>
      <c r="AB90" s="153">
        <f t="shared" si="138"/>
        <v>0</v>
      </c>
      <c r="AC90" s="153">
        <f t="shared" si="138"/>
        <v>0</v>
      </c>
      <c r="AD90" s="153">
        <f t="shared" si="138"/>
        <v>0</v>
      </c>
      <c r="AE90" s="153">
        <f t="shared" si="138"/>
        <v>0</v>
      </c>
      <c r="AF90" s="153">
        <f t="shared" si="138"/>
        <v>0</v>
      </c>
      <c r="AG90" s="153">
        <f t="shared" si="138"/>
        <v>0</v>
      </c>
      <c r="AH90" s="153">
        <f t="shared" si="138"/>
        <v>0</v>
      </c>
      <c r="AI90" s="153">
        <f t="shared" si="138"/>
        <v>0</v>
      </c>
      <c r="AJ90" s="153">
        <f t="shared" si="138"/>
        <v>0</v>
      </c>
      <c r="AK90" s="153">
        <f t="shared" si="138"/>
        <v>0</v>
      </c>
      <c r="AL90" s="153">
        <f t="shared" si="138"/>
        <v>0</v>
      </c>
      <c r="AM90" s="153">
        <f t="shared" si="138"/>
        <v>0</v>
      </c>
      <c r="AN90" s="153">
        <f t="shared" si="138"/>
        <v>0</v>
      </c>
      <c r="AO90" s="153">
        <f t="shared" si="138"/>
        <v>0</v>
      </c>
      <c r="AP90" s="153">
        <f t="shared" si="138"/>
        <v>0</v>
      </c>
      <c r="AQ90" s="153">
        <f t="shared" si="138"/>
        <v>0</v>
      </c>
      <c r="AR90" s="153">
        <f t="shared" si="138"/>
        <v>0</v>
      </c>
      <c r="AS90" s="153">
        <f t="shared" si="138"/>
        <v>0</v>
      </c>
      <c r="AT90" s="153">
        <f t="shared" si="138"/>
        <v>0</v>
      </c>
      <c r="AU90" s="153">
        <f t="shared" si="138"/>
        <v>0</v>
      </c>
      <c r="AV90" s="153">
        <f t="shared" si="138"/>
        <v>0</v>
      </c>
      <c r="AW90" s="153">
        <f t="shared" si="138"/>
        <v>0</v>
      </c>
      <c r="AX90" s="153">
        <f t="shared" si="138"/>
        <v>0</v>
      </c>
      <c r="AY90" s="153">
        <f t="shared" si="138"/>
        <v>0</v>
      </c>
      <c r="AZ90" s="153">
        <f t="shared" si="138"/>
        <v>0</v>
      </c>
      <c r="BA90" s="153">
        <f t="shared" si="138"/>
        <v>0</v>
      </c>
      <c r="BB90" s="153">
        <f t="shared" si="138"/>
        <v>0</v>
      </c>
      <c r="BC90" s="153">
        <f t="shared" si="138"/>
        <v>0</v>
      </c>
      <c r="BD90" s="153">
        <f t="shared" si="138"/>
        <v>0</v>
      </c>
      <c r="BE90" s="153">
        <f t="shared" si="138"/>
        <v>0</v>
      </c>
      <c r="BF90" s="153">
        <f t="shared" si="138"/>
        <v>0</v>
      </c>
      <c r="BG90" s="153">
        <f t="shared" si="138"/>
        <v>0</v>
      </c>
      <c r="BH90" s="153">
        <f t="shared" si="138"/>
        <v>0</v>
      </c>
      <c r="BI90" s="153">
        <f t="shared" si="138"/>
        <v>0</v>
      </c>
      <c r="BJ90" s="153">
        <f t="shared" si="138"/>
        <v>0</v>
      </c>
      <c r="BL90" s="13">
        <f t="shared" si="102"/>
        <v>0</v>
      </c>
      <c r="BM90" s="10">
        <f t="shared" ref="BM90:BW90" si="139">IF(AND($F90&gt;BL$5,$F90 &lt;=BM$5), $G90, 0)</f>
        <v>0</v>
      </c>
      <c r="BN90" s="10">
        <f t="shared" si="139"/>
        <v>0</v>
      </c>
      <c r="BO90" s="10">
        <f t="shared" si="139"/>
        <v>0</v>
      </c>
      <c r="BP90" s="10">
        <f t="shared" si="139"/>
        <v>0</v>
      </c>
      <c r="BQ90" s="10">
        <f t="shared" si="139"/>
        <v>0</v>
      </c>
      <c r="BR90" s="10">
        <f t="shared" si="139"/>
        <v>0</v>
      </c>
      <c r="BS90" s="10">
        <f t="shared" si="139"/>
        <v>0</v>
      </c>
      <c r="BT90" s="10">
        <f t="shared" si="139"/>
        <v>0</v>
      </c>
      <c r="BU90" s="10">
        <f t="shared" si="139"/>
        <v>0</v>
      </c>
      <c r="BV90" s="10">
        <f t="shared" si="139"/>
        <v>0</v>
      </c>
      <c r="BW90" s="10">
        <f t="shared" si="139"/>
        <v>0</v>
      </c>
      <c r="BY90" s="12"/>
      <c r="CA90" s="12"/>
      <c r="CB90" s="7">
        <f t="shared" si="104"/>
        <v>0</v>
      </c>
      <c r="CC90" s="7">
        <f>IF(AND(G90&lt;&gt;0, _xlfn.IFNA(MATCH(E90, Parameters!$D$45:$D$48, 0), "N/A")="N/A"), 1, 0)</f>
        <v>0</v>
      </c>
      <c r="CE90" s="7">
        <f>IF($F90="", 0, IF(AND($F90&lt;=$BW$5, $F90&gt;=Timeline!$V$8), 0, 1))</f>
        <v>0</v>
      </c>
      <c r="CI90" s="7">
        <f t="shared" si="115"/>
        <v>0</v>
      </c>
      <c r="CJ90" s="7">
        <f t="shared" si="116"/>
        <v>0</v>
      </c>
      <c r="CK90" s="7">
        <f t="shared" si="117"/>
        <v>0</v>
      </c>
      <c r="CL90" s="42"/>
      <c r="CM90" s="352">
        <f t="shared" si="105"/>
        <v>0</v>
      </c>
      <c r="CN90" s="352">
        <f t="shared" si="106"/>
        <v>0</v>
      </c>
      <c r="CO90" s="352">
        <f t="shared" si="107"/>
        <v>0</v>
      </c>
      <c r="CP90" s="352">
        <f t="shared" si="108"/>
        <v>0</v>
      </c>
      <c r="CQ90" s="352">
        <f t="shared" si="109"/>
        <v>0</v>
      </c>
      <c r="CR90" s="352">
        <f t="shared" si="110"/>
        <v>0</v>
      </c>
      <c r="CS90" s="352">
        <f t="shared" si="111"/>
        <v>0</v>
      </c>
      <c r="CT90" s="42"/>
      <c r="CU90" s="67">
        <v>0</v>
      </c>
      <c r="CV90" s="67">
        <v>0</v>
      </c>
      <c r="EX90" s="13" t="str">
        <f t="shared" si="112"/>
        <v>Surplus/Loss on Revaluation/ Fair Value Adjustment RV13</v>
      </c>
    </row>
    <row r="91" spans="1:154" x14ac:dyDescent="0.25">
      <c r="A91" s="362" cm="1">
        <f t="array" aca="1" ref="A91" ca="1">HYPERLINK(CONCATENATE("#",CELL("address",IF(SUM($CA91:$CL91)=0,A91,INDEX($CA91:$CL91,MATCH(1,$CA91:$CL91,0))))),SUM($CA91:$CL91))</f>
        <v>0</v>
      </c>
      <c r="C91" s="521" t="s">
        <v>1113</v>
      </c>
      <c r="D91" s="147"/>
      <c r="E91" s="146"/>
      <c r="F91" s="150"/>
      <c r="G91" s="147"/>
      <c r="H91" s="335" t="s">
        <v>86</v>
      </c>
      <c r="I91" s="9"/>
      <c r="T91" s="25"/>
      <c r="U91" s="25"/>
      <c r="V91" s="13">
        <f>0-IF(AND($F91&gt;=Timeline!$V$8,$F91 &lt;=V$5), $G91, 0)</f>
        <v>0</v>
      </c>
      <c r="W91" s="153">
        <f t="shared" si="100"/>
        <v>0</v>
      </c>
      <c r="X91" s="153">
        <f t="shared" si="100"/>
        <v>0</v>
      </c>
      <c r="Y91" s="153">
        <f t="shared" si="100"/>
        <v>0</v>
      </c>
      <c r="Z91" s="335"/>
      <c r="AA91" s="153">
        <f t="shared" ref="AA91:BJ91" si="140">IF(AND($F91&gt;Z$5,$F91 &lt;=AA$5), $G91, 0)</f>
        <v>0</v>
      </c>
      <c r="AB91" s="153">
        <f t="shared" si="140"/>
        <v>0</v>
      </c>
      <c r="AC91" s="153">
        <f t="shared" si="140"/>
        <v>0</v>
      </c>
      <c r="AD91" s="153">
        <f t="shared" si="140"/>
        <v>0</v>
      </c>
      <c r="AE91" s="153">
        <f t="shared" si="140"/>
        <v>0</v>
      </c>
      <c r="AF91" s="153">
        <f t="shared" si="140"/>
        <v>0</v>
      </c>
      <c r="AG91" s="153">
        <f t="shared" si="140"/>
        <v>0</v>
      </c>
      <c r="AH91" s="153">
        <f t="shared" si="140"/>
        <v>0</v>
      </c>
      <c r="AI91" s="153">
        <f t="shared" si="140"/>
        <v>0</v>
      </c>
      <c r="AJ91" s="153">
        <f t="shared" si="140"/>
        <v>0</v>
      </c>
      <c r="AK91" s="153">
        <f t="shared" si="140"/>
        <v>0</v>
      </c>
      <c r="AL91" s="153">
        <f t="shared" si="140"/>
        <v>0</v>
      </c>
      <c r="AM91" s="153">
        <f t="shared" si="140"/>
        <v>0</v>
      </c>
      <c r="AN91" s="153">
        <f t="shared" si="140"/>
        <v>0</v>
      </c>
      <c r="AO91" s="153">
        <f t="shared" si="140"/>
        <v>0</v>
      </c>
      <c r="AP91" s="153">
        <f t="shared" si="140"/>
        <v>0</v>
      </c>
      <c r="AQ91" s="153">
        <f t="shared" si="140"/>
        <v>0</v>
      </c>
      <c r="AR91" s="153">
        <f t="shared" si="140"/>
        <v>0</v>
      </c>
      <c r="AS91" s="153">
        <f t="shared" si="140"/>
        <v>0</v>
      </c>
      <c r="AT91" s="153">
        <f t="shared" si="140"/>
        <v>0</v>
      </c>
      <c r="AU91" s="153">
        <f t="shared" si="140"/>
        <v>0</v>
      </c>
      <c r="AV91" s="153">
        <f t="shared" si="140"/>
        <v>0</v>
      </c>
      <c r="AW91" s="153">
        <f t="shared" si="140"/>
        <v>0</v>
      </c>
      <c r="AX91" s="153">
        <f t="shared" si="140"/>
        <v>0</v>
      </c>
      <c r="AY91" s="153">
        <f t="shared" si="140"/>
        <v>0</v>
      </c>
      <c r="AZ91" s="153">
        <f t="shared" si="140"/>
        <v>0</v>
      </c>
      <c r="BA91" s="153">
        <f t="shared" si="140"/>
        <v>0</v>
      </c>
      <c r="BB91" s="153">
        <f t="shared" si="140"/>
        <v>0</v>
      </c>
      <c r="BC91" s="153">
        <f t="shared" si="140"/>
        <v>0</v>
      </c>
      <c r="BD91" s="153">
        <f t="shared" si="140"/>
        <v>0</v>
      </c>
      <c r="BE91" s="153">
        <f t="shared" si="140"/>
        <v>0</v>
      </c>
      <c r="BF91" s="153">
        <f t="shared" si="140"/>
        <v>0</v>
      </c>
      <c r="BG91" s="153">
        <f t="shared" si="140"/>
        <v>0</v>
      </c>
      <c r="BH91" s="153">
        <f t="shared" si="140"/>
        <v>0</v>
      </c>
      <c r="BI91" s="153">
        <f t="shared" si="140"/>
        <v>0</v>
      </c>
      <c r="BJ91" s="153">
        <f t="shared" si="140"/>
        <v>0</v>
      </c>
      <c r="BL91" s="13">
        <f t="shared" si="102"/>
        <v>0</v>
      </c>
      <c r="BM91" s="10">
        <f t="shared" ref="BM91:BW91" si="141">IF(AND($F91&gt;BL$5,$F91 &lt;=BM$5), $G91, 0)</f>
        <v>0</v>
      </c>
      <c r="BN91" s="10">
        <f t="shared" si="141"/>
        <v>0</v>
      </c>
      <c r="BO91" s="10">
        <f t="shared" si="141"/>
        <v>0</v>
      </c>
      <c r="BP91" s="10">
        <f t="shared" si="141"/>
        <v>0</v>
      </c>
      <c r="BQ91" s="10">
        <f t="shared" si="141"/>
        <v>0</v>
      </c>
      <c r="BR91" s="10">
        <f t="shared" si="141"/>
        <v>0</v>
      </c>
      <c r="BS91" s="10">
        <f t="shared" si="141"/>
        <v>0</v>
      </c>
      <c r="BT91" s="10">
        <f t="shared" si="141"/>
        <v>0</v>
      </c>
      <c r="BU91" s="10">
        <f t="shared" si="141"/>
        <v>0</v>
      </c>
      <c r="BV91" s="10">
        <f t="shared" si="141"/>
        <v>0</v>
      </c>
      <c r="BW91" s="10">
        <f t="shared" si="141"/>
        <v>0</v>
      </c>
      <c r="BY91" s="12"/>
      <c r="CA91" s="12"/>
      <c r="CB91" s="7">
        <f t="shared" si="104"/>
        <v>0</v>
      </c>
      <c r="CC91" s="7">
        <f>IF(AND(G91&lt;&gt;0, _xlfn.IFNA(MATCH(E91, Parameters!$D$45:$D$48, 0), "N/A")="N/A"), 1, 0)</f>
        <v>0</v>
      </c>
      <c r="CE91" s="7">
        <f>IF($F91="", 0, IF(AND($F91&lt;=$BW$5, $F91&gt;=Timeline!$V$8), 0, 1))</f>
        <v>0</v>
      </c>
      <c r="CI91" s="7">
        <f t="shared" si="115"/>
        <v>0</v>
      </c>
      <c r="CJ91" s="7">
        <f t="shared" si="116"/>
        <v>0</v>
      </c>
      <c r="CK91" s="7">
        <f t="shared" si="117"/>
        <v>0</v>
      </c>
      <c r="CL91" s="42"/>
      <c r="CM91" s="352">
        <f t="shared" si="105"/>
        <v>0</v>
      </c>
      <c r="CN91" s="352">
        <f t="shared" si="106"/>
        <v>0</v>
      </c>
      <c r="CO91" s="352">
        <f t="shared" si="107"/>
        <v>0</v>
      </c>
      <c r="CP91" s="352">
        <f t="shared" si="108"/>
        <v>0</v>
      </c>
      <c r="CQ91" s="352">
        <f t="shared" si="109"/>
        <v>0</v>
      </c>
      <c r="CR91" s="352">
        <f t="shared" si="110"/>
        <v>0</v>
      </c>
      <c r="CS91" s="352">
        <f t="shared" si="111"/>
        <v>0</v>
      </c>
      <c r="CT91" s="42"/>
      <c r="CU91" s="67">
        <v>0</v>
      </c>
      <c r="CV91" s="67">
        <v>0</v>
      </c>
      <c r="EX91" s="13" t="str">
        <f t="shared" si="112"/>
        <v>Surplus/Loss on Revaluation/ Fair Value Adjustment RV14</v>
      </c>
    </row>
    <row r="92" spans="1:154" x14ac:dyDescent="0.25">
      <c r="A92" s="362" cm="1">
        <f t="array" aca="1" ref="A92" ca="1">HYPERLINK(CONCATENATE("#",CELL("address",IF(SUM($CA92:$CL92)=0,A92,INDEX($CA92:$CL92,MATCH(1,$CA92:$CL92,0))))),SUM($CA92:$CL92))</f>
        <v>0</v>
      </c>
      <c r="C92" s="521" t="s">
        <v>1114</v>
      </c>
      <c r="D92" s="147"/>
      <c r="E92" s="146"/>
      <c r="F92" s="143"/>
      <c r="G92" s="147"/>
      <c r="H92" s="335" t="s">
        <v>86</v>
      </c>
      <c r="I92" s="9"/>
      <c r="T92" s="25"/>
      <c r="U92" s="25"/>
      <c r="V92" s="13">
        <f>0-IF(AND($F92&gt;=Timeline!$V$8,$F92 &lt;=V$5), $G92, 0)</f>
        <v>0</v>
      </c>
      <c r="W92" s="153">
        <f t="shared" si="100"/>
        <v>0</v>
      </c>
      <c r="X92" s="153">
        <f t="shared" si="100"/>
        <v>0</v>
      </c>
      <c r="Y92" s="153">
        <f t="shared" si="100"/>
        <v>0</v>
      </c>
      <c r="Z92" s="335"/>
      <c r="AA92" s="153">
        <f t="shared" ref="AA92:BJ92" si="142">IF(AND($F92&gt;Z$5,$F92 &lt;=AA$5), $G92, 0)</f>
        <v>0</v>
      </c>
      <c r="AB92" s="153">
        <f t="shared" si="142"/>
        <v>0</v>
      </c>
      <c r="AC92" s="153">
        <f t="shared" si="142"/>
        <v>0</v>
      </c>
      <c r="AD92" s="153">
        <f t="shared" si="142"/>
        <v>0</v>
      </c>
      <c r="AE92" s="153">
        <f t="shared" si="142"/>
        <v>0</v>
      </c>
      <c r="AF92" s="153">
        <f t="shared" si="142"/>
        <v>0</v>
      </c>
      <c r="AG92" s="153">
        <f t="shared" si="142"/>
        <v>0</v>
      </c>
      <c r="AH92" s="153">
        <f t="shared" si="142"/>
        <v>0</v>
      </c>
      <c r="AI92" s="153">
        <f t="shared" si="142"/>
        <v>0</v>
      </c>
      <c r="AJ92" s="153">
        <f t="shared" si="142"/>
        <v>0</v>
      </c>
      <c r="AK92" s="153">
        <f t="shared" si="142"/>
        <v>0</v>
      </c>
      <c r="AL92" s="153">
        <f t="shared" si="142"/>
        <v>0</v>
      </c>
      <c r="AM92" s="153">
        <f t="shared" si="142"/>
        <v>0</v>
      </c>
      <c r="AN92" s="153">
        <f t="shared" si="142"/>
        <v>0</v>
      </c>
      <c r="AO92" s="153">
        <f t="shared" si="142"/>
        <v>0</v>
      </c>
      <c r="AP92" s="153">
        <f t="shared" si="142"/>
        <v>0</v>
      </c>
      <c r="AQ92" s="153">
        <f t="shared" si="142"/>
        <v>0</v>
      </c>
      <c r="AR92" s="153">
        <f t="shared" si="142"/>
        <v>0</v>
      </c>
      <c r="AS92" s="153">
        <f t="shared" si="142"/>
        <v>0</v>
      </c>
      <c r="AT92" s="153">
        <f t="shared" si="142"/>
        <v>0</v>
      </c>
      <c r="AU92" s="153">
        <f t="shared" si="142"/>
        <v>0</v>
      </c>
      <c r="AV92" s="153">
        <f t="shared" si="142"/>
        <v>0</v>
      </c>
      <c r="AW92" s="153">
        <f t="shared" si="142"/>
        <v>0</v>
      </c>
      <c r="AX92" s="153">
        <f t="shared" si="142"/>
        <v>0</v>
      </c>
      <c r="AY92" s="153">
        <f t="shared" si="142"/>
        <v>0</v>
      </c>
      <c r="AZ92" s="153">
        <f t="shared" si="142"/>
        <v>0</v>
      </c>
      <c r="BA92" s="153">
        <f t="shared" si="142"/>
        <v>0</v>
      </c>
      <c r="BB92" s="153">
        <f t="shared" si="142"/>
        <v>0</v>
      </c>
      <c r="BC92" s="153">
        <f t="shared" si="142"/>
        <v>0</v>
      </c>
      <c r="BD92" s="153">
        <f t="shared" si="142"/>
        <v>0</v>
      </c>
      <c r="BE92" s="153">
        <f t="shared" si="142"/>
        <v>0</v>
      </c>
      <c r="BF92" s="153">
        <f t="shared" si="142"/>
        <v>0</v>
      </c>
      <c r="BG92" s="153">
        <f t="shared" si="142"/>
        <v>0</v>
      </c>
      <c r="BH92" s="153">
        <f t="shared" si="142"/>
        <v>0</v>
      </c>
      <c r="BI92" s="153">
        <f t="shared" si="142"/>
        <v>0</v>
      </c>
      <c r="BJ92" s="153">
        <f t="shared" si="142"/>
        <v>0</v>
      </c>
      <c r="BL92" s="13">
        <f t="shared" si="102"/>
        <v>0</v>
      </c>
      <c r="BM92" s="10">
        <f t="shared" ref="BM92:BW92" si="143">IF(AND($F92&gt;BL$5,$F92 &lt;=BM$5), $G92, 0)</f>
        <v>0</v>
      </c>
      <c r="BN92" s="10">
        <f t="shared" si="143"/>
        <v>0</v>
      </c>
      <c r="BO92" s="10">
        <f t="shared" si="143"/>
        <v>0</v>
      </c>
      <c r="BP92" s="10">
        <f t="shared" si="143"/>
        <v>0</v>
      </c>
      <c r="BQ92" s="10">
        <f t="shared" si="143"/>
        <v>0</v>
      </c>
      <c r="BR92" s="10">
        <f t="shared" si="143"/>
        <v>0</v>
      </c>
      <c r="BS92" s="10">
        <f t="shared" si="143"/>
        <v>0</v>
      </c>
      <c r="BT92" s="10">
        <f t="shared" si="143"/>
        <v>0</v>
      </c>
      <c r="BU92" s="10">
        <f t="shared" si="143"/>
        <v>0</v>
      </c>
      <c r="BV92" s="10">
        <f t="shared" si="143"/>
        <v>0</v>
      </c>
      <c r="BW92" s="10">
        <f t="shared" si="143"/>
        <v>0</v>
      </c>
      <c r="BY92" s="12"/>
      <c r="CA92" s="12"/>
      <c r="CB92" s="7">
        <f t="shared" si="104"/>
        <v>0</v>
      </c>
      <c r="CC92" s="7">
        <f>IF(AND(G92&lt;&gt;0, _xlfn.IFNA(MATCH(E92, Parameters!$D$45:$D$48, 0), "N/A")="N/A"), 1, 0)</f>
        <v>0</v>
      </c>
      <c r="CE92" s="7">
        <f>IF($F92="", 0, IF(AND($F92&lt;=$BW$5, $F92&gt;=Timeline!$V$8), 0, 1))</f>
        <v>0</v>
      </c>
      <c r="CI92" s="7">
        <f t="shared" si="115"/>
        <v>0</v>
      </c>
      <c r="CJ92" s="7">
        <f t="shared" si="116"/>
        <v>0</v>
      </c>
      <c r="CK92" s="7">
        <f t="shared" si="117"/>
        <v>0</v>
      </c>
      <c r="CL92" s="42"/>
      <c r="CM92" s="352">
        <f t="shared" si="105"/>
        <v>0</v>
      </c>
      <c r="CN92" s="352">
        <f t="shared" si="106"/>
        <v>0</v>
      </c>
      <c r="CO92" s="352">
        <f t="shared" si="107"/>
        <v>0</v>
      </c>
      <c r="CP92" s="352">
        <f t="shared" si="108"/>
        <v>0</v>
      </c>
      <c r="CQ92" s="352">
        <f t="shared" si="109"/>
        <v>0</v>
      </c>
      <c r="CR92" s="352">
        <f t="shared" si="110"/>
        <v>0</v>
      </c>
      <c r="CS92" s="352">
        <f t="shared" si="111"/>
        <v>0</v>
      </c>
      <c r="CT92" s="42"/>
      <c r="CU92" s="67">
        <v>0</v>
      </c>
      <c r="CV92" s="67">
        <v>0</v>
      </c>
      <c r="EX92" s="13" t="str">
        <f t="shared" si="112"/>
        <v>Surplus/Loss on Revaluation/ Fair Value Adjustment RV15</v>
      </c>
    </row>
    <row r="93" spans="1:154" x14ac:dyDescent="0.25">
      <c r="A93" s="362" cm="1">
        <f t="array" aca="1" ref="A93" ca="1">HYPERLINK(CONCATENATE("#",CELL("address",IF(SUM($CA93:$CL93)=0,A93,INDEX($CA93:$CL93,MATCH(1,$CA93:$CL93,0))))),SUM($CA93:$CL93))</f>
        <v>0</v>
      </c>
      <c r="C93" s="410"/>
      <c r="D93" s="82" t="s">
        <v>383</v>
      </c>
      <c r="E93" s="82" t="str">
        <f>Parameters!$D$45</f>
        <v>Land &amp; Buildings</v>
      </c>
      <c r="F93" s="25"/>
      <c r="G93" s="25"/>
      <c r="I93" s="116"/>
      <c r="T93" s="25"/>
      <c r="U93" s="25"/>
      <c r="V93" s="152">
        <f>SUMIFS(V78:V92, $E78:$E92, $E93)</f>
        <v>0</v>
      </c>
      <c r="W93" s="152">
        <f>SUMIFS(W78:W92, $E78:$E92, $E93)</f>
        <v>0</v>
      </c>
      <c r="X93" s="152">
        <f>SUMIFS(X78:X92, $E78:$E92, $E93)</f>
        <v>0</v>
      </c>
      <c r="Y93" s="152">
        <f>SUMIFS(Y78:Y92, $E78:$E92, $E93)</f>
        <v>0</v>
      </c>
      <c r="Z93" s="335"/>
      <c r="AA93" s="152">
        <f t="shared" ref="AA93:BJ93" si="144">SUMIFS(AA78:AA92, $E78:$E92, $E93)</f>
        <v>0</v>
      </c>
      <c r="AB93" s="152">
        <f t="shared" si="144"/>
        <v>0</v>
      </c>
      <c r="AC93" s="152">
        <f t="shared" si="144"/>
        <v>0</v>
      </c>
      <c r="AD93" s="152">
        <f t="shared" si="144"/>
        <v>0</v>
      </c>
      <c r="AE93" s="152">
        <f t="shared" si="144"/>
        <v>0</v>
      </c>
      <c r="AF93" s="152">
        <f t="shared" si="144"/>
        <v>0</v>
      </c>
      <c r="AG93" s="152">
        <f t="shared" si="144"/>
        <v>0</v>
      </c>
      <c r="AH93" s="152">
        <f t="shared" si="144"/>
        <v>0</v>
      </c>
      <c r="AI93" s="152">
        <f t="shared" si="144"/>
        <v>0</v>
      </c>
      <c r="AJ93" s="152">
        <f t="shared" si="144"/>
        <v>0</v>
      </c>
      <c r="AK93" s="152">
        <f t="shared" si="144"/>
        <v>0</v>
      </c>
      <c r="AL93" s="152">
        <f t="shared" si="144"/>
        <v>0</v>
      </c>
      <c r="AM93" s="152">
        <f t="shared" si="144"/>
        <v>0</v>
      </c>
      <c r="AN93" s="152">
        <f t="shared" si="144"/>
        <v>0</v>
      </c>
      <c r="AO93" s="152">
        <f t="shared" si="144"/>
        <v>0</v>
      </c>
      <c r="AP93" s="152">
        <f t="shared" si="144"/>
        <v>0</v>
      </c>
      <c r="AQ93" s="152">
        <f t="shared" si="144"/>
        <v>0</v>
      </c>
      <c r="AR93" s="152">
        <f t="shared" si="144"/>
        <v>0</v>
      </c>
      <c r="AS93" s="152">
        <f t="shared" si="144"/>
        <v>0</v>
      </c>
      <c r="AT93" s="152">
        <f t="shared" si="144"/>
        <v>0</v>
      </c>
      <c r="AU93" s="152">
        <f t="shared" si="144"/>
        <v>0</v>
      </c>
      <c r="AV93" s="152">
        <f t="shared" si="144"/>
        <v>0</v>
      </c>
      <c r="AW93" s="152">
        <f t="shared" si="144"/>
        <v>0</v>
      </c>
      <c r="AX93" s="152">
        <f t="shared" si="144"/>
        <v>0</v>
      </c>
      <c r="AY93" s="152">
        <f t="shared" si="144"/>
        <v>0</v>
      </c>
      <c r="AZ93" s="152">
        <f t="shared" si="144"/>
        <v>0</v>
      </c>
      <c r="BA93" s="152">
        <f t="shared" si="144"/>
        <v>0</v>
      </c>
      <c r="BB93" s="152">
        <f t="shared" si="144"/>
        <v>0</v>
      </c>
      <c r="BC93" s="152">
        <f t="shared" si="144"/>
        <v>0</v>
      </c>
      <c r="BD93" s="152">
        <f t="shared" si="144"/>
        <v>0</v>
      </c>
      <c r="BE93" s="152">
        <f t="shared" si="144"/>
        <v>0</v>
      </c>
      <c r="BF93" s="152">
        <f t="shared" si="144"/>
        <v>0</v>
      </c>
      <c r="BG93" s="152">
        <f t="shared" si="144"/>
        <v>0</v>
      </c>
      <c r="BH93" s="152">
        <f t="shared" si="144"/>
        <v>0</v>
      </c>
      <c r="BI93" s="152">
        <f t="shared" si="144"/>
        <v>0</v>
      </c>
      <c r="BJ93" s="152">
        <f t="shared" si="144"/>
        <v>0</v>
      </c>
      <c r="BL93" s="152">
        <f t="shared" ref="BL93:BW93" si="145">SUMIFS(BL78:BL92, $E78:$E92, $E93)</f>
        <v>0</v>
      </c>
      <c r="BM93" s="152">
        <f t="shared" si="145"/>
        <v>0</v>
      </c>
      <c r="BN93" s="152">
        <f t="shared" si="145"/>
        <v>0</v>
      </c>
      <c r="BO93" s="152">
        <f t="shared" si="145"/>
        <v>0</v>
      </c>
      <c r="BP93" s="152">
        <f t="shared" si="145"/>
        <v>0</v>
      </c>
      <c r="BQ93" s="152">
        <f t="shared" si="145"/>
        <v>0</v>
      </c>
      <c r="BR93" s="152">
        <f t="shared" si="145"/>
        <v>0</v>
      </c>
      <c r="BS93" s="152">
        <f t="shared" si="145"/>
        <v>0</v>
      </c>
      <c r="BT93" s="152">
        <f t="shared" si="145"/>
        <v>0</v>
      </c>
      <c r="BU93" s="152">
        <f t="shared" si="145"/>
        <v>0</v>
      </c>
      <c r="BV93" s="152">
        <f t="shared" si="145"/>
        <v>0</v>
      </c>
      <c r="BW93" s="152">
        <f t="shared" si="145"/>
        <v>0</v>
      </c>
      <c r="BY93" s="12"/>
      <c r="CA93" s="12"/>
      <c r="CI93" s="7">
        <f t="shared" si="115"/>
        <v>0</v>
      </c>
      <c r="CJ93" s="7">
        <f t="shared" si="116"/>
        <v>0</v>
      </c>
      <c r="CK93" s="7">
        <f t="shared" si="117"/>
        <v>0</v>
      </c>
      <c r="CL93" s="42"/>
      <c r="CM93" s="352">
        <f t="shared" si="105"/>
        <v>0</v>
      </c>
      <c r="CN93" s="352">
        <f t="shared" si="106"/>
        <v>0</v>
      </c>
      <c r="CO93" s="352">
        <f t="shared" si="107"/>
        <v>0</v>
      </c>
      <c r="CP93" s="352">
        <f t="shared" si="108"/>
        <v>0</v>
      </c>
      <c r="CQ93" s="352">
        <f t="shared" si="109"/>
        <v>0</v>
      </c>
      <c r="CR93" s="352">
        <f t="shared" si="110"/>
        <v>0</v>
      </c>
      <c r="CS93" s="352">
        <f t="shared" si="111"/>
        <v>0</v>
      </c>
      <c r="CT93" s="42"/>
      <c r="CU93" s="67">
        <v>0</v>
      </c>
      <c r="CV93" s="67">
        <v>0</v>
      </c>
      <c r="EX93" s="10" t="str">
        <f t="shared" si="99"/>
        <v/>
      </c>
    </row>
    <row r="94" spans="1:154" x14ac:dyDescent="0.25">
      <c r="A94" s="362" cm="1">
        <f t="array" aca="1" ref="A94" ca="1">HYPERLINK(CONCATENATE("#",CELL("address",IF(SUM($CA94:$CL94)=0,A94,INDEX($CA94:$CL94,MATCH(1,$CA94:$CL94,0))))),SUM($CA94:$CL94))</f>
        <v>0</v>
      </c>
      <c r="C94" s="410"/>
      <c r="D94" s="82" t="s">
        <v>384</v>
      </c>
      <c r="E94" s="82" t="str">
        <f>Parameters!$D$46</f>
        <v>Equipment</v>
      </c>
      <c r="F94" s="25"/>
      <c r="G94" s="25"/>
      <c r="I94" s="116"/>
      <c r="T94" s="25"/>
      <c r="U94" s="25"/>
      <c r="V94" s="13">
        <f>SUMIFS(V78:V92, $E78:$E92, $E94)</f>
        <v>0</v>
      </c>
      <c r="W94" s="13">
        <f>SUMIFS(W78:W92, $E78:$E92, $E94)</f>
        <v>0</v>
      </c>
      <c r="X94" s="211">
        <f>SUMIFS(X78:X92, $E78:$E92, $E94)</f>
        <v>0</v>
      </c>
      <c r="Y94" s="13">
        <f>SUMIFS(Y78:Y92, $E78:$E92, $E94)</f>
        <v>0</v>
      </c>
      <c r="Z94" s="335"/>
      <c r="AA94" s="13">
        <f t="shared" ref="AA94:BJ94" si="146">SUMIFS(AA78:AA92, $E78:$E92, $E94)</f>
        <v>0</v>
      </c>
      <c r="AB94" s="13">
        <f t="shared" si="146"/>
        <v>0</v>
      </c>
      <c r="AC94" s="13">
        <f t="shared" si="146"/>
        <v>0</v>
      </c>
      <c r="AD94" s="13">
        <f t="shared" si="146"/>
        <v>0</v>
      </c>
      <c r="AE94" s="13">
        <f t="shared" si="146"/>
        <v>0</v>
      </c>
      <c r="AF94" s="13">
        <f t="shared" si="146"/>
        <v>0</v>
      </c>
      <c r="AG94" s="13">
        <f t="shared" si="146"/>
        <v>0</v>
      </c>
      <c r="AH94" s="13">
        <f t="shared" si="146"/>
        <v>0</v>
      </c>
      <c r="AI94" s="13">
        <f t="shared" si="146"/>
        <v>0</v>
      </c>
      <c r="AJ94" s="13">
        <f t="shared" si="146"/>
        <v>0</v>
      </c>
      <c r="AK94" s="13">
        <f t="shared" si="146"/>
        <v>0</v>
      </c>
      <c r="AL94" s="13">
        <f t="shared" si="146"/>
        <v>0</v>
      </c>
      <c r="AM94" s="13">
        <f t="shared" si="146"/>
        <v>0</v>
      </c>
      <c r="AN94" s="13">
        <f t="shared" si="146"/>
        <v>0</v>
      </c>
      <c r="AO94" s="13">
        <f t="shared" si="146"/>
        <v>0</v>
      </c>
      <c r="AP94" s="13">
        <f t="shared" si="146"/>
        <v>0</v>
      </c>
      <c r="AQ94" s="13">
        <f t="shared" si="146"/>
        <v>0</v>
      </c>
      <c r="AR94" s="13">
        <f t="shared" si="146"/>
        <v>0</v>
      </c>
      <c r="AS94" s="13">
        <f t="shared" si="146"/>
        <v>0</v>
      </c>
      <c r="AT94" s="13">
        <f t="shared" si="146"/>
        <v>0</v>
      </c>
      <c r="AU94" s="13">
        <f t="shared" si="146"/>
        <v>0</v>
      </c>
      <c r="AV94" s="13">
        <f t="shared" si="146"/>
        <v>0</v>
      </c>
      <c r="AW94" s="13">
        <f t="shared" si="146"/>
        <v>0</v>
      </c>
      <c r="AX94" s="13">
        <f t="shared" si="146"/>
        <v>0</v>
      </c>
      <c r="AY94" s="13">
        <f t="shared" si="146"/>
        <v>0</v>
      </c>
      <c r="AZ94" s="13">
        <f t="shared" si="146"/>
        <v>0</v>
      </c>
      <c r="BA94" s="13">
        <f t="shared" si="146"/>
        <v>0</v>
      </c>
      <c r="BB94" s="13">
        <f t="shared" si="146"/>
        <v>0</v>
      </c>
      <c r="BC94" s="13">
        <f t="shared" si="146"/>
        <v>0</v>
      </c>
      <c r="BD94" s="13">
        <f t="shared" si="146"/>
        <v>0</v>
      </c>
      <c r="BE94" s="13">
        <f t="shared" si="146"/>
        <v>0</v>
      </c>
      <c r="BF94" s="13">
        <f t="shared" si="146"/>
        <v>0</v>
      </c>
      <c r="BG94" s="13">
        <f t="shared" si="146"/>
        <v>0</v>
      </c>
      <c r="BH94" s="13">
        <f t="shared" si="146"/>
        <v>0</v>
      </c>
      <c r="BI94" s="13">
        <f t="shared" si="146"/>
        <v>0</v>
      </c>
      <c r="BJ94" s="13">
        <f t="shared" si="146"/>
        <v>0</v>
      </c>
      <c r="BL94" s="13">
        <f t="shared" ref="BL94:BW94" si="147">SUMIFS(BL78:BL92, $E78:$E92, $E94)</f>
        <v>0</v>
      </c>
      <c r="BM94" s="13">
        <f t="shared" si="147"/>
        <v>0</v>
      </c>
      <c r="BN94" s="13">
        <f t="shared" si="147"/>
        <v>0</v>
      </c>
      <c r="BO94" s="13">
        <f t="shared" si="147"/>
        <v>0</v>
      </c>
      <c r="BP94" s="13">
        <f t="shared" si="147"/>
        <v>0</v>
      </c>
      <c r="BQ94" s="13">
        <f t="shared" si="147"/>
        <v>0</v>
      </c>
      <c r="BR94" s="13">
        <f t="shared" si="147"/>
        <v>0</v>
      </c>
      <c r="BS94" s="13">
        <f t="shared" si="147"/>
        <v>0</v>
      </c>
      <c r="BT94" s="13">
        <f t="shared" si="147"/>
        <v>0</v>
      </c>
      <c r="BU94" s="13">
        <f t="shared" si="147"/>
        <v>0</v>
      </c>
      <c r="BV94" s="13">
        <f t="shared" si="147"/>
        <v>0</v>
      </c>
      <c r="BW94" s="13">
        <f t="shared" si="147"/>
        <v>0</v>
      </c>
      <c r="BY94" s="12"/>
      <c r="CA94" s="12"/>
      <c r="CI94" s="7">
        <f t="shared" si="115"/>
        <v>0</v>
      </c>
      <c r="CJ94" s="7">
        <f t="shared" si="116"/>
        <v>0</v>
      </c>
      <c r="CK94" s="7">
        <f t="shared" si="117"/>
        <v>0</v>
      </c>
      <c r="CL94" s="42"/>
      <c r="CM94" s="352">
        <f t="shared" si="105"/>
        <v>0</v>
      </c>
      <c r="CN94" s="352">
        <f t="shared" si="106"/>
        <v>0</v>
      </c>
      <c r="CO94" s="352">
        <f t="shared" si="107"/>
        <v>0</v>
      </c>
      <c r="CP94" s="352">
        <f t="shared" si="108"/>
        <v>0</v>
      </c>
      <c r="CQ94" s="352">
        <f t="shared" si="109"/>
        <v>0</v>
      </c>
      <c r="CR94" s="352">
        <f t="shared" si="110"/>
        <v>0</v>
      </c>
      <c r="CS94" s="352">
        <f t="shared" si="111"/>
        <v>0</v>
      </c>
      <c r="CT94" s="42"/>
      <c r="CU94" s="67">
        <v>0</v>
      </c>
      <c r="CV94" s="67">
        <v>0</v>
      </c>
      <c r="EX94" s="10" t="str">
        <f t="shared" si="99"/>
        <v/>
      </c>
    </row>
    <row r="95" spans="1:154" x14ac:dyDescent="0.25">
      <c r="A95" s="362" cm="1">
        <f t="array" aca="1" ref="A95" ca="1">HYPERLINK(CONCATENATE("#",CELL("address",IF(SUM($CA95:$CL95)=0,A95,INDEX($CA95:$CL95,MATCH(1,$CA95:$CL95,0))))),SUM($CA95:$CL95))</f>
        <v>0</v>
      </c>
      <c r="C95" s="410"/>
      <c r="D95" s="82" t="s">
        <v>398</v>
      </c>
      <c r="E95" s="82" t="str">
        <f>Parameters!$D$47</f>
        <v>Investments</v>
      </c>
      <c r="F95" s="25"/>
      <c r="G95" s="25"/>
      <c r="I95" s="116"/>
      <c r="T95" s="25"/>
      <c r="U95" s="25"/>
      <c r="V95" s="13">
        <f>SUMIFS(V78:V92, $E78:$E92, $E95)</f>
        <v>0</v>
      </c>
      <c r="W95" s="13">
        <f>SUMIFS(W78:W92, $E78:$E92, $E95)</f>
        <v>0</v>
      </c>
      <c r="X95" s="13">
        <f>SUMIFS(X78:X92, $E78:$E92, $E95)</f>
        <v>0</v>
      </c>
      <c r="Y95" s="13">
        <f>SUMIFS(Y78:Y92, $E78:$E92, $E95)</f>
        <v>0</v>
      </c>
      <c r="Z95" s="335"/>
      <c r="AA95" s="13">
        <f t="shared" ref="AA95:BJ95" si="148">SUMIFS(AA78:AA92, $E78:$E92, $E95)</f>
        <v>0</v>
      </c>
      <c r="AB95" s="13">
        <f t="shared" si="148"/>
        <v>0</v>
      </c>
      <c r="AC95" s="13">
        <f t="shared" si="148"/>
        <v>0</v>
      </c>
      <c r="AD95" s="13">
        <f t="shared" si="148"/>
        <v>0</v>
      </c>
      <c r="AE95" s="13">
        <f t="shared" si="148"/>
        <v>0</v>
      </c>
      <c r="AF95" s="13">
        <f t="shared" si="148"/>
        <v>0</v>
      </c>
      <c r="AG95" s="13">
        <f t="shared" si="148"/>
        <v>0</v>
      </c>
      <c r="AH95" s="13">
        <f t="shared" si="148"/>
        <v>0</v>
      </c>
      <c r="AI95" s="13">
        <f t="shared" si="148"/>
        <v>0</v>
      </c>
      <c r="AJ95" s="13">
        <f t="shared" si="148"/>
        <v>0</v>
      </c>
      <c r="AK95" s="13">
        <f t="shared" si="148"/>
        <v>0</v>
      </c>
      <c r="AL95" s="13">
        <f t="shared" si="148"/>
        <v>0</v>
      </c>
      <c r="AM95" s="13">
        <f t="shared" si="148"/>
        <v>0</v>
      </c>
      <c r="AN95" s="13">
        <f t="shared" si="148"/>
        <v>0</v>
      </c>
      <c r="AO95" s="13">
        <f t="shared" si="148"/>
        <v>0</v>
      </c>
      <c r="AP95" s="13">
        <f t="shared" si="148"/>
        <v>0</v>
      </c>
      <c r="AQ95" s="13">
        <f t="shared" si="148"/>
        <v>0</v>
      </c>
      <c r="AR95" s="13">
        <f t="shared" si="148"/>
        <v>0</v>
      </c>
      <c r="AS95" s="13">
        <f t="shared" si="148"/>
        <v>0</v>
      </c>
      <c r="AT95" s="13">
        <f t="shared" si="148"/>
        <v>0</v>
      </c>
      <c r="AU95" s="13">
        <f t="shared" si="148"/>
        <v>0</v>
      </c>
      <c r="AV95" s="13">
        <f t="shared" si="148"/>
        <v>0</v>
      </c>
      <c r="AW95" s="13">
        <f t="shared" si="148"/>
        <v>0</v>
      </c>
      <c r="AX95" s="13">
        <f t="shared" si="148"/>
        <v>0</v>
      </c>
      <c r="AY95" s="13">
        <f t="shared" si="148"/>
        <v>0</v>
      </c>
      <c r="AZ95" s="13">
        <f t="shared" si="148"/>
        <v>0</v>
      </c>
      <c r="BA95" s="13">
        <f t="shared" si="148"/>
        <v>0</v>
      </c>
      <c r="BB95" s="13">
        <f t="shared" si="148"/>
        <v>0</v>
      </c>
      <c r="BC95" s="13">
        <f t="shared" si="148"/>
        <v>0</v>
      </c>
      <c r="BD95" s="13">
        <f t="shared" si="148"/>
        <v>0</v>
      </c>
      <c r="BE95" s="13">
        <f t="shared" si="148"/>
        <v>0</v>
      </c>
      <c r="BF95" s="13">
        <f t="shared" si="148"/>
        <v>0</v>
      </c>
      <c r="BG95" s="13">
        <f t="shared" si="148"/>
        <v>0</v>
      </c>
      <c r="BH95" s="13">
        <f t="shared" si="148"/>
        <v>0</v>
      </c>
      <c r="BI95" s="13">
        <f t="shared" si="148"/>
        <v>0</v>
      </c>
      <c r="BJ95" s="13">
        <f t="shared" si="148"/>
        <v>0</v>
      </c>
      <c r="BL95" s="13">
        <f t="shared" ref="BL95:BW95" si="149">SUMIFS(BL78:BL92, $E78:$E92, $E95)</f>
        <v>0</v>
      </c>
      <c r="BM95" s="13">
        <f t="shared" si="149"/>
        <v>0</v>
      </c>
      <c r="BN95" s="13">
        <f t="shared" si="149"/>
        <v>0</v>
      </c>
      <c r="BO95" s="13">
        <f t="shared" si="149"/>
        <v>0</v>
      </c>
      <c r="BP95" s="13">
        <f t="shared" si="149"/>
        <v>0</v>
      </c>
      <c r="BQ95" s="13">
        <f t="shared" si="149"/>
        <v>0</v>
      </c>
      <c r="BR95" s="13">
        <f t="shared" si="149"/>
        <v>0</v>
      </c>
      <c r="BS95" s="13">
        <f t="shared" si="149"/>
        <v>0</v>
      </c>
      <c r="BT95" s="13">
        <f t="shared" si="149"/>
        <v>0</v>
      </c>
      <c r="BU95" s="13">
        <f t="shared" si="149"/>
        <v>0</v>
      </c>
      <c r="BV95" s="13">
        <f t="shared" si="149"/>
        <v>0</v>
      </c>
      <c r="BW95" s="13">
        <f t="shared" si="149"/>
        <v>0</v>
      </c>
      <c r="BY95" s="12"/>
      <c r="CA95" s="12"/>
      <c r="CI95" s="7">
        <f t="shared" si="115"/>
        <v>0</v>
      </c>
      <c r="CJ95" s="7">
        <f t="shared" si="116"/>
        <v>0</v>
      </c>
      <c r="CK95" s="7">
        <f t="shared" si="117"/>
        <v>0</v>
      </c>
      <c r="CL95" s="42"/>
      <c r="CM95" s="352">
        <f t="shared" si="105"/>
        <v>0</v>
      </c>
      <c r="CN95" s="352">
        <f t="shared" si="106"/>
        <v>0</v>
      </c>
      <c r="CO95" s="352">
        <f t="shared" si="107"/>
        <v>0</v>
      </c>
      <c r="CP95" s="352">
        <f t="shared" si="108"/>
        <v>0</v>
      </c>
      <c r="CQ95" s="352">
        <f t="shared" si="109"/>
        <v>0</v>
      </c>
      <c r="CR95" s="352">
        <f t="shared" si="110"/>
        <v>0</v>
      </c>
      <c r="CS95" s="352">
        <f t="shared" si="111"/>
        <v>0</v>
      </c>
      <c r="CT95" s="42"/>
      <c r="CU95" s="67">
        <v>0</v>
      </c>
      <c r="CV95" s="67">
        <v>0</v>
      </c>
      <c r="EX95" s="10" t="str">
        <f t="shared" si="99"/>
        <v/>
      </c>
    </row>
    <row r="96" spans="1:154" x14ac:dyDescent="0.25">
      <c r="A96" s="362" cm="1">
        <f t="array" aca="1" ref="A96" ca="1">HYPERLINK(CONCATENATE("#",CELL("address",IF(SUM($CA96:$CL96)=0,A96,INDEX($CA96:$CL96,MATCH(1,$CA96:$CL96,0))))),SUM($CA96:$CL96))</f>
        <v>0</v>
      </c>
      <c r="C96" s="410"/>
      <c r="D96" s="82" t="s">
        <v>399</v>
      </c>
      <c r="E96" s="82" t="str">
        <f>Parameters!$D$48</f>
        <v>Other NCA</v>
      </c>
      <c r="F96" s="25"/>
      <c r="G96" s="25"/>
      <c r="I96" s="116"/>
      <c r="T96" s="25"/>
      <c r="U96" s="25"/>
      <c r="V96" s="13">
        <f>SUMIFS(V78:V92, $E78:$E92, $E96)</f>
        <v>0</v>
      </c>
      <c r="W96" s="13">
        <f>SUMIFS(W78:W92, $E78:$E92, $E96)</f>
        <v>0</v>
      </c>
      <c r="X96" s="13">
        <f>SUMIFS(X78:X92, $E78:$E92, $E96)</f>
        <v>0</v>
      </c>
      <c r="Y96" s="13">
        <f>SUMIFS(Y78:Y92, $E78:$E92, $E96)</f>
        <v>0</v>
      </c>
      <c r="Z96" s="335"/>
      <c r="AA96" s="13">
        <f t="shared" ref="AA96:BJ96" si="150">SUMIFS(AA78:AA92, $E78:$E92, $E96)</f>
        <v>0</v>
      </c>
      <c r="AB96" s="13">
        <f t="shared" si="150"/>
        <v>0</v>
      </c>
      <c r="AC96" s="13">
        <f t="shared" si="150"/>
        <v>0</v>
      </c>
      <c r="AD96" s="13">
        <f t="shared" si="150"/>
        <v>0</v>
      </c>
      <c r="AE96" s="13">
        <f t="shared" si="150"/>
        <v>0</v>
      </c>
      <c r="AF96" s="13">
        <f t="shared" si="150"/>
        <v>0</v>
      </c>
      <c r="AG96" s="13">
        <f t="shared" si="150"/>
        <v>0</v>
      </c>
      <c r="AH96" s="13">
        <f t="shared" si="150"/>
        <v>0</v>
      </c>
      <c r="AI96" s="13">
        <f t="shared" si="150"/>
        <v>0</v>
      </c>
      <c r="AJ96" s="13">
        <f t="shared" si="150"/>
        <v>0</v>
      </c>
      <c r="AK96" s="13">
        <f t="shared" si="150"/>
        <v>0</v>
      </c>
      <c r="AL96" s="13">
        <f t="shared" si="150"/>
        <v>0</v>
      </c>
      <c r="AM96" s="13">
        <f t="shared" si="150"/>
        <v>0</v>
      </c>
      <c r="AN96" s="13">
        <f t="shared" si="150"/>
        <v>0</v>
      </c>
      <c r="AO96" s="13">
        <f t="shared" si="150"/>
        <v>0</v>
      </c>
      <c r="AP96" s="13">
        <f t="shared" si="150"/>
        <v>0</v>
      </c>
      <c r="AQ96" s="13">
        <f t="shared" si="150"/>
        <v>0</v>
      </c>
      <c r="AR96" s="13">
        <f t="shared" si="150"/>
        <v>0</v>
      </c>
      <c r="AS96" s="13">
        <f t="shared" si="150"/>
        <v>0</v>
      </c>
      <c r="AT96" s="13">
        <f t="shared" si="150"/>
        <v>0</v>
      </c>
      <c r="AU96" s="13">
        <f t="shared" si="150"/>
        <v>0</v>
      </c>
      <c r="AV96" s="13">
        <f t="shared" si="150"/>
        <v>0</v>
      </c>
      <c r="AW96" s="13">
        <f t="shared" si="150"/>
        <v>0</v>
      </c>
      <c r="AX96" s="13">
        <f t="shared" si="150"/>
        <v>0</v>
      </c>
      <c r="AY96" s="13">
        <f t="shared" si="150"/>
        <v>0</v>
      </c>
      <c r="AZ96" s="13">
        <f t="shared" si="150"/>
        <v>0</v>
      </c>
      <c r="BA96" s="13">
        <f t="shared" si="150"/>
        <v>0</v>
      </c>
      <c r="BB96" s="13">
        <f t="shared" si="150"/>
        <v>0</v>
      </c>
      <c r="BC96" s="13">
        <f t="shared" si="150"/>
        <v>0</v>
      </c>
      <c r="BD96" s="13">
        <f t="shared" si="150"/>
        <v>0</v>
      </c>
      <c r="BE96" s="13">
        <f t="shared" si="150"/>
        <v>0</v>
      </c>
      <c r="BF96" s="13">
        <f t="shared" si="150"/>
        <v>0</v>
      </c>
      <c r="BG96" s="13">
        <f t="shared" si="150"/>
        <v>0</v>
      </c>
      <c r="BH96" s="13">
        <f t="shared" si="150"/>
        <v>0</v>
      </c>
      <c r="BI96" s="13">
        <f t="shared" si="150"/>
        <v>0</v>
      </c>
      <c r="BJ96" s="13">
        <f t="shared" si="150"/>
        <v>0</v>
      </c>
      <c r="BL96" s="13">
        <f t="shared" ref="BL96:BW96" si="151">SUMIFS(BL78:BL92, $E78:$E92, $E96)</f>
        <v>0</v>
      </c>
      <c r="BM96" s="13">
        <f t="shared" si="151"/>
        <v>0</v>
      </c>
      <c r="BN96" s="13">
        <f t="shared" si="151"/>
        <v>0</v>
      </c>
      <c r="BO96" s="13">
        <f t="shared" si="151"/>
        <v>0</v>
      </c>
      <c r="BP96" s="13">
        <f t="shared" si="151"/>
        <v>0</v>
      </c>
      <c r="BQ96" s="13">
        <f t="shared" si="151"/>
        <v>0</v>
      </c>
      <c r="BR96" s="13">
        <f t="shared" si="151"/>
        <v>0</v>
      </c>
      <c r="BS96" s="13">
        <f t="shared" si="151"/>
        <v>0</v>
      </c>
      <c r="BT96" s="13">
        <f t="shared" si="151"/>
        <v>0</v>
      </c>
      <c r="BU96" s="13">
        <f t="shared" si="151"/>
        <v>0</v>
      </c>
      <c r="BV96" s="13">
        <f t="shared" si="151"/>
        <v>0</v>
      </c>
      <c r="BW96" s="13">
        <f t="shared" si="151"/>
        <v>0</v>
      </c>
      <c r="BY96" s="12"/>
      <c r="CA96" s="12"/>
      <c r="CI96" s="7">
        <f t="shared" si="115"/>
        <v>0</v>
      </c>
      <c r="CJ96" s="7">
        <f t="shared" si="116"/>
        <v>0</v>
      </c>
      <c r="CK96" s="7">
        <f t="shared" si="117"/>
        <v>0</v>
      </c>
      <c r="CL96" s="42"/>
      <c r="CM96" s="352">
        <f t="shared" si="105"/>
        <v>0</v>
      </c>
      <c r="CN96" s="352">
        <f t="shared" si="106"/>
        <v>0</v>
      </c>
      <c r="CO96" s="352">
        <f t="shared" si="107"/>
        <v>0</v>
      </c>
      <c r="CP96" s="352">
        <f t="shared" si="108"/>
        <v>0</v>
      </c>
      <c r="CQ96" s="352">
        <f t="shared" si="109"/>
        <v>0</v>
      </c>
      <c r="CR96" s="352">
        <f t="shared" si="110"/>
        <v>0</v>
      </c>
      <c r="CS96" s="352">
        <f t="shared" si="111"/>
        <v>0</v>
      </c>
      <c r="CT96" s="42"/>
      <c r="CU96" s="67">
        <v>0</v>
      </c>
      <c r="CV96" s="67">
        <v>0</v>
      </c>
      <c r="EX96" s="10" t="str">
        <f t="shared" si="99"/>
        <v/>
      </c>
    </row>
    <row r="97" spans="1:154" x14ac:dyDescent="0.25">
      <c r="A97" s="362" cm="1">
        <f t="array" aca="1" ref="A97" ca="1">HYPERLINK(CONCATENATE("#",CELL("address",IF(SUM($CA97:$CL97)=0,A97,INDEX($CA97:$CL97,MATCH(1,$CA97:$CL97,0))))),SUM($CA97:$CL97))</f>
        <v>0</v>
      </c>
      <c r="C97" s="410"/>
      <c r="D97" s="82" t="s">
        <v>417</v>
      </c>
      <c r="E97" s="82" t="s">
        <v>391</v>
      </c>
      <c r="F97" s="25"/>
      <c r="G97" s="25"/>
      <c r="I97" s="116"/>
      <c r="T97" s="25"/>
      <c r="U97" s="25"/>
      <c r="V97" s="13">
        <f>SUM(V93:V96)</f>
        <v>0</v>
      </c>
      <c r="W97" s="13">
        <f t="shared" ref="W97:BW97" si="152">SUM(W93:W96)</f>
        <v>0</v>
      </c>
      <c r="X97" s="13">
        <f t="shared" si="152"/>
        <v>0</v>
      </c>
      <c r="Y97" s="13">
        <f t="shared" si="152"/>
        <v>0</v>
      </c>
      <c r="Z97" s="335"/>
      <c r="AA97" s="13">
        <f t="shared" si="152"/>
        <v>0</v>
      </c>
      <c r="AB97" s="13">
        <f t="shared" si="152"/>
        <v>0</v>
      </c>
      <c r="AC97" s="13">
        <f>SUM(AC93:AC96)</f>
        <v>0</v>
      </c>
      <c r="AD97" s="13">
        <f t="shared" si="152"/>
        <v>0</v>
      </c>
      <c r="AE97" s="13">
        <f t="shared" si="152"/>
        <v>0</v>
      </c>
      <c r="AF97" s="13">
        <f t="shared" si="152"/>
        <v>0</v>
      </c>
      <c r="AG97" s="13">
        <f t="shared" si="152"/>
        <v>0</v>
      </c>
      <c r="AH97" s="13">
        <f t="shared" si="152"/>
        <v>0</v>
      </c>
      <c r="AI97" s="13">
        <f t="shared" si="152"/>
        <v>0</v>
      </c>
      <c r="AJ97" s="13">
        <f t="shared" si="152"/>
        <v>0</v>
      </c>
      <c r="AK97" s="13">
        <f t="shared" si="152"/>
        <v>0</v>
      </c>
      <c r="AL97" s="13">
        <f t="shared" si="152"/>
        <v>0</v>
      </c>
      <c r="AM97" s="13">
        <f t="shared" si="152"/>
        <v>0</v>
      </c>
      <c r="AN97" s="13">
        <f t="shared" si="152"/>
        <v>0</v>
      </c>
      <c r="AO97" s="13">
        <f t="shared" si="152"/>
        <v>0</v>
      </c>
      <c r="AP97" s="13">
        <f t="shared" si="152"/>
        <v>0</v>
      </c>
      <c r="AQ97" s="13">
        <f t="shared" si="152"/>
        <v>0</v>
      </c>
      <c r="AR97" s="13">
        <f t="shared" si="152"/>
        <v>0</v>
      </c>
      <c r="AS97" s="13">
        <f t="shared" si="152"/>
        <v>0</v>
      </c>
      <c r="AT97" s="13">
        <f t="shared" si="152"/>
        <v>0</v>
      </c>
      <c r="AU97" s="13">
        <f t="shared" si="152"/>
        <v>0</v>
      </c>
      <c r="AV97" s="13">
        <f t="shared" si="152"/>
        <v>0</v>
      </c>
      <c r="AW97" s="13">
        <f t="shared" si="152"/>
        <v>0</v>
      </c>
      <c r="AX97" s="13">
        <f t="shared" si="152"/>
        <v>0</v>
      </c>
      <c r="AY97" s="13">
        <f t="shared" si="152"/>
        <v>0</v>
      </c>
      <c r="AZ97" s="13">
        <f t="shared" si="152"/>
        <v>0</v>
      </c>
      <c r="BA97" s="13">
        <f t="shared" si="152"/>
        <v>0</v>
      </c>
      <c r="BB97" s="13">
        <f t="shared" si="152"/>
        <v>0</v>
      </c>
      <c r="BC97" s="13">
        <f t="shared" si="152"/>
        <v>0</v>
      </c>
      <c r="BD97" s="13">
        <f t="shared" si="152"/>
        <v>0</v>
      </c>
      <c r="BE97" s="13">
        <f t="shared" si="152"/>
        <v>0</v>
      </c>
      <c r="BF97" s="13">
        <f t="shared" si="152"/>
        <v>0</v>
      </c>
      <c r="BG97" s="13">
        <f t="shared" si="152"/>
        <v>0</v>
      </c>
      <c r="BH97" s="13">
        <f t="shared" si="152"/>
        <v>0</v>
      </c>
      <c r="BI97" s="13">
        <f t="shared" si="152"/>
        <v>0</v>
      </c>
      <c r="BJ97" s="13">
        <f t="shared" si="152"/>
        <v>0</v>
      </c>
      <c r="BL97" s="13">
        <f t="shared" si="152"/>
        <v>0</v>
      </c>
      <c r="BM97" s="13">
        <f t="shared" si="152"/>
        <v>0</v>
      </c>
      <c r="BN97" s="13">
        <f t="shared" si="152"/>
        <v>0</v>
      </c>
      <c r="BO97" s="13">
        <f t="shared" si="152"/>
        <v>0</v>
      </c>
      <c r="BP97" s="13">
        <f t="shared" si="152"/>
        <v>0</v>
      </c>
      <c r="BQ97" s="13">
        <f t="shared" si="152"/>
        <v>0</v>
      </c>
      <c r="BR97" s="13">
        <f t="shared" si="152"/>
        <v>0</v>
      </c>
      <c r="BS97" s="13">
        <f t="shared" si="152"/>
        <v>0</v>
      </c>
      <c r="BT97" s="13">
        <f t="shared" si="152"/>
        <v>0</v>
      </c>
      <c r="BU97" s="13">
        <f t="shared" si="152"/>
        <v>0</v>
      </c>
      <c r="BV97" s="13">
        <f t="shared" si="152"/>
        <v>0</v>
      </c>
      <c r="BW97" s="13">
        <f t="shared" si="152"/>
        <v>0</v>
      </c>
      <c r="BY97" s="12"/>
      <c r="CA97" s="12"/>
      <c r="CH97" s="7">
        <f>IF(ROUND(SUM($V97:$BW97)-SUM($V78:$BW92), rounding)=0, 0, 1)</f>
        <v>0</v>
      </c>
      <c r="CI97" s="7">
        <f t="shared" si="115"/>
        <v>0</v>
      </c>
      <c r="CJ97" s="7">
        <f t="shared" si="116"/>
        <v>0</v>
      </c>
      <c r="CK97" s="7">
        <f t="shared" si="117"/>
        <v>0</v>
      </c>
      <c r="CL97" s="42"/>
      <c r="CM97" s="352">
        <f t="shared" si="105"/>
        <v>0</v>
      </c>
      <c r="CN97" s="352">
        <f t="shared" si="106"/>
        <v>0</v>
      </c>
      <c r="CO97" s="352">
        <f t="shared" si="107"/>
        <v>0</v>
      </c>
      <c r="CP97" s="352">
        <f t="shared" si="108"/>
        <v>0</v>
      </c>
      <c r="CQ97" s="352">
        <f t="shared" si="109"/>
        <v>0</v>
      </c>
      <c r="CR97" s="352">
        <f t="shared" si="110"/>
        <v>0</v>
      </c>
      <c r="CS97" s="352">
        <f t="shared" si="111"/>
        <v>0</v>
      </c>
      <c r="CT97" s="42"/>
      <c r="CU97" s="67">
        <v>0</v>
      </c>
      <c r="CV97" s="67">
        <v>0</v>
      </c>
      <c r="EX97" s="10" t="str">
        <f t="shared" si="99"/>
        <v/>
      </c>
    </row>
    <row r="98" spans="1:154" ht="6.6" customHeight="1" x14ac:dyDescent="0.25">
      <c r="C98" s="410"/>
      <c r="D98" s="35"/>
      <c r="E98" s="25"/>
      <c r="F98" s="25"/>
      <c r="G98" s="25"/>
      <c r="T98" s="25"/>
      <c r="U98" s="25"/>
      <c r="V98" s="25"/>
      <c r="W98" s="25"/>
      <c r="X98" s="25"/>
      <c r="Y98" s="25"/>
      <c r="Z98" s="33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L98" s="25"/>
      <c r="BM98" s="155"/>
      <c r="BN98" s="25"/>
      <c r="BO98" s="25"/>
      <c r="BP98" s="25"/>
      <c r="BQ98" s="25"/>
      <c r="BR98" s="25"/>
      <c r="BS98" s="25"/>
      <c r="BT98" s="25"/>
      <c r="BU98" s="25"/>
      <c r="BV98" s="25"/>
      <c r="BW98" s="25"/>
      <c r="BY98" s="42"/>
      <c r="CA98" s="42"/>
      <c r="CL98" s="42"/>
      <c r="CM98" s="352"/>
      <c r="CN98" s="352"/>
      <c r="CO98" s="352"/>
      <c r="CP98" s="352"/>
      <c r="CQ98" s="352"/>
      <c r="CR98" s="352"/>
      <c r="CS98" s="352"/>
      <c r="CT98" s="42"/>
      <c r="CU98" s="67">
        <v>0</v>
      </c>
      <c r="CV98" s="67">
        <v>0</v>
      </c>
      <c r="EX98" s="10" t="str">
        <f t="shared" si="99"/>
        <v/>
      </c>
    </row>
    <row r="99" spans="1:154" x14ac:dyDescent="0.25">
      <c r="A99" s="108"/>
      <c r="B99" s="108"/>
      <c r="C99" s="411"/>
      <c r="D99" s="148" t="s">
        <v>95</v>
      </c>
      <c r="E99" s="148"/>
      <c r="F99" s="148"/>
      <c r="G99" s="148"/>
      <c r="H99" s="40"/>
      <c r="I99" s="40"/>
      <c r="J99" s="40"/>
      <c r="K99" s="40"/>
      <c r="L99" s="40"/>
      <c r="M99" s="40"/>
      <c r="N99" s="40"/>
      <c r="O99" s="40"/>
      <c r="P99" s="40"/>
      <c r="Q99" s="40"/>
      <c r="R99" s="40"/>
      <c r="S99" s="40"/>
      <c r="T99" s="148"/>
      <c r="U99" s="148"/>
      <c r="V99" s="148"/>
      <c r="W99" s="148"/>
      <c r="X99" s="148"/>
      <c r="Y99" s="148"/>
      <c r="Z99" s="335"/>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40"/>
      <c r="BL99" s="148"/>
      <c r="BM99" s="148"/>
      <c r="BN99" s="148"/>
      <c r="BO99" s="148"/>
      <c r="BP99" s="148"/>
      <c r="BQ99" s="148"/>
      <c r="BR99" s="148"/>
      <c r="BS99" s="148"/>
      <c r="BT99" s="148"/>
      <c r="BU99" s="148"/>
      <c r="BV99" s="148"/>
      <c r="BW99" s="148"/>
      <c r="BX99" s="40"/>
      <c r="BY99" s="42"/>
      <c r="CA99" s="42"/>
      <c r="CL99" s="42"/>
      <c r="CT99" s="42"/>
      <c r="CU99" s="67">
        <v>0</v>
      </c>
      <c r="CV99" s="67">
        <v>0</v>
      </c>
      <c r="EX99" s="10" t="str">
        <f t="shared" si="99"/>
        <v/>
      </c>
    </row>
    <row r="100" spans="1:154" ht="6.6" customHeight="1" x14ac:dyDescent="0.25">
      <c r="C100" s="410"/>
      <c r="D100" s="35"/>
      <c r="E100" s="25"/>
      <c r="F100" s="25"/>
      <c r="G100" s="25"/>
      <c r="T100" s="25"/>
      <c r="U100" s="25"/>
      <c r="V100" s="25"/>
      <c r="W100" s="25"/>
      <c r="X100" s="25"/>
      <c r="Y100" s="25"/>
      <c r="Z100" s="33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L100" s="25"/>
      <c r="BM100" s="155"/>
      <c r="BN100" s="25"/>
      <c r="BO100" s="25"/>
      <c r="BP100" s="25"/>
      <c r="BQ100" s="25"/>
      <c r="BR100" s="25"/>
      <c r="BS100" s="25"/>
      <c r="BT100" s="25"/>
      <c r="BU100" s="25"/>
      <c r="BV100" s="25"/>
      <c r="BW100" s="25"/>
      <c r="BY100" s="42"/>
      <c r="CA100" s="42"/>
      <c r="CL100" s="42"/>
      <c r="CT100" s="42"/>
      <c r="CU100" s="67">
        <v>0</v>
      </c>
      <c r="CV100" s="67">
        <v>0</v>
      </c>
      <c r="EX100" s="10" t="str">
        <f t="shared" si="99"/>
        <v/>
      </c>
    </row>
    <row r="101" spans="1:154" ht="15.75" x14ac:dyDescent="0.3">
      <c r="C101" s="410"/>
      <c r="D101" s="25"/>
      <c r="E101" s="149" t="s">
        <v>335</v>
      </c>
      <c r="F101" s="479" t="s">
        <v>335</v>
      </c>
      <c r="G101" s="479" t="s">
        <v>335</v>
      </c>
      <c r="T101" s="25"/>
      <c r="U101" s="25"/>
      <c r="V101" s="25"/>
      <c r="W101" s="25"/>
      <c r="X101" s="25"/>
      <c r="Y101" s="25"/>
      <c r="Z101" s="33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L101" s="25"/>
      <c r="BM101" s="25"/>
      <c r="BN101" s="25"/>
      <c r="BO101" s="25"/>
      <c r="BP101" s="25"/>
      <c r="BQ101" s="25"/>
      <c r="BR101" s="25"/>
      <c r="BS101" s="25"/>
      <c r="BT101" s="25"/>
      <c r="BU101" s="25"/>
      <c r="BV101" s="25"/>
      <c r="BW101" s="25"/>
      <c r="BY101" s="12"/>
      <c r="CA101" s="12"/>
      <c r="CL101" s="42"/>
      <c r="CM101" s="352"/>
      <c r="CN101" s="352"/>
      <c r="CO101" s="352"/>
      <c r="CP101" s="352"/>
      <c r="CQ101" s="352"/>
      <c r="CR101" s="352"/>
      <c r="CS101" s="352"/>
      <c r="CT101" s="42"/>
      <c r="CU101" s="67">
        <v>0</v>
      </c>
      <c r="CV101" s="67">
        <v>0</v>
      </c>
      <c r="EX101" s="10" t="str">
        <f t="shared" si="99"/>
        <v/>
      </c>
    </row>
    <row r="102" spans="1:154" s="1" customFormat="1" ht="38.25" x14ac:dyDescent="0.25">
      <c r="C102" s="412"/>
      <c r="D102" s="55" t="s">
        <v>369</v>
      </c>
      <c r="E102" s="56" t="s">
        <v>352</v>
      </c>
      <c r="F102" s="56" t="s">
        <v>370</v>
      </c>
      <c r="G102" s="57" t="s">
        <v>371</v>
      </c>
      <c r="H102" s="67"/>
      <c r="T102" s="35"/>
      <c r="U102" s="35"/>
      <c r="V102" s="35"/>
      <c r="W102" s="35"/>
      <c r="X102" s="35"/>
      <c r="Y102" s="35"/>
      <c r="Z102" s="3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L102" s="35"/>
      <c r="BM102" s="35"/>
      <c r="BN102" s="35"/>
      <c r="BO102" s="35"/>
      <c r="BP102" s="35"/>
      <c r="BQ102" s="35"/>
      <c r="BR102" s="35"/>
      <c r="BS102" s="35"/>
      <c r="BT102" s="35"/>
      <c r="BU102" s="35"/>
      <c r="BV102" s="35"/>
      <c r="BW102" s="35"/>
      <c r="BY102" s="28"/>
      <c r="CA102" s="28"/>
      <c r="CE102" s="335"/>
      <c r="CH102" s="67"/>
      <c r="CI102" s="335"/>
      <c r="CJ102" s="335"/>
      <c r="CK102" s="335"/>
      <c r="CL102" s="54"/>
      <c r="CM102" s="352"/>
      <c r="CN102" s="352"/>
      <c r="CO102" s="352"/>
      <c r="CP102" s="352"/>
      <c r="CQ102" s="352"/>
      <c r="CR102" s="352"/>
      <c r="CS102" s="352"/>
      <c r="CT102" s="54"/>
      <c r="CU102" s="1">
        <v>0</v>
      </c>
      <c r="CV102" s="1">
        <v>0</v>
      </c>
      <c r="EX102" s="10" t="str">
        <f t="shared" si="99"/>
        <v/>
      </c>
    </row>
    <row r="103" spans="1:154" x14ac:dyDescent="0.25">
      <c r="C103" s="410"/>
      <c r="D103" s="374"/>
      <c r="E103" s="375" t="s">
        <v>189</v>
      </c>
      <c r="F103" s="375" t="s">
        <v>118</v>
      </c>
      <c r="G103" s="376" t="s">
        <v>7</v>
      </c>
      <c r="T103" s="25"/>
      <c r="U103" s="25"/>
      <c r="V103" s="25"/>
      <c r="W103" s="25"/>
      <c r="X103" s="25"/>
      <c r="Y103" s="25"/>
      <c r="Z103" s="33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L103" s="25"/>
      <c r="BM103" s="25"/>
      <c r="BN103" s="25"/>
      <c r="BO103" s="25"/>
      <c r="BP103" s="25"/>
      <c r="BQ103" s="25"/>
      <c r="BR103" s="25"/>
      <c r="BS103" s="25"/>
      <c r="BT103" s="25"/>
      <c r="BU103" s="25"/>
      <c r="BV103" s="25"/>
      <c r="BW103" s="25"/>
      <c r="BY103" s="12"/>
      <c r="CA103" s="12"/>
      <c r="CL103" s="42"/>
      <c r="CM103" s="352"/>
      <c r="CN103" s="352"/>
      <c r="CO103" s="352"/>
      <c r="CP103" s="352"/>
      <c r="CQ103" s="352"/>
      <c r="CR103" s="352"/>
      <c r="CS103" s="352"/>
      <c r="CT103" s="42"/>
      <c r="CU103" s="67">
        <v>0</v>
      </c>
      <c r="CV103" s="67">
        <v>0</v>
      </c>
      <c r="EX103" s="10" t="str">
        <f t="shared" si="99"/>
        <v/>
      </c>
    </row>
    <row r="104" spans="1:154" x14ac:dyDescent="0.25">
      <c r="A104" s="362" cm="1">
        <f t="array" aca="1" ref="A104" ca="1">HYPERLINK(CONCATENATE("#",CELL("address",IF(SUM($CA104:$CL104)=0,A104,INDEX($CA104:$CL104,MATCH(1,$CA104:$CL104,0))))),SUM($CA104:$CL104))</f>
        <v>0</v>
      </c>
      <c r="C104" s="521" t="s">
        <v>1116</v>
      </c>
      <c r="D104" s="146"/>
      <c r="E104" s="146"/>
      <c r="F104" s="197"/>
      <c r="G104" s="146"/>
      <c r="H104" s="9" t="s">
        <v>98</v>
      </c>
      <c r="I104" s="9"/>
      <c r="T104" s="25"/>
      <c r="U104" s="25"/>
      <c r="V104" s="13">
        <f>0-IF(AND($F104&gt;=Timeline!$V$8,$F104 &lt;=V$5), $G104, 0)</f>
        <v>0</v>
      </c>
      <c r="W104" s="10">
        <f t="shared" ref="W104:Y118" si="153">0-IF(AND($F104&gt;V$5,$F104 &lt;=W$5), $G104, 0)</f>
        <v>0</v>
      </c>
      <c r="X104" s="10">
        <f t="shared" si="153"/>
        <v>0</v>
      </c>
      <c r="Y104" s="10">
        <f t="shared" si="153"/>
        <v>0</v>
      </c>
      <c r="Z104" s="335"/>
      <c r="AA104" s="10">
        <f t="shared" ref="AA104:BJ104" si="154">0-IF(AND($F104&gt;Z$5,$F104 &lt;=AA$5), $G104, 0)</f>
        <v>0</v>
      </c>
      <c r="AB104" s="10">
        <f t="shared" si="154"/>
        <v>0</v>
      </c>
      <c r="AC104" s="10">
        <f t="shared" si="154"/>
        <v>0</v>
      </c>
      <c r="AD104" s="10">
        <f t="shared" si="154"/>
        <v>0</v>
      </c>
      <c r="AE104" s="10">
        <f t="shared" si="154"/>
        <v>0</v>
      </c>
      <c r="AF104" s="10">
        <f t="shared" si="154"/>
        <v>0</v>
      </c>
      <c r="AG104" s="10">
        <f t="shared" si="154"/>
        <v>0</v>
      </c>
      <c r="AH104" s="10">
        <f t="shared" si="154"/>
        <v>0</v>
      </c>
      <c r="AI104" s="10">
        <f t="shared" si="154"/>
        <v>0</v>
      </c>
      <c r="AJ104" s="10">
        <f t="shared" si="154"/>
        <v>0</v>
      </c>
      <c r="AK104" s="10">
        <f t="shared" si="154"/>
        <v>0</v>
      </c>
      <c r="AL104" s="10">
        <f t="shared" si="154"/>
        <v>0</v>
      </c>
      <c r="AM104" s="10">
        <f t="shared" si="154"/>
        <v>0</v>
      </c>
      <c r="AN104" s="10">
        <f t="shared" si="154"/>
        <v>0</v>
      </c>
      <c r="AO104" s="10">
        <f t="shared" si="154"/>
        <v>0</v>
      </c>
      <c r="AP104" s="10">
        <f t="shared" si="154"/>
        <v>0</v>
      </c>
      <c r="AQ104" s="10">
        <f t="shared" si="154"/>
        <v>0</v>
      </c>
      <c r="AR104" s="10">
        <f t="shared" si="154"/>
        <v>0</v>
      </c>
      <c r="AS104" s="10">
        <f t="shared" si="154"/>
        <v>0</v>
      </c>
      <c r="AT104" s="10">
        <f t="shared" si="154"/>
        <v>0</v>
      </c>
      <c r="AU104" s="10">
        <f t="shared" si="154"/>
        <v>0</v>
      </c>
      <c r="AV104" s="10">
        <f t="shared" si="154"/>
        <v>0</v>
      </c>
      <c r="AW104" s="10">
        <f t="shared" si="154"/>
        <v>0</v>
      </c>
      <c r="AX104" s="10">
        <f t="shared" si="154"/>
        <v>0</v>
      </c>
      <c r="AY104" s="10">
        <f t="shared" si="154"/>
        <v>0</v>
      </c>
      <c r="AZ104" s="10">
        <f t="shared" si="154"/>
        <v>0</v>
      </c>
      <c r="BA104" s="10">
        <f t="shared" si="154"/>
        <v>0</v>
      </c>
      <c r="BB104" s="10">
        <f t="shared" si="154"/>
        <v>0</v>
      </c>
      <c r="BC104" s="10">
        <f t="shared" si="154"/>
        <v>0</v>
      </c>
      <c r="BD104" s="10">
        <f t="shared" si="154"/>
        <v>0</v>
      </c>
      <c r="BE104" s="10">
        <f t="shared" si="154"/>
        <v>0</v>
      </c>
      <c r="BF104" s="10">
        <f t="shared" si="154"/>
        <v>0</v>
      </c>
      <c r="BG104" s="10">
        <f t="shared" si="154"/>
        <v>0</v>
      </c>
      <c r="BH104" s="10">
        <f t="shared" si="154"/>
        <v>0</v>
      </c>
      <c r="BI104" s="10">
        <f t="shared" si="154"/>
        <v>0</v>
      </c>
      <c r="BJ104" s="10">
        <f t="shared" si="154"/>
        <v>0</v>
      </c>
      <c r="BL104" s="13">
        <f t="shared" ref="BL104:BL118" si="155">V104</f>
        <v>0</v>
      </c>
      <c r="BM104" s="10">
        <f t="shared" ref="BM104:BW104" si="156">0-IF(AND($F104&gt;BL$5,$F104 &lt;=BM$5), $G104, 0)</f>
        <v>0</v>
      </c>
      <c r="BN104" s="10">
        <f t="shared" si="156"/>
        <v>0</v>
      </c>
      <c r="BO104" s="10">
        <f t="shared" si="156"/>
        <v>0</v>
      </c>
      <c r="BP104" s="10">
        <f t="shared" si="156"/>
        <v>0</v>
      </c>
      <c r="BQ104" s="10">
        <f t="shared" si="156"/>
        <v>0</v>
      </c>
      <c r="BR104" s="10">
        <f t="shared" si="156"/>
        <v>0</v>
      </c>
      <c r="BS104" s="10">
        <f t="shared" si="156"/>
        <v>0</v>
      </c>
      <c r="BT104" s="10">
        <f t="shared" si="156"/>
        <v>0</v>
      </c>
      <c r="BU104" s="10">
        <f t="shared" si="156"/>
        <v>0</v>
      </c>
      <c r="BV104" s="10">
        <f t="shared" si="156"/>
        <v>0</v>
      </c>
      <c r="BW104" s="10">
        <f t="shared" si="156"/>
        <v>0</v>
      </c>
      <c r="BY104" s="12"/>
      <c r="BZ104" s="363">
        <f t="shared" ref="BZ104:BZ123" si="157">IF($G104&lt;0, 1, 0)</f>
        <v>0</v>
      </c>
      <c r="CA104" s="12"/>
      <c r="CB104" s="7">
        <f t="shared" ref="CB104:CB118" si="158">IF(AND(E104="", ABS(G104)&gt;0), 1,0)</f>
        <v>0</v>
      </c>
      <c r="CC104" s="7">
        <f>IF(AND(G104&lt;&gt;0, _xlfn.IFNA(MATCH(E104, Parameters!$D$45:$D$48, 0), "N/A")="N/A"), 1, 0)</f>
        <v>0</v>
      </c>
      <c r="CE104" s="7">
        <f>IF($F104="", 0, IF(AND($F104&lt;=$BW$5, $F104&gt;=Timeline!$V$8), 0, 1))</f>
        <v>0</v>
      </c>
      <c r="CI104" s="7">
        <f>IF(SUM($CM104:$CO104)=0, 0, 1)</f>
        <v>0</v>
      </c>
      <c r="CJ104" s="7">
        <f>IF(SUM($CP104:$CR104)=0, 0, 1)</f>
        <v>0</v>
      </c>
      <c r="CK104" s="7">
        <f>IF($CS104=0, 0, 1)</f>
        <v>0</v>
      </c>
      <c r="CL104" s="42"/>
      <c r="CM104" s="352">
        <f t="shared" ref="CM104:CM123" si="159">ROUND(W104-SUMIFS($AA104:$BJ104, $AA$3:$BJ$3, W$3), rounding)</f>
        <v>0</v>
      </c>
      <c r="CN104" s="352">
        <f t="shared" ref="CN104:CN123" si="160">ROUND(X104-SUMIFS($AA104:$BJ104, $AA$3:$BJ$3, X$3), rounding)</f>
        <v>0</v>
      </c>
      <c r="CO104" s="352">
        <f t="shared" ref="CO104:CO123" si="161">ROUND(Y104-SUMIFS($AA104:$BJ104, $AA$3:$BJ$3, Y$3), rounding)</f>
        <v>0</v>
      </c>
      <c r="CP104" s="352">
        <f t="shared" ref="CP104:CP123" si="162">ROUND($BM104-SUMIFS($AA104:$BJ104, $AA$3:$BJ$3, $BM$3), rounding)</f>
        <v>0</v>
      </c>
      <c r="CQ104" s="352">
        <f t="shared" ref="CQ104:CQ123" si="163">ROUND($BN104-SUMIFS($AA104:$BJ104, $AA$3:$BJ$3, $BN$3), rounding)</f>
        <v>0</v>
      </c>
      <c r="CR104" s="352">
        <f t="shared" ref="CR104:CR123" si="164">ROUND($BO104-SUMIFS($AA104:$BJ104, $AA$3:$BJ$3, $BO$3), rounding)</f>
        <v>0</v>
      </c>
      <c r="CS104" s="352">
        <f t="shared" ref="CS104:CS123" si="165">ROUND($V104-$BL104, rounding)</f>
        <v>0</v>
      </c>
      <c r="CT104" s="42"/>
      <c r="CU104" s="67">
        <v>0</v>
      </c>
      <c r="CV104" s="67">
        <v>0</v>
      </c>
      <c r="EX104" s="13" t="str">
        <f t="shared" ref="EX104:EX118" si="166">IF($C104="","",CONCATENATE(D$99, " ",$C104))</f>
        <v>Moved to Assets Held for Sale AH1</v>
      </c>
    </row>
    <row r="105" spans="1:154" x14ac:dyDescent="0.25">
      <c r="A105" s="362" cm="1">
        <f t="array" aca="1" ref="A105" ca="1">HYPERLINK(CONCATENATE("#",CELL("address",IF(SUM($CA105:$CL105)=0,A105,INDEX($CA105:$CL105,MATCH(1,$CA105:$CL105,0))))),SUM($CA105:$CL105))</f>
        <v>0</v>
      </c>
      <c r="C105" s="521" t="s">
        <v>1117</v>
      </c>
      <c r="D105" s="142"/>
      <c r="E105" s="146"/>
      <c r="F105" s="143"/>
      <c r="G105" s="142"/>
      <c r="H105" s="9" t="s">
        <v>98</v>
      </c>
      <c r="I105" s="9"/>
      <c r="T105" s="25"/>
      <c r="U105" s="25"/>
      <c r="V105" s="13">
        <f>0-IF(AND($F105&gt;=Timeline!$V$8,$F105 &lt;=V$5), $G105, 0)</f>
        <v>0</v>
      </c>
      <c r="W105" s="10">
        <f t="shared" si="153"/>
        <v>0</v>
      </c>
      <c r="X105" s="10">
        <f t="shared" si="153"/>
        <v>0</v>
      </c>
      <c r="Y105" s="10">
        <f t="shared" si="153"/>
        <v>0</v>
      </c>
      <c r="Z105" s="335"/>
      <c r="AA105" s="10">
        <f t="shared" ref="AA105:BJ105" si="167">0-IF(AND($F105&gt;Z$5,$F105 &lt;=AA$5), $G105, 0)</f>
        <v>0</v>
      </c>
      <c r="AB105" s="10">
        <f t="shared" si="167"/>
        <v>0</v>
      </c>
      <c r="AC105" s="10">
        <f t="shared" si="167"/>
        <v>0</v>
      </c>
      <c r="AD105" s="10">
        <f t="shared" si="167"/>
        <v>0</v>
      </c>
      <c r="AE105" s="10">
        <f t="shared" si="167"/>
        <v>0</v>
      </c>
      <c r="AF105" s="10">
        <f t="shared" si="167"/>
        <v>0</v>
      </c>
      <c r="AG105" s="10">
        <f t="shared" si="167"/>
        <v>0</v>
      </c>
      <c r="AH105" s="10">
        <f t="shared" si="167"/>
        <v>0</v>
      </c>
      <c r="AI105" s="10">
        <f t="shared" si="167"/>
        <v>0</v>
      </c>
      <c r="AJ105" s="10">
        <f t="shared" si="167"/>
        <v>0</v>
      </c>
      <c r="AK105" s="10">
        <f t="shared" si="167"/>
        <v>0</v>
      </c>
      <c r="AL105" s="10">
        <f t="shared" si="167"/>
        <v>0</v>
      </c>
      <c r="AM105" s="10">
        <f t="shared" si="167"/>
        <v>0</v>
      </c>
      <c r="AN105" s="10">
        <f t="shared" si="167"/>
        <v>0</v>
      </c>
      <c r="AO105" s="10">
        <f t="shared" si="167"/>
        <v>0</v>
      </c>
      <c r="AP105" s="10">
        <f t="shared" si="167"/>
        <v>0</v>
      </c>
      <c r="AQ105" s="10">
        <f t="shared" si="167"/>
        <v>0</v>
      </c>
      <c r="AR105" s="10">
        <f t="shared" si="167"/>
        <v>0</v>
      </c>
      <c r="AS105" s="10">
        <f t="shared" si="167"/>
        <v>0</v>
      </c>
      <c r="AT105" s="10">
        <f t="shared" si="167"/>
        <v>0</v>
      </c>
      <c r="AU105" s="10">
        <f t="shared" si="167"/>
        <v>0</v>
      </c>
      <c r="AV105" s="10">
        <f t="shared" si="167"/>
        <v>0</v>
      </c>
      <c r="AW105" s="10">
        <f t="shared" si="167"/>
        <v>0</v>
      </c>
      <c r="AX105" s="10">
        <f t="shared" si="167"/>
        <v>0</v>
      </c>
      <c r="AY105" s="10">
        <f t="shared" si="167"/>
        <v>0</v>
      </c>
      <c r="AZ105" s="10">
        <f t="shared" si="167"/>
        <v>0</v>
      </c>
      <c r="BA105" s="10">
        <f t="shared" si="167"/>
        <v>0</v>
      </c>
      <c r="BB105" s="10">
        <f t="shared" si="167"/>
        <v>0</v>
      </c>
      <c r="BC105" s="10">
        <f t="shared" si="167"/>
        <v>0</v>
      </c>
      <c r="BD105" s="10">
        <f t="shared" si="167"/>
        <v>0</v>
      </c>
      <c r="BE105" s="10">
        <f t="shared" si="167"/>
        <v>0</v>
      </c>
      <c r="BF105" s="10">
        <f t="shared" si="167"/>
        <v>0</v>
      </c>
      <c r="BG105" s="10">
        <f t="shared" si="167"/>
        <v>0</v>
      </c>
      <c r="BH105" s="10">
        <f t="shared" si="167"/>
        <v>0</v>
      </c>
      <c r="BI105" s="10">
        <f t="shared" si="167"/>
        <v>0</v>
      </c>
      <c r="BJ105" s="10">
        <f t="shared" si="167"/>
        <v>0</v>
      </c>
      <c r="BL105" s="13">
        <f t="shared" si="155"/>
        <v>0</v>
      </c>
      <c r="BM105" s="10">
        <f t="shared" ref="BM105:BW105" si="168">0-IF(AND($F105&gt;BL$5,$F105 &lt;=BM$5), $G105, 0)</f>
        <v>0</v>
      </c>
      <c r="BN105" s="10">
        <f t="shared" si="168"/>
        <v>0</v>
      </c>
      <c r="BO105" s="10">
        <f t="shared" si="168"/>
        <v>0</v>
      </c>
      <c r="BP105" s="10">
        <f t="shared" si="168"/>
        <v>0</v>
      </c>
      <c r="BQ105" s="10">
        <f t="shared" si="168"/>
        <v>0</v>
      </c>
      <c r="BR105" s="10">
        <f t="shared" si="168"/>
        <v>0</v>
      </c>
      <c r="BS105" s="10">
        <f t="shared" si="168"/>
        <v>0</v>
      </c>
      <c r="BT105" s="10">
        <f t="shared" si="168"/>
        <v>0</v>
      </c>
      <c r="BU105" s="10">
        <f t="shared" si="168"/>
        <v>0</v>
      </c>
      <c r="BV105" s="10">
        <f t="shared" si="168"/>
        <v>0</v>
      </c>
      <c r="BW105" s="10">
        <f t="shared" si="168"/>
        <v>0</v>
      </c>
      <c r="BY105" s="12"/>
      <c r="BZ105" s="363">
        <f t="shared" si="157"/>
        <v>0</v>
      </c>
      <c r="CA105" s="12"/>
      <c r="CB105" s="7">
        <f t="shared" si="158"/>
        <v>0</v>
      </c>
      <c r="CC105" s="7">
        <f>IF(AND(G105&lt;&gt;0, _xlfn.IFNA(MATCH(E105, Parameters!$D$45:$D$48, 0), "N/A")="N/A"), 1, 0)</f>
        <v>0</v>
      </c>
      <c r="CE105" s="7">
        <f>IF($F105="", 0, IF(AND($F105&lt;=$BW$5, $F105&gt;=Timeline!$V$8), 0, 1))</f>
        <v>0</v>
      </c>
      <c r="CI105" s="7">
        <f t="shared" ref="CI105:CI123" si="169">IF(SUM($CM105:$CO105)=0, 0, 1)</f>
        <v>0</v>
      </c>
      <c r="CJ105" s="7">
        <f t="shared" ref="CJ105:CJ123" si="170">IF(SUM($CP105:$CR105)=0, 0, 1)</f>
        <v>0</v>
      </c>
      <c r="CK105" s="7">
        <f t="shared" ref="CK105:CK123" si="171">IF($CS105=0, 0, 1)</f>
        <v>0</v>
      </c>
      <c r="CL105" s="42"/>
      <c r="CM105" s="352">
        <f t="shared" si="159"/>
        <v>0</v>
      </c>
      <c r="CN105" s="352">
        <f t="shared" si="160"/>
        <v>0</v>
      </c>
      <c r="CO105" s="352">
        <f t="shared" si="161"/>
        <v>0</v>
      </c>
      <c r="CP105" s="352">
        <f t="shared" si="162"/>
        <v>0</v>
      </c>
      <c r="CQ105" s="352">
        <f t="shared" si="163"/>
        <v>0</v>
      </c>
      <c r="CR105" s="352">
        <f t="shared" si="164"/>
        <v>0</v>
      </c>
      <c r="CS105" s="352">
        <f t="shared" si="165"/>
        <v>0</v>
      </c>
      <c r="CT105" s="42"/>
      <c r="CU105" s="67">
        <v>0</v>
      </c>
      <c r="CV105" s="67">
        <v>0</v>
      </c>
      <c r="EX105" s="13" t="str">
        <f t="shared" si="166"/>
        <v>Moved to Assets Held for Sale AH2</v>
      </c>
    </row>
    <row r="106" spans="1:154" x14ac:dyDescent="0.25">
      <c r="A106" s="362" cm="1">
        <f t="array" aca="1" ref="A106" ca="1">HYPERLINK(CONCATENATE("#",CELL("address",IF(SUM($CA106:$CL106)=0,A106,INDEX($CA106:$CL106,MATCH(1,$CA106:$CL106,0))))),SUM($CA106:$CL106))</f>
        <v>0</v>
      </c>
      <c r="C106" s="521" t="s">
        <v>1118</v>
      </c>
      <c r="D106" s="142"/>
      <c r="E106" s="146"/>
      <c r="F106" s="143"/>
      <c r="G106" s="142"/>
      <c r="H106" s="9" t="s">
        <v>98</v>
      </c>
      <c r="I106" s="9"/>
      <c r="T106" s="25"/>
      <c r="U106" s="25"/>
      <c r="V106" s="13">
        <f>0-IF(AND($F106&gt;=Timeline!$V$8,$F106 &lt;=V$5), $G106, 0)</f>
        <v>0</v>
      </c>
      <c r="W106" s="10">
        <f t="shared" si="153"/>
        <v>0</v>
      </c>
      <c r="X106" s="10">
        <f t="shared" si="153"/>
        <v>0</v>
      </c>
      <c r="Y106" s="10">
        <f t="shared" si="153"/>
        <v>0</v>
      </c>
      <c r="Z106" s="335"/>
      <c r="AA106" s="10">
        <f t="shared" ref="AA106:BJ106" si="172">0-IF(AND($F106&gt;Z$5,$F106 &lt;=AA$5), $G106, 0)</f>
        <v>0</v>
      </c>
      <c r="AB106" s="10">
        <f t="shared" si="172"/>
        <v>0</v>
      </c>
      <c r="AC106" s="10">
        <f t="shared" si="172"/>
        <v>0</v>
      </c>
      <c r="AD106" s="10">
        <f t="shared" si="172"/>
        <v>0</v>
      </c>
      <c r="AE106" s="10">
        <f t="shared" si="172"/>
        <v>0</v>
      </c>
      <c r="AF106" s="10">
        <f t="shared" si="172"/>
        <v>0</v>
      </c>
      <c r="AG106" s="10">
        <f t="shared" si="172"/>
        <v>0</v>
      </c>
      <c r="AH106" s="10">
        <f t="shared" si="172"/>
        <v>0</v>
      </c>
      <c r="AI106" s="10">
        <f t="shared" si="172"/>
        <v>0</v>
      </c>
      <c r="AJ106" s="10">
        <f t="shared" si="172"/>
        <v>0</v>
      </c>
      <c r="AK106" s="10">
        <f t="shared" si="172"/>
        <v>0</v>
      </c>
      <c r="AL106" s="10">
        <f t="shared" si="172"/>
        <v>0</v>
      </c>
      <c r="AM106" s="10">
        <f t="shared" si="172"/>
        <v>0</v>
      </c>
      <c r="AN106" s="10">
        <f t="shared" si="172"/>
        <v>0</v>
      </c>
      <c r="AO106" s="10">
        <f t="shared" si="172"/>
        <v>0</v>
      </c>
      <c r="AP106" s="10">
        <f t="shared" si="172"/>
        <v>0</v>
      </c>
      <c r="AQ106" s="10">
        <f t="shared" si="172"/>
        <v>0</v>
      </c>
      <c r="AR106" s="10">
        <f t="shared" si="172"/>
        <v>0</v>
      </c>
      <c r="AS106" s="10">
        <f t="shared" si="172"/>
        <v>0</v>
      </c>
      <c r="AT106" s="10">
        <f t="shared" si="172"/>
        <v>0</v>
      </c>
      <c r="AU106" s="10">
        <f t="shared" si="172"/>
        <v>0</v>
      </c>
      <c r="AV106" s="10">
        <f t="shared" si="172"/>
        <v>0</v>
      </c>
      <c r="AW106" s="10">
        <f t="shared" si="172"/>
        <v>0</v>
      </c>
      <c r="AX106" s="10">
        <f t="shared" si="172"/>
        <v>0</v>
      </c>
      <c r="AY106" s="10">
        <f t="shared" si="172"/>
        <v>0</v>
      </c>
      <c r="AZ106" s="10">
        <f t="shared" si="172"/>
        <v>0</v>
      </c>
      <c r="BA106" s="10">
        <f t="shared" si="172"/>
        <v>0</v>
      </c>
      <c r="BB106" s="10">
        <f t="shared" si="172"/>
        <v>0</v>
      </c>
      <c r="BC106" s="10">
        <f t="shared" si="172"/>
        <v>0</v>
      </c>
      <c r="BD106" s="10">
        <f t="shared" si="172"/>
        <v>0</v>
      </c>
      <c r="BE106" s="10">
        <f t="shared" si="172"/>
        <v>0</v>
      </c>
      <c r="BF106" s="10">
        <f t="shared" si="172"/>
        <v>0</v>
      </c>
      <c r="BG106" s="10">
        <f t="shared" si="172"/>
        <v>0</v>
      </c>
      <c r="BH106" s="10">
        <f t="shared" si="172"/>
        <v>0</v>
      </c>
      <c r="BI106" s="10">
        <f t="shared" si="172"/>
        <v>0</v>
      </c>
      <c r="BJ106" s="10">
        <f t="shared" si="172"/>
        <v>0</v>
      </c>
      <c r="BL106" s="13">
        <f t="shared" si="155"/>
        <v>0</v>
      </c>
      <c r="BM106" s="10">
        <f t="shared" ref="BM106:BW106" si="173">0-IF(AND($F106&gt;BL$5,$F106 &lt;=BM$5), $G106, 0)</f>
        <v>0</v>
      </c>
      <c r="BN106" s="10">
        <f t="shared" si="173"/>
        <v>0</v>
      </c>
      <c r="BO106" s="10">
        <f t="shared" si="173"/>
        <v>0</v>
      </c>
      <c r="BP106" s="10">
        <f t="shared" si="173"/>
        <v>0</v>
      </c>
      <c r="BQ106" s="10">
        <f t="shared" si="173"/>
        <v>0</v>
      </c>
      <c r="BR106" s="10">
        <f t="shared" si="173"/>
        <v>0</v>
      </c>
      <c r="BS106" s="10">
        <f t="shared" si="173"/>
        <v>0</v>
      </c>
      <c r="BT106" s="10">
        <f t="shared" si="173"/>
        <v>0</v>
      </c>
      <c r="BU106" s="10">
        <f t="shared" si="173"/>
        <v>0</v>
      </c>
      <c r="BV106" s="10">
        <f t="shared" si="173"/>
        <v>0</v>
      </c>
      <c r="BW106" s="10">
        <f t="shared" si="173"/>
        <v>0</v>
      </c>
      <c r="BY106" s="12"/>
      <c r="BZ106" s="363">
        <f t="shared" si="157"/>
        <v>0</v>
      </c>
      <c r="CA106" s="12"/>
      <c r="CB106" s="7">
        <f t="shared" si="158"/>
        <v>0</v>
      </c>
      <c r="CC106" s="7">
        <f>IF(AND(G106&lt;&gt;0, _xlfn.IFNA(MATCH(E106, Parameters!$D$45:$D$48, 0), "N/A")="N/A"), 1, 0)</f>
        <v>0</v>
      </c>
      <c r="CE106" s="7">
        <f>IF($F106="", 0, IF(AND($F106&lt;=$BW$5, $F106&gt;=Timeline!$V$8), 0, 1))</f>
        <v>0</v>
      </c>
      <c r="CI106" s="7">
        <f t="shared" si="169"/>
        <v>0</v>
      </c>
      <c r="CJ106" s="7">
        <f t="shared" si="170"/>
        <v>0</v>
      </c>
      <c r="CK106" s="7">
        <f t="shared" si="171"/>
        <v>0</v>
      </c>
      <c r="CL106" s="196"/>
      <c r="CM106" s="352">
        <f t="shared" si="159"/>
        <v>0</v>
      </c>
      <c r="CN106" s="352">
        <f t="shared" si="160"/>
        <v>0</v>
      </c>
      <c r="CO106" s="352">
        <f t="shared" si="161"/>
        <v>0</v>
      </c>
      <c r="CP106" s="352">
        <f t="shared" si="162"/>
        <v>0</v>
      </c>
      <c r="CQ106" s="352">
        <f t="shared" si="163"/>
        <v>0</v>
      </c>
      <c r="CR106" s="352">
        <f t="shared" si="164"/>
        <v>0</v>
      </c>
      <c r="CS106" s="352">
        <f t="shared" si="165"/>
        <v>0</v>
      </c>
      <c r="CT106" s="42"/>
      <c r="CU106" s="67">
        <v>0</v>
      </c>
      <c r="CV106" s="67">
        <v>0</v>
      </c>
      <c r="EX106" s="13" t="str">
        <f t="shared" si="166"/>
        <v>Moved to Assets Held for Sale AH3</v>
      </c>
    </row>
    <row r="107" spans="1:154" x14ac:dyDescent="0.25">
      <c r="A107" s="362" cm="1">
        <f t="array" aca="1" ref="A107" ca="1">HYPERLINK(CONCATENATE("#",CELL("address",IF(SUM($CA107:$CL107)=0,A107,INDEX($CA107:$CL107,MATCH(1,$CA107:$CL107,0))))),SUM($CA107:$CL107))</f>
        <v>0</v>
      </c>
      <c r="C107" s="521" t="s">
        <v>1119</v>
      </c>
      <c r="D107" s="142"/>
      <c r="E107" s="146"/>
      <c r="F107" s="143"/>
      <c r="G107" s="142"/>
      <c r="H107" s="9" t="s">
        <v>98</v>
      </c>
      <c r="I107" s="9"/>
      <c r="T107" s="25"/>
      <c r="U107" s="25"/>
      <c r="V107" s="13">
        <f>0-IF(AND($F107&gt;=Timeline!$V$8,$F107 &lt;=V$5), $G107, 0)</f>
        <v>0</v>
      </c>
      <c r="W107" s="10">
        <f t="shared" si="153"/>
        <v>0</v>
      </c>
      <c r="X107" s="10">
        <f t="shared" si="153"/>
        <v>0</v>
      </c>
      <c r="Y107" s="10">
        <f t="shared" si="153"/>
        <v>0</v>
      </c>
      <c r="Z107" s="335"/>
      <c r="AA107" s="10">
        <f t="shared" ref="AA107:BJ107" si="174">0-IF(AND($F107&gt;Z$5,$F107 &lt;=AA$5), $G107, 0)</f>
        <v>0</v>
      </c>
      <c r="AB107" s="10">
        <f t="shared" si="174"/>
        <v>0</v>
      </c>
      <c r="AC107" s="10">
        <f t="shared" si="174"/>
        <v>0</v>
      </c>
      <c r="AD107" s="10">
        <f t="shared" si="174"/>
        <v>0</v>
      </c>
      <c r="AE107" s="10">
        <f t="shared" si="174"/>
        <v>0</v>
      </c>
      <c r="AF107" s="10">
        <f t="shared" si="174"/>
        <v>0</v>
      </c>
      <c r="AG107" s="10">
        <f t="shared" si="174"/>
        <v>0</v>
      </c>
      <c r="AH107" s="10">
        <f t="shared" si="174"/>
        <v>0</v>
      </c>
      <c r="AI107" s="10">
        <f t="shared" si="174"/>
        <v>0</v>
      </c>
      <c r="AJ107" s="10">
        <f t="shared" si="174"/>
        <v>0</v>
      </c>
      <c r="AK107" s="10">
        <f t="shared" si="174"/>
        <v>0</v>
      </c>
      <c r="AL107" s="10">
        <f t="shared" si="174"/>
        <v>0</v>
      </c>
      <c r="AM107" s="10">
        <f t="shared" si="174"/>
        <v>0</v>
      </c>
      <c r="AN107" s="10">
        <f t="shared" si="174"/>
        <v>0</v>
      </c>
      <c r="AO107" s="10">
        <f t="shared" si="174"/>
        <v>0</v>
      </c>
      <c r="AP107" s="10">
        <f t="shared" si="174"/>
        <v>0</v>
      </c>
      <c r="AQ107" s="10">
        <f t="shared" si="174"/>
        <v>0</v>
      </c>
      <c r="AR107" s="10">
        <f t="shared" si="174"/>
        <v>0</v>
      </c>
      <c r="AS107" s="10">
        <f t="shared" si="174"/>
        <v>0</v>
      </c>
      <c r="AT107" s="10">
        <f t="shared" si="174"/>
        <v>0</v>
      </c>
      <c r="AU107" s="10">
        <f t="shared" si="174"/>
        <v>0</v>
      </c>
      <c r="AV107" s="10">
        <f t="shared" si="174"/>
        <v>0</v>
      </c>
      <c r="AW107" s="10">
        <f t="shared" si="174"/>
        <v>0</v>
      </c>
      <c r="AX107" s="10">
        <f t="shared" si="174"/>
        <v>0</v>
      </c>
      <c r="AY107" s="10">
        <f t="shared" si="174"/>
        <v>0</v>
      </c>
      <c r="AZ107" s="10">
        <f t="shared" si="174"/>
        <v>0</v>
      </c>
      <c r="BA107" s="10">
        <f t="shared" si="174"/>
        <v>0</v>
      </c>
      <c r="BB107" s="10">
        <f t="shared" si="174"/>
        <v>0</v>
      </c>
      <c r="BC107" s="10">
        <f t="shared" si="174"/>
        <v>0</v>
      </c>
      <c r="BD107" s="10">
        <f t="shared" si="174"/>
        <v>0</v>
      </c>
      <c r="BE107" s="10">
        <f t="shared" si="174"/>
        <v>0</v>
      </c>
      <c r="BF107" s="10">
        <f t="shared" si="174"/>
        <v>0</v>
      </c>
      <c r="BG107" s="10">
        <f t="shared" si="174"/>
        <v>0</v>
      </c>
      <c r="BH107" s="10">
        <f t="shared" si="174"/>
        <v>0</v>
      </c>
      <c r="BI107" s="10">
        <f t="shared" si="174"/>
        <v>0</v>
      </c>
      <c r="BJ107" s="10">
        <f t="shared" si="174"/>
        <v>0</v>
      </c>
      <c r="BL107" s="13">
        <f t="shared" si="155"/>
        <v>0</v>
      </c>
      <c r="BM107" s="10">
        <f t="shared" ref="BM107:BW107" si="175">0-IF(AND($F107&gt;BL$5,$F107 &lt;=BM$5), $G107, 0)</f>
        <v>0</v>
      </c>
      <c r="BN107" s="10">
        <f t="shared" si="175"/>
        <v>0</v>
      </c>
      <c r="BO107" s="10">
        <f t="shared" si="175"/>
        <v>0</v>
      </c>
      <c r="BP107" s="10">
        <f t="shared" si="175"/>
        <v>0</v>
      </c>
      <c r="BQ107" s="10">
        <f t="shared" si="175"/>
        <v>0</v>
      </c>
      <c r="BR107" s="10">
        <f t="shared" si="175"/>
        <v>0</v>
      </c>
      <c r="BS107" s="10">
        <f t="shared" si="175"/>
        <v>0</v>
      </c>
      <c r="BT107" s="10">
        <f t="shared" si="175"/>
        <v>0</v>
      </c>
      <c r="BU107" s="10">
        <f t="shared" si="175"/>
        <v>0</v>
      </c>
      <c r="BV107" s="10">
        <f t="shared" si="175"/>
        <v>0</v>
      </c>
      <c r="BW107" s="10">
        <f t="shared" si="175"/>
        <v>0</v>
      </c>
      <c r="BY107" s="12"/>
      <c r="BZ107" s="363">
        <f t="shared" si="157"/>
        <v>0</v>
      </c>
      <c r="CA107" s="12"/>
      <c r="CB107" s="7">
        <f t="shared" si="158"/>
        <v>0</v>
      </c>
      <c r="CC107" s="7">
        <f>IF(AND(G107&lt;&gt;0, _xlfn.IFNA(MATCH(E107, Parameters!$D$45:$D$48, 0), "N/A")="N/A"), 1, 0)</f>
        <v>0</v>
      </c>
      <c r="CE107" s="7">
        <f>IF($F107="", 0, IF(AND($F107&lt;=$BW$5, $F107&gt;=Timeline!$V$8), 0, 1))</f>
        <v>0</v>
      </c>
      <c r="CI107" s="7">
        <f t="shared" si="169"/>
        <v>0</v>
      </c>
      <c r="CJ107" s="7">
        <f t="shared" si="170"/>
        <v>0</v>
      </c>
      <c r="CK107" s="7">
        <f t="shared" si="171"/>
        <v>0</v>
      </c>
      <c r="CL107" s="42"/>
      <c r="CM107" s="352">
        <f t="shared" si="159"/>
        <v>0</v>
      </c>
      <c r="CN107" s="352">
        <f t="shared" si="160"/>
        <v>0</v>
      </c>
      <c r="CO107" s="352">
        <f t="shared" si="161"/>
        <v>0</v>
      </c>
      <c r="CP107" s="352">
        <f t="shared" si="162"/>
        <v>0</v>
      </c>
      <c r="CQ107" s="352">
        <f t="shared" si="163"/>
        <v>0</v>
      </c>
      <c r="CR107" s="352">
        <f t="shared" si="164"/>
        <v>0</v>
      </c>
      <c r="CS107" s="352">
        <f t="shared" si="165"/>
        <v>0</v>
      </c>
      <c r="CT107" s="42"/>
      <c r="CU107" s="67">
        <v>0</v>
      </c>
      <c r="CV107" s="67">
        <v>0</v>
      </c>
      <c r="EX107" s="13" t="str">
        <f t="shared" si="166"/>
        <v>Moved to Assets Held for Sale AH4</v>
      </c>
    </row>
    <row r="108" spans="1:154" x14ac:dyDescent="0.25">
      <c r="A108" s="362" cm="1">
        <f t="array" aca="1" ref="A108" ca="1">HYPERLINK(CONCATENATE("#",CELL("address",IF(SUM($CA108:$CL108)=0,A108,INDEX($CA108:$CL108,MATCH(1,$CA108:$CL108,0))))),SUM($CA108:$CL108))</f>
        <v>0</v>
      </c>
      <c r="C108" s="521" t="s">
        <v>1120</v>
      </c>
      <c r="D108" s="142"/>
      <c r="E108" s="146"/>
      <c r="F108" s="143"/>
      <c r="G108" s="142"/>
      <c r="H108" s="9" t="s">
        <v>98</v>
      </c>
      <c r="I108" s="9"/>
      <c r="T108" s="25"/>
      <c r="U108" s="25"/>
      <c r="V108" s="13">
        <f>0-IF(AND($F108&gt;=Timeline!$V$8,$F108 &lt;=V$5), $G108, 0)</f>
        <v>0</v>
      </c>
      <c r="W108" s="10">
        <f t="shared" si="153"/>
        <v>0</v>
      </c>
      <c r="X108" s="10">
        <f t="shared" si="153"/>
        <v>0</v>
      </c>
      <c r="Y108" s="10">
        <f t="shared" si="153"/>
        <v>0</v>
      </c>
      <c r="Z108" s="335"/>
      <c r="AA108" s="10">
        <f t="shared" ref="AA108:BJ108" si="176">0-IF(AND($F108&gt;Z$5,$F108 &lt;=AA$5), $G108, 0)</f>
        <v>0</v>
      </c>
      <c r="AB108" s="10">
        <f t="shared" si="176"/>
        <v>0</v>
      </c>
      <c r="AC108" s="10">
        <f t="shared" si="176"/>
        <v>0</v>
      </c>
      <c r="AD108" s="10">
        <f t="shared" si="176"/>
        <v>0</v>
      </c>
      <c r="AE108" s="10">
        <f t="shared" si="176"/>
        <v>0</v>
      </c>
      <c r="AF108" s="10">
        <f t="shared" si="176"/>
        <v>0</v>
      </c>
      <c r="AG108" s="10">
        <f t="shared" si="176"/>
        <v>0</v>
      </c>
      <c r="AH108" s="10">
        <f t="shared" si="176"/>
        <v>0</v>
      </c>
      <c r="AI108" s="10">
        <f t="shared" si="176"/>
        <v>0</v>
      </c>
      <c r="AJ108" s="10">
        <f t="shared" si="176"/>
        <v>0</v>
      </c>
      <c r="AK108" s="10">
        <f t="shared" si="176"/>
        <v>0</v>
      </c>
      <c r="AL108" s="10">
        <f t="shared" si="176"/>
        <v>0</v>
      </c>
      <c r="AM108" s="10">
        <f t="shared" si="176"/>
        <v>0</v>
      </c>
      <c r="AN108" s="10">
        <f t="shared" si="176"/>
        <v>0</v>
      </c>
      <c r="AO108" s="10">
        <f t="shared" si="176"/>
        <v>0</v>
      </c>
      <c r="AP108" s="10">
        <f t="shared" si="176"/>
        <v>0</v>
      </c>
      <c r="AQ108" s="10">
        <f t="shared" si="176"/>
        <v>0</v>
      </c>
      <c r="AR108" s="10">
        <f t="shared" si="176"/>
        <v>0</v>
      </c>
      <c r="AS108" s="10">
        <f t="shared" si="176"/>
        <v>0</v>
      </c>
      <c r="AT108" s="10">
        <f t="shared" si="176"/>
        <v>0</v>
      </c>
      <c r="AU108" s="10">
        <f t="shared" si="176"/>
        <v>0</v>
      </c>
      <c r="AV108" s="10">
        <f t="shared" si="176"/>
        <v>0</v>
      </c>
      <c r="AW108" s="10">
        <f t="shared" si="176"/>
        <v>0</v>
      </c>
      <c r="AX108" s="10">
        <f t="shared" si="176"/>
        <v>0</v>
      </c>
      <c r="AY108" s="10">
        <f t="shared" si="176"/>
        <v>0</v>
      </c>
      <c r="AZ108" s="10">
        <f t="shared" si="176"/>
        <v>0</v>
      </c>
      <c r="BA108" s="10">
        <f t="shared" si="176"/>
        <v>0</v>
      </c>
      <c r="BB108" s="10">
        <f t="shared" si="176"/>
        <v>0</v>
      </c>
      <c r="BC108" s="10">
        <f t="shared" si="176"/>
        <v>0</v>
      </c>
      <c r="BD108" s="10">
        <f t="shared" si="176"/>
        <v>0</v>
      </c>
      <c r="BE108" s="10">
        <f t="shared" si="176"/>
        <v>0</v>
      </c>
      <c r="BF108" s="10">
        <f t="shared" si="176"/>
        <v>0</v>
      </c>
      <c r="BG108" s="10">
        <f t="shared" si="176"/>
        <v>0</v>
      </c>
      <c r="BH108" s="10">
        <f t="shared" si="176"/>
        <v>0</v>
      </c>
      <c r="BI108" s="10">
        <f t="shared" si="176"/>
        <v>0</v>
      </c>
      <c r="BJ108" s="10">
        <f t="shared" si="176"/>
        <v>0</v>
      </c>
      <c r="BL108" s="13">
        <f t="shared" si="155"/>
        <v>0</v>
      </c>
      <c r="BM108" s="10">
        <f t="shared" ref="BM108:BW108" si="177">0-IF(AND($F108&gt;BL$5,$F108 &lt;=BM$5), $G108, 0)</f>
        <v>0</v>
      </c>
      <c r="BN108" s="10">
        <f t="shared" si="177"/>
        <v>0</v>
      </c>
      <c r="BO108" s="10">
        <f t="shared" si="177"/>
        <v>0</v>
      </c>
      <c r="BP108" s="10">
        <f t="shared" si="177"/>
        <v>0</v>
      </c>
      <c r="BQ108" s="10">
        <f t="shared" si="177"/>
        <v>0</v>
      </c>
      <c r="BR108" s="10">
        <f t="shared" si="177"/>
        <v>0</v>
      </c>
      <c r="BS108" s="10">
        <f t="shared" si="177"/>
        <v>0</v>
      </c>
      <c r="BT108" s="10">
        <f t="shared" si="177"/>
        <v>0</v>
      </c>
      <c r="BU108" s="10">
        <f t="shared" si="177"/>
        <v>0</v>
      </c>
      <c r="BV108" s="10">
        <f t="shared" si="177"/>
        <v>0</v>
      </c>
      <c r="BW108" s="10">
        <f t="shared" si="177"/>
        <v>0</v>
      </c>
      <c r="BY108" s="12"/>
      <c r="BZ108" s="363">
        <f t="shared" si="157"/>
        <v>0</v>
      </c>
      <c r="CA108" s="12"/>
      <c r="CB108" s="7">
        <f t="shared" si="158"/>
        <v>0</v>
      </c>
      <c r="CC108" s="7">
        <f>IF(AND(G108&lt;&gt;0, _xlfn.IFNA(MATCH(E108, Parameters!$D$45:$D$48, 0), "N/A")="N/A"), 1, 0)</f>
        <v>0</v>
      </c>
      <c r="CE108" s="7">
        <f>IF($F108="", 0, IF(AND($F108&lt;=$BW$5, $F108&gt;=Timeline!$V$8), 0, 1))</f>
        <v>0</v>
      </c>
      <c r="CI108" s="7">
        <f t="shared" si="169"/>
        <v>0</v>
      </c>
      <c r="CJ108" s="7">
        <f t="shared" si="170"/>
        <v>0</v>
      </c>
      <c r="CK108" s="7">
        <f t="shared" si="171"/>
        <v>0</v>
      </c>
      <c r="CL108" s="42"/>
      <c r="CM108" s="352">
        <f t="shared" si="159"/>
        <v>0</v>
      </c>
      <c r="CN108" s="352">
        <f t="shared" si="160"/>
        <v>0</v>
      </c>
      <c r="CO108" s="352">
        <f t="shared" si="161"/>
        <v>0</v>
      </c>
      <c r="CP108" s="352">
        <f t="shared" si="162"/>
        <v>0</v>
      </c>
      <c r="CQ108" s="352">
        <f t="shared" si="163"/>
        <v>0</v>
      </c>
      <c r="CR108" s="352">
        <f t="shared" si="164"/>
        <v>0</v>
      </c>
      <c r="CS108" s="352">
        <f t="shared" si="165"/>
        <v>0</v>
      </c>
      <c r="CT108" s="42"/>
      <c r="CU108" s="67">
        <v>0</v>
      </c>
      <c r="CV108" s="67">
        <v>0</v>
      </c>
      <c r="EX108" s="13" t="str">
        <f t="shared" si="166"/>
        <v>Moved to Assets Held for Sale AH5</v>
      </c>
    </row>
    <row r="109" spans="1:154" x14ac:dyDescent="0.25">
      <c r="A109" s="362" cm="1">
        <f t="array" aca="1" ref="A109" ca="1">HYPERLINK(CONCATENATE("#",CELL("address",IF(SUM($CA109:$CL109)=0,A109,INDEX($CA109:$CL109,MATCH(1,$CA109:$CL109,0))))),SUM($CA109:$CL109))</f>
        <v>0</v>
      </c>
      <c r="C109" s="521" t="s">
        <v>1121</v>
      </c>
      <c r="D109" s="147"/>
      <c r="E109" s="146"/>
      <c r="F109" s="150"/>
      <c r="G109" s="147"/>
      <c r="H109" s="9" t="s">
        <v>98</v>
      </c>
      <c r="I109" s="9"/>
      <c r="T109" s="25"/>
      <c r="U109" s="25"/>
      <c r="V109" s="13">
        <f>0-IF(AND($F109&gt;=Timeline!$V$8,$F109 &lt;=V$5), $G109, 0)</f>
        <v>0</v>
      </c>
      <c r="W109" s="10">
        <f t="shared" si="153"/>
        <v>0</v>
      </c>
      <c r="X109" s="10">
        <f t="shared" si="153"/>
        <v>0</v>
      </c>
      <c r="Y109" s="10">
        <f t="shared" si="153"/>
        <v>0</v>
      </c>
      <c r="Z109" s="335"/>
      <c r="AA109" s="10">
        <f t="shared" ref="AA109:BJ109" si="178">0-IF(AND($F109&gt;Z$5,$F109 &lt;=AA$5), $G109, 0)</f>
        <v>0</v>
      </c>
      <c r="AB109" s="10">
        <f t="shared" si="178"/>
        <v>0</v>
      </c>
      <c r="AC109" s="10">
        <f t="shared" si="178"/>
        <v>0</v>
      </c>
      <c r="AD109" s="10">
        <f t="shared" si="178"/>
        <v>0</v>
      </c>
      <c r="AE109" s="10">
        <f t="shared" si="178"/>
        <v>0</v>
      </c>
      <c r="AF109" s="10">
        <f t="shared" si="178"/>
        <v>0</v>
      </c>
      <c r="AG109" s="10">
        <f t="shared" si="178"/>
        <v>0</v>
      </c>
      <c r="AH109" s="10">
        <f t="shared" si="178"/>
        <v>0</v>
      </c>
      <c r="AI109" s="10">
        <f t="shared" si="178"/>
        <v>0</v>
      </c>
      <c r="AJ109" s="10">
        <f t="shared" si="178"/>
        <v>0</v>
      </c>
      <c r="AK109" s="10">
        <f t="shared" si="178"/>
        <v>0</v>
      </c>
      <c r="AL109" s="10">
        <f t="shared" si="178"/>
        <v>0</v>
      </c>
      <c r="AM109" s="10">
        <f t="shared" si="178"/>
        <v>0</v>
      </c>
      <c r="AN109" s="10">
        <f t="shared" si="178"/>
        <v>0</v>
      </c>
      <c r="AO109" s="10">
        <f t="shared" si="178"/>
        <v>0</v>
      </c>
      <c r="AP109" s="10">
        <f t="shared" si="178"/>
        <v>0</v>
      </c>
      <c r="AQ109" s="10">
        <f t="shared" si="178"/>
        <v>0</v>
      </c>
      <c r="AR109" s="10">
        <f t="shared" si="178"/>
        <v>0</v>
      </c>
      <c r="AS109" s="10">
        <f t="shared" si="178"/>
        <v>0</v>
      </c>
      <c r="AT109" s="10">
        <f t="shared" si="178"/>
        <v>0</v>
      </c>
      <c r="AU109" s="10">
        <f t="shared" si="178"/>
        <v>0</v>
      </c>
      <c r="AV109" s="10">
        <f t="shared" si="178"/>
        <v>0</v>
      </c>
      <c r="AW109" s="10">
        <f t="shared" si="178"/>
        <v>0</v>
      </c>
      <c r="AX109" s="10">
        <f t="shared" si="178"/>
        <v>0</v>
      </c>
      <c r="AY109" s="10">
        <f t="shared" si="178"/>
        <v>0</v>
      </c>
      <c r="AZ109" s="10">
        <f t="shared" si="178"/>
        <v>0</v>
      </c>
      <c r="BA109" s="10">
        <f t="shared" si="178"/>
        <v>0</v>
      </c>
      <c r="BB109" s="10">
        <f t="shared" si="178"/>
        <v>0</v>
      </c>
      <c r="BC109" s="10">
        <f t="shared" si="178"/>
        <v>0</v>
      </c>
      <c r="BD109" s="10">
        <f t="shared" si="178"/>
        <v>0</v>
      </c>
      <c r="BE109" s="10">
        <f t="shared" si="178"/>
        <v>0</v>
      </c>
      <c r="BF109" s="10">
        <f t="shared" si="178"/>
        <v>0</v>
      </c>
      <c r="BG109" s="10">
        <f t="shared" si="178"/>
        <v>0</v>
      </c>
      <c r="BH109" s="10">
        <f t="shared" si="178"/>
        <v>0</v>
      </c>
      <c r="BI109" s="10">
        <f t="shared" si="178"/>
        <v>0</v>
      </c>
      <c r="BJ109" s="10">
        <f t="shared" si="178"/>
        <v>0</v>
      </c>
      <c r="BL109" s="13">
        <f t="shared" si="155"/>
        <v>0</v>
      </c>
      <c r="BM109" s="10">
        <f t="shared" ref="BM109:BW109" si="179">0-IF(AND($F109&gt;BL$5,$F109 &lt;=BM$5), $G109, 0)</f>
        <v>0</v>
      </c>
      <c r="BN109" s="10">
        <f t="shared" si="179"/>
        <v>0</v>
      </c>
      <c r="BO109" s="10">
        <f t="shared" si="179"/>
        <v>0</v>
      </c>
      <c r="BP109" s="10">
        <f t="shared" si="179"/>
        <v>0</v>
      </c>
      <c r="BQ109" s="10">
        <f t="shared" si="179"/>
        <v>0</v>
      </c>
      <c r="BR109" s="10">
        <f t="shared" si="179"/>
        <v>0</v>
      </c>
      <c r="BS109" s="10">
        <f t="shared" si="179"/>
        <v>0</v>
      </c>
      <c r="BT109" s="10">
        <f t="shared" si="179"/>
        <v>0</v>
      </c>
      <c r="BU109" s="10">
        <f t="shared" si="179"/>
        <v>0</v>
      </c>
      <c r="BV109" s="10">
        <f t="shared" si="179"/>
        <v>0</v>
      </c>
      <c r="BW109" s="10">
        <f t="shared" si="179"/>
        <v>0</v>
      </c>
      <c r="BY109" s="12"/>
      <c r="BZ109" s="363">
        <f t="shared" si="157"/>
        <v>0</v>
      </c>
      <c r="CA109" s="12"/>
      <c r="CB109" s="7">
        <f t="shared" si="158"/>
        <v>0</v>
      </c>
      <c r="CC109" s="7">
        <f>IF(AND(G109&lt;&gt;0, _xlfn.IFNA(MATCH(E109, Parameters!$D$45:$D$48, 0), "N/A")="N/A"), 1, 0)</f>
        <v>0</v>
      </c>
      <c r="CE109" s="7">
        <f>IF($F109="", 0, IF(AND($F109&lt;=$BW$5, $F109&gt;=Timeline!$V$8), 0, 1))</f>
        <v>0</v>
      </c>
      <c r="CI109" s="7">
        <f t="shared" si="169"/>
        <v>0</v>
      </c>
      <c r="CJ109" s="7">
        <f t="shared" si="170"/>
        <v>0</v>
      </c>
      <c r="CK109" s="7">
        <f t="shared" si="171"/>
        <v>0</v>
      </c>
      <c r="CL109" s="42"/>
      <c r="CM109" s="352">
        <f t="shared" si="159"/>
        <v>0</v>
      </c>
      <c r="CN109" s="352">
        <f t="shared" si="160"/>
        <v>0</v>
      </c>
      <c r="CO109" s="352">
        <f t="shared" si="161"/>
        <v>0</v>
      </c>
      <c r="CP109" s="352">
        <f t="shared" si="162"/>
        <v>0</v>
      </c>
      <c r="CQ109" s="352">
        <f t="shared" si="163"/>
        <v>0</v>
      </c>
      <c r="CR109" s="352">
        <f t="shared" si="164"/>
        <v>0</v>
      </c>
      <c r="CS109" s="352">
        <f t="shared" si="165"/>
        <v>0</v>
      </c>
      <c r="CT109" s="42"/>
      <c r="CU109" s="67">
        <v>0</v>
      </c>
      <c r="CV109" s="67">
        <v>0</v>
      </c>
      <c r="EX109" s="13" t="str">
        <f t="shared" si="166"/>
        <v>Moved to Assets Held for Sale AH6</v>
      </c>
    </row>
    <row r="110" spans="1:154" x14ac:dyDescent="0.25">
      <c r="A110" s="362" cm="1">
        <f t="array" aca="1" ref="A110" ca="1">HYPERLINK(CONCATENATE("#",CELL("address",IF(SUM($CA110:$CL110)=0,A110,INDEX($CA110:$CL110,MATCH(1,$CA110:$CL110,0))))),SUM($CA110:$CL110))</f>
        <v>0</v>
      </c>
      <c r="C110" s="521" t="s">
        <v>1122</v>
      </c>
      <c r="D110" s="147"/>
      <c r="E110" s="146"/>
      <c r="F110" s="150"/>
      <c r="G110" s="147"/>
      <c r="H110" s="9" t="s">
        <v>98</v>
      </c>
      <c r="I110" s="9"/>
      <c r="T110" s="25"/>
      <c r="U110" s="25"/>
      <c r="V110" s="13">
        <f>0-IF(AND($F110&gt;=Timeline!$V$8,$F110 &lt;=V$5), $G110, 0)</f>
        <v>0</v>
      </c>
      <c r="W110" s="10">
        <f t="shared" si="153"/>
        <v>0</v>
      </c>
      <c r="X110" s="10">
        <f t="shared" si="153"/>
        <v>0</v>
      </c>
      <c r="Y110" s="10">
        <f t="shared" si="153"/>
        <v>0</v>
      </c>
      <c r="Z110" s="335"/>
      <c r="AA110" s="10">
        <f t="shared" ref="AA110:BJ110" si="180">0-IF(AND($F110&gt;Z$5,$F110 &lt;=AA$5), $G110, 0)</f>
        <v>0</v>
      </c>
      <c r="AB110" s="10">
        <f t="shared" si="180"/>
        <v>0</v>
      </c>
      <c r="AC110" s="10">
        <f t="shared" si="180"/>
        <v>0</v>
      </c>
      <c r="AD110" s="10">
        <f t="shared" si="180"/>
        <v>0</v>
      </c>
      <c r="AE110" s="10">
        <f t="shared" si="180"/>
        <v>0</v>
      </c>
      <c r="AF110" s="10">
        <f t="shared" si="180"/>
        <v>0</v>
      </c>
      <c r="AG110" s="10">
        <f t="shared" si="180"/>
        <v>0</v>
      </c>
      <c r="AH110" s="10">
        <f t="shared" si="180"/>
        <v>0</v>
      </c>
      <c r="AI110" s="10">
        <f t="shared" si="180"/>
        <v>0</v>
      </c>
      <c r="AJ110" s="10">
        <f t="shared" si="180"/>
        <v>0</v>
      </c>
      <c r="AK110" s="10">
        <f t="shared" si="180"/>
        <v>0</v>
      </c>
      <c r="AL110" s="10">
        <f t="shared" si="180"/>
        <v>0</v>
      </c>
      <c r="AM110" s="10">
        <f t="shared" si="180"/>
        <v>0</v>
      </c>
      <c r="AN110" s="10">
        <f t="shared" si="180"/>
        <v>0</v>
      </c>
      <c r="AO110" s="10">
        <f t="shared" si="180"/>
        <v>0</v>
      </c>
      <c r="AP110" s="10">
        <f t="shared" si="180"/>
        <v>0</v>
      </c>
      <c r="AQ110" s="10">
        <f t="shared" si="180"/>
        <v>0</v>
      </c>
      <c r="AR110" s="10">
        <f t="shared" si="180"/>
        <v>0</v>
      </c>
      <c r="AS110" s="10">
        <f t="shared" si="180"/>
        <v>0</v>
      </c>
      <c r="AT110" s="10">
        <f t="shared" si="180"/>
        <v>0</v>
      </c>
      <c r="AU110" s="10">
        <f t="shared" si="180"/>
        <v>0</v>
      </c>
      <c r="AV110" s="10">
        <f t="shared" si="180"/>
        <v>0</v>
      </c>
      <c r="AW110" s="10">
        <f t="shared" si="180"/>
        <v>0</v>
      </c>
      <c r="AX110" s="10">
        <f t="shared" si="180"/>
        <v>0</v>
      </c>
      <c r="AY110" s="10">
        <f t="shared" si="180"/>
        <v>0</v>
      </c>
      <c r="AZ110" s="10">
        <f t="shared" si="180"/>
        <v>0</v>
      </c>
      <c r="BA110" s="10">
        <f t="shared" si="180"/>
        <v>0</v>
      </c>
      <c r="BB110" s="10">
        <f t="shared" si="180"/>
        <v>0</v>
      </c>
      <c r="BC110" s="10">
        <f t="shared" si="180"/>
        <v>0</v>
      </c>
      <c r="BD110" s="10">
        <f t="shared" si="180"/>
        <v>0</v>
      </c>
      <c r="BE110" s="10">
        <f t="shared" si="180"/>
        <v>0</v>
      </c>
      <c r="BF110" s="10">
        <f t="shared" si="180"/>
        <v>0</v>
      </c>
      <c r="BG110" s="10">
        <f t="shared" si="180"/>
        <v>0</v>
      </c>
      <c r="BH110" s="10">
        <f t="shared" si="180"/>
        <v>0</v>
      </c>
      <c r="BI110" s="10">
        <f t="shared" si="180"/>
        <v>0</v>
      </c>
      <c r="BJ110" s="10">
        <f t="shared" si="180"/>
        <v>0</v>
      </c>
      <c r="BL110" s="13">
        <f t="shared" si="155"/>
        <v>0</v>
      </c>
      <c r="BM110" s="10">
        <f t="shared" ref="BM110:BW110" si="181">0-IF(AND($F110&gt;BL$5,$F110 &lt;=BM$5), $G110, 0)</f>
        <v>0</v>
      </c>
      <c r="BN110" s="10">
        <f t="shared" si="181"/>
        <v>0</v>
      </c>
      <c r="BO110" s="10">
        <f t="shared" si="181"/>
        <v>0</v>
      </c>
      <c r="BP110" s="10">
        <f t="shared" si="181"/>
        <v>0</v>
      </c>
      <c r="BQ110" s="10">
        <f t="shared" si="181"/>
        <v>0</v>
      </c>
      <c r="BR110" s="10">
        <f t="shared" si="181"/>
        <v>0</v>
      </c>
      <c r="BS110" s="10">
        <f t="shared" si="181"/>
        <v>0</v>
      </c>
      <c r="BT110" s="10">
        <f t="shared" si="181"/>
        <v>0</v>
      </c>
      <c r="BU110" s="10">
        <f t="shared" si="181"/>
        <v>0</v>
      </c>
      <c r="BV110" s="10">
        <f t="shared" si="181"/>
        <v>0</v>
      </c>
      <c r="BW110" s="10">
        <f t="shared" si="181"/>
        <v>0</v>
      </c>
      <c r="BY110" s="12"/>
      <c r="BZ110" s="363">
        <f t="shared" si="157"/>
        <v>0</v>
      </c>
      <c r="CA110" s="12"/>
      <c r="CB110" s="7">
        <f t="shared" si="158"/>
        <v>0</v>
      </c>
      <c r="CC110" s="7">
        <f>IF(AND(G110&lt;&gt;0, _xlfn.IFNA(MATCH(E110, Parameters!$D$45:$D$48, 0), "N/A")="N/A"), 1, 0)</f>
        <v>0</v>
      </c>
      <c r="CE110" s="7">
        <f>IF($F110="", 0, IF(AND($F110&lt;=$BW$5, $F110&gt;=Timeline!$V$8), 0, 1))</f>
        <v>0</v>
      </c>
      <c r="CI110" s="7">
        <f t="shared" si="169"/>
        <v>0</v>
      </c>
      <c r="CJ110" s="7">
        <f t="shared" si="170"/>
        <v>0</v>
      </c>
      <c r="CK110" s="7">
        <f t="shared" si="171"/>
        <v>0</v>
      </c>
      <c r="CL110" s="42"/>
      <c r="CM110" s="352">
        <f t="shared" si="159"/>
        <v>0</v>
      </c>
      <c r="CN110" s="352">
        <f t="shared" si="160"/>
        <v>0</v>
      </c>
      <c r="CO110" s="352">
        <f t="shared" si="161"/>
        <v>0</v>
      </c>
      <c r="CP110" s="352">
        <f t="shared" si="162"/>
        <v>0</v>
      </c>
      <c r="CQ110" s="352">
        <f t="shared" si="163"/>
        <v>0</v>
      </c>
      <c r="CR110" s="352">
        <f t="shared" si="164"/>
        <v>0</v>
      </c>
      <c r="CS110" s="352">
        <f t="shared" si="165"/>
        <v>0</v>
      </c>
      <c r="CT110" s="42"/>
      <c r="CU110" s="67">
        <v>0</v>
      </c>
      <c r="CV110" s="67">
        <v>0</v>
      </c>
      <c r="EX110" s="13" t="str">
        <f t="shared" si="166"/>
        <v>Moved to Assets Held for Sale AH7</v>
      </c>
    </row>
    <row r="111" spans="1:154" x14ac:dyDescent="0.25">
      <c r="A111" s="362" cm="1">
        <f t="array" aca="1" ref="A111" ca="1">HYPERLINK(CONCATENATE("#",CELL("address",IF(SUM($CA111:$CL111)=0,A111,INDEX($CA111:$CL111,MATCH(1,$CA111:$CL111,0))))),SUM($CA111:$CL111))</f>
        <v>0</v>
      </c>
      <c r="C111" s="521" t="s">
        <v>1123</v>
      </c>
      <c r="D111" s="147"/>
      <c r="E111" s="146"/>
      <c r="F111" s="150"/>
      <c r="G111" s="147"/>
      <c r="H111" s="9" t="s">
        <v>98</v>
      </c>
      <c r="I111" s="9"/>
      <c r="T111" s="25"/>
      <c r="U111" s="25"/>
      <c r="V111" s="13">
        <f>0-IF(AND($F111&gt;=Timeline!$V$8,$F111 &lt;=V$5), $G111, 0)</f>
        <v>0</v>
      </c>
      <c r="W111" s="10">
        <f t="shared" si="153"/>
        <v>0</v>
      </c>
      <c r="X111" s="10">
        <f t="shared" si="153"/>
        <v>0</v>
      </c>
      <c r="Y111" s="10">
        <f t="shared" si="153"/>
        <v>0</v>
      </c>
      <c r="Z111" s="335"/>
      <c r="AA111" s="10">
        <f t="shared" ref="AA111:BJ111" si="182">0-IF(AND($F111&gt;Z$5,$F111 &lt;=AA$5), $G111, 0)</f>
        <v>0</v>
      </c>
      <c r="AB111" s="10">
        <f t="shared" si="182"/>
        <v>0</v>
      </c>
      <c r="AC111" s="10">
        <f t="shared" si="182"/>
        <v>0</v>
      </c>
      <c r="AD111" s="10">
        <f t="shared" si="182"/>
        <v>0</v>
      </c>
      <c r="AE111" s="10">
        <f t="shared" si="182"/>
        <v>0</v>
      </c>
      <c r="AF111" s="10">
        <f t="shared" si="182"/>
        <v>0</v>
      </c>
      <c r="AG111" s="10">
        <f t="shared" si="182"/>
        <v>0</v>
      </c>
      <c r="AH111" s="10">
        <f t="shared" si="182"/>
        <v>0</v>
      </c>
      <c r="AI111" s="10">
        <f t="shared" si="182"/>
        <v>0</v>
      </c>
      <c r="AJ111" s="10">
        <f t="shared" si="182"/>
        <v>0</v>
      </c>
      <c r="AK111" s="10">
        <f t="shared" si="182"/>
        <v>0</v>
      </c>
      <c r="AL111" s="10">
        <f t="shared" si="182"/>
        <v>0</v>
      </c>
      <c r="AM111" s="10">
        <f t="shared" si="182"/>
        <v>0</v>
      </c>
      <c r="AN111" s="10">
        <f t="shared" si="182"/>
        <v>0</v>
      </c>
      <c r="AO111" s="10">
        <f t="shared" si="182"/>
        <v>0</v>
      </c>
      <c r="AP111" s="10">
        <f t="shared" si="182"/>
        <v>0</v>
      </c>
      <c r="AQ111" s="10">
        <f t="shared" si="182"/>
        <v>0</v>
      </c>
      <c r="AR111" s="10">
        <f t="shared" si="182"/>
        <v>0</v>
      </c>
      <c r="AS111" s="10">
        <f t="shared" si="182"/>
        <v>0</v>
      </c>
      <c r="AT111" s="10">
        <f t="shared" si="182"/>
        <v>0</v>
      </c>
      <c r="AU111" s="10">
        <f t="shared" si="182"/>
        <v>0</v>
      </c>
      <c r="AV111" s="10">
        <f t="shared" si="182"/>
        <v>0</v>
      </c>
      <c r="AW111" s="10">
        <f t="shared" si="182"/>
        <v>0</v>
      </c>
      <c r="AX111" s="10">
        <f t="shared" si="182"/>
        <v>0</v>
      </c>
      <c r="AY111" s="10">
        <f t="shared" si="182"/>
        <v>0</v>
      </c>
      <c r="AZ111" s="10">
        <f t="shared" si="182"/>
        <v>0</v>
      </c>
      <c r="BA111" s="10">
        <f t="shared" si="182"/>
        <v>0</v>
      </c>
      <c r="BB111" s="10">
        <f t="shared" si="182"/>
        <v>0</v>
      </c>
      <c r="BC111" s="10">
        <f t="shared" si="182"/>
        <v>0</v>
      </c>
      <c r="BD111" s="10">
        <f t="shared" si="182"/>
        <v>0</v>
      </c>
      <c r="BE111" s="10">
        <f t="shared" si="182"/>
        <v>0</v>
      </c>
      <c r="BF111" s="10">
        <f t="shared" si="182"/>
        <v>0</v>
      </c>
      <c r="BG111" s="10">
        <f t="shared" si="182"/>
        <v>0</v>
      </c>
      <c r="BH111" s="10">
        <f t="shared" si="182"/>
        <v>0</v>
      </c>
      <c r="BI111" s="10">
        <f t="shared" si="182"/>
        <v>0</v>
      </c>
      <c r="BJ111" s="10">
        <f t="shared" si="182"/>
        <v>0</v>
      </c>
      <c r="BL111" s="13">
        <f t="shared" si="155"/>
        <v>0</v>
      </c>
      <c r="BM111" s="10">
        <f t="shared" ref="BM111:BW111" si="183">0-IF(AND($F111&gt;BL$5,$F111 &lt;=BM$5), $G111, 0)</f>
        <v>0</v>
      </c>
      <c r="BN111" s="10">
        <f t="shared" si="183"/>
        <v>0</v>
      </c>
      <c r="BO111" s="10">
        <f t="shared" si="183"/>
        <v>0</v>
      </c>
      <c r="BP111" s="10">
        <f t="shared" si="183"/>
        <v>0</v>
      </c>
      <c r="BQ111" s="10">
        <f t="shared" si="183"/>
        <v>0</v>
      </c>
      <c r="BR111" s="10">
        <f t="shared" si="183"/>
        <v>0</v>
      </c>
      <c r="BS111" s="10">
        <f t="shared" si="183"/>
        <v>0</v>
      </c>
      <c r="BT111" s="10">
        <f t="shared" si="183"/>
        <v>0</v>
      </c>
      <c r="BU111" s="10">
        <f t="shared" si="183"/>
        <v>0</v>
      </c>
      <c r="BV111" s="10">
        <f t="shared" si="183"/>
        <v>0</v>
      </c>
      <c r="BW111" s="10">
        <f t="shared" si="183"/>
        <v>0</v>
      </c>
      <c r="BY111" s="12"/>
      <c r="BZ111" s="363">
        <f t="shared" si="157"/>
        <v>0</v>
      </c>
      <c r="CA111" s="12"/>
      <c r="CB111" s="7">
        <f t="shared" si="158"/>
        <v>0</v>
      </c>
      <c r="CC111" s="7">
        <f>IF(AND(G111&lt;&gt;0, _xlfn.IFNA(MATCH(E111, Parameters!$D$45:$D$48, 0), "N/A")="N/A"), 1, 0)</f>
        <v>0</v>
      </c>
      <c r="CE111" s="7">
        <f>IF($F111="", 0, IF(AND($F111&lt;=$BW$5, $F111&gt;=Timeline!$V$8), 0, 1))</f>
        <v>0</v>
      </c>
      <c r="CI111" s="7">
        <f t="shared" si="169"/>
        <v>0</v>
      </c>
      <c r="CJ111" s="7">
        <f t="shared" si="170"/>
        <v>0</v>
      </c>
      <c r="CK111" s="7">
        <f t="shared" si="171"/>
        <v>0</v>
      </c>
      <c r="CL111" s="42"/>
      <c r="CM111" s="352">
        <f t="shared" si="159"/>
        <v>0</v>
      </c>
      <c r="CN111" s="352">
        <f t="shared" si="160"/>
        <v>0</v>
      </c>
      <c r="CO111" s="352">
        <f t="shared" si="161"/>
        <v>0</v>
      </c>
      <c r="CP111" s="352">
        <f t="shared" si="162"/>
        <v>0</v>
      </c>
      <c r="CQ111" s="352">
        <f t="shared" si="163"/>
        <v>0</v>
      </c>
      <c r="CR111" s="352">
        <f t="shared" si="164"/>
        <v>0</v>
      </c>
      <c r="CS111" s="352">
        <f t="shared" si="165"/>
        <v>0</v>
      </c>
      <c r="CT111" s="42"/>
      <c r="CU111" s="67">
        <v>0</v>
      </c>
      <c r="CV111" s="67">
        <v>0</v>
      </c>
      <c r="EX111" s="13" t="str">
        <f t="shared" si="166"/>
        <v>Moved to Assets Held for Sale AH8</v>
      </c>
    </row>
    <row r="112" spans="1:154" x14ac:dyDescent="0.25">
      <c r="A112" s="362" cm="1">
        <f t="array" aca="1" ref="A112" ca="1">HYPERLINK(CONCATENATE("#",CELL("address",IF(SUM($CA112:$CL112)=0,A112,INDEX($CA112:$CL112,MATCH(1,$CA112:$CL112,0))))),SUM($CA112:$CL112))</f>
        <v>0</v>
      </c>
      <c r="C112" s="521" t="s">
        <v>1124</v>
      </c>
      <c r="D112" s="147"/>
      <c r="E112" s="146"/>
      <c r="F112" s="150"/>
      <c r="G112" s="147"/>
      <c r="H112" s="9" t="s">
        <v>98</v>
      </c>
      <c r="I112" s="9"/>
      <c r="T112" s="25"/>
      <c r="U112" s="25"/>
      <c r="V112" s="13">
        <f>0-IF(AND($F112&gt;=Timeline!$V$8,$F112 &lt;=V$5), $G112, 0)</f>
        <v>0</v>
      </c>
      <c r="W112" s="10">
        <f t="shared" si="153"/>
        <v>0</v>
      </c>
      <c r="X112" s="10">
        <f t="shared" si="153"/>
        <v>0</v>
      </c>
      <c r="Y112" s="10">
        <f t="shared" si="153"/>
        <v>0</v>
      </c>
      <c r="Z112" s="335"/>
      <c r="AA112" s="10">
        <f t="shared" ref="AA112:BJ112" si="184">0-IF(AND($F112&gt;Z$5,$F112 &lt;=AA$5), $G112, 0)</f>
        <v>0</v>
      </c>
      <c r="AB112" s="10">
        <f t="shared" si="184"/>
        <v>0</v>
      </c>
      <c r="AC112" s="10">
        <f t="shared" si="184"/>
        <v>0</v>
      </c>
      <c r="AD112" s="10">
        <f t="shared" si="184"/>
        <v>0</v>
      </c>
      <c r="AE112" s="10">
        <f t="shared" si="184"/>
        <v>0</v>
      </c>
      <c r="AF112" s="10">
        <f t="shared" si="184"/>
        <v>0</v>
      </c>
      <c r="AG112" s="10">
        <f t="shared" si="184"/>
        <v>0</v>
      </c>
      <c r="AH112" s="10">
        <f t="shared" si="184"/>
        <v>0</v>
      </c>
      <c r="AI112" s="10">
        <f t="shared" si="184"/>
        <v>0</v>
      </c>
      <c r="AJ112" s="10">
        <f t="shared" si="184"/>
        <v>0</v>
      </c>
      <c r="AK112" s="10">
        <f t="shared" si="184"/>
        <v>0</v>
      </c>
      <c r="AL112" s="10">
        <f t="shared" si="184"/>
        <v>0</v>
      </c>
      <c r="AM112" s="10">
        <f t="shared" si="184"/>
        <v>0</v>
      </c>
      <c r="AN112" s="10">
        <f t="shared" si="184"/>
        <v>0</v>
      </c>
      <c r="AO112" s="10">
        <f t="shared" si="184"/>
        <v>0</v>
      </c>
      <c r="AP112" s="10">
        <f t="shared" si="184"/>
        <v>0</v>
      </c>
      <c r="AQ112" s="10">
        <f t="shared" si="184"/>
        <v>0</v>
      </c>
      <c r="AR112" s="10">
        <f t="shared" si="184"/>
        <v>0</v>
      </c>
      <c r="AS112" s="10">
        <f t="shared" si="184"/>
        <v>0</v>
      </c>
      <c r="AT112" s="10">
        <f t="shared" si="184"/>
        <v>0</v>
      </c>
      <c r="AU112" s="10">
        <f t="shared" si="184"/>
        <v>0</v>
      </c>
      <c r="AV112" s="10">
        <f t="shared" si="184"/>
        <v>0</v>
      </c>
      <c r="AW112" s="10">
        <f t="shared" si="184"/>
        <v>0</v>
      </c>
      <c r="AX112" s="10">
        <f t="shared" si="184"/>
        <v>0</v>
      </c>
      <c r="AY112" s="10">
        <f t="shared" si="184"/>
        <v>0</v>
      </c>
      <c r="AZ112" s="10">
        <f t="shared" si="184"/>
        <v>0</v>
      </c>
      <c r="BA112" s="10">
        <f t="shared" si="184"/>
        <v>0</v>
      </c>
      <c r="BB112" s="10">
        <f t="shared" si="184"/>
        <v>0</v>
      </c>
      <c r="BC112" s="10">
        <f t="shared" si="184"/>
        <v>0</v>
      </c>
      <c r="BD112" s="10">
        <f t="shared" si="184"/>
        <v>0</v>
      </c>
      <c r="BE112" s="10">
        <f t="shared" si="184"/>
        <v>0</v>
      </c>
      <c r="BF112" s="10">
        <f t="shared" si="184"/>
        <v>0</v>
      </c>
      <c r="BG112" s="10">
        <f t="shared" si="184"/>
        <v>0</v>
      </c>
      <c r="BH112" s="10">
        <f t="shared" si="184"/>
        <v>0</v>
      </c>
      <c r="BI112" s="10">
        <f t="shared" si="184"/>
        <v>0</v>
      </c>
      <c r="BJ112" s="10">
        <f t="shared" si="184"/>
        <v>0</v>
      </c>
      <c r="BL112" s="13">
        <f t="shared" si="155"/>
        <v>0</v>
      </c>
      <c r="BM112" s="10">
        <f t="shared" ref="BM112:BW112" si="185">0-IF(AND($F112&gt;BL$5,$F112 &lt;=BM$5), $G112, 0)</f>
        <v>0</v>
      </c>
      <c r="BN112" s="10">
        <f t="shared" si="185"/>
        <v>0</v>
      </c>
      <c r="BO112" s="10">
        <f t="shared" si="185"/>
        <v>0</v>
      </c>
      <c r="BP112" s="10">
        <f t="shared" si="185"/>
        <v>0</v>
      </c>
      <c r="BQ112" s="10">
        <f t="shared" si="185"/>
        <v>0</v>
      </c>
      <c r="BR112" s="10">
        <f t="shared" si="185"/>
        <v>0</v>
      </c>
      <c r="BS112" s="10">
        <f t="shared" si="185"/>
        <v>0</v>
      </c>
      <c r="BT112" s="10">
        <f t="shared" si="185"/>
        <v>0</v>
      </c>
      <c r="BU112" s="10">
        <f t="shared" si="185"/>
        <v>0</v>
      </c>
      <c r="BV112" s="10">
        <f t="shared" si="185"/>
        <v>0</v>
      </c>
      <c r="BW112" s="10">
        <f t="shared" si="185"/>
        <v>0</v>
      </c>
      <c r="BY112" s="12"/>
      <c r="BZ112" s="363">
        <f t="shared" si="157"/>
        <v>0</v>
      </c>
      <c r="CA112" s="12"/>
      <c r="CB112" s="7">
        <f t="shared" si="158"/>
        <v>0</v>
      </c>
      <c r="CC112" s="7">
        <f>IF(AND(G112&lt;&gt;0, _xlfn.IFNA(MATCH(E112, Parameters!$D$45:$D$48, 0), "N/A")="N/A"), 1, 0)</f>
        <v>0</v>
      </c>
      <c r="CE112" s="7">
        <f>IF($F112="", 0, IF(AND($F112&lt;=$BW$5, $F112&gt;=Timeline!$V$8), 0, 1))</f>
        <v>0</v>
      </c>
      <c r="CI112" s="7">
        <f t="shared" si="169"/>
        <v>0</v>
      </c>
      <c r="CJ112" s="7">
        <f t="shared" si="170"/>
        <v>0</v>
      </c>
      <c r="CK112" s="7">
        <f t="shared" si="171"/>
        <v>0</v>
      </c>
      <c r="CL112" s="42"/>
      <c r="CM112" s="352">
        <f t="shared" si="159"/>
        <v>0</v>
      </c>
      <c r="CN112" s="352">
        <f t="shared" si="160"/>
        <v>0</v>
      </c>
      <c r="CO112" s="352">
        <f t="shared" si="161"/>
        <v>0</v>
      </c>
      <c r="CP112" s="352">
        <f t="shared" si="162"/>
        <v>0</v>
      </c>
      <c r="CQ112" s="352">
        <f t="shared" si="163"/>
        <v>0</v>
      </c>
      <c r="CR112" s="352">
        <f t="shared" si="164"/>
        <v>0</v>
      </c>
      <c r="CS112" s="352">
        <f t="shared" si="165"/>
        <v>0</v>
      </c>
      <c r="CT112" s="42"/>
      <c r="CU112" s="67">
        <v>0</v>
      </c>
      <c r="CV112" s="67">
        <v>0</v>
      </c>
      <c r="EX112" s="13" t="str">
        <f t="shared" si="166"/>
        <v>Moved to Assets Held for Sale AH9</v>
      </c>
    </row>
    <row r="113" spans="1:154" x14ac:dyDescent="0.25">
      <c r="A113" s="362" cm="1">
        <f t="array" aca="1" ref="A113" ca="1">HYPERLINK(CONCATENATE("#",CELL("address",IF(SUM($CA113:$CL113)=0,A113,INDEX($CA113:$CL113,MATCH(1,$CA113:$CL113,0))))),SUM($CA113:$CL113))</f>
        <v>0</v>
      </c>
      <c r="C113" s="521" t="s">
        <v>1125</v>
      </c>
      <c r="D113" s="147"/>
      <c r="E113" s="146"/>
      <c r="F113" s="150"/>
      <c r="G113" s="147"/>
      <c r="H113" s="9" t="s">
        <v>98</v>
      </c>
      <c r="I113" s="9"/>
      <c r="T113" s="25"/>
      <c r="U113" s="25"/>
      <c r="V113" s="13">
        <f>0-IF(AND($F113&gt;=Timeline!$V$8,$F113 &lt;=V$5), $G113, 0)</f>
        <v>0</v>
      </c>
      <c r="W113" s="10">
        <f t="shared" si="153"/>
        <v>0</v>
      </c>
      <c r="X113" s="10">
        <f t="shared" si="153"/>
        <v>0</v>
      </c>
      <c r="Y113" s="10">
        <f t="shared" si="153"/>
        <v>0</v>
      </c>
      <c r="Z113" s="335"/>
      <c r="AA113" s="10">
        <f t="shared" ref="AA113:BJ113" si="186">0-IF(AND($F113&gt;Z$5,$F113 &lt;=AA$5), $G113, 0)</f>
        <v>0</v>
      </c>
      <c r="AB113" s="10">
        <f t="shared" si="186"/>
        <v>0</v>
      </c>
      <c r="AC113" s="10">
        <f t="shared" si="186"/>
        <v>0</v>
      </c>
      <c r="AD113" s="10">
        <f t="shared" si="186"/>
        <v>0</v>
      </c>
      <c r="AE113" s="10">
        <f t="shared" si="186"/>
        <v>0</v>
      </c>
      <c r="AF113" s="10">
        <f t="shared" si="186"/>
        <v>0</v>
      </c>
      <c r="AG113" s="10">
        <f t="shared" si="186"/>
        <v>0</v>
      </c>
      <c r="AH113" s="10">
        <f t="shared" si="186"/>
        <v>0</v>
      </c>
      <c r="AI113" s="10">
        <f t="shared" si="186"/>
        <v>0</v>
      </c>
      <c r="AJ113" s="10">
        <f t="shared" si="186"/>
        <v>0</v>
      </c>
      <c r="AK113" s="10">
        <f t="shared" si="186"/>
        <v>0</v>
      </c>
      <c r="AL113" s="10">
        <f t="shared" si="186"/>
        <v>0</v>
      </c>
      <c r="AM113" s="10">
        <f t="shared" si="186"/>
        <v>0</v>
      </c>
      <c r="AN113" s="10">
        <f t="shared" si="186"/>
        <v>0</v>
      </c>
      <c r="AO113" s="10">
        <f t="shared" si="186"/>
        <v>0</v>
      </c>
      <c r="AP113" s="10">
        <f t="shared" si="186"/>
        <v>0</v>
      </c>
      <c r="AQ113" s="10">
        <f t="shared" si="186"/>
        <v>0</v>
      </c>
      <c r="AR113" s="10">
        <f t="shared" si="186"/>
        <v>0</v>
      </c>
      <c r="AS113" s="10">
        <f t="shared" si="186"/>
        <v>0</v>
      </c>
      <c r="AT113" s="10">
        <f t="shared" si="186"/>
        <v>0</v>
      </c>
      <c r="AU113" s="10">
        <f t="shared" si="186"/>
        <v>0</v>
      </c>
      <c r="AV113" s="10">
        <f t="shared" si="186"/>
        <v>0</v>
      </c>
      <c r="AW113" s="10">
        <f t="shared" si="186"/>
        <v>0</v>
      </c>
      <c r="AX113" s="10">
        <f t="shared" si="186"/>
        <v>0</v>
      </c>
      <c r="AY113" s="10">
        <f t="shared" si="186"/>
        <v>0</v>
      </c>
      <c r="AZ113" s="10">
        <f t="shared" si="186"/>
        <v>0</v>
      </c>
      <c r="BA113" s="10">
        <f t="shared" si="186"/>
        <v>0</v>
      </c>
      <c r="BB113" s="10">
        <f t="shared" si="186"/>
        <v>0</v>
      </c>
      <c r="BC113" s="10">
        <f t="shared" si="186"/>
        <v>0</v>
      </c>
      <c r="BD113" s="10">
        <f t="shared" si="186"/>
        <v>0</v>
      </c>
      <c r="BE113" s="10">
        <f t="shared" si="186"/>
        <v>0</v>
      </c>
      <c r="BF113" s="10">
        <f t="shared" si="186"/>
        <v>0</v>
      </c>
      <c r="BG113" s="10">
        <f t="shared" si="186"/>
        <v>0</v>
      </c>
      <c r="BH113" s="10">
        <f t="shared" si="186"/>
        <v>0</v>
      </c>
      <c r="BI113" s="10">
        <f t="shared" si="186"/>
        <v>0</v>
      </c>
      <c r="BJ113" s="10">
        <f t="shared" si="186"/>
        <v>0</v>
      </c>
      <c r="BL113" s="13">
        <f t="shared" si="155"/>
        <v>0</v>
      </c>
      <c r="BM113" s="10">
        <f t="shared" ref="BM113:BW113" si="187">0-IF(AND($F113&gt;BL$5,$F113 &lt;=BM$5), $G113, 0)</f>
        <v>0</v>
      </c>
      <c r="BN113" s="10">
        <f t="shared" si="187"/>
        <v>0</v>
      </c>
      <c r="BO113" s="10">
        <f t="shared" si="187"/>
        <v>0</v>
      </c>
      <c r="BP113" s="10">
        <f t="shared" si="187"/>
        <v>0</v>
      </c>
      <c r="BQ113" s="10">
        <f t="shared" si="187"/>
        <v>0</v>
      </c>
      <c r="BR113" s="10">
        <f t="shared" si="187"/>
        <v>0</v>
      </c>
      <c r="BS113" s="10">
        <f t="shared" si="187"/>
        <v>0</v>
      </c>
      <c r="BT113" s="10">
        <f t="shared" si="187"/>
        <v>0</v>
      </c>
      <c r="BU113" s="10">
        <f t="shared" si="187"/>
        <v>0</v>
      </c>
      <c r="BV113" s="10">
        <f t="shared" si="187"/>
        <v>0</v>
      </c>
      <c r="BW113" s="10">
        <f t="shared" si="187"/>
        <v>0</v>
      </c>
      <c r="BY113" s="12"/>
      <c r="BZ113" s="363">
        <f t="shared" si="157"/>
        <v>0</v>
      </c>
      <c r="CA113" s="12"/>
      <c r="CB113" s="7">
        <f t="shared" si="158"/>
        <v>0</v>
      </c>
      <c r="CC113" s="7">
        <f>IF(AND(G113&lt;&gt;0, _xlfn.IFNA(MATCH(E113, Parameters!$D$45:$D$48, 0), "N/A")="N/A"), 1, 0)</f>
        <v>0</v>
      </c>
      <c r="CE113" s="7">
        <f>IF($F113="", 0, IF(AND($F113&lt;=$BW$5, $F113&gt;=Timeline!$V$8), 0, 1))</f>
        <v>0</v>
      </c>
      <c r="CI113" s="7">
        <f t="shared" si="169"/>
        <v>0</v>
      </c>
      <c r="CJ113" s="7">
        <f t="shared" si="170"/>
        <v>0</v>
      </c>
      <c r="CK113" s="7">
        <f t="shared" si="171"/>
        <v>0</v>
      </c>
      <c r="CL113" s="42"/>
      <c r="CM113" s="352">
        <f t="shared" si="159"/>
        <v>0</v>
      </c>
      <c r="CN113" s="352">
        <f t="shared" si="160"/>
        <v>0</v>
      </c>
      <c r="CO113" s="352">
        <f t="shared" si="161"/>
        <v>0</v>
      </c>
      <c r="CP113" s="352">
        <f t="shared" si="162"/>
        <v>0</v>
      </c>
      <c r="CQ113" s="352">
        <f t="shared" si="163"/>
        <v>0</v>
      </c>
      <c r="CR113" s="352">
        <f t="shared" si="164"/>
        <v>0</v>
      </c>
      <c r="CS113" s="352">
        <f t="shared" si="165"/>
        <v>0</v>
      </c>
      <c r="CT113" s="42"/>
      <c r="CU113" s="67">
        <v>0</v>
      </c>
      <c r="CV113" s="67">
        <v>0</v>
      </c>
      <c r="EX113" s="13" t="str">
        <f t="shared" si="166"/>
        <v>Moved to Assets Held for Sale AH10</v>
      </c>
    </row>
    <row r="114" spans="1:154" x14ac:dyDescent="0.25">
      <c r="A114" s="362" cm="1">
        <f t="array" aca="1" ref="A114" ca="1">HYPERLINK(CONCATENATE("#",CELL("address",IF(SUM($CA114:$CL114)=0,A114,INDEX($CA114:$CL114,MATCH(1,$CA114:$CL114,0))))),SUM($CA114:$CL114))</f>
        <v>0</v>
      </c>
      <c r="C114" s="521" t="s">
        <v>1126</v>
      </c>
      <c r="D114" s="147"/>
      <c r="E114" s="146"/>
      <c r="F114" s="150"/>
      <c r="G114" s="147"/>
      <c r="H114" s="9" t="s">
        <v>98</v>
      </c>
      <c r="I114" s="9"/>
      <c r="T114" s="25"/>
      <c r="U114" s="25"/>
      <c r="V114" s="13">
        <f>0-IF(AND($F114&gt;=Timeline!$V$8,$F114 &lt;=V$5), $G114, 0)</f>
        <v>0</v>
      </c>
      <c r="W114" s="153">
        <f t="shared" si="153"/>
        <v>0</v>
      </c>
      <c r="X114" s="153">
        <f t="shared" si="153"/>
        <v>0</v>
      </c>
      <c r="Y114" s="153">
        <f t="shared" si="153"/>
        <v>0</v>
      </c>
      <c r="Z114" s="335"/>
      <c r="AA114" s="153">
        <f t="shared" ref="AA114:BJ114" si="188">0-IF(AND($F114&gt;Z$5,$F114 &lt;=AA$5), $G114, 0)</f>
        <v>0</v>
      </c>
      <c r="AB114" s="153">
        <f t="shared" si="188"/>
        <v>0</v>
      </c>
      <c r="AC114" s="153">
        <f t="shared" si="188"/>
        <v>0</v>
      </c>
      <c r="AD114" s="153">
        <f t="shared" si="188"/>
        <v>0</v>
      </c>
      <c r="AE114" s="153">
        <f t="shared" si="188"/>
        <v>0</v>
      </c>
      <c r="AF114" s="153">
        <f t="shared" si="188"/>
        <v>0</v>
      </c>
      <c r="AG114" s="153">
        <f t="shared" si="188"/>
        <v>0</v>
      </c>
      <c r="AH114" s="153">
        <f t="shared" si="188"/>
        <v>0</v>
      </c>
      <c r="AI114" s="153">
        <f t="shared" si="188"/>
        <v>0</v>
      </c>
      <c r="AJ114" s="153">
        <f t="shared" si="188"/>
        <v>0</v>
      </c>
      <c r="AK114" s="153">
        <f t="shared" si="188"/>
        <v>0</v>
      </c>
      <c r="AL114" s="153">
        <f t="shared" si="188"/>
        <v>0</v>
      </c>
      <c r="AM114" s="153">
        <f t="shared" si="188"/>
        <v>0</v>
      </c>
      <c r="AN114" s="153">
        <f t="shared" si="188"/>
        <v>0</v>
      </c>
      <c r="AO114" s="153">
        <f t="shared" si="188"/>
        <v>0</v>
      </c>
      <c r="AP114" s="153">
        <f t="shared" si="188"/>
        <v>0</v>
      </c>
      <c r="AQ114" s="153">
        <f t="shared" si="188"/>
        <v>0</v>
      </c>
      <c r="AR114" s="153">
        <f t="shared" si="188"/>
        <v>0</v>
      </c>
      <c r="AS114" s="153">
        <f t="shared" si="188"/>
        <v>0</v>
      </c>
      <c r="AT114" s="153">
        <f t="shared" si="188"/>
        <v>0</v>
      </c>
      <c r="AU114" s="153">
        <f t="shared" si="188"/>
        <v>0</v>
      </c>
      <c r="AV114" s="153">
        <f t="shared" si="188"/>
        <v>0</v>
      </c>
      <c r="AW114" s="153">
        <f t="shared" si="188"/>
        <v>0</v>
      </c>
      <c r="AX114" s="153">
        <f t="shared" si="188"/>
        <v>0</v>
      </c>
      <c r="AY114" s="153">
        <f t="shared" si="188"/>
        <v>0</v>
      </c>
      <c r="AZ114" s="153">
        <f t="shared" si="188"/>
        <v>0</v>
      </c>
      <c r="BA114" s="153">
        <f t="shared" si="188"/>
        <v>0</v>
      </c>
      <c r="BB114" s="153">
        <f t="shared" si="188"/>
        <v>0</v>
      </c>
      <c r="BC114" s="153">
        <f t="shared" si="188"/>
        <v>0</v>
      </c>
      <c r="BD114" s="153">
        <f t="shared" si="188"/>
        <v>0</v>
      </c>
      <c r="BE114" s="153">
        <f t="shared" si="188"/>
        <v>0</v>
      </c>
      <c r="BF114" s="153">
        <f t="shared" si="188"/>
        <v>0</v>
      </c>
      <c r="BG114" s="153">
        <f t="shared" si="188"/>
        <v>0</v>
      </c>
      <c r="BH114" s="153">
        <f t="shared" si="188"/>
        <v>0</v>
      </c>
      <c r="BI114" s="153">
        <f t="shared" si="188"/>
        <v>0</v>
      </c>
      <c r="BJ114" s="153">
        <f t="shared" si="188"/>
        <v>0</v>
      </c>
      <c r="BL114" s="13">
        <f t="shared" si="155"/>
        <v>0</v>
      </c>
      <c r="BM114" s="10">
        <f t="shared" ref="BM114:BW114" si="189">0-IF(AND($F114&gt;BL$5,$F114 &lt;=BM$5), $G114, 0)</f>
        <v>0</v>
      </c>
      <c r="BN114" s="10">
        <f t="shared" si="189"/>
        <v>0</v>
      </c>
      <c r="BO114" s="10">
        <f t="shared" si="189"/>
        <v>0</v>
      </c>
      <c r="BP114" s="10">
        <f t="shared" si="189"/>
        <v>0</v>
      </c>
      <c r="BQ114" s="10">
        <f t="shared" si="189"/>
        <v>0</v>
      </c>
      <c r="BR114" s="10">
        <f t="shared" si="189"/>
        <v>0</v>
      </c>
      <c r="BS114" s="10">
        <f t="shared" si="189"/>
        <v>0</v>
      </c>
      <c r="BT114" s="10">
        <f t="shared" si="189"/>
        <v>0</v>
      </c>
      <c r="BU114" s="10">
        <f t="shared" si="189"/>
        <v>0</v>
      </c>
      <c r="BV114" s="10">
        <f t="shared" si="189"/>
        <v>0</v>
      </c>
      <c r="BW114" s="10">
        <f t="shared" si="189"/>
        <v>0</v>
      </c>
      <c r="BY114" s="12"/>
      <c r="BZ114" s="363">
        <f t="shared" si="157"/>
        <v>0</v>
      </c>
      <c r="CA114" s="12"/>
      <c r="CB114" s="7">
        <f t="shared" si="158"/>
        <v>0</v>
      </c>
      <c r="CC114" s="7">
        <f>IF(AND(G114&lt;&gt;0, _xlfn.IFNA(MATCH(E114, Parameters!$D$45:$D$48, 0), "N/A")="N/A"), 1, 0)</f>
        <v>0</v>
      </c>
      <c r="CE114" s="7">
        <f>IF($F114="", 0, IF(AND($F114&lt;=$BW$5, $F114&gt;=Timeline!$V$8), 0, 1))</f>
        <v>0</v>
      </c>
      <c r="CI114" s="7">
        <f t="shared" si="169"/>
        <v>0</v>
      </c>
      <c r="CJ114" s="7">
        <f t="shared" si="170"/>
        <v>0</v>
      </c>
      <c r="CK114" s="7">
        <f t="shared" si="171"/>
        <v>0</v>
      </c>
      <c r="CL114" s="42"/>
      <c r="CM114" s="352">
        <f t="shared" si="159"/>
        <v>0</v>
      </c>
      <c r="CN114" s="352">
        <f t="shared" si="160"/>
        <v>0</v>
      </c>
      <c r="CO114" s="352">
        <f t="shared" si="161"/>
        <v>0</v>
      </c>
      <c r="CP114" s="352">
        <f t="shared" si="162"/>
        <v>0</v>
      </c>
      <c r="CQ114" s="352">
        <f t="shared" si="163"/>
        <v>0</v>
      </c>
      <c r="CR114" s="352">
        <f t="shared" si="164"/>
        <v>0</v>
      </c>
      <c r="CS114" s="352">
        <f t="shared" si="165"/>
        <v>0</v>
      </c>
      <c r="CT114" s="42"/>
      <c r="CU114" s="67">
        <v>0</v>
      </c>
      <c r="CV114" s="67">
        <v>0</v>
      </c>
      <c r="EX114" s="13" t="str">
        <f t="shared" si="166"/>
        <v>Moved to Assets Held for Sale AH11</v>
      </c>
    </row>
    <row r="115" spans="1:154" x14ac:dyDescent="0.25">
      <c r="A115" s="362" cm="1">
        <f t="array" aca="1" ref="A115" ca="1">HYPERLINK(CONCATENATE("#",CELL("address",IF(SUM($CA115:$CL115)=0,A115,INDEX($CA115:$CL115,MATCH(1,$CA115:$CL115,0))))),SUM($CA115:$CL115))</f>
        <v>0</v>
      </c>
      <c r="C115" s="521" t="s">
        <v>1127</v>
      </c>
      <c r="D115" s="147"/>
      <c r="E115" s="146"/>
      <c r="F115" s="150"/>
      <c r="G115" s="147"/>
      <c r="H115" s="9" t="s">
        <v>98</v>
      </c>
      <c r="I115" s="9"/>
      <c r="T115" s="25"/>
      <c r="U115" s="25"/>
      <c r="V115" s="13">
        <f>0-IF(AND($F115&gt;=Timeline!$V$8,$F115 &lt;=V$5), $G115, 0)</f>
        <v>0</v>
      </c>
      <c r="W115" s="153">
        <f t="shared" si="153"/>
        <v>0</v>
      </c>
      <c r="X115" s="153">
        <f t="shared" si="153"/>
        <v>0</v>
      </c>
      <c r="Y115" s="153">
        <f t="shared" si="153"/>
        <v>0</v>
      </c>
      <c r="Z115" s="335"/>
      <c r="AA115" s="153">
        <f t="shared" ref="AA115:BJ115" si="190">0-IF(AND($F115&gt;Z$5,$F115 &lt;=AA$5), $G115, 0)</f>
        <v>0</v>
      </c>
      <c r="AB115" s="153">
        <f t="shared" si="190"/>
        <v>0</v>
      </c>
      <c r="AC115" s="153">
        <f t="shared" si="190"/>
        <v>0</v>
      </c>
      <c r="AD115" s="153">
        <f t="shared" si="190"/>
        <v>0</v>
      </c>
      <c r="AE115" s="153">
        <f t="shared" si="190"/>
        <v>0</v>
      </c>
      <c r="AF115" s="153">
        <f t="shared" si="190"/>
        <v>0</v>
      </c>
      <c r="AG115" s="153">
        <f t="shared" si="190"/>
        <v>0</v>
      </c>
      <c r="AH115" s="153">
        <f t="shared" si="190"/>
        <v>0</v>
      </c>
      <c r="AI115" s="153">
        <f t="shared" si="190"/>
        <v>0</v>
      </c>
      <c r="AJ115" s="153">
        <f t="shared" si="190"/>
        <v>0</v>
      </c>
      <c r="AK115" s="153">
        <f t="shared" si="190"/>
        <v>0</v>
      </c>
      <c r="AL115" s="153">
        <f t="shared" si="190"/>
        <v>0</v>
      </c>
      <c r="AM115" s="153">
        <f t="shared" si="190"/>
        <v>0</v>
      </c>
      <c r="AN115" s="153">
        <f t="shared" si="190"/>
        <v>0</v>
      </c>
      <c r="AO115" s="153">
        <f t="shared" si="190"/>
        <v>0</v>
      </c>
      <c r="AP115" s="153">
        <f t="shared" si="190"/>
        <v>0</v>
      </c>
      <c r="AQ115" s="153">
        <f t="shared" si="190"/>
        <v>0</v>
      </c>
      <c r="AR115" s="153">
        <f t="shared" si="190"/>
        <v>0</v>
      </c>
      <c r="AS115" s="153">
        <f t="shared" si="190"/>
        <v>0</v>
      </c>
      <c r="AT115" s="153">
        <f t="shared" si="190"/>
        <v>0</v>
      </c>
      <c r="AU115" s="153">
        <f t="shared" si="190"/>
        <v>0</v>
      </c>
      <c r="AV115" s="153">
        <f t="shared" si="190"/>
        <v>0</v>
      </c>
      <c r="AW115" s="153">
        <f t="shared" si="190"/>
        <v>0</v>
      </c>
      <c r="AX115" s="153">
        <f t="shared" si="190"/>
        <v>0</v>
      </c>
      <c r="AY115" s="153">
        <f t="shared" si="190"/>
        <v>0</v>
      </c>
      <c r="AZ115" s="153">
        <f t="shared" si="190"/>
        <v>0</v>
      </c>
      <c r="BA115" s="153">
        <f t="shared" si="190"/>
        <v>0</v>
      </c>
      <c r="BB115" s="153">
        <f t="shared" si="190"/>
        <v>0</v>
      </c>
      <c r="BC115" s="153">
        <f t="shared" si="190"/>
        <v>0</v>
      </c>
      <c r="BD115" s="153">
        <f t="shared" si="190"/>
        <v>0</v>
      </c>
      <c r="BE115" s="153">
        <f t="shared" si="190"/>
        <v>0</v>
      </c>
      <c r="BF115" s="153">
        <f t="shared" si="190"/>
        <v>0</v>
      </c>
      <c r="BG115" s="153">
        <f t="shared" si="190"/>
        <v>0</v>
      </c>
      <c r="BH115" s="153">
        <f t="shared" si="190"/>
        <v>0</v>
      </c>
      <c r="BI115" s="153">
        <f t="shared" si="190"/>
        <v>0</v>
      </c>
      <c r="BJ115" s="153">
        <f t="shared" si="190"/>
        <v>0</v>
      </c>
      <c r="BL115" s="13">
        <f t="shared" si="155"/>
        <v>0</v>
      </c>
      <c r="BM115" s="10">
        <f t="shared" ref="BM115:BW115" si="191">0-IF(AND($F115&gt;BL$5,$F115 &lt;=BM$5), $G115, 0)</f>
        <v>0</v>
      </c>
      <c r="BN115" s="10">
        <f t="shared" si="191"/>
        <v>0</v>
      </c>
      <c r="BO115" s="10">
        <f t="shared" si="191"/>
        <v>0</v>
      </c>
      <c r="BP115" s="10">
        <f t="shared" si="191"/>
        <v>0</v>
      </c>
      <c r="BQ115" s="10">
        <f t="shared" si="191"/>
        <v>0</v>
      </c>
      <c r="BR115" s="10">
        <f t="shared" si="191"/>
        <v>0</v>
      </c>
      <c r="BS115" s="10">
        <f t="shared" si="191"/>
        <v>0</v>
      </c>
      <c r="BT115" s="10">
        <f t="shared" si="191"/>
        <v>0</v>
      </c>
      <c r="BU115" s="10">
        <f t="shared" si="191"/>
        <v>0</v>
      </c>
      <c r="BV115" s="10">
        <f t="shared" si="191"/>
        <v>0</v>
      </c>
      <c r="BW115" s="10">
        <f t="shared" si="191"/>
        <v>0</v>
      </c>
      <c r="BY115" s="12"/>
      <c r="BZ115" s="363">
        <f t="shared" si="157"/>
        <v>0</v>
      </c>
      <c r="CA115" s="12"/>
      <c r="CB115" s="7">
        <f t="shared" si="158"/>
        <v>0</v>
      </c>
      <c r="CC115" s="7">
        <f>IF(AND(G115&lt;&gt;0, _xlfn.IFNA(MATCH(E115, Parameters!$D$45:$D$48, 0), "N/A")="N/A"), 1, 0)</f>
        <v>0</v>
      </c>
      <c r="CE115" s="7">
        <f>IF($F115="", 0, IF(AND($F115&lt;=$BW$5, $F115&gt;=Timeline!$V$8), 0, 1))</f>
        <v>0</v>
      </c>
      <c r="CI115" s="7">
        <f t="shared" si="169"/>
        <v>0</v>
      </c>
      <c r="CJ115" s="7">
        <f t="shared" si="170"/>
        <v>0</v>
      </c>
      <c r="CK115" s="7">
        <f t="shared" si="171"/>
        <v>0</v>
      </c>
      <c r="CL115" s="42"/>
      <c r="CM115" s="352">
        <f t="shared" si="159"/>
        <v>0</v>
      </c>
      <c r="CN115" s="352">
        <f t="shared" si="160"/>
        <v>0</v>
      </c>
      <c r="CO115" s="352">
        <f t="shared" si="161"/>
        <v>0</v>
      </c>
      <c r="CP115" s="352">
        <f t="shared" si="162"/>
        <v>0</v>
      </c>
      <c r="CQ115" s="352">
        <f t="shared" si="163"/>
        <v>0</v>
      </c>
      <c r="CR115" s="352">
        <f t="shared" si="164"/>
        <v>0</v>
      </c>
      <c r="CS115" s="352">
        <f t="shared" si="165"/>
        <v>0</v>
      </c>
      <c r="CT115" s="42"/>
      <c r="CU115" s="67">
        <v>0</v>
      </c>
      <c r="CV115" s="67">
        <v>0</v>
      </c>
      <c r="EX115" s="13" t="str">
        <f t="shared" si="166"/>
        <v>Moved to Assets Held for Sale AH12</v>
      </c>
    </row>
    <row r="116" spans="1:154" x14ac:dyDescent="0.25">
      <c r="A116" s="362" cm="1">
        <f t="array" aca="1" ref="A116" ca="1">HYPERLINK(CONCATENATE("#",CELL("address",IF(SUM($CA116:$CL116)=0,A116,INDEX($CA116:$CL116,MATCH(1,$CA116:$CL116,0))))),SUM($CA116:$CL116))</f>
        <v>0</v>
      </c>
      <c r="C116" s="521" t="s">
        <v>1128</v>
      </c>
      <c r="D116" s="147"/>
      <c r="E116" s="146"/>
      <c r="F116" s="150"/>
      <c r="G116" s="147"/>
      <c r="H116" s="9" t="s">
        <v>98</v>
      </c>
      <c r="I116" s="9"/>
      <c r="T116" s="25"/>
      <c r="U116" s="25"/>
      <c r="V116" s="13">
        <f>0-IF(AND($F116&gt;=Timeline!$V$8,$F116 &lt;=V$5), $G116, 0)</f>
        <v>0</v>
      </c>
      <c r="W116" s="153">
        <f t="shared" si="153"/>
        <v>0</v>
      </c>
      <c r="X116" s="153">
        <f t="shared" si="153"/>
        <v>0</v>
      </c>
      <c r="Y116" s="153">
        <f t="shared" si="153"/>
        <v>0</v>
      </c>
      <c r="Z116" s="335"/>
      <c r="AA116" s="153">
        <f t="shared" ref="AA116:BJ116" si="192">0-IF(AND($F116&gt;Z$5,$F116 &lt;=AA$5), $G116, 0)</f>
        <v>0</v>
      </c>
      <c r="AB116" s="153">
        <f t="shared" si="192"/>
        <v>0</v>
      </c>
      <c r="AC116" s="153">
        <f t="shared" si="192"/>
        <v>0</v>
      </c>
      <c r="AD116" s="153">
        <f t="shared" si="192"/>
        <v>0</v>
      </c>
      <c r="AE116" s="153">
        <f t="shared" si="192"/>
        <v>0</v>
      </c>
      <c r="AF116" s="153">
        <f t="shared" si="192"/>
        <v>0</v>
      </c>
      <c r="AG116" s="153">
        <f t="shared" si="192"/>
        <v>0</v>
      </c>
      <c r="AH116" s="153">
        <f t="shared" si="192"/>
        <v>0</v>
      </c>
      <c r="AI116" s="153">
        <f t="shared" si="192"/>
        <v>0</v>
      </c>
      <c r="AJ116" s="153">
        <f t="shared" si="192"/>
        <v>0</v>
      </c>
      <c r="AK116" s="153">
        <f t="shared" si="192"/>
        <v>0</v>
      </c>
      <c r="AL116" s="153">
        <f t="shared" si="192"/>
        <v>0</v>
      </c>
      <c r="AM116" s="153">
        <f t="shared" si="192"/>
        <v>0</v>
      </c>
      <c r="AN116" s="153">
        <f t="shared" si="192"/>
        <v>0</v>
      </c>
      <c r="AO116" s="153">
        <f t="shared" si="192"/>
        <v>0</v>
      </c>
      <c r="AP116" s="153">
        <f t="shared" si="192"/>
        <v>0</v>
      </c>
      <c r="AQ116" s="153">
        <f t="shared" si="192"/>
        <v>0</v>
      </c>
      <c r="AR116" s="153">
        <f t="shared" si="192"/>
        <v>0</v>
      </c>
      <c r="AS116" s="153">
        <f t="shared" si="192"/>
        <v>0</v>
      </c>
      <c r="AT116" s="153">
        <f t="shared" si="192"/>
        <v>0</v>
      </c>
      <c r="AU116" s="153">
        <f t="shared" si="192"/>
        <v>0</v>
      </c>
      <c r="AV116" s="153">
        <f t="shared" si="192"/>
        <v>0</v>
      </c>
      <c r="AW116" s="153">
        <f t="shared" si="192"/>
        <v>0</v>
      </c>
      <c r="AX116" s="153">
        <f t="shared" si="192"/>
        <v>0</v>
      </c>
      <c r="AY116" s="153">
        <f t="shared" si="192"/>
        <v>0</v>
      </c>
      <c r="AZ116" s="153">
        <f t="shared" si="192"/>
        <v>0</v>
      </c>
      <c r="BA116" s="153">
        <f t="shared" si="192"/>
        <v>0</v>
      </c>
      <c r="BB116" s="153">
        <f t="shared" si="192"/>
        <v>0</v>
      </c>
      <c r="BC116" s="153">
        <f t="shared" si="192"/>
        <v>0</v>
      </c>
      <c r="BD116" s="153">
        <f t="shared" si="192"/>
        <v>0</v>
      </c>
      <c r="BE116" s="153">
        <f t="shared" si="192"/>
        <v>0</v>
      </c>
      <c r="BF116" s="153">
        <f t="shared" si="192"/>
        <v>0</v>
      </c>
      <c r="BG116" s="153">
        <f t="shared" si="192"/>
        <v>0</v>
      </c>
      <c r="BH116" s="153">
        <f t="shared" si="192"/>
        <v>0</v>
      </c>
      <c r="BI116" s="153">
        <f t="shared" si="192"/>
        <v>0</v>
      </c>
      <c r="BJ116" s="153">
        <f t="shared" si="192"/>
        <v>0</v>
      </c>
      <c r="BL116" s="13">
        <f t="shared" si="155"/>
        <v>0</v>
      </c>
      <c r="BM116" s="10">
        <f t="shared" ref="BM116:BW116" si="193">0-IF(AND($F116&gt;BL$5,$F116 &lt;=BM$5), $G116, 0)</f>
        <v>0</v>
      </c>
      <c r="BN116" s="10">
        <f t="shared" si="193"/>
        <v>0</v>
      </c>
      <c r="BO116" s="10">
        <f t="shared" si="193"/>
        <v>0</v>
      </c>
      <c r="BP116" s="10">
        <f t="shared" si="193"/>
        <v>0</v>
      </c>
      <c r="BQ116" s="10">
        <f t="shared" si="193"/>
        <v>0</v>
      </c>
      <c r="BR116" s="10">
        <f t="shared" si="193"/>
        <v>0</v>
      </c>
      <c r="BS116" s="10">
        <f t="shared" si="193"/>
        <v>0</v>
      </c>
      <c r="BT116" s="10">
        <f t="shared" si="193"/>
        <v>0</v>
      </c>
      <c r="BU116" s="10">
        <f t="shared" si="193"/>
        <v>0</v>
      </c>
      <c r="BV116" s="10">
        <f t="shared" si="193"/>
        <v>0</v>
      </c>
      <c r="BW116" s="10">
        <f t="shared" si="193"/>
        <v>0</v>
      </c>
      <c r="BY116" s="12"/>
      <c r="BZ116" s="363">
        <f t="shared" si="157"/>
        <v>0</v>
      </c>
      <c r="CA116" s="12"/>
      <c r="CB116" s="7">
        <f t="shared" si="158"/>
        <v>0</v>
      </c>
      <c r="CC116" s="7">
        <f>IF(AND(G116&lt;&gt;0, _xlfn.IFNA(MATCH(E116, Parameters!$D$45:$D$48, 0), "N/A")="N/A"), 1, 0)</f>
        <v>0</v>
      </c>
      <c r="CE116" s="7">
        <f>IF($F116="", 0, IF(AND($F116&lt;=$BW$5, $F116&gt;=Timeline!$V$8), 0, 1))</f>
        <v>0</v>
      </c>
      <c r="CI116" s="7">
        <f t="shared" si="169"/>
        <v>0</v>
      </c>
      <c r="CJ116" s="7">
        <f t="shared" si="170"/>
        <v>0</v>
      </c>
      <c r="CK116" s="7">
        <f t="shared" si="171"/>
        <v>0</v>
      </c>
      <c r="CL116" s="42"/>
      <c r="CM116" s="352">
        <f t="shared" si="159"/>
        <v>0</v>
      </c>
      <c r="CN116" s="352">
        <f t="shared" si="160"/>
        <v>0</v>
      </c>
      <c r="CO116" s="352">
        <f t="shared" si="161"/>
        <v>0</v>
      </c>
      <c r="CP116" s="352">
        <f t="shared" si="162"/>
        <v>0</v>
      </c>
      <c r="CQ116" s="352">
        <f t="shared" si="163"/>
        <v>0</v>
      </c>
      <c r="CR116" s="352">
        <f t="shared" si="164"/>
        <v>0</v>
      </c>
      <c r="CS116" s="352">
        <f t="shared" si="165"/>
        <v>0</v>
      </c>
      <c r="CT116" s="42"/>
      <c r="CU116" s="67">
        <v>0</v>
      </c>
      <c r="CV116" s="67">
        <v>0</v>
      </c>
      <c r="EX116" s="13" t="str">
        <f t="shared" si="166"/>
        <v>Moved to Assets Held for Sale AH13</v>
      </c>
    </row>
    <row r="117" spans="1:154" x14ac:dyDescent="0.25">
      <c r="A117" s="362" cm="1">
        <f t="array" aca="1" ref="A117" ca="1">HYPERLINK(CONCATENATE("#",CELL("address",IF(SUM($CA117:$CL117)=0,A117,INDEX($CA117:$CL117,MATCH(1,$CA117:$CL117,0))))),SUM($CA117:$CL117))</f>
        <v>0</v>
      </c>
      <c r="C117" s="521" t="s">
        <v>1129</v>
      </c>
      <c r="D117" s="147"/>
      <c r="E117" s="146"/>
      <c r="F117" s="150"/>
      <c r="G117" s="147"/>
      <c r="H117" s="9" t="s">
        <v>98</v>
      </c>
      <c r="I117" s="9"/>
      <c r="T117" s="25"/>
      <c r="U117" s="25"/>
      <c r="V117" s="13">
        <f>0-IF(AND($F117&gt;=Timeline!$V$8,$F117 &lt;=V$5), $G117, 0)</f>
        <v>0</v>
      </c>
      <c r="W117" s="153">
        <f t="shared" si="153"/>
        <v>0</v>
      </c>
      <c r="X117" s="153">
        <f t="shared" si="153"/>
        <v>0</v>
      </c>
      <c r="Y117" s="153">
        <f t="shared" si="153"/>
        <v>0</v>
      </c>
      <c r="Z117" s="335"/>
      <c r="AA117" s="153">
        <f t="shared" ref="AA117:BJ117" si="194">0-IF(AND($F117&gt;Z$5,$F117 &lt;=AA$5), $G117, 0)</f>
        <v>0</v>
      </c>
      <c r="AB117" s="153">
        <f t="shared" si="194"/>
        <v>0</v>
      </c>
      <c r="AC117" s="153">
        <f t="shared" si="194"/>
        <v>0</v>
      </c>
      <c r="AD117" s="153">
        <f t="shared" si="194"/>
        <v>0</v>
      </c>
      <c r="AE117" s="153">
        <f t="shared" si="194"/>
        <v>0</v>
      </c>
      <c r="AF117" s="153">
        <f t="shared" si="194"/>
        <v>0</v>
      </c>
      <c r="AG117" s="153">
        <f t="shared" si="194"/>
        <v>0</v>
      </c>
      <c r="AH117" s="153">
        <f t="shared" si="194"/>
        <v>0</v>
      </c>
      <c r="AI117" s="153">
        <f t="shared" si="194"/>
        <v>0</v>
      </c>
      <c r="AJ117" s="153">
        <f t="shared" si="194"/>
        <v>0</v>
      </c>
      <c r="AK117" s="153">
        <f t="shared" si="194"/>
        <v>0</v>
      </c>
      <c r="AL117" s="153">
        <f t="shared" si="194"/>
        <v>0</v>
      </c>
      <c r="AM117" s="153">
        <f t="shared" si="194"/>
        <v>0</v>
      </c>
      <c r="AN117" s="153">
        <f t="shared" si="194"/>
        <v>0</v>
      </c>
      <c r="AO117" s="153">
        <f t="shared" si="194"/>
        <v>0</v>
      </c>
      <c r="AP117" s="153">
        <f t="shared" si="194"/>
        <v>0</v>
      </c>
      <c r="AQ117" s="153">
        <f t="shared" si="194"/>
        <v>0</v>
      </c>
      <c r="AR117" s="153">
        <f t="shared" si="194"/>
        <v>0</v>
      </c>
      <c r="AS117" s="153">
        <f t="shared" si="194"/>
        <v>0</v>
      </c>
      <c r="AT117" s="153">
        <f t="shared" si="194"/>
        <v>0</v>
      </c>
      <c r="AU117" s="153">
        <f t="shared" si="194"/>
        <v>0</v>
      </c>
      <c r="AV117" s="153">
        <f t="shared" si="194"/>
        <v>0</v>
      </c>
      <c r="AW117" s="153">
        <f t="shared" si="194"/>
        <v>0</v>
      </c>
      <c r="AX117" s="153">
        <f t="shared" si="194"/>
        <v>0</v>
      </c>
      <c r="AY117" s="153">
        <f t="shared" si="194"/>
        <v>0</v>
      </c>
      <c r="AZ117" s="153">
        <f t="shared" si="194"/>
        <v>0</v>
      </c>
      <c r="BA117" s="153">
        <f t="shared" si="194"/>
        <v>0</v>
      </c>
      <c r="BB117" s="153">
        <f t="shared" si="194"/>
        <v>0</v>
      </c>
      <c r="BC117" s="153">
        <f t="shared" si="194"/>
        <v>0</v>
      </c>
      <c r="BD117" s="153">
        <f t="shared" si="194"/>
        <v>0</v>
      </c>
      <c r="BE117" s="153">
        <f t="shared" si="194"/>
        <v>0</v>
      </c>
      <c r="BF117" s="153">
        <f t="shared" si="194"/>
        <v>0</v>
      </c>
      <c r="BG117" s="153">
        <f t="shared" si="194"/>
        <v>0</v>
      </c>
      <c r="BH117" s="153">
        <f t="shared" si="194"/>
        <v>0</v>
      </c>
      <c r="BI117" s="153">
        <f t="shared" si="194"/>
        <v>0</v>
      </c>
      <c r="BJ117" s="153">
        <f t="shared" si="194"/>
        <v>0</v>
      </c>
      <c r="BL117" s="13">
        <f t="shared" si="155"/>
        <v>0</v>
      </c>
      <c r="BM117" s="10">
        <f t="shared" ref="BM117:BW117" si="195">0-IF(AND($F117&gt;BL$5,$F117 &lt;=BM$5), $G117, 0)</f>
        <v>0</v>
      </c>
      <c r="BN117" s="10">
        <f t="shared" si="195"/>
        <v>0</v>
      </c>
      <c r="BO117" s="10">
        <f t="shared" si="195"/>
        <v>0</v>
      </c>
      <c r="BP117" s="10">
        <f t="shared" si="195"/>
        <v>0</v>
      </c>
      <c r="BQ117" s="10">
        <f t="shared" si="195"/>
        <v>0</v>
      </c>
      <c r="BR117" s="10">
        <f t="shared" si="195"/>
        <v>0</v>
      </c>
      <c r="BS117" s="10">
        <f t="shared" si="195"/>
        <v>0</v>
      </c>
      <c r="BT117" s="10">
        <f t="shared" si="195"/>
        <v>0</v>
      </c>
      <c r="BU117" s="10">
        <f t="shared" si="195"/>
        <v>0</v>
      </c>
      <c r="BV117" s="10">
        <f t="shared" si="195"/>
        <v>0</v>
      </c>
      <c r="BW117" s="10">
        <f t="shared" si="195"/>
        <v>0</v>
      </c>
      <c r="BY117" s="12"/>
      <c r="BZ117" s="363">
        <f t="shared" si="157"/>
        <v>0</v>
      </c>
      <c r="CA117" s="12"/>
      <c r="CB117" s="7">
        <f t="shared" si="158"/>
        <v>0</v>
      </c>
      <c r="CC117" s="7">
        <f>IF(AND(G117&lt;&gt;0, _xlfn.IFNA(MATCH(E117, Parameters!$D$45:$D$48, 0), "N/A")="N/A"), 1, 0)</f>
        <v>0</v>
      </c>
      <c r="CE117" s="7">
        <f>IF($F117="", 0, IF(AND($F117&lt;=$BW$5, $F117&gt;=Timeline!$V$8), 0, 1))</f>
        <v>0</v>
      </c>
      <c r="CI117" s="7">
        <f t="shared" si="169"/>
        <v>0</v>
      </c>
      <c r="CJ117" s="7">
        <f t="shared" si="170"/>
        <v>0</v>
      </c>
      <c r="CK117" s="7">
        <f t="shared" si="171"/>
        <v>0</v>
      </c>
      <c r="CL117" s="42"/>
      <c r="CM117" s="352">
        <f t="shared" si="159"/>
        <v>0</v>
      </c>
      <c r="CN117" s="352">
        <f t="shared" si="160"/>
        <v>0</v>
      </c>
      <c r="CO117" s="352">
        <f t="shared" si="161"/>
        <v>0</v>
      </c>
      <c r="CP117" s="352">
        <f t="shared" si="162"/>
        <v>0</v>
      </c>
      <c r="CQ117" s="352">
        <f t="shared" si="163"/>
        <v>0</v>
      </c>
      <c r="CR117" s="352">
        <f t="shared" si="164"/>
        <v>0</v>
      </c>
      <c r="CS117" s="352">
        <f t="shared" si="165"/>
        <v>0</v>
      </c>
      <c r="CT117" s="42"/>
      <c r="CU117" s="67">
        <v>0</v>
      </c>
      <c r="CV117" s="67">
        <v>0</v>
      </c>
      <c r="EX117" s="13" t="str">
        <f t="shared" si="166"/>
        <v>Moved to Assets Held for Sale AH14</v>
      </c>
    </row>
    <row r="118" spans="1:154" x14ac:dyDescent="0.25">
      <c r="A118" s="362" cm="1">
        <f t="array" aca="1" ref="A118" ca="1">HYPERLINK(CONCATENATE("#",CELL("address",IF(SUM($CA118:$CL118)=0,A118,INDEX($CA118:$CL118,MATCH(1,$CA118:$CL118,0))))),SUM($CA118:$CL118))</f>
        <v>0</v>
      </c>
      <c r="C118" s="521" t="s">
        <v>1130</v>
      </c>
      <c r="D118" s="147"/>
      <c r="E118" s="146"/>
      <c r="F118" s="143"/>
      <c r="G118" s="147"/>
      <c r="H118" s="9" t="s">
        <v>98</v>
      </c>
      <c r="I118" s="9"/>
      <c r="T118" s="25"/>
      <c r="U118" s="25"/>
      <c r="V118" s="13">
        <f>0-IF(AND($F118&gt;=Timeline!$V$8,$F118 &lt;=V$5), $G118, 0)</f>
        <v>0</v>
      </c>
      <c r="W118" s="153">
        <f t="shared" si="153"/>
        <v>0</v>
      </c>
      <c r="X118" s="153">
        <f t="shared" si="153"/>
        <v>0</v>
      </c>
      <c r="Y118" s="153">
        <f t="shared" si="153"/>
        <v>0</v>
      </c>
      <c r="Z118" s="335"/>
      <c r="AA118" s="153">
        <f t="shared" ref="AA118:BJ118" si="196">0-IF(AND($F118&gt;Z$5,$F118 &lt;=AA$5), $G118, 0)</f>
        <v>0</v>
      </c>
      <c r="AB118" s="153">
        <f t="shared" si="196"/>
        <v>0</v>
      </c>
      <c r="AC118" s="153">
        <f t="shared" si="196"/>
        <v>0</v>
      </c>
      <c r="AD118" s="153">
        <f t="shared" si="196"/>
        <v>0</v>
      </c>
      <c r="AE118" s="153">
        <f t="shared" si="196"/>
        <v>0</v>
      </c>
      <c r="AF118" s="153">
        <f t="shared" si="196"/>
        <v>0</v>
      </c>
      <c r="AG118" s="153">
        <f t="shared" si="196"/>
        <v>0</v>
      </c>
      <c r="AH118" s="153">
        <f t="shared" si="196"/>
        <v>0</v>
      </c>
      <c r="AI118" s="153">
        <f t="shared" si="196"/>
        <v>0</v>
      </c>
      <c r="AJ118" s="153">
        <f t="shared" si="196"/>
        <v>0</v>
      </c>
      <c r="AK118" s="153">
        <f t="shared" si="196"/>
        <v>0</v>
      </c>
      <c r="AL118" s="153">
        <f t="shared" si="196"/>
        <v>0</v>
      </c>
      <c r="AM118" s="153">
        <f t="shared" si="196"/>
        <v>0</v>
      </c>
      <c r="AN118" s="153">
        <f t="shared" si="196"/>
        <v>0</v>
      </c>
      <c r="AO118" s="153">
        <f t="shared" si="196"/>
        <v>0</v>
      </c>
      <c r="AP118" s="153">
        <f t="shared" si="196"/>
        <v>0</v>
      </c>
      <c r="AQ118" s="153">
        <f t="shared" si="196"/>
        <v>0</v>
      </c>
      <c r="AR118" s="153">
        <f t="shared" si="196"/>
        <v>0</v>
      </c>
      <c r="AS118" s="153">
        <f t="shared" si="196"/>
        <v>0</v>
      </c>
      <c r="AT118" s="153">
        <f t="shared" si="196"/>
        <v>0</v>
      </c>
      <c r="AU118" s="153">
        <f t="shared" si="196"/>
        <v>0</v>
      </c>
      <c r="AV118" s="153">
        <f t="shared" si="196"/>
        <v>0</v>
      </c>
      <c r="AW118" s="153">
        <f t="shared" si="196"/>
        <v>0</v>
      </c>
      <c r="AX118" s="153">
        <f t="shared" si="196"/>
        <v>0</v>
      </c>
      <c r="AY118" s="153">
        <f t="shared" si="196"/>
        <v>0</v>
      </c>
      <c r="AZ118" s="153">
        <f t="shared" si="196"/>
        <v>0</v>
      </c>
      <c r="BA118" s="153">
        <f t="shared" si="196"/>
        <v>0</v>
      </c>
      <c r="BB118" s="153">
        <f t="shared" si="196"/>
        <v>0</v>
      </c>
      <c r="BC118" s="153">
        <f t="shared" si="196"/>
        <v>0</v>
      </c>
      <c r="BD118" s="153">
        <f t="shared" si="196"/>
        <v>0</v>
      </c>
      <c r="BE118" s="153">
        <f t="shared" si="196"/>
        <v>0</v>
      </c>
      <c r="BF118" s="153">
        <f t="shared" si="196"/>
        <v>0</v>
      </c>
      <c r="BG118" s="153">
        <f t="shared" si="196"/>
        <v>0</v>
      </c>
      <c r="BH118" s="153">
        <f t="shared" si="196"/>
        <v>0</v>
      </c>
      <c r="BI118" s="153">
        <f t="shared" si="196"/>
        <v>0</v>
      </c>
      <c r="BJ118" s="153">
        <f t="shared" si="196"/>
        <v>0</v>
      </c>
      <c r="BL118" s="13">
        <f t="shared" si="155"/>
        <v>0</v>
      </c>
      <c r="BM118" s="10">
        <f t="shared" ref="BM118:BW118" si="197">0-IF(AND($F118&gt;BL$5,$F118 &lt;=BM$5), $G118, 0)</f>
        <v>0</v>
      </c>
      <c r="BN118" s="10">
        <f t="shared" si="197"/>
        <v>0</v>
      </c>
      <c r="BO118" s="10">
        <f t="shared" si="197"/>
        <v>0</v>
      </c>
      <c r="BP118" s="10">
        <f t="shared" si="197"/>
        <v>0</v>
      </c>
      <c r="BQ118" s="10">
        <f t="shared" si="197"/>
        <v>0</v>
      </c>
      <c r="BR118" s="10">
        <f t="shared" si="197"/>
        <v>0</v>
      </c>
      <c r="BS118" s="10">
        <f t="shared" si="197"/>
        <v>0</v>
      </c>
      <c r="BT118" s="10">
        <f t="shared" si="197"/>
        <v>0</v>
      </c>
      <c r="BU118" s="10">
        <f t="shared" si="197"/>
        <v>0</v>
      </c>
      <c r="BV118" s="10">
        <f t="shared" si="197"/>
        <v>0</v>
      </c>
      <c r="BW118" s="10">
        <f t="shared" si="197"/>
        <v>0</v>
      </c>
      <c r="BY118" s="12"/>
      <c r="BZ118" s="363">
        <f t="shared" si="157"/>
        <v>0</v>
      </c>
      <c r="CA118" s="12"/>
      <c r="CB118" s="7">
        <f t="shared" si="158"/>
        <v>0</v>
      </c>
      <c r="CC118" s="7">
        <f>IF(AND(G118&lt;&gt;0, _xlfn.IFNA(MATCH(E118, Parameters!$D$45:$D$48, 0), "N/A")="N/A"), 1, 0)</f>
        <v>0</v>
      </c>
      <c r="CE118" s="7">
        <f>IF($F118="", 0, IF(AND($F118&lt;=$BW$5, $F118&gt;=Timeline!$V$8), 0, 1))</f>
        <v>0</v>
      </c>
      <c r="CI118" s="7">
        <f t="shared" si="169"/>
        <v>0</v>
      </c>
      <c r="CJ118" s="7">
        <f t="shared" si="170"/>
        <v>0</v>
      </c>
      <c r="CK118" s="7">
        <f t="shared" si="171"/>
        <v>0</v>
      </c>
      <c r="CL118" s="42"/>
      <c r="CM118" s="352">
        <f t="shared" si="159"/>
        <v>0</v>
      </c>
      <c r="CN118" s="352">
        <f t="shared" si="160"/>
        <v>0</v>
      </c>
      <c r="CO118" s="352">
        <f t="shared" si="161"/>
        <v>0</v>
      </c>
      <c r="CP118" s="352">
        <f t="shared" si="162"/>
        <v>0</v>
      </c>
      <c r="CQ118" s="352">
        <f t="shared" si="163"/>
        <v>0</v>
      </c>
      <c r="CR118" s="352">
        <f t="shared" si="164"/>
        <v>0</v>
      </c>
      <c r="CS118" s="352">
        <f t="shared" si="165"/>
        <v>0</v>
      </c>
      <c r="CT118" s="42"/>
      <c r="CU118" s="67">
        <v>0</v>
      </c>
      <c r="CV118" s="67">
        <v>0</v>
      </c>
      <c r="EX118" s="13" t="str">
        <f t="shared" si="166"/>
        <v>Moved to Assets Held for Sale AH15</v>
      </c>
    </row>
    <row r="119" spans="1:154" x14ac:dyDescent="0.25">
      <c r="A119" s="362" cm="1">
        <f t="array" aca="1" ref="A119" ca="1">HYPERLINK(CONCATENATE("#",CELL("address",IF(SUM($CA119:$CL119)=0,A119,INDEX($CA119:$CL119,MATCH(1,$CA119:$CL119,0))))),SUM($CA119:$CL119))</f>
        <v>0</v>
      </c>
      <c r="C119" s="410"/>
      <c r="D119" s="82" t="s">
        <v>383</v>
      </c>
      <c r="E119" s="82" t="str">
        <f>Parameters!$D$45</f>
        <v>Land &amp; Buildings</v>
      </c>
      <c r="F119" s="25"/>
      <c r="G119" s="25"/>
      <c r="I119" s="116"/>
      <c r="T119" s="25"/>
      <c r="U119" s="25"/>
      <c r="V119" s="152">
        <f>SUMIFS(V104:V118, $E104:$E118, $E119)</f>
        <v>0</v>
      </c>
      <c r="W119" s="152">
        <f>SUMIFS(W104:W118, $E104:$E118, $E119)</f>
        <v>0</v>
      </c>
      <c r="X119" s="152">
        <f>SUMIFS(X104:X118, $E104:$E118, $E119)</f>
        <v>0</v>
      </c>
      <c r="Y119" s="152">
        <f>SUMIFS(Y104:Y118, $E104:$E118, $E119)</f>
        <v>0</v>
      </c>
      <c r="Z119" s="335"/>
      <c r="AA119" s="152">
        <f t="shared" ref="AA119:BJ119" si="198">SUMIFS(AA104:AA118, $E104:$E118, $E119)</f>
        <v>0</v>
      </c>
      <c r="AB119" s="152">
        <f t="shared" si="198"/>
        <v>0</v>
      </c>
      <c r="AC119" s="152">
        <f t="shared" si="198"/>
        <v>0</v>
      </c>
      <c r="AD119" s="152">
        <f t="shared" si="198"/>
        <v>0</v>
      </c>
      <c r="AE119" s="152">
        <f t="shared" si="198"/>
        <v>0</v>
      </c>
      <c r="AF119" s="152">
        <f t="shared" si="198"/>
        <v>0</v>
      </c>
      <c r="AG119" s="152">
        <f t="shared" si="198"/>
        <v>0</v>
      </c>
      <c r="AH119" s="152">
        <f t="shared" si="198"/>
        <v>0</v>
      </c>
      <c r="AI119" s="152">
        <f t="shared" si="198"/>
        <v>0</v>
      </c>
      <c r="AJ119" s="152">
        <f t="shared" si="198"/>
        <v>0</v>
      </c>
      <c r="AK119" s="152">
        <f t="shared" si="198"/>
        <v>0</v>
      </c>
      <c r="AL119" s="152">
        <f t="shared" si="198"/>
        <v>0</v>
      </c>
      <c r="AM119" s="152">
        <f t="shared" si="198"/>
        <v>0</v>
      </c>
      <c r="AN119" s="152">
        <f t="shared" si="198"/>
        <v>0</v>
      </c>
      <c r="AO119" s="152">
        <f t="shared" si="198"/>
        <v>0</v>
      </c>
      <c r="AP119" s="152">
        <f t="shared" si="198"/>
        <v>0</v>
      </c>
      <c r="AQ119" s="152">
        <f t="shared" si="198"/>
        <v>0</v>
      </c>
      <c r="AR119" s="152">
        <f t="shared" si="198"/>
        <v>0</v>
      </c>
      <c r="AS119" s="152">
        <f t="shared" si="198"/>
        <v>0</v>
      </c>
      <c r="AT119" s="152">
        <f t="shared" si="198"/>
        <v>0</v>
      </c>
      <c r="AU119" s="152">
        <f t="shared" si="198"/>
        <v>0</v>
      </c>
      <c r="AV119" s="152">
        <f t="shared" si="198"/>
        <v>0</v>
      </c>
      <c r="AW119" s="152">
        <f t="shared" si="198"/>
        <v>0</v>
      </c>
      <c r="AX119" s="152">
        <f t="shared" si="198"/>
        <v>0</v>
      </c>
      <c r="AY119" s="152">
        <f t="shared" si="198"/>
        <v>0</v>
      </c>
      <c r="AZ119" s="152">
        <f t="shared" si="198"/>
        <v>0</v>
      </c>
      <c r="BA119" s="152">
        <f t="shared" si="198"/>
        <v>0</v>
      </c>
      <c r="BB119" s="152">
        <f t="shared" si="198"/>
        <v>0</v>
      </c>
      <c r="BC119" s="152">
        <f t="shared" si="198"/>
        <v>0</v>
      </c>
      <c r="BD119" s="152">
        <f t="shared" si="198"/>
        <v>0</v>
      </c>
      <c r="BE119" s="152">
        <f t="shared" si="198"/>
        <v>0</v>
      </c>
      <c r="BF119" s="152">
        <f t="shared" si="198"/>
        <v>0</v>
      </c>
      <c r="BG119" s="152">
        <f t="shared" si="198"/>
        <v>0</v>
      </c>
      <c r="BH119" s="152">
        <f t="shared" si="198"/>
        <v>0</v>
      </c>
      <c r="BI119" s="152">
        <f t="shared" si="198"/>
        <v>0</v>
      </c>
      <c r="BJ119" s="152">
        <f t="shared" si="198"/>
        <v>0</v>
      </c>
      <c r="BL119" s="152">
        <f t="shared" ref="BL119:BW119" si="199">SUMIFS(BL104:BL118, $E104:$E118, $E119)</f>
        <v>0</v>
      </c>
      <c r="BM119" s="152">
        <f t="shared" si="199"/>
        <v>0</v>
      </c>
      <c r="BN119" s="152">
        <f t="shared" si="199"/>
        <v>0</v>
      </c>
      <c r="BO119" s="152">
        <f t="shared" si="199"/>
        <v>0</v>
      </c>
      <c r="BP119" s="152">
        <f t="shared" si="199"/>
        <v>0</v>
      </c>
      <c r="BQ119" s="152">
        <f t="shared" si="199"/>
        <v>0</v>
      </c>
      <c r="BR119" s="152">
        <f t="shared" si="199"/>
        <v>0</v>
      </c>
      <c r="BS119" s="152">
        <f t="shared" si="199"/>
        <v>0</v>
      </c>
      <c r="BT119" s="152">
        <f t="shared" si="199"/>
        <v>0</v>
      </c>
      <c r="BU119" s="152">
        <f t="shared" si="199"/>
        <v>0</v>
      </c>
      <c r="BV119" s="152">
        <f t="shared" si="199"/>
        <v>0</v>
      </c>
      <c r="BW119" s="152">
        <f t="shared" si="199"/>
        <v>0</v>
      </c>
      <c r="BY119" s="12"/>
      <c r="BZ119" s="363">
        <f t="shared" si="157"/>
        <v>0</v>
      </c>
      <c r="CA119" s="12"/>
      <c r="CI119" s="7">
        <f t="shared" si="169"/>
        <v>0</v>
      </c>
      <c r="CJ119" s="7">
        <f t="shared" si="170"/>
        <v>0</v>
      </c>
      <c r="CK119" s="7">
        <f t="shared" si="171"/>
        <v>0</v>
      </c>
      <c r="CL119" s="42"/>
      <c r="CM119" s="352">
        <f t="shared" si="159"/>
        <v>0</v>
      </c>
      <c r="CN119" s="352">
        <f t="shared" si="160"/>
        <v>0</v>
      </c>
      <c r="CO119" s="352">
        <f t="shared" si="161"/>
        <v>0</v>
      </c>
      <c r="CP119" s="352">
        <f t="shared" si="162"/>
        <v>0</v>
      </c>
      <c r="CQ119" s="352">
        <f t="shared" si="163"/>
        <v>0</v>
      </c>
      <c r="CR119" s="352">
        <f t="shared" si="164"/>
        <v>0</v>
      </c>
      <c r="CS119" s="352">
        <f t="shared" si="165"/>
        <v>0</v>
      </c>
      <c r="CT119" s="42"/>
      <c r="CU119" s="67">
        <v>0</v>
      </c>
      <c r="CV119" s="67">
        <v>0</v>
      </c>
      <c r="EX119" s="10" t="str">
        <f t="shared" si="99"/>
        <v/>
      </c>
    </row>
    <row r="120" spans="1:154" x14ac:dyDescent="0.25">
      <c r="A120" s="362" cm="1">
        <f t="array" aca="1" ref="A120" ca="1">HYPERLINK(CONCATENATE("#",CELL("address",IF(SUM($CA120:$CL120)=0,A120,INDEX($CA120:$CL120,MATCH(1,$CA120:$CL120,0))))),SUM($CA120:$CL120))</f>
        <v>0</v>
      </c>
      <c r="C120" s="410"/>
      <c r="D120" s="82" t="s">
        <v>384</v>
      </c>
      <c r="E120" s="82" t="str">
        <f>Parameters!$D$46</f>
        <v>Equipment</v>
      </c>
      <c r="F120" s="25"/>
      <c r="G120" s="25"/>
      <c r="I120" s="116"/>
      <c r="T120" s="25"/>
      <c r="U120" s="25"/>
      <c r="V120" s="13">
        <f>SUMIFS(V104:V118, $E104:$E118, $E120)</f>
        <v>0</v>
      </c>
      <c r="W120" s="13">
        <f>SUMIFS(W104:W118, $E104:$E118, $E120)</f>
        <v>0</v>
      </c>
      <c r="X120" s="13">
        <f>SUMIFS(X104:X118, $E104:$E118, $E120)</f>
        <v>0</v>
      </c>
      <c r="Y120" s="13">
        <f>SUMIFS(Y104:Y118, $E104:$E118, $E120)</f>
        <v>0</v>
      </c>
      <c r="Z120" s="335"/>
      <c r="AA120" s="13">
        <f t="shared" ref="AA120:BJ120" si="200">SUMIFS(AA104:AA118, $E104:$E118, $E120)</f>
        <v>0</v>
      </c>
      <c r="AB120" s="13">
        <f t="shared" si="200"/>
        <v>0</v>
      </c>
      <c r="AC120" s="13">
        <f t="shared" si="200"/>
        <v>0</v>
      </c>
      <c r="AD120" s="13">
        <f t="shared" si="200"/>
        <v>0</v>
      </c>
      <c r="AE120" s="13">
        <f t="shared" si="200"/>
        <v>0</v>
      </c>
      <c r="AF120" s="13">
        <f t="shared" si="200"/>
        <v>0</v>
      </c>
      <c r="AG120" s="13">
        <f t="shared" si="200"/>
        <v>0</v>
      </c>
      <c r="AH120" s="13">
        <f t="shared" si="200"/>
        <v>0</v>
      </c>
      <c r="AI120" s="13">
        <f t="shared" si="200"/>
        <v>0</v>
      </c>
      <c r="AJ120" s="13">
        <f t="shared" si="200"/>
        <v>0</v>
      </c>
      <c r="AK120" s="13">
        <f t="shared" si="200"/>
        <v>0</v>
      </c>
      <c r="AL120" s="13">
        <f t="shared" si="200"/>
        <v>0</v>
      </c>
      <c r="AM120" s="13">
        <f t="shared" si="200"/>
        <v>0</v>
      </c>
      <c r="AN120" s="13">
        <f t="shared" si="200"/>
        <v>0</v>
      </c>
      <c r="AO120" s="13">
        <f t="shared" si="200"/>
        <v>0</v>
      </c>
      <c r="AP120" s="13">
        <f t="shared" si="200"/>
        <v>0</v>
      </c>
      <c r="AQ120" s="13">
        <f t="shared" si="200"/>
        <v>0</v>
      </c>
      <c r="AR120" s="13">
        <f t="shared" si="200"/>
        <v>0</v>
      </c>
      <c r="AS120" s="13">
        <f t="shared" si="200"/>
        <v>0</v>
      </c>
      <c r="AT120" s="13">
        <f t="shared" si="200"/>
        <v>0</v>
      </c>
      <c r="AU120" s="13">
        <f t="shared" si="200"/>
        <v>0</v>
      </c>
      <c r="AV120" s="13">
        <f t="shared" si="200"/>
        <v>0</v>
      </c>
      <c r="AW120" s="13">
        <f t="shared" si="200"/>
        <v>0</v>
      </c>
      <c r="AX120" s="13">
        <f t="shared" si="200"/>
        <v>0</v>
      </c>
      <c r="AY120" s="13">
        <f t="shared" si="200"/>
        <v>0</v>
      </c>
      <c r="AZ120" s="13">
        <f t="shared" si="200"/>
        <v>0</v>
      </c>
      <c r="BA120" s="13">
        <f t="shared" si="200"/>
        <v>0</v>
      </c>
      <c r="BB120" s="13">
        <f t="shared" si="200"/>
        <v>0</v>
      </c>
      <c r="BC120" s="13">
        <f t="shared" si="200"/>
        <v>0</v>
      </c>
      <c r="BD120" s="13">
        <f t="shared" si="200"/>
        <v>0</v>
      </c>
      <c r="BE120" s="13">
        <f t="shared" si="200"/>
        <v>0</v>
      </c>
      <c r="BF120" s="13">
        <f t="shared" si="200"/>
        <v>0</v>
      </c>
      <c r="BG120" s="13">
        <f t="shared" si="200"/>
        <v>0</v>
      </c>
      <c r="BH120" s="13">
        <f t="shared" si="200"/>
        <v>0</v>
      </c>
      <c r="BI120" s="13">
        <f t="shared" si="200"/>
        <v>0</v>
      </c>
      <c r="BJ120" s="13">
        <f t="shared" si="200"/>
        <v>0</v>
      </c>
      <c r="BL120" s="13">
        <f t="shared" ref="BL120:BW120" si="201">SUMIFS(BL104:BL118, $E104:$E118, $E120)</f>
        <v>0</v>
      </c>
      <c r="BM120" s="13">
        <f t="shared" si="201"/>
        <v>0</v>
      </c>
      <c r="BN120" s="13">
        <f t="shared" si="201"/>
        <v>0</v>
      </c>
      <c r="BO120" s="13">
        <f t="shared" si="201"/>
        <v>0</v>
      </c>
      <c r="BP120" s="13">
        <f t="shared" si="201"/>
        <v>0</v>
      </c>
      <c r="BQ120" s="13">
        <f t="shared" si="201"/>
        <v>0</v>
      </c>
      <c r="BR120" s="13">
        <f t="shared" si="201"/>
        <v>0</v>
      </c>
      <c r="BS120" s="13">
        <f t="shared" si="201"/>
        <v>0</v>
      </c>
      <c r="BT120" s="13">
        <f t="shared" si="201"/>
        <v>0</v>
      </c>
      <c r="BU120" s="13">
        <f t="shared" si="201"/>
        <v>0</v>
      </c>
      <c r="BV120" s="13">
        <f t="shared" si="201"/>
        <v>0</v>
      </c>
      <c r="BW120" s="13">
        <f t="shared" si="201"/>
        <v>0</v>
      </c>
      <c r="BY120" s="12"/>
      <c r="BZ120" s="363">
        <f t="shared" si="157"/>
        <v>0</v>
      </c>
      <c r="CA120" s="12"/>
      <c r="CI120" s="7">
        <f t="shared" si="169"/>
        <v>0</v>
      </c>
      <c r="CJ120" s="7">
        <f t="shared" si="170"/>
        <v>0</v>
      </c>
      <c r="CK120" s="7">
        <f t="shared" si="171"/>
        <v>0</v>
      </c>
      <c r="CL120" s="42"/>
      <c r="CM120" s="352">
        <f t="shared" si="159"/>
        <v>0</v>
      </c>
      <c r="CN120" s="352">
        <f t="shared" si="160"/>
        <v>0</v>
      </c>
      <c r="CO120" s="352">
        <f t="shared" si="161"/>
        <v>0</v>
      </c>
      <c r="CP120" s="352">
        <f t="shared" si="162"/>
        <v>0</v>
      </c>
      <c r="CQ120" s="352">
        <f t="shared" si="163"/>
        <v>0</v>
      </c>
      <c r="CR120" s="352">
        <f t="shared" si="164"/>
        <v>0</v>
      </c>
      <c r="CS120" s="352">
        <f t="shared" si="165"/>
        <v>0</v>
      </c>
      <c r="CT120" s="42"/>
      <c r="CU120" s="67">
        <v>0</v>
      </c>
      <c r="CV120" s="67">
        <v>0</v>
      </c>
      <c r="EX120" s="10" t="str">
        <f t="shared" si="99"/>
        <v/>
      </c>
    </row>
    <row r="121" spans="1:154" x14ac:dyDescent="0.25">
      <c r="A121" s="362" cm="1">
        <f t="array" aca="1" ref="A121" ca="1">HYPERLINK(CONCATENATE("#",CELL("address",IF(SUM($CA121:$CL121)=0,A121,INDEX($CA121:$CL121,MATCH(1,$CA121:$CL121,0))))),SUM($CA121:$CL121))</f>
        <v>0</v>
      </c>
      <c r="C121" s="410"/>
      <c r="D121" s="82" t="s">
        <v>398</v>
      </c>
      <c r="E121" s="82" t="str">
        <f>Parameters!$D$47</f>
        <v>Investments</v>
      </c>
      <c r="F121" s="25"/>
      <c r="G121" s="25"/>
      <c r="I121" s="116"/>
      <c r="T121" s="25"/>
      <c r="U121" s="25"/>
      <c r="V121" s="13">
        <f>SUMIFS(V104:V118, $E104:$E118, $E121)</f>
        <v>0</v>
      </c>
      <c r="W121" s="13">
        <f>SUMIFS(W104:W118, $E104:$E118, $E121)</f>
        <v>0</v>
      </c>
      <c r="X121" s="13">
        <f>SUMIFS(X104:X118, $E104:$E118, $E121)</f>
        <v>0</v>
      </c>
      <c r="Y121" s="13">
        <f>SUMIFS(Y104:Y118, $E104:$E118, $E121)</f>
        <v>0</v>
      </c>
      <c r="Z121" s="335"/>
      <c r="AA121" s="13">
        <f t="shared" ref="AA121:BJ121" si="202">SUMIFS(AA104:AA118, $E104:$E118, $E121)</f>
        <v>0</v>
      </c>
      <c r="AB121" s="13">
        <f t="shared" si="202"/>
        <v>0</v>
      </c>
      <c r="AC121" s="13">
        <f t="shared" si="202"/>
        <v>0</v>
      </c>
      <c r="AD121" s="13">
        <f t="shared" si="202"/>
        <v>0</v>
      </c>
      <c r="AE121" s="13">
        <f t="shared" si="202"/>
        <v>0</v>
      </c>
      <c r="AF121" s="13">
        <f t="shared" si="202"/>
        <v>0</v>
      </c>
      <c r="AG121" s="13">
        <f t="shared" si="202"/>
        <v>0</v>
      </c>
      <c r="AH121" s="13">
        <f t="shared" si="202"/>
        <v>0</v>
      </c>
      <c r="AI121" s="13">
        <f t="shared" si="202"/>
        <v>0</v>
      </c>
      <c r="AJ121" s="13">
        <f t="shared" si="202"/>
        <v>0</v>
      </c>
      <c r="AK121" s="13">
        <f t="shared" si="202"/>
        <v>0</v>
      </c>
      <c r="AL121" s="13">
        <f t="shared" si="202"/>
        <v>0</v>
      </c>
      <c r="AM121" s="13">
        <f t="shared" si="202"/>
        <v>0</v>
      </c>
      <c r="AN121" s="13">
        <f t="shared" si="202"/>
        <v>0</v>
      </c>
      <c r="AO121" s="13">
        <f t="shared" si="202"/>
        <v>0</v>
      </c>
      <c r="AP121" s="13">
        <f t="shared" si="202"/>
        <v>0</v>
      </c>
      <c r="AQ121" s="13">
        <f t="shared" si="202"/>
        <v>0</v>
      </c>
      <c r="AR121" s="13">
        <f t="shared" si="202"/>
        <v>0</v>
      </c>
      <c r="AS121" s="13">
        <f t="shared" si="202"/>
        <v>0</v>
      </c>
      <c r="AT121" s="13">
        <f t="shared" si="202"/>
        <v>0</v>
      </c>
      <c r="AU121" s="13">
        <f t="shared" si="202"/>
        <v>0</v>
      </c>
      <c r="AV121" s="13">
        <f t="shared" si="202"/>
        <v>0</v>
      </c>
      <c r="AW121" s="13">
        <f t="shared" si="202"/>
        <v>0</v>
      </c>
      <c r="AX121" s="13">
        <f t="shared" si="202"/>
        <v>0</v>
      </c>
      <c r="AY121" s="13">
        <f t="shared" si="202"/>
        <v>0</v>
      </c>
      <c r="AZ121" s="13">
        <f t="shared" si="202"/>
        <v>0</v>
      </c>
      <c r="BA121" s="13">
        <f t="shared" si="202"/>
        <v>0</v>
      </c>
      <c r="BB121" s="13">
        <f t="shared" si="202"/>
        <v>0</v>
      </c>
      <c r="BC121" s="13">
        <f t="shared" si="202"/>
        <v>0</v>
      </c>
      <c r="BD121" s="13">
        <f t="shared" si="202"/>
        <v>0</v>
      </c>
      <c r="BE121" s="13">
        <f t="shared" si="202"/>
        <v>0</v>
      </c>
      <c r="BF121" s="13">
        <f t="shared" si="202"/>
        <v>0</v>
      </c>
      <c r="BG121" s="13">
        <f t="shared" si="202"/>
        <v>0</v>
      </c>
      <c r="BH121" s="13">
        <f t="shared" si="202"/>
        <v>0</v>
      </c>
      <c r="BI121" s="13">
        <f t="shared" si="202"/>
        <v>0</v>
      </c>
      <c r="BJ121" s="13">
        <f t="shared" si="202"/>
        <v>0</v>
      </c>
      <c r="BL121" s="13">
        <f t="shared" ref="BL121:BW121" si="203">SUMIFS(BL104:BL118, $E104:$E118, $E121)</f>
        <v>0</v>
      </c>
      <c r="BM121" s="13">
        <f t="shared" si="203"/>
        <v>0</v>
      </c>
      <c r="BN121" s="13">
        <f t="shared" si="203"/>
        <v>0</v>
      </c>
      <c r="BO121" s="13">
        <f t="shared" si="203"/>
        <v>0</v>
      </c>
      <c r="BP121" s="13">
        <f t="shared" si="203"/>
        <v>0</v>
      </c>
      <c r="BQ121" s="13">
        <f t="shared" si="203"/>
        <v>0</v>
      </c>
      <c r="BR121" s="13">
        <f t="shared" si="203"/>
        <v>0</v>
      </c>
      <c r="BS121" s="13">
        <f t="shared" si="203"/>
        <v>0</v>
      </c>
      <c r="BT121" s="13">
        <f t="shared" si="203"/>
        <v>0</v>
      </c>
      <c r="BU121" s="13">
        <f t="shared" si="203"/>
        <v>0</v>
      </c>
      <c r="BV121" s="13">
        <f t="shared" si="203"/>
        <v>0</v>
      </c>
      <c r="BW121" s="13">
        <f t="shared" si="203"/>
        <v>0</v>
      </c>
      <c r="BY121" s="12"/>
      <c r="BZ121" s="363">
        <f t="shared" si="157"/>
        <v>0</v>
      </c>
      <c r="CA121" s="12"/>
      <c r="CI121" s="7">
        <f t="shared" si="169"/>
        <v>0</v>
      </c>
      <c r="CJ121" s="7">
        <f t="shared" si="170"/>
        <v>0</v>
      </c>
      <c r="CK121" s="7">
        <f t="shared" si="171"/>
        <v>0</v>
      </c>
      <c r="CL121" s="42"/>
      <c r="CM121" s="352">
        <f t="shared" si="159"/>
        <v>0</v>
      </c>
      <c r="CN121" s="352">
        <f t="shared" si="160"/>
        <v>0</v>
      </c>
      <c r="CO121" s="352">
        <f t="shared" si="161"/>
        <v>0</v>
      </c>
      <c r="CP121" s="352">
        <f t="shared" si="162"/>
        <v>0</v>
      </c>
      <c r="CQ121" s="352">
        <f t="shared" si="163"/>
        <v>0</v>
      </c>
      <c r="CR121" s="352">
        <f t="shared" si="164"/>
        <v>0</v>
      </c>
      <c r="CS121" s="352">
        <f t="shared" si="165"/>
        <v>0</v>
      </c>
      <c r="CT121" s="42"/>
      <c r="CU121" s="67">
        <v>0</v>
      </c>
      <c r="CV121" s="67">
        <v>0</v>
      </c>
      <c r="EX121" s="10" t="str">
        <f t="shared" si="99"/>
        <v/>
      </c>
    </row>
    <row r="122" spans="1:154" x14ac:dyDescent="0.25">
      <c r="A122" s="362" cm="1">
        <f t="array" aca="1" ref="A122" ca="1">HYPERLINK(CONCATENATE("#",CELL("address",IF(SUM($CA122:$CL122)=0,A122,INDEX($CA122:$CL122,MATCH(1,$CA122:$CL122,0))))),SUM($CA122:$CL122))</f>
        <v>0</v>
      </c>
      <c r="C122" s="410"/>
      <c r="D122" s="82" t="s">
        <v>399</v>
      </c>
      <c r="E122" s="82" t="str">
        <f>Parameters!$D$48</f>
        <v>Other NCA</v>
      </c>
      <c r="F122" s="25"/>
      <c r="G122" s="25"/>
      <c r="I122" s="116"/>
      <c r="T122" s="25"/>
      <c r="U122" s="25"/>
      <c r="V122" s="13">
        <f>SUMIFS(V104:V118, $E104:$E118, $E122)</f>
        <v>0</v>
      </c>
      <c r="W122" s="13">
        <f>SUMIFS(W104:W118, $E104:$E118, $E122)</f>
        <v>0</v>
      </c>
      <c r="X122" s="13">
        <f>SUMIFS(X104:X118, $E104:$E118, $E122)</f>
        <v>0</v>
      </c>
      <c r="Y122" s="13">
        <f>SUMIFS(Y104:Y118, $E104:$E118, $E122)</f>
        <v>0</v>
      </c>
      <c r="Z122" s="335"/>
      <c r="AA122" s="13">
        <f t="shared" ref="AA122:BJ122" si="204">SUMIFS(AA104:AA118, $E104:$E118, $E122)</f>
        <v>0</v>
      </c>
      <c r="AB122" s="13">
        <f t="shared" si="204"/>
        <v>0</v>
      </c>
      <c r="AC122" s="13">
        <f t="shared" si="204"/>
        <v>0</v>
      </c>
      <c r="AD122" s="13">
        <f t="shared" si="204"/>
        <v>0</v>
      </c>
      <c r="AE122" s="13">
        <f t="shared" si="204"/>
        <v>0</v>
      </c>
      <c r="AF122" s="13">
        <f t="shared" si="204"/>
        <v>0</v>
      </c>
      <c r="AG122" s="13">
        <f t="shared" si="204"/>
        <v>0</v>
      </c>
      <c r="AH122" s="13">
        <f t="shared" si="204"/>
        <v>0</v>
      </c>
      <c r="AI122" s="13">
        <f t="shared" si="204"/>
        <v>0</v>
      </c>
      <c r="AJ122" s="13">
        <f t="shared" si="204"/>
        <v>0</v>
      </c>
      <c r="AK122" s="13">
        <f t="shared" si="204"/>
        <v>0</v>
      </c>
      <c r="AL122" s="13">
        <f t="shared" si="204"/>
        <v>0</v>
      </c>
      <c r="AM122" s="13">
        <f t="shared" si="204"/>
        <v>0</v>
      </c>
      <c r="AN122" s="13">
        <f t="shared" si="204"/>
        <v>0</v>
      </c>
      <c r="AO122" s="13">
        <f t="shared" si="204"/>
        <v>0</v>
      </c>
      <c r="AP122" s="13">
        <f t="shared" si="204"/>
        <v>0</v>
      </c>
      <c r="AQ122" s="13">
        <f t="shared" si="204"/>
        <v>0</v>
      </c>
      <c r="AR122" s="13">
        <f t="shared" si="204"/>
        <v>0</v>
      </c>
      <c r="AS122" s="13">
        <f t="shared" si="204"/>
        <v>0</v>
      </c>
      <c r="AT122" s="13">
        <f t="shared" si="204"/>
        <v>0</v>
      </c>
      <c r="AU122" s="13">
        <f t="shared" si="204"/>
        <v>0</v>
      </c>
      <c r="AV122" s="13">
        <f t="shared" si="204"/>
        <v>0</v>
      </c>
      <c r="AW122" s="13">
        <f t="shared" si="204"/>
        <v>0</v>
      </c>
      <c r="AX122" s="13">
        <f t="shared" si="204"/>
        <v>0</v>
      </c>
      <c r="AY122" s="13">
        <f t="shared" si="204"/>
        <v>0</v>
      </c>
      <c r="AZ122" s="13">
        <f t="shared" si="204"/>
        <v>0</v>
      </c>
      <c r="BA122" s="13">
        <f t="shared" si="204"/>
        <v>0</v>
      </c>
      <c r="BB122" s="13">
        <f t="shared" si="204"/>
        <v>0</v>
      </c>
      <c r="BC122" s="13">
        <f t="shared" si="204"/>
        <v>0</v>
      </c>
      <c r="BD122" s="13">
        <f t="shared" si="204"/>
        <v>0</v>
      </c>
      <c r="BE122" s="13">
        <f t="shared" si="204"/>
        <v>0</v>
      </c>
      <c r="BF122" s="13">
        <f t="shared" si="204"/>
        <v>0</v>
      </c>
      <c r="BG122" s="13">
        <f t="shared" si="204"/>
        <v>0</v>
      </c>
      <c r="BH122" s="13">
        <f t="shared" si="204"/>
        <v>0</v>
      </c>
      <c r="BI122" s="13">
        <f t="shared" si="204"/>
        <v>0</v>
      </c>
      <c r="BJ122" s="13">
        <f t="shared" si="204"/>
        <v>0</v>
      </c>
      <c r="BL122" s="13">
        <f t="shared" ref="BL122:BW122" si="205">SUMIFS(BL104:BL118, $E104:$E118, $E122)</f>
        <v>0</v>
      </c>
      <c r="BM122" s="13">
        <f t="shared" si="205"/>
        <v>0</v>
      </c>
      <c r="BN122" s="13">
        <f t="shared" si="205"/>
        <v>0</v>
      </c>
      <c r="BO122" s="13">
        <f t="shared" si="205"/>
        <v>0</v>
      </c>
      <c r="BP122" s="13">
        <f t="shared" si="205"/>
        <v>0</v>
      </c>
      <c r="BQ122" s="13">
        <f t="shared" si="205"/>
        <v>0</v>
      </c>
      <c r="BR122" s="13">
        <f t="shared" si="205"/>
        <v>0</v>
      </c>
      <c r="BS122" s="13">
        <f t="shared" si="205"/>
        <v>0</v>
      </c>
      <c r="BT122" s="13">
        <f t="shared" si="205"/>
        <v>0</v>
      </c>
      <c r="BU122" s="13">
        <f t="shared" si="205"/>
        <v>0</v>
      </c>
      <c r="BV122" s="13">
        <f t="shared" si="205"/>
        <v>0</v>
      </c>
      <c r="BW122" s="13">
        <f t="shared" si="205"/>
        <v>0</v>
      </c>
      <c r="BY122" s="12"/>
      <c r="BZ122" s="363">
        <f t="shared" si="157"/>
        <v>0</v>
      </c>
      <c r="CA122" s="12"/>
      <c r="CI122" s="7">
        <f t="shared" si="169"/>
        <v>0</v>
      </c>
      <c r="CJ122" s="7">
        <f t="shared" si="170"/>
        <v>0</v>
      </c>
      <c r="CK122" s="7">
        <f t="shared" si="171"/>
        <v>0</v>
      </c>
      <c r="CL122" s="42"/>
      <c r="CM122" s="352">
        <f t="shared" si="159"/>
        <v>0</v>
      </c>
      <c r="CN122" s="352">
        <f t="shared" si="160"/>
        <v>0</v>
      </c>
      <c r="CO122" s="352">
        <f t="shared" si="161"/>
        <v>0</v>
      </c>
      <c r="CP122" s="352">
        <f t="shared" si="162"/>
        <v>0</v>
      </c>
      <c r="CQ122" s="352">
        <f t="shared" si="163"/>
        <v>0</v>
      </c>
      <c r="CR122" s="352">
        <f t="shared" si="164"/>
        <v>0</v>
      </c>
      <c r="CS122" s="352">
        <f t="shared" si="165"/>
        <v>0</v>
      </c>
      <c r="CT122" s="42"/>
      <c r="CU122" s="67">
        <v>0</v>
      </c>
      <c r="CV122" s="67">
        <v>0</v>
      </c>
      <c r="EX122" s="10" t="str">
        <f t="shared" si="99"/>
        <v/>
      </c>
    </row>
    <row r="123" spans="1:154" x14ac:dyDescent="0.25">
      <c r="A123" s="362" cm="1">
        <f t="array" aca="1" ref="A123" ca="1">HYPERLINK(CONCATENATE("#",CELL("address",IF(SUM($CA123:$CL123)=0,A123,INDEX($CA123:$CL123,MATCH(1,$CA123:$CL123,0))))),SUM($CA123:$CL123))</f>
        <v>0</v>
      </c>
      <c r="C123" s="410"/>
      <c r="D123" s="82" t="s">
        <v>397</v>
      </c>
      <c r="E123" s="82" t="s">
        <v>391</v>
      </c>
      <c r="F123" s="25"/>
      <c r="G123" s="25"/>
      <c r="I123" s="116"/>
      <c r="T123" s="25"/>
      <c r="U123" s="25"/>
      <c r="V123" s="13">
        <f>SUM(V119:V122)</f>
        <v>0</v>
      </c>
      <c r="W123" s="13">
        <f t="shared" ref="W123:BW123" si="206">SUM(W119:W122)</f>
        <v>0</v>
      </c>
      <c r="X123" s="13">
        <f t="shared" si="206"/>
        <v>0</v>
      </c>
      <c r="Y123" s="13">
        <f t="shared" si="206"/>
        <v>0</v>
      </c>
      <c r="Z123" s="335"/>
      <c r="AA123" s="13">
        <f t="shared" si="206"/>
        <v>0</v>
      </c>
      <c r="AB123" s="13">
        <f t="shared" si="206"/>
        <v>0</v>
      </c>
      <c r="AC123" s="13">
        <f t="shared" si="206"/>
        <v>0</v>
      </c>
      <c r="AD123" s="13">
        <f t="shared" si="206"/>
        <v>0</v>
      </c>
      <c r="AE123" s="13">
        <f t="shared" si="206"/>
        <v>0</v>
      </c>
      <c r="AF123" s="13">
        <f t="shared" si="206"/>
        <v>0</v>
      </c>
      <c r="AG123" s="13">
        <f t="shared" si="206"/>
        <v>0</v>
      </c>
      <c r="AH123" s="13">
        <f t="shared" si="206"/>
        <v>0</v>
      </c>
      <c r="AI123" s="13">
        <f t="shared" si="206"/>
        <v>0</v>
      </c>
      <c r="AJ123" s="13">
        <f t="shared" si="206"/>
        <v>0</v>
      </c>
      <c r="AK123" s="13">
        <f t="shared" si="206"/>
        <v>0</v>
      </c>
      <c r="AL123" s="13">
        <f t="shared" si="206"/>
        <v>0</v>
      </c>
      <c r="AM123" s="13">
        <f t="shared" si="206"/>
        <v>0</v>
      </c>
      <c r="AN123" s="13">
        <f t="shared" si="206"/>
        <v>0</v>
      </c>
      <c r="AO123" s="13">
        <f t="shared" si="206"/>
        <v>0</v>
      </c>
      <c r="AP123" s="13">
        <f t="shared" si="206"/>
        <v>0</v>
      </c>
      <c r="AQ123" s="13">
        <f t="shared" si="206"/>
        <v>0</v>
      </c>
      <c r="AR123" s="13">
        <f t="shared" si="206"/>
        <v>0</v>
      </c>
      <c r="AS123" s="13">
        <f t="shared" si="206"/>
        <v>0</v>
      </c>
      <c r="AT123" s="13">
        <f t="shared" si="206"/>
        <v>0</v>
      </c>
      <c r="AU123" s="13">
        <f t="shared" si="206"/>
        <v>0</v>
      </c>
      <c r="AV123" s="13">
        <f t="shared" si="206"/>
        <v>0</v>
      </c>
      <c r="AW123" s="13">
        <f t="shared" si="206"/>
        <v>0</v>
      </c>
      <c r="AX123" s="13">
        <f t="shared" si="206"/>
        <v>0</v>
      </c>
      <c r="AY123" s="13">
        <f t="shared" si="206"/>
        <v>0</v>
      </c>
      <c r="AZ123" s="13">
        <f t="shared" si="206"/>
        <v>0</v>
      </c>
      <c r="BA123" s="13">
        <f t="shared" si="206"/>
        <v>0</v>
      </c>
      <c r="BB123" s="13">
        <f t="shared" si="206"/>
        <v>0</v>
      </c>
      <c r="BC123" s="13">
        <f t="shared" si="206"/>
        <v>0</v>
      </c>
      <c r="BD123" s="13">
        <f t="shared" si="206"/>
        <v>0</v>
      </c>
      <c r="BE123" s="13">
        <f t="shared" si="206"/>
        <v>0</v>
      </c>
      <c r="BF123" s="13">
        <f t="shared" si="206"/>
        <v>0</v>
      </c>
      <c r="BG123" s="13">
        <f t="shared" si="206"/>
        <v>0</v>
      </c>
      <c r="BH123" s="13">
        <f t="shared" si="206"/>
        <v>0</v>
      </c>
      <c r="BI123" s="13">
        <f t="shared" si="206"/>
        <v>0</v>
      </c>
      <c r="BJ123" s="13">
        <f t="shared" si="206"/>
        <v>0</v>
      </c>
      <c r="BL123" s="13">
        <f t="shared" si="206"/>
        <v>0</v>
      </c>
      <c r="BM123" s="13">
        <f t="shared" si="206"/>
        <v>0</v>
      </c>
      <c r="BN123" s="13">
        <f t="shared" si="206"/>
        <v>0</v>
      </c>
      <c r="BO123" s="13">
        <f t="shared" si="206"/>
        <v>0</v>
      </c>
      <c r="BP123" s="13">
        <f t="shared" si="206"/>
        <v>0</v>
      </c>
      <c r="BQ123" s="13">
        <f t="shared" si="206"/>
        <v>0</v>
      </c>
      <c r="BR123" s="13">
        <f t="shared" si="206"/>
        <v>0</v>
      </c>
      <c r="BS123" s="13">
        <f t="shared" si="206"/>
        <v>0</v>
      </c>
      <c r="BT123" s="13">
        <f t="shared" si="206"/>
        <v>0</v>
      </c>
      <c r="BU123" s="13">
        <f t="shared" si="206"/>
        <v>0</v>
      </c>
      <c r="BV123" s="13">
        <f t="shared" si="206"/>
        <v>0</v>
      </c>
      <c r="BW123" s="13">
        <f t="shared" si="206"/>
        <v>0</v>
      </c>
      <c r="BY123" s="12"/>
      <c r="BZ123" s="363">
        <f t="shared" si="157"/>
        <v>0</v>
      </c>
      <c r="CA123" s="12"/>
      <c r="CH123" s="7">
        <f>IF(ROUND(SUM($V123:$BW123)-SUM($V104:$BW118), rounding)=0, 0, 1)</f>
        <v>0</v>
      </c>
      <c r="CI123" s="7">
        <f t="shared" si="169"/>
        <v>0</v>
      </c>
      <c r="CJ123" s="7">
        <f t="shared" si="170"/>
        <v>0</v>
      </c>
      <c r="CK123" s="7">
        <f t="shared" si="171"/>
        <v>0</v>
      </c>
      <c r="CL123" s="42"/>
      <c r="CM123" s="352">
        <f t="shared" si="159"/>
        <v>0</v>
      </c>
      <c r="CN123" s="352">
        <f t="shared" si="160"/>
        <v>0</v>
      </c>
      <c r="CO123" s="352">
        <f t="shared" si="161"/>
        <v>0</v>
      </c>
      <c r="CP123" s="352">
        <f t="shared" si="162"/>
        <v>0</v>
      </c>
      <c r="CQ123" s="352">
        <f t="shared" si="163"/>
        <v>0</v>
      </c>
      <c r="CR123" s="352">
        <f t="shared" si="164"/>
        <v>0</v>
      </c>
      <c r="CS123" s="352">
        <f t="shared" si="165"/>
        <v>0</v>
      </c>
      <c r="CT123" s="42"/>
      <c r="CU123" s="67">
        <v>0</v>
      </c>
      <c r="CV123" s="67">
        <v>0</v>
      </c>
      <c r="EX123" s="10" t="str">
        <f t="shared" si="99"/>
        <v/>
      </c>
    </row>
    <row r="124" spans="1:154" ht="6.6" customHeight="1" x14ac:dyDescent="0.25">
      <c r="C124" s="410"/>
      <c r="D124" s="1"/>
      <c r="E124" s="67"/>
      <c r="Z124" s="335"/>
      <c r="BM124" s="6"/>
      <c r="BY124" s="42"/>
      <c r="CA124" s="42"/>
      <c r="CL124" s="42"/>
      <c r="CM124" s="352"/>
      <c r="CN124" s="352"/>
      <c r="CO124" s="352"/>
      <c r="CP124" s="352"/>
      <c r="CQ124" s="352"/>
      <c r="CR124" s="352"/>
      <c r="CS124" s="352"/>
      <c r="CT124" s="42"/>
      <c r="CU124" s="67">
        <v>0</v>
      </c>
      <c r="CV124" s="67">
        <v>0</v>
      </c>
      <c r="EX124" s="10" t="str">
        <f t="shared" si="99"/>
        <v/>
      </c>
    </row>
    <row r="125" spans="1:154" x14ac:dyDescent="0.25">
      <c r="A125" s="108"/>
      <c r="B125" s="108"/>
      <c r="C125" s="411"/>
      <c r="D125" s="148" t="s">
        <v>121</v>
      </c>
      <c r="E125" s="148"/>
      <c r="F125" s="148"/>
      <c r="G125" s="148"/>
      <c r="H125" s="40"/>
      <c r="I125" s="40"/>
      <c r="J125" s="40"/>
      <c r="K125" s="40"/>
      <c r="L125" s="40"/>
      <c r="M125" s="40"/>
      <c r="N125" s="40"/>
      <c r="O125" s="40"/>
      <c r="P125" s="40"/>
      <c r="Q125" s="40"/>
      <c r="R125" s="40"/>
      <c r="S125" s="40"/>
      <c r="T125" s="148"/>
      <c r="U125" s="148"/>
      <c r="V125" s="148"/>
      <c r="W125" s="148"/>
      <c r="X125" s="148"/>
      <c r="Y125" s="148"/>
      <c r="Z125" s="335"/>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40"/>
      <c r="BL125" s="148"/>
      <c r="BM125" s="148"/>
      <c r="BN125" s="148"/>
      <c r="BO125" s="148"/>
      <c r="BP125" s="148"/>
      <c r="BQ125" s="148"/>
      <c r="BR125" s="148"/>
      <c r="BS125" s="148"/>
      <c r="BT125" s="148"/>
      <c r="BU125" s="148"/>
      <c r="BV125" s="148"/>
      <c r="BW125" s="148"/>
      <c r="BX125" s="40"/>
      <c r="BY125" s="42"/>
      <c r="CA125" s="42"/>
      <c r="CL125" s="42"/>
      <c r="CM125" s="352"/>
      <c r="CN125" s="352"/>
      <c r="CO125" s="352"/>
      <c r="CP125" s="352"/>
      <c r="CQ125" s="352"/>
      <c r="CR125" s="352"/>
      <c r="CS125" s="352"/>
      <c r="CT125" s="42"/>
      <c r="CU125" s="67">
        <v>0</v>
      </c>
      <c r="CV125" s="67">
        <v>0</v>
      </c>
      <c r="EX125" s="10" t="str">
        <f t="shared" si="99"/>
        <v/>
      </c>
    </row>
    <row r="126" spans="1:154" ht="6.6" customHeight="1" x14ac:dyDescent="0.25">
      <c r="C126" s="410"/>
      <c r="D126" s="35"/>
      <c r="E126" s="25"/>
      <c r="F126" s="25"/>
      <c r="G126" s="25"/>
      <c r="T126" s="25"/>
      <c r="U126" s="25"/>
      <c r="V126" s="25"/>
      <c r="W126" s="25"/>
      <c r="X126" s="25"/>
      <c r="Y126" s="25"/>
      <c r="Z126" s="33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L126" s="25"/>
      <c r="BM126" s="155"/>
      <c r="BN126" s="25"/>
      <c r="BO126" s="25"/>
      <c r="BP126" s="25"/>
      <c r="BQ126" s="25"/>
      <c r="BR126" s="25"/>
      <c r="BS126" s="25"/>
      <c r="BT126" s="25"/>
      <c r="BU126" s="25"/>
      <c r="BV126" s="25"/>
      <c r="BW126" s="25"/>
      <c r="BY126" s="42"/>
      <c r="CA126" s="42"/>
      <c r="CL126" s="42"/>
      <c r="CM126" s="352"/>
      <c r="CN126" s="352"/>
      <c r="CO126" s="352"/>
      <c r="CP126" s="352"/>
      <c r="CQ126" s="352"/>
      <c r="CR126" s="352"/>
      <c r="CS126" s="352"/>
      <c r="CT126" s="42"/>
      <c r="CU126" s="67">
        <v>0</v>
      </c>
      <c r="CV126" s="67">
        <v>0</v>
      </c>
      <c r="EX126" s="10" t="str">
        <f t="shared" si="99"/>
        <v/>
      </c>
    </row>
    <row r="127" spans="1:154" ht="15.75" x14ac:dyDescent="0.3">
      <c r="C127" s="410"/>
      <c r="D127" s="25"/>
      <c r="E127" s="149" t="s">
        <v>335</v>
      </c>
      <c r="F127" s="479" t="s">
        <v>335</v>
      </c>
      <c r="G127" s="105" t="s">
        <v>335</v>
      </c>
      <c r="H127" s="479" t="s">
        <v>335</v>
      </c>
      <c r="T127" s="25"/>
      <c r="U127" s="25"/>
      <c r="V127" s="25"/>
      <c r="W127" s="25"/>
      <c r="X127" s="25"/>
      <c r="Y127" s="25"/>
      <c r="Z127" s="33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L127" s="25"/>
      <c r="BM127" s="25"/>
      <c r="BN127" s="25"/>
      <c r="BO127" s="25"/>
      <c r="BP127" s="25"/>
      <c r="BQ127" s="25"/>
      <c r="BR127" s="25"/>
      <c r="BS127" s="25"/>
      <c r="BT127" s="25"/>
      <c r="BU127" s="25"/>
      <c r="BV127" s="25"/>
      <c r="BW127" s="25"/>
      <c r="BY127" s="12"/>
      <c r="CA127" s="12"/>
      <c r="CL127" s="42"/>
      <c r="CM127" s="352"/>
      <c r="CN127" s="352"/>
      <c r="CO127" s="352"/>
      <c r="CP127" s="352"/>
      <c r="CQ127" s="352"/>
      <c r="CR127" s="352"/>
      <c r="CS127" s="352"/>
      <c r="CT127" s="42"/>
      <c r="CU127" s="67">
        <v>0</v>
      </c>
      <c r="CV127" s="67">
        <v>0</v>
      </c>
      <c r="EX127" s="10" t="str">
        <f t="shared" si="99"/>
        <v/>
      </c>
    </row>
    <row r="128" spans="1:154" s="1" customFormat="1" ht="26.45" customHeight="1" x14ac:dyDescent="0.25">
      <c r="C128" s="412"/>
      <c r="D128" s="55" t="s">
        <v>369</v>
      </c>
      <c r="E128" s="56" t="s">
        <v>352</v>
      </c>
      <c r="F128" s="56" t="s">
        <v>372</v>
      </c>
      <c r="G128" s="56" t="s">
        <v>868</v>
      </c>
      <c r="H128" s="57" t="s">
        <v>371</v>
      </c>
      <c r="I128" s="335"/>
      <c r="T128" s="35"/>
      <c r="U128" s="35"/>
      <c r="V128" s="35"/>
      <c r="W128" s="35"/>
      <c r="X128" s="35"/>
      <c r="Y128" s="35"/>
      <c r="Z128" s="3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L128" s="35"/>
      <c r="BM128" s="35"/>
      <c r="BN128" s="35"/>
      <c r="BO128" s="35"/>
      <c r="BP128" s="35"/>
      <c r="BQ128" s="35"/>
      <c r="BR128" s="35"/>
      <c r="BS128" s="35"/>
      <c r="BT128" s="35"/>
      <c r="BU128" s="35"/>
      <c r="BV128" s="35"/>
      <c r="BW128" s="35"/>
      <c r="BY128" s="28"/>
      <c r="CA128" s="28"/>
      <c r="CE128" s="335"/>
      <c r="CH128" s="67"/>
      <c r="CI128" s="335"/>
      <c r="CJ128" s="335"/>
      <c r="CK128" s="335"/>
      <c r="CL128" s="54"/>
      <c r="CM128" s="352"/>
      <c r="CN128" s="352"/>
      <c r="CO128" s="352"/>
      <c r="CP128" s="352"/>
      <c r="CQ128" s="352"/>
      <c r="CR128" s="352"/>
      <c r="CS128" s="352"/>
      <c r="CT128" s="54"/>
      <c r="CU128" s="1">
        <v>0</v>
      </c>
      <c r="CV128" s="1">
        <v>0</v>
      </c>
      <c r="EX128" s="10" t="str">
        <f t="shared" si="99"/>
        <v/>
      </c>
    </row>
    <row r="129" spans="1:154" x14ac:dyDescent="0.25">
      <c r="C129" s="410"/>
      <c r="D129" s="374"/>
      <c r="E129" s="375" t="s">
        <v>189</v>
      </c>
      <c r="F129" s="375" t="s">
        <v>118</v>
      </c>
      <c r="G129" s="375" t="s">
        <v>7</v>
      </c>
      <c r="H129" s="376" t="s">
        <v>7</v>
      </c>
      <c r="I129" s="335"/>
      <c r="T129" s="25"/>
      <c r="U129" s="25"/>
      <c r="V129" s="25"/>
      <c r="W129" s="25"/>
      <c r="X129" s="25"/>
      <c r="Y129" s="25"/>
      <c r="Z129" s="33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L129" s="25"/>
      <c r="BM129" s="25"/>
      <c r="BN129" s="25"/>
      <c r="BO129" s="25"/>
      <c r="BP129" s="25"/>
      <c r="BQ129" s="25"/>
      <c r="BR129" s="25"/>
      <c r="BS129" s="25"/>
      <c r="BT129" s="25"/>
      <c r="BU129" s="25"/>
      <c r="BV129" s="25"/>
      <c r="BW129" s="25"/>
      <c r="BY129" s="12"/>
      <c r="CA129" s="12"/>
      <c r="CL129" s="42"/>
      <c r="CM129" s="352"/>
      <c r="CN129" s="352"/>
      <c r="CO129" s="352"/>
      <c r="CP129" s="352"/>
      <c r="CQ129" s="352"/>
      <c r="CR129" s="352"/>
      <c r="CS129" s="352"/>
      <c r="CT129" s="42"/>
      <c r="CU129" s="67">
        <v>0</v>
      </c>
      <c r="CV129" s="67">
        <v>0</v>
      </c>
      <c r="EX129" s="10" t="str">
        <f t="shared" si="99"/>
        <v/>
      </c>
    </row>
    <row r="130" spans="1:154" x14ac:dyDescent="0.25">
      <c r="A130" s="362" cm="1">
        <f t="array" aca="1" ref="A130" ca="1">HYPERLINK(CONCATENATE("#",CELL("address",IF(SUM($CA130:$CL130)=0,A130,INDEX($CA130:$CL130,MATCH(1,$CA130:$CL130,0))))),SUM($CA130:$CL130))</f>
        <v>0</v>
      </c>
      <c r="C130" s="521" t="s">
        <v>1131</v>
      </c>
      <c r="D130" s="146"/>
      <c r="E130" s="146"/>
      <c r="F130" s="197"/>
      <c r="G130" s="344"/>
      <c r="H130" s="344"/>
      <c r="T130" s="25"/>
      <c r="U130" s="25"/>
      <c r="V130" s="13">
        <f>0-IF(AND($F130&gt;=Timeline!$V$8,$F130 &lt;=V$5), $G130, 0)</f>
        <v>0</v>
      </c>
      <c r="W130" s="10">
        <f>0-IF(AND($F130&gt;V$5,$F130 &lt;=W$5), $G130, 0)</f>
        <v>0</v>
      </c>
      <c r="X130" s="10">
        <f t="shared" ref="W130:Y144" si="207">0-IF(AND($F130&gt;W$5,$F130 &lt;=X$5), $G130, 0)</f>
        <v>0</v>
      </c>
      <c r="Y130" s="10">
        <f t="shared" si="207"/>
        <v>0</v>
      </c>
      <c r="Z130" s="335"/>
      <c r="AA130" s="13">
        <f t="shared" ref="AA130:AA144" si="208">0-IF(AND($F130&gt;V$5,$F130 &lt;=AA$5), $G130, 0)</f>
        <v>0</v>
      </c>
      <c r="AB130" s="10">
        <f t="shared" ref="AB130:BJ130" si="209">0-IF(AND($F130&gt;AA$5,$F130 &lt;=AB$5), $G130, 0)</f>
        <v>0</v>
      </c>
      <c r="AC130" s="10">
        <f t="shared" si="209"/>
        <v>0</v>
      </c>
      <c r="AD130" s="10">
        <f t="shared" si="209"/>
        <v>0</v>
      </c>
      <c r="AE130" s="10">
        <f t="shared" si="209"/>
        <v>0</v>
      </c>
      <c r="AF130" s="10">
        <f t="shared" si="209"/>
        <v>0</v>
      </c>
      <c r="AG130" s="10">
        <f t="shared" si="209"/>
        <v>0</v>
      </c>
      <c r="AH130" s="10">
        <f t="shared" si="209"/>
        <v>0</v>
      </c>
      <c r="AI130" s="10">
        <f t="shared" si="209"/>
        <v>0</v>
      </c>
      <c r="AJ130" s="10">
        <f t="shared" si="209"/>
        <v>0</v>
      </c>
      <c r="AK130" s="10">
        <f t="shared" si="209"/>
        <v>0</v>
      </c>
      <c r="AL130" s="10">
        <f t="shared" si="209"/>
        <v>0</v>
      </c>
      <c r="AM130" s="10">
        <f t="shared" si="209"/>
        <v>0</v>
      </c>
      <c r="AN130" s="10">
        <f t="shared" si="209"/>
        <v>0</v>
      </c>
      <c r="AO130" s="10">
        <f t="shared" si="209"/>
        <v>0</v>
      </c>
      <c r="AP130" s="10">
        <f t="shared" si="209"/>
        <v>0</v>
      </c>
      <c r="AQ130" s="10">
        <f t="shared" si="209"/>
        <v>0</v>
      </c>
      <c r="AR130" s="10">
        <f t="shared" si="209"/>
        <v>0</v>
      </c>
      <c r="AS130" s="10">
        <f t="shared" si="209"/>
        <v>0</v>
      </c>
      <c r="AT130" s="10">
        <f t="shared" si="209"/>
        <v>0</v>
      </c>
      <c r="AU130" s="10">
        <f t="shared" si="209"/>
        <v>0</v>
      </c>
      <c r="AV130" s="10">
        <f t="shared" si="209"/>
        <v>0</v>
      </c>
      <c r="AW130" s="10">
        <f t="shared" si="209"/>
        <v>0</v>
      </c>
      <c r="AX130" s="10">
        <f t="shared" si="209"/>
        <v>0</v>
      </c>
      <c r="AY130" s="10">
        <f t="shared" si="209"/>
        <v>0</v>
      </c>
      <c r="AZ130" s="10">
        <f t="shared" si="209"/>
        <v>0</v>
      </c>
      <c r="BA130" s="10">
        <f t="shared" si="209"/>
        <v>0</v>
      </c>
      <c r="BB130" s="10">
        <f t="shared" si="209"/>
        <v>0</v>
      </c>
      <c r="BC130" s="10">
        <f t="shared" si="209"/>
        <v>0</v>
      </c>
      <c r="BD130" s="10">
        <f t="shared" si="209"/>
        <v>0</v>
      </c>
      <c r="BE130" s="10">
        <f t="shared" si="209"/>
        <v>0</v>
      </c>
      <c r="BF130" s="10">
        <f t="shared" si="209"/>
        <v>0</v>
      </c>
      <c r="BG130" s="10">
        <f t="shared" si="209"/>
        <v>0</v>
      </c>
      <c r="BH130" s="10">
        <f t="shared" si="209"/>
        <v>0</v>
      </c>
      <c r="BI130" s="10">
        <f t="shared" si="209"/>
        <v>0</v>
      </c>
      <c r="BJ130" s="10">
        <f t="shared" si="209"/>
        <v>0</v>
      </c>
      <c r="BL130" s="13">
        <f t="shared" ref="BL130:BL144" si="210">V130</f>
        <v>0</v>
      </c>
      <c r="BM130" s="10">
        <f t="shared" ref="BM130:BW130" si="211">0-IF(AND($F130&gt;BL$5,$F130 &lt;=BM$5), $G130, 0)</f>
        <v>0</v>
      </c>
      <c r="BN130" s="10">
        <f t="shared" si="211"/>
        <v>0</v>
      </c>
      <c r="BO130" s="10">
        <f t="shared" si="211"/>
        <v>0</v>
      </c>
      <c r="BP130" s="10">
        <f t="shared" si="211"/>
        <v>0</v>
      </c>
      <c r="BQ130" s="10">
        <f t="shared" si="211"/>
        <v>0</v>
      </c>
      <c r="BR130" s="10">
        <f t="shared" si="211"/>
        <v>0</v>
      </c>
      <c r="BS130" s="10">
        <f t="shared" si="211"/>
        <v>0</v>
      </c>
      <c r="BT130" s="10">
        <f t="shared" si="211"/>
        <v>0</v>
      </c>
      <c r="BU130" s="10">
        <f t="shared" si="211"/>
        <v>0</v>
      </c>
      <c r="BV130" s="10">
        <f t="shared" si="211"/>
        <v>0</v>
      </c>
      <c r="BW130" s="10">
        <f t="shared" si="211"/>
        <v>0</v>
      </c>
      <c r="BY130" s="12"/>
      <c r="BZ130" s="363">
        <f t="shared" ref="BZ130:BZ150" si="212">IF($G130&lt;0, 1, 0)</f>
        <v>0</v>
      </c>
      <c r="CA130" s="12"/>
      <c r="CB130" s="7">
        <f t="shared" ref="CB130:CB144" si="213">IF(AND(E130="", ABS(G130)&gt;0), 1,0)</f>
        <v>0</v>
      </c>
      <c r="CC130" s="7">
        <f>IF(AND(G130&lt;&gt;0, _xlfn.IFNA(MATCH(E130, Parameters!$D$45:$D$49, 0), "N/A")="N/A"), 1, 0)</f>
        <v>0</v>
      </c>
      <c r="CE130" s="7">
        <f>IF($F130="", 0, IF(AND($F130&lt;=$BW$5, $F130&gt;=Timeline!$V$8), 0, 1))</f>
        <v>0</v>
      </c>
      <c r="CI130" s="7">
        <f>IF(SUM($CM130:$CO130)=0, 0, 1)</f>
        <v>0</v>
      </c>
      <c r="CJ130" s="7">
        <f>IF(SUM($CP130:$CR130)=0, 0, 1)</f>
        <v>0</v>
      </c>
      <c r="CK130" s="7">
        <f>IF($CS130=0, 0, 1)</f>
        <v>0</v>
      </c>
      <c r="CL130" s="42"/>
      <c r="CM130" s="352">
        <f t="shared" ref="CM130:CM150" si="214">ROUND(W130-SUMIFS($AA130:$BJ130, $AA$3:$BJ$3, W$3), rounding)</f>
        <v>0</v>
      </c>
      <c r="CN130" s="352">
        <f t="shared" ref="CN130:CN150" si="215">ROUND(X130-SUMIFS($AA130:$BJ130, $AA$3:$BJ$3, X$3), rounding)</f>
        <v>0</v>
      </c>
      <c r="CO130" s="352">
        <f t="shared" ref="CO130:CO150" si="216">ROUND(Y130-SUMIFS($AA130:$BJ130, $AA$3:$BJ$3, Y$3), rounding)</f>
        <v>0</v>
      </c>
      <c r="CP130" s="352">
        <f t="shared" ref="CP130:CP150" si="217">ROUND($BM130-SUMIFS($AA130:$BJ130, $AA$3:$BJ$3, $BM$3), rounding)</f>
        <v>0</v>
      </c>
      <c r="CQ130" s="352">
        <f t="shared" ref="CQ130:CQ150" si="218">ROUND($BN130-SUMIFS($AA130:$BJ130, $AA$3:$BJ$3, $BN$3), rounding)</f>
        <v>0</v>
      </c>
      <c r="CR130" s="352">
        <f t="shared" ref="CR130:CR150" si="219">ROUND($BO130-SUMIFS($AA130:$BJ130, $AA$3:$BJ$3, $BO$3), rounding)</f>
        <v>0</v>
      </c>
      <c r="CS130" s="352">
        <f t="shared" ref="CS130:CS150" si="220">ROUND($V130-$BL130, rounding)</f>
        <v>0</v>
      </c>
      <c r="CT130" s="42"/>
      <c r="CU130" s="67">
        <v>0</v>
      </c>
      <c r="CV130" s="67">
        <v>0</v>
      </c>
      <c r="EX130" s="13" t="str">
        <f t="shared" ref="EX130:EX144" si="221">IF($C130="","",CONCATENATE(D$125, " ",$C130))</f>
        <v>Disposals DS1</v>
      </c>
    </row>
    <row r="131" spans="1:154" x14ac:dyDescent="0.25">
      <c r="A131" s="362" cm="1">
        <f t="array" aca="1" ref="A131" ca="1">HYPERLINK(CONCATENATE("#",CELL("address",IF(SUM($CA131:$CL131)=0,A131,INDEX($CA131:$CL131,MATCH(1,$CA131:$CL131,0))))),SUM($CA131:$CL131))</f>
        <v>0</v>
      </c>
      <c r="C131" s="521" t="s">
        <v>1132</v>
      </c>
      <c r="D131" s="142"/>
      <c r="E131" s="146"/>
      <c r="F131" s="143"/>
      <c r="G131" s="344"/>
      <c r="H131" s="344"/>
      <c r="T131" s="25"/>
      <c r="U131" s="25"/>
      <c r="V131" s="13">
        <f>0-IF(AND($F131&gt;=Timeline!$V$8,$F131 &lt;=V$5), $G131, 0)</f>
        <v>0</v>
      </c>
      <c r="W131" s="10">
        <f t="shared" si="207"/>
        <v>0</v>
      </c>
      <c r="X131" s="10">
        <f t="shared" si="207"/>
        <v>0</v>
      </c>
      <c r="Y131" s="10">
        <f t="shared" si="207"/>
        <v>0</v>
      </c>
      <c r="Z131" s="335"/>
      <c r="AA131" s="13">
        <f t="shared" si="208"/>
        <v>0</v>
      </c>
      <c r="AB131" s="10">
        <f t="shared" ref="AB131:BJ131" si="222">0-IF(AND($F131&gt;AA$5,$F131 &lt;=AB$5), $G131, 0)</f>
        <v>0</v>
      </c>
      <c r="AC131" s="10">
        <f t="shared" si="222"/>
        <v>0</v>
      </c>
      <c r="AD131" s="10">
        <f t="shared" si="222"/>
        <v>0</v>
      </c>
      <c r="AE131" s="10">
        <f t="shared" si="222"/>
        <v>0</v>
      </c>
      <c r="AF131" s="10">
        <f t="shared" si="222"/>
        <v>0</v>
      </c>
      <c r="AG131" s="10">
        <f t="shared" si="222"/>
        <v>0</v>
      </c>
      <c r="AH131" s="10">
        <f t="shared" si="222"/>
        <v>0</v>
      </c>
      <c r="AI131" s="10">
        <f t="shared" si="222"/>
        <v>0</v>
      </c>
      <c r="AJ131" s="10">
        <f t="shared" si="222"/>
        <v>0</v>
      </c>
      <c r="AK131" s="10">
        <f t="shared" si="222"/>
        <v>0</v>
      </c>
      <c r="AL131" s="10">
        <f t="shared" si="222"/>
        <v>0</v>
      </c>
      <c r="AM131" s="10">
        <f t="shared" si="222"/>
        <v>0</v>
      </c>
      <c r="AN131" s="10">
        <f t="shared" si="222"/>
        <v>0</v>
      </c>
      <c r="AO131" s="10">
        <f t="shared" si="222"/>
        <v>0</v>
      </c>
      <c r="AP131" s="10">
        <f t="shared" si="222"/>
        <v>0</v>
      </c>
      <c r="AQ131" s="10">
        <f t="shared" si="222"/>
        <v>0</v>
      </c>
      <c r="AR131" s="10">
        <f t="shared" si="222"/>
        <v>0</v>
      </c>
      <c r="AS131" s="10">
        <f t="shared" si="222"/>
        <v>0</v>
      </c>
      <c r="AT131" s="10">
        <f t="shared" si="222"/>
        <v>0</v>
      </c>
      <c r="AU131" s="10">
        <f t="shared" si="222"/>
        <v>0</v>
      </c>
      <c r="AV131" s="10">
        <f t="shared" si="222"/>
        <v>0</v>
      </c>
      <c r="AW131" s="10">
        <f t="shared" si="222"/>
        <v>0</v>
      </c>
      <c r="AX131" s="10">
        <f t="shared" si="222"/>
        <v>0</v>
      </c>
      <c r="AY131" s="10">
        <f t="shared" si="222"/>
        <v>0</v>
      </c>
      <c r="AZ131" s="10">
        <f t="shared" si="222"/>
        <v>0</v>
      </c>
      <c r="BA131" s="10">
        <f t="shared" si="222"/>
        <v>0</v>
      </c>
      <c r="BB131" s="10">
        <f t="shared" si="222"/>
        <v>0</v>
      </c>
      <c r="BC131" s="10">
        <f t="shared" si="222"/>
        <v>0</v>
      </c>
      <c r="BD131" s="10">
        <f t="shared" si="222"/>
        <v>0</v>
      </c>
      <c r="BE131" s="10">
        <f t="shared" si="222"/>
        <v>0</v>
      </c>
      <c r="BF131" s="10">
        <f t="shared" si="222"/>
        <v>0</v>
      </c>
      <c r="BG131" s="10">
        <f t="shared" si="222"/>
        <v>0</v>
      </c>
      <c r="BH131" s="10">
        <f t="shared" si="222"/>
        <v>0</v>
      </c>
      <c r="BI131" s="10">
        <f t="shared" si="222"/>
        <v>0</v>
      </c>
      <c r="BJ131" s="10">
        <f t="shared" si="222"/>
        <v>0</v>
      </c>
      <c r="BL131" s="13">
        <f t="shared" si="210"/>
        <v>0</v>
      </c>
      <c r="BM131" s="10">
        <f t="shared" ref="BM131:BW131" si="223">0-IF(AND($F131&gt;BL$5,$F131 &lt;=BM$5), $G131, 0)</f>
        <v>0</v>
      </c>
      <c r="BN131" s="10">
        <f t="shared" si="223"/>
        <v>0</v>
      </c>
      <c r="BO131" s="10">
        <f t="shared" si="223"/>
        <v>0</v>
      </c>
      <c r="BP131" s="10">
        <f t="shared" si="223"/>
        <v>0</v>
      </c>
      <c r="BQ131" s="10">
        <f t="shared" si="223"/>
        <v>0</v>
      </c>
      <c r="BR131" s="10">
        <f t="shared" si="223"/>
        <v>0</v>
      </c>
      <c r="BS131" s="10">
        <f t="shared" si="223"/>
        <v>0</v>
      </c>
      <c r="BT131" s="10">
        <f t="shared" si="223"/>
        <v>0</v>
      </c>
      <c r="BU131" s="10">
        <f t="shared" si="223"/>
        <v>0</v>
      </c>
      <c r="BV131" s="10">
        <f t="shared" si="223"/>
        <v>0</v>
      </c>
      <c r="BW131" s="10">
        <f t="shared" si="223"/>
        <v>0</v>
      </c>
      <c r="BY131" s="12"/>
      <c r="BZ131" s="363">
        <f t="shared" si="212"/>
        <v>0</v>
      </c>
      <c r="CA131" s="12"/>
      <c r="CB131" s="7">
        <f t="shared" si="213"/>
        <v>0</v>
      </c>
      <c r="CC131" s="7">
        <f>IF(AND(G131&lt;&gt;0, _xlfn.IFNA(MATCH(E131, Parameters!$D$45:$D$49, 0), "N/A")="N/A"), 1, 0)</f>
        <v>0</v>
      </c>
      <c r="CE131" s="7">
        <f>IF($F131="", 0, IF(AND($F131&lt;=$BW$5, $F131&gt;=Timeline!$V$8), 0, 1))</f>
        <v>0</v>
      </c>
      <c r="CI131" s="7">
        <f t="shared" ref="CI131:CI150" si="224">IF(SUM($CM131:$CO131)=0, 0, 1)</f>
        <v>0</v>
      </c>
      <c r="CJ131" s="7">
        <f t="shared" ref="CJ131:CJ150" si="225">IF(SUM($CP131:$CR131)=0, 0, 1)</f>
        <v>0</v>
      </c>
      <c r="CK131" s="7">
        <f t="shared" ref="CK131:CK150" si="226">IF($CS131=0, 0, 1)</f>
        <v>0</v>
      </c>
      <c r="CL131" s="42"/>
      <c r="CM131" s="352">
        <f t="shared" si="214"/>
        <v>0</v>
      </c>
      <c r="CN131" s="352">
        <f t="shared" si="215"/>
        <v>0</v>
      </c>
      <c r="CO131" s="352">
        <f t="shared" si="216"/>
        <v>0</v>
      </c>
      <c r="CP131" s="352">
        <f t="shared" si="217"/>
        <v>0</v>
      </c>
      <c r="CQ131" s="352">
        <f t="shared" si="218"/>
        <v>0</v>
      </c>
      <c r="CR131" s="352">
        <f t="shared" si="219"/>
        <v>0</v>
      </c>
      <c r="CS131" s="352">
        <f t="shared" si="220"/>
        <v>0</v>
      </c>
      <c r="CT131" s="42"/>
      <c r="CU131" s="67">
        <v>0</v>
      </c>
      <c r="CV131" s="67">
        <v>0</v>
      </c>
      <c r="EX131" s="13" t="str">
        <f t="shared" si="221"/>
        <v>Disposals DS2</v>
      </c>
    </row>
    <row r="132" spans="1:154" x14ac:dyDescent="0.25">
      <c r="A132" s="362" cm="1">
        <f t="array" aca="1" ref="A132" ca="1">HYPERLINK(CONCATENATE("#",CELL("address",IF(SUM($CA132:$CL132)=0,A132,INDEX($CA132:$CL132,MATCH(1,$CA132:$CL132,0))))),SUM($CA132:$CL132))</f>
        <v>0</v>
      </c>
      <c r="C132" s="521" t="s">
        <v>1133</v>
      </c>
      <c r="D132" s="142"/>
      <c r="E132" s="146"/>
      <c r="F132" s="143"/>
      <c r="G132" s="142"/>
      <c r="H132" s="144"/>
      <c r="T132" s="25"/>
      <c r="U132" s="25"/>
      <c r="V132" s="13">
        <f>0-IF(AND($F132&gt;=Timeline!$V$8,$F132 &lt;=V$5), $G132, 0)</f>
        <v>0</v>
      </c>
      <c r="W132" s="10">
        <f t="shared" si="207"/>
        <v>0</v>
      </c>
      <c r="X132" s="10">
        <f t="shared" si="207"/>
        <v>0</v>
      </c>
      <c r="Y132" s="10">
        <f t="shared" si="207"/>
        <v>0</v>
      </c>
      <c r="Z132" s="335"/>
      <c r="AA132" s="13">
        <f t="shared" si="208"/>
        <v>0</v>
      </c>
      <c r="AB132" s="10">
        <f t="shared" ref="AB132:BJ132" si="227">0-IF(AND($F132&gt;AA$5,$F132 &lt;=AB$5), $G132, 0)</f>
        <v>0</v>
      </c>
      <c r="AC132" s="10">
        <f t="shared" si="227"/>
        <v>0</v>
      </c>
      <c r="AD132" s="10">
        <f t="shared" si="227"/>
        <v>0</v>
      </c>
      <c r="AE132" s="10">
        <f t="shared" si="227"/>
        <v>0</v>
      </c>
      <c r="AF132" s="10">
        <f t="shared" si="227"/>
        <v>0</v>
      </c>
      <c r="AG132" s="10">
        <f t="shared" si="227"/>
        <v>0</v>
      </c>
      <c r="AH132" s="10">
        <f t="shared" si="227"/>
        <v>0</v>
      </c>
      <c r="AI132" s="10">
        <f t="shared" si="227"/>
        <v>0</v>
      </c>
      <c r="AJ132" s="10">
        <f t="shared" si="227"/>
        <v>0</v>
      </c>
      <c r="AK132" s="10">
        <f t="shared" si="227"/>
        <v>0</v>
      </c>
      <c r="AL132" s="10">
        <f t="shared" si="227"/>
        <v>0</v>
      </c>
      <c r="AM132" s="10">
        <f t="shared" si="227"/>
        <v>0</v>
      </c>
      <c r="AN132" s="10">
        <f t="shared" si="227"/>
        <v>0</v>
      </c>
      <c r="AO132" s="10">
        <f t="shared" si="227"/>
        <v>0</v>
      </c>
      <c r="AP132" s="10">
        <f t="shared" si="227"/>
        <v>0</v>
      </c>
      <c r="AQ132" s="10">
        <f t="shared" si="227"/>
        <v>0</v>
      </c>
      <c r="AR132" s="10">
        <f t="shared" si="227"/>
        <v>0</v>
      </c>
      <c r="AS132" s="10">
        <f t="shared" si="227"/>
        <v>0</v>
      </c>
      <c r="AT132" s="10">
        <f t="shared" si="227"/>
        <v>0</v>
      </c>
      <c r="AU132" s="10">
        <f t="shared" si="227"/>
        <v>0</v>
      </c>
      <c r="AV132" s="10">
        <f t="shared" si="227"/>
        <v>0</v>
      </c>
      <c r="AW132" s="10">
        <f t="shared" si="227"/>
        <v>0</v>
      </c>
      <c r="AX132" s="10">
        <f t="shared" si="227"/>
        <v>0</v>
      </c>
      <c r="AY132" s="10">
        <f t="shared" si="227"/>
        <v>0</v>
      </c>
      <c r="AZ132" s="10">
        <f t="shared" si="227"/>
        <v>0</v>
      </c>
      <c r="BA132" s="10">
        <f t="shared" si="227"/>
        <v>0</v>
      </c>
      <c r="BB132" s="10">
        <f t="shared" si="227"/>
        <v>0</v>
      </c>
      <c r="BC132" s="10">
        <f t="shared" si="227"/>
        <v>0</v>
      </c>
      <c r="BD132" s="10">
        <f t="shared" si="227"/>
        <v>0</v>
      </c>
      <c r="BE132" s="10">
        <f t="shared" si="227"/>
        <v>0</v>
      </c>
      <c r="BF132" s="10">
        <f t="shared" si="227"/>
        <v>0</v>
      </c>
      <c r="BG132" s="10">
        <f t="shared" si="227"/>
        <v>0</v>
      </c>
      <c r="BH132" s="10">
        <f t="shared" si="227"/>
        <v>0</v>
      </c>
      <c r="BI132" s="10">
        <f t="shared" si="227"/>
        <v>0</v>
      </c>
      <c r="BJ132" s="10">
        <f t="shared" si="227"/>
        <v>0</v>
      </c>
      <c r="BL132" s="13">
        <f t="shared" si="210"/>
        <v>0</v>
      </c>
      <c r="BM132" s="10">
        <f t="shared" ref="BM132:BW132" si="228">0-IF(AND($F132&gt;BL$5,$F132 &lt;=BM$5), $G132, 0)</f>
        <v>0</v>
      </c>
      <c r="BN132" s="10">
        <f t="shared" si="228"/>
        <v>0</v>
      </c>
      <c r="BO132" s="10">
        <f t="shared" si="228"/>
        <v>0</v>
      </c>
      <c r="BP132" s="10">
        <f t="shared" si="228"/>
        <v>0</v>
      </c>
      <c r="BQ132" s="10">
        <f t="shared" si="228"/>
        <v>0</v>
      </c>
      <c r="BR132" s="10">
        <f t="shared" si="228"/>
        <v>0</v>
      </c>
      <c r="BS132" s="10">
        <f t="shared" si="228"/>
        <v>0</v>
      </c>
      <c r="BT132" s="10">
        <f t="shared" si="228"/>
        <v>0</v>
      </c>
      <c r="BU132" s="10">
        <f t="shared" si="228"/>
        <v>0</v>
      </c>
      <c r="BV132" s="10">
        <f t="shared" si="228"/>
        <v>0</v>
      </c>
      <c r="BW132" s="10">
        <f t="shared" si="228"/>
        <v>0</v>
      </c>
      <c r="BY132" s="12"/>
      <c r="BZ132" s="363">
        <f t="shared" si="212"/>
        <v>0</v>
      </c>
      <c r="CA132" s="12"/>
      <c r="CB132" s="7">
        <f t="shared" si="213"/>
        <v>0</v>
      </c>
      <c r="CC132" s="7">
        <f>IF(AND(G132&lt;&gt;0, _xlfn.IFNA(MATCH(E132, Parameters!$D$45:$D$49, 0), "N/A")="N/A"), 1, 0)</f>
        <v>0</v>
      </c>
      <c r="CE132" s="7">
        <f>IF($F132="", 0, IF(AND($F132&lt;=$BW$5, $F132&gt;=Timeline!$V$8), 0, 1))</f>
        <v>0</v>
      </c>
      <c r="CI132" s="7">
        <f t="shared" si="224"/>
        <v>0</v>
      </c>
      <c r="CJ132" s="7">
        <f t="shared" si="225"/>
        <v>0</v>
      </c>
      <c r="CK132" s="7">
        <f t="shared" si="226"/>
        <v>0</v>
      </c>
      <c r="CL132" s="196"/>
      <c r="CM132" s="352">
        <f t="shared" si="214"/>
        <v>0</v>
      </c>
      <c r="CN132" s="352">
        <f t="shared" si="215"/>
        <v>0</v>
      </c>
      <c r="CO132" s="352">
        <f t="shared" si="216"/>
        <v>0</v>
      </c>
      <c r="CP132" s="352">
        <f t="shared" si="217"/>
        <v>0</v>
      </c>
      <c r="CQ132" s="352">
        <f t="shared" si="218"/>
        <v>0</v>
      </c>
      <c r="CR132" s="352">
        <f t="shared" si="219"/>
        <v>0</v>
      </c>
      <c r="CS132" s="352">
        <f t="shared" si="220"/>
        <v>0</v>
      </c>
      <c r="CT132" s="42"/>
      <c r="CU132" s="67">
        <v>0</v>
      </c>
      <c r="CV132" s="67">
        <v>0</v>
      </c>
      <c r="EX132" s="13" t="str">
        <f t="shared" si="221"/>
        <v>Disposals DS3</v>
      </c>
    </row>
    <row r="133" spans="1:154" x14ac:dyDescent="0.25">
      <c r="A133" s="362" cm="1">
        <f t="array" aca="1" ref="A133" ca="1">HYPERLINK(CONCATENATE("#",CELL("address",IF(SUM($CA133:$CL133)=0,A133,INDEX($CA133:$CL133,MATCH(1,$CA133:$CL133,0))))),SUM($CA133:$CL133))</f>
        <v>0</v>
      </c>
      <c r="C133" s="521" t="s">
        <v>1134</v>
      </c>
      <c r="D133" s="142"/>
      <c r="E133" s="146"/>
      <c r="F133" s="143"/>
      <c r="G133" s="142"/>
      <c r="H133" s="144"/>
      <c r="T133" s="25"/>
      <c r="U133" s="25"/>
      <c r="V133" s="13">
        <f>0-IF(AND($F133&gt;=Timeline!$V$8,$F133 &lt;=V$5), $G133, 0)</f>
        <v>0</v>
      </c>
      <c r="W133" s="10">
        <f t="shared" si="207"/>
        <v>0</v>
      </c>
      <c r="X133" s="10">
        <f t="shared" si="207"/>
        <v>0</v>
      </c>
      <c r="Y133" s="10">
        <f t="shared" si="207"/>
        <v>0</v>
      </c>
      <c r="Z133" s="335"/>
      <c r="AA133" s="13">
        <f t="shared" si="208"/>
        <v>0</v>
      </c>
      <c r="AB133" s="10">
        <f t="shared" ref="AB133:BJ133" si="229">0-IF(AND($F133&gt;AA$5,$F133 &lt;=AB$5), $G133, 0)</f>
        <v>0</v>
      </c>
      <c r="AC133" s="10">
        <f t="shared" si="229"/>
        <v>0</v>
      </c>
      <c r="AD133" s="10">
        <f t="shared" si="229"/>
        <v>0</v>
      </c>
      <c r="AE133" s="10">
        <f t="shared" si="229"/>
        <v>0</v>
      </c>
      <c r="AF133" s="10">
        <f t="shared" si="229"/>
        <v>0</v>
      </c>
      <c r="AG133" s="10">
        <f t="shared" si="229"/>
        <v>0</v>
      </c>
      <c r="AH133" s="10">
        <f t="shared" si="229"/>
        <v>0</v>
      </c>
      <c r="AI133" s="10">
        <f t="shared" si="229"/>
        <v>0</v>
      </c>
      <c r="AJ133" s="10">
        <f t="shared" si="229"/>
        <v>0</v>
      </c>
      <c r="AK133" s="10">
        <f t="shared" si="229"/>
        <v>0</v>
      </c>
      <c r="AL133" s="10">
        <f t="shared" si="229"/>
        <v>0</v>
      </c>
      <c r="AM133" s="10">
        <f t="shared" si="229"/>
        <v>0</v>
      </c>
      <c r="AN133" s="10">
        <f t="shared" si="229"/>
        <v>0</v>
      </c>
      <c r="AO133" s="10">
        <f t="shared" si="229"/>
        <v>0</v>
      </c>
      <c r="AP133" s="10">
        <f t="shared" si="229"/>
        <v>0</v>
      </c>
      <c r="AQ133" s="10">
        <f t="shared" si="229"/>
        <v>0</v>
      </c>
      <c r="AR133" s="10">
        <f t="shared" si="229"/>
        <v>0</v>
      </c>
      <c r="AS133" s="10">
        <f t="shared" si="229"/>
        <v>0</v>
      </c>
      <c r="AT133" s="10">
        <f t="shared" si="229"/>
        <v>0</v>
      </c>
      <c r="AU133" s="10">
        <f t="shared" si="229"/>
        <v>0</v>
      </c>
      <c r="AV133" s="10">
        <f t="shared" si="229"/>
        <v>0</v>
      </c>
      <c r="AW133" s="10">
        <f t="shared" si="229"/>
        <v>0</v>
      </c>
      <c r="AX133" s="10">
        <f t="shared" si="229"/>
        <v>0</v>
      </c>
      <c r="AY133" s="10">
        <f t="shared" si="229"/>
        <v>0</v>
      </c>
      <c r="AZ133" s="10">
        <f t="shared" si="229"/>
        <v>0</v>
      </c>
      <c r="BA133" s="10">
        <f t="shared" si="229"/>
        <v>0</v>
      </c>
      <c r="BB133" s="10">
        <f t="shared" si="229"/>
        <v>0</v>
      </c>
      <c r="BC133" s="10">
        <f t="shared" si="229"/>
        <v>0</v>
      </c>
      <c r="BD133" s="10">
        <f t="shared" si="229"/>
        <v>0</v>
      </c>
      <c r="BE133" s="10">
        <f t="shared" si="229"/>
        <v>0</v>
      </c>
      <c r="BF133" s="10">
        <f t="shared" si="229"/>
        <v>0</v>
      </c>
      <c r="BG133" s="10">
        <f t="shared" si="229"/>
        <v>0</v>
      </c>
      <c r="BH133" s="10">
        <f t="shared" si="229"/>
        <v>0</v>
      </c>
      <c r="BI133" s="10">
        <f t="shared" si="229"/>
        <v>0</v>
      </c>
      <c r="BJ133" s="10">
        <f t="shared" si="229"/>
        <v>0</v>
      </c>
      <c r="BL133" s="13">
        <f t="shared" si="210"/>
        <v>0</v>
      </c>
      <c r="BM133" s="10">
        <f t="shared" ref="BM133:BW133" si="230">0-IF(AND($F133&gt;BL$5,$F133 &lt;=BM$5), $G133, 0)</f>
        <v>0</v>
      </c>
      <c r="BN133" s="10">
        <f t="shared" si="230"/>
        <v>0</v>
      </c>
      <c r="BO133" s="10">
        <f t="shared" si="230"/>
        <v>0</v>
      </c>
      <c r="BP133" s="10">
        <f t="shared" si="230"/>
        <v>0</v>
      </c>
      <c r="BQ133" s="10">
        <f t="shared" si="230"/>
        <v>0</v>
      </c>
      <c r="BR133" s="10">
        <f t="shared" si="230"/>
        <v>0</v>
      </c>
      <c r="BS133" s="10">
        <f t="shared" si="230"/>
        <v>0</v>
      </c>
      <c r="BT133" s="10">
        <f t="shared" si="230"/>
        <v>0</v>
      </c>
      <c r="BU133" s="10">
        <f t="shared" si="230"/>
        <v>0</v>
      </c>
      <c r="BV133" s="10">
        <f t="shared" si="230"/>
        <v>0</v>
      </c>
      <c r="BW133" s="10">
        <f t="shared" si="230"/>
        <v>0</v>
      </c>
      <c r="BY133" s="12"/>
      <c r="BZ133" s="363">
        <f t="shared" si="212"/>
        <v>0</v>
      </c>
      <c r="CA133" s="12"/>
      <c r="CB133" s="7">
        <f t="shared" si="213"/>
        <v>0</v>
      </c>
      <c r="CC133" s="7">
        <f>IF(AND(G133&lt;&gt;0, _xlfn.IFNA(MATCH(E133, Parameters!$D$45:$D$49, 0), "N/A")="N/A"), 1, 0)</f>
        <v>0</v>
      </c>
      <c r="CE133" s="7">
        <f>IF($F133="", 0, IF(AND($F133&lt;=$BW$5, $F133&gt;=Timeline!$V$8), 0, 1))</f>
        <v>0</v>
      </c>
      <c r="CI133" s="7">
        <f t="shared" si="224"/>
        <v>0</v>
      </c>
      <c r="CJ133" s="7">
        <f t="shared" si="225"/>
        <v>0</v>
      </c>
      <c r="CK133" s="7">
        <f t="shared" si="226"/>
        <v>0</v>
      </c>
      <c r="CL133" s="42"/>
      <c r="CM133" s="352">
        <f t="shared" si="214"/>
        <v>0</v>
      </c>
      <c r="CN133" s="352">
        <f t="shared" si="215"/>
        <v>0</v>
      </c>
      <c r="CO133" s="352">
        <f t="shared" si="216"/>
        <v>0</v>
      </c>
      <c r="CP133" s="352">
        <f t="shared" si="217"/>
        <v>0</v>
      </c>
      <c r="CQ133" s="352">
        <f t="shared" si="218"/>
        <v>0</v>
      </c>
      <c r="CR133" s="352">
        <f t="shared" si="219"/>
        <v>0</v>
      </c>
      <c r="CS133" s="352">
        <f t="shared" si="220"/>
        <v>0</v>
      </c>
      <c r="CT133" s="42"/>
      <c r="CU133" s="67">
        <v>0</v>
      </c>
      <c r="CV133" s="67">
        <v>0</v>
      </c>
      <c r="EX133" s="13" t="str">
        <f t="shared" si="221"/>
        <v>Disposals DS4</v>
      </c>
    </row>
    <row r="134" spans="1:154" x14ac:dyDescent="0.25">
      <c r="A134" s="362" cm="1">
        <f t="array" aca="1" ref="A134" ca="1">HYPERLINK(CONCATENATE("#",CELL("address",IF(SUM($CA134:$CL134)=0,A134,INDEX($CA134:$CL134,MATCH(1,$CA134:$CL134,0))))),SUM($CA134:$CL134))</f>
        <v>0</v>
      </c>
      <c r="C134" s="521" t="s">
        <v>1135</v>
      </c>
      <c r="D134" s="142"/>
      <c r="E134" s="146"/>
      <c r="F134" s="143"/>
      <c r="G134" s="142"/>
      <c r="H134" s="144"/>
      <c r="T134" s="25"/>
      <c r="U134" s="25"/>
      <c r="V134" s="13">
        <f>0-IF(AND($F134&gt;=Timeline!$V$8,$F134 &lt;=V$5), $G134, 0)</f>
        <v>0</v>
      </c>
      <c r="W134" s="10">
        <f t="shared" si="207"/>
        <v>0</v>
      </c>
      <c r="X134" s="10">
        <f t="shared" si="207"/>
        <v>0</v>
      </c>
      <c r="Y134" s="10">
        <f t="shared" si="207"/>
        <v>0</v>
      </c>
      <c r="Z134" s="335"/>
      <c r="AA134" s="13">
        <f t="shared" si="208"/>
        <v>0</v>
      </c>
      <c r="AB134" s="10">
        <f t="shared" ref="AB134:BJ134" si="231">0-IF(AND($F134&gt;AA$5,$F134 &lt;=AB$5), $G134, 0)</f>
        <v>0</v>
      </c>
      <c r="AC134" s="10">
        <f t="shared" si="231"/>
        <v>0</v>
      </c>
      <c r="AD134" s="10">
        <f t="shared" si="231"/>
        <v>0</v>
      </c>
      <c r="AE134" s="10">
        <f t="shared" si="231"/>
        <v>0</v>
      </c>
      <c r="AF134" s="10">
        <f t="shared" si="231"/>
        <v>0</v>
      </c>
      <c r="AG134" s="10">
        <f t="shared" si="231"/>
        <v>0</v>
      </c>
      <c r="AH134" s="10">
        <f t="shared" si="231"/>
        <v>0</v>
      </c>
      <c r="AI134" s="10">
        <f t="shared" si="231"/>
        <v>0</v>
      </c>
      <c r="AJ134" s="10">
        <f t="shared" si="231"/>
        <v>0</v>
      </c>
      <c r="AK134" s="10">
        <f t="shared" si="231"/>
        <v>0</v>
      </c>
      <c r="AL134" s="10">
        <f t="shared" si="231"/>
        <v>0</v>
      </c>
      <c r="AM134" s="10">
        <f t="shared" si="231"/>
        <v>0</v>
      </c>
      <c r="AN134" s="10">
        <f t="shared" si="231"/>
        <v>0</v>
      </c>
      <c r="AO134" s="10">
        <f t="shared" si="231"/>
        <v>0</v>
      </c>
      <c r="AP134" s="10">
        <f t="shared" si="231"/>
        <v>0</v>
      </c>
      <c r="AQ134" s="10">
        <f t="shared" si="231"/>
        <v>0</v>
      </c>
      <c r="AR134" s="10">
        <f t="shared" si="231"/>
        <v>0</v>
      </c>
      <c r="AS134" s="10">
        <f t="shared" si="231"/>
        <v>0</v>
      </c>
      <c r="AT134" s="10">
        <f t="shared" si="231"/>
        <v>0</v>
      </c>
      <c r="AU134" s="10">
        <f t="shared" si="231"/>
        <v>0</v>
      </c>
      <c r="AV134" s="10">
        <f t="shared" si="231"/>
        <v>0</v>
      </c>
      <c r="AW134" s="10">
        <f t="shared" si="231"/>
        <v>0</v>
      </c>
      <c r="AX134" s="10">
        <f t="shared" si="231"/>
        <v>0</v>
      </c>
      <c r="AY134" s="10">
        <f t="shared" si="231"/>
        <v>0</v>
      </c>
      <c r="AZ134" s="10">
        <f t="shared" si="231"/>
        <v>0</v>
      </c>
      <c r="BA134" s="10">
        <f t="shared" si="231"/>
        <v>0</v>
      </c>
      <c r="BB134" s="10">
        <f t="shared" si="231"/>
        <v>0</v>
      </c>
      <c r="BC134" s="10">
        <f t="shared" si="231"/>
        <v>0</v>
      </c>
      <c r="BD134" s="10">
        <f t="shared" si="231"/>
        <v>0</v>
      </c>
      <c r="BE134" s="10">
        <f t="shared" si="231"/>
        <v>0</v>
      </c>
      <c r="BF134" s="10">
        <f t="shared" si="231"/>
        <v>0</v>
      </c>
      <c r="BG134" s="10">
        <f t="shared" si="231"/>
        <v>0</v>
      </c>
      <c r="BH134" s="10">
        <f t="shared" si="231"/>
        <v>0</v>
      </c>
      <c r="BI134" s="10">
        <f t="shared" si="231"/>
        <v>0</v>
      </c>
      <c r="BJ134" s="10">
        <f t="shared" si="231"/>
        <v>0</v>
      </c>
      <c r="BL134" s="13">
        <f t="shared" si="210"/>
        <v>0</v>
      </c>
      <c r="BM134" s="10">
        <f t="shared" ref="BM134:BW134" si="232">0-IF(AND($F134&gt;BL$5,$F134 &lt;=BM$5), $G134, 0)</f>
        <v>0</v>
      </c>
      <c r="BN134" s="10">
        <f t="shared" si="232"/>
        <v>0</v>
      </c>
      <c r="BO134" s="10">
        <f t="shared" si="232"/>
        <v>0</v>
      </c>
      <c r="BP134" s="10">
        <f t="shared" si="232"/>
        <v>0</v>
      </c>
      <c r="BQ134" s="10">
        <f t="shared" si="232"/>
        <v>0</v>
      </c>
      <c r="BR134" s="10">
        <f t="shared" si="232"/>
        <v>0</v>
      </c>
      <c r="BS134" s="10">
        <f t="shared" si="232"/>
        <v>0</v>
      </c>
      <c r="BT134" s="10">
        <f t="shared" si="232"/>
        <v>0</v>
      </c>
      <c r="BU134" s="10">
        <f t="shared" si="232"/>
        <v>0</v>
      </c>
      <c r="BV134" s="10">
        <f t="shared" si="232"/>
        <v>0</v>
      </c>
      <c r="BW134" s="10">
        <f t="shared" si="232"/>
        <v>0</v>
      </c>
      <c r="BY134" s="12"/>
      <c r="BZ134" s="363">
        <f t="shared" si="212"/>
        <v>0</v>
      </c>
      <c r="CA134" s="12"/>
      <c r="CB134" s="7">
        <f t="shared" si="213"/>
        <v>0</v>
      </c>
      <c r="CC134" s="7">
        <f>IF(AND(G134&lt;&gt;0, _xlfn.IFNA(MATCH(E134, Parameters!$D$45:$D$49, 0), "N/A")="N/A"), 1, 0)</f>
        <v>0</v>
      </c>
      <c r="CE134" s="7">
        <f>IF($F134="", 0, IF(AND($F134&lt;=$BW$5, $F134&gt;=Timeline!$V$8), 0, 1))</f>
        <v>0</v>
      </c>
      <c r="CI134" s="7">
        <f t="shared" si="224"/>
        <v>0</v>
      </c>
      <c r="CJ134" s="7">
        <f t="shared" si="225"/>
        <v>0</v>
      </c>
      <c r="CK134" s="7">
        <f t="shared" si="226"/>
        <v>0</v>
      </c>
      <c r="CL134" s="42"/>
      <c r="CM134" s="352">
        <f t="shared" si="214"/>
        <v>0</v>
      </c>
      <c r="CN134" s="352">
        <f t="shared" si="215"/>
        <v>0</v>
      </c>
      <c r="CO134" s="352">
        <f t="shared" si="216"/>
        <v>0</v>
      </c>
      <c r="CP134" s="352">
        <f t="shared" si="217"/>
        <v>0</v>
      </c>
      <c r="CQ134" s="352">
        <f t="shared" si="218"/>
        <v>0</v>
      </c>
      <c r="CR134" s="352">
        <f t="shared" si="219"/>
        <v>0</v>
      </c>
      <c r="CS134" s="352">
        <f t="shared" si="220"/>
        <v>0</v>
      </c>
      <c r="CT134" s="42"/>
      <c r="CU134" s="67">
        <v>0</v>
      </c>
      <c r="CV134" s="67">
        <v>0</v>
      </c>
      <c r="EX134" s="13" t="str">
        <f t="shared" si="221"/>
        <v>Disposals DS5</v>
      </c>
    </row>
    <row r="135" spans="1:154" x14ac:dyDescent="0.25">
      <c r="A135" s="362" cm="1">
        <f t="array" aca="1" ref="A135" ca="1">HYPERLINK(CONCATENATE("#",CELL("address",IF(SUM($CA135:$CL135)=0,A135,INDEX($CA135:$CL135,MATCH(1,$CA135:$CL135,0))))),SUM($CA135:$CL135))</f>
        <v>0</v>
      </c>
      <c r="C135" s="521" t="s">
        <v>1136</v>
      </c>
      <c r="D135" s="147"/>
      <c r="E135" s="146"/>
      <c r="F135" s="150"/>
      <c r="G135" s="147"/>
      <c r="H135" s="144"/>
      <c r="T135" s="25"/>
      <c r="U135" s="25"/>
      <c r="V135" s="13">
        <f>0-IF(AND($F135&gt;=Timeline!$V$8,$F135 &lt;=V$5), $G135, 0)</f>
        <v>0</v>
      </c>
      <c r="W135" s="10">
        <f t="shared" si="207"/>
        <v>0</v>
      </c>
      <c r="X135" s="10">
        <f t="shared" si="207"/>
        <v>0</v>
      </c>
      <c r="Y135" s="10">
        <f t="shared" si="207"/>
        <v>0</v>
      </c>
      <c r="Z135" s="335"/>
      <c r="AA135" s="13">
        <f t="shared" si="208"/>
        <v>0</v>
      </c>
      <c r="AB135" s="10">
        <f t="shared" ref="AB135:BJ135" si="233">0-IF(AND($F135&gt;AA$5,$F135 &lt;=AB$5), $G135, 0)</f>
        <v>0</v>
      </c>
      <c r="AC135" s="10">
        <f t="shared" si="233"/>
        <v>0</v>
      </c>
      <c r="AD135" s="10">
        <f t="shared" si="233"/>
        <v>0</v>
      </c>
      <c r="AE135" s="10">
        <f t="shared" si="233"/>
        <v>0</v>
      </c>
      <c r="AF135" s="10">
        <f t="shared" si="233"/>
        <v>0</v>
      </c>
      <c r="AG135" s="10">
        <f t="shared" si="233"/>
        <v>0</v>
      </c>
      <c r="AH135" s="10">
        <f t="shared" si="233"/>
        <v>0</v>
      </c>
      <c r="AI135" s="10">
        <f t="shared" si="233"/>
        <v>0</v>
      </c>
      <c r="AJ135" s="10">
        <f t="shared" si="233"/>
        <v>0</v>
      </c>
      <c r="AK135" s="10">
        <f t="shared" si="233"/>
        <v>0</v>
      </c>
      <c r="AL135" s="10">
        <f t="shared" si="233"/>
        <v>0</v>
      </c>
      <c r="AM135" s="10">
        <f t="shared" si="233"/>
        <v>0</v>
      </c>
      <c r="AN135" s="10">
        <f t="shared" si="233"/>
        <v>0</v>
      </c>
      <c r="AO135" s="10">
        <f t="shared" si="233"/>
        <v>0</v>
      </c>
      <c r="AP135" s="10">
        <f t="shared" si="233"/>
        <v>0</v>
      </c>
      <c r="AQ135" s="10">
        <f t="shared" si="233"/>
        <v>0</v>
      </c>
      <c r="AR135" s="10">
        <f t="shared" si="233"/>
        <v>0</v>
      </c>
      <c r="AS135" s="10">
        <f t="shared" si="233"/>
        <v>0</v>
      </c>
      <c r="AT135" s="10">
        <f t="shared" si="233"/>
        <v>0</v>
      </c>
      <c r="AU135" s="10">
        <f t="shared" si="233"/>
        <v>0</v>
      </c>
      <c r="AV135" s="10">
        <f t="shared" si="233"/>
        <v>0</v>
      </c>
      <c r="AW135" s="10">
        <f t="shared" si="233"/>
        <v>0</v>
      </c>
      <c r="AX135" s="10">
        <f t="shared" si="233"/>
        <v>0</v>
      </c>
      <c r="AY135" s="10">
        <f t="shared" si="233"/>
        <v>0</v>
      </c>
      <c r="AZ135" s="10">
        <f t="shared" si="233"/>
        <v>0</v>
      </c>
      <c r="BA135" s="10">
        <f t="shared" si="233"/>
        <v>0</v>
      </c>
      <c r="BB135" s="10">
        <f t="shared" si="233"/>
        <v>0</v>
      </c>
      <c r="BC135" s="10">
        <f t="shared" si="233"/>
        <v>0</v>
      </c>
      <c r="BD135" s="10">
        <f t="shared" si="233"/>
        <v>0</v>
      </c>
      <c r="BE135" s="10">
        <f t="shared" si="233"/>
        <v>0</v>
      </c>
      <c r="BF135" s="10">
        <f t="shared" si="233"/>
        <v>0</v>
      </c>
      <c r="BG135" s="10">
        <f t="shared" si="233"/>
        <v>0</v>
      </c>
      <c r="BH135" s="10">
        <f t="shared" si="233"/>
        <v>0</v>
      </c>
      <c r="BI135" s="10">
        <f t="shared" si="233"/>
        <v>0</v>
      </c>
      <c r="BJ135" s="10">
        <f t="shared" si="233"/>
        <v>0</v>
      </c>
      <c r="BL135" s="13">
        <f t="shared" si="210"/>
        <v>0</v>
      </c>
      <c r="BM135" s="10">
        <f t="shared" ref="BM135:BW135" si="234">0-IF(AND($F135&gt;BL$5,$F135 &lt;=BM$5), $G135, 0)</f>
        <v>0</v>
      </c>
      <c r="BN135" s="10">
        <f t="shared" si="234"/>
        <v>0</v>
      </c>
      <c r="BO135" s="10">
        <f t="shared" si="234"/>
        <v>0</v>
      </c>
      <c r="BP135" s="10">
        <f t="shared" si="234"/>
        <v>0</v>
      </c>
      <c r="BQ135" s="10">
        <f t="shared" si="234"/>
        <v>0</v>
      </c>
      <c r="BR135" s="10">
        <f t="shared" si="234"/>
        <v>0</v>
      </c>
      <c r="BS135" s="10">
        <f t="shared" si="234"/>
        <v>0</v>
      </c>
      <c r="BT135" s="10">
        <f t="shared" si="234"/>
        <v>0</v>
      </c>
      <c r="BU135" s="10">
        <f t="shared" si="234"/>
        <v>0</v>
      </c>
      <c r="BV135" s="10">
        <f t="shared" si="234"/>
        <v>0</v>
      </c>
      <c r="BW135" s="10">
        <f t="shared" si="234"/>
        <v>0</v>
      </c>
      <c r="BY135" s="12"/>
      <c r="BZ135" s="363">
        <f t="shared" si="212"/>
        <v>0</v>
      </c>
      <c r="CA135" s="12"/>
      <c r="CB135" s="7">
        <f t="shared" si="213"/>
        <v>0</v>
      </c>
      <c r="CC135" s="7">
        <f>IF(AND(G135&lt;&gt;0, _xlfn.IFNA(MATCH(E135, Parameters!$D$45:$D$49, 0), "N/A")="N/A"), 1, 0)</f>
        <v>0</v>
      </c>
      <c r="CE135" s="7">
        <f>IF($F135="", 0, IF(AND($F135&lt;=$BW$5, $F135&gt;=Timeline!$V$8), 0, 1))</f>
        <v>0</v>
      </c>
      <c r="CI135" s="7">
        <f t="shared" si="224"/>
        <v>0</v>
      </c>
      <c r="CJ135" s="7">
        <f t="shared" si="225"/>
        <v>0</v>
      </c>
      <c r="CK135" s="7">
        <f t="shared" si="226"/>
        <v>0</v>
      </c>
      <c r="CL135" s="42"/>
      <c r="CM135" s="352">
        <f t="shared" si="214"/>
        <v>0</v>
      </c>
      <c r="CN135" s="352">
        <f t="shared" si="215"/>
        <v>0</v>
      </c>
      <c r="CO135" s="352">
        <f t="shared" si="216"/>
        <v>0</v>
      </c>
      <c r="CP135" s="352">
        <f t="shared" si="217"/>
        <v>0</v>
      </c>
      <c r="CQ135" s="352">
        <f t="shared" si="218"/>
        <v>0</v>
      </c>
      <c r="CR135" s="352">
        <f t="shared" si="219"/>
        <v>0</v>
      </c>
      <c r="CS135" s="352">
        <f t="shared" si="220"/>
        <v>0</v>
      </c>
      <c r="CT135" s="42"/>
      <c r="CU135" s="67">
        <v>0</v>
      </c>
      <c r="CV135" s="67">
        <v>0</v>
      </c>
      <c r="EX135" s="13" t="str">
        <f t="shared" si="221"/>
        <v>Disposals DS6</v>
      </c>
    </row>
    <row r="136" spans="1:154" x14ac:dyDescent="0.25">
      <c r="A136" s="362" cm="1">
        <f t="array" aca="1" ref="A136" ca="1">HYPERLINK(CONCATENATE("#",CELL("address",IF(SUM($CA136:$CL136)=0,A136,INDEX($CA136:$CL136,MATCH(1,$CA136:$CL136,0))))),SUM($CA136:$CL136))</f>
        <v>0</v>
      </c>
      <c r="C136" s="521" t="s">
        <v>1137</v>
      </c>
      <c r="D136" s="147"/>
      <c r="E136" s="146"/>
      <c r="F136" s="150"/>
      <c r="G136" s="147"/>
      <c r="H136" s="144"/>
      <c r="T136" s="25"/>
      <c r="U136" s="25"/>
      <c r="V136" s="13">
        <f>0-IF(AND($F136&gt;=Timeline!$V$8,$F136 &lt;=V$5), $G136, 0)</f>
        <v>0</v>
      </c>
      <c r="W136" s="10">
        <f t="shared" si="207"/>
        <v>0</v>
      </c>
      <c r="X136" s="10">
        <f t="shared" si="207"/>
        <v>0</v>
      </c>
      <c r="Y136" s="10">
        <f t="shared" si="207"/>
        <v>0</v>
      </c>
      <c r="Z136" s="335"/>
      <c r="AA136" s="13">
        <f t="shared" si="208"/>
        <v>0</v>
      </c>
      <c r="AB136" s="10">
        <f t="shared" ref="AB136:BJ136" si="235">0-IF(AND($F136&gt;AA$5,$F136 &lt;=AB$5), $G136, 0)</f>
        <v>0</v>
      </c>
      <c r="AC136" s="10">
        <f t="shared" si="235"/>
        <v>0</v>
      </c>
      <c r="AD136" s="10">
        <f t="shared" si="235"/>
        <v>0</v>
      </c>
      <c r="AE136" s="10">
        <f t="shared" si="235"/>
        <v>0</v>
      </c>
      <c r="AF136" s="10">
        <f t="shared" si="235"/>
        <v>0</v>
      </c>
      <c r="AG136" s="10">
        <f t="shared" si="235"/>
        <v>0</v>
      </c>
      <c r="AH136" s="10">
        <f t="shared" si="235"/>
        <v>0</v>
      </c>
      <c r="AI136" s="10">
        <f t="shared" si="235"/>
        <v>0</v>
      </c>
      <c r="AJ136" s="10">
        <f t="shared" si="235"/>
        <v>0</v>
      </c>
      <c r="AK136" s="10">
        <f t="shared" si="235"/>
        <v>0</v>
      </c>
      <c r="AL136" s="10">
        <f t="shared" si="235"/>
        <v>0</v>
      </c>
      <c r="AM136" s="10">
        <f t="shared" si="235"/>
        <v>0</v>
      </c>
      <c r="AN136" s="10">
        <f t="shared" si="235"/>
        <v>0</v>
      </c>
      <c r="AO136" s="10">
        <f t="shared" si="235"/>
        <v>0</v>
      </c>
      <c r="AP136" s="10">
        <f t="shared" si="235"/>
        <v>0</v>
      </c>
      <c r="AQ136" s="10">
        <f t="shared" si="235"/>
        <v>0</v>
      </c>
      <c r="AR136" s="10">
        <f t="shared" si="235"/>
        <v>0</v>
      </c>
      <c r="AS136" s="10">
        <f t="shared" si="235"/>
        <v>0</v>
      </c>
      <c r="AT136" s="10">
        <f t="shared" si="235"/>
        <v>0</v>
      </c>
      <c r="AU136" s="10">
        <f t="shared" si="235"/>
        <v>0</v>
      </c>
      <c r="AV136" s="10">
        <f t="shared" si="235"/>
        <v>0</v>
      </c>
      <c r="AW136" s="10">
        <f t="shared" si="235"/>
        <v>0</v>
      </c>
      <c r="AX136" s="10">
        <f t="shared" si="235"/>
        <v>0</v>
      </c>
      <c r="AY136" s="10">
        <f t="shared" si="235"/>
        <v>0</v>
      </c>
      <c r="AZ136" s="10">
        <f t="shared" si="235"/>
        <v>0</v>
      </c>
      <c r="BA136" s="10">
        <f t="shared" si="235"/>
        <v>0</v>
      </c>
      <c r="BB136" s="10">
        <f t="shared" si="235"/>
        <v>0</v>
      </c>
      <c r="BC136" s="10">
        <f t="shared" si="235"/>
        <v>0</v>
      </c>
      <c r="BD136" s="10">
        <f t="shared" si="235"/>
        <v>0</v>
      </c>
      <c r="BE136" s="10">
        <f t="shared" si="235"/>
        <v>0</v>
      </c>
      <c r="BF136" s="10">
        <f t="shared" si="235"/>
        <v>0</v>
      </c>
      <c r="BG136" s="10">
        <f t="shared" si="235"/>
        <v>0</v>
      </c>
      <c r="BH136" s="10">
        <f t="shared" si="235"/>
        <v>0</v>
      </c>
      <c r="BI136" s="10">
        <f t="shared" si="235"/>
        <v>0</v>
      </c>
      <c r="BJ136" s="10">
        <f t="shared" si="235"/>
        <v>0</v>
      </c>
      <c r="BL136" s="13">
        <f t="shared" si="210"/>
        <v>0</v>
      </c>
      <c r="BM136" s="10">
        <f t="shared" ref="BM136:BW136" si="236">0-IF(AND($F136&gt;BL$5,$F136 &lt;=BM$5), $G136, 0)</f>
        <v>0</v>
      </c>
      <c r="BN136" s="10">
        <f t="shared" si="236"/>
        <v>0</v>
      </c>
      <c r="BO136" s="10">
        <f t="shared" si="236"/>
        <v>0</v>
      </c>
      <c r="BP136" s="10">
        <f t="shared" si="236"/>
        <v>0</v>
      </c>
      <c r="BQ136" s="10">
        <f t="shared" si="236"/>
        <v>0</v>
      </c>
      <c r="BR136" s="10">
        <f t="shared" si="236"/>
        <v>0</v>
      </c>
      <c r="BS136" s="10">
        <f t="shared" si="236"/>
        <v>0</v>
      </c>
      <c r="BT136" s="10">
        <f t="shared" si="236"/>
        <v>0</v>
      </c>
      <c r="BU136" s="10">
        <f t="shared" si="236"/>
        <v>0</v>
      </c>
      <c r="BV136" s="10">
        <f t="shared" si="236"/>
        <v>0</v>
      </c>
      <c r="BW136" s="10">
        <f t="shared" si="236"/>
        <v>0</v>
      </c>
      <c r="BY136" s="12"/>
      <c r="BZ136" s="363">
        <f t="shared" si="212"/>
        <v>0</v>
      </c>
      <c r="CA136" s="12"/>
      <c r="CB136" s="7">
        <f t="shared" si="213"/>
        <v>0</v>
      </c>
      <c r="CC136" s="7">
        <f>IF(AND(G136&lt;&gt;0, _xlfn.IFNA(MATCH(E136, Parameters!$D$45:$D$49, 0), "N/A")="N/A"), 1, 0)</f>
        <v>0</v>
      </c>
      <c r="CE136" s="7">
        <f>IF($F136="", 0, IF(AND($F136&lt;=$BW$5, $F136&gt;=Timeline!$V$8), 0, 1))</f>
        <v>0</v>
      </c>
      <c r="CI136" s="7">
        <f t="shared" si="224"/>
        <v>0</v>
      </c>
      <c r="CJ136" s="7">
        <f t="shared" si="225"/>
        <v>0</v>
      </c>
      <c r="CK136" s="7">
        <f t="shared" si="226"/>
        <v>0</v>
      </c>
      <c r="CL136" s="42"/>
      <c r="CM136" s="352">
        <f t="shared" si="214"/>
        <v>0</v>
      </c>
      <c r="CN136" s="352">
        <f t="shared" si="215"/>
        <v>0</v>
      </c>
      <c r="CO136" s="352">
        <f t="shared" si="216"/>
        <v>0</v>
      </c>
      <c r="CP136" s="352">
        <f t="shared" si="217"/>
        <v>0</v>
      </c>
      <c r="CQ136" s="352">
        <f t="shared" si="218"/>
        <v>0</v>
      </c>
      <c r="CR136" s="352">
        <f t="shared" si="219"/>
        <v>0</v>
      </c>
      <c r="CS136" s="352">
        <f t="shared" si="220"/>
        <v>0</v>
      </c>
      <c r="CT136" s="42"/>
      <c r="CU136" s="67">
        <v>0</v>
      </c>
      <c r="CV136" s="67">
        <v>0</v>
      </c>
      <c r="EX136" s="13" t="str">
        <f t="shared" si="221"/>
        <v>Disposals DS7</v>
      </c>
    </row>
    <row r="137" spans="1:154" x14ac:dyDescent="0.25">
      <c r="A137" s="362" cm="1">
        <f t="array" aca="1" ref="A137" ca="1">HYPERLINK(CONCATENATE("#",CELL("address",IF(SUM($CA137:$CL137)=0,A137,INDEX($CA137:$CL137,MATCH(1,$CA137:$CL137,0))))),SUM($CA137:$CL137))</f>
        <v>0</v>
      </c>
      <c r="C137" s="521" t="s">
        <v>1138</v>
      </c>
      <c r="D137" s="147"/>
      <c r="E137" s="146"/>
      <c r="F137" s="150"/>
      <c r="G137" s="147"/>
      <c r="H137" s="144"/>
      <c r="T137" s="25"/>
      <c r="U137" s="25"/>
      <c r="V137" s="13">
        <f>0-IF(AND($F137&gt;=Timeline!$V$8,$F137 &lt;=V$5), $G137, 0)</f>
        <v>0</v>
      </c>
      <c r="W137" s="10">
        <f t="shared" si="207"/>
        <v>0</v>
      </c>
      <c r="X137" s="10">
        <f t="shared" si="207"/>
        <v>0</v>
      </c>
      <c r="Y137" s="10">
        <f t="shared" si="207"/>
        <v>0</v>
      </c>
      <c r="Z137" s="335"/>
      <c r="AA137" s="13">
        <f t="shared" si="208"/>
        <v>0</v>
      </c>
      <c r="AB137" s="10">
        <f t="shared" ref="AB137:BJ137" si="237">0-IF(AND($F137&gt;AA$5,$F137 &lt;=AB$5), $G137, 0)</f>
        <v>0</v>
      </c>
      <c r="AC137" s="10">
        <f t="shared" si="237"/>
        <v>0</v>
      </c>
      <c r="AD137" s="10">
        <f t="shared" si="237"/>
        <v>0</v>
      </c>
      <c r="AE137" s="10">
        <f t="shared" si="237"/>
        <v>0</v>
      </c>
      <c r="AF137" s="10">
        <f t="shared" si="237"/>
        <v>0</v>
      </c>
      <c r="AG137" s="10">
        <f t="shared" si="237"/>
        <v>0</v>
      </c>
      <c r="AH137" s="10">
        <f t="shared" si="237"/>
        <v>0</v>
      </c>
      <c r="AI137" s="10">
        <f t="shared" si="237"/>
        <v>0</v>
      </c>
      <c r="AJ137" s="10">
        <f t="shared" si="237"/>
        <v>0</v>
      </c>
      <c r="AK137" s="10">
        <f t="shared" si="237"/>
        <v>0</v>
      </c>
      <c r="AL137" s="10">
        <f t="shared" si="237"/>
        <v>0</v>
      </c>
      <c r="AM137" s="10">
        <f t="shared" si="237"/>
        <v>0</v>
      </c>
      <c r="AN137" s="10">
        <f t="shared" si="237"/>
        <v>0</v>
      </c>
      <c r="AO137" s="10">
        <f t="shared" si="237"/>
        <v>0</v>
      </c>
      <c r="AP137" s="10">
        <f t="shared" si="237"/>
        <v>0</v>
      </c>
      <c r="AQ137" s="10">
        <f t="shared" si="237"/>
        <v>0</v>
      </c>
      <c r="AR137" s="10">
        <f t="shared" si="237"/>
        <v>0</v>
      </c>
      <c r="AS137" s="10">
        <f t="shared" si="237"/>
        <v>0</v>
      </c>
      <c r="AT137" s="10">
        <f t="shared" si="237"/>
        <v>0</v>
      </c>
      <c r="AU137" s="10">
        <f t="shared" si="237"/>
        <v>0</v>
      </c>
      <c r="AV137" s="10">
        <f t="shared" si="237"/>
        <v>0</v>
      </c>
      <c r="AW137" s="10">
        <f t="shared" si="237"/>
        <v>0</v>
      </c>
      <c r="AX137" s="10">
        <f t="shared" si="237"/>
        <v>0</v>
      </c>
      <c r="AY137" s="10">
        <f t="shared" si="237"/>
        <v>0</v>
      </c>
      <c r="AZ137" s="10">
        <f t="shared" si="237"/>
        <v>0</v>
      </c>
      <c r="BA137" s="10">
        <f t="shared" si="237"/>
        <v>0</v>
      </c>
      <c r="BB137" s="10">
        <f t="shared" si="237"/>
        <v>0</v>
      </c>
      <c r="BC137" s="10">
        <f t="shared" si="237"/>
        <v>0</v>
      </c>
      <c r="BD137" s="10">
        <f t="shared" si="237"/>
        <v>0</v>
      </c>
      <c r="BE137" s="10">
        <f t="shared" si="237"/>
        <v>0</v>
      </c>
      <c r="BF137" s="10">
        <f t="shared" si="237"/>
        <v>0</v>
      </c>
      <c r="BG137" s="10">
        <f t="shared" si="237"/>
        <v>0</v>
      </c>
      <c r="BH137" s="10">
        <f t="shared" si="237"/>
        <v>0</v>
      </c>
      <c r="BI137" s="10">
        <f t="shared" si="237"/>
        <v>0</v>
      </c>
      <c r="BJ137" s="10">
        <f t="shared" si="237"/>
        <v>0</v>
      </c>
      <c r="BL137" s="13">
        <f t="shared" si="210"/>
        <v>0</v>
      </c>
      <c r="BM137" s="10">
        <f t="shared" ref="BM137:BW137" si="238">0-IF(AND($F137&gt;BL$5,$F137 &lt;=BM$5), $G137, 0)</f>
        <v>0</v>
      </c>
      <c r="BN137" s="10">
        <f t="shared" si="238"/>
        <v>0</v>
      </c>
      <c r="BO137" s="10">
        <f t="shared" si="238"/>
        <v>0</v>
      </c>
      <c r="BP137" s="10">
        <f t="shared" si="238"/>
        <v>0</v>
      </c>
      <c r="BQ137" s="10">
        <f t="shared" si="238"/>
        <v>0</v>
      </c>
      <c r="BR137" s="10">
        <f t="shared" si="238"/>
        <v>0</v>
      </c>
      <c r="BS137" s="10">
        <f t="shared" si="238"/>
        <v>0</v>
      </c>
      <c r="BT137" s="10">
        <f t="shared" si="238"/>
        <v>0</v>
      </c>
      <c r="BU137" s="10">
        <f t="shared" si="238"/>
        <v>0</v>
      </c>
      <c r="BV137" s="10">
        <f t="shared" si="238"/>
        <v>0</v>
      </c>
      <c r="BW137" s="10">
        <f t="shared" si="238"/>
        <v>0</v>
      </c>
      <c r="BY137" s="12"/>
      <c r="BZ137" s="363">
        <f t="shared" si="212"/>
        <v>0</v>
      </c>
      <c r="CA137" s="12"/>
      <c r="CB137" s="7">
        <f t="shared" si="213"/>
        <v>0</v>
      </c>
      <c r="CC137" s="7">
        <f>IF(AND(G137&lt;&gt;0, _xlfn.IFNA(MATCH(E137, Parameters!$D$45:$D$49, 0), "N/A")="N/A"), 1, 0)</f>
        <v>0</v>
      </c>
      <c r="CE137" s="7">
        <f>IF($F137="", 0, IF(AND($F137&lt;=$BW$5, $F137&gt;=Timeline!$V$8), 0, 1))</f>
        <v>0</v>
      </c>
      <c r="CI137" s="7">
        <f t="shared" si="224"/>
        <v>0</v>
      </c>
      <c r="CJ137" s="7">
        <f t="shared" si="225"/>
        <v>0</v>
      </c>
      <c r="CK137" s="7">
        <f t="shared" si="226"/>
        <v>0</v>
      </c>
      <c r="CL137" s="42"/>
      <c r="CM137" s="352">
        <f t="shared" si="214"/>
        <v>0</v>
      </c>
      <c r="CN137" s="352">
        <f t="shared" si="215"/>
        <v>0</v>
      </c>
      <c r="CO137" s="352">
        <f t="shared" si="216"/>
        <v>0</v>
      </c>
      <c r="CP137" s="352">
        <f t="shared" si="217"/>
        <v>0</v>
      </c>
      <c r="CQ137" s="352">
        <f t="shared" si="218"/>
        <v>0</v>
      </c>
      <c r="CR137" s="352">
        <f t="shared" si="219"/>
        <v>0</v>
      </c>
      <c r="CS137" s="352">
        <f t="shared" si="220"/>
        <v>0</v>
      </c>
      <c r="CT137" s="42"/>
      <c r="CU137" s="67">
        <v>0</v>
      </c>
      <c r="CV137" s="67">
        <v>0</v>
      </c>
      <c r="EX137" s="13" t="str">
        <f t="shared" si="221"/>
        <v>Disposals DS8</v>
      </c>
    </row>
    <row r="138" spans="1:154" x14ac:dyDescent="0.25">
      <c r="A138" s="362" cm="1">
        <f t="array" aca="1" ref="A138" ca="1">HYPERLINK(CONCATENATE("#",CELL("address",IF(SUM($CA138:$CL138)=0,A138,INDEX($CA138:$CL138,MATCH(1,$CA138:$CL138,0))))),SUM($CA138:$CL138))</f>
        <v>0</v>
      </c>
      <c r="C138" s="521" t="s">
        <v>1139</v>
      </c>
      <c r="D138" s="147"/>
      <c r="E138" s="146"/>
      <c r="F138" s="150"/>
      <c r="G138" s="147"/>
      <c r="H138" s="144"/>
      <c r="T138" s="25"/>
      <c r="U138" s="25"/>
      <c r="V138" s="13">
        <f>0-IF(AND($F138&gt;=Timeline!$V$8,$F138 &lt;=V$5), $G138, 0)</f>
        <v>0</v>
      </c>
      <c r="W138" s="10">
        <f t="shared" si="207"/>
        <v>0</v>
      </c>
      <c r="X138" s="10">
        <f t="shared" si="207"/>
        <v>0</v>
      </c>
      <c r="Y138" s="10">
        <f t="shared" si="207"/>
        <v>0</v>
      </c>
      <c r="Z138" s="335"/>
      <c r="AA138" s="13">
        <f t="shared" si="208"/>
        <v>0</v>
      </c>
      <c r="AB138" s="10">
        <f t="shared" ref="AB138:BJ138" si="239">0-IF(AND($F138&gt;AA$5,$F138 &lt;=AB$5), $G138, 0)</f>
        <v>0</v>
      </c>
      <c r="AC138" s="10">
        <f t="shared" si="239"/>
        <v>0</v>
      </c>
      <c r="AD138" s="10">
        <f t="shared" si="239"/>
        <v>0</v>
      </c>
      <c r="AE138" s="10">
        <f t="shared" si="239"/>
        <v>0</v>
      </c>
      <c r="AF138" s="10">
        <f t="shared" si="239"/>
        <v>0</v>
      </c>
      <c r="AG138" s="10">
        <f t="shared" si="239"/>
        <v>0</v>
      </c>
      <c r="AH138" s="10">
        <f t="shared" si="239"/>
        <v>0</v>
      </c>
      <c r="AI138" s="10">
        <f t="shared" si="239"/>
        <v>0</v>
      </c>
      <c r="AJ138" s="10">
        <f t="shared" si="239"/>
        <v>0</v>
      </c>
      <c r="AK138" s="10">
        <f t="shared" si="239"/>
        <v>0</v>
      </c>
      <c r="AL138" s="10">
        <f t="shared" si="239"/>
        <v>0</v>
      </c>
      <c r="AM138" s="10">
        <f t="shared" si="239"/>
        <v>0</v>
      </c>
      <c r="AN138" s="10">
        <f t="shared" si="239"/>
        <v>0</v>
      </c>
      <c r="AO138" s="10">
        <f t="shared" si="239"/>
        <v>0</v>
      </c>
      <c r="AP138" s="10">
        <f t="shared" si="239"/>
        <v>0</v>
      </c>
      <c r="AQ138" s="10">
        <f t="shared" si="239"/>
        <v>0</v>
      </c>
      <c r="AR138" s="10">
        <f t="shared" si="239"/>
        <v>0</v>
      </c>
      <c r="AS138" s="10">
        <f t="shared" si="239"/>
        <v>0</v>
      </c>
      <c r="AT138" s="10">
        <f t="shared" si="239"/>
        <v>0</v>
      </c>
      <c r="AU138" s="10">
        <f t="shared" si="239"/>
        <v>0</v>
      </c>
      <c r="AV138" s="10">
        <f t="shared" si="239"/>
        <v>0</v>
      </c>
      <c r="AW138" s="10">
        <f t="shared" si="239"/>
        <v>0</v>
      </c>
      <c r="AX138" s="10">
        <f t="shared" si="239"/>
        <v>0</v>
      </c>
      <c r="AY138" s="10">
        <f t="shared" si="239"/>
        <v>0</v>
      </c>
      <c r="AZ138" s="10">
        <f t="shared" si="239"/>
        <v>0</v>
      </c>
      <c r="BA138" s="10">
        <f t="shared" si="239"/>
        <v>0</v>
      </c>
      <c r="BB138" s="10">
        <f t="shared" si="239"/>
        <v>0</v>
      </c>
      <c r="BC138" s="10">
        <f t="shared" si="239"/>
        <v>0</v>
      </c>
      <c r="BD138" s="10">
        <f t="shared" si="239"/>
        <v>0</v>
      </c>
      <c r="BE138" s="10">
        <f t="shared" si="239"/>
        <v>0</v>
      </c>
      <c r="BF138" s="10">
        <f t="shared" si="239"/>
        <v>0</v>
      </c>
      <c r="BG138" s="10">
        <f t="shared" si="239"/>
        <v>0</v>
      </c>
      <c r="BH138" s="10">
        <f t="shared" si="239"/>
        <v>0</v>
      </c>
      <c r="BI138" s="10">
        <f t="shared" si="239"/>
        <v>0</v>
      </c>
      <c r="BJ138" s="10">
        <f t="shared" si="239"/>
        <v>0</v>
      </c>
      <c r="BL138" s="13">
        <f t="shared" si="210"/>
        <v>0</v>
      </c>
      <c r="BM138" s="10">
        <f t="shared" ref="BM138:BW138" si="240">0-IF(AND($F138&gt;BL$5,$F138 &lt;=BM$5), $G138, 0)</f>
        <v>0</v>
      </c>
      <c r="BN138" s="10">
        <f t="shared" si="240"/>
        <v>0</v>
      </c>
      <c r="BO138" s="10">
        <f t="shared" si="240"/>
        <v>0</v>
      </c>
      <c r="BP138" s="10">
        <f t="shared" si="240"/>
        <v>0</v>
      </c>
      <c r="BQ138" s="10">
        <f t="shared" si="240"/>
        <v>0</v>
      </c>
      <c r="BR138" s="10">
        <f t="shared" si="240"/>
        <v>0</v>
      </c>
      <c r="BS138" s="10">
        <f t="shared" si="240"/>
        <v>0</v>
      </c>
      <c r="BT138" s="10">
        <f t="shared" si="240"/>
        <v>0</v>
      </c>
      <c r="BU138" s="10">
        <f t="shared" si="240"/>
        <v>0</v>
      </c>
      <c r="BV138" s="10">
        <f t="shared" si="240"/>
        <v>0</v>
      </c>
      <c r="BW138" s="10">
        <f t="shared" si="240"/>
        <v>0</v>
      </c>
      <c r="BY138" s="12"/>
      <c r="BZ138" s="363">
        <f t="shared" si="212"/>
        <v>0</v>
      </c>
      <c r="CA138" s="12"/>
      <c r="CB138" s="7">
        <f t="shared" si="213"/>
        <v>0</v>
      </c>
      <c r="CC138" s="7">
        <f>IF(AND(G138&lt;&gt;0, _xlfn.IFNA(MATCH(E138, Parameters!$D$45:$D$49, 0), "N/A")="N/A"), 1, 0)</f>
        <v>0</v>
      </c>
      <c r="CE138" s="7">
        <f>IF($F138="", 0, IF(AND($F138&lt;=$BW$5, $F138&gt;=Timeline!$V$8), 0, 1))</f>
        <v>0</v>
      </c>
      <c r="CI138" s="7">
        <f t="shared" si="224"/>
        <v>0</v>
      </c>
      <c r="CJ138" s="7">
        <f t="shared" si="225"/>
        <v>0</v>
      </c>
      <c r="CK138" s="7">
        <f t="shared" si="226"/>
        <v>0</v>
      </c>
      <c r="CL138" s="42"/>
      <c r="CM138" s="352">
        <f t="shared" si="214"/>
        <v>0</v>
      </c>
      <c r="CN138" s="352">
        <f t="shared" si="215"/>
        <v>0</v>
      </c>
      <c r="CO138" s="352">
        <f t="shared" si="216"/>
        <v>0</v>
      </c>
      <c r="CP138" s="352">
        <f t="shared" si="217"/>
        <v>0</v>
      </c>
      <c r="CQ138" s="352">
        <f t="shared" si="218"/>
        <v>0</v>
      </c>
      <c r="CR138" s="352">
        <f t="shared" si="219"/>
        <v>0</v>
      </c>
      <c r="CS138" s="352">
        <f t="shared" si="220"/>
        <v>0</v>
      </c>
      <c r="CT138" s="42"/>
      <c r="CU138" s="67">
        <v>0</v>
      </c>
      <c r="CV138" s="67">
        <v>0</v>
      </c>
      <c r="EX138" s="13" t="str">
        <f t="shared" si="221"/>
        <v>Disposals DS9</v>
      </c>
    </row>
    <row r="139" spans="1:154" x14ac:dyDescent="0.25">
      <c r="A139" s="362" cm="1">
        <f t="array" aca="1" ref="A139" ca="1">HYPERLINK(CONCATENATE("#",CELL("address",IF(SUM($CA139:$CL139)=0,A139,INDEX($CA139:$CL139,MATCH(1,$CA139:$CL139,0))))),SUM($CA139:$CL139))</f>
        <v>0</v>
      </c>
      <c r="C139" s="521" t="s">
        <v>1140</v>
      </c>
      <c r="D139" s="147"/>
      <c r="E139" s="146"/>
      <c r="F139" s="150"/>
      <c r="G139" s="147"/>
      <c r="H139" s="144"/>
      <c r="T139" s="25"/>
      <c r="U139" s="25"/>
      <c r="V139" s="13">
        <f>0-IF(AND($F139&gt;=Timeline!$V$8,$F139 &lt;=V$5), $G139, 0)</f>
        <v>0</v>
      </c>
      <c r="W139" s="10">
        <f t="shared" si="207"/>
        <v>0</v>
      </c>
      <c r="X139" s="10">
        <f t="shared" si="207"/>
        <v>0</v>
      </c>
      <c r="Y139" s="10">
        <f t="shared" si="207"/>
        <v>0</v>
      </c>
      <c r="Z139" s="335"/>
      <c r="AA139" s="13">
        <f t="shared" si="208"/>
        <v>0</v>
      </c>
      <c r="AB139" s="10">
        <f t="shared" ref="AB139:BJ139" si="241">0-IF(AND($F139&gt;AA$5,$F139 &lt;=AB$5), $G139, 0)</f>
        <v>0</v>
      </c>
      <c r="AC139" s="10">
        <f t="shared" si="241"/>
        <v>0</v>
      </c>
      <c r="AD139" s="10">
        <f t="shared" si="241"/>
        <v>0</v>
      </c>
      <c r="AE139" s="10">
        <f t="shared" si="241"/>
        <v>0</v>
      </c>
      <c r="AF139" s="10">
        <f t="shared" si="241"/>
        <v>0</v>
      </c>
      <c r="AG139" s="10">
        <f t="shared" si="241"/>
        <v>0</v>
      </c>
      <c r="AH139" s="10">
        <f t="shared" si="241"/>
        <v>0</v>
      </c>
      <c r="AI139" s="10">
        <f t="shared" si="241"/>
        <v>0</v>
      </c>
      <c r="AJ139" s="10">
        <f t="shared" si="241"/>
        <v>0</v>
      </c>
      <c r="AK139" s="10">
        <f t="shared" si="241"/>
        <v>0</v>
      </c>
      <c r="AL139" s="10">
        <f t="shared" si="241"/>
        <v>0</v>
      </c>
      <c r="AM139" s="10">
        <f t="shared" si="241"/>
        <v>0</v>
      </c>
      <c r="AN139" s="10">
        <f t="shared" si="241"/>
        <v>0</v>
      </c>
      <c r="AO139" s="10">
        <f t="shared" si="241"/>
        <v>0</v>
      </c>
      <c r="AP139" s="10">
        <f t="shared" si="241"/>
        <v>0</v>
      </c>
      <c r="AQ139" s="10">
        <f t="shared" si="241"/>
        <v>0</v>
      </c>
      <c r="AR139" s="10">
        <f t="shared" si="241"/>
        <v>0</v>
      </c>
      <c r="AS139" s="10">
        <f t="shared" si="241"/>
        <v>0</v>
      </c>
      <c r="AT139" s="10">
        <f t="shared" si="241"/>
        <v>0</v>
      </c>
      <c r="AU139" s="10">
        <f t="shared" si="241"/>
        <v>0</v>
      </c>
      <c r="AV139" s="10">
        <f t="shared" si="241"/>
        <v>0</v>
      </c>
      <c r="AW139" s="10">
        <f t="shared" si="241"/>
        <v>0</v>
      </c>
      <c r="AX139" s="10">
        <f t="shared" si="241"/>
        <v>0</v>
      </c>
      <c r="AY139" s="10">
        <f t="shared" si="241"/>
        <v>0</v>
      </c>
      <c r="AZ139" s="10">
        <f t="shared" si="241"/>
        <v>0</v>
      </c>
      <c r="BA139" s="10">
        <f t="shared" si="241"/>
        <v>0</v>
      </c>
      <c r="BB139" s="10">
        <f t="shared" si="241"/>
        <v>0</v>
      </c>
      <c r="BC139" s="10">
        <f t="shared" si="241"/>
        <v>0</v>
      </c>
      <c r="BD139" s="10">
        <f t="shared" si="241"/>
        <v>0</v>
      </c>
      <c r="BE139" s="10">
        <f t="shared" si="241"/>
        <v>0</v>
      </c>
      <c r="BF139" s="10">
        <f t="shared" si="241"/>
        <v>0</v>
      </c>
      <c r="BG139" s="10">
        <f t="shared" si="241"/>
        <v>0</v>
      </c>
      <c r="BH139" s="10">
        <f t="shared" si="241"/>
        <v>0</v>
      </c>
      <c r="BI139" s="10">
        <f t="shared" si="241"/>
        <v>0</v>
      </c>
      <c r="BJ139" s="10">
        <f t="shared" si="241"/>
        <v>0</v>
      </c>
      <c r="BL139" s="13">
        <f t="shared" si="210"/>
        <v>0</v>
      </c>
      <c r="BM139" s="10">
        <f t="shared" ref="BM139:BW139" si="242">0-IF(AND($F139&gt;BL$5,$F139 &lt;=BM$5), $G139, 0)</f>
        <v>0</v>
      </c>
      <c r="BN139" s="10">
        <f t="shared" si="242"/>
        <v>0</v>
      </c>
      <c r="BO139" s="10">
        <f t="shared" si="242"/>
        <v>0</v>
      </c>
      <c r="BP139" s="10">
        <f t="shared" si="242"/>
        <v>0</v>
      </c>
      <c r="BQ139" s="10">
        <f t="shared" si="242"/>
        <v>0</v>
      </c>
      <c r="BR139" s="10">
        <f t="shared" si="242"/>
        <v>0</v>
      </c>
      <c r="BS139" s="10">
        <f t="shared" si="242"/>
        <v>0</v>
      </c>
      <c r="BT139" s="10">
        <f t="shared" si="242"/>
        <v>0</v>
      </c>
      <c r="BU139" s="10">
        <f t="shared" si="242"/>
        <v>0</v>
      </c>
      <c r="BV139" s="10">
        <f t="shared" si="242"/>
        <v>0</v>
      </c>
      <c r="BW139" s="10">
        <f t="shared" si="242"/>
        <v>0</v>
      </c>
      <c r="BY139" s="12"/>
      <c r="BZ139" s="363">
        <f t="shared" si="212"/>
        <v>0</v>
      </c>
      <c r="CA139" s="12"/>
      <c r="CB139" s="7">
        <f t="shared" si="213"/>
        <v>0</v>
      </c>
      <c r="CC139" s="7">
        <f>IF(AND(G139&lt;&gt;0, _xlfn.IFNA(MATCH(E139, Parameters!$D$45:$D$49, 0), "N/A")="N/A"), 1, 0)</f>
        <v>0</v>
      </c>
      <c r="CE139" s="7">
        <f>IF($F139="", 0, IF(AND($F139&lt;=$BW$5, $F139&gt;=Timeline!$V$8), 0, 1))</f>
        <v>0</v>
      </c>
      <c r="CI139" s="7">
        <f t="shared" si="224"/>
        <v>0</v>
      </c>
      <c r="CJ139" s="7">
        <f t="shared" si="225"/>
        <v>0</v>
      </c>
      <c r="CK139" s="7">
        <f t="shared" si="226"/>
        <v>0</v>
      </c>
      <c r="CL139" s="42"/>
      <c r="CM139" s="352">
        <f t="shared" si="214"/>
        <v>0</v>
      </c>
      <c r="CN139" s="352">
        <f t="shared" si="215"/>
        <v>0</v>
      </c>
      <c r="CO139" s="352">
        <f t="shared" si="216"/>
        <v>0</v>
      </c>
      <c r="CP139" s="352">
        <f t="shared" si="217"/>
        <v>0</v>
      </c>
      <c r="CQ139" s="352">
        <f t="shared" si="218"/>
        <v>0</v>
      </c>
      <c r="CR139" s="352">
        <f t="shared" si="219"/>
        <v>0</v>
      </c>
      <c r="CS139" s="352">
        <f t="shared" si="220"/>
        <v>0</v>
      </c>
      <c r="CT139" s="42"/>
      <c r="CU139" s="67">
        <v>0</v>
      </c>
      <c r="CV139" s="67">
        <v>0</v>
      </c>
      <c r="EX139" s="13" t="str">
        <f t="shared" si="221"/>
        <v>Disposals DS10</v>
      </c>
    </row>
    <row r="140" spans="1:154" x14ac:dyDescent="0.25">
      <c r="A140" s="362" cm="1">
        <f t="array" aca="1" ref="A140" ca="1">HYPERLINK(CONCATENATE("#",CELL("address",IF(SUM($CA140:$CL140)=0,A140,INDEX($CA140:$CL140,MATCH(1,$CA140:$CL140,0))))),SUM($CA140:$CL140))</f>
        <v>0</v>
      </c>
      <c r="C140" s="521" t="s">
        <v>1141</v>
      </c>
      <c r="D140" s="147"/>
      <c r="E140" s="146"/>
      <c r="F140" s="150"/>
      <c r="G140" s="147"/>
      <c r="H140" s="144"/>
      <c r="T140" s="25"/>
      <c r="U140" s="25"/>
      <c r="V140" s="13">
        <f>0-IF(AND($F140&gt;=Timeline!$V$8,$F140 &lt;=V$5), $G140, 0)</f>
        <v>0</v>
      </c>
      <c r="W140" s="153">
        <f t="shared" si="207"/>
        <v>0</v>
      </c>
      <c r="X140" s="153">
        <f t="shared" si="207"/>
        <v>0</v>
      </c>
      <c r="Y140" s="153">
        <f t="shared" si="207"/>
        <v>0</v>
      </c>
      <c r="Z140" s="335"/>
      <c r="AA140" s="13">
        <f t="shared" si="208"/>
        <v>0</v>
      </c>
      <c r="AB140" s="153">
        <f t="shared" ref="AB140:BJ140" si="243">0-IF(AND($F140&gt;AA$5,$F140 &lt;=AB$5), $G140, 0)</f>
        <v>0</v>
      </c>
      <c r="AC140" s="153">
        <f t="shared" si="243"/>
        <v>0</v>
      </c>
      <c r="AD140" s="153">
        <f t="shared" si="243"/>
        <v>0</v>
      </c>
      <c r="AE140" s="153">
        <f t="shared" si="243"/>
        <v>0</v>
      </c>
      <c r="AF140" s="153">
        <f t="shared" si="243"/>
        <v>0</v>
      </c>
      <c r="AG140" s="153">
        <f t="shared" si="243"/>
        <v>0</v>
      </c>
      <c r="AH140" s="153">
        <f t="shared" si="243"/>
        <v>0</v>
      </c>
      <c r="AI140" s="153">
        <f t="shared" si="243"/>
        <v>0</v>
      </c>
      <c r="AJ140" s="153">
        <f t="shared" si="243"/>
        <v>0</v>
      </c>
      <c r="AK140" s="153">
        <f t="shared" si="243"/>
        <v>0</v>
      </c>
      <c r="AL140" s="153">
        <f t="shared" si="243"/>
        <v>0</v>
      </c>
      <c r="AM140" s="153">
        <f t="shared" si="243"/>
        <v>0</v>
      </c>
      <c r="AN140" s="153">
        <f t="shared" si="243"/>
        <v>0</v>
      </c>
      <c r="AO140" s="153">
        <f t="shared" si="243"/>
        <v>0</v>
      </c>
      <c r="AP140" s="153">
        <f t="shared" si="243"/>
        <v>0</v>
      </c>
      <c r="AQ140" s="153">
        <f t="shared" si="243"/>
        <v>0</v>
      </c>
      <c r="AR140" s="153">
        <f t="shared" si="243"/>
        <v>0</v>
      </c>
      <c r="AS140" s="153">
        <f t="shared" si="243"/>
        <v>0</v>
      </c>
      <c r="AT140" s="153">
        <f t="shared" si="243"/>
        <v>0</v>
      </c>
      <c r="AU140" s="153">
        <f t="shared" si="243"/>
        <v>0</v>
      </c>
      <c r="AV140" s="153">
        <f t="shared" si="243"/>
        <v>0</v>
      </c>
      <c r="AW140" s="153">
        <f t="shared" si="243"/>
        <v>0</v>
      </c>
      <c r="AX140" s="153">
        <f t="shared" si="243"/>
        <v>0</v>
      </c>
      <c r="AY140" s="153">
        <f t="shared" si="243"/>
        <v>0</v>
      </c>
      <c r="AZ140" s="153">
        <f t="shared" si="243"/>
        <v>0</v>
      </c>
      <c r="BA140" s="153">
        <f t="shared" si="243"/>
        <v>0</v>
      </c>
      <c r="BB140" s="153">
        <f t="shared" si="243"/>
        <v>0</v>
      </c>
      <c r="BC140" s="153">
        <f t="shared" si="243"/>
        <v>0</v>
      </c>
      <c r="BD140" s="153">
        <f t="shared" si="243"/>
        <v>0</v>
      </c>
      <c r="BE140" s="153">
        <f t="shared" si="243"/>
        <v>0</v>
      </c>
      <c r="BF140" s="153">
        <f t="shared" si="243"/>
        <v>0</v>
      </c>
      <c r="BG140" s="153">
        <f t="shared" si="243"/>
        <v>0</v>
      </c>
      <c r="BH140" s="153">
        <f t="shared" si="243"/>
        <v>0</v>
      </c>
      <c r="BI140" s="153">
        <f t="shared" si="243"/>
        <v>0</v>
      </c>
      <c r="BJ140" s="153">
        <f t="shared" si="243"/>
        <v>0</v>
      </c>
      <c r="BL140" s="13">
        <f t="shared" si="210"/>
        <v>0</v>
      </c>
      <c r="BM140" s="10">
        <f t="shared" ref="BM140:BW140" si="244">0-IF(AND($F140&gt;BL$5,$F140 &lt;=BM$5), $G140, 0)</f>
        <v>0</v>
      </c>
      <c r="BN140" s="10">
        <f t="shared" si="244"/>
        <v>0</v>
      </c>
      <c r="BO140" s="10">
        <f t="shared" si="244"/>
        <v>0</v>
      </c>
      <c r="BP140" s="10">
        <f t="shared" si="244"/>
        <v>0</v>
      </c>
      <c r="BQ140" s="10">
        <f t="shared" si="244"/>
        <v>0</v>
      </c>
      <c r="BR140" s="10">
        <f t="shared" si="244"/>
        <v>0</v>
      </c>
      <c r="BS140" s="10">
        <f t="shared" si="244"/>
        <v>0</v>
      </c>
      <c r="BT140" s="10">
        <f t="shared" si="244"/>
        <v>0</v>
      </c>
      <c r="BU140" s="10">
        <f t="shared" si="244"/>
        <v>0</v>
      </c>
      <c r="BV140" s="10">
        <f t="shared" si="244"/>
        <v>0</v>
      </c>
      <c r="BW140" s="10">
        <f t="shared" si="244"/>
        <v>0</v>
      </c>
      <c r="BY140" s="12"/>
      <c r="BZ140" s="363">
        <f t="shared" si="212"/>
        <v>0</v>
      </c>
      <c r="CA140" s="12"/>
      <c r="CB140" s="7">
        <f t="shared" si="213"/>
        <v>0</v>
      </c>
      <c r="CC140" s="7">
        <f>IF(AND(G140&lt;&gt;0, _xlfn.IFNA(MATCH(E140, Parameters!$D$45:$D$49, 0), "N/A")="N/A"), 1, 0)</f>
        <v>0</v>
      </c>
      <c r="CE140" s="7">
        <f>IF($F140="", 0, IF(AND($F140&lt;=$BW$5, $F140&gt;=Timeline!$V$8), 0, 1))</f>
        <v>0</v>
      </c>
      <c r="CI140" s="7">
        <f t="shared" si="224"/>
        <v>0</v>
      </c>
      <c r="CJ140" s="7">
        <f t="shared" si="225"/>
        <v>0</v>
      </c>
      <c r="CK140" s="7">
        <f t="shared" si="226"/>
        <v>0</v>
      </c>
      <c r="CL140" s="42"/>
      <c r="CM140" s="352">
        <f t="shared" si="214"/>
        <v>0</v>
      </c>
      <c r="CN140" s="352">
        <f t="shared" si="215"/>
        <v>0</v>
      </c>
      <c r="CO140" s="352">
        <f t="shared" si="216"/>
        <v>0</v>
      </c>
      <c r="CP140" s="352">
        <f t="shared" si="217"/>
        <v>0</v>
      </c>
      <c r="CQ140" s="352">
        <f t="shared" si="218"/>
        <v>0</v>
      </c>
      <c r="CR140" s="352">
        <f t="shared" si="219"/>
        <v>0</v>
      </c>
      <c r="CS140" s="352">
        <f t="shared" si="220"/>
        <v>0</v>
      </c>
      <c r="CT140" s="42"/>
      <c r="CU140" s="67">
        <v>0</v>
      </c>
      <c r="CV140" s="67">
        <v>0</v>
      </c>
      <c r="EX140" s="13" t="str">
        <f t="shared" si="221"/>
        <v>Disposals DS11</v>
      </c>
    </row>
    <row r="141" spans="1:154" x14ac:dyDescent="0.25">
      <c r="A141" s="362" cm="1">
        <f t="array" aca="1" ref="A141" ca="1">HYPERLINK(CONCATENATE("#",CELL("address",IF(SUM($CA141:$CL141)=0,A141,INDEX($CA141:$CL141,MATCH(1,$CA141:$CL141,0))))),SUM($CA141:$CL141))</f>
        <v>0</v>
      </c>
      <c r="C141" s="521" t="s">
        <v>1142</v>
      </c>
      <c r="D141" s="147"/>
      <c r="E141" s="146"/>
      <c r="F141" s="150"/>
      <c r="G141" s="147"/>
      <c r="H141" s="144"/>
      <c r="T141" s="25"/>
      <c r="U141" s="25"/>
      <c r="V141" s="13">
        <f>0-IF(AND($F141&gt;=Timeline!$V$8,$F141 &lt;=V$5), $G141, 0)</f>
        <v>0</v>
      </c>
      <c r="W141" s="153">
        <f t="shared" si="207"/>
        <v>0</v>
      </c>
      <c r="X141" s="153">
        <f t="shared" si="207"/>
        <v>0</v>
      </c>
      <c r="Y141" s="153">
        <f t="shared" si="207"/>
        <v>0</v>
      </c>
      <c r="Z141" s="335"/>
      <c r="AA141" s="13">
        <f t="shared" si="208"/>
        <v>0</v>
      </c>
      <c r="AB141" s="153">
        <f t="shared" ref="AB141:BJ141" si="245">0-IF(AND($F141&gt;AA$5,$F141 &lt;=AB$5), $G141, 0)</f>
        <v>0</v>
      </c>
      <c r="AC141" s="153">
        <f t="shared" si="245"/>
        <v>0</v>
      </c>
      <c r="AD141" s="153">
        <f t="shared" si="245"/>
        <v>0</v>
      </c>
      <c r="AE141" s="153">
        <f t="shared" si="245"/>
        <v>0</v>
      </c>
      <c r="AF141" s="153">
        <f t="shared" si="245"/>
        <v>0</v>
      </c>
      <c r="AG141" s="153">
        <f t="shared" si="245"/>
        <v>0</v>
      </c>
      <c r="AH141" s="153">
        <f t="shared" si="245"/>
        <v>0</v>
      </c>
      <c r="AI141" s="153">
        <f t="shared" si="245"/>
        <v>0</v>
      </c>
      <c r="AJ141" s="153">
        <f t="shared" si="245"/>
        <v>0</v>
      </c>
      <c r="AK141" s="153">
        <f t="shared" si="245"/>
        <v>0</v>
      </c>
      <c r="AL141" s="153">
        <f t="shared" si="245"/>
        <v>0</v>
      </c>
      <c r="AM141" s="153">
        <f t="shared" si="245"/>
        <v>0</v>
      </c>
      <c r="AN141" s="153">
        <f t="shared" si="245"/>
        <v>0</v>
      </c>
      <c r="AO141" s="153">
        <f t="shared" si="245"/>
        <v>0</v>
      </c>
      <c r="AP141" s="153">
        <f t="shared" si="245"/>
        <v>0</v>
      </c>
      <c r="AQ141" s="153">
        <f t="shared" si="245"/>
        <v>0</v>
      </c>
      <c r="AR141" s="153">
        <f t="shared" si="245"/>
        <v>0</v>
      </c>
      <c r="AS141" s="153">
        <f t="shared" si="245"/>
        <v>0</v>
      </c>
      <c r="AT141" s="153">
        <f t="shared" si="245"/>
        <v>0</v>
      </c>
      <c r="AU141" s="153">
        <f t="shared" si="245"/>
        <v>0</v>
      </c>
      <c r="AV141" s="153">
        <f t="shared" si="245"/>
        <v>0</v>
      </c>
      <c r="AW141" s="153">
        <f t="shared" si="245"/>
        <v>0</v>
      </c>
      <c r="AX141" s="153">
        <f t="shared" si="245"/>
        <v>0</v>
      </c>
      <c r="AY141" s="153">
        <f t="shared" si="245"/>
        <v>0</v>
      </c>
      <c r="AZ141" s="153">
        <f t="shared" si="245"/>
        <v>0</v>
      </c>
      <c r="BA141" s="153">
        <f t="shared" si="245"/>
        <v>0</v>
      </c>
      <c r="BB141" s="153">
        <f t="shared" si="245"/>
        <v>0</v>
      </c>
      <c r="BC141" s="153">
        <f t="shared" si="245"/>
        <v>0</v>
      </c>
      <c r="BD141" s="153">
        <f t="shared" si="245"/>
        <v>0</v>
      </c>
      <c r="BE141" s="153">
        <f t="shared" si="245"/>
        <v>0</v>
      </c>
      <c r="BF141" s="153">
        <f t="shared" si="245"/>
        <v>0</v>
      </c>
      <c r="BG141" s="153">
        <f t="shared" si="245"/>
        <v>0</v>
      </c>
      <c r="BH141" s="153">
        <f t="shared" si="245"/>
        <v>0</v>
      </c>
      <c r="BI141" s="153">
        <f t="shared" si="245"/>
        <v>0</v>
      </c>
      <c r="BJ141" s="153">
        <f t="shared" si="245"/>
        <v>0</v>
      </c>
      <c r="BL141" s="13">
        <f t="shared" si="210"/>
        <v>0</v>
      </c>
      <c r="BM141" s="10">
        <f t="shared" ref="BM141:BW141" si="246">0-IF(AND($F141&gt;BL$5,$F141 &lt;=BM$5), $G141, 0)</f>
        <v>0</v>
      </c>
      <c r="BN141" s="10">
        <f t="shared" si="246"/>
        <v>0</v>
      </c>
      <c r="BO141" s="10">
        <f t="shared" si="246"/>
        <v>0</v>
      </c>
      <c r="BP141" s="10">
        <f t="shared" si="246"/>
        <v>0</v>
      </c>
      <c r="BQ141" s="10">
        <f t="shared" si="246"/>
        <v>0</v>
      </c>
      <c r="BR141" s="10">
        <f t="shared" si="246"/>
        <v>0</v>
      </c>
      <c r="BS141" s="10">
        <f t="shared" si="246"/>
        <v>0</v>
      </c>
      <c r="BT141" s="10">
        <f t="shared" si="246"/>
        <v>0</v>
      </c>
      <c r="BU141" s="10">
        <f t="shared" si="246"/>
        <v>0</v>
      </c>
      <c r="BV141" s="10">
        <f t="shared" si="246"/>
        <v>0</v>
      </c>
      <c r="BW141" s="10">
        <f t="shared" si="246"/>
        <v>0</v>
      </c>
      <c r="BY141" s="12"/>
      <c r="BZ141" s="363">
        <f t="shared" si="212"/>
        <v>0</v>
      </c>
      <c r="CA141" s="12"/>
      <c r="CB141" s="7">
        <f t="shared" si="213"/>
        <v>0</v>
      </c>
      <c r="CC141" s="7">
        <f>IF(AND(G141&lt;&gt;0, _xlfn.IFNA(MATCH(E141, Parameters!$D$45:$D$49, 0), "N/A")="N/A"), 1, 0)</f>
        <v>0</v>
      </c>
      <c r="CE141" s="7">
        <f>IF($F141="", 0, IF(AND($F141&lt;=$BW$5, $F141&gt;=Timeline!$V$8), 0, 1))</f>
        <v>0</v>
      </c>
      <c r="CI141" s="7">
        <f t="shared" si="224"/>
        <v>0</v>
      </c>
      <c r="CJ141" s="7">
        <f t="shared" si="225"/>
        <v>0</v>
      </c>
      <c r="CK141" s="7">
        <f t="shared" si="226"/>
        <v>0</v>
      </c>
      <c r="CL141" s="42"/>
      <c r="CM141" s="352">
        <f t="shared" si="214"/>
        <v>0</v>
      </c>
      <c r="CN141" s="352">
        <f t="shared" si="215"/>
        <v>0</v>
      </c>
      <c r="CO141" s="352">
        <f t="shared" si="216"/>
        <v>0</v>
      </c>
      <c r="CP141" s="352">
        <f t="shared" si="217"/>
        <v>0</v>
      </c>
      <c r="CQ141" s="352">
        <f t="shared" si="218"/>
        <v>0</v>
      </c>
      <c r="CR141" s="352">
        <f t="shared" si="219"/>
        <v>0</v>
      </c>
      <c r="CS141" s="352">
        <f t="shared" si="220"/>
        <v>0</v>
      </c>
      <c r="CT141" s="42"/>
      <c r="CU141" s="67">
        <v>0</v>
      </c>
      <c r="CV141" s="67">
        <v>0</v>
      </c>
      <c r="EX141" s="13" t="str">
        <f t="shared" si="221"/>
        <v>Disposals DS12</v>
      </c>
    </row>
    <row r="142" spans="1:154" x14ac:dyDescent="0.25">
      <c r="A142" s="362" cm="1">
        <f t="array" aca="1" ref="A142" ca="1">HYPERLINK(CONCATENATE("#",CELL("address",IF(SUM($CA142:$CL142)=0,A142,INDEX($CA142:$CL142,MATCH(1,$CA142:$CL142,0))))),SUM($CA142:$CL142))</f>
        <v>0</v>
      </c>
      <c r="C142" s="521" t="s">
        <v>1143</v>
      </c>
      <c r="D142" s="147"/>
      <c r="E142" s="146"/>
      <c r="F142" s="150"/>
      <c r="G142" s="147"/>
      <c r="H142" s="144"/>
      <c r="T142" s="25"/>
      <c r="U142" s="25"/>
      <c r="V142" s="13">
        <f>0-IF(AND($F142&gt;=Timeline!$V$8,$F142 &lt;=V$5), $G142, 0)</f>
        <v>0</v>
      </c>
      <c r="W142" s="153">
        <f t="shared" si="207"/>
        <v>0</v>
      </c>
      <c r="X142" s="153">
        <f t="shared" si="207"/>
        <v>0</v>
      </c>
      <c r="Y142" s="153">
        <f t="shared" si="207"/>
        <v>0</v>
      </c>
      <c r="Z142" s="335"/>
      <c r="AA142" s="13">
        <f t="shared" si="208"/>
        <v>0</v>
      </c>
      <c r="AB142" s="153">
        <f t="shared" ref="AB142:BJ142" si="247">0-IF(AND($F142&gt;AA$5,$F142 &lt;=AB$5), $G142, 0)</f>
        <v>0</v>
      </c>
      <c r="AC142" s="153">
        <f t="shared" si="247"/>
        <v>0</v>
      </c>
      <c r="AD142" s="153">
        <f t="shared" si="247"/>
        <v>0</v>
      </c>
      <c r="AE142" s="153">
        <f t="shared" si="247"/>
        <v>0</v>
      </c>
      <c r="AF142" s="153">
        <f t="shared" si="247"/>
        <v>0</v>
      </c>
      <c r="AG142" s="153">
        <f t="shared" si="247"/>
        <v>0</v>
      </c>
      <c r="AH142" s="153">
        <f t="shared" si="247"/>
        <v>0</v>
      </c>
      <c r="AI142" s="153">
        <f t="shared" si="247"/>
        <v>0</v>
      </c>
      <c r="AJ142" s="153">
        <f t="shared" si="247"/>
        <v>0</v>
      </c>
      <c r="AK142" s="153">
        <f t="shared" si="247"/>
        <v>0</v>
      </c>
      <c r="AL142" s="153">
        <f t="shared" si="247"/>
        <v>0</v>
      </c>
      <c r="AM142" s="153">
        <f t="shared" si="247"/>
        <v>0</v>
      </c>
      <c r="AN142" s="153">
        <f t="shared" si="247"/>
        <v>0</v>
      </c>
      <c r="AO142" s="153">
        <f t="shared" si="247"/>
        <v>0</v>
      </c>
      <c r="AP142" s="153">
        <f t="shared" si="247"/>
        <v>0</v>
      </c>
      <c r="AQ142" s="153">
        <f t="shared" si="247"/>
        <v>0</v>
      </c>
      <c r="AR142" s="153">
        <f t="shared" si="247"/>
        <v>0</v>
      </c>
      <c r="AS142" s="153">
        <f t="shared" si="247"/>
        <v>0</v>
      </c>
      <c r="AT142" s="153">
        <f t="shared" si="247"/>
        <v>0</v>
      </c>
      <c r="AU142" s="153">
        <f t="shared" si="247"/>
        <v>0</v>
      </c>
      <c r="AV142" s="153">
        <f t="shared" si="247"/>
        <v>0</v>
      </c>
      <c r="AW142" s="153">
        <f t="shared" si="247"/>
        <v>0</v>
      </c>
      <c r="AX142" s="153">
        <f t="shared" si="247"/>
        <v>0</v>
      </c>
      <c r="AY142" s="153">
        <f t="shared" si="247"/>
        <v>0</v>
      </c>
      <c r="AZ142" s="153">
        <f t="shared" si="247"/>
        <v>0</v>
      </c>
      <c r="BA142" s="153">
        <f t="shared" si="247"/>
        <v>0</v>
      </c>
      <c r="BB142" s="153">
        <f t="shared" si="247"/>
        <v>0</v>
      </c>
      <c r="BC142" s="153">
        <f t="shared" si="247"/>
        <v>0</v>
      </c>
      <c r="BD142" s="153">
        <f t="shared" si="247"/>
        <v>0</v>
      </c>
      <c r="BE142" s="153">
        <f t="shared" si="247"/>
        <v>0</v>
      </c>
      <c r="BF142" s="153">
        <f t="shared" si="247"/>
        <v>0</v>
      </c>
      <c r="BG142" s="153">
        <f t="shared" si="247"/>
        <v>0</v>
      </c>
      <c r="BH142" s="153">
        <f t="shared" si="247"/>
        <v>0</v>
      </c>
      <c r="BI142" s="153">
        <f t="shared" si="247"/>
        <v>0</v>
      </c>
      <c r="BJ142" s="153">
        <f t="shared" si="247"/>
        <v>0</v>
      </c>
      <c r="BL142" s="13">
        <f t="shared" si="210"/>
        <v>0</v>
      </c>
      <c r="BM142" s="10">
        <f t="shared" ref="BM142:BW142" si="248">0-IF(AND($F142&gt;BL$5,$F142 &lt;=BM$5), $G142, 0)</f>
        <v>0</v>
      </c>
      <c r="BN142" s="10">
        <f t="shared" si="248"/>
        <v>0</v>
      </c>
      <c r="BO142" s="10">
        <f t="shared" si="248"/>
        <v>0</v>
      </c>
      <c r="BP142" s="10">
        <f t="shared" si="248"/>
        <v>0</v>
      </c>
      <c r="BQ142" s="10">
        <f t="shared" si="248"/>
        <v>0</v>
      </c>
      <c r="BR142" s="10">
        <f t="shared" si="248"/>
        <v>0</v>
      </c>
      <c r="BS142" s="10">
        <f t="shared" si="248"/>
        <v>0</v>
      </c>
      <c r="BT142" s="10">
        <f t="shared" si="248"/>
        <v>0</v>
      </c>
      <c r="BU142" s="10">
        <f t="shared" si="248"/>
        <v>0</v>
      </c>
      <c r="BV142" s="10">
        <f t="shared" si="248"/>
        <v>0</v>
      </c>
      <c r="BW142" s="10">
        <f t="shared" si="248"/>
        <v>0</v>
      </c>
      <c r="BY142" s="12"/>
      <c r="BZ142" s="363">
        <f t="shared" si="212"/>
        <v>0</v>
      </c>
      <c r="CA142" s="12"/>
      <c r="CB142" s="7">
        <f t="shared" si="213"/>
        <v>0</v>
      </c>
      <c r="CC142" s="7">
        <f>IF(AND(G142&lt;&gt;0, _xlfn.IFNA(MATCH(E142, Parameters!$D$45:$D$49, 0), "N/A")="N/A"), 1, 0)</f>
        <v>0</v>
      </c>
      <c r="CE142" s="7">
        <f>IF($F142="", 0, IF(AND($F142&lt;=$BW$5, $F142&gt;=Timeline!$V$8), 0, 1))</f>
        <v>0</v>
      </c>
      <c r="CI142" s="7">
        <f t="shared" si="224"/>
        <v>0</v>
      </c>
      <c r="CJ142" s="7">
        <f t="shared" si="225"/>
        <v>0</v>
      </c>
      <c r="CK142" s="7">
        <f t="shared" si="226"/>
        <v>0</v>
      </c>
      <c r="CL142" s="42"/>
      <c r="CM142" s="352">
        <f t="shared" si="214"/>
        <v>0</v>
      </c>
      <c r="CN142" s="352">
        <f t="shared" si="215"/>
        <v>0</v>
      </c>
      <c r="CO142" s="352">
        <f t="shared" si="216"/>
        <v>0</v>
      </c>
      <c r="CP142" s="352">
        <f t="shared" si="217"/>
        <v>0</v>
      </c>
      <c r="CQ142" s="352">
        <f t="shared" si="218"/>
        <v>0</v>
      </c>
      <c r="CR142" s="352">
        <f t="shared" si="219"/>
        <v>0</v>
      </c>
      <c r="CS142" s="352">
        <f t="shared" si="220"/>
        <v>0</v>
      </c>
      <c r="CT142" s="42"/>
      <c r="CU142" s="67">
        <v>0</v>
      </c>
      <c r="CV142" s="67">
        <v>0</v>
      </c>
      <c r="EX142" s="13" t="str">
        <f t="shared" si="221"/>
        <v>Disposals DS13</v>
      </c>
    </row>
    <row r="143" spans="1:154" x14ac:dyDescent="0.25">
      <c r="A143" s="362" cm="1">
        <f t="array" aca="1" ref="A143" ca="1">HYPERLINK(CONCATENATE("#",CELL("address",IF(SUM($CA143:$CL143)=0,A143,INDEX($CA143:$CL143,MATCH(1,$CA143:$CL143,0))))),SUM($CA143:$CL143))</f>
        <v>0</v>
      </c>
      <c r="C143" s="521" t="s">
        <v>1144</v>
      </c>
      <c r="D143" s="147"/>
      <c r="E143" s="146"/>
      <c r="F143" s="150"/>
      <c r="G143" s="147"/>
      <c r="H143" s="144"/>
      <c r="T143" s="25"/>
      <c r="U143" s="25"/>
      <c r="V143" s="13">
        <f>0-IF(AND($F143&gt;=Timeline!$V$8,$F143 &lt;=V$5), $G143, 0)</f>
        <v>0</v>
      </c>
      <c r="W143" s="153">
        <f t="shared" si="207"/>
        <v>0</v>
      </c>
      <c r="X143" s="153">
        <f t="shared" si="207"/>
        <v>0</v>
      </c>
      <c r="Y143" s="153">
        <f t="shared" si="207"/>
        <v>0</v>
      </c>
      <c r="Z143" s="335"/>
      <c r="AA143" s="13">
        <f t="shared" si="208"/>
        <v>0</v>
      </c>
      <c r="AB143" s="153">
        <f t="shared" ref="AB143:BJ143" si="249">0-IF(AND($F143&gt;AA$5,$F143 &lt;=AB$5), $G143, 0)</f>
        <v>0</v>
      </c>
      <c r="AC143" s="153">
        <f t="shared" si="249"/>
        <v>0</v>
      </c>
      <c r="AD143" s="153">
        <f t="shared" si="249"/>
        <v>0</v>
      </c>
      <c r="AE143" s="153">
        <f t="shared" si="249"/>
        <v>0</v>
      </c>
      <c r="AF143" s="153">
        <f t="shared" si="249"/>
        <v>0</v>
      </c>
      <c r="AG143" s="153">
        <f t="shared" si="249"/>
        <v>0</v>
      </c>
      <c r="AH143" s="153">
        <f t="shared" si="249"/>
        <v>0</v>
      </c>
      <c r="AI143" s="153">
        <f t="shared" si="249"/>
        <v>0</v>
      </c>
      <c r="AJ143" s="153">
        <f t="shared" si="249"/>
        <v>0</v>
      </c>
      <c r="AK143" s="153">
        <f t="shared" si="249"/>
        <v>0</v>
      </c>
      <c r="AL143" s="153">
        <f t="shared" si="249"/>
        <v>0</v>
      </c>
      <c r="AM143" s="153">
        <f t="shared" si="249"/>
        <v>0</v>
      </c>
      <c r="AN143" s="153">
        <f t="shared" si="249"/>
        <v>0</v>
      </c>
      <c r="AO143" s="153">
        <f t="shared" si="249"/>
        <v>0</v>
      </c>
      <c r="AP143" s="153">
        <f t="shared" si="249"/>
        <v>0</v>
      </c>
      <c r="AQ143" s="153">
        <f t="shared" si="249"/>
        <v>0</v>
      </c>
      <c r="AR143" s="153">
        <f t="shared" si="249"/>
        <v>0</v>
      </c>
      <c r="AS143" s="153">
        <f t="shared" si="249"/>
        <v>0</v>
      </c>
      <c r="AT143" s="153">
        <f t="shared" si="249"/>
        <v>0</v>
      </c>
      <c r="AU143" s="153">
        <f t="shared" si="249"/>
        <v>0</v>
      </c>
      <c r="AV143" s="153">
        <f t="shared" si="249"/>
        <v>0</v>
      </c>
      <c r="AW143" s="153">
        <f t="shared" si="249"/>
        <v>0</v>
      </c>
      <c r="AX143" s="153">
        <f t="shared" si="249"/>
        <v>0</v>
      </c>
      <c r="AY143" s="153">
        <f t="shared" si="249"/>
        <v>0</v>
      </c>
      <c r="AZ143" s="153">
        <f t="shared" si="249"/>
        <v>0</v>
      </c>
      <c r="BA143" s="153">
        <f t="shared" si="249"/>
        <v>0</v>
      </c>
      <c r="BB143" s="153">
        <f t="shared" si="249"/>
        <v>0</v>
      </c>
      <c r="BC143" s="153">
        <f t="shared" si="249"/>
        <v>0</v>
      </c>
      <c r="BD143" s="153">
        <f t="shared" si="249"/>
        <v>0</v>
      </c>
      <c r="BE143" s="153">
        <f t="shared" si="249"/>
        <v>0</v>
      </c>
      <c r="BF143" s="153">
        <f t="shared" si="249"/>
        <v>0</v>
      </c>
      <c r="BG143" s="153">
        <f t="shared" si="249"/>
        <v>0</v>
      </c>
      <c r="BH143" s="153">
        <f t="shared" si="249"/>
        <v>0</v>
      </c>
      <c r="BI143" s="153">
        <f t="shared" si="249"/>
        <v>0</v>
      </c>
      <c r="BJ143" s="153">
        <f t="shared" si="249"/>
        <v>0</v>
      </c>
      <c r="BL143" s="13">
        <f t="shared" si="210"/>
        <v>0</v>
      </c>
      <c r="BM143" s="10">
        <f t="shared" ref="BM143:BW143" si="250">0-IF(AND($F143&gt;BL$5,$F143 &lt;=BM$5), $G143, 0)</f>
        <v>0</v>
      </c>
      <c r="BN143" s="10">
        <f t="shared" si="250"/>
        <v>0</v>
      </c>
      <c r="BO143" s="10">
        <f t="shared" si="250"/>
        <v>0</v>
      </c>
      <c r="BP143" s="10">
        <f t="shared" si="250"/>
        <v>0</v>
      </c>
      <c r="BQ143" s="10">
        <f t="shared" si="250"/>
        <v>0</v>
      </c>
      <c r="BR143" s="10">
        <f t="shared" si="250"/>
        <v>0</v>
      </c>
      <c r="BS143" s="10">
        <f t="shared" si="250"/>
        <v>0</v>
      </c>
      <c r="BT143" s="10">
        <f t="shared" si="250"/>
        <v>0</v>
      </c>
      <c r="BU143" s="10">
        <f t="shared" si="250"/>
        <v>0</v>
      </c>
      <c r="BV143" s="10">
        <f t="shared" si="250"/>
        <v>0</v>
      </c>
      <c r="BW143" s="10">
        <f t="shared" si="250"/>
        <v>0</v>
      </c>
      <c r="BY143" s="12"/>
      <c r="BZ143" s="363">
        <f t="shared" si="212"/>
        <v>0</v>
      </c>
      <c r="CA143" s="12"/>
      <c r="CB143" s="7">
        <f t="shared" si="213"/>
        <v>0</v>
      </c>
      <c r="CC143" s="7">
        <f>IF(AND(G143&lt;&gt;0, _xlfn.IFNA(MATCH(E143, Parameters!$D$45:$D$49, 0), "N/A")="N/A"), 1, 0)</f>
        <v>0</v>
      </c>
      <c r="CE143" s="7">
        <f>IF($F143="", 0, IF(AND($F143&lt;=$BW$5, $F143&gt;=Timeline!$V$8), 0, 1))</f>
        <v>0</v>
      </c>
      <c r="CI143" s="7">
        <f t="shared" si="224"/>
        <v>0</v>
      </c>
      <c r="CJ143" s="7">
        <f t="shared" si="225"/>
        <v>0</v>
      </c>
      <c r="CK143" s="7">
        <f t="shared" si="226"/>
        <v>0</v>
      </c>
      <c r="CL143" s="42"/>
      <c r="CM143" s="352">
        <f t="shared" si="214"/>
        <v>0</v>
      </c>
      <c r="CN143" s="352">
        <f t="shared" si="215"/>
        <v>0</v>
      </c>
      <c r="CO143" s="352">
        <f t="shared" si="216"/>
        <v>0</v>
      </c>
      <c r="CP143" s="352">
        <f t="shared" si="217"/>
        <v>0</v>
      </c>
      <c r="CQ143" s="352">
        <f t="shared" si="218"/>
        <v>0</v>
      </c>
      <c r="CR143" s="352">
        <f t="shared" si="219"/>
        <v>0</v>
      </c>
      <c r="CS143" s="352">
        <f t="shared" si="220"/>
        <v>0</v>
      </c>
      <c r="CT143" s="42"/>
      <c r="CU143" s="67">
        <v>0</v>
      </c>
      <c r="CV143" s="67">
        <v>0</v>
      </c>
      <c r="EX143" s="13" t="str">
        <f t="shared" si="221"/>
        <v>Disposals DS14</v>
      </c>
    </row>
    <row r="144" spans="1:154" x14ac:dyDescent="0.25">
      <c r="A144" s="362" cm="1">
        <f t="array" aca="1" ref="A144" ca="1">HYPERLINK(CONCATENATE("#",CELL("address",IF(SUM($CA144:$CL144)=0,A144,INDEX($CA144:$CL144,MATCH(1,$CA144:$CL144,0))))),SUM($CA144:$CL144))</f>
        <v>0</v>
      </c>
      <c r="C144" s="521" t="s">
        <v>1145</v>
      </c>
      <c r="D144" s="147"/>
      <c r="E144" s="146"/>
      <c r="F144" s="143"/>
      <c r="G144" s="147"/>
      <c r="H144" s="144"/>
      <c r="T144" s="25"/>
      <c r="U144" s="25"/>
      <c r="V144" s="13">
        <f>0-IF(AND($F144&gt;=Timeline!$V$8,$F144 &lt;=V$5), $G144, 0)</f>
        <v>0</v>
      </c>
      <c r="W144" s="10">
        <f t="shared" si="207"/>
        <v>0</v>
      </c>
      <c r="X144" s="10">
        <f t="shared" si="207"/>
        <v>0</v>
      </c>
      <c r="Y144" s="10">
        <f t="shared" si="207"/>
        <v>0</v>
      </c>
      <c r="Z144" s="335"/>
      <c r="AA144" s="13">
        <f t="shared" si="208"/>
        <v>0</v>
      </c>
      <c r="AB144" s="10">
        <f t="shared" ref="AB144:BJ144" si="251">0-IF(AND($F144&gt;AA$5,$F144 &lt;=AB$5), $G144, 0)</f>
        <v>0</v>
      </c>
      <c r="AC144" s="10">
        <f t="shared" si="251"/>
        <v>0</v>
      </c>
      <c r="AD144" s="10">
        <f t="shared" si="251"/>
        <v>0</v>
      </c>
      <c r="AE144" s="10">
        <f t="shared" si="251"/>
        <v>0</v>
      </c>
      <c r="AF144" s="10">
        <f t="shared" si="251"/>
        <v>0</v>
      </c>
      <c r="AG144" s="10">
        <f t="shared" si="251"/>
        <v>0</v>
      </c>
      <c r="AH144" s="10">
        <f t="shared" si="251"/>
        <v>0</v>
      </c>
      <c r="AI144" s="10">
        <f t="shared" si="251"/>
        <v>0</v>
      </c>
      <c r="AJ144" s="10">
        <f t="shared" si="251"/>
        <v>0</v>
      </c>
      <c r="AK144" s="10">
        <f t="shared" si="251"/>
        <v>0</v>
      </c>
      <c r="AL144" s="10">
        <f t="shared" si="251"/>
        <v>0</v>
      </c>
      <c r="AM144" s="10">
        <f t="shared" si="251"/>
        <v>0</v>
      </c>
      <c r="AN144" s="10">
        <f t="shared" si="251"/>
        <v>0</v>
      </c>
      <c r="AO144" s="10">
        <f t="shared" si="251"/>
        <v>0</v>
      </c>
      <c r="AP144" s="10">
        <f t="shared" si="251"/>
        <v>0</v>
      </c>
      <c r="AQ144" s="10">
        <f t="shared" si="251"/>
        <v>0</v>
      </c>
      <c r="AR144" s="10">
        <f t="shared" si="251"/>
        <v>0</v>
      </c>
      <c r="AS144" s="10">
        <f t="shared" si="251"/>
        <v>0</v>
      </c>
      <c r="AT144" s="10">
        <f t="shared" si="251"/>
        <v>0</v>
      </c>
      <c r="AU144" s="10">
        <f t="shared" si="251"/>
        <v>0</v>
      </c>
      <c r="AV144" s="10">
        <f t="shared" si="251"/>
        <v>0</v>
      </c>
      <c r="AW144" s="10">
        <f t="shared" si="251"/>
        <v>0</v>
      </c>
      <c r="AX144" s="10">
        <f t="shared" si="251"/>
        <v>0</v>
      </c>
      <c r="AY144" s="10">
        <f t="shared" si="251"/>
        <v>0</v>
      </c>
      <c r="AZ144" s="10">
        <f t="shared" si="251"/>
        <v>0</v>
      </c>
      <c r="BA144" s="10">
        <f t="shared" si="251"/>
        <v>0</v>
      </c>
      <c r="BB144" s="10">
        <f t="shared" si="251"/>
        <v>0</v>
      </c>
      <c r="BC144" s="10">
        <f t="shared" si="251"/>
        <v>0</v>
      </c>
      <c r="BD144" s="10">
        <f t="shared" si="251"/>
        <v>0</v>
      </c>
      <c r="BE144" s="10">
        <f t="shared" si="251"/>
        <v>0</v>
      </c>
      <c r="BF144" s="10">
        <f t="shared" si="251"/>
        <v>0</v>
      </c>
      <c r="BG144" s="10">
        <f t="shared" si="251"/>
        <v>0</v>
      </c>
      <c r="BH144" s="10">
        <f t="shared" si="251"/>
        <v>0</v>
      </c>
      <c r="BI144" s="10">
        <f t="shared" si="251"/>
        <v>0</v>
      </c>
      <c r="BJ144" s="10">
        <f t="shared" si="251"/>
        <v>0</v>
      </c>
      <c r="BL144" s="13">
        <f t="shared" si="210"/>
        <v>0</v>
      </c>
      <c r="BM144" s="10">
        <f t="shared" ref="BM144:BW144" si="252">0-IF(AND($F144&gt;BL$5,$F144 &lt;=BM$5), $G144, 0)</f>
        <v>0</v>
      </c>
      <c r="BN144" s="10">
        <f t="shared" si="252"/>
        <v>0</v>
      </c>
      <c r="BO144" s="10">
        <f t="shared" si="252"/>
        <v>0</v>
      </c>
      <c r="BP144" s="10">
        <f t="shared" si="252"/>
        <v>0</v>
      </c>
      <c r="BQ144" s="10">
        <f t="shared" si="252"/>
        <v>0</v>
      </c>
      <c r="BR144" s="10">
        <f t="shared" si="252"/>
        <v>0</v>
      </c>
      <c r="BS144" s="10">
        <f t="shared" si="252"/>
        <v>0</v>
      </c>
      <c r="BT144" s="10">
        <f t="shared" si="252"/>
        <v>0</v>
      </c>
      <c r="BU144" s="10">
        <f t="shared" si="252"/>
        <v>0</v>
      </c>
      <c r="BV144" s="10">
        <f t="shared" si="252"/>
        <v>0</v>
      </c>
      <c r="BW144" s="10">
        <f t="shared" si="252"/>
        <v>0</v>
      </c>
      <c r="BY144" s="12"/>
      <c r="BZ144" s="363">
        <f t="shared" si="212"/>
        <v>0</v>
      </c>
      <c r="CA144" s="12"/>
      <c r="CB144" s="7">
        <f t="shared" si="213"/>
        <v>0</v>
      </c>
      <c r="CC144" s="7">
        <f>IF(AND(G144&lt;&gt;0, _xlfn.IFNA(MATCH(E144, Parameters!$D$45:$D$49, 0), "N/A")="N/A"), 1, 0)</f>
        <v>0</v>
      </c>
      <c r="CE144" s="7">
        <f>IF($F144="", 0, IF(AND($F144&lt;=$BW$5, $F144&gt;=Timeline!$V$8), 0, 1))</f>
        <v>0</v>
      </c>
      <c r="CI144" s="7">
        <f t="shared" si="224"/>
        <v>0</v>
      </c>
      <c r="CJ144" s="7">
        <f t="shared" si="225"/>
        <v>0</v>
      </c>
      <c r="CK144" s="7">
        <f t="shared" si="226"/>
        <v>0</v>
      </c>
      <c r="CL144" s="42"/>
      <c r="CM144" s="352">
        <f t="shared" si="214"/>
        <v>0</v>
      </c>
      <c r="CN144" s="352">
        <f t="shared" si="215"/>
        <v>0</v>
      </c>
      <c r="CO144" s="352">
        <f t="shared" si="216"/>
        <v>0</v>
      </c>
      <c r="CP144" s="352">
        <f t="shared" si="217"/>
        <v>0</v>
      </c>
      <c r="CQ144" s="352">
        <f t="shared" si="218"/>
        <v>0</v>
      </c>
      <c r="CR144" s="352">
        <f t="shared" si="219"/>
        <v>0</v>
      </c>
      <c r="CS144" s="352">
        <f t="shared" si="220"/>
        <v>0</v>
      </c>
      <c r="CT144" s="42"/>
      <c r="CU144" s="67">
        <v>0</v>
      </c>
      <c r="CV144" s="67">
        <v>0</v>
      </c>
      <c r="EX144" s="13" t="str">
        <f t="shared" si="221"/>
        <v>Disposals DS15</v>
      </c>
    </row>
    <row r="145" spans="1:154" x14ac:dyDescent="0.25">
      <c r="A145" s="362" cm="1">
        <f t="array" aca="1" ref="A145" ca="1">HYPERLINK(CONCATENATE("#",CELL("address",IF(SUM($CA145:$CL145)=0,A145,INDEX($CA145:$CL145,MATCH(1,$CA145:$CL145,0))))),SUM($CA145:$CL145))</f>
        <v>0</v>
      </c>
      <c r="C145" s="410"/>
      <c r="D145" s="5" t="s">
        <v>383</v>
      </c>
      <c r="E145" s="5" t="str">
        <f>Parameters!$D$45</f>
        <v>Land &amp; Buildings</v>
      </c>
      <c r="I145" s="116"/>
      <c r="T145" s="25"/>
      <c r="U145" s="25"/>
      <c r="V145" s="13">
        <f>SUMIFS(V130:V144, $E130:$E144, $E145)</f>
        <v>0</v>
      </c>
      <c r="W145" s="13">
        <f>SUMIFS(W130:W144, $E130:$E144, $E145)</f>
        <v>0</v>
      </c>
      <c r="X145" s="13">
        <f>SUMIFS(X130:X144, $E130:$E144, $E145)</f>
        <v>0</v>
      </c>
      <c r="Y145" s="13">
        <f>SUMIFS(Y130:Y144, $E130:$E144, $E145)</f>
        <v>0</v>
      </c>
      <c r="Z145" s="335"/>
      <c r="AA145" s="13">
        <f t="shared" ref="AA145:BJ145" si="253">SUMIFS(AA130:AA144, $E130:$E144, $E145)</f>
        <v>0</v>
      </c>
      <c r="AB145" s="13">
        <f t="shared" si="253"/>
        <v>0</v>
      </c>
      <c r="AC145" s="13">
        <f t="shared" si="253"/>
        <v>0</v>
      </c>
      <c r="AD145" s="13">
        <f t="shared" si="253"/>
        <v>0</v>
      </c>
      <c r="AE145" s="13">
        <f t="shared" si="253"/>
        <v>0</v>
      </c>
      <c r="AF145" s="13">
        <f t="shared" si="253"/>
        <v>0</v>
      </c>
      <c r="AG145" s="13">
        <f t="shared" si="253"/>
        <v>0</v>
      </c>
      <c r="AH145" s="13">
        <f t="shared" si="253"/>
        <v>0</v>
      </c>
      <c r="AI145" s="13">
        <f t="shared" si="253"/>
        <v>0</v>
      </c>
      <c r="AJ145" s="13">
        <f t="shared" si="253"/>
        <v>0</v>
      </c>
      <c r="AK145" s="13">
        <f t="shared" si="253"/>
        <v>0</v>
      </c>
      <c r="AL145" s="13">
        <f t="shared" si="253"/>
        <v>0</v>
      </c>
      <c r="AM145" s="13">
        <f t="shared" si="253"/>
        <v>0</v>
      </c>
      <c r="AN145" s="13">
        <f t="shared" si="253"/>
        <v>0</v>
      </c>
      <c r="AO145" s="13">
        <f t="shared" si="253"/>
        <v>0</v>
      </c>
      <c r="AP145" s="13">
        <f t="shared" si="253"/>
        <v>0</v>
      </c>
      <c r="AQ145" s="13">
        <f t="shared" si="253"/>
        <v>0</v>
      </c>
      <c r="AR145" s="13">
        <f t="shared" si="253"/>
        <v>0</v>
      </c>
      <c r="AS145" s="13">
        <f t="shared" si="253"/>
        <v>0</v>
      </c>
      <c r="AT145" s="13">
        <f t="shared" si="253"/>
        <v>0</v>
      </c>
      <c r="AU145" s="13">
        <f t="shared" si="253"/>
        <v>0</v>
      </c>
      <c r="AV145" s="13">
        <f t="shared" si="253"/>
        <v>0</v>
      </c>
      <c r="AW145" s="13">
        <f t="shared" si="253"/>
        <v>0</v>
      </c>
      <c r="AX145" s="13">
        <f t="shared" si="253"/>
        <v>0</v>
      </c>
      <c r="AY145" s="13">
        <f t="shared" si="253"/>
        <v>0</v>
      </c>
      <c r="AZ145" s="13">
        <f t="shared" si="253"/>
        <v>0</v>
      </c>
      <c r="BA145" s="13">
        <f t="shared" si="253"/>
        <v>0</v>
      </c>
      <c r="BB145" s="13">
        <f t="shared" si="253"/>
        <v>0</v>
      </c>
      <c r="BC145" s="13">
        <f t="shared" si="253"/>
        <v>0</v>
      </c>
      <c r="BD145" s="13">
        <f t="shared" si="253"/>
        <v>0</v>
      </c>
      <c r="BE145" s="13">
        <f t="shared" si="253"/>
        <v>0</v>
      </c>
      <c r="BF145" s="13">
        <f t="shared" si="253"/>
        <v>0</v>
      </c>
      <c r="BG145" s="13">
        <f t="shared" si="253"/>
        <v>0</v>
      </c>
      <c r="BH145" s="13">
        <f t="shared" si="253"/>
        <v>0</v>
      </c>
      <c r="BI145" s="13">
        <f t="shared" si="253"/>
        <v>0</v>
      </c>
      <c r="BJ145" s="13">
        <f t="shared" si="253"/>
        <v>0</v>
      </c>
      <c r="BL145" s="13">
        <f t="shared" ref="BL145:BW145" si="254">SUMIFS(BL130:BL144, $E130:$E144, $E145)</f>
        <v>0</v>
      </c>
      <c r="BM145" s="13">
        <f t="shared" si="254"/>
        <v>0</v>
      </c>
      <c r="BN145" s="13">
        <f t="shared" si="254"/>
        <v>0</v>
      </c>
      <c r="BO145" s="13">
        <f t="shared" si="254"/>
        <v>0</v>
      </c>
      <c r="BP145" s="13">
        <f t="shared" si="254"/>
        <v>0</v>
      </c>
      <c r="BQ145" s="13">
        <f t="shared" si="254"/>
        <v>0</v>
      </c>
      <c r="BR145" s="13">
        <f t="shared" si="254"/>
        <v>0</v>
      </c>
      <c r="BS145" s="13">
        <f t="shared" si="254"/>
        <v>0</v>
      </c>
      <c r="BT145" s="13">
        <f t="shared" si="254"/>
        <v>0</v>
      </c>
      <c r="BU145" s="13">
        <f t="shared" si="254"/>
        <v>0</v>
      </c>
      <c r="BV145" s="13">
        <f t="shared" si="254"/>
        <v>0</v>
      </c>
      <c r="BW145" s="13">
        <f t="shared" si="254"/>
        <v>0</v>
      </c>
      <c r="BY145" s="12"/>
      <c r="BZ145" s="363">
        <f t="shared" si="212"/>
        <v>0</v>
      </c>
      <c r="CA145" s="12"/>
      <c r="CI145" s="7">
        <f t="shared" si="224"/>
        <v>0</v>
      </c>
      <c r="CJ145" s="7">
        <f t="shared" si="225"/>
        <v>0</v>
      </c>
      <c r="CK145" s="7">
        <f t="shared" si="226"/>
        <v>0</v>
      </c>
      <c r="CL145" s="42"/>
      <c r="CM145" s="352">
        <f t="shared" si="214"/>
        <v>0</v>
      </c>
      <c r="CN145" s="352">
        <f t="shared" si="215"/>
        <v>0</v>
      </c>
      <c r="CO145" s="352">
        <f t="shared" si="216"/>
        <v>0</v>
      </c>
      <c r="CP145" s="352">
        <f t="shared" si="217"/>
        <v>0</v>
      </c>
      <c r="CQ145" s="352">
        <f t="shared" si="218"/>
        <v>0</v>
      </c>
      <c r="CR145" s="352">
        <f t="shared" si="219"/>
        <v>0</v>
      </c>
      <c r="CS145" s="352">
        <f t="shared" si="220"/>
        <v>0</v>
      </c>
      <c r="CT145" s="42"/>
      <c r="CU145" s="67">
        <v>0</v>
      </c>
      <c r="CV145" s="67">
        <v>0</v>
      </c>
      <c r="EX145" s="10" t="str">
        <f t="shared" ref="EX145:EX200" si="255">IF($C145="","",$D145)</f>
        <v/>
      </c>
    </row>
    <row r="146" spans="1:154" x14ac:dyDescent="0.25">
      <c r="A146" s="362" cm="1">
        <f t="array" aca="1" ref="A146" ca="1">HYPERLINK(CONCATENATE("#",CELL("address",IF(SUM($CA146:$CL146)=0,A146,INDEX($CA146:$CL146,MATCH(1,$CA146:$CL146,0))))),SUM($CA146:$CL146))</f>
        <v>0</v>
      </c>
      <c r="C146" s="410"/>
      <c r="D146" s="5" t="s">
        <v>384</v>
      </c>
      <c r="E146" s="5" t="str">
        <f>Parameters!$D$46</f>
        <v>Equipment</v>
      </c>
      <c r="I146" s="116"/>
      <c r="T146" s="25"/>
      <c r="U146" s="25"/>
      <c r="V146" s="13">
        <f>SUMIFS(V130:V144, $E130:$E144, $E146)</f>
        <v>0</v>
      </c>
      <c r="W146" s="13">
        <f>SUMIFS(W130:W144, $E130:$E144, $E146)</f>
        <v>0</v>
      </c>
      <c r="X146" s="13">
        <f>SUMIFS(X130:X144, $E130:$E144, $E146)</f>
        <v>0</v>
      </c>
      <c r="Y146" s="13">
        <f>SUMIFS(Y130:Y144, $E130:$E144, $E146)</f>
        <v>0</v>
      </c>
      <c r="Z146" s="335"/>
      <c r="AA146" s="13">
        <f t="shared" ref="AA146:BJ146" si="256">SUMIFS(AA130:AA144, $E130:$E144, $E146)</f>
        <v>0</v>
      </c>
      <c r="AB146" s="13">
        <f t="shared" si="256"/>
        <v>0</v>
      </c>
      <c r="AC146" s="13">
        <f t="shared" si="256"/>
        <v>0</v>
      </c>
      <c r="AD146" s="13">
        <f t="shared" si="256"/>
        <v>0</v>
      </c>
      <c r="AE146" s="13">
        <f t="shared" si="256"/>
        <v>0</v>
      </c>
      <c r="AF146" s="13">
        <f t="shared" si="256"/>
        <v>0</v>
      </c>
      <c r="AG146" s="13">
        <f t="shared" si="256"/>
        <v>0</v>
      </c>
      <c r="AH146" s="13">
        <f t="shared" si="256"/>
        <v>0</v>
      </c>
      <c r="AI146" s="13">
        <f t="shared" si="256"/>
        <v>0</v>
      </c>
      <c r="AJ146" s="13">
        <f t="shared" si="256"/>
        <v>0</v>
      </c>
      <c r="AK146" s="13">
        <f t="shared" si="256"/>
        <v>0</v>
      </c>
      <c r="AL146" s="13">
        <f t="shared" si="256"/>
        <v>0</v>
      </c>
      <c r="AM146" s="13">
        <f t="shared" si="256"/>
        <v>0</v>
      </c>
      <c r="AN146" s="13">
        <f t="shared" si="256"/>
        <v>0</v>
      </c>
      <c r="AO146" s="13">
        <f t="shared" si="256"/>
        <v>0</v>
      </c>
      <c r="AP146" s="13">
        <f t="shared" si="256"/>
        <v>0</v>
      </c>
      <c r="AQ146" s="13">
        <f t="shared" si="256"/>
        <v>0</v>
      </c>
      <c r="AR146" s="13">
        <f t="shared" si="256"/>
        <v>0</v>
      </c>
      <c r="AS146" s="13">
        <f t="shared" si="256"/>
        <v>0</v>
      </c>
      <c r="AT146" s="13">
        <f t="shared" si="256"/>
        <v>0</v>
      </c>
      <c r="AU146" s="13">
        <f t="shared" si="256"/>
        <v>0</v>
      </c>
      <c r="AV146" s="13">
        <f t="shared" si="256"/>
        <v>0</v>
      </c>
      <c r="AW146" s="13">
        <f t="shared" si="256"/>
        <v>0</v>
      </c>
      <c r="AX146" s="13">
        <f t="shared" si="256"/>
        <v>0</v>
      </c>
      <c r="AY146" s="13">
        <f t="shared" si="256"/>
        <v>0</v>
      </c>
      <c r="AZ146" s="13">
        <f t="shared" si="256"/>
        <v>0</v>
      </c>
      <c r="BA146" s="13">
        <f t="shared" si="256"/>
        <v>0</v>
      </c>
      <c r="BB146" s="13">
        <f t="shared" si="256"/>
        <v>0</v>
      </c>
      <c r="BC146" s="13">
        <f t="shared" si="256"/>
        <v>0</v>
      </c>
      <c r="BD146" s="13">
        <f t="shared" si="256"/>
        <v>0</v>
      </c>
      <c r="BE146" s="13">
        <f t="shared" si="256"/>
        <v>0</v>
      </c>
      <c r="BF146" s="13">
        <f t="shared" si="256"/>
        <v>0</v>
      </c>
      <c r="BG146" s="13">
        <f t="shared" si="256"/>
        <v>0</v>
      </c>
      <c r="BH146" s="13">
        <f t="shared" si="256"/>
        <v>0</v>
      </c>
      <c r="BI146" s="13">
        <f t="shared" si="256"/>
        <v>0</v>
      </c>
      <c r="BJ146" s="13">
        <f t="shared" si="256"/>
        <v>0</v>
      </c>
      <c r="BL146" s="13">
        <f t="shared" ref="BL146:BW146" si="257">SUMIFS(BL130:BL144, $E130:$E144, $E146)</f>
        <v>0</v>
      </c>
      <c r="BM146" s="13">
        <f t="shared" si="257"/>
        <v>0</v>
      </c>
      <c r="BN146" s="13">
        <f t="shared" si="257"/>
        <v>0</v>
      </c>
      <c r="BO146" s="13">
        <f t="shared" si="257"/>
        <v>0</v>
      </c>
      <c r="BP146" s="13">
        <f t="shared" si="257"/>
        <v>0</v>
      </c>
      <c r="BQ146" s="13">
        <f t="shared" si="257"/>
        <v>0</v>
      </c>
      <c r="BR146" s="13">
        <f t="shared" si="257"/>
        <v>0</v>
      </c>
      <c r="BS146" s="13">
        <f t="shared" si="257"/>
        <v>0</v>
      </c>
      <c r="BT146" s="13">
        <f t="shared" si="257"/>
        <v>0</v>
      </c>
      <c r="BU146" s="13">
        <f t="shared" si="257"/>
        <v>0</v>
      </c>
      <c r="BV146" s="13">
        <f t="shared" si="257"/>
        <v>0</v>
      </c>
      <c r="BW146" s="13">
        <f t="shared" si="257"/>
        <v>0</v>
      </c>
      <c r="BY146" s="12"/>
      <c r="BZ146" s="363">
        <f t="shared" si="212"/>
        <v>0</v>
      </c>
      <c r="CA146" s="12"/>
      <c r="CI146" s="7">
        <f t="shared" si="224"/>
        <v>0</v>
      </c>
      <c r="CJ146" s="7">
        <f t="shared" si="225"/>
        <v>0</v>
      </c>
      <c r="CK146" s="7">
        <f t="shared" si="226"/>
        <v>0</v>
      </c>
      <c r="CL146" s="42"/>
      <c r="CM146" s="352">
        <f t="shared" si="214"/>
        <v>0</v>
      </c>
      <c r="CN146" s="352">
        <f t="shared" si="215"/>
        <v>0</v>
      </c>
      <c r="CO146" s="352">
        <f t="shared" si="216"/>
        <v>0</v>
      </c>
      <c r="CP146" s="352">
        <f t="shared" si="217"/>
        <v>0</v>
      </c>
      <c r="CQ146" s="352">
        <f t="shared" si="218"/>
        <v>0</v>
      </c>
      <c r="CR146" s="352">
        <f t="shared" si="219"/>
        <v>0</v>
      </c>
      <c r="CS146" s="352">
        <f t="shared" si="220"/>
        <v>0</v>
      </c>
      <c r="CT146" s="42"/>
      <c r="CU146" s="67">
        <v>0</v>
      </c>
      <c r="CV146" s="67">
        <v>0</v>
      </c>
      <c r="EX146" s="10" t="str">
        <f t="shared" si="255"/>
        <v/>
      </c>
    </row>
    <row r="147" spans="1:154" x14ac:dyDescent="0.25">
      <c r="A147" s="362" cm="1">
        <f t="array" aca="1" ref="A147" ca="1">HYPERLINK(CONCATENATE("#",CELL("address",IF(SUM($CA147:$CL147)=0,A147,INDEX($CA147:$CL147,MATCH(1,$CA147:$CL147,0))))),SUM($CA147:$CL147))</f>
        <v>0</v>
      </c>
      <c r="C147" s="410"/>
      <c r="D147" s="5" t="s">
        <v>398</v>
      </c>
      <c r="E147" s="5" t="str">
        <f>Parameters!$D$47</f>
        <v>Investments</v>
      </c>
      <c r="I147" s="116"/>
      <c r="T147" s="25"/>
      <c r="U147" s="25"/>
      <c r="V147" s="13">
        <f>SUMIFS(V130:V144, $E130:$E144, $E147)</f>
        <v>0</v>
      </c>
      <c r="W147" s="13">
        <f>SUMIFS(W130:W144, $E130:$E144, $E147)</f>
        <v>0</v>
      </c>
      <c r="X147" s="13">
        <f>SUMIFS(X130:X144, $E130:$E144, $E147)</f>
        <v>0</v>
      </c>
      <c r="Y147" s="13">
        <f>SUMIFS(Y130:Y144, $E130:$E144, $E147)</f>
        <v>0</v>
      </c>
      <c r="Z147" s="335"/>
      <c r="AA147" s="13">
        <f t="shared" ref="AA147:BJ147" si="258">SUMIFS(AA130:AA144, $E130:$E144, $E147)</f>
        <v>0</v>
      </c>
      <c r="AB147" s="13">
        <f t="shared" si="258"/>
        <v>0</v>
      </c>
      <c r="AC147" s="13">
        <f t="shared" si="258"/>
        <v>0</v>
      </c>
      <c r="AD147" s="13">
        <f t="shared" si="258"/>
        <v>0</v>
      </c>
      <c r="AE147" s="13">
        <f t="shared" si="258"/>
        <v>0</v>
      </c>
      <c r="AF147" s="13">
        <f t="shared" si="258"/>
        <v>0</v>
      </c>
      <c r="AG147" s="13">
        <f t="shared" si="258"/>
        <v>0</v>
      </c>
      <c r="AH147" s="13">
        <f t="shared" si="258"/>
        <v>0</v>
      </c>
      <c r="AI147" s="13">
        <f t="shared" si="258"/>
        <v>0</v>
      </c>
      <c r="AJ147" s="13">
        <f t="shared" si="258"/>
        <v>0</v>
      </c>
      <c r="AK147" s="13">
        <f t="shared" si="258"/>
        <v>0</v>
      </c>
      <c r="AL147" s="13">
        <f t="shared" si="258"/>
        <v>0</v>
      </c>
      <c r="AM147" s="13">
        <f t="shared" si="258"/>
        <v>0</v>
      </c>
      <c r="AN147" s="13">
        <f t="shared" si="258"/>
        <v>0</v>
      </c>
      <c r="AO147" s="13">
        <f t="shared" si="258"/>
        <v>0</v>
      </c>
      <c r="AP147" s="13">
        <f t="shared" si="258"/>
        <v>0</v>
      </c>
      <c r="AQ147" s="13">
        <f t="shared" si="258"/>
        <v>0</v>
      </c>
      <c r="AR147" s="13">
        <f t="shared" si="258"/>
        <v>0</v>
      </c>
      <c r="AS147" s="13">
        <f t="shared" si="258"/>
        <v>0</v>
      </c>
      <c r="AT147" s="13">
        <f t="shared" si="258"/>
        <v>0</v>
      </c>
      <c r="AU147" s="13">
        <f t="shared" si="258"/>
        <v>0</v>
      </c>
      <c r="AV147" s="13">
        <f t="shared" si="258"/>
        <v>0</v>
      </c>
      <c r="AW147" s="13">
        <f t="shared" si="258"/>
        <v>0</v>
      </c>
      <c r="AX147" s="13">
        <f t="shared" si="258"/>
        <v>0</v>
      </c>
      <c r="AY147" s="13">
        <f t="shared" si="258"/>
        <v>0</v>
      </c>
      <c r="AZ147" s="13">
        <f t="shared" si="258"/>
        <v>0</v>
      </c>
      <c r="BA147" s="13">
        <f t="shared" si="258"/>
        <v>0</v>
      </c>
      <c r="BB147" s="13">
        <f t="shared" si="258"/>
        <v>0</v>
      </c>
      <c r="BC147" s="13">
        <f t="shared" si="258"/>
        <v>0</v>
      </c>
      <c r="BD147" s="13">
        <f t="shared" si="258"/>
        <v>0</v>
      </c>
      <c r="BE147" s="13">
        <f t="shared" si="258"/>
        <v>0</v>
      </c>
      <c r="BF147" s="13">
        <f t="shared" si="258"/>
        <v>0</v>
      </c>
      <c r="BG147" s="13">
        <f t="shared" si="258"/>
        <v>0</v>
      </c>
      <c r="BH147" s="13">
        <f t="shared" si="258"/>
        <v>0</v>
      </c>
      <c r="BI147" s="13">
        <f t="shared" si="258"/>
        <v>0</v>
      </c>
      <c r="BJ147" s="13">
        <f t="shared" si="258"/>
        <v>0</v>
      </c>
      <c r="BL147" s="13">
        <f t="shared" ref="BL147:BW147" si="259">SUMIFS(BL130:BL144, $E130:$E144, $E147)</f>
        <v>0</v>
      </c>
      <c r="BM147" s="13">
        <f t="shared" si="259"/>
        <v>0</v>
      </c>
      <c r="BN147" s="13">
        <f t="shared" si="259"/>
        <v>0</v>
      </c>
      <c r="BO147" s="13">
        <f t="shared" si="259"/>
        <v>0</v>
      </c>
      <c r="BP147" s="13">
        <f t="shared" si="259"/>
        <v>0</v>
      </c>
      <c r="BQ147" s="13">
        <f t="shared" si="259"/>
        <v>0</v>
      </c>
      <c r="BR147" s="13">
        <f t="shared" si="259"/>
        <v>0</v>
      </c>
      <c r="BS147" s="13">
        <f t="shared" si="259"/>
        <v>0</v>
      </c>
      <c r="BT147" s="13">
        <f t="shared" si="259"/>
        <v>0</v>
      </c>
      <c r="BU147" s="13">
        <f t="shared" si="259"/>
        <v>0</v>
      </c>
      <c r="BV147" s="13">
        <f t="shared" si="259"/>
        <v>0</v>
      </c>
      <c r="BW147" s="13">
        <f t="shared" si="259"/>
        <v>0</v>
      </c>
      <c r="BY147" s="12"/>
      <c r="BZ147" s="363">
        <f t="shared" si="212"/>
        <v>0</v>
      </c>
      <c r="CA147" s="12"/>
      <c r="CI147" s="7">
        <f t="shared" si="224"/>
        <v>0</v>
      </c>
      <c r="CJ147" s="7">
        <f t="shared" si="225"/>
        <v>0</v>
      </c>
      <c r="CK147" s="7">
        <f t="shared" si="226"/>
        <v>0</v>
      </c>
      <c r="CL147" s="42"/>
      <c r="CM147" s="352">
        <f t="shared" si="214"/>
        <v>0</v>
      </c>
      <c r="CN147" s="352">
        <f t="shared" si="215"/>
        <v>0</v>
      </c>
      <c r="CO147" s="352">
        <f t="shared" si="216"/>
        <v>0</v>
      </c>
      <c r="CP147" s="352">
        <f t="shared" si="217"/>
        <v>0</v>
      </c>
      <c r="CQ147" s="352">
        <f t="shared" si="218"/>
        <v>0</v>
      </c>
      <c r="CR147" s="352">
        <f t="shared" si="219"/>
        <v>0</v>
      </c>
      <c r="CS147" s="352">
        <f t="shared" si="220"/>
        <v>0</v>
      </c>
      <c r="CT147" s="42"/>
      <c r="CU147" s="67">
        <v>0</v>
      </c>
      <c r="CV147" s="67">
        <v>0</v>
      </c>
      <c r="EX147" s="10" t="str">
        <f t="shared" si="255"/>
        <v/>
      </c>
    </row>
    <row r="148" spans="1:154" x14ac:dyDescent="0.25">
      <c r="A148" s="362" cm="1">
        <f t="array" aca="1" ref="A148" ca="1">HYPERLINK(CONCATENATE("#",CELL("address",IF(SUM($CA148:$CL148)=0,A148,INDEX($CA148:$CL148,MATCH(1,$CA148:$CL148,0))))),SUM($CA148:$CL148))</f>
        <v>0</v>
      </c>
      <c r="C148" s="410"/>
      <c r="D148" s="5" t="s">
        <v>399</v>
      </c>
      <c r="E148" s="5" t="str">
        <f>Parameters!$D$48</f>
        <v>Other NCA</v>
      </c>
      <c r="I148" s="116"/>
      <c r="T148" s="25"/>
      <c r="U148" s="25"/>
      <c r="V148" s="13">
        <f>SUMIFS(V130:V144, $E130:$E144, $E148)</f>
        <v>0</v>
      </c>
      <c r="W148" s="13">
        <f>SUMIFS(W130:W144, $E130:$E144, $E148)</f>
        <v>0</v>
      </c>
      <c r="X148" s="13">
        <f>SUMIFS(X130:X144, $E130:$E144, $E148)</f>
        <v>0</v>
      </c>
      <c r="Y148" s="13">
        <f>SUMIFS(Y130:Y144, $E130:$E144, $E148)</f>
        <v>0</v>
      </c>
      <c r="Z148" s="335"/>
      <c r="AA148" s="13">
        <f t="shared" ref="AA148:BJ148" si="260">SUMIFS(AA130:AA144, $E130:$E144, $E148)</f>
        <v>0</v>
      </c>
      <c r="AB148" s="13">
        <f t="shared" si="260"/>
        <v>0</v>
      </c>
      <c r="AC148" s="13">
        <f t="shared" si="260"/>
        <v>0</v>
      </c>
      <c r="AD148" s="13">
        <f t="shared" si="260"/>
        <v>0</v>
      </c>
      <c r="AE148" s="13">
        <f t="shared" si="260"/>
        <v>0</v>
      </c>
      <c r="AF148" s="13">
        <f t="shared" si="260"/>
        <v>0</v>
      </c>
      <c r="AG148" s="13">
        <f t="shared" si="260"/>
        <v>0</v>
      </c>
      <c r="AH148" s="13">
        <f t="shared" si="260"/>
        <v>0</v>
      </c>
      <c r="AI148" s="13">
        <f t="shared" si="260"/>
        <v>0</v>
      </c>
      <c r="AJ148" s="13">
        <f t="shared" si="260"/>
        <v>0</v>
      </c>
      <c r="AK148" s="13">
        <f t="shared" si="260"/>
        <v>0</v>
      </c>
      <c r="AL148" s="13">
        <f t="shared" si="260"/>
        <v>0</v>
      </c>
      <c r="AM148" s="13">
        <f t="shared" si="260"/>
        <v>0</v>
      </c>
      <c r="AN148" s="13">
        <f t="shared" si="260"/>
        <v>0</v>
      </c>
      <c r="AO148" s="13">
        <f t="shared" si="260"/>
        <v>0</v>
      </c>
      <c r="AP148" s="13">
        <f t="shared" si="260"/>
        <v>0</v>
      </c>
      <c r="AQ148" s="13">
        <f t="shared" si="260"/>
        <v>0</v>
      </c>
      <c r="AR148" s="13">
        <f t="shared" si="260"/>
        <v>0</v>
      </c>
      <c r="AS148" s="13">
        <f t="shared" si="260"/>
        <v>0</v>
      </c>
      <c r="AT148" s="13">
        <f t="shared" si="260"/>
        <v>0</v>
      </c>
      <c r="AU148" s="13">
        <f t="shared" si="260"/>
        <v>0</v>
      </c>
      <c r="AV148" s="13">
        <f t="shared" si="260"/>
        <v>0</v>
      </c>
      <c r="AW148" s="13">
        <f t="shared" si="260"/>
        <v>0</v>
      </c>
      <c r="AX148" s="13">
        <f t="shared" si="260"/>
        <v>0</v>
      </c>
      <c r="AY148" s="13">
        <f t="shared" si="260"/>
        <v>0</v>
      </c>
      <c r="AZ148" s="13">
        <f t="shared" si="260"/>
        <v>0</v>
      </c>
      <c r="BA148" s="13">
        <f t="shared" si="260"/>
        <v>0</v>
      </c>
      <c r="BB148" s="13">
        <f t="shared" si="260"/>
        <v>0</v>
      </c>
      <c r="BC148" s="13">
        <f t="shared" si="260"/>
        <v>0</v>
      </c>
      <c r="BD148" s="13">
        <f t="shared" si="260"/>
        <v>0</v>
      </c>
      <c r="BE148" s="13">
        <f t="shared" si="260"/>
        <v>0</v>
      </c>
      <c r="BF148" s="13">
        <f t="shared" si="260"/>
        <v>0</v>
      </c>
      <c r="BG148" s="13">
        <f t="shared" si="260"/>
        <v>0</v>
      </c>
      <c r="BH148" s="13">
        <f t="shared" si="260"/>
        <v>0</v>
      </c>
      <c r="BI148" s="13">
        <f t="shared" si="260"/>
        <v>0</v>
      </c>
      <c r="BJ148" s="13">
        <f t="shared" si="260"/>
        <v>0</v>
      </c>
      <c r="BL148" s="13">
        <f t="shared" ref="BL148:BW148" si="261">SUMIFS(BL130:BL144, $E130:$E144, $E148)</f>
        <v>0</v>
      </c>
      <c r="BM148" s="13">
        <f t="shared" si="261"/>
        <v>0</v>
      </c>
      <c r="BN148" s="13">
        <f t="shared" si="261"/>
        <v>0</v>
      </c>
      <c r="BO148" s="13">
        <f t="shared" si="261"/>
        <v>0</v>
      </c>
      <c r="BP148" s="13">
        <f t="shared" si="261"/>
        <v>0</v>
      </c>
      <c r="BQ148" s="13">
        <f t="shared" si="261"/>
        <v>0</v>
      </c>
      <c r="BR148" s="13">
        <f t="shared" si="261"/>
        <v>0</v>
      </c>
      <c r="BS148" s="13">
        <f t="shared" si="261"/>
        <v>0</v>
      </c>
      <c r="BT148" s="13">
        <f t="shared" si="261"/>
        <v>0</v>
      </c>
      <c r="BU148" s="13">
        <f t="shared" si="261"/>
        <v>0</v>
      </c>
      <c r="BV148" s="13">
        <f t="shared" si="261"/>
        <v>0</v>
      </c>
      <c r="BW148" s="13">
        <f t="shared" si="261"/>
        <v>0</v>
      </c>
      <c r="BY148" s="12"/>
      <c r="BZ148" s="363">
        <f t="shared" si="212"/>
        <v>0</v>
      </c>
      <c r="CA148" s="12"/>
      <c r="CI148" s="7">
        <f t="shared" si="224"/>
        <v>0</v>
      </c>
      <c r="CJ148" s="7">
        <f t="shared" si="225"/>
        <v>0</v>
      </c>
      <c r="CK148" s="7">
        <f t="shared" si="226"/>
        <v>0</v>
      </c>
      <c r="CL148" s="42"/>
      <c r="CM148" s="352">
        <f t="shared" si="214"/>
        <v>0</v>
      </c>
      <c r="CN148" s="352">
        <f t="shared" si="215"/>
        <v>0</v>
      </c>
      <c r="CO148" s="352">
        <f t="shared" si="216"/>
        <v>0</v>
      </c>
      <c r="CP148" s="352">
        <f t="shared" si="217"/>
        <v>0</v>
      </c>
      <c r="CQ148" s="352">
        <f t="shared" si="218"/>
        <v>0</v>
      </c>
      <c r="CR148" s="352">
        <f t="shared" si="219"/>
        <v>0</v>
      </c>
      <c r="CS148" s="352">
        <f t="shared" si="220"/>
        <v>0</v>
      </c>
      <c r="CT148" s="42"/>
      <c r="CU148" s="67">
        <v>0</v>
      </c>
      <c r="CV148" s="67">
        <v>0</v>
      </c>
      <c r="EX148" s="10" t="str">
        <f t="shared" si="255"/>
        <v/>
      </c>
    </row>
    <row r="149" spans="1:154" s="319" customFormat="1" x14ac:dyDescent="0.25">
      <c r="A149" s="362" cm="1">
        <f t="array" aca="1" ref="A149" ca="1">HYPERLINK(CONCATENATE("#",CELL("address",IF(SUM($CA149:$CL149)=0,A149,INDEX($CA149:$CL149,MATCH(1,$CA149:$CL149,0))))),SUM($CA149:$CL149))</f>
        <v>0</v>
      </c>
      <c r="C149" s="410"/>
      <c r="D149" s="5" t="s">
        <v>838</v>
      </c>
      <c r="E149" s="5" t="str">
        <f>Parameters!$D$49</f>
        <v xml:space="preserve">Assets Held for Sale </v>
      </c>
      <c r="I149" s="116"/>
      <c r="T149" s="25"/>
      <c r="U149" s="25"/>
      <c r="V149" s="13">
        <f>SUMIFS(V130:V144, $E130:$E144, $E149)</f>
        <v>0</v>
      </c>
      <c r="W149" s="13">
        <f>SUMIFS(W130:W144, $E130:$E144, $E149)</f>
        <v>0</v>
      </c>
      <c r="X149" s="13">
        <f>SUMIFS(X130:X144, $E130:$E144, $E149)</f>
        <v>0</v>
      </c>
      <c r="Y149" s="13">
        <f>SUMIFS(Y130:Y144, $E130:$E144, $E149)</f>
        <v>0</v>
      </c>
      <c r="Z149" s="335"/>
      <c r="AA149" s="13">
        <f t="shared" ref="AA149:BJ149" si="262">SUMIFS(AA130:AA144, $E130:$E144, $E149)</f>
        <v>0</v>
      </c>
      <c r="AB149" s="13">
        <f t="shared" si="262"/>
        <v>0</v>
      </c>
      <c r="AC149" s="13">
        <f t="shared" si="262"/>
        <v>0</v>
      </c>
      <c r="AD149" s="13">
        <f t="shared" si="262"/>
        <v>0</v>
      </c>
      <c r="AE149" s="13">
        <f t="shared" si="262"/>
        <v>0</v>
      </c>
      <c r="AF149" s="13">
        <f t="shared" si="262"/>
        <v>0</v>
      </c>
      <c r="AG149" s="13">
        <f t="shared" si="262"/>
        <v>0</v>
      </c>
      <c r="AH149" s="13">
        <f t="shared" si="262"/>
        <v>0</v>
      </c>
      <c r="AI149" s="13">
        <f t="shared" si="262"/>
        <v>0</v>
      </c>
      <c r="AJ149" s="13">
        <f t="shared" si="262"/>
        <v>0</v>
      </c>
      <c r="AK149" s="13">
        <f t="shared" si="262"/>
        <v>0</v>
      </c>
      <c r="AL149" s="13">
        <f t="shared" si="262"/>
        <v>0</v>
      </c>
      <c r="AM149" s="13">
        <f t="shared" si="262"/>
        <v>0</v>
      </c>
      <c r="AN149" s="13">
        <f t="shared" si="262"/>
        <v>0</v>
      </c>
      <c r="AO149" s="13">
        <f t="shared" si="262"/>
        <v>0</v>
      </c>
      <c r="AP149" s="13">
        <f t="shared" si="262"/>
        <v>0</v>
      </c>
      <c r="AQ149" s="13">
        <f t="shared" si="262"/>
        <v>0</v>
      </c>
      <c r="AR149" s="13">
        <f t="shared" si="262"/>
        <v>0</v>
      </c>
      <c r="AS149" s="13">
        <f t="shared" si="262"/>
        <v>0</v>
      </c>
      <c r="AT149" s="13">
        <f t="shared" si="262"/>
        <v>0</v>
      </c>
      <c r="AU149" s="13">
        <f t="shared" si="262"/>
        <v>0</v>
      </c>
      <c r="AV149" s="13">
        <f t="shared" si="262"/>
        <v>0</v>
      </c>
      <c r="AW149" s="13">
        <f t="shared" si="262"/>
        <v>0</v>
      </c>
      <c r="AX149" s="13">
        <f t="shared" si="262"/>
        <v>0</v>
      </c>
      <c r="AY149" s="13">
        <f t="shared" si="262"/>
        <v>0</v>
      </c>
      <c r="AZ149" s="13">
        <f t="shared" si="262"/>
        <v>0</v>
      </c>
      <c r="BA149" s="13">
        <f t="shared" si="262"/>
        <v>0</v>
      </c>
      <c r="BB149" s="13">
        <f t="shared" si="262"/>
        <v>0</v>
      </c>
      <c r="BC149" s="13">
        <f t="shared" si="262"/>
        <v>0</v>
      </c>
      <c r="BD149" s="13">
        <f t="shared" si="262"/>
        <v>0</v>
      </c>
      <c r="BE149" s="13">
        <f t="shared" si="262"/>
        <v>0</v>
      </c>
      <c r="BF149" s="13">
        <f t="shared" si="262"/>
        <v>0</v>
      </c>
      <c r="BG149" s="13">
        <f t="shared" si="262"/>
        <v>0</v>
      </c>
      <c r="BH149" s="13">
        <f t="shared" si="262"/>
        <v>0</v>
      </c>
      <c r="BI149" s="13">
        <f t="shared" si="262"/>
        <v>0</v>
      </c>
      <c r="BJ149" s="13">
        <f t="shared" si="262"/>
        <v>0</v>
      </c>
      <c r="BL149" s="13">
        <f t="shared" ref="BL149:BW149" si="263">SUMIFS(BL130:BL144, $E130:$E144, $E149)</f>
        <v>0</v>
      </c>
      <c r="BM149" s="13">
        <f t="shared" si="263"/>
        <v>0</v>
      </c>
      <c r="BN149" s="13">
        <f t="shared" si="263"/>
        <v>0</v>
      </c>
      <c r="BO149" s="13">
        <f t="shared" si="263"/>
        <v>0</v>
      </c>
      <c r="BP149" s="13">
        <f t="shared" si="263"/>
        <v>0</v>
      </c>
      <c r="BQ149" s="13">
        <f t="shared" si="263"/>
        <v>0</v>
      </c>
      <c r="BR149" s="13">
        <f t="shared" si="263"/>
        <v>0</v>
      </c>
      <c r="BS149" s="13">
        <f t="shared" si="263"/>
        <v>0</v>
      </c>
      <c r="BT149" s="13">
        <f t="shared" si="263"/>
        <v>0</v>
      </c>
      <c r="BU149" s="13">
        <f t="shared" si="263"/>
        <v>0</v>
      </c>
      <c r="BV149" s="13">
        <f t="shared" si="263"/>
        <v>0</v>
      </c>
      <c r="BW149" s="13">
        <f t="shared" si="263"/>
        <v>0</v>
      </c>
      <c r="BY149" s="12"/>
      <c r="BZ149" s="363">
        <f t="shared" si="212"/>
        <v>0</v>
      </c>
      <c r="CA149" s="12"/>
      <c r="CE149" s="335"/>
      <c r="CG149" s="335"/>
      <c r="CI149" s="7">
        <f t="shared" si="224"/>
        <v>0</v>
      </c>
      <c r="CJ149" s="7">
        <f t="shared" si="225"/>
        <v>0</v>
      </c>
      <c r="CK149" s="7">
        <f t="shared" si="226"/>
        <v>0</v>
      </c>
      <c r="CL149" s="42"/>
      <c r="CM149" s="352">
        <f t="shared" si="214"/>
        <v>0</v>
      </c>
      <c r="CN149" s="352">
        <f t="shared" si="215"/>
        <v>0</v>
      </c>
      <c r="CO149" s="352">
        <f t="shared" si="216"/>
        <v>0</v>
      </c>
      <c r="CP149" s="352">
        <f t="shared" si="217"/>
        <v>0</v>
      </c>
      <c r="CQ149" s="352">
        <f t="shared" si="218"/>
        <v>0</v>
      </c>
      <c r="CR149" s="352">
        <f t="shared" si="219"/>
        <v>0</v>
      </c>
      <c r="CS149" s="352">
        <f t="shared" si="220"/>
        <v>0</v>
      </c>
      <c r="CT149" s="42"/>
      <c r="CU149" s="319">
        <v>0</v>
      </c>
      <c r="CV149" s="319">
        <v>0</v>
      </c>
      <c r="EX149" s="10" t="str">
        <f t="shared" si="255"/>
        <v/>
      </c>
    </row>
    <row r="150" spans="1:154" x14ac:dyDescent="0.25">
      <c r="A150" s="362" cm="1">
        <f t="array" aca="1" ref="A150" ca="1">HYPERLINK(CONCATENATE("#",CELL("address",IF(SUM($CA150:$CL150)=0,A150,INDEX($CA150:$CL150,MATCH(1,$CA150:$CL150,0))))),SUM($CA150:$CL150))</f>
        <v>0</v>
      </c>
      <c r="C150" s="410"/>
      <c r="D150" s="5" t="s">
        <v>396</v>
      </c>
      <c r="E150" s="5" t="s">
        <v>391</v>
      </c>
      <c r="I150" s="116"/>
      <c r="S150" s="319"/>
      <c r="T150" s="25"/>
      <c r="U150" s="25"/>
      <c r="V150" s="13">
        <f>SUM(V145:V149)</f>
        <v>0</v>
      </c>
      <c r="W150" s="13">
        <f>SUM(W145:W149)</f>
        <v>0</v>
      </c>
      <c r="X150" s="13">
        <f t="shared" ref="X150:Y150" si="264">SUM(X145:X149)</f>
        <v>0</v>
      </c>
      <c r="Y150" s="13">
        <f t="shared" si="264"/>
        <v>0</v>
      </c>
      <c r="Z150" s="335"/>
      <c r="AA150" s="13">
        <f t="shared" ref="AA150" si="265">SUM(AA145:AA149)</f>
        <v>0</v>
      </c>
      <c r="AB150" s="13">
        <f t="shared" ref="AB150" si="266">SUM(AB145:AB149)</f>
        <v>0</v>
      </c>
      <c r="AC150" s="13">
        <f t="shared" ref="AC150" si="267">SUM(AC145:AC149)</f>
        <v>0</v>
      </c>
      <c r="AD150" s="13">
        <f t="shared" ref="AD150:AE150" si="268">SUM(AD145:AD149)</f>
        <v>0</v>
      </c>
      <c r="AE150" s="13">
        <f t="shared" si="268"/>
        <v>0</v>
      </c>
      <c r="AF150" s="13">
        <f t="shared" ref="AF150" si="269">SUM(AF145:AF149)</f>
        <v>0</v>
      </c>
      <c r="AG150" s="13">
        <f t="shared" ref="AG150" si="270">SUM(AG145:AG149)</f>
        <v>0</v>
      </c>
      <c r="AH150" s="13">
        <f t="shared" ref="AH150:AI150" si="271">SUM(AH145:AH149)</f>
        <v>0</v>
      </c>
      <c r="AI150" s="13">
        <f t="shared" si="271"/>
        <v>0</v>
      </c>
      <c r="AJ150" s="13">
        <f t="shared" ref="AJ150" si="272">SUM(AJ145:AJ149)</f>
        <v>0</v>
      </c>
      <c r="AK150" s="13">
        <f>SUM(AK145:AK149)</f>
        <v>0</v>
      </c>
      <c r="AL150" s="13">
        <f t="shared" ref="AL150:AM150" si="273">SUM(AL145:AL149)</f>
        <v>0</v>
      </c>
      <c r="AM150" s="13">
        <f t="shared" si="273"/>
        <v>0</v>
      </c>
      <c r="AN150" s="13">
        <f t="shared" ref="AN150" si="274">SUM(AN145:AN149)</f>
        <v>0</v>
      </c>
      <c r="AO150" s="13">
        <f t="shared" ref="AO150" si="275">SUM(AO145:AO149)</f>
        <v>0</v>
      </c>
      <c r="AP150" s="13">
        <f t="shared" ref="AP150:AQ150" si="276">SUM(AP145:AP149)</f>
        <v>0</v>
      </c>
      <c r="AQ150" s="13">
        <f t="shared" si="276"/>
        <v>0</v>
      </c>
      <c r="AR150" s="13">
        <f t="shared" ref="AR150" si="277">SUM(AR145:AR149)</f>
        <v>0</v>
      </c>
      <c r="AS150" s="13">
        <f t="shared" ref="AS150" si="278">SUM(AS145:AS149)</f>
        <v>0</v>
      </c>
      <c r="AT150" s="13">
        <f t="shared" ref="AT150:AU150" si="279">SUM(AT145:AT149)</f>
        <v>0</v>
      </c>
      <c r="AU150" s="13">
        <f t="shared" si="279"/>
        <v>0</v>
      </c>
      <c r="AV150" s="13">
        <f t="shared" ref="AV150" si="280">SUM(AV145:AV149)</f>
        <v>0</v>
      </c>
      <c r="AW150" s="13">
        <f t="shared" ref="AW150" si="281">SUM(AW145:AW149)</f>
        <v>0</v>
      </c>
      <c r="AX150" s="13">
        <f t="shared" ref="AX150:AY150" si="282">SUM(AX145:AX149)</f>
        <v>0</v>
      </c>
      <c r="AY150" s="13">
        <f t="shared" si="282"/>
        <v>0</v>
      </c>
      <c r="AZ150" s="13">
        <f t="shared" ref="AZ150" si="283">SUM(AZ145:AZ149)</f>
        <v>0</v>
      </c>
      <c r="BA150" s="13">
        <f t="shared" ref="BA150" si="284">SUM(BA145:BA149)</f>
        <v>0</v>
      </c>
      <c r="BB150" s="13">
        <f t="shared" ref="BB150:BC150" si="285">SUM(BB145:BB149)</f>
        <v>0</v>
      </c>
      <c r="BC150" s="13">
        <f t="shared" si="285"/>
        <v>0</v>
      </c>
      <c r="BD150" s="13">
        <f t="shared" ref="BD150" si="286">SUM(BD145:BD149)</f>
        <v>0</v>
      </c>
      <c r="BE150" s="13">
        <f t="shared" ref="BE150" si="287">SUM(BE145:BE149)</f>
        <v>0</v>
      </c>
      <c r="BF150" s="13">
        <f t="shared" ref="BF150:BG150" si="288">SUM(BF145:BF149)</f>
        <v>0</v>
      </c>
      <c r="BG150" s="13">
        <f t="shared" si="288"/>
        <v>0</v>
      </c>
      <c r="BH150" s="13">
        <f t="shared" ref="BH150" si="289">SUM(BH145:BH149)</f>
        <v>0</v>
      </c>
      <c r="BI150" s="13">
        <f t="shared" ref="BI150" si="290">SUM(BI145:BI149)</f>
        <v>0</v>
      </c>
      <c r="BJ150" s="13">
        <f t="shared" ref="BJ150" si="291">SUM(BJ145:BJ149)</f>
        <v>0</v>
      </c>
      <c r="BK150" s="319"/>
      <c r="BL150" s="13">
        <f t="shared" ref="BL150" si="292">SUM(BL145:BL149)</f>
        <v>0</v>
      </c>
      <c r="BM150" s="13">
        <f t="shared" ref="BM150" si="293">SUM(BM145:BM149)</f>
        <v>0</v>
      </c>
      <c r="BN150" s="13">
        <f t="shared" ref="BN150:BO150" si="294">SUM(BN145:BN149)</f>
        <v>0</v>
      </c>
      <c r="BO150" s="13">
        <f t="shared" si="294"/>
        <v>0</v>
      </c>
      <c r="BP150" s="13">
        <f t="shared" ref="BP150" si="295">SUM(BP145:BP149)</f>
        <v>0</v>
      </c>
      <c r="BQ150" s="13">
        <f t="shared" ref="BQ150" si="296">SUM(BQ145:BQ149)</f>
        <v>0</v>
      </c>
      <c r="BR150" s="13">
        <f t="shared" ref="BR150:BS150" si="297">SUM(BR145:BR149)</f>
        <v>0</v>
      </c>
      <c r="BS150" s="13">
        <f t="shared" si="297"/>
        <v>0</v>
      </c>
      <c r="BT150" s="13">
        <f t="shared" ref="BT150" si="298">SUM(BT145:BT149)</f>
        <v>0</v>
      </c>
      <c r="BU150" s="13">
        <f t="shared" ref="BU150" si="299">SUM(BU145:BU149)</f>
        <v>0</v>
      </c>
      <c r="BV150" s="13">
        <f t="shared" ref="BV150:BW150" si="300">SUM(BV145:BV149)</f>
        <v>0</v>
      </c>
      <c r="BW150" s="13">
        <f t="shared" si="300"/>
        <v>0</v>
      </c>
      <c r="BY150" s="12"/>
      <c r="BZ150" s="363">
        <f t="shared" si="212"/>
        <v>0</v>
      </c>
      <c r="CA150" s="12"/>
      <c r="CH150" s="7">
        <f>IF(ROUND(SUM($V150:$BW150)-SUM($V130:$BW144), rounding)=0, 0, 1)</f>
        <v>0</v>
      </c>
      <c r="CI150" s="7">
        <f t="shared" si="224"/>
        <v>0</v>
      </c>
      <c r="CJ150" s="7">
        <f t="shared" si="225"/>
        <v>0</v>
      </c>
      <c r="CK150" s="7">
        <f t="shared" si="226"/>
        <v>0</v>
      </c>
      <c r="CL150" s="42"/>
      <c r="CM150" s="352">
        <f t="shared" si="214"/>
        <v>0</v>
      </c>
      <c r="CN150" s="352">
        <f t="shared" si="215"/>
        <v>0</v>
      </c>
      <c r="CO150" s="352">
        <f t="shared" si="216"/>
        <v>0</v>
      </c>
      <c r="CP150" s="352">
        <f t="shared" si="217"/>
        <v>0</v>
      </c>
      <c r="CQ150" s="352">
        <f t="shared" si="218"/>
        <v>0</v>
      </c>
      <c r="CR150" s="352">
        <f t="shared" si="219"/>
        <v>0</v>
      </c>
      <c r="CS150" s="352">
        <f t="shared" si="220"/>
        <v>0</v>
      </c>
      <c r="CT150" s="42"/>
      <c r="CU150" s="67">
        <v>0</v>
      </c>
      <c r="CV150" s="67">
        <v>0</v>
      </c>
      <c r="EX150" s="10" t="str">
        <f t="shared" si="255"/>
        <v/>
      </c>
    </row>
    <row r="151" spans="1:154" s="319" customFormat="1" ht="6.6" customHeight="1" x14ac:dyDescent="0.25">
      <c r="C151" s="410"/>
      <c r="D151" s="1"/>
      <c r="T151" s="25"/>
      <c r="U151" s="25"/>
      <c r="V151" s="25"/>
      <c r="W151" s="25"/>
      <c r="X151" s="25"/>
      <c r="Y151" s="25"/>
      <c r="Z151" s="33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L151" s="25"/>
      <c r="BM151" s="155"/>
      <c r="BN151" s="25"/>
      <c r="BO151" s="25"/>
      <c r="BP151" s="25"/>
      <c r="BQ151" s="25"/>
      <c r="BR151" s="25"/>
      <c r="BS151" s="25"/>
      <c r="BT151" s="25"/>
      <c r="BU151" s="25"/>
      <c r="BV151" s="25"/>
      <c r="BW151" s="25"/>
      <c r="BY151" s="42"/>
      <c r="BZ151" s="335"/>
      <c r="CA151" s="42"/>
      <c r="CE151" s="335"/>
      <c r="CG151" s="335"/>
      <c r="CI151" s="335"/>
      <c r="CJ151" s="335"/>
      <c r="CK151" s="335"/>
      <c r="CL151" s="42"/>
      <c r="CM151" s="352"/>
      <c r="CN151" s="352"/>
      <c r="CO151" s="352"/>
      <c r="CP151" s="352"/>
      <c r="CQ151" s="352"/>
      <c r="CR151" s="352"/>
      <c r="CS151" s="352"/>
      <c r="CT151" s="42"/>
      <c r="CU151" s="319">
        <v>0</v>
      </c>
      <c r="CV151" s="319">
        <v>0</v>
      </c>
      <c r="EX151" s="10" t="str">
        <f t="shared" si="255"/>
        <v/>
      </c>
    </row>
    <row r="152" spans="1:154" s="319" customFormat="1" ht="14.45" customHeight="1" x14ac:dyDescent="0.25">
      <c r="C152" s="410"/>
      <c r="D152" s="89" t="s">
        <v>859</v>
      </c>
      <c r="G152" s="4"/>
      <c r="T152" s="25"/>
      <c r="U152" s="25"/>
      <c r="V152" s="25"/>
      <c r="W152" s="25"/>
      <c r="X152" s="25"/>
      <c r="Y152" s="25"/>
      <c r="Z152" s="33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L152" s="25"/>
      <c r="BM152" s="155"/>
      <c r="BN152" s="25"/>
      <c r="BO152" s="25"/>
      <c r="BP152" s="25"/>
      <c r="BQ152" s="25"/>
      <c r="BR152" s="25"/>
      <c r="BS152" s="25"/>
      <c r="BT152" s="25"/>
      <c r="BU152" s="25"/>
      <c r="BV152" s="25"/>
      <c r="BW152" s="25"/>
      <c r="BY152" s="42"/>
      <c r="BZ152" s="335"/>
      <c r="CA152" s="42"/>
      <c r="CE152" s="335"/>
      <c r="CG152" s="335"/>
      <c r="CI152" s="335"/>
      <c r="CJ152" s="335"/>
      <c r="CK152" s="335"/>
      <c r="CL152" s="42"/>
      <c r="CM152" s="335"/>
      <c r="CN152" s="335"/>
      <c r="CO152" s="335"/>
      <c r="CP152" s="335"/>
      <c r="CQ152" s="335"/>
      <c r="CR152" s="335"/>
      <c r="CS152" s="335"/>
      <c r="CT152" s="42"/>
      <c r="CU152" s="319">
        <v>0</v>
      </c>
      <c r="CV152" s="319">
        <v>0</v>
      </c>
      <c r="EX152" s="10" t="str">
        <f t="shared" si="255"/>
        <v/>
      </c>
    </row>
    <row r="153" spans="1:154" s="319" customFormat="1" ht="14.85" customHeight="1" x14ac:dyDescent="0.25">
      <c r="C153" s="410"/>
      <c r="D153" s="139" t="s">
        <v>369</v>
      </c>
      <c r="E153" s="5" t="s">
        <v>352</v>
      </c>
      <c r="F153" s="5" t="s">
        <v>372</v>
      </c>
      <c r="G153" s="139" t="s">
        <v>371</v>
      </c>
      <c r="T153" s="25"/>
      <c r="U153" s="25"/>
      <c r="V153" s="25"/>
      <c r="W153" s="25"/>
      <c r="X153" s="25"/>
      <c r="Y153" s="25"/>
      <c r="Z153" s="33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L153" s="25"/>
      <c r="BM153" s="155"/>
      <c r="BN153" s="25"/>
      <c r="BO153" s="25"/>
      <c r="BP153" s="25"/>
      <c r="BQ153" s="25"/>
      <c r="BR153" s="25"/>
      <c r="BS153" s="25"/>
      <c r="BT153" s="25"/>
      <c r="BU153" s="25"/>
      <c r="BV153" s="25"/>
      <c r="BW153" s="25"/>
      <c r="BY153" s="42"/>
      <c r="BZ153" s="335"/>
      <c r="CA153" s="42"/>
      <c r="CE153" s="335"/>
      <c r="CG153" s="335"/>
      <c r="CI153" s="335"/>
      <c r="CJ153" s="335"/>
      <c r="CK153" s="335"/>
      <c r="CL153" s="42"/>
      <c r="CM153" s="335"/>
      <c r="CN153" s="335"/>
      <c r="CO153" s="335"/>
      <c r="CP153" s="335"/>
      <c r="CQ153" s="335"/>
      <c r="CR153" s="335"/>
      <c r="CS153" s="335"/>
      <c r="CT153" s="42"/>
      <c r="CU153" s="319">
        <v>0</v>
      </c>
      <c r="CV153" s="319">
        <v>0</v>
      </c>
      <c r="EX153" s="10" t="str">
        <f t="shared" si="255"/>
        <v/>
      </c>
    </row>
    <row r="154" spans="1:154" s="319" customFormat="1" x14ac:dyDescent="0.25">
      <c r="A154" s="362" cm="1">
        <f t="array" aca="1" ref="A154" ca="1">HYPERLINK(CONCATENATE("#",CELL("address",IF(SUM($CA154:$CL154)=0,A154,INDEX($CA154:$CL154,MATCH(1,$CA154:$CL154,0))))),SUM($CA154:$CL154))</f>
        <v>0</v>
      </c>
      <c r="C154" s="410"/>
      <c r="D154" s="136">
        <f t="shared" ref="D154" si="301">D130</f>
        <v>0</v>
      </c>
      <c r="E154" s="136">
        <f>E130</f>
        <v>0</v>
      </c>
      <c r="F154" s="159" t="str">
        <f>IF(F130="", "",F130)</f>
        <v/>
      </c>
      <c r="G154" s="10">
        <f>H130</f>
        <v>0</v>
      </c>
      <c r="H154" s="319" t="s">
        <v>86</v>
      </c>
      <c r="T154" s="25"/>
      <c r="U154" s="25"/>
      <c r="V154" s="13">
        <f>0-IF(AND($F154&gt;=Timeline!$V$8,$F154 &lt;=V$5), $G154, 0)</f>
        <v>0</v>
      </c>
      <c r="W154" s="10">
        <f t="shared" ref="W154:Y168" si="302">-IF(AND($F154&gt;V$5,$F154 &lt;=W$5), $G154, 0)</f>
        <v>0</v>
      </c>
      <c r="X154" s="10">
        <f t="shared" si="302"/>
        <v>0</v>
      </c>
      <c r="Y154" s="10">
        <f t="shared" si="302"/>
        <v>0</v>
      </c>
      <c r="Z154" s="335"/>
      <c r="AA154" s="13">
        <f t="shared" ref="AA154:AA168" si="303">-IF(AND($F154&gt;V$5,$F154 &lt;=AA$5), $G154, 0)</f>
        <v>0</v>
      </c>
      <c r="AB154" s="10">
        <f t="shared" ref="AB154:BJ154" si="304">-IF(AND($F154&gt;AA$5,$F154 &lt;=AB$5), $G154, 0)</f>
        <v>0</v>
      </c>
      <c r="AC154" s="10">
        <f t="shared" si="304"/>
        <v>0</v>
      </c>
      <c r="AD154" s="10">
        <f t="shared" si="304"/>
        <v>0</v>
      </c>
      <c r="AE154" s="10">
        <f t="shared" si="304"/>
        <v>0</v>
      </c>
      <c r="AF154" s="10">
        <f t="shared" si="304"/>
        <v>0</v>
      </c>
      <c r="AG154" s="10">
        <f t="shared" si="304"/>
        <v>0</v>
      </c>
      <c r="AH154" s="10">
        <f t="shared" si="304"/>
        <v>0</v>
      </c>
      <c r="AI154" s="10">
        <f t="shared" si="304"/>
        <v>0</v>
      </c>
      <c r="AJ154" s="10">
        <f t="shared" si="304"/>
        <v>0</v>
      </c>
      <c r="AK154" s="10">
        <f t="shared" si="304"/>
        <v>0</v>
      </c>
      <c r="AL154" s="10">
        <f t="shared" si="304"/>
        <v>0</v>
      </c>
      <c r="AM154" s="10">
        <f t="shared" si="304"/>
        <v>0</v>
      </c>
      <c r="AN154" s="10">
        <f t="shared" si="304"/>
        <v>0</v>
      </c>
      <c r="AO154" s="10">
        <f t="shared" si="304"/>
        <v>0</v>
      </c>
      <c r="AP154" s="10">
        <f t="shared" si="304"/>
        <v>0</v>
      </c>
      <c r="AQ154" s="10">
        <f t="shared" si="304"/>
        <v>0</v>
      </c>
      <c r="AR154" s="10">
        <f t="shared" si="304"/>
        <v>0</v>
      </c>
      <c r="AS154" s="10">
        <f t="shared" si="304"/>
        <v>0</v>
      </c>
      <c r="AT154" s="10">
        <f t="shared" si="304"/>
        <v>0</v>
      </c>
      <c r="AU154" s="10">
        <f t="shared" si="304"/>
        <v>0</v>
      </c>
      <c r="AV154" s="10">
        <f t="shared" si="304"/>
        <v>0</v>
      </c>
      <c r="AW154" s="10">
        <f t="shared" si="304"/>
        <v>0</v>
      </c>
      <c r="AX154" s="10">
        <f t="shared" si="304"/>
        <v>0</v>
      </c>
      <c r="AY154" s="10">
        <f t="shared" si="304"/>
        <v>0</v>
      </c>
      <c r="AZ154" s="10">
        <f t="shared" si="304"/>
        <v>0</v>
      </c>
      <c r="BA154" s="10">
        <f t="shared" si="304"/>
        <v>0</v>
      </c>
      <c r="BB154" s="10">
        <f t="shared" si="304"/>
        <v>0</v>
      </c>
      <c r="BC154" s="10">
        <f t="shared" si="304"/>
        <v>0</v>
      </c>
      <c r="BD154" s="10">
        <f t="shared" si="304"/>
        <v>0</v>
      </c>
      <c r="BE154" s="10">
        <f t="shared" si="304"/>
        <v>0</v>
      </c>
      <c r="BF154" s="10">
        <f t="shared" si="304"/>
        <v>0</v>
      </c>
      <c r="BG154" s="10">
        <f t="shared" si="304"/>
        <v>0</v>
      </c>
      <c r="BH154" s="10">
        <f t="shared" si="304"/>
        <v>0</v>
      </c>
      <c r="BI154" s="10">
        <f t="shared" si="304"/>
        <v>0</v>
      </c>
      <c r="BJ154" s="10">
        <f t="shared" si="304"/>
        <v>0</v>
      </c>
      <c r="BL154" s="13">
        <f t="shared" ref="BL154:BL168" si="305">V154</f>
        <v>0</v>
      </c>
      <c r="BM154" s="10">
        <f t="shared" ref="BM154:BW154" si="306">-IF(AND($F154&gt;BL$5,$F154 &lt;=BM$5), $G154, 0)</f>
        <v>0</v>
      </c>
      <c r="BN154" s="10">
        <f t="shared" si="306"/>
        <v>0</v>
      </c>
      <c r="BO154" s="10">
        <f t="shared" si="306"/>
        <v>0</v>
      </c>
      <c r="BP154" s="10">
        <f t="shared" si="306"/>
        <v>0</v>
      </c>
      <c r="BQ154" s="10">
        <f t="shared" si="306"/>
        <v>0</v>
      </c>
      <c r="BR154" s="10">
        <f t="shared" si="306"/>
        <v>0</v>
      </c>
      <c r="BS154" s="10">
        <f t="shared" si="306"/>
        <v>0</v>
      </c>
      <c r="BT154" s="10">
        <f t="shared" si="306"/>
        <v>0</v>
      </c>
      <c r="BU154" s="10">
        <f t="shared" si="306"/>
        <v>0</v>
      </c>
      <c r="BV154" s="10">
        <f t="shared" si="306"/>
        <v>0</v>
      </c>
      <c r="BW154" s="10">
        <f t="shared" si="306"/>
        <v>0</v>
      </c>
      <c r="BY154" s="12"/>
      <c r="BZ154" s="363">
        <f t="shared" ref="BZ154:BZ174" si="307">IF($G154&lt;0, 1, 0)</f>
        <v>0</v>
      </c>
      <c r="CA154" s="12"/>
      <c r="CE154" s="335"/>
      <c r="CG154" s="335"/>
      <c r="CI154" s="7">
        <f>IF(SUM($CM154:$CO154)=0, 0, 1)</f>
        <v>0</v>
      </c>
      <c r="CJ154" s="7">
        <f>IF(SUM($CP154:$CR154)=0, 0, 1)</f>
        <v>0</v>
      </c>
      <c r="CK154" s="7">
        <f>IF($CS154=0, 0, 1)</f>
        <v>0</v>
      </c>
      <c r="CL154" s="42"/>
      <c r="CM154" s="352">
        <f t="shared" ref="CM154:CM174" si="308">ROUND(W154-SUMIFS($AA154:$BJ154, $AA$3:$BJ$3, W$3), rounding)</f>
        <v>0</v>
      </c>
      <c r="CN154" s="352">
        <f t="shared" ref="CN154:CN174" si="309">ROUND(X154-SUMIFS($AA154:$BJ154, $AA$3:$BJ$3, X$3), rounding)</f>
        <v>0</v>
      </c>
      <c r="CO154" s="352">
        <f t="shared" ref="CO154:CO174" si="310">ROUND(Y154-SUMIFS($AA154:$BJ154, $AA$3:$BJ$3, Y$3), rounding)</f>
        <v>0</v>
      </c>
      <c r="CP154" s="352">
        <f t="shared" ref="CP154:CP174" si="311">ROUND($BM154-SUMIFS($AA154:$BJ154, $AA$3:$BJ$3, $BM$3), rounding)</f>
        <v>0</v>
      </c>
      <c r="CQ154" s="352">
        <f t="shared" ref="CQ154:CQ174" si="312">ROUND($BN154-SUMIFS($AA154:$BJ154, $AA$3:$BJ$3, $BN$3), rounding)</f>
        <v>0</v>
      </c>
      <c r="CR154" s="352">
        <f t="shared" ref="CR154:CR174" si="313">ROUND($BO154-SUMIFS($AA154:$BJ154, $AA$3:$BJ$3, $BO$3), rounding)</f>
        <v>0</v>
      </c>
      <c r="CS154" s="352">
        <f t="shared" ref="CS154:CS174" si="314">ROUND($V154-$BL154, rounding)</f>
        <v>0</v>
      </c>
      <c r="CT154" s="42"/>
      <c r="CU154" s="319">
        <v>0</v>
      </c>
      <c r="CV154" s="319">
        <v>0</v>
      </c>
      <c r="EX154" s="13" t="str">
        <f t="shared" ref="EX154:EX168" si="315">IF($C154="","",CONCATENATE(D$152, " ",$C154))</f>
        <v/>
      </c>
    </row>
    <row r="155" spans="1:154" s="319" customFormat="1" x14ac:dyDescent="0.25">
      <c r="A155" s="362" cm="1">
        <f t="array" aca="1" ref="A155" ca="1">HYPERLINK(CONCATENATE("#",CELL("address",IF(SUM($CA155:$CL155)=0,A155,INDEX($CA155:$CL155,MATCH(1,$CA155:$CL155,0))))),SUM($CA155:$CL155))</f>
        <v>0</v>
      </c>
      <c r="C155" s="410"/>
      <c r="D155" s="136">
        <f t="shared" ref="D155" si="316">D131</f>
        <v>0</v>
      </c>
      <c r="E155" s="136">
        <f t="shared" ref="E155:E168" si="317">E131</f>
        <v>0</v>
      </c>
      <c r="F155" s="159" t="str">
        <f t="shared" ref="F155:F168" si="318">IF(F131="", "",F131)</f>
        <v/>
      </c>
      <c r="G155" s="10">
        <f t="shared" ref="G155:G168" si="319">H131</f>
        <v>0</v>
      </c>
      <c r="H155" s="319" t="s">
        <v>86</v>
      </c>
      <c r="T155" s="25"/>
      <c r="U155" s="25"/>
      <c r="V155" s="13">
        <f>0-IF(AND($F155&gt;=Timeline!$V$8,$F155 &lt;=V$5), $G155, 0)</f>
        <v>0</v>
      </c>
      <c r="W155" s="10">
        <f t="shared" si="302"/>
        <v>0</v>
      </c>
      <c r="X155" s="10">
        <f t="shared" si="302"/>
        <v>0</v>
      </c>
      <c r="Y155" s="10">
        <f t="shared" si="302"/>
        <v>0</v>
      </c>
      <c r="Z155" s="335"/>
      <c r="AA155" s="13">
        <f t="shared" si="303"/>
        <v>0</v>
      </c>
      <c r="AB155" s="10">
        <f t="shared" ref="AB155:BJ155" si="320">-IF(AND($F155&gt;AA$5,$F155 &lt;=AB$5), $G155, 0)</f>
        <v>0</v>
      </c>
      <c r="AC155" s="10">
        <f t="shared" si="320"/>
        <v>0</v>
      </c>
      <c r="AD155" s="10">
        <f t="shared" si="320"/>
        <v>0</v>
      </c>
      <c r="AE155" s="10">
        <f t="shared" si="320"/>
        <v>0</v>
      </c>
      <c r="AF155" s="10">
        <f t="shared" si="320"/>
        <v>0</v>
      </c>
      <c r="AG155" s="10">
        <f t="shared" si="320"/>
        <v>0</v>
      </c>
      <c r="AH155" s="10">
        <f t="shared" si="320"/>
        <v>0</v>
      </c>
      <c r="AI155" s="10">
        <f t="shared" si="320"/>
        <v>0</v>
      </c>
      <c r="AJ155" s="10">
        <f t="shared" si="320"/>
        <v>0</v>
      </c>
      <c r="AK155" s="10">
        <f t="shared" si="320"/>
        <v>0</v>
      </c>
      <c r="AL155" s="10">
        <f t="shared" si="320"/>
        <v>0</v>
      </c>
      <c r="AM155" s="10">
        <f t="shared" si="320"/>
        <v>0</v>
      </c>
      <c r="AN155" s="10">
        <f t="shared" si="320"/>
        <v>0</v>
      </c>
      <c r="AO155" s="10">
        <f t="shared" si="320"/>
        <v>0</v>
      </c>
      <c r="AP155" s="10">
        <f t="shared" si="320"/>
        <v>0</v>
      </c>
      <c r="AQ155" s="10">
        <f t="shared" si="320"/>
        <v>0</v>
      </c>
      <c r="AR155" s="10">
        <f t="shared" si="320"/>
        <v>0</v>
      </c>
      <c r="AS155" s="10">
        <f t="shared" si="320"/>
        <v>0</v>
      </c>
      <c r="AT155" s="10">
        <f t="shared" si="320"/>
        <v>0</v>
      </c>
      <c r="AU155" s="10">
        <f t="shared" si="320"/>
        <v>0</v>
      </c>
      <c r="AV155" s="10">
        <f t="shared" si="320"/>
        <v>0</v>
      </c>
      <c r="AW155" s="10">
        <f t="shared" si="320"/>
        <v>0</v>
      </c>
      <c r="AX155" s="10">
        <f t="shared" si="320"/>
        <v>0</v>
      </c>
      <c r="AY155" s="10">
        <f t="shared" si="320"/>
        <v>0</v>
      </c>
      <c r="AZ155" s="10">
        <f t="shared" si="320"/>
        <v>0</v>
      </c>
      <c r="BA155" s="10">
        <f t="shared" si="320"/>
        <v>0</v>
      </c>
      <c r="BB155" s="10">
        <f t="shared" si="320"/>
        <v>0</v>
      </c>
      <c r="BC155" s="10">
        <f t="shared" si="320"/>
        <v>0</v>
      </c>
      <c r="BD155" s="10">
        <f t="shared" si="320"/>
        <v>0</v>
      </c>
      <c r="BE155" s="10">
        <f t="shared" si="320"/>
        <v>0</v>
      </c>
      <c r="BF155" s="10">
        <f t="shared" si="320"/>
        <v>0</v>
      </c>
      <c r="BG155" s="10">
        <f t="shared" si="320"/>
        <v>0</v>
      </c>
      <c r="BH155" s="10">
        <f t="shared" si="320"/>
        <v>0</v>
      </c>
      <c r="BI155" s="10">
        <f t="shared" si="320"/>
        <v>0</v>
      </c>
      <c r="BJ155" s="10">
        <f t="shared" si="320"/>
        <v>0</v>
      </c>
      <c r="BL155" s="13">
        <f t="shared" si="305"/>
        <v>0</v>
      </c>
      <c r="BM155" s="10">
        <f t="shared" ref="BM155:BW155" si="321">-IF(AND($F155&gt;BL$5,$F155 &lt;=BM$5), $G155, 0)</f>
        <v>0</v>
      </c>
      <c r="BN155" s="10">
        <f t="shared" si="321"/>
        <v>0</v>
      </c>
      <c r="BO155" s="10">
        <f t="shared" si="321"/>
        <v>0</v>
      </c>
      <c r="BP155" s="10">
        <f t="shared" si="321"/>
        <v>0</v>
      </c>
      <c r="BQ155" s="10">
        <f t="shared" si="321"/>
        <v>0</v>
      </c>
      <c r="BR155" s="10">
        <f t="shared" si="321"/>
        <v>0</v>
      </c>
      <c r="BS155" s="10">
        <f t="shared" si="321"/>
        <v>0</v>
      </c>
      <c r="BT155" s="10">
        <f t="shared" si="321"/>
        <v>0</v>
      </c>
      <c r="BU155" s="10">
        <f t="shared" si="321"/>
        <v>0</v>
      </c>
      <c r="BV155" s="10">
        <f t="shared" si="321"/>
        <v>0</v>
      </c>
      <c r="BW155" s="10">
        <f t="shared" si="321"/>
        <v>0</v>
      </c>
      <c r="BY155" s="12"/>
      <c r="BZ155" s="363">
        <f t="shared" si="307"/>
        <v>0</v>
      </c>
      <c r="CA155" s="12"/>
      <c r="CE155" s="335"/>
      <c r="CG155" s="335"/>
      <c r="CI155" s="7">
        <f t="shared" ref="CI155:CI174" si="322">IF(SUM($CM155:$CO155)=0, 0, 1)</f>
        <v>0</v>
      </c>
      <c r="CJ155" s="7">
        <f t="shared" ref="CJ155:CJ174" si="323">IF(SUM($CP155:$CR155)=0, 0, 1)</f>
        <v>0</v>
      </c>
      <c r="CK155" s="7">
        <f t="shared" ref="CK155:CK174" si="324">IF($CS155=0, 0, 1)</f>
        <v>0</v>
      </c>
      <c r="CL155" s="42"/>
      <c r="CM155" s="352">
        <f t="shared" si="308"/>
        <v>0</v>
      </c>
      <c r="CN155" s="352">
        <f t="shared" si="309"/>
        <v>0</v>
      </c>
      <c r="CO155" s="352">
        <f t="shared" si="310"/>
        <v>0</v>
      </c>
      <c r="CP155" s="352">
        <f t="shared" si="311"/>
        <v>0</v>
      </c>
      <c r="CQ155" s="352">
        <f t="shared" si="312"/>
        <v>0</v>
      </c>
      <c r="CR155" s="352">
        <f t="shared" si="313"/>
        <v>0</v>
      </c>
      <c r="CS155" s="352">
        <f t="shared" si="314"/>
        <v>0</v>
      </c>
      <c r="CT155" s="42"/>
      <c r="CU155" s="319">
        <v>0</v>
      </c>
      <c r="CV155" s="319">
        <v>0</v>
      </c>
      <c r="EX155" s="13" t="str">
        <f t="shared" si="315"/>
        <v/>
      </c>
    </row>
    <row r="156" spans="1:154" s="319" customFormat="1" x14ac:dyDescent="0.25">
      <c r="A156" s="362" cm="1">
        <f t="array" aca="1" ref="A156" ca="1">HYPERLINK(CONCATENATE("#",CELL("address",IF(SUM($CA156:$CL156)=0,A156,INDEX($CA156:$CL156,MATCH(1,$CA156:$CL156,0))))),SUM($CA156:$CL156))</f>
        <v>0</v>
      </c>
      <c r="C156" s="410"/>
      <c r="D156" s="136">
        <f t="shared" ref="D156" si="325">D132</f>
        <v>0</v>
      </c>
      <c r="E156" s="136">
        <f t="shared" si="317"/>
        <v>0</v>
      </c>
      <c r="F156" s="159" t="str">
        <f t="shared" si="318"/>
        <v/>
      </c>
      <c r="G156" s="10">
        <f t="shared" si="319"/>
        <v>0</v>
      </c>
      <c r="H156" s="319" t="s">
        <v>86</v>
      </c>
      <c r="T156" s="25"/>
      <c r="U156" s="25"/>
      <c r="V156" s="13">
        <f>0-IF(AND($F156&gt;=Timeline!$V$8,$F156 &lt;=V$5), $G156, 0)</f>
        <v>0</v>
      </c>
      <c r="W156" s="10">
        <f t="shared" si="302"/>
        <v>0</v>
      </c>
      <c r="X156" s="10">
        <f t="shared" si="302"/>
        <v>0</v>
      </c>
      <c r="Y156" s="10">
        <f t="shared" si="302"/>
        <v>0</v>
      </c>
      <c r="Z156" s="335"/>
      <c r="AA156" s="13">
        <f t="shared" si="303"/>
        <v>0</v>
      </c>
      <c r="AB156" s="10">
        <f t="shared" ref="AB156:BJ156" si="326">-IF(AND($F156&gt;AA$5,$F156 &lt;=AB$5), $G156, 0)</f>
        <v>0</v>
      </c>
      <c r="AC156" s="10">
        <f t="shared" si="326"/>
        <v>0</v>
      </c>
      <c r="AD156" s="10">
        <f t="shared" si="326"/>
        <v>0</v>
      </c>
      <c r="AE156" s="10">
        <f t="shared" si="326"/>
        <v>0</v>
      </c>
      <c r="AF156" s="10">
        <f t="shared" si="326"/>
        <v>0</v>
      </c>
      <c r="AG156" s="10">
        <f t="shared" si="326"/>
        <v>0</v>
      </c>
      <c r="AH156" s="10">
        <f t="shared" si="326"/>
        <v>0</v>
      </c>
      <c r="AI156" s="10">
        <f t="shared" si="326"/>
        <v>0</v>
      </c>
      <c r="AJ156" s="10">
        <f t="shared" si="326"/>
        <v>0</v>
      </c>
      <c r="AK156" s="10">
        <f t="shared" si="326"/>
        <v>0</v>
      </c>
      <c r="AL156" s="10">
        <f t="shared" si="326"/>
        <v>0</v>
      </c>
      <c r="AM156" s="10">
        <f t="shared" si="326"/>
        <v>0</v>
      </c>
      <c r="AN156" s="10">
        <f t="shared" si="326"/>
        <v>0</v>
      </c>
      <c r="AO156" s="10">
        <f t="shared" si="326"/>
        <v>0</v>
      </c>
      <c r="AP156" s="10">
        <f t="shared" si="326"/>
        <v>0</v>
      </c>
      <c r="AQ156" s="10">
        <f t="shared" si="326"/>
        <v>0</v>
      </c>
      <c r="AR156" s="10">
        <f t="shared" si="326"/>
        <v>0</v>
      </c>
      <c r="AS156" s="10">
        <f t="shared" si="326"/>
        <v>0</v>
      </c>
      <c r="AT156" s="10">
        <f t="shared" si="326"/>
        <v>0</v>
      </c>
      <c r="AU156" s="10">
        <f t="shared" si="326"/>
        <v>0</v>
      </c>
      <c r="AV156" s="10">
        <f t="shared" si="326"/>
        <v>0</v>
      </c>
      <c r="AW156" s="10">
        <f t="shared" si="326"/>
        <v>0</v>
      </c>
      <c r="AX156" s="10">
        <f t="shared" si="326"/>
        <v>0</v>
      </c>
      <c r="AY156" s="10">
        <f t="shared" si="326"/>
        <v>0</v>
      </c>
      <c r="AZ156" s="10">
        <f t="shared" si="326"/>
        <v>0</v>
      </c>
      <c r="BA156" s="10">
        <f t="shared" si="326"/>
        <v>0</v>
      </c>
      <c r="BB156" s="10">
        <f t="shared" si="326"/>
        <v>0</v>
      </c>
      <c r="BC156" s="10">
        <f t="shared" si="326"/>
        <v>0</v>
      </c>
      <c r="BD156" s="10">
        <f t="shared" si="326"/>
        <v>0</v>
      </c>
      <c r="BE156" s="10">
        <f t="shared" si="326"/>
        <v>0</v>
      </c>
      <c r="BF156" s="10">
        <f t="shared" si="326"/>
        <v>0</v>
      </c>
      <c r="BG156" s="10">
        <f t="shared" si="326"/>
        <v>0</v>
      </c>
      <c r="BH156" s="10">
        <f t="shared" si="326"/>
        <v>0</v>
      </c>
      <c r="BI156" s="10">
        <f t="shared" si="326"/>
        <v>0</v>
      </c>
      <c r="BJ156" s="10">
        <f t="shared" si="326"/>
        <v>0</v>
      </c>
      <c r="BL156" s="13">
        <f t="shared" si="305"/>
        <v>0</v>
      </c>
      <c r="BM156" s="10">
        <f t="shared" ref="BM156:BW156" si="327">-IF(AND($F156&gt;BL$5,$F156 &lt;=BM$5), $G156, 0)</f>
        <v>0</v>
      </c>
      <c r="BN156" s="10">
        <f t="shared" si="327"/>
        <v>0</v>
      </c>
      <c r="BO156" s="10">
        <f t="shared" si="327"/>
        <v>0</v>
      </c>
      <c r="BP156" s="10">
        <f t="shared" si="327"/>
        <v>0</v>
      </c>
      <c r="BQ156" s="10">
        <f t="shared" si="327"/>
        <v>0</v>
      </c>
      <c r="BR156" s="10">
        <f t="shared" si="327"/>
        <v>0</v>
      </c>
      <c r="BS156" s="10">
        <f t="shared" si="327"/>
        <v>0</v>
      </c>
      <c r="BT156" s="10">
        <f t="shared" si="327"/>
        <v>0</v>
      </c>
      <c r="BU156" s="10">
        <f t="shared" si="327"/>
        <v>0</v>
      </c>
      <c r="BV156" s="10">
        <f t="shared" si="327"/>
        <v>0</v>
      </c>
      <c r="BW156" s="10">
        <f t="shared" si="327"/>
        <v>0</v>
      </c>
      <c r="BY156" s="12"/>
      <c r="BZ156" s="363">
        <f t="shared" si="307"/>
        <v>0</v>
      </c>
      <c r="CA156" s="12"/>
      <c r="CE156" s="335"/>
      <c r="CG156" s="335"/>
      <c r="CI156" s="7">
        <f t="shared" si="322"/>
        <v>0</v>
      </c>
      <c r="CJ156" s="7">
        <f t="shared" si="323"/>
        <v>0</v>
      </c>
      <c r="CK156" s="7">
        <f t="shared" si="324"/>
        <v>0</v>
      </c>
      <c r="CL156" s="196"/>
      <c r="CM156" s="352">
        <f t="shared" si="308"/>
        <v>0</v>
      </c>
      <c r="CN156" s="352">
        <f t="shared" si="309"/>
        <v>0</v>
      </c>
      <c r="CO156" s="352">
        <f t="shared" si="310"/>
        <v>0</v>
      </c>
      <c r="CP156" s="352">
        <f t="shared" si="311"/>
        <v>0</v>
      </c>
      <c r="CQ156" s="352">
        <f t="shared" si="312"/>
        <v>0</v>
      </c>
      <c r="CR156" s="352">
        <f t="shared" si="313"/>
        <v>0</v>
      </c>
      <c r="CS156" s="352">
        <f t="shared" si="314"/>
        <v>0</v>
      </c>
      <c r="CT156" s="42"/>
      <c r="CU156" s="319">
        <v>0</v>
      </c>
      <c r="CV156" s="319">
        <v>0</v>
      </c>
      <c r="EX156" s="13" t="str">
        <f t="shared" si="315"/>
        <v/>
      </c>
    </row>
    <row r="157" spans="1:154" s="319" customFormat="1" x14ac:dyDescent="0.25">
      <c r="A157" s="362" cm="1">
        <f t="array" aca="1" ref="A157" ca="1">HYPERLINK(CONCATENATE("#",CELL("address",IF(SUM($CA157:$CL157)=0,A157,INDEX($CA157:$CL157,MATCH(1,$CA157:$CL157,0))))),SUM($CA157:$CL157))</f>
        <v>0</v>
      </c>
      <c r="C157" s="410"/>
      <c r="D157" s="136">
        <f t="shared" ref="D157" si="328">D133</f>
        <v>0</v>
      </c>
      <c r="E157" s="136">
        <f t="shared" si="317"/>
        <v>0</v>
      </c>
      <c r="F157" s="159" t="str">
        <f t="shared" si="318"/>
        <v/>
      </c>
      <c r="G157" s="10">
        <f t="shared" si="319"/>
        <v>0</v>
      </c>
      <c r="H157" s="319" t="s">
        <v>86</v>
      </c>
      <c r="T157" s="25"/>
      <c r="U157" s="25"/>
      <c r="V157" s="13">
        <f>0-IF(AND($F157&gt;=Timeline!$V$8,$F157 &lt;=V$5), $G157, 0)</f>
        <v>0</v>
      </c>
      <c r="W157" s="10">
        <f t="shared" si="302"/>
        <v>0</v>
      </c>
      <c r="X157" s="10">
        <f t="shared" si="302"/>
        <v>0</v>
      </c>
      <c r="Y157" s="10">
        <f t="shared" si="302"/>
        <v>0</v>
      </c>
      <c r="Z157" s="335"/>
      <c r="AA157" s="13">
        <f t="shared" si="303"/>
        <v>0</v>
      </c>
      <c r="AB157" s="10">
        <f t="shared" ref="AB157:BJ157" si="329">-IF(AND($F157&gt;AA$5,$F157 &lt;=AB$5), $G157, 0)</f>
        <v>0</v>
      </c>
      <c r="AC157" s="10">
        <f t="shared" si="329"/>
        <v>0</v>
      </c>
      <c r="AD157" s="10">
        <f t="shared" si="329"/>
        <v>0</v>
      </c>
      <c r="AE157" s="10">
        <f t="shared" si="329"/>
        <v>0</v>
      </c>
      <c r="AF157" s="10">
        <f t="shared" si="329"/>
        <v>0</v>
      </c>
      <c r="AG157" s="10">
        <f t="shared" si="329"/>
        <v>0</v>
      </c>
      <c r="AH157" s="10">
        <f t="shared" si="329"/>
        <v>0</v>
      </c>
      <c r="AI157" s="10">
        <f t="shared" si="329"/>
        <v>0</v>
      </c>
      <c r="AJ157" s="10">
        <f t="shared" si="329"/>
        <v>0</v>
      </c>
      <c r="AK157" s="10">
        <f t="shared" si="329"/>
        <v>0</v>
      </c>
      <c r="AL157" s="10">
        <f t="shared" si="329"/>
        <v>0</v>
      </c>
      <c r="AM157" s="10">
        <f t="shared" si="329"/>
        <v>0</v>
      </c>
      <c r="AN157" s="10">
        <f t="shared" si="329"/>
        <v>0</v>
      </c>
      <c r="AO157" s="10">
        <f t="shared" si="329"/>
        <v>0</v>
      </c>
      <c r="AP157" s="10">
        <f t="shared" si="329"/>
        <v>0</v>
      </c>
      <c r="AQ157" s="10">
        <f t="shared" si="329"/>
        <v>0</v>
      </c>
      <c r="AR157" s="10">
        <f t="shared" si="329"/>
        <v>0</v>
      </c>
      <c r="AS157" s="10">
        <f t="shared" si="329"/>
        <v>0</v>
      </c>
      <c r="AT157" s="10">
        <f t="shared" si="329"/>
        <v>0</v>
      </c>
      <c r="AU157" s="10">
        <f t="shared" si="329"/>
        <v>0</v>
      </c>
      <c r="AV157" s="10">
        <f t="shared" si="329"/>
        <v>0</v>
      </c>
      <c r="AW157" s="10">
        <f t="shared" si="329"/>
        <v>0</v>
      </c>
      <c r="AX157" s="10">
        <f t="shared" si="329"/>
        <v>0</v>
      </c>
      <c r="AY157" s="10">
        <f t="shared" si="329"/>
        <v>0</v>
      </c>
      <c r="AZ157" s="10">
        <f t="shared" si="329"/>
        <v>0</v>
      </c>
      <c r="BA157" s="10">
        <f t="shared" si="329"/>
        <v>0</v>
      </c>
      <c r="BB157" s="10">
        <f t="shared" si="329"/>
        <v>0</v>
      </c>
      <c r="BC157" s="10">
        <f t="shared" si="329"/>
        <v>0</v>
      </c>
      <c r="BD157" s="10">
        <f t="shared" si="329"/>
        <v>0</v>
      </c>
      <c r="BE157" s="10">
        <f t="shared" si="329"/>
        <v>0</v>
      </c>
      <c r="BF157" s="10">
        <f t="shared" si="329"/>
        <v>0</v>
      </c>
      <c r="BG157" s="10">
        <f t="shared" si="329"/>
        <v>0</v>
      </c>
      <c r="BH157" s="10">
        <f t="shared" si="329"/>
        <v>0</v>
      </c>
      <c r="BI157" s="10">
        <f t="shared" si="329"/>
        <v>0</v>
      </c>
      <c r="BJ157" s="10">
        <f t="shared" si="329"/>
        <v>0</v>
      </c>
      <c r="BL157" s="13">
        <f t="shared" si="305"/>
        <v>0</v>
      </c>
      <c r="BM157" s="10">
        <f t="shared" ref="BM157:BW157" si="330">-IF(AND($F157&gt;BL$5,$F157 &lt;=BM$5), $G157, 0)</f>
        <v>0</v>
      </c>
      <c r="BN157" s="10">
        <f t="shared" si="330"/>
        <v>0</v>
      </c>
      <c r="BO157" s="10">
        <f t="shared" si="330"/>
        <v>0</v>
      </c>
      <c r="BP157" s="10">
        <f t="shared" si="330"/>
        <v>0</v>
      </c>
      <c r="BQ157" s="10">
        <f t="shared" si="330"/>
        <v>0</v>
      </c>
      <c r="BR157" s="10">
        <f t="shared" si="330"/>
        <v>0</v>
      </c>
      <c r="BS157" s="10">
        <f t="shared" si="330"/>
        <v>0</v>
      </c>
      <c r="BT157" s="10">
        <f t="shared" si="330"/>
        <v>0</v>
      </c>
      <c r="BU157" s="10">
        <f t="shared" si="330"/>
        <v>0</v>
      </c>
      <c r="BV157" s="10">
        <f t="shared" si="330"/>
        <v>0</v>
      </c>
      <c r="BW157" s="10">
        <f t="shared" si="330"/>
        <v>0</v>
      </c>
      <c r="BY157" s="12"/>
      <c r="BZ157" s="363">
        <f t="shared" si="307"/>
        <v>0</v>
      </c>
      <c r="CA157" s="12"/>
      <c r="CE157" s="335"/>
      <c r="CG157" s="335"/>
      <c r="CI157" s="7">
        <f t="shared" si="322"/>
        <v>0</v>
      </c>
      <c r="CJ157" s="7">
        <f t="shared" si="323"/>
        <v>0</v>
      </c>
      <c r="CK157" s="7">
        <f t="shared" si="324"/>
        <v>0</v>
      </c>
      <c r="CL157" s="42"/>
      <c r="CM157" s="352">
        <f t="shared" si="308"/>
        <v>0</v>
      </c>
      <c r="CN157" s="352">
        <f t="shared" si="309"/>
        <v>0</v>
      </c>
      <c r="CO157" s="352">
        <f t="shared" si="310"/>
        <v>0</v>
      </c>
      <c r="CP157" s="352">
        <f t="shared" si="311"/>
        <v>0</v>
      </c>
      <c r="CQ157" s="352">
        <f t="shared" si="312"/>
        <v>0</v>
      </c>
      <c r="CR157" s="352">
        <f t="shared" si="313"/>
        <v>0</v>
      </c>
      <c r="CS157" s="352">
        <f t="shared" si="314"/>
        <v>0</v>
      </c>
      <c r="CT157" s="42"/>
      <c r="CU157" s="319">
        <v>0</v>
      </c>
      <c r="CV157" s="319">
        <v>0</v>
      </c>
      <c r="EX157" s="13" t="str">
        <f t="shared" si="315"/>
        <v/>
      </c>
    </row>
    <row r="158" spans="1:154" s="319" customFormat="1" x14ac:dyDescent="0.25">
      <c r="A158" s="362" cm="1">
        <f t="array" aca="1" ref="A158" ca="1">HYPERLINK(CONCATENATE("#",CELL("address",IF(SUM($CA158:$CL158)=0,A158,INDEX($CA158:$CL158,MATCH(1,$CA158:$CL158,0))))),SUM($CA158:$CL158))</f>
        <v>0</v>
      </c>
      <c r="C158" s="410"/>
      <c r="D158" s="136">
        <f t="shared" ref="D158" si="331">D134</f>
        <v>0</v>
      </c>
      <c r="E158" s="136">
        <f t="shared" si="317"/>
        <v>0</v>
      </c>
      <c r="F158" s="159" t="str">
        <f t="shared" si="318"/>
        <v/>
      </c>
      <c r="G158" s="10">
        <f t="shared" si="319"/>
        <v>0</v>
      </c>
      <c r="H158" s="319" t="s">
        <v>86</v>
      </c>
      <c r="T158" s="25"/>
      <c r="U158" s="25"/>
      <c r="V158" s="13">
        <f>0-IF(AND($F158&gt;=Timeline!$V$8,$F158 &lt;=V$5), $G158, 0)</f>
        <v>0</v>
      </c>
      <c r="W158" s="10">
        <f t="shared" si="302"/>
        <v>0</v>
      </c>
      <c r="X158" s="10">
        <f t="shared" si="302"/>
        <v>0</v>
      </c>
      <c r="Y158" s="10">
        <f t="shared" si="302"/>
        <v>0</v>
      </c>
      <c r="Z158" s="335"/>
      <c r="AA158" s="13">
        <f t="shared" si="303"/>
        <v>0</v>
      </c>
      <c r="AB158" s="10">
        <f t="shared" ref="AB158:BJ158" si="332">-IF(AND($F158&gt;AA$5,$F158 &lt;=AB$5), $G158, 0)</f>
        <v>0</v>
      </c>
      <c r="AC158" s="10">
        <f t="shared" si="332"/>
        <v>0</v>
      </c>
      <c r="AD158" s="10">
        <f t="shared" si="332"/>
        <v>0</v>
      </c>
      <c r="AE158" s="10">
        <f t="shared" si="332"/>
        <v>0</v>
      </c>
      <c r="AF158" s="10">
        <f t="shared" si="332"/>
        <v>0</v>
      </c>
      <c r="AG158" s="10">
        <f t="shared" si="332"/>
        <v>0</v>
      </c>
      <c r="AH158" s="10">
        <f t="shared" si="332"/>
        <v>0</v>
      </c>
      <c r="AI158" s="10">
        <f t="shared" si="332"/>
        <v>0</v>
      </c>
      <c r="AJ158" s="10">
        <f t="shared" si="332"/>
        <v>0</v>
      </c>
      <c r="AK158" s="10">
        <f t="shared" si="332"/>
        <v>0</v>
      </c>
      <c r="AL158" s="10">
        <f t="shared" si="332"/>
        <v>0</v>
      </c>
      <c r="AM158" s="10">
        <f t="shared" si="332"/>
        <v>0</v>
      </c>
      <c r="AN158" s="10">
        <f t="shared" si="332"/>
        <v>0</v>
      </c>
      <c r="AO158" s="10">
        <f t="shared" si="332"/>
        <v>0</v>
      </c>
      <c r="AP158" s="10">
        <f t="shared" si="332"/>
        <v>0</v>
      </c>
      <c r="AQ158" s="10">
        <f t="shared" si="332"/>
        <v>0</v>
      </c>
      <c r="AR158" s="10">
        <f t="shared" si="332"/>
        <v>0</v>
      </c>
      <c r="AS158" s="10">
        <f t="shared" si="332"/>
        <v>0</v>
      </c>
      <c r="AT158" s="10">
        <f t="shared" si="332"/>
        <v>0</v>
      </c>
      <c r="AU158" s="10">
        <f t="shared" si="332"/>
        <v>0</v>
      </c>
      <c r="AV158" s="10">
        <f t="shared" si="332"/>
        <v>0</v>
      </c>
      <c r="AW158" s="10">
        <f t="shared" si="332"/>
        <v>0</v>
      </c>
      <c r="AX158" s="10">
        <f t="shared" si="332"/>
        <v>0</v>
      </c>
      <c r="AY158" s="10">
        <f t="shared" si="332"/>
        <v>0</v>
      </c>
      <c r="AZ158" s="10">
        <f t="shared" si="332"/>
        <v>0</v>
      </c>
      <c r="BA158" s="10">
        <f t="shared" si="332"/>
        <v>0</v>
      </c>
      <c r="BB158" s="10">
        <f t="shared" si="332"/>
        <v>0</v>
      </c>
      <c r="BC158" s="10">
        <f t="shared" si="332"/>
        <v>0</v>
      </c>
      <c r="BD158" s="10">
        <f t="shared" si="332"/>
        <v>0</v>
      </c>
      <c r="BE158" s="10">
        <f t="shared" si="332"/>
        <v>0</v>
      </c>
      <c r="BF158" s="10">
        <f t="shared" si="332"/>
        <v>0</v>
      </c>
      <c r="BG158" s="10">
        <f t="shared" si="332"/>
        <v>0</v>
      </c>
      <c r="BH158" s="10">
        <f t="shared" si="332"/>
        <v>0</v>
      </c>
      <c r="BI158" s="10">
        <f t="shared" si="332"/>
        <v>0</v>
      </c>
      <c r="BJ158" s="10">
        <f t="shared" si="332"/>
        <v>0</v>
      </c>
      <c r="BL158" s="13">
        <f t="shared" si="305"/>
        <v>0</v>
      </c>
      <c r="BM158" s="10">
        <f t="shared" ref="BM158:BW158" si="333">-IF(AND($F158&gt;BL$5,$F158 &lt;=BM$5), $G158, 0)</f>
        <v>0</v>
      </c>
      <c r="BN158" s="10">
        <f t="shared" si="333"/>
        <v>0</v>
      </c>
      <c r="BO158" s="10">
        <f t="shared" si="333"/>
        <v>0</v>
      </c>
      <c r="BP158" s="10">
        <f t="shared" si="333"/>
        <v>0</v>
      </c>
      <c r="BQ158" s="10">
        <f t="shared" si="333"/>
        <v>0</v>
      </c>
      <c r="BR158" s="10">
        <f t="shared" si="333"/>
        <v>0</v>
      </c>
      <c r="BS158" s="10">
        <f t="shared" si="333"/>
        <v>0</v>
      </c>
      <c r="BT158" s="10">
        <f t="shared" si="333"/>
        <v>0</v>
      </c>
      <c r="BU158" s="10">
        <f t="shared" si="333"/>
        <v>0</v>
      </c>
      <c r="BV158" s="10">
        <f t="shared" si="333"/>
        <v>0</v>
      </c>
      <c r="BW158" s="10">
        <f t="shared" si="333"/>
        <v>0</v>
      </c>
      <c r="BY158" s="12"/>
      <c r="BZ158" s="363">
        <f t="shared" si="307"/>
        <v>0</v>
      </c>
      <c r="CA158" s="12"/>
      <c r="CE158" s="335"/>
      <c r="CG158" s="335"/>
      <c r="CI158" s="7">
        <f t="shared" si="322"/>
        <v>0</v>
      </c>
      <c r="CJ158" s="7">
        <f t="shared" si="323"/>
        <v>0</v>
      </c>
      <c r="CK158" s="7">
        <f t="shared" si="324"/>
        <v>0</v>
      </c>
      <c r="CL158" s="42"/>
      <c r="CM158" s="352">
        <f t="shared" si="308"/>
        <v>0</v>
      </c>
      <c r="CN158" s="352">
        <f t="shared" si="309"/>
        <v>0</v>
      </c>
      <c r="CO158" s="352">
        <f t="shared" si="310"/>
        <v>0</v>
      </c>
      <c r="CP158" s="352">
        <f t="shared" si="311"/>
        <v>0</v>
      </c>
      <c r="CQ158" s="352">
        <f t="shared" si="312"/>
        <v>0</v>
      </c>
      <c r="CR158" s="352">
        <f t="shared" si="313"/>
        <v>0</v>
      </c>
      <c r="CS158" s="352">
        <f t="shared" si="314"/>
        <v>0</v>
      </c>
      <c r="CT158" s="42"/>
      <c r="CU158" s="319">
        <v>0</v>
      </c>
      <c r="CV158" s="319">
        <v>0</v>
      </c>
      <c r="EX158" s="13" t="str">
        <f t="shared" si="315"/>
        <v/>
      </c>
    </row>
    <row r="159" spans="1:154" s="319" customFormat="1" x14ac:dyDescent="0.25">
      <c r="A159" s="362" cm="1">
        <f t="array" aca="1" ref="A159" ca="1">HYPERLINK(CONCATENATE("#",CELL("address",IF(SUM($CA159:$CL159)=0,A159,INDEX($CA159:$CL159,MATCH(1,$CA159:$CL159,0))))),SUM($CA159:$CL159))</f>
        <v>0</v>
      </c>
      <c r="C159" s="410"/>
      <c r="D159" s="136">
        <f t="shared" ref="D159" si="334">D135</f>
        <v>0</v>
      </c>
      <c r="E159" s="136">
        <f t="shared" si="317"/>
        <v>0</v>
      </c>
      <c r="F159" s="159" t="str">
        <f t="shared" si="318"/>
        <v/>
      </c>
      <c r="G159" s="10">
        <f t="shared" si="319"/>
        <v>0</v>
      </c>
      <c r="H159" s="319" t="s">
        <v>86</v>
      </c>
      <c r="T159" s="25"/>
      <c r="U159" s="25"/>
      <c r="V159" s="13">
        <f>0-IF(AND($F159&gt;=Timeline!$V$8,$F159 &lt;=V$5), $G159, 0)</f>
        <v>0</v>
      </c>
      <c r="W159" s="10">
        <f t="shared" si="302"/>
        <v>0</v>
      </c>
      <c r="X159" s="10">
        <f t="shared" si="302"/>
        <v>0</v>
      </c>
      <c r="Y159" s="10">
        <f t="shared" si="302"/>
        <v>0</v>
      </c>
      <c r="Z159" s="335"/>
      <c r="AA159" s="13">
        <f t="shared" si="303"/>
        <v>0</v>
      </c>
      <c r="AB159" s="10">
        <f t="shared" ref="AB159:BJ159" si="335">-IF(AND($F159&gt;AA$5,$F159 &lt;=AB$5), $G159, 0)</f>
        <v>0</v>
      </c>
      <c r="AC159" s="10">
        <f t="shared" si="335"/>
        <v>0</v>
      </c>
      <c r="AD159" s="10">
        <f t="shared" si="335"/>
        <v>0</v>
      </c>
      <c r="AE159" s="10">
        <f t="shared" si="335"/>
        <v>0</v>
      </c>
      <c r="AF159" s="10">
        <f t="shared" si="335"/>
        <v>0</v>
      </c>
      <c r="AG159" s="10">
        <f t="shared" si="335"/>
        <v>0</v>
      </c>
      <c r="AH159" s="10">
        <f t="shared" si="335"/>
        <v>0</v>
      </c>
      <c r="AI159" s="10">
        <f t="shared" si="335"/>
        <v>0</v>
      </c>
      <c r="AJ159" s="10">
        <f t="shared" si="335"/>
        <v>0</v>
      </c>
      <c r="AK159" s="10">
        <f t="shared" si="335"/>
        <v>0</v>
      </c>
      <c r="AL159" s="10">
        <f t="shared" si="335"/>
        <v>0</v>
      </c>
      <c r="AM159" s="10">
        <f t="shared" si="335"/>
        <v>0</v>
      </c>
      <c r="AN159" s="10">
        <f t="shared" si="335"/>
        <v>0</v>
      </c>
      <c r="AO159" s="10">
        <f t="shared" si="335"/>
        <v>0</v>
      </c>
      <c r="AP159" s="10">
        <f t="shared" si="335"/>
        <v>0</v>
      </c>
      <c r="AQ159" s="10">
        <f t="shared" si="335"/>
        <v>0</v>
      </c>
      <c r="AR159" s="10">
        <f t="shared" si="335"/>
        <v>0</v>
      </c>
      <c r="AS159" s="10">
        <f t="shared" si="335"/>
        <v>0</v>
      </c>
      <c r="AT159" s="10">
        <f t="shared" si="335"/>
        <v>0</v>
      </c>
      <c r="AU159" s="10">
        <f t="shared" si="335"/>
        <v>0</v>
      </c>
      <c r="AV159" s="10">
        <f t="shared" si="335"/>
        <v>0</v>
      </c>
      <c r="AW159" s="10">
        <f t="shared" si="335"/>
        <v>0</v>
      </c>
      <c r="AX159" s="10">
        <f t="shared" si="335"/>
        <v>0</v>
      </c>
      <c r="AY159" s="10">
        <f t="shared" si="335"/>
        <v>0</v>
      </c>
      <c r="AZ159" s="10">
        <f t="shared" si="335"/>
        <v>0</v>
      </c>
      <c r="BA159" s="10">
        <f t="shared" si="335"/>
        <v>0</v>
      </c>
      <c r="BB159" s="10">
        <f t="shared" si="335"/>
        <v>0</v>
      </c>
      <c r="BC159" s="10">
        <f t="shared" si="335"/>
        <v>0</v>
      </c>
      <c r="BD159" s="10">
        <f t="shared" si="335"/>
        <v>0</v>
      </c>
      <c r="BE159" s="10">
        <f t="shared" si="335"/>
        <v>0</v>
      </c>
      <c r="BF159" s="10">
        <f t="shared" si="335"/>
        <v>0</v>
      </c>
      <c r="BG159" s="10">
        <f t="shared" si="335"/>
        <v>0</v>
      </c>
      <c r="BH159" s="10">
        <f t="shared" si="335"/>
        <v>0</v>
      </c>
      <c r="BI159" s="10">
        <f t="shared" si="335"/>
        <v>0</v>
      </c>
      <c r="BJ159" s="10">
        <f t="shared" si="335"/>
        <v>0</v>
      </c>
      <c r="BL159" s="13">
        <f t="shared" si="305"/>
        <v>0</v>
      </c>
      <c r="BM159" s="10">
        <f t="shared" ref="BM159:BW159" si="336">-IF(AND($F159&gt;BL$5,$F159 &lt;=BM$5), $G159, 0)</f>
        <v>0</v>
      </c>
      <c r="BN159" s="10">
        <f t="shared" si="336"/>
        <v>0</v>
      </c>
      <c r="BO159" s="10">
        <f t="shared" si="336"/>
        <v>0</v>
      </c>
      <c r="BP159" s="10">
        <f t="shared" si="336"/>
        <v>0</v>
      </c>
      <c r="BQ159" s="10">
        <f t="shared" si="336"/>
        <v>0</v>
      </c>
      <c r="BR159" s="10">
        <f t="shared" si="336"/>
        <v>0</v>
      </c>
      <c r="BS159" s="10">
        <f t="shared" si="336"/>
        <v>0</v>
      </c>
      <c r="BT159" s="10">
        <f t="shared" si="336"/>
        <v>0</v>
      </c>
      <c r="BU159" s="10">
        <f t="shared" si="336"/>
        <v>0</v>
      </c>
      <c r="BV159" s="10">
        <f t="shared" si="336"/>
        <v>0</v>
      </c>
      <c r="BW159" s="10">
        <f t="shared" si="336"/>
        <v>0</v>
      </c>
      <c r="BY159" s="12"/>
      <c r="BZ159" s="363">
        <f t="shared" si="307"/>
        <v>0</v>
      </c>
      <c r="CA159" s="12"/>
      <c r="CE159" s="335"/>
      <c r="CG159" s="335"/>
      <c r="CI159" s="7">
        <f t="shared" si="322"/>
        <v>0</v>
      </c>
      <c r="CJ159" s="7">
        <f t="shared" si="323"/>
        <v>0</v>
      </c>
      <c r="CK159" s="7">
        <f t="shared" si="324"/>
        <v>0</v>
      </c>
      <c r="CL159" s="42"/>
      <c r="CM159" s="352">
        <f t="shared" si="308"/>
        <v>0</v>
      </c>
      <c r="CN159" s="352">
        <f t="shared" si="309"/>
        <v>0</v>
      </c>
      <c r="CO159" s="352">
        <f t="shared" si="310"/>
        <v>0</v>
      </c>
      <c r="CP159" s="352">
        <f t="shared" si="311"/>
        <v>0</v>
      </c>
      <c r="CQ159" s="352">
        <f t="shared" si="312"/>
        <v>0</v>
      </c>
      <c r="CR159" s="352">
        <f t="shared" si="313"/>
        <v>0</v>
      </c>
      <c r="CS159" s="352">
        <f t="shared" si="314"/>
        <v>0</v>
      </c>
      <c r="CT159" s="42"/>
      <c r="CU159" s="319">
        <v>0</v>
      </c>
      <c r="CV159" s="319">
        <v>0</v>
      </c>
      <c r="EX159" s="13" t="str">
        <f t="shared" si="315"/>
        <v/>
      </c>
    </row>
    <row r="160" spans="1:154" s="319" customFormat="1" x14ac:dyDescent="0.25">
      <c r="A160" s="362" cm="1">
        <f t="array" aca="1" ref="A160" ca="1">HYPERLINK(CONCATENATE("#",CELL("address",IF(SUM($CA160:$CL160)=0,A160,INDEX($CA160:$CL160,MATCH(1,$CA160:$CL160,0))))),SUM($CA160:$CL160))</f>
        <v>0</v>
      </c>
      <c r="C160" s="410"/>
      <c r="D160" s="136">
        <f t="shared" ref="D160" si="337">D136</f>
        <v>0</v>
      </c>
      <c r="E160" s="136">
        <f t="shared" si="317"/>
        <v>0</v>
      </c>
      <c r="F160" s="159" t="str">
        <f t="shared" si="318"/>
        <v/>
      </c>
      <c r="G160" s="10">
        <f t="shared" si="319"/>
        <v>0</v>
      </c>
      <c r="H160" s="319" t="s">
        <v>86</v>
      </c>
      <c r="T160" s="25"/>
      <c r="U160" s="25"/>
      <c r="V160" s="13">
        <f>0-IF(AND($F160&gt;=Timeline!$V$8,$F160 &lt;=V$5), $G160, 0)</f>
        <v>0</v>
      </c>
      <c r="W160" s="10">
        <f t="shared" si="302"/>
        <v>0</v>
      </c>
      <c r="X160" s="10">
        <f t="shared" si="302"/>
        <v>0</v>
      </c>
      <c r="Y160" s="10">
        <f t="shared" si="302"/>
        <v>0</v>
      </c>
      <c r="Z160" s="335"/>
      <c r="AA160" s="13">
        <f t="shared" si="303"/>
        <v>0</v>
      </c>
      <c r="AB160" s="10">
        <f t="shared" ref="AB160:BJ160" si="338">-IF(AND($F160&gt;AA$5,$F160 &lt;=AB$5), $G160, 0)</f>
        <v>0</v>
      </c>
      <c r="AC160" s="10">
        <f t="shared" si="338"/>
        <v>0</v>
      </c>
      <c r="AD160" s="10">
        <f t="shared" si="338"/>
        <v>0</v>
      </c>
      <c r="AE160" s="10">
        <f t="shared" si="338"/>
        <v>0</v>
      </c>
      <c r="AF160" s="10">
        <f t="shared" si="338"/>
        <v>0</v>
      </c>
      <c r="AG160" s="10">
        <f t="shared" si="338"/>
        <v>0</v>
      </c>
      <c r="AH160" s="10">
        <f t="shared" si="338"/>
        <v>0</v>
      </c>
      <c r="AI160" s="10">
        <f t="shared" si="338"/>
        <v>0</v>
      </c>
      <c r="AJ160" s="10">
        <f t="shared" si="338"/>
        <v>0</v>
      </c>
      <c r="AK160" s="10">
        <f t="shared" si="338"/>
        <v>0</v>
      </c>
      <c r="AL160" s="10">
        <f t="shared" si="338"/>
        <v>0</v>
      </c>
      <c r="AM160" s="10">
        <f t="shared" si="338"/>
        <v>0</v>
      </c>
      <c r="AN160" s="10">
        <f t="shared" si="338"/>
        <v>0</v>
      </c>
      <c r="AO160" s="10">
        <f t="shared" si="338"/>
        <v>0</v>
      </c>
      <c r="AP160" s="10">
        <f t="shared" si="338"/>
        <v>0</v>
      </c>
      <c r="AQ160" s="10">
        <f t="shared" si="338"/>
        <v>0</v>
      </c>
      <c r="AR160" s="10">
        <f t="shared" si="338"/>
        <v>0</v>
      </c>
      <c r="AS160" s="10">
        <f t="shared" si="338"/>
        <v>0</v>
      </c>
      <c r="AT160" s="10">
        <f t="shared" si="338"/>
        <v>0</v>
      </c>
      <c r="AU160" s="10">
        <f t="shared" si="338"/>
        <v>0</v>
      </c>
      <c r="AV160" s="10">
        <f t="shared" si="338"/>
        <v>0</v>
      </c>
      <c r="AW160" s="10">
        <f t="shared" si="338"/>
        <v>0</v>
      </c>
      <c r="AX160" s="10">
        <f t="shared" si="338"/>
        <v>0</v>
      </c>
      <c r="AY160" s="10">
        <f t="shared" si="338"/>
        <v>0</v>
      </c>
      <c r="AZ160" s="10">
        <f t="shared" si="338"/>
        <v>0</v>
      </c>
      <c r="BA160" s="10">
        <f t="shared" si="338"/>
        <v>0</v>
      </c>
      <c r="BB160" s="10">
        <f t="shared" si="338"/>
        <v>0</v>
      </c>
      <c r="BC160" s="10">
        <f t="shared" si="338"/>
        <v>0</v>
      </c>
      <c r="BD160" s="10">
        <f t="shared" si="338"/>
        <v>0</v>
      </c>
      <c r="BE160" s="10">
        <f t="shared" si="338"/>
        <v>0</v>
      </c>
      <c r="BF160" s="10">
        <f t="shared" si="338"/>
        <v>0</v>
      </c>
      <c r="BG160" s="10">
        <f t="shared" si="338"/>
        <v>0</v>
      </c>
      <c r="BH160" s="10">
        <f t="shared" si="338"/>
        <v>0</v>
      </c>
      <c r="BI160" s="10">
        <f t="shared" si="338"/>
        <v>0</v>
      </c>
      <c r="BJ160" s="10">
        <f t="shared" si="338"/>
        <v>0</v>
      </c>
      <c r="BL160" s="13">
        <f t="shared" si="305"/>
        <v>0</v>
      </c>
      <c r="BM160" s="10">
        <f t="shared" ref="BM160:BW160" si="339">-IF(AND($F160&gt;BL$5,$F160 &lt;=BM$5), $G160, 0)</f>
        <v>0</v>
      </c>
      <c r="BN160" s="10">
        <f t="shared" si="339"/>
        <v>0</v>
      </c>
      <c r="BO160" s="10">
        <f t="shared" si="339"/>
        <v>0</v>
      </c>
      <c r="BP160" s="10">
        <f t="shared" si="339"/>
        <v>0</v>
      </c>
      <c r="BQ160" s="10">
        <f t="shared" si="339"/>
        <v>0</v>
      </c>
      <c r="BR160" s="10">
        <f t="shared" si="339"/>
        <v>0</v>
      </c>
      <c r="BS160" s="10">
        <f t="shared" si="339"/>
        <v>0</v>
      </c>
      <c r="BT160" s="10">
        <f t="shared" si="339"/>
        <v>0</v>
      </c>
      <c r="BU160" s="10">
        <f t="shared" si="339"/>
        <v>0</v>
      </c>
      <c r="BV160" s="10">
        <f t="shared" si="339"/>
        <v>0</v>
      </c>
      <c r="BW160" s="10">
        <f t="shared" si="339"/>
        <v>0</v>
      </c>
      <c r="BY160" s="12"/>
      <c r="BZ160" s="363">
        <f t="shared" si="307"/>
        <v>0</v>
      </c>
      <c r="CA160" s="12"/>
      <c r="CE160" s="335"/>
      <c r="CG160" s="335"/>
      <c r="CI160" s="7">
        <f t="shared" si="322"/>
        <v>0</v>
      </c>
      <c r="CJ160" s="7">
        <f t="shared" si="323"/>
        <v>0</v>
      </c>
      <c r="CK160" s="7">
        <f t="shared" si="324"/>
        <v>0</v>
      </c>
      <c r="CL160" s="42"/>
      <c r="CM160" s="352">
        <f t="shared" si="308"/>
        <v>0</v>
      </c>
      <c r="CN160" s="352">
        <f t="shared" si="309"/>
        <v>0</v>
      </c>
      <c r="CO160" s="352">
        <f t="shared" si="310"/>
        <v>0</v>
      </c>
      <c r="CP160" s="352">
        <f t="shared" si="311"/>
        <v>0</v>
      </c>
      <c r="CQ160" s="352">
        <f t="shared" si="312"/>
        <v>0</v>
      </c>
      <c r="CR160" s="352">
        <f t="shared" si="313"/>
        <v>0</v>
      </c>
      <c r="CS160" s="352">
        <f t="shared" si="314"/>
        <v>0</v>
      </c>
      <c r="CT160" s="42"/>
      <c r="CU160" s="319">
        <v>0</v>
      </c>
      <c r="CV160" s="319">
        <v>0</v>
      </c>
      <c r="EX160" s="13" t="str">
        <f t="shared" si="315"/>
        <v/>
      </c>
    </row>
    <row r="161" spans="1:154" s="319" customFormat="1" x14ac:dyDescent="0.25">
      <c r="A161" s="362" cm="1">
        <f t="array" aca="1" ref="A161" ca="1">HYPERLINK(CONCATENATE("#",CELL("address",IF(SUM($CA161:$CL161)=0,A161,INDEX($CA161:$CL161,MATCH(1,$CA161:$CL161,0))))),SUM($CA161:$CL161))</f>
        <v>0</v>
      </c>
      <c r="C161" s="410"/>
      <c r="D161" s="136">
        <f t="shared" ref="D161" si="340">D137</f>
        <v>0</v>
      </c>
      <c r="E161" s="136">
        <f t="shared" si="317"/>
        <v>0</v>
      </c>
      <c r="F161" s="159" t="str">
        <f t="shared" si="318"/>
        <v/>
      </c>
      <c r="G161" s="10">
        <f t="shared" si="319"/>
        <v>0</v>
      </c>
      <c r="H161" s="319" t="s">
        <v>86</v>
      </c>
      <c r="T161" s="25"/>
      <c r="U161" s="25"/>
      <c r="V161" s="13">
        <f>0-IF(AND($F161&gt;=Timeline!$V$8,$F161 &lt;=V$5), $G161, 0)</f>
        <v>0</v>
      </c>
      <c r="W161" s="10">
        <f t="shared" si="302"/>
        <v>0</v>
      </c>
      <c r="X161" s="10">
        <f t="shared" si="302"/>
        <v>0</v>
      </c>
      <c r="Y161" s="10">
        <f t="shared" si="302"/>
        <v>0</v>
      </c>
      <c r="Z161" s="335"/>
      <c r="AA161" s="13">
        <f t="shared" si="303"/>
        <v>0</v>
      </c>
      <c r="AB161" s="10">
        <f t="shared" ref="AB161:BJ161" si="341">-IF(AND($F161&gt;AA$5,$F161 &lt;=AB$5), $G161, 0)</f>
        <v>0</v>
      </c>
      <c r="AC161" s="10">
        <f t="shared" si="341"/>
        <v>0</v>
      </c>
      <c r="AD161" s="10">
        <f t="shared" si="341"/>
        <v>0</v>
      </c>
      <c r="AE161" s="10">
        <f t="shared" si="341"/>
        <v>0</v>
      </c>
      <c r="AF161" s="10">
        <f t="shared" si="341"/>
        <v>0</v>
      </c>
      <c r="AG161" s="10">
        <f t="shared" si="341"/>
        <v>0</v>
      </c>
      <c r="AH161" s="10">
        <f t="shared" si="341"/>
        <v>0</v>
      </c>
      <c r="AI161" s="10">
        <f t="shared" si="341"/>
        <v>0</v>
      </c>
      <c r="AJ161" s="10">
        <f t="shared" si="341"/>
        <v>0</v>
      </c>
      <c r="AK161" s="10">
        <f t="shared" si="341"/>
        <v>0</v>
      </c>
      <c r="AL161" s="10">
        <f t="shared" si="341"/>
        <v>0</v>
      </c>
      <c r="AM161" s="10">
        <f t="shared" si="341"/>
        <v>0</v>
      </c>
      <c r="AN161" s="10">
        <f t="shared" si="341"/>
        <v>0</v>
      </c>
      <c r="AO161" s="10">
        <f t="shared" si="341"/>
        <v>0</v>
      </c>
      <c r="AP161" s="10">
        <f t="shared" si="341"/>
        <v>0</v>
      </c>
      <c r="AQ161" s="10">
        <f t="shared" si="341"/>
        <v>0</v>
      </c>
      <c r="AR161" s="10">
        <f t="shared" si="341"/>
        <v>0</v>
      </c>
      <c r="AS161" s="10">
        <f t="shared" si="341"/>
        <v>0</v>
      </c>
      <c r="AT161" s="10">
        <f t="shared" si="341"/>
        <v>0</v>
      </c>
      <c r="AU161" s="10">
        <f t="shared" si="341"/>
        <v>0</v>
      </c>
      <c r="AV161" s="10">
        <f t="shared" si="341"/>
        <v>0</v>
      </c>
      <c r="AW161" s="10">
        <f t="shared" si="341"/>
        <v>0</v>
      </c>
      <c r="AX161" s="10">
        <f t="shared" si="341"/>
        <v>0</v>
      </c>
      <c r="AY161" s="10">
        <f t="shared" si="341"/>
        <v>0</v>
      </c>
      <c r="AZ161" s="10">
        <f t="shared" si="341"/>
        <v>0</v>
      </c>
      <c r="BA161" s="10">
        <f t="shared" si="341"/>
        <v>0</v>
      </c>
      <c r="BB161" s="10">
        <f t="shared" si="341"/>
        <v>0</v>
      </c>
      <c r="BC161" s="10">
        <f t="shared" si="341"/>
        <v>0</v>
      </c>
      <c r="BD161" s="10">
        <f t="shared" si="341"/>
        <v>0</v>
      </c>
      <c r="BE161" s="10">
        <f t="shared" si="341"/>
        <v>0</v>
      </c>
      <c r="BF161" s="10">
        <f t="shared" si="341"/>
        <v>0</v>
      </c>
      <c r="BG161" s="10">
        <f t="shared" si="341"/>
        <v>0</v>
      </c>
      <c r="BH161" s="10">
        <f t="shared" si="341"/>
        <v>0</v>
      </c>
      <c r="BI161" s="10">
        <f t="shared" si="341"/>
        <v>0</v>
      </c>
      <c r="BJ161" s="10">
        <f t="shared" si="341"/>
        <v>0</v>
      </c>
      <c r="BL161" s="13">
        <f t="shared" si="305"/>
        <v>0</v>
      </c>
      <c r="BM161" s="10">
        <f t="shared" ref="BM161:BW161" si="342">-IF(AND($F161&gt;BL$5,$F161 &lt;=BM$5), $G161, 0)</f>
        <v>0</v>
      </c>
      <c r="BN161" s="10">
        <f t="shared" si="342"/>
        <v>0</v>
      </c>
      <c r="BO161" s="10">
        <f t="shared" si="342"/>
        <v>0</v>
      </c>
      <c r="BP161" s="10">
        <f t="shared" si="342"/>
        <v>0</v>
      </c>
      <c r="BQ161" s="10">
        <f t="shared" si="342"/>
        <v>0</v>
      </c>
      <c r="BR161" s="10">
        <f t="shared" si="342"/>
        <v>0</v>
      </c>
      <c r="BS161" s="10">
        <f t="shared" si="342"/>
        <v>0</v>
      </c>
      <c r="BT161" s="10">
        <f t="shared" si="342"/>
        <v>0</v>
      </c>
      <c r="BU161" s="10">
        <f t="shared" si="342"/>
        <v>0</v>
      </c>
      <c r="BV161" s="10">
        <f t="shared" si="342"/>
        <v>0</v>
      </c>
      <c r="BW161" s="10">
        <f t="shared" si="342"/>
        <v>0</v>
      </c>
      <c r="BY161" s="12"/>
      <c r="BZ161" s="363">
        <f t="shared" si="307"/>
        <v>0</v>
      </c>
      <c r="CA161" s="12"/>
      <c r="CE161" s="335"/>
      <c r="CG161" s="335"/>
      <c r="CI161" s="7">
        <f t="shared" si="322"/>
        <v>0</v>
      </c>
      <c r="CJ161" s="7">
        <f t="shared" si="323"/>
        <v>0</v>
      </c>
      <c r="CK161" s="7">
        <f t="shared" si="324"/>
        <v>0</v>
      </c>
      <c r="CL161" s="42"/>
      <c r="CM161" s="352">
        <f t="shared" si="308"/>
        <v>0</v>
      </c>
      <c r="CN161" s="352">
        <f t="shared" si="309"/>
        <v>0</v>
      </c>
      <c r="CO161" s="352">
        <f t="shared" si="310"/>
        <v>0</v>
      </c>
      <c r="CP161" s="352">
        <f t="shared" si="311"/>
        <v>0</v>
      </c>
      <c r="CQ161" s="352">
        <f t="shared" si="312"/>
        <v>0</v>
      </c>
      <c r="CR161" s="352">
        <f t="shared" si="313"/>
        <v>0</v>
      </c>
      <c r="CS161" s="352">
        <f t="shared" si="314"/>
        <v>0</v>
      </c>
      <c r="CT161" s="42"/>
      <c r="CU161" s="319">
        <v>0</v>
      </c>
      <c r="CV161" s="319">
        <v>0</v>
      </c>
      <c r="EX161" s="13" t="str">
        <f t="shared" si="315"/>
        <v/>
      </c>
    </row>
    <row r="162" spans="1:154" s="319" customFormat="1" x14ac:dyDescent="0.25">
      <c r="A162" s="362" cm="1">
        <f t="array" aca="1" ref="A162" ca="1">HYPERLINK(CONCATENATE("#",CELL("address",IF(SUM($CA162:$CL162)=0,A162,INDEX($CA162:$CL162,MATCH(1,$CA162:$CL162,0))))),SUM($CA162:$CL162))</f>
        <v>0</v>
      </c>
      <c r="C162" s="410"/>
      <c r="D162" s="136">
        <f t="shared" ref="D162" si="343">D138</f>
        <v>0</v>
      </c>
      <c r="E162" s="136">
        <f t="shared" si="317"/>
        <v>0</v>
      </c>
      <c r="F162" s="159" t="str">
        <f t="shared" si="318"/>
        <v/>
      </c>
      <c r="G162" s="10">
        <f t="shared" si="319"/>
        <v>0</v>
      </c>
      <c r="H162" s="319" t="s">
        <v>86</v>
      </c>
      <c r="T162" s="25"/>
      <c r="U162" s="25"/>
      <c r="V162" s="13">
        <f>0-IF(AND($F162&gt;=Timeline!$V$8,$F162 &lt;=V$5), $G162, 0)</f>
        <v>0</v>
      </c>
      <c r="W162" s="10">
        <f t="shared" si="302"/>
        <v>0</v>
      </c>
      <c r="X162" s="10">
        <f t="shared" si="302"/>
        <v>0</v>
      </c>
      <c r="Y162" s="10">
        <f t="shared" si="302"/>
        <v>0</v>
      </c>
      <c r="Z162" s="335"/>
      <c r="AA162" s="13">
        <f t="shared" si="303"/>
        <v>0</v>
      </c>
      <c r="AB162" s="10">
        <f t="shared" ref="AB162:BJ162" si="344">-IF(AND($F162&gt;AA$5,$F162 &lt;=AB$5), $G162, 0)</f>
        <v>0</v>
      </c>
      <c r="AC162" s="10">
        <f t="shared" si="344"/>
        <v>0</v>
      </c>
      <c r="AD162" s="10">
        <f t="shared" si="344"/>
        <v>0</v>
      </c>
      <c r="AE162" s="10">
        <f t="shared" si="344"/>
        <v>0</v>
      </c>
      <c r="AF162" s="10">
        <f t="shared" si="344"/>
        <v>0</v>
      </c>
      <c r="AG162" s="10">
        <f t="shared" si="344"/>
        <v>0</v>
      </c>
      <c r="AH162" s="10">
        <f t="shared" si="344"/>
        <v>0</v>
      </c>
      <c r="AI162" s="10">
        <f t="shared" si="344"/>
        <v>0</v>
      </c>
      <c r="AJ162" s="10">
        <f t="shared" si="344"/>
        <v>0</v>
      </c>
      <c r="AK162" s="10">
        <f t="shared" si="344"/>
        <v>0</v>
      </c>
      <c r="AL162" s="10">
        <f t="shared" si="344"/>
        <v>0</v>
      </c>
      <c r="AM162" s="10">
        <f t="shared" si="344"/>
        <v>0</v>
      </c>
      <c r="AN162" s="10">
        <f t="shared" si="344"/>
        <v>0</v>
      </c>
      <c r="AO162" s="10">
        <f t="shared" si="344"/>
        <v>0</v>
      </c>
      <c r="AP162" s="10">
        <f t="shared" si="344"/>
        <v>0</v>
      </c>
      <c r="AQ162" s="10">
        <f t="shared" si="344"/>
        <v>0</v>
      </c>
      <c r="AR162" s="10">
        <f t="shared" si="344"/>
        <v>0</v>
      </c>
      <c r="AS162" s="10">
        <f t="shared" si="344"/>
        <v>0</v>
      </c>
      <c r="AT162" s="10">
        <f t="shared" si="344"/>
        <v>0</v>
      </c>
      <c r="AU162" s="10">
        <f t="shared" si="344"/>
        <v>0</v>
      </c>
      <c r="AV162" s="10">
        <f t="shared" si="344"/>
        <v>0</v>
      </c>
      <c r="AW162" s="10">
        <f t="shared" si="344"/>
        <v>0</v>
      </c>
      <c r="AX162" s="10">
        <f t="shared" si="344"/>
        <v>0</v>
      </c>
      <c r="AY162" s="10">
        <f t="shared" si="344"/>
        <v>0</v>
      </c>
      <c r="AZ162" s="10">
        <f t="shared" si="344"/>
        <v>0</v>
      </c>
      <c r="BA162" s="10">
        <f t="shared" si="344"/>
        <v>0</v>
      </c>
      <c r="BB162" s="10">
        <f t="shared" si="344"/>
        <v>0</v>
      </c>
      <c r="BC162" s="10">
        <f t="shared" si="344"/>
        <v>0</v>
      </c>
      <c r="BD162" s="10">
        <f t="shared" si="344"/>
        <v>0</v>
      </c>
      <c r="BE162" s="10">
        <f t="shared" si="344"/>
        <v>0</v>
      </c>
      <c r="BF162" s="10">
        <f t="shared" si="344"/>
        <v>0</v>
      </c>
      <c r="BG162" s="10">
        <f t="shared" si="344"/>
        <v>0</v>
      </c>
      <c r="BH162" s="10">
        <f t="shared" si="344"/>
        <v>0</v>
      </c>
      <c r="BI162" s="10">
        <f t="shared" si="344"/>
        <v>0</v>
      </c>
      <c r="BJ162" s="10">
        <f t="shared" si="344"/>
        <v>0</v>
      </c>
      <c r="BL162" s="13">
        <f t="shared" si="305"/>
        <v>0</v>
      </c>
      <c r="BM162" s="10">
        <f t="shared" ref="BM162:BW162" si="345">-IF(AND($F162&gt;BL$5,$F162 &lt;=BM$5), $G162, 0)</f>
        <v>0</v>
      </c>
      <c r="BN162" s="10">
        <f t="shared" si="345"/>
        <v>0</v>
      </c>
      <c r="BO162" s="10">
        <f t="shared" si="345"/>
        <v>0</v>
      </c>
      <c r="BP162" s="10">
        <f t="shared" si="345"/>
        <v>0</v>
      </c>
      <c r="BQ162" s="10">
        <f t="shared" si="345"/>
        <v>0</v>
      </c>
      <c r="BR162" s="10">
        <f t="shared" si="345"/>
        <v>0</v>
      </c>
      <c r="BS162" s="10">
        <f t="shared" si="345"/>
        <v>0</v>
      </c>
      <c r="BT162" s="10">
        <f t="shared" si="345"/>
        <v>0</v>
      </c>
      <c r="BU162" s="10">
        <f t="shared" si="345"/>
        <v>0</v>
      </c>
      <c r="BV162" s="10">
        <f t="shared" si="345"/>
        <v>0</v>
      </c>
      <c r="BW162" s="10">
        <f t="shared" si="345"/>
        <v>0</v>
      </c>
      <c r="BY162" s="12"/>
      <c r="BZ162" s="363">
        <f t="shared" si="307"/>
        <v>0</v>
      </c>
      <c r="CA162" s="12"/>
      <c r="CE162" s="335"/>
      <c r="CG162" s="335"/>
      <c r="CI162" s="7">
        <f t="shared" si="322"/>
        <v>0</v>
      </c>
      <c r="CJ162" s="7">
        <f t="shared" si="323"/>
        <v>0</v>
      </c>
      <c r="CK162" s="7">
        <f t="shared" si="324"/>
        <v>0</v>
      </c>
      <c r="CL162" s="42"/>
      <c r="CM162" s="352">
        <f t="shared" si="308"/>
        <v>0</v>
      </c>
      <c r="CN162" s="352">
        <f t="shared" si="309"/>
        <v>0</v>
      </c>
      <c r="CO162" s="352">
        <f t="shared" si="310"/>
        <v>0</v>
      </c>
      <c r="CP162" s="352">
        <f t="shared" si="311"/>
        <v>0</v>
      </c>
      <c r="CQ162" s="352">
        <f t="shared" si="312"/>
        <v>0</v>
      </c>
      <c r="CR162" s="352">
        <f t="shared" si="313"/>
        <v>0</v>
      </c>
      <c r="CS162" s="352">
        <f t="shared" si="314"/>
        <v>0</v>
      </c>
      <c r="CT162" s="42"/>
      <c r="CU162" s="319">
        <v>0</v>
      </c>
      <c r="CV162" s="319">
        <v>0</v>
      </c>
      <c r="EX162" s="13" t="str">
        <f t="shared" si="315"/>
        <v/>
      </c>
    </row>
    <row r="163" spans="1:154" s="319" customFormat="1" x14ac:dyDescent="0.25">
      <c r="A163" s="362" cm="1">
        <f t="array" aca="1" ref="A163" ca="1">HYPERLINK(CONCATENATE("#",CELL("address",IF(SUM($CA163:$CL163)=0,A163,INDEX($CA163:$CL163,MATCH(1,$CA163:$CL163,0))))),SUM($CA163:$CL163))</f>
        <v>0</v>
      </c>
      <c r="C163" s="410"/>
      <c r="D163" s="136">
        <f t="shared" ref="D163" si="346">D139</f>
        <v>0</v>
      </c>
      <c r="E163" s="136">
        <f t="shared" si="317"/>
        <v>0</v>
      </c>
      <c r="F163" s="159" t="str">
        <f t="shared" si="318"/>
        <v/>
      </c>
      <c r="G163" s="10">
        <f t="shared" si="319"/>
        <v>0</v>
      </c>
      <c r="H163" s="319" t="s">
        <v>86</v>
      </c>
      <c r="T163" s="25"/>
      <c r="U163" s="25"/>
      <c r="V163" s="13">
        <f>0-IF(AND($F163&gt;=Timeline!$V$8,$F163 &lt;=V$5), $G163, 0)</f>
        <v>0</v>
      </c>
      <c r="W163" s="10">
        <f t="shared" si="302"/>
        <v>0</v>
      </c>
      <c r="X163" s="10">
        <f t="shared" si="302"/>
        <v>0</v>
      </c>
      <c r="Y163" s="10">
        <f t="shared" si="302"/>
        <v>0</v>
      </c>
      <c r="Z163" s="335"/>
      <c r="AA163" s="13">
        <f t="shared" si="303"/>
        <v>0</v>
      </c>
      <c r="AB163" s="10">
        <f t="shared" ref="AB163:BJ163" si="347">-IF(AND($F163&gt;AA$5,$F163 &lt;=AB$5), $G163, 0)</f>
        <v>0</v>
      </c>
      <c r="AC163" s="10">
        <f t="shared" si="347"/>
        <v>0</v>
      </c>
      <c r="AD163" s="10">
        <f t="shared" si="347"/>
        <v>0</v>
      </c>
      <c r="AE163" s="10">
        <f t="shared" si="347"/>
        <v>0</v>
      </c>
      <c r="AF163" s="10">
        <f t="shared" si="347"/>
        <v>0</v>
      </c>
      <c r="AG163" s="10">
        <f t="shared" si="347"/>
        <v>0</v>
      </c>
      <c r="AH163" s="10">
        <f t="shared" si="347"/>
        <v>0</v>
      </c>
      <c r="AI163" s="10">
        <f t="shared" si="347"/>
        <v>0</v>
      </c>
      <c r="AJ163" s="10">
        <f t="shared" si="347"/>
        <v>0</v>
      </c>
      <c r="AK163" s="10">
        <f t="shared" si="347"/>
        <v>0</v>
      </c>
      <c r="AL163" s="10">
        <f t="shared" si="347"/>
        <v>0</v>
      </c>
      <c r="AM163" s="10">
        <f t="shared" si="347"/>
        <v>0</v>
      </c>
      <c r="AN163" s="10">
        <f t="shared" si="347"/>
        <v>0</v>
      </c>
      <c r="AO163" s="10">
        <f t="shared" si="347"/>
        <v>0</v>
      </c>
      <c r="AP163" s="10">
        <f t="shared" si="347"/>
        <v>0</v>
      </c>
      <c r="AQ163" s="10">
        <f t="shared" si="347"/>
        <v>0</v>
      </c>
      <c r="AR163" s="10">
        <f t="shared" si="347"/>
        <v>0</v>
      </c>
      <c r="AS163" s="10">
        <f t="shared" si="347"/>
        <v>0</v>
      </c>
      <c r="AT163" s="10">
        <f t="shared" si="347"/>
        <v>0</v>
      </c>
      <c r="AU163" s="10">
        <f t="shared" si="347"/>
        <v>0</v>
      </c>
      <c r="AV163" s="10">
        <f t="shared" si="347"/>
        <v>0</v>
      </c>
      <c r="AW163" s="10">
        <f t="shared" si="347"/>
        <v>0</v>
      </c>
      <c r="AX163" s="10">
        <f t="shared" si="347"/>
        <v>0</v>
      </c>
      <c r="AY163" s="10">
        <f t="shared" si="347"/>
        <v>0</v>
      </c>
      <c r="AZ163" s="10">
        <f t="shared" si="347"/>
        <v>0</v>
      </c>
      <c r="BA163" s="10">
        <f t="shared" si="347"/>
        <v>0</v>
      </c>
      <c r="BB163" s="10">
        <f t="shared" si="347"/>
        <v>0</v>
      </c>
      <c r="BC163" s="10">
        <f t="shared" si="347"/>
        <v>0</v>
      </c>
      <c r="BD163" s="10">
        <f t="shared" si="347"/>
        <v>0</v>
      </c>
      <c r="BE163" s="10">
        <f t="shared" si="347"/>
        <v>0</v>
      </c>
      <c r="BF163" s="10">
        <f t="shared" si="347"/>
        <v>0</v>
      </c>
      <c r="BG163" s="10">
        <f t="shared" si="347"/>
        <v>0</v>
      </c>
      <c r="BH163" s="10">
        <f t="shared" si="347"/>
        <v>0</v>
      </c>
      <c r="BI163" s="10">
        <f t="shared" si="347"/>
        <v>0</v>
      </c>
      <c r="BJ163" s="10">
        <f t="shared" si="347"/>
        <v>0</v>
      </c>
      <c r="BL163" s="13">
        <f t="shared" si="305"/>
        <v>0</v>
      </c>
      <c r="BM163" s="10">
        <f t="shared" ref="BM163:BW163" si="348">-IF(AND($F163&gt;BL$5,$F163 &lt;=BM$5), $G163, 0)</f>
        <v>0</v>
      </c>
      <c r="BN163" s="10">
        <f t="shared" si="348"/>
        <v>0</v>
      </c>
      <c r="BO163" s="10">
        <f t="shared" si="348"/>
        <v>0</v>
      </c>
      <c r="BP163" s="10">
        <f t="shared" si="348"/>
        <v>0</v>
      </c>
      <c r="BQ163" s="10">
        <f t="shared" si="348"/>
        <v>0</v>
      </c>
      <c r="BR163" s="10">
        <f t="shared" si="348"/>
        <v>0</v>
      </c>
      <c r="BS163" s="10">
        <f t="shared" si="348"/>
        <v>0</v>
      </c>
      <c r="BT163" s="10">
        <f t="shared" si="348"/>
        <v>0</v>
      </c>
      <c r="BU163" s="10">
        <f t="shared" si="348"/>
        <v>0</v>
      </c>
      <c r="BV163" s="10">
        <f t="shared" si="348"/>
        <v>0</v>
      </c>
      <c r="BW163" s="10">
        <f t="shared" si="348"/>
        <v>0</v>
      </c>
      <c r="BY163" s="12"/>
      <c r="BZ163" s="363">
        <f t="shared" si="307"/>
        <v>0</v>
      </c>
      <c r="CA163" s="12"/>
      <c r="CE163" s="335"/>
      <c r="CG163" s="335"/>
      <c r="CI163" s="7">
        <f t="shared" si="322"/>
        <v>0</v>
      </c>
      <c r="CJ163" s="7">
        <f t="shared" si="323"/>
        <v>0</v>
      </c>
      <c r="CK163" s="7">
        <f t="shared" si="324"/>
        <v>0</v>
      </c>
      <c r="CL163" s="42"/>
      <c r="CM163" s="352">
        <f t="shared" si="308"/>
        <v>0</v>
      </c>
      <c r="CN163" s="352">
        <f t="shared" si="309"/>
        <v>0</v>
      </c>
      <c r="CO163" s="352">
        <f t="shared" si="310"/>
        <v>0</v>
      </c>
      <c r="CP163" s="352">
        <f t="shared" si="311"/>
        <v>0</v>
      </c>
      <c r="CQ163" s="352">
        <f t="shared" si="312"/>
        <v>0</v>
      </c>
      <c r="CR163" s="352">
        <f t="shared" si="313"/>
        <v>0</v>
      </c>
      <c r="CS163" s="352">
        <f t="shared" si="314"/>
        <v>0</v>
      </c>
      <c r="CT163" s="42"/>
      <c r="CU163" s="319">
        <v>0</v>
      </c>
      <c r="CV163" s="319">
        <v>0</v>
      </c>
      <c r="EX163" s="13" t="str">
        <f t="shared" si="315"/>
        <v/>
      </c>
    </row>
    <row r="164" spans="1:154" s="319" customFormat="1" x14ac:dyDescent="0.25">
      <c r="A164" s="362" cm="1">
        <f t="array" aca="1" ref="A164" ca="1">HYPERLINK(CONCATENATE("#",CELL("address",IF(SUM($CA164:$CL164)=0,A164,INDEX($CA164:$CL164,MATCH(1,$CA164:$CL164,0))))),SUM($CA164:$CL164))</f>
        <v>0</v>
      </c>
      <c r="C164" s="410"/>
      <c r="D164" s="136">
        <f t="shared" ref="D164" si="349">D140</f>
        <v>0</v>
      </c>
      <c r="E164" s="136">
        <f t="shared" si="317"/>
        <v>0</v>
      </c>
      <c r="F164" s="159" t="str">
        <f t="shared" si="318"/>
        <v/>
      </c>
      <c r="G164" s="10">
        <f t="shared" si="319"/>
        <v>0</v>
      </c>
      <c r="H164" s="319" t="s">
        <v>86</v>
      </c>
      <c r="T164" s="25"/>
      <c r="U164" s="25"/>
      <c r="V164" s="13">
        <f>0-IF(AND($F164&gt;=Timeline!$V$8,$F164 &lt;=V$5), $G164, 0)</f>
        <v>0</v>
      </c>
      <c r="W164" s="10">
        <f t="shared" si="302"/>
        <v>0</v>
      </c>
      <c r="X164" s="10">
        <f t="shared" si="302"/>
        <v>0</v>
      </c>
      <c r="Y164" s="10">
        <f t="shared" si="302"/>
        <v>0</v>
      </c>
      <c r="Z164" s="335"/>
      <c r="AA164" s="13">
        <f t="shared" si="303"/>
        <v>0</v>
      </c>
      <c r="AB164" s="10">
        <f t="shared" ref="AB164:BJ164" si="350">-IF(AND($F164&gt;AA$5,$F164 &lt;=AB$5), $G164, 0)</f>
        <v>0</v>
      </c>
      <c r="AC164" s="10">
        <f t="shared" si="350"/>
        <v>0</v>
      </c>
      <c r="AD164" s="10">
        <f t="shared" si="350"/>
        <v>0</v>
      </c>
      <c r="AE164" s="10">
        <f t="shared" si="350"/>
        <v>0</v>
      </c>
      <c r="AF164" s="10">
        <f t="shared" si="350"/>
        <v>0</v>
      </c>
      <c r="AG164" s="10">
        <f t="shared" si="350"/>
        <v>0</v>
      </c>
      <c r="AH164" s="10">
        <f t="shared" si="350"/>
        <v>0</v>
      </c>
      <c r="AI164" s="10">
        <f t="shared" si="350"/>
        <v>0</v>
      </c>
      <c r="AJ164" s="10">
        <f t="shared" si="350"/>
        <v>0</v>
      </c>
      <c r="AK164" s="10">
        <f t="shared" si="350"/>
        <v>0</v>
      </c>
      <c r="AL164" s="10">
        <f t="shared" si="350"/>
        <v>0</v>
      </c>
      <c r="AM164" s="10">
        <f t="shared" si="350"/>
        <v>0</v>
      </c>
      <c r="AN164" s="10">
        <f t="shared" si="350"/>
        <v>0</v>
      </c>
      <c r="AO164" s="10">
        <f t="shared" si="350"/>
        <v>0</v>
      </c>
      <c r="AP164" s="10">
        <f t="shared" si="350"/>
        <v>0</v>
      </c>
      <c r="AQ164" s="10">
        <f t="shared" si="350"/>
        <v>0</v>
      </c>
      <c r="AR164" s="10">
        <f t="shared" si="350"/>
        <v>0</v>
      </c>
      <c r="AS164" s="10">
        <f t="shared" si="350"/>
        <v>0</v>
      </c>
      <c r="AT164" s="10">
        <f t="shared" si="350"/>
        <v>0</v>
      </c>
      <c r="AU164" s="10">
        <f t="shared" si="350"/>
        <v>0</v>
      </c>
      <c r="AV164" s="10">
        <f t="shared" si="350"/>
        <v>0</v>
      </c>
      <c r="AW164" s="10">
        <f t="shared" si="350"/>
        <v>0</v>
      </c>
      <c r="AX164" s="10">
        <f t="shared" si="350"/>
        <v>0</v>
      </c>
      <c r="AY164" s="10">
        <f t="shared" si="350"/>
        <v>0</v>
      </c>
      <c r="AZ164" s="10">
        <f t="shared" si="350"/>
        <v>0</v>
      </c>
      <c r="BA164" s="10">
        <f t="shared" si="350"/>
        <v>0</v>
      </c>
      <c r="BB164" s="10">
        <f t="shared" si="350"/>
        <v>0</v>
      </c>
      <c r="BC164" s="10">
        <f t="shared" si="350"/>
        <v>0</v>
      </c>
      <c r="BD164" s="10">
        <f t="shared" si="350"/>
        <v>0</v>
      </c>
      <c r="BE164" s="10">
        <f t="shared" si="350"/>
        <v>0</v>
      </c>
      <c r="BF164" s="10">
        <f t="shared" si="350"/>
        <v>0</v>
      </c>
      <c r="BG164" s="10">
        <f t="shared" si="350"/>
        <v>0</v>
      </c>
      <c r="BH164" s="10">
        <f t="shared" si="350"/>
        <v>0</v>
      </c>
      <c r="BI164" s="10">
        <f t="shared" si="350"/>
        <v>0</v>
      </c>
      <c r="BJ164" s="10">
        <f t="shared" si="350"/>
        <v>0</v>
      </c>
      <c r="BL164" s="13">
        <f t="shared" si="305"/>
        <v>0</v>
      </c>
      <c r="BM164" s="10">
        <f t="shared" ref="BM164:BW164" si="351">-IF(AND($F164&gt;BL$5,$F164 &lt;=BM$5), $G164, 0)</f>
        <v>0</v>
      </c>
      <c r="BN164" s="10">
        <f t="shared" si="351"/>
        <v>0</v>
      </c>
      <c r="BO164" s="10">
        <f t="shared" si="351"/>
        <v>0</v>
      </c>
      <c r="BP164" s="10">
        <f t="shared" si="351"/>
        <v>0</v>
      </c>
      <c r="BQ164" s="10">
        <f t="shared" si="351"/>
        <v>0</v>
      </c>
      <c r="BR164" s="10">
        <f t="shared" si="351"/>
        <v>0</v>
      </c>
      <c r="BS164" s="10">
        <f t="shared" si="351"/>
        <v>0</v>
      </c>
      <c r="BT164" s="10">
        <f t="shared" si="351"/>
        <v>0</v>
      </c>
      <c r="BU164" s="10">
        <f t="shared" si="351"/>
        <v>0</v>
      </c>
      <c r="BV164" s="10">
        <f t="shared" si="351"/>
        <v>0</v>
      </c>
      <c r="BW164" s="10">
        <f t="shared" si="351"/>
        <v>0</v>
      </c>
      <c r="BY164" s="12"/>
      <c r="BZ164" s="363">
        <f t="shared" si="307"/>
        <v>0</v>
      </c>
      <c r="CA164" s="12"/>
      <c r="CE164" s="335"/>
      <c r="CG164" s="335"/>
      <c r="CI164" s="7">
        <f t="shared" si="322"/>
        <v>0</v>
      </c>
      <c r="CJ164" s="7">
        <f t="shared" si="323"/>
        <v>0</v>
      </c>
      <c r="CK164" s="7">
        <f t="shared" si="324"/>
        <v>0</v>
      </c>
      <c r="CL164" s="42"/>
      <c r="CM164" s="352">
        <f t="shared" si="308"/>
        <v>0</v>
      </c>
      <c r="CN164" s="352">
        <f t="shared" si="309"/>
        <v>0</v>
      </c>
      <c r="CO164" s="352">
        <f t="shared" si="310"/>
        <v>0</v>
      </c>
      <c r="CP164" s="352">
        <f t="shared" si="311"/>
        <v>0</v>
      </c>
      <c r="CQ164" s="352">
        <f t="shared" si="312"/>
        <v>0</v>
      </c>
      <c r="CR164" s="352">
        <f t="shared" si="313"/>
        <v>0</v>
      </c>
      <c r="CS164" s="352">
        <f t="shared" si="314"/>
        <v>0</v>
      </c>
      <c r="CT164" s="42"/>
      <c r="CU164" s="319">
        <v>0</v>
      </c>
      <c r="CV164" s="319">
        <v>0</v>
      </c>
      <c r="EX164" s="13" t="str">
        <f t="shared" si="315"/>
        <v/>
      </c>
    </row>
    <row r="165" spans="1:154" s="319" customFormat="1" x14ac:dyDescent="0.25">
      <c r="A165" s="362" cm="1">
        <f t="array" aca="1" ref="A165" ca="1">HYPERLINK(CONCATENATE("#",CELL("address",IF(SUM($CA165:$CL165)=0,A165,INDEX($CA165:$CL165,MATCH(1,$CA165:$CL165,0))))),SUM($CA165:$CL165))</f>
        <v>0</v>
      </c>
      <c r="C165" s="410"/>
      <c r="D165" s="136">
        <f t="shared" ref="D165" si="352">D141</f>
        <v>0</v>
      </c>
      <c r="E165" s="136">
        <f t="shared" si="317"/>
        <v>0</v>
      </c>
      <c r="F165" s="159" t="str">
        <f t="shared" si="318"/>
        <v/>
      </c>
      <c r="G165" s="10">
        <f t="shared" si="319"/>
        <v>0</v>
      </c>
      <c r="H165" s="319" t="s">
        <v>86</v>
      </c>
      <c r="T165" s="25"/>
      <c r="U165" s="25"/>
      <c r="V165" s="13">
        <f>0-IF(AND($F165&gt;=Timeline!$V$8,$F165 &lt;=V$5), $G165, 0)</f>
        <v>0</v>
      </c>
      <c r="W165" s="10">
        <f t="shared" si="302"/>
        <v>0</v>
      </c>
      <c r="X165" s="10">
        <f t="shared" si="302"/>
        <v>0</v>
      </c>
      <c r="Y165" s="10">
        <f t="shared" si="302"/>
        <v>0</v>
      </c>
      <c r="Z165" s="335"/>
      <c r="AA165" s="13">
        <f t="shared" si="303"/>
        <v>0</v>
      </c>
      <c r="AB165" s="10">
        <f t="shared" ref="AB165:BJ165" si="353">-IF(AND($F165&gt;AA$5,$F165 &lt;=AB$5), $G165, 0)</f>
        <v>0</v>
      </c>
      <c r="AC165" s="10">
        <f t="shared" si="353"/>
        <v>0</v>
      </c>
      <c r="AD165" s="10">
        <f t="shared" si="353"/>
        <v>0</v>
      </c>
      <c r="AE165" s="10">
        <f t="shared" si="353"/>
        <v>0</v>
      </c>
      <c r="AF165" s="10">
        <f t="shared" si="353"/>
        <v>0</v>
      </c>
      <c r="AG165" s="10">
        <f t="shared" si="353"/>
        <v>0</v>
      </c>
      <c r="AH165" s="10">
        <f t="shared" si="353"/>
        <v>0</v>
      </c>
      <c r="AI165" s="10">
        <f t="shared" si="353"/>
        <v>0</v>
      </c>
      <c r="AJ165" s="10">
        <f t="shared" si="353"/>
        <v>0</v>
      </c>
      <c r="AK165" s="10">
        <f t="shared" si="353"/>
        <v>0</v>
      </c>
      <c r="AL165" s="10">
        <f t="shared" si="353"/>
        <v>0</v>
      </c>
      <c r="AM165" s="10">
        <f t="shared" si="353"/>
        <v>0</v>
      </c>
      <c r="AN165" s="10">
        <f t="shared" si="353"/>
        <v>0</v>
      </c>
      <c r="AO165" s="10">
        <f t="shared" si="353"/>
        <v>0</v>
      </c>
      <c r="AP165" s="10">
        <f t="shared" si="353"/>
        <v>0</v>
      </c>
      <c r="AQ165" s="10">
        <f t="shared" si="353"/>
        <v>0</v>
      </c>
      <c r="AR165" s="10">
        <f t="shared" si="353"/>
        <v>0</v>
      </c>
      <c r="AS165" s="10">
        <f t="shared" si="353"/>
        <v>0</v>
      </c>
      <c r="AT165" s="10">
        <f t="shared" si="353"/>
        <v>0</v>
      </c>
      <c r="AU165" s="10">
        <f t="shared" si="353"/>
        <v>0</v>
      </c>
      <c r="AV165" s="10">
        <f t="shared" si="353"/>
        <v>0</v>
      </c>
      <c r="AW165" s="10">
        <f t="shared" si="353"/>
        <v>0</v>
      </c>
      <c r="AX165" s="10">
        <f t="shared" si="353"/>
        <v>0</v>
      </c>
      <c r="AY165" s="10">
        <f t="shared" si="353"/>
        <v>0</v>
      </c>
      <c r="AZ165" s="10">
        <f t="shared" si="353"/>
        <v>0</v>
      </c>
      <c r="BA165" s="10">
        <f t="shared" si="353"/>
        <v>0</v>
      </c>
      <c r="BB165" s="10">
        <f t="shared" si="353"/>
        <v>0</v>
      </c>
      <c r="BC165" s="10">
        <f t="shared" si="353"/>
        <v>0</v>
      </c>
      <c r="BD165" s="10">
        <f t="shared" si="353"/>
        <v>0</v>
      </c>
      <c r="BE165" s="10">
        <f t="shared" si="353"/>
        <v>0</v>
      </c>
      <c r="BF165" s="10">
        <f t="shared" si="353"/>
        <v>0</v>
      </c>
      <c r="BG165" s="10">
        <f t="shared" si="353"/>
        <v>0</v>
      </c>
      <c r="BH165" s="10">
        <f t="shared" si="353"/>
        <v>0</v>
      </c>
      <c r="BI165" s="10">
        <f t="shared" si="353"/>
        <v>0</v>
      </c>
      <c r="BJ165" s="10">
        <f t="shared" si="353"/>
        <v>0</v>
      </c>
      <c r="BL165" s="13">
        <f t="shared" si="305"/>
        <v>0</v>
      </c>
      <c r="BM165" s="10">
        <f t="shared" ref="BM165:BW165" si="354">-IF(AND($F165&gt;BL$5,$F165 &lt;=BM$5), $G165, 0)</f>
        <v>0</v>
      </c>
      <c r="BN165" s="10">
        <f t="shared" si="354"/>
        <v>0</v>
      </c>
      <c r="BO165" s="10">
        <f t="shared" si="354"/>
        <v>0</v>
      </c>
      <c r="BP165" s="10">
        <f t="shared" si="354"/>
        <v>0</v>
      </c>
      <c r="BQ165" s="10">
        <f t="shared" si="354"/>
        <v>0</v>
      </c>
      <c r="BR165" s="10">
        <f t="shared" si="354"/>
        <v>0</v>
      </c>
      <c r="BS165" s="10">
        <f t="shared" si="354"/>
        <v>0</v>
      </c>
      <c r="BT165" s="10">
        <f t="shared" si="354"/>
        <v>0</v>
      </c>
      <c r="BU165" s="10">
        <f t="shared" si="354"/>
        <v>0</v>
      </c>
      <c r="BV165" s="10">
        <f t="shared" si="354"/>
        <v>0</v>
      </c>
      <c r="BW165" s="10">
        <f t="shared" si="354"/>
        <v>0</v>
      </c>
      <c r="BY165" s="12"/>
      <c r="BZ165" s="363">
        <f t="shared" si="307"/>
        <v>0</v>
      </c>
      <c r="CA165" s="12"/>
      <c r="CE165" s="335"/>
      <c r="CG165" s="335"/>
      <c r="CI165" s="7">
        <f t="shared" si="322"/>
        <v>0</v>
      </c>
      <c r="CJ165" s="7">
        <f t="shared" si="323"/>
        <v>0</v>
      </c>
      <c r="CK165" s="7">
        <f t="shared" si="324"/>
        <v>0</v>
      </c>
      <c r="CL165" s="42"/>
      <c r="CM165" s="352">
        <f t="shared" si="308"/>
        <v>0</v>
      </c>
      <c r="CN165" s="352">
        <f t="shared" si="309"/>
        <v>0</v>
      </c>
      <c r="CO165" s="352">
        <f t="shared" si="310"/>
        <v>0</v>
      </c>
      <c r="CP165" s="352">
        <f t="shared" si="311"/>
        <v>0</v>
      </c>
      <c r="CQ165" s="352">
        <f t="shared" si="312"/>
        <v>0</v>
      </c>
      <c r="CR165" s="352">
        <f t="shared" si="313"/>
        <v>0</v>
      </c>
      <c r="CS165" s="352">
        <f t="shared" si="314"/>
        <v>0</v>
      </c>
      <c r="CT165" s="42"/>
      <c r="CU165" s="319">
        <v>0</v>
      </c>
      <c r="CV165" s="319">
        <v>0</v>
      </c>
      <c r="EX165" s="13" t="str">
        <f t="shared" si="315"/>
        <v/>
      </c>
    </row>
    <row r="166" spans="1:154" s="319" customFormat="1" x14ac:dyDescent="0.25">
      <c r="A166" s="362" cm="1">
        <f t="array" aca="1" ref="A166" ca="1">HYPERLINK(CONCATENATE("#",CELL("address",IF(SUM($CA166:$CL166)=0,A166,INDEX($CA166:$CL166,MATCH(1,$CA166:$CL166,0))))),SUM($CA166:$CL166))</f>
        <v>0</v>
      </c>
      <c r="C166" s="410"/>
      <c r="D166" s="136">
        <f t="shared" ref="D166" si="355">D142</f>
        <v>0</v>
      </c>
      <c r="E166" s="136">
        <f t="shared" si="317"/>
        <v>0</v>
      </c>
      <c r="F166" s="159" t="str">
        <f t="shared" si="318"/>
        <v/>
      </c>
      <c r="G166" s="10">
        <f t="shared" si="319"/>
        <v>0</v>
      </c>
      <c r="H166" s="319" t="s">
        <v>86</v>
      </c>
      <c r="T166" s="25"/>
      <c r="U166" s="25"/>
      <c r="V166" s="13">
        <f>0-IF(AND($F166&gt;=Timeline!$V$8,$F166 &lt;=V$5), $G166, 0)</f>
        <v>0</v>
      </c>
      <c r="W166" s="10">
        <f t="shared" si="302"/>
        <v>0</v>
      </c>
      <c r="X166" s="10">
        <f t="shared" si="302"/>
        <v>0</v>
      </c>
      <c r="Y166" s="10">
        <f t="shared" si="302"/>
        <v>0</v>
      </c>
      <c r="Z166" s="335"/>
      <c r="AA166" s="13">
        <f t="shared" si="303"/>
        <v>0</v>
      </c>
      <c r="AB166" s="10">
        <f t="shared" ref="AB166:BJ166" si="356">-IF(AND($F166&gt;AA$5,$F166 &lt;=AB$5), $G166, 0)</f>
        <v>0</v>
      </c>
      <c r="AC166" s="10">
        <f t="shared" si="356"/>
        <v>0</v>
      </c>
      <c r="AD166" s="10">
        <f t="shared" si="356"/>
        <v>0</v>
      </c>
      <c r="AE166" s="10">
        <f t="shared" si="356"/>
        <v>0</v>
      </c>
      <c r="AF166" s="10">
        <f t="shared" si="356"/>
        <v>0</v>
      </c>
      <c r="AG166" s="10">
        <f t="shared" si="356"/>
        <v>0</v>
      </c>
      <c r="AH166" s="10">
        <f t="shared" si="356"/>
        <v>0</v>
      </c>
      <c r="AI166" s="10">
        <f t="shared" si="356"/>
        <v>0</v>
      </c>
      <c r="AJ166" s="10">
        <f t="shared" si="356"/>
        <v>0</v>
      </c>
      <c r="AK166" s="10">
        <f t="shared" si="356"/>
        <v>0</v>
      </c>
      <c r="AL166" s="10">
        <f t="shared" si="356"/>
        <v>0</v>
      </c>
      <c r="AM166" s="10">
        <f t="shared" si="356"/>
        <v>0</v>
      </c>
      <c r="AN166" s="10">
        <f t="shared" si="356"/>
        <v>0</v>
      </c>
      <c r="AO166" s="10">
        <f t="shared" si="356"/>
        <v>0</v>
      </c>
      <c r="AP166" s="10">
        <f t="shared" si="356"/>
        <v>0</v>
      </c>
      <c r="AQ166" s="10">
        <f t="shared" si="356"/>
        <v>0</v>
      </c>
      <c r="AR166" s="10">
        <f t="shared" si="356"/>
        <v>0</v>
      </c>
      <c r="AS166" s="10">
        <f t="shared" si="356"/>
        <v>0</v>
      </c>
      <c r="AT166" s="10">
        <f t="shared" si="356"/>
        <v>0</v>
      </c>
      <c r="AU166" s="10">
        <f t="shared" si="356"/>
        <v>0</v>
      </c>
      <c r="AV166" s="10">
        <f t="shared" si="356"/>
        <v>0</v>
      </c>
      <c r="AW166" s="10">
        <f t="shared" si="356"/>
        <v>0</v>
      </c>
      <c r="AX166" s="10">
        <f t="shared" si="356"/>
        <v>0</v>
      </c>
      <c r="AY166" s="10">
        <f t="shared" si="356"/>
        <v>0</v>
      </c>
      <c r="AZ166" s="10">
        <f t="shared" si="356"/>
        <v>0</v>
      </c>
      <c r="BA166" s="10">
        <f t="shared" si="356"/>
        <v>0</v>
      </c>
      <c r="BB166" s="10">
        <f t="shared" si="356"/>
        <v>0</v>
      </c>
      <c r="BC166" s="10">
        <f t="shared" si="356"/>
        <v>0</v>
      </c>
      <c r="BD166" s="10">
        <f t="shared" si="356"/>
        <v>0</v>
      </c>
      <c r="BE166" s="10">
        <f t="shared" si="356"/>
        <v>0</v>
      </c>
      <c r="BF166" s="10">
        <f t="shared" si="356"/>
        <v>0</v>
      </c>
      <c r="BG166" s="10">
        <f t="shared" si="356"/>
        <v>0</v>
      </c>
      <c r="BH166" s="10">
        <f t="shared" si="356"/>
        <v>0</v>
      </c>
      <c r="BI166" s="10">
        <f t="shared" si="356"/>
        <v>0</v>
      </c>
      <c r="BJ166" s="10">
        <f t="shared" si="356"/>
        <v>0</v>
      </c>
      <c r="BL166" s="13">
        <f t="shared" si="305"/>
        <v>0</v>
      </c>
      <c r="BM166" s="10">
        <f t="shared" ref="BM166:BW166" si="357">-IF(AND($F166&gt;BL$5,$F166 &lt;=BM$5), $G166, 0)</f>
        <v>0</v>
      </c>
      <c r="BN166" s="10">
        <f t="shared" si="357"/>
        <v>0</v>
      </c>
      <c r="BO166" s="10">
        <f t="shared" si="357"/>
        <v>0</v>
      </c>
      <c r="BP166" s="10">
        <f t="shared" si="357"/>
        <v>0</v>
      </c>
      <c r="BQ166" s="10">
        <f t="shared" si="357"/>
        <v>0</v>
      </c>
      <c r="BR166" s="10">
        <f t="shared" si="357"/>
        <v>0</v>
      </c>
      <c r="BS166" s="10">
        <f t="shared" si="357"/>
        <v>0</v>
      </c>
      <c r="BT166" s="10">
        <f t="shared" si="357"/>
        <v>0</v>
      </c>
      <c r="BU166" s="10">
        <f t="shared" si="357"/>
        <v>0</v>
      </c>
      <c r="BV166" s="10">
        <f t="shared" si="357"/>
        <v>0</v>
      </c>
      <c r="BW166" s="10">
        <f t="shared" si="357"/>
        <v>0</v>
      </c>
      <c r="BY166" s="12"/>
      <c r="BZ166" s="363">
        <f t="shared" si="307"/>
        <v>0</v>
      </c>
      <c r="CA166" s="12"/>
      <c r="CE166" s="335"/>
      <c r="CG166" s="335"/>
      <c r="CI166" s="7">
        <f t="shared" si="322"/>
        <v>0</v>
      </c>
      <c r="CJ166" s="7">
        <f t="shared" si="323"/>
        <v>0</v>
      </c>
      <c r="CK166" s="7">
        <f t="shared" si="324"/>
        <v>0</v>
      </c>
      <c r="CL166" s="42"/>
      <c r="CM166" s="352">
        <f t="shared" si="308"/>
        <v>0</v>
      </c>
      <c r="CN166" s="352">
        <f t="shared" si="309"/>
        <v>0</v>
      </c>
      <c r="CO166" s="352">
        <f t="shared" si="310"/>
        <v>0</v>
      </c>
      <c r="CP166" s="352">
        <f t="shared" si="311"/>
        <v>0</v>
      </c>
      <c r="CQ166" s="352">
        <f t="shared" si="312"/>
        <v>0</v>
      </c>
      <c r="CR166" s="352">
        <f t="shared" si="313"/>
        <v>0</v>
      </c>
      <c r="CS166" s="352">
        <f t="shared" si="314"/>
        <v>0</v>
      </c>
      <c r="CT166" s="42"/>
      <c r="CU166" s="319">
        <v>0</v>
      </c>
      <c r="CV166" s="319">
        <v>0</v>
      </c>
      <c r="EX166" s="13" t="str">
        <f t="shared" si="315"/>
        <v/>
      </c>
    </row>
    <row r="167" spans="1:154" s="319" customFormat="1" x14ac:dyDescent="0.25">
      <c r="A167" s="362" cm="1">
        <f t="array" aca="1" ref="A167" ca="1">HYPERLINK(CONCATENATE("#",CELL("address",IF(SUM($CA167:$CL167)=0,A167,INDEX($CA167:$CL167,MATCH(1,$CA167:$CL167,0))))),SUM($CA167:$CL167))</f>
        <v>0</v>
      </c>
      <c r="C167" s="410"/>
      <c r="D167" s="136">
        <f t="shared" ref="D167" si="358">D143</f>
        <v>0</v>
      </c>
      <c r="E167" s="136">
        <f t="shared" si="317"/>
        <v>0</v>
      </c>
      <c r="F167" s="159" t="str">
        <f t="shared" si="318"/>
        <v/>
      </c>
      <c r="G167" s="10">
        <f t="shared" si="319"/>
        <v>0</v>
      </c>
      <c r="H167" s="319" t="s">
        <v>86</v>
      </c>
      <c r="T167" s="25"/>
      <c r="U167" s="25"/>
      <c r="V167" s="13">
        <f>0-IF(AND($F167&gt;=Timeline!$V$8,$F167 &lt;=V$5), $G167, 0)</f>
        <v>0</v>
      </c>
      <c r="W167" s="10">
        <f t="shared" si="302"/>
        <v>0</v>
      </c>
      <c r="X167" s="10">
        <f t="shared" si="302"/>
        <v>0</v>
      </c>
      <c r="Y167" s="10">
        <f t="shared" si="302"/>
        <v>0</v>
      </c>
      <c r="Z167" s="335"/>
      <c r="AA167" s="13">
        <f t="shared" si="303"/>
        <v>0</v>
      </c>
      <c r="AB167" s="10">
        <f t="shared" ref="AB167:BJ167" si="359">-IF(AND($F167&gt;AA$5,$F167 &lt;=AB$5), $G167, 0)</f>
        <v>0</v>
      </c>
      <c r="AC167" s="10">
        <f t="shared" si="359"/>
        <v>0</v>
      </c>
      <c r="AD167" s="10">
        <f t="shared" si="359"/>
        <v>0</v>
      </c>
      <c r="AE167" s="10">
        <f t="shared" si="359"/>
        <v>0</v>
      </c>
      <c r="AF167" s="10">
        <f t="shared" si="359"/>
        <v>0</v>
      </c>
      <c r="AG167" s="10">
        <f t="shared" si="359"/>
        <v>0</v>
      </c>
      <c r="AH167" s="10">
        <f t="shared" si="359"/>
        <v>0</v>
      </c>
      <c r="AI167" s="10">
        <f t="shared" si="359"/>
        <v>0</v>
      </c>
      <c r="AJ167" s="10">
        <f t="shared" si="359"/>
        <v>0</v>
      </c>
      <c r="AK167" s="10">
        <f t="shared" si="359"/>
        <v>0</v>
      </c>
      <c r="AL167" s="10">
        <f t="shared" si="359"/>
        <v>0</v>
      </c>
      <c r="AM167" s="10">
        <f t="shared" si="359"/>
        <v>0</v>
      </c>
      <c r="AN167" s="10">
        <f t="shared" si="359"/>
        <v>0</v>
      </c>
      <c r="AO167" s="10">
        <f t="shared" si="359"/>
        <v>0</v>
      </c>
      <c r="AP167" s="10">
        <f t="shared" si="359"/>
        <v>0</v>
      </c>
      <c r="AQ167" s="10">
        <f t="shared" si="359"/>
        <v>0</v>
      </c>
      <c r="AR167" s="10">
        <f t="shared" si="359"/>
        <v>0</v>
      </c>
      <c r="AS167" s="10">
        <f t="shared" si="359"/>
        <v>0</v>
      </c>
      <c r="AT167" s="10">
        <f t="shared" si="359"/>
        <v>0</v>
      </c>
      <c r="AU167" s="10">
        <f t="shared" si="359"/>
        <v>0</v>
      </c>
      <c r="AV167" s="10">
        <f t="shared" si="359"/>
        <v>0</v>
      </c>
      <c r="AW167" s="10">
        <f t="shared" si="359"/>
        <v>0</v>
      </c>
      <c r="AX167" s="10">
        <f t="shared" si="359"/>
        <v>0</v>
      </c>
      <c r="AY167" s="10">
        <f t="shared" si="359"/>
        <v>0</v>
      </c>
      <c r="AZ167" s="10">
        <f t="shared" si="359"/>
        <v>0</v>
      </c>
      <c r="BA167" s="10">
        <f t="shared" si="359"/>
        <v>0</v>
      </c>
      <c r="BB167" s="10">
        <f t="shared" si="359"/>
        <v>0</v>
      </c>
      <c r="BC167" s="10">
        <f t="shared" si="359"/>
        <v>0</v>
      </c>
      <c r="BD167" s="10">
        <f t="shared" si="359"/>
        <v>0</v>
      </c>
      <c r="BE167" s="10">
        <f t="shared" si="359"/>
        <v>0</v>
      </c>
      <c r="BF167" s="10">
        <f t="shared" si="359"/>
        <v>0</v>
      </c>
      <c r="BG167" s="10">
        <f t="shared" si="359"/>
        <v>0</v>
      </c>
      <c r="BH167" s="10">
        <f t="shared" si="359"/>
        <v>0</v>
      </c>
      <c r="BI167" s="10">
        <f t="shared" si="359"/>
        <v>0</v>
      </c>
      <c r="BJ167" s="10">
        <f t="shared" si="359"/>
        <v>0</v>
      </c>
      <c r="BL167" s="13">
        <f t="shared" si="305"/>
        <v>0</v>
      </c>
      <c r="BM167" s="10">
        <f t="shared" ref="BM167:BW167" si="360">-IF(AND($F167&gt;BL$5,$F167 &lt;=BM$5), $G167, 0)</f>
        <v>0</v>
      </c>
      <c r="BN167" s="10">
        <f t="shared" si="360"/>
        <v>0</v>
      </c>
      <c r="BO167" s="10">
        <f t="shared" si="360"/>
        <v>0</v>
      </c>
      <c r="BP167" s="10">
        <f t="shared" si="360"/>
        <v>0</v>
      </c>
      <c r="BQ167" s="10">
        <f t="shared" si="360"/>
        <v>0</v>
      </c>
      <c r="BR167" s="10">
        <f t="shared" si="360"/>
        <v>0</v>
      </c>
      <c r="BS167" s="10">
        <f t="shared" si="360"/>
        <v>0</v>
      </c>
      <c r="BT167" s="10">
        <f t="shared" si="360"/>
        <v>0</v>
      </c>
      <c r="BU167" s="10">
        <f t="shared" si="360"/>
        <v>0</v>
      </c>
      <c r="BV167" s="10">
        <f t="shared" si="360"/>
        <v>0</v>
      </c>
      <c r="BW167" s="10">
        <f t="shared" si="360"/>
        <v>0</v>
      </c>
      <c r="BY167" s="12"/>
      <c r="BZ167" s="363">
        <f t="shared" si="307"/>
        <v>0</v>
      </c>
      <c r="CA167" s="12"/>
      <c r="CE167" s="335"/>
      <c r="CG167" s="335"/>
      <c r="CI167" s="7">
        <f t="shared" si="322"/>
        <v>0</v>
      </c>
      <c r="CJ167" s="7">
        <f t="shared" si="323"/>
        <v>0</v>
      </c>
      <c r="CK167" s="7">
        <f t="shared" si="324"/>
        <v>0</v>
      </c>
      <c r="CL167" s="42"/>
      <c r="CM167" s="352">
        <f t="shared" si="308"/>
        <v>0</v>
      </c>
      <c r="CN167" s="352">
        <f t="shared" si="309"/>
        <v>0</v>
      </c>
      <c r="CO167" s="352">
        <f t="shared" si="310"/>
        <v>0</v>
      </c>
      <c r="CP167" s="352">
        <f t="shared" si="311"/>
        <v>0</v>
      </c>
      <c r="CQ167" s="352">
        <f t="shared" si="312"/>
        <v>0</v>
      </c>
      <c r="CR167" s="352">
        <f t="shared" si="313"/>
        <v>0</v>
      </c>
      <c r="CS167" s="352">
        <f t="shared" si="314"/>
        <v>0</v>
      </c>
      <c r="CT167" s="42"/>
      <c r="CU167" s="319">
        <v>0</v>
      </c>
      <c r="CV167" s="319">
        <v>0</v>
      </c>
      <c r="EX167" s="13" t="str">
        <f t="shared" si="315"/>
        <v/>
      </c>
    </row>
    <row r="168" spans="1:154" s="319" customFormat="1" x14ac:dyDescent="0.25">
      <c r="A168" s="362" cm="1">
        <f t="array" aca="1" ref="A168" ca="1">HYPERLINK(CONCATENATE("#",CELL("address",IF(SUM($CA168:$CL168)=0,A168,INDEX($CA168:$CL168,MATCH(1,$CA168:$CL168,0))))),SUM($CA168:$CL168))</f>
        <v>0</v>
      </c>
      <c r="C168" s="410"/>
      <c r="D168" s="136">
        <f t="shared" ref="D168" si="361">D144</f>
        <v>0</v>
      </c>
      <c r="E168" s="136">
        <f t="shared" si="317"/>
        <v>0</v>
      </c>
      <c r="F168" s="159" t="str">
        <f t="shared" si="318"/>
        <v/>
      </c>
      <c r="G168" s="10">
        <f t="shared" si="319"/>
        <v>0</v>
      </c>
      <c r="H168" s="319" t="s">
        <v>86</v>
      </c>
      <c r="T168" s="25"/>
      <c r="U168" s="25"/>
      <c r="V168" s="13">
        <f>0-IF(AND($F168&gt;=Timeline!$V$8,$F168 &lt;=V$5), $G168, 0)</f>
        <v>0</v>
      </c>
      <c r="W168" s="10">
        <f t="shared" si="302"/>
        <v>0</v>
      </c>
      <c r="X168" s="10">
        <f t="shared" si="302"/>
        <v>0</v>
      </c>
      <c r="Y168" s="10">
        <f t="shared" si="302"/>
        <v>0</v>
      </c>
      <c r="Z168" s="335"/>
      <c r="AA168" s="13">
        <f t="shared" si="303"/>
        <v>0</v>
      </c>
      <c r="AB168" s="10">
        <f t="shared" ref="AB168:BJ168" si="362">-IF(AND($F168&gt;AA$5,$F168 &lt;=AB$5), $G168, 0)</f>
        <v>0</v>
      </c>
      <c r="AC168" s="10">
        <f t="shared" si="362"/>
        <v>0</v>
      </c>
      <c r="AD168" s="10">
        <f t="shared" si="362"/>
        <v>0</v>
      </c>
      <c r="AE168" s="10">
        <f t="shared" si="362"/>
        <v>0</v>
      </c>
      <c r="AF168" s="10">
        <f t="shared" si="362"/>
        <v>0</v>
      </c>
      <c r="AG168" s="10">
        <f t="shared" si="362"/>
        <v>0</v>
      </c>
      <c r="AH168" s="10">
        <f t="shared" si="362"/>
        <v>0</v>
      </c>
      <c r="AI168" s="10">
        <f t="shared" si="362"/>
        <v>0</v>
      </c>
      <c r="AJ168" s="10">
        <f t="shared" si="362"/>
        <v>0</v>
      </c>
      <c r="AK168" s="10">
        <f t="shared" si="362"/>
        <v>0</v>
      </c>
      <c r="AL168" s="10">
        <f t="shared" si="362"/>
        <v>0</v>
      </c>
      <c r="AM168" s="10">
        <f t="shared" si="362"/>
        <v>0</v>
      </c>
      <c r="AN168" s="10">
        <f t="shared" si="362"/>
        <v>0</v>
      </c>
      <c r="AO168" s="10">
        <f t="shared" si="362"/>
        <v>0</v>
      </c>
      <c r="AP168" s="10">
        <f t="shared" si="362"/>
        <v>0</v>
      </c>
      <c r="AQ168" s="10">
        <f t="shared" si="362"/>
        <v>0</v>
      </c>
      <c r="AR168" s="10">
        <f t="shared" si="362"/>
        <v>0</v>
      </c>
      <c r="AS168" s="10">
        <f t="shared" si="362"/>
        <v>0</v>
      </c>
      <c r="AT168" s="10">
        <f t="shared" si="362"/>
        <v>0</v>
      </c>
      <c r="AU168" s="10">
        <f t="shared" si="362"/>
        <v>0</v>
      </c>
      <c r="AV168" s="10">
        <f t="shared" si="362"/>
        <v>0</v>
      </c>
      <c r="AW168" s="10">
        <f t="shared" si="362"/>
        <v>0</v>
      </c>
      <c r="AX168" s="10">
        <f t="shared" si="362"/>
        <v>0</v>
      </c>
      <c r="AY168" s="10">
        <f t="shared" si="362"/>
        <v>0</v>
      </c>
      <c r="AZ168" s="10">
        <f t="shared" si="362"/>
        <v>0</v>
      </c>
      <c r="BA168" s="10">
        <f t="shared" si="362"/>
        <v>0</v>
      </c>
      <c r="BB168" s="10">
        <f t="shared" si="362"/>
        <v>0</v>
      </c>
      <c r="BC168" s="10">
        <f t="shared" si="362"/>
        <v>0</v>
      </c>
      <c r="BD168" s="10">
        <f t="shared" si="362"/>
        <v>0</v>
      </c>
      <c r="BE168" s="10">
        <f t="shared" si="362"/>
        <v>0</v>
      </c>
      <c r="BF168" s="10">
        <f t="shared" si="362"/>
        <v>0</v>
      </c>
      <c r="BG168" s="10">
        <f t="shared" si="362"/>
        <v>0</v>
      </c>
      <c r="BH168" s="10">
        <f t="shared" si="362"/>
        <v>0</v>
      </c>
      <c r="BI168" s="10">
        <f t="shared" si="362"/>
        <v>0</v>
      </c>
      <c r="BJ168" s="10">
        <f t="shared" si="362"/>
        <v>0</v>
      </c>
      <c r="BL168" s="13">
        <f t="shared" si="305"/>
        <v>0</v>
      </c>
      <c r="BM168" s="10">
        <f t="shared" ref="BM168:BW168" si="363">-IF(AND($F168&gt;BL$5,$F168 &lt;=BM$5), $G168, 0)</f>
        <v>0</v>
      </c>
      <c r="BN168" s="10">
        <f t="shared" si="363"/>
        <v>0</v>
      </c>
      <c r="BO168" s="10">
        <f t="shared" si="363"/>
        <v>0</v>
      </c>
      <c r="BP168" s="10">
        <f t="shared" si="363"/>
        <v>0</v>
      </c>
      <c r="BQ168" s="10">
        <f t="shared" si="363"/>
        <v>0</v>
      </c>
      <c r="BR168" s="10">
        <f t="shared" si="363"/>
        <v>0</v>
      </c>
      <c r="BS168" s="10">
        <f t="shared" si="363"/>
        <v>0</v>
      </c>
      <c r="BT168" s="10">
        <f t="shared" si="363"/>
        <v>0</v>
      </c>
      <c r="BU168" s="10">
        <f t="shared" si="363"/>
        <v>0</v>
      </c>
      <c r="BV168" s="10">
        <f t="shared" si="363"/>
        <v>0</v>
      </c>
      <c r="BW168" s="10">
        <f t="shared" si="363"/>
        <v>0</v>
      </c>
      <c r="BY168" s="12"/>
      <c r="BZ168" s="363">
        <f t="shared" si="307"/>
        <v>0</v>
      </c>
      <c r="CA168" s="12"/>
      <c r="CE168" s="335"/>
      <c r="CG168" s="335"/>
      <c r="CI168" s="7">
        <f t="shared" si="322"/>
        <v>0</v>
      </c>
      <c r="CJ168" s="7">
        <f t="shared" si="323"/>
        <v>0</v>
      </c>
      <c r="CK168" s="7">
        <f t="shared" si="324"/>
        <v>0</v>
      </c>
      <c r="CL168" s="42"/>
      <c r="CM168" s="352">
        <f t="shared" si="308"/>
        <v>0</v>
      </c>
      <c r="CN168" s="352">
        <f t="shared" si="309"/>
        <v>0</v>
      </c>
      <c r="CO168" s="352">
        <f t="shared" si="310"/>
        <v>0</v>
      </c>
      <c r="CP168" s="352">
        <f t="shared" si="311"/>
        <v>0</v>
      </c>
      <c r="CQ168" s="352">
        <f t="shared" si="312"/>
        <v>0</v>
      </c>
      <c r="CR168" s="352">
        <f t="shared" si="313"/>
        <v>0</v>
      </c>
      <c r="CS168" s="352">
        <f t="shared" si="314"/>
        <v>0</v>
      </c>
      <c r="CT168" s="42"/>
      <c r="CU168" s="319">
        <v>0</v>
      </c>
      <c r="CV168" s="319">
        <v>0</v>
      </c>
      <c r="EX168" s="13" t="str">
        <f t="shared" si="315"/>
        <v/>
      </c>
    </row>
    <row r="169" spans="1:154" s="319" customFormat="1" x14ac:dyDescent="0.25">
      <c r="A169" s="362" cm="1">
        <f t="array" aca="1" ref="A169" ca="1">HYPERLINK(CONCATENATE("#",CELL("address",IF(SUM($CA169:$CL169)=0,A169,INDEX($CA169:$CL169,MATCH(1,$CA169:$CL169,0))))),SUM($CA169:$CL169))</f>
        <v>0</v>
      </c>
      <c r="C169" s="410"/>
      <c r="D169" s="5" t="s">
        <v>383</v>
      </c>
      <c r="E169" s="5" t="str">
        <f>Parameters!$D$45</f>
        <v>Land &amp; Buildings</v>
      </c>
      <c r="I169" s="116"/>
      <c r="T169" s="25"/>
      <c r="U169" s="25"/>
      <c r="V169" s="13">
        <f>SUMIFS(V154:V168, $E154:$E168, $E169)</f>
        <v>0</v>
      </c>
      <c r="W169" s="13">
        <f>SUMIFS(W154:W168, $E154:$E168, $E169)</f>
        <v>0</v>
      </c>
      <c r="X169" s="13">
        <f>SUMIFS(X154:X168, $E154:$E168, $E169)</f>
        <v>0</v>
      </c>
      <c r="Y169" s="13">
        <f>SUMIFS(Y154:Y168, $E154:$E168, $E169)</f>
        <v>0</v>
      </c>
      <c r="Z169" s="335"/>
      <c r="AA169" s="13">
        <f t="shared" ref="AA169:BJ169" si="364">SUMIFS(AA154:AA168, $E154:$E168, $E169)</f>
        <v>0</v>
      </c>
      <c r="AB169" s="13">
        <f t="shared" si="364"/>
        <v>0</v>
      </c>
      <c r="AC169" s="13">
        <f t="shared" si="364"/>
        <v>0</v>
      </c>
      <c r="AD169" s="13">
        <f t="shared" si="364"/>
        <v>0</v>
      </c>
      <c r="AE169" s="13">
        <f t="shared" si="364"/>
        <v>0</v>
      </c>
      <c r="AF169" s="13">
        <f t="shared" si="364"/>
        <v>0</v>
      </c>
      <c r="AG169" s="13">
        <f t="shared" si="364"/>
        <v>0</v>
      </c>
      <c r="AH169" s="13">
        <f t="shared" si="364"/>
        <v>0</v>
      </c>
      <c r="AI169" s="13">
        <f t="shared" si="364"/>
        <v>0</v>
      </c>
      <c r="AJ169" s="13">
        <f t="shared" si="364"/>
        <v>0</v>
      </c>
      <c r="AK169" s="13">
        <f t="shared" si="364"/>
        <v>0</v>
      </c>
      <c r="AL169" s="13">
        <f t="shared" si="364"/>
        <v>0</v>
      </c>
      <c r="AM169" s="13">
        <f t="shared" si="364"/>
        <v>0</v>
      </c>
      <c r="AN169" s="13">
        <f t="shared" si="364"/>
        <v>0</v>
      </c>
      <c r="AO169" s="13">
        <f t="shared" si="364"/>
        <v>0</v>
      </c>
      <c r="AP169" s="13">
        <f t="shared" si="364"/>
        <v>0</v>
      </c>
      <c r="AQ169" s="13">
        <f t="shared" si="364"/>
        <v>0</v>
      </c>
      <c r="AR169" s="13">
        <f t="shared" si="364"/>
        <v>0</v>
      </c>
      <c r="AS169" s="13">
        <f t="shared" si="364"/>
        <v>0</v>
      </c>
      <c r="AT169" s="13">
        <f t="shared" si="364"/>
        <v>0</v>
      </c>
      <c r="AU169" s="13">
        <f t="shared" si="364"/>
        <v>0</v>
      </c>
      <c r="AV169" s="13">
        <f t="shared" si="364"/>
        <v>0</v>
      </c>
      <c r="AW169" s="13">
        <f t="shared" si="364"/>
        <v>0</v>
      </c>
      <c r="AX169" s="13">
        <f t="shared" si="364"/>
        <v>0</v>
      </c>
      <c r="AY169" s="13">
        <f t="shared" si="364"/>
        <v>0</v>
      </c>
      <c r="AZ169" s="13">
        <f t="shared" si="364"/>
        <v>0</v>
      </c>
      <c r="BA169" s="13">
        <f t="shared" si="364"/>
        <v>0</v>
      </c>
      <c r="BB169" s="13">
        <f t="shared" si="364"/>
        <v>0</v>
      </c>
      <c r="BC169" s="13">
        <f t="shared" si="364"/>
        <v>0</v>
      </c>
      <c r="BD169" s="13">
        <f t="shared" si="364"/>
        <v>0</v>
      </c>
      <c r="BE169" s="13">
        <f t="shared" si="364"/>
        <v>0</v>
      </c>
      <c r="BF169" s="13">
        <f t="shared" si="364"/>
        <v>0</v>
      </c>
      <c r="BG169" s="13">
        <f t="shared" si="364"/>
        <v>0</v>
      </c>
      <c r="BH169" s="13">
        <f t="shared" si="364"/>
        <v>0</v>
      </c>
      <c r="BI169" s="13">
        <f t="shared" si="364"/>
        <v>0</v>
      </c>
      <c r="BJ169" s="13">
        <f t="shared" si="364"/>
        <v>0</v>
      </c>
      <c r="BL169" s="13">
        <f t="shared" ref="BL169:BW169" si="365">SUMIFS(BL154:BL168, $E154:$E168, $E169)</f>
        <v>0</v>
      </c>
      <c r="BM169" s="13">
        <f t="shared" si="365"/>
        <v>0</v>
      </c>
      <c r="BN169" s="13">
        <f t="shared" si="365"/>
        <v>0</v>
      </c>
      <c r="BO169" s="13">
        <f t="shared" si="365"/>
        <v>0</v>
      </c>
      <c r="BP169" s="13">
        <f t="shared" si="365"/>
        <v>0</v>
      </c>
      <c r="BQ169" s="13">
        <f t="shared" si="365"/>
        <v>0</v>
      </c>
      <c r="BR169" s="13">
        <f t="shared" si="365"/>
        <v>0</v>
      </c>
      <c r="BS169" s="13">
        <f t="shared" si="365"/>
        <v>0</v>
      </c>
      <c r="BT169" s="13">
        <f t="shared" si="365"/>
        <v>0</v>
      </c>
      <c r="BU169" s="13">
        <f t="shared" si="365"/>
        <v>0</v>
      </c>
      <c r="BV169" s="13">
        <f t="shared" si="365"/>
        <v>0</v>
      </c>
      <c r="BW169" s="13">
        <f t="shared" si="365"/>
        <v>0</v>
      </c>
      <c r="BY169" s="12"/>
      <c r="BZ169" s="363">
        <f t="shared" si="307"/>
        <v>0</v>
      </c>
      <c r="CA169" s="12"/>
      <c r="CE169" s="335"/>
      <c r="CG169" s="335"/>
      <c r="CI169" s="7">
        <f t="shared" si="322"/>
        <v>0</v>
      </c>
      <c r="CJ169" s="7">
        <f t="shared" si="323"/>
        <v>0</v>
      </c>
      <c r="CK169" s="7">
        <f t="shared" si="324"/>
        <v>0</v>
      </c>
      <c r="CL169" s="42"/>
      <c r="CM169" s="352">
        <f t="shared" si="308"/>
        <v>0</v>
      </c>
      <c r="CN169" s="352">
        <f t="shared" si="309"/>
        <v>0</v>
      </c>
      <c r="CO169" s="352">
        <f t="shared" si="310"/>
        <v>0</v>
      </c>
      <c r="CP169" s="352">
        <f t="shared" si="311"/>
        <v>0</v>
      </c>
      <c r="CQ169" s="352">
        <f t="shared" si="312"/>
        <v>0</v>
      </c>
      <c r="CR169" s="352">
        <f t="shared" si="313"/>
        <v>0</v>
      </c>
      <c r="CS169" s="352">
        <f t="shared" si="314"/>
        <v>0</v>
      </c>
      <c r="CT169" s="42"/>
      <c r="CU169" s="319">
        <v>0</v>
      </c>
      <c r="CV169" s="319">
        <v>0</v>
      </c>
      <c r="EX169" s="10" t="str">
        <f t="shared" si="255"/>
        <v/>
      </c>
    </row>
    <row r="170" spans="1:154" s="319" customFormat="1" x14ac:dyDescent="0.25">
      <c r="A170" s="362" cm="1">
        <f t="array" aca="1" ref="A170" ca="1">HYPERLINK(CONCATENATE("#",CELL("address",IF(SUM($CA170:$CL170)=0,A170,INDEX($CA170:$CL170,MATCH(1,$CA170:$CL170,0))))),SUM($CA170:$CL170))</f>
        <v>0</v>
      </c>
      <c r="C170" s="410"/>
      <c r="D170" s="5" t="s">
        <v>384</v>
      </c>
      <c r="E170" s="5" t="str">
        <f>Parameters!$D$46</f>
        <v>Equipment</v>
      </c>
      <c r="I170" s="116"/>
      <c r="T170" s="25"/>
      <c r="U170" s="25"/>
      <c r="V170" s="13">
        <f>SUMIFS(V154:V168, $E154:$E168, $E170)</f>
        <v>0</v>
      </c>
      <c r="W170" s="13">
        <f>SUMIFS(W154:W168, $E154:$E168, $E170)</f>
        <v>0</v>
      </c>
      <c r="X170" s="13">
        <f>SUMIFS(X154:X168, $E154:$E168, $E170)</f>
        <v>0</v>
      </c>
      <c r="Y170" s="13">
        <f>SUMIFS(Y154:Y168, $E154:$E168, $E170)</f>
        <v>0</v>
      </c>
      <c r="Z170" s="335"/>
      <c r="AA170" s="13">
        <f t="shared" ref="AA170:BJ170" si="366">SUMIFS(AA154:AA168, $E154:$E168, $E170)</f>
        <v>0</v>
      </c>
      <c r="AB170" s="13">
        <f t="shared" si="366"/>
        <v>0</v>
      </c>
      <c r="AC170" s="13">
        <f t="shared" si="366"/>
        <v>0</v>
      </c>
      <c r="AD170" s="13">
        <f t="shared" si="366"/>
        <v>0</v>
      </c>
      <c r="AE170" s="13">
        <f t="shared" si="366"/>
        <v>0</v>
      </c>
      <c r="AF170" s="13">
        <f t="shared" si="366"/>
        <v>0</v>
      </c>
      <c r="AG170" s="13">
        <f t="shared" si="366"/>
        <v>0</v>
      </c>
      <c r="AH170" s="13">
        <f t="shared" si="366"/>
        <v>0</v>
      </c>
      <c r="AI170" s="13">
        <f t="shared" si="366"/>
        <v>0</v>
      </c>
      <c r="AJ170" s="13">
        <f t="shared" si="366"/>
        <v>0</v>
      </c>
      <c r="AK170" s="13">
        <f t="shared" si="366"/>
        <v>0</v>
      </c>
      <c r="AL170" s="13">
        <f t="shared" si="366"/>
        <v>0</v>
      </c>
      <c r="AM170" s="13">
        <f t="shared" si="366"/>
        <v>0</v>
      </c>
      <c r="AN170" s="13">
        <f t="shared" si="366"/>
        <v>0</v>
      </c>
      <c r="AO170" s="13">
        <f t="shared" si="366"/>
        <v>0</v>
      </c>
      <c r="AP170" s="13">
        <f t="shared" si="366"/>
        <v>0</v>
      </c>
      <c r="AQ170" s="13">
        <f t="shared" si="366"/>
        <v>0</v>
      </c>
      <c r="AR170" s="13">
        <f t="shared" si="366"/>
        <v>0</v>
      </c>
      <c r="AS170" s="13">
        <f t="shared" si="366"/>
        <v>0</v>
      </c>
      <c r="AT170" s="13">
        <f t="shared" si="366"/>
        <v>0</v>
      </c>
      <c r="AU170" s="13">
        <f t="shared" si="366"/>
        <v>0</v>
      </c>
      <c r="AV170" s="13">
        <f t="shared" si="366"/>
        <v>0</v>
      </c>
      <c r="AW170" s="13">
        <f t="shared" si="366"/>
        <v>0</v>
      </c>
      <c r="AX170" s="13">
        <f t="shared" si="366"/>
        <v>0</v>
      </c>
      <c r="AY170" s="13">
        <f t="shared" si="366"/>
        <v>0</v>
      </c>
      <c r="AZ170" s="13">
        <f t="shared" si="366"/>
        <v>0</v>
      </c>
      <c r="BA170" s="13">
        <f t="shared" si="366"/>
        <v>0</v>
      </c>
      <c r="BB170" s="13">
        <f t="shared" si="366"/>
        <v>0</v>
      </c>
      <c r="BC170" s="13">
        <f t="shared" si="366"/>
        <v>0</v>
      </c>
      <c r="BD170" s="13">
        <f t="shared" si="366"/>
        <v>0</v>
      </c>
      <c r="BE170" s="13">
        <f t="shared" si="366"/>
        <v>0</v>
      </c>
      <c r="BF170" s="13">
        <f t="shared" si="366"/>
        <v>0</v>
      </c>
      <c r="BG170" s="13">
        <f t="shared" si="366"/>
        <v>0</v>
      </c>
      <c r="BH170" s="13">
        <f t="shared" si="366"/>
        <v>0</v>
      </c>
      <c r="BI170" s="13">
        <f t="shared" si="366"/>
        <v>0</v>
      </c>
      <c r="BJ170" s="13">
        <f t="shared" si="366"/>
        <v>0</v>
      </c>
      <c r="BL170" s="13">
        <f t="shared" ref="BL170:BW170" si="367">SUMIFS(BL154:BL168, $E154:$E168, $E170)</f>
        <v>0</v>
      </c>
      <c r="BM170" s="13">
        <f t="shared" si="367"/>
        <v>0</v>
      </c>
      <c r="BN170" s="13">
        <f t="shared" si="367"/>
        <v>0</v>
      </c>
      <c r="BO170" s="13">
        <f t="shared" si="367"/>
        <v>0</v>
      </c>
      <c r="BP170" s="13">
        <f t="shared" si="367"/>
        <v>0</v>
      </c>
      <c r="BQ170" s="13">
        <f t="shared" si="367"/>
        <v>0</v>
      </c>
      <c r="BR170" s="13">
        <f t="shared" si="367"/>
        <v>0</v>
      </c>
      <c r="BS170" s="13">
        <f t="shared" si="367"/>
        <v>0</v>
      </c>
      <c r="BT170" s="13">
        <f t="shared" si="367"/>
        <v>0</v>
      </c>
      <c r="BU170" s="13">
        <f t="shared" si="367"/>
        <v>0</v>
      </c>
      <c r="BV170" s="13">
        <f t="shared" si="367"/>
        <v>0</v>
      </c>
      <c r="BW170" s="13">
        <f t="shared" si="367"/>
        <v>0</v>
      </c>
      <c r="BY170" s="12"/>
      <c r="BZ170" s="363">
        <f t="shared" si="307"/>
        <v>0</v>
      </c>
      <c r="CA170" s="12"/>
      <c r="CE170" s="335"/>
      <c r="CG170" s="335"/>
      <c r="CI170" s="7">
        <f t="shared" si="322"/>
        <v>0</v>
      </c>
      <c r="CJ170" s="7">
        <f t="shared" si="323"/>
        <v>0</v>
      </c>
      <c r="CK170" s="7">
        <f t="shared" si="324"/>
        <v>0</v>
      </c>
      <c r="CL170" s="42"/>
      <c r="CM170" s="352">
        <f t="shared" si="308"/>
        <v>0</v>
      </c>
      <c r="CN170" s="352">
        <f t="shared" si="309"/>
        <v>0</v>
      </c>
      <c r="CO170" s="352">
        <f t="shared" si="310"/>
        <v>0</v>
      </c>
      <c r="CP170" s="352">
        <f t="shared" si="311"/>
        <v>0</v>
      </c>
      <c r="CQ170" s="352">
        <f t="shared" si="312"/>
        <v>0</v>
      </c>
      <c r="CR170" s="352">
        <f t="shared" si="313"/>
        <v>0</v>
      </c>
      <c r="CS170" s="352">
        <f t="shared" si="314"/>
        <v>0</v>
      </c>
      <c r="CT170" s="42"/>
      <c r="CU170" s="319">
        <v>0</v>
      </c>
      <c r="CV170" s="319">
        <v>0</v>
      </c>
      <c r="EX170" s="10" t="str">
        <f t="shared" si="255"/>
        <v/>
      </c>
    </row>
    <row r="171" spans="1:154" s="319" customFormat="1" x14ac:dyDescent="0.25">
      <c r="A171" s="362" cm="1">
        <f t="array" aca="1" ref="A171" ca="1">HYPERLINK(CONCATENATE("#",CELL("address",IF(SUM($CA171:$CL171)=0,A171,INDEX($CA171:$CL171,MATCH(1,$CA171:$CL171,0))))),SUM($CA171:$CL171))</f>
        <v>0</v>
      </c>
      <c r="C171" s="410"/>
      <c r="D171" s="5" t="s">
        <v>398</v>
      </c>
      <c r="E171" s="5" t="str">
        <f>Parameters!$D$47</f>
        <v>Investments</v>
      </c>
      <c r="I171" s="116"/>
      <c r="T171" s="25"/>
      <c r="U171" s="25"/>
      <c r="V171" s="13">
        <f>SUMIFS(V154:V168, $E154:$E168, $E171)</f>
        <v>0</v>
      </c>
      <c r="W171" s="13">
        <f>SUMIFS(W154:W168, $E154:$E168, $E171)</f>
        <v>0</v>
      </c>
      <c r="X171" s="13">
        <f>SUMIFS(X154:X168, $E154:$E168, $E171)</f>
        <v>0</v>
      </c>
      <c r="Y171" s="13">
        <f>SUMIFS(Y154:Y168, $E154:$E168, $E171)</f>
        <v>0</v>
      </c>
      <c r="Z171" s="335"/>
      <c r="AA171" s="13">
        <f t="shared" ref="AA171:BJ171" si="368">SUMIFS(AA154:AA168, $E154:$E168, $E171)</f>
        <v>0</v>
      </c>
      <c r="AB171" s="13">
        <f t="shared" si="368"/>
        <v>0</v>
      </c>
      <c r="AC171" s="13">
        <f t="shared" si="368"/>
        <v>0</v>
      </c>
      <c r="AD171" s="13">
        <f t="shared" si="368"/>
        <v>0</v>
      </c>
      <c r="AE171" s="13">
        <f t="shared" si="368"/>
        <v>0</v>
      </c>
      <c r="AF171" s="13">
        <f t="shared" si="368"/>
        <v>0</v>
      </c>
      <c r="AG171" s="13">
        <f t="shared" si="368"/>
        <v>0</v>
      </c>
      <c r="AH171" s="13">
        <f t="shared" si="368"/>
        <v>0</v>
      </c>
      <c r="AI171" s="13">
        <f t="shared" si="368"/>
        <v>0</v>
      </c>
      <c r="AJ171" s="13">
        <f t="shared" si="368"/>
        <v>0</v>
      </c>
      <c r="AK171" s="13">
        <f t="shared" si="368"/>
        <v>0</v>
      </c>
      <c r="AL171" s="13">
        <f t="shared" si="368"/>
        <v>0</v>
      </c>
      <c r="AM171" s="13">
        <f t="shared" si="368"/>
        <v>0</v>
      </c>
      <c r="AN171" s="13">
        <f t="shared" si="368"/>
        <v>0</v>
      </c>
      <c r="AO171" s="13">
        <f t="shared" si="368"/>
        <v>0</v>
      </c>
      <c r="AP171" s="13">
        <f t="shared" si="368"/>
        <v>0</v>
      </c>
      <c r="AQ171" s="13">
        <f t="shared" si="368"/>
        <v>0</v>
      </c>
      <c r="AR171" s="13">
        <f t="shared" si="368"/>
        <v>0</v>
      </c>
      <c r="AS171" s="13">
        <f t="shared" si="368"/>
        <v>0</v>
      </c>
      <c r="AT171" s="13">
        <f t="shared" si="368"/>
        <v>0</v>
      </c>
      <c r="AU171" s="13">
        <f t="shared" si="368"/>
        <v>0</v>
      </c>
      <c r="AV171" s="13">
        <f t="shared" si="368"/>
        <v>0</v>
      </c>
      <c r="AW171" s="13">
        <f t="shared" si="368"/>
        <v>0</v>
      </c>
      <c r="AX171" s="13">
        <f t="shared" si="368"/>
        <v>0</v>
      </c>
      <c r="AY171" s="13">
        <f t="shared" si="368"/>
        <v>0</v>
      </c>
      <c r="AZ171" s="13">
        <f t="shared" si="368"/>
        <v>0</v>
      </c>
      <c r="BA171" s="13">
        <f t="shared" si="368"/>
        <v>0</v>
      </c>
      <c r="BB171" s="13">
        <f t="shared" si="368"/>
        <v>0</v>
      </c>
      <c r="BC171" s="13">
        <f t="shared" si="368"/>
        <v>0</v>
      </c>
      <c r="BD171" s="13">
        <f t="shared" si="368"/>
        <v>0</v>
      </c>
      <c r="BE171" s="13">
        <f t="shared" si="368"/>
        <v>0</v>
      </c>
      <c r="BF171" s="13">
        <f t="shared" si="368"/>
        <v>0</v>
      </c>
      <c r="BG171" s="13">
        <f t="shared" si="368"/>
        <v>0</v>
      </c>
      <c r="BH171" s="13">
        <f t="shared" si="368"/>
        <v>0</v>
      </c>
      <c r="BI171" s="13">
        <f t="shared" si="368"/>
        <v>0</v>
      </c>
      <c r="BJ171" s="13">
        <f t="shared" si="368"/>
        <v>0</v>
      </c>
      <c r="BL171" s="13">
        <f t="shared" ref="BL171:BW171" si="369">SUMIFS(BL154:BL168, $E154:$E168, $E171)</f>
        <v>0</v>
      </c>
      <c r="BM171" s="13">
        <f t="shared" si="369"/>
        <v>0</v>
      </c>
      <c r="BN171" s="13">
        <f t="shared" si="369"/>
        <v>0</v>
      </c>
      <c r="BO171" s="13">
        <f t="shared" si="369"/>
        <v>0</v>
      </c>
      <c r="BP171" s="13">
        <f t="shared" si="369"/>
        <v>0</v>
      </c>
      <c r="BQ171" s="13">
        <f t="shared" si="369"/>
        <v>0</v>
      </c>
      <c r="BR171" s="13">
        <f t="shared" si="369"/>
        <v>0</v>
      </c>
      <c r="BS171" s="13">
        <f t="shared" si="369"/>
        <v>0</v>
      </c>
      <c r="BT171" s="13">
        <f t="shared" si="369"/>
        <v>0</v>
      </c>
      <c r="BU171" s="13">
        <f t="shared" si="369"/>
        <v>0</v>
      </c>
      <c r="BV171" s="13">
        <f t="shared" si="369"/>
        <v>0</v>
      </c>
      <c r="BW171" s="13">
        <f t="shared" si="369"/>
        <v>0</v>
      </c>
      <c r="BY171" s="12"/>
      <c r="BZ171" s="363">
        <f t="shared" si="307"/>
        <v>0</v>
      </c>
      <c r="CA171" s="12"/>
      <c r="CE171" s="335"/>
      <c r="CG171" s="335"/>
      <c r="CI171" s="7">
        <f t="shared" si="322"/>
        <v>0</v>
      </c>
      <c r="CJ171" s="7">
        <f t="shared" si="323"/>
        <v>0</v>
      </c>
      <c r="CK171" s="7">
        <f t="shared" si="324"/>
        <v>0</v>
      </c>
      <c r="CL171" s="42"/>
      <c r="CM171" s="352">
        <f t="shared" si="308"/>
        <v>0</v>
      </c>
      <c r="CN171" s="352">
        <f t="shared" si="309"/>
        <v>0</v>
      </c>
      <c r="CO171" s="352">
        <f t="shared" si="310"/>
        <v>0</v>
      </c>
      <c r="CP171" s="352">
        <f t="shared" si="311"/>
        <v>0</v>
      </c>
      <c r="CQ171" s="352">
        <f t="shared" si="312"/>
        <v>0</v>
      </c>
      <c r="CR171" s="352">
        <f t="shared" si="313"/>
        <v>0</v>
      </c>
      <c r="CS171" s="352">
        <f t="shared" si="314"/>
        <v>0</v>
      </c>
      <c r="CT171" s="42"/>
      <c r="CU171" s="319">
        <v>0</v>
      </c>
      <c r="CV171" s="319">
        <v>0</v>
      </c>
      <c r="EX171" s="10" t="str">
        <f t="shared" si="255"/>
        <v/>
      </c>
    </row>
    <row r="172" spans="1:154" s="319" customFormat="1" x14ac:dyDescent="0.25">
      <c r="A172" s="362" cm="1">
        <f t="array" aca="1" ref="A172" ca="1">HYPERLINK(CONCATENATE("#",CELL("address",IF(SUM($CA172:$CL172)=0,A172,INDEX($CA172:$CL172,MATCH(1,$CA172:$CL172,0))))),SUM($CA172:$CL172))</f>
        <v>0</v>
      </c>
      <c r="C172" s="410"/>
      <c r="D172" s="5" t="s">
        <v>399</v>
      </c>
      <c r="E172" s="5" t="str">
        <f>Parameters!$D$48</f>
        <v>Other NCA</v>
      </c>
      <c r="I172" s="116"/>
      <c r="T172" s="25"/>
      <c r="U172" s="25"/>
      <c r="V172" s="13">
        <f>SUMIFS(V154:V168, $E154:$E168, $E172)</f>
        <v>0</v>
      </c>
      <c r="W172" s="13">
        <f>SUMIFS(W154:W168, $E154:$E168, $E172)</f>
        <v>0</v>
      </c>
      <c r="X172" s="13">
        <f>SUMIFS(X154:X168, $E154:$E168, $E172)</f>
        <v>0</v>
      </c>
      <c r="Y172" s="13">
        <f>SUMIFS(Y154:Y168, $E154:$E168, $E172)</f>
        <v>0</v>
      </c>
      <c r="Z172" s="335"/>
      <c r="AA172" s="13">
        <f t="shared" ref="AA172:BJ172" si="370">SUMIFS(AA154:AA168, $E154:$E168, $E172)</f>
        <v>0</v>
      </c>
      <c r="AB172" s="13">
        <f t="shared" si="370"/>
        <v>0</v>
      </c>
      <c r="AC172" s="13">
        <f t="shared" si="370"/>
        <v>0</v>
      </c>
      <c r="AD172" s="13">
        <f t="shared" si="370"/>
        <v>0</v>
      </c>
      <c r="AE172" s="13">
        <f t="shared" si="370"/>
        <v>0</v>
      </c>
      <c r="AF172" s="13">
        <f t="shared" si="370"/>
        <v>0</v>
      </c>
      <c r="AG172" s="13">
        <f t="shared" si="370"/>
        <v>0</v>
      </c>
      <c r="AH172" s="13">
        <f t="shared" si="370"/>
        <v>0</v>
      </c>
      <c r="AI172" s="13">
        <f t="shared" si="370"/>
        <v>0</v>
      </c>
      <c r="AJ172" s="13">
        <f t="shared" si="370"/>
        <v>0</v>
      </c>
      <c r="AK172" s="13">
        <f t="shared" si="370"/>
        <v>0</v>
      </c>
      <c r="AL172" s="13">
        <f t="shared" si="370"/>
        <v>0</v>
      </c>
      <c r="AM172" s="13">
        <f t="shared" si="370"/>
        <v>0</v>
      </c>
      <c r="AN172" s="13">
        <f t="shared" si="370"/>
        <v>0</v>
      </c>
      <c r="AO172" s="13">
        <f t="shared" si="370"/>
        <v>0</v>
      </c>
      <c r="AP172" s="13">
        <f t="shared" si="370"/>
        <v>0</v>
      </c>
      <c r="AQ172" s="13">
        <f t="shared" si="370"/>
        <v>0</v>
      </c>
      <c r="AR172" s="13">
        <f t="shared" si="370"/>
        <v>0</v>
      </c>
      <c r="AS172" s="13">
        <f t="shared" si="370"/>
        <v>0</v>
      </c>
      <c r="AT172" s="13">
        <f t="shared" si="370"/>
        <v>0</v>
      </c>
      <c r="AU172" s="13">
        <f t="shared" si="370"/>
        <v>0</v>
      </c>
      <c r="AV172" s="13">
        <f t="shared" si="370"/>
        <v>0</v>
      </c>
      <c r="AW172" s="13">
        <f t="shared" si="370"/>
        <v>0</v>
      </c>
      <c r="AX172" s="13">
        <f t="shared" si="370"/>
        <v>0</v>
      </c>
      <c r="AY172" s="13">
        <f t="shared" si="370"/>
        <v>0</v>
      </c>
      <c r="AZ172" s="13">
        <f t="shared" si="370"/>
        <v>0</v>
      </c>
      <c r="BA172" s="13">
        <f t="shared" si="370"/>
        <v>0</v>
      </c>
      <c r="BB172" s="13">
        <f t="shared" si="370"/>
        <v>0</v>
      </c>
      <c r="BC172" s="13">
        <f t="shared" si="370"/>
        <v>0</v>
      </c>
      <c r="BD172" s="13">
        <f t="shared" si="370"/>
        <v>0</v>
      </c>
      <c r="BE172" s="13">
        <f t="shared" si="370"/>
        <v>0</v>
      </c>
      <c r="BF172" s="13">
        <f t="shared" si="370"/>
        <v>0</v>
      </c>
      <c r="BG172" s="13">
        <f t="shared" si="370"/>
        <v>0</v>
      </c>
      <c r="BH172" s="13">
        <f t="shared" si="370"/>
        <v>0</v>
      </c>
      <c r="BI172" s="13">
        <f t="shared" si="370"/>
        <v>0</v>
      </c>
      <c r="BJ172" s="13">
        <f t="shared" si="370"/>
        <v>0</v>
      </c>
      <c r="BL172" s="13">
        <f t="shared" ref="BL172:BW172" si="371">SUMIFS(BL154:BL168, $E154:$E168, $E172)</f>
        <v>0</v>
      </c>
      <c r="BM172" s="13">
        <f t="shared" si="371"/>
        <v>0</v>
      </c>
      <c r="BN172" s="13">
        <f t="shared" si="371"/>
        <v>0</v>
      </c>
      <c r="BO172" s="13">
        <f t="shared" si="371"/>
        <v>0</v>
      </c>
      <c r="BP172" s="13">
        <f t="shared" si="371"/>
        <v>0</v>
      </c>
      <c r="BQ172" s="13">
        <f t="shared" si="371"/>
        <v>0</v>
      </c>
      <c r="BR172" s="13">
        <f t="shared" si="371"/>
        <v>0</v>
      </c>
      <c r="BS172" s="13">
        <f t="shared" si="371"/>
        <v>0</v>
      </c>
      <c r="BT172" s="13">
        <f t="shared" si="371"/>
        <v>0</v>
      </c>
      <c r="BU172" s="13">
        <f t="shared" si="371"/>
        <v>0</v>
      </c>
      <c r="BV172" s="13">
        <f t="shared" si="371"/>
        <v>0</v>
      </c>
      <c r="BW172" s="13">
        <f t="shared" si="371"/>
        <v>0</v>
      </c>
      <c r="BY172" s="12"/>
      <c r="BZ172" s="363">
        <f t="shared" si="307"/>
        <v>0</v>
      </c>
      <c r="CA172" s="12"/>
      <c r="CE172" s="335"/>
      <c r="CG172" s="335"/>
      <c r="CI172" s="7">
        <f t="shared" si="322"/>
        <v>0</v>
      </c>
      <c r="CJ172" s="7">
        <f t="shared" si="323"/>
        <v>0</v>
      </c>
      <c r="CK172" s="7">
        <f t="shared" si="324"/>
        <v>0</v>
      </c>
      <c r="CL172" s="42"/>
      <c r="CM172" s="352">
        <f t="shared" si="308"/>
        <v>0</v>
      </c>
      <c r="CN172" s="352">
        <f t="shared" si="309"/>
        <v>0</v>
      </c>
      <c r="CO172" s="352">
        <f t="shared" si="310"/>
        <v>0</v>
      </c>
      <c r="CP172" s="352">
        <f t="shared" si="311"/>
        <v>0</v>
      </c>
      <c r="CQ172" s="352">
        <f t="shared" si="312"/>
        <v>0</v>
      </c>
      <c r="CR172" s="352">
        <f t="shared" si="313"/>
        <v>0</v>
      </c>
      <c r="CS172" s="352">
        <f t="shared" si="314"/>
        <v>0</v>
      </c>
      <c r="CT172" s="42"/>
      <c r="CU172" s="319">
        <v>0</v>
      </c>
      <c r="CV172" s="319">
        <v>0</v>
      </c>
      <c r="EX172" s="10" t="str">
        <f t="shared" si="255"/>
        <v/>
      </c>
    </row>
    <row r="173" spans="1:154" s="319" customFormat="1" x14ac:dyDescent="0.25">
      <c r="A173" s="362" cm="1">
        <f t="array" aca="1" ref="A173" ca="1">HYPERLINK(CONCATENATE("#",CELL("address",IF(SUM($CA173:$CL173)=0,A173,INDEX($CA173:$CL173,MATCH(1,$CA173:$CL173,0))))),SUM($CA173:$CL173))</f>
        <v>0</v>
      </c>
      <c r="C173" s="410"/>
      <c r="D173" s="5" t="s">
        <v>838</v>
      </c>
      <c r="E173" s="5" t="str">
        <f>Parameters!$D$49</f>
        <v xml:space="preserve">Assets Held for Sale </v>
      </c>
      <c r="I173" s="116"/>
      <c r="T173" s="25"/>
      <c r="U173" s="25"/>
      <c r="V173" s="13">
        <f>SUMIFS(V154:V168, $E154:$E168, $E173)</f>
        <v>0</v>
      </c>
      <c r="W173" s="13">
        <f>SUMIFS(W154:W168, $E154:$E168, $E173)</f>
        <v>0</v>
      </c>
      <c r="X173" s="13">
        <f>SUMIFS(X154:X168, $E154:$E168, $E173)</f>
        <v>0</v>
      </c>
      <c r="Y173" s="13">
        <f>SUMIFS(Y154:Y168, $E154:$E168, $E173)</f>
        <v>0</v>
      </c>
      <c r="Z173" s="335"/>
      <c r="AA173" s="13">
        <f t="shared" ref="AA173:BJ173" si="372">SUMIFS(AA154:AA168, $E154:$E168, $E173)</f>
        <v>0</v>
      </c>
      <c r="AB173" s="13">
        <f t="shared" si="372"/>
        <v>0</v>
      </c>
      <c r="AC173" s="13">
        <f t="shared" si="372"/>
        <v>0</v>
      </c>
      <c r="AD173" s="13">
        <f t="shared" si="372"/>
        <v>0</v>
      </c>
      <c r="AE173" s="13">
        <f t="shared" si="372"/>
        <v>0</v>
      </c>
      <c r="AF173" s="13">
        <f t="shared" si="372"/>
        <v>0</v>
      </c>
      <c r="AG173" s="13">
        <f t="shared" si="372"/>
        <v>0</v>
      </c>
      <c r="AH173" s="13">
        <f t="shared" si="372"/>
        <v>0</v>
      </c>
      <c r="AI173" s="13">
        <f t="shared" si="372"/>
        <v>0</v>
      </c>
      <c r="AJ173" s="13">
        <f t="shared" si="372"/>
        <v>0</v>
      </c>
      <c r="AK173" s="13">
        <f t="shared" si="372"/>
        <v>0</v>
      </c>
      <c r="AL173" s="13">
        <f t="shared" si="372"/>
        <v>0</v>
      </c>
      <c r="AM173" s="13">
        <f t="shared" si="372"/>
        <v>0</v>
      </c>
      <c r="AN173" s="13">
        <f t="shared" si="372"/>
        <v>0</v>
      </c>
      <c r="AO173" s="13">
        <f t="shared" si="372"/>
        <v>0</v>
      </c>
      <c r="AP173" s="13">
        <f t="shared" si="372"/>
        <v>0</v>
      </c>
      <c r="AQ173" s="13">
        <f t="shared" si="372"/>
        <v>0</v>
      </c>
      <c r="AR173" s="13">
        <f t="shared" si="372"/>
        <v>0</v>
      </c>
      <c r="AS173" s="13">
        <f t="shared" si="372"/>
        <v>0</v>
      </c>
      <c r="AT173" s="13">
        <f t="shared" si="372"/>
        <v>0</v>
      </c>
      <c r="AU173" s="13">
        <f t="shared" si="372"/>
        <v>0</v>
      </c>
      <c r="AV173" s="13">
        <f t="shared" si="372"/>
        <v>0</v>
      </c>
      <c r="AW173" s="13">
        <f t="shared" si="372"/>
        <v>0</v>
      </c>
      <c r="AX173" s="13">
        <f t="shared" si="372"/>
        <v>0</v>
      </c>
      <c r="AY173" s="13">
        <f t="shared" si="372"/>
        <v>0</v>
      </c>
      <c r="AZ173" s="13">
        <f t="shared" si="372"/>
        <v>0</v>
      </c>
      <c r="BA173" s="13">
        <f t="shared" si="372"/>
        <v>0</v>
      </c>
      <c r="BB173" s="13">
        <f t="shared" si="372"/>
        <v>0</v>
      </c>
      <c r="BC173" s="13">
        <f t="shared" si="372"/>
        <v>0</v>
      </c>
      <c r="BD173" s="13">
        <f t="shared" si="372"/>
        <v>0</v>
      </c>
      <c r="BE173" s="13">
        <f t="shared" si="372"/>
        <v>0</v>
      </c>
      <c r="BF173" s="13">
        <f t="shared" si="372"/>
        <v>0</v>
      </c>
      <c r="BG173" s="13">
        <f t="shared" si="372"/>
        <v>0</v>
      </c>
      <c r="BH173" s="13">
        <f t="shared" si="372"/>
        <v>0</v>
      </c>
      <c r="BI173" s="13">
        <f t="shared" si="372"/>
        <v>0</v>
      </c>
      <c r="BJ173" s="13">
        <f t="shared" si="372"/>
        <v>0</v>
      </c>
      <c r="BL173" s="13">
        <f t="shared" ref="BL173:BW173" si="373">SUMIFS(BL154:BL168, $E154:$E168, $E173)</f>
        <v>0</v>
      </c>
      <c r="BM173" s="13">
        <f t="shared" si="373"/>
        <v>0</v>
      </c>
      <c r="BN173" s="13">
        <f t="shared" si="373"/>
        <v>0</v>
      </c>
      <c r="BO173" s="13">
        <f t="shared" si="373"/>
        <v>0</v>
      </c>
      <c r="BP173" s="13">
        <f t="shared" si="373"/>
        <v>0</v>
      </c>
      <c r="BQ173" s="13">
        <f t="shared" si="373"/>
        <v>0</v>
      </c>
      <c r="BR173" s="13">
        <f t="shared" si="373"/>
        <v>0</v>
      </c>
      <c r="BS173" s="13">
        <f t="shared" si="373"/>
        <v>0</v>
      </c>
      <c r="BT173" s="13">
        <f t="shared" si="373"/>
        <v>0</v>
      </c>
      <c r="BU173" s="13">
        <f t="shared" si="373"/>
        <v>0</v>
      </c>
      <c r="BV173" s="13">
        <f t="shared" si="373"/>
        <v>0</v>
      </c>
      <c r="BW173" s="13">
        <f t="shared" si="373"/>
        <v>0</v>
      </c>
      <c r="BY173" s="12"/>
      <c r="BZ173" s="363">
        <f t="shared" si="307"/>
        <v>0</v>
      </c>
      <c r="CA173" s="12"/>
      <c r="CE173" s="335"/>
      <c r="CG173" s="335"/>
      <c r="CI173" s="7">
        <f t="shared" si="322"/>
        <v>0</v>
      </c>
      <c r="CJ173" s="7">
        <f t="shared" si="323"/>
        <v>0</v>
      </c>
      <c r="CK173" s="7">
        <f t="shared" si="324"/>
        <v>0</v>
      </c>
      <c r="CL173" s="42"/>
      <c r="CM173" s="352">
        <f t="shared" si="308"/>
        <v>0</v>
      </c>
      <c r="CN173" s="352">
        <f t="shared" si="309"/>
        <v>0</v>
      </c>
      <c r="CO173" s="352">
        <f t="shared" si="310"/>
        <v>0</v>
      </c>
      <c r="CP173" s="352">
        <f t="shared" si="311"/>
        <v>0</v>
      </c>
      <c r="CQ173" s="352">
        <f t="shared" si="312"/>
        <v>0</v>
      </c>
      <c r="CR173" s="352">
        <f t="shared" si="313"/>
        <v>0</v>
      </c>
      <c r="CS173" s="352">
        <f t="shared" si="314"/>
        <v>0</v>
      </c>
      <c r="CT173" s="42"/>
      <c r="CU173" s="319">
        <v>0</v>
      </c>
      <c r="CV173" s="319">
        <v>0</v>
      </c>
      <c r="EX173" s="10" t="str">
        <f t="shared" si="255"/>
        <v/>
      </c>
    </row>
    <row r="174" spans="1:154" s="319" customFormat="1" x14ac:dyDescent="0.25">
      <c r="A174" s="362" cm="1">
        <f t="array" aca="1" ref="A174" ca="1">HYPERLINK(CONCATENATE("#",CELL("address",IF(SUM($CA174:$CL174)=0,A174,INDEX($CA174:$CL174,MATCH(1,$CA174:$CL174,0))))),SUM($CA174:$CL174))</f>
        <v>0</v>
      </c>
      <c r="C174" s="410"/>
      <c r="D174" s="5" t="s">
        <v>610</v>
      </c>
      <c r="E174" s="5" t="s">
        <v>391</v>
      </c>
      <c r="I174" s="116"/>
      <c r="T174" s="25"/>
      <c r="U174" s="25"/>
      <c r="V174" s="13">
        <f>SUM(V169:V173)</f>
        <v>0</v>
      </c>
      <c r="W174" s="13">
        <f t="shared" ref="W174" si="374">SUM(W169:W173)</f>
        <v>0</v>
      </c>
      <c r="X174" s="13">
        <f t="shared" ref="X174" si="375">SUM(X169:X173)</f>
        <v>0</v>
      </c>
      <c r="Y174" s="13">
        <f t="shared" ref="Y174" si="376">SUM(Y169:Y173)</f>
        <v>0</v>
      </c>
      <c r="Z174" s="335"/>
      <c r="AA174" s="13">
        <f t="shared" ref="AA174" si="377">SUM(AA169:AA173)</f>
        <v>0</v>
      </c>
      <c r="AB174" s="13">
        <f t="shared" ref="AB174" si="378">SUM(AB169:AB173)</f>
        <v>0</v>
      </c>
      <c r="AC174" s="13">
        <f t="shared" ref="AC174" si="379">SUM(AC169:AC173)</f>
        <v>0</v>
      </c>
      <c r="AD174" s="13">
        <f t="shared" ref="AD174" si="380">SUM(AD169:AD173)</f>
        <v>0</v>
      </c>
      <c r="AE174" s="13">
        <f t="shared" ref="AE174" si="381">SUM(AE169:AE173)</f>
        <v>0</v>
      </c>
      <c r="AF174" s="13">
        <f t="shared" ref="AF174" si="382">SUM(AF169:AF173)</f>
        <v>0</v>
      </c>
      <c r="AG174" s="13">
        <f t="shared" ref="AG174" si="383">SUM(AG169:AG173)</f>
        <v>0</v>
      </c>
      <c r="AH174" s="13">
        <f t="shared" ref="AH174" si="384">SUM(AH169:AH173)</f>
        <v>0</v>
      </c>
      <c r="AI174" s="13">
        <f t="shared" ref="AI174" si="385">SUM(AI169:AI173)</f>
        <v>0</v>
      </c>
      <c r="AJ174" s="13">
        <f t="shared" ref="AJ174" si="386">SUM(AJ169:AJ173)</f>
        <v>0</v>
      </c>
      <c r="AK174" s="13">
        <f t="shared" ref="AK174" si="387">SUM(AK169:AK173)</f>
        <v>0</v>
      </c>
      <c r="AL174" s="13">
        <f t="shared" ref="AL174" si="388">SUM(AL169:AL173)</f>
        <v>0</v>
      </c>
      <c r="AM174" s="13">
        <f t="shared" ref="AM174" si="389">SUM(AM169:AM173)</f>
        <v>0</v>
      </c>
      <c r="AN174" s="13">
        <f t="shared" ref="AN174" si="390">SUM(AN169:AN173)</f>
        <v>0</v>
      </c>
      <c r="AO174" s="13">
        <f t="shared" ref="AO174" si="391">SUM(AO169:AO173)</f>
        <v>0</v>
      </c>
      <c r="AP174" s="13">
        <f t="shared" ref="AP174" si="392">SUM(AP169:AP173)</f>
        <v>0</v>
      </c>
      <c r="AQ174" s="13">
        <f t="shared" ref="AQ174" si="393">SUM(AQ169:AQ173)</f>
        <v>0</v>
      </c>
      <c r="AR174" s="13">
        <f t="shared" ref="AR174" si="394">SUM(AR169:AR173)</f>
        <v>0</v>
      </c>
      <c r="AS174" s="13">
        <f t="shared" ref="AS174" si="395">SUM(AS169:AS173)</f>
        <v>0</v>
      </c>
      <c r="AT174" s="13">
        <f t="shared" ref="AT174" si="396">SUM(AT169:AT173)</f>
        <v>0</v>
      </c>
      <c r="AU174" s="13">
        <f t="shared" ref="AU174" si="397">SUM(AU169:AU173)</f>
        <v>0</v>
      </c>
      <c r="AV174" s="13">
        <f t="shared" ref="AV174" si="398">SUM(AV169:AV173)</f>
        <v>0</v>
      </c>
      <c r="AW174" s="13">
        <f t="shared" ref="AW174" si="399">SUM(AW169:AW173)</f>
        <v>0</v>
      </c>
      <c r="AX174" s="13">
        <f t="shared" ref="AX174" si="400">SUM(AX169:AX173)</f>
        <v>0</v>
      </c>
      <c r="AY174" s="13">
        <f t="shared" ref="AY174" si="401">SUM(AY169:AY173)</f>
        <v>0</v>
      </c>
      <c r="AZ174" s="13">
        <f t="shared" ref="AZ174" si="402">SUM(AZ169:AZ173)</f>
        <v>0</v>
      </c>
      <c r="BA174" s="13">
        <f t="shared" ref="BA174" si="403">SUM(BA169:BA173)</f>
        <v>0</v>
      </c>
      <c r="BB174" s="13">
        <f t="shared" ref="BB174" si="404">SUM(BB169:BB173)</f>
        <v>0</v>
      </c>
      <c r="BC174" s="13">
        <f t="shared" ref="BC174" si="405">SUM(BC169:BC173)</f>
        <v>0</v>
      </c>
      <c r="BD174" s="13">
        <f t="shared" ref="BD174" si="406">SUM(BD169:BD173)</f>
        <v>0</v>
      </c>
      <c r="BE174" s="13">
        <f t="shared" ref="BE174" si="407">SUM(BE169:BE173)</f>
        <v>0</v>
      </c>
      <c r="BF174" s="13">
        <f t="shared" ref="BF174" si="408">SUM(BF169:BF173)</f>
        <v>0</v>
      </c>
      <c r="BG174" s="13">
        <f t="shared" ref="BG174" si="409">SUM(BG169:BG173)</f>
        <v>0</v>
      </c>
      <c r="BH174" s="13">
        <f t="shared" ref="BH174" si="410">SUM(BH169:BH173)</f>
        <v>0</v>
      </c>
      <c r="BI174" s="13">
        <f t="shared" ref="BI174" si="411">SUM(BI169:BI173)</f>
        <v>0</v>
      </c>
      <c r="BJ174" s="13">
        <f t="shared" ref="BJ174" si="412">SUM(BJ169:BJ173)</f>
        <v>0</v>
      </c>
      <c r="BL174" s="13">
        <f t="shared" ref="BL174" si="413">SUM(BL169:BL173)</f>
        <v>0</v>
      </c>
      <c r="BM174" s="13">
        <f t="shared" ref="BM174" si="414">SUM(BM169:BM173)</f>
        <v>0</v>
      </c>
      <c r="BN174" s="13">
        <f t="shared" ref="BN174" si="415">SUM(BN169:BN173)</f>
        <v>0</v>
      </c>
      <c r="BO174" s="13">
        <f t="shared" ref="BO174" si="416">SUM(BO169:BO173)</f>
        <v>0</v>
      </c>
      <c r="BP174" s="13">
        <f t="shared" ref="BP174" si="417">SUM(BP169:BP173)</f>
        <v>0</v>
      </c>
      <c r="BQ174" s="13">
        <f t="shared" ref="BQ174" si="418">SUM(BQ169:BQ173)</f>
        <v>0</v>
      </c>
      <c r="BR174" s="13">
        <f t="shared" ref="BR174" si="419">SUM(BR169:BR173)</f>
        <v>0</v>
      </c>
      <c r="BS174" s="13">
        <f t="shared" ref="BS174" si="420">SUM(BS169:BS173)</f>
        <v>0</v>
      </c>
      <c r="BT174" s="13">
        <f t="shared" ref="BT174" si="421">SUM(BT169:BT173)</f>
        <v>0</v>
      </c>
      <c r="BU174" s="13">
        <f t="shared" ref="BU174" si="422">SUM(BU169:BU173)</f>
        <v>0</v>
      </c>
      <c r="BV174" s="13">
        <f t="shared" ref="BV174" si="423">SUM(BV169:BV173)</f>
        <v>0</v>
      </c>
      <c r="BW174" s="13">
        <f t="shared" ref="BW174" si="424">SUM(BW169:BW173)</f>
        <v>0</v>
      </c>
      <c r="BY174" s="12"/>
      <c r="BZ174" s="363">
        <f t="shared" si="307"/>
        <v>0</v>
      </c>
      <c r="CA174" s="12"/>
      <c r="CE174" s="335"/>
      <c r="CG174" s="335"/>
      <c r="CH174" s="7">
        <f>IF(ROUND(SUM($V174:$BW174)-SUM($V154:$BW168), rounding)=0, 0, 1)</f>
        <v>0</v>
      </c>
      <c r="CI174" s="7">
        <f t="shared" si="322"/>
        <v>0</v>
      </c>
      <c r="CJ174" s="7">
        <f t="shared" si="323"/>
        <v>0</v>
      </c>
      <c r="CK174" s="7">
        <f t="shared" si="324"/>
        <v>0</v>
      </c>
      <c r="CL174" s="42"/>
      <c r="CM174" s="352">
        <f t="shared" si="308"/>
        <v>0</v>
      </c>
      <c r="CN174" s="352">
        <f t="shared" si="309"/>
        <v>0</v>
      </c>
      <c r="CO174" s="352">
        <f t="shared" si="310"/>
        <v>0</v>
      </c>
      <c r="CP174" s="352">
        <f t="shared" si="311"/>
        <v>0</v>
      </c>
      <c r="CQ174" s="352">
        <f t="shared" si="312"/>
        <v>0</v>
      </c>
      <c r="CR174" s="352">
        <f t="shared" si="313"/>
        <v>0</v>
      </c>
      <c r="CS174" s="352">
        <f t="shared" si="314"/>
        <v>0</v>
      </c>
      <c r="CT174" s="42"/>
      <c r="CU174" s="319">
        <v>0</v>
      </c>
      <c r="CV174" s="319">
        <v>0</v>
      </c>
      <c r="EX174" s="10" t="str">
        <f t="shared" si="255"/>
        <v/>
      </c>
    </row>
    <row r="175" spans="1:154" ht="6.6" customHeight="1" x14ac:dyDescent="0.25">
      <c r="C175" s="410"/>
      <c r="D175" s="1"/>
      <c r="E175" s="67"/>
      <c r="T175" s="25"/>
      <c r="U175" s="25"/>
      <c r="V175" s="25"/>
      <c r="W175" s="25"/>
      <c r="X175" s="25"/>
      <c r="Y175" s="25"/>
      <c r="Z175" s="33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L175" s="25"/>
      <c r="BM175" s="155"/>
      <c r="BN175" s="25"/>
      <c r="BO175" s="25"/>
      <c r="BP175" s="25"/>
      <c r="BQ175" s="25"/>
      <c r="BR175" s="25"/>
      <c r="BS175" s="25"/>
      <c r="BT175" s="25"/>
      <c r="BU175" s="25"/>
      <c r="BV175" s="25"/>
      <c r="BW175" s="25"/>
      <c r="BY175" s="42"/>
      <c r="CA175" s="42"/>
      <c r="CL175" s="42"/>
      <c r="CM175" s="352"/>
      <c r="CN175" s="352"/>
      <c r="CO175" s="352"/>
      <c r="CP175" s="352"/>
      <c r="CQ175" s="352"/>
      <c r="CR175" s="352"/>
      <c r="CS175" s="352"/>
      <c r="CT175" s="42"/>
      <c r="CU175" s="67">
        <v>0</v>
      </c>
      <c r="CV175" s="67">
        <v>0</v>
      </c>
      <c r="EX175" s="10" t="str">
        <f t="shared" si="255"/>
        <v/>
      </c>
    </row>
    <row r="176" spans="1:154" s="319" customFormat="1" ht="14.45" customHeight="1" x14ac:dyDescent="0.25">
      <c r="C176" s="410"/>
      <c r="D176" s="27" t="s">
        <v>390</v>
      </c>
      <c r="T176" s="25"/>
      <c r="U176" s="25"/>
      <c r="V176" s="25"/>
      <c r="W176" s="25"/>
      <c r="X176" s="25"/>
      <c r="Y176" s="25"/>
      <c r="Z176" s="33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L176" s="25"/>
      <c r="BM176" s="155"/>
      <c r="BN176" s="25"/>
      <c r="BO176" s="25"/>
      <c r="BP176" s="25"/>
      <c r="BQ176" s="25"/>
      <c r="BR176" s="25"/>
      <c r="BS176" s="25"/>
      <c r="BT176" s="25"/>
      <c r="BU176" s="25"/>
      <c r="BV176" s="25"/>
      <c r="BW176" s="25"/>
      <c r="BY176" s="42"/>
      <c r="BZ176" s="335"/>
      <c r="CA176" s="42"/>
      <c r="CE176" s="335"/>
      <c r="CG176" s="335"/>
      <c r="CI176" s="335"/>
      <c r="CJ176" s="335"/>
      <c r="CK176" s="335"/>
      <c r="CL176" s="42"/>
      <c r="CM176" s="335"/>
      <c r="CN176" s="335"/>
      <c r="CO176" s="335"/>
      <c r="CP176" s="335"/>
      <c r="CQ176" s="335"/>
      <c r="CR176" s="335"/>
      <c r="CS176" s="335"/>
      <c r="CT176" s="42"/>
      <c r="CU176" s="319">
        <v>0</v>
      </c>
      <c r="CV176" s="319">
        <v>0</v>
      </c>
      <c r="EX176" s="10" t="str">
        <f t="shared" si="255"/>
        <v/>
      </c>
    </row>
    <row r="177" spans="1:154" ht="14.85" customHeight="1" x14ac:dyDescent="0.25">
      <c r="C177" s="410"/>
      <c r="D177" s="5" t="s">
        <v>369</v>
      </c>
      <c r="E177" s="5" t="s">
        <v>352</v>
      </c>
      <c r="F177" s="5" t="s">
        <v>372</v>
      </c>
      <c r="G177" s="5" t="s">
        <v>390</v>
      </c>
      <c r="T177" s="25"/>
      <c r="U177" s="25"/>
      <c r="V177" s="25"/>
      <c r="W177" s="25"/>
      <c r="X177" s="25"/>
      <c r="Y177" s="25"/>
      <c r="Z177" s="33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L177" s="25"/>
      <c r="BM177" s="155"/>
      <c r="BN177" s="25"/>
      <c r="BO177" s="25"/>
      <c r="BP177" s="25"/>
      <c r="BQ177" s="25"/>
      <c r="BR177" s="25"/>
      <c r="BS177" s="25"/>
      <c r="BT177" s="25"/>
      <c r="BU177" s="25"/>
      <c r="BV177" s="25"/>
      <c r="BW177" s="25"/>
      <c r="BY177" s="42"/>
      <c r="CA177" s="42"/>
      <c r="CL177" s="42"/>
      <c r="CT177" s="42"/>
      <c r="CU177" s="67">
        <v>0</v>
      </c>
      <c r="CV177" s="67">
        <v>0</v>
      </c>
      <c r="EX177" s="10" t="str">
        <f t="shared" si="255"/>
        <v/>
      </c>
    </row>
    <row r="178" spans="1:154" x14ac:dyDescent="0.25">
      <c r="A178" s="362" cm="1">
        <f t="array" aca="1" ref="A178" ca="1">HYPERLINK(CONCATENATE("#",CELL("address",IF(SUM($CA178:$CL178)=0,A178,INDEX($CA178:$CL178,MATCH(1,$CA178:$CL178,0))))),SUM($CA178:$CL178))</f>
        <v>0</v>
      </c>
      <c r="C178" s="410"/>
      <c r="D178" s="136">
        <f t="shared" ref="D178:D192" si="425">D130</f>
        <v>0</v>
      </c>
      <c r="E178" s="136">
        <f t="shared" ref="E178:E192" si="426">E130</f>
        <v>0</v>
      </c>
      <c r="F178" s="159" t="str">
        <f t="shared" ref="F178:F192" si="427">IF(F130="", "",F130)</f>
        <v/>
      </c>
      <c r="G178" s="10">
        <f t="shared" ref="G178:G192" si="428">G130-H130</f>
        <v>0</v>
      </c>
      <c r="H178" s="67" t="s">
        <v>86</v>
      </c>
      <c r="T178" s="25"/>
      <c r="U178" s="25"/>
      <c r="V178" s="13">
        <f>0-IF(AND($F178&gt;=Timeline!$V$8,$F178 &lt;=V$5),$G178, 0)</f>
        <v>0</v>
      </c>
      <c r="W178" s="10">
        <f>IF(AND($F178&gt;V$5,$F178 &lt;=W$5),$G178, 0)</f>
        <v>0</v>
      </c>
      <c r="X178" s="10">
        <f t="shared" ref="X178:Y178" si="429">IF(AND($F178&gt;W$5,$F178 &lt;=X$5),$G178, 0)</f>
        <v>0</v>
      </c>
      <c r="Y178" s="10">
        <f t="shared" si="429"/>
        <v>0</v>
      </c>
      <c r="Z178" s="335"/>
      <c r="AA178" s="13">
        <f t="shared" ref="AA178:AA192" si="430">IF(AND($F178&gt;V$5,$F178 &lt;=AA$5),$G178, 0)</f>
        <v>0</v>
      </c>
      <c r="AB178" s="10">
        <f t="shared" ref="AB178:AQ192" si="431">IF(AND($F178&gt;AA$5,$F178 &lt;=AB$5),$G178, 0)</f>
        <v>0</v>
      </c>
      <c r="AC178" s="10">
        <f t="shared" si="431"/>
        <v>0</v>
      </c>
      <c r="AD178" s="10">
        <f t="shared" si="431"/>
        <v>0</v>
      </c>
      <c r="AE178" s="10">
        <f t="shared" si="431"/>
        <v>0</v>
      </c>
      <c r="AF178" s="10">
        <f t="shared" si="431"/>
        <v>0</v>
      </c>
      <c r="AG178" s="10">
        <f t="shared" si="431"/>
        <v>0</v>
      </c>
      <c r="AH178" s="10">
        <f t="shared" si="431"/>
        <v>0</v>
      </c>
      <c r="AI178" s="10">
        <f t="shared" si="431"/>
        <v>0</v>
      </c>
      <c r="AJ178" s="10">
        <f t="shared" si="431"/>
        <v>0</v>
      </c>
      <c r="AK178" s="10">
        <f t="shared" si="431"/>
        <v>0</v>
      </c>
      <c r="AL178" s="10">
        <f t="shared" si="431"/>
        <v>0</v>
      </c>
      <c r="AM178" s="10">
        <f t="shared" si="431"/>
        <v>0</v>
      </c>
      <c r="AN178" s="10">
        <f t="shared" si="431"/>
        <v>0</v>
      </c>
      <c r="AO178" s="10">
        <f t="shared" si="431"/>
        <v>0</v>
      </c>
      <c r="AP178" s="10">
        <f t="shared" si="431"/>
        <v>0</v>
      </c>
      <c r="AQ178" s="10">
        <f t="shared" si="431"/>
        <v>0</v>
      </c>
      <c r="AR178" s="10">
        <f t="shared" ref="AC178:BJ185" si="432">IF(AND($F178&gt;AQ$5,$F178 &lt;=AR$5),$G178, 0)</f>
        <v>0</v>
      </c>
      <c r="AS178" s="10">
        <f t="shared" si="432"/>
        <v>0</v>
      </c>
      <c r="AT178" s="10">
        <f t="shared" si="432"/>
        <v>0</v>
      </c>
      <c r="AU178" s="10">
        <f t="shared" si="432"/>
        <v>0</v>
      </c>
      <c r="AV178" s="10">
        <f t="shared" si="432"/>
        <v>0</v>
      </c>
      <c r="AW178" s="10">
        <f t="shared" si="432"/>
        <v>0</v>
      </c>
      <c r="AX178" s="10">
        <f t="shared" si="432"/>
        <v>0</v>
      </c>
      <c r="AY178" s="10">
        <f t="shared" si="432"/>
        <v>0</v>
      </c>
      <c r="AZ178" s="10">
        <f t="shared" si="432"/>
        <v>0</v>
      </c>
      <c r="BA178" s="10">
        <f t="shared" si="432"/>
        <v>0</v>
      </c>
      <c r="BB178" s="10">
        <f t="shared" si="432"/>
        <v>0</v>
      </c>
      <c r="BC178" s="10">
        <f t="shared" si="432"/>
        <v>0</v>
      </c>
      <c r="BD178" s="10">
        <f t="shared" si="432"/>
        <v>0</v>
      </c>
      <c r="BE178" s="10">
        <f t="shared" si="432"/>
        <v>0</v>
      </c>
      <c r="BF178" s="10">
        <f t="shared" si="432"/>
        <v>0</v>
      </c>
      <c r="BG178" s="10">
        <f t="shared" si="432"/>
        <v>0</v>
      </c>
      <c r="BH178" s="10">
        <f t="shared" si="432"/>
        <v>0</v>
      </c>
      <c r="BI178" s="10">
        <f t="shared" si="432"/>
        <v>0</v>
      </c>
      <c r="BJ178" s="10">
        <f t="shared" si="432"/>
        <v>0</v>
      </c>
      <c r="BL178" s="13">
        <f t="shared" ref="BL178:BL192" si="433">V178</f>
        <v>0</v>
      </c>
      <c r="BM178" s="10">
        <f t="shared" ref="BM178:BW192" si="434">IF(AND($F178&gt;BL$5,$F178 &lt;=BM$5),$G178, 0)</f>
        <v>0</v>
      </c>
      <c r="BN178" s="10">
        <f t="shared" si="434"/>
        <v>0</v>
      </c>
      <c r="BO178" s="10">
        <f t="shared" si="434"/>
        <v>0</v>
      </c>
      <c r="BP178" s="10">
        <f t="shared" si="434"/>
        <v>0</v>
      </c>
      <c r="BQ178" s="10">
        <f t="shared" si="434"/>
        <v>0</v>
      </c>
      <c r="BR178" s="10">
        <f t="shared" si="434"/>
        <v>0</v>
      </c>
      <c r="BS178" s="10">
        <f t="shared" si="434"/>
        <v>0</v>
      </c>
      <c r="BT178" s="10">
        <f t="shared" si="434"/>
        <v>0</v>
      </c>
      <c r="BU178" s="10">
        <f t="shared" si="434"/>
        <v>0</v>
      </c>
      <c r="BV178" s="10">
        <f t="shared" si="434"/>
        <v>0</v>
      </c>
      <c r="BW178" s="10">
        <f t="shared" si="434"/>
        <v>0</v>
      </c>
      <c r="BY178" s="12"/>
      <c r="CA178" s="12"/>
      <c r="CI178" s="7">
        <f>IF(SUM($CM178:$CO178)=0, 0, 1)</f>
        <v>0</v>
      </c>
      <c r="CJ178" s="7">
        <f>IF(SUM($CP178:$CR178)=0, 0, 1)</f>
        <v>0</v>
      </c>
      <c r="CK178" s="7">
        <f>IF($CS178=0, 0, 1)</f>
        <v>0</v>
      </c>
      <c r="CL178" s="42"/>
      <c r="CM178" s="352">
        <f t="shared" ref="CM178:CM198" si="435">ROUND(W178-SUMIFS($AA178:$BJ178, $AA$3:$BJ$3, W$3), rounding)</f>
        <v>0</v>
      </c>
      <c r="CN178" s="352">
        <f t="shared" ref="CN178:CN198" si="436">ROUND(X178-SUMIFS($AA178:$BJ178, $AA$3:$BJ$3, X$3), rounding)</f>
        <v>0</v>
      </c>
      <c r="CO178" s="352">
        <f t="shared" ref="CO178:CO198" si="437">ROUND(Y178-SUMIFS($AA178:$BJ178, $AA$3:$BJ$3, Y$3), rounding)</f>
        <v>0</v>
      </c>
      <c r="CP178" s="352">
        <f t="shared" ref="CP178:CP198" si="438">ROUND($BM178-SUMIFS($AA178:$BJ178, $AA$3:$BJ$3, $BM$3), rounding)</f>
        <v>0</v>
      </c>
      <c r="CQ178" s="352">
        <f t="shared" ref="CQ178:CQ198" si="439">ROUND($BN178-SUMIFS($AA178:$BJ178, $AA$3:$BJ$3, $BN$3), rounding)</f>
        <v>0</v>
      </c>
      <c r="CR178" s="352">
        <f t="shared" ref="CR178:CR198" si="440">ROUND($BO178-SUMIFS($AA178:$BJ178, $AA$3:$BJ$3, $BO$3), rounding)</f>
        <v>0</v>
      </c>
      <c r="CS178" s="352">
        <f t="shared" ref="CS178:CS198" si="441">ROUND($V178-$BL178, rounding)</f>
        <v>0</v>
      </c>
      <c r="CT178" s="42"/>
      <c r="CU178" s="67">
        <v>0</v>
      </c>
      <c r="CV178" s="67">
        <v>0</v>
      </c>
      <c r="EX178" s="13" t="str">
        <f t="shared" ref="EX178:EX193" si="442">IF($C178="","",CONCATENATE(D$176, " ",$C178))</f>
        <v/>
      </c>
    </row>
    <row r="179" spans="1:154" x14ac:dyDescent="0.25">
      <c r="A179" s="362" cm="1">
        <f t="array" aca="1" ref="A179" ca="1">HYPERLINK(CONCATENATE("#",CELL("address",IF(SUM($CA179:$CL179)=0,A179,INDEX($CA179:$CL179,MATCH(1,$CA179:$CL179,0))))),SUM($CA179:$CL179))</f>
        <v>0</v>
      </c>
      <c r="C179" s="410"/>
      <c r="D179" s="136">
        <f t="shared" si="425"/>
        <v>0</v>
      </c>
      <c r="E179" s="136">
        <f t="shared" si="426"/>
        <v>0</v>
      </c>
      <c r="F179" s="159" t="str">
        <f t="shared" si="427"/>
        <v/>
      </c>
      <c r="G179" s="10">
        <f t="shared" si="428"/>
        <v>0</v>
      </c>
      <c r="H179" s="67" t="s">
        <v>86</v>
      </c>
      <c r="S179" s="335"/>
      <c r="T179" s="25"/>
      <c r="U179" s="25"/>
      <c r="V179" s="13">
        <f>0-IF(AND($F179&gt;=Timeline!$V$8,$F179 &lt;=V$5),$G179, 0)</f>
        <v>0</v>
      </c>
      <c r="W179" s="10">
        <f t="shared" ref="W179:Y179" si="443">IF(AND($F179&gt;V$5,$F179 &lt;=W$5),$G179, 0)</f>
        <v>0</v>
      </c>
      <c r="X179" s="10">
        <f t="shared" si="443"/>
        <v>0</v>
      </c>
      <c r="Y179" s="10">
        <f t="shared" si="443"/>
        <v>0</v>
      </c>
      <c r="Z179" s="335"/>
      <c r="AA179" s="13">
        <f t="shared" si="430"/>
        <v>0</v>
      </c>
      <c r="AB179" s="10">
        <f t="shared" si="431"/>
        <v>0</v>
      </c>
      <c r="AC179" s="10">
        <f t="shared" si="432"/>
        <v>0</v>
      </c>
      <c r="AD179" s="10">
        <f t="shared" si="432"/>
        <v>0</v>
      </c>
      <c r="AE179" s="10">
        <f t="shared" si="432"/>
        <v>0</v>
      </c>
      <c r="AF179" s="10">
        <f t="shared" si="432"/>
        <v>0</v>
      </c>
      <c r="AG179" s="10">
        <f t="shared" si="432"/>
        <v>0</v>
      </c>
      <c r="AH179" s="10">
        <f t="shared" si="432"/>
        <v>0</v>
      </c>
      <c r="AI179" s="10">
        <f t="shared" si="432"/>
        <v>0</v>
      </c>
      <c r="AJ179" s="10">
        <f t="shared" si="432"/>
        <v>0</v>
      </c>
      <c r="AK179" s="10">
        <f t="shared" si="432"/>
        <v>0</v>
      </c>
      <c r="AL179" s="10">
        <f t="shared" si="432"/>
        <v>0</v>
      </c>
      <c r="AM179" s="10">
        <f t="shared" si="432"/>
        <v>0</v>
      </c>
      <c r="AN179" s="10">
        <f t="shared" si="432"/>
        <v>0</v>
      </c>
      <c r="AO179" s="10">
        <f t="shared" si="432"/>
        <v>0</v>
      </c>
      <c r="AP179" s="10">
        <f t="shared" si="432"/>
        <v>0</v>
      </c>
      <c r="AQ179" s="10">
        <f t="shared" si="432"/>
        <v>0</v>
      </c>
      <c r="AR179" s="10">
        <f t="shared" si="432"/>
        <v>0</v>
      </c>
      <c r="AS179" s="10">
        <f t="shared" si="432"/>
        <v>0</v>
      </c>
      <c r="AT179" s="10">
        <f t="shared" si="432"/>
        <v>0</v>
      </c>
      <c r="AU179" s="10">
        <f t="shared" si="432"/>
        <v>0</v>
      </c>
      <c r="AV179" s="10">
        <f t="shared" si="432"/>
        <v>0</v>
      </c>
      <c r="AW179" s="10">
        <f t="shared" si="432"/>
        <v>0</v>
      </c>
      <c r="AX179" s="10">
        <f t="shared" si="432"/>
        <v>0</v>
      </c>
      <c r="AY179" s="10">
        <f t="shared" si="432"/>
        <v>0</v>
      </c>
      <c r="AZ179" s="10">
        <f t="shared" si="432"/>
        <v>0</v>
      </c>
      <c r="BA179" s="10">
        <f t="shared" si="432"/>
        <v>0</v>
      </c>
      <c r="BB179" s="10">
        <f t="shared" si="432"/>
        <v>0</v>
      </c>
      <c r="BC179" s="10">
        <f t="shared" si="432"/>
        <v>0</v>
      </c>
      <c r="BD179" s="10">
        <f t="shared" si="432"/>
        <v>0</v>
      </c>
      <c r="BE179" s="10">
        <f t="shared" si="432"/>
        <v>0</v>
      </c>
      <c r="BF179" s="10">
        <f t="shared" si="432"/>
        <v>0</v>
      </c>
      <c r="BG179" s="10">
        <f t="shared" si="432"/>
        <v>0</v>
      </c>
      <c r="BH179" s="10">
        <f t="shared" si="432"/>
        <v>0</v>
      </c>
      <c r="BI179" s="10">
        <f t="shared" si="432"/>
        <v>0</v>
      </c>
      <c r="BJ179" s="10">
        <f t="shared" si="432"/>
        <v>0</v>
      </c>
      <c r="BL179" s="13">
        <f t="shared" si="433"/>
        <v>0</v>
      </c>
      <c r="BM179" s="10">
        <f t="shared" si="434"/>
        <v>0</v>
      </c>
      <c r="BN179" s="10">
        <f t="shared" si="434"/>
        <v>0</v>
      </c>
      <c r="BO179" s="10">
        <f t="shared" si="434"/>
        <v>0</v>
      </c>
      <c r="BP179" s="10">
        <f t="shared" si="434"/>
        <v>0</v>
      </c>
      <c r="BQ179" s="10">
        <f t="shared" si="434"/>
        <v>0</v>
      </c>
      <c r="BR179" s="10">
        <f t="shared" si="434"/>
        <v>0</v>
      </c>
      <c r="BS179" s="10">
        <f t="shared" si="434"/>
        <v>0</v>
      </c>
      <c r="BT179" s="10">
        <f t="shared" si="434"/>
        <v>0</v>
      </c>
      <c r="BU179" s="10">
        <f t="shared" si="434"/>
        <v>0</v>
      </c>
      <c r="BV179" s="10">
        <f t="shared" si="434"/>
        <v>0</v>
      </c>
      <c r="BW179" s="10">
        <f t="shared" si="434"/>
        <v>0</v>
      </c>
      <c r="BY179" s="12"/>
      <c r="CA179" s="12"/>
      <c r="CI179" s="7">
        <f t="shared" ref="CI179:CI198" si="444">IF(SUM($CM179:$CO179)=0, 0, 1)</f>
        <v>0</v>
      </c>
      <c r="CJ179" s="7">
        <f t="shared" ref="CJ179:CJ198" si="445">IF(SUM($CP179:$CR179)=0, 0, 1)</f>
        <v>0</v>
      </c>
      <c r="CK179" s="7">
        <f t="shared" ref="CK179:CK198" si="446">IF($CS179=0, 0, 1)</f>
        <v>0</v>
      </c>
      <c r="CL179" s="42"/>
      <c r="CM179" s="352">
        <f t="shared" si="435"/>
        <v>0</v>
      </c>
      <c r="CN179" s="352">
        <f t="shared" si="436"/>
        <v>0</v>
      </c>
      <c r="CO179" s="352">
        <f t="shared" si="437"/>
        <v>0</v>
      </c>
      <c r="CP179" s="352">
        <f t="shared" si="438"/>
        <v>0</v>
      </c>
      <c r="CQ179" s="352">
        <f t="shared" si="439"/>
        <v>0</v>
      </c>
      <c r="CR179" s="352">
        <f t="shared" si="440"/>
        <v>0</v>
      </c>
      <c r="CS179" s="352">
        <f t="shared" si="441"/>
        <v>0</v>
      </c>
      <c r="CT179" s="42"/>
      <c r="CU179" s="67">
        <v>0</v>
      </c>
      <c r="CV179" s="67">
        <v>0</v>
      </c>
      <c r="EX179" s="13" t="str">
        <f t="shared" si="442"/>
        <v/>
      </c>
    </row>
    <row r="180" spans="1:154" x14ac:dyDescent="0.25">
      <c r="A180" s="362" cm="1">
        <f t="array" aca="1" ref="A180" ca="1">HYPERLINK(CONCATENATE("#",CELL("address",IF(SUM($CA180:$CL180)=0,A180,INDEX($CA180:$CL180,MATCH(1,$CA180:$CL180,0))))),SUM($CA180:$CL180))</f>
        <v>0</v>
      </c>
      <c r="C180" s="410"/>
      <c r="D180" s="136">
        <f t="shared" si="425"/>
        <v>0</v>
      </c>
      <c r="E180" s="136">
        <f t="shared" si="426"/>
        <v>0</v>
      </c>
      <c r="F180" s="159" t="str">
        <f t="shared" si="427"/>
        <v/>
      </c>
      <c r="G180" s="10">
        <f t="shared" si="428"/>
        <v>0</v>
      </c>
      <c r="H180" s="67" t="s">
        <v>86</v>
      </c>
      <c r="S180" s="335"/>
      <c r="T180" s="25"/>
      <c r="U180" s="25"/>
      <c r="V180" s="13">
        <f>0-IF(AND($F180&gt;=Timeline!$V$8,$F180 &lt;=V$5),$G180, 0)</f>
        <v>0</v>
      </c>
      <c r="W180" s="10">
        <f t="shared" ref="W180:Y180" si="447">IF(AND($F180&gt;V$5,$F180 &lt;=W$5),$G180, 0)</f>
        <v>0</v>
      </c>
      <c r="X180" s="10">
        <f t="shared" si="447"/>
        <v>0</v>
      </c>
      <c r="Y180" s="10">
        <f t="shared" si="447"/>
        <v>0</v>
      </c>
      <c r="Z180" s="335"/>
      <c r="AA180" s="13">
        <f t="shared" si="430"/>
        <v>0</v>
      </c>
      <c r="AB180" s="10">
        <f t="shared" si="431"/>
        <v>0</v>
      </c>
      <c r="AC180" s="10">
        <f t="shared" si="432"/>
        <v>0</v>
      </c>
      <c r="AD180" s="10">
        <f t="shared" si="432"/>
        <v>0</v>
      </c>
      <c r="AE180" s="10">
        <f t="shared" si="432"/>
        <v>0</v>
      </c>
      <c r="AF180" s="10">
        <f t="shared" si="432"/>
        <v>0</v>
      </c>
      <c r="AG180" s="10">
        <f t="shared" si="432"/>
        <v>0</v>
      </c>
      <c r="AH180" s="10">
        <f t="shared" si="432"/>
        <v>0</v>
      </c>
      <c r="AI180" s="10">
        <f t="shared" si="432"/>
        <v>0</v>
      </c>
      <c r="AJ180" s="10">
        <f t="shared" si="432"/>
        <v>0</v>
      </c>
      <c r="AK180" s="10">
        <f t="shared" si="432"/>
        <v>0</v>
      </c>
      <c r="AL180" s="10">
        <f t="shared" si="432"/>
        <v>0</v>
      </c>
      <c r="AM180" s="10">
        <f t="shared" si="432"/>
        <v>0</v>
      </c>
      <c r="AN180" s="10">
        <f t="shared" si="432"/>
        <v>0</v>
      </c>
      <c r="AO180" s="10">
        <f t="shared" si="432"/>
        <v>0</v>
      </c>
      <c r="AP180" s="10">
        <f t="shared" si="432"/>
        <v>0</v>
      </c>
      <c r="AQ180" s="10">
        <f t="shared" si="432"/>
        <v>0</v>
      </c>
      <c r="AR180" s="10">
        <f t="shared" si="432"/>
        <v>0</v>
      </c>
      <c r="AS180" s="10">
        <f t="shared" si="432"/>
        <v>0</v>
      </c>
      <c r="AT180" s="10">
        <f t="shared" si="432"/>
        <v>0</v>
      </c>
      <c r="AU180" s="10">
        <f t="shared" si="432"/>
        <v>0</v>
      </c>
      <c r="AV180" s="10">
        <f t="shared" si="432"/>
        <v>0</v>
      </c>
      <c r="AW180" s="10">
        <f t="shared" si="432"/>
        <v>0</v>
      </c>
      <c r="AX180" s="10">
        <f t="shared" si="432"/>
        <v>0</v>
      </c>
      <c r="AY180" s="10">
        <f t="shared" si="432"/>
        <v>0</v>
      </c>
      <c r="AZ180" s="10">
        <f t="shared" si="432"/>
        <v>0</v>
      </c>
      <c r="BA180" s="10">
        <f t="shared" si="432"/>
        <v>0</v>
      </c>
      <c r="BB180" s="10">
        <f t="shared" si="432"/>
        <v>0</v>
      </c>
      <c r="BC180" s="10">
        <f t="shared" si="432"/>
        <v>0</v>
      </c>
      <c r="BD180" s="10">
        <f t="shared" si="432"/>
        <v>0</v>
      </c>
      <c r="BE180" s="10">
        <f t="shared" si="432"/>
        <v>0</v>
      </c>
      <c r="BF180" s="10">
        <f t="shared" si="432"/>
        <v>0</v>
      </c>
      <c r="BG180" s="10">
        <f t="shared" si="432"/>
        <v>0</v>
      </c>
      <c r="BH180" s="10">
        <f t="shared" si="432"/>
        <v>0</v>
      </c>
      <c r="BI180" s="10">
        <f t="shared" si="432"/>
        <v>0</v>
      </c>
      <c r="BJ180" s="10">
        <f t="shared" si="432"/>
        <v>0</v>
      </c>
      <c r="BL180" s="13">
        <f t="shared" si="433"/>
        <v>0</v>
      </c>
      <c r="BM180" s="10">
        <f t="shared" si="434"/>
        <v>0</v>
      </c>
      <c r="BN180" s="10">
        <f t="shared" si="434"/>
        <v>0</v>
      </c>
      <c r="BO180" s="10">
        <f t="shared" si="434"/>
        <v>0</v>
      </c>
      <c r="BP180" s="10">
        <f t="shared" si="434"/>
        <v>0</v>
      </c>
      <c r="BQ180" s="10">
        <f t="shared" si="434"/>
        <v>0</v>
      </c>
      <c r="BR180" s="10">
        <f t="shared" si="434"/>
        <v>0</v>
      </c>
      <c r="BS180" s="10">
        <f t="shared" si="434"/>
        <v>0</v>
      </c>
      <c r="BT180" s="10">
        <f t="shared" si="434"/>
        <v>0</v>
      </c>
      <c r="BU180" s="10">
        <f t="shared" si="434"/>
        <v>0</v>
      </c>
      <c r="BV180" s="10">
        <f t="shared" si="434"/>
        <v>0</v>
      </c>
      <c r="BW180" s="10">
        <f t="shared" si="434"/>
        <v>0</v>
      </c>
      <c r="BY180" s="12"/>
      <c r="CA180" s="12"/>
      <c r="CI180" s="7">
        <f t="shared" si="444"/>
        <v>0</v>
      </c>
      <c r="CJ180" s="7">
        <f t="shared" si="445"/>
        <v>0</v>
      </c>
      <c r="CK180" s="7">
        <f t="shared" si="446"/>
        <v>0</v>
      </c>
      <c r="CL180" s="196"/>
      <c r="CM180" s="352">
        <f t="shared" si="435"/>
        <v>0</v>
      </c>
      <c r="CN180" s="352">
        <f t="shared" si="436"/>
        <v>0</v>
      </c>
      <c r="CO180" s="352">
        <f t="shared" si="437"/>
        <v>0</v>
      </c>
      <c r="CP180" s="352">
        <f t="shared" si="438"/>
        <v>0</v>
      </c>
      <c r="CQ180" s="352">
        <f t="shared" si="439"/>
        <v>0</v>
      </c>
      <c r="CR180" s="352">
        <f t="shared" si="440"/>
        <v>0</v>
      </c>
      <c r="CS180" s="352">
        <f t="shared" si="441"/>
        <v>0</v>
      </c>
      <c r="CT180" s="42"/>
      <c r="CU180" s="67">
        <v>0</v>
      </c>
      <c r="CV180" s="67">
        <v>0</v>
      </c>
      <c r="EX180" s="13" t="str">
        <f t="shared" si="442"/>
        <v/>
      </c>
    </row>
    <row r="181" spans="1:154" x14ac:dyDescent="0.25">
      <c r="A181" s="362" cm="1">
        <f t="array" aca="1" ref="A181" ca="1">HYPERLINK(CONCATENATE("#",CELL("address",IF(SUM($CA181:$CL181)=0,A181,INDEX($CA181:$CL181,MATCH(1,$CA181:$CL181,0))))),SUM($CA181:$CL181))</f>
        <v>0</v>
      </c>
      <c r="C181" s="410"/>
      <c r="D181" s="136">
        <f t="shared" si="425"/>
        <v>0</v>
      </c>
      <c r="E181" s="136">
        <f t="shared" si="426"/>
        <v>0</v>
      </c>
      <c r="F181" s="159" t="str">
        <f t="shared" si="427"/>
        <v/>
      </c>
      <c r="G181" s="10">
        <f t="shared" si="428"/>
        <v>0</v>
      </c>
      <c r="H181" s="67" t="s">
        <v>86</v>
      </c>
      <c r="S181" s="335"/>
      <c r="T181" s="25"/>
      <c r="U181" s="25"/>
      <c r="V181" s="13">
        <f>0-IF(AND($F181&gt;=Timeline!$V$8,$F181 &lt;=V$5),$G181, 0)</f>
        <v>0</v>
      </c>
      <c r="W181" s="10">
        <f t="shared" ref="W181:Y181" si="448">IF(AND($F181&gt;V$5,$F181 &lt;=W$5),$G181, 0)</f>
        <v>0</v>
      </c>
      <c r="X181" s="10">
        <f t="shared" si="448"/>
        <v>0</v>
      </c>
      <c r="Y181" s="10">
        <f t="shared" si="448"/>
        <v>0</v>
      </c>
      <c r="Z181" s="335"/>
      <c r="AA181" s="13">
        <f t="shared" si="430"/>
        <v>0</v>
      </c>
      <c r="AB181" s="10">
        <f t="shared" si="431"/>
        <v>0</v>
      </c>
      <c r="AC181" s="10">
        <f t="shared" si="432"/>
        <v>0</v>
      </c>
      <c r="AD181" s="10">
        <f t="shared" si="432"/>
        <v>0</v>
      </c>
      <c r="AE181" s="10">
        <f t="shared" si="432"/>
        <v>0</v>
      </c>
      <c r="AF181" s="10">
        <f t="shared" si="432"/>
        <v>0</v>
      </c>
      <c r="AG181" s="10">
        <f t="shared" si="432"/>
        <v>0</v>
      </c>
      <c r="AH181" s="10">
        <f t="shared" si="432"/>
        <v>0</v>
      </c>
      <c r="AI181" s="10">
        <f t="shared" si="432"/>
        <v>0</v>
      </c>
      <c r="AJ181" s="10">
        <f t="shared" si="432"/>
        <v>0</v>
      </c>
      <c r="AK181" s="10">
        <f t="shared" si="432"/>
        <v>0</v>
      </c>
      <c r="AL181" s="10">
        <f t="shared" si="432"/>
        <v>0</v>
      </c>
      <c r="AM181" s="10">
        <f t="shared" si="432"/>
        <v>0</v>
      </c>
      <c r="AN181" s="10">
        <f t="shared" si="432"/>
        <v>0</v>
      </c>
      <c r="AO181" s="10">
        <f t="shared" si="432"/>
        <v>0</v>
      </c>
      <c r="AP181" s="10">
        <f t="shared" si="432"/>
        <v>0</v>
      </c>
      <c r="AQ181" s="10">
        <f t="shared" si="432"/>
        <v>0</v>
      </c>
      <c r="AR181" s="10">
        <f t="shared" si="432"/>
        <v>0</v>
      </c>
      <c r="AS181" s="10">
        <f t="shared" si="432"/>
        <v>0</v>
      </c>
      <c r="AT181" s="10">
        <f t="shared" si="432"/>
        <v>0</v>
      </c>
      <c r="AU181" s="10">
        <f t="shared" si="432"/>
        <v>0</v>
      </c>
      <c r="AV181" s="10">
        <f t="shared" si="432"/>
        <v>0</v>
      </c>
      <c r="AW181" s="10">
        <f t="shared" si="432"/>
        <v>0</v>
      </c>
      <c r="AX181" s="10">
        <f t="shared" si="432"/>
        <v>0</v>
      </c>
      <c r="AY181" s="10">
        <f t="shared" si="432"/>
        <v>0</v>
      </c>
      <c r="AZ181" s="10">
        <f t="shared" si="432"/>
        <v>0</v>
      </c>
      <c r="BA181" s="10">
        <f t="shared" si="432"/>
        <v>0</v>
      </c>
      <c r="BB181" s="10">
        <f t="shared" si="432"/>
        <v>0</v>
      </c>
      <c r="BC181" s="10">
        <f t="shared" si="432"/>
        <v>0</v>
      </c>
      <c r="BD181" s="10">
        <f t="shared" si="432"/>
        <v>0</v>
      </c>
      <c r="BE181" s="10">
        <f t="shared" si="432"/>
        <v>0</v>
      </c>
      <c r="BF181" s="10">
        <f t="shared" si="432"/>
        <v>0</v>
      </c>
      <c r="BG181" s="10">
        <f t="shared" si="432"/>
        <v>0</v>
      </c>
      <c r="BH181" s="10">
        <f t="shared" si="432"/>
        <v>0</v>
      </c>
      <c r="BI181" s="10">
        <f t="shared" si="432"/>
        <v>0</v>
      </c>
      <c r="BJ181" s="10">
        <f t="shared" si="432"/>
        <v>0</v>
      </c>
      <c r="BL181" s="13">
        <f t="shared" si="433"/>
        <v>0</v>
      </c>
      <c r="BM181" s="10">
        <f t="shared" si="434"/>
        <v>0</v>
      </c>
      <c r="BN181" s="10">
        <f t="shared" si="434"/>
        <v>0</v>
      </c>
      <c r="BO181" s="10">
        <f t="shared" si="434"/>
        <v>0</v>
      </c>
      <c r="BP181" s="10">
        <f t="shared" si="434"/>
        <v>0</v>
      </c>
      <c r="BQ181" s="10">
        <f t="shared" si="434"/>
        <v>0</v>
      </c>
      <c r="BR181" s="10">
        <f t="shared" si="434"/>
        <v>0</v>
      </c>
      <c r="BS181" s="10">
        <f t="shared" si="434"/>
        <v>0</v>
      </c>
      <c r="BT181" s="10">
        <f t="shared" si="434"/>
        <v>0</v>
      </c>
      <c r="BU181" s="10">
        <f t="shared" si="434"/>
        <v>0</v>
      </c>
      <c r="BV181" s="10">
        <f t="shared" si="434"/>
        <v>0</v>
      </c>
      <c r="BW181" s="10">
        <f t="shared" si="434"/>
        <v>0</v>
      </c>
      <c r="BY181" s="12"/>
      <c r="CA181" s="12"/>
      <c r="CI181" s="7">
        <f t="shared" si="444"/>
        <v>0</v>
      </c>
      <c r="CJ181" s="7">
        <f t="shared" si="445"/>
        <v>0</v>
      </c>
      <c r="CK181" s="7">
        <f t="shared" si="446"/>
        <v>0</v>
      </c>
      <c r="CL181" s="42"/>
      <c r="CM181" s="352">
        <f t="shared" si="435"/>
        <v>0</v>
      </c>
      <c r="CN181" s="352">
        <f t="shared" si="436"/>
        <v>0</v>
      </c>
      <c r="CO181" s="352">
        <f t="shared" si="437"/>
        <v>0</v>
      </c>
      <c r="CP181" s="352">
        <f t="shared" si="438"/>
        <v>0</v>
      </c>
      <c r="CQ181" s="352">
        <f t="shared" si="439"/>
        <v>0</v>
      </c>
      <c r="CR181" s="352">
        <f t="shared" si="440"/>
        <v>0</v>
      </c>
      <c r="CS181" s="352">
        <f t="shared" si="441"/>
        <v>0</v>
      </c>
      <c r="CT181" s="42"/>
      <c r="CU181" s="67">
        <v>0</v>
      </c>
      <c r="CV181" s="67">
        <v>0</v>
      </c>
      <c r="EX181" s="13" t="str">
        <f t="shared" si="442"/>
        <v/>
      </c>
    </row>
    <row r="182" spans="1:154" x14ac:dyDescent="0.25">
      <c r="A182" s="362" cm="1">
        <f t="array" aca="1" ref="A182" ca="1">HYPERLINK(CONCATENATE("#",CELL("address",IF(SUM($CA182:$CL182)=0,A182,INDEX($CA182:$CL182,MATCH(1,$CA182:$CL182,0))))),SUM($CA182:$CL182))</f>
        <v>0</v>
      </c>
      <c r="C182" s="410"/>
      <c r="D182" s="136">
        <f t="shared" si="425"/>
        <v>0</v>
      </c>
      <c r="E182" s="136">
        <f t="shared" si="426"/>
        <v>0</v>
      </c>
      <c r="F182" s="159" t="str">
        <f t="shared" si="427"/>
        <v/>
      </c>
      <c r="G182" s="10">
        <f t="shared" si="428"/>
        <v>0</v>
      </c>
      <c r="H182" s="67" t="s">
        <v>86</v>
      </c>
      <c r="S182" s="335"/>
      <c r="T182" s="25"/>
      <c r="U182" s="25"/>
      <c r="V182" s="13">
        <f>0-IF(AND($F182&gt;=Timeline!$V$8,$F182 &lt;=V$5),$G182, 0)</f>
        <v>0</v>
      </c>
      <c r="W182" s="10">
        <f t="shared" ref="W182:Y182" si="449">IF(AND($F182&gt;V$5,$F182 &lt;=W$5),$G182, 0)</f>
        <v>0</v>
      </c>
      <c r="X182" s="10">
        <f t="shared" si="449"/>
        <v>0</v>
      </c>
      <c r="Y182" s="10">
        <f t="shared" si="449"/>
        <v>0</v>
      </c>
      <c r="Z182" s="335"/>
      <c r="AA182" s="13">
        <f t="shared" si="430"/>
        <v>0</v>
      </c>
      <c r="AB182" s="10">
        <f t="shared" si="431"/>
        <v>0</v>
      </c>
      <c r="AC182" s="10">
        <f t="shared" si="432"/>
        <v>0</v>
      </c>
      <c r="AD182" s="10">
        <f t="shared" si="432"/>
        <v>0</v>
      </c>
      <c r="AE182" s="10">
        <f t="shared" si="432"/>
        <v>0</v>
      </c>
      <c r="AF182" s="10">
        <f t="shared" si="432"/>
        <v>0</v>
      </c>
      <c r="AG182" s="10">
        <f t="shared" si="432"/>
        <v>0</v>
      </c>
      <c r="AH182" s="10">
        <f t="shared" si="432"/>
        <v>0</v>
      </c>
      <c r="AI182" s="10">
        <f t="shared" si="432"/>
        <v>0</v>
      </c>
      <c r="AJ182" s="10">
        <f t="shared" si="432"/>
        <v>0</v>
      </c>
      <c r="AK182" s="10">
        <f t="shared" si="432"/>
        <v>0</v>
      </c>
      <c r="AL182" s="10">
        <f t="shared" si="432"/>
        <v>0</v>
      </c>
      <c r="AM182" s="10">
        <f t="shared" si="432"/>
        <v>0</v>
      </c>
      <c r="AN182" s="10">
        <f t="shared" si="432"/>
        <v>0</v>
      </c>
      <c r="AO182" s="10">
        <f t="shared" si="432"/>
        <v>0</v>
      </c>
      <c r="AP182" s="10">
        <f t="shared" si="432"/>
        <v>0</v>
      </c>
      <c r="AQ182" s="10">
        <f t="shared" si="432"/>
        <v>0</v>
      </c>
      <c r="AR182" s="10">
        <f t="shared" si="432"/>
        <v>0</v>
      </c>
      <c r="AS182" s="10">
        <f t="shared" si="432"/>
        <v>0</v>
      </c>
      <c r="AT182" s="10">
        <f t="shared" si="432"/>
        <v>0</v>
      </c>
      <c r="AU182" s="10">
        <f t="shared" si="432"/>
        <v>0</v>
      </c>
      <c r="AV182" s="10">
        <f t="shared" si="432"/>
        <v>0</v>
      </c>
      <c r="AW182" s="10">
        <f t="shared" si="432"/>
        <v>0</v>
      </c>
      <c r="AX182" s="10">
        <f t="shared" si="432"/>
        <v>0</v>
      </c>
      <c r="AY182" s="10">
        <f t="shared" si="432"/>
        <v>0</v>
      </c>
      <c r="AZ182" s="10">
        <f t="shared" si="432"/>
        <v>0</v>
      </c>
      <c r="BA182" s="10">
        <f t="shared" si="432"/>
        <v>0</v>
      </c>
      <c r="BB182" s="10">
        <f t="shared" si="432"/>
        <v>0</v>
      </c>
      <c r="BC182" s="10">
        <f t="shared" si="432"/>
        <v>0</v>
      </c>
      <c r="BD182" s="10">
        <f t="shared" si="432"/>
        <v>0</v>
      </c>
      <c r="BE182" s="10">
        <f t="shared" si="432"/>
        <v>0</v>
      </c>
      <c r="BF182" s="10">
        <f t="shared" si="432"/>
        <v>0</v>
      </c>
      <c r="BG182" s="10">
        <f t="shared" si="432"/>
        <v>0</v>
      </c>
      <c r="BH182" s="10">
        <f t="shared" si="432"/>
        <v>0</v>
      </c>
      <c r="BI182" s="10">
        <f t="shared" si="432"/>
        <v>0</v>
      </c>
      <c r="BJ182" s="10">
        <f t="shared" si="432"/>
        <v>0</v>
      </c>
      <c r="BL182" s="13">
        <f t="shared" si="433"/>
        <v>0</v>
      </c>
      <c r="BM182" s="10">
        <f t="shared" si="434"/>
        <v>0</v>
      </c>
      <c r="BN182" s="10">
        <f t="shared" si="434"/>
        <v>0</v>
      </c>
      <c r="BO182" s="10">
        <f t="shared" si="434"/>
        <v>0</v>
      </c>
      <c r="BP182" s="10">
        <f t="shared" si="434"/>
        <v>0</v>
      </c>
      <c r="BQ182" s="10">
        <f t="shared" si="434"/>
        <v>0</v>
      </c>
      <c r="BR182" s="10">
        <f t="shared" si="434"/>
        <v>0</v>
      </c>
      <c r="BS182" s="10">
        <f t="shared" si="434"/>
        <v>0</v>
      </c>
      <c r="BT182" s="10">
        <f t="shared" si="434"/>
        <v>0</v>
      </c>
      <c r="BU182" s="10">
        <f t="shared" si="434"/>
        <v>0</v>
      </c>
      <c r="BV182" s="10">
        <f t="shared" si="434"/>
        <v>0</v>
      </c>
      <c r="BW182" s="10">
        <f t="shared" si="434"/>
        <v>0</v>
      </c>
      <c r="BY182" s="12"/>
      <c r="CA182" s="12"/>
      <c r="CI182" s="7">
        <f t="shared" si="444"/>
        <v>0</v>
      </c>
      <c r="CJ182" s="7">
        <f t="shared" si="445"/>
        <v>0</v>
      </c>
      <c r="CK182" s="7">
        <f t="shared" si="446"/>
        <v>0</v>
      </c>
      <c r="CL182" s="42"/>
      <c r="CM182" s="352">
        <f t="shared" si="435"/>
        <v>0</v>
      </c>
      <c r="CN182" s="352">
        <f t="shared" si="436"/>
        <v>0</v>
      </c>
      <c r="CO182" s="352">
        <f t="shared" si="437"/>
        <v>0</v>
      </c>
      <c r="CP182" s="352">
        <f t="shared" si="438"/>
        <v>0</v>
      </c>
      <c r="CQ182" s="352">
        <f t="shared" si="439"/>
        <v>0</v>
      </c>
      <c r="CR182" s="352">
        <f t="shared" si="440"/>
        <v>0</v>
      </c>
      <c r="CS182" s="352">
        <f t="shared" si="441"/>
        <v>0</v>
      </c>
      <c r="CT182" s="42"/>
      <c r="CU182" s="67">
        <v>0</v>
      </c>
      <c r="CV182" s="67">
        <v>0</v>
      </c>
      <c r="EX182" s="13" t="str">
        <f t="shared" si="442"/>
        <v/>
      </c>
    </row>
    <row r="183" spans="1:154" x14ac:dyDescent="0.25">
      <c r="A183" s="362" cm="1">
        <f t="array" aca="1" ref="A183" ca="1">HYPERLINK(CONCATENATE("#",CELL("address",IF(SUM($CA183:$CL183)=0,A183,INDEX($CA183:$CL183,MATCH(1,$CA183:$CL183,0))))),SUM($CA183:$CL183))</f>
        <v>0</v>
      </c>
      <c r="C183" s="410"/>
      <c r="D183" s="136">
        <f t="shared" si="425"/>
        <v>0</v>
      </c>
      <c r="E183" s="136">
        <f t="shared" si="426"/>
        <v>0</v>
      </c>
      <c r="F183" s="159" t="str">
        <f t="shared" si="427"/>
        <v/>
      </c>
      <c r="G183" s="10">
        <f t="shared" si="428"/>
        <v>0</v>
      </c>
      <c r="H183" s="67" t="s">
        <v>86</v>
      </c>
      <c r="S183" s="335"/>
      <c r="T183" s="25"/>
      <c r="U183" s="25"/>
      <c r="V183" s="13">
        <f>0-IF(AND($F183&gt;=Timeline!$V$8,$F183 &lt;=V$5),$G183, 0)</f>
        <v>0</v>
      </c>
      <c r="W183" s="10">
        <f t="shared" ref="W183:Y183" si="450">IF(AND($F183&gt;V$5,$F183 &lt;=W$5),$G183, 0)</f>
        <v>0</v>
      </c>
      <c r="X183" s="10">
        <f t="shared" si="450"/>
        <v>0</v>
      </c>
      <c r="Y183" s="10">
        <f t="shared" si="450"/>
        <v>0</v>
      </c>
      <c r="Z183" s="335"/>
      <c r="AA183" s="13">
        <f t="shared" si="430"/>
        <v>0</v>
      </c>
      <c r="AB183" s="10">
        <f t="shared" si="431"/>
        <v>0</v>
      </c>
      <c r="AC183" s="10">
        <f t="shared" si="432"/>
        <v>0</v>
      </c>
      <c r="AD183" s="10">
        <f t="shared" si="432"/>
        <v>0</v>
      </c>
      <c r="AE183" s="10">
        <f t="shared" si="432"/>
        <v>0</v>
      </c>
      <c r="AF183" s="10">
        <f t="shared" si="432"/>
        <v>0</v>
      </c>
      <c r="AG183" s="10">
        <f t="shared" si="432"/>
        <v>0</v>
      </c>
      <c r="AH183" s="10">
        <f t="shared" si="432"/>
        <v>0</v>
      </c>
      <c r="AI183" s="10">
        <f t="shared" si="432"/>
        <v>0</v>
      </c>
      <c r="AJ183" s="10">
        <f t="shared" si="432"/>
        <v>0</v>
      </c>
      <c r="AK183" s="10">
        <f t="shared" si="432"/>
        <v>0</v>
      </c>
      <c r="AL183" s="10">
        <f t="shared" si="432"/>
        <v>0</v>
      </c>
      <c r="AM183" s="10">
        <f t="shared" si="432"/>
        <v>0</v>
      </c>
      <c r="AN183" s="10">
        <f t="shared" si="432"/>
        <v>0</v>
      </c>
      <c r="AO183" s="10">
        <f t="shared" si="432"/>
        <v>0</v>
      </c>
      <c r="AP183" s="10">
        <f t="shared" si="432"/>
        <v>0</v>
      </c>
      <c r="AQ183" s="10">
        <f t="shared" si="432"/>
        <v>0</v>
      </c>
      <c r="AR183" s="10">
        <f t="shared" si="432"/>
        <v>0</v>
      </c>
      <c r="AS183" s="10">
        <f t="shared" si="432"/>
        <v>0</v>
      </c>
      <c r="AT183" s="10">
        <f t="shared" si="432"/>
        <v>0</v>
      </c>
      <c r="AU183" s="10">
        <f t="shared" si="432"/>
        <v>0</v>
      </c>
      <c r="AV183" s="10">
        <f t="shared" si="432"/>
        <v>0</v>
      </c>
      <c r="AW183" s="10">
        <f t="shared" si="432"/>
        <v>0</v>
      </c>
      <c r="AX183" s="10">
        <f t="shared" si="432"/>
        <v>0</v>
      </c>
      <c r="AY183" s="10">
        <f t="shared" si="432"/>
        <v>0</v>
      </c>
      <c r="AZ183" s="10">
        <f t="shared" si="432"/>
        <v>0</v>
      </c>
      <c r="BA183" s="10">
        <f t="shared" si="432"/>
        <v>0</v>
      </c>
      <c r="BB183" s="10">
        <f t="shared" si="432"/>
        <v>0</v>
      </c>
      <c r="BC183" s="10">
        <f t="shared" si="432"/>
        <v>0</v>
      </c>
      <c r="BD183" s="10">
        <f t="shared" si="432"/>
        <v>0</v>
      </c>
      <c r="BE183" s="10">
        <f t="shared" si="432"/>
        <v>0</v>
      </c>
      <c r="BF183" s="10">
        <f t="shared" si="432"/>
        <v>0</v>
      </c>
      <c r="BG183" s="10">
        <f t="shared" si="432"/>
        <v>0</v>
      </c>
      <c r="BH183" s="10">
        <f t="shared" si="432"/>
        <v>0</v>
      </c>
      <c r="BI183" s="10">
        <f t="shared" si="432"/>
        <v>0</v>
      </c>
      <c r="BJ183" s="10">
        <f t="shared" si="432"/>
        <v>0</v>
      </c>
      <c r="BL183" s="13">
        <f t="shared" si="433"/>
        <v>0</v>
      </c>
      <c r="BM183" s="10">
        <f t="shared" si="434"/>
        <v>0</v>
      </c>
      <c r="BN183" s="10">
        <f t="shared" si="434"/>
        <v>0</v>
      </c>
      <c r="BO183" s="10">
        <f t="shared" si="434"/>
        <v>0</v>
      </c>
      <c r="BP183" s="10">
        <f t="shared" si="434"/>
        <v>0</v>
      </c>
      <c r="BQ183" s="10">
        <f t="shared" si="434"/>
        <v>0</v>
      </c>
      <c r="BR183" s="10">
        <f t="shared" si="434"/>
        <v>0</v>
      </c>
      <c r="BS183" s="10">
        <f t="shared" si="434"/>
        <v>0</v>
      </c>
      <c r="BT183" s="10">
        <f t="shared" si="434"/>
        <v>0</v>
      </c>
      <c r="BU183" s="10">
        <f t="shared" si="434"/>
        <v>0</v>
      </c>
      <c r="BV183" s="10">
        <f t="shared" si="434"/>
        <v>0</v>
      </c>
      <c r="BW183" s="10">
        <f t="shared" si="434"/>
        <v>0</v>
      </c>
      <c r="BY183" s="12"/>
      <c r="CA183" s="12"/>
      <c r="CI183" s="7">
        <f t="shared" si="444"/>
        <v>0</v>
      </c>
      <c r="CJ183" s="7">
        <f t="shared" si="445"/>
        <v>0</v>
      </c>
      <c r="CK183" s="7">
        <f t="shared" si="446"/>
        <v>0</v>
      </c>
      <c r="CL183" s="42"/>
      <c r="CM183" s="352">
        <f t="shared" si="435"/>
        <v>0</v>
      </c>
      <c r="CN183" s="352">
        <f t="shared" si="436"/>
        <v>0</v>
      </c>
      <c r="CO183" s="352">
        <f t="shared" si="437"/>
        <v>0</v>
      </c>
      <c r="CP183" s="352">
        <f t="shared" si="438"/>
        <v>0</v>
      </c>
      <c r="CQ183" s="352">
        <f t="shared" si="439"/>
        <v>0</v>
      </c>
      <c r="CR183" s="352">
        <f t="shared" si="440"/>
        <v>0</v>
      </c>
      <c r="CS183" s="352">
        <f t="shared" si="441"/>
        <v>0</v>
      </c>
      <c r="CT183" s="42"/>
      <c r="CU183" s="67">
        <v>0</v>
      </c>
      <c r="CV183" s="67">
        <v>0</v>
      </c>
      <c r="EX183" s="13" t="str">
        <f t="shared" si="442"/>
        <v/>
      </c>
    </row>
    <row r="184" spans="1:154" x14ac:dyDescent="0.25">
      <c r="A184" s="362" cm="1">
        <f t="array" aca="1" ref="A184" ca="1">HYPERLINK(CONCATENATE("#",CELL("address",IF(SUM($CA184:$CL184)=0,A184,INDEX($CA184:$CL184,MATCH(1,$CA184:$CL184,0))))),SUM($CA184:$CL184))</f>
        <v>0</v>
      </c>
      <c r="C184" s="410"/>
      <c r="D184" s="136">
        <f t="shared" si="425"/>
        <v>0</v>
      </c>
      <c r="E184" s="136">
        <f t="shared" si="426"/>
        <v>0</v>
      </c>
      <c r="F184" s="159" t="str">
        <f t="shared" si="427"/>
        <v/>
      </c>
      <c r="G184" s="10">
        <f t="shared" si="428"/>
        <v>0</v>
      </c>
      <c r="H184" s="67" t="s">
        <v>86</v>
      </c>
      <c r="S184" s="335"/>
      <c r="T184" s="25"/>
      <c r="U184" s="25"/>
      <c r="V184" s="13">
        <f>0-IF(AND($F184&gt;=Timeline!$V$8,$F184 &lt;=V$5),$G184, 0)</f>
        <v>0</v>
      </c>
      <c r="W184" s="10">
        <f t="shared" ref="W184:Y184" si="451">IF(AND($F184&gt;V$5,$F184 &lt;=W$5),$G184, 0)</f>
        <v>0</v>
      </c>
      <c r="X184" s="10">
        <f t="shared" si="451"/>
        <v>0</v>
      </c>
      <c r="Y184" s="10">
        <f t="shared" si="451"/>
        <v>0</v>
      </c>
      <c r="Z184" s="335"/>
      <c r="AA184" s="13">
        <f t="shared" si="430"/>
        <v>0</v>
      </c>
      <c r="AB184" s="10">
        <f t="shared" si="431"/>
        <v>0</v>
      </c>
      <c r="AC184" s="10">
        <f t="shared" si="432"/>
        <v>0</v>
      </c>
      <c r="AD184" s="10">
        <f t="shared" si="432"/>
        <v>0</v>
      </c>
      <c r="AE184" s="10">
        <f t="shared" si="432"/>
        <v>0</v>
      </c>
      <c r="AF184" s="10">
        <f t="shared" si="432"/>
        <v>0</v>
      </c>
      <c r="AG184" s="10">
        <f t="shared" si="432"/>
        <v>0</v>
      </c>
      <c r="AH184" s="10">
        <f t="shared" si="432"/>
        <v>0</v>
      </c>
      <c r="AI184" s="10">
        <f t="shared" si="432"/>
        <v>0</v>
      </c>
      <c r="AJ184" s="10">
        <f t="shared" si="432"/>
        <v>0</v>
      </c>
      <c r="AK184" s="10">
        <f t="shared" si="432"/>
        <v>0</v>
      </c>
      <c r="AL184" s="10">
        <f t="shared" si="432"/>
        <v>0</v>
      </c>
      <c r="AM184" s="10">
        <f t="shared" si="432"/>
        <v>0</v>
      </c>
      <c r="AN184" s="10">
        <f t="shared" si="432"/>
        <v>0</v>
      </c>
      <c r="AO184" s="10">
        <f t="shared" si="432"/>
        <v>0</v>
      </c>
      <c r="AP184" s="10">
        <f t="shared" si="432"/>
        <v>0</v>
      </c>
      <c r="AQ184" s="10">
        <f t="shared" si="432"/>
        <v>0</v>
      </c>
      <c r="AR184" s="10">
        <f t="shared" si="432"/>
        <v>0</v>
      </c>
      <c r="AS184" s="10">
        <f t="shared" si="432"/>
        <v>0</v>
      </c>
      <c r="AT184" s="10">
        <f t="shared" si="432"/>
        <v>0</v>
      </c>
      <c r="AU184" s="10">
        <f t="shared" si="432"/>
        <v>0</v>
      </c>
      <c r="AV184" s="10">
        <f t="shared" si="432"/>
        <v>0</v>
      </c>
      <c r="AW184" s="10">
        <f t="shared" si="432"/>
        <v>0</v>
      </c>
      <c r="AX184" s="10">
        <f t="shared" si="432"/>
        <v>0</v>
      </c>
      <c r="AY184" s="10">
        <f t="shared" si="432"/>
        <v>0</v>
      </c>
      <c r="AZ184" s="10">
        <f t="shared" si="432"/>
        <v>0</v>
      </c>
      <c r="BA184" s="10">
        <f t="shared" si="432"/>
        <v>0</v>
      </c>
      <c r="BB184" s="10">
        <f t="shared" si="432"/>
        <v>0</v>
      </c>
      <c r="BC184" s="10">
        <f t="shared" si="432"/>
        <v>0</v>
      </c>
      <c r="BD184" s="10">
        <f t="shared" si="432"/>
        <v>0</v>
      </c>
      <c r="BE184" s="10">
        <f t="shared" si="432"/>
        <v>0</v>
      </c>
      <c r="BF184" s="10">
        <f t="shared" si="432"/>
        <v>0</v>
      </c>
      <c r="BG184" s="10">
        <f t="shared" si="432"/>
        <v>0</v>
      </c>
      <c r="BH184" s="10">
        <f t="shared" si="432"/>
        <v>0</v>
      </c>
      <c r="BI184" s="10">
        <f t="shared" si="432"/>
        <v>0</v>
      </c>
      <c r="BJ184" s="10">
        <f t="shared" si="432"/>
        <v>0</v>
      </c>
      <c r="BL184" s="13">
        <f t="shared" si="433"/>
        <v>0</v>
      </c>
      <c r="BM184" s="10">
        <f t="shared" si="434"/>
        <v>0</v>
      </c>
      <c r="BN184" s="10">
        <f t="shared" si="434"/>
        <v>0</v>
      </c>
      <c r="BO184" s="10">
        <f t="shared" si="434"/>
        <v>0</v>
      </c>
      <c r="BP184" s="10">
        <f t="shared" si="434"/>
        <v>0</v>
      </c>
      <c r="BQ184" s="10">
        <f t="shared" si="434"/>
        <v>0</v>
      </c>
      <c r="BR184" s="10">
        <f t="shared" si="434"/>
        <v>0</v>
      </c>
      <c r="BS184" s="10">
        <f t="shared" si="434"/>
        <v>0</v>
      </c>
      <c r="BT184" s="10">
        <f t="shared" si="434"/>
        <v>0</v>
      </c>
      <c r="BU184" s="10">
        <f t="shared" si="434"/>
        <v>0</v>
      </c>
      <c r="BV184" s="10">
        <f t="shared" si="434"/>
        <v>0</v>
      </c>
      <c r="BW184" s="10">
        <f t="shared" si="434"/>
        <v>0</v>
      </c>
      <c r="BY184" s="12"/>
      <c r="CA184" s="12"/>
      <c r="CI184" s="7">
        <f t="shared" si="444"/>
        <v>0</v>
      </c>
      <c r="CJ184" s="7">
        <f t="shared" si="445"/>
        <v>0</v>
      </c>
      <c r="CK184" s="7">
        <f t="shared" si="446"/>
        <v>0</v>
      </c>
      <c r="CL184" s="42"/>
      <c r="CM184" s="352">
        <f t="shared" si="435"/>
        <v>0</v>
      </c>
      <c r="CN184" s="352">
        <f t="shared" si="436"/>
        <v>0</v>
      </c>
      <c r="CO184" s="352">
        <f t="shared" si="437"/>
        <v>0</v>
      </c>
      <c r="CP184" s="352">
        <f t="shared" si="438"/>
        <v>0</v>
      </c>
      <c r="CQ184" s="352">
        <f t="shared" si="439"/>
        <v>0</v>
      </c>
      <c r="CR184" s="352">
        <f t="shared" si="440"/>
        <v>0</v>
      </c>
      <c r="CS184" s="352">
        <f t="shared" si="441"/>
        <v>0</v>
      </c>
      <c r="CT184" s="42"/>
      <c r="CU184" s="67">
        <v>0</v>
      </c>
      <c r="CV184" s="67">
        <v>0</v>
      </c>
      <c r="EX184" s="13" t="str">
        <f t="shared" si="442"/>
        <v/>
      </c>
    </row>
    <row r="185" spans="1:154" x14ac:dyDescent="0.25">
      <c r="A185" s="362" cm="1">
        <f t="array" aca="1" ref="A185" ca="1">HYPERLINK(CONCATENATE("#",CELL("address",IF(SUM($CA185:$CL185)=0,A185,INDEX($CA185:$CL185,MATCH(1,$CA185:$CL185,0))))),SUM($CA185:$CL185))</f>
        <v>0</v>
      </c>
      <c r="C185" s="410"/>
      <c r="D185" s="136">
        <f t="shared" si="425"/>
        <v>0</v>
      </c>
      <c r="E185" s="136">
        <f t="shared" si="426"/>
        <v>0</v>
      </c>
      <c r="F185" s="159" t="str">
        <f t="shared" si="427"/>
        <v/>
      </c>
      <c r="G185" s="10">
        <f t="shared" si="428"/>
        <v>0</v>
      </c>
      <c r="H185" s="67" t="s">
        <v>86</v>
      </c>
      <c r="S185" s="335"/>
      <c r="T185" s="25"/>
      <c r="U185" s="25"/>
      <c r="V185" s="13">
        <f>0-IF(AND($F185&gt;=Timeline!$V$8,$F185 &lt;=V$5),$G185, 0)</f>
        <v>0</v>
      </c>
      <c r="W185" s="10">
        <f t="shared" ref="W185:Y185" si="452">IF(AND($F185&gt;V$5,$F185 &lt;=W$5),$G185, 0)</f>
        <v>0</v>
      </c>
      <c r="X185" s="10">
        <f t="shared" si="452"/>
        <v>0</v>
      </c>
      <c r="Y185" s="10">
        <f t="shared" si="452"/>
        <v>0</v>
      </c>
      <c r="Z185" s="335"/>
      <c r="AA185" s="13">
        <f t="shared" si="430"/>
        <v>0</v>
      </c>
      <c r="AB185" s="10">
        <f t="shared" si="431"/>
        <v>0</v>
      </c>
      <c r="AC185" s="10">
        <f t="shared" si="432"/>
        <v>0</v>
      </c>
      <c r="AD185" s="10">
        <f t="shared" si="432"/>
        <v>0</v>
      </c>
      <c r="AE185" s="10">
        <f t="shared" si="432"/>
        <v>0</v>
      </c>
      <c r="AF185" s="10">
        <f t="shared" si="432"/>
        <v>0</v>
      </c>
      <c r="AG185" s="10">
        <f t="shared" si="432"/>
        <v>0</v>
      </c>
      <c r="AH185" s="10">
        <f t="shared" si="432"/>
        <v>0</v>
      </c>
      <c r="AI185" s="10">
        <f t="shared" si="432"/>
        <v>0</v>
      </c>
      <c r="AJ185" s="10">
        <f t="shared" si="432"/>
        <v>0</v>
      </c>
      <c r="AK185" s="10">
        <f t="shared" si="432"/>
        <v>0</v>
      </c>
      <c r="AL185" s="10">
        <f t="shared" si="432"/>
        <v>0</v>
      </c>
      <c r="AM185" s="10">
        <f t="shared" si="432"/>
        <v>0</v>
      </c>
      <c r="AN185" s="10">
        <f t="shared" si="432"/>
        <v>0</v>
      </c>
      <c r="AO185" s="10">
        <f t="shared" si="432"/>
        <v>0</v>
      </c>
      <c r="AP185" s="10">
        <f t="shared" si="432"/>
        <v>0</v>
      </c>
      <c r="AQ185" s="10">
        <f t="shared" si="432"/>
        <v>0</v>
      </c>
      <c r="AR185" s="10">
        <f t="shared" si="432"/>
        <v>0</v>
      </c>
      <c r="AS185" s="10">
        <f t="shared" si="432"/>
        <v>0</v>
      </c>
      <c r="AT185" s="10">
        <f t="shared" si="432"/>
        <v>0</v>
      </c>
      <c r="AU185" s="10">
        <f t="shared" si="432"/>
        <v>0</v>
      </c>
      <c r="AV185" s="10">
        <f t="shared" si="432"/>
        <v>0</v>
      </c>
      <c r="AW185" s="10">
        <f t="shared" si="432"/>
        <v>0</v>
      </c>
      <c r="AX185" s="10">
        <f t="shared" si="432"/>
        <v>0</v>
      </c>
      <c r="AY185" s="10">
        <f t="shared" si="432"/>
        <v>0</v>
      </c>
      <c r="AZ185" s="10">
        <f t="shared" si="432"/>
        <v>0</v>
      </c>
      <c r="BA185" s="10">
        <f t="shared" si="432"/>
        <v>0</v>
      </c>
      <c r="BB185" s="10">
        <f t="shared" si="432"/>
        <v>0</v>
      </c>
      <c r="BC185" s="10">
        <f t="shared" si="432"/>
        <v>0</v>
      </c>
      <c r="BD185" s="10">
        <f t="shared" si="432"/>
        <v>0</v>
      </c>
      <c r="BE185" s="10">
        <f t="shared" si="432"/>
        <v>0</v>
      </c>
      <c r="BF185" s="10">
        <f t="shared" si="432"/>
        <v>0</v>
      </c>
      <c r="BG185" s="10">
        <f t="shared" si="432"/>
        <v>0</v>
      </c>
      <c r="BH185" s="10">
        <f t="shared" si="432"/>
        <v>0</v>
      </c>
      <c r="BI185" s="10">
        <f t="shared" ref="AC185:BJ192" si="453">IF(AND($F185&gt;BH$5,$F185 &lt;=BI$5),$G185, 0)</f>
        <v>0</v>
      </c>
      <c r="BJ185" s="10">
        <f t="shared" si="453"/>
        <v>0</v>
      </c>
      <c r="BL185" s="13">
        <f t="shared" si="433"/>
        <v>0</v>
      </c>
      <c r="BM185" s="10">
        <f t="shared" si="434"/>
        <v>0</v>
      </c>
      <c r="BN185" s="10">
        <f t="shared" si="434"/>
        <v>0</v>
      </c>
      <c r="BO185" s="10">
        <f t="shared" si="434"/>
        <v>0</v>
      </c>
      <c r="BP185" s="10">
        <f t="shared" si="434"/>
        <v>0</v>
      </c>
      <c r="BQ185" s="10">
        <f t="shared" si="434"/>
        <v>0</v>
      </c>
      <c r="BR185" s="10">
        <f t="shared" si="434"/>
        <v>0</v>
      </c>
      <c r="BS185" s="10">
        <f t="shared" si="434"/>
        <v>0</v>
      </c>
      <c r="BT185" s="10">
        <f t="shared" si="434"/>
        <v>0</v>
      </c>
      <c r="BU185" s="10">
        <f t="shared" si="434"/>
        <v>0</v>
      </c>
      <c r="BV185" s="10">
        <f t="shared" si="434"/>
        <v>0</v>
      </c>
      <c r="BW185" s="10">
        <f t="shared" si="434"/>
        <v>0</v>
      </c>
      <c r="BY185" s="12"/>
      <c r="CA185" s="12"/>
      <c r="CI185" s="7">
        <f t="shared" si="444"/>
        <v>0</v>
      </c>
      <c r="CJ185" s="7">
        <f t="shared" si="445"/>
        <v>0</v>
      </c>
      <c r="CK185" s="7">
        <f t="shared" si="446"/>
        <v>0</v>
      </c>
      <c r="CL185" s="42"/>
      <c r="CM185" s="352">
        <f t="shared" si="435"/>
        <v>0</v>
      </c>
      <c r="CN185" s="352">
        <f t="shared" si="436"/>
        <v>0</v>
      </c>
      <c r="CO185" s="352">
        <f t="shared" si="437"/>
        <v>0</v>
      </c>
      <c r="CP185" s="352">
        <f t="shared" si="438"/>
        <v>0</v>
      </c>
      <c r="CQ185" s="352">
        <f t="shared" si="439"/>
        <v>0</v>
      </c>
      <c r="CR185" s="352">
        <f t="shared" si="440"/>
        <v>0</v>
      </c>
      <c r="CS185" s="352">
        <f t="shared" si="441"/>
        <v>0</v>
      </c>
      <c r="CT185" s="42"/>
      <c r="CU185" s="67">
        <v>0</v>
      </c>
      <c r="CV185" s="67">
        <v>0</v>
      </c>
      <c r="EX185" s="13" t="str">
        <f t="shared" si="442"/>
        <v/>
      </c>
    </row>
    <row r="186" spans="1:154" x14ac:dyDescent="0.25">
      <c r="A186" s="362" cm="1">
        <f t="array" aca="1" ref="A186" ca="1">HYPERLINK(CONCATENATE("#",CELL("address",IF(SUM($CA186:$CL186)=0,A186,INDEX($CA186:$CL186,MATCH(1,$CA186:$CL186,0))))),SUM($CA186:$CL186))</f>
        <v>0</v>
      </c>
      <c r="C186" s="410"/>
      <c r="D186" s="136">
        <f t="shared" si="425"/>
        <v>0</v>
      </c>
      <c r="E186" s="136">
        <f t="shared" si="426"/>
        <v>0</v>
      </c>
      <c r="F186" s="159" t="str">
        <f t="shared" si="427"/>
        <v/>
      </c>
      <c r="G186" s="10">
        <f t="shared" si="428"/>
        <v>0</v>
      </c>
      <c r="H186" s="67" t="s">
        <v>86</v>
      </c>
      <c r="S186" s="335"/>
      <c r="T186" s="25"/>
      <c r="U186" s="25"/>
      <c r="V186" s="13">
        <f>0-IF(AND($F186&gt;=Timeline!$V$8,$F186 &lt;=V$5),$G186, 0)</f>
        <v>0</v>
      </c>
      <c r="W186" s="10">
        <f t="shared" ref="W186:Y186" si="454">IF(AND($F186&gt;V$5,$F186 &lt;=W$5),$G186, 0)</f>
        <v>0</v>
      </c>
      <c r="X186" s="10">
        <f t="shared" si="454"/>
        <v>0</v>
      </c>
      <c r="Y186" s="10">
        <f t="shared" si="454"/>
        <v>0</v>
      </c>
      <c r="Z186" s="335"/>
      <c r="AA186" s="13">
        <f t="shared" si="430"/>
        <v>0</v>
      </c>
      <c r="AB186" s="10">
        <f t="shared" si="431"/>
        <v>0</v>
      </c>
      <c r="AC186" s="10">
        <f t="shared" si="453"/>
        <v>0</v>
      </c>
      <c r="AD186" s="10">
        <f t="shared" si="453"/>
        <v>0</v>
      </c>
      <c r="AE186" s="10">
        <f t="shared" si="453"/>
        <v>0</v>
      </c>
      <c r="AF186" s="10">
        <f t="shared" si="453"/>
        <v>0</v>
      </c>
      <c r="AG186" s="10">
        <f t="shared" si="453"/>
        <v>0</v>
      </c>
      <c r="AH186" s="10">
        <f t="shared" si="453"/>
        <v>0</v>
      </c>
      <c r="AI186" s="10">
        <f t="shared" si="453"/>
        <v>0</v>
      </c>
      <c r="AJ186" s="10">
        <f t="shared" si="453"/>
        <v>0</v>
      </c>
      <c r="AK186" s="10">
        <f t="shared" si="453"/>
        <v>0</v>
      </c>
      <c r="AL186" s="10">
        <f t="shared" si="453"/>
        <v>0</v>
      </c>
      <c r="AM186" s="10">
        <f t="shared" si="453"/>
        <v>0</v>
      </c>
      <c r="AN186" s="10">
        <f t="shared" si="453"/>
        <v>0</v>
      </c>
      <c r="AO186" s="10">
        <f t="shared" si="453"/>
        <v>0</v>
      </c>
      <c r="AP186" s="10">
        <f t="shared" si="453"/>
        <v>0</v>
      </c>
      <c r="AQ186" s="10">
        <f t="shared" si="453"/>
        <v>0</v>
      </c>
      <c r="AR186" s="10">
        <f t="shared" si="453"/>
        <v>0</v>
      </c>
      <c r="AS186" s="10">
        <f t="shared" si="453"/>
        <v>0</v>
      </c>
      <c r="AT186" s="10">
        <f t="shared" si="453"/>
        <v>0</v>
      </c>
      <c r="AU186" s="10">
        <f t="shared" si="453"/>
        <v>0</v>
      </c>
      <c r="AV186" s="10">
        <f t="shared" si="453"/>
        <v>0</v>
      </c>
      <c r="AW186" s="10">
        <f t="shared" si="453"/>
        <v>0</v>
      </c>
      <c r="AX186" s="10">
        <f t="shared" si="453"/>
        <v>0</v>
      </c>
      <c r="AY186" s="10">
        <f t="shared" si="453"/>
        <v>0</v>
      </c>
      <c r="AZ186" s="10">
        <f t="shared" si="453"/>
        <v>0</v>
      </c>
      <c r="BA186" s="10">
        <f t="shared" si="453"/>
        <v>0</v>
      </c>
      <c r="BB186" s="10">
        <f t="shared" si="453"/>
        <v>0</v>
      </c>
      <c r="BC186" s="10">
        <f t="shared" si="453"/>
        <v>0</v>
      </c>
      <c r="BD186" s="10">
        <f t="shared" si="453"/>
        <v>0</v>
      </c>
      <c r="BE186" s="10">
        <f t="shared" si="453"/>
        <v>0</v>
      </c>
      <c r="BF186" s="10">
        <f t="shared" si="453"/>
        <v>0</v>
      </c>
      <c r="BG186" s="10">
        <f t="shared" si="453"/>
        <v>0</v>
      </c>
      <c r="BH186" s="10">
        <f t="shared" si="453"/>
        <v>0</v>
      </c>
      <c r="BI186" s="10">
        <f t="shared" si="453"/>
        <v>0</v>
      </c>
      <c r="BJ186" s="10">
        <f t="shared" si="453"/>
        <v>0</v>
      </c>
      <c r="BL186" s="13">
        <f t="shared" si="433"/>
        <v>0</v>
      </c>
      <c r="BM186" s="10">
        <f t="shared" si="434"/>
        <v>0</v>
      </c>
      <c r="BN186" s="10">
        <f t="shared" si="434"/>
        <v>0</v>
      </c>
      <c r="BO186" s="10">
        <f t="shared" si="434"/>
        <v>0</v>
      </c>
      <c r="BP186" s="10">
        <f t="shared" si="434"/>
        <v>0</v>
      </c>
      <c r="BQ186" s="10">
        <f t="shared" si="434"/>
        <v>0</v>
      </c>
      <c r="BR186" s="10">
        <f t="shared" si="434"/>
        <v>0</v>
      </c>
      <c r="BS186" s="10">
        <f t="shared" si="434"/>
        <v>0</v>
      </c>
      <c r="BT186" s="10">
        <f t="shared" si="434"/>
        <v>0</v>
      </c>
      <c r="BU186" s="10">
        <f t="shared" si="434"/>
        <v>0</v>
      </c>
      <c r="BV186" s="10">
        <f t="shared" si="434"/>
        <v>0</v>
      </c>
      <c r="BW186" s="10">
        <f t="shared" si="434"/>
        <v>0</v>
      </c>
      <c r="BY186" s="12"/>
      <c r="CA186" s="12"/>
      <c r="CI186" s="7">
        <f t="shared" si="444"/>
        <v>0</v>
      </c>
      <c r="CJ186" s="7">
        <f t="shared" si="445"/>
        <v>0</v>
      </c>
      <c r="CK186" s="7">
        <f t="shared" si="446"/>
        <v>0</v>
      </c>
      <c r="CL186" s="42"/>
      <c r="CM186" s="352">
        <f t="shared" si="435"/>
        <v>0</v>
      </c>
      <c r="CN186" s="352">
        <f t="shared" si="436"/>
        <v>0</v>
      </c>
      <c r="CO186" s="352">
        <f t="shared" si="437"/>
        <v>0</v>
      </c>
      <c r="CP186" s="352">
        <f t="shared" si="438"/>
        <v>0</v>
      </c>
      <c r="CQ186" s="352">
        <f t="shared" si="439"/>
        <v>0</v>
      </c>
      <c r="CR186" s="352">
        <f t="shared" si="440"/>
        <v>0</v>
      </c>
      <c r="CS186" s="352">
        <f t="shared" si="441"/>
        <v>0</v>
      </c>
      <c r="CT186" s="42"/>
      <c r="CU186" s="67">
        <v>0</v>
      </c>
      <c r="CV186" s="67">
        <v>0</v>
      </c>
      <c r="EX186" s="13" t="str">
        <f t="shared" si="442"/>
        <v/>
      </c>
    </row>
    <row r="187" spans="1:154" x14ac:dyDescent="0.25">
      <c r="A187" s="362" cm="1">
        <f t="array" aca="1" ref="A187" ca="1">HYPERLINK(CONCATENATE("#",CELL("address",IF(SUM($CA187:$CL187)=0,A187,INDEX($CA187:$CL187,MATCH(1,$CA187:$CL187,0))))),SUM($CA187:$CL187))</f>
        <v>0</v>
      </c>
      <c r="C187" s="410"/>
      <c r="D187" s="136">
        <f t="shared" si="425"/>
        <v>0</v>
      </c>
      <c r="E187" s="136">
        <f t="shared" si="426"/>
        <v>0</v>
      </c>
      <c r="F187" s="159" t="str">
        <f t="shared" si="427"/>
        <v/>
      </c>
      <c r="G187" s="10">
        <f t="shared" si="428"/>
        <v>0</v>
      </c>
      <c r="H187" s="67" t="s">
        <v>86</v>
      </c>
      <c r="S187" s="335"/>
      <c r="T187" s="25"/>
      <c r="U187" s="25"/>
      <c r="V187" s="13">
        <f>0-IF(AND($F187&gt;=Timeline!$V$8,$F187 &lt;=V$5),$G187, 0)</f>
        <v>0</v>
      </c>
      <c r="W187" s="10">
        <f t="shared" ref="W187:Y187" si="455">IF(AND($F187&gt;V$5,$F187 &lt;=W$5),$G187, 0)</f>
        <v>0</v>
      </c>
      <c r="X187" s="10">
        <f t="shared" si="455"/>
        <v>0</v>
      </c>
      <c r="Y187" s="10">
        <f t="shared" si="455"/>
        <v>0</v>
      </c>
      <c r="Z187" s="335"/>
      <c r="AA187" s="13">
        <f t="shared" si="430"/>
        <v>0</v>
      </c>
      <c r="AB187" s="10">
        <f t="shared" si="431"/>
        <v>0</v>
      </c>
      <c r="AC187" s="10">
        <f t="shared" si="453"/>
        <v>0</v>
      </c>
      <c r="AD187" s="10">
        <f t="shared" si="453"/>
        <v>0</v>
      </c>
      <c r="AE187" s="10">
        <f t="shared" si="453"/>
        <v>0</v>
      </c>
      <c r="AF187" s="10">
        <f t="shared" si="453"/>
        <v>0</v>
      </c>
      <c r="AG187" s="10">
        <f t="shared" si="453"/>
        <v>0</v>
      </c>
      <c r="AH187" s="10">
        <f t="shared" si="453"/>
        <v>0</v>
      </c>
      <c r="AI187" s="10">
        <f t="shared" si="453"/>
        <v>0</v>
      </c>
      <c r="AJ187" s="10">
        <f t="shared" si="453"/>
        <v>0</v>
      </c>
      <c r="AK187" s="10">
        <f t="shared" si="453"/>
        <v>0</v>
      </c>
      <c r="AL187" s="10">
        <f t="shared" si="453"/>
        <v>0</v>
      </c>
      <c r="AM187" s="10">
        <f t="shared" si="453"/>
        <v>0</v>
      </c>
      <c r="AN187" s="10">
        <f t="shared" si="453"/>
        <v>0</v>
      </c>
      <c r="AO187" s="10">
        <f t="shared" si="453"/>
        <v>0</v>
      </c>
      <c r="AP187" s="10">
        <f t="shared" si="453"/>
        <v>0</v>
      </c>
      <c r="AQ187" s="10">
        <f t="shared" si="453"/>
        <v>0</v>
      </c>
      <c r="AR187" s="10">
        <f t="shared" si="453"/>
        <v>0</v>
      </c>
      <c r="AS187" s="10">
        <f t="shared" si="453"/>
        <v>0</v>
      </c>
      <c r="AT187" s="10">
        <f t="shared" si="453"/>
        <v>0</v>
      </c>
      <c r="AU187" s="10">
        <f t="shared" si="453"/>
        <v>0</v>
      </c>
      <c r="AV187" s="10">
        <f t="shared" si="453"/>
        <v>0</v>
      </c>
      <c r="AW187" s="10">
        <f t="shared" si="453"/>
        <v>0</v>
      </c>
      <c r="AX187" s="10">
        <f t="shared" si="453"/>
        <v>0</v>
      </c>
      <c r="AY187" s="10">
        <f t="shared" si="453"/>
        <v>0</v>
      </c>
      <c r="AZ187" s="10">
        <f t="shared" si="453"/>
        <v>0</v>
      </c>
      <c r="BA187" s="10">
        <f t="shared" si="453"/>
        <v>0</v>
      </c>
      <c r="BB187" s="10">
        <f t="shared" si="453"/>
        <v>0</v>
      </c>
      <c r="BC187" s="10">
        <f t="shared" si="453"/>
        <v>0</v>
      </c>
      <c r="BD187" s="10">
        <f t="shared" si="453"/>
        <v>0</v>
      </c>
      <c r="BE187" s="10">
        <f t="shared" si="453"/>
        <v>0</v>
      </c>
      <c r="BF187" s="10">
        <f t="shared" si="453"/>
        <v>0</v>
      </c>
      <c r="BG187" s="10">
        <f t="shared" si="453"/>
        <v>0</v>
      </c>
      <c r="BH187" s="10">
        <f t="shared" si="453"/>
        <v>0</v>
      </c>
      <c r="BI187" s="10">
        <f t="shared" si="453"/>
        <v>0</v>
      </c>
      <c r="BJ187" s="10">
        <f t="shared" si="453"/>
        <v>0</v>
      </c>
      <c r="BL187" s="13">
        <f t="shared" si="433"/>
        <v>0</v>
      </c>
      <c r="BM187" s="10">
        <f t="shared" si="434"/>
        <v>0</v>
      </c>
      <c r="BN187" s="10">
        <f t="shared" si="434"/>
        <v>0</v>
      </c>
      <c r="BO187" s="10">
        <f t="shared" si="434"/>
        <v>0</v>
      </c>
      <c r="BP187" s="10">
        <f t="shared" si="434"/>
        <v>0</v>
      </c>
      <c r="BQ187" s="10">
        <f t="shared" si="434"/>
        <v>0</v>
      </c>
      <c r="BR187" s="10">
        <f t="shared" si="434"/>
        <v>0</v>
      </c>
      <c r="BS187" s="10">
        <f t="shared" si="434"/>
        <v>0</v>
      </c>
      <c r="BT187" s="10">
        <f t="shared" si="434"/>
        <v>0</v>
      </c>
      <c r="BU187" s="10">
        <f t="shared" si="434"/>
        <v>0</v>
      </c>
      <c r="BV187" s="10">
        <f t="shared" si="434"/>
        <v>0</v>
      </c>
      <c r="BW187" s="10">
        <f t="shared" si="434"/>
        <v>0</v>
      </c>
      <c r="BY187" s="12"/>
      <c r="CA187" s="12"/>
      <c r="CI187" s="7">
        <f t="shared" si="444"/>
        <v>0</v>
      </c>
      <c r="CJ187" s="7">
        <f t="shared" si="445"/>
        <v>0</v>
      </c>
      <c r="CK187" s="7">
        <f t="shared" si="446"/>
        <v>0</v>
      </c>
      <c r="CL187" s="42"/>
      <c r="CM187" s="352">
        <f t="shared" si="435"/>
        <v>0</v>
      </c>
      <c r="CN187" s="352">
        <f t="shared" si="436"/>
        <v>0</v>
      </c>
      <c r="CO187" s="352">
        <f t="shared" si="437"/>
        <v>0</v>
      </c>
      <c r="CP187" s="352">
        <f t="shared" si="438"/>
        <v>0</v>
      </c>
      <c r="CQ187" s="352">
        <f t="shared" si="439"/>
        <v>0</v>
      </c>
      <c r="CR187" s="352">
        <f t="shared" si="440"/>
        <v>0</v>
      </c>
      <c r="CS187" s="352">
        <f t="shared" si="441"/>
        <v>0</v>
      </c>
      <c r="CT187" s="42"/>
      <c r="CU187" s="67">
        <v>0</v>
      </c>
      <c r="CV187" s="67">
        <v>0</v>
      </c>
      <c r="EX187" s="13" t="str">
        <f t="shared" si="442"/>
        <v/>
      </c>
    </row>
    <row r="188" spans="1:154" x14ac:dyDescent="0.25">
      <c r="A188" s="362" cm="1">
        <f t="array" aca="1" ref="A188" ca="1">HYPERLINK(CONCATENATE("#",CELL("address",IF(SUM($CA188:$CL188)=0,A188,INDEX($CA188:$CL188,MATCH(1,$CA188:$CL188,0))))),SUM($CA188:$CL188))</f>
        <v>0</v>
      </c>
      <c r="C188" s="410"/>
      <c r="D188" s="136">
        <f t="shared" si="425"/>
        <v>0</v>
      </c>
      <c r="E188" s="136">
        <f t="shared" si="426"/>
        <v>0</v>
      </c>
      <c r="F188" s="159" t="str">
        <f t="shared" si="427"/>
        <v/>
      </c>
      <c r="G188" s="10">
        <f t="shared" si="428"/>
        <v>0</v>
      </c>
      <c r="H188" s="67" t="s">
        <v>86</v>
      </c>
      <c r="S188" s="335"/>
      <c r="T188" s="25"/>
      <c r="U188" s="25"/>
      <c r="V188" s="13">
        <f>0-IF(AND($F188&gt;=Timeline!$V$8,$F188 &lt;=V$5),$G188, 0)</f>
        <v>0</v>
      </c>
      <c r="W188" s="10">
        <f t="shared" ref="W188:Y188" si="456">IF(AND($F188&gt;V$5,$F188 &lt;=W$5),$G188, 0)</f>
        <v>0</v>
      </c>
      <c r="X188" s="10">
        <f t="shared" si="456"/>
        <v>0</v>
      </c>
      <c r="Y188" s="10">
        <f t="shared" si="456"/>
        <v>0</v>
      </c>
      <c r="Z188" s="335"/>
      <c r="AA188" s="13">
        <f t="shared" si="430"/>
        <v>0</v>
      </c>
      <c r="AB188" s="10">
        <f t="shared" si="431"/>
        <v>0</v>
      </c>
      <c r="AC188" s="10">
        <f t="shared" si="453"/>
        <v>0</v>
      </c>
      <c r="AD188" s="10">
        <f t="shared" si="453"/>
        <v>0</v>
      </c>
      <c r="AE188" s="10">
        <f t="shared" si="453"/>
        <v>0</v>
      </c>
      <c r="AF188" s="10">
        <f t="shared" si="453"/>
        <v>0</v>
      </c>
      <c r="AG188" s="10">
        <f t="shared" si="453"/>
        <v>0</v>
      </c>
      <c r="AH188" s="10">
        <f t="shared" si="453"/>
        <v>0</v>
      </c>
      <c r="AI188" s="10">
        <f t="shared" si="453"/>
        <v>0</v>
      </c>
      <c r="AJ188" s="10">
        <f t="shared" si="453"/>
        <v>0</v>
      </c>
      <c r="AK188" s="10">
        <f t="shared" si="453"/>
        <v>0</v>
      </c>
      <c r="AL188" s="10">
        <f t="shared" si="453"/>
        <v>0</v>
      </c>
      <c r="AM188" s="10">
        <f t="shared" si="453"/>
        <v>0</v>
      </c>
      <c r="AN188" s="10">
        <f t="shared" si="453"/>
        <v>0</v>
      </c>
      <c r="AO188" s="10">
        <f t="shared" si="453"/>
        <v>0</v>
      </c>
      <c r="AP188" s="10">
        <f t="shared" si="453"/>
        <v>0</v>
      </c>
      <c r="AQ188" s="10">
        <f t="shared" si="453"/>
        <v>0</v>
      </c>
      <c r="AR188" s="10">
        <f t="shared" si="453"/>
        <v>0</v>
      </c>
      <c r="AS188" s="10">
        <f t="shared" si="453"/>
        <v>0</v>
      </c>
      <c r="AT188" s="10">
        <f t="shared" si="453"/>
        <v>0</v>
      </c>
      <c r="AU188" s="10">
        <f t="shared" si="453"/>
        <v>0</v>
      </c>
      <c r="AV188" s="10">
        <f t="shared" si="453"/>
        <v>0</v>
      </c>
      <c r="AW188" s="10">
        <f t="shared" si="453"/>
        <v>0</v>
      </c>
      <c r="AX188" s="10">
        <f t="shared" si="453"/>
        <v>0</v>
      </c>
      <c r="AY188" s="10">
        <f t="shared" si="453"/>
        <v>0</v>
      </c>
      <c r="AZ188" s="10">
        <f t="shared" si="453"/>
        <v>0</v>
      </c>
      <c r="BA188" s="10">
        <f t="shared" si="453"/>
        <v>0</v>
      </c>
      <c r="BB188" s="10">
        <f t="shared" si="453"/>
        <v>0</v>
      </c>
      <c r="BC188" s="10">
        <f t="shared" si="453"/>
        <v>0</v>
      </c>
      <c r="BD188" s="10">
        <f t="shared" si="453"/>
        <v>0</v>
      </c>
      <c r="BE188" s="10">
        <f t="shared" si="453"/>
        <v>0</v>
      </c>
      <c r="BF188" s="10">
        <f t="shared" si="453"/>
        <v>0</v>
      </c>
      <c r="BG188" s="10">
        <f t="shared" si="453"/>
        <v>0</v>
      </c>
      <c r="BH188" s="10">
        <f t="shared" si="453"/>
        <v>0</v>
      </c>
      <c r="BI188" s="10">
        <f t="shared" si="453"/>
        <v>0</v>
      </c>
      <c r="BJ188" s="10">
        <f t="shared" si="453"/>
        <v>0</v>
      </c>
      <c r="BL188" s="13">
        <f t="shared" si="433"/>
        <v>0</v>
      </c>
      <c r="BM188" s="10">
        <f t="shared" si="434"/>
        <v>0</v>
      </c>
      <c r="BN188" s="10">
        <f t="shared" si="434"/>
        <v>0</v>
      </c>
      <c r="BO188" s="10">
        <f t="shared" si="434"/>
        <v>0</v>
      </c>
      <c r="BP188" s="10">
        <f t="shared" si="434"/>
        <v>0</v>
      </c>
      <c r="BQ188" s="10">
        <f t="shared" si="434"/>
        <v>0</v>
      </c>
      <c r="BR188" s="10">
        <f t="shared" si="434"/>
        <v>0</v>
      </c>
      <c r="BS188" s="10">
        <f t="shared" si="434"/>
        <v>0</v>
      </c>
      <c r="BT188" s="10">
        <f t="shared" si="434"/>
        <v>0</v>
      </c>
      <c r="BU188" s="10">
        <f t="shared" si="434"/>
        <v>0</v>
      </c>
      <c r="BV188" s="10">
        <f t="shared" si="434"/>
        <v>0</v>
      </c>
      <c r="BW188" s="10">
        <f t="shared" si="434"/>
        <v>0</v>
      </c>
      <c r="BY188" s="12"/>
      <c r="CA188" s="12"/>
      <c r="CI188" s="7">
        <f t="shared" si="444"/>
        <v>0</v>
      </c>
      <c r="CJ188" s="7">
        <f t="shared" si="445"/>
        <v>0</v>
      </c>
      <c r="CK188" s="7">
        <f t="shared" si="446"/>
        <v>0</v>
      </c>
      <c r="CL188" s="42"/>
      <c r="CM188" s="352">
        <f t="shared" si="435"/>
        <v>0</v>
      </c>
      <c r="CN188" s="352">
        <f t="shared" si="436"/>
        <v>0</v>
      </c>
      <c r="CO188" s="352">
        <f t="shared" si="437"/>
        <v>0</v>
      </c>
      <c r="CP188" s="352">
        <f t="shared" si="438"/>
        <v>0</v>
      </c>
      <c r="CQ188" s="352">
        <f t="shared" si="439"/>
        <v>0</v>
      </c>
      <c r="CR188" s="352">
        <f t="shared" si="440"/>
        <v>0</v>
      </c>
      <c r="CS188" s="352">
        <f t="shared" si="441"/>
        <v>0</v>
      </c>
      <c r="CT188" s="42"/>
      <c r="CU188" s="67">
        <v>0</v>
      </c>
      <c r="CV188" s="67">
        <v>0</v>
      </c>
      <c r="EX188" s="13" t="str">
        <f t="shared" si="442"/>
        <v/>
      </c>
    </row>
    <row r="189" spans="1:154" x14ac:dyDescent="0.25">
      <c r="A189" s="362" cm="1">
        <f t="array" aca="1" ref="A189" ca="1">HYPERLINK(CONCATENATE("#",CELL("address",IF(SUM($CA189:$CL189)=0,A189,INDEX($CA189:$CL189,MATCH(1,$CA189:$CL189,0))))),SUM($CA189:$CL189))</f>
        <v>0</v>
      </c>
      <c r="C189" s="410"/>
      <c r="D189" s="136">
        <f t="shared" si="425"/>
        <v>0</v>
      </c>
      <c r="E189" s="136">
        <f t="shared" si="426"/>
        <v>0</v>
      </c>
      <c r="F189" s="159" t="str">
        <f t="shared" si="427"/>
        <v/>
      </c>
      <c r="G189" s="10">
        <f t="shared" si="428"/>
        <v>0</v>
      </c>
      <c r="H189" s="67" t="s">
        <v>86</v>
      </c>
      <c r="S189" s="335"/>
      <c r="T189" s="25"/>
      <c r="U189" s="25"/>
      <c r="V189" s="13">
        <f>0-IF(AND($F189&gt;=Timeline!$V$8,$F189 &lt;=V$5),$G189, 0)</f>
        <v>0</v>
      </c>
      <c r="W189" s="10">
        <f t="shared" ref="W189:Y189" si="457">IF(AND($F189&gt;V$5,$F189 &lt;=W$5),$G189, 0)</f>
        <v>0</v>
      </c>
      <c r="X189" s="10">
        <f t="shared" si="457"/>
        <v>0</v>
      </c>
      <c r="Y189" s="10">
        <f t="shared" si="457"/>
        <v>0</v>
      </c>
      <c r="Z189" s="335"/>
      <c r="AA189" s="13">
        <f t="shared" si="430"/>
        <v>0</v>
      </c>
      <c r="AB189" s="10">
        <f t="shared" si="431"/>
        <v>0</v>
      </c>
      <c r="AC189" s="10">
        <f t="shared" si="453"/>
        <v>0</v>
      </c>
      <c r="AD189" s="10">
        <f t="shared" si="453"/>
        <v>0</v>
      </c>
      <c r="AE189" s="10">
        <f t="shared" si="453"/>
        <v>0</v>
      </c>
      <c r="AF189" s="10">
        <f t="shared" si="453"/>
        <v>0</v>
      </c>
      <c r="AG189" s="10">
        <f t="shared" si="453"/>
        <v>0</v>
      </c>
      <c r="AH189" s="10">
        <f t="shared" si="453"/>
        <v>0</v>
      </c>
      <c r="AI189" s="10">
        <f t="shared" si="453"/>
        <v>0</v>
      </c>
      <c r="AJ189" s="10">
        <f t="shared" si="453"/>
        <v>0</v>
      </c>
      <c r="AK189" s="10">
        <f t="shared" si="453"/>
        <v>0</v>
      </c>
      <c r="AL189" s="10">
        <f t="shared" si="453"/>
        <v>0</v>
      </c>
      <c r="AM189" s="10">
        <f t="shared" si="453"/>
        <v>0</v>
      </c>
      <c r="AN189" s="10">
        <f t="shared" si="453"/>
        <v>0</v>
      </c>
      <c r="AO189" s="10">
        <f t="shared" si="453"/>
        <v>0</v>
      </c>
      <c r="AP189" s="10">
        <f t="shared" si="453"/>
        <v>0</v>
      </c>
      <c r="AQ189" s="10">
        <f t="shared" si="453"/>
        <v>0</v>
      </c>
      <c r="AR189" s="10">
        <f t="shared" si="453"/>
        <v>0</v>
      </c>
      <c r="AS189" s="10">
        <f t="shared" si="453"/>
        <v>0</v>
      </c>
      <c r="AT189" s="10">
        <f t="shared" si="453"/>
        <v>0</v>
      </c>
      <c r="AU189" s="10">
        <f t="shared" si="453"/>
        <v>0</v>
      </c>
      <c r="AV189" s="10">
        <f t="shared" si="453"/>
        <v>0</v>
      </c>
      <c r="AW189" s="10">
        <f t="shared" si="453"/>
        <v>0</v>
      </c>
      <c r="AX189" s="10">
        <f t="shared" si="453"/>
        <v>0</v>
      </c>
      <c r="AY189" s="10">
        <f t="shared" si="453"/>
        <v>0</v>
      </c>
      <c r="AZ189" s="10">
        <f t="shared" si="453"/>
        <v>0</v>
      </c>
      <c r="BA189" s="10">
        <f t="shared" si="453"/>
        <v>0</v>
      </c>
      <c r="BB189" s="10">
        <f t="shared" si="453"/>
        <v>0</v>
      </c>
      <c r="BC189" s="10">
        <f t="shared" si="453"/>
        <v>0</v>
      </c>
      <c r="BD189" s="10">
        <f t="shared" si="453"/>
        <v>0</v>
      </c>
      <c r="BE189" s="10">
        <f t="shared" si="453"/>
        <v>0</v>
      </c>
      <c r="BF189" s="10">
        <f t="shared" si="453"/>
        <v>0</v>
      </c>
      <c r="BG189" s="10">
        <f t="shared" si="453"/>
        <v>0</v>
      </c>
      <c r="BH189" s="10">
        <f t="shared" si="453"/>
        <v>0</v>
      </c>
      <c r="BI189" s="10">
        <f t="shared" si="453"/>
        <v>0</v>
      </c>
      <c r="BJ189" s="10">
        <f t="shared" si="453"/>
        <v>0</v>
      </c>
      <c r="BL189" s="13">
        <f t="shared" si="433"/>
        <v>0</v>
      </c>
      <c r="BM189" s="10">
        <f t="shared" si="434"/>
        <v>0</v>
      </c>
      <c r="BN189" s="10">
        <f t="shared" si="434"/>
        <v>0</v>
      </c>
      <c r="BO189" s="10">
        <f t="shared" si="434"/>
        <v>0</v>
      </c>
      <c r="BP189" s="10">
        <f t="shared" si="434"/>
        <v>0</v>
      </c>
      <c r="BQ189" s="10">
        <f t="shared" si="434"/>
        <v>0</v>
      </c>
      <c r="BR189" s="10">
        <f t="shared" si="434"/>
        <v>0</v>
      </c>
      <c r="BS189" s="10">
        <f t="shared" si="434"/>
        <v>0</v>
      </c>
      <c r="BT189" s="10">
        <f t="shared" si="434"/>
        <v>0</v>
      </c>
      <c r="BU189" s="10">
        <f t="shared" si="434"/>
        <v>0</v>
      </c>
      <c r="BV189" s="10">
        <f t="shared" si="434"/>
        <v>0</v>
      </c>
      <c r="BW189" s="10">
        <f t="shared" si="434"/>
        <v>0</v>
      </c>
      <c r="BY189" s="12"/>
      <c r="CA189" s="12"/>
      <c r="CI189" s="7">
        <f t="shared" si="444"/>
        <v>0</v>
      </c>
      <c r="CJ189" s="7">
        <f t="shared" si="445"/>
        <v>0</v>
      </c>
      <c r="CK189" s="7">
        <f t="shared" si="446"/>
        <v>0</v>
      </c>
      <c r="CL189" s="42"/>
      <c r="CM189" s="352">
        <f t="shared" si="435"/>
        <v>0</v>
      </c>
      <c r="CN189" s="352">
        <f t="shared" si="436"/>
        <v>0</v>
      </c>
      <c r="CO189" s="352">
        <f t="shared" si="437"/>
        <v>0</v>
      </c>
      <c r="CP189" s="352">
        <f t="shared" si="438"/>
        <v>0</v>
      </c>
      <c r="CQ189" s="352">
        <f t="shared" si="439"/>
        <v>0</v>
      </c>
      <c r="CR189" s="352">
        <f t="shared" si="440"/>
        <v>0</v>
      </c>
      <c r="CS189" s="352">
        <f t="shared" si="441"/>
        <v>0</v>
      </c>
      <c r="CT189" s="42"/>
      <c r="CU189" s="67">
        <v>0</v>
      </c>
      <c r="CV189" s="67">
        <v>0</v>
      </c>
      <c r="EX189" s="13" t="str">
        <f t="shared" si="442"/>
        <v/>
      </c>
    </row>
    <row r="190" spans="1:154" x14ac:dyDescent="0.25">
      <c r="A190" s="362" cm="1">
        <f t="array" aca="1" ref="A190" ca="1">HYPERLINK(CONCATENATE("#",CELL("address",IF(SUM($CA190:$CL190)=0,A190,INDEX($CA190:$CL190,MATCH(1,$CA190:$CL190,0))))),SUM($CA190:$CL190))</f>
        <v>0</v>
      </c>
      <c r="C190" s="410"/>
      <c r="D190" s="136">
        <f t="shared" si="425"/>
        <v>0</v>
      </c>
      <c r="E190" s="136">
        <f t="shared" si="426"/>
        <v>0</v>
      </c>
      <c r="F190" s="159" t="str">
        <f t="shared" si="427"/>
        <v/>
      </c>
      <c r="G190" s="10">
        <f t="shared" si="428"/>
        <v>0</v>
      </c>
      <c r="H190" s="67" t="s">
        <v>86</v>
      </c>
      <c r="S190" s="335"/>
      <c r="T190" s="25"/>
      <c r="U190" s="25"/>
      <c r="V190" s="13">
        <f>0-IF(AND($F190&gt;=Timeline!$V$8,$F190 &lt;=V$5),$G190, 0)</f>
        <v>0</v>
      </c>
      <c r="W190" s="10">
        <f t="shared" ref="W190:Y190" si="458">IF(AND($F190&gt;V$5,$F190 &lt;=W$5),$G190, 0)</f>
        <v>0</v>
      </c>
      <c r="X190" s="10">
        <f t="shared" si="458"/>
        <v>0</v>
      </c>
      <c r="Y190" s="10">
        <f t="shared" si="458"/>
        <v>0</v>
      </c>
      <c r="Z190" s="335"/>
      <c r="AA190" s="13">
        <f t="shared" si="430"/>
        <v>0</v>
      </c>
      <c r="AB190" s="10">
        <f t="shared" si="431"/>
        <v>0</v>
      </c>
      <c r="AC190" s="10">
        <f t="shared" si="453"/>
        <v>0</v>
      </c>
      <c r="AD190" s="10">
        <f t="shared" si="453"/>
        <v>0</v>
      </c>
      <c r="AE190" s="10">
        <f t="shared" si="453"/>
        <v>0</v>
      </c>
      <c r="AF190" s="10">
        <f t="shared" si="453"/>
        <v>0</v>
      </c>
      <c r="AG190" s="10">
        <f t="shared" si="453"/>
        <v>0</v>
      </c>
      <c r="AH190" s="10">
        <f t="shared" si="453"/>
        <v>0</v>
      </c>
      <c r="AI190" s="10">
        <f t="shared" si="453"/>
        <v>0</v>
      </c>
      <c r="AJ190" s="10">
        <f t="shared" si="453"/>
        <v>0</v>
      </c>
      <c r="AK190" s="10">
        <f t="shared" si="453"/>
        <v>0</v>
      </c>
      <c r="AL190" s="10">
        <f t="shared" si="453"/>
        <v>0</v>
      </c>
      <c r="AM190" s="10">
        <f t="shared" si="453"/>
        <v>0</v>
      </c>
      <c r="AN190" s="10">
        <f t="shared" si="453"/>
        <v>0</v>
      </c>
      <c r="AO190" s="10">
        <f t="shared" si="453"/>
        <v>0</v>
      </c>
      <c r="AP190" s="10">
        <f t="shared" si="453"/>
        <v>0</v>
      </c>
      <c r="AQ190" s="10">
        <f t="shared" si="453"/>
        <v>0</v>
      </c>
      <c r="AR190" s="10">
        <f t="shared" si="453"/>
        <v>0</v>
      </c>
      <c r="AS190" s="10">
        <f t="shared" si="453"/>
        <v>0</v>
      </c>
      <c r="AT190" s="10">
        <f t="shared" si="453"/>
        <v>0</v>
      </c>
      <c r="AU190" s="10">
        <f t="shared" si="453"/>
        <v>0</v>
      </c>
      <c r="AV190" s="10">
        <f t="shared" si="453"/>
        <v>0</v>
      </c>
      <c r="AW190" s="10">
        <f t="shared" si="453"/>
        <v>0</v>
      </c>
      <c r="AX190" s="10">
        <f t="shared" si="453"/>
        <v>0</v>
      </c>
      <c r="AY190" s="10">
        <f t="shared" si="453"/>
        <v>0</v>
      </c>
      <c r="AZ190" s="10">
        <f t="shared" si="453"/>
        <v>0</v>
      </c>
      <c r="BA190" s="10">
        <f t="shared" si="453"/>
        <v>0</v>
      </c>
      <c r="BB190" s="10">
        <f t="shared" si="453"/>
        <v>0</v>
      </c>
      <c r="BC190" s="10">
        <f t="shared" si="453"/>
        <v>0</v>
      </c>
      <c r="BD190" s="10">
        <f t="shared" si="453"/>
        <v>0</v>
      </c>
      <c r="BE190" s="10">
        <f t="shared" si="453"/>
        <v>0</v>
      </c>
      <c r="BF190" s="10">
        <f t="shared" si="453"/>
        <v>0</v>
      </c>
      <c r="BG190" s="10">
        <f t="shared" si="453"/>
        <v>0</v>
      </c>
      <c r="BH190" s="10">
        <f t="shared" si="453"/>
        <v>0</v>
      </c>
      <c r="BI190" s="10">
        <f t="shared" si="453"/>
        <v>0</v>
      </c>
      <c r="BJ190" s="10">
        <f t="shared" si="453"/>
        <v>0</v>
      </c>
      <c r="BL190" s="13">
        <f t="shared" si="433"/>
        <v>0</v>
      </c>
      <c r="BM190" s="10">
        <f t="shared" si="434"/>
        <v>0</v>
      </c>
      <c r="BN190" s="10">
        <f t="shared" si="434"/>
        <v>0</v>
      </c>
      <c r="BO190" s="10">
        <f t="shared" si="434"/>
        <v>0</v>
      </c>
      <c r="BP190" s="10">
        <f t="shared" si="434"/>
        <v>0</v>
      </c>
      <c r="BQ190" s="10">
        <f t="shared" si="434"/>
        <v>0</v>
      </c>
      <c r="BR190" s="10">
        <f t="shared" si="434"/>
        <v>0</v>
      </c>
      <c r="BS190" s="10">
        <f t="shared" si="434"/>
        <v>0</v>
      </c>
      <c r="BT190" s="10">
        <f t="shared" si="434"/>
        <v>0</v>
      </c>
      <c r="BU190" s="10">
        <f t="shared" si="434"/>
        <v>0</v>
      </c>
      <c r="BV190" s="10">
        <f t="shared" si="434"/>
        <v>0</v>
      </c>
      <c r="BW190" s="10">
        <f t="shared" si="434"/>
        <v>0</v>
      </c>
      <c r="BY190" s="12"/>
      <c r="CA190" s="12"/>
      <c r="CI190" s="7">
        <f t="shared" si="444"/>
        <v>0</v>
      </c>
      <c r="CJ190" s="7">
        <f t="shared" si="445"/>
        <v>0</v>
      </c>
      <c r="CK190" s="7">
        <f t="shared" si="446"/>
        <v>0</v>
      </c>
      <c r="CL190" s="42"/>
      <c r="CM190" s="352">
        <f t="shared" si="435"/>
        <v>0</v>
      </c>
      <c r="CN190" s="352">
        <f t="shared" si="436"/>
        <v>0</v>
      </c>
      <c r="CO190" s="352">
        <f t="shared" si="437"/>
        <v>0</v>
      </c>
      <c r="CP190" s="352">
        <f t="shared" si="438"/>
        <v>0</v>
      </c>
      <c r="CQ190" s="352">
        <f t="shared" si="439"/>
        <v>0</v>
      </c>
      <c r="CR190" s="352">
        <f t="shared" si="440"/>
        <v>0</v>
      </c>
      <c r="CS190" s="352">
        <f t="shared" si="441"/>
        <v>0</v>
      </c>
      <c r="CT190" s="42"/>
      <c r="CU190" s="67">
        <v>0</v>
      </c>
      <c r="CV190" s="67">
        <v>0</v>
      </c>
      <c r="EX190" s="13" t="str">
        <f t="shared" si="442"/>
        <v/>
      </c>
    </row>
    <row r="191" spans="1:154" x14ac:dyDescent="0.25">
      <c r="A191" s="362" cm="1">
        <f t="array" aca="1" ref="A191" ca="1">HYPERLINK(CONCATENATE("#",CELL("address",IF(SUM($CA191:$CL191)=0,A191,INDEX($CA191:$CL191,MATCH(1,$CA191:$CL191,0))))),SUM($CA191:$CL191))</f>
        <v>0</v>
      </c>
      <c r="C191" s="410"/>
      <c r="D191" s="136">
        <f t="shared" si="425"/>
        <v>0</v>
      </c>
      <c r="E191" s="136">
        <f t="shared" si="426"/>
        <v>0</v>
      </c>
      <c r="F191" s="159" t="str">
        <f t="shared" si="427"/>
        <v/>
      </c>
      <c r="G191" s="10">
        <f t="shared" si="428"/>
        <v>0</v>
      </c>
      <c r="H191" s="67" t="s">
        <v>86</v>
      </c>
      <c r="S191" s="335"/>
      <c r="T191" s="25"/>
      <c r="U191" s="25"/>
      <c r="V191" s="13">
        <f>0-IF(AND($F191&gt;=Timeline!$V$8,$F191 &lt;=V$5),$G191, 0)</f>
        <v>0</v>
      </c>
      <c r="W191" s="10">
        <f t="shared" ref="W191:Y191" si="459">IF(AND($F191&gt;V$5,$F191 &lt;=W$5),$G191, 0)</f>
        <v>0</v>
      </c>
      <c r="X191" s="10">
        <f t="shared" si="459"/>
        <v>0</v>
      </c>
      <c r="Y191" s="10">
        <f t="shared" si="459"/>
        <v>0</v>
      </c>
      <c r="Z191" s="335"/>
      <c r="AA191" s="13">
        <f t="shared" si="430"/>
        <v>0</v>
      </c>
      <c r="AB191" s="10">
        <f t="shared" si="431"/>
        <v>0</v>
      </c>
      <c r="AC191" s="10">
        <f t="shared" si="453"/>
        <v>0</v>
      </c>
      <c r="AD191" s="10">
        <f t="shared" si="453"/>
        <v>0</v>
      </c>
      <c r="AE191" s="10">
        <f t="shared" si="453"/>
        <v>0</v>
      </c>
      <c r="AF191" s="10">
        <f t="shared" si="453"/>
        <v>0</v>
      </c>
      <c r="AG191" s="10">
        <f t="shared" si="453"/>
        <v>0</v>
      </c>
      <c r="AH191" s="10">
        <f t="shared" si="453"/>
        <v>0</v>
      </c>
      <c r="AI191" s="10">
        <f t="shared" si="453"/>
        <v>0</v>
      </c>
      <c r="AJ191" s="10">
        <f t="shared" si="453"/>
        <v>0</v>
      </c>
      <c r="AK191" s="10">
        <f t="shared" si="453"/>
        <v>0</v>
      </c>
      <c r="AL191" s="10">
        <f t="shared" si="453"/>
        <v>0</v>
      </c>
      <c r="AM191" s="10">
        <f t="shared" si="453"/>
        <v>0</v>
      </c>
      <c r="AN191" s="10">
        <f t="shared" si="453"/>
        <v>0</v>
      </c>
      <c r="AO191" s="10">
        <f t="shared" si="453"/>
        <v>0</v>
      </c>
      <c r="AP191" s="10">
        <f t="shared" si="453"/>
        <v>0</v>
      </c>
      <c r="AQ191" s="10">
        <f t="shared" si="453"/>
        <v>0</v>
      </c>
      <c r="AR191" s="10">
        <f t="shared" si="453"/>
        <v>0</v>
      </c>
      <c r="AS191" s="10">
        <f t="shared" si="453"/>
        <v>0</v>
      </c>
      <c r="AT191" s="10">
        <f t="shared" si="453"/>
        <v>0</v>
      </c>
      <c r="AU191" s="10">
        <f t="shared" si="453"/>
        <v>0</v>
      </c>
      <c r="AV191" s="10">
        <f t="shared" si="453"/>
        <v>0</v>
      </c>
      <c r="AW191" s="10">
        <f t="shared" si="453"/>
        <v>0</v>
      </c>
      <c r="AX191" s="10">
        <f t="shared" si="453"/>
        <v>0</v>
      </c>
      <c r="AY191" s="10">
        <f t="shared" si="453"/>
        <v>0</v>
      </c>
      <c r="AZ191" s="10">
        <f t="shared" si="453"/>
        <v>0</v>
      </c>
      <c r="BA191" s="10">
        <f t="shared" si="453"/>
        <v>0</v>
      </c>
      <c r="BB191" s="10">
        <f t="shared" si="453"/>
        <v>0</v>
      </c>
      <c r="BC191" s="10">
        <f t="shared" si="453"/>
        <v>0</v>
      </c>
      <c r="BD191" s="10">
        <f t="shared" si="453"/>
        <v>0</v>
      </c>
      <c r="BE191" s="10">
        <f t="shared" si="453"/>
        <v>0</v>
      </c>
      <c r="BF191" s="10">
        <f t="shared" si="453"/>
        <v>0</v>
      </c>
      <c r="BG191" s="10">
        <f t="shared" si="453"/>
        <v>0</v>
      </c>
      <c r="BH191" s="10">
        <f t="shared" si="453"/>
        <v>0</v>
      </c>
      <c r="BI191" s="10">
        <f t="shared" si="453"/>
        <v>0</v>
      </c>
      <c r="BJ191" s="10">
        <f t="shared" si="453"/>
        <v>0</v>
      </c>
      <c r="BL191" s="13">
        <f t="shared" si="433"/>
        <v>0</v>
      </c>
      <c r="BM191" s="10">
        <f t="shared" si="434"/>
        <v>0</v>
      </c>
      <c r="BN191" s="10">
        <f t="shared" si="434"/>
        <v>0</v>
      </c>
      <c r="BO191" s="10">
        <f t="shared" si="434"/>
        <v>0</v>
      </c>
      <c r="BP191" s="10">
        <f t="shared" si="434"/>
        <v>0</v>
      </c>
      <c r="BQ191" s="10">
        <f t="shared" si="434"/>
        <v>0</v>
      </c>
      <c r="BR191" s="10">
        <f t="shared" si="434"/>
        <v>0</v>
      </c>
      <c r="BS191" s="10">
        <f t="shared" si="434"/>
        <v>0</v>
      </c>
      <c r="BT191" s="10">
        <f t="shared" si="434"/>
        <v>0</v>
      </c>
      <c r="BU191" s="10">
        <f t="shared" si="434"/>
        <v>0</v>
      </c>
      <c r="BV191" s="10">
        <f t="shared" si="434"/>
        <v>0</v>
      </c>
      <c r="BW191" s="10">
        <f t="shared" si="434"/>
        <v>0</v>
      </c>
      <c r="BY191" s="12"/>
      <c r="CA191" s="12"/>
      <c r="CI191" s="7">
        <f t="shared" si="444"/>
        <v>0</v>
      </c>
      <c r="CJ191" s="7">
        <f t="shared" si="445"/>
        <v>0</v>
      </c>
      <c r="CK191" s="7">
        <f t="shared" si="446"/>
        <v>0</v>
      </c>
      <c r="CL191" s="42"/>
      <c r="CM191" s="352">
        <f t="shared" si="435"/>
        <v>0</v>
      </c>
      <c r="CN191" s="352">
        <f t="shared" si="436"/>
        <v>0</v>
      </c>
      <c r="CO191" s="352">
        <f t="shared" si="437"/>
        <v>0</v>
      </c>
      <c r="CP191" s="352">
        <f t="shared" si="438"/>
        <v>0</v>
      </c>
      <c r="CQ191" s="352">
        <f t="shared" si="439"/>
        <v>0</v>
      </c>
      <c r="CR191" s="352">
        <f t="shared" si="440"/>
        <v>0</v>
      </c>
      <c r="CS191" s="352">
        <f t="shared" si="441"/>
        <v>0</v>
      </c>
      <c r="CT191" s="42"/>
      <c r="CU191" s="67">
        <v>0</v>
      </c>
      <c r="CV191" s="67">
        <v>0</v>
      </c>
      <c r="EX191" s="13" t="str">
        <f t="shared" si="442"/>
        <v/>
      </c>
    </row>
    <row r="192" spans="1:154" x14ac:dyDescent="0.25">
      <c r="A192" s="362" cm="1">
        <f t="array" aca="1" ref="A192" ca="1">HYPERLINK(CONCATENATE("#",CELL("address",IF(SUM($CA192:$CL192)=0,A192,INDEX($CA192:$CL192,MATCH(1,$CA192:$CL192,0))))),SUM($CA192:$CL192))</f>
        <v>0</v>
      </c>
      <c r="C192" s="410"/>
      <c r="D192" s="136">
        <f t="shared" si="425"/>
        <v>0</v>
      </c>
      <c r="E192" s="136">
        <f t="shared" si="426"/>
        <v>0</v>
      </c>
      <c r="F192" s="159" t="str">
        <f t="shared" si="427"/>
        <v/>
      </c>
      <c r="G192" s="10">
        <f t="shared" si="428"/>
        <v>0</v>
      </c>
      <c r="H192" s="67" t="s">
        <v>86</v>
      </c>
      <c r="S192" s="335"/>
      <c r="T192" s="25"/>
      <c r="U192" s="25"/>
      <c r="V192" s="13">
        <f>0-IF(AND($F192&gt;=Timeline!$V$8,$F192 &lt;=V$5),$G192, 0)</f>
        <v>0</v>
      </c>
      <c r="W192" s="10">
        <f t="shared" ref="W192:Y192" si="460">IF(AND($F192&gt;V$5,$F192 &lt;=W$5),$G192, 0)</f>
        <v>0</v>
      </c>
      <c r="X192" s="10">
        <f t="shared" si="460"/>
        <v>0</v>
      </c>
      <c r="Y192" s="10">
        <f t="shared" si="460"/>
        <v>0</v>
      </c>
      <c r="Z192" s="335"/>
      <c r="AA192" s="13">
        <f t="shared" si="430"/>
        <v>0</v>
      </c>
      <c r="AB192" s="10">
        <f t="shared" si="431"/>
        <v>0</v>
      </c>
      <c r="AC192" s="10">
        <f t="shared" si="453"/>
        <v>0</v>
      </c>
      <c r="AD192" s="10">
        <f t="shared" si="453"/>
        <v>0</v>
      </c>
      <c r="AE192" s="10">
        <f t="shared" si="453"/>
        <v>0</v>
      </c>
      <c r="AF192" s="10">
        <f t="shared" si="453"/>
        <v>0</v>
      </c>
      <c r="AG192" s="10">
        <f t="shared" si="453"/>
        <v>0</v>
      </c>
      <c r="AH192" s="10">
        <f t="shared" si="453"/>
        <v>0</v>
      </c>
      <c r="AI192" s="10">
        <f t="shared" si="453"/>
        <v>0</v>
      </c>
      <c r="AJ192" s="10">
        <f t="shared" si="453"/>
        <v>0</v>
      </c>
      <c r="AK192" s="10">
        <f t="shared" si="453"/>
        <v>0</v>
      </c>
      <c r="AL192" s="10">
        <f t="shared" si="453"/>
        <v>0</v>
      </c>
      <c r="AM192" s="10">
        <f t="shared" si="453"/>
        <v>0</v>
      </c>
      <c r="AN192" s="10">
        <f t="shared" si="453"/>
        <v>0</v>
      </c>
      <c r="AO192" s="10">
        <f t="shared" si="453"/>
        <v>0</v>
      </c>
      <c r="AP192" s="10">
        <f t="shared" si="453"/>
        <v>0</v>
      </c>
      <c r="AQ192" s="10">
        <f t="shared" si="453"/>
        <v>0</v>
      </c>
      <c r="AR192" s="10">
        <f t="shared" si="453"/>
        <v>0</v>
      </c>
      <c r="AS192" s="10">
        <f t="shared" si="453"/>
        <v>0</v>
      </c>
      <c r="AT192" s="10">
        <f t="shared" si="453"/>
        <v>0</v>
      </c>
      <c r="AU192" s="10">
        <f t="shared" si="453"/>
        <v>0</v>
      </c>
      <c r="AV192" s="10">
        <f t="shared" si="453"/>
        <v>0</v>
      </c>
      <c r="AW192" s="10">
        <f t="shared" si="453"/>
        <v>0</v>
      </c>
      <c r="AX192" s="10">
        <f t="shared" si="453"/>
        <v>0</v>
      </c>
      <c r="AY192" s="10">
        <f t="shared" si="453"/>
        <v>0</v>
      </c>
      <c r="AZ192" s="10">
        <f t="shared" si="453"/>
        <v>0</v>
      </c>
      <c r="BA192" s="10">
        <f t="shared" si="453"/>
        <v>0</v>
      </c>
      <c r="BB192" s="10">
        <f t="shared" si="453"/>
        <v>0</v>
      </c>
      <c r="BC192" s="10">
        <f t="shared" si="453"/>
        <v>0</v>
      </c>
      <c r="BD192" s="10">
        <f t="shared" si="453"/>
        <v>0</v>
      </c>
      <c r="BE192" s="10">
        <f t="shared" si="453"/>
        <v>0</v>
      </c>
      <c r="BF192" s="10">
        <f t="shared" si="453"/>
        <v>0</v>
      </c>
      <c r="BG192" s="10">
        <f t="shared" si="453"/>
        <v>0</v>
      </c>
      <c r="BH192" s="10">
        <f t="shared" si="453"/>
        <v>0</v>
      </c>
      <c r="BI192" s="10">
        <f t="shared" si="453"/>
        <v>0</v>
      </c>
      <c r="BJ192" s="10">
        <f t="shared" si="453"/>
        <v>0</v>
      </c>
      <c r="BL192" s="13">
        <f t="shared" si="433"/>
        <v>0</v>
      </c>
      <c r="BM192" s="10">
        <f t="shared" si="434"/>
        <v>0</v>
      </c>
      <c r="BN192" s="10">
        <f t="shared" si="434"/>
        <v>0</v>
      </c>
      <c r="BO192" s="10">
        <f t="shared" si="434"/>
        <v>0</v>
      </c>
      <c r="BP192" s="10">
        <f t="shared" si="434"/>
        <v>0</v>
      </c>
      <c r="BQ192" s="10">
        <f t="shared" si="434"/>
        <v>0</v>
      </c>
      <c r="BR192" s="10">
        <f t="shared" si="434"/>
        <v>0</v>
      </c>
      <c r="BS192" s="10">
        <f t="shared" si="434"/>
        <v>0</v>
      </c>
      <c r="BT192" s="10">
        <f t="shared" si="434"/>
        <v>0</v>
      </c>
      <c r="BU192" s="10">
        <f t="shared" si="434"/>
        <v>0</v>
      </c>
      <c r="BV192" s="10">
        <f t="shared" si="434"/>
        <v>0</v>
      </c>
      <c r="BW192" s="10">
        <f t="shared" si="434"/>
        <v>0</v>
      </c>
      <c r="BY192" s="12"/>
      <c r="CA192" s="12"/>
      <c r="CI192" s="7">
        <f t="shared" si="444"/>
        <v>0</v>
      </c>
      <c r="CJ192" s="7">
        <f t="shared" si="445"/>
        <v>0</v>
      </c>
      <c r="CK192" s="7">
        <f t="shared" si="446"/>
        <v>0</v>
      </c>
      <c r="CL192" s="42"/>
      <c r="CM192" s="352">
        <f t="shared" si="435"/>
        <v>0</v>
      </c>
      <c r="CN192" s="352">
        <f t="shared" si="436"/>
        <v>0</v>
      </c>
      <c r="CO192" s="352">
        <f t="shared" si="437"/>
        <v>0</v>
      </c>
      <c r="CP192" s="352">
        <f t="shared" si="438"/>
        <v>0</v>
      </c>
      <c r="CQ192" s="352">
        <f t="shared" si="439"/>
        <v>0</v>
      </c>
      <c r="CR192" s="352">
        <f t="shared" si="440"/>
        <v>0</v>
      </c>
      <c r="CS192" s="352">
        <f t="shared" si="441"/>
        <v>0</v>
      </c>
      <c r="CT192" s="42"/>
      <c r="CU192" s="67">
        <v>0</v>
      </c>
      <c r="CV192" s="67">
        <v>0</v>
      </c>
      <c r="EX192" s="13" t="str">
        <f t="shared" si="442"/>
        <v/>
      </c>
    </row>
    <row r="193" spans="1:154" x14ac:dyDescent="0.25">
      <c r="A193" s="362" cm="1">
        <f t="array" aca="1" ref="A193" ca="1">HYPERLINK(CONCATENATE("#",CELL("address",IF(SUM($CA193:$CL193)=0,A193,INDEX($CA193:$CL193,MATCH(1,$CA193:$CL193,0))))),SUM($CA193:$CL193))</f>
        <v>0</v>
      </c>
      <c r="C193" s="410"/>
      <c r="D193" s="5" t="s">
        <v>383</v>
      </c>
      <c r="E193" s="5" t="str">
        <f>Parameters!$D$45</f>
        <v>Land &amp; Buildings</v>
      </c>
      <c r="G193" s="116"/>
      <c r="H193" s="9"/>
      <c r="T193" s="25"/>
      <c r="U193" s="25"/>
      <c r="V193" s="13">
        <f>SUMIFS(V178:V192, $E178:$E192, $E193)</f>
        <v>0</v>
      </c>
      <c r="W193" s="13">
        <f>SUMIFS(W178:W192, $E178:$E192, $E193)</f>
        <v>0</v>
      </c>
      <c r="X193" s="13">
        <f>SUMIFS(X178:X192, $E178:$E192, $E193)</f>
        <v>0</v>
      </c>
      <c r="Y193" s="13">
        <f>SUMIFS(Y178:Y192, $E178:$E192, $E193)</f>
        <v>0</v>
      </c>
      <c r="Z193" s="335"/>
      <c r="AA193" s="13">
        <f t="shared" ref="AA193:BJ193" si="461">SUMIFS(AA178:AA192, $E178:$E192, $E193)</f>
        <v>0</v>
      </c>
      <c r="AB193" s="13">
        <f t="shared" si="461"/>
        <v>0</v>
      </c>
      <c r="AC193" s="13">
        <f t="shared" si="461"/>
        <v>0</v>
      </c>
      <c r="AD193" s="13">
        <f t="shared" si="461"/>
        <v>0</v>
      </c>
      <c r="AE193" s="13">
        <f t="shared" si="461"/>
        <v>0</v>
      </c>
      <c r="AF193" s="13">
        <f t="shared" si="461"/>
        <v>0</v>
      </c>
      <c r="AG193" s="13">
        <f t="shared" si="461"/>
        <v>0</v>
      </c>
      <c r="AH193" s="13">
        <f t="shared" si="461"/>
        <v>0</v>
      </c>
      <c r="AI193" s="13">
        <f t="shared" si="461"/>
        <v>0</v>
      </c>
      <c r="AJ193" s="13">
        <f t="shared" si="461"/>
        <v>0</v>
      </c>
      <c r="AK193" s="13">
        <f t="shared" si="461"/>
        <v>0</v>
      </c>
      <c r="AL193" s="13">
        <f t="shared" si="461"/>
        <v>0</v>
      </c>
      <c r="AM193" s="13">
        <f t="shared" si="461"/>
        <v>0</v>
      </c>
      <c r="AN193" s="13">
        <f t="shared" si="461"/>
        <v>0</v>
      </c>
      <c r="AO193" s="13">
        <f t="shared" si="461"/>
        <v>0</v>
      </c>
      <c r="AP193" s="13">
        <f t="shared" si="461"/>
        <v>0</v>
      </c>
      <c r="AQ193" s="13">
        <f t="shared" si="461"/>
        <v>0</v>
      </c>
      <c r="AR193" s="13">
        <f t="shared" si="461"/>
        <v>0</v>
      </c>
      <c r="AS193" s="13">
        <f t="shared" si="461"/>
        <v>0</v>
      </c>
      <c r="AT193" s="13">
        <f t="shared" si="461"/>
        <v>0</v>
      </c>
      <c r="AU193" s="13">
        <f t="shared" si="461"/>
        <v>0</v>
      </c>
      <c r="AV193" s="13">
        <f t="shared" si="461"/>
        <v>0</v>
      </c>
      <c r="AW193" s="13">
        <f t="shared" si="461"/>
        <v>0</v>
      </c>
      <c r="AX193" s="13">
        <f t="shared" si="461"/>
        <v>0</v>
      </c>
      <c r="AY193" s="13">
        <f t="shared" si="461"/>
        <v>0</v>
      </c>
      <c r="AZ193" s="13">
        <f t="shared" si="461"/>
        <v>0</v>
      </c>
      <c r="BA193" s="13">
        <f t="shared" si="461"/>
        <v>0</v>
      </c>
      <c r="BB193" s="13">
        <f t="shared" si="461"/>
        <v>0</v>
      </c>
      <c r="BC193" s="13">
        <f t="shared" si="461"/>
        <v>0</v>
      </c>
      <c r="BD193" s="13">
        <f t="shared" si="461"/>
        <v>0</v>
      </c>
      <c r="BE193" s="13">
        <f t="shared" si="461"/>
        <v>0</v>
      </c>
      <c r="BF193" s="13">
        <f t="shared" si="461"/>
        <v>0</v>
      </c>
      <c r="BG193" s="13">
        <f t="shared" si="461"/>
        <v>0</v>
      </c>
      <c r="BH193" s="13">
        <f t="shared" si="461"/>
        <v>0</v>
      </c>
      <c r="BI193" s="13">
        <f t="shared" si="461"/>
        <v>0</v>
      </c>
      <c r="BJ193" s="13">
        <f t="shared" si="461"/>
        <v>0</v>
      </c>
      <c r="BL193" s="13">
        <f t="shared" ref="BL193:BW193" si="462">SUMIFS(BL178:BL192, $E178:$E192, $E193)</f>
        <v>0</v>
      </c>
      <c r="BM193" s="13">
        <f t="shared" si="462"/>
        <v>0</v>
      </c>
      <c r="BN193" s="13">
        <f t="shared" si="462"/>
        <v>0</v>
      </c>
      <c r="BO193" s="13">
        <f t="shared" si="462"/>
        <v>0</v>
      </c>
      <c r="BP193" s="13">
        <f t="shared" si="462"/>
        <v>0</v>
      </c>
      <c r="BQ193" s="13">
        <f t="shared" si="462"/>
        <v>0</v>
      </c>
      <c r="BR193" s="13">
        <f t="shared" si="462"/>
        <v>0</v>
      </c>
      <c r="BS193" s="13">
        <f t="shared" si="462"/>
        <v>0</v>
      </c>
      <c r="BT193" s="13">
        <f t="shared" si="462"/>
        <v>0</v>
      </c>
      <c r="BU193" s="13">
        <f t="shared" si="462"/>
        <v>0</v>
      </c>
      <c r="BV193" s="13">
        <f t="shared" si="462"/>
        <v>0</v>
      </c>
      <c r="BW193" s="13">
        <f t="shared" si="462"/>
        <v>0</v>
      </c>
      <c r="BY193" s="12"/>
      <c r="CA193" s="12"/>
      <c r="CI193" s="7">
        <f t="shared" si="444"/>
        <v>0</v>
      </c>
      <c r="CJ193" s="7">
        <f t="shared" si="445"/>
        <v>0</v>
      </c>
      <c r="CK193" s="7">
        <f t="shared" si="446"/>
        <v>0</v>
      </c>
      <c r="CL193" s="42"/>
      <c r="CM193" s="352">
        <f t="shared" si="435"/>
        <v>0</v>
      </c>
      <c r="CN193" s="352">
        <f t="shared" si="436"/>
        <v>0</v>
      </c>
      <c r="CO193" s="352">
        <f t="shared" si="437"/>
        <v>0</v>
      </c>
      <c r="CP193" s="352">
        <f t="shared" si="438"/>
        <v>0</v>
      </c>
      <c r="CQ193" s="352">
        <f t="shared" si="439"/>
        <v>0</v>
      </c>
      <c r="CR193" s="352">
        <f t="shared" si="440"/>
        <v>0</v>
      </c>
      <c r="CS193" s="352">
        <f t="shared" si="441"/>
        <v>0</v>
      </c>
      <c r="CT193" s="42"/>
      <c r="CU193" s="67">
        <v>0</v>
      </c>
      <c r="CV193" s="67">
        <v>0</v>
      </c>
      <c r="EX193" s="13" t="str">
        <f t="shared" si="442"/>
        <v/>
      </c>
    </row>
    <row r="194" spans="1:154" x14ac:dyDescent="0.25">
      <c r="A194" s="362" cm="1">
        <f t="array" aca="1" ref="A194" ca="1">HYPERLINK(CONCATENATE("#",CELL("address",IF(SUM($CA194:$CL194)=0,A194,INDEX($CA194:$CL194,MATCH(1,$CA194:$CL194,0))))),SUM($CA194:$CL194))</f>
        <v>0</v>
      </c>
      <c r="C194" s="410"/>
      <c r="D194" s="5" t="s">
        <v>384</v>
      </c>
      <c r="E194" s="5" t="str">
        <f>Parameters!$D$46</f>
        <v>Equipment</v>
      </c>
      <c r="G194" s="116"/>
      <c r="H194" s="9"/>
      <c r="T194" s="25"/>
      <c r="U194" s="25"/>
      <c r="V194" s="13">
        <f>SUMIFS(V178:V192, $E178:$E192, $E194)</f>
        <v>0</v>
      </c>
      <c r="W194" s="13">
        <f>SUMIFS(W178:W192, $E178:$E192, $E194)</f>
        <v>0</v>
      </c>
      <c r="X194" s="13">
        <f>SUMIFS(X178:X192, $E178:$E192, $E194)</f>
        <v>0</v>
      </c>
      <c r="Y194" s="13">
        <f>SUMIFS(Y178:Y192, $E178:$E192, $E194)</f>
        <v>0</v>
      </c>
      <c r="Z194" s="335"/>
      <c r="AA194" s="13">
        <f t="shared" ref="AA194:BJ194" si="463">SUMIFS(AA178:AA192, $E178:$E192, $E194)</f>
        <v>0</v>
      </c>
      <c r="AB194" s="13">
        <f t="shared" si="463"/>
        <v>0</v>
      </c>
      <c r="AC194" s="13">
        <f t="shared" si="463"/>
        <v>0</v>
      </c>
      <c r="AD194" s="13">
        <f t="shared" si="463"/>
        <v>0</v>
      </c>
      <c r="AE194" s="13">
        <f t="shared" si="463"/>
        <v>0</v>
      </c>
      <c r="AF194" s="13">
        <f t="shared" si="463"/>
        <v>0</v>
      </c>
      <c r="AG194" s="13">
        <f t="shared" si="463"/>
        <v>0</v>
      </c>
      <c r="AH194" s="13">
        <f t="shared" si="463"/>
        <v>0</v>
      </c>
      <c r="AI194" s="13">
        <f t="shared" si="463"/>
        <v>0</v>
      </c>
      <c r="AJ194" s="13">
        <f t="shared" si="463"/>
        <v>0</v>
      </c>
      <c r="AK194" s="13">
        <f t="shared" si="463"/>
        <v>0</v>
      </c>
      <c r="AL194" s="13">
        <f t="shared" si="463"/>
        <v>0</v>
      </c>
      <c r="AM194" s="13">
        <f t="shared" si="463"/>
        <v>0</v>
      </c>
      <c r="AN194" s="13">
        <f t="shared" si="463"/>
        <v>0</v>
      </c>
      <c r="AO194" s="13">
        <f t="shared" si="463"/>
        <v>0</v>
      </c>
      <c r="AP194" s="13">
        <f t="shared" si="463"/>
        <v>0</v>
      </c>
      <c r="AQ194" s="13">
        <f t="shared" si="463"/>
        <v>0</v>
      </c>
      <c r="AR194" s="13">
        <f t="shared" si="463"/>
        <v>0</v>
      </c>
      <c r="AS194" s="13">
        <f t="shared" si="463"/>
        <v>0</v>
      </c>
      <c r="AT194" s="13">
        <f t="shared" si="463"/>
        <v>0</v>
      </c>
      <c r="AU194" s="13">
        <f t="shared" si="463"/>
        <v>0</v>
      </c>
      <c r="AV194" s="13">
        <f t="shared" si="463"/>
        <v>0</v>
      </c>
      <c r="AW194" s="13">
        <f t="shared" si="463"/>
        <v>0</v>
      </c>
      <c r="AX194" s="13">
        <f t="shared" si="463"/>
        <v>0</v>
      </c>
      <c r="AY194" s="13">
        <f t="shared" si="463"/>
        <v>0</v>
      </c>
      <c r="AZ194" s="13">
        <f t="shared" si="463"/>
        <v>0</v>
      </c>
      <c r="BA194" s="13">
        <f t="shared" si="463"/>
        <v>0</v>
      </c>
      <c r="BB194" s="13">
        <f t="shared" si="463"/>
        <v>0</v>
      </c>
      <c r="BC194" s="13">
        <f t="shared" si="463"/>
        <v>0</v>
      </c>
      <c r="BD194" s="13">
        <f t="shared" si="463"/>
        <v>0</v>
      </c>
      <c r="BE194" s="13">
        <f t="shared" si="463"/>
        <v>0</v>
      </c>
      <c r="BF194" s="13">
        <f t="shared" si="463"/>
        <v>0</v>
      </c>
      <c r="BG194" s="13">
        <f t="shared" si="463"/>
        <v>0</v>
      </c>
      <c r="BH194" s="13">
        <f t="shared" si="463"/>
        <v>0</v>
      </c>
      <c r="BI194" s="13">
        <f t="shared" si="463"/>
        <v>0</v>
      </c>
      <c r="BJ194" s="13">
        <f t="shared" si="463"/>
        <v>0</v>
      </c>
      <c r="BL194" s="13">
        <f t="shared" ref="BL194:BW194" si="464">SUMIFS(BL178:BL192, $E178:$E192, $E194)</f>
        <v>0</v>
      </c>
      <c r="BM194" s="13">
        <f t="shared" si="464"/>
        <v>0</v>
      </c>
      <c r="BN194" s="13">
        <f t="shared" si="464"/>
        <v>0</v>
      </c>
      <c r="BO194" s="13">
        <f t="shared" si="464"/>
        <v>0</v>
      </c>
      <c r="BP194" s="13">
        <f t="shared" si="464"/>
        <v>0</v>
      </c>
      <c r="BQ194" s="13">
        <f t="shared" si="464"/>
        <v>0</v>
      </c>
      <c r="BR194" s="13">
        <f t="shared" si="464"/>
        <v>0</v>
      </c>
      <c r="BS194" s="13">
        <f t="shared" si="464"/>
        <v>0</v>
      </c>
      <c r="BT194" s="13">
        <f t="shared" si="464"/>
        <v>0</v>
      </c>
      <c r="BU194" s="13">
        <f t="shared" si="464"/>
        <v>0</v>
      </c>
      <c r="BV194" s="13">
        <f t="shared" si="464"/>
        <v>0</v>
      </c>
      <c r="BW194" s="13">
        <f t="shared" si="464"/>
        <v>0</v>
      </c>
      <c r="BY194" s="12"/>
      <c r="CA194" s="12"/>
      <c r="CI194" s="7">
        <f t="shared" si="444"/>
        <v>0</v>
      </c>
      <c r="CJ194" s="7">
        <f t="shared" si="445"/>
        <v>0</v>
      </c>
      <c r="CK194" s="7">
        <f t="shared" si="446"/>
        <v>0</v>
      </c>
      <c r="CL194" s="42"/>
      <c r="CM194" s="352">
        <f t="shared" si="435"/>
        <v>0</v>
      </c>
      <c r="CN194" s="352">
        <f t="shared" si="436"/>
        <v>0</v>
      </c>
      <c r="CO194" s="352">
        <f t="shared" si="437"/>
        <v>0</v>
      </c>
      <c r="CP194" s="352">
        <f t="shared" si="438"/>
        <v>0</v>
      </c>
      <c r="CQ194" s="352">
        <f t="shared" si="439"/>
        <v>0</v>
      </c>
      <c r="CR194" s="352">
        <f t="shared" si="440"/>
        <v>0</v>
      </c>
      <c r="CS194" s="352">
        <f t="shared" si="441"/>
        <v>0</v>
      </c>
      <c r="CT194" s="42"/>
      <c r="CU194" s="67">
        <v>0</v>
      </c>
      <c r="CV194" s="67">
        <v>0</v>
      </c>
      <c r="EX194" s="10" t="str">
        <f t="shared" si="255"/>
        <v/>
      </c>
    </row>
    <row r="195" spans="1:154" x14ac:dyDescent="0.25">
      <c r="A195" s="362" cm="1">
        <f t="array" aca="1" ref="A195" ca="1">HYPERLINK(CONCATENATE("#",CELL("address",IF(SUM($CA195:$CL195)=0,A195,INDEX($CA195:$CL195,MATCH(1,$CA195:$CL195,0))))),SUM($CA195:$CL195))</f>
        <v>0</v>
      </c>
      <c r="C195" s="410"/>
      <c r="D195" s="5" t="s">
        <v>398</v>
      </c>
      <c r="E195" s="5" t="str">
        <f>Parameters!$D$47</f>
        <v>Investments</v>
      </c>
      <c r="G195" s="116"/>
      <c r="H195" s="9"/>
      <c r="T195" s="25"/>
      <c r="U195" s="25"/>
      <c r="V195" s="13">
        <f>SUMIFS(V178:V192, $E178:$E192, $E195)</f>
        <v>0</v>
      </c>
      <c r="W195" s="13">
        <f>SUMIFS(W178:W192, $E178:$E192, $E195)</f>
        <v>0</v>
      </c>
      <c r="X195" s="13">
        <f>SUMIFS(X178:X192, $E178:$E192, $E195)</f>
        <v>0</v>
      </c>
      <c r="Y195" s="13">
        <f>SUMIFS(Y178:Y192, $E178:$E192, $E195)</f>
        <v>0</v>
      </c>
      <c r="Z195" s="335"/>
      <c r="AA195" s="13">
        <f t="shared" ref="AA195:BJ195" si="465">SUMIFS(AA178:AA192, $E178:$E192, $E195)</f>
        <v>0</v>
      </c>
      <c r="AB195" s="13">
        <f t="shared" si="465"/>
        <v>0</v>
      </c>
      <c r="AC195" s="13">
        <f t="shared" si="465"/>
        <v>0</v>
      </c>
      <c r="AD195" s="13">
        <f t="shared" si="465"/>
        <v>0</v>
      </c>
      <c r="AE195" s="13">
        <f t="shared" si="465"/>
        <v>0</v>
      </c>
      <c r="AF195" s="13">
        <f t="shared" si="465"/>
        <v>0</v>
      </c>
      <c r="AG195" s="13">
        <f t="shared" si="465"/>
        <v>0</v>
      </c>
      <c r="AH195" s="13">
        <f t="shared" si="465"/>
        <v>0</v>
      </c>
      <c r="AI195" s="13">
        <f t="shared" si="465"/>
        <v>0</v>
      </c>
      <c r="AJ195" s="13">
        <f t="shared" si="465"/>
        <v>0</v>
      </c>
      <c r="AK195" s="13">
        <f t="shared" si="465"/>
        <v>0</v>
      </c>
      <c r="AL195" s="13">
        <f t="shared" si="465"/>
        <v>0</v>
      </c>
      <c r="AM195" s="13">
        <f t="shared" si="465"/>
        <v>0</v>
      </c>
      <c r="AN195" s="13">
        <f t="shared" si="465"/>
        <v>0</v>
      </c>
      <c r="AO195" s="13">
        <f t="shared" si="465"/>
        <v>0</v>
      </c>
      <c r="AP195" s="13">
        <f t="shared" si="465"/>
        <v>0</v>
      </c>
      <c r="AQ195" s="13">
        <f t="shared" si="465"/>
        <v>0</v>
      </c>
      <c r="AR195" s="13">
        <f t="shared" si="465"/>
        <v>0</v>
      </c>
      <c r="AS195" s="13">
        <f t="shared" si="465"/>
        <v>0</v>
      </c>
      <c r="AT195" s="13">
        <f t="shared" si="465"/>
        <v>0</v>
      </c>
      <c r="AU195" s="13">
        <f t="shared" si="465"/>
        <v>0</v>
      </c>
      <c r="AV195" s="13">
        <f t="shared" si="465"/>
        <v>0</v>
      </c>
      <c r="AW195" s="13">
        <f t="shared" si="465"/>
        <v>0</v>
      </c>
      <c r="AX195" s="13">
        <f t="shared" si="465"/>
        <v>0</v>
      </c>
      <c r="AY195" s="13">
        <f t="shared" si="465"/>
        <v>0</v>
      </c>
      <c r="AZ195" s="13">
        <f t="shared" si="465"/>
        <v>0</v>
      </c>
      <c r="BA195" s="13">
        <f t="shared" si="465"/>
        <v>0</v>
      </c>
      <c r="BB195" s="13">
        <f t="shared" si="465"/>
        <v>0</v>
      </c>
      <c r="BC195" s="13">
        <f t="shared" si="465"/>
        <v>0</v>
      </c>
      <c r="BD195" s="13">
        <f t="shared" si="465"/>
        <v>0</v>
      </c>
      <c r="BE195" s="13">
        <f t="shared" si="465"/>
        <v>0</v>
      </c>
      <c r="BF195" s="13">
        <f t="shared" si="465"/>
        <v>0</v>
      </c>
      <c r="BG195" s="13">
        <f t="shared" si="465"/>
        <v>0</v>
      </c>
      <c r="BH195" s="13">
        <f t="shared" si="465"/>
        <v>0</v>
      </c>
      <c r="BI195" s="13">
        <f t="shared" si="465"/>
        <v>0</v>
      </c>
      <c r="BJ195" s="13">
        <f t="shared" si="465"/>
        <v>0</v>
      </c>
      <c r="BL195" s="13">
        <f t="shared" ref="BL195:BW195" si="466">SUMIFS(BL178:BL192, $E178:$E192, $E195)</f>
        <v>0</v>
      </c>
      <c r="BM195" s="13">
        <f t="shared" si="466"/>
        <v>0</v>
      </c>
      <c r="BN195" s="13">
        <f t="shared" si="466"/>
        <v>0</v>
      </c>
      <c r="BO195" s="13">
        <f t="shared" si="466"/>
        <v>0</v>
      </c>
      <c r="BP195" s="13">
        <f t="shared" si="466"/>
        <v>0</v>
      </c>
      <c r="BQ195" s="13">
        <f t="shared" si="466"/>
        <v>0</v>
      </c>
      <c r="BR195" s="13">
        <f t="shared" si="466"/>
        <v>0</v>
      </c>
      <c r="BS195" s="13">
        <f t="shared" si="466"/>
        <v>0</v>
      </c>
      <c r="BT195" s="13">
        <f t="shared" si="466"/>
        <v>0</v>
      </c>
      <c r="BU195" s="13">
        <f t="shared" si="466"/>
        <v>0</v>
      </c>
      <c r="BV195" s="13">
        <f t="shared" si="466"/>
        <v>0</v>
      </c>
      <c r="BW195" s="13">
        <f t="shared" si="466"/>
        <v>0</v>
      </c>
      <c r="BY195" s="12"/>
      <c r="CA195" s="12"/>
      <c r="CI195" s="7">
        <f t="shared" si="444"/>
        <v>0</v>
      </c>
      <c r="CJ195" s="7">
        <f t="shared" si="445"/>
        <v>0</v>
      </c>
      <c r="CK195" s="7">
        <f t="shared" si="446"/>
        <v>0</v>
      </c>
      <c r="CL195" s="42"/>
      <c r="CM195" s="352">
        <f t="shared" si="435"/>
        <v>0</v>
      </c>
      <c r="CN195" s="352">
        <f t="shared" si="436"/>
        <v>0</v>
      </c>
      <c r="CO195" s="352">
        <f t="shared" si="437"/>
        <v>0</v>
      </c>
      <c r="CP195" s="352">
        <f t="shared" si="438"/>
        <v>0</v>
      </c>
      <c r="CQ195" s="352">
        <f t="shared" si="439"/>
        <v>0</v>
      </c>
      <c r="CR195" s="352">
        <f t="shared" si="440"/>
        <v>0</v>
      </c>
      <c r="CS195" s="352">
        <f t="shared" si="441"/>
        <v>0</v>
      </c>
      <c r="CT195" s="42"/>
      <c r="CU195" s="67">
        <v>0</v>
      </c>
      <c r="CV195" s="67">
        <v>0</v>
      </c>
      <c r="EX195" s="10" t="str">
        <f t="shared" si="255"/>
        <v/>
      </c>
    </row>
    <row r="196" spans="1:154" x14ac:dyDescent="0.25">
      <c r="A196" s="362" cm="1">
        <f t="array" aca="1" ref="A196" ca="1">HYPERLINK(CONCATENATE("#",CELL("address",IF(SUM($CA196:$CL196)=0,A196,INDEX($CA196:$CL196,MATCH(1,$CA196:$CL196,0))))),SUM($CA196:$CL196))</f>
        <v>0</v>
      </c>
      <c r="C196" s="410"/>
      <c r="D196" s="5" t="s">
        <v>399</v>
      </c>
      <c r="E196" s="5" t="str">
        <f>Parameters!$D$48</f>
        <v>Other NCA</v>
      </c>
      <c r="G196" s="116"/>
      <c r="H196" s="9"/>
      <c r="T196" s="25"/>
      <c r="U196" s="25"/>
      <c r="V196" s="13">
        <f>SUMIFS(V178:V192, $E178:$E192, $E196)</f>
        <v>0</v>
      </c>
      <c r="W196" s="13">
        <f>SUMIFS(W178:W192, $E178:$E192, $E196)</f>
        <v>0</v>
      </c>
      <c r="X196" s="13">
        <f>SUMIFS(X178:X192, $E178:$E192, $E196)</f>
        <v>0</v>
      </c>
      <c r="Y196" s="13">
        <f>SUMIFS(Y178:Y192, $E178:$E192, $E196)</f>
        <v>0</v>
      </c>
      <c r="Z196" s="335"/>
      <c r="AA196" s="13">
        <f t="shared" ref="AA196:BJ196" si="467">SUMIFS(AA178:AA192, $E178:$E192, $E196)</f>
        <v>0</v>
      </c>
      <c r="AB196" s="13">
        <f t="shared" si="467"/>
        <v>0</v>
      </c>
      <c r="AC196" s="13">
        <f t="shared" si="467"/>
        <v>0</v>
      </c>
      <c r="AD196" s="13">
        <f t="shared" si="467"/>
        <v>0</v>
      </c>
      <c r="AE196" s="13">
        <f t="shared" si="467"/>
        <v>0</v>
      </c>
      <c r="AF196" s="13">
        <f t="shared" si="467"/>
        <v>0</v>
      </c>
      <c r="AG196" s="13">
        <f t="shared" si="467"/>
        <v>0</v>
      </c>
      <c r="AH196" s="13">
        <f t="shared" si="467"/>
        <v>0</v>
      </c>
      <c r="AI196" s="13">
        <f t="shared" si="467"/>
        <v>0</v>
      </c>
      <c r="AJ196" s="13">
        <f t="shared" si="467"/>
        <v>0</v>
      </c>
      <c r="AK196" s="13">
        <f t="shared" si="467"/>
        <v>0</v>
      </c>
      <c r="AL196" s="13">
        <f t="shared" si="467"/>
        <v>0</v>
      </c>
      <c r="AM196" s="13">
        <f t="shared" si="467"/>
        <v>0</v>
      </c>
      <c r="AN196" s="13">
        <f t="shared" si="467"/>
        <v>0</v>
      </c>
      <c r="AO196" s="13">
        <f t="shared" si="467"/>
        <v>0</v>
      </c>
      <c r="AP196" s="13">
        <f t="shared" si="467"/>
        <v>0</v>
      </c>
      <c r="AQ196" s="13">
        <f t="shared" si="467"/>
        <v>0</v>
      </c>
      <c r="AR196" s="13">
        <f t="shared" si="467"/>
        <v>0</v>
      </c>
      <c r="AS196" s="13">
        <f t="shared" si="467"/>
        <v>0</v>
      </c>
      <c r="AT196" s="13">
        <f t="shared" si="467"/>
        <v>0</v>
      </c>
      <c r="AU196" s="13">
        <f t="shared" si="467"/>
        <v>0</v>
      </c>
      <c r="AV196" s="13">
        <f t="shared" si="467"/>
        <v>0</v>
      </c>
      <c r="AW196" s="13">
        <f t="shared" si="467"/>
        <v>0</v>
      </c>
      <c r="AX196" s="13">
        <f t="shared" si="467"/>
        <v>0</v>
      </c>
      <c r="AY196" s="13">
        <f t="shared" si="467"/>
        <v>0</v>
      </c>
      <c r="AZ196" s="13">
        <f t="shared" si="467"/>
        <v>0</v>
      </c>
      <c r="BA196" s="13">
        <f t="shared" si="467"/>
        <v>0</v>
      </c>
      <c r="BB196" s="13">
        <f t="shared" si="467"/>
        <v>0</v>
      </c>
      <c r="BC196" s="13">
        <f t="shared" si="467"/>
        <v>0</v>
      </c>
      <c r="BD196" s="13">
        <f t="shared" si="467"/>
        <v>0</v>
      </c>
      <c r="BE196" s="13">
        <f t="shared" si="467"/>
        <v>0</v>
      </c>
      <c r="BF196" s="13">
        <f t="shared" si="467"/>
        <v>0</v>
      </c>
      <c r="BG196" s="13">
        <f t="shared" si="467"/>
        <v>0</v>
      </c>
      <c r="BH196" s="13">
        <f t="shared" si="467"/>
        <v>0</v>
      </c>
      <c r="BI196" s="13">
        <f t="shared" si="467"/>
        <v>0</v>
      </c>
      <c r="BJ196" s="13">
        <f t="shared" si="467"/>
        <v>0</v>
      </c>
      <c r="BL196" s="13">
        <f t="shared" ref="BL196:BW196" si="468">SUMIFS(BL178:BL192, $E178:$E192, $E196)</f>
        <v>0</v>
      </c>
      <c r="BM196" s="13">
        <f t="shared" si="468"/>
        <v>0</v>
      </c>
      <c r="BN196" s="13">
        <f t="shared" si="468"/>
        <v>0</v>
      </c>
      <c r="BO196" s="13">
        <f t="shared" si="468"/>
        <v>0</v>
      </c>
      <c r="BP196" s="13">
        <f t="shared" si="468"/>
        <v>0</v>
      </c>
      <c r="BQ196" s="13">
        <f t="shared" si="468"/>
        <v>0</v>
      </c>
      <c r="BR196" s="13">
        <f t="shared" si="468"/>
        <v>0</v>
      </c>
      <c r="BS196" s="13">
        <f t="shared" si="468"/>
        <v>0</v>
      </c>
      <c r="BT196" s="13">
        <f t="shared" si="468"/>
        <v>0</v>
      </c>
      <c r="BU196" s="13">
        <f t="shared" si="468"/>
        <v>0</v>
      </c>
      <c r="BV196" s="13">
        <f t="shared" si="468"/>
        <v>0</v>
      </c>
      <c r="BW196" s="13">
        <f t="shared" si="468"/>
        <v>0</v>
      </c>
      <c r="BY196" s="12"/>
      <c r="CA196" s="12"/>
      <c r="CI196" s="7">
        <f t="shared" si="444"/>
        <v>0</v>
      </c>
      <c r="CJ196" s="7">
        <f t="shared" si="445"/>
        <v>0</v>
      </c>
      <c r="CK196" s="7">
        <f t="shared" si="446"/>
        <v>0</v>
      </c>
      <c r="CL196" s="42"/>
      <c r="CM196" s="352">
        <f t="shared" si="435"/>
        <v>0</v>
      </c>
      <c r="CN196" s="352">
        <f t="shared" si="436"/>
        <v>0</v>
      </c>
      <c r="CO196" s="352">
        <f t="shared" si="437"/>
        <v>0</v>
      </c>
      <c r="CP196" s="352">
        <f t="shared" si="438"/>
        <v>0</v>
      </c>
      <c r="CQ196" s="352">
        <f t="shared" si="439"/>
        <v>0</v>
      </c>
      <c r="CR196" s="352">
        <f t="shared" si="440"/>
        <v>0</v>
      </c>
      <c r="CS196" s="352">
        <f t="shared" si="441"/>
        <v>0</v>
      </c>
      <c r="CT196" s="42"/>
      <c r="CU196" s="67">
        <v>0</v>
      </c>
      <c r="CV196" s="67">
        <v>0</v>
      </c>
      <c r="EX196" s="10" t="str">
        <f t="shared" si="255"/>
        <v/>
      </c>
    </row>
    <row r="197" spans="1:154" s="319" customFormat="1" x14ac:dyDescent="0.25">
      <c r="A197" s="362" cm="1">
        <f t="array" aca="1" ref="A197" ca="1">HYPERLINK(CONCATENATE("#",CELL("address",IF(SUM($CA197:$CL197)=0,A197,INDEX($CA197:$CL197,MATCH(1,$CA197:$CL197,0))))),SUM($CA197:$CL197))</f>
        <v>0</v>
      </c>
      <c r="C197" s="410"/>
      <c r="D197" s="5" t="s">
        <v>838</v>
      </c>
      <c r="E197" s="5" t="str">
        <f>Parameters!$D$49</f>
        <v xml:space="preserve">Assets Held for Sale </v>
      </c>
      <c r="G197" s="116"/>
      <c r="H197" s="9"/>
      <c r="T197" s="25"/>
      <c r="U197" s="25"/>
      <c r="V197" s="13">
        <f>SUMIFS(V178:V192, $E178:$E192, $E197)</f>
        <v>0</v>
      </c>
      <c r="W197" s="13">
        <f>SUMIFS(W178:W192, $E178:$E192, $E197)</f>
        <v>0</v>
      </c>
      <c r="X197" s="13">
        <f>SUMIFS(X178:X192, $E178:$E192, $E197)</f>
        <v>0</v>
      </c>
      <c r="Y197" s="13">
        <f>SUMIFS(Y178:Y192, $E178:$E192, $E197)</f>
        <v>0</v>
      </c>
      <c r="Z197" s="335"/>
      <c r="AA197" s="13">
        <f t="shared" ref="AA197:BJ197" si="469">SUMIFS(AA178:AA192, $E178:$E192, $E197)</f>
        <v>0</v>
      </c>
      <c r="AB197" s="13">
        <f t="shared" si="469"/>
        <v>0</v>
      </c>
      <c r="AC197" s="13">
        <f t="shared" si="469"/>
        <v>0</v>
      </c>
      <c r="AD197" s="13">
        <f t="shared" si="469"/>
        <v>0</v>
      </c>
      <c r="AE197" s="13">
        <f t="shared" si="469"/>
        <v>0</v>
      </c>
      <c r="AF197" s="13">
        <f t="shared" si="469"/>
        <v>0</v>
      </c>
      <c r="AG197" s="13">
        <f t="shared" si="469"/>
        <v>0</v>
      </c>
      <c r="AH197" s="13">
        <f t="shared" si="469"/>
        <v>0</v>
      </c>
      <c r="AI197" s="13">
        <f t="shared" si="469"/>
        <v>0</v>
      </c>
      <c r="AJ197" s="13">
        <f t="shared" si="469"/>
        <v>0</v>
      </c>
      <c r="AK197" s="13">
        <f t="shared" si="469"/>
        <v>0</v>
      </c>
      <c r="AL197" s="13">
        <f t="shared" si="469"/>
        <v>0</v>
      </c>
      <c r="AM197" s="13">
        <f t="shared" si="469"/>
        <v>0</v>
      </c>
      <c r="AN197" s="13">
        <f t="shared" si="469"/>
        <v>0</v>
      </c>
      <c r="AO197" s="13">
        <f t="shared" si="469"/>
        <v>0</v>
      </c>
      <c r="AP197" s="13">
        <f t="shared" si="469"/>
        <v>0</v>
      </c>
      <c r="AQ197" s="13">
        <f t="shared" si="469"/>
        <v>0</v>
      </c>
      <c r="AR197" s="13">
        <f t="shared" si="469"/>
        <v>0</v>
      </c>
      <c r="AS197" s="13">
        <f t="shared" si="469"/>
        <v>0</v>
      </c>
      <c r="AT197" s="13">
        <f t="shared" si="469"/>
        <v>0</v>
      </c>
      <c r="AU197" s="13">
        <f t="shared" si="469"/>
        <v>0</v>
      </c>
      <c r="AV197" s="13">
        <f t="shared" si="469"/>
        <v>0</v>
      </c>
      <c r="AW197" s="13">
        <f t="shared" si="469"/>
        <v>0</v>
      </c>
      <c r="AX197" s="13">
        <f t="shared" si="469"/>
        <v>0</v>
      </c>
      <c r="AY197" s="13">
        <f t="shared" si="469"/>
        <v>0</v>
      </c>
      <c r="AZ197" s="13">
        <f t="shared" si="469"/>
        <v>0</v>
      </c>
      <c r="BA197" s="13">
        <f t="shared" si="469"/>
        <v>0</v>
      </c>
      <c r="BB197" s="13">
        <f t="shared" si="469"/>
        <v>0</v>
      </c>
      <c r="BC197" s="13">
        <f t="shared" si="469"/>
        <v>0</v>
      </c>
      <c r="BD197" s="13">
        <f t="shared" si="469"/>
        <v>0</v>
      </c>
      <c r="BE197" s="13">
        <f t="shared" si="469"/>
        <v>0</v>
      </c>
      <c r="BF197" s="13">
        <f t="shared" si="469"/>
        <v>0</v>
      </c>
      <c r="BG197" s="13">
        <f t="shared" si="469"/>
        <v>0</v>
      </c>
      <c r="BH197" s="13">
        <f t="shared" si="469"/>
        <v>0</v>
      </c>
      <c r="BI197" s="13">
        <f t="shared" si="469"/>
        <v>0</v>
      </c>
      <c r="BJ197" s="13">
        <f t="shared" si="469"/>
        <v>0</v>
      </c>
      <c r="BL197" s="13">
        <f t="shared" ref="BL197:BW197" si="470">SUMIFS(BL178:BL192, $E178:$E192, $E197)</f>
        <v>0</v>
      </c>
      <c r="BM197" s="13">
        <f t="shared" si="470"/>
        <v>0</v>
      </c>
      <c r="BN197" s="13">
        <f t="shared" si="470"/>
        <v>0</v>
      </c>
      <c r="BO197" s="13">
        <f t="shared" si="470"/>
        <v>0</v>
      </c>
      <c r="BP197" s="13">
        <f t="shared" si="470"/>
        <v>0</v>
      </c>
      <c r="BQ197" s="13">
        <f t="shared" si="470"/>
        <v>0</v>
      </c>
      <c r="BR197" s="13">
        <f t="shared" si="470"/>
        <v>0</v>
      </c>
      <c r="BS197" s="13">
        <f t="shared" si="470"/>
        <v>0</v>
      </c>
      <c r="BT197" s="13">
        <f t="shared" si="470"/>
        <v>0</v>
      </c>
      <c r="BU197" s="13">
        <f t="shared" si="470"/>
        <v>0</v>
      </c>
      <c r="BV197" s="13">
        <f t="shared" si="470"/>
        <v>0</v>
      </c>
      <c r="BW197" s="13">
        <f t="shared" si="470"/>
        <v>0</v>
      </c>
      <c r="BY197" s="12"/>
      <c r="BZ197" s="335"/>
      <c r="CA197" s="12"/>
      <c r="CE197" s="335"/>
      <c r="CG197" s="335"/>
      <c r="CI197" s="7">
        <f t="shared" si="444"/>
        <v>0</v>
      </c>
      <c r="CJ197" s="7">
        <f t="shared" si="445"/>
        <v>0</v>
      </c>
      <c r="CK197" s="7">
        <f t="shared" si="446"/>
        <v>0</v>
      </c>
      <c r="CL197" s="42"/>
      <c r="CM197" s="352">
        <f t="shared" si="435"/>
        <v>0</v>
      </c>
      <c r="CN197" s="352">
        <f t="shared" si="436"/>
        <v>0</v>
      </c>
      <c r="CO197" s="352">
        <f t="shared" si="437"/>
        <v>0</v>
      </c>
      <c r="CP197" s="352">
        <f t="shared" si="438"/>
        <v>0</v>
      </c>
      <c r="CQ197" s="352">
        <f t="shared" si="439"/>
        <v>0</v>
      </c>
      <c r="CR197" s="352">
        <f t="shared" si="440"/>
        <v>0</v>
      </c>
      <c r="CS197" s="352">
        <f t="shared" si="441"/>
        <v>0</v>
      </c>
      <c r="CT197" s="42"/>
      <c r="CU197" s="319">
        <v>0</v>
      </c>
      <c r="CV197" s="319">
        <v>0</v>
      </c>
      <c r="EX197" s="10" t="str">
        <f t="shared" si="255"/>
        <v/>
      </c>
    </row>
    <row r="198" spans="1:154" x14ac:dyDescent="0.25">
      <c r="A198" s="362" cm="1">
        <f t="array" aca="1" ref="A198" ca="1">HYPERLINK(CONCATENATE("#",CELL("address",IF(SUM($CA198:$CL198)=0,A198,INDEX($CA198:$CL198,MATCH(1,$CA198:$CL198,0))))),SUM($CA198:$CL198))</f>
        <v>0</v>
      </c>
      <c r="C198" s="410"/>
      <c r="D198" s="5" t="s">
        <v>610</v>
      </c>
      <c r="E198" s="5" t="s">
        <v>391</v>
      </c>
      <c r="G198" s="116"/>
      <c r="H198" s="9"/>
      <c r="S198" s="319"/>
      <c r="T198" s="25"/>
      <c r="U198" s="25"/>
      <c r="V198" s="13">
        <f>SUM(V193:V197)</f>
        <v>0</v>
      </c>
      <c r="W198" s="13">
        <f t="shared" ref="W198:BW198" si="471">SUM(W193:W197)</f>
        <v>0</v>
      </c>
      <c r="X198" s="13">
        <f t="shared" si="471"/>
        <v>0</v>
      </c>
      <c r="Y198" s="13">
        <f t="shared" si="471"/>
        <v>0</v>
      </c>
      <c r="Z198" s="335"/>
      <c r="AA198" s="13">
        <f t="shared" si="471"/>
        <v>0</v>
      </c>
      <c r="AB198" s="13">
        <f t="shared" si="471"/>
        <v>0</v>
      </c>
      <c r="AC198" s="13">
        <f t="shared" si="471"/>
        <v>0</v>
      </c>
      <c r="AD198" s="13">
        <f t="shared" si="471"/>
        <v>0</v>
      </c>
      <c r="AE198" s="13">
        <f t="shared" si="471"/>
        <v>0</v>
      </c>
      <c r="AF198" s="13">
        <f t="shared" si="471"/>
        <v>0</v>
      </c>
      <c r="AG198" s="13">
        <f t="shared" si="471"/>
        <v>0</v>
      </c>
      <c r="AH198" s="13">
        <f t="shared" si="471"/>
        <v>0</v>
      </c>
      <c r="AI198" s="13">
        <f t="shared" si="471"/>
        <v>0</v>
      </c>
      <c r="AJ198" s="13">
        <f t="shared" si="471"/>
        <v>0</v>
      </c>
      <c r="AK198" s="13">
        <f t="shared" si="471"/>
        <v>0</v>
      </c>
      <c r="AL198" s="13">
        <f t="shared" si="471"/>
        <v>0</v>
      </c>
      <c r="AM198" s="13">
        <f t="shared" si="471"/>
        <v>0</v>
      </c>
      <c r="AN198" s="13">
        <f t="shared" si="471"/>
        <v>0</v>
      </c>
      <c r="AO198" s="13">
        <f t="shared" si="471"/>
        <v>0</v>
      </c>
      <c r="AP198" s="13">
        <f t="shared" si="471"/>
        <v>0</v>
      </c>
      <c r="AQ198" s="13">
        <f t="shared" si="471"/>
        <v>0</v>
      </c>
      <c r="AR198" s="13">
        <f t="shared" si="471"/>
        <v>0</v>
      </c>
      <c r="AS198" s="13">
        <f t="shared" si="471"/>
        <v>0</v>
      </c>
      <c r="AT198" s="13">
        <f t="shared" si="471"/>
        <v>0</v>
      </c>
      <c r="AU198" s="13">
        <f t="shared" si="471"/>
        <v>0</v>
      </c>
      <c r="AV198" s="13">
        <f t="shared" si="471"/>
        <v>0</v>
      </c>
      <c r="AW198" s="13">
        <f t="shared" si="471"/>
        <v>0</v>
      </c>
      <c r="AX198" s="13">
        <f t="shared" si="471"/>
        <v>0</v>
      </c>
      <c r="AY198" s="13">
        <f t="shared" si="471"/>
        <v>0</v>
      </c>
      <c r="AZ198" s="13">
        <f t="shared" si="471"/>
        <v>0</v>
      </c>
      <c r="BA198" s="13">
        <f t="shared" si="471"/>
        <v>0</v>
      </c>
      <c r="BB198" s="13">
        <f t="shared" si="471"/>
        <v>0</v>
      </c>
      <c r="BC198" s="13">
        <f t="shared" si="471"/>
        <v>0</v>
      </c>
      <c r="BD198" s="13">
        <f t="shared" si="471"/>
        <v>0</v>
      </c>
      <c r="BE198" s="13">
        <f t="shared" si="471"/>
        <v>0</v>
      </c>
      <c r="BF198" s="13">
        <f t="shared" si="471"/>
        <v>0</v>
      </c>
      <c r="BG198" s="13">
        <f t="shared" si="471"/>
        <v>0</v>
      </c>
      <c r="BH198" s="13">
        <f t="shared" si="471"/>
        <v>0</v>
      </c>
      <c r="BI198" s="13">
        <f t="shared" si="471"/>
        <v>0</v>
      </c>
      <c r="BJ198" s="13">
        <f t="shared" si="471"/>
        <v>0</v>
      </c>
      <c r="BK198" s="319"/>
      <c r="BL198" s="13">
        <f t="shared" si="471"/>
        <v>0</v>
      </c>
      <c r="BM198" s="13">
        <f t="shared" si="471"/>
        <v>0</v>
      </c>
      <c r="BN198" s="13">
        <f t="shared" si="471"/>
        <v>0</v>
      </c>
      <c r="BO198" s="13">
        <f t="shared" si="471"/>
        <v>0</v>
      </c>
      <c r="BP198" s="13">
        <f t="shared" si="471"/>
        <v>0</v>
      </c>
      <c r="BQ198" s="13">
        <f t="shared" si="471"/>
        <v>0</v>
      </c>
      <c r="BR198" s="13">
        <f t="shared" si="471"/>
        <v>0</v>
      </c>
      <c r="BS198" s="13">
        <f t="shared" si="471"/>
        <v>0</v>
      </c>
      <c r="BT198" s="13">
        <f t="shared" si="471"/>
        <v>0</v>
      </c>
      <c r="BU198" s="13">
        <f t="shared" si="471"/>
        <v>0</v>
      </c>
      <c r="BV198" s="13">
        <f t="shared" si="471"/>
        <v>0</v>
      </c>
      <c r="BW198" s="13">
        <f t="shared" si="471"/>
        <v>0</v>
      </c>
      <c r="BY198" s="12"/>
      <c r="CA198" s="12"/>
      <c r="CH198" s="7">
        <f>IF(ROUND(SUM($V198:$BW198)-SUM($V178:$BW192), rounding)=0, 0, 1)</f>
        <v>0</v>
      </c>
      <c r="CI198" s="7">
        <f t="shared" si="444"/>
        <v>0</v>
      </c>
      <c r="CJ198" s="7">
        <f t="shared" si="445"/>
        <v>0</v>
      </c>
      <c r="CK198" s="7">
        <f t="shared" si="446"/>
        <v>0</v>
      </c>
      <c r="CL198" s="42"/>
      <c r="CM198" s="352">
        <f t="shared" si="435"/>
        <v>0</v>
      </c>
      <c r="CN198" s="352">
        <f t="shared" si="436"/>
        <v>0</v>
      </c>
      <c r="CO198" s="352">
        <f t="shared" si="437"/>
        <v>0</v>
      </c>
      <c r="CP198" s="352">
        <f t="shared" si="438"/>
        <v>0</v>
      </c>
      <c r="CQ198" s="352">
        <f t="shared" si="439"/>
        <v>0</v>
      </c>
      <c r="CR198" s="352">
        <f t="shared" si="440"/>
        <v>0</v>
      </c>
      <c r="CS198" s="352">
        <f t="shared" si="441"/>
        <v>0</v>
      </c>
      <c r="CT198" s="42"/>
      <c r="CU198" s="67">
        <v>0</v>
      </c>
      <c r="CV198" s="67">
        <v>0</v>
      </c>
      <c r="EX198" s="10" t="str">
        <f t="shared" si="255"/>
        <v/>
      </c>
    </row>
    <row r="199" spans="1:154" ht="6.6" customHeight="1" x14ac:dyDescent="0.25">
      <c r="C199" s="410"/>
      <c r="D199" s="1"/>
      <c r="E199" s="67"/>
      <c r="T199" s="25"/>
      <c r="U199" s="25"/>
      <c r="V199" s="25"/>
      <c r="W199" s="25"/>
      <c r="X199" s="25"/>
      <c r="Y199" s="25"/>
      <c r="Z199" s="33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L199" s="25"/>
      <c r="BM199" s="155"/>
      <c r="BN199" s="25"/>
      <c r="BO199" s="25"/>
      <c r="BP199" s="25"/>
      <c r="BQ199" s="25"/>
      <c r="BR199" s="25"/>
      <c r="BS199" s="25"/>
      <c r="BT199" s="25"/>
      <c r="BU199" s="25"/>
      <c r="BV199" s="25"/>
      <c r="BW199" s="25"/>
      <c r="BY199" s="42"/>
      <c r="CA199" s="42"/>
      <c r="CL199" s="42"/>
      <c r="CM199" s="352"/>
      <c r="CN199" s="352"/>
      <c r="CO199" s="352"/>
      <c r="CP199" s="352"/>
      <c r="CQ199" s="352"/>
      <c r="CR199" s="352"/>
      <c r="CS199" s="352"/>
      <c r="CT199" s="42"/>
      <c r="CU199" s="67">
        <v>0</v>
      </c>
      <c r="CV199" s="67">
        <v>0</v>
      </c>
      <c r="EX199" s="10" t="str">
        <f t="shared" si="255"/>
        <v/>
      </c>
    </row>
    <row r="200" spans="1:154" x14ac:dyDescent="0.25">
      <c r="A200" s="40"/>
      <c r="B200" s="40"/>
      <c r="C200" s="409"/>
      <c r="D200" s="148" t="s">
        <v>774</v>
      </c>
      <c r="E200" s="148"/>
      <c r="F200" s="40"/>
      <c r="G200" s="40"/>
      <c r="H200" s="40"/>
      <c r="I200" s="40"/>
      <c r="J200" s="40"/>
      <c r="K200" s="40"/>
      <c r="L200" s="40"/>
      <c r="M200" s="40"/>
      <c r="N200" s="40"/>
      <c r="O200" s="40"/>
      <c r="P200" s="40"/>
      <c r="Q200" s="40"/>
      <c r="R200" s="40"/>
      <c r="S200" s="40"/>
      <c r="T200" s="148"/>
      <c r="U200" s="148"/>
      <c r="V200" s="148"/>
      <c r="W200" s="148"/>
      <c r="X200" s="148"/>
      <c r="Y200" s="148"/>
      <c r="Z200" s="335"/>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40"/>
      <c r="BL200" s="148"/>
      <c r="BM200" s="148"/>
      <c r="BN200" s="148"/>
      <c r="BO200" s="148"/>
      <c r="BP200" s="148"/>
      <c r="BQ200" s="148"/>
      <c r="BR200" s="148"/>
      <c r="BS200" s="148"/>
      <c r="BT200" s="148"/>
      <c r="BU200" s="148"/>
      <c r="BV200" s="148"/>
      <c r="BW200" s="148"/>
      <c r="BX200" s="40"/>
      <c r="BY200" s="42"/>
      <c r="CA200" s="42"/>
      <c r="CL200" s="42"/>
      <c r="CT200" s="42"/>
      <c r="CU200" s="67">
        <v>0</v>
      </c>
      <c r="CV200" s="67">
        <v>0</v>
      </c>
      <c r="EX200" s="10" t="str">
        <f t="shared" si="255"/>
        <v/>
      </c>
    </row>
    <row r="201" spans="1:154" ht="6.6" customHeight="1" x14ac:dyDescent="0.25">
      <c r="C201" s="413"/>
      <c r="D201" s="1"/>
      <c r="E201" s="67"/>
      <c r="T201" s="25"/>
      <c r="U201" s="25"/>
      <c r="V201" s="25"/>
      <c r="W201" s="25"/>
      <c r="X201" s="25"/>
      <c r="Y201" s="25"/>
      <c r="Z201" s="33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L201" s="25"/>
      <c r="BM201" s="155"/>
      <c r="BN201" s="25"/>
      <c r="BO201" s="25"/>
      <c r="BP201" s="25"/>
      <c r="BQ201" s="25"/>
      <c r="BR201" s="25"/>
      <c r="BS201" s="25"/>
      <c r="BT201" s="25"/>
      <c r="BU201" s="25"/>
      <c r="BV201" s="25"/>
      <c r="BW201" s="25"/>
      <c r="BY201" s="42"/>
      <c r="CA201" s="42"/>
      <c r="CL201" s="42"/>
      <c r="CM201" s="5"/>
      <c r="CN201" s="5"/>
      <c r="CO201" s="5"/>
      <c r="CP201" s="5"/>
      <c r="CQ201" s="5"/>
      <c r="CR201" s="5"/>
      <c r="CS201" s="5"/>
      <c r="CT201" s="42"/>
      <c r="CU201" s="67">
        <v>0</v>
      </c>
      <c r="CV201" s="67">
        <v>0</v>
      </c>
      <c r="EX201" s="10" t="str">
        <f t="shared" ref="EX201:EX263" si="472">IF($C201="","",$D201)</f>
        <v/>
      </c>
    </row>
    <row r="202" spans="1:154" x14ac:dyDescent="0.25">
      <c r="B202" s="29"/>
      <c r="C202" s="385"/>
      <c r="D202" s="27" t="str">
        <f>'Opening Balances'!D10</f>
        <v>Land &amp; Buildings</v>
      </c>
      <c r="E202" s="67"/>
      <c r="Z202" s="335"/>
      <c r="BY202" s="12"/>
      <c r="CA202" s="12"/>
      <c r="CL202" s="42"/>
      <c r="CT202" s="42"/>
      <c r="CU202" s="67">
        <v>0</v>
      </c>
      <c r="CV202" s="67">
        <v>0</v>
      </c>
      <c r="EX202" s="10" t="str">
        <f t="shared" si="472"/>
        <v/>
      </c>
    </row>
    <row r="203" spans="1:154" s="5" customFormat="1" x14ac:dyDescent="0.25">
      <c r="A203" s="67"/>
      <c r="B203" s="67"/>
      <c r="C203" s="343" t="str">
        <f>CONCATENATE("II-",'Opening Balances'!$C$10)</f>
        <v>II-B-1a-OB</v>
      </c>
      <c r="D203" s="39" t="s">
        <v>91</v>
      </c>
      <c r="E203" s="39"/>
      <c r="F203" s="67"/>
      <c r="G203" s="46"/>
      <c r="H203" s="47" t="s">
        <v>92</v>
      </c>
      <c r="I203" s="67"/>
      <c r="J203" s="67"/>
      <c r="K203" s="67"/>
      <c r="L203" s="67"/>
      <c r="M203" s="67"/>
      <c r="N203" s="67"/>
      <c r="O203" s="67"/>
      <c r="P203" s="67"/>
      <c r="Q203" s="67"/>
      <c r="R203" s="67"/>
      <c r="S203" s="67"/>
      <c r="T203" s="335"/>
      <c r="U203" s="335"/>
      <c r="V203" s="13">
        <f>'Opening Balances'!$V$10</f>
        <v>0</v>
      </c>
      <c r="W203" s="153">
        <f>V212</f>
        <v>31898</v>
      </c>
      <c r="X203" s="153">
        <f>W212</f>
        <v>34953</v>
      </c>
      <c r="Y203" s="153">
        <f>X212</f>
        <v>38593</v>
      </c>
      <c r="Z203" s="335"/>
      <c r="AA203" s="153">
        <f>W203</f>
        <v>31898</v>
      </c>
      <c r="AB203" s="153">
        <f t="shared" ref="AB203:BJ203" si="473">AA212</f>
        <v>31814</v>
      </c>
      <c r="AC203" s="153">
        <f t="shared" si="473"/>
        <v>31720</v>
      </c>
      <c r="AD203" s="153">
        <f t="shared" si="473"/>
        <v>34435</v>
      </c>
      <c r="AE203" s="153">
        <f t="shared" si="473"/>
        <v>34336</v>
      </c>
      <c r="AF203" s="153">
        <f t="shared" si="473"/>
        <v>34237</v>
      </c>
      <c r="AG203" s="153">
        <f t="shared" si="473"/>
        <v>34137</v>
      </c>
      <c r="AH203" s="153">
        <f t="shared" si="473"/>
        <v>34037</v>
      </c>
      <c r="AI203" s="153">
        <f t="shared" si="473"/>
        <v>35363</v>
      </c>
      <c r="AJ203" s="153">
        <f t="shared" si="473"/>
        <v>35262</v>
      </c>
      <c r="AK203" s="153">
        <f t="shared" si="473"/>
        <v>35160</v>
      </c>
      <c r="AL203" s="153">
        <f t="shared" si="473"/>
        <v>35020</v>
      </c>
      <c r="AM203" s="153">
        <f t="shared" si="473"/>
        <v>34953</v>
      </c>
      <c r="AN203" s="153">
        <f t="shared" si="473"/>
        <v>35142</v>
      </c>
      <c r="AO203" s="153">
        <f t="shared" si="473"/>
        <v>35838</v>
      </c>
      <c r="AP203" s="153">
        <f t="shared" si="473"/>
        <v>36107</v>
      </c>
      <c r="AQ203" s="153">
        <f t="shared" si="473"/>
        <v>36201</v>
      </c>
      <c r="AR203" s="153">
        <f t="shared" si="473"/>
        <v>36539</v>
      </c>
      <c r="AS203" s="153">
        <f t="shared" si="473"/>
        <v>36882</v>
      </c>
      <c r="AT203" s="153">
        <f t="shared" si="473"/>
        <v>37225</v>
      </c>
      <c r="AU203" s="153">
        <f t="shared" si="473"/>
        <v>37662</v>
      </c>
      <c r="AV203" s="153">
        <f t="shared" si="473"/>
        <v>38056</v>
      </c>
      <c r="AW203" s="153">
        <f t="shared" si="473"/>
        <v>38271</v>
      </c>
      <c r="AX203" s="153">
        <f t="shared" si="473"/>
        <v>38443</v>
      </c>
      <c r="AY203" s="153">
        <f t="shared" si="473"/>
        <v>38593</v>
      </c>
      <c r="AZ203" s="153">
        <f t="shared" si="473"/>
        <v>38734</v>
      </c>
      <c r="BA203" s="153">
        <f t="shared" si="473"/>
        <v>38828</v>
      </c>
      <c r="BB203" s="153">
        <f t="shared" si="473"/>
        <v>38930</v>
      </c>
      <c r="BC203" s="153">
        <f t="shared" si="473"/>
        <v>39033</v>
      </c>
      <c r="BD203" s="153">
        <f t="shared" si="473"/>
        <v>39136</v>
      </c>
      <c r="BE203" s="153">
        <f t="shared" si="473"/>
        <v>39232</v>
      </c>
      <c r="BF203" s="153">
        <f t="shared" si="473"/>
        <v>39388</v>
      </c>
      <c r="BG203" s="153">
        <f t="shared" si="473"/>
        <v>39434</v>
      </c>
      <c r="BH203" s="153">
        <f t="shared" si="473"/>
        <v>39479</v>
      </c>
      <c r="BI203" s="153">
        <f t="shared" si="473"/>
        <v>39542</v>
      </c>
      <c r="BJ203" s="153">
        <f t="shared" si="473"/>
        <v>39572</v>
      </c>
      <c r="BK203" s="67"/>
      <c r="BL203" s="152">
        <f>V203</f>
        <v>0</v>
      </c>
      <c r="BM203" s="152">
        <f>W203</f>
        <v>31898</v>
      </c>
      <c r="BN203" s="152">
        <f>X203</f>
        <v>34953</v>
      </c>
      <c r="BO203" s="152">
        <f>Y203</f>
        <v>38593</v>
      </c>
      <c r="BP203" s="153">
        <f t="shared" ref="BP203:BW203" si="474">BO212</f>
        <v>39602</v>
      </c>
      <c r="BQ203" s="153">
        <f t="shared" si="474"/>
        <v>39602</v>
      </c>
      <c r="BR203" s="153">
        <f t="shared" si="474"/>
        <v>39602</v>
      </c>
      <c r="BS203" s="153">
        <f t="shared" si="474"/>
        <v>39602</v>
      </c>
      <c r="BT203" s="153">
        <f t="shared" si="474"/>
        <v>39602</v>
      </c>
      <c r="BU203" s="153">
        <f t="shared" si="474"/>
        <v>39602</v>
      </c>
      <c r="BV203" s="153">
        <f t="shared" si="474"/>
        <v>39602</v>
      </c>
      <c r="BW203" s="153">
        <f t="shared" si="474"/>
        <v>39602</v>
      </c>
      <c r="BX203" s="67"/>
      <c r="BY203" s="12"/>
      <c r="BZ203" s="335"/>
      <c r="CA203" s="12"/>
      <c r="CB203" s="67"/>
      <c r="CC203" s="67"/>
      <c r="CD203" s="67"/>
      <c r="CE203" s="335"/>
      <c r="CF203" s="67"/>
      <c r="CG203" s="335"/>
      <c r="CH203" s="67"/>
      <c r="CI203" s="335"/>
      <c r="CJ203" s="335"/>
      <c r="CK203" s="335"/>
      <c r="CL203" s="42"/>
      <c r="CM203" s="335"/>
      <c r="CN203" s="335"/>
      <c r="CO203" s="335"/>
      <c r="CP203" s="335"/>
      <c r="CQ203" s="335"/>
      <c r="CR203" s="335"/>
      <c r="CS203" s="335"/>
      <c r="CT203" s="42"/>
      <c r="CU203" s="5">
        <v>0</v>
      </c>
      <c r="CV203" s="5">
        <v>0</v>
      </c>
      <c r="EX203" s="13" t="str">
        <f t="shared" ref="EX203:EX212" si="475">IF($C203="","",CONCATENATE(D$202, " ",$D203))</f>
        <v>Land &amp; Buildings Opening Balance</v>
      </c>
    </row>
    <row r="204" spans="1:154" x14ac:dyDescent="0.25">
      <c r="A204" s="362" cm="1">
        <f t="array" aca="1" ref="A204" ca="1">HYPERLINK(CONCATENATE("#",CELL("address",IF(SUM($CA204:$CL204)=0,A204,INDEX($CA204:$CL204,MATCH(1,$CA204:$CL204,0))))),SUM($CA204:$CL204))</f>
        <v>0</v>
      </c>
      <c r="C204" s="340" t="s">
        <v>1203</v>
      </c>
      <c r="D204" s="39" t="s">
        <v>101</v>
      </c>
      <c r="E204" s="39"/>
      <c r="G204" s="46"/>
      <c r="H204" s="47" t="s">
        <v>92</v>
      </c>
      <c r="P204" s="335"/>
      <c r="Q204" s="335"/>
      <c r="R204" s="335"/>
      <c r="T204" s="335"/>
      <c r="U204" s="335"/>
      <c r="V204" s="215">
        <f>V$28</f>
        <v>0</v>
      </c>
      <c r="W204" s="153">
        <f>W$28</f>
        <v>4318</v>
      </c>
      <c r="X204" s="153">
        <f>X$28</f>
        <v>4936</v>
      </c>
      <c r="Y204" s="153">
        <f>Y$28</f>
        <v>2378</v>
      </c>
      <c r="Z204" s="335"/>
      <c r="AA204" s="153">
        <f>AA$28</f>
        <v>10</v>
      </c>
      <c r="AB204" s="153">
        <f t="shared" ref="AB204:BJ204" si="476">AB$28</f>
        <v>0</v>
      </c>
      <c r="AC204" s="153">
        <f t="shared" si="476"/>
        <v>2809</v>
      </c>
      <c r="AD204" s="153">
        <f t="shared" si="476"/>
        <v>0</v>
      </c>
      <c r="AE204" s="153">
        <f t="shared" si="476"/>
        <v>0</v>
      </c>
      <c r="AF204" s="153">
        <f t="shared" si="476"/>
        <v>0</v>
      </c>
      <c r="AG204" s="153">
        <f t="shared" si="476"/>
        <v>0</v>
      </c>
      <c r="AH204" s="153">
        <f t="shared" si="476"/>
        <v>1426</v>
      </c>
      <c r="AI204" s="153">
        <f t="shared" si="476"/>
        <v>0</v>
      </c>
      <c r="AJ204" s="153">
        <f t="shared" si="476"/>
        <v>0</v>
      </c>
      <c r="AK204" s="153">
        <f t="shared" si="476"/>
        <v>0</v>
      </c>
      <c r="AL204" s="153">
        <f t="shared" si="476"/>
        <v>73</v>
      </c>
      <c r="AM204" s="153">
        <f t="shared" si="476"/>
        <v>283</v>
      </c>
      <c r="AN204" s="153">
        <f t="shared" si="476"/>
        <v>790</v>
      </c>
      <c r="AO204" s="153">
        <f t="shared" si="476"/>
        <v>363</v>
      </c>
      <c r="AP204" s="153">
        <f t="shared" si="476"/>
        <v>194</v>
      </c>
      <c r="AQ204" s="153">
        <f t="shared" si="476"/>
        <v>438</v>
      </c>
      <c r="AR204" s="153">
        <f t="shared" si="476"/>
        <v>445</v>
      </c>
      <c r="AS204" s="153">
        <f t="shared" si="476"/>
        <v>446</v>
      </c>
      <c r="AT204" s="153">
        <f t="shared" si="476"/>
        <v>541</v>
      </c>
      <c r="AU204" s="153">
        <f t="shared" si="476"/>
        <v>499</v>
      </c>
      <c r="AV204" s="153">
        <f t="shared" si="476"/>
        <v>322</v>
      </c>
      <c r="AW204" s="153">
        <f t="shared" si="476"/>
        <v>318</v>
      </c>
      <c r="AX204" s="153">
        <f t="shared" si="476"/>
        <v>297</v>
      </c>
      <c r="AY204" s="153">
        <f>AY$28</f>
        <v>242</v>
      </c>
      <c r="AZ204" s="153">
        <f t="shared" si="476"/>
        <v>195</v>
      </c>
      <c r="BA204" s="153">
        <f t="shared" si="476"/>
        <v>204</v>
      </c>
      <c r="BB204" s="153">
        <f t="shared" si="476"/>
        <v>210</v>
      </c>
      <c r="BC204" s="153">
        <f t="shared" si="476"/>
        <v>210</v>
      </c>
      <c r="BD204" s="153">
        <f t="shared" si="476"/>
        <v>205</v>
      </c>
      <c r="BE204" s="153">
        <f t="shared" si="476"/>
        <v>265</v>
      </c>
      <c r="BF204" s="153">
        <f t="shared" si="476"/>
        <v>155</v>
      </c>
      <c r="BG204" s="153">
        <f t="shared" si="476"/>
        <v>156</v>
      </c>
      <c r="BH204" s="153">
        <f t="shared" si="476"/>
        <v>175</v>
      </c>
      <c r="BI204" s="153">
        <f t="shared" si="476"/>
        <v>180</v>
      </c>
      <c r="BJ204" s="153">
        <f t="shared" si="476"/>
        <v>181</v>
      </c>
      <c r="BL204" s="153">
        <f t="shared" ref="BL204:BW204" si="477">BL$28</f>
        <v>0</v>
      </c>
      <c r="BM204" s="153">
        <f t="shared" si="477"/>
        <v>4318</v>
      </c>
      <c r="BN204" s="153">
        <f t="shared" si="477"/>
        <v>4936</v>
      </c>
      <c r="BO204" s="153">
        <f t="shared" si="477"/>
        <v>2378</v>
      </c>
      <c r="BP204" s="153">
        <f t="shared" si="477"/>
        <v>0</v>
      </c>
      <c r="BQ204" s="153">
        <f t="shared" si="477"/>
        <v>0</v>
      </c>
      <c r="BR204" s="153">
        <f t="shared" si="477"/>
        <v>0</v>
      </c>
      <c r="BS204" s="153">
        <f t="shared" si="477"/>
        <v>0</v>
      </c>
      <c r="BT204" s="153">
        <f t="shared" si="477"/>
        <v>0</v>
      </c>
      <c r="BU204" s="153">
        <f t="shared" si="477"/>
        <v>0</v>
      </c>
      <c r="BV204" s="153">
        <f t="shared" si="477"/>
        <v>0</v>
      </c>
      <c r="BW204" s="153">
        <f t="shared" si="477"/>
        <v>0</v>
      </c>
      <c r="BY204" s="12"/>
      <c r="BZ204" s="363">
        <f>IF(MIN($V204:$BW204)&lt;0, 1, 0)</f>
        <v>0</v>
      </c>
      <c r="CA204" s="12"/>
      <c r="CI204" s="7">
        <f t="shared" ref="CI204:CI212" si="478">IF(SUM($CM204:$CO204)=0, 0, 1)</f>
        <v>0</v>
      </c>
      <c r="CJ204" s="7">
        <f t="shared" ref="CJ204:CJ212" si="479">IF(SUM($CP204:$CR204)=0, 0, 1)</f>
        <v>0</v>
      </c>
      <c r="CK204" s="7">
        <f t="shared" ref="CK204:CK212" si="480">IF($CS204=0, 0, 1)</f>
        <v>0</v>
      </c>
      <c r="CL204" s="42"/>
      <c r="CM204" s="352">
        <f t="shared" ref="CM204:CO211" si="481">ROUND(W204-SUMIFS($AA204:$BJ204, $AA$3:$BJ$3, W$3), rounding)</f>
        <v>0</v>
      </c>
      <c r="CN204" s="352">
        <f t="shared" si="481"/>
        <v>0</v>
      </c>
      <c r="CO204" s="352">
        <f t="shared" si="481"/>
        <v>0</v>
      </c>
      <c r="CP204" s="352">
        <f t="shared" ref="CP204:CP211" si="482">ROUND($BM204-SUMIFS($AA204:$BJ204, $AA$3:$BJ$3, $BM$3), rounding)</f>
        <v>0</v>
      </c>
      <c r="CQ204" s="352">
        <f t="shared" ref="CQ204:CQ211" si="483">ROUND($BN204-SUMIFS($AA204:$BJ204, $AA$3:$BJ$3, $BN$3), rounding)</f>
        <v>0</v>
      </c>
      <c r="CR204" s="352">
        <f t="shared" ref="CR204:CR211" si="484">ROUND($BO204-SUMIFS($AA204:$BJ204, $AA$3:$BJ$3, $BO$3), rounding)</f>
        <v>0</v>
      </c>
      <c r="CS204" s="352">
        <f t="shared" ref="CS204:CS212" si="485">ROUND($V204-$BL204, rounding)</f>
        <v>0</v>
      </c>
      <c r="CT204" s="42"/>
      <c r="CU204" s="67">
        <v>0</v>
      </c>
      <c r="CV204" s="67">
        <v>0</v>
      </c>
      <c r="EX204" s="13" t="str">
        <f t="shared" si="475"/>
        <v>Land &amp; Buildings Additions (incl. donations)</v>
      </c>
    </row>
    <row r="205" spans="1:154" x14ac:dyDescent="0.25">
      <c r="A205" s="362" cm="1">
        <f t="array" aca="1" ref="A205" ca="1">HYPERLINK(CONCATENATE("#",CELL("address",IF(SUM($CA205:$CL205)=0,A205,INDEX($CA205:$CL205,MATCH(1,$CA205:$CL205,0))))),SUM($CA205:$CL205))</f>
        <v>0</v>
      </c>
      <c r="C205" s="340" t="s">
        <v>1204</v>
      </c>
      <c r="D205" s="39" t="s">
        <v>385</v>
      </c>
      <c r="E205" s="39"/>
      <c r="G205" s="46"/>
      <c r="H205" s="47" t="s">
        <v>92</v>
      </c>
      <c r="P205" s="335"/>
      <c r="Q205" s="335"/>
      <c r="R205" s="335"/>
      <c r="T205" s="335"/>
      <c r="U205" s="335"/>
      <c r="V205" s="215">
        <f>V$68</f>
        <v>0</v>
      </c>
      <c r="W205" s="153">
        <f>W$68</f>
        <v>0</v>
      </c>
      <c r="X205" s="153">
        <f>X$68</f>
        <v>0</v>
      </c>
      <c r="Y205" s="153">
        <f>Y$68</f>
        <v>0</v>
      </c>
      <c r="Z205" s="335"/>
      <c r="AA205" s="153">
        <f t="shared" ref="AA205:BJ205" si="486">AA$68</f>
        <v>0</v>
      </c>
      <c r="AB205" s="153">
        <f t="shared" si="486"/>
        <v>0</v>
      </c>
      <c r="AC205" s="153">
        <f t="shared" si="486"/>
        <v>0</v>
      </c>
      <c r="AD205" s="153">
        <f t="shared" si="486"/>
        <v>0</v>
      </c>
      <c r="AE205" s="153">
        <f t="shared" si="486"/>
        <v>0</v>
      </c>
      <c r="AF205" s="153">
        <f t="shared" si="486"/>
        <v>0</v>
      </c>
      <c r="AG205" s="153">
        <f t="shared" si="486"/>
        <v>0</v>
      </c>
      <c r="AH205" s="153">
        <f t="shared" si="486"/>
        <v>0</v>
      </c>
      <c r="AI205" s="153">
        <f t="shared" si="486"/>
        <v>0</v>
      </c>
      <c r="AJ205" s="153">
        <f t="shared" si="486"/>
        <v>0</v>
      </c>
      <c r="AK205" s="153">
        <f t="shared" si="486"/>
        <v>0</v>
      </c>
      <c r="AL205" s="153">
        <f t="shared" si="486"/>
        <v>0</v>
      </c>
      <c r="AM205" s="153">
        <f t="shared" si="486"/>
        <v>0</v>
      </c>
      <c r="AN205" s="153">
        <f t="shared" si="486"/>
        <v>0</v>
      </c>
      <c r="AO205" s="153">
        <f t="shared" si="486"/>
        <v>0</v>
      </c>
      <c r="AP205" s="153">
        <f t="shared" si="486"/>
        <v>0</v>
      </c>
      <c r="AQ205" s="153">
        <f t="shared" si="486"/>
        <v>0</v>
      </c>
      <c r="AR205" s="153">
        <f t="shared" si="486"/>
        <v>0</v>
      </c>
      <c r="AS205" s="153">
        <f t="shared" si="486"/>
        <v>0</v>
      </c>
      <c r="AT205" s="153">
        <f t="shared" si="486"/>
        <v>0</v>
      </c>
      <c r="AU205" s="153">
        <f t="shared" si="486"/>
        <v>0</v>
      </c>
      <c r="AV205" s="153">
        <f t="shared" si="486"/>
        <v>0</v>
      </c>
      <c r="AW205" s="153">
        <f t="shared" si="486"/>
        <v>0</v>
      </c>
      <c r="AX205" s="153">
        <f t="shared" si="486"/>
        <v>0</v>
      </c>
      <c r="AY205" s="153">
        <f t="shared" si="486"/>
        <v>0</v>
      </c>
      <c r="AZ205" s="153">
        <f t="shared" si="486"/>
        <v>0</v>
      </c>
      <c r="BA205" s="153">
        <f t="shared" si="486"/>
        <v>0</v>
      </c>
      <c r="BB205" s="153">
        <f t="shared" si="486"/>
        <v>0</v>
      </c>
      <c r="BC205" s="153">
        <f t="shared" si="486"/>
        <v>0</v>
      </c>
      <c r="BD205" s="153">
        <f t="shared" si="486"/>
        <v>0</v>
      </c>
      <c r="BE205" s="153">
        <f t="shared" si="486"/>
        <v>0</v>
      </c>
      <c r="BF205" s="153">
        <f t="shared" si="486"/>
        <v>0</v>
      </c>
      <c r="BG205" s="153">
        <f t="shared" si="486"/>
        <v>0</v>
      </c>
      <c r="BH205" s="153">
        <f t="shared" si="486"/>
        <v>0</v>
      </c>
      <c r="BI205" s="153">
        <f t="shared" si="486"/>
        <v>0</v>
      </c>
      <c r="BJ205" s="153">
        <f t="shared" si="486"/>
        <v>0</v>
      </c>
      <c r="BL205" s="153">
        <f t="shared" ref="BL205:BW205" si="487">BL$68</f>
        <v>0</v>
      </c>
      <c r="BM205" s="153">
        <f t="shared" si="487"/>
        <v>0</v>
      </c>
      <c r="BN205" s="153">
        <f t="shared" si="487"/>
        <v>0</v>
      </c>
      <c r="BO205" s="153">
        <f t="shared" si="487"/>
        <v>0</v>
      </c>
      <c r="BP205" s="153">
        <f t="shared" si="487"/>
        <v>0</v>
      </c>
      <c r="BQ205" s="153">
        <f t="shared" si="487"/>
        <v>0</v>
      </c>
      <c r="BR205" s="153">
        <f t="shared" si="487"/>
        <v>0</v>
      </c>
      <c r="BS205" s="153">
        <f t="shared" si="487"/>
        <v>0</v>
      </c>
      <c r="BT205" s="153">
        <f t="shared" si="487"/>
        <v>0</v>
      </c>
      <c r="BU205" s="153">
        <f t="shared" si="487"/>
        <v>0</v>
      </c>
      <c r="BV205" s="153">
        <f t="shared" si="487"/>
        <v>0</v>
      </c>
      <c r="BW205" s="153">
        <f t="shared" si="487"/>
        <v>0</v>
      </c>
      <c r="BY205" s="12"/>
      <c r="BZ205" s="363">
        <f>IF(MIN($V205:$BW205)&lt;0, 1, 0)</f>
        <v>0</v>
      </c>
      <c r="CA205" s="12"/>
      <c r="CI205" s="7">
        <f t="shared" si="478"/>
        <v>0</v>
      </c>
      <c r="CJ205" s="7">
        <f t="shared" si="479"/>
        <v>0</v>
      </c>
      <c r="CK205" s="7">
        <f t="shared" si="480"/>
        <v>0</v>
      </c>
      <c r="CL205" s="42"/>
      <c r="CM205" s="352">
        <f t="shared" si="481"/>
        <v>0</v>
      </c>
      <c r="CN205" s="352">
        <f t="shared" si="481"/>
        <v>0</v>
      </c>
      <c r="CO205" s="352">
        <f t="shared" si="481"/>
        <v>0</v>
      </c>
      <c r="CP205" s="352">
        <f t="shared" si="482"/>
        <v>0</v>
      </c>
      <c r="CQ205" s="352">
        <f t="shared" si="483"/>
        <v>0</v>
      </c>
      <c r="CR205" s="352">
        <f t="shared" si="484"/>
        <v>0</v>
      </c>
      <c r="CS205" s="352">
        <f t="shared" si="485"/>
        <v>0</v>
      </c>
      <c r="CT205" s="42"/>
      <c r="CU205" s="67">
        <v>0</v>
      </c>
      <c r="CV205" s="67">
        <v>0</v>
      </c>
      <c r="EX205" s="13" t="str">
        <f t="shared" si="475"/>
        <v>Land &amp; Buildings Movement from Assets under Construction</v>
      </c>
    </row>
    <row r="206" spans="1:154" x14ac:dyDescent="0.25">
      <c r="A206" s="362" cm="1">
        <f t="array" aca="1" ref="A206" ca="1">HYPERLINK(CONCATENATE("#",CELL("address",IF(SUM($CA206:$CL206)=0,A206,INDEX($CA206:$CL206,MATCH(1,$CA206:$CL206,0))))),SUM($CA206:$CL206))</f>
        <v>0</v>
      </c>
      <c r="C206" s="340" t="s">
        <v>1205</v>
      </c>
      <c r="D206" s="39" t="s">
        <v>94</v>
      </c>
      <c r="E206" s="39"/>
      <c r="G206" s="46"/>
      <c r="H206" s="47" t="s">
        <v>92</v>
      </c>
      <c r="P206" s="335"/>
      <c r="Q206" s="335"/>
      <c r="R206" s="335"/>
      <c r="T206" s="335"/>
      <c r="U206" s="335"/>
      <c r="V206" s="10">
        <f>V$93</f>
        <v>0</v>
      </c>
      <c r="W206" s="10">
        <f>W$93</f>
        <v>0</v>
      </c>
      <c r="X206" s="10">
        <f>X$93</f>
        <v>0</v>
      </c>
      <c r="Y206" s="10">
        <f>Y$93</f>
        <v>0</v>
      </c>
      <c r="Z206" s="335"/>
      <c r="AA206" s="10">
        <f t="shared" ref="AA206:BJ206" si="488">AA$93</f>
        <v>0</v>
      </c>
      <c r="AB206" s="10">
        <f t="shared" si="488"/>
        <v>0</v>
      </c>
      <c r="AC206" s="10">
        <f t="shared" si="488"/>
        <v>0</v>
      </c>
      <c r="AD206" s="10">
        <f t="shared" si="488"/>
        <v>0</v>
      </c>
      <c r="AE206" s="10">
        <f t="shared" si="488"/>
        <v>0</v>
      </c>
      <c r="AF206" s="10">
        <f t="shared" si="488"/>
        <v>0</v>
      </c>
      <c r="AG206" s="10">
        <f t="shared" si="488"/>
        <v>0</v>
      </c>
      <c r="AH206" s="10">
        <f t="shared" si="488"/>
        <v>0</v>
      </c>
      <c r="AI206" s="10">
        <f t="shared" si="488"/>
        <v>0</v>
      </c>
      <c r="AJ206" s="10">
        <f t="shared" si="488"/>
        <v>0</v>
      </c>
      <c r="AK206" s="10">
        <f t="shared" si="488"/>
        <v>0</v>
      </c>
      <c r="AL206" s="10">
        <f t="shared" si="488"/>
        <v>0</v>
      </c>
      <c r="AM206" s="10">
        <f t="shared" si="488"/>
        <v>0</v>
      </c>
      <c r="AN206" s="10">
        <f t="shared" si="488"/>
        <v>0</v>
      </c>
      <c r="AO206" s="10">
        <f t="shared" si="488"/>
        <v>0</v>
      </c>
      <c r="AP206" s="10">
        <f t="shared" si="488"/>
        <v>0</v>
      </c>
      <c r="AQ206" s="10">
        <f t="shared" si="488"/>
        <v>0</v>
      </c>
      <c r="AR206" s="10">
        <f t="shared" si="488"/>
        <v>0</v>
      </c>
      <c r="AS206" s="10">
        <f t="shared" si="488"/>
        <v>0</v>
      </c>
      <c r="AT206" s="10">
        <f t="shared" si="488"/>
        <v>0</v>
      </c>
      <c r="AU206" s="10">
        <f t="shared" si="488"/>
        <v>0</v>
      </c>
      <c r="AV206" s="10">
        <f t="shared" si="488"/>
        <v>0</v>
      </c>
      <c r="AW206" s="10">
        <f t="shared" si="488"/>
        <v>0</v>
      </c>
      <c r="AX206" s="10">
        <f t="shared" si="488"/>
        <v>0</v>
      </c>
      <c r="AY206" s="10">
        <f t="shared" si="488"/>
        <v>0</v>
      </c>
      <c r="AZ206" s="10">
        <f t="shared" si="488"/>
        <v>0</v>
      </c>
      <c r="BA206" s="10">
        <f t="shared" si="488"/>
        <v>0</v>
      </c>
      <c r="BB206" s="10">
        <f t="shared" si="488"/>
        <v>0</v>
      </c>
      <c r="BC206" s="10">
        <f t="shared" si="488"/>
        <v>0</v>
      </c>
      <c r="BD206" s="10">
        <f t="shared" si="488"/>
        <v>0</v>
      </c>
      <c r="BE206" s="10">
        <f t="shared" si="488"/>
        <v>0</v>
      </c>
      <c r="BF206" s="10">
        <f t="shared" si="488"/>
        <v>0</v>
      </c>
      <c r="BG206" s="10">
        <f t="shared" si="488"/>
        <v>0</v>
      </c>
      <c r="BH206" s="10">
        <f t="shared" si="488"/>
        <v>0</v>
      </c>
      <c r="BI206" s="10">
        <f t="shared" si="488"/>
        <v>0</v>
      </c>
      <c r="BJ206" s="10">
        <f t="shared" si="488"/>
        <v>0</v>
      </c>
      <c r="BL206" s="10">
        <f t="shared" ref="BL206:BW206" si="489">BL$93</f>
        <v>0</v>
      </c>
      <c r="BM206" s="10">
        <f t="shared" si="489"/>
        <v>0</v>
      </c>
      <c r="BN206" s="10">
        <f t="shared" si="489"/>
        <v>0</v>
      </c>
      <c r="BO206" s="10">
        <f t="shared" si="489"/>
        <v>0</v>
      </c>
      <c r="BP206" s="10">
        <f t="shared" si="489"/>
        <v>0</v>
      </c>
      <c r="BQ206" s="10">
        <f t="shared" si="489"/>
        <v>0</v>
      </c>
      <c r="BR206" s="10">
        <f t="shared" si="489"/>
        <v>0</v>
      </c>
      <c r="BS206" s="10">
        <f t="shared" si="489"/>
        <v>0</v>
      </c>
      <c r="BT206" s="10">
        <f t="shared" si="489"/>
        <v>0</v>
      </c>
      <c r="BU206" s="10">
        <f t="shared" si="489"/>
        <v>0</v>
      </c>
      <c r="BV206" s="10">
        <f t="shared" si="489"/>
        <v>0</v>
      </c>
      <c r="BW206" s="10">
        <f t="shared" si="489"/>
        <v>0</v>
      </c>
      <c r="BY206" s="12"/>
      <c r="CA206" s="12"/>
      <c r="CI206" s="7">
        <f t="shared" si="478"/>
        <v>0</v>
      </c>
      <c r="CJ206" s="7">
        <f t="shared" si="479"/>
        <v>0</v>
      </c>
      <c r="CK206" s="7">
        <f t="shared" si="480"/>
        <v>0</v>
      </c>
      <c r="CL206" s="42"/>
      <c r="CM206" s="352">
        <f t="shared" si="481"/>
        <v>0</v>
      </c>
      <c r="CN206" s="352">
        <f t="shared" si="481"/>
        <v>0</v>
      </c>
      <c r="CO206" s="352">
        <f t="shared" si="481"/>
        <v>0</v>
      </c>
      <c r="CP206" s="352">
        <f t="shared" si="482"/>
        <v>0</v>
      </c>
      <c r="CQ206" s="352">
        <f t="shared" si="483"/>
        <v>0</v>
      </c>
      <c r="CR206" s="352">
        <f t="shared" si="484"/>
        <v>0</v>
      </c>
      <c r="CS206" s="352">
        <f t="shared" si="485"/>
        <v>0</v>
      </c>
      <c r="CT206" s="42"/>
      <c r="CU206" s="67">
        <v>0</v>
      </c>
      <c r="CV206" s="67">
        <v>0</v>
      </c>
      <c r="EX206" s="13" t="str">
        <f t="shared" si="475"/>
        <v>Land &amp; Buildings Surplus/Loss on Revaluation</v>
      </c>
    </row>
    <row r="207" spans="1:154" x14ac:dyDescent="0.25">
      <c r="A207" s="362" cm="1">
        <f t="array" aca="1" ref="A207" ca="1">HYPERLINK(CONCATENATE("#",CELL("address",IF(SUM($CA207:$CL207)=0,A207,INDEX($CA207:$CL207,MATCH(1,$CA207:$CL207,0))))),SUM($CA207:$CL207))</f>
        <v>0</v>
      </c>
      <c r="C207" s="340" t="s">
        <v>1206</v>
      </c>
      <c r="D207" s="39" t="s">
        <v>95</v>
      </c>
      <c r="E207" s="39"/>
      <c r="G207" s="46"/>
      <c r="H207" s="47" t="s">
        <v>98</v>
      </c>
      <c r="P207" s="335"/>
      <c r="Q207" s="335"/>
      <c r="R207" s="335"/>
      <c r="T207" s="335"/>
      <c r="U207" s="335"/>
      <c r="V207" s="10">
        <f>V$119</f>
        <v>0</v>
      </c>
      <c r="W207" s="10">
        <f>W$119</f>
        <v>0</v>
      </c>
      <c r="X207" s="10">
        <f>X$119</f>
        <v>0</v>
      </c>
      <c r="Y207" s="10">
        <f>Y$119</f>
        <v>0</v>
      </c>
      <c r="Z207" s="335"/>
      <c r="AA207" s="10">
        <f t="shared" ref="AA207:BJ207" si="490">AA$119</f>
        <v>0</v>
      </c>
      <c r="AB207" s="10">
        <f t="shared" si="490"/>
        <v>0</v>
      </c>
      <c r="AC207" s="10">
        <f t="shared" si="490"/>
        <v>0</v>
      </c>
      <c r="AD207" s="10">
        <f t="shared" si="490"/>
        <v>0</v>
      </c>
      <c r="AE207" s="10">
        <f t="shared" si="490"/>
        <v>0</v>
      </c>
      <c r="AF207" s="10">
        <f t="shared" si="490"/>
        <v>0</v>
      </c>
      <c r="AG207" s="10">
        <f t="shared" si="490"/>
        <v>0</v>
      </c>
      <c r="AH207" s="10">
        <f t="shared" si="490"/>
        <v>0</v>
      </c>
      <c r="AI207" s="10">
        <f t="shared" si="490"/>
        <v>0</v>
      </c>
      <c r="AJ207" s="10">
        <f t="shared" si="490"/>
        <v>0</v>
      </c>
      <c r="AK207" s="10">
        <f t="shared" si="490"/>
        <v>0</v>
      </c>
      <c r="AL207" s="10">
        <f t="shared" si="490"/>
        <v>0</v>
      </c>
      <c r="AM207" s="10">
        <f t="shared" si="490"/>
        <v>0</v>
      </c>
      <c r="AN207" s="10">
        <f t="shared" si="490"/>
        <v>0</v>
      </c>
      <c r="AO207" s="10">
        <f t="shared" si="490"/>
        <v>0</v>
      </c>
      <c r="AP207" s="10">
        <f t="shared" si="490"/>
        <v>0</v>
      </c>
      <c r="AQ207" s="10">
        <f t="shared" si="490"/>
        <v>0</v>
      </c>
      <c r="AR207" s="10">
        <f t="shared" si="490"/>
        <v>0</v>
      </c>
      <c r="AS207" s="10">
        <f t="shared" si="490"/>
        <v>0</v>
      </c>
      <c r="AT207" s="10">
        <f t="shared" si="490"/>
        <v>0</v>
      </c>
      <c r="AU207" s="10">
        <f t="shared" si="490"/>
        <v>0</v>
      </c>
      <c r="AV207" s="10">
        <f t="shared" si="490"/>
        <v>0</v>
      </c>
      <c r="AW207" s="10">
        <f t="shared" si="490"/>
        <v>0</v>
      </c>
      <c r="AX207" s="10">
        <f t="shared" si="490"/>
        <v>0</v>
      </c>
      <c r="AY207" s="10">
        <f t="shared" si="490"/>
        <v>0</v>
      </c>
      <c r="AZ207" s="10">
        <f t="shared" si="490"/>
        <v>0</v>
      </c>
      <c r="BA207" s="10">
        <f t="shared" si="490"/>
        <v>0</v>
      </c>
      <c r="BB207" s="10">
        <f t="shared" si="490"/>
        <v>0</v>
      </c>
      <c r="BC207" s="10">
        <f t="shared" si="490"/>
        <v>0</v>
      </c>
      <c r="BD207" s="10">
        <f t="shared" si="490"/>
        <v>0</v>
      </c>
      <c r="BE207" s="10">
        <f t="shared" si="490"/>
        <v>0</v>
      </c>
      <c r="BF207" s="10">
        <f t="shared" si="490"/>
        <v>0</v>
      </c>
      <c r="BG207" s="10">
        <f t="shared" si="490"/>
        <v>0</v>
      </c>
      <c r="BH207" s="10">
        <f t="shared" si="490"/>
        <v>0</v>
      </c>
      <c r="BI207" s="10">
        <f t="shared" si="490"/>
        <v>0</v>
      </c>
      <c r="BJ207" s="10">
        <f t="shared" si="490"/>
        <v>0</v>
      </c>
      <c r="BL207" s="10">
        <f t="shared" ref="BL207:BW207" si="491">BL$119</f>
        <v>0</v>
      </c>
      <c r="BM207" s="10">
        <f t="shared" si="491"/>
        <v>0</v>
      </c>
      <c r="BN207" s="10">
        <f t="shared" si="491"/>
        <v>0</v>
      </c>
      <c r="BO207" s="10">
        <f t="shared" si="491"/>
        <v>0</v>
      </c>
      <c r="BP207" s="10">
        <f t="shared" si="491"/>
        <v>0</v>
      </c>
      <c r="BQ207" s="10">
        <f t="shared" si="491"/>
        <v>0</v>
      </c>
      <c r="BR207" s="10">
        <f t="shared" si="491"/>
        <v>0</v>
      </c>
      <c r="BS207" s="10">
        <f t="shared" si="491"/>
        <v>0</v>
      </c>
      <c r="BT207" s="10">
        <f t="shared" si="491"/>
        <v>0</v>
      </c>
      <c r="BU207" s="10">
        <f t="shared" si="491"/>
        <v>0</v>
      </c>
      <c r="BV207" s="10">
        <f t="shared" si="491"/>
        <v>0</v>
      </c>
      <c r="BW207" s="10">
        <f t="shared" si="491"/>
        <v>0</v>
      </c>
      <c r="BY207" s="12"/>
      <c r="BZ207" s="363">
        <f>IF(MAX($V207:$BW207)&gt;0, 1, 0)</f>
        <v>0</v>
      </c>
      <c r="CA207" s="12"/>
      <c r="CI207" s="7">
        <f t="shared" si="478"/>
        <v>0</v>
      </c>
      <c r="CJ207" s="7">
        <f t="shared" si="479"/>
        <v>0</v>
      </c>
      <c r="CK207" s="7">
        <f t="shared" si="480"/>
        <v>0</v>
      </c>
      <c r="CL207" s="42"/>
      <c r="CM207" s="352">
        <f t="shared" si="481"/>
        <v>0</v>
      </c>
      <c r="CN207" s="352">
        <f t="shared" si="481"/>
        <v>0</v>
      </c>
      <c r="CO207" s="352">
        <f t="shared" si="481"/>
        <v>0</v>
      </c>
      <c r="CP207" s="352">
        <f t="shared" si="482"/>
        <v>0</v>
      </c>
      <c r="CQ207" s="352">
        <f t="shared" si="483"/>
        <v>0</v>
      </c>
      <c r="CR207" s="352">
        <f t="shared" si="484"/>
        <v>0</v>
      </c>
      <c r="CS207" s="352">
        <f t="shared" si="485"/>
        <v>0</v>
      </c>
      <c r="CT207" s="42"/>
      <c r="CU207" s="67">
        <v>0</v>
      </c>
      <c r="CV207" s="67">
        <v>0</v>
      </c>
      <c r="EX207" s="13" t="str">
        <f t="shared" si="475"/>
        <v>Land &amp; Buildings Moved to Assets Held for Sale</v>
      </c>
    </row>
    <row r="208" spans="1:154" x14ac:dyDescent="0.25">
      <c r="A208" s="362" cm="1">
        <f t="array" aca="1" ref="A208" ca="1">HYPERLINK(CONCATENATE("#",CELL("address",IF(SUM($CA208:$CL208)=0,A208,INDEX($CA208:$CL208,MATCH(1,$CA208:$CL208,0))))),SUM($CA208:$CL208))</f>
        <v>0</v>
      </c>
      <c r="C208" s="340" t="s">
        <v>1207</v>
      </c>
      <c r="D208" s="39" t="s">
        <v>121</v>
      </c>
      <c r="E208" s="39"/>
      <c r="G208" s="46"/>
      <c r="H208" s="47" t="s">
        <v>98</v>
      </c>
      <c r="P208" s="335"/>
      <c r="Q208" s="335"/>
      <c r="R208" s="335"/>
      <c r="S208" s="319"/>
      <c r="T208" s="335"/>
      <c r="U208" s="335"/>
      <c r="V208" s="10">
        <f>V$169</f>
        <v>0</v>
      </c>
      <c r="W208" s="10">
        <f>W$169</f>
        <v>0</v>
      </c>
      <c r="X208" s="10">
        <f t="shared" ref="X208:BW208" si="492">X$169</f>
        <v>0</v>
      </c>
      <c r="Y208" s="10">
        <f t="shared" si="492"/>
        <v>0</v>
      </c>
      <c r="Z208" s="335"/>
      <c r="AA208" s="10">
        <f t="shared" si="492"/>
        <v>0</v>
      </c>
      <c r="AB208" s="10">
        <f t="shared" si="492"/>
        <v>0</v>
      </c>
      <c r="AC208" s="10">
        <f t="shared" si="492"/>
        <v>0</v>
      </c>
      <c r="AD208" s="10">
        <f t="shared" si="492"/>
        <v>0</v>
      </c>
      <c r="AE208" s="10">
        <f t="shared" si="492"/>
        <v>0</v>
      </c>
      <c r="AF208" s="10">
        <f t="shared" si="492"/>
        <v>0</v>
      </c>
      <c r="AG208" s="10">
        <f t="shared" si="492"/>
        <v>0</v>
      </c>
      <c r="AH208" s="10">
        <f t="shared" si="492"/>
        <v>0</v>
      </c>
      <c r="AI208" s="10">
        <f t="shared" si="492"/>
        <v>0</v>
      </c>
      <c r="AJ208" s="10">
        <f t="shared" si="492"/>
        <v>0</v>
      </c>
      <c r="AK208" s="10">
        <f t="shared" si="492"/>
        <v>0</v>
      </c>
      <c r="AL208" s="10">
        <f t="shared" si="492"/>
        <v>0</v>
      </c>
      <c r="AM208" s="10">
        <f t="shared" si="492"/>
        <v>0</v>
      </c>
      <c r="AN208" s="10">
        <f t="shared" si="492"/>
        <v>0</v>
      </c>
      <c r="AO208" s="10">
        <f t="shared" si="492"/>
        <v>0</v>
      </c>
      <c r="AP208" s="10">
        <f t="shared" si="492"/>
        <v>0</v>
      </c>
      <c r="AQ208" s="10">
        <f t="shared" si="492"/>
        <v>0</v>
      </c>
      <c r="AR208" s="10">
        <f t="shared" si="492"/>
        <v>0</v>
      </c>
      <c r="AS208" s="10">
        <f t="shared" si="492"/>
        <v>0</v>
      </c>
      <c r="AT208" s="10">
        <f t="shared" si="492"/>
        <v>0</v>
      </c>
      <c r="AU208" s="10">
        <f t="shared" si="492"/>
        <v>0</v>
      </c>
      <c r="AV208" s="10">
        <f t="shared" si="492"/>
        <v>0</v>
      </c>
      <c r="AW208" s="10">
        <f t="shared" si="492"/>
        <v>0</v>
      </c>
      <c r="AX208" s="10">
        <f t="shared" si="492"/>
        <v>0</v>
      </c>
      <c r="AY208" s="10">
        <f t="shared" si="492"/>
        <v>0</v>
      </c>
      <c r="AZ208" s="10">
        <f t="shared" si="492"/>
        <v>0</v>
      </c>
      <c r="BA208" s="10">
        <f t="shared" si="492"/>
        <v>0</v>
      </c>
      <c r="BB208" s="10">
        <f t="shared" si="492"/>
        <v>0</v>
      </c>
      <c r="BC208" s="10">
        <f t="shared" si="492"/>
        <v>0</v>
      </c>
      <c r="BD208" s="10">
        <f t="shared" si="492"/>
        <v>0</v>
      </c>
      <c r="BE208" s="10">
        <f t="shared" si="492"/>
        <v>0</v>
      </c>
      <c r="BF208" s="10">
        <f t="shared" si="492"/>
        <v>0</v>
      </c>
      <c r="BG208" s="10">
        <f t="shared" si="492"/>
        <v>0</v>
      </c>
      <c r="BH208" s="10">
        <f t="shared" si="492"/>
        <v>0</v>
      </c>
      <c r="BI208" s="10">
        <f t="shared" si="492"/>
        <v>0</v>
      </c>
      <c r="BJ208" s="10">
        <f t="shared" si="492"/>
        <v>0</v>
      </c>
      <c r="BK208" s="319"/>
      <c r="BL208" s="10">
        <f t="shared" si="492"/>
        <v>0</v>
      </c>
      <c r="BM208" s="10">
        <f t="shared" si="492"/>
        <v>0</v>
      </c>
      <c r="BN208" s="10">
        <f t="shared" si="492"/>
        <v>0</v>
      </c>
      <c r="BO208" s="10">
        <f t="shared" si="492"/>
        <v>0</v>
      </c>
      <c r="BP208" s="10">
        <f t="shared" si="492"/>
        <v>0</v>
      </c>
      <c r="BQ208" s="10">
        <f t="shared" si="492"/>
        <v>0</v>
      </c>
      <c r="BR208" s="10">
        <f t="shared" si="492"/>
        <v>0</v>
      </c>
      <c r="BS208" s="10">
        <f t="shared" si="492"/>
        <v>0</v>
      </c>
      <c r="BT208" s="10">
        <f t="shared" si="492"/>
        <v>0</v>
      </c>
      <c r="BU208" s="10">
        <f t="shared" si="492"/>
        <v>0</v>
      </c>
      <c r="BV208" s="10">
        <f t="shared" si="492"/>
        <v>0</v>
      </c>
      <c r="BW208" s="10">
        <f t="shared" si="492"/>
        <v>0</v>
      </c>
      <c r="BY208" s="12"/>
      <c r="BZ208" s="363">
        <f>IF(MAX($V208:$BW208)&gt;0, 1, 0)</f>
        <v>0</v>
      </c>
      <c r="CA208" s="12"/>
      <c r="CI208" s="7">
        <f t="shared" si="478"/>
        <v>0</v>
      </c>
      <c r="CJ208" s="7">
        <f t="shared" si="479"/>
        <v>0</v>
      </c>
      <c r="CK208" s="7">
        <f t="shared" si="480"/>
        <v>0</v>
      </c>
      <c r="CL208" s="42"/>
      <c r="CM208" s="352">
        <f t="shared" si="481"/>
        <v>0</v>
      </c>
      <c r="CN208" s="352">
        <f t="shared" si="481"/>
        <v>0</v>
      </c>
      <c r="CO208" s="352">
        <f t="shared" si="481"/>
        <v>0</v>
      </c>
      <c r="CP208" s="352">
        <f t="shared" si="482"/>
        <v>0</v>
      </c>
      <c r="CQ208" s="352">
        <f t="shared" si="483"/>
        <v>0</v>
      </c>
      <c r="CR208" s="352">
        <f t="shared" si="484"/>
        <v>0</v>
      </c>
      <c r="CS208" s="352">
        <f t="shared" si="485"/>
        <v>0</v>
      </c>
      <c r="CT208" s="42"/>
      <c r="CU208" s="67">
        <v>0</v>
      </c>
      <c r="CV208" s="67">
        <v>0</v>
      </c>
      <c r="EX208" s="13" t="str">
        <f t="shared" si="475"/>
        <v>Land &amp; Buildings Disposals</v>
      </c>
    </row>
    <row r="209" spans="1:154" x14ac:dyDescent="0.25">
      <c r="A209" s="362" cm="1">
        <f t="array" aca="1" ref="A209" ca="1">HYPERLINK(CONCATENATE("#",CELL("address",IF(SUM($CA209:$CL209)=0,A209,INDEX($CA209:$CL209,MATCH(1,$CA209:$CL209,0))))),SUM($CA209:$CL209))</f>
        <v>0</v>
      </c>
      <c r="B209" s="25"/>
      <c r="C209" s="340" t="s">
        <v>1208</v>
      </c>
      <c r="D209" s="151" t="s">
        <v>96</v>
      </c>
      <c r="E209" s="39"/>
      <c r="F209" s="335"/>
      <c r="G209" s="46"/>
      <c r="H209" s="47" t="s">
        <v>98</v>
      </c>
      <c r="P209" s="335"/>
      <c r="Q209" s="335"/>
      <c r="R209" s="335"/>
      <c r="S209" s="335"/>
      <c r="T209" s="335"/>
      <c r="U209" s="335"/>
      <c r="V209" s="141"/>
      <c r="W209" s="215">
        <f t="shared" ref="W209:Y210" si="493" xml:space="preserve"> SUMIFS($AA209:$BJ209, $AA$3:$BJ$3, W$3)</f>
        <v>-1263</v>
      </c>
      <c r="X209" s="215">
        <f t="shared" si="493"/>
        <v>-1296</v>
      </c>
      <c r="Y209" s="215">
        <f t="shared" si="493"/>
        <v>-1369</v>
      </c>
      <c r="Z209" s="335"/>
      <c r="AA209" s="147">
        <v>-94</v>
      </c>
      <c r="AB209" s="147">
        <v>-94</v>
      </c>
      <c r="AC209" s="147">
        <v>-94</v>
      </c>
      <c r="AD209" s="147">
        <v>-99</v>
      </c>
      <c r="AE209" s="147">
        <v>-99</v>
      </c>
      <c r="AF209" s="147">
        <v>-100</v>
      </c>
      <c r="AG209" s="147">
        <v>-100</v>
      </c>
      <c r="AH209" s="147">
        <v>-100</v>
      </c>
      <c r="AI209" s="147">
        <v>-101</v>
      </c>
      <c r="AJ209" s="147">
        <v>-102</v>
      </c>
      <c r="AK209" s="147">
        <v>-140</v>
      </c>
      <c r="AL209" s="147">
        <v>-140</v>
      </c>
      <c r="AM209" s="147">
        <v>-94</v>
      </c>
      <c r="AN209" s="147">
        <v>-94</v>
      </c>
      <c r="AO209" s="147">
        <v>-94</v>
      </c>
      <c r="AP209" s="147">
        <f>-99+-1</f>
        <v>-100</v>
      </c>
      <c r="AQ209" s="147">
        <f>-99+-1</f>
        <v>-100</v>
      </c>
      <c r="AR209" s="147">
        <f>-100+-2</f>
        <v>-102</v>
      </c>
      <c r="AS209" s="147">
        <f>-100+-3</f>
        <v>-103</v>
      </c>
      <c r="AT209" s="147">
        <f>-100+-4</f>
        <v>-104</v>
      </c>
      <c r="AU209" s="147">
        <f>-101+-4</f>
        <v>-105</v>
      </c>
      <c r="AV209" s="147">
        <f>-102+-5</f>
        <v>-107</v>
      </c>
      <c r="AW209" s="147">
        <f>-140+-6</f>
        <v>-146</v>
      </c>
      <c r="AX209" s="147">
        <f>-140+-7</f>
        <v>-147</v>
      </c>
      <c r="AY209" s="147">
        <f>-94+-7</f>
        <v>-101</v>
      </c>
      <c r="AZ209" s="147">
        <f>-94+-7</f>
        <v>-101</v>
      </c>
      <c r="BA209" s="147">
        <f>-94+-8</f>
        <v>-102</v>
      </c>
      <c r="BB209" s="147">
        <f>-99+-8</f>
        <v>-107</v>
      </c>
      <c r="BC209" s="147">
        <f>-99+-8</f>
        <v>-107</v>
      </c>
      <c r="BD209" s="147">
        <f>-100+-9</f>
        <v>-109</v>
      </c>
      <c r="BE209" s="147">
        <f>-100+-9</f>
        <v>-109</v>
      </c>
      <c r="BF209" s="147">
        <f>-100+-9</f>
        <v>-109</v>
      </c>
      <c r="BG209" s="147">
        <f>-101+-10</f>
        <v>-111</v>
      </c>
      <c r="BH209" s="147">
        <f>-102+-10</f>
        <v>-112</v>
      </c>
      <c r="BI209" s="147">
        <f>-140+-10</f>
        <v>-150</v>
      </c>
      <c r="BJ209" s="147">
        <f>-140+-11</f>
        <v>-151</v>
      </c>
      <c r="BL209" s="13">
        <f t="shared" ref="BL209:BO210" si="494">V209</f>
        <v>0</v>
      </c>
      <c r="BM209" s="13">
        <f t="shared" si="494"/>
        <v>-1263</v>
      </c>
      <c r="BN209" s="13">
        <f t="shared" si="494"/>
        <v>-1296</v>
      </c>
      <c r="BO209" s="13">
        <f t="shared" si="494"/>
        <v>-1369</v>
      </c>
      <c r="BP209" s="141"/>
      <c r="BQ209" s="141"/>
      <c r="BR209" s="141"/>
      <c r="BS209" s="141"/>
      <c r="BT209" s="141"/>
      <c r="BU209" s="141"/>
      <c r="BV209" s="141"/>
      <c r="BW209" s="141"/>
      <c r="BY209" s="12"/>
      <c r="BZ209" s="363">
        <f>IF(MAX($V209:$BW209)&gt;0, 1, 0)</f>
        <v>0</v>
      </c>
      <c r="CA209" s="12"/>
      <c r="CI209" s="7">
        <f t="shared" si="478"/>
        <v>0</v>
      </c>
      <c r="CJ209" s="7">
        <f t="shared" si="479"/>
        <v>0</v>
      </c>
      <c r="CK209" s="7">
        <f t="shared" si="480"/>
        <v>0</v>
      </c>
      <c r="CL209" s="42"/>
      <c r="CM209" s="352">
        <f t="shared" si="481"/>
        <v>0</v>
      </c>
      <c r="CN209" s="352">
        <f t="shared" si="481"/>
        <v>0</v>
      </c>
      <c r="CO209" s="352">
        <f t="shared" si="481"/>
        <v>0</v>
      </c>
      <c r="CP209" s="352">
        <f t="shared" si="482"/>
        <v>0</v>
      </c>
      <c r="CQ209" s="352">
        <f t="shared" si="483"/>
        <v>0</v>
      </c>
      <c r="CR209" s="352">
        <f t="shared" si="484"/>
        <v>0</v>
      </c>
      <c r="CS209" s="352">
        <f t="shared" si="485"/>
        <v>0</v>
      </c>
      <c r="CT209" s="42"/>
      <c r="CU209" s="67">
        <v>1</v>
      </c>
      <c r="CV209" s="67">
        <v>1</v>
      </c>
      <c r="EX209" s="13" t="str">
        <f t="shared" si="475"/>
        <v>Land &amp; Buildings Depreciation</v>
      </c>
    </row>
    <row r="210" spans="1:154" ht="15.75" x14ac:dyDescent="0.3">
      <c r="A210" s="362" cm="1">
        <f t="array" aca="1" ref="A210" ca="1">HYPERLINK(CONCATENATE("#",CELL("address",IF(SUM($CA210:$CL210)=0,A210,INDEX($CA210:$CL210,MATCH(1,$CA210:$CL210,0))))),SUM($CA210:$CL210))</f>
        <v>0</v>
      </c>
      <c r="C210" s="340" t="s">
        <v>1209</v>
      </c>
      <c r="D210" s="177" t="s">
        <v>149</v>
      </c>
      <c r="E210" s="479" t="s">
        <v>335</v>
      </c>
      <c r="F210" s="335"/>
      <c r="G210" s="46"/>
      <c r="H210" s="47" t="s">
        <v>86</v>
      </c>
      <c r="P210" s="335"/>
      <c r="Q210" s="335"/>
      <c r="R210" s="335"/>
      <c r="S210" s="335"/>
      <c r="T210" s="335"/>
      <c r="U210" s="335"/>
      <c r="V210" s="141"/>
      <c r="W210" s="215">
        <f t="shared" si="493"/>
        <v>0</v>
      </c>
      <c r="X210" s="215">
        <f t="shared" si="493"/>
        <v>0</v>
      </c>
      <c r="Y210" s="215">
        <f t="shared" si="493"/>
        <v>0</v>
      </c>
      <c r="Z210" s="335"/>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L210" s="13">
        <f t="shared" si="494"/>
        <v>0</v>
      </c>
      <c r="BM210" s="13">
        <f t="shared" si="494"/>
        <v>0</v>
      </c>
      <c r="BN210" s="13">
        <f t="shared" si="494"/>
        <v>0</v>
      </c>
      <c r="BO210" s="13">
        <f t="shared" si="494"/>
        <v>0</v>
      </c>
      <c r="BP210" s="141"/>
      <c r="BQ210" s="141"/>
      <c r="BR210" s="141"/>
      <c r="BS210" s="141"/>
      <c r="BT210" s="141"/>
      <c r="BU210" s="141"/>
      <c r="BV210" s="141"/>
      <c r="BW210" s="141"/>
      <c r="BY210" s="12"/>
      <c r="CA210" s="12"/>
      <c r="CI210" s="7">
        <f t="shared" si="478"/>
        <v>0</v>
      </c>
      <c r="CJ210" s="7">
        <f t="shared" si="479"/>
        <v>0</v>
      </c>
      <c r="CK210" s="7">
        <f t="shared" si="480"/>
        <v>0</v>
      </c>
      <c r="CL210" s="42"/>
      <c r="CM210" s="352">
        <f t="shared" si="481"/>
        <v>0</v>
      </c>
      <c r="CN210" s="352">
        <f t="shared" si="481"/>
        <v>0</v>
      </c>
      <c r="CO210" s="352">
        <f t="shared" si="481"/>
        <v>0</v>
      </c>
      <c r="CP210" s="352">
        <f t="shared" si="482"/>
        <v>0</v>
      </c>
      <c r="CQ210" s="352">
        <f t="shared" si="483"/>
        <v>0</v>
      </c>
      <c r="CR210" s="352">
        <f t="shared" si="484"/>
        <v>0</v>
      </c>
      <c r="CS210" s="352">
        <f t="shared" si="485"/>
        <v>0</v>
      </c>
      <c r="CT210" s="42"/>
      <c r="CU210" s="67">
        <v>1</v>
      </c>
      <c r="CV210" s="67">
        <v>1</v>
      </c>
      <c r="EX210" s="13" t="str">
        <f t="shared" si="475"/>
        <v>Land &amp; Buildings Movement due to mergers</v>
      </c>
    </row>
    <row r="211" spans="1:154" s="335" customFormat="1" x14ac:dyDescent="0.25">
      <c r="A211" s="362" cm="1">
        <f t="array" aca="1" ref="A211" ca="1">HYPERLINK(CONCATENATE("#",CELL("address",IF(SUM($CA211:$CL211)=0,A211,INDEX($CA211:$CL211,MATCH(1,$CA211:$CL211,0))))),SUM($CA211:$CL211))</f>
        <v>0</v>
      </c>
      <c r="C211" s="340" t="s">
        <v>1210</v>
      </c>
      <c r="D211" s="39" t="s">
        <v>988</v>
      </c>
      <c r="E211" s="39" t="s">
        <v>2356</v>
      </c>
      <c r="G211" s="46"/>
      <c r="H211" s="47" t="s">
        <v>98</v>
      </c>
      <c r="V211" s="10">
        <f>V$322</f>
        <v>0</v>
      </c>
      <c r="W211" s="10">
        <f>W$322</f>
        <v>0</v>
      </c>
      <c r="X211" s="10">
        <f>X$322</f>
        <v>0</v>
      </c>
      <c r="Y211" s="10">
        <f>Y$322</f>
        <v>0</v>
      </c>
      <c r="AA211" s="10">
        <f t="shared" ref="AA211:BJ211" si="495">AA$322</f>
        <v>0</v>
      </c>
      <c r="AB211" s="10">
        <f t="shared" si="495"/>
        <v>0</v>
      </c>
      <c r="AC211" s="10">
        <f t="shared" si="495"/>
        <v>0</v>
      </c>
      <c r="AD211" s="10">
        <f t="shared" si="495"/>
        <v>0</v>
      </c>
      <c r="AE211" s="10">
        <f t="shared" si="495"/>
        <v>0</v>
      </c>
      <c r="AF211" s="10">
        <f t="shared" si="495"/>
        <v>0</v>
      </c>
      <c r="AG211" s="10">
        <f t="shared" si="495"/>
        <v>0</v>
      </c>
      <c r="AH211" s="10">
        <f t="shared" si="495"/>
        <v>0</v>
      </c>
      <c r="AI211" s="10">
        <f t="shared" si="495"/>
        <v>0</v>
      </c>
      <c r="AJ211" s="10">
        <f t="shared" si="495"/>
        <v>0</v>
      </c>
      <c r="AK211" s="10">
        <f t="shared" si="495"/>
        <v>0</v>
      </c>
      <c r="AL211" s="10">
        <f t="shared" si="495"/>
        <v>0</v>
      </c>
      <c r="AM211" s="10">
        <f t="shared" si="495"/>
        <v>0</v>
      </c>
      <c r="AN211" s="10">
        <f t="shared" si="495"/>
        <v>0</v>
      </c>
      <c r="AO211" s="10">
        <f t="shared" si="495"/>
        <v>0</v>
      </c>
      <c r="AP211" s="10">
        <f t="shared" si="495"/>
        <v>0</v>
      </c>
      <c r="AQ211" s="10">
        <f t="shared" si="495"/>
        <v>0</v>
      </c>
      <c r="AR211" s="10">
        <f t="shared" si="495"/>
        <v>0</v>
      </c>
      <c r="AS211" s="10">
        <f t="shared" si="495"/>
        <v>0</v>
      </c>
      <c r="AT211" s="10">
        <f t="shared" si="495"/>
        <v>0</v>
      </c>
      <c r="AU211" s="10">
        <f t="shared" si="495"/>
        <v>0</v>
      </c>
      <c r="AV211" s="10">
        <f t="shared" si="495"/>
        <v>0</v>
      </c>
      <c r="AW211" s="10">
        <f t="shared" si="495"/>
        <v>0</v>
      </c>
      <c r="AX211" s="10">
        <f t="shared" si="495"/>
        <v>0</v>
      </c>
      <c r="AY211" s="10">
        <f t="shared" si="495"/>
        <v>0</v>
      </c>
      <c r="AZ211" s="10">
        <f t="shared" si="495"/>
        <v>0</v>
      </c>
      <c r="BA211" s="10">
        <f t="shared" si="495"/>
        <v>0</v>
      </c>
      <c r="BB211" s="10">
        <f t="shared" si="495"/>
        <v>0</v>
      </c>
      <c r="BC211" s="10">
        <f t="shared" si="495"/>
        <v>0</v>
      </c>
      <c r="BD211" s="10">
        <f t="shared" si="495"/>
        <v>0</v>
      </c>
      <c r="BE211" s="10">
        <f t="shared" si="495"/>
        <v>0</v>
      </c>
      <c r="BF211" s="10">
        <f t="shared" si="495"/>
        <v>0</v>
      </c>
      <c r="BG211" s="10">
        <f t="shared" si="495"/>
        <v>0</v>
      </c>
      <c r="BH211" s="10">
        <f t="shared" si="495"/>
        <v>0</v>
      </c>
      <c r="BI211" s="10">
        <f t="shared" si="495"/>
        <v>0</v>
      </c>
      <c r="BJ211" s="10">
        <f t="shared" si="495"/>
        <v>0</v>
      </c>
      <c r="BL211" s="10">
        <f t="shared" ref="BL211:BW211" si="496">BL$322</f>
        <v>0</v>
      </c>
      <c r="BM211" s="10">
        <f t="shared" si="496"/>
        <v>0</v>
      </c>
      <c r="BN211" s="10">
        <f t="shared" si="496"/>
        <v>0</v>
      </c>
      <c r="BO211" s="10">
        <f t="shared" si="496"/>
        <v>0</v>
      </c>
      <c r="BP211" s="10">
        <f t="shared" si="496"/>
        <v>0</v>
      </c>
      <c r="BQ211" s="10">
        <f t="shared" si="496"/>
        <v>0</v>
      </c>
      <c r="BR211" s="10">
        <f t="shared" si="496"/>
        <v>0</v>
      </c>
      <c r="BS211" s="10">
        <f t="shared" si="496"/>
        <v>0</v>
      </c>
      <c r="BT211" s="10">
        <f t="shared" si="496"/>
        <v>0</v>
      </c>
      <c r="BU211" s="10">
        <f t="shared" si="496"/>
        <v>0</v>
      </c>
      <c r="BV211" s="10">
        <f t="shared" si="496"/>
        <v>0</v>
      </c>
      <c r="BW211" s="10">
        <f t="shared" si="496"/>
        <v>0</v>
      </c>
      <c r="BY211" s="12"/>
      <c r="CA211" s="12"/>
      <c r="CI211" s="7">
        <f t="shared" si="478"/>
        <v>0</v>
      </c>
      <c r="CJ211" s="7">
        <f t="shared" si="479"/>
        <v>0</v>
      </c>
      <c r="CK211" s="7">
        <f t="shared" si="480"/>
        <v>0</v>
      </c>
      <c r="CL211" s="42"/>
      <c r="CM211" s="352">
        <f t="shared" si="481"/>
        <v>0</v>
      </c>
      <c r="CN211" s="352">
        <f t="shared" si="481"/>
        <v>0</v>
      </c>
      <c r="CO211" s="352">
        <f t="shared" si="481"/>
        <v>0</v>
      </c>
      <c r="CP211" s="352">
        <f t="shared" si="482"/>
        <v>0</v>
      </c>
      <c r="CQ211" s="352">
        <f t="shared" si="483"/>
        <v>0</v>
      </c>
      <c r="CR211" s="352">
        <f t="shared" si="484"/>
        <v>0</v>
      </c>
      <c r="CS211" s="352">
        <f t="shared" si="485"/>
        <v>0</v>
      </c>
      <c r="CT211" s="42"/>
      <c r="CU211" s="335">
        <v>0</v>
      </c>
      <c r="CV211" s="335">
        <v>0</v>
      </c>
      <c r="EX211" s="13" t="str">
        <f t="shared" si="475"/>
        <v>Land &amp; Buildings NCA Reclassification</v>
      </c>
    </row>
    <row r="212" spans="1:154" x14ac:dyDescent="0.25">
      <c r="A212" s="362" cm="1">
        <f t="array" aca="1" ref="A212" ca="1">HYPERLINK(CONCATENATE("#",CELL("address",IF(SUM($CA212:$CL212)=0,A212,INDEX($CA212:$CL212,MATCH(1,$CA212:$CL212,0))))),SUM($CA212:$CL212))</f>
        <v>0</v>
      </c>
      <c r="C212" s="340" t="s">
        <v>1146</v>
      </c>
      <c r="D212" s="39" t="s">
        <v>97</v>
      </c>
      <c r="E212" s="352">
        <f>ROUND(V212-SUM(V203:V211), rounding)*$V$329</f>
        <v>0</v>
      </c>
      <c r="G212" s="46"/>
      <c r="H212" s="47" t="s">
        <v>92</v>
      </c>
      <c r="P212" s="335"/>
      <c r="Q212" s="335"/>
      <c r="R212" s="335"/>
      <c r="S212" s="335"/>
      <c r="T212" s="335"/>
      <c r="U212" s="335"/>
      <c r="V212" s="211">
        <f>'Opening Balances'!W10</f>
        <v>31898</v>
      </c>
      <c r="W212" s="10">
        <f>SUM(W203:W211)</f>
        <v>34953</v>
      </c>
      <c r="X212" s="10">
        <f t="shared" ref="X212:BJ212" si="497">SUM(X203:X211)</f>
        <v>38593</v>
      </c>
      <c r="Y212" s="10">
        <f t="shared" si="497"/>
        <v>39602</v>
      </c>
      <c r="Z212" s="335"/>
      <c r="AA212" s="10">
        <f t="shared" si="497"/>
        <v>31814</v>
      </c>
      <c r="AB212" s="10">
        <f t="shared" si="497"/>
        <v>31720</v>
      </c>
      <c r="AC212" s="10">
        <f t="shared" si="497"/>
        <v>34435</v>
      </c>
      <c r="AD212" s="10">
        <f t="shared" si="497"/>
        <v>34336</v>
      </c>
      <c r="AE212" s="10">
        <f t="shared" si="497"/>
        <v>34237</v>
      </c>
      <c r="AF212" s="10">
        <f t="shared" si="497"/>
        <v>34137</v>
      </c>
      <c r="AG212" s="10">
        <f t="shared" si="497"/>
        <v>34037</v>
      </c>
      <c r="AH212" s="10">
        <f t="shared" si="497"/>
        <v>35363</v>
      </c>
      <c r="AI212" s="10">
        <f t="shared" si="497"/>
        <v>35262</v>
      </c>
      <c r="AJ212" s="10">
        <f t="shared" si="497"/>
        <v>35160</v>
      </c>
      <c r="AK212" s="10">
        <f t="shared" si="497"/>
        <v>35020</v>
      </c>
      <c r="AL212" s="10">
        <f t="shared" si="497"/>
        <v>34953</v>
      </c>
      <c r="AM212" s="10">
        <f t="shared" si="497"/>
        <v>35142</v>
      </c>
      <c r="AN212" s="10">
        <f t="shared" si="497"/>
        <v>35838</v>
      </c>
      <c r="AO212" s="10">
        <f t="shared" si="497"/>
        <v>36107</v>
      </c>
      <c r="AP212" s="10">
        <f t="shared" si="497"/>
        <v>36201</v>
      </c>
      <c r="AQ212" s="10">
        <f t="shared" si="497"/>
        <v>36539</v>
      </c>
      <c r="AR212" s="10">
        <f t="shared" si="497"/>
        <v>36882</v>
      </c>
      <c r="AS212" s="10">
        <f t="shared" si="497"/>
        <v>37225</v>
      </c>
      <c r="AT212" s="10">
        <f t="shared" si="497"/>
        <v>37662</v>
      </c>
      <c r="AU212" s="10">
        <f t="shared" si="497"/>
        <v>38056</v>
      </c>
      <c r="AV212" s="10">
        <f t="shared" si="497"/>
        <v>38271</v>
      </c>
      <c r="AW212" s="10">
        <f t="shared" si="497"/>
        <v>38443</v>
      </c>
      <c r="AX212" s="10">
        <f t="shared" si="497"/>
        <v>38593</v>
      </c>
      <c r="AY212" s="10">
        <f t="shared" si="497"/>
        <v>38734</v>
      </c>
      <c r="AZ212" s="10">
        <f t="shared" si="497"/>
        <v>38828</v>
      </c>
      <c r="BA212" s="10">
        <f t="shared" si="497"/>
        <v>38930</v>
      </c>
      <c r="BB212" s="10">
        <f t="shared" si="497"/>
        <v>39033</v>
      </c>
      <c r="BC212" s="10">
        <f t="shared" si="497"/>
        <v>39136</v>
      </c>
      <c r="BD212" s="10">
        <f t="shared" si="497"/>
        <v>39232</v>
      </c>
      <c r="BE212" s="10">
        <f t="shared" si="497"/>
        <v>39388</v>
      </c>
      <c r="BF212" s="10">
        <f t="shared" si="497"/>
        <v>39434</v>
      </c>
      <c r="BG212" s="10">
        <f t="shared" si="497"/>
        <v>39479</v>
      </c>
      <c r="BH212" s="10">
        <f t="shared" si="497"/>
        <v>39542</v>
      </c>
      <c r="BI212" s="10">
        <f t="shared" si="497"/>
        <v>39572</v>
      </c>
      <c r="BJ212" s="10">
        <f t="shared" si="497"/>
        <v>39602</v>
      </c>
      <c r="BL212" s="152">
        <f>V212</f>
        <v>31898</v>
      </c>
      <c r="BM212" s="10">
        <f t="shared" ref="BM212" si="498">SUM(BM203:BM211)</f>
        <v>34953</v>
      </c>
      <c r="BN212" s="10">
        <f t="shared" ref="BN212" si="499">SUM(BN203:BN211)</f>
        <v>38593</v>
      </c>
      <c r="BO212" s="10">
        <f t="shared" ref="BO212" si="500">SUM(BO203:BO211)</f>
        <v>39602</v>
      </c>
      <c r="BP212" s="10">
        <f t="shared" ref="BP212" si="501">SUM(BP203:BP211)</f>
        <v>39602</v>
      </c>
      <c r="BQ212" s="10">
        <f t="shared" ref="BQ212" si="502">SUM(BQ203:BQ211)</f>
        <v>39602</v>
      </c>
      <c r="BR212" s="10">
        <f t="shared" ref="BR212" si="503">SUM(BR203:BR211)</f>
        <v>39602</v>
      </c>
      <c r="BS212" s="10">
        <f t="shared" ref="BS212" si="504">SUM(BS203:BS211)</f>
        <v>39602</v>
      </c>
      <c r="BT212" s="10">
        <f t="shared" ref="BT212" si="505">SUM(BT203:BT211)</f>
        <v>39602</v>
      </c>
      <c r="BU212" s="10">
        <f t="shared" ref="BU212" si="506">SUM(BU203:BU211)</f>
        <v>39602</v>
      </c>
      <c r="BV212" s="10">
        <f t="shared" ref="BV212" si="507">SUM(BV203:BV211)</f>
        <v>39602</v>
      </c>
      <c r="BW212" s="10">
        <f t="shared" ref="BW212" si="508">SUM(BW203:BW211)</f>
        <v>39602</v>
      </c>
      <c r="BY212" s="12"/>
      <c r="CA212" s="12"/>
      <c r="CG212" s="188">
        <f>IF(ABS($E212)&gt;Parameters!$D$33, 1, 0)</f>
        <v>0</v>
      </c>
      <c r="CI212" s="7">
        <f t="shared" si="478"/>
        <v>0</v>
      </c>
      <c r="CJ212" s="7">
        <f t="shared" si="479"/>
        <v>0</v>
      </c>
      <c r="CK212" s="7">
        <f t="shared" si="480"/>
        <v>0</v>
      </c>
      <c r="CL212" s="42"/>
      <c r="CM212" s="352">
        <f>ROUND(W212-INDEX($AA212:$BJ212, MATCH(W$5,$AA$5:$BJ$5,0)), rounding)</f>
        <v>0</v>
      </c>
      <c r="CN212" s="352">
        <f>ROUND(X212-INDEX($AA212:$BJ212, MATCH(X$5,$AA$5:$BJ$5,0)), rounding)</f>
        <v>0</v>
      </c>
      <c r="CO212" s="352">
        <f>ROUND(Y212-INDEX($AA212:$BJ212, MATCH(Y$5,$AA$5:$BJ$5,0)), rounding)</f>
        <v>0</v>
      </c>
      <c r="CP212" s="352">
        <f>ROUND(BM212-INDEX($AA212:$BJ212, MATCH(BM$5,$AA$5:$BJ$5,0)), rounding)</f>
        <v>0</v>
      </c>
      <c r="CQ212" s="352">
        <f>ROUND(BN212-INDEX($AA212:$BJ212, MATCH(BN$5,$AA$5:$BJ$5,0)), rounding)</f>
        <v>0</v>
      </c>
      <c r="CR212" s="352">
        <f>ROUND(BO212-INDEX($AA212:$BJ212, MATCH(BO$5,$AA$5:$BJ$5,0)), rounding)</f>
        <v>0</v>
      </c>
      <c r="CS212" s="352">
        <f t="shared" si="485"/>
        <v>0</v>
      </c>
      <c r="CT212" s="42"/>
      <c r="CU212" s="67">
        <v>0</v>
      </c>
      <c r="CV212" s="67">
        <v>0</v>
      </c>
      <c r="EX212" s="13" t="str">
        <f t="shared" si="475"/>
        <v>Land &amp; Buildings Closing Balance</v>
      </c>
    </row>
    <row r="213" spans="1:154" ht="6.6" customHeight="1" x14ac:dyDescent="0.25">
      <c r="C213" s="385"/>
      <c r="D213" s="1"/>
      <c r="E213" s="67"/>
      <c r="T213" s="335"/>
      <c r="U213" s="335"/>
      <c r="V213" s="335"/>
      <c r="W213" s="25"/>
      <c r="X213" s="25"/>
      <c r="Y213" s="25"/>
      <c r="Z213" s="33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L213" s="25"/>
      <c r="BM213" s="155"/>
      <c r="BN213" s="25"/>
      <c r="BO213" s="25"/>
      <c r="BP213" s="25"/>
      <c r="BQ213" s="25"/>
      <c r="BR213" s="25"/>
      <c r="BS213" s="25"/>
      <c r="BT213" s="25"/>
      <c r="BU213" s="25"/>
      <c r="BV213" s="25"/>
      <c r="BW213" s="25"/>
      <c r="BY213" s="42"/>
      <c r="CA213" s="42"/>
      <c r="CL213" s="42"/>
      <c r="CT213" s="42"/>
      <c r="CU213" s="67">
        <v>0</v>
      </c>
      <c r="CV213" s="67">
        <v>0</v>
      </c>
      <c r="EX213" s="10" t="str">
        <f t="shared" si="472"/>
        <v/>
      </c>
    </row>
    <row r="214" spans="1:154" x14ac:dyDescent="0.25">
      <c r="A214" s="362" cm="1">
        <f t="array" aca="1" ref="A214" ca="1">HYPERLINK(CONCATENATE("#",CELL("address",IF(SUM($CA214:$CL214)=0,A214,INDEX($CA214:$CL214,MATCH(1,$CA214:$CL214,0))))),SUM($CA214:$CL214))</f>
        <v>0</v>
      </c>
      <c r="C214" s="385"/>
      <c r="D214" s="1" t="s">
        <v>378</v>
      </c>
      <c r="E214" s="335"/>
      <c r="F214" s="335"/>
      <c r="G214" s="48"/>
      <c r="H214" s="48"/>
      <c r="S214" s="335"/>
      <c r="T214" s="335"/>
      <c r="U214" s="335"/>
      <c r="V214" s="154">
        <f>IF(V212&lt;0, 1, 0)*'BS Forecasts'!V$10</f>
        <v>0</v>
      </c>
      <c r="W214" s="154">
        <f>IF(W212&lt;0, 1, 0)*'BS Forecasts'!W$10</f>
        <v>0</v>
      </c>
      <c r="X214" s="154">
        <f>IF(X212&lt;0, 1, 0)*'BS Forecasts'!X$10</f>
        <v>0</v>
      </c>
      <c r="Y214" s="154">
        <f>IF(Y212&lt;0, 1, 0)*'BS Forecasts'!Y$10</f>
        <v>0</v>
      </c>
      <c r="Z214" s="335"/>
      <c r="AA214" s="154">
        <f>IF(AA212&lt;0, 1, 0)*'BS Forecasts'!AA$10</f>
        <v>0</v>
      </c>
      <c r="AB214" s="154">
        <f>IF(AB212&lt;0, 1, 0)*'BS Forecasts'!AB$10</f>
        <v>0</v>
      </c>
      <c r="AC214" s="154">
        <f>IF(AC212&lt;0, 1, 0)*'BS Forecasts'!AC$10</f>
        <v>0</v>
      </c>
      <c r="AD214" s="154">
        <f>IF(AD212&lt;0, 1, 0)*'BS Forecasts'!AD$10</f>
        <v>0</v>
      </c>
      <c r="AE214" s="154">
        <f>IF(AE212&lt;0, 1, 0)*'BS Forecasts'!AE$10</f>
        <v>0</v>
      </c>
      <c r="AF214" s="154">
        <f>IF(AF212&lt;0, 1, 0)*'BS Forecasts'!AF$10</f>
        <v>0</v>
      </c>
      <c r="AG214" s="154">
        <f>IF(AG212&lt;0, 1, 0)*'BS Forecasts'!AG$10</f>
        <v>0</v>
      </c>
      <c r="AH214" s="154">
        <f>IF(AH212&lt;0, 1, 0)*'BS Forecasts'!AH$10</f>
        <v>0</v>
      </c>
      <c r="AI214" s="154">
        <f>IF(AI212&lt;0, 1, 0)*'BS Forecasts'!AI$10</f>
        <v>0</v>
      </c>
      <c r="AJ214" s="154">
        <f>IF(AJ212&lt;0, 1, 0)*'BS Forecasts'!AJ$10</f>
        <v>0</v>
      </c>
      <c r="AK214" s="154">
        <f>IF(AK212&lt;0, 1, 0)*'BS Forecasts'!AK$10</f>
        <v>0</v>
      </c>
      <c r="AL214" s="154">
        <f>IF(AL212&lt;0, 1, 0)*'BS Forecasts'!AL$10</f>
        <v>0</v>
      </c>
      <c r="AM214" s="154">
        <f>IF(AM212&lt;0, 1, 0)*'BS Forecasts'!AM$10</f>
        <v>0</v>
      </c>
      <c r="AN214" s="154">
        <f>IF(AN212&lt;0, 1, 0)*'BS Forecasts'!AN$10</f>
        <v>0</v>
      </c>
      <c r="AO214" s="154">
        <f>IF(AO212&lt;0, 1, 0)*'BS Forecasts'!AO$10</f>
        <v>0</v>
      </c>
      <c r="AP214" s="154">
        <f>IF(AP212&lt;0, 1, 0)*'BS Forecasts'!AP$10</f>
        <v>0</v>
      </c>
      <c r="AQ214" s="154">
        <f>IF(AQ212&lt;0, 1, 0)*'BS Forecasts'!AQ$10</f>
        <v>0</v>
      </c>
      <c r="AR214" s="154">
        <f>IF(AR212&lt;0, 1, 0)*'BS Forecasts'!AR$10</f>
        <v>0</v>
      </c>
      <c r="AS214" s="154">
        <f>IF(AS212&lt;0, 1, 0)*'BS Forecasts'!AS$10</f>
        <v>0</v>
      </c>
      <c r="AT214" s="154">
        <f>IF(AT212&lt;0, 1, 0)*'BS Forecasts'!AT$10</f>
        <v>0</v>
      </c>
      <c r="AU214" s="154">
        <f>IF(AU212&lt;0, 1, 0)*'BS Forecasts'!AU$10</f>
        <v>0</v>
      </c>
      <c r="AV214" s="154">
        <f>IF(AV212&lt;0, 1, 0)*'BS Forecasts'!AV$10</f>
        <v>0</v>
      </c>
      <c r="AW214" s="154">
        <f>IF(AW212&lt;0, 1, 0)*'BS Forecasts'!AW$10</f>
        <v>0</v>
      </c>
      <c r="AX214" s="154">
        <f>IF(AX212&lt;0, 1, 0)*'BS Forecasts'!AX$10</f>
        <v>0</v>
      </c>
      <c r="AY214" s="154">
        <f>IF(AY212&lt;0, 1, 0)*'BS Forecasts'!AY$10</f>
        <v>0</v>
      </c>
      <c r="AZ214" s="154">
        <f>IF(AZ212&lt;0, 1, 0)*'BS Forecasts'!AZ$10</f>
        <v>0</v>
      </c>
      <c r="BA214" s="154">
        <f>IF(BA212&lt;0, 1, 0)*'BS Forecasts'!BA$10</f>
        <v>0</v>
      </c>
      <c r="BB214" s="154">
        <f>IF(BB212&lt;0, 1, 0)*'BS Forecasts'!BB$10</f>
        <v>0</v>
      </c>
      <c r="BC214" s="154">
        <f>IF(BC212&lt;0, 1, 0)*'BS Forecasts'!BC$10</f>
        <v>0</v>
      </c>
      <c r="BD214" s="154">
        <f>IF(BD212&lt;0, 1, 0)*'BS Forecasts'!BD$10</f>
        <v>0</v>
      </c>
      <c r="BE214" s="154">
        <f>IF(BE212&lt;0, 1, 0)*'BS Forecasts'!BE$10</f>
        <v>0</v>
      </c>
      <c r="BF214" s="154">
        <f>IF(BF212&lt;0, 1, 0)*'BS Forecasts'!BF$10</f>
        <v>0</v>
      </c>
      <c r="BG214" s="154">
        <f>IF(BG212&lt;0, 1, 0)*'BS Forecasts'!BG$10</f>
        <v>0</v>
      </c>
      <c r="BH214" s="154">
        <f>IF(BH212&lt;0, 1, 0)*'BS Forecasts'!BH$10</f>
        <v>0</v>
      </c>
      <c r="BI214" s="154">
        <f>IF(BI212&lt;0, 1, 0)*'BS Forecasts'!BI$10</f>
        <v>0</v>
      </c>
      <c r="BJ214" s="154">
        <f>IF(BJ212&lt;0, 1, 0)*'BS Forecasts'!BJ$10</f>
        <v>0</v>
      </c>
      <c r="BK214" s="335"/>
      <c r="BL214" s="154">
        <f>IF(BL212&lt;0, 1, 0)*'BS Forecasts'!BL$10</f>
        <v>0</v>
      </c>
      <c r="BM214" s="154">
        <f>IF(BM212&lt;0, 1, 0)*'BS Forecasts'!BM$10</f>
        <v>0</v>
      </c>
      <c r="BN214" s="154">
        <f>IF(BN212&lt;0, 1, 0)*'BS Forecasts'!BN$10</f>
        <v>0</v>
      </c>
      <c r="BO214" s="154">
        <f>IF(BO212&lt;0, 1, 0)*'BS Forecasts'!BO$10</f>
        <v>0</v>
      </c>
      <c r="BP214" s="154">
        <f>IF(BP212&lt;0, 1, 0)*'BS Forecasts'!BP$10</f>
        <v>0</v>
      </c>
      <c r="BQ214" s="154">
        <f>IF(BQ212&lt;0, 1, 0)*'BS Forecasts'!BQ$10</f>
        <v>0</v>
      </c>
      <c r="BR214" s="154">
        <f>IF(BR212&lt;0, 1, 0)*'BS Forecasts'!BR$10</f>
        <v>0</v>
      </c>
      <c r="BS214" s="154">
        <f>IF(BS212&lt;0, 1, 0)*'BS Forecasts'!BS$10</f>
        <v>0</v>
      </c>
      <c r="BT214" s="154">
        <f>IF(BT212&lt;0, 1, 0)*'BS Forecasts'!BT$10</f>
        <v>0</v>
      </c>
      <c r="BU214" s="154">
        <f>IF(BU212&lt;0, 1, 0)*'BS Forecasts'!BU$10</f>
        <v>0</v>
      </c>
      <c r="BV214" s="154">
        <f>IF(BV212&lt;0, 1, 0)*'BS Forecasts'!BV$10</f>
        <v>0</v>
      </c>
      <c r="BW214" s="154">
        <f>IF(BW212&lt;0, 1, 0)*'BS Forecasts'!BW$10</f>
        <v>0</v>
      </c>
      <c r="BY214" s="12"/>
      <c r="CA214" s="12"/>
      <c r="CF214" s="7">
        <f>IF(SUM(V214:BW214)=0, 0, 1)</f>
        <v>0</v>
      </c>
      <c r="CL214" s="42"/>
      <c r="CT214" s="42"/>
      <c r="CU214" s="67">
        <v>0</v>
      </c>
      <c r="CV214" s="67">
        <v>0</v>
      </c>
      <c r="EX214" s="10" t="str">
        <f t="shared" si="472"/>
        <v/>
      </c>
    </row>
    <row r="215" spans="1:154" ht="6.6" customHeight="1" x14ac:dyDescent="0.25">
      <c r="C215" s="385"/>
      <c r="D215" s="35"/>
      <c r="E215" s="335"/>
      <c r="F215" s="335"/>
      <c r="T215" s="335"/>
      <c r="U215" s="335"/>
      <c r="V215" s="25"/>
      <c r="W215" s="25"/>
      <c r="X215" s="25"/>
      <c r="Y215" s="25"/>
      <c r="Z215" s="33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L215" s="25"/>
      <c r="BM215" s="155"/>
      <c r="BN215" s="25"/>
      <c r="BO215" s="25"/>
      <c r="BP215" s="25"/>
      <c r="BQ215" s="25"/>
      <c r="BR215" s="25"/>
      <c r="BS215" s="25"/>
      <c r="BT215" s="25"/>
      <c r="BU215" s="25"/>
      <c r="BV215" s="25"/>
      <c r="BW215" s="25"/>
      <c r="BY215" s="42"/>
      <c r="CA215" s="42"/>
      <c r="CL215" s="42"/>
      <c r="CT215" s="42"/>
      <c r="CU215" s="67">
        <v>0</v>
      </c>
      <c r="CV215" s="67">
        <v>0</v>
      </c>
      <c r="EX215" s="10" t="str">
        <f t="shared" si="472"/>
        <v/>
      </c>
    </row>
    <row r="216" spans="1:154" x14ac:dyDescent="0.25">
      <c r="B216" s="29"/>
      <c r="C216" s="385"/>
      <c r="D216" s="27" t="str">
        <f>'Opening Balances'!D11</f>
        <v>Equipment</v>
      </c>
      <c r="E216" s="335"/>
      <c r="F216" s="335"/>
      <c r="G216" s="48"/>
      <c r="H216" s="48"/>
      <c r="T216" s="335"/>
      <c r="U216" s="335"/>
      <c r="V216" s="25"/>
      <c r="W216" s="25"/>
      <c r="X216" s="25"/>
      <c r="Y216" s="25"/>
      <c r="Z216" s="33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L216" s="25"/>
      <c r="BM216" s="25"/>
      <c r="BN216" s="25"/>
      <c r="BO216" s="25"/>
      <c r="BP216" s="25"/>
      <c r="BQ216" s="25"/>
      <c r="BR216" s="25"/>
      <c r="BS216" s="25"/>
      <c r="BT216" s="25"/>
      <c r="BU216" s="25"/>
      <c r="BV216" s="25"/>
      <c r="BW216" s="25"/>
      <c r="BY216" s="12"/>
      <c r="CA216" s="12"/>
      <c r="CL216" s="42"/>
      <c r="CT216" s="42"/>
      <c r="CU216" s="67">
        <v>0</v>
      </c>
      <c r="CV216" s="67">
        <v>0</v>
      </c>
      <c r="EX216" s="10" t="str">
        <f t="shared" si="472"/>
        <v/>
      </c>
    </row>
    <row r="217" spans="1:154" x14ac:dyDescent="0.25">
      <c r="C217" s="340" t="str">
        <f>CONCATENATE("II-",'Opening Balances'!$C$11)</f>
        <v>II-B-1b-OB</v>
      </c>
      <c r="D217" s="39" t="s">
        <v>91</v>
      </c>
      <c r="E217" s="39"/>
      <c r="G217" s="46"/>
      <c r="H217" s="47" t="s">
        <v>92</v>
      </c>
      <c r="T217" s="335"/>
      <c r="U217" s="335"/>
      <c r="V217" s="13">
        <f>'Opening Balances'!$V$11</f>
        <v>0</v>
      </c>
      <c r="W217" s="215">
        <f>V226</f>
        <v>1667</v>
      </c>
      <c r="X217" s="153">
        <f>W226</f>
        <v>1326</v>
      </c>
      <c r="Y217" s="153">
        <f>X226</f>
        <v>1627</v>
      </c>
      <c r="Z217" s="335"/>
      <c r="AA217" s="153">
        <f>W217</f>
        <v>1667</v>
      </c>
      <c r="AB217" s="153">
        <f t="shared" ref="AB217:BJ217" si="509">AA226</f>
        <v>1722</v>
      </c>
      <c r="AC217" s="153">
        <f t="shared" si="509"/>
        <v>1681</v>
      </c>
      <c r="AD217" s="153">
        <f t="shared" si="509"/>
        <v>1640</v>
      </c>
      <c r="AE217" s="153">
        <f t="shared" si="509"/>
        <v>1601</v>
      </c>
      <c r="AF217" s="153">
        <f t="shared" si="509"/>
        <v>1562</v>
      </c>
      <c r="AG217" s="153">
        <f t="shared" si="509"/>
        <v>1524</v>
      </c>
      <c r="AH217" s="153">
        <f t="shared" si="509"/>
        <v>1486</v>
      </c>
      <c r="AI217" s="153">
        <f t="shared" si="509"/>
        <v>1451</v>
      </c>
      <c r="AJ217" s="153">
        <f t="shared" si="509"/>
        <v>1416</v>
      </c>
      <c r="AK217" s="153">
        <f t="shared" si="509"/>
        <v>1384</v>
      </c>
      <c r="AL217" s="153">
        <f t="shared" si="509"/>
        <v>1361</v>
      </c>
      <c r="AM217" s="153">
        <f t="shared" si="509"/>
        <v>1326</v>
      </c>
      <c r="AN217" s="153">
        <f t="shared" si="509"/>
        <v>2079</v>
      </c>
      <c r="AO217" s="153">
        <f t="shared" si="509"/>
        <v>2034</v>
      </c>
      <c r="AP217" s="153">
        <f t="shared" si="509"/>
        <v>1989</v>
      </c>
      <c r="AQ217" s="153">
        <f t="shared" si="509"/>
        <v>1946</v>
      </c>
      <c r="AR217" s="153">
        <f t="shared" si="509"/>
        <v>1903</v>
      </c>
      <c r="AS217" s="153">
        <f t="shared" si="509"/>
        <v>1861</v>
      </c>
      <c r="AT217" s="153">
        <f t="shared" si="509"/>
        <v>1819</v>
      </c>
      <c r="AU217" s="153">
        <f t="shared" si="509"/>
        <v>1780</v>
      </c>
      <c r="AV217" s="153">
        <f t="shared" si="509"/>
        <v>1741</v>
      </c>
      <c r="AW217" s="153">
        <f t="shared" si="509"/>
        <v>1705</v>
      </c>
      <c r="AX217" s="153">
        <f t="shared" si="509"/>
        <v>1666</v>
      </c>
      <c r="AY217" s="153">
        <f t="shared" si="509"/>
        <v>1627</v>
      </c>
      <c r="AZ217" s="153">
        <f t="shared" si="509"/>
        <v>1578</v>
      </c>
      <c r="BA217" s="153">
        <f t="shared" si="509"/>
        <v>1533</v>
      </c>
      <c r="BB217" s="153">
        <f t="shared" si="509"/>
        <v>1488</v>
      </c>
      <c r="BC217" s="153">
        <f t="shared" si="509"/>
        <v>1445</v>
      </c>
      <c r="BD217" s="153">
        <f t="shared" si="509"/>
        <v>1402</v>
      </c>
      <c r="BE217" s="153">
        <f t="shared" si="509"/>
        <v>1360</v>
      </c>
      <c r="BF217" s="153">
        <f t="shared" si="509"/>
        <v>1318</v>
      </c>
      <c r="BG217" s="153">
        <f t="shared" si="509"/>
        <v>1279</v>
      </c>
      <c r="BH217" s="153">
        <f t="shared" si="509"/>
        <v>1240</v>
      </c>
      <c r="BI217" s="153">
        <f t="shared" si="509"/>
        <v>1204</v>
      </c>
      <c r="BJ217" s="153">
        <f t="shared" si="509"/>
        <v>1165</v>
      </c>
      <c r="BL217" s="152">
        <f>V217</f>
        <v>0</v>
      </c>
      <c r="BM217" s="152">
        <f>W217</f>
        <v>1667</v>
      </c>
      <c r="BN217" s="152">
        <f>X217</f>
        <v>1326</v>
      </c>
      <c r="BO217" s="152">
        <f>Y217</f>
        <v>1627</v>
      </c>
      <c r="BP217" s="153">
        <f t="shared" ref="BP217:BW217" si="510">BO226</f>
        <v>1126</v>
      </c>
      <c r="BQ217" s="153">
        <f t="shared" si="510"/>
        <v>1126</v>
      </c>
      <c r="BR217" s="215">
        <f t="shared" si="510"/>
        <v>1126</v>
      </c>
      <c r="BS217" s="153">
        <f t="shared" si="510"/>
        <v>1126</v>
      </c>
      <c r="BT217" s="153">
        <f t="shared" si="510"/>
        <v>1126</v>
      </c>
      <c r="BU217" s="153">
        <f t="shared" si="510"/>
        <v>1126</v>
      </c>
      <c r="BV217" s="153">
        <f t="shared" si="510"/>
        <v>1126</v>
      </c>
      <c r="BW217" s="153">
        <f t="shared" si="510"/>
        <v>1126</v>
      </c>
      <c r="BY217" s="12"/>
      <c r="CA217" s="12"/>
      <c r="CL217" s="42"/>
      <c r="CT217" s="42"/>
      <c r="CU217" s="67">
        <v>0</v>
      </c>
      <c r="CV217" s="67">
        <v>0</v>
      </c>
      <c r="EX217" s="13" t="str">
        <f t="shared" ref="EX217:EX226" si="511">IF($C217="","",CONCATENATE(D$216, " ",$D217))</f>
        <v>Equipment Opening Balance</v>
      </c>
    </row>
    <row r="218" spans="1:154" x14ac:dyDescent="0.25">
      <c r="A218" s="362" cm="1">
        <f t="array" aca="1" ref="A218" ca="1">HYPERLINK(CONCATENATE("#",CELL("address",IF(SUM($CA218:$CL218)=0,A218,INDEX($CA218:$CL218,MATCH(1,$CA218:$CL218,0))))),SUM($CA218:$CL218))</f>
        <v>0</v>
      </c>
      <c r="C218" s="340" t="s">
        <v>1211</v>
      </c>
      <c r="D218" s="39" t="s">
        <v>101</v>
      </c>
      <c r="E218" s="39"/>
      <c r="G218" s="46"/>
      <c r="H218" s="47" t="s">
        <v>92</v>
      </c>
      <c r="T218" s="335"/>
      <c r="U218" s="335"/>
      <c r="V218" s="153">
        <f>V$29</f>
        <v>0</v>
      </c>
      <c r="W218" s="215">
        <f>W$29</f>
        <v>112</v>
      </c>
      <c r="X218" s="153">
        <f>X$29</f>
        <v>798</v>
      </c>
      <c r="Y218" s="153">
        <f>Y$29</f>
        <v>0</v>
      </c>
      <c r="Z218" s="335"/>
      <c r="AA218" s="153">
        <f t="shared" ref="AA218:BJ218" si="512">AA$29</f>
        <v>100</v>
      </c>
      <c r="AB218" s="153">
        <f t="shared" si="512"/>
        <v>0</v>
      </c>
      <c r="AC218" s="153">
        <f t="shared" si="512"/>
        <v>0</v>
      </c>
      <c r="AD218" s="153">
        <f t="shared" si="512"/>
        <v>0</v>
      </c>
      <c r="AE218" s="153">
        <f t="shared" si="512"/>
        <v>0</v>
      </c>
      <c r="AF218" s="153">
        <f t="shared" si="512"/>
        <v>0</v>
      </c>
      <c r="AG218" s="153">
        <f t="shared" si="512"/>
        <v>0</v>
      </c>
      <c r="AH218" s="153">
        <f t="shared" si="512"/>
        <v>0</v>
      </c>
      <c r="AI218" s="153">
        <f t="shared" si="512"/>
        <v>0</v>
      </c>
      <c r="AJ218" s="153">
        <f t="shared" si="512"/>
        <v>0</v>
      </c>
      <c r="AK218" s="153">
        <f t="shared" si="512"/>
        <v>12</v>
      </c>
      <c r="AL218" s="153">
        <f t="shared" si="512"/>
        <v>0</v>
      </c>
      <c r="AM218" s="153">
        <f t="shared" si="512"/>
        <v>798</v>
      </c>
      <c r="AN218" s="153">
        <f t="shared" si="512"/>
        <v>0</v>
      </c>
      <c r="AO218" s="153">
        <f t="shared" si="512"/>
        <v>0</v>
      </c>
      <c r="AP218" s="153">
        <f t="shared" si="512"/>
        <v>0</v>
      </c>
      <c r="AQ218" s="153">
        <f t="shared" si="512"/>
        <v>0</v>
      </c>
      <c r="AR218" s="153">
        <f t="shared" si="512"/>
        <v>0</v>
      </c>
      <c r="AS218" s="153">
        <f t="shared" si="512"/>
        <v>0</v>
      </c>
      <c r="AT218" s="153">
        <f t="shared" si="512"/>
        <v>0</v>
      </c>
      <c r="AU218" s="153">
        <f t="shared" si="512"/>
        <v>0</v>
      </c>
      <c r="AV218" s="153">
        <f t="shared" si="512"/>
        <v>0</v>
      </c>
      <c r="AW218" s="153">
        <f t="shared" si="512"/>
        <v>0</v>
      </c>
      <c r="AX218" s="153">
        <f t="shared" si="512"/>
        <v>0</v>
      </c>
      <c r="AY218" s="153">
        <f t="shared" si="512"/>
        <v>0</v>
      </c>
      <c r="AZ218" s="153">
        <f t="shared" si="512"/>
        <v>0</v>
      </c>
      <c r="BA218" s="153">
        <f t="shared" si="512"/>
        <v>0</v>
      </c>
      <c r="BB218" s="153">
        <f t="shared" si="512"/>
        <v>0</v>
      </c>
      <c r="BC218" s="153">
        <f t="shared" si="512"/>
        <v>0</v>
      </c>
      <c r="BD218" s="153">
        <f t="shared" si="512"/>
        <v>0</v>
      </c>
      <c r="BE218" s="153">
        <f t="shared" si="512"/>
        <v>0</v>
      </c>
      <c r="BF218" s="153">
        <f t="shared" si="512"/>
        <v>0</v>
      </c>
      <c r="BG218" s="153">
        <f t="shared" si="512"/>
        <v>0</v>
      </c>
      <c r="BH218" s="153">
        <f t="shared" si="512"/>
        <v>0</v>
      </c>
      <c r="BI218" s="153">
        <f t="shared" si="512"/>
        <v>0</v>
      </c>
      <c r="BJ218" s="153">
        <f t="shared" si="512"/>
        <v>0</v>
      </c>
      <c r="BL218" s="153">
        <f t="shared" ref="BL218:BW218" si="513">BL$29</f>
        <v>0</v>
      </c>
      <c r="BM218" s="153">
        <f t="shared" si="513"/>
        <v>112</v>
      </c>
      <c r="BN218" s="153">
        <f t="shared" si="513"/>
        <v>798</v>
      </c>
      <c r="BO218" s="153">
        <f t="shared" si="513"/>
        <v>0</v>
      </c>
      <c r="BP218" s="153">
        <f t="shared" si="513"/>
        <v>0</v>
      </c>
      <c r="BQ218" s="153">
        <f t="shared" si="513"/>
        <v>0</v>
      </c>
      <c r="BR218" s="215">
        <f t="shared" si="513"/>
        <v>0</v>
      </c>
      <c r="BS218" s="153">
        <f t="shared" si="513"/>
        <v>0</v>
      </c>
      <c r="BT218" s="153">
        <f t="shared" si="513"/>
        <v>0</v>
      </c>
      <c r="BU218" s="153">
        <f t="shared" si="513"/>
        <v>0</v>
      </c>
      <c r="BV218" s="153">
        <f t="shared" si="513"/>
        <v>0</v>
      </c>
      <c r="BW218" s="153">
        <f t="shared" si="513"/>
        <v>0</v>
      </c>
      <c r="BY218" s="12"/>
      <c r="BZ218" s="363">
        <f>IF(MIN($V218:$BW218)&lt;0, 1, 0)</f>
        <v>0</v>
      </c>
      <c r="CA218" s="12"/>
      <c r="CI218" s="7">
        <f t="shared" ref="CI218:CI226" si="514">IF(SUM($CM218:$CO218)=0, 0, 1)</f>
        <v>0</v>
      </c>
      <c r="CJ218" s="7">
        <f t="shared" ref="CJ218:CJ226" si="515">IF(SUM($CP218:$CR218)=0, 0, 1)</f>
        <v>0</v>
      </c>
      <c r="CK218" s="7">
        <f t="shared" ref="CK218:CK226" si="516">IF($CS218=0, 0, 1)</f>
        <v>0</v>
      </c>
      <c r="CL218" s="42"/>
      <c r="CM218" s="352">
        <f t="shared" ref="CM218:CO225" si="517">ROUND(W218-SUMIFS($AA218:$BJ218, $AA$3:$BJ$3, W$3), rounding)</f>
        <v>0</v>
      </c>
      <c r="CN218" s="352">
        <f t="shared" si="517"/>
        <v>0</v>
      </c>
      <c r="CO218" s="352">
        <f t="shared" si="517"/>
        <v>0</v>
      </c>
      <c r="CP218" s="352">
        <f t="shared" ref="CP218:CP225" si="518">ROUND($BM218-SUMIFS($AA218:$BJ218, $AA$3:$BJ$3, $BM$3), rounding)</f>
        <v>0</v>
      </c>
      <c r="CQ218" s="352">
        <f t="shared" ref="CQ218:CQ225" si="519">ROUND($BN218-SUMIFS($AA218:$BJ218, $AA$3:$BJ$3, $BN$3), rounding)</f>
        <v>0</v>
      </c>
      <c r="CR218" s="352">
        <f t="shared" ref="CR218:CR225" si="520">ROUND($BO218-SUMIFS($AA218:$BJ218, $AA$3:$BJ$3, $BO$3), rounding)</f>
        <v>0</v>
      </c>
      <c r="CS218" s="352">
        <f t="shared" ref="CS218:CS226" si="521">ROUND($V218-$BL218, rounding)</f>
        <v>0</v>
      </c>
      <c r="CT218" s="42"/>
      <c r="CU218" s="67">
        <v>0</v>
      </c>
      <c r="CV218" s="67">
        <v>0</v>
      </c>
      <c r="EX218" s="13" t="str">
        <f t="shared" si="511"/>
        <v>Equipment Additions (incl. donations)</v>
      </c>
    </row>
    <row r="219" spans="1:154" x14ac:dyDescent="0.25">
      <c r="A219" s="362" cm="1">
        <f t="array" aca="1" ref="A219" ca="1">HYPERLINK(CONCATENATE("#",CELL("address",IF(SUM($CA219:$CL219)=0,A219,INDEX($CA219:$CL219,MATCH(1,$CA219:$CL219,0))))),SUM($CA219:$CL219))</f>
        <v>0</v>
      </c>
      <c r="C219" s="340" t="s">
        <v>1212</v>
      </c>
      <c r="D219" s="39" t="s">
        <v>385</v>
      </c>
      <c r="E219" s="39"/>
      <c r="G219" s="46"/>
      <c r="H219" s="47" t="s">
        <v>92</v>
      </c>
      <c r="T219" s="335"/>
      <c r="U219" s="335"/>
      <c r="V219" s="153">
        <f>V$69</f>
        <v>0</v>
      </c>
      <c r="W219" s="215">
        <f>W$69</f>
        <v>0</v>
      </c>
      <c r="X219" s="153">
        <f>X$69</f>
        <v>0</v>
      </c>
      <c r="Y219" s="153">
        <f>Y$69</f>
        <v>0</v>
      </c>
      <c r="Z219" s="335"/>
      <c r="AA219" s="153">
        <f t="shared" ref="AA219:BJ219" si="522">AA$69</f>
        <v>0</v>
      </c>
      <c r="AB219" s="153">
        <f t="shared" si="522"/>
        <v>0</v>
      </c>
      <c r="AC219" s="153">
        <f t="shared" si="522"/>
        <v>0</v>
      </c>
      <c r="AD219" s="153">
        <f t="shared" si="522"/>
        <v>0</v>
      </c>
      <c r="AE219" s="153">
        <f t="shared" si="522"/>
        <v>0</v>
      </c>
      <c r="AF219" s="153">
        <f t="shared" si="522"/>
        <v>0</v>
      </c>
      <c r="AG219" s="153">
        <f t="shared" si="522"/>
        <v>0</v>
      </c>
      <c r="AH219" s="153">
        <f t="shared" si="522"/>
        <v>0</v>
      </c>
      <c r="AI219" s="153">
        <f t="shared" si="522"/>
        <v>0</v>
      </c>
      <c r="AJ219" s="153">
        <f t="shared" si="522"/>
        <v>0</v>
      </c>
      <c r="AK219" s="153">
        <f t="shared" si="522"/>
        <v>0</v>
      </c>
      <c r="AL219" s="153">
        <f t="shared" si="522"/>
        <v>0</v>
      </c>
      <c r="AM219" s="153">
        <f t="shared" si="522"/>
        <v>0</v>
      </c>
      <c r="AN219" s="153">
        <f t="shared" si="522"/>
        <v>0</v>
      </c>
      <c r="AO219" s="153">
        <f t="shared" si="522"/>
        <v>0</v>
      </c>
      <c r="AP219" s="153">
        <f t="shared" si="522"/>
        <v>0</v>
      </c>
      <c r="AQ219" s="153">
        <f t="shared" si="522"/>
        <v>0</v>
      </c>
      <c r="AR219" s="153">
        <f t="shared" si="522"/>
        <v>0</v>
      </c>
      <c r="AS219" s="153">
        <f t="shared" si="522"/>
        <v>0</v>
      </c>
      <c r="AT219" s="153">
        <f t="shared" si="522"/>
        <v>0</v>
      </c>
      <c r="AU219" s="153">
        <f t="shared" si="522"/>
        <v>0</v>
      </c>
      <c r="AV219" s="153">
        <f t="shared" si="522"/>
        <v>0</v>
      </c>
      <c r="AW219" s="153">
        <f t="shared" si="522"/>
        <v>0</v>
      </c>
      <c r="AX219" s="153">
        <f t="shared" si="522"/>
        <v>0</v>
      </c>
      <c r="AY219" s="153">
        <f t="shared" si="522"/>
        <v>0</v>
      </c>
      <c r="AZ219" s="153">
        <f t="shared" si="522"/>
        <v>0</v>
      </c>
      <c r="BA219" s="153">
        <f t="shared" si="522"/>
        <v>0</v>
      </c>
      <c r="BB219" s="153">
        <f t="shared" si="522"/>
        <v>0</v>
      </c>
      <c r="BC219" s="153">
        <f t="shared" si="522"/>
        <v>0</v>
      </c>
      <c r="BD219" s="153">
        <f t="shared" si="522"/>
        <v>0</v>
      </c>
      <c r="BE219" s="153">
        <f t="shared" si="522"/>
        <v>0</v>
      </c>
      <c r="BF219" s="153">
        <f t="shared" si="522"/>
        <v>0</v>
      </c>
      <c r="BG219" s="153">
        <f t="shared" si="522"/>
        <v>0</v>
      </c>
      <c r="BH219" s="153">
        <f t="shared" si="522"/>
        <v>0</v>
      </c>
      <c r="BI219" s="153">
        <f t="shared" si="522"/>
        <v>0</v>
      </c>
      <c r="BJ219" s="153">
        <f t="shared" si="522"/>
        <v>0</v>
      </c>
      <c r="BL219" s="153">
        <f t="shared" ref="BL219:BW219" si="523">BL$69</f>
        <v>0</v>
      </c>
      <c r="BM219" s="153">
        <f t="shared" si="523"/>
        <v>0</v>
      </c>
      <c r="BN219" s="153">
        <f t="shared" si="523"/>
        <v>0</v>
      </c>
      <c r="BO219" s="153">
        <f t="shared" si="523"/>
        <v>0</v>
      </c>
      <c r="BP219" s="153">
        <f t="shared" si="523"/>
        <v>0</v>
      </c>
      <c r="BQ219" s="153">
        <f t="shared" si="523"/>
        <v>0</v>
      </c>
      <c r="BR219" s="215">
        <f t="shared" si="523"/>
        <v>0</v>
      </c>
      <c r="BS219" s="153">
        <f t="shared" si="523"/>
        <v>0</v>
      </c>
      <c r="BT219" s="153">
        <f t="shared" si="523"/>
        <v>0</v>
      </c>
      <c r="BU219" s="153">
        <f t="shared" si="523"/>
        <v>0</v>
      </c>
      <c r="BV219" s="153">
        <f t="shared" si="523"/>
        <v>0</v>
      </c>
      <c r="BW219" s="153">
        <f t="shared" si="523"/>
        <v>0</v>
      </c>
      <c r="BY219" s="12"/>
      <c r="BZ219" s="363">
        <f>IF(MIN($V219:$BW219)&lt;0, 1, 0)</f>
        <v>0</v>
      </c>
      <c r="CA219" s="12"/>
      <c r="CI219" s="7">
        <f t="shared" si="514"/>
        <v>0</v>
      </c>
      <c r="CJ219" s="7">
        <f t="shared" si="515"/>
        <v>0</v>
      </c>
      <c r="CK219" s="7">
        <f t="shared" si="516"/>
        <v>0</v>
      </c>
      <c r="CL219" s="42"/>
      <c r="CM219" s="352">
        <f t="shared" si="517"/>
        <v>0</v>
      </c>
      <c r="CN219" s="352">
        <f t="shared" si="517"/>
        <v>0</v>
      </c>
      <c r="CO219" s="352">
        <f t="shared" si="517"/>
        <v>0</v>
      </c>
      <c r="CP219" s="352">
        <f t="shared" si="518"/>
        <v>0</v>
      </c>
      <c r="CQ219" s="352">
        <f t="shared" si="519"/>
        <v>0</v>
      </c>
      <c r="CR219" s="352">
        <f t="shared" si="520"/>
        <v>0</v>
      </c>
      <c r="CS219" s="352">
        <f t="shared" si="521"/>
        <v>0</v>
      </c>
      <c r="CT219" s="42"/>
      <c r="CU219" s="67">
        <v>0</v>
      </c>
      <c r="CV219" s="67">
        <v>0</v>
      </c>
      <c r="EX219" s="13" t="str">
        <f t="shared" si="511"/>
        <v>Equipment Movement from Assets under Construction</v>
      </c>
    </row>
    <row r="220" spans="1:154" x14ac:dyDescent="0.25">
      <c r="A220" s="362" cm="1">
        <f t="array" aca="1" ref="A220" ca="1">HYPERLINK(CONCATENATE("#",CELL("address",IF(SUM($CA220:$CL220)=0,A220,INDEX($CA220:$CL220,MATCH(1,$CA220:$CL220,0))))),SUM($CA220:$CL220))</f>
        <v>0</v>
      </c>
      <c r="C220" s="340" t="s">
        <v>1213</v>
      </c>
      <c r="D220" s="39" t="s">
        <v>94</v>
      </c>
      <c r="E220" s="39"/>
      <c r="G220" s="46"/>
      <c r="H220" s="47" t="s">
        <v>92</v>
      </c>
      <c r="T220" s="335"/>
      <c r="U220" s="335"/>
      <c r="V220" s="153">
        <f>V$94</f>
        <v>0</v>
      </c>
      <c r="W220" s="215">
        <f>W$94</f>
        <v>0</v>
      </c>
      <c r="X220" s="215">
        <f>X$94</f>
        <v>0</v>
      </c>
      <c r="Y220" s="153">
        <f>Y$94</f>
        <v>0</v>
      </c>
      <c r="Z220" s="335"/>
      <c r="AA220" s="153">
        <f t="shared" ref="AA220:BJ220" si="524">AA$94</f>
        <v>0</v>
      </c>
      <c r="AB220" s="153">
        <f t="shared" si="524"/>
        <v>0</v>
      </c>
      <c r="AC220" s="153">
        <f t="shared" si="524"/>
        <v>0</v>
      </c>
      <c r="AD220" s="153">
        <f t="shared" si="524"/>
        <v>0</v>
      </c>
      <c r="AE220" s="153">
        <f t="shared" si="524"/>
        <v>0</v>
      </c>
      <c r="AF220" s="153">
        <f t="shared" si="524"/>
        <v>0</v>
      </c>
      <c r="AG220" s="153">
        <f t="shared" si="524"/>
        <v>0</v>
      </c>
      <c r="AH220" s="153">
        <f t="shared" si="524"/>
        <v>0</v>
      </c>
      <c r="AI220" s="153">
        <f t="shared" si="524"/>
        <v>0</v>
      </c>
      <c r="AJ220" s="153">
        <f t="shared" si="524"/>
        <v>0</v>
      </c>
      <c r="AK220" s="153">
        <f t="shared" si="524"/>
        <v>0</v>
      </c>
      <c r="AL220" s="153">
        <f t="shared" si="524"/>
        <v>0</v>
      </c>
      <c r="AM220" s="153">
        <f t="shared" si="524"/>
        <v>0</v>
      </c>
      <c r="AN220" s="153">
        <f t="shared" si="524"/>
        <v>0</v>
      </c>
      <c r="AO220" s="153">
        <f t="shared" si="524"/>
        <v>0</v>
      </c>
      <c r="AP220" s="153">
        <f t="shared" si="524"/>
        <v>0</v>
      </c>
      <c r="AQ220" s="153">
        <f t="shared" si="524"/>
        <v>0</v>
      </c>
      <c r="AR220" s="153">
        <f t="shared" si="524"/>
        <v>0</v>
      </c>
      <c r="AS220" s="153">
        <f t="shared" si="524"/>
        <v>0</v>
      </c>
      <c r="AT220" s="153">
        <f t="shared" si="524"/>
        <v>0</v>
      </c>
      <c r="AU220" s="153">
        <f t="shared" si="524"/>
        <v>0</v>
      </c>
      <c r="AV220" s="153">
        <f t="shared" si="524"/>
        <v>0</v>
      </c>
      <c r="AW220" s="153">
        <f t="shared" si="524"/>
        <v>0</v>
      </c>
      <c r="AX220" s="153">
        <f t="shared" si="524"/>
        <v>0</v>
      </c>
      <c r="AY220" s="153">
        <f t="shared" si="524"/>
        <v>0</v>
      </c>
      <c r="AZ220" s="153">
        <f t="shared" si="524"/>
        <v>0</v>
      </c>
      <c r="BA220" s="153">
        <f t="shared" si="524"/>
        <v>0</v>
      </c>
      <c r="BB220" s="153">
        <f t="shared" si="524"/>
        <v>0</v>
      </c>
      <c r="BC220" s="153">
        <f t="shared" si="524"/>
        <v>0</v>
      </c>
      <c r="BD220" s="153">
        <f t="shared" si="524"/>
        <v>0</v>
      </c>
      <c r="BE220" s="153">
        <f t="shared" si="524"/>
        <v>0</v>
      </c>
      <c r="BF220" s="153">
        <f t="shared" si="524"/>
        <v>0</v>
      </c>
      <c r="BG220" s="153">
        <f t="shared" si="524"/>
        <v>0</v>
      </c>
      <c r="BH220" s="153">
        <f t="shared" si="524"/>
        <v>0</v>
      </c>
      <c r="BI220" s="153">
        <f t="shared" si="524"/>
        <v>0</v>
      </c>
      <c r="BJ220" s="153">
        <f t="shared" si="524"/>
        <v>0</v>
      </c>
      <c r="BL220" s="153">
        <f t="shared" ref="BL220:BW220" si="525">BL$94</f>
        <v>0</v>
      </c>
      <c r="BM220" s="153">
        <f t="shared" si="525"/>
        <v>0</v>
      </c>
      <c r="BN220" s="153">
        <f t="shared" si="525"/>
        <v>0</v>
      </c>
      <c r="BO220" s="153">
        <f t="shared" si="525"/>
        <v>0</v>
      </c>
      <c r="BP220" s="153">
        <f t="shared" si="525"/>
        <v>0</v>
      </c>
      <c r="BQ220" s="153">
        <f t="shared" si="525"/>
        <v>0</v>
      </c>
      <c r="BR220" s="215">
        <f t="shared" si="525"/>
        <v>0</v>
      </c>
      <c r="BS220" s="153">
        <f t="shared" si="525"/>
        <v>0</v>
      </c>
      <c r="BT220" s="153">
        <f t="shared" si="525"/>
        <v>0</v>
      </c>
      <c r="BU220" s="153">
        <f t="shared" si="525"/>
        <v>0</v>
      </c>
      <c r="BV220" s="153">
        <f t="shared" si="525"/>
        <v>0</v>
      </c>
      <c r="BW220" s="153">
        <f t="shared" si="525"/>
        <v>0</v>
      </c>
      <c r="BY220" s="12"/>
      <c r="CA220" s="12"/>
      <c r="CI220" s="7">
        <f t="shared" si="514"/>
        <v>0</v>
      </c>
      <c r="CJ220" s="7">
        <f t="shared" si="515"/>
        <v>0</v>
      </c>
      <c r="CK220" s="7">
        <f t="shared" si="516"/>
        <v>0</v>
      </c>
      <c r="CL220" s="42"/>
      <c r="CM220" s="352">
        <f t="shared" si="517"/>
        <v>0</v>
      </c>
      <c r="CN220" s="352">
        <f t="shared" si="517"/>
        <v>0</v>
      </c>
      <c r="CO220" s="352">
        <f t="shared" si="517"/>
        <v>0</v>
      </c>
      <c r="CP220" s="352">
        <f t="shared" si="518"/>
        <v>0</v>
      </c>
      <c r="CQ220" s="352">
        <f t="shared" si="519"/>
        <v>0</v>
      </c>
      <c r="CR220" s="352">
        <f t="shared" si="520"/>
        <v>0</v>
      </c>
      <c r="CS220" s="352">
        <f t="shared" si="521"/>
        <v>0</v>
      </c>
      <c r="CT220" s="42"/>
      <c r="CU220" s="67">
        <v>0</v>
      </c>
      <c r="CV220" s="67">
        <v>0</v>
      </c>
      <c r="EX220" s="13" t="str">
        <f t="shared" si="511"/>
        <v>Equipment Surplus/Loss on Revaluation</v>
      </c>
    </row>
    <row r="221" spans="1:154" x14ac:dyDescent="0.25">
      <c r="A221" s="362" cm="1">
        <f t="array" aca="1" ref="A221" ca="1">HYPERLINK(CONCATENATE("#",CELL("address",IF(SUM($CA221:$CL221)=0,A221,INDEX($CA221:$CL221,MATCH(1,$CA221:$CL221,0))))),SUM($CA221:$CL221))</f>
        <v>0</v>
      </c>
      <c r="C221" s="340" t="s">
        <v>1214</v>
      </c>
      <c r="D221" s="39" t="s">
        <v>95</v>
      </c>
      <c r="E221" s="39"/>
      <c r="G221" s="46"/>
      <c r="H221" s="47" t="s">
        <v>98</v>
      </c>
      <c r="T221" s="335"/>
      <c r="U221" s="335"/>
      <c r="V221" s="10">
        <f>V$120</f>
        <v>0</v>
      </c>
      <c r="W221" s="201">
        <f>W$120</f>
        <v>0</v>
      </c>
      <c r="X221" s="10">
        <f>X$120</f>
        <v>0</v>
      </c>
      <c r="Y221" s="10">
        <f>Y$120</f>
        <v>0</v>
      </c>
      <c r="Z221" s="335"/>
      <c r="AA221" s="10">
        <f t="shared" ref="AA221:BJ221" si="526">AA$120</f>
        <v>0</v>
      </c>
      <c r="AB221" s="10">
        <f t="shared" si="526"/>
        <v>0</v>
      </c>
      <c r="AC221" s="10">
        <f t="shared" si="526"/>
        <v>0</v>
      </c>
      <c r="AD221" s="10">
        <f t="shared" si="526"/>
        <v>0</v>
      </c>
      <c r="AE221" s="10">
        <f t="shared" si="526"/>
        <v>0</v>
      </c>
      <c r="AF221" s="10">
        <f t="shared" si="526"/>
        <v>0</v>
      </c>
      <c r="AG221" s="10">
        <f t="shared" si="526"/>
        <v>0</v>
      </c>
      <c r="AH221" s="10">
        <f t="shared" si="526"/>
        <v>0</v>
      </c>
      <c r="AI221" s="10">
        <f t="shared" si="526"/>
        <v>0</v>
      </c>
      <c r="AJ221" s="10">
        <f t="shared" si="526"/>
        <v>0</v>
      </c>
      <c r="AK221" s="10">
        <f t="shared" si="526"/>
        <v>0</v>
      </c>
      <c r="AL221" s="10">
        <f t="shared" si="526"/>
        <v>0</v>
      </c>
      <c r="AM221" s="10">
        <f t="shared" si="526"/>
        <v>0</v>
      </c>
      <c r="AN221" s="10">
        <f t="shared" si="526"/>
        <v>0</v>
      </c>
      <c r="AO221" s="10">
        <f t="shared" si="526"/>
        <v>0</v>
      </c>
      <c r="AP221" s="10">
        <f t="shared" si="526"/>
        <v>0</v>
      </c>
      <c r="AQ221" s="10">
        <f t="shared" si="526"/>
        <v>0</v>
      </c>
      <c r="AR221" s="10">
        <f t="shared" si="526"/>
        <v>0</v>
      </c>
      <c r="AS221" s="10">
        <f t="shared" si="526"/>
        <v>0</v>
      </c>
      <c r="AT221" s="10">
        <f t="shared" si="526"/>
        <v>0</v>
      </c>
      <c r="AU221" s="10">
        <f t="shared" si="526"/>
        <v>0</v>
      </c>
      <c r="AV221" s="10">
        <f t="shared" si="526"/>
        <v>0</v>
      </c>
      <c r="AW221" s="10">
        <f t="shared" si="526"/>
        <v>0</v>
      </c>
      <c r="AX221" s="10">
        <f t="shared" si="526"/>
        <v>0</v>
      </c>
      <c r="AY221" s="10">
        <f t="shared" si="526"/>
        <v>0</v>
      </c>
      <c r="AZ221" s="10">
        <f t="shared" si="526"/>
        <v>0</v>
      </c>
      <c r="BA221" s="10">
        <f t="shared" si="526"/>
        <v>0</v>
      </c>
      <c r="BB221" s="10">
        <f t="shared" si="526"/>
        <v>0</v>
      </c>
      <c r="BC221" s="10">
        <f t="shared" si="526"/>
        <v>0</v>
      </c>
      <c r="BD221" s="10">
        <f t="shared" si="526"/>
        <v>0</v>
      </c>
      <c r="BE221" s="10">
        <f t="shared" si="526"/>
        <v>0</v>
      </c>
      <c r="BF221" s="10">
        <f t="shared" si="526"/>
        <v>0</v>
      </c>
      <c r="BG221" s="10">
        <f t="shared" si="526"/>
        <v>0</v>
      </c>
      <c r="BH221" s="10">
        <f t="shared" si="526"/>
        <v>0</v>
      </c>
      <c r="BI221" s="10">
        <f t="shared" si="526"/>
        <v>0</v>
      </c>
      <c r="BJ221" s="10">
        <f t="shared" si="526"/>
        <v>0</v>
      </c>
      <c r="BL221" s="10">
        <f t="shared" ref="BL221:BW221" si="527">BL$120</f>
        <v>0</v>
      </c>
      <c r="BM221" s="10">
        <f t="shared" si="527"/>
        <v>0</v>
      </c>
      <c r="BN221" s="10">
        <f t="shared" si="527"/>
        <v>0</v>
      </c>
      <c r="BO221" s="10">
        <f t="shared" si="527"/>
        <v>0</v>
      </c>
      <c r="BP221" s="10">
        <f t="shared" si="527"/>
        <v>0</v>
      </c>
      <c r="BQ221" s="10">
        <f t="shared" si="527"/>
        <v>0</v>
      </c>
      <c r="BR221" s="201">
        <f t="shared" si="527"/>
        <v>0</v>
      </c>
      <c r="BS221" s="10">
        <f t="shared" si="527"/>
        <v>0</v>
      </c>
      <c r="BT221" s="10">
        <f t="shared" si="527"/>
        <v>0</v>
      </c>
      <c r="BU221" s="10">
        <f t="shared" si="527"/>
        <v>0</v>
      </c>
      <c r="BV221" s="10">
        <f t="shared" si="527"/>
        <v>0</v>
      </c>
      <c r="BW221" s="10">
        <f t="shared" si="527"/>
        <v>0</v>
      </c>
      <c r="BY221" s="12"/>
      <c r="BZ221" s="363">
        <f>IF(MAX($V221:$BW221)&gt;0, 1, 0)</f>
        <v>0</v>
      </c>
      <c r="CA221" s="12"/>
      <c r="CI221" s="7">
        <f t="shared" si="514"/>
        <v>0</v>
      </c>
      <c r="CJ221" s="7">
        <f t="shared" si="515"/>
        <v>0</v>
      </c>
      <c r="CK221" s="7">
        <f t="shared" si="516"/>
        <v>0</v>
      </c>
      <c r="CL221" s="42"/>
      <c r="CM221" s="352">
        <f t="shared" si="517"/>
        <v>0</v>
      </c>
      <c r="CN221" s="352">
        <f t="shared" si="517"/>
        <v>0</v>
      </c>
      <c r="CO221" s="352">
        <f t="shared" si="517"/>
        <v>0</v>
      </c>
      <c r="CP221" s="352">
        <f t="shared" si="518"/>
        <v>0</v>
      </c>
      <c r="CQ221" s="352">
        <f t="shared" si="519"/>
        <v>0</v>
      </c>
      <c r="CR221" s="352">
        <f t="shared" si="520"/>
        <v>0</v>
      </c>
      <c r="CS221" s="352">
        <f t="shared" si="521"/>
        <v>0</v>
      </c>
      <c r="CT221" s="42"/>
      <c r="CU221" s="67">
        <v>0</v>
      </c>
      <c r="CV221" s="67">
        <v>0</v>
      </c>
      <c r="EX221" s="13" t="str">
        <f t="shared" si="511"/>
        <v>Equipment Moved to Assets Held for Sale</v>
      </c>
    </row>
    <row r="222" spans="1:154" s="5" customFormat="1" x14ac:dyDescent="0.25">
      <c r="A222" s="362" cm="1">
        <f t="array" aca="1" ref="A222" ca="1">HYPERLINK(CONCATENATE("#",CELL("address",IF(SUM($CA222:$CL222)=0,A222,INDEX($CA222:$CL222,MATCH(1,$CA222:$CL222,0))))),SUM($CA222:$CL222))</f>
        <v>0</v>
      </c>
      <c r="B222" s="67"/>
      <c r="C222" s="340" t="s">
        <v>1215</v>
      </c>
      <c r="D222" s="39" t="s">
        <v>121</v>
      </c>
      <c r="E222" s="39"/>
      <c r="F222" s="67"/>
      <c r="G222" s="46"/>
      <c r="H222" s="47" t="s">
        <v>98</v>
      </c>
      <c r="I222" s="67"/>
      <c r="J222" s="67"/>
      <c r="K222" s="67"/>
      <c r="L222" s="67"/>
      <c r="M222" s="67"/>
      <c r="N222" s="67"/>
      <c r="O222" s="67"/>
      <c r="P222" s="67"/>
      <c r="Q222" s="67"/>
      <c r="R222" s="67"/>
      <c r="S222" s="319"/>
      <c r="T222" s="335"/>
      <c r="U222" s="335"/>
      <c r="V222" s="10">
        <f>V$170</f>
        <v>0</v>
      </c>
      <c r="W222" s="10">
        <f t="shared" ref="W222:BW222" si="528">W$170</f>
        <v>0</v>
      </c>
      <c r="X222" s="10">
        <f t="shared" si="528"/>
        <v>0</v>
      </c>
      <c r="Y222" s="10">
        <f t="shared" si="528"/>
        <v>0</v>
      </c>
      <c r="Z222" s="335"/>
      <c r="AA222" s="10">
        <f t="shared" si="528"/>
        <v>0</v>
      </c>
      <c r="AB222" s="10">
        <f t="shared" si="528"/>
        <v>0</v>
      </c>
      <c r="AC222" s="10">
        <f t="shared" si="528"/>
        <v>0</v>
      </c>
      <c r="AD222" s="10">
        <f>AD$170</f>
        <v>0</v>
      </c>
      <c r="AE222" s="10">
        <f t="shared" si="528"/>
        <v>0</v>
      </c>
      <c r="AF222" s="10">
        <f t="shared" si="528"/>
        <v>0</v>
      </c>
      <c r="AG222" s="10">
        <f t="shared" si="528"/>
        <v>0</v>
      </c>
      <c r="AH222" s="10">
        <f t="shared" si="528"/>
        <v>0</v>
      </c>
      <c r="AI222" s="10">
        <f t="shared" si="528"/>
        <v>0</v>
      </c>
      <c r="AJ222" s="10">
        <f t="shared" si="528"/>
        <v>0</v>
      </c>
      <c r="AK222" s="10">
        <f t="shared" si="528"/>
        <v>0</v>
      </c>
      <c r="AL222" s="10">
        <f t="shared" si="528"/>
        <v>0</v>
      </c>
      <c r="AM222" s="10">
        <f t="shared" si="528"/>
        <v>0</v>
      </c>
      <c r="AN222" s="10">
        <f t="shared" si="528"/>
        <v>0</v>
      </c>
      <c r="AO222" s="10">
        <f t="shared" si="528"/>
        <v>0</v>
      </c>
      <c r="AP222" s="10">
        <f t="shared" si="528"/>
        <v>0</v>
      </c>
      <c r="AQ222" s="10">
        <f t="shared" si="528"/>
        <v>0</v>
      </c>
      <c r="AR222" s="10">
        <f t="shared" si="528"/>
        <v>0</v>
      </c>
      <c r="AS222" s="10">
        <f t="shared" si="528"/>
        <v>0</v>
      </c>
      <c r="AT222" s="10">
        <f t="shared" si="528"/>
        <v>0</v>
      </c>
      <c r="AU222" s="10">
        <f t="shared" si="528"/>
        <v>0</v>
      </c>
      <c r="AV222" s="10">
        <f t="shared" si="528"/>
        <v>0</v>
      </c>
      <c r="AW222" s="10">
        <f t="shared" si="528"/>
        <v>0</v>
      </c>
      <c r="AX222" s="10">
        <f t="shared" si="528"/>
        <v>0</v>
      </c>
      <c r="AY222" s="10">
        <f t="shared" si="528"/>
        <v>0</v>
      </c>
      <c r="AZ222" s="10">
        <f t="shared" si="528"/>
        <v>0</v>
      </c>
      <c r="BA222" s="10">
        <f t="shared" si="528"/>
        <v>0</v>
      </c>
      <c r="BB222" s="10">
        <f t="shared" si="528"/>
        <v>0</v>
      </c>
      <c r="BC222" s="10">
        <f t="shared" si="528"/>
        <v>0</v>
      </c>
      <c r="BD222" s="10">
        <f t="shared" si="528"/>
        <v>0</v>
      </c>
      <c r="BE222" s="10">
        <f t="shared" si="528"/>
        <v>0</v>
      </c>
      <c r="BF222" s="10">
        <f t="shared" si="528"/>
        <v>0</v>
      </c>
      <c r="BG222" s="10">
        <f t="shared" si="528"/>
        <v>0</v>
      </c>
      <c r="BH222" s="10">
        <f t="shared" si="528"/>
        <v>0</v>
      </c>
      <c r="BI222" s="10">
        <f t="shared" si="528"/>
        <v>0</v>
      </c>
      <c r="BJ222" s="10">
        <f t="shared" si="528"/>
        <v>0</v>
      </c>
      <c r="BK222" s="319"/>
      <c r="BL222" s="10">
        <f t="shared" si="528"/>
        <v>0</v>
      </c>
      <c r="BM222" s="10">
        <f t="shared" si="528"/>
        <v>0</v>
      </c>
      <c r="BN222" s="10">
        <f t="shared" si="528"/>
        <v>0</v>
      </c>
      <c r="BO222" s="10">
        <f t="shared" si="528"/>
        <v>0</v>
      </c>
      <c r="BP222" s="10">
        <f t="shared" si="528"/>
        <v>0</v>
      </c>
      <c r="BQ222" s="10">
        <f t="shared" si="528"/>
        <v>0</v>
      </c>
      <c r="BR222" s="10">
        <f t="shared" si="528"/>
        <v>0</v>
      </c>
      <c r="BS222" s="10">
        <f t="shared" si="528"/>
        <v>0</v>
      </c>
      <c r="BT222" s="10">
        <f t="shared" si="528"/>
        <v>0</v>
      </c>
      <c r="BU222" s="10">
        <f t="shared" si="528"/>
        <v>0</v>
      </c>
      <c r="BV222" s="10">
        <f t="shared" si="528"/>
        <v>0</v>
      </c>
      <c r="BW222" s="10">
        <f t="shared" si="528"/>
        <v>0</v>
      </c>
      <c r="BX222" s="67"/>
      <c r="BY222" s="12"/>
      <c r="BZ222" s="363">
        <f>IF(MAX($V222:$BW222)&gt;0, 1, 0)</f>
        <v>0</v>
      </c>
      <c r="CA222" s="12"/>
      <c r="CB222" s="67"/>
      <c r="CC222" s="67"/>
      <c r="CD222" s="67"/>
      <c r="CE222" s="335"/>
      <c r="CF222" s="67"/>
      <c r="CG222" s="335"/>
      <c r="CH222" s="67"/>
      <c r="CI222" s="7">
        <f t="shared" si="514"/>
        <v>0</v>
      </c>
      <c r="CJ222" s="7">
        <f t="shared" si="515"/>
        <v>0</v>
      </c>
      <c r="CK222" s="7">
        <f t="shared" si="516"/>
        <v>0</v>
      </c>
      <c r="CL222" s="42"/>
      <c r="CM222" s="352">
        <f t="shared" si="517"/>
        <v>0</v>
      </c>
      <c r="CN222" s="352">
        <f t="shared" si="517"/>
        <v>0</v>
      </c>
      <c r="CO222" s="352">
        <f t="shared" si="517"/>
        <v>0</v>
      </c>
      <c r="CP222" s="352">
        <f t="shared" si="518"/>
        <v>0</v>
      </c>
      <c r="CQ222" s="352">
        <f t="shared" si="519"/>
        <v>0</v>
      </c>
      <c r="CR222" s="352">
        <f t="shared" si="520"/>
        <v>0</v>
      </c>
      <c r="CS222" s="352">
        <f t="shared" si="521"/>
        <v>0</v>
      </c>
      <c r="CT222" s="42"/>
      <c r="CU222" s="5">
        <v>0</v>
      </c>
      <c r="CV222" s="5">
        <v>0</v>
      </c>
      <c r="EX222" s="13" t="str">
        <f t="shared" si="511"/>
        <v>Equipment Disposals</v>
      </c>
    </row>
    <row r="223" spans="1:154" x14ac:dyDescent="0.25">
      <c r="A223" s="362" cm="1">
        <f t="array" aca="1" ref="A223" ca="1">HYPERLINK(CONCATENATE("#",CELL("address",IF(SUM($CA223:$CL223)=0,A223,INDEX($CA223:$CL223,MATCH(1,$CA223:$CL223,0))))),SUM($CA223:$CL223))</f>
        <v>0</v>
      </c>
      <c r="B223" s="25"/>
      <c r="C223" s="340" t="s">
        <v>1216</v>
      </c>
      <c r="D223" s="151" t="s">
        <v>96</v>
      </c>
      <c r="E223" s="151"/>
      <c r="F223" s="335"/>
      <c r="G223" s="46"/>
      <c r="H223" s="47" t="s">
        <v>98</v>
      </c>
      <c r="S223" s="335"/>
      <c r="T223" s="335"/>
      <c r="U223" s="335"/>
      <c r="V223" s="210"/>
      <c r="W223" s="215">
        <f t="shared" ref="W223:Y224" si="529" xml:space="preserve"> SUMIFS($AA223:$BJ223, $AA$3:$BJ$3, W$3)</f>
        <v>-453</v>
      </c>
      <c r="X223" s="215">
        <f t="shared" si="529"/>
        <v>-497</v>
      </c>
      <c r="Y223" s="215">
        <f t="shared" si="529"/>
        <v>-501</v>
      </c>
      <c r="Z223" s="335"/>
      <c r="AA223" s="147">
        <v>-45</v>
      </c>
      <c r="AB223" s="147">
        <v>-41</v>
      </c>
      <c r="AC223" s="147">
        <v>-41</v>
      </c>
      <c r="AD223" s="147">
        <v>-39</v>
      </c>
      <c r="AE223" s="147">
        <v>-39</v>
      </c>
      <c r="AF223" s="147">
        <v>-38</v>
      </c>
      <c r="AG223" s="147">
        <v>-38</v>
      </c>
      <c r="AH223" s="147">
        <v>-35</v>
      </c>
      <c r="AI223" s="147">
        <v>-35</v>
      </c>
      <c r="AJ223" s="147">
        <v>-32</v>
      </c>
      <c r="AK223" s="147">
        <v>-35</v>
      </c>
      <c r="AL223" s="147">
        <v>-35</v>
      </c>
      <c r="AM223" s="147">
        <v>-45</v>
      </c>
      <c r="AN223" s="147">
        <f>-41+-4</f>
        <v>-45</v>
      </c>
      <c r="AO223" s="147">
        <f>-41+-4</f>
        <v>-45</v>
      </c>
      <c r="AP223" s="147">
        <f>-39+-4</f>
        <v>-43</v>
      </c>
      <c r="AQ223" s="147">
        <f>-39+-4</f>
        <v>-43</v>
      </c>
      <c r="AR223" s="147">
        <f>-38+-4</f>
        <v>-42</v>
      </c>
      <c r="AS223" s="147">
        <f>-38+-4</f>
        <v>-42</v>
      </c>
      <c r="AT223" s="147">
        <f>-35+-4</f>
        <v>-39</v>
      </c>
      <c r="AU223" s="147">
        <f>-35+-4</f>
        <v>-39</v>
      </c>
      <c r="AV223" s="147">
        <f>-32+-4</f>
        <v>-36</v>
      </c>
      <c r="AW223" s="147">
        <f>-35+-4</f>
        <v>-39</v>
      </c>
      <c r="AX223" s="147">
        <f>-35+-4</f>
        <v>-39</v>
      </c>
      <c r="AY223" s="147">
        <v>-49</v>
      </c>
      <c r="AZ223" s="147">
        <v>-45</v>
      </c>
      <c r="BA223" s="147">
        <v>-45</v>
      </c>
      <c r="BB223" s="147">
        <v>-43</v>
      </c>
      <c r="BC223" s="147">
        <v>-43</v>
      </c>
      <c r="BD223" s="147">
        <v>-42</v>
      </c>
      <c r="BE223" s="147">
        <v>-42</v>
      </c>
      <c r="BF223" s="147">
        <v>-39</v>
      </c>
      <c r="BG223" s="147">
        <v>-39</v>
      </c>
      <c r="BH223" s="147">
        <v>-36</v>
      </c>
      <c r="BI223" s="147">
        <v>-39</v>
      </c>
      <c r="BJ223" s="147">
        <v>-39</v>
      </c>
      <c r="BL223" s="211">
        <f t="shared" ref="BL223:BO224" si="530">V223</f>
        <v>0</v>
      </c>
      <c r="BM223" s="13">
        <f t="shared" si="530"/>
        <v>-453</v>
      </c>
      <c r="BN223" s="13">
        <f t="shared" si="530"/>
        <v>-497</v>
      </c>
      <c r="BO223" s="13">
        <f t="shared" si="530"/>
        <v>-501</v>
      </c>
      <c r="BP223" s="141"/>
      <c r="BQ223" s="141"/>
      <c r="BR223" s="141"/>
      <c r="BS223" s="141"/>
      <c r="BT223" s="141"/>
      <c r="BU223" s="141"/>
      <c r="BV223" s="141"/>
      <c r="BW223" s="141"/>
      <c r="BY223" s="195"/>
      <c r="BZ223" s="363">
        <f>IF(MAX($V223:$BW223)&gt;0, 1, 0)</f>
        <v>0</v>
      </c>
      <c r="CA223" s="195"/>
      <c r="CB223" s="93"/>
      <c r="CC223" s="93"/>
      <c r="CD223" s="93"/>
      <c r="CF223" s="93"/>
      <c r="CI223" s="7">
        <f t="shared" si="514"/>
        <v>0</v>
      </c>
      <c r="CJ223" s="7">
        <f t="shared" si="515"/>
        <v>0</v>
      </c>
      <c r="CK223" s="7">
        <f t="shared" si="516"/>
        <v>0</v>
      </c>
      <c r="CL223" s="42"/>
      <c r="CM223" s="352">
        <f t="shared" si="517"/>
        <v>0</v>
      </c>
      <c r="CN223" s="352">
        <f t="shared" si="517"/>
        <v>0</v>
      </c>
      <c r="CO223" s="352">
        <f t="shared" si="517"/>
        <v>0</v>
      </c>
      <c r="CP223" s="352">
        <f t="shared" si="518"/>
        <v>0</v>
      </c>
      <c r="CQ223" s="352">
        <f t="shared" si="519"/>
        <v>0</v>
      </c>
      <c r="CR223" s="352">
        <f t="shared" si="520"/>
        <v>0</v>
      </c>
      <c r="CS223" s="352">
        <f t="shared" si="521"/>
        <v>0</v>
      </c>
      <c r="CT223" s="196"/>
      <c r="CU223" s="67">
        <v>1</v>
      </c>
      <c r="CV223" s="67">
        <v>1</v>
      </c>
      <c r="EX223" s="13" t="str">
        <f t="shared" si="511"/>
        <v>Equipment Depreciation</v>
      </c>
    </row>
    <row r="224" spans="1:154" s="335" customFormat="1" ht="15.75" x14ac:dyDescent="0.3">
      <c r="A224" s="362" cm="1">
        <f t="array" aca="1" ref="A224" ca="1">HYPERLINK(CONCATENATE("#",CELL("address",IF(SUM($CA224:$CL224)=0,A224,INDEX($CA224:$CL224,MATCH(1,$CA224:$CL224,0))))),SUM($CA224:$CL224))</f>
        <v>0</v>
      </c>
      <c r="C224" s="340" t="s">
        <v>1217</v>
      </c>
      <c r="D224" s="177" t="s">
        <v>149</v>
      </c>
      <c r="E224" s="479" t="s">
        <v>335</v>
      </c>
      <c r="G224" s="46"/>
      <c r="H224" s="47" t="s">
        <v>86</v>
      </c>
      <c r="V224" s="141"/>
      <c r="W224" s="215">
        <f t="shared" si="529"/>
        <v>0</v>
      </c>
      <c r="X224" s="215">
        <f t="shared" si="529"/>
        <v>0</v>
      </c>
      <c r="Y224" s="215">
        <f t="shared" si="529"/>
        <v>0</v>
      </c>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L224" s="13">
        <f t="shared" si="530"/>
        <v>0</v>
      </c>
      <c r="BM224" s="13">
        <f t="shared" si="530"/>
        <v>0</v>
      </c>
      <c r="BN224" s="13">
        <f t="shared" si="530"/>
        <v>0</v>
      </c>
      <c r="BO224" s="13">
        <f t="shared" si="530"/>
        <v>0</v>
      </c>
      <c r="BP224" s="141"/>
      <c r="BQ224" s="141"/>
      <c r="BR224" s="141"/>
      <c r="BS224" s="141"/>
      <c r="BT224" s="141"/>
      <c r="BU224" s="141"/>
      <c r="BV224" s="141"/>
      <c r="BW224" s="141"/>
      <c r="BY224" s="12"/>
      <c r="CA224" s="12"/>
      <c r="CI224" s="7">
        <f t="shared" si="514"/>
        <v>0</v>
      </c>
      <c r="CJ224" s="7">
        <f t="shared" si="515"/>
        <v>0</v>
      </c>
      <c r="CK224" s="7">
        <f t="shared" si="516"/>
        <v>0</v>
      </c>
      <c r="CL224" s="42"/>
      <c r="CM224" s="352">
        <f t="shared" si="517"/>
        <v>0</v>
      </c>
      <c r="CN224" s="352">
        <f t="shared" si="517"/>
        <v>0</v>
      </c>
      <c r="CO224" s="352">
        <f t="shared" si="517"/>
        <v>0</v>
      </c>
      <c r="CP224" s="352">
        <f t="shared" si="518"/>
        <v>0</v>
      </c>
      <c r="CQ224" s="352">
        <f t="shared" si="519"/>
        <v>0</v>
      </c>
      <c r="CR224" s="352">
        <f t="shared" si="520"/>
        <v>0</v>
      </c>
      <c r="CS224" s="352">
        <f t="shared" si="521"/>
        <v>0</v>
      </c>
      <c r="CT224" s="42"/>
      <c r="CU224" s="335">
        <v>1</v>
      </c>
      <c r="CV224" s="335">
        <v>1</v>
      </c>
      <c r="EX224" s="13" t="str">
        <f t="shared" si="511"/>
        <v>Equipment Movement due to mergers</v>
      </c>
    </row>
    <row r="225" spans="1:154" s="335" customFormat="1" x14ac:dyDescent="0.25">
      <c r="A225" s="362" cm="1">
        <f t="array" aca="1" ref="A225" ca="1">HYPERLINK(CONCATENATE("#",CELL("address",IF(SUM($CA225:$CL225)=0,A225,INDEX($CA225:$CL225,MATCH(1,$CA225:$CL225,0))))),SUM($CA225:$CL225))</f>
        <v>0</v>
      </c>
      <c r="C225" s="340" t="s">
        <v>1218</v>
      </c>
      <c r="D225" s="39" t="s">
        <v>988</v>
      </c>
      <c r="E225" s="39" t="s">
        <v>2356</v>
      </c>
      <c r="G225" s="46"/>
      <c r="H225" s="47" t="s">
        <v>98</v>
      </c>
      <c r="V225" s="10">
        <f>V$323</f>
        <v>0</v>
      </c>
      <c r="W225" s="10">
        <f>W$323</f>
        <v>0</v>
      </c>
      <c r="X225" s="10">
        <f>X$323</f>
        <v>0</v>
      </c>
      <c r="Y225" s="10">
        <f>Y$323</f>
        <v>0</v>
      </c>
      <c r="AA225" s="10">
        <f t="shared" ref="AA225:BJ225" si="531">AA$323</f>
        <v>0</v>
      </c>
      <c r="AB225" s="10">
        <f t="shared" si="531"/>
        <v>0</v>
      </c>
      <c r="AC225" s="10">
        <f t="shared" si="531"/>
        <v>0</v>
      </c>
      <c r="AD225" s="10">
        <f t="shared" si="531"/>
        <v>0</v>
      </c>
      <c r="AE225" s="10">
        <f t="shared" si="531"/>
        <v>0</v>
      </c>
      <c r="AF225" s="10">
        <f t="shared" si="531"/>
        <v>0</v>
      </c>
      <c r="AG225" s="10">
        <f t="shared" si="531"/>
        <v>0</v>
      </c>
      <c r="AH225" s="10">
        <f t="shared" si="531"/>
        <v>0</v>
      </c>
      <c r="AI225" s="10">
        <f t="shared" si="531"/>
        <v>0</v>
      </c>
      <c r="AJ225" s="10">
        <f t="shared" si="531"/>
        <v>0</v>
      </c>
      <c r="AK225" s="10">
        <f t="shared" si="531"/>
        <v>0</v>
      </c>
      <c r="AL225" s="10">
        <f t="shared" si="531"/>
        <v>0</v>
      </c>
      <c r="AM225" s="10">
        <f t="shared" si="531"/>
        <v>0</v>
      </c>
      <c r="AN225" s="10">
        <f t="shared" si="531"/>
        <v>0</v>
      </c>
      <c r="AO225" s="10">
        <f t="shared" si="531"/>
        <v>0</v>
      </c>
      <c r="AP225" s="10">
        <f t="shared" si="531"/>
        <v>0</v>
      </c>
      <c r="AQ225" s="10">
        <f t="shared" si="531"/>
        <v>0</v>
      </c>
      <c r="AR225" s="10">
        <f t="shared" si="531"/>
        <v>0</v>
      </c>
      <c r="AS225" s="10">
        <f t="shared" si="531"/>
        <v>0</v>
      </c>
      <c r="AT225" s="10">
        <f t="shared" si="531"/>
        <v>0</v>
      </c>
      <c r="AU225" s="10">
        <f t="shared" si="531"/>
        <v>0</v>
      </c>
      <c r="AV225" s="10">
        <f t="shared" si="531"/>
        <v>0</v>
      </c>
      <c r="AW225" s="10">
        <f t="shared" si="531"/>
        <v>0</v>
      </c>
      <c r="AX225" s="10">
        <f t="shared" si="531"/>
        <v>0</v>
      </c>
      <c r="AY225" s="10">
        <f t="shared" si="531"/>
        <v>0</v>
      </c>
      <c r="AZ225" s="10">
        <f t="shared" si="531"/>
        <v>0</v>
      </c>
      <c r="BA225" s="10">
        <f t="shared" si="531"/>
        <v>0</v>
      </c>
      <c r="BB225" s="10">
        <f t="shared" si="531"/>
        <v>0</v>
      </c>
      <c r="BC225" s="10">
        <f t="shared" si="531"/>
        <v>0</v>
      </c>
      <c r="BD225" s="10">
        <f t="shared" si="531"/>
        <v>0</v>
      </c>
      <c r="BE225" s="10">
        <f t="shared" si="531"/>
        <v>0</v>
      </c>
      <c r="BF225" s="10">
        <f t="shared" si="531"/>
        <v>0</v>
      </c>
      <c r="BG225" s="10">
        <f t="shared" si="531"/>
        <v>0</v>
      </c>
      <c r="BH225" s="10">
        <f t="shared" si="531"/>
        <v>0</v>
      </c>
      <c r="BI225" s="10">
        <f t="shared" si="531"/>
        <v>0</v>
      </c>
      <c r="BJ225" s="10">
        <f t="shared" si="531"/>
        <v>0</v>
      </c>
      <c r="BL225" s="10">
        <f t="shared" ref="BL225:BW225" si="532">BL$323</f>
        <v>0</v>
      </c>
      <c r="BM225" s="10">
        <f t="shared" si="532"/>
        <v>0</v>
      </c>
      <c r="BN225" s="10">
        <f t="shared" si="532"/>
        <v>0</v>
      </c>
      <c r="BO225" s="10">
        <f t="shared" si="532"/>
        <v>0</v>
      </c>
      <c r="BP225" s="10">
        <f t="shared" si="532"/>
        <v>0</v>
      </c>
      <c r="BQ225" s="10">
        <f t="shared" si="532"/>
        <v>0</v>
      </c>
      <c r="BR225" s="10">
        <f t="shared" si="532"/>
        <v>0</v>
      </c>
      <c r="BS225" s="10">
        <f t="shared" si="532"/>
        <v>0</v>
      </c>
      <c r="BT225" s="10">
        <f t="shared" si="532"/>
        <v>0</v>
      </c>
      <c r="BU225" s="10">
        <f t="shared" si="532"/>
        <v>0</v>
      </c>
      <c r="BV225" s="10">
        <f t="shared" si="532"/>
        <v>0</v>
      </c>
      <c r="BW225" s="10">
        <f t="shared" si="532"/>
        <v>0</v>
      </c>
      <c r="BY225" s="12"/>
      <c r="CA225" s="12"/>
      <c r="CI225" s="7">
        <f t="shared" si="514"/>
        <v>0</v>
      </c>
      <c r="CJ225" s="7">
        <f t="shared" si="515"/>
        <v>0</v>
      </c>
      <c r="CK225" s="7">
        <f t="shared" si="516"/>
        <v>0</v>
      </c>
      <c r="CL225" s="42"/>
      <c r="CM225" s="352">
        <f t="shared" si="517"/>
        <v>0</v>
      </c>
      <c r="CN225" s="352">
        <f t="shared" si="517"/>
        <v>0</v>
      </c>
      <c r="CO225" s="352">
        <f t="shared" si="517"/>
        <v>0</v>
      </c>
      <c r="CP225" s="352">
        <f t="shared" si="518"/>
        <v>0</v>
      </c>
      <c r="CQ225" s="352">
        <f t="shared" si="519"/>
        <v>0</v>
      </c>
      <c r="CR225" s="352">
        <f t="shared" si="520"/>
        <v>0</v>
      </c>
      <c r="CS225" s="352">
        <f t="shared" si="521"/>
        <v>0</v>
      </c>
      <c r="CT225" s="42"/>
      <c r="CU225" s="335">
        <v>0</v>
      </c>
      <c r="CV225" s="335">
        <v>0</v>
      </c>
      <c r="EX225" s="13" t="str">
        <f t="shared" si="511"/>
        <v>Equipment NCA Reclassification</v>
      </c>
    </row>
    <row r="226" spans="1:154" x14ac:dyDescent="0.25">
      <c r="A226" s="362" cm="1">
        <f t="array" aca="1" ref="A226" ca="1">HYPERLINK(CONCATENATE("#",CELL("address",IF(SUM($CA226:$CL226)=0,A226,INDEX($CA226:$CL226,MATCH(1,$CA226:$CL226,0))))),SUM($CA226:$CL226))</f>
        <v>0</v>
      </c>
      <c r="C226" s="340" t="s">
        <v>1219</v>
      </c>
      <c r="D226" s="39" t="s">
        <v>97</v>
      </c>
      <c r="E226" s="352">
        <f>ROUND(V226-SUM(V217:V225), rounding)*$V$329</f>
        <v>0</v>
      </c>
      <c r="G226" s="46"/>
      <c r="H226" s="48"/>
      <c r="S226" s="335"/>
      <c r="T226" s="335"/>
      <c r="U226" s="335"/>
      <c r="V226" s="211">
        <f>'Opening Balances'!W11</f>
        <v>1667</v>
      </c>
      <c r="W226" s="201">
        <f>SUM(W217:W225)</f>
        <v>1326</v>
      </c>
      <c r="X226" s="201">
        <f t="shared" ref="X226:BJ226" si="533">SUM(X217:X225)</f>
        <v>1627</v>
      </c>
      <c r="Y226" s="201">
        <f t="shared" si="533"/>
        <v>1126</v>
      </c>
      <c r="Z226" s="335"/>
      <c r="AA226" s="201">
        <f t="shared" si="533"/>
        <v>1722</v>
      </c>
      <c r="AB226" s="201">
        <f t="shared" si="533"/>
        <v>1681</v>
      </c>
      <c r="AC226" s="201">
        <f t="shared" si="533"/>
        <v>1640</v>
      </c>
      <c r="AD226" s="201">
        <f t="shared" si="533"/>
        <v>1601</v>
      </c>
      <c r="AE226" s="201">
        <f t="shared" si="533"/>
        <v>1562</v>
      </c>
      <c r="AF226" s="201">
        <f t="shared" si="533"/>
        <v>1524</v>
      </c>
      <c r="AG226" s="201">
        <f t="shared" si="533"/>
        <v>1486</v>
      </c>
      <c r="AH226" s="201">
        <f t="shared" si="533"/>
        <v>1451</v>
      </c>
      <c r="AI226" s="201">
        <f t="shared" si="533"/>
        <v>1416</v>
      </c>
      <c r="AJ226" s="201">
        <f t="shared" si="533"/>
        <v>1384</v>
      </c>
      <c r="AK226" s="201">
        <f t="shared" si="533"/>
        <v>1361</v>
      </c>
      <c r="AL226" s="201">
        <f t="shared" si="533"/>
        <v>1326</v>
      </c>
      <c r="AM226" s="201">
        <f t="shared" si="533"/>
        <v>2079</v>
      </c>
      <c r="AN226" s="201">
        <f t="shared" si="533"/>
        <v>2034</v>
      </c>
      <c r="AO226" s="201">
        <f t="shared" si="533"/>
        <v>1989</v>
      </c>
      <c r="AP226" s="201">
        <f t="shared" si="533"/>
        <v>1946</v>
      </c>
      <c r="AQ226" s="201">
        <f t="shared" si="533"/>
        <v>1903</v>
      </c>
      <c r="AR226" s="201">
        <f t="shared" si="533"/>
        <v>1861</v>
      </c>
      <c r="AS226" s="201">
        <f t="shared" si="533"/>
        <v>1819</v>
      </c>
      <c r="AT226" s="201">
        <f t="shared" si="533"/>
        <v>1780</v>
      </c>
      <c r="AU226" s="201">
        <f t="shared" si="533"/>
        <v>1741</v>
      </c>
      <c r="AV226" s="201">
        <f t="shared" si="533"/>
        <v>1705</v>
      </c>
      <c r="AW226" s="201">
        <f t="shared" si="533"/>
        <v>1666</v>
      </c>
      <c r="AX226" s="201">
        <f t="shared" si="533"/>
        <v>1627</v>
      </c>
      <c r="AY226" s="201">
        <f t="shared" si="533"/>
        <v>1578</v>
      </c>
      <c r="AZ226" s="201">
        <f t="shared" si="533"/>
        <v>1533</v>
      </c>
      <c r="BA226" s="201">
        <f t="shared" si="533"/>
        <v>1488</v>
      </c>
      <c r="BB226" s="201">
        <f t="shared" si="533"/>
        <v>1445</v>
      </c>
      <c r="BC226" s="201">
        <f t="shared" si="533"/>
        <v>1402</v>
      </c>
      <c r="BD226" s="201">
        <f t="shared" si="533"/>
        <v>1360</v>
      </c>
      <c r="BE226" s="201">
        <f t="shared" si="533"/>
        <v>1318</v>
      </c>
      <c r="BF226" s="201">
        <f t="shared" si="533"/>
        <v>1279</v>
      </c>
      <c r="BG226" s="201">
        <f t="shared" si="533"/>
        <v>1240</v>
      </c>
      <c r="BH226" s="201">
        <f t="shared" si="533"/>
        <v>1204</v>
      </c>
      <c r="BI226" s="201">
        <f t="shared" si="533"/>
        <v>1165</v>
      </c>
      <c r="BJ226" s="201">
        <f t="shared" si="533"/>
        <v>1126</v>
      </c>
      <c r="BL226" s="152">
        <f>V226</f>
        <v>1667</v>
      </c>
      <c r="BM226" s="201">
        <f t="shared" ref="BM226" si="534">SUM(BM217:BM225)</f>
        <v>1326</v>
      </c>
      <c r="BN226" s="201">
        <f t="shared" ref="BN226" si="535">SUM(BN217:BN225)</f>
        <v>1627</v>
      </c>
      <c r="BO226" s="201">
        <f t="shared" ref="BO226" si="536">SUM(BO217:BO225)</f>
        <v>1126</v>
      </c>
      <c r="BP226" s="201">
        <f t="shared" ref="BP226" si="537">SUM(BP217:BP225)</f>
        <v>1126</v>
      </c>
      <c r="BQ226" s="201">
        <f>SUM(BQ217:BQ225)</f>
        <v>1126</v>
      </c>
      <c r="BR226" s="201">
        <f t="shared" ref="BR226" si="538">SUM(BR217:BR225)</f>
        <v>1126</v>
      </c>
      <c r="BS226" s="201">
        <f t="shared" ref="BS226" si="539">SUM(BS217:BS225)</f>
        <v>1126</v>
      </c>
      <c r="BT226" s="201">
        <f t="shared" ref="BT226" si="540">SUM(BT217:BT225)</f>
        <v>1126</v>
      </c>
      <c r="BU226" s="201">
        <f t="shared" ref="BU226" si="541">SUM(BU217:BU225)</f>
        <v>1126</v>
      </c>
      <c r="BV226" s="201">
        <f t="shared" ref="BV226" si="542">SUM(BV217:BV225)</f>
        <v>1126</v>
      </c>
      <c r="BW226" s="201">
        <f t="shared" ref="BW226" si="543">SUM(BW217:BW225)</f>
        <v>1126</v>
      </c>
      <c r="BY226" s="195"/>
      <c r="BZ226" s="93"/>
      <c r="CA226" s="195"/>
      <c r="CB226" s="93"/>
      <c r="CC226" s="93"/>
      <c r="CD226" s="93"/>
      <c r="CF226" s="93"/>
      <c r="CG226" s="188">
        <f>IF(ABS($E226)&gt;Parameters!$D$33, 1, 0)</f>
        <v>0</v>
      </c>
      <c r="CI226" s="7">
        <f t="shared" si="514"/>
        <v>0</v>
      </c>
      <c r="CJ226" s="7">
        <f t="shared" si="515"/>
        <v>0</v>
      </c>
      <c r="CK226" s="7">
        <f t="shared" si="516"/>
        <v>0</v>
      </c>
      <c r="CL226" s="42"/>
      <c r="CM226" s="352">
        <f>ROUND(W226-INDEX($AA226:$BJ226, MATCH(W$5,$AA$5:$BJ$5,0)), rounding)</f>
        <v>0</v>
      </c>
      <c r="CN226" s="352">
        <f>ROUND(X226-INDEX($AA226:$BJ226, MATCH(X$5,$AA$5:$BJ$5,0)), rounding)</f>
        <v>0</v>
      </c>
      <c r="CO226" s="352">
        <f>ROUND(Y226-INDEX($AA226:$BJ226, MATCH(Y$5,$AA$5:$BJ$5,0)), rounding)</f>
        <v>0</v>
      </c>
      <c r="CP226" s="352">
        <f>ROUND(BM226-INDEX($AA226:$BJ226, MATCH(BM$5,$AA$5:$BJ$5,0)), rounding)</f>
        <v>0</v>
      </c>
      <c r="CQ226" s="352">
        <f>ROUND(BN226-INDEX($AA226:$BJ226, MATCH(BN$5,$AA$5:$BJ$5,0)), rounding)</f>
        <v>0</v>
      </c>
      <c r="CR226" s="352">
        <f>ROUND(BO226-INDEX($AA226:$BJ226, MATCH(BO$5,$AA$5:$BJ$5,0)), rounding)</f>
        <v>0</v>
      </c>
      <c r="CS226" s="352">
        <f t="shared" si="521"/>
        <v>0</v>
      </c>
      <c r="CT226" s="196"/>
      <c r="CU226" s="67">
        <v>0</v>
      </c>
      <c r="CV226" s="67">
        <v>0</v>
      </c>
      <c r="EX226" s="13" t="str">
        <f t="shared" si="511"/>
        <v>Equipment Closing Balance</v>
      </c>
    </row>
    <row r="227" spans="1:154" ht="6.6" customHeight="1" x14ac:dyDescent="0.25">
      <c r="C227" s="385"/>
      <c r="D227" s="1"/>
      <c r="E227" s="67"/>
      <c r="S227" s="335"/>
      <c r="T227" s="335"/>
      <c r="U227" s="335"/>
      <c r="V227" s="25"/>
      <c r="W227" s="25"/>
      <c r="X227" s="25"/>
      <c r="Y227" s="25"/>
      <c r="Z227" s="33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L227" s="25"/>
      <c r="BM227" s="155"/>
      <c r="BN227" s="25"/>
      <c r="BO227" s="25"/>
      <c r="BP227" s="25"/>
      <c r="BQ227" s="25"/>
      <c r="BR227" s="25"/>
      <c r="BS227" s="25"/>
      <c r="BT227" s="25"/>
      <c r="BU227" s="25"/>
      <c r="BV227" s="25"/>
      <c r="BW227" s="25"/>
      <c r="BY227" s="42"/>
      <c r="CA227" s="42"/>
      <c r="CL227" s="42"/>
      <c r="CT227" s="42"/>
      <c r="CU227" s="67">
        <v>0</v>
      </c>
      <c r="CV227" s="67">
        <v>0</v>
      </c>
      <c r="EX227" s="10" t="str">
        <f t="shared" si="472"/>
        <v/>
      </c>
    </row>
    <row r="228" spans="1:154" x14ac:dyDescent="0.25">
      <c r="A228" s="362" cm="1">
        <f t="array" aca="1" ref="A228" ca="1">HYPERLINK(CONCATENATE("#",CELL("address",IF(SUM($CA228:$CL228)=0,A228,INDEX($CA228:$CL228,MATCH(1,$CA228:$CL228,0))))),SUM($CA228:$CL228))</f>
        <v>0</v>
      </c>
      <c r="C228" s="385"/>
      <c r="D228" s="1" t="s">
        <v>377</v>
      </c>
      <c r="E228" s="67"/>
      <c r="G228" s="48"/>
      <c r="H228" s="48"/>
      <c r="S228" s="335"/>
      <c r="T228" s="335"/>
      <c r="U228" s="335"/>
      <c r="V228" s="154">
        <f>IF(V226&lt;0, 1, 0)*'BS Forecasts'!V$10</f>
        <v>0</v>
      </c>
      <c r="W228" s="154">
        <f>IF(W226&lt;0, 1, 0)*'BS Forecasts'!W$10</f>
        <v>0</v>
      </c>
      <c r="X228" s="154">
        <f>IF(X226&lt;0, 1, 0)*'BS Forecasts'!X$10</f>
        <v>0</v>
      </c>
      <c r="Y228" s="154">
        <f>IF(Y226&lt;0, 1, 0)*'BS Forecasts'!Y$10</f>
        <v>0</v>
      </c>
      <c r="Z228" s="335"/>
      <c r="AA228" s="154">
        <f>IF(AA226&lt;0, 1, 0)*'BS Forecasts'!AA$10</f>
        <v>0</v>
      </c>
      <c r="AB228" s="154">
        <f>IF(AB226&lt;0, 1, 0)*'BS Forecasts'!AB$10</f>
        <v>0</v>
      </c>
      <c r="AC228" s="154">
        <f>IF(AC226&lt;0, 1, 0)*'BS Forecasts'!AC$10</f>
        <v>0</v>
      </c>
      <c r="AD228" s="154">
        <f>IF(AD226&lt;0, 1, 0)*'BS Forecasts'!AD$10</f>
        <v>0</v>
      </c>
      <c r="AE228" s="154">
        <f>IF(AE226&lt;0, 1, 0)*'BS Forecasts'!AE$10</f>
        <v>0</v>
      </c>
      <c r="AF228" s="154">
        <f>IF(AF226&lt;0, 1, 0)*'BS Forecasts'!AF$10</f>
        <v>0</v>
      </c>
      <c r="AG228" s="154">
        <f>IF(AG226&lt;0, 1, 0)*'BS Forecasts'!AG$10</f>
        <v>0</v>
      </c>
      <c r="AH228" s="154">
        <f>IF(AH226&lt;0, 1, 0)*'BS Forecasts'!AH$10</f>
        <v>0</v>
      </c>
      <c r="AI228" s="154">
        <f>IF(AI226&lt;0, 1, 0)*'BS Forecasts'!AI$10</f>
        <v>0</v>
      </c>
      <c r="AJ228" s="154">
        <f>IF(AJ226&lt;0, 1, 0)*'BS Forecasts'!AJ$10</f>
        <v>0</v>
      </c>
      <c r="AK228" s="154">
        <f>IF(AK226&lt;0, 1, 0)*'BS Forecasts'!AK$10</f>
        <v>0</v>
      </c>
      <c r="AL228" s="154">
        <f>IF(AL226&lt;0, 1, 0)*'BS Forecasts'!AL$10</f>
        <v>0</v>
      </c>
      <c r="AM228" s="154">
        <f>IF(AM226&lt;0, 1, 0)*'BS Forecasts'!AM$10</f>
        <v>0</v>
      </c>
      <c r="AN228" s="154">
        <f>IF(AN226&lt;0, 1, 0)*'BS Forecasts'!AN$10</f>
        <v>0</v>
      </c>
      <c r="AO228" s="154">
        <f>IF(AO226&lt;0, 1, 0)*'BS Forecasts'!AO$10</f>
        <v>0</v>
      </c>
      <c r="AP228" s="154">
        <f>IF(AP226&lt;0, 1, 0)*'BS Forecasts'!AP$10</f>
        <v>0</v>
      </c>
      <c r="AQ228" s="154">
        <f>IF(AQ226&lt;0, 1, 0)*'BS Forecasts'!AQ$10</f>
        <v>0</v>
      </c>
      <c r="AR228" s="154">
        <f>IF(AR226&lt;0, 1, 0)*'BS Forecasts'!AR$10</f>
        <v>0</v>
      </c>
      <c r="AS228" s="154">
        <f>IF(AS226&lt;0, 1, 0)*'BS Forecasts'!AS$10</f>
        <v>0</v>
      </c>
      <c r="AT228" s="154">
        <f>IF(AT226&lt;0, 1, 0)*'BS Forecasts'!AT$10</f>
        <v>0</v>
      </c>
      <c r="AU228" s="154">
        <f>IF(AU226&lt;0, 1, 0)*'BS Forecasts'!AU$10</f>
        <v>0</v>
      </c>
      <c r="AV228" s="154">
        <f>IF(AV226&lt;0, 1, 0)*'BS Forecasts'!AV$10</f>
        <v>0</v>
      </c>
      <c r="AW228" s="154">
        <f>IF(AW226&lt;0, 1, 0)*'BS Forecasts'!AW$10</f>
        <v>0</v>
      </c>
      <c r="AX228" s="154">
        <f>IF(AX226&lt;0, 1, 0)*'BS Forecasts'!AX$10</f>
        <v>0</v>
      </c>
      <c r="AY228" s="154">
        <f>IF(AY226&lt;0, 1, 0)*'BS Forecasts'!AY$10</f>
        <v>0</v>
      </c>
      <c r="AZ228" s="154">
        <f>IF(AZ226&lt;0, 1, 0)*'BS Forecasts'!AZ$10</f>
        <v>0</v>
      </c>
      <c r="BA228" s="154">
        <f>IF(BA226&lt;0, 1, 0)*'BS Forecasts'!BA$10</f>
        <v>0</v>
      </c>
      <c r="BB228" s="154">
        <f>IF(BB226&lt;0, 1, 0)*'BS Forecasts'!BB$10</f>
        <v>0</v>
      </c>
      <c r="BC228" s="154">
        <f>IF(BC226&lt;0, 1, 0)*'BS Forecasts'!BC$10</f>
        <v>0</v>
      </c>
      <c r="BD228" s="154">
        <f>IF(BD226&lt;0, 1, 0)*'BS Forecasts'!BD$10</f>
        <v>0</v>
      </c>
      <c r="BE228" s="154">
        <f>IF(BE226&lt;0, 1, 0)*'BS Forecasts'!BE$10</f>
        <v>0</v>
      </c>
      <c r="BF228" s="154">
        <f>IF(BF226&lt;0, 1, 0)*'BS Forecasts'!BF$10</f>
        <v>0</v>
      </c>
      <c r="BG228" s="154">
        <f>IF(BG226&lt;0, 1, 0)*'BS Forecasts'!BG$10</f>
        <v>0</v>
      </c>
      <c r="BH228" s="154">
        <f>IF(BH226&lt;0, 1, 0)*'BS Forecasts'!BH$10</f>
        <v>0</v>
      </c>
      <c r="BI228" s="154">
        <f>IF(BI226&lt;0, 1, 0)*'BS Forecasts'!BI$10</f>
        <v>0</v>
      </c>
      <c r="BJ228" s="154">
        <f>IF(BJ226&lt;0, 1, 0)*'BS Forecasts'!BJ$10</f>
        <v>0</v>
      </c>
      <c r="BK228" s="335"/>
      <c r="BL228" s="154">
        <f>IF(BL226&lt;0, 1, 0)*'BS Forecasts'!BL$10</f>
        <v>0</v>
      </c>
      <c r="BM228" s="154">
        <f>IF(BM226&lt;0, 1, 0)*'BS Forecasts'!BM$10</f>
        <v>0</v>
      </c>
      <c r="BN228" s="154">
        <f>IF(BN226&lt;0, 1, 0)*'BS Forecasts'!BN$10</f>
        <v>0</v>
      </c>
      <c r="BO228" s="154">
        <f>IF(BO226&lt;0, 1, 0)*'BS Forecasts'!BO$10</f>
        <v>0</v>
      </c>
      <c r="BP228" s="154">
        <f>IF(BP226&lt;0, 1, 0)*'BS Forecasts'!BP$10</f>
        <v>0</v>
      </c>
      <c r="BQ228" s="154">
        <f>IF(BQ226&lt;0, 1, 0)*'BS Forecasts'!BQ$10</f>
        <v>0</v>
      </c>
      <c r="BR228" s="154">
        <f>IF(BR226&lt;0, 1, 0)*'BS Forecasts'!BR$10</f>
        <v>0</v>
      </c>
      <c r="BS228" s="154">
        <f>IF(BS226&lt;0, 1, 0)*'BS Forecasts'!BS$10</f>
        <v>0</v>
      </c>
      <c r="BT228" s="154">
        <f>IF(BT226&lt;0, 1, 0)*'BS Forecasts'!BT$10</f>
        <v>0</v>
      </c>
      <c r="BU228" s="154">
        <f>IF(BU226&lt;0, 1, 0)*'BS Forecasts'!BU$10</f>
        <v>0</v>
      </c>
      <c r="BV228" s="154">
        <f>IF(BV226&lt;0, 1, 0)*'BS Forecasts'!BV$10</f>
        <v>0</v>
      </c>
      <c r="BW228" s="154">
        <f>IF(BW226&lt;0, 1, 0)*'BS Forecasts'!BW$10</f>
        <v>0</v>
      </c>
      <c r="BY228" s="12"/>
      <c r="CA228" s="12"/>
      <c r="CF228" s="7">
        <f>IF(SUM(V228:BW228)=0, 0, 1)</f>
        <v>0</v>
      </c>
      <c r="CL228" s="42"/>
      <c r="CT228" s="42"/>
      <c r="CU228" s="67">
        <v>0</v>
      </c>
      <c r="CV228" s="67">
        <v>0</v>
      </c>
      <c r="EX228" s="10" t="str">
        <f t="shared" si="472"/>
        <v/>
      </c>
    </row>
    <row r="229" spans="1:154" ht="6.6" customHeight="1" x14ac:dyDescent="0.25">
      <c r="C229" s="385"/>
      <c r="D229" s="1"/>
      <c r="E229" s="67"/>
      <c r="T229" s="335"/>
      <c r="U229" s="335"/>
      <c r="V229" s="25"/>
      <c r="W229" s="25"/>
      <c r="X229" s="25"/>
      <c r="Y229" s="25"/>
      <c r="Z229" s="33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L229" s="25"/>
      <c r="BM229" s="155"/>
      <c r="BN229" s="25"/>
      <c r="BO229" s="25"/>
      <c r="BP229" s="25"/>
      <c r="BQ229" s="25"/>
      <c r="BR229" s="25"/>
      <c r="BS229" s="25"/>
      <c r="BT229" s="25"/>
      <c r="BU229" s="25"/>
      <c r="BV229" s="25"/>
      <c r="BW229" s="25"/>
      <c r="BY229" s="42"/>
      <c r="CA229" s="42"/>
      <c r="CL229" s="42"/>
      <c r="CT229" s="42"/>
      <c r="CU229" s="67">
        <v>0</v>
      </c>
      <c r="CV229" s="67">
        <v>0</v>
      </c>
      <c r="EX229" s="10" t="str">
        <f t="shared" si="472"/>
        <v/>
      </c>
    </row>
    <row r="230" spans="1:154" x14ac:dyDescent="0.25">
      <c r="B230" s="29"/>
      <c r="C230" s="385"/>
      <c r="D230" s="27" t="str">
        <f>'Opening Balances'!D12</f>
        <v>Other NCA</v>
      </c>
      <c r="E230" s="67"/>
      <c r="G230" s="48"/>
      <c r="H230" s="48"/>
      <c r="T230" s="335"/>
      <c r="U230" s="335"/>
      <c r="V230" s="25"/>
      <c r="W230" s="25"/>
      <c r="X230" s="25"/>
      <c r="Y230" s="25"/>
      <c r="Z230" s="33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L230" s="25"/>
      <c r="BM230" s="25"/>
      <c r="BN230" s="25"/>
      <c r="BO230" s="25"/>
      <c r="BP230" s="25"/>
      <c r="BQ230" s="25"/>
      <c r="BR230" s="25"/>
      <c r="BS230" s="25"/>
      <c r="BT230" s="25"/>
      <c r="BU230" s="25"/>
      <c r="BV230" s="25"/>
      <c r="BW230" s="25"/>
      <c r="BY230" s="12"/>
      <c r="CA230" s="12"/>
      <c r="CL230" s="42"/>
      <c r="CT230" s="42"/>
      <c r="CU230" s="67">
        <v>0</v>
      </c>
      <c r="CV230" s="67">
        <v>0</v>
      </c>
      <c r="EX230" s="10" t="str">
        <f t="shared" si="472"/>
        <v/>
      </c>
    </row>
    <row r="231" spans="1:154" x14ac:dyDescent="0.25">
      <c r="C231" s="340" t="str">
        <f>CONCATENATE("II-",'Opening Balances'!$C$12)</f>
        <v>II-B-1c-OB</v>
      </c>
      <c r="D231" s="151" t="s">
        <v>91</v>
      </c>
      <c r="E231" s="151"/>
      <c r="G231" s="46"/>
      <c r="H231" s="47" t="s">
        <v>92</v>
      </c>
      <c r="T231" s="335"/>
      <c r="U231" s="335"/>
      <c r="V231" s="13">
        <f>'Opening Balances'!$V$12</f>
        <v>0</v>
      </c>
      <c r="W231" s="10">
        <f>V240</f>
        <v>600</v>
      </c>
      <c r="X231" s="10">
        <f>W240</f>
        <v>400</v>
      </c>
      <c r="Y231" s="10">
        <f>X240</f>
        <v>200</v>
      </c>
      <c r="Z231" s="335"/>
      <c r="AA231" s="10">
        <f>W231</f>
        <v>600</v>
      </c>
      <c r="AB231" s="10">
        <f t="shared" ref="AB231:BJ231" si="544">AA240</f>
        <v>583</v>
      </c>
      <c r="AC231" s="10">
        <f t="shared" si="544"/>
        <v>567</v>
      </c>
      <c r="AD231" s="10">
        <f t="shared" si="544"/>
        <v>550</v>
      </c>
      <c r="AE231" s="10">
        <f t="shared" si="544"/>
        <v>534</v>
      </c>
      <c r="AF231" s="10">
        <f t="shared" si="544"/>
        <v>517</v>
      </c>
      <c r="AG231" s="10">
        <f t="shared" si="544"/>
        <v>501</v>
      </c>
      <c r="AH231" s="10">
        <f t="shared" si="544"/>
        <v>484</v>
      </c>
      <c r="AI231" s="10">
        <f t="shared" si="544"/>
        <v>468</v>
      </c>
      <c r="AJ231" s="10">
        <f t="shared" si="544"/>
        <v>451</v>
      </c>
      <c r="AK231" s="10">
        <f t="shared" si="544"/>
        <v>434</v>
      </c>
      <c r="AL231" s="10">
        <f t="shared" si="544"/>
        <v>417</v>
      </c>
      <c r="AM231" s="10">
        <f t="shared" si="544"/>
        <v>400</v>
      </c>
      <c r="AN231" s="10">
        <f t="shared" si="544"/>
        <v>383</v>
      </c>
      <c r="AO231" s="10">
        <f t="shared" si="544"/>
        <v>367</v>
      </c>
      <c r="AP231" s="10">
        <f t="shared" si="544"/>
        <v>350</v>
      </c>
      <c r="AQ231" s="10">
        <f t="shared" si="544"/>
        <v>334</v>
      </c>
      <c r="AR231" s="10">
        <f t="shared" si="544"/>
        <v>317</v>
      </c>
      <c r="AS231" s="10">
        <f t="shared" si="544"/>
        <v>301</v>
      </c>
      <c r="AT231" s="10">
        <f t="shared" si="544"/>
        <v>284</v>
      </c>
      <c r="AU231" s="10">
        <f t="shared" si="544"/>
        <v>268</v>
      </c>
      <c r="AV231" s="10">
        <f t="shared" si="544"/>
        <v>251</v>
      </c>
      <c r="AW231" s="10">
        <f t="shared" si="544"/>
        <v>234</v>
      </c>
      <c r="AX231" s="10">
        <f t="shared" si="544"/>
        <v>217</v>
      </c>
      <c r="AY231" s="10">
        <f t="shared" si="544"/>
        <v>200</v>
      </c>
      <c r="AZ231" s="10">
        <f t="shared" si="544"/>
        <v>183</v>
      </c>
      <c r="BA231" s="10">
        <f t="shared" si="544"/>
        <v>167</v>
      </c>
      <c r="BB231" s="10">
        <f t="shared" si="544"/>
        <v>150</v>
      </c>
      <c r="BC231" s="10">
        <f t="shared" si="544"/>
        <v>134</v>
      </c>
      <c r="BD231" s="10">
        <f t="shared" si="544"/>
        <v>117</v>
      </c>
      <c r="BE231" s="10">
        <f t="shared" si="544"/>
        <v>101</v>
      </c>
      <c r="BF231" s="10">
        <f t="shared" si="544"/>
        <v>84</v>
      </c>
      <c r="BG231" s="10">
        <f t="shared" si="544"/>
        <v>68</v>
      </c>
      <c r="BH231" s="10">
        <f t="shared" si="544"/>
        <v>51</v>
      </c>
      <c r="BI231" s="10">
        <f t="shared" si="544"/>
        <v>34</v>
      </c>
      <c r="BJ231" s="10">
        <f t="shared" si="544"/>
        <v>17</v>
      </c>
      <c r="BL231" s="13">
        <f>V231</f>
        <v>0</v>
      </c>
      <c r="BM231" s="13">
        <f>W231</f>
        <v>600</v>
      </c>
      <c r="BN231" s="13">
        <f>X231</f>
        <v>400</v>
      </c>
      <c r="BO231" s="13">
        <f>Y231</f>
        <v>200</v>
      </c>
      <c r="BP231" s="10">
        <f t="shared" ref="BP231:BW231" si="545">BO240</f>
        <v>0</v>
      </c>
      <c r="BQ231" s="10">
        <f t="shared" si="545"/>
        <v>0</v>
      </c>
      <c r="BR231" s="10">
        <f t="shared" si="545"/>
        <v>0</v>
      </c>
      <c r="BS231" s="10">
        <f t="shared" si="545"/>
        <v>0</v>
      </c>
      <c r="BT231" s="10">
        <f t="shared" si="545"/>
        <v>0</v>
      </c>
      <c r="BU231" s="10">
        <f t="shared" si="545"/>
        <v>0</v>
      </c>
      <c r="BV231" s="10">
        <f t="shared" si="545"/>
        <v>0</v>
      </c>
      <c r="BW231" s="10">
        <f t="shared" si="545"/>
        <v>0</v>
      </c>
      <c r="BY231" s="12"/>
      <c r="CA231" s="12"/>
      <c r="CL231" s="42"/>
      <c r="CT231" s="42"/>
      <c r="CU231" s="67">
        <v>0</v>
      </c>
      <c r="CV231" s="67">
        <v>0</v>
      </c>
      <c r="EX231" s="13" t="str">
        <f t="shared" ref="EX231:EX240" si="546">IF($C231="","",CONCATENATE(D$230, " ",$D231))</f>
        <v>Other NCA Opening Balance</v>
      </c>
    </row>
    <row r="232" spans="1:154" x14ac:dyDescent="0.25">
      <c r="A232" s="362" cm="1">
        <f t="array" aca="1" ref="A232" ca="1">HYPERLINK(CONCATENATE("#",CELL("address",IF(SUM($CA232:$CL232)=0,A232,INDEX($CA232:$CL232,MATCH(1,$CA232:$CL232,0))))),SUM($CA232:$CL232))</f>
        <v>0</v>
      </c>
      <c r="C232" s="340" t="s">
        <v>1148</v>
      </c>
      <c r="D232" s="39" t="s">
        <v>93</v>
      </c>
      <c r="E232" s="39"/>
      <c r="G232" s="46"/>
      <c r="H232" s="47" t="s">
        <v>92</v>
      </c>
      <c r="S232" s="335"/>
      <c r="T232" s="335"/>
      <c r="U232" s="335"/>
      <c r="V232" s="153">
        <f>V$30</f>
        <v>0</v>
      </c>
      <c r="W232" s="153">
        <f t="shared" ref="W232:BW232" si="547">W$30</f>
        <v>0</v>
      </c>
      <c r="X232" s="153">
        <f t="shared" si="547"/>
        <v>0</v>
      </c>
      <c r="Y232" s="153">
        <f t="shared" si="547"/>
        <v>0</v>
      </c>
      <c r="Z232" s="335"/>
      <c r="AA232" s="153">
        <f t="shared" si="547"/>
        <v>0</v>
      </c>
      <c r="AB232" s="153">
        <f t="shared" si="547"/>
        <v>0</v>
      </c>
      <c r="AC232" s="153">
        <f t="shared" si="547"/>
        <v>0</v>
      </c>
      <c r="AD232" s="153">
        <f t="shared" si="547"/>
        <v>0</v>
      </c>
      <c r="AE232" s="153">
        <f t="shared" si="547"/>
        <v>0</v>
      </c>
      <c r="AF232" s="153">
        <f t="shared" si="547"/>
        <v>0</v>
      </c>
      <c r="AG232" s="153">
        <f t="shared" si="547"/>
        <v>0</v>
      </c>
      <c r="AH232" s="153">
        <f t="shared" si="547"/>
        <v>0</v>
      </c>
      <c r="AI232" s="153">
        <f t="shared" si="547"/>
        <v>0</v>
      </c>
      <c r="AJ232" s="153">
        <f t="shared" si="547"/>
        <v>0</v>
      </c>
      <c r="AK232" s="153">
        <f t="shared" si="547"/>
        <v>0</v>
      </c>
      <c r="AL232" s="153">
        <f t="shared" si="547"/>
        <v>0</v>
      </c>
      <c r="AM232" s="153">
        <f t="shared" si="547"/>
        <v>0</v>
      </c>
      <c r="AN232" s="153">
        <f t="shared" si="547"/>
        <v>0</v>
      </c>
      <c r="AO232" s="153">
        <f t="shared" si="547"/>
        <v>0</v>
      </c>
      <c r="AP232" s="153">
        <f t="shared" si="547"/>
        <v>0</v>
      </c>
      <c r="AQ232" s="153">
        <f t="shared" si="547"/>
        <v>0</v>
      </c>
      <c r="AR232" s="153">
        <f t="shared" si="547"/>
        <v>0</v>
      </c>
      <c r="AS232" s="153">
        <f t="shared" si="547"/>
        <v>0</v>
      </c>
      <c r="AT232" s="153">
        <f t="shared" si="547"/>
        <v>0</v>
      </c>
      <c r="AU232" s="153">
        <f t="shared" si="547"/>
        <v>0</v>
      </c>
      <c r="AV232" s="153">
        <f t="shared" si="547"/>
        <v>0</v>
      </c>
      <c r="AW232" s="153">
        <f t="shared" si="547"/>
        <v>0</v>
      </c>
      <c r="AX232" s="153">
        <f t="shared" si="547"/>
        <v>0</v>
      </c>
      <c r="AY232" s="153">
        <f t="shared" si="547"/>
        <v>0</v>
      </c>
      <c r="AZ232" s="153">
        <f t="shared" si="547"/>
        <v>0</v>
      </c>
      <c r="BA232" s="153">
        <f t="shared" si="547"/>
        <v>0</v>
      </c>
      <c r="BB232" s="153">
        <f t="shared" si="547"/>
        <v>0</v>
      </c>
      <c r="BC232" s="153">
        <f t="shared" si="547"/>
        <v>0</v>
      </c>
      <c r="BD232" s="153">
        <f t="shared" si="547"/>
        <v>0</v>
      </c>
      <c r="BE232" s="153">
        <f t="shared" si="547"/>
        <v>0</v>
      </c>
      <c r="BF232" s="153">
        <f t="shared" si="547"/>
        <v>0</v>
      </c>
      <c r="BG232" s="153">
        <f t="shared" si="547"/>
        <v>0</v>
      </c>
      <c r="BH232" s="153">
        <f t="shared" si="547"/>
        <v>0</v>
      </c>
      <c r="BI232" s="153">
        <f t="shared" si="547"/>
        <v>0</v>
      </c>
      <c r="BJ232" s="153">
        <f t="shared" si="547"/>
        <v>0</v>
      </c>
      <c r="BK232" s="335"/>
      <c r="BL232" s="153">
        <f t="shared" si="547"/>
        <v>0</v>
      </c>
      <c r="BM232" s="153">
        <f t="shared" si="547"/>
        <v>0</v>
      </c>
      <c r="BN232" s="153">
        <f t="shared" si="547"/>
        <v>0</v>
      </c>
      <c r="BO232" s="153">
        <f t="shared" si="547"/>
        <v>0</v>
      </c>
      <c r="BP232" s="153">
        <f t="shared" si="547"/>
        <v>0</v>
      </c>
      <c r="BQ232" s="153">
        <f t="shared" si="547"/>
        <v>0</v>
      </c>
      <c r="BR232" s="153">
        <f t="shared" si="547"/>
        <v>0</v>
      </c>
      <c r="BS232" s="153">
        <f t="shared" si="547"/>
        <v>0</v>
      </c>
      <c r="BT232" s="153">
        <f t="shared" si="547"/>
        <v>0</v>
      </c>
      <c r="BU232" s="153">
        <f t="shared" si="547"/>
        <v>0</v>
      </c>
      <c r="BV232" s="153">
        <f t="shared" si="547"/>
        <v>0</v>
      </c>
      <c r="BW232" s="153">
        <f t="shared" si="547"/>
        <v>0</v>
      </c>
      <c r="BX232" s="335"/>
      <c r="BY232" s="12"/>
      <c r="BZ232" s="363">
        <f>IF(MIN($V232:$BW232)&lt;0, 1, 0)</f>
        <v>0</v>
      </c>
      <c r="CA232" s="12"/>
      <c r="CB232" s="335"/>
      <c r="CC232" s="335"/>
      <c r="CD232" s="335"/>
      <c r="CF232" s="335"/>
      <c r="CH232" s="335"/>
      <c r="CI232" s="7">
        <f t="shared" ref="CI232:CI240" si="548">IF(SUM($CM232:$CO232)=0, 0, 1)</f>
        <v>0</v>
      </c>
      <c r="CJ232" s="7">
        <f t="shared" ref="CJ232:CJ240" si="549">IF(SUM($CP232:$CR232)=0, 0, 1)</f>
        <v>0</v>
      </c>
      <c r="CK232" s="7">
        <f t="shared" ref="CK232:CK240" si="550">IF($CS232=0, 0, 1)</f>
        <v>0</v>
      </c>
      <c r="CL232" s="42"/>
      <c r="CM232" s="352">
        <f t="shared" ref="CM232:CO239" si="551">ROUND(W232-SUMIFS($AA232:$BJ232, $AA$3:$BJ$3, W$3), rounding)</f>
        <v>0</v>
      </c>
      <c r="CN232" s="352">
        <f t="shared" si="551"/>
        <v>0</v>
      </c>
      <c r="CO232" s="352">
        <f t="shared" si="551"/>
        <v>0</v>
      </c>
      <c r="CP232" s="352">
        <f t="shared" ref="CP232:CP239" si="552">ROUND($BM232-SUMIFS($AA232:$BJ232, $AA$3:$BJ$3, $BM$3), rounding)</f>
        <v>0</v>
      </c>
      <c r="CQ232" s="352">
        <f t="shared" ref="CQ232:CQ239" si="553">ROUND($BN232-SUMIFS($AA232:$BJ232, $AA$3:$BJ$3, $BN$3), rounding)</f>
        <v>0</v>
      </c>
      <c r="CR232" s="352">
        <f t="shared" ref="CR232:CR239" si="554">ROUND($BO232-SUMIFS($AA232:$BJ232, $AA$3:$BJ$3, $BO$3), rounding)</f>
        <v>0</v>
      </c>
      <c r="CS232" s="352">
        <f t="shared" ref="CS232:CS240" si="555">ROUND($V232-$BL232, rounding)</f>
        <v>0</v>
      </c>
      <c r="CT232" s="42"/>
      <c r="CU232" s="67">
        <v>0</v>
      </c>
      <c r="CV232" s="67">
        <v>0</v>
      </c>
      <c r="EX232" s="13" t="str">
        <f t="shared" si="546"/>
        <v>Other NCA Additions</v>
      </c>
    </row>
    <row r="233" spans="1:154" s="335" customFormat="1" x14ac:dyDescent="0.25">
      <c r="A233" s="362" cm="1">
        <f t="array" aca="1" ref="A233" ca="1">HYPERLINK(CONCATENATE("#",CELL("address",IF(SUM($CA233:$CL233)=0,A233,INDEX($CA233:$CL233,MATCH(1,$CA233:$CL233,0))))),SUM($CA233:$CL233))</f>
        <v>0</v>
      </c>
      <c r="C233" s="340" t="s">
        <v>1149</v>
      </c>
      <c r="D233" s="39" t="s">
        <v>385</v>
      </c>
      <c r="E233" s="39"/>
      <c r="G233" s="46"/>
      <c r="H233" s="47" t="s">
        <v>92</v>
      </c>
      <c r="V233" s="153">
        <f>V$70</f>
        <v>0</v>
      </c>
      <c r="W233" s="153">
        <f t="shared" ref="W233:BW233" si="556">W$70</f>
        <v>0</v>
      </c>
      <c r="X233" s="153">
        <f t="shared" si="556"/>
        <v>0</v>
      </c>
      <c r="Y233" s="153">
        <f t="shared" si="556"/>
        <v>0</v>
      </c>
      <c r="AA233" s="153">
        <f t="shared" si="556"/>
        <v>0</v>
      </c>
      <c r="AB233" s="153">
        <f t="shared" si="556"/>
        <v>0</v>
      </c>
      <c r="AC233" s="153">
        <f t="shared" si="556"/>
        <v>0</v>
      </c>
      <c r="AD233" s="153">
        <f t="shared" si="556"/>
        <v>0</v>
      </c>
      <c r="AE233" s="153">
        <f t="shared" si="556"/>
        <v>0</v>
      </c>
      <c r="AF233" s="153">
        <f t="shared" si="556"/>
        <v>0</v>
      </c>
      <c r="AG233" s="153">
        <f t="shared" si="556"/>
        <v>0</v>
      </c>
      <c r="AH233" s="153">
        <f t="shared" si="556"/>
        <v>0</v>
      </c>
      <c r="AI233" s="153">
        <f t="shared" si="556"/>
        <v>0</v>
      </c>
      <c r="AJ233" s="153">
        <f t="shared" si="556"/>
        <v>0</v>
      </c>
      <c r="AK233" s="153">
        <f t="shared" si="556"/>
        <v>0</v>
      </c>
      <c r="AL233" s="153">
        <f t="shared" si="556"/>
        <v>0</v>
      </c>
      <c r="AM233" s="153">
        <f t="shared" si="556"/>
        <v>0</v>
      </c>
      <c r="AN233" s="153">
        <f t="shared" si="556"/>
        <v>0</v>
      </c>
      <c r="AO233" s="153">
        <f t="shared" si="556"/>
        <v>0</v>
      </c>
      <c r="AP233" s="153">
        <f t="shared" si="556"/>
        <v>0</v>
      </c>
      <c r="AQ233" s="153">
        <f t="shared" si="556"/>
        <v>0</v>
      </c>
      <c r="AR233" s="153">
        <f t="shared" si="556"/>
        <v>0</v>
      </c>
      <c r="AS233" s="153">
        <f t="shared" si="556"/>
        <v>0</v>
      </c>
      <c r="AT233" s="153">
        <f t="shared" si="556"/>
        <v>0</v>
      </c>
      <c r="AU233" s="153">
        <f t="shared" si="556"/>
        <v>0</v>
      </c>
      <c r="AV233" s="153">
        <f t="shared" si="556"/>
        <v>0</v>
      </c>
      <c r="AW233" s="153">
        <f t="shared" si="556"/>
        <v>0</v>
      </c>
      <c r="AX233" s="153">
        <f t="shared" si="556"/>
        <v>0</v>
      </c>
      <c r="AY233" s="153">
        <f t="shared" si="556"/>
        <v>0</v>
      </c>
      <c r="AZ233" s="153">
        <f t="shared" si="556"/>
        <v>0</v>
      </c>
      <c r="BA233" s="153">
        <f t="shared" si="556"/>
        <v>0</v>
      </c>
      <c r="BB233" s="153">
        <f t="shared" si="556"/>
        <v>0</v>
      </c>
      <c r="BC233" s="153">
        <f t="shared" si="556"/>
        <v>0</v>
      </c>
      <c r="BD233" s="153">
        <f t="shared" si="556"/>
        <v>0</v>
      </c>
      <c r="BE233" s="153">
        <f t="shared" si="556"/>
        <v>0</v>
      </c>
      <c r="BF233" s="153">
        <f t="shared" si="556"/>
        <v>0</v>
      </c>
      <c r="BG233" s="153">
        <f t="shared" si="556"/>
        <v>0</v>
      </c>
      <c r="BH233" s="153">
        <f t="shared" si="556"/>
        <v>0</v>
      </c>
      <c r="BI233" s="153">
        <f t="shared" si="556"/>
        <v>0</v>
      </c>
      <c r="BJ233" s="153">
        <f t="shared" si="556"/>
        <v>0</v>
      </c>
      <c r="BL233" s="153">
        <f t="shared" si="556"/>
        <v>0</v>
      </c>
      <c r="BM233" s="153">
        <f t="shared" si="556"/>
        <v>0</v>
      </c>
      <c r="BN233" s="153">
        <f t="shared" si="556"/>
        <v>0</v>
      </c>
      <c r="BO233" s="153">
        <f t="shared" si="556"/>
        <v>0</v>
      </c>
      <c r="BP233" s="153">
        <f t="shared" si="556"/>
        <v>0</v>
      </c>
      <c r="BQ233" s="153">
        <f t="shared" si="556"/>
        <v>0</v>
      </c>
      <c r="BR233" s="153">
        <f t="shared" si="556"/>
        <v>0</v>
      </c>
      <c r="BS233" s="153">
        <f t="shared" si="556"/>
        <v>0</v>
      </c>
      <c r="BT233" s="153">
        <f t="shared" si="556"/>
        <v>0</v>
      </c>
      <c r="BU233" s="153">
        <f t="shared" si="556"/>
        <v>0</v>
      </c>
      <c r="BV233" s="153">
        <f t="shared" si="556"/>
        <v>0</v>
      </c>
      <c r="BW233" s="153">
        <f t="shared" si="556"/>
        <v>0</v>
      </c>
      <c r="BY233" s="12"/>
      <c r="BZ233" s="363">
        <f>IF(MIN($V233:$BW233)&lt;0, 1, 0)</f>
        <v>0</v>
      </c>
      <c r="CA233" s="12"/>
      <c r="CI233" s="7">
        <f t="shared" si="548"/>
        <v>0</v>
      </c>
      <c r="CJ233" s="7">
        <f t="shared" si="549"/>
        <v>0</v>
      </c>
      <c r="CK233" s="7">
        <f t="shared" si="550"/>
        <v>0</v>
      </c>
      <c r="CL233" s="42"/>
      <c r="CM233" s="352">
        <f t="shared" si="551"/>
        <v>0</v>
      </c>
      <c r="CN233" s="352">
        <f t="shared" si="551"/>
        <v>0</v>
      </c>
      <c r="CO233" s="352">
        <f t="shared" si="551"/>
        <v>0</v>
      </c>
      <c r="CP233" s="352">
        <f t="shared" si="552"/>
        <v>0</v>
      </c>
      <c r="CQ233" s="352">
        <f t="shared" si="553"/>
        <v>0</v>
      </c>
      <c r="CR233" s="352">
        <f t="shared" si="554"/>
        <v>0</v>
      </c>
      <c r="CS233" s="352">
        <f t="shared" si="555"/>
        <v>0</v>
      </c>
      <c r="CT233" s="42"/>
      <c r="CU233" s="335">
        <v>0</v>
      </c>
      <c r="CV233" s="335">
        <v>0</v>
      </c>
      <c r="EX233" s="13" t="str">
        <f t="shared" si="546"/>
        <v>Other NCA Movement from Assets under Construction</v>
      </c>
    </row>
    <row r="234" spans="1:154" x14ac:dyDescent="0.25">
      <c r="A234" s="362" cm="1">
        <f t="array" aca="1" ref="A234" ca="1">HYPERLINK(CONCATENATE("#",CELL("address",IF(SUM($CA234:$CL234)=0,A234,INDEX($CA234:$CL234,MATCH(1,$CA234:$CL234,0))))),SUM($CA234:$CL234))</f>
        <v>0</v>
      </c>
      <c r="C234" s="340" t="s">
        <v>1150</v>
      </c>
      <c r="D234" s="39" t="s">
        <v>94</v>
      </c>
      <c r="E234" s="39"/>
      <c r="G234" s="46"/>
      <c r="H234" s="47" t="s">
        <v>86</v>
      </c>
      <c r="S234" s="335"/>
      <c r="T234" s="335"/>
      <c r="U234" s="335"/>
      <c r="V234" s="10">
        <f>V$96</f>
        <v>0</v>
      </c>
      <c r="W234" s="10">
        <f>W$96</f>
        <v>0</v>
      </c>
      <c r="X234" s="10">
        <f>X$96</f>
        <v>0</v>
      </c>
      <c r="Y234" s="10">
        <f>Y$96</f>
        <v>0</v>
      </c>
      <c r="Z234" s="335"/>
      <c r="AA234" s="10">
        <f t="shared" ref="AA234:BJ234" si="557">AA$96</f>
        <v>0</v>
      </c>
      <c r="AB234" s="10">
        <f t="shared" si="557"/>
        <v>0</v>
      </c>
      <c r="AC234" s="10">
        <f t="shared" si="557"/>
        <v>0</v>
      </c>
      <c r="AD234" s="10">
        <f t="shared" si="557"/>
        <v>0</v>
      </c>
      <c r="AE234" s="10">
        <f t="shared" si="557"/>
        <v>0</v>
      </c>
      <c r="AF234" s="10">
        <f t="shared" si="557"/>
        <v>0</v>
      </c>
      <c r="AG234" s="10">
        <f t="shared" si="557"/>
        <v>0</v>
      </c>
      <c r="AH234" s="10">
        <f t="shared" si="557"/>
        <v>0</v>
      </c>
      <c r="AI234" s="10">
        <f t="shared" si="557"/>
        <v>0</v>
      </c>
      <c r="AJ234" s="10">
        <f t="shared" si="557"/>
        <v>0</v>
      </c>
      <c r="AK234" s="10">
        <f t="shared" si="557"/>
        <v>0</v>
      </c>
      <c r="AL234" s="10">
        <f t="shared" si="557"/>
        <v>0</v>
      </c>
      <c r="AM234" s="10">
        <f t="shared" si="557"/>
        <v>0</v>
      </c>
      <c r="AN234" s="10">
        <f t="shared" si="557"/>
        <v>0</v>
      </c>
      <c r="AO234" s="10">
        <f t="shared" si="557"/>
        <v>0</v>
      </c>
      <c r="AP234" s="10">
        <f t="shared" si="557"/>
        <v>0</v>
      </c>
      <c r="AQ234" s="10">
        <f t="shared" si="557"/>
        <v>0</v>
      </c>
      <c r="AR234" s="10">
        <f t="shared" si="557"/>
        <v>0</v>
      </c>
      <c r="AS234" s="10">
        <f t="shared" si="557"/>
        <v>0</v>
      </c>
      <c r="AT234" s="10">
        <f t="shared" si="557"/>
        <v>0</v>
      </c>
      <c r="AU234" s="10">
        <f t="shared" si="557"/>
        <v>0</v>
      </c>
      <c r="AV234" s="10">
        <f t="shared" si="557"/>
        <v>0</v>
      </c>
      <c r="AW234" s="10">
        <f t="shared" si="557"/>
        <v>0</v>
      </c>
      <c r="AX234" s="10">
        <f t="shared" si="557"/>
        <v>0</v>
      </c>
      <c r="AY234" s="10">
        <f t="shared" si="557"/>
        <v>0</v>
      </c>
      <c r="AZ234" s="10">
        <f t="shared" si="557"/>
        <v>0</v>
      </c>
      <c r="BA234" s="10">
        <f t="shared" si="557"/>
        <v>0</v>
      </c>
      <c r="BB234" s="10">
        <f t="shared" si="557"/>
        <v>0</v>
      </c>
      <c r="BC234" s="10">
        <f t="shared" si="557"/>
        <v>0</v>
      </c>
      <c r="BD234" s="10">
        <f t="shared" si="557"/>
        <v>0</v>
      </c>
      <c r="BE234" s="10">
        <f t="shared" si="557"/>
        <v>0</v>
      </c>
      <c r="BF234" s="10">
        <f t="shared" si="557"/>
        <v>0</v>
      </c>
      <c r="BG234" s="10">
        <f t="shared" si="557"/>
        <v>0</v>
      </c>
      <c r="BH234" s="10">
        <f t="shared" si="557"/>
        <v>0</v>
      </c>
      <c r="BI234" s="10">
        <f t="shared" si="557"/>
        <v>0</v>
      </c>
      <c r="BJ234" s="10">
        <f t="shared" si="557"/>
        <v>0</v>
      </c>
      <c r="BK234" s="335"/>
      <c r="BL234" s="10">
        <f t="shared" ref="BL234:BW234" si="558">BL$96</f>
        <v>0</v>
      </c>
      <c r="BM234" s="10">
        <f t="shared" si="558"/>
        <v>0</v>
      </c>
      <c r="BN234" s="10">
        <f t="shared" si="558"/>
        <v>0</v>
      </c>
      <c r="BO234" s="10">
        <f t="shared" si="558"/>
        <v>0</v>
      </c>
      <c r="BP234" s="10">
        <f t="shared" si="558"/>
        <v>0</v>
      </c>
      <c r="BQ234" s="10">
        <f t="shared" si="558"/>
        <v>0</v>
      </c>
      <c r="BR234" s="10">
        <f t="shared" si="558"/>
        <v>0</v>
      </c>
      <c r="BS234" s="10">
        <f t="shared" si="558"/>
        <v>0</v>
      </c>
      <c r="BT234" s="10">
        <f t="shared" si="558"/>
        <v>0</v>
      </c>
      <c r="BU234" s="10">
        <f t="shared" si="558"/>
        <v>0</v>
      </c>
      <c r="BV234" s="10">
        <f t="shared" si="558"/>
        <v>0</v>
      </c>
      <c r="BW234" s="10">
        <f t="shared" si="558"/>
        <v>0</v>
      </c>
      <c r="BY234" s="12"/>
      <c r="CA234" s="12"/>
      <c r="CI234" s="7">
        <f t="shared" si="548"/>
        <v>0</v>
      </c>
      <c r="CJ234" s="7">
        <f t="shared" si="549"/>
        <v>0</v>
      </c>
      <c r="CK234" s="7">
        <f t="shared" si="550"/>
        <v>0</v>
      </c>
      <c r="CL234" s="42"/>
      <c r="CM234" s="352">
        <f t="shared" si="551"/>
        <v>0</v>
      </c>
      <c r="CN234" s="352">
        <f t="shared" si="551"/>
        <v>0</v>
      </c>
      <c r="CO234" s="352">
        <f t="shared" si="551"/>
        <v>0</v>
      </c>
      <c r="CP234" s="352">
        <f t="shared" si="552"/>
        <v>0</v>
      </c>
      <c r="CQ234" s="352">
        <f t="shared" si="553"/>
        <v>0</v>
      </c>
      <c r="CR234" s="352">
        <f t="shared" si="554"/>
        <v>0</v>
      </c>
      <c r="CS234" s="352">
        <f t="shared" si="555"/>
        <v>0</v>
      </c>
      <c r="CT234" s="42"/>
      <c r="CU234" s="67">
        <v>0</v>
      </c>
      <c r="CV234" s="67">
        <v>0</v>
      </c>
      <c r="EX234" s="13" t="str">
        <f t="shared" si="546"/>
        <v>Other NCA Surplus/Loss on Revaluation</v>
      </c>
    </row>
    <row r="235" spans="1:154" x14ac:dyDescent="0.25">
      <c r="A235" s="362" cm="1">
        <f t="array" aca="1" ref="A235" ca="1">HYPERLINK(CONCATENATE("#",CELL("address",IF(SUM($CA235:$CL235)=0,A235,INDEX($CA235:$CL235,MATCH(1,$CA235:$CL235,0))))),SUM($CA235:$CL235))</f>
        <v>0</v>
      </c>
      <c r="C235" s="340" t="s">
        <v>1151</v>
      </c>
      <c r="D235" s="39" t="s">
        <v>95</v>
      </c>
      <c r="E235" s="39"/>
      <c r="G235" s="46"/>
      <c r="H235" s="47" t="s">
        <v>98</v>
      </c>
      <c r="T235" s="335"/>
      <c r="U235" s="335"/>
      <c r="V235" s="153">
        <f>V$122</f>
        <v>0</v>
      </c>
      <c r="W235" s="153">
        <f>W$122</f>
        <v>0</v>
      </c>
      <c r="X235" s="153">
        <f>X$122</f>
        <v>0</v>
      </c>
      <c r="Y235" s="153">
        <f>Y$122</f>
        <v>0</v>
      </c>
      <c r="Z235" s="335"/>
      <c r="AA235" s="153">
        <f t="shared" ref="AA235:BJ235" si="559">AA$122</f>
        <v>0</v>
      </c>
      <c r="AB235" s="153">
        <f t="shared" si="559"/>
        <v>0</v>
      </c>
      <c r="AC235" s="153">
        <f t="shared" si="559"/>
        <v>0</v>
      </c>
      <c r="AD235" s="153">
        <f t="shared" si="559"/>
        <v>0</v>
      </c>
      <c r="AE235" s="153">
        <f t="shared" si="559"/>
        <v>0</v>
      </c>
      <c r="AF235" s="153">
        <f t="shared" si="559"/>
        <v>0</v>
      </c>
      <c r="AG235" s="153">
        <f t="shared" si="559"/>
        <v>0</v>
      </c>
      <c r="AH235" s="153">
        <f t="shared" si="559"/>
        <v>0</v>
      </c>
      <c r="AI235" s="153">
        <f t="shared" si="559"/>
        <v>0</v>
      </c>
      <c r="AJ235" s="153">
        <f t="shared" si="559"/>
        <v>0</v>
      </c>
      <c r="AK235" s="153">
        <f t="shared" si="559"/>
        <v>0</v>
      </c>
      <c r="AL235" s="153">
        <f t="shared" si="559"/>
        <v>0</v>
      </c>
      <c r="AM235" s="153">
        <f t="shared" si="559"/>
        <v>0</v>
      </c>
      <c r="AN235" s="153">
        <f t="shared" si="559"/>
        <v>0</v>
      </c>
      <c r="AO235" s="153">
        <f t="shared" si="559"/>
        <v>0</v>
      </c>
      <c r="AP235" s="153">
        <f t="shared" si="559"/>
        <v>0</v>
      </c>
      <c r="AQ235" s="153">
        <f t="shared" si="559"/>
        <v>0</v>
      </c>
      <c r="AR235" s="153">
        <f t="shared" si="559"/>
        <v>0</v>
      </c>
      <c r="AS235" s="153">
        <f t="shared" si="559"/>
        <v>0</v>
      </c>
      <c r="AT235" s="153">
        <f t="shared" si="559"/>
        <v>0</v>
      </c>
      <c r="AU235" s="153">
        <f t="shared" si="559"/>
        <v>0</v>
      </c>
      <c r="AV235" s="153">
        <f t="shared" si="559"/>
        <v>0</v>
      </c>
      <c r="AW235" s="153">
        <f t="shared" si="559"/>
        <v>0</v>
      </c>
      <c r="AX235" s="153">
        <f t="shared" si="559"/>
        <v>0</v>
      </c>
      <c r="AY235" s="153">
        <f t="shared" si="559"/>
        <v>0</v>
      </c>
      <c r="AZ235" s="153">
        <f t="shared" si="559"/>
        <v>0</v>
      </c>
      <c r="BA235" s="153">
        <f t="shared" si="559"/>
        <v>0</v>
      </c>
      <c r="BB235" s="153">
        <f t="shared" si="559"/>
        <v>0</v>
      </c>
      <c r="BC235" s="153">
        <f t="shared" si="559"/>
        <v>0</v>
      </c>
      <c r="BD235" s="153">
        <f t="shared" si="559"/>
        <v>0</v>
      </c>
      <c r="BE235" s="153">
        <f t="shared" si="559"/>
        <v>0</v>
      </c>
      <c r="BF235" s="153">
        <f t="shared" si="559"/>
        <v>0</v>
      </c>
      <c r="BG235" s="153">
        <f t="shared" si="559"/>
        <v>0</v>
      </c>
      <c r="BH235" s="153">
        <f t="shared" si="559"/>
        <v>0</v>
      </c>
      <c r="BI235" s="153">
        <f t="shared" si="559"/>
        <v>0</v>
      </c>
      <c r="BJ235" s="153">
        <f t="shared" si="559"/>
        <v>0</v>
      </c>
      <c r="BK235" s="335"/>
      <c r="BL235" s="153">
        <f t="shared" ref="BL235:BW235" si="560">BL$122</f>
        <v>0</v>
      </c>
      <c r="BM235" s="153">
        <f t="shared" si="560"/>
        <v>0</v>
      </c>
      <c r="BN235" s="153">
        <f t="shared" si="560"/>
        <v>0</v>
      </c>
      <c r="BO235" s="153">
        <f t="shared" si="560"/>
        <v>0</v>
      </c>
      <c r="BP235" s="153">
        <f t="shared" si="560"/>
        <v>0</v>
      </c>
      <c r="BQ235" s="153">
        <f t="shared" si="560"/>
        <v>0</v>
      </c>
      <c r="BR235" s="153">
        <f t="shared" si="560"/>
        <v>0</v>
      </c>
      <c r="BS235" s="153">
        <f t="shared" si="560"/>
        <v>0</v>
      </c>
      <c r="BT235" s="153">
        <f t="shared" si="560"/>
        <v>0</v>
      </c>
      <c r="BU235" s="153">
        <f t="shared" si="560"/>
        <v>0</v>
      </c>
      <c r="BV235" s="153">
        <f t="shared" si="560"/>
        <v>0</v>
      </c>
      <c r="BW235" s="153">
        <f t="shared" si="560"/>
        <v>0</v>
      </c>
      <c r="BY235" s="12"/>
      <c r="BZ235" s="363">
        <f>IF(MAX($V235:$BW235)&gt;0, 1, 0)</f>
        <v>0</v>
      </c>
      <c r="CA235" s="12"/>
      <c r="CI235" s="7">
        <f t="shared" si="548"/>
        <v>0</v>
      </c>
      <c r="CJ235" s="7">
        <f t="shared" si="549"/>
        <v>0</v>
      </c>
      <c r="CK235" s="7">
        <f t="shared" si="550"/>
        <v>0</v>
      </c>
      <c r="CL235" s="42"/>
      <c r="CM235" s="352">
        <f t="shared" si="551"/>
        <v>0</v>
      </c>
      <c r="CN235" s="352">
        <f t="shared" si="551"/>
        <v>0</v>
      </c>
      <c r="CO235" s="352">
        <f t="shared" si="551"/>
        <v>0</v>
      </c>
      <c r="CP235" s="352">
        <f t="shared" si="552"/>
        <v>0</v>
      </c>
      <c r="CQ235" s="352">
        <f t="shared" si="553"/>
        <v>0</v>
      </c>
      <c r="CR235" s="352">
        <f t="shared" si="554"/>
        <v>0</v>
      </c>
      <c r="CS235" s="352">
        <f t="shared" si="555"/>
        <v>0</v>
      </c>
      <c r="CT235" s="42"/>
      <c r="CU235" s="67">
        <v>0</v>
      </c>
      <c r="CV235" s="67">
        <v>0</v>
      </c>
      <c r="EX235" s="13" t="str">
        <f t="shared" si="546"/>
        <v>Other NCA Moved to Assets Held for Sale</v>
      </c>
    </row>
    <row r="236" spans="1:154" x14ac:dyDescent="0.25">
      <c r="A236" s="362" cm="1">
        <f t="array" aca="1" ref="A236" ca="1">HYPERLINK(CONCATENATE("#",CELL("address",IF(SUM($CA236:$CL236)=0,A236,INDEX($CA236:$CL236,MATCH(1,$CA236:$CL236,0))))),SUM($CA236:$CL236))</f>
        <v>0</v>
      </c>
      <c r="C236" s="340" t="s">
        <v>1152</v>
      </c>
      <c r="D236" s="39" t="s">
        <v>121</v>
      </c>
      <c r="E236" s="39"/>
      <c r="G236" s="46"/>
      <c r="H236" s="47" t="s">
        <v>98</v>
      </c>
      <c r="S236" s="319"/>
      <c r="T236" s="335"/>
      <c r="U236" s="335"/>
      <c r="V236" s="153">
        <f>V$172</f>
        <v>0</v>
      </c>
      <c r="W236" s="153">
        <f t="shared" ref="W236:BW236" si="561">W$172</f>
        <v>0</v>
      </c>
      <c r="X236" s="153">
        <f t="shared" si="561"/>
        <v>0</v>
      </c>
      <c r="Y236" s="153">
        <f t="shared" si="561"/>
        <v>0</v>
      </c>
      <c r="Z236" s="335"/>
      <c r="AA236" s="153">
        <f t="shared" si="561"/>
        <v>0</v>
      </c>
      <c r="AB236" s="153">
        <f t="shared" si="561"/>
        <v>0</v>
      </c>
      <c r="AC236" s="153">
        <f t="shared" si="561"/>
        <v>0</v>
      </c>
      <c r="AD236" s="153">
        <f t="shared" si="561"/>
        <v>0</v>
      </c>
      <c r="AE236" s="153">
        <f t="shared" si="561"/>
        <v>0</v>
      </c>
      <c r="AF236" s="153">
        <f t="shared" si="561"/>
        <v>0</v>
      </c>
      <c r="AG236" s="153">
        <f t="shared" si="561"/>
        <v>0</v>
      </c>
      <c r="AH236" s="153">
        <f t="shared" si="561"/>
        <v>0</v>
      </c>
      <c r="AI236" s="153">
        <f t="shared" si="561"/>
        <v>0</v>
      </c>
      <c r="AJ236" s="153">
        <f t="shared" si="561"/>
        <v>0</v>
      </c>
      <c r="AK236" s="153">
        <f t="shared" si="561"/>
        <v>0</v>
      </c>
      <c r="AL236" s="153">
        <f t="shared" si="561"/>
        <v>0</v>
      </c>
      <c r="AM236" s="153">
        <f t="shared" si="561"/>
        <v>0</v>
      </c>
      <c r="AN236" s="153">
        <f t="shared" si="561"/>
        <v>0</v>
      </c>
      <c r="AO236" s="153">
        <f t="shared" si="561"/>
        <v>0</v>
      </c>
      <c r="AP236" s="153">
        <f t="shared" si="561"/>
        <v>0</v>
      </c>
      <c r="AQ236" s="153">
        <f t="shared" si="561"/>
        <v>0</v>
      </c>
      <c r="AR236" s="153">
        <f t="shared" si="561"/>
        <v>0</v>
      </c>
      <c r="AS236" s="153">
        <f t="shared" si="561"/>
        <v>0</v>
      </c>
      <c r="AT236" s="153">
        <f t="shared" si="561"/>
        <v>0</v>
      </c>
      <c r="AU236" s="153">
        <f t="shared" si="561"/>
        <v>0</v>
      </c>
      <c r="AV236" s="153">
        <f t="shared" si="561"/>
        <v>0</v>
      </c>
      <c r="AW236" s="153">
        <f t="shared" si="561"/>
        <v>0</v>
      </c>
      <c r="AX236" s="153">
        <f t="shared" si="561"/>
        <v>0</v>
      </c>
      <c r="AY236" s="153">
        <f t="shared" si="561"/>
        <v>0</v>
      </c>
      <c r="AZ236" s="153">
        <f t="shared" si="561"/>
        <v>0</v>
      </c>
      <c r="BA236" s="153">
        <f t="shared" si="561"/>
        <v>0</v>
      </c>
      <c r="BB236" s="153">
        <f t="shared" si="561"/>
        <v>0</v>
      </c>
      <c r="BC236" s="153">
        <f t="shared" si="561"/>
        <v>0</v>
      </c>
      <c r="BD236" s="153">
        <f t="shared" si="561"/>
        <v>0</v>
      </c>
      <c r="BE236" s="153">
        <f t="shared" si="561"/>
        <v>0</v>
      </c>
      <c r="BF236" s="153">
        <f t="shared" si="561"/>
        <v>0</v>
      </c>
      <c r="BG236" s="153">
        <f t="shared" si="561"/>
        <v>0</v>
      </c>
      <c r="BH236" s="153">
        <f t="shared" si="561"/>
        <v>0</v>
      </c>
      <c r="BI236" s="153">
        <f t="shared" si="561"/>
        <v>0</v>
      </c>
      <c r="BJ236" s="153">
        <f t="shared" si="561"/>
        <v>0</v>
      </c>
      <c r="BK236" s="335"/>
      <c r="BL236" s="153">
        <f t="shared" si="561"/>
        <v>0</v>
      </c>
      <c r="BM236" s="153">
        <f t="shared" si="561"/>
        <v>0</v>
      </c>
      <c r="BN236" s="153">
        <f t="shared" si="561"/>
        <v>0</v>
      </c>
      <c r="BO236" s="153">
        <f t="shared" si="561"/>
        <v>0</v>
      </c>
      <c r="BP236" s="153">
        <f t="shared" si="561"/>
        <v>0</v>
      </c>
      <c r="BQ236" s="153">
        <f t="shared" si="561"/>
        <v>0</v>
      </c>
      <c r="BR236" s="153">
        <f t="shared" si="561"/>
        <v>0</v>
      </c>
      <c r="BS236" s="153">
        <f t="shared" si="561"/>
        <v>0</v>
      </c>
      <c r="BT236" s="153">
        <f t="shared" si="561"/>
        <v>0</v>
      </c>
      <c r="BU236" s="153">
        <f t="shared" si="561"/>
        <v>0</v>
      </c>
      <c r="BV236" s="153">
        <f t="shared" si="561"/>
        <v>0</v>
      </c>
      <c r="BW236" s="153">
        <f t="shared" si="561"/>
        <v>0</v>
      </c>
      <c r="BY236" s="12"/>
      <c r="BZ236" s="363">
        <f>IF(MAX($V236:$BW236)&gt;0, 1, 0)</f>
        <v>0</v>
      </c>
      <c r="CA236" s="12"/>
      <c r="CI236" s="7">
        <f t="shared" si="548"/>
        <v>0</v>
      </c>
      <c r="CJ236" s="7">
        <f t="shared" si="549"/>
        <v>0</v>
      </c>
      <c r="CK236" s="7">
        <f t="shared" si="550"/>
        <v>0</v>
      </c>
      <c r="CL236" s="42"/>
      <c r="CM236" s="352">
        <f t="shared" si="551"/>
        <v>0</v>
      </c>
      <c r="CN236" s="352">
        <f t="shared" si="551"/>
        <v>0</v>
      </c>
      <c r="CO236" s="352">
        <f t="shared" si="551"/>
        <v>0</v>
      </c>
      <c r="CP236" s="352">
        <f t="shared" si="552"/>
        <v>0</v>
      </c>
      <c r="CQ236" s="352">
        <f t="shared" si="553"/>
        <v>0</v>
      </c>
      <c r="CR236" s="352">
        <f t="shared" si="554"/>
        <v>0</v>
      </c>
      <c r="CS236" s="352">
        <f t="shared" si="555"/>
        <v>0</v>
      </c>
      <c r="CT236" s="42"/>
      <c r="CU236" s="67">
        <v>0</v>
      </c>
      <c r="CV236" s="67">
        <v>0</v>
      </c>
      <c r="EX236" s="13" t="str">
        <f t="shared" si="546"/>
        <v>Other NCA Disposals</v>
      </c>
    </row>
    <row r="237" spans="1:154" x14ac:dyDescent="0.25">
      <c r="A237" s="362" cm="1">
        <f t="array" aca="1" ref="A237" ca="1">HYPERLINK(CONCATENATE("#",CELL("address",IF(SUM($CA237:$CL237)=0,A237,INDEX($CA237:$CL237,MATCH(1,$CA237:$CL237,0))))),SUM($CA237:$CL237))</f>
        <v>0</v>
      </c>
      <c r="C237" s="340" t="s">
        <v>1153</v>
      </c>
      <c r="D237" s="39" t="s">
        <v>96</v>
      </c>
      <c r="E237" s="39"/>
      <c r="F237" s="335"/>
      <c r="G237" s="46"/>
      <c r="H237" s="47" t="s">
        <v>98</v>
      </c>
      <c r="S237" s="335"/>
      <c r="T237" s="335"/>
      <c r="U237" s="335"/>
      <c r="V237" s="141"/>
      <c r="W237" s="215">
        <f t="shared" ref="W237:Y238" si="562" xml:space="preserve"> SUMIFS($AA237:$BJ237, $AA$3:$BJ$3, W$3)</f>
        <v>-200</v>
      </c>
      <c r="X237" s="215">
        <f t="shared" si="562"/>
        <v>-200</v>
      </c>
      <c r="Y237" s="215">
        <f t="shared" si="562"/>
        <v>-200</v>
      </c>
      <c r="Z237" s="335"/>
      <c r="AA237" s="147">
        <v>-17</v>
      </c>
      <c r="AB237" s="147">
        <v>-16</v>
      </c>
      <c r="AC237" s="147">
        <v>-17</v>
      </c>
      <c r="AD237" s="147">
        <v>-16</v>
      </c>
      <c r="AE237" s="147">
        <v>-17</v>
      </c>
      <c r="AF237" s="147">
        <v>-16</v>
      </c>
      <c r="AG237" s="147">
        <v>-17</v>
      </c>
      <c r="AH237" s="147">
        <v>-16</v>
      </c>
      <c r="AI237" s="147">
        <v>-17</v>
      </c>
      <c r="AJ237" s="147">
        <v>-17</v>
      </c>
      <c r="AK237" s="147">
        <v>-17</v>
      </c>
      <c r="AL237" s="147">
        <v>-17</v>
      </c>
      <c r="AM237" s="147">
        <v>-17</v>
      </c>
      <c r="AN237" s="147">
        <v>-16</v>
      </c>
      <c r="AO237" s="147">
        <v>-17</v>
      </c>
      <c r="AP237" s="147">
        <v>-16</v>
      </c>
      <c r="AQ237" s="147">
        <v>-17</v>
      </c>
      <c r="AR237" s="147">
        <v>-16</v>
      </c>
      <c r="AS237" s="147">
        <v>-17</v>
      </c>
      <c r="AT237" s="147">
        <v>-16</v>
      </c>
      <c r="AU237" s="147">
        <v>-17</v>
      </c>
      <c r="AV237" s="147">
        <v>-17</v>
      </c>
      <c r="AW237" s="147">
        <v>-17</v>
      </c>
      <c r="AX237" s="147">
        <v>-17</v>
      </c>
      <c r="AY237" s="147">
        <v>-17</v>
      </c>
      <c r="AZ237" s="147">
        <v>-16</v>
      </c>
      <c r="BA237" s="147">
        <v>-17</v>
      </c>
      <c r="BB237" s="147">
        <v>-16</v>
      </c>
      <c r="BC237" s="147">
        <v>-17</v>
      </c>
      <c r="BD237" s="147">
        <v>-16</v>
      </c>
      <c r="BE237" s="147">
        <v>-17</v>
      </c>
      <c r="BF237" s="147">
        <v>-16</v>
      </c>
      <c r="BG237" s="147">
        <v>-17</v>
      </c>
      <c r="BH237" s="147">
        <v>-17</v>
      </c>
      <c r="BI237" s="147">
        <v>-17</v>
      </c>
      <c r="BJ237" s="147">
        <v>-17</v>
      </c>
      <c r="BK237" s="335"/>
      <c r="BL237" s="13">
        <f t="shared" ref="BL237:BO238" si="563">V237</f>
        <v>0</v>
      </c>
      <c r="BM237" s="13">
        <f t="shared" si="563"/>
        <v>-200</v>
      </c>
      <c r="BN237" s="13">
        <f t="shared" si="563"/>
        <v>-200</v>
      </c>
      <c r="BO237" s="13">
        <f t="shared" si="563"/>
        <v>-200</v>
      </c>
      <c r="BP237" s="141"/>
      <c r="BQ237" s="141"/>
      <c r="BR237" s="141"/>
      <c r="BS237" s="141"/>
      <c r="BT237" s="141"/>
      <c r="BU237" s="141"/>
      <c r="BV237" s="141"/>
      <c r="BW237" s="141"/>
      <c r="BY237" s="12"/>
      <c r="BZ237" s="363">
        <f>IF(MAX($V237:$BW237)&gt;0, 1, 0)</f>
        <v>0</v>
      </c>
      <c r="CA237" s="12"/>
      <c r="CI237" s="7">
        <f t="shared" si="548"/>
        <v>0</v>
      </c>
      <c r="CJ237" s="7">
        <f t="shared" si="549"/>
        <v>0</v>
      </c>
      <c r="CK237" s="7">
        <f t="shared" si="550"/>
        <v>0</v>
      </c>
      <c r="CL237" s="42"/>
      <c r="CM237" s="352">
        <f t="shared" si="551"/>
        <v>0</v>
      </c>
      <c r="CN237" s="352">
        <f t="shared" si="551"/>
        <v>0</v>
      </c>
      <c r="CO237" s="352">
        <f t="shared" si="551"/>
        <v>0</v>
      </c>
      <c r="CP237" s="352">
        <f t="shared" si="552"/>
        <v>0</v>
      </c>
      <c r="CQ237" s="352">
        <f t="shared" si="553"/>
        <v>0</v>
      </c>
      <c r="CR237" s="352">
        <f t="shared" si="554"/>
        <v>0</v>
      </c>
      <c r="CS237" s="352">
        <f t="shared" si="555"/>
        <v>0</v>
      </c>
      <c r="CT237" s="42"/>
      <c r="CU237" s="67">
        <v>1</v>
      </c>
      <c r="CV237" s="67">
        <v>1</v>
      </c>
      <c r="EX237" s="13" t="str">
        <f t="shared" si="546"/>
        <v>Other NCA Depreciation</v>
      </c>
    </row>
    <row r="238" spans="1:154" s="335" customFormat="1" ht="15.75" x14ac:dyDescent="0.3">
      <c r="A238" s="362" cm="1">
        <f t="array" aca="1" ref="A238" ca="1">HYPERLINK(CONCATENATE("#",CELL("address",IF(SUM($CA238:$CL238)=0,A238,INDEX($CA238:$CL238,MATCH(1,$CA238:$CL238,0))))),SUM($CA238:$CL238))</f>
        <v>0</v>
      </c>
      <c r="C238" s="340" t="s">
        <v>1154</v>
      </c>
      <c r="D238" s="177" t="s">
        <v>149</v>
      </c>
      <c r="E238" s="479" t="s">
        <v>335</v>
      </c>
      <c r="G238" s="46"/>
      <c r="H238" s="47" t="s">
        <v>86</v>
      </c>
      <c r="V238" s="141"/>
      <c r="W238" s="215">
        <f t="shared" si="562"/>
        <v>0</v>
      </c>
      <c r="X238" s="215">
        <f t="shared" si="562"/>
        <v>0</v>
      </c>
      <c r="Y238" s="215">
        <f t="shared" si="562"/>
        <v>0</v>
      </c>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L238" s="13">
        <f t="shared" si="563"/>
        <v>0</v>
      </c>
      <c r="BM238" s="13">
        <f t="shared" si="563"/>
        <v>0</v>
      </c>
      <c r="BN238" s="13">
        <f t="shared" si="563"/>
        <v>0</v>
      </c>
      <c r="BO238" s="13">
        <f t="shared" si="563"/>
        <v>0</v>
      </c>
      <c r="BP238" s="141"/>
      <c r="BQ238" s="141"/>
      <c r="BR238" s="141"/>
      <c r="BS238" s="141"/>
      <c r="BT238" s="141"/>
      <c r="BU238" s="141"/>
      <c r="BV238" s="141"/>
      <c r="BW238" s="141"/>
      <c r="BY238" s="12"/>
      <c r="CA238" s="12"/>
      <c r="CI238" s="7">
        <f t="shared" si="548"/>
        <v>0</v>
      </c>
      <c r="CJ238" s="7">
        <f t="shared" si="549"/>
        <v>0</v>
      </c>
      <c r="CK238" s="7">
        <f t="shared" si="550"/>
        <v>0</v>
      </c>
      <c r="CL238" s="42"/>
      <c r="CM238" s="352">
        <f t="shared" si="551"/>
        <v>0</v>
      </c>
      <c r="CN238" s="352">
        <f t="shared" si="551"/>
        <v>0</v>
      </c>
      <c r="CO238" s="352">
        <f t="shared" si="551"/>
        <v>0</v>
      </c>
      <c r="CP238" s="352">
        <f t="shared" si="552"/>
        <v>0</v>
      </c>
      <c r="CQ238" s="352">
        <f t="shared" si="553"/>
        <v>0</v>
      </c>
      <c r="CR238" s="352">
        <f t="shared" si="554"/>
        <v>0</v>
      </c>
      <c r="CS238" s="352">
        <f t="shared" si="555"/>
        <v>0</v>
      </c>
      <c r="CT238" s="42"/>
      <c r="CU238" s="335">
        <v>1</v>
      </c>
      <c r="CV238" s="335">
        <v>1</v>
      </c>
      <c r="EX238" s="13" t="str">
        <f t="shared" si="546"/>
        <v>Other NCA Movement due to mergers</v>
      </c>
    </row>
    <row r="239" spans="1:154" s="335" customFormat="1" x14ac:dyDescent="0.25">
      <c r="A239" s="362" cm="1">
        <f t="array" aca="1" ref="A239" ca="1">HYPERLINK(CONCATENATE("#",CELL("address",IF(SUM($CA239:$CL239)=0,A239,INDEX($CA239:$CL239,MATCH(1,$CA239:$CL239,0))))),SUM($CA239:$CL239))</f>
        <v>0</v>
      </c>
      <c r="C239" s="340" t="s">
        <v>1155</v>
      </c>
      <c r="D239" s="39" t="s">
        <v>988</v>
      </c>
      <c r="E239" s="39" t="s">
        <v>2356</v>
      </c>
      <c r="G239" s="46"/>
      <c r="H239" s="47" t="s">
        <v>98</v>
      </c>
      <c r="V239" s="10">
        <f>V$325</f>
        <v>0</v>
      </c>
      <c r="W239" s="10">
        <f>W$325</f>
        <v>0</v>
      </c>
      <c r="X239" s="10">
        <f t="shared" ref="X239:BJ239" si="564">X$325</f>
        <v>0</v>
      </c>
      <c r="Y239" s="10">
        <f t="shared" si="564"/>
        <v>0</v>
      </c>
      <c r="AA239" s="10">
        <f t="shared" si="564"/>
        <v>0</v>
      </c>
      <c r="AB239" s="10">
        <f t="shared" si="564"/>
        <v>0</v>
      </c>
      <c r="AC239" s="10">
        <f t="shared" si="564"/>
        <v>0</v>
      </c>
      <c r="AD239" s="10">
        <f t="shared" si="564"/>
        <v>0</v>
      </c>
      <c r="AE239" s="10">
        <f t="shared" si="564"/>
        <v>0</v>
      </c>
      <c r="AF239" s="10">
        <f t="shared" si="564"/>
        <v>0</v>
      </c>
      <c r="AG239" s="10">
        <f t="shared" si="564"/>
        <v>0</v>
      </c>
      <c r="AH239" s="10">
        <f t="shared" si="564"/>
        <v>0</v>
      </c>
      <c r="AI239" s="10">
        <f t="shared" si="564"/>
        <v>0</v>
      </c>
      <c r="AJ239" s="10">
        <f t="shared" si="564"/>
        <v>0</v>
      </c>
      <c r="AK239" s="10">
        <f t="shared" si="564"/>
        <v>0</v>
      </c>
      <c r="AL239" s="10">
        <f t="shared" si="564"/>
        <v>0</v>
      </c>
      <c r="AM239" s="10">
        <f t="shared" si="564"/>
        <v>0</v>
      </c>
      <c r="AN239" s="10">
        <f t="shared" si="564"/>
        <v>0</v>
      </c>
      <c r="AO239" s="10">
        <f t="shared" si="564"/>
        <v>0</v>
      </c>
      <c r="AP239" s="10">
        <f t="shared" si="564"/>
        <v>0</v>
      </c>
      <c r="AQ239" s="10">
        <f t="shared" si="564"/>
        <v>0</v>
      </c>
      <c r="AR239" s="10">
        <f t="shared" si="564"/>
        <v>0</v>
      </c>
      <c r="AS239" s="10">
        <f t="shared" si="564"/>
        <v>0</v>
      </c>
      <c r="AT239" s="10">
        <f t="shared" si="564"/>
        <v>0</v>
      </c>
      <c r="AU239" s="10">
        <f t="shared" si="564"/>
        <v>0</v>
      </c>
      <c r="AV239" s="10">
        <f t="shared" si="564"/>
        <v>0</v>
      </c>
      <c r="AW239" s="10">
        <f t="shared" si="564"/>
        <v>0</v>
      </c>
      <c r="AX239" s="10">
        <f t="shared" si="564"/>
        <v>0</v>
      </c>
      <c r="AY239" s="10">
        <f t="shared" si="564"/>
        <v>0</v>
      </c>
      <c r="AZ239" s="10">
        <f t="shared" si="564"/>
        <v>0</v>
      </c>
      <c r="BA239" s="10">
        <f t="shared" si="564"/>
        <v>0</v>
      </c>
      <c r="BB239" s="10">
        <f t="shared" si="564"/>
        <v>0</v>
      </c>
      <c r="BC239" s="10">
        <f t="shared" si="564"/>
        <v>0</v>
      </c>
      <c r="BD239" s="10">
        <f t="shared" si="564"/>
        <v>0</v>
      </c>
      <c r="BE239" s="10">
        <f t="shared" si="564"/>
        <v>0</v>
      </c>
      <c r="BF239" s="10">
        <f t="shared" si="564"/>
        <v>0</v>
      </c>
      <c r="BG239" s="10">
        <f t="shared" si="564"/>
        <v>0</v>
      </c>
      <c r="BH239" s="10">
        <f t="shared" si="564"/>
        <v>0</v>
      </c>
      <c r="BI239" s="10">
        <f t="shared" si="564"/>
        <v>0</v>
      </c>
      <c r="BJ239" s="10">
        <f t="shared" si="564"/>
        <v>0</v>
      </c>
      <c r="BL239" s="10">
        <f>BL$325</f>
        <v>0</v>
      </c>
      <c r="BM239" s="10">
        <f>BM$325</f>
        <v>0</v>
      </c>
      <c r="BN239" s="10">
        <f t="shared" ref="BN239:BW239" si="565">BN$325</f>
        <v>0</v>
      </c>
      <c r="BO239" s="10">
        <f t="shared" si="565"/>
        <v>0</v>
      </c>
      <c r="BP239" s="10">
        <f t="shared" si="565"/>
        <v>0</v>
      </c>
      <c r="BQ239" s="10">
        <f t="shared" si="565"/>
        <v>0</v>
      </c>
      <c r="BR239" s="10">
        <f t="shared" si="565"/>
        <v>0</v>
      </c>
      <c r="BS239" s="10">
        <f t="shared" si="565"/>
        <v>0</v>
      </c>
      <c r="BT239" s="10">
        <f t="shared" si="565"/>
        <v>0</v>
      </c>
      <c r="BU239" s="10">
        <f t="shared" si="565"/>
        <v>0</v>
      </c>
      <c r="BV239" s="10">
        <f t="shared" si="565"/>
        <v>0</v>
      </c>
      <c r="BW239" s="10">
        <f t="shared" si="565"/>
        <v>0</v>
      </c>
      <c r="BY239" s="12"/>
      <c r="CA239" s="12"/>
      <c r="CI239" s="7">
        <f t="shared" si="548"/>
        <v>0</v>
      </c>
      <c r="CJ239" s="7">
        <f t="shared" si="549"/>
        <v>0</v>
      </c>
      <c r="CK239" s="7">
        <f t="shared" si="550"/>
        <v>0</v>
      </c>
      <c r="CL239" s="42"/>
      <c r="CM239" s="352">
        <f t="shared" si="551"/>
        <v>0</v>
      </c>
      <c r="CN239" s="352">
        <f t="shared" si="551"/>
        <v>0</v>
      </c>
      <c r="CO239" s="352">
        <f t="shared" si="551"/>
        <v>0</v>
      </c>
      <c r="CP239" s="352">
        <f t="shared" si="552"/>
        <v>0</v>
      </c>
      <c r="CQ239" s="352">
        <f t="shared" si="553"/>
        <v>0</v>
      </c>
      <c r="CR239" s="352">
        <f t="shared" si="554"/>
        <v>0</v>
      </c>
      <c r="CS239" s="352">
        <f t="shared" si="555"/>
        <v>0</v>
      </c>
      <c r="CT239" s="42"/>
      <c r="CU239" s="335">
        <v>0</v>
      </c>
      <c r="CV239" s="335">
        <v>0</v>
      </c>
      <c r="EX239" s="13" t="str">
        <f t="shared" si="546"/>
        <v>Other NCA NCA Reclassification</v>
      </c>
    </row>
    <row r="240" spans="1:154" x14ac:dyDescent="0.25">
      <c r="A240" s="362" cm="1">
        <f t="array" aca="1" ref="A240" ca="1">HYPERLINK(CONCATENATE("#",CELL("address",IF(SUM($CA240:$CL240)=0,A240,INDEX($CA240:$CL240,MATCH(1,$CA240:$CL240,0))))),SUM($CA240:$CL240))</f>
        <v>0</v>
      </c>
      <c r="C240" s="340" t="s">
        <v>1147</v>
      </c>
      <c r="D240" s="39" t="s">
        <v>97</v>
      </c>
      <c r="E240" s="352">
        <f>ROUND(V240-SUM(V231:V239), rounding)*$V$329</f>
        <v>0</v>
      </c>
      <c r="G240" s="46"/>
      <c r="H240" s="48"/>
      <c r="S240" s="335"/>
      <c r="T240" s="335"/>
      <c r="U240" s="335"/>
      <c r="V240" s="13">
        <f>'Opening Balances'!W12</f>
        <v>600</v>
      </c>
      <c r="W240" s="153">
        <f>SUM(W231:W239)</f>
        <v>400</v>
      </c>
      <c r="X240" s="153">
        <f t="shared" ref="X240:BJ240" si="566">SUM(X231:X239)</f>
        <v>200</v>
      </c>
      <c r="Y240" s="153">
        <f t="shared" si="566"/>
        <v>0</v>
      </c>
      <c r="Z240" s="335"/>
      <c r="AA240" s="153">
        <f t="shared" si="566"/>
        <v>583</v>
      </c>
      <c r="AB240" s="153">
        <f t="shared" si="566"/>
        <v>567</v>
      </c>
      <c r="AC240" s="153">
        <f t="shared" si="566"/>
        <v>550</v>
      </c>
      <c r="AD240" s="153">
        <f t="shared" si="566"/>
        <v>534</v>
      </c>
      <c r="AE240" s="153">
        <f t="shared" si="566"/>
        <v>517</v>
      </c>
      <c r="AF240" s="153">
        <f t="shared" si="566"/>
        <v>501</v>
      </c>
      <c r="AG240" s="153">
        <f t="shared" si="566"/>
        <v>484</v>
      </c>
      <c r="AH240" s="153">
        <f t="shared" si="566"/>
        <v>468</v>
      </c>
      <c r="AI240" s="153">
        <f t="shared" si="566"/>
        <v>451</v>
      </c>
      <c r="AJ240" s="153">
        <f t="shared" si="566"/>
        <v>434</v>
      </c>
      <c r="AK240" s="153">
        <f t="shared" si="566"/>
        <v>417</v>
      </c>
      <c r="AL240" s="153">
        <f t="shared" si="566"/>
        <v>400</v>
      </c>
      <c r="AM240" s="153">
        <f t="shared" si="566"/>
        <v>383</v>
      </c>
      <c r="AN240" s="153">
        <f t="shared" si="566"/>
        <v>367</v>
      </c>
      <c r="AO240" s="153">
        <f t="shared" si="566"/>
        <v>350</v>
      </c>
      <c r="AP240" s="153">
        <f t="shared" si="566"/>
        <v>334</v>
      </c>
      <c r="AQ240" s="153">
        <f t="shared" si="566"/>
        <v>317</v>
      </c>
      <c r="AR240" s="153">
        <f t="shared" si="566"/>
        <v>301</v>
      </c>
      <c r="AS240" s="153">
        <f t="shared" si="566"/>
        <v>284</v>
      </c>
      <c r="AT240" s="153">
        <f t="shared" si="566"/>
        <v>268</v>
      </c>
      <c r="AU240" s="153">
        <f t="shared" si="566"/>
        <v>251</v>
      </c>
      <c r="AV240" s="153">
        <f t="shared" si="566"/>
        <v>234</v>
      </c>
      <c r="AW240" s="153">
        <f t="shared" si="566"/>
        <v>217</v>
      </c>
      <c r="AX240" s="153">
        <f t="shared" si="566"/>
        <v>200</v>
      </c>
      <c r="AY240" s="153">
        <f t="shared" si="566"/>
        <v>183</v>
      </c>
      <c r="AZ240" s="153">
        <f t="shared" si="566"/>
        <v>167</v>
      </c>
      <c r="BA240" s="153">
        <f t="shared" si="566"/>
        <v>150</v>
      </c>
      <c r="BB240" s="153">
        <f t="shared" si="566"/>
        <v>134</v>
      </c>
      <c r="BC240" s="153">
        <f t="shared" si="566"/>
        <v>117</v>
      </c>
      <c r="BD240" s="153">
        <f t="shared" si="566"/>
        <v>101</v>
      </c>
      <c r="BE240" s="153">
        <f t="shared" si="566"/>
        <v>84</v>
      </c>
      <c r="BF240" s="153">
        <f t="shared" si="566"/>
        <v>68</v>
      </c>
      <c r="BG240" s="153">
        <f t="shared" si="566"/>
        <v>51</v>
      </c>
      <c r="BH240" s="153">
        <f t="shared" si="566"/>
        <v>34</v>
      </c>
      <c r="BI240" s="153">
        <f t="shared" si="566"/>
        <v>17</v>
      </c>
      <c r="BJ240" s="153">
        <f t="shared" si="566"/>
        <v>0</v>
      </c>
      <c r="BK240" s="335"/>
      <c r="BL240" s="152">
        <f>V240</f>
        <v>600</v>
      </c>
      <c r="BM240" s="153">
        <f t="shared" ref="BM240" si="567">SUM(BM231:BM239)</f>
        <v>400</v>
      </c>
      <c r="BN240" s="153">
        <f t="shared" ref="BN240" si="568">SUM(BN231:BN239)</f>
        <v>200</v>
      </c>
      <c r="BO240" s="153">
        <f t="shared" ref="BO240" si="569">SUM(BO231:BO239)</f>
        <v>0</v>
      </c>
      <c r="BP240" s="153">
        <f t="shared" ref="BP240" si="570">SUM(BP231:BP239)</f>
        <v>0</v>
      </c>
      <c r="BQ240" s="153">
        <f>SUM(BQ231:BQ239)</f>
        <v>0</v>
      </c>
      <c r="BR240" s="153">
        <f t="shared" ref="BR240" si="571">SUM(BR231:BR239)</f>
        <v>0</v>
      </c>
      <c r="BS240" s="153">
        <f t="shared" ref="BS240" si="572">SUM(BS231:BS239)</f>
        <v>0</v>
      </c>
      <c r="BT240" s="153">
        <f t="shared" ref="BT240" si="573">SUM(BT231:BT239)</f>
        <v>0</v>
      </c>
      <c r="BU240" s="153">
        <f t="shared" ref="BU240" si="574">SUM(BU231:BU239)</f>
        <v>0</v>
      </c>
      <c r="BV240" s="153">
        <f t="shared" ref="BV240" si="575">SUM(BV231:BV239)</f>
        <v>0</v>
      </c>
      <c r="BW240" s="153">
        <f t="shared" ref="BW240" si="576">SUM(BW231:BW239)</f>
        <v>0</v>
      </c>
      <c r="BY240" s="12"/>
      <c r="CA240" s="12"/>
      <c r="CG240" s="188">
        <f>IF(ABS($E240)&gt;Parameters!$D$33, 1, 0)</f>
        <v>0</v>
      </c>
      <c r="CI240" s="7">
        <f t="shared" si="548"/>
        <v>0</v>
      </c>
      <c r="CJ240" s="7">
        <f t="shared" si="549"/>
        <v>0</v>
      </c>
      <c r="CK240" s="7">
        <f t="shared" si="550"/>
        <v>0</v>
      </c>
      <c r="CL240" s="42"/>
      <c r="CM240" s="352">
        <f>ROUND(W240-INDEX($AA240:$BJ240, MATCH(W$5,$AA$5:$BJ$5,0)), rounding)</f>
        <v>0</v>
      </c>
      <c r="CN240" s="352">
        <f>ROUND(X240-INDEX($AA240:$BJ240, MATCH(X$5,$AA$5:$BJ$5,0)), rounding)</f>
        <v>0</v>
      </c>
      <c r="CO240" s="352">
        <f>ROUND(Y240-INDEX($AA240:$BJ240, MATCH(Y$5,$AA$5:$BJ$5,0)), rounding)</f>
        <v>0</v>
      </c>
      <c r="CP240" s="352">
        <f>ROUND(BM240-INDEX($AA240:$BJ240, MATCH(BM$5,$AA$5:$BJ$5,0)), rounding)</f>
        <v>0</v>
      </c>
      <c r="CQ240" s="352">
        <f>ROUND(BN240-INDEX($AA240:$BJ240, MATCH(BN$5,$AA$5:$BJ$5,0)), rounding)</f>
        <v>0</v>
      </c>
      <c r="CR240" s="352">
        <f>ROUND(BO240-INDEX($AA240:$BJ240, MATCH(BO$5,$AA$5:$BJ$5,0)), rounding)</f>
        <v>0</v>
      </c>
      <c r="CS240" s="352">
        <f t="shared" si="555"/>
        <v>0</v>
      </c>
      <c r="CT240" s="42"/>
      <c r="CU240" s="67">
        <v>0</v>
      </c>
      <c r="CV240" s="67">
        <v>0</v>
      </c>
      <c r="EX240" s="13" t="str">
        <f t="shared" si="546"/>
        <v>Other NCA Closing Balance</v>
      </c>
    </row>
    <row r="241" spans="1:154" ht="6.6" customHeight="1" x14ac:dyDescent="0.25">
      <c r="C241" s="385"/>
      <c r="D241" s="1"/>
      <c r="E241" s="67"/>
      <c r="S241" s="335"/>
      <c r="T241" s="335"/>
      <c r="U241" s="335"/>
      <c r="V241" s="25"/>
      <c r="W241" s="25"/>
      <c r="X241" s="25"/>
      <c r="Y241" s="25"/>
      <c r="Z241" s="33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L241" s="25"/>
      <c r="BM241" s="155"/>
      <c r="BN241" s="25"/>
      <c r="BO241" s="25"/>
      <c r="BP241" s="25"/>
      <c r="BQ241" s="25"/>
      <c r="BR241" s="25"/>
      <c r="BS241" s="25"/>
      <c r="BT241" s="25"/>
      <c r="BU241" s="25"/>
      <c r="BV241" s="25"/>
      <c r="BW241" s="25"/>
      <c r="BY241" s="42"/>
      <c r="CA241" s="42"/>
      <c r="CL241" s="42"/>
      <c r="CT241" s="42"/>
      <c r="CU241" s="67">
        <v>0</v>
      </c>
      <c r="CV241" s="67">
        <v>0</v>
      </c>
      <c r="EX241" s="10" t="str">
        <f t="shared" si="472"/>
        <v/>
      </c>
    </row>
    <row r="242" spans="1:154" x14ac:dyDescent="0.25">
      <c r="A242" s="362" cm="1">
        <f t="array" aca="1" ref="A242" ca="1">HYPERLINK(CONCATENATE("#",CELL("address",IF(SUM($CA242:$CL242)=0,A242,INDEX($CA242:$CL242,MATCH(1,$CA242:$CL242,0))))),SUM($CA242:$CL242))</f>
        <v>0</v>
      </c>
      <c r="C242" s="385"/>
      <c r="D242" s="1" t="s">
        <v>380</v>
      </c>
      <c r="E242" s="67"/>
      <c r="G242" s="48"/>
      <c r="H242" s="48"/>
      <c r="S242" s="335"/>
      <c r="T242" s="335"/>
      <c r="U242" s="335"/>
      <c r="V242" s="154">
        <f>IF(V240&lt;0, 1, 0)*'BS Forecasts'!V$10</f>
        <v>0</v>
      </c>
      <c r="W242" s="154">
        <f>IF(W240&lt;0, 1, 0)*'BS Forecasts'!W$10</f>
        <v>0</v>
      </c>
      <c r="X242" s="154">
        <f>IF(X240&lt;0, 1, 0)*'BS Forecasts'!X$10</f>
        <v>0</v>
      </c>
      <c r="Y242" s="154">
        <f>IF(Y240&lt;0, 1, 0)*'BS Forecasts'!Y$10</f>
        <v>0</v>
      </c>
      <c r="Z242" s="335"/>
      <c r="AA242" s="154">
        <f>IF(AA240&lt;0, 1, 0)*'BS Forecasts'!AA$10</f>
        <v>0</v>
      </c>
      <c r="AB242" s="154">
        <f>IF(AB240&lt;0, 1, 0)*'BS Forecasts'!AB$10</f>
        <v>0</v>
      </c>
      <c r="AC242" s="154">
        <f>IF(AC240&lt;0, 1, 0)*'BS Forecasts'!AC$10</f>
        <v>0</v>
      </c>
      <c r="AD242" s="154">
        <f>IF(AD240&lt;0, 1, 0)*'BS Forecasts'!AD$10</f>
        <v>0</v>
      </c>
      <c r="AE242" s="154">
        <f>IF(AE240&lt;0, 1, 0)*'BS Forecasts'!AE$10</f>
        <v>0</v>
      </c>
      <c r="AF242" s="154">
        <f>IF(AF240&lt;0, 1, 0)*'BS Forecasts'!AF$10</f>
        <v>0</v>
      </c>
      <c r="AG242" s="154">
        <f>IF(AG240&lt;0, 1, 0)*'BS Forecasts'!AG$10</f>
        <v>0</v>
      </c>
      <c r="AH242" s="154">
        <f>IF(AH240&lt;0, 1, 0)*'BS Forecasts'!AH$10</f>
        <v>0</v>
      </c>
      <c r="AI242" s="154">
        <f>IF(AI240&lt;0, 1, 0)*'BS Forecasts'!AI$10</f>
        <v>0</v>
      </c>
      <c r="AJ242" s="154">
        <f>IF(AJ240&lt;0, 1, 0)*'BS Forecasts'!AJ$10</f>
        <v>0</v>
      </c>
      <c r="AK242" s="154">
        <f>IF(AK240&lt;0, 1, 0)*'BS Forecasts'!AK$10</f>
        <v>0</v>
      </c>
      <c r="AL242" s="154">
        <f>IF(AL240&lt;0, 1, 0)*'BS Forecasts'!AL$10</f>
        <v>0</v>
      </c>
      <c r="AM242" s="154">
        <f>IF(AM240&lt;0, 1, 0)*'BS Forecasts'!AM$10</f>
        <v>0</v>
      </c>
      <c r="AN242" s="154">
        <f>IF(AN240&lt;0, 1, 0)*'BS Forecasts'!AN$10</f>
        <v>0</v>
      </c>
      <c r="AO242" s="154">
        <f>IF(AO240&lt;0, 1, 0)*'BS Forecasts'!AO$10</f>
        <v>0</v>
      </c>
      <c r="AP242" s="154">
        <f>IF(AP240&lt;0, 1, 0)*'BS Forecasts'!AP$10</f>
        <v>0</v>
      </c>
      <c r="AQ242" s="154">
        <f>IF(AQ240&lt;0, 1, 0)*'BS Forecasts'!AQ$10</f>
        <v>0</v>
      </c>
      <c r="AR242" s="154">
        <f>IF(AR240&lt;0, 1, 0)*'BS Forecasts'!AR$10</f>
        <v>0</v>
      </c>
      <c r="AS242" s="154">
        <f>IF(AS240&lt;0, 1, 0)*'BS Forecasts'!AS$10</f>
        <v>0</v>
      </c>
      <c r="AT242" s="154">
        <f>IF(AT240&lt;0, 1, 0)*'BS Forecasts'!AT$10</f>
        <v>0</v>
      </c>
      <c r="AU242" s="154">
        <f>IF(AU240&lt;0, 1, 0)*'BS Forecasts'!AU$10</f>
        <v>0</v>
      </c>
      <c r="AV242" s="154">
        <f>IF(AV240&lt;0, 1, 0)*'BS Forecasts'!AV$10</f>
        <v>0</v>
      </c>
      <c r="AW242" s="154">
        <f>IF(AW240&lt;0, 1, 0)*'BS Forecasts'!AW$10</f>
        <v>0</v>
      </c>
      <c r="AX242" s="154">
        <f>IF(AX240&lt;0, 1, 0)*'BS Forecasts'!AX$10</f>
        <v>0</v>
      </c>
      <c r="AY242" s="154">
        <f>IF(AY240&lt;0, 1, 0)*'BS Forecasts'!AY$10</f>
        <v>0</v>
      </c>
      <c r="AZ242" s="154">
        <f>IF(AZ240&lt;0, 1, 0)*'BS Forecasts'!AZ$10</f>
        <v>0</v>
      </c>
      <c r="BA242" s="154">
        <f>IF(BA240&lt;0, 1, 0)*'BS Forecasts'!BA$10</f>
        <v>0</v>
      </c>
      <c r="BB242" s="154">
        <f>IF(BB240&lt;0, 1, 0)*'BS Forecasts'!BB$10</f>
        <v>0</v>
      </c>
      <c r="BC242" s="154">
        <f>IF(BC240&lt;0, 1, 0)*'BS Forecasts'!BC$10</f>
        <v>0</v>
      </c>
      <c r="BD242" s="154">
        <f>IF(BD240&lt;0, 1, 0)*'BS Forecasts'!BD$10</f>
        <v>0</v>
      </c>
      <c r="BE242" s="154">
        <f>IF(BE240&lt;0, 1, 0)*'BS Forecasts'!BE$10</f>
        <v>0</v>
      </c>
      <c r="BF242" s="154">
        <f>IF(BF240&lt;0, 1, 0)*'BS Forecasts'!BF$10</f>
        <v>0</v>
      </c>
      <c r="BG242" s="154">
        <f>IF(BG240&lt;0, 1, 0)*'BS Forecasts'!BG$10</f>
        <v>0</v>
      </c>
      <c r="BH242" s="154">
        <f>IF(BH240&lt;0, 1, 0)*'BS Forecasts'!BH$10</f>
        <v>0</v>
      </c>
      <c r="BI242" s="154">
        <f>IF(BI240&lt;0, 1, 0)*'BS Forecasts'!BI$10</f>
        <v>0</v>
      </c>
      <c r="BJ242" s="154">
        <f>IF(BJ240&lt;0, 1, 0)*'BS Forecasts'!BJ$10</f>
        <v>0</v>
      </c>
      <c r="BK242" s="335"/>
      <c r="BL242" s="154">
        <f>IF(BL240&lt;0, 1, 0)*'BS Forecasts'!BL$10</f>
        <v>0</v>
      </c>
      <c r="BM242" s="154">
        <f>IF(BM240&lt;0, 1, 0)*'BS Forecasts'!BM$10</f>
        <v>0</v>
      </c>
      <c r="BN242" s="154">
        <f>IF(BN240&lt;0, 1, 0)*'BS Forecasts'!BN$10</f>
        <v>0</v>
      </c>
      <c r="BO242" s="154">
        <f>IF(BO240&lt;0, 1, 0)*'BS Forecasts'!BO$10</f>
        <v>0</v>
      </c>
      <c r="BP242" s="154">
        <f>IF(BP240&lt;0, 1, 0)*'BS Forecasts'!BP$10</f>
        <v>0</v>
      </c>
      <c r="BQ242" s="154">
        <f>IF(BQ240&lt;0, 1, 0)*'BS Forecasts'!BQ$10</f>
        <v>0</v>
      </c>
      <c r="BR242" s="154">
        <f>IF(BR240&lt;0, 1, 0)*'BS Forecasts'!BR$10</f>
        <v>0</v>
      </c>
      <c r="BS242" s="154">
        <f>IF(BS240&lt;0, 1, 0)*'BS Forecasts'!BS$10</f>
        <v>0</v>
      </c>
      <c r="BT242" s="154">
        <f>IF(BT240&lt;0, 1, 0)*'BS Forecasts'!BT$10</f>
        <v>0</v>
      </c>
      <c r="BU242" s="154">
        <f>IF(BU240&lt;0, 1, 0)*'BS Forecasts'!BU$10</f>
        <v>0</v>
      </c>
      <c r="BV242" s="154">
        <f>IF(BV240&lt;0, 1, 0)*'BS Forecasts'!BV$10</f>
        <v>0</v>
      </c>
      <c r="BW242" s="154">
        <f>IF(BW240&lt;0, 1, 0)*'BS Forecasts'!BW$10</f>
        <v>0</v>
      </c>
      <c r="BY242" s="12"/>
      <c r="CA242" s="12"/>
      <c r="CF242" s="7">
        <f>IF(SUM(V242:BW242)=0, 0, 1)</f>
        <v>0</v>
      </c>
      <c r="CL242" s="42"/>
      <c r="CT242" s="42"/>
      <c r="CU242" s="67">
        <v>0</v>
      </c>
      <c r="CV242" s="67">
        <v>0</v>
      </c>
      <c r="EX242" s="10" t="str">
        <f t="shared" si="472"/>
        <v/>
      </c>
    </row>
    <row r="243" spans="1:154" ht="6.6" customHeight="1" x14ac:dyDescent="0.25">
      <c r="A243" s="335"/>
      <c r="C243" s="385"/>
      <c r="D243" s="35"/>
      <c r="E243" s="25"/>
      <c r="J243" s="335"/>
      <c r="K243" s="335"/>
      <c r="L243" s="335"/>
      <c r="M243" s="335"/>
      <c r="N243" s="335"/>
      <c r="O243" s="335"/>
      <c r="P243" s="335"/>
      <c r="Q243" s="335"/>
      <c r="R243" s="335"/>
      <c r="S243" s="335"/>
      <c r="T243" s="335"/>
      <c r="U243" s="335"/>
      <c r="V243" s="335"/>
      <c r="W243" s="335"/>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c r="AS243" s="335"/>
      <c r="AT243" s="335"/>
      <c r="AU243" s="335"/>
      <c r="AV243" s="335"/>
      <c r="AW243" s="335"/>
      <c r="AX243" s="335"/>
      <c r="AY243" s="335"/>
      <c r="AZ243" s="335"/>
      <c r="BA243" s="335"/>
      <c r="BB243" s="335"/>
      <c r="BC243" s="335"/>
      <c r="BD243" s="335"/>
      <c r="BE243" s="335"/>
      <c r="BF243" s="335"/>
      <c r="BG243" s="335"/>
      <c r="BH243" s="335"/>
      <c r="BI243" s="335"/>
      <c r="BJ243" s="335"/>
      <c r="BK243" s="335"/>
      <c r="BL243" s="335"/>
      <c r="BM243" s="335"/>
      <c r="BN243" s="335"/>
      <c r="BO243" s="335"/>
      <c r="BP243" s="335"/>
      <c r="BQ243" s="335"/>
      <c r="BR243" s="335"/>
      <c r="BS243" s="335"/>
      <c r="BT243" s="335"/>
      <c r="BU243" s="335"/>
      <c r="BV243" s="335"/>
      <c r="BW243" s="335"/>
      <c r="BY243" s="42"/>
      <c r="CA243" s="42"/>
      <c r="CL243" s="42"/>
      <c r="CT243" s="42"/>
      <c r="CU243" s="67">
        <v>0</v>
      </c>
      <c r="CV243" s="67">
        <v>0</v>
      </c>
      <c r="EX243" s="10" t="str">
        <f t="shared" si="472"/>
        <v/>
      </c>
    </row>
    <row r="244" spans="1:154" x14ac:dyDescent="0.25">
      <c r="A244" s="335"/>
      <c r="B244" s="29"/>
      <c r="C244" s="385"/>
      <c r="D244" s="27" t="str">
        <f>'Opening Balances'!D14</f>
        <v>Investments</v>
      </c>
      <c r="E244" s="67"/>
      <c r="G244" s="48"/>
      <c r="H244" s="48"/>
      <c r="T244" s="335"/>
      <c r="U244" s="335"/>
      <c r="V244" s="25"/>
      <c r="W244" s="25"/>
      <c r="X244" s="25"/>
      <c r="Y244" s="25"/>
      <c r="Z244" s="33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L244" s="25"/>
      <c r="BM244" s="25"/>
      <c r="BN244" s="25"/>
      <c r="BO244" s="25"/>
      <c r="BP244" s="25"/>
      <c r="BQ244" s="25"/>
      <c r="BR244" s="25"/>
      <c r="BS244" s="25"/>
      <c r="BT244" s="25"/>
      <c r="BU244" s="25"/>
      <c r="BV244" s="25"/>
      <c r="BW244" s="25"/>
      <c r="BY244" s="12"/>
      <c r="CA244" s="12"/>
      <c r="CL244" s="42"/>
      <c r="CT244" s="42"/>
      <c r="CU244" s="67">
        <v>0</v>
      </c>
      <c r="CV244" s="67">
        <v>0</v>
      </c>
      <c r="EX244" s="10" t="str">
        <f t="shared" si="472"/>
        <v/>
      </c>
    </row>
    <row r="245" spans="1:154" x14ac:dyDescent="0.25">
      <c r="A245" s="335"/>
      <c r="C245" s="340" t="str">
        <f>CONCATENATE("II-",'Opening Balances'!$C$14)</f>
        <v>II-B-1e-OB</v>
      </c>
      <c r="D245" s="39" t="s">
        <v>91</v>
      </c>
      <c r="E245" s="39"/>
      <c r="G245" s="46"/>
      <c r="H245" s="47" t="s">
        <v>92</v>
      </c>
      <c r="T245" s="335"/>
      <c r="U245" s="335"/>
      <c r="V245" s="13">
        <f>'Opening Balances'!$V$14</f>
        <v>0</v>
      </c>
      <c r="W245" s="153">
        <f>V252</f>
        <v>0</v>
      </c>
      <c r="X245" s="153">
        <f>W252</f>
        <v>0</v>
      </c>
      <c r="Y245" s="153">
        <f>X252</f>
        <v>0</v>
      </c>
      <c r="Z245" s="335"/>
      <c r="AA245" s="153">
        <f>W245</f>
        <v>0</v>
      </c>
      <c r="AB245" s="153">
        <f t="shared" ref="AB245:BJ245" si="577">AA252</f>
        <v>0</v>
      </c>
      <c r="AC245" s="153">
        <f t="shared" si="577"/>
        <v>0</v>
      </c>
      <c r="AD245" s="153">
        <f t="shared" si="577"/>
        <v>0</v>
      </c>
      <c r="AE245" s="153">
        <f t="shared" si="577"/>
        <v>0</v>
      </c>
      <c r="AF245" s="153">
        <f t="shared" si="577"/>
        <v>0</v>
      </c>
      <c r="AG245" s="153">
        <f t="shared" si="577"/>
        <v>0</v>
      </c>
      <c r="AH245" s="153">
        <f t="shared" si="577"/>
        <v>0</v>
      </c>
      <c r="AI245" s="153">
        <f t="shared" si="577"/>
        <v>0</v>
      </c>
      <c r="AJ245" s="153">
        <f t="shared" si="577"/>
        <v>0</v>
      </c>
      <c r="AK245" s="153">
        <f t="shared" si="577"/>
        <v>0</v>
      </c>
      <c r="AL245" s="153">
        <f t="shared" si="577"/>
        <v>0</v>
      </c>
      <c r="AM245" s="153">
        <f t="shared" si="577"/>
        <v>0</v>
      </c>
      <c r="AN245" s="153">
        <f t="shared" si="577"/>
        <v>0</v>
      </c>
      <c r="AO245" s="153">
        <f t="shared" si="577"/>
        <v>0</v>
      </c>
      <c r="AP245" s="153">
        <f t="shared" si="577"/>
        <v>0</v>
      </c>
      <c r="AQ245" s="153">
        <f t="shared" si="577"/>
        <v>0</v>
      </c>
      <c r="AR245" s="153">
        <f t="shared" si="577"/>
        <v>0</v>
      </c>
      <c r="AS245" s="153">
        <f t="shared" si="577"/>
        <v>0</v>
      </c>
      <c r="AT245" s="153">
        <f t="shared" si="577"/>
        <v>0</v>
      </c>
      <c r="AU245" s="153">
        <f t="shared" si="577"/>
        <v>0</v>
      </c>
      <c r="AV245" s="153">
        <f t="shared" si="577"/>
        <v>0</v>
      </c>
      <c r="AW245" s="153">
        <f t="shared" si="577"/>
        <v>0</v>
      </c>
      <c r="AX245" s="153">
        <f t="shared" si="577"/>
        <v>0</v>
      </c>
      <c r="AY245" s="153">
        <f t="shared" si="577"/>
        <v>0</v>
      </c>
      <c r="AZ245" s="153">
        <f t="shared" si="577"/>
        <v>0</v>
      </c>
      <c r="BA245" s="153">
        <f t="shared" si="577"/>
        <v>0</v>
      </c>
      <c r="BB245" s="153">
        <f t="shared" si="577"/>
        <v>0</v>
      </c>
      <c r="BC245" s="153">
        <f t="shared" si="577"/>
        <v>0</v>
      </c>
      <c r="BD245" s="153">
        <f t="shared" si="577"/>
        <v>0</v>
      </c>
      <c r="BE245" s="153">
        <f t="shared" si="577"/>
        <v>0</v>
      </c>
      <c r="BF245" s="153">
        <f t="shared" si="577"/>
        <v>0</v>
      </c>
      <c r="BG245" s="153">
        <f t="shared" si="577"/>
        <v>0</v>
      </c>
      <c r="BH245" s="153">
        <f t="shared" si="577"/>
        <v>0</v>
      </c>
      <c r="BI245" s="153">
        <f t="shared" si="577"/>
        <v>0</v>
      </c>
      <c r="BJ245" s="153">
        <f t="shared" si="577"/>
        <v>0</v>
      </c>
      <c r="BL245" s="152">
        <f t="shared" ref="BL245:BO246" si="578">V245</f>
        <v>0</v>
      </c>
      <c r="BM245" s="152">
        <f t="shared" si="578"/>
        <v>0</v>
      </c>
      <c r="BN245" s="152">
        <f t="shared" si="578"/>
        <v>0</v>
      </c>
      <c r="BO245" s="152">
        <f t="shared" si="578"/>
        <v>0</v>
      </c>
      <c r="BP245" s="153">
        <f t="shared" ref="BP245:BW245" si="579">BO252</f>
        <v>0</v>
      </c>
      <c r="BQ245" s="153">
        <f t="shared" si="579"/>
        <v>0</v>
      </c>
      <c r="BR245" s="153">
        <f t="shared" si="579"/>
        <v>0</v>
      </c>
      <c r="BS245" s="153">
        <f t="shared" si="579"/>
        <v>0</v>
      </c>
      <c r="BT245" s="153">
        <f t="shared" si="579"/>
        <v>0</v>
      </c>
      <c r="BU245" s="153">
        <f t="shared" si="579"/>
        <v>0</v>
      </c>
      <c r="BV245" s="153">
        <f t="shared" si="579"/>
        <v>0</v>
      </c>
      <c r="BW245" s="153">
        <f t="shared" si="579"/>
        <v>0</v>
      </c>
      <c r="BY245" s="12"/>
      <c r="CA245" s="12"/>
      <c r="CL245" s="42"/>
      <c r="CT245" s="42"/>
      <c r="CU245" s="67">
        <v>0</v>
      </c>
      <c r="CV245" s="67">
        <v>0</v>
      </c>
      <c r="EX245" s="13" t="str">
        <f t="shared" ref="EX245:EX252" si="580">IF($C245="","",CONCATENATE(D$244, " ",$D245))</f>
        <v>Investments Opening Balance</v>
      </c>
    </row>
    <row r="246" spans="1:154" x14ac:dyDescent="0.25">
      <c r="A246" s="362" cm="1">
        <f t="array" aca="1" ref="A246" ca="1">HYPERLINK(CONCATENATE("#",CELL("address",IF(SUM($CA246:$CL246)=0,A246,INDEX($CA246:$CL246,MATCH(1,$CA246:$CL246,0))))),SUM($CA246:$CL246))</f>
        <v>0</v>
      </c>
      <c r="B246" s="25"/>
      <c r="C246" s="340" t="s">
        <v>1157</v>
      </c>
      <c r="D246" s="151" t="s">
        <v>93</v>
      </c>
      <c r="E246" s="151"/>
      <c r="G246" s="46"/>
      <c r="H246" s="47" t="s">
        <v>92</v>
      </c>
      <c r="S246" s="335"/>
      <c r="T246" s="335"/>
      <c r="U246" s="335"/>
      <c r="V246" s="141"/>
      <c r="W246" s="215">
        <f xml:space="preserve"> SUMIFS($AA246:$BJ246, $AA$3:$BJ$3, W$3)</f>
        <v>0</v>
      </c>
      <c r="X246" s="215">
        <f xml:space="preserve"> SUMIFS($AA246:$BJ246, $AA$3:$BJ$3, X$3)</f>
        <v>0</v>
      </c>
      <c r="Y246" s="215">
        <f xml:space="preserve"> SUMIFS($AA246:$BJ246, $AA$3:$BJ$3, Y$3)</f>
        <v>0</v>
      </c>
      <c r="Z246" s="335"/>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L246" s="13">
        <f t="shared" si="578"/>
        <v>0</v>
      </c>
      <c r="BM246" s="13">
        <f t="shared" si="578"/>
        <v>0</v>
      </c>
      <c r="BN246" s="13">
        <f t="shared" si="578"/>
        <v>0</v>
      </c>
      <c r="BO246" s="13">
        <f t="shared" si="578"/>
        <v>0</v>
      </c>
      <c r="BP246" s="141"/>
      <c r="BQ246" s="141"/>
      <c r="BR246" s="141"/>
      <c r="BS246" s="141"/>
      <c r="BT246" s="141"/>
      <c r="BU246" s="141"/>
      <c r="BV246" s="141"/>
      <c r="BW246" s="141"/>
      <c r="BY246" s="12"/>
      <c r="BZ246" s="363">
        <f>IF(MIN($V246:$BW246)&lt;0, 1, 0)</f>
        <v>0</v>
      </c>
      <c r="CA246" s="12"/>
      <c r="CI246" s="7">
        <f t="shared" ref="CI246:CI252" si="581">IF(SUM($CM246:$CO246)=0, 0, 1)</f>
        <v>0</v>
      </c>
      <c r="CJ246" s="7">
        <f t="shared" ref="CJ246:CJ252" si="582">IF(SUM($CP246:$CR246)=0, 0, 1)</f>
        <v>0</v>
      </c>
      <c r="CK246" s="7">
        <f t="shared" ref="CK246:CK252" si="583">IF($CS246=0, 0, 1)</f>
        <v>0</v>
      </c>
      <c r="CL246" s="42"/>
      <c r="CM246" s="352">
        <f t="shared" ref="CM246:CO251" si="584">ROUND(W246-SUMIFS($AA246:$BJ246, $AA$3:$BJ$3, W$3), rounding)</f>
        <v>0</v>
      </c>
      <c r="CN246" s="352">
        <f t="shared" si="584"/>
        <v>0</v>
      </c>
      <c r="CO246" s="352">
        <f t="shared" si="584"/>
        <v>0</v>
      </c>
      <c r="CP246" s="352">
        <f t="shared" ref="CP246:CP251" si="585">ROUND($BM246-SUMIFS($AA246:$BJ246, $AA$3:$BJ$3, $BM$3), rounding)</f>
        <v>0</v>
      </c>
      <c r="CQ246" s="352">
        <f t="shared" ref="CQ246:CQ251" si="586">ROUND($BN246-SUMIFS($AA246:$BJ246, $AA$3:$BJ$3, $BN$3), rounding)</f>
        <v>0</v>
      </c>
      <c r="CR246" s="352">
        <f t="shared" ref="CR246:CR251" si="587">ROUND($BO246-SUMIFS($AA246:$BJ246, $AA$3:$BJ$3, $BO$3), rounding)</f>
        <v>0</v>
      </c>
      <c r="CS246" s="352">
        <f t="shared" ref="CS246:CS252" si="588">ROUND($V246-$BL246, rounding)</f>
        <v>0</v>
      </c>
      <c r="CT246" s="42"/>
      <c r="CU246" s="67">
        <v>1</v>
      </c>
      <c r="CV246" s="67">
        <v>1</v>
      </c>
      <c r="EX246" s="13" t="str">
        <f t="shared" si="580"/>
        <v>Investments Additions</v>
      </c>
    </row>
    <row r="247" spans="1:154" x14ac:dyDescent="0.25">
      <c r="A247" s="362" cm="1">
        <f t="array" aca="1" ref="A247" ca="1">HYPERLINK(CONCATENATE("#",CELL("address",IF(SUM($CA247:$CL247)=0,A247,INDEX($CA247:$CL247,MATCH(1,$CA247:$CL247,0))))),SUM($CA247:$CL247))</f>
        <v>0</v>
      </c>
      <c r="C247" s="340" t="s">
        <v>1158</v>
      </c>
      <c r="D247" s="39" t="s">
        <v>94</v>
      </c>
      <c r="E247" s="39"/>
      <c r="G247" s="46"/>
      <c r="H247" s="47" t="s">
        <v>86</v>
      </c>
      <c r="T247" s="335"/>
      <c r="U247" s="335"/>
      <c r="V247" s="153">
        <f>V$95</f>
        <v>0</v>
      </c>
      <c r="W247" s="153">
        <f>W$95</f>
        <v>0</v>
      </c>
      <c r="X247" s="153">
        <f>X$95</f>
        <v>0</v>
      </c>
      <c r="Y247" s="153">
        <f>Y$95</f>
        <v>0</v>
      </c>
      <c r="Z247" s="335"/>
      <c r="AA247" s="153">
        <f t="shared" ref="AA247:BJ247" si="589">AA$95</f>
        <v>0</v>
      </c>
      <c r="AB247" s="153">
        <f t="shared" si="589"/>
        <v>0</v>
      </c>
      <c r="AC247" s="153">
        <f t="shared" si="589"/>
        <v>0</v>
      </c>
      <c r="AD247" s="153">
        <f t="shared" si="589"/>
        <v>0</v>
      </c>
      <c r="AE247" s="153">
        <f t="shared" si="589"/>
        <v>0</v>
      </c>
      <c r="AF247" s="153">
        <f t="shared" si="589"/>
        <v>0</v>
      </c>
      <c r="AG247" s="153">
        <f t="shared" si="589"/>
        <v>0</v>
      </c>
      <c r="AH247" s="153">
        <f t="shared" si="589"/>
        <v>0</v>
      </c>
      <c r="AI247" s="153">
        <f t="shared" si="589"/>
        <v>0</v>
      </c>
      <c r="AJ247" s="153">
        <f t="shared" si="589"/>
        <v>0</v>
      </c>
      <c r="AK247" s="153">
        <f t="shared" si="589"/>
        <v>0</v>
      </c>
      <c r="AL247" s="153">
        <f t="shared" si="589"/>
        <v>0</v>
      </c>
      <c r="AM247" s="153">
        <f t="shared" si="589"/>
        <v>0</v>
      </c>
      <c r="AN247" s="153">
        <f t="shared" si="589"/>
        <v>0</v>
      </c>
      <c r="AO247" s="153">
        <f t="shared" si="589"/>
        <v>0</v>
      </c>
      <c r="AP247" s="153">
        <f t="shared" si="589"/>
        <v>0</v>
      </c>
      <c r="AQ247" s="153">
        <f t="shared" si="589"/>
        <v>0</v>
      </c>
      <c r="AR247" s="153">
        <f t="shared" si="589"/>
        <v>0</v>
      </c>
      <c r="AS247" s="153">
        <f t="shared" si="589"/>
        <v>0</v>
      </c>
      <c r="AT247" s="153">
        <f t="shared" si="589"/>
        <v>0</v>
      </c>
      <c r="AU247" s="153">
        <f t="shared" si="589"/>
        <v>0</v>
      </c>
      <c r="AV247" s="153">
        <f t="shared" si="589"/>
        <v>0</v>
      </c>
      <c r="AW247" s="153">
        <f t="shared" si="589"/>
        <v>0</v>
      </c>
      <c r="AX247" s="153">
        <f t="shared" si="589"/>
        <v>0</v>
      </c>
      <c r="AY247" s="153">
        <f t="shared" si="589"/>
        <v>0</v>
      </c>
      <c r="AZ247" s="153">
        <f t="shared" si="589"/>
        <v>0</v>
      </c>
      <c r="BA247" s="153">
        <f t="shared" si="589"/>
        <v>0</v>
      </c>
      <c r="BB247" s="153">
        <f t="shared" si="589"/>
        <v>0</v>
      </c>
      <c r="BC247" s="153">
        <f t="shared" si="589"/>
        <v>0</v>
      </c>
      <c r="BD247" s="153">
        <f t="shared" si="589"/>
        <v>0</v>
      </c>
      <c r="BE247" s="153">
        <f t="shared" si="589"/>
        <v>0</v>
      </c>
      <c r="BF247" s="153">
        <f t="shared" si="589"/>
        <v>0</v>
      </c>
      <c r="BG247" s="153">
        <f t="shared" si="589"/>
        <v>0</v>
      </c>
      <c r="BH247" s="153">
        <f t="shared" si="589"/>
        <v>0</v>
      </c>
      <c r="BI247" s="153">
        <f t="shared" si="589"/>
        <v>0</v>
      </c>
      <c r="BJ247" s="153">
        <f t="shared" si="589"/>
        <v>0</v>
      </c>
      <c r="BL247" s="153">
        <f t="shared" ref="BL247:BW247" si="590">BL$95</f>
        <v>0</v>
      </c>
      <c r="BM247" s="153">
        <f t="shared" si="590"/>
        <v>0</v>
      </c>
      <c r="BN247" s="153">
        <f t="shared" si="590"/>
        <v>0</v>
      </c>
      <c r="BO247" s="153">
        <f t="shared" si="590"/>
        <v>0</v>
      </c>
      <c r="BP247" s="153">
        <f t="shared" si="590"/>
        <v>0</v>
      </c>
      <c r="BQ247" s="153">
        <f t="shared" si="590"/>
        <v>0</v>
      </c>
      <c r="BR247" s="153">
        <f t="shared" si="590"/>
        <v>0</v>
      </c>
      <c r="BS247" s="153">
        <f t="shared" si="590"/>
        <v>0</v>
      </c>
      <c r="BT247" s="153">
        <f t="shared" si="590"/>
        <v>0</v>
      </c>
      <c r="BU247" s="153">
        <f t="shared" si="590"/>
        <v>0</v>
      </c>
      <c r="BV247" s="153">
        <f t="shared" si="590"/>
        <v>0</v>
      </c>
      <c r="BW247" s="153">
        <f t="shared" si="590"/>
        <v>0</v>
      </c>
      <c r="BY247" s="12"/>
      <c r="CA247" s="12"/>
      <c r="CI247" s="7">
        <f t="shared" si="581"/>
        <v>0</v>
      </c>
      <c r="CJ247" s="7">
        <f t="shared" si="582"/>
        <v>0</v>
      </c>
      <c r="CK247" s="7">
        <f t="shared" si="583"/>
        <v>0</v>
      </c>
      <c r="CL247" s="42"/>
      <c r="CM247" s="352">
        <f t="shared" si="584"/>
        <v>0</v>
      </c>
      <c r="CN247" s="352">
        <f t="shared" si="584"/>
        <v>0</v>
      </c>
      <c r="CO247" s="352">
        <f t="shared" si="584"/>
        <v>0</v>
      </c>
      <c r="CP247" s="352">
        <f t="shared" si="585"/>
        <v>0</v>
      </c>
      <c r="CQ247" s="352">
        <f t="shared" si="586"/>
        <v>0</v>
      </c>
      <c r="CR247" s="352">
        <f t="shared" si="587"/>
        <v>0</v>
      </c>
      <c r="CS247" s="352">
        <f t="shared" si="588"/>
        <v>0</v>
      </c>
      <c r="CT247" s="42"/>
      <c r="CU247" s="67">
        <v>0</v>
      </c>
      <c r="CV247" s="67">
        <v>0</v>
      </c>
      <c r="EX247" s="13" t="str">
        <f t="shared" si="580"/>
        <v>Investments Surplus/Loss on Revaluation</v>
      </c>
    </row>
    <row r="248" spans="1:154" x14ac:dyDescent="0.25">
      <c r="A248" s="362" cm="1">
        <f t="array" aca="1" ref="A248" ca="1">HYPERLINK(CONCATENATE("#",CELL("address",IF(SUM($CA248:$CL248)=0,A248,INDEX($CA248:$CL248,MATCH(1,$CA248:$CL248,0))))),SUM($CA248:$CL248))</f>
        <v>0</v>
      </c>
      <c r="C248" s="340" t="s">
        <v>1159</v>
      </c>
      <c r="D248" s="39" t="s">
        <v>95</v>
      </c>
      <c r="E248" s="39"/>
      <c r="G248" s="46"/>
      <c r="H248" s="47" t="s">
        <v>98</v>
      </c>
      <c r="T248" s="335"/>
      <c r="U248" s="335"/>
      <c r="V248" s="153">
        <f>V$121</f>
        <v>0</v>
      </c>
      <c r="W248" s="153">
        <f>W$121</f>
        <v>0</v>
      </c>
      <c r="X248" s="153">
        <f>X$121</f>
        <v>0</v>
      </c>
      <c r="Y248" s="153">
        <f>Y$121</f>
        <v>0</v>
      </c>
      <c r="Z248" s="335"/>
      <c r="AA248" s="153">
        <f t="shared" ref="AA248:BJ248" si="591">AA$121</f>
        <v>0</v>
      </c>
      <c r="AB248" s="153">
        <f t="shared" si="591"/>
        <v>0</v>
      </c>
      <c r="AC248" s="153">
        <f t="shared" si="591"/>
        <v>0</v>
      </c>
      <c r="AD248" s="153">
        <f t="shared" si="591"/>
        <v>0</v>
      </c>
      <c r="AE248" s="153">
        <f t="shared" si="591"/>
        <v>0</v>
      </c>
      <c r="AF248" s="153">
        <f t="shared" si="591"/>
        <v>0</v>
      </c>
      <c r="AG248" s="153">
        <f t="shared" si="591"/>
        <v>0</v>
      </c>
      <c r="AH248" s="153">
        <f t="shared" si="591"/>
        <v>0</v>
      </c>
      <c r="AI248" s="153">
        <f t="shared" si="591"/>
        <v>0</v>
      </c>
      <c r="AJ248" s="153">
        <f t="shared" si="591"/>
        <v>0</v>
      </c>
      <c r="AK248" s="153">
        <f t="shared" si="591"/>
        <v>0</v>
      </c>
      <c r="AL248" s="153">
        <f t="shared" si="591"/>
        <v>0</v>
      </c>
      <c r="AM248" s="153">
        <f t="shared" si="591"/>
        <v>0</v>
      </c>
      <c r="AN248" s="153">
        <f t="shared" si="591"/>
        <v>0</v>
      </c>
      <c r="AO248" s="153">
        <f t="shared" si="591"/>
        <v>0</v>
      </c>
      <c r="AP248" s="153">
        <f t="shared" si="591"/>
        <v>0</v>
      </c>
      <c r="AQ248" s="153">
        <f t="shared" si="591"/>
        <v>0</v>
      </c>
      <c r="AR248" s="153">
        <f t="shared" si="591"/>
        <v>0</v>
      </c>
      <c r="AS248" s="153">
        <f t="shared" si="591"/>
        <v>0</v>
      </c>
      <c r="AT248" s="153">
        <f t="shared" si="591"/>
        <v>0</v>
      </c>
      <c r="AU248" s="153">
        <f t="shared" si="591"/>
        <v>0</v>
      </c>
      <c r="AV248" s="153">
        <f t="shared" si="591"/>
        <v>0</v>
      </c>
      <c r="AW248" s="153">
        <f t="shared" si="591"/>
        <v>0</v>
      </c>
      <c r="AX248" s="153">
        <f t="shared" si="591"/>
        <v>0</v>
      </c>
      <c r="AY248" s="153">
        <f t="shared" si="591"/>
        <v>0</v>
      </c>
      <c r="AZ248" s="153">
        <f t="shared" si="591"/>
        <v>0</v>
      </c>
      <c r="BA248" s="153">
        <f t="shared" si="591"/>
        <v>0</v>
      </c>
      <c r="BB248" s="153">
        <f t="shared" si="591"/>
        <v>0</v>
      </c>
      <c r="BC248" s="153">
        <f t="shared" si="591"/>
        <v>0</v>
      </c>
      <c r="BD248" s="153">
        <f t="shared" si="591"/>
        <v>0</v>
      </c>
      <c r="BE248" s="153">
        <f t="shared" si="591"/>
        <v>0</v>
      </c>
      <c r="BF248" s="153">
        <f t="shared" si="591"/>
        <v>0</v>
      </c>
      <c r="BG248" s="153">
        <f t="shared" si="591"/>
        <v>0</v>
      </c>
      <c r="BH248" s="153">
        <f t="shared" si="591"/>
        <v>0</v>
      </c>
      <c r="BI248" s="153">
        <f t="shared" si="591"/>
        <v>0</v>
      </c>
      <c r="BJ248" s="153">
        <f t="shared" si="591"/>
        <v>0</v>
      </c>
      <c r="BL248" s="153">
        <f t="shared" ref="BL248:BW248" si="592">BL$121</f>
        <v>0</v>
      </c>
      <c r="BM248" s="153">
        <f t="shared" si="592"/>
        <v>0</v>
      </c>
      <c r="BN248" s="153">
        <f t="shared" si="592"/>
        <v>0</v>
      </c>
      <c r="BO248" s="153">
        <f t="shared" si="592"/>
        <v>0</v>
      </c>
      <c r="BP248" s="153">
        <f t="shared" si="592"/>
        <v>0</v>
      </c>
      <c r="BQ248" s="153">
        <f t="shared" si="592"/>
        <v>0</v>
      </c>
      <c r="BR248" s="153">
        <f t="shared" si="592"/>
        <v>0</v>
      </c>
      <c r="BS248" s="153">
        <f t="shared" si="592"/>
        <v>0</v>
      </c>
      <c r="BT248" s="153">
        <f t="shared" si="592"/>
        <v>0</v>
      </c>
      <c r="BU248" s="153">
        <f t="shared" si="592"/>
        <v>0</v>
      </c>
      <c r="BV248" s="153">
        <f t="shared" si="592"/>
        <v>0</v>
      </c>
      <c r="BW248" s="153">
        <f t="shared" si="592"/>
        <v>0</v>
      </c>
      <c r="BY248" s="12"/>
      <c r="BZ248" s="363">
        <f>IF(MAX($V248:$BW248)&gt;0, 1, 0)</f>
        <v>0</v>
      </c>
      <c r="CA248" s="12"/>
      <c r="CI248" s="7">
        <f t="shared" si="581"/>
        <v>0</v>
      </c>
      <c r="CJ248" s="7">
        <f t="shared" si="582"/>
        <v>0</v>
      </c>
      <c r="CK248" s="7">
        <f t="shared" si="583"/>
        <v>0</v>
      </c>
      <c r="CL248" s="42"/>
      <c r="CM248" s="352">
        <f t="shared" si="584"/>
        <v>0</v>
      </c>
      <c r="CN248" s="352">
        <f t="shared" si="584"/>
        <v>0</v>
      </c>
      <c r="CO248" s="352">
        <f t="shared" si="584"/>
        <v>0</v>
      </c>
      <c r="CP248" s="352">
        <f t="shared" si="585"/>
        <v>0</v>
      </c>
      <c r="CQ248" s="352">
        <f t="shared" si="586"/>
        <v>0</v>
      </c>
      <c r="CR248" s="352">
        <f t="shared" si="587"/>
        <v>0</v>
      </c>
      <c r="CS248" s="352">
        <f t="shared" si="588"/>
        <v>0</v>
      </c>
      <c r="CT248" s="42"/>
      <c r="CU248" s="67">
        <v>0</v>
      </c>
      <c r="CV248" s="67">
        <v>0</v>
      </c>
      <c r="EX248" s="13" t="str">
        <f t="shared" si="580"/>
        <v>Investments Moved to Assets Held for Sale</v>
      </c>
    </row>
    <row r="249" spans="1:154" x14ac:dyDescent="0.25">
      <c r="A249" s="362" cm="1">
        <f t="array" aca="1" ref="A249" ca="1">HYPERLINK(CONCATENATE("#",CELL("address",IF(SUM($CA249:$CL249)=0,A249,INDEX($CA249:$CL249,MATCH(1,$CA249:$CL249,0))))),SUM($CA249:$CL249))</f>
        <v>0</v>
      </c>
      <c r="C249" s="340" t="s">
        <v>1160</v>
      </c>
      <c r="D249" s="39" t="s">
        <v>121</v>
      </c>
      <c r="E249" s="39"/>
      <c r="G249" s="46"/>
      <c r="H249" s="47" t="s">
        <v>98</v>
      </c>
      <c r="S249" s="319"/>
      <c r="T249" s="335"/>
      <c r="U249" s="335"/>
      <c r="V249" s="153">
        <f>V$171</f>
        <v>0</v>
      </c>
      <c r="W249" s="153">
        <f t="shared" ref="W249:BW249" si="593">W$171</f>
        <v>0</v>
      </c>
      <c r="X249" s="153">
        <f t="shared" si="593"/>
        <v>0</v>
      </c>
      <c r="Y249" s="153">
        <f t="shared" si="593"/>
        <v>0</v>
      </c>
      <c r="Z249" s="335"/>
      <c r="AA249" s="153">
        <f t="shared" si="593"/>
        <v>0</v>
      </c>
      <c r="AB249" s="153">
        <f t="shared" si="593"/>
        <v>0</v>
      </c>
      <c r="AC249" s="153">
        <f t="shared" si="593"/>
        <v>0</v>
      </c>
      <c r="AD249" s="153">
        <f t="shared" si="593"/>
        <v>0</v>
      </c>
      <c r="AE249" s="153">
        <f t="shared" si="593"/>
        <v>0</v>
      </c>
      <c r="AF249" s="153">
        <f t="shared" si="593"/>
        <v>0</v>
      </c>
      <c r="AG249" s="153">
        <f t="shared" si="593"/>
        <v>0</v>
      </c>
      <c r="AH249" s="153">
        <f t="shared" si="593"/>
        <v>0</v>
      </c>
      <c r="AI249" s="153">
        <f t="shared" si="593"/>
        <v>0</v>
      </c>
      <c r="AJ249" s="153">
        <f t="shared" si="593"/>
        <v>0</v>
      </c>
      <c r="AK249" s="153">
        <f t="shared" si="593"/>
        <v>0</v>
      </c>
      <c r="AL249" s="153">
        <f t="shared" si="593"/>
        <v>0</v>
      </c>
      <c r="AM249" s="153">
        <f t="shared" si="593"/>
        <v>0</v>
      </c>
      <c r="AN249" s="153">
        <f t="shared" si="593"/>
        <v>0</v>
      </c>
      <c r="AO249" s="153">
        <f t="shared" si="593"/>
        <v>0</v>
      </c>
      <c r="AP249" s="153">
        <f t="shared" si="593"/>
        <v>0</v>
      </c>
      <c r="AQ249" s="153">
        <f t="shared" si="593"/>
        <v>0</v>
      </c>
      <c r="AR249" s="153">
        <f t="shared" si="593"/>
        <v>0</v>
      </c>
      <c r="AS249" s="153">
        <f t="shared" si="593"/>
        <v>0</v>
      </c>
      <c r="AT249" s="153">
        <f t="shared" si="593"/>
        <v>0</v>
      </c>
      <c r="AU249" s="153">
        <f t="shared" si="593"/>
        <v>0</v>
      </c>
      <c r="AV249" s="153">
        <f t="shared" si="593"/>
        <v>0</v>
      </c>
      <c r="AW249" s="153">
        <f t="shared" si="593"/>
        <v>0</v>
      </c>
      <c r="AX249" s="153">
        <f t="shared" si="593"/>
        <v>0</v>
      </c>
      <c r="AY249" s="153">
        <f t="shared" si="593"/>
        <v>0</v>
      </c>
      <c r="AZ249" s="153">
        <f t="shared" si="593"/>
        <v>0</v>
      </c>
      <c r="BA249" s="153">
        <f t="shared" si="593"/>
        <v>0</v>
      </c>
      <c r="BB249" s="153">
        <f t="shared" si="593"/>
        <v>0</v>
      </c>
      <c r="BC249" s="153">
        <f t="shared" si="593"/>
        <v>0</v>
      </c>
      <c r="BD249" s="153">
        <f t="shared" si="593"/>
        <v>0</v>
      </c>
      <c r="BE249" s="153">
        <f t="shared" si="593"/>
        <v>0</v>
      </c>
      <c r="BF249" s="153">
        <f t="shared" si="593"/>
        <v>0</v>
      </c>
      <c r="BG249" s="153">
        <f t="shared" si="593"/>
        <v>0</v>
      </c>
      <c r="BH249" s="153">
        <f t="shared" si="593"/>
        <v>0</v>
      </c>
      <c r="BI249" s="153">
        <f t="shared" si="593"/>
        <v>0</v>
      </c>
      <c r="BJ249" s="153">
        <f t="shared" si="593"/>
        <v>0</v>
      </c>
      <c r="BK249" s="319"/>
      <c r="BL249" s="153">
        <f t="shared" si="593"/>
        <v>0</v>
      </c>
      <c r="BM249" s="153">
        <f t="shared" si="593"/>
        <v>0</v>
      </c>
      <c r="BN249" s="153">
        <f t="shared" si="593"/>
        <v>0</v>
      </c>
      <c r="BO249" s="153">
        <f t="shared" si="593"/>
        <v>0</v>
      </c>
      <c r="BP249" s="153">
        <f t="shared" si="593"/>
        <v>0</v>
      </c>
      <c r="BQ249" s="153">
        <f t="shared" si="593"/>
        <v>0</v>
      </c>
      <c r="BR249" s="153">
        <f t="shared" si="593"/>
        <v>0</v>
      </c>
      <c r="BS249" s="153">
        <f t="shared" si="593"/>
        <v>0</v>
      </c>
      <c r="BT249" s="153">
        <f t="shared" si="593"/>
        <v>0</v>
      </c>
      <c r="BU249" s="153">
        <f t="shared" si="593"/>
        <v>0</v>
      </c>
      <c r="BV249" s="153">
        <f t="shared" si="593"/>
        <v>0</v>
      </c>
      <c r="BW249" s="153">
        <f t="shared" si="593"/>
        <v>0</v>
      </c>
      <c r="BY249" s="12"/>
      <c r="BZ249" s="363">
        <f>IF(MAX($V249:$BW249)&gt;0, 1, 0)</f>
        <v>0</v>
      </c>
      <c r="CA249" s="12"/>
      <c r="CI249" s="7">
        <f t="shared" si="581"/>
        <v>0</v>
      </c>
      <c r="CJ249" s="7">
        <f t="shared" si="582"/>
        <v>0</v>
      </c>
      <c r="CK249" s="7">
        <f t="shared" si="583"/>
        <v>0</v>
      </c>
      <c r="CL249" s="42"/>
      <c r="CM249" s="352">
        <f t="shared" si="584"/>
        <v>0</v>
      </c>
      <c r="CN249" s="352">
        <f t="shared" si="584"/>
        <v>0</v>
      </c>
      <c r="CO249" s="352">
        <f t="shared" si="584"/>
        <v>0</v>
      </c>
      <c r="CP249" s="352">
        <f t="shared" si="585"/>
        <v>0</v>
      </c>
      <c r="CQ249" s="352">
        <f t="shared" si="586"/>
        <v>0</v>
      </c>
      <c r="CR249" s="352">
        <f t="shared" si="587"/>
        <v>0</v>
      </c>
      <c r="CS249" s="352">
        <f t="shared" si="588"/>
        <v>0</v>
      </c>
      <c r="CT249" s="42"/>
      <c r="CU249" s="67">
        <v>0</v>
      </c>
      <c r="CV249" s="67">
        <v>0</v>
      </c>
      <c r="EX249" s="13" t="str">
        <f t="shared" si="580"/>
        <v>Investments Disposals</v>
      </c>
    </row>
    <row r="250" spans="1:154" s="335" customFormat="1" ht="15.75" x14ac:dyDescent="0.3">
      <c r="A250" s="362" cm="1">
        <f t="array" aca="1" ref="A250" ca="1">HYPERLINK(CONCATENATE("#",CELL("address",IF(SUM($CA250:$CL250)=0,A250,INDEX($CA250:$CL250,MATCH(1,$CA250:$CL250,0))))),SUM($CA250:$CL250))</f>
        <v>0</v>
      </c>
      <c r="C250" s="340" t="s">
        <v>1161</v>
      </c>
      <c r="D250" s="177" t="s">
        <v>149</v>
      </c>
      <c r="E250" s="479" t="s">
        <v>335</v>
      </c>
      <c r="G250" s="46"/>
      <c r="H250" s="47" t="s">
        <v>86</v>
      </c>
      <c r="V250" s="141"/>
      <c r="W250" s="215">
        <f t="shared" ref="W250:Y250" si="594" xml:space="preserve"> SUMIFS($AA250:$BJ250, $AA$3:$BJ$3, W$3)</f>
        <v>0</v>
      </c>
      <c r="X250" s="215">
        <f t="shared" si="594"/>
        <v>0</v>
      </c>
      <c r="Y250" s="215">
        <f t="shared" si="594"/>
        <v>0</v>
      </c>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c r="BI250" s="147"/>
      <c r="BJ250" s="147"/>
      <c r="BL250" s="13">
        <f t="shared" ref="BL250:BO250" si="595">V250</f>
        <v>0</v>
      </c>
      <c r="BM250" s="13">
        <f t="shared" si="595"/>
        <v>0</v>
      </c>
      <c r="BN250" s="13">
        <f t="shared" si="595"/>
        <v>0</v>
      </c>
      <c r="BO250" s="13">
        <f t="shared" si="595"/>
        <v>0</v>
      </c>
      <c r="BP250" s="141"/>
      <c r="BQ250" s="141"/>
      <c r="BR250" s="141"/>
      <c r="BS250" s="141"/>
      <c r="BT250" s="141"/>
      <c r="BU250" s="141"/>
      <c r="BV250" s="141"/>
      <c r="BW250" s="141"/>
      <c r="BY250" s="12"/>
      <c r="CA250" s="12"/>
      <c r="CI250" s="7">
        <f t="shared" si="581"/>
        <v>0</v>
      </c>
      <c r="CJ250" s="7">
        <f t="shared" si="582"/>
        <v>0</v>
      </c>
      <c r="CK250" s="7">
        <f t="shared" si="583"/>
        <v>0</v>
      </c>
      <c r="CL250" s="42"/>
      <c r="CM250" s="352">
        <f t="shared" si="584"/>
        <v>0</v>
      </c>
      <c r="CN250" s="352">
        <f t="shared" si="584"/>
        <v>0</v>
      </c>
      <c r="CO250" s="352">
        <f t="shared" si="584"/>
        <v>0</v>
      </c>
      <c r="CP250" s="352">
        <f t="shared" si="585"/>
        <v>0</v>
      </c>
      <c r="CQ250" s="352">
        <f t="shared" si="586"/>
        <v>0</v>
      </c>
      <c r="CR250" s="352">
        <f t="shared" si="587"/>
        <v>0</v>
      </c>
      <c r="CS250" s="352">
        <f t="shared" si="588"/>
        <v>0</v>
      </c>
      <c r="CT250" s="42"/>
      <c r="CU250" s="335">
        <v>1</v>
      </c>
      <c r="CV250" s="335">
        <v>1</v>
      </c>
      <c r="EX250" s="13" t="str">
        <f t="shared" si="580"/>
        <v>Investments Movement due to mergers</v>
      </c>
    </row>
    <row r="251" spans="1:154" s="335" customFormat="1" x14ac:dyDescent="0.25">
      <c r="A251" s="362" cm="1">
        <f t="array" aca="1" ref="A251" ca="1">HYPERLINK(CONCATENATE("#",CELL("address",IF(SUM($CA251:$CL251)=0,A251,INDEX($CA251:$CL251,MATCH(1,$CA251:$CL251,0))))),SUM($CA251:$CL251))</f>
        <v>0</v>
      </c>
      <c r="C251" s="340" t="s">
        <v>1162</v>
      </c>
      <c r="D251" s="39" t="s">
        <v>988</v>
      </c>
      <c r="E251" s="39" t="s">
        <v>2356</v>
      </c>
      <c r="G251" s="46"/>
      <c r="H251" s="47" t="s">
        <v>98</v>
      </c>
      <c r="V251" s="10">
        <f>V$324</f>
        <v>0</v>
      </c>
      <c r="W251" s="10">
        <f>W$324</f>
        <v>0</v>
      </c>
      <c r="X251" s="10">
        <f>X$324</f>
        <v>0</v>
      </c>
      <c r="Y251" s="10">
        <f>Y$324</f>
        <v>0</v>
      </c>
      <c r="AA251" s="10">
        <f t="shared" ref="AA251:BJ251" si="596">AA$324</f>
        <v>0</v>
      </c>
      <c r="AB251" s="10">
        <f t="shared" si="596"/>
        <v>0</v>
      </c>
      <c r="AC251" s="10">
        <f t="shared" si="596"/>
        <v>0</v>
      </c>
      <c r="AD251" s="10">
        <f t="shared" si="596"/>
        <v>0</v>
      </c>
      <c r="AE251" s="10">
        <f t="shared" si="596"/>
        <v>0</v>
      </c>
      <c r="AF251" s="10">
        <f t="shared" si="596"/>
        <v>0</v>
      </c>
      <c r="AG251" s="10">
        <f t="shared" si="596"/>
        <v>0</v>
      </c>
      <c r="AH251" s="10">
        <f t="shared" si="596"/>
        <v>0</v>
      </c>
      <c r="AI251" s="10">
        <f t="shared" si="596"/>
        <v>0</v>
      </c>
      <c r="AJ251" s="10">
        <f t="shared" si="596"/>
        <v>0</v>
      </c>
      <c r="AK251" s="10">
        <f t="shared" si="596"/>
        <v>0</v>
      </c>
      <c r="AL251" s="10">
        <f t="shared" si="596"/>
        <v>0</v>
      </c>
      <c r="AM251" s="10">
        <f t="shared" si="596"/>
        <v>0</v>
      </c>
      <c r="AN251" s="10">
        <f t="shared" si="596"/>
        <v>0</v>
      </c>
      <c r="AO251" s="10">
        <f t="shared" si="596"/>
        <v>0</v>
      </c>
      <c r="AP251" s="10">
        <f t="shared" si="596"/>
        <v>0</v>
      </c>
      <c r="AQ251" s="10">
        <f t="shared" si="596"/>
        <v>0</v>
      </c>
      <c r="AR251" s="10">
        <f t="shared" si="596"/>
        <v>0</v>
      </c>
      <c r="AS251" s="10">
        <f t="shared" si="596"/>
        <v>0</v>
      </c>
      <c r="AT251" s="10">
        <f t="shared" si="596"/>
        <v>0</v>
      </c>
      <c r="AU251" s="10">
        <f t="shared" si="596"/>
        <v>0</v>
      </c>
      <c r="AV251" s="10">
        <f t="shared" si="596"/>
        <v>0</v>
      </c>
      <c r="AW251" s="10">
        <f t="shared" si="596"/>
        <v>0</v>
      </c>
      <c r="AX251" s="10">
        <f t="shared" si="596"/>
        <v>0</v>
      </c>
      <c r="AY251" s="10">
        <f t="shared" si="596"/>
        <v>0</v>
      </c>
      <c r="AZ251" s="10">
        <f t="shared" si="596"/>
        <v>0</v>
      </c>
      <c r="BA251" s="10">
        <f t="shared" si="596"/>
        <v>0</v>
      </c>
      <c r="BB251" s="10">
        <f t="shared" si="596"/>
        <v>0</v>
      </c>
      <c r="BC251" s="10">
        <f t="shared" si="596"/>
        <v>0</v>
      </c>
      <c r="BD251" s="10">
        <f t="shared" si="596"/>
        <v>0</v>
      </c>
      <c r="BE251" s="10">
        <f t="shared" si="596"/>
        <v>0</v>
      </c>
      <c r="BF251" s="10">
        <f t="shared" si="596"/>
        <v>0</v>
      </c>
      <c r="BG251" s="10">
        <f t="shared" si="596"/>
        <v>0</v>
      </c>
      <c r="BH251" s="10">
        <f t="shared" si="596"/>
        <v>0</v>
      </c>
      <c r="BI251" s="10">
        <f t="shared" si="596"/>
        <v>0</v>
      </c>
      <c r="BJ251" s="10">
        <f t="shared" si="596"/>
        <v>0</v>
      </c>
      <c r="BL251" s="10">
        <f t="shared" ref="BL251:BW251" si="597">BL$324</f>
        <v>0</v>
      </c>
      <c r="BM251" s="10">
        <f t="shared" si="597"/>
        <v>0</v>
      </c>
      <c r="BN251" s="10">
        <f t="shared" si="597"/>
        <v>0</v>
      </c>
      <c r="BO251" s="10">
        <f t="shared" si="597"/>
        <v>0</v>
      </c>
      <c r="BP251" s="10">
        <f t="shared" si="597"/>
        <v>0</v>
      </c>
      <c r="BQ251" s="10">
        <f t="shared" si="597"/>
        <v>0</v>
      </c>
      <c r="BR251" s="10">
        <f t="shared" si="597"/>
        <v>0</v>
      </c>
      <c r="BS251" s="10">
        <f t="shared" si="597"/>
        <v>0</v>
      </c>
      <c r="BT251" s="10">
        <f t="shared" si="597"/>
        <v>0</v>
      </c>
      <c r="BU251" s="10">
        <f t="shared" si="597"/>
        <v>0</v>
      </c>
      <c r="BV251" s="10">
        <f t="shared" si="597"/>
        <v>0</v>
      </c>
      <c r="BW251" s="10">
        <f t="shared" si="597"/>
        <v>0</v>
      </c>
      <c r="BY251" s="12"/>
      <c r="CA251" s="12"/>
      <c r="CI251" s="7">
        <f t="shared" si="581"/>
        <v>0</v>
      </c>
      <c r="CJ251" s="7">
        <f t="shared" si="582"/>
        <v>0</v>
      </c>
      <c r="CK251" s="7">
        <f t="shared" si="583"/>
        <v>0</v>
      </c>
      <c r="CL251" s="42"/>
      <c r="CM251" s="352">
        <f t="shared" si="584"/>
        <v>0</v>
      </c>
      <c r="CN251" s="352">
        <f t="shared" si="584"/>
        <v>0</v>
      </c>
      <c r="CO251" s="352">
        <f t="shared" si="584"/>
        <v>0</v>
      </c>
      <c r="CP251" s="352">
        <f t="shared" si="585"/>
        <v>0</v>
      </c>
      <c r="CQ251" s="352">
        <f t="shared" si="586"/>
        <v>0</v>
      </c>
      <c r="CR251" s="352">
        <f t="shared" si="587"/>
        <v>0</v>
      </c>
      <c r="CS251" s="352">
        <f t="shared" si="588"/>
        <v>0</v>
      </c>
      <c r="CT251" s="42"/>
      <c r="CU251" s="335">
        <v>0</v>
      </c>
      <c r="CV251" s="335">
        <v>0</v>
      </c>
      <c r="EX251" s="13" t="str">
        <f t="shared" si="580"/>
        <v>Investments NCA Reclassification</v>
      </c>
    </row>
    <row r="252" spans="1:154" x14ac:dyDescent="0.25">
      <c r="A252" s="362" cm="1">
        <f t="array" aca="1" ref="A252" ca="1">HYPERLINK(CONCATENATE("#",CELL("address",IF(SUM($CA252:$CL252)=0,A252,INDEX($CA252:$CL252,MATCH(1,$CA252:$CL252,0))))),SUM($CA252:$CL252))</f>
        <v>0</v>
      </c>
      <c r="C252" s="340" t="s">
        <v>1156</v>
      </c>
      <c r="D252" s="39" t="s">
        <v>97</v>
      </c>
      <c r="E252" s="352">
        <f>ROUND(V252-SUM(V245:V251), rounding)*$V$329</f>
        <v>0</v>
      </c>
      <c r="G252" s="46"/>
      <c r="H252" s="48"/>
      <c r="S252" s="335"/>
      <c r="T252" s="335"/>
      <c r="U252" s="335"/>
      <c r="V252" s="13">
        <f>'Opening Balances'!$W$14</f>
        <v>0</v>
      </c>
      <c r="W252" s="10">
        <f>SUM(W245:W251)</f>
        <v>0</v>
      </c>
      <c r="X252" s="10">
        <f>SUM(X245:X251)</f>
        <v>0</v>
      </c>
      <c r="Y252" s="10">
        <f>SUM(Y245:Y251)</f>
        <v>0</v>
      </c>
      <c r="Z252" s="335"/>
      <c r="AA252" s="10">
        <f t="shared" ref="AA252:BJ252" si="598">SUM(AA245:AA251)</f>
        <v>0</v>
      </c>
      <c r="AB252" s="10">
        <f t="shared" si="598"/>
        <v>0</v>
      </c>
      <c r="AC252" s="10">
        <f t="shared" si="598"/>
        <v>0</v>
      </c>
      <c r="AD252" s="10">
        <f t="shared" si="598"/>
        <v>0</v>
      </c>
      <c r="AE252" s="10">
        <f t="shared" si="598"/>
        <v>0</v>
      </c>
      <c r="AF252" s="10">
        <f t="shared" si="598"/>
        <v>0</v>
      </c>
      <c r="AG252" s="10">
        <f t="shared" si="598"/>
        <v>0</v>
      </c>
      <c r="AH252" s="10">
        <f t="shared" si="598"/>
        <v>0</v>
      </c>
      <c r="AI252" s="10">
        <f t="shared" si="598"/>
        <v>0</v>
      </c>
      <c r="AJ252" s="10">
        <f t="shared" si="598"/>
        <v>0</v>
      </c>
      <c r="AK252" s="10">
        <f t="shared" si="598"/>
        <v>0</v>
      </c>
      <c r="AL252" s="10">
        <f t="shared" si="598"/>
        <v>0</v>
      </c>
      <c r="AM252" s="10">
        <f t="shared" si="598"/>
        <v>0</v>
      </c>
      <c r="AN252" s="10">
        <f t="shared" si="598"/>
        <v>0</v>
      </c>
      <c r="AO252" s="10">
        <f t="shared" si="598"/>
        <v>0</v>
      </c>
      <c r="AP252" s="10">
        <f t="shared" si="598"/>
        <v>0</v>
      </c>
      <c r="AQ252" s="10">
        <f t="shared" si="598"/>
        <v>0</v>
      </c>
      <c r="AR252" s="10">
        <f t="shared" si="598"/>
        <v>0</v>
      </c>
      <c r="AS252" s="10">
        <f t="shared" si="598"/>
        <v>0</v>
      </c>
      <c r="AT252" s="10">
        <f t="shared" si="598"/>
        <v>0</v>
      </c>
      <c r="AU252" s="10">
        <f t="shared" si="598"/>
        <v>0</v>
      </c>
      <c r="AV252" s="10">
        <f t="shared" si="598"/>
        <v>0</v>
      </c>
      <c r="AW252" s="10">
        <f t="shared" si="598"/>
        <v>0</v>
      </c>
      <c r="AX252" s="10">
        <f t="shared" si="598"/>
        <v>0</v>
      </c>
      <c r="AY252" s="10">
        <f t="shared" si="598"/>
        <v>0</v>
      </c>
      <c r="AZ252" s="10">
        <f t="shared" si="598"/>
        <v>0</v>
      </c>
      <c r="BA252" s="10">
        <f t="shared" si="598"/>
        <v>0</v>
      </c>
      <c r="BB252" s="10">
        <f t="shared" si="598"/>
        <v>0</v>
      </c>
      <c r="BC252" s="10">
        <f t="shared" si="598"/>
        <v>0</v>
      </c>
      <c r="BD252" s="10">
        <f t="shared" si="598"/>
        <v>0</v>
      </c>
      <c r="BE252" s="10">
        <f t="shared" si="598"/>
        <v>0</v>
      </c>
      <c r="BF252" s="10">
        <f t="shared" si="598"/>
        <v>0</v>
      </c>
      <c r="BG252" s="10">
        <f t="shared" si="598"/>
        <v>0</v>
      </c>
      <c r="BH252" s="10">
        <f t="shared" si="598"/>
        <v>0</v>
      </c>
      <c r="BI252" s="10">
        <f t="shared" si="598"/>
        <v>0</v>
      </c>
      <c r="BJ252" s="10">
        <f t="shared" si="598"/>
        <v>0</v>
      </c>
      <c r="BL252" s="152">
        <f>V252</f>
        <v>0</v>
      </c>
      <c r="BM252" s="10">
        <f t="shared" ref="BM252:BW252" si="599">SUM(BM245:BM251)</f>
        <v>0</v>
      </c>
      <c r="BN252" s="10">
        <f t="shared" si="599"/>
        <v>0</v>
      </c>
      <c r="BO252" s="10">
        <f t="shared" si="599"/>
        <v>0</v>
      </c>
      <c r="BP252" s="10">
        <f t="shared" si="599"/>
        <v>0</v>
      </c>
      <c r="BQ252" s="10">
        <f t="shared" si="599"/>
        <v>0</v>
      </c>
      <c r="BR252" s="10">
        <f t="shared" si="599"/>
        <v>0</v>
      </c>
      <c r="BS252" s="10">
        <f t="shared" si="599"/>
        <v>0</v>
      </c>
      <c r="BT252" s="10">
        <f t="shared" si="599"/>
        <v>0</v>
      </c>
      <c r="BU252" s="10">
        <f t="shared" si="599"/>
        <v>0</v>
      </c>
      <c r="BV252" s="10">
        <f t="shared" si="599"/>
        <v>0</v>
      </c>
      <c r="BW252" s="10">
        <f t="shared" si="599"/>
        <v>0</v>
      </c>
      <c r="BY252" s="12"/>
      <c r="CA252" s="12"/>
      <c r="CG252" s="188">
        <f>IF(ABS($E252)&gt;Parameters!$D$33, 1, 0)</f>
        <v>0</v>
      </c>
      <c r="CI252" s="7">
        <f t="shared" si="581"/>
        <v>0</v>
      </c>
      <c r="CJ252" s="7">
        <f t="shared" si="582"/>
        <v>0</v>
      </c>
      <c r="CK252" s="7">
        <f t="shared" si="583"/>
        <v>0</v>
      </c>
      <c r="CL252" s="42"/>
      <c r="CM252" s="352">
        <f>ROUND(W252-INDEX($AA252:$BJ252, MATCH(W$5,$AA$5:$BJ$5,0)), rounding)</f>
        <v>0</v>
      </c>
      <c r="CN252" s="352">
        <f>ROUND(X252-INDEX($AA252:$BJ252, MATCH(X$5,$AA$5:$BJ$5,0)), rounding)</f>
        <v>0</v>
      </c>
      <c r="CO252" s="352">
        <f>ROUND(Y252-INDEX($AA252:$BJ252, MATCH(Y$5,$AA$5:$BJ$5,0)), rounding)</f>
        <v>0</v>
      </c>
      <c r="CP252" s="352">
        <f>ROUND(BM252-INDEX($AA252:$BJ252, MATCH(BM$5,$AA$5:$BJ$5,0)), rounding)</f>
        <v>0</v>
      </c>
      <c r="CQ252" s="352">
        <f>ROUND(BN252-INDEX($AA252:$BJ252, MATCH(BN$5,$AA$5:$BJ$5,0)), rounding)</f>
        <v>0</v>
      </c>
      <c r="CR252" s="352">
        <f>ROUND(BO252-INDEX($AA252:$BJ252, MATCH(BO$5,$AA$5:$BJ$5,0)), rounding)</f>
        <v>0</v>
      </c>
      <c r="CS252" s="352">
        <f t="shared" si="588"/>
        <v>0</v>
      </c>
      <c r="CT252" s="42"/>
      <c r="CU252" s="67">
        <v>0</v>
      </c>
      <c r="CV252" s="67">
        <v>0</v>
      </c>
      <c r="EX252" s="13" t="str">
        <f t="shared" si="580"/>
        <v>Investments Closing Balance</v>
      </c>
    </row>
    <row r="253" spans="1:154" ht="6.6" customHeight="1" x14ac:dyDescent="0.25">
      <c r="C253" s="385"/>
      <c r="D253" s="1"/>
      <c r="E253" s="67"/>
      <c r="T253" s="335"/>
      <c r="U253" s="335"/>
      <c r="V253" s="25"/>
      <c r="W253" s="25"/>
      <c r="X253" s="25"/>
      <c r="Y253" s="25"/>
      <c r="Z253" s="33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L253" s="25"/>
      <c r="BM253" s="155"/>
      <c r="BN253" s="25"/>
      <c r="BO253" s="25"/>
      <c r="BP253" s="25"/>
      <c r="BQ253" s="25"/>
      <c r="BR253" s="25"/>
      <c r="BS253" s="25"/>
      <c r="BT253" s="25"/>
      <c r="BU253" s="25"/>
      <c r="BV253" s="25"/>
      <c r="BW253" s="25"/>
      <c r="BY253" s="42"/>
      <c r="CA253" s="42"/>
      <c r="CL253" s="42"/>
      <c r="CT253" s="42"/>
      <c r="CU253" s="67">
        <v>0</v>
      </c>
      <c r="CV253" s="67">
        <v>0</v>
      </c>
      <c r="EX253" s="10" t="str">
        <f t="shared" si="472"/>
        <v/>
      </c>
    </row>
    <row r="254" spans="1:154" x14ac:dyDescent="0.25">
      <c r="A254" s="362" cm="1">
        <f t="array" aca="1" ref="A254" ca="1">HYPERLINK(CONCATENATE("#",CELL("address",IF(SUM($CA254:$CL254)=0,A254,INDEX($CA254:$CL254,MATCH(1,$CA254:$CL254,0))))),SUM($CA254:$CL254))</f>
        <v>0</v>
      </c>
      <c r="C254" s="385"/>
      <c r="D254" s="1" t="s">
        <v>379</v>
      </c>
      <c r="E254" s="67"/>
      <c r="G254" s="48"/>
      <c r="H254" s="48"/>
      <c r="S254" s="335"/>
      <c r="T254" s="335"/>
      <c r="U254" s="335"/>
      <c r="V254" s="154">
        <f>IF(V252&lt;0, 1, 0)*'BS Forecasts'!V$10</f>
        <v>0</v>
      </c>
      <c r="W254" s="154">
        <f>IF(W252&lt;0, 1, 0)*'BS Forecasts'!W$10</f>
        <v>0</v>
      </c>
      <c r="X254" s="154">
        <f>IF(X252&lt;0, 1, 0)*'BS Forecasts'!X$10</f>
        <v>0</v>
      </c>
      <c r="Y254" s="154">
        <f>IF(Y252&lt;0, 1, 0)*'BS Forecasts'!Y$10</f>
        <v>0</v>
      </c>
      <c r="Z254" s="335"/>
      <c r="AA254" s="154">
        <f>IF(AA252&lt;0, 1, 0)*'BS Forecasts'!AA$10</f>
        <v>0</v>
      </c>
      <c r="AB254" s="154">
        <f>IF(AB252&lt;0, 1, 0)*'BS Forecasts'!AB$10</f>
        <v>0</v>
      </c>
      <c r="AC254" s="154">
        <f>IF(AC252&lt;0, 1, 0)*'BS Forecasts'!AC$10</f>
        <v>0</v>
      </c>
      <c r="AD254" s="154">
        <f>IF(AD252&lt;0, 1, 0)*'BS Forecasts'!AD$10</f>
        <v>0</v>
      </c>
      <c r="AE254" s="154">
        <f>IF(AE252&lt;0, 1, 0)*'BS Forecasts'!AE$10</f>
        <v>0</v>
      </c>
      <c r="AF254" s="154">
        <f>IF(AF252&lt;0, 1, 0)*'BS Forecasts'!AF$10</f>
        <v>0</v>
      </c>
      <c r="AG254" s="154">
        <f>IF(AG252&lt;0, 1, 0)*'BS Forecasts'!AG$10</f>
        <v>0</v>
      </c>
      <c r="AH254" s="154">
        <f>IF(AH252&lt;0, 1, 0)*'BS Forecasts'!AH$10</f>
        <v>0</v>
      </c>
      <c r="AI254" s="154">
        <f>IF(AI252&lt;0, 1, 0)*'BS Forecasts'!AI$10</f>
        <v>0</v>
      </c>
      <c r="AJ254" s="154">
        <f>IF(AJ252&lt;0, 1, 0)*'BS Forecasts'!AJ$10</f>
        <v>0</v>
      </c>
      <c r="AK254" s="154">
        <f>IF(AK252&lt;0, 1, 0)*'BS Forecasts'!AK$10</f>
        <v>0</v>
      </c>
      <c r="AL254" s="154">
        <f>IF(AL252&lt;0, 1, 0)*'BS Forecasts'!AL$10</f>
        <v>0</v>
      </c>
      <c r="AM254" s="154">
        <f>IF(AM252&lt;0, 1, 0)*'BS Forecasts'!AM$10</f>
        <v>0</v>
      </c>
      <c r="AN254" s="154">
        <f>IF(AN252&lt;0, 1, 0)*'BS Forecasts'!AN$10</f>
        <v>0</v>
      </c>
      <c r="AO254" s="154">
        <f>IF(AO252&lt;0, 1, 0)*'BS Forecasts'!AO$10</f>
        <v>0</v>
      </c>
      <c r="AP254" s="154">
        <f>IF(AP252&lt;0, 1, 0)*'BS Forecasts'!AP$10</f>
        <v>0</v>
      </c>
      <c r="AQ254" s="154">
        <f>IF(AQ252&lt;0, 1, 0)*'BS Forecasts'!AQ$10</f>
        <v>0</v>
      </c>
      <c r="AR254" s="154">
        <f>IF(AR252&lt;0, 1, 0)*'BS Forecasts'!AR$10</f>
        <v>0</v>
      </c>
      <c r="AS254" s="154">
        <f>IF(AS252&lt;0, 1, 0)*'BS Forecasts'!AS$10</f>
        <v>0</v>
      </c>
      <c r="AT254" s="154">
        <f>IF(AT252&lt;0, 1, 0)*'BS Forecasts'!AT$10</f>
        <v>0</v>
      </c>
      <c r="AU254" s="154">
        <f>IF(AU252&lt;0, 1, 0)*'BS Forecasts'!AU$10</f>
        <v>0</v>
      </c>
      <c r="AV254" s="154">
        <f>IF(AV252&lt;0, 1, 0)*'BS Forecasts'!AV$10</f>
        <v>0</v>
      </c>
      <c r="AW254" s="154">
        <f>IF(AW252&lt;0, 1, 0)*'BS Forecasts'!AW$10</f>
        <v>0</v>
      </c>
      <c r="AX254" s="154">
        <f>IF(AX252&lt;0, 1, 0)*'BS Forecasts'!AX$10</f>
        <v>0</v>
      </c>
      <c r="AY254" s="154">
        <f>IF(AY252&lt;0, 1, 0)*'BS Forecasts'!AY$10</f>
        <v>0</v>
      </c>
      <c r="AZ254" s="154">
        <f>IF(AZ252&lt;0, 1, 0)*'BS Forecasts'!AZ$10</f>
        <v>0</v>
      </c>
      <c r="BA254" s="154">
        <f>IF(BA252&lt;0, 1, 0)*'BS Forecasts'!BA$10</f>
        <v>0</v>
      </c>
      <c r="BB254" s="154">
        <f>IF(BB252&lt;0, 1, 0)*'BS Forecasts'!BB$10</f>
        <v>0</v>
      </c>
      <c r="BC254" s="154">
        <f>IF(BC252&lt;0, 1, 0)*'BS Forecasts'!BC$10</f>
        <v>0</v>
      </c>
      <c r="BD254" s="154">
        <f>IF(BD252&lt;0, 1, 0)*'BS Forecasts'!BD$10</f>
        <v>0</v>
      </c>
      <c r="BE254" s="154">
        <f>IF(BE252&lt;0, 1, 0)*'BS Forecasts'!BE$10</f>
        <v>0</v>
      </c>
      <c r="BF254" s="154">
        <f>IF(BF252&lt;0, 1, 0)*'BS Forecasts'!BF$10</f>
        <v>0</v>
      </c>
      <c r="BG254" s="154">
        <f>IF(BG252&lt;0, 1, 0)*'BS Forecasts'!BG$10</f>
        <v>0</v>
      </c>
      <c r="BH254" s="154">
        <f>IF(BH252&lt;0, 1, 0)*'BS Forecasts'!BH$10</f>
        <v>0</v>
      </c>
      <c r="BI254" s="154">
        <f>IF(BI252&lt;0, 1, 0)*'BS Forecasts'!BI$10</f>
        <v>0</v>
      </c>
      <c r="BJ254" s="154">
        <f>IF(BJ252&lt;0, 1, 0)*'BS Forecasts'!BJ$10</f>
        <v>0</v>
      </c>
      <c r="BK254" s="335"/>
      <c r="BL254" s="154">
        <f>IF(BL252&lt;0, 1, 0)*'BS Forecasts'!BL$10</f>
        <v>0</v>
      </c>
      <c r="BM254" s="154">
        <f>IF(BM252&lt;0, 1, 0)*'BS Forecasts'!BM$10</f>
        <v>0</v>
      </c>
      <c r="BN254" s="154">
        <f>IF(BN252&lt;0, 1, 0)*'BS Forecasts'!BN$10</f>
        <v>0</v>
      </c>
      <c r="BO254" s="154">
        <f>IF(BO252&lt;0, 1, 0)*'BS Forecasts'!BO$10</f>
        <v>0</v>
      </c>
      <c r="BP254" s="154">
        <f>IF(BP252&lt;0, 1, 0)*'BS Forecasts'!BP$10</f>
        <v>0</v>
      </c>
      <c r="BQ254" s="154">
        <f>IF(BQ252&lt;0, 1, 0)*'BS Forecasts'!BQ$10</f>
        <v>0</v>
      </c>
      <c r="BR254" s="154">
        <f>IF(BR252&lt;0, 1, 0)*'BS Forecasts'!BR$10</f>
        <v>0</v>
      </c>
      <c r="BS254" s="154">
        <f>IF(BS252&lt;0, 1, 0)*'BS Forecasts'!BS$10</f>
        <v>0</v>
      </c>
      <c r="BT254" s="154">
        <f>IF(BT252&lt;0, 1, 0)*'BS Forecasts'!BT$10</f>
        <v>0</v>
      </c>
      <c r="BU254" s="154">
        <f>IF(BU252&lt;0, 1, 0)*'BS Forecasts'!BU$10</f>
        <v>0</v>
      </c>
      <c r="BV254" s="154">
        <f>IF(BV252&lt;0, 1, 0)*'BS Forecasts'!BV$10</f>
        <v>0</v>
      </c>
      <c r="BW254" s="154">
        <f>IF(BW252&lt;0, 1, 0)*'BS Forecasts'!BW$10</f>
        <v>0</v>
      </c>
      <c r="BY254" s="12"/>
      <c r="CA254" s="12"/>
      <c r="CF254" s="7">
        <f>IF(SUM(V254:BW254)=0, 0, 1)</f>
        <v>0</v>
      </c>
      <c r="CL254" s="42"/>
      <c r="CT254" s="42"/>
      <c r="CU254" s="67">
        <v>0</v>
      </c>
      <c r="CV254" s="67">
        <v>0</v>
      </c>
      <c r="EX254" s="10" t="str">
        <f t="shared" si="472"/>
        <v/>
      </c>
    </row>
    <row r="255" spans="1:154" ht="6.6" customHeight="1" x14ac:dyDescent="0.25">
      <c r="C255" s="385"/>
      <c r="D255" s="1"/>
      <c r="E255" s="67"/>
      <c r="T255" s="335"/>
      <c r="U255" s="335"/>
      <c r="V255" s="25"/>
      <c r="W255" s="25"/>
      <c r="X255" s="25"/>
      <c r="Y255" s="25"/>
      <c r="Z255" s="33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L255" s="25"/>
      <c r="BM255" s="155"/>
      <c r="BN255" s="25"/>
      <c r="BO255" s="25"/>
      <c r="BP255" s="25"/>
      <c r="BQ255" s="25"/>
      <c r="BR255" s="25"/>
      <c r="BS255" s="25"/>
      <c r="BT255" s="25"/>
      <c r="BU255" s="25"/>
      <c r="BV255" s="25"/>
      <c r="BW255" s="25"/>
      <c r="BY255" s="42"/>
      <c r="CA255" s="42"/>
      <c r="CL255" s="42"/>
      <c r="CT255" s="42"/>
      <c r="CU255" s="67">
        <v>0</v>
      </c>
      <c r="CV255" s="67">
        <v>0</v>
      </c>
      <c r="EX255" s="10" t="str">
        <f t="shared" si="472"/>
        <v/>
      </c>
    </row>
    <row r="256" spans="1:154" x14ac:dyDescent="0.25">
      <c r="B256" s="29"/>
      <c r="C256" s="385"/>
      <c r="D256" s="27" t="str">
        <f>'Opening Balances'!D13</f>
        <v>Assets under Construction</v>
      </c>
      <c r="E256" s="67"/>
      <c r="G256" s="48"/>
      <c r="H256" s="48"/>
      <c r="T256" s="335"/>
      <c r="U256" s="335"/>
      <c r="V256" s="25"/>
      <c r="W256" s="25"/>
      <c r="X256" s="25"/>
      <c r="Y256" s="25"/>
      <c r="Z256" s="33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L256" s="25"/>
      <c r="BM256" s="25"/>
      <c r="BN256" s="25"/>
      <c r="BO256" s="25"/>
      <c r="BP256" s="25"/>
      <c r="BQ256" s="25"/>
      <c r="BR256" s="25"/>
      <c r="BS256" s="25"/>
      <c r="BT256" s="25"/>
      <c r="BU256" s="25"/>
      <c r="BV256" s="25"/>
      <c r="BW256" s="25"/>
      <c r="BY256" s="12"/>
      <c r="CA256" s="12"/>
      <c r="CL256" s="42"/>
      <c r="CT256" s="42"/>
      <c r="CU256" s="67">
        <v>0</v>
      </c>
      <c r="CV256" s="67">
        <v>0</v>
      </c>
      <c r="EX256" s="10" t="str">
        <f t="shared" si="472"/>
        <v/>
      </c>
    </row>
    <row r="257" spans="1:154" x14ac:dyDescent="0.25">
      <c r="C257" s="340" t="str">
        <f>CONCATENATE("II-",'Opening Balances'!$C$13)</f>
        <v>II-B-1d-OB</v>
      </c>
      <c r="D257" s="39" t="s">
        <v>91</v>
      </c>
      <c r="E257" s="39"/>
      <c r="G257" s="46"/>
      <c r="H257" s="47" t="s">
        <v>92</v>
      </c>
      <c r="T257" s="335"/>
      <c r="U257" s="335"/>
      <c r="V257" s="13">
        <f>'Opening Balances'!$V$13</f>
        <v>0</v>
      </c>
      <c r="W257" s="153">
        <f>V261</f>
        <v>0</v>
      </c>
      <c r="X257" s="153">
        <f>W261</f>
        <v>0</v>
      </c>
      <c r="Y257" s="153">
        <f>X261</f>
        <v>0</v>
      </c>
      <c r="Z257" s="335"/>
      <c r="AA257" s="153">
        <f>W257</f>
        <v>0</v>
      </c>
      <c r="AB257" s="153">
        <f t="shared" ref="AB257:BJ257" si="600">AA261</f>
        <v>0</v>
      </c>
      <c r="AC257" s="153">
        <f t="shared" si="600"/>
        <v>0</v>
      </c>
      <c r="AD257" s="153">
        <f t="shared" si="600"/>
        <v>0</v>
      </c>
      <c r="AE257" s="153">
        <f t="shared" si="600"/>
        <v>0</v>
      </c>
      <c r="AF257" s="153">
        <f t="shared" si="600"/>
        <v>0</v>
      </c>
      <c r="AG257" s="153">
        <f t="shared" si="600"/>
        <v>0</v>
      </c>
      <c r="AH257" s="153">
        <f t="shared" si="600"/>
        <v>0</v>
      </c>
      <c r="AI257" s="153">
        <f t="shared" si="600"/>
        <v>0</v>
      </c>
      <c r="AJ257" s="153">
        <f t="shared" si="600"/>
        <v>0</v>
      </c>
      <c r="AK257" s="153">
        <f t="shared" si="600"/>
        <v>0</v>
      </c>
      <c r="AL257" s="153">
        <f t="shared" si="600"/>
        <v>0</v>
      </c>
      <c r="AM257" s="153">
        <f t="shared" si="600"/>
        <v>0</v>
      </c>
      <c r="AN257" s="153">
        <f t="shared" si="600"/>
        <v>0</v>
      </c>
      <c r="AO257" s="153">
        <f t="shared" si="600"/>
        <v>0</v>
      </c>
      <c r="AP257" s="153">
        <f t="shared" si="600"/>
        <v>0</v>
      </c>
      <c r="AQ257" s="153">
        <f t="shared" si="600"/>
        <v>0</v>
      </c>
      <c r="AR257" s="153">
        <f t="shared" si="600"/>
        <v>0</v>
      </c>
      <c r="AS257" s="153">
        <f t="shared" si="600"/>
        <v>0</v>
      </c>
      <c r="AT257" s="153">
        <f t="shared" si="600"/>
        <v>0</v>
      </c>
      <c r="AU257" s="153">
        <f t="shared" si="600"/>
        <v>0</v>
      </c>
      <c r="AV257" s="153">
        <f t="shared" si="600"/>
        <v>0</v>
      </c>
      <c r="AW257" s="153">
        <f t="shared" si="600"/>
        <v>0</v>
      </c>
      <c r="AX257" s="153">
        <f t="shared" si="600"/>
        <v>0</v>
      </c>
      <c r="AY257" s="153">
        <f t="shared" si="600"/>
        <v>0</v>
      </c>
      <c r="AZ257" s="153">
        <f t="shared" si="600"/>
        <v>0</v>
      </c>
      <c r="BA257" s="153">
        <f t="shared" si="600"/>
        <v>0</v>
      </c>
      <c r="BB257" s="153">
        <f t="shared" si="600"/>
        <v>0</v>
      </c>
      <c r="BC257" s="153">
        <f t="shared" si="600"/>
        <v>0</v>
      </c>
      <c r="BD257" s="153">
        <f t="shared" si="600"/>
        <v>0</v>
      </c>
      <c r="BE257" s="153">
        <f t="shared" si="600"/>
        <v>0</v>
      </c>
      <c r="BF257" s="153">
        <f t="shared" si="600"/>
        <v>0</v>
      </c>
      <c r="BG257" s="153">
        <f t="shared" si="600"/>
        <v>0</v>
      </c>
      <c r="BH257" s="153">
        <f t="shared" si="600"/>
        <v>0</v>
      </c>
      <c r="BI257" s="153">
        <f t="shared" si="600"/>
        <v>0</v>
      </c>
      <c r="BJ257" s="153">
        <f t="shared" si="600"/>
        <v>0</v>
      </c>
      <c r="BL257" s="152">
        <f>V257</f>
        <v>0</v>
      </c>
      <c r="BM257" s="152">
        <f>W257</f>
        <v>0</v>
      </c>
      <c r="BN257" s="152">
        <f>X257</f>
        <v>0</v>
      </c>
      <c r="BO257" s="152">
        <f>Y257</f>
        <v>0</v>
      </c>
      <c r="BP257" s="153">
        <f t="shared" ref="BP257:BW257" si="601">BO261</f>
        <v>0</v>
      </c>
      <c r="BQ257" s="153">
        <f t="shared" si="601"/>
        <v>0</v>
      </c>
      <c r="BR257" s="153">
        <f t="shared" si="601"/>
        <v>0</v>
      </c>
      <c r="BS257" s="153">
        <f t="shared" si="601"/>
        <v>0</v>
      </c>
      <c r="BT257" s="153">
        <f t="shared" si="601"/>
        <v>0</v>
      </c>
      <c r="BU257" s="153">
        <f t="shared" si="601"/>
        <v>0</v>
      </c>
      <c r="BV257" s="153">
        <f t="shared" si="601"/>
        <v>0</v>
      </c>
      <c r="BW257" s="153">
        <f t="shared" si="601"/>
        <v>0</v>
      </c>
      <c r="BY257" s="12"/>
      <c r="CA257" s="12"/>
      <c r="CL257" s="42"/>
      <c r="CT257" s="42"/>
      <c r="CU257" s="67">
        <v>0</v>
      </c>
      <c r="CV257" s="67">
        <v>0</v>
      </c>
      <c r="EX257" s="13" t="str">
        <f>IF($C257="","",CONCATENATE(D$256, " ",$D257))</f>
        <v>Assets under Construction Opening Balance</v>
      </c>
    </row>
    <row r="258" spans="1:154" x14ac:dyDescent="0.25">
      <c r="A258" s="362" cm="1">
        <f t="array" aca="1" ref="A258" ca="1">HYPERLINK(CONCATENATE("#",CELL("address",IF(SUM($CA258:$CL258)=0,A258,INDEX($CA258:$CL258,MATCH(1,$CA258:$CL258,0))))),SUM($CA258:$CL258))</f>
        <v>0</v>
      </c>
      <c r="C258" s="340" t="s">
        <v>1164</v>
      </c>
      <c r="D258" s="117" t="s">
        <v>93</v>
      </c>
      <c r="E258" s="39"/>
      <c r="G258" s="46"/>
      <c r="H258" s="47" t="s">
        <v>92</v>
      </c>
      <c r="S258" s="335"/>
      <c r="T258" s="335"/>
      <c r="U258" s="335"/>
      <c r="V258" s="153">
        <f>V$31</f>
        <v>0</v>
      </c>
      <c r="W258" s="153">
        <f t="shared" ref="W258:BW258" si="602">W$31</f>
        <v>0</v>
      </c>
      <c r="X258" s="153">
        <f t="shared" si="602"/>
        <v>0</v>
      </c>
      <c r="Y258" s="153">
        <f t="shared" si="602"/>
        <v>0</v>
      </c>
      <c r="Z258" s="335"/>
      <c r="AA258" s="153">
        <f t="shared" si="602"/>
        <v>0</v>
      </c>
      <c r="AB258" s="153">
        <f t="shared" si="602"/>
        <v>0</v>
      </c>
      <c r="AC258" s="153">
        <f t="shared" si="602"/>
        <v>0</v>
      </c>
      <c r="AD258" s="153">
        <f t="shared" si="602"/>
        <v>0</v>
      </c>
      <c r="AE258" s="153">
        <f t="shared" si="602"/>
        <v>0</v>
      </c>
      <c r="AF258" s="153">
        <f t="shared" si="602"/>
        <v>0</v>
      </c>
      <c r="AG258" s="153">
        <f t="shared" si="602"/>
        <v>0</v>
      </c>
      <c r="AH258" s="153">
        <f t="shared" si="602"/>
        <v>0</v>
      </c>
      <c r="AI258" s="153">
        <f t="shared" si="602"/>
        <v>0</v>
      </c>
      <c r="AJ258" s="153">
        <f t="shared" si="602"/>
        <v>0</v>
      </c>
      <c r="AK258" s="153">
        <f t="shared" si="602"/>
        <v>0</v>
      </c>
      <c r="AL258" s="153">
        <f t="shared" si="602"/>
        <v>0</v>
      </c>
      <c r="AM258" s="153">
        <f t="shared" si="602"/>
        <v>0</v>
      </c>
      <c r="AN258" s="153">
        <f t="shared" si="602"/>
        <v>0</v>
      </c>
      <c r="AO258" s="153">
        <f t="shared" si="602"/>
        <v>0</v>
      </c>
      <c r="AP258" s="153">
        <f t="shared" si="602"/>
        <v>0</v>
      </c>
      <c r="AQ258" s="153">
        <f t="shared" si="602"/>
        <v>0</v>
      </c>
      <c r="AR258" s="153">
        <f t="shared" si="602"/>
        <v>0</v>
      </c>
      <c r="AS258" s="153">
        <f t="shared" si="602"/>
        <v>0</v>
      </c>
      <c r="AT258" s="153">
        <f t="shared" si="602"/>
        <v>0</v>
      </c>
      <c r="AU258" s="153">
        <f t="shared" si="602"/>
        <v>0</v>
      </c>
      <c r="AV258" s="153">
        <f t="shared" si="602"/>
        <v>0</v>
      </c>
      <c r="AW258" s="153">
        <f t="shared" si="602"/>
        <v>0</v>
      </c>
      <c r="AX258" s="153">
        <f t="shared" si="602"/>
        <v>0</v>
      </c>
      <c r="AY258" s="153">
        <f t="shared" si="602"/>
        <v>0</v>
      </c>
      <c r="AZ258" s="153">
        <f t="shared" si="602"/>
        <v>0</v>
      </c>
      <c r="BA258" s="153">
        <f t="shared" si="602"/>
        <v>0</v>
      </c>
      <c r="BB258" s="153">
        <f t="shared" si="602"/>
        <v>0</v>
      </c>
      <c r="BC258" s="153">
        <f t="shared" si="602"/>
        <v>0</v>
      </c>
      <c r="BD258" s="153">
        <f t="shared" si="602"/>
        <v>0</v>
      </c>
      <c r="BE258" s="153">
        <f t="shared" si="602"/>
        <v>0</v>
      </c>
      <c r="BF258" s="153">
        <f t="shared" si="602"/>
        <v>0</v>
      </c>
      <c r="BG258" s="153">
        <f t="shared" si="602"/>
        <v>0</v>
      </c>
      <c r="BH258" s="153">
        <f t="shared" si="602"/>
        <v>0</v>
      </c>
      <c r="BI258" s="153">
        <f t="shared" si="602"/>
        <v>0</v>
      </c>
      <c r="BJ258" s="153">
        <f t="shared" si="602"/>
        <v>0</v>
      </c>
      <c r="BK258" s="335"/>
      <c r="BL258" s="153">
        <f t="shared" si="602"/>
        <v>0</v>
      </c>
      <c r="BM258" s="153">
        <f t="shared" si="602"/>
        <v>0</v>
      </c>
      <c r="BN258" s="153">
        <f t="shared" si="602"/>
        <v>0</v>
      </c>
      <c r="BO258" s="153">
        <f>BO$31</f>
        <v>0</v>
      </c>
      <c r="BP258" s="153">
        <f t="shared" si="602"/>
        <v>0</v>
      </c>
      <c r="BQ258" s="153">
        <f t="shared" si="602"/>
        <v>0</v>
      </c>
      <c r="BR258" s="153">
        <f t="shared" si="602"/>
        <v>0</v>
      </c>
      <c r="BS258" s="153">
        <f t="shared" si="602"/>
        <v>0</v>
      </c>
      <c r="BT258" s="153">
        <f t="shared" si="602"/>
        <v>0</v>
      </c>
      <c r="BU258" s="153">
        <f t="shared" si="602"/>
        <v>0</v>
      </c>
      <c r="BV258" s="153">
        <f t="shared" si="602"/>
        <v>0</v>
      </c>
      <c r="BW258" s="153">
        <f t="shared" si="602"/>
        <v>0</v>
      </c>
      <c r="BY258" s="12"/>
      <c r="BZ258" s="363">
        <f>IF(MIN($V258:$BW258)&lt;0, 1, 0)</f>
        <v>0</v>
      </c>
      <c r="CA258" s="12"/>
      <c r="CI258" s="7">
        <f t="shared" ref="CI258:CI261" si="603">IF(SUM($CM258:$CO258)=0, 0, 1)</f>
        <v>0</v>
      </c>
      <c r="CJ258" s="7">
        <f t="shared" ref="CJ258:CJ261" si="604">IF(SUM($CP258:$CR258)=0, 0, 1)</f>
        <v>0</v>
      </c>
      <c r="CK258" s="7">
        <f t="shared" ref="CK258:CK261" si="605">IF($CS258=0, 0, 1)</f>
        <v>0</v>
      </c>
      <c r="CL258" s="42"/>
      <c r="CM258" s="352">
        <f t="shared" ref="CM258:CO260" si="606">ROUND(W258-SUMIFS($AA258:$BJ258, $AA$3:$BJ$3, W$3), rounding)</f>
        <v>0</v>
      </c>
      <c r="CN258" s="352">
        <f t="shared" si="606"/>
        <v>0</v>
      </c>
      <c r="CO258" s="352">
        <f t="shared" si="606"/>
        <v>0</v>
      </c>
      <c r="CP258" s="352">
        <f>ROUND($BM258-SUMIFS($AA258:$BJ258, $AA$3:$BJ$3, $BM$3), rounding)</f>
        <v>0</v>
      </c>
      <c r="CQ258" s="352">
        <f>ROUND($BN258-SUMIFS($AA258:$BJ258, $AA$3:$BJ$3, $BN$3), rounding)</f>
        <v>0</v>
      </c>
      <c r="CR258" s="352">
        <f>ROUND($BO258-SUMIFS($AA258:$BJ258, $AA$3:$BJ$3, $BO$3), rounding)</f>
        <v>0</v>
      </c>
      <c r="CS258" s="352">
        <f>ROUND($V258-$BL258, rounding)</f>
        <v>0</v>
      </c>
      <c r="CT258" s="42"/>
      <c r="CU258" s="67">
        <v>0</v>
      </c>
      <c r="CV258" s="67">
        <v>0</v>
      </c>
      <c r="EX258" s="13" t="str">
        <f>IF($C258="","",CONCATENATE(D$256, " ",$D258))</f>
        <v>Assets under Construction Additions</v>
      </c>
    </row>
    <row r="259" spans="1:154" ht="15.75" x14ac:dyDescent="0.3">
      <c r="A259" s="362" cm="1">
        <f t="array" aca="1" ref="A259" ca="1">HYPERLINK(CONCATENATE("#",CELL("address",IF(SUM($CA259:$CL259)=0,A259,INDEX($CA259:$CL259,MATCH(1,$CA259:$CL259,0))))),SUM($CA259:$CL259))</f>
        <v>0</v>
      </c>
      <c r="C259" s="340" t="s">
        <v>1165</v>
      </c>
      <c r="D259" s="117" t="s">
        <v>364</v>
      </c>
      <c r="E259" s="479" t="s">
        <v>335</v>
      </c>
      <c r="G259" s="46"/>
      <c r="H259" s="47" t="s">
        <v>98</v>
      </c>
      <c r="S259" s="325"/>
      <c r="T259" s="335"/>
      <c r="U259" s="335"/>
      <c r="V259" s="153">
        <f>0-V71</f>
        <v>0</v>
      </c>
      <c r="W259" s="153">
        <f>0-W71</f>
        <v>0</v>
      </c>
      <c r="X259" s="153">
        <f>0-X71</f>
        <v>0</v>
      </c>
      <c r="Y259" s="153">
        <f>0-Y71</f>
        <v>0</v>
      </c>
      <c r="Z259" s="335"/>
      <c r="AA259" s="153">
        <f t="shared" ref="AA259:BJ259" si="607">0-AA71</f>
        <v>0</v>
      </c>
      <c r="AB259" s="153">
        <f t="shared" si="607"/>
        <v>0</v>
      </c>
      <c r="AC259" s="153">
        <f t="shared" si="607"/>
        <v>0</v>
      </c>
      <c r="AD259" s="153">
        <f t="shared" si="607"/>
        <v>0</v>
      </c>
      <c r="AE259" s="153">
        <f t="shared" si="607"/>
        <v>0</v>
      </c>
      <c r="AF259" s="153">
        <f t="shared" si="607"/>
        <v>0</v>
      </c>
      <c r="AG259" s="153">
        <f t="shared" si="607"/>
        <v>0</v>
      </c>
      <c r="AH259" s="153">
        <f t="shared" si="607"/>
        <v>0</v>
      </c>
      <c r="AI259" s="153">
        <f t="shared" si="607"/>
        <v>0</v>
      </c>
      <c r="AJ259" s="153">
        <f t="shared" si="607"/>
        <v>0</v>
      </c>
      <c r="AK259" s="153">
        <f t="shared" si="607"/>
        <v>0</v>
      </c>
      <c r="AL259" s="153">
        <f t="shared" si="607"/>
        <v>0</v>
      </c>
      <c r="AM259" s="153">
        <f t="shared" si="607"/>
        <v>0</v>
      </c>
      <c r="AN259" s="153">
        <f t="shared" si="607"/>
        <v>0</v>
      </c>
      <c r="AO259" s="153">
        <f t="shared" si="607"/>
        <v>0</v>
      </c>
      <c r="AP259" s="153">
        <f t="shared" si="607"/>
        <v>0</v>
      </c>
      <c r="AQ259" s="153">
        <f t="shared" si="607"/>
        <v>0</v>
      </c>
      <c r="AR259" s="153">
        <f t="shared" si="607"/>
        <v>0</v>
      </c>
      <c r="AS259" s="153">
        <f t="shared" si="607"/>
        <v>0</v>
      </c>
      <c r="AT259" s="153">
        <f t="shared" si="607"/>
        <v>0</v>
      </c>
      <c r="AU259" s="153">
        <f t="shared" si="607"/>
        <v>0</v>
      </c>
      <c r="AV259" s="153">
        <f t="shared" si="607"/>
        <v>0</v>
      </c>
      <c r="AW259" s="153">
        <f t="shared" si="607"/>
        <v>0</v>
      </c>
      <c r="AX259" s="153">
        <f t="shared" si="607"/>
        <v>0</v>
      </c>
      <c r="AY259" s="153">
        <f t="shared" si="607"/>
        <v>0</v>
      </c>
      <c r="AZ259" s="153">
        <f t="shared" si="607"/>
        <v>0</v>
      </c>
      <c r="BA259" s="153">
        <f t="shared" si="607"/>
        <v>0</v>
      </c>
      <c r="BB259" s="153">
        <f t="shared" si="607"/>
        <v>0</v>
      </c>
      <c r="BC259" s="153">
        <f t="shared" si="607"/>
        <v>0</v>
      </c>
      <c r="BD259" s="153">
        <f t="shared" si="607"/>
        <v>0</v>
      </c>
      <c r="BE259" s="153">
        <f t="shared" si="607"/>
        <v>0</v>
      </c>
      <c r="BF259" s="153">
        <f t="shared" si="607"/>
        <v>0</v>
      </c>
      <c r="BG259" s="153">
        <f t="shared" si="607"/>
        <v>0</v>
      </c>
      <c r="BH259" s="153">
        <f t="shared" si="607"/>
        <v>0</v>
      </c>
      <c r="BI259" s="153">
        <f t="shared" si="607"/>
        <v>0</v>
      </c>
      <c r="BJ259" s="153">
        <f t="shared" si="607"/>
        <v>0</v>
      </c>
      <c r="BK259" s="325"/>
      <c r="BL259" s="153">
        <f t="shared" ref="BL259:BW259" si="608">0-BL71</f>
        <v>0</v>
      </c>
      <c r="BM259" s="153">
        <f t="shared" si="608"/>
        <v>0</v>
      </c>
      <c r="BN259" s="153">
        <f t="shared" si="608"/>
        <v>0</v>
      </c>
      <c r="BO259" s="153">
        <f t="shared" si="608"/>
        <v>0</v>
      </c>
      <c r="BP259" s="153">
        <f t="shared" si="608"/>
        <v>0</v>
      </c>
      <c r="BQ259" s="153">
        <f t="shared" si="608"/>
        <v>0</v>
      </c>
      <c r="BR259" s="153">
        <f t="shared" si="608"/>
        <v>0</v>
      </c>
      <c r="BS259" s="153">
        <f t="shared" si="608"/>
        <v>0</v>
      </c>
      <c r="BT259" s="153">
        <f t="shared" si="608"/>
        <v>0</v>
      </c>
      <c r="BU259" s="153">
        <f t="shared" si="608"/>
        <v>0</v>
      </c>
      <c r="BV259" s="153">
        <f t="shared" si="608"/>
        <v>0</v>
      </c>
      <c r="BW259" s="153">
        <f t="shared" si="608"/>
        <v>0</v>
      </c>
      <c r="BY259" s="12"/>
      <c r="BZ259" s="363">
        <f>IF(MAX($V259:$BW259)&gt;0, 1, 0)</f>
        <v>0</v>
      </c>
      <c r="CA259" s="12"/>
      <c r="CI259" s="7">
        <f t="shared" si="603"/>
        <v>0</v>
      </c>
      <c r="CJ259" s="7">
        <f t="shared" si="604"/>
        <v>0</v>
      </c>
      <c r="CK259" s="7">
        <f t="shared" si="605"/>
        <v>0</v>
      </c>
      <c r="CL259" s="42"/>
      <c r="CM259" s="352">
        <f t="shared" si="606"/>
        <v>0</v>
      </c>
      <c r="CN259" s="352">
        <f t="shared" si="606"/>
        <v>0</v>
      </c>
      <c r="CO259" s="352">
        <f t="shared" si="606"/>
        <v>0</v>
      </c>
      <c r="CP259" s="352">
        <f>ROUND($BM259-SUMIFS($AA259:$BJ259, $AA$3:$BJ$3, $BM$3), rounding)</f>
        <v>0</v>
      </c>
      <c r="CQ259" s="352">
        <f>ROUND($BN259-SUMIFS($AA259:$BJ259, $AA$3:$BJ$3, $BN$3), rounding)</f>
        <v>0</v>
      </c>
      <c r="CR259" s="352">
        <f>ROUND($BO259-SUMIFS($AA259:$BJ259, $AA$3:$BJ$3, $BO$3), rounding)</f>
        <v>0</v>
      </c>
      <c r="CS259" s="352">
        <f>ROUND($V259-$BL259, rounding)</f>
        <v>0</v>
      </c>
      <c r="CT259" s="42"/>
      <c r="CU259" s="67">
        <v>0</v>
      </c>
      <c r="CV259" s="67">
        <v>0</v>
      </c>
      <c r="EX259" s="13" t="str">
        <f>IF($C259="","",CONCATENATE(D$256, " ",$D259))</f>
        <v>Assets under Construction Moved to Non-Current Assets</v>
      </c>
    </row>
    <row r="260" spans="1:154" s="335" customFormat="1" x14ac:dyDescent="0.25">
      <c r="A260" s="362" cm="1">
        <f t="array" aca="1" ref="A260" ca="1">HYPERLINK(CONCATENATE("#",CELL("address",IF(SUM($CA260:$CL260)=0,A260,INDEX($CA260:$CL260,MATCH(1,$CA260:$CL260,0))))),SUM($CA260:$CL260))</f>
        <v>0</v>
      </c>
      <c r="C260" s="340" t="s">
        <v>1166</v>
      </c>
      <c r="D260" s="177" t="s">
        <v>149</v>
      </c>
      <c r="E260" s="39" t="s">
        <v>2356</v>
      </c>
      <c r="G260" s="46"/>
      <c r="H260" s="47" t="s">
        <v>86</v>
      </c>
      <c r="V260" s="141"/>
      <c r="W260" s="215">
        <f xml:space="preserve"> SUMIFS($AA260:$BJ260, $AA$3:$BJ$3, W$3)</f>
        <v>0</v>
      </c>
      <c r="X260" s="215">
        <f xml:space="preserve"> SUMIFS($AA260:$BJ260, $AA$3:$BJ$3, X$3)</f>
        <v>0</v>
      </c>
      <c r="Y260" s="215">
        <f xml:space="preserve"> SUMIFS($AA260:$BJ260, $AA$3:$BJ$3, Y$3)</f>
        <v>0</v>
      </c>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c r="BJ260" s="147"/>
      <c r="BL260" s="13">
        <f>V260</f>
        <v>0</v>
      </c>
      <c r="BM260" s="13">
        <f>W260</f>
        <v>0</v>
      </c>
      <c r="BN260" s="13">
        <f>X260</f>
        <v>0</v>
      </c>
      <c r="BO260" s="13">
        <f>Y260</f>
        <v>0</v>
      </c>
      <c r="BP260" s="141"/>
      <c r="BQ260" s="141"/>
      <c r="BR260" s="141"/>
      <c r="BS260" s="141"/>
      <c r="BT260" s="141"/>
      <c r="BU260" s="141"/>
      <c r="BV260" s="141"/>
      <c r="BW260" s="141"/>
      <c r="BY260" s="12"/>
      <c r="CA260" s="12"/>
      <c r="CI260" s="7">
        <f t="shared" si="603"/>
        <v>0</v>
      </c>
      <c r="CJ260" s="7">
        <f t="shared" si="604"/>
        <v>0</v>
      </c>
      <c r="CK260" s="7">
        <f t="shared" si="605"/>
        <v>0</v>
      </c>
      <c r="CL260" s="42"/>
      <c r="CM260" s="352">
        <f t="shared" si="606"/>
        <v>0</v>
      </c>
      <c r="CN260" s="352">
        <f t="shared" si="606"/>
        <v>0</v>
      </c>
      <c r="CO260" s="352">
        <f t="shared" si="606"/>
        <v>0</v>
      </c>
      <c r="CP260" s="352">
        <f>ROUND($BM260-SUMIFS($AA260:$BJ260, $AA$3:$BJ$3, $BM$3), rounding)</f>
        <v>0</v>
      </c>
      <c r="CQ260" s="352">
        <f>ROUND($BN260-SUMIFS($AA260:$BJ260, $AA$3:$BJ$3, $BN$3), rounding)</f>
        <v>0</v>
      </c>
      <c r="CR260" s="352">
        <f>ROUND($BO260-SUMIFS($AA260:$BJ260, $AA$3:$BJ$3, $BO$3), rounding)</f>
        <v>0</v>
      </c>
      <c r="CS260" s="352">
        <f>ROUND($V260-$BL260, rounding)</f>
        <v>0</v>
      </c>
      <c r="CT260" s="42"/>
      <c r="CU260" s="335">
        <v>1</v>
      </c>
      <c r="CV260" s="335">
        <v>1</v>
      </c>
      <c r="EX260" s="13" t="str">
        <f>IF($C260="","",CONCATENATE(D$256, " ",$D260))</f>
        <v>Assets under Construction Movement due to mergers</v>
      </c>
    </row>
    <row r="261" spans="1:154" x14ac:dyDescent="0.25">
      <c r="A261" s="362" cm="1">
        <f t="array" aca="1" ref="A261" ca="1">HYPERLINK(CONCATENATE("#",CELL("address",IF(SUM($CA261:$CL261)=0,A261,INDEX($CA261:$CL261,MATCH(1,$CA261:$CL261,0))))),SUM($CA261:$CL261))</f>
        <v>0</v>
      </c>
      <c r="C261" s="340" t="s">
        <v>1163</v>
      </c>
      <c r="D261" s="39" t="s">
        <v>97</v>
      </c>
      <c r="E261" s="352">
        <f>ROUND(V261-SUM(V257:V260), rounding)*$V$329</f>
        <v>0</v>
      </c>
      <c r="G261" s="46"/>
      <c r="H261" s="48"/>
      <c r="S261" s="335"/>
      <c r="T261" s="335"/>
      <c r="U261" s="335"/>
      <c r="V261" s="13">
        <f>'Opening Balances'!W13</f>
        <v>0</v>
      </c>
      <c r="W261" s="153">
        <f>SUM(W257:W260)</f>
        <v>0</v>
      </c>
      <c r="X261" s="153">
        <f t="shared" ref="X261:BJ261" si="609">SUM(X257:X260)</f>
        <v>0</v>
      </c>
      <c r="Y261" s="153">
        <f t="shared" si="609"/>
        <v>0</v>
      </c>
      <c r="Z261" s="335"/>
      <c r="AA261" s="153">
        <f t="shared" si="609"/>
        <v>0</v>
      </c>
      <c r="AB261" s="153">
        <f t="shared" si="609"/>
        <v>0</v>
      </c>
      <c r="AC261" s="153">
        <f t="shared" si="609"/>
        <v>0</v>
      </c>
      <c r="AD261" s="153">
        <f t="shared" si="609"/>
        <v>0</v>
      </c>
      <c r="AE261" s="153">
        <f t="shared" si="609"/>
        <v>0</v>
      </c>
      <c r="AF261" s="153">
        <f t="shared" si="609"/>
        <v>0</v>
      </c>
      <c r="AG261" s="153">
        <f t="shared" si="609"/>
        <v>0</v>
      </c>
      <c r="AH261" s="153">
        <f t="shared" si="609"/>
        <v>0</v>
      </c>
      <c r="AI261" s="153">
        <f t="shared" si="609"/>
        <v>0</v>
      </c>
      <c r="AJ261" s="153">
        <f t="shared" si="609"/>
        <v>0</v>
      </c>
      <c r="AK261" s="153">
        <f t="shared" si="609"/>
        <v>0</v>
      </c>
      <c r="AL261" s="153">
        <f t="shared" si="609"/>
        <v>0</v>
      </c>
      <c r="AM261" s="153">
        <f t="shared" si="609"/>
        <v>0</v>
      </c>
      <c r="AN261" s="153">
        <f t="shared" si="609"/>
        <v>0</v>
      </c>
      <c r="AO261" s="153">
        <f t="shared" si="609"/>
        <v>0</v>
      </c>
      <c r="AP261" s="153">
        <f t="shared" si="609"/>
        <v>0</v>
      </c>
      <c r="AQ261" s="153">
        <f t="shared" si="609"/>
        <v>0</v>
      </c>
      <c r="AR261" s="153">
        <f t="shared" si="609"/>
        <v>0</v>
      </c>
      <c r="AS261" s="153">
        <f t="shared" si="609"/>
        <v>0</v>
      </c>
      <c r="AT261" s="153">
        <f t="shared" si="609"/>
        <v>0</v>
      </c>
      <c r="AU261" s="153">
        <f t="shared" si="609"/>
        <v>0</v>
      </c>
      <c r="AV261" s="153">
        <f t="shared" si="609"/>
        <v>0</v>
      </c>
      <c r="AW261" s="153">
        <f t="shared" si="609"/>
        <v>0</v>
      </c>
      <c r="AX261" s="153">
        <f t="shared" si="609"/>
        <v>0</v>
      </c>
      <c r="AY261" s="153">
        <f t="shared" si="609"/>
        <v>0</v>
      </c>
      <c r="AZ261" s="153">
        <f t="shared" si="609"/>
        <v>0</v>
      </c>
      <c r="BA261" s="153">
        <f t="shared" si="609"/>
        <v>0</v>
      </c>
      <c r="BB261" s="153">
        <f t="shared" si="609"/>
        <v>0</v>
      </c>
      <c r="BC261" s="153">
        <f t="shared" si="609"/>
        <v>0</v>
      </c>
      <c r="BD261" s="153">
        <f t="shared" si="609"/>
        <v>0</v>
      </c>
      <c r="BE261" s="153">
        <f t="shared" si="609"/>
        <v>0</v>
      </c>
      <c r="BF261" s="153">
        <f t="shared" si="609"/>
        <v>0</v>
      </c>
      <c r="BG261" s="153">
        <f t="shared" si="609"/>
        <v>0</v>
      </c>
      <c r="BH261" s="153">
        <f t="shared" si="609"/>
        <v>0</v>
      </c>
      <c r="BI261" s="153">
        <f t="shared" si="609"/>
        <v>0</v>
      </c>
      <c r="BJ261" s="153">
        <f t="shared" si="609"/>
        <v>0</v>
      </c>
      <c r="BL261" s="152">
        <f>V261</f>
        <v>0</v>
      </c>
      <c r="BM261" s="153">
        <f t="shared" ref="BM261" si="610">SUM(BM257:BM260)</f>
        <v>0</v>
      </c>
      <c r="BN261" s="153">
        <f t="shared" ref="BN261" si="611">SUM(BN257:BN260)</f>
        <v>0</v>
      </c>
      <c r="BO261" s="153">
        <f t="shared" ref="BO261" si="612">SUM(BO257:BO260)</f>
        <v>0</v>
      </c>
      <c r="BP261" s="153">
        <f t="shared" ref="BP261" si="613">SUM(BP257:BP260)</f>
        <v>0</v>
      </c>
      <c r="BQ261" s="153">
        <f t="shared" ref="BQ261" si="614">SUM(BQ257:BQ260)</f>
        <v>0</v>
      </c>
      <c r="BR261" s="153">
        <f>SUM(BR257:BR260)</f>
        <v>0</v>
      </c>
      <c r="BS261" s="153">
        <f t="shared" ref="BS261" si="615">SUM(BS257:BS260)</f>
        <v>0</v>
      </c>
      <c r="BT261" s="153">
        <f t="shared" ref="BT261" si="616">SUM(BT257:BT260)</f>
        <v>0</v>
      </c>
      <c r="BU261" s="153">
        <f t="shared" ref="BU261" si="617">SUM(BU257:BU260)</f>
        <v>0</v>
      </c>
      <c r="BV261" s="153">
        <f t="shared" ref="BV261" si="618">SUM(BV257:BV260)</f>
        <v>0</v>
      </c>
      <c r="BW261" s="153">
        <f t="shared" ref="BW261" si="619">SUM(BW257:BW260)</f>
        <v>0</v>
      </c>
      <c r="BY261" s="12"/>
      <c r="CA261" s="12"/>
      <c r="CG261" s="188">
        <f>IF(ABS($E261)&gt;Parameters!$D$33, 1, 0)</f>
        <v>0</v>
      </c>
      <c r="CI261" s="7">
        <f t="shared" si="603"/>
        <v>0</v>
      </c>
      <c r="CJ261" s="7">
        <f t="shared" si="604"/>
        <v>0</v>
      </c>
      <c r="CK261" s="7">
        <f t="shared" si="605"/>
        <v>0</v>
      </c>
      <c r="CL261" s="42"/>
      <c r="CM261" s="352">
        <f>ROUND(W261-INDEX($AA261:$BJ261, MATCH(W$5,$AA$5:$BJ$5,0)), rounding)</f>
        <v>0</v>
      </c>
      <c r="CN261" s="352">
        <f>ROUND(X261-INDEX($AA261:$BJ261, MATCH(X$5,$AA$5:$BJ$5,0)), rounding)</f>
        <v>0</v>
      </c>
      <c r="CO261" s="352">
        <f>ROUND(Y261-INDEX($AA261:$BJ261, MATCH(Y$5,$AA$5:$BJ$5,0)), rounding)</f>
        <v>0</v>
      </c>
      <c r="CP261" s="352">
        <f>ROUND(BM261-INDEX($AA261:$BJ261, MATCH(BM$5,$AA$5:$BJ$5,0)), rounding)</f>
        <v>0</v>
      </c>
      <c r="CQ261" s="352">
        <f>ROUND(BN261-INDEX($AA261:$BJ261, MATCH(BN$5,$AA$5:$BJ$5,0)), rounding)</f>
        <v>0</v>
      </c>
      <c r="CR261" s="352">
        <f>ROUND(BO261-INDEX($AA261:$BJ261, MATCH(BO$5,$AA$5:$BJ$5,0)), rounding)</f>
        <v>0</v>
      </c>
      <c r="CS261" s="352">
        <f>ROUND($V261-$BL261, rounding)</f>
        <v>0</v>
      </c>
      <c r="CT261" s="42"/>
      <c r="CU261" s="67">
        <v>0</v>
      </c>
      <c r="CV261" s="67">
        <v>0</v>
      </c>
      <c r="EX261" s="13" t="str">
        <f>IF($C261="","",CONCATENATE(D$256, " ",$D261))</f>
        <v>Assets under Construction Closing Balance</v>
      </c>
    </row>
    <row r="262" spans="1:154" ht="6.6" customHeight="1" x14ac:dyDescent="0.25">
      <c r="B262" s="2"/>
      <c r="C262" s="385"/>
      <c r="D262" s="1"/>
      <c r="E262" s="67"/>
      <c r="T262" s="335"/>
      <c r="U262" s="335"/>
      <c r="V262" s="25"/>
      <c r="W262" s="25"/>
      <c r="X262" s="25"/>
      <c r="Y262" s="25"/>
      <c r="Z262" s="33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L262" s="25"/>
      <c r="BM262" s="25"/>
      <c r="BN262" s="25"/>
      <c r="BO262" s="25"/>
      <c r="BP262" s="25"/>
      <c r="BQ262" s="25"/>
      <c r="BR262" s="25"/>
      <c r="BS262" s="25"/>
      <c r="BT262" s="25"/>
      <c r="BU262" s="25"/>
      <c r="BV262" s="25"/>
      <c r="BW262" s="25"/>
      <c r="BY262" s="42"/>
      <c r="CA262" s="42"/>
      <c r="CL262" s="42"/>
      <c r="CT262" s="42"/>
      <c r="CU262" s="67">
        <v>0</v>
      </c>
      <c r="CV262" s="67">
        <v>0</v>
      </c>
      <c r="EX262" s="10" t="str">
        <f t="shared" si="472"/>
        <v/>
      </c>
    </row>
    <row r="263" spans="1:154" x14ac:dyDescent="0.25">
      <c r="A263" s="362" cm="1">
        <f t="array" aca="1" ref="A263" ca="1">HYPERLINK(CONCATENATE("#",CELL("address",IF(SUM($CA263:$CL263)=0,A263,INDEX($CA263:$CL263,MATCH(1,$CA263:$CL263,0))))),SUM($CA263:$CL263))</f>
        <v>0</v>
      </c>
      <c r="C263" s="385"/>
      <c r="D263" s="1" t="s">
        <v>381</v>
      </c>
      <c r="E263" s="67"/>
      <c r="G263" s="48"/>
      <c r="H263" s="48"/>
      <c r="S263" s="335"/>
      <c r="T263" s="335"/>
      <c r="U263" s="335"/>
      <c r="V263" s="154">
        <f>IF(V261&lt;0, 1, 0)*'BS Forecasts'!V$10</f>
        <v>0</v>
      </c>
      <c r="W263" s="154">
        <f>IF(W261&lt;0, 1, 0)*'BS Forecasts'!W$10</f>
        <v>0</v>
      </c>
      <c r="X263" s="154">
        <f>IF(X261&lt;0, 1, 0)*'BS Forecasts'!X$10</f>
        <v>0</v>
      </c>
      <c r="Y263" s="154">
        <f>IF(Y261&lt;0, 1, 0)*'BS Forecasts'!Y$10</f>
        <v>0</v>
      </c>
      <c r="Z263" s="335"/>
      <c r="AA263" s="154">
        <f>IF(AA261&lt;0, 1, 0)*'BS Forecasts'!AA$10</f>
        <v>0</v>
      </c>
      <c r="AB263" s="154">
        <f>IF(AB261&lt;0, 1, 0)*'BS Forecasts'!AB$10</f>
        <v>0</v>
      </c>
      <c r="AC263" s="154">
        <f>IF(AC261&lt;0, 1, 0)*'BS Forecasts'!AC$10</f>
        <v>0</v>
      </c>
      <c r="AD263" s="154">
        <f>IF(AD261&lt;0, 1, 0)*'BS Forecasts'!AD$10</f>
        <v>0</v>
      </c>
      <c r="AE263" s="154">
        <f>IF(AE261&lt;0, 1, 0)*'BS Forecasts'!AE$10</f>
        <v>0</v>
      </c>
      <c r="AF263" s="154">
        <f>IF(AF261&lt;0, 1, 0)*'BS Forecasts'!AF$10</f>
        <v>0</v>
      </c>
      <c r="AG263" s="154">
        <f>IF(AG261&lt;0, 1, 0)*'BS Forecasts'!AG$10</f>
        <v>0</v>
      </c>
      <c r="AH263" s="154">
        <f>IF(AH261&lt;0, 1, 0)*'BS Forecasts'!AH$10</f>
        <v>0</v>
      </c>
      <c r="AI263" s="154">
        <f>IF(AI261&lt;0, 1, 0)*'BS Forecasts'!AI$10</f>
        <v>0</v>
      </c>
      <c r="AJ263" s="154">
        <f>IF(AJ261&lt;0, 1, 0)*'BS Forecasts'!AJ$10</f>
        <v>0</v>
      </c>
      <c r="AK263" s="154">
        <f>IF(AK261&lt;0, 1, 0)*'BS Forecasts'!AK$10</f>
        <v>0</v>
      </c>
      <c r="AL263" s="154">
        <f>IF(AL261&lt;0, 1, 0)*'BS Forecasts'!AL$10</f>
        <v>0</v>
      </c>
      <c r="AM263" s="154">
        <f>IF(AM261&lt;0, 1, 0)*'BS Forecasts'!AM$10</f>
        <v>0</v>
      </c>
      <c r="AN263" s="154">
        <f>IF(AN261&lt;0, 1, 0)*'BS Forecasts'!AN$10</f>
        <v>0</v>
      </c>
      <c r="AO263" s="154">
        <f>IF(AO261&lt;0, 1, 0)*'BS Forecasts'!AO$10</f>
        <v>0</v>
      </c>
      <c r="AP263" s="154">
        <f>IF(AP261&lt;0, 1, 0)*'BS Forecasts'!AP$10</f>
        <v>0</v>
      </c>
      <c r="AQ263" s="154">
        <f>IF(AQ261&lt;0, 1, 0)*'BS Forecasts'!AQ$10</f>
        <v>0</v>
      </c>
      <c r="AR263" s="154">
        <f>IF(AR261&lt;0, 1, 0)*'BS Forecasts'!AR$10</f>
        <v>0</v>
      </c>
      <c r="AS263" s="154">
        <f>IF(AS261&lt;0, 1, 0)*'BS Forecasts'!AS$10</f>
        <v>0</v>
      </c>
      <c r="AT263" s="154">
        <f>IF(AT261&lt;0, 1, 0)*'BS Forecasts'!AT$10</f>
        <v>0</v>
      </c>
      <c r="AU263" s="154">
        <f>IF(AU261&lt;0, 1, 0)*'BS Forecasts'!AU$10</f>
        <v>0</v>
      </c>
      <c r="AV263" s="154">
        <f>IF(AV261&lt;0, 1, 0)*'BS Forecasts'!AV$10</f>
        <v>0</v>
      </c>
      <c r="AW263" s="154">
        <f>IF(AW261&lt;0, 1, 0)*'BS Forecasts'!AW$10</f>
        <v>0</v>
      </c>
      <c r="AX263" s="154">
        <f>IF(AX261&lt;0, 1, 0)*'BS Forecasts'!AX$10</f>
        <v>0</v>
      </c>
      <c r="AY263" s="154">
        <f>IF(AY261&lt;0, 1, 0)*'BS Forecasts'!AY$10</f>
        <v>0</v>
      </c>
      <c r="AZ263" s="154">
        <f>IF(AZ261&lt;0, 1, 0)*'BS Forecasts'!AZ$10</f>
        <v>0</v>
      </c>
      <c r="BA263" s="154">
        <f>IF(BA261&lt;0, 1, 0)*'BS Forecasts'!BA$10</f>
        <v>0</v>
      </c>
      <c r="BB263" s="154">
        <f>IF(BB261&lt;0, 1, 0)*'BS Forecasts'!BB$10</f>
        <v>0</v>
      </c>
      <c r="BC263" s="154">
        <f>IF(BC261&lt;0, 1, 0)*'BS Forecasts'!BC$10</f>
        <v>0</v>
      </c>
      <c r="BD263" s="154">
        <f>IF(BD261&lt;0, 1, 0)*'BS Forecasts'!BD$10</f>
        <v>0</v>
      </c>
      <c r="BE263" s="154">
        <f>IF(BE261&lt;0, 1, 0)*'BS Forecasts'!BE$10</f>
        <v>0</v>
      </c>
      <c r="BF263" s="154">
        <f>IF(BF261&lt;0, 1, 0)*'BS Forecasts'!BF$10</f>
        <v>0</v>
      </c>
      <c r="BG263" s="154">
        <f>IF(BG261&lt;0, 1, 0)*'BS Forecasts'!BG$10</f>
        <v>0</v>
      </c>
      <c r="BH263" s="154">
        <f>IF(BH261&lt;0, 1, 0)*'BS Forecasts'!BH$10</f>
        <v>0</v>
      </c>
      <c r="BI263" s="154">
        <f>IF(BI261&lt;0, 1, 0)*'BS Forecasts'!BI$10</f>
        <v>0</v>
      </c>
      <c r="BJ263" s="154">
        <f>IF(BJ261&lt;0, 1, 0)*'BS Forecasts'!BJ$10</f>
        <v>0</v>
      </c>
      <c r="BK263" s="335"/>
      <c r="BL263" s="154">
        <f>IF(BL261&lt;0, 1, 0)*'BS Forecasts'!BL$10</f>
        <v>0</v>
      </c>
      <c r="BM263" s="154">
        <f>IF(BM261&lt;0, 1, 0)*'BS Forecasts'!BM$10</f>
        <v>0</v>
      </c>
      <c r="BN263" s="154">
        <f>IF(BN261&lt;0, 1, 0)*'BS Forecasts'!BN$10</f>
        <v>0</v>
      </c>
      <c r="BO263" s="154">
        <f>IF(BO261&lt;0, 1, 0)*'BS Forecasts'!BO$10</f>
        <v>0</v>
      </c>
      <c r="BP263" s="154">
        <f>IF(BP261&lt;0, 1, 0)*'BS Forecasts'!BP$10</f>
        <v>0</v>
      </c>
      <c r="BQ263" s="154">
        <f>IF(BQ261&lt;0, 1, 0)*'BS Forecasts'!BQ$10</f>
        <v>0</v>
      </c>
      <c r="BR263" s="154">
        <f>IF(BR261&lt;0, 1, 0)*'BS Forecasts'!BR$10</f>
        <v>0</v>
      </c>
      <c r="BS263" s="154">
        <f>IF(BS261&lt;0, 1, 0)*'BS Forecasts'!BS$10</f>
        <v>0</v>
      </c>
      <c r="BT263" s="154">
        <f>IF(BT261&lt;0, 1, 0)*'BS Forecasts'!BT$10</f>
        <v>0</v>
      </c>
      <c r="BU263" s="154">
        <f>IF(BU261&lt;0, 1, 0)*'BS Forecasts'!BU$10</f>
        <v>0</v>
      </c>
      <c r="BV263" s="154">
        <f>IF(BV261&lt;0, 1, 0)*'BS Forecasts'!BV$10</f>
        <v>0</v>
      </c>
      <c r="BW263" s="154">
        <f>IF(BW261&lt;0, 1, 0)*'BS Forecasts'!BW$10</f>
        <v>0</v>
      </c>
      <c r="BY263" s="12"/>
      <c r="CA263" s="12"/>
      <c r="CF263" s="7">
        <f>IF(SUM(V263:BW263)=0, 0, 1)</f>
        <v>0</v>
      </c>
      <c r="CL263" s="42"/>
      <c r="CT263" s="42"/>
      <c r="CU263" s="67">
        <v>0</v>
      </c>
      <c r="CV263" s="67">
        <v>0</v>
      </c>
      <c r="EX263" s="10" t="str">
        <f t="shared" si="472"/>
        <v/>
      </c>
    </row>
    <row r="264" spans="1:154" ht="6.6" customHeight="1" x14ac:dyDescent="0.25">
      <c r="C264" s="385"/>
      <c r="D264" s="1"/>
      <c r="E264" s="67"/>
      <c r="T264" s="335"/>
      <c r="U264" s="335"/>
      <c r="V264" s="25"/>
      <c r="W264" s="25"/>
      <c r="X264" s="25"/>
      <c r="Y264" s="25"/>
      <c r="Z264" s="33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L264" s="25"/>
      <c r="BM264" s="155"/>
      <c r="BN264" s="25"/>
      <c r="BO264" s="25"/>
      <c r="BP264" s="25"/>
      <c r="BQ264" s="25"/>
      <c r="BR264" s="25"/>
      <c r="BS264" s="25"/>
      <c r="BT264" s="25"/>
      <c r="BU264" s="25"/>
      <c r="BV264" s="25"/>
      <c r="BW264" s="25"/>
      <c r="BY264" s="42"/>
      <c r="CA264" s="42"/>
      <c r="CL264" s="42"/>
      <c r="CT264" s="42"/>
      <c r="CU264" s="67">
        <v>0</v>
      </c>
      <c r="CV264" s="67">
        <v>0</v>
      </c>
      <c r="EX264" s="10" t="str">
        <f t="shared" ref="EX264:EX327" si="620">IF($C264="","",$D264)</f>
        <v/>
      </c>
    </row>
    <row r="265" spans="1:154" x14ac:dyDescent="0.25">
      <c r="B265" s="118"/>
      <c r="C265" s="385"/>
      <c r="D265" s="27" t="str">
        <f>'Opening Balances'!D21</f>
        <v xml:space="preserve">Assets Held for Sale </v>
      </c>
      <c r="E265" s="67"/>
      <c r="G265" s="48"/>
      <c r="H265" s="48"/>
      <c r="T265" s="335"/>
      <c r="U265" s="335"/>
      <c r="V265" s="25"/>
      <c r="W265" s="25"/>
      <c r="X265" s="25"/>
      <c r="Y265" s="25"/>
      <c r="Z265" s="33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L265" s="25"/>
      <c r="BM265" s="25"/>
      <c r="BN265" s="25"/>
      <c r="BO265" s="25"/>
      <c r="BP265" s="25"/>
      <c r="BQ265" s="25"/>
      <c r="BR265" s="25"/>
      <c r="BS265" s="25"/>
      <c r="BT265" s="25"/>
      <c r="BU265" s="25"/>
      <c r="BV265" s="25"/>
      <c r="BW265" s="25"/>
      <c r="BY265" s="12"/>
      <c r="CA265" s="12"/>
      <c r="CL265" s="42"/>
      <c r="CT265" s="42"/>
      <c r="CU265" s="67">
        <v>0</v>
      </c>
      <c r="CV265" s="67">
        <v>0</v>
      </c>
      <c r="EX265" s="10" t="str">
        <f t="shared" si="620"/>
        <v/>
      </c>
    </row>
    <row r="266" spans="1:154" x14ac:dyDescent="0.25">
      <c r="B266" s="4"/>
      <c r="C266" s="340" t="str">
        <f>CONCATENATE("II-",'Opening Balances'!$C$21)</f>
        <v>II-B-2a-OB</v>
      </c>
      <c r="D266" s="39" t="s">
        <v>91</v>
      </c>
      <c r="E266" s="39"/>
      <c r="G266" s="46"/>
      <c r="H266" s="47" t="s">
        <v>92</v>
      </c>
      <c r="T266" s="335"/>
      <c r="U266" s="335"/>
      <c r="V266" s="13">
        <f>'Opening Balances'!$V$21</f>
        <v>0</v>
      </c>
      <c r="W266" s="153">
        <f>V271</f>
        <v>0</v>
      </c>
      <c r="X266" s="153">
        <f>W271</f>
        <v>0</v>
      </c>
      <c r="Y266" s="153">
        <f>X271</f>
        <v>0</v>
      </c>
      <c r="Z266" s="335"/>
      <c r="AA266" s="153">
        <f>W266</f>
        <v>0</v>
      </c>
      <c r="AB266" s="153">
        <f t="shared" ref="AB266:BJ266" si="621">AA271</f>
        <v>0</v>
      </c>
      <c r="AC266" s="153">
        <f t="shared" si="621"/>
        <v>0</v>
      </c>
      <c r="AD266" s="153">
        <f t="shared" si="621"/>
        <v>0</v>
      </c>
      <c r="AE266" s="153">
        <f t="shared" si="621"/>
        <v>0</v>
      </c>
      <c r="AF266" s="153">
        <f t="shared" si="621"/>
        <v>0</v>
      </c>
      <c r="AG266" s="153">
        <f t="shared" si="621"/>
        <v>0</v>
      </c>
      <c r="AH266" s="153">
        <f t="shared" si="621"/>
        <v>0</v>
      </c>
      <c r="AI266" s="153">
        <f t="shared" si="621"/>
        <v>0</v>
      </c>
      <c r="AJ266" s="153">
        <f t="shared" si="621"/>
        <v>0</v>
      </c>
      <c r="AK266" s="153">
        <f t="shared" si="621"/>
        <v>0</v>
      </c>
      <c r="AL266" s="153">
        <f t="shared" si="621"/>
        <v>0</v>
      </c>
      <c r="AM266" s="153">
        <f t="shared" si="621"/>
        <v>0</v>
      </c>
      <c r="AN266" s="153">
        <f t="shared" si="621"/>
        <v>0</v>
      </c>
      <c r="AO266" s="153">
        <f t="shared" si="621"/>
        <v>0</v>
      </c>
      <c r="AP266" s="153">
        <f t="shared" si="621"/>
        <v>0</v>
      </c>
      <c r="AQ266" s="153">
        <f t="shared" si="621"/>
        <v>0</v>
      </c>
      <c r="AR266" s="153">
        <f t="shared" si="621"/>
        <v>0</v>
      </c>
      <c r="AS266" s="153">
        <f t="shared" si="621"/>
        <v>0</v>
      </c>
      <c r="AT266" s="153">
        <f t="shared" si="621"/>
        <v>0</v>
      </c>
      <c r="AU266" s="153">
        <f t="shared" si="621"/>
        <v>0</v>
      </c>
      <c r="AV266" s="153">
        <f t="shared" si="621"/>
        <v>0</v>
      </c>
      <c r="AW266" s="153">
        <f t="shared" si="621"/>
        <v>0</v>
      </c>
      <c r="AX266" s="153">
        <f t="shared" si="621"/>
        <v>0</v>
      </c>
      <c r="AY266" s="153">
        <f t="shared" si="621"/>
        <v>0</v>
      </c>
      <c r="AZ266" s="153">
        <f t="shared" si="621"/>
        <v>0</v>
      </c>
      <c r="BA266" s="153">
        <f t="shared" si="621"/>
        <v>0</v>
      </c>
      <c r="BB266" s="153">
        <f t="shared" si="621"/>
        <v>0</v>
      </c>
      <c r="BC266" s="153">
        <f t="shared" si="621"/>
        <v>0</v>
      </c>
      <c r="BD266" s="153">
        <f t="shared" si="621"/>
        <v>0</v>
      </c>
      <c r="BE266" s="153">
        <f t="shared" si="621"/>
        <v>0</v>
      </c>
      <c r="BF266" s="153">
        <f t="shared" si="621"/>
        <v>0</v>
      </c>
      <c r="BG266" s="153">
        <f t="shared" si="621"/>
        <v>0</v>
      </c>
      <c r="BH266" s="153">
        <f t="shared" si="621"/>
        <v>0</v>
      </c>
      <c r="BI266" s="153">
        <f t="shared" si="621"/>
        <v>0</v>
      </c>
      <c r="BJ266" s="153">
        <f t="shared" si="621"/>
        <v>0</v>
      </c>
      <c r="BL266" s="152">
        <f>V266</f>
        <v>0</v>
      </c>
      <c r="BM266" s="152">
        <f>W266</f>
        <v>0</v>
      </c>
      <c r="BN266" s="152">
        <f>X266</f>
        <v>0</v>
      </c>
      <c r="BO266" s="152">
        <f>Y266</f>
        <v>0</v>
      </c>
      <c r="BP266" s="153">
        <f t="shared" ref="BP266:BW266" si="622">BO271</f>
        <v>0</v>
      </c>
      <c r="BQ266" s="153">
        <f t="shared" si="622"/>
        <v>0</v>
      </c>
      <c r="BR266" s="153">
        <f t="shared" si="622"/>
        <v>0</v>
      </c>
      <c r="BS266" s="153">
        <f t="shared" si="622"/>
        <v>0</v>
      </c>
      <c r="BT266" s="153">
        <f t="shared" si="622"/>
        <v>0</v>
      </c>
      <c r="BU266" s="153">
        <f t="shared" si="622"/>
        <v>0</v>
      </c>
      <c r="BV266" s="153">
        <f t="shared" si="622"/>
        <v>0</v>
      </c>
      <c r="BW266" s="153">
        <f t="shared" si="622"/>
        <v>0</v>
      </c>
      <c r="BY266" s="12"/>
      <c r="CA266" s="12"/>
      <c r="CL266" s="42"/>
      <c r="CT266" s="42"/>
      <c r="CU266" s="67">
        <v>0</v>
      </c>
      <c r="CV266" s="67">
        <v>0</v>
      </c>
      <c r="EX266" s="13" t="str">
        <f t="shared" ref="EX266:EX271" si="623">IF($C266="","",CONCATENATE(D$265, " ",$D266))</f>
        <v>Assets Held for Sale  Opening Balance</v>
      </c>
    </row>
    <row r="267" spans="1:154" x14ac:dyDescent="0.25">
      <c r="A267" s="362" cm="1">
        <f t="array" aca="1" ref="A267" ca="1">HYPERLINK(CONCATENATE("#",CELL("address",IF(SUM($CA267:$CL267)=0,A267,INDEX($CA267:$CL267,MATCH(1,$CA267:$CL267,0))))),SUM($CA267:$CL267))</f>
        <v>0</v>
      </c>
      <c r="B267" s="4"/>
      <c r="C267" s="340" t="s">
        <v>1168</v>
      </c>
      <c r="D267" s="117" t="s">
        <v>389</v>
      </c>
      <c r="E267" s="39"/>
      <c r="G267" s="46"/>
      <c r="H267" s="47" t="s">
        <v>92</v>
      </c>
      <c r="I267" s="325"/>
      <c r="S267" s="319"/>
      <c r="T267" s="335"/>
      <c r="U267" s="335"/>
      <c r="V267" s="153">
        <f>0-V123</f>
        <v>0</v>
      </c>
      <c r="W267" s="153">
        <f>0-W123</f>
        <v>0</v>
      </c>
      <c r="X267" s="153">
        <f>0-X123</f>
        <v>0</v>
      </c>
      <c r="Y267" s="153">
        <f>0-Y123</f>
        <v>0</v>
      </c>
      <c r="Z267" s="335"/>
      <c r="AA267" s="153">
        <f t="shared" ref="AA267:BJ267" si="624">0-AA123</f>
        <v>0</v>
      </c>
      <c r="AB267" s="153">
        <f t="shared" si="624"/>
        <v>0</v>
      </c>
      <c r="AC267" s="153">
        <f t="shared" si="624"/>
        <v>0</v>
      </c>
      <c r="AD267" s="153">
        <f t="shared" si="624"/>
        <v>0</v>
      </c>
      <c r="AE267" s="153">
        <f t="shared" si="624"/>
        <v>0</v>
      </c>
      <c r="AF267" s="153">
        <f t="shared" si="624"/>
        <v>0</v>
      </c>
      <c r="AG267" s="153">
        <f t="shared" si="624"/>
        <v>0</v>
      </c>
      <c r="AH267" s="153">
        <f t="shared" si="624"/>
        <v>0</v>
      </c>
      <c r="AI267" s="153">
        <f t="shared" si="624"/>
        <v>0</v>
      </c>
      <c r="AJ267" s="153">
        <f t="shared" si="624"/>
        <v>0</v>
      </c>
      <c r="AK267" s="153">
        <f t="shared" si="624"/>
        <v>0</v>
      </c>
      <c r="AL267" s="153">
        <f t="shared" si="624"/>
        <v>0</v>
      </c>
      <c r="AM267" s="153">
        <f t="shared" si="624"/>
        <v>0</v>
      </c>
      <c r="AN267" s="153">
        <f t="shared" si="624"/>
        <v>0</v>
      </c>
      <c r="AO267" s="153">
        <f t="shared" si="624"/>
        <v>0</v>
      </c>
      <c r="AP267" s="153">
        <f t="shared" si="624"/>
        <v>0</v>
      </c>
      <c r="AQ267" s="153">
        <f t="shared" si="624"/>
        <v>0</v>
      </c>
      <c r="AR267" s="153">
        <f t="shared" si="624"/>
        <v>0</v>
      </c>
      <c r="AS267" s="153">
        <f t="shared" si="624"/>
        <v>0</v>
      </c>
      <c r="AT267" s="153">
        <f t="shared" si="624"/>
        <v>0</v>
      </c>
      <c r="AU267" s="153">
        <f t="shared" si="624"/>
        <v>0</v>
      </c>
      <c r="AV267" s="153">
        <f t="shared" si="624"/>
        <v>0</v>
      </c>
      <c r="AW267" s="153">
        <f t="shared" si="624"/>
        <v>0</v>
      </c>
      <c r="AX267" s="153">
        <f t="shared" si="624"/>
        <v>0</v>
      </c>
      <c r="AY267" s="153">
        <f t="shared" si="624"/>
        <v>0</v>
      </c>
      <c r="AZ267" s="153">
        <f t="shared" si="624"/>
        <v>0</v>
      </c>
      <c r="BA267" s="153">
        <f t="shared" si="624"/>
        <v>0</v>
      </c>
      <c r="BB267" s="153">
        <f t="shared" si="624"/>
        <v>0</v>
      </c>
      <c r="BC267" s="153">
        <f t="shared" si="624"/>
        <v>0</v>
      </c>
      <c r="BD267" s="153">
        <f t="shared" si="624"/>
        <v>0</v>
      </c>
      <c r="BE267" s="153">
        <f t="shared" si="624"/>
        <v>0</v>
      </c>
      <c r="BF267" s="153">
        <f t="shared" si="624"/>
        <v>0</v>
      </c>
      <c r="BG267" s="153">
        <f t="shared" si="624"/>
        <v>0</v>
      </c>
      <c r="BH267" s="153">
        <f t="shared" si="624"/>
        <v>0</v>
      </c>
      <c r="BI267" s="153">
        <f t="shared" si="624"/>
        <v>0</v>
      </c>
      <c r="BJ267" s="153">
        <f t="shared" si="624"/>
        <v>0</v>
      </c>
      <c r="BK267" s="319"/>
      <c r="BL267" s="153">
        <f t="shared" ref="BL267:BW267" si="625">0-BL123</f>
        <v>0</v>
      </c>
      <c r="BM267" s="153">
        <f t="shared" si="625"/>
        <v>0</v>
      </c>
      <c r="BN267" s="153">
        <f t="shared" si="625"/>
        <v>0</v>
      </c>
      <c r="BO267" s="153">
        <f t="shared" si="625"/>
        <v>0</v>
      </c>
      <c r="BP267" s="153">
        <f t="shared" si="625"/>
        <v>0</v>
      </c>
      <c r="BQ267" s="153">
        <f t="shared" si="625"/>
        <v>0</v>
      </c>
      <c r="BR267" s="153">
        <f t="shared" si="625"/>
        <v>0</v>
      </c>
      <c r="BS267" s="153">
        <f t="shared" si="625"/>
        <v>0</v>
      </c>
      <c r="BT267" s="153">
        <f t="shared" si="625"/>
        <v>0</v>
      </c>
      <c r="BU267" s="153">
        <f t="shared" si="625"/>
        <v>0</v>
      </c>
      <c r="BV267" s="153">
        <f t="shared" si="625"/>
        <v>0</v>
      </c>
      <c r="BW267" s="153">
        <f t="shared" si="625"/>
        <v>0</v>
      </c>
      <c r="BY267" s="12"/>
      <c r="BZ267" s="363">
        <f>IF(MIN($V267:$BW267)&lt;0, 1, 0)</f>
        <v>0</v>
      </c>
      <c r="CA267" s="12"/>
      <c r="CI267" s="7">
        <f t="shared" ref="CI267:CI271" si="626">IF(SUM($CM267:$CO267)=0, 0, 1)</f>
        <v>0</v>
      </c>
      <c r="CJ267" s="7">
        <f t="shared" ref="CJ267:CJ271" si="627">IF(SUM($CP267:$CR267)=0, 0, 1)</f>
        <v>0</v>
      </c>
      <c r="CK267" s="7">
        <f t="shared" ref="CK267:CK271" si="628">IF($CS267=0, 0, 1)</f>
        <v>0</v>
      </c>
      <c r="CL267" s="42"/>
      <c r="CM267" s="352">
        <f t="shared" ref="CM267:CO270" si="629">ROUND(W267-SUMIFS($AA267:$BJ267, $AA$3:$BJ$3, W$3), rounding)</f>
        <v>0</v>
      </c>
      <c r="CN267" s="352">
        <f t="shared" si="629"/>
        <v>0</v>
      </c>
      <c r="CO267" s="352">
        <f t="shared" si="629"/>
        <v>0</v>
      </c>
      <c r="CP267" s="352">
        <f>ROUND($BM267-SUMIFS($AA267:$BJ267, $AA$3:$BJ$3, $BM$3), rounding)</f>
        <v>0</v>
      </c>
      <c r="CQ267" s="352">
        <f>ROUND($BN267-SUMIFS($AA267:$BJ267, $AA$3:$BJ$3, $BN$3), rounding)</f>
        <v>0</v>
      </c>
      <c r="CR267" s="352">
        <f>ROUND($BO267-SUMIFS($AA267:$BJ267, $AA$3:$BJ$3, $BO$3), rounding)</f>
        <v>0</v>
      </c>
      <c r="CS267" s="352">
        <f>ROUND($V267-$BL267, rounding)</f>
        <v>0</v>
      </c>
      <c r="CT267" s="42"/>
      <c r="CU267" s="67">
        <v>0</v>
      </c>
      <c r="CV267" s="67">
        <v>0</v>
      </c>
      <c r="EX267" s="13" t="str">
        <f t="shared" si="623"/>
        <v>Assets Held for Sale  Movement from Fixed Assets</v>
      </c>
    </row>
    <row r="268" spans="1:154" x14ac:dyDescent="0.25">
      <c r="A268" s="362" cm="1">
        <f t="array" aca="1" ref="A268" ca="1">HYPERLINK(CONCATENATE("#",CELL("address",IF(SUM($CA268:$CL268)=0,A268,INDEX($CA268:$CL268,MATCH(1,$CA268:$CL268,0))))),SUM($CA268:$CL268))</f>
        <v>0</v>
      </c>
      <c r="B268" s="4"/>
      <c r="C268" s="340" t="s">
        <v>1169</v>
      </c>
      <c r="D268" s="39" t="s">
        <v>121</v>
      </c>
      <c r="E268" s="39"/>
      <c r="G268" s="46"/>
      <c r="H268" s="47" t="s">
        <v>98</v>
      </c>
      <c r="S268" s="319"/>
      <c r="T268" s="335"/>
      <c r="U268" s="335"/>
      <c r="V268" s="153">
        <f>V$173</f>
        <v>0</v>
      </c>
      <c r="W268" s="153">
        <f>W$173</f>
        <v>0</v>
      </c>
      <c r="X268" s="153">
        <f t="shared" ref="X268:BW268" si="630">X$173</f>
        <v>0</v>
      </c>
      <c r="Y268" s="153">
        <f t="shared" si="630"/>
        <v>0</v>
      </c>
      <c r="Z268" s="335"/>
      <c r="AA268" s="153">
        <f t="shared" si="630"/>
        <v>0</v>
      </c>
      <c r="AB268" s="153">
        <f t="shared" si="630"/>
        <v>0</v>
      </c>
      <c r="AC268" s="153">
        <f t="shared" si="630"/>
        <v>0</v>
      </c>
      <c r="AD268" s="153">
        <f t="shared" si="630"/>
        <v>0</v>
      </c>
      <c r="AE268" s="153">
        <f t="shared" si="630"/>
        <v>0</v>
      </c>
      <c r="AF268" s="153">
        <f t="shared" si="630"/>
        <v>0</v>
      </c>
      <c r="AG268" s="153">
        <f t="shared" si="630"/>
        <v>0</v>
      </c>
      <c r="AH268" s="153">
        <f t="shared" si="630"/>
        <v>0</v>
      </c>
      <c r="AI268" s="153">
        <f t="shared" si="630"/>
        <v>0</v>
      </c>
      <c r="AJ268" s="153">
        <f t="shared" si="630"/>
        <v>0</v>
      </c>
      <c r="AK268" s="153">
        <f t="shared" si="630"/>
        <v>0</v>
      </c>
      <c r="AL268" s="153">
        <f t="shared" si="630"/>
        <v>0</v>
      </c>
      <c r="AM268" s="153">
        <f t="shared" si="630"/>
        <v>0</v>
      </c>
      <c r="AN268" s="153">
        <f t="shared" si="630"/>
        <v>0</v>
      </c>
      <c r="AO268" s="153">
        <f t="shared" si="630"/>
        <v>0</v>
      </c>
      <c r="AP268" s="153">
        <f t="shared" si="630"/>
        <v>0</v>
      </c>
      <c r="AQ268" s="153">
        <f t="shared" si="630"/>
        <v>0</v>
      </c>
      <c r="AR268" s="153">
        <f t="shared" si="630"/>
        <v>0</v>
      </c>
      <c r="AS268" s="153">
        <f t="shared" si="630"/>
        <v>0</v>
      </c>
      <c r="AT268" s="153">
        <f t="shared" si="630"/>
        <v>0</v>
      </c>
      <c r="AU268" s="153">
        <f t="shared" si="630"/>
        <v>0</v>
      </c>
      <c r="AV268" s="153">
        <f t="shared" si="630"/>
        <v>0</v>
      </c>
      <c r="AW268" s="153">
        <f t="shared" si="630"/>
        <v>0</v>
      </c>
      <c r="AX268" s="153">
        <f t="shared" si="630"/>
        <v>0</v>
      </c>
      <c r="AY268" s="153">
        <f t="shared" si="630"/>
        <v>0</v>
      </c>
      <c r="AZ268" s="153">
        <f t="shared" si="630"/>
        <v>0</v>
      </c>
      <c r="BA268" s="153">
        <f t="shared" si="630"/>
        <v>0</v>
      </c>
      <c r="BB268" s="153">
        <f t="shared" si="630"/>
        <v>0</v>
      </c>
      <c r="BC268" s="153">
        <f t="shared" si="630"/>
        <v>0</v>
      </c>
      <c r="BD268" s="153">
        <f t="shared" si="630"/>
        <v>0</v>
      </c>
      <c r="BE268" s="153">
        <f t="shared" si="630"/>
        <v>0</v>
      </c>
      <c r="BF268" s="153">
        <f t="shared" si="630"/>
        <v>0</v>
      </c>
      <c r="BG268" s="153">
        <f t="shared" si="630"/>
        <v>0</v>
      </c>
      <c r="BH268" s="153">
        <f t="shared" si="630"/>
        <v>0</v>
      </c>
      <c r="BI268" s="153">
        <f t="shared" si="630"/>
        <v>0</v>
      </c>
      <c r="BJ268" s="153">
        <f t="shared" si="630"/>
        <v>0</v>
      </c>
      <c r="BK268" s="319"/>
      <c r="BL268" s="153">
        <f t="shared" si="630"/>
        <v>0</v>
      </c>
      <c r="BM268" s="153">
        <f t="shared" si="630"/>
        <v>0</v>
      </c>
      <c r="BN268" s="153">
        <f t="shared" si="630"/>
        <v>0</v>
      </c>
      <c r="BO268" s="153">
        <f t="shared" si="630"/>
        <v>0</v>
      </c>
      <c r="BP268" s="153">
        <f t="shared" si="630"/>
        <v>0</v>
      </c>
      <c r="BQ268" s="153">
        <f t="shared" si="630"/>
        <v>0</v>
      </c>
      <c r="BR268" s="153">
        <f t="shared" si="630"/>
        <v>0</v>
      </c>
      <c r="BS268" s="153">
        <f t="shared" si="630"/>
        <v>0</v>
      </c>
      <c r="BT268" s="153">
        <f t="shared" si="630"/>
        <v>0</v>
      </c>
      <c r="BU268" s="153">
        <f t="shared" si="630"/>
        <v>0</v>
      </c>
      <c r="BV268" s="153">
        <f t="shared" si="630"/>
        <v>0</v>
      </c>
      <c r="BW268" s="153">
        <f t="shared" si="630"/>
        <v>0</v>
      </c>
      <c r="BY268" s="12"/>
      <c r="BZ268" s="363">
        <f>IF(MAX($V268:$BW268)&gt;0, 1, 0)</f>
        <v>0</v>
      </c>
      <c r="CA268" s="12"/>
      <c r="CI268" s="7">
        <f t="shared" si="626"/>
        <v>0</v>
      </c>
      <c r="CJ268" s="7">
        <f t="shared" si="627"/>
        <v>0</v>
      </c>
      <c r="CK268" s="7">
        <f t="shared" si="628"/>
        <v>0</v>
      </c>
      <c r="CL268" s="42"/>
      <c r="CM268" s="352">
        <f t="shared" si="629"/>
        <v>0</v>
      </c>
      <c r="CN268" s="352">
        <f t="shared" si="629"/>
        <v>0</v>
      </c>
      <c r="CO268" s="352">
        <f t="shared" si="629"/>
        <v>0</v>
      </c>
      <c r="CP268" s="352">
        <f>ROUND($BM268-SUMIFS($AA268:$BJ268, $AA$3:$BJ$3, $BM$3), rounding)</f>
        <v>0</v>
      </c>
      <c r="CQ268" s="352">
        <f>ROUND($BN268-SUMIFS($AA268:$BJ268, $AA$3:$BJ$3, $BN$3), rounding)</f>
        <v>0</v>
      </c>
      <c r="CR268" s="352">
        <f>ROUND($BO268-SUMIFS($AA268:$BJ268, $AA$3:$BJ$3, $BO$3), rounding)</f>
        <v>0</v>
      </c>
      <c r="CS268" s="352">
        <f>ROUND($V268-$BL268, rounding)</f>
        <v>0</v>
      </c>
      <c r="CT268" s="42"/>
      <c r="CU268" s="67">
        <v>0</v>
      </c>
      <c r="CV268" s="67">
        <v>0</v>
      </c>
      <c r="EX268" s="13" t="str">
        <f t="shared" si="623"/>
        <v>Assets Held for Sale  Disposals</v>
      </c>
    </row>
    <row r="269" spans="1:154" s="335" customFormat="1" ht="15.75" x14ac:dyDescent="0.3">
      <c r="A269" s="362" cm="1">
        <f t="array" aca="1" ref="A269" ca="1">HYPERLINK(CONCATENATE("#",CELL("address",IF(SUM($CA269:$CL269)=0,A269,INDEX($CA269:$CL269,MATCH(1,$CA269:$CL269,0))))),SUM($CA269:$CL269))</f>
        <v>0</v>
      </c>
      <c r="C269" s="340" t="s">
        <v>1170</v>
      </c>
      <c r="D269" s="177" t="s">
        <v>149</v>
      </c>
      <c r="E269" s="479" t="s">
        <v>335</v>
      </c>
      <c r="G269" s="46"/>
      <c r="H269" s="47" t="s">
        <v>86</v>
      </c>
      <c r="V269" s="141"/>
      <c r="W269" s="215">
        <f xml:space="preserve"> SUMIFS($AA269:$BJ269, $AA$3:$BJ$3, W$3)</f>
        <v>0</v>
      </c>
      <c r="X269" s="215">
        <f xml:space="preserve"> SUMIFS($AA269:$BJ269, $AA$3:$BJ$3, X$3)</f>
        <v>0</v>
      </c>
      <c r="Y269" s="215">
        <f xml:space="preserve"> SUMIFS($AA269:$BJ269, $AA$3:$BJ$3, Y$3)</f>
        <v>0</v>
      </c>
      <c r="AA269" s="147"/>
      <c r="AB269" s="147"/>
      <c r="AC269" s="147"/>
      <c r="AD269" s="147"/>
      <c r="AE269" s="147"/>
      <c r="AF269" s="147"/>
      <c r="AG269" s="147"/>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c r="BI269" s="147"/>
      <c r="BJ269" s="147"/>
      <c r="BL269" s="13">
        <f>V269</f>
        <v>0</v>
      </c>
      <c r="BM269" s="13">
        <f>W269</f>
        <v>0</v>
      </c>
      <c r="BN269" s="13">
        <f>X269</f>
        <v>0</v>
      </c>
      <c r="BO269" s="13">
        <f>Y269</f>
        <v>0</v>
      </c>
      <c r="BP269" s="141"/>
      <c r="BQ269" s="141"/>
      <c r="BR269" s="141"/>
      <c r="BS269" s="141"/>
      <c r="BT269" s="141"/>
      <c r="BU269" s="141"/>
      <c r="BV269" s="141"/>
      <c r="BW269" s="141"/>
      <c r="BY269" s="12"/>
      <c r="CA269" s="12"/>
      <c r="CI269" s="7">
        <f t="shared" si="626"/>
        <v>0</v>
      </c>
      <c r="CJ269" s="7">
        <f t="shared" si="627"/>
        <v>0</v>
      </c>
      <c r="CK269" s="7">
        <f t="shared" si="628"/>
        <v>0</v>
      </c>
      <c r="CL269" s="42"/>
      <c r="CM269" s="352">
        <f t="shared" si="629"/>
        <v>0</v>
      </c>
      <c r="CN269" s="352">
        <f t="shared" si="629"/>
        <v>0</v>
      </c>
      <c r="CO269" s="352">
        <f t="shared" si="629"/>
        <v>0</v>
      </c>
      <c r="CP269" s="352">
        <f>ROUND($BM269-SUMIFS($AA269:$BJ269, $AA$3:$BJ$3, $BM$3), rounding)</f>
        <v>0</v>
      </c>
      <c r="CQ269" s="352">
        <f>ROUND($BN269-SUMIFS($AA269:$BJ269, $AA$3:$BJ$3, $BN$3), rounding)</f>
        <v>0</v>
      </c>
      <c r="CR269" s="352">
        <f>ROUND($BO269-SUMIFS($AA269:$BJ269, $AA$3:$BJ$3, $BO$3), rounding)</f>
        <v>0</v>
      </c>
      <c r="CS269" s="352">
        <f>ROUND($V269-$BL269, rounding)</f>
        <v>0</v>
      </c>
      <c r="CT269" s="42"/>
      <c r="CU269" s="335">
        <v>1</v>
      </c>
      <c r="CV269" s="335">
        <v>1</v>
      </c>
      <c r="EX269" s="13" t="str">
        <f t="shared" si="623"/>
        <v>Assets Held for Sale  Movement due to mergers</v>
      </c>
    </row>
    <row r="270" spans="1:154" s="335" customFormat="1" x14ac:dyDescent="0.25">
      <c r="A270" s="362" cm="1">
        <f t="array" aca="1" ref="A270" ca="1">HYPERLINK(CONCATENATE("#",CELL("address",IF(SUM($CA270:$CL270)=0,A270,INDEX($CA270:$CL270,MATCH(1,$CA270:$CL270,0))))),SUM($CA270:$CL270))</f>
        <v>0</v>
      </c>
      <c r="C270" s="340" t="s">
        <v>1171</v>
      </c>
      <c r="D270" s="39" t="s">
        <v>988</v>
      </c>
      <c r="E270" s="39" t="s">
        <v>2356</v>
      </c>
      <c r="G270" s="46"/>
      <c r="H270" s="47" t="s">
        <v>98</v>
      </c>
      <c r="V270" s="10">
        <f>V$326</f>
        <v>0</v>
      </c>
      <c r="W270" s="10">
        <f>W$326</f>
        <v>0</v>
      </c>
      <c r="X270" s="10">
        <f t="shared" ref="X270:BW270" si="631">X$326</f>
        <v>0</v>
      </c>
      <c r="Y270" s="10">
        <f t="shared" si="631"/>
        <v>0</v>
      </c>
      <c r="AA270" s="10">
        <f t="shared" si="631"/>
        <v>0</v>
      </c>
      <c r="AB270" s="10">
        <f t="shared" si="631"/>
        <v>0</v>
      </c>
      <c r="AC270" s="10">
        <f t="shared" si="631"/>
        <v>0</v>
      </c>
      <c r="AD270" s="10">
        <f t="shared" si="631"/>
        <v>0</v>
      </c>
      <c r="AE270" s="10">
        <f t="shared" si="631"/>
        <v>0</v>
      </c>
      <c r="AF270" s="10">
        <f t="shared" si="631"/>
        <v>0</v>
      </c>
      <c r="AG270" s="10">
        <f t="shared" si="631"/>
        <v>0</v>
      </c>
      <c r="AH270" s="10">
        <f t="shared" si="631"/>
        <v>0</v>
      </c>
      <c r="AI270" s="10">
        <f t="shared" si="631"/>
        <v>0</v>
      </c>
      <c r="AJ270" s="10">
        <f t="shared" si="631"/>
        <v>0</v>
      </c>
      <c r="AK270" s="10">
        <f t="shared" si="631"/>
        <v>0</v>
      </c>
      <c r="AL270" s="10">
        <f t="shared" si="631"/>
        <v>0</v>
      </c>
      <c r="AM270" s="10">
        <f t="shared" si="631"/>
        <v>0</v>
      </c>
      <c r="AN270" s="10">
        <f t="shared" si="631"/>
        <v>0</v>
      </c>
      <c r="AO270" s="10">
        <f t="shared" si="631"/>
        <v>0</v>
      </c>
      <c r="AP270" s="10">
        <f t="shared" si="631"/>
        <v>0</v>
      </c>
      <c r="AQ270" s="10">
        <f t="shared" si="631"/>
        <v>0</v>
      </c>
      <c r="AR270" s="10">
        <f t="shared" si="631"/>
        <v>0</v>
      </c>
      <c r="AS270" s="10">
        <f t="shared" si="631"/>
        <v>0</v>
      </c>
      <c r="AT270" s="10">
        <f t="shared" si="631"/>
        <v>0</v>
      </c>
      <c r="AU270" s="10">
        <f t="shared" si="631"/>
        <v>0</v>
      </c>
      <c r="AV270" s="10">
        <f t="shared" si="631"/>
        <v>0</v>
      </c>
      <c r="AW270" s="10">
        <f t="shared" si="631"/>
        <v>0</v>
      </c>
      <c r="AX270" s="10">
        <f t="shared" si="631"/>
        <v>0</v>
      </c>
      <c r="AY270" s="10">
        <f t="shared" si="631"/>
        <v>0</v>
      </c>
      <c r="AZ270" s="10">
        <f t="shared" si="631"/>
        <v>0</v>
      </c>
      <c r="BA270" s="10">
        <f t="shared" si="631"/>
        <v>0</v>
      </c>
      <c r="BB270" s="10">
        <f t="shared" si="631"/>
        <v>0</v>
      </c>
      <c r="BC270" s="10">
        <f t="shared" si="631"/>
        <v>0</v>
      </c>
      <c r="BD270" s="10">
        <f t="shared" si="631"/>
        <v>0</v>
      </c>
      <c r="BE270" s="10">
        <f t="shared" si="631"/>
        <v>0</v>
      </c>
      <c r="BF270" s="10">
        <f t="shared" si="631"/>
        <v>0</v>
      </c>
      <c r="BG270" s="10">
        <f t="shared" si="631"/>
        <v>0</v>
      </c>
      <c r="BH270" s="10">
        <f t="shared" si="631"/>
        <v>0</v>
      </c>
      <c r="BI270" s="10">
        <f t="shared" si="631"/>
        <v>0</v>
      </c>
      <c r="BJ270" s="10">
        <f t="shared" si="631"/>
        <v>0</v>
      </c>
      <c r="BL270" s="10">
        <f t="shared" si="631"/>
        <v>0</v>
      </c>
      <c r="BM270" s="10">
        <f t="shared" si="631"/>
        <v>0</v>
      </c>
      <c r="BN270" s="10">
        <f t="shared" si="631"/>
        <v>0</v>
      </c>
      <c r="BO270" s="10">
        <f t="shared" si="631"/>
        <v>0</v>
      </c>
      <c r="BP270" s="10">
        <f t="shared" si="631"/>
        <v>0</v>
      </c>
      <c r="BQ270" s="10">
        <f t="shared" si="631"/>
        <v>0</v>
      </c>
      <c r="BR270" s="10">
        <f t="shared" si="631"/>
        <v>0</v>
      </c>
      <c r="BS270" s="10">
        <f t="shared" si="631"/>
        <v>0</v>
      </c>
      <c r="BT270" s="10">
        <f t="shared" si="631"/>
        <v>0</v>
      </c>
      <c r="BU270" s="10">
        <f t="shared" si="631"/>
        <v>0</v>
      </c>
      <c r="BV270" s="10">
        <f t="shared" si="631"/>
        <v>0</v>
      </c>
      <c r="BW270" s="10">
        <f t="shared" si="631"/>
        <v>0</v>
      </c>
      <c r="BY270" s="12"/>
      <c r="CA270" s="12"/>
      <c r="CI270" s="7">
        <f t="shared" si="626"/>
        <v>0</v>
      </c>
      <c r="CJ270" s="7">
        <f t="shared" si="627"/>
        <v>0</v>
      </c>
      <c r="CK270" s="7">
        <f t="shared" si="628"/>
        <v>0</v>
      </c>
      <c r="CL270" s="42"/>
      <c r="CM270" s="352">
        <f t="shared" si="629"/>
        <v>0</v>
      </c>
      <c r="CN270" s="352">
        <f t="shared" si="629"/>
        <v>0</v>
      </c>
      <c r="CO270" s="352">
        <f t="shared" si="629"/>
        <v>0</v>
      </c>
      <c r="CP270" s="352">
        <f>ROUND($BM270-SUMIFS($AA270:$BJ270, $AA$3:$BJ$3, $BM$3), rounding)</f>
        <v>0</v>
      </c>
      <c r="CQ270" s="352">
        <f>ROUND($BN270-SUMIFS($AA270:$BJ270, $AA$3:$BJ$3, $BN$3), rounding)</f>
        <v>0</v>
      </c>
      <c r="CR270" s="352">
        <f>ROUND($BO270-SUMIFS($AA270:$BJ270, $AA$3:$BJ$3, $BO$3), rounding)</f>
        <v>0</v>
      </c>
      <c r="CS270" s="352">
        <f>ROUND($V270-$BL270, rounding)</f>
        <v>0</v>
      </c>
      <c r="CT270" s="42"/>
      <c r="CU270" s="335">
        <v>0</v>
      </c>
      <c r="CV270" s="335">
        <v>0</v>
      </c>
      <c r="EX270" s="13" t="str">
        <f t="shared" si="623"/>
        <v>Assets Held for Sale  NCA Reclassification</v>
      </c>
    </row>
    <row r="271" spans="1:154" x14ac:dyDescent="0.25">
      <c r="A271" s="362" cm="1">
        <f t="array" aca="1" ref="A271" ca="1">HYPERLINK(CONCATENATE("#",CELL("address",IF(SUM($CA271:$CL271)=0,A271,INDEX($CA271:$CL271,MATCH(1,$CA271:$CL271,0))))),SUM($CA271:$CL271))</f>
        <v>0</v>
      </c>
      <c r="B271" s="4"/>
      <c r="C271" s="340" t="s">
        <v>1167</v>
      </c>
      <c r="D271" s="39" t="s">
        <v>97</v>
      </c>
      <c r="E271" s="352">
        <f>ROUND(V271-SUM(V266:V270), rounding)*$V$329</f>
        <v>0</v>
      </c>
      <c r="G271" s="46"/>
      <c r="H271" s="48"/>
      <c r="S271" s="335"/>
      <c r="T271" s="335"/>
      <c r="U271" s="335"/>
      <c r="V271" s="13">
        <f>'Opening Balances'!W21</f>
        <v>0</v>
      </c>
      <c r="W271" s="153">
        <f>SUM(W266:W270)</f>
        <v>0</v>
      </c>
      <c r="X271" s="153">
        <f t="shared" ref="X271:BJ271" si="632">SUM(X266:X270)</f>
        <v>0</v>
      </c>
      <c r="Y271" s="153">
        <f t="shared" si="632"/>
        <v>0</v>
      </c>
      <c r="Z271" s="335"/>
      <c r="AA271" s="153">
        <f t="shared" si="632"/>
        <v>0</v>
      </c>
      <c r="AB271" s="153">
        <f>SUM(AB266:AB270)</f>
        <v>0</v>
      </c>
      <c r="AC271" s="153">
        <f t="shared" si="632"/>
        <v>0</v>
      </c>
      <c r="AD271" s="153">
        <f>SUM(AD266:AD270)</f>
        <v>0</v>
      </c>
      <c r="AE271" s="153">
        <f t="shared" si="632"/>
        <v>0</v>
      </c>
      <c r="AF271" s="153">
        <f t="shared" si="632"/>
        <v>0</v>
      </c>
      <c r="AG271" s="153">
        <f>SUM(AG266:AG270)</f>
        <v>0</v>
      </c>
      <c r="AH271" s="153">
        <f t="shared" si="632"/>
        <v>0</v>
      </c>
      <c r="AI271" s="153">
        <f t="shared" si="632"/>
        <v>0</v>
      </c>
      <c r="AJ271" s="153">
        <f t="shared" si="632"/>
        <v>0</v>
      </c>
      <c r="AK271" s="153">
        <f t="shared" si="632"/>
        <v>0</v>
      </c>
      <c r="AL271" s="153">
        <f t="shared" si="632"/>
        <v>0</v>
      </c>
      <c r="AM271" s="153">
        <f t="shared" si="632"/>
        <v>0</v>
      </c>
      <c r="AN271" s="153">
        <f t="shared" si="632"/>
        <v>0</v>
      </c>
      <c r="AO271" s="153">
        <f t="shared" si="632"/>
        <v>0</v>
      </c>
      <c r="AP271" s="153">
        <f t="shared" si="632"/>
        <v>0</v>
      </c>
      <c r="AQ271" s="153">
        <f t="shared" si="632"/>
        <v>0</v>
      </c>
      <c r="AR271" s="153">
        <f t="shared" si="632"/>
        <v>0</v>
      </c>
      <c r="AS271" s="153">
        <f t="shared" si="632"/>
        <v>0</v>
      </c>
      <c r="AT271" s="153">
        <f t="shared" si="632"/>
        <v>0</v>
      </c>
      <c r="AU271" s="153">
        <f t="shared" si="632"/>
        <v>0</v>
      </c>
      <c r="AV271" s="153">
        <f t="shared" si="632"/>
        <v>0</v>
      </c>
      <c r="AW271" s="153">
        <f t="shared" si="632"/>
        <v>0</v>
      </c>
      <c r="AX271" s="153">
        <f t="shared" si="632"/>
        <v>0</v>
      </c>
      <c r="AY271" s="153">
        <f t="shared" si="632"/>
        <v>0</v>
      </c>
      <c r="AZ271" s="153">
        <f t="shared" si="632"/>
        <v>0</v>
      </c>
      <c r="BA271" s="153">
        <f t="shared" si="632"/>
        <v>0</v>
      </c>
      <c r="BB271" s="153">
        <f t="shared" si="632"/>
        <v>0</v>
      </c>
      <c r="BC271" s="153">
        <f t="shared" si="632"/>
        <v>0</v>
      </c>
      <c r="BD271" s="153">
        <f t="shared" si="632"/>
        <v>0</v>
      </c>
      <c r="BE271" s="153">
        <f t="shared" si="632"/>
        <v>0</v>
      </c>
      <c r="BF271" s="153">
        <f t="shared" si="632"/>
        <v>0</v>
      </c>
      <c r="BG271" s="153">
        <f t="shared" si="632"/>
        <v>0</v>
      </c>
      <c r="BH271" s="153">
        <f t="shared" si="632"/>
        <v>0</v>
      </c>
      <c r="BI271" s="153">
        <f t="shared" si="632"/>
        <v>0</v>
      </c>
      <c r="BJ271" s="153">
        <f t="shared" si="632"/>
        <v>0</v>
      </c>
      <c r="BL271" s="152">
        <f>V271</f>
        <v>0</v>
      </c>
      <c r="BM271" s="153">
        <f>SUM(BM266:BM270)</f>
        <v>0</v>
      </c>
      <c r="BN271" s="153">
        <f t="shared" ref="BN271:BW271" si="633">SUM(BN266:BN270)</f>
        <v>0</v>
      </c>
      <c r="BO271" s="153">
        <f t="shared" si="633"/>
        <v>0</v>
      </c>
      <c r="BP271" s="153">
        <f t="shared" si="633"/>
        <v>0</v>
      </c>
      <c r="BQ271" s="153">
        <f t="shared" si="633"/>
        <v>0</v>
      </c>
      <c r="BR271" s="153">
        <f t="shared" si="633"/>
        <v>0</v>
      </c>
      <c r="BS271" s="153">
        <f t="shared" si="633"/>
        <v>0</v>
      </c>
      <c r="BT271" s="153">
        <f t="shared" si="633"/>
        <v>0</v>
      </c>
      <c r="BU271" s="153">
        <f t="shared" si="633"/>
        <v>0</v>
      </c>
      <c r="BV271" s="153">
        <f t="shared" si="633"/>
        <v>0</v>
      </c>
      <c r="BW271" s="153">
        <f t="shared" si="633"/>
        <v>0</v>
      </c>
      <c r="BY271" s="12"/>
      <c r="CA271" s="12"/>
      <c r="CG271" s="188">
        <f>IF(ABS($E271)&gt;Parameters!$D$33, 1, 0)</f>
        <v>0</v>
      </c>
      <c r="CI271" s="7">
        <f t="shared" si="626"/>
        <v>0</v>
      </c>
      <c r="CJ271" s="7">
        <f t="shared" si="627"/>
        <v>0</v>
      </c>
      <c r="CK271" s="7">
        <f t="shared" si="628"/>
        <v>0</v>
      </c>
      <c r="CL271" s="42"/>
      <c r="CM271" s="352">
        <f>ROUND(W271-INDEX($AA271:$BJ271, MATCH(W$5,$AA$5:$BJ$5,0)), rounding)</f>
        <v>0</v>
      </c>
      <c r="CN271" s="352">
        <f>ROUND(X271-INDEX($AA271:$BJ271, MATCH(X$5,$AA$5:$BJ$5,0)), rounding)</f>
        <v>0</v>
      </c>
      <c r="CO271" s="352">
        <f>ROUND(Y271-INDEX($AA271:$BJ271, MATCH(Y$5,$AA$5:$BJ$5,0)), rounding)</f>
        <v>0</v>
      </c>
      <c r="CP271" s="352">
        <f>ROUND(BM271-INDEX($AA271:$BJ271, MATCH(BM$5,$AA$5:$BJ$5,0)), rounding)</f>
        <v>0</v>
      </c>
      <c r="CQ271" s="352">
        <f>ROUND(BN271-INDEX($AA271:$BJ271, MATCH(BN$5,$AA$5:$BJ$5,0)), rounding)</f>
        <v>0</v>
      </c>
      <c r="CR271" s="352">
        <f>ROUND(BO271-INDEX($AA271:$BJ271, MATCH(BO$5,$AA$5:$BJ$5,0)), rounding)</f>
        <v>0</v>
      </c>
      <c r="CS271" s="352">
        <f>ROUND($V271-$BL271, rounding)</f>
        <v>0</v>
      </c>
      <c r="CT271" s="42"/>
      <c r="CU271" s="67">
        <v>0</v>
      </c>
      <c r="CV271" s="67">
        <v>0</v>
      </c>
      <c r="EX271" s="13" t="str">
        <f t="shared" si="623"/>
        <v>Assets Held for Sale  Closing Balance</v>
      </c>
    </row>
    <row r="272" spans="1:154" ht="6.6" customHeight="1" x14ac:dyDescent="0.25">
      <c r="B272" s="2"/>
      <c r="C272" s="385"/>
      <c r="D272" s="1"/>
      <c r="E272" s="67"/>
      <c r="T272" s="335"/>
      <c r="U272" s="335"/>
      <c r="V272" s="25"/>
      <c r="W272" s="25"/>
      <c r="X272" s="25"/>
      <c r="Y272" s="25"/>
      <c r="Z272" s="33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L272" s="25"/>
      <c r="BM272" s="25"/>
      <c r="BN272" s="25"/>
      <c r="BO272" s="25"/>
      <c r="BP272" s="25"/>
      <c r="BQ272" s="25"/>
      <c r="BR272" s="25"/>
      <c r="BS272" s="25"/>
      <c r="BT272" s="25"/>
      <c r="BU272" s="25"/>
      <c r="BV272" s="25"/>
      <c r="BW272" s="25"/>
      <c r="BY272" s="42"/>
      <c r="CA272" s="42"/>
      <c r="CL272" s="42"/>
      <c r="CT272" s="42"/>
      <c r="CU272" s="67">
        <v>0</v>
      </c>
      <c r="CV272" s="67">
        <v>0</v>
      </c>
      <c r="EX272" s="10" t="str">
        <f t="shared" si="620"/>
        <v/>
      </c>
    </row>
    <row r="273" spans="1:154" x14ac:dyDescent="0.25">
      <c r="A273" s="362" cm="1">
        <f t="array" aca="1" ref="A273" ca="1">HYPERLINK(CONCATENATE("#",CELL("address",IF(SUM($CA273:$CL273)=0,A273,INDEX($CA273:$CL273,MATCH(1,$CA273:$CL273,0))))),SUM($CA273:$CL273))</f>
        <v>0</v>
      </c>
      <c r="B273" s="2"/>
      <c r="C273" s="385"/>
      <c r="D273" s="1" t="s">
        <v>388</v>
      </c>
      <c r="E273" s="67"/>
      <c r="G273" s="48"/>
      <c r="H273" s="48"/>
      <c r="S273" s="335"/>
      <c r="T273" s="335"/>
      <c r="U273" s="335"/>
      <c r="V273" s="154">
        <f>IF(V271&lt;0, 1, 0)*'BS Forecasts'!V$10</f>
        <v>0</v>
      </c>
      <c r="W273" s="154">
        <f>IF(W271&lt;0, 1, 0)*'BS Forecasts'!W$10</f>
        <v>0</v>
      </c>
      <c r="X273" s="154">
        <f>IF(X271&lt;0, 1, 0)*'BS Forecasts'!X$10</f>
        <v>0</v>
      </c>
      <c r="Y273" s="154">
        <f>IF(Y271&lt;0, 1, 0)*'BS Forecasts'!Y$10</f>
        <v>0</v>
      </c>
      <c r="Z273" s="335"/>
      <c r="AA273" s="154">
        <f>IF(AA271&lt;0, 1, 0)*'BS Forecasts'!AA$10</f>
        <v>0</v>
      </c>
      <c r="AB273" s="154">
        <f>IF(AB271&lt;0, 1, 0)*'BS Forecasts'!AB$10</f>
        <v>0</v>
      </c>
      <c r="AC273" s="154">
        <f>IF(AC271&lt;0, 1, 0)*'BS Forecasts'!AC$10</f>
        <v>0</v>
      </c>
      <c r="AD273" s="154">
        <f>IF(AD271&lt;0, 1, 0)*'BS Forecasts'!AD$10</f>
        <v>0</v>
      </c>
      <c r="AE273" s="154">
        <f>IF(AE271&lt;0, 1, 0)*'BS Forecasts'!AE$10</f>
        <v>0</v>
      </c>
      <c r="AF273" s="154">
        <f>IF(AF271&lt;0, 1, 0)*'BS Forecasts'!AF$10</f>
        <v>0</v>
      </c>
      <c r="AG273" s="154">
        <f>IF(AG271&lt;0, 1, 0)*'BS Forecasts'!AG$10</f>
        <v>0</v>
      </c>
      <c r="AH273" s="154">
        <f>IF(AH271&lt;0, 1, 0)*'BS Forecasts'!AH$10</f>
        <v>0</v>
      </c>
      <c r="AI273" s="154">
        <f>IF(AI271&lt;0, 1, 0)*'BS Forecasts'!AI$10</f>
        <v>0</v>
      </c>
      <c r="AJ273" s="154">
        <f>IF(AJ271&lt;0, 1, 0)*'BS Forecasts'!AJ$10</f>
        <v>0</v>
      </c>
      <c r="AK273" s="154">
        <f>IF(AK271&lt;0, 1, 0)*'BS Forecasts'!AK$10</f>
        <v>0</v>
      </c>
      <c r="AL273" s="154">
        <f>IF(AL271&lt;0, 1, 0)*'BS Forecasts'!AL$10</f>
        <v>0</v>
      </c>
      <c r="AM273" s="154">
        <f>IF(AM271&lt;0, 1, 0)*'BS Forecasts'!AM$10</f>
        <v>0</v>
      </c>
      <c r="AN273" s="154">
        <f>IF(AN271&lt;0, 1, 0)*'BS Forecasts'!AN$10</f>
        <v>0</v>
      </c>
      <c r="AO273" s="154">
        <f>IF(AO271&lt;0, 1, 0)*'BS Forecasts'!AO$10</f>
        <v>0</v>
      </c>
      <c r="AP273" s="154">
        <f>IF(AP271&lt;0, 1, 0)*'BS Forecasts'!AP$10</f>
        <v>0</v>
      </c>
      <c r="AQ273" s="154">
        <f>IF(AQ271&lt;0, 1, 0)*'BS Forecasts'!AQ$10</f>
        <v>0</v>
      </c>
      <c r="AR273" s="154">
        <f>IF(AR271&lt;0, 1, 0)*'BS Forecasts'!AR$10</f>
        <v>0</v>
      </c>
      <c r="AS273" s="154">
        <f>IF(AS271&lt;0, 1, 0)*'BS Forecasts'!AS$10</f>
        <v>0</v>
      </c>
      <c r="AT273" s="154">
        <f>IF(AT271&lt;0, 1, 0)*'BS Forecasts'!AT$10</f>
        <v>0</v>
      </c>
      <c r="AU273" s="154">
        <f>IF(AU271&lt;0, 1, 0)*'BS Forecasts'!AU$10</f>
        <v>0</v>
      </c>
      <c r="AV273" s="154">
        <f>IF(AV271&lt;0, 1, 0)*'BS Forecasts'!AV$10</f>
        <v>0</v>
      </c>
      <c r="AW273" s="154">
        <f>IF(AW271&lt;0, 1, 0)*'BS Forecasts'!AW$10</f>
        <v>0</v>
      </c>
      <c r="AX273" s="154">
        <f>IF(AX271&lt;0, 1, 0)*'BS Forecasts'!AX$10</f>
        <v>0</v>
      </c>
      <c r="AY273" s="154">
        <f>IF(AY271&lt;0, 1, 0)*'BS Forecasts'!AY$10</f>
        <v>0</v>
      </c>
      <c r="AZ273" s="154">
        <f>IF(AZ271&lt;0, 1, 0)*'BS Forecasts'!AZ$10</f>
        <v>0</v>
      </c>
      <c r="BA273" s="154">
        <f>IF(BA271&lt;0, 1, 0)*'BS Forecasts'!BA$10</f>
        <v>0</v>
      </c>
      <c r="BB273" s="154">
        <f>IF(BB271&lt;0, 1, 0)*'BS Forecasts'!BB$10</f>
        <v>0</v>
      </c>
      <c r="BC273" s="154">
        <f>IF(BC271&lt;0, 1, 0)*'BS Forecasts'!BC$10</f>
        <v>0</v>
      </c>
      <c r="BD273" s="154">
        <f>IF(BD271&lt;0, 1, 0)*'BS Forecasts'!BD$10</f>
        <v>0</v>
      </c>
      <c r="BE273" s="154">
        <f>IF(BE271&lt;0, 1, 0)*'BS Forecasts'!BE$10</f>
        <v>0</v>
      </c>
      <c r="BF273" s="154">
        <f>IF(BF271&lt;0, 1, 0)*'BS Forecasts'!BF$10</f>
        <v>0</v>
      </c>
      <c r="BG273" s="154">
        <f>IF(BG271&lt;0, 1, 0)*'BS Forecasts'!BG$10</f>
        <v>0</v>
      </c>
      <c r="BH273" s="154">
        <f>IF(BH271&lt;0, 1, 0)*'BS Forecasts'!BH$10</f>
        <v>0</v>
      </c>
      <c r="BI273" s="154">
        <f>IF(BI271&lt;0, 1, 0)*'BS Forecasts'!BI$10</f>
        <v>0</v>
      </c>
      <c r="BJ273" s="154">
        <f>IF(BJ271&lt;0, 1, 0)*'BS Forecasts'!BJ$10</f>
        <v>0</v>
      </c>
      <c r="BK273" s="335"/>
      <c r="BL273" s="154">
        <f>IF(BL271&lt;0, 1, 0)*'BS Forecasts'!BL$10</f>
        <v>0</v>
      </c>
      <c r="BM273" s="154">
        <f>IF(BM271&lt;0, 1, 0)*'BS Forecasts'!BM$10</f>
        <v>0</v>
      </c>
      <c r="BN273" s="154">
        <f>IF(BN271&lt;0, 1, 0)*'BS Forecasts'!BN$10</f>
        <v>0</v>
      </c>
      <c r="BO273" s="154">
        <f>IF(BO271&lt;0, 1, 0)*'BS Forecasts'!BO$10</f>
        <v>0</v>
      </c>
      <c r="BP273" s="154">
        <f>IF(BP271&lt;0, 1, 0)*'BS Forecasts'!BP$10</f>
        <v>0</v>
      </c>
      <c r="BQ273" s="154">
        <f>IF(BQ271&lt;0, 1, 0)*'BS Forecasts'!BQ$10</f>
        <v>0</v>
      </c>
      <c r="BR273" s="154">
        <f>IF(BR271&lt;0, 1, 0)*'BS Forecasts'!BR$10</f>
        <v>0</v>
      </c>
      <c r="BS273" s="154">
        <f>IF(BS271&lt;0, 1, 0)*'BS Forecasts'!BS$10</f>
        <v>0</v>
      </c>
      <c r="BT273" s="154">
        <f>IF(BT271&lt;0, 1, 0)*'BS Forecasts'!BT$10</f>
        <v>0</v>
      </c>
      <c r="BU273" s="154">
        <f>IF(BU271&lt;0, 1, 0)*'BS Forecasts'!BU$10</f>
        <v>0</v>
      </c>
      <c r="BV273" s="154">
        <f>IF(BV271&lt;0, 1, 0)*'BS Forecasts'!BV$10</f>
        <v>0</v>
      </c>
      <c r="BW273" s="154">
        <f>IF(BW271&lt;0, 1, 0)*'BS Forecasts'!BW$10</f>
        <v>0</v>
      </c>
      <c r="BY273" s="12"/>
      <c r="CA273" s="12"/>
      <c r="CF273" s="7">
        <f>IF(SUM(V273:BW273)=0, 0, 1)</f>
        <v>0</v>
      </c>
      <c r="CL273" s="42"/>
      <c r="CT273" s="42"/>
      <c r="CU273" s="67">
        <v>0</v>
      </c>
      <c r="CV273" s="67">
        <v>0</v>
      </c>
      <c r="EX273" s="10" t="str">
        <f t="shared" si="620"/>
        <v/>
      </c>
    </row>
    <row r="274" spans="1:154" ht="6.6" customHeight="1" x14ac:dyDescent="0.25">
      <c r="B274" s="2"/>
      <c r="C274" s="385"/>
      <c r="D274" s="1"/>
      <c r="E274" s="67"/>
      <c r="T274" s="335"/>
      <c r="U274" s="335"/>
      <c r="V274" s="25"/>
      <c r="W274" s="25"/>
      <c r="X274" s="25"/>
      <c r="Y274" s="25"/>
      <c r="Z274" s="33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L274" s="25"/>
      <c r="BM274" s="25"/>
      <c r="BN274" s="25"/>
      <c r="BO274" s="25"/>
      <c r="BP274" s="25"/>
      <c r="BQ274" s="25"/>
      <c r="BR274" s="25"/>
      <c r="BS274" s="25"/>
      <c r="BT274" s="25"/>
      <c r="BU274" s="25"/>
      <c r="BV274" s="25"/>
      <c r="BW274" s="25"/>
      <c r="BY274" s="42"/>
      <c r="CA274" s="42"/>
      <c r="CL274" s="42"/>
      <c r="CT274" s="42"/>
      <c r="CU274" s="67">
        <v>0</v>
      </c>
      <c r="CV274" s="67">
        <v>0</v>
      </c>
      <c r="EX274" s="10" t="str">
        <f t="shared" si="620"/>
        <v/>
      </c>
    </row>
    <row r="275" spans="1:154" x14ac:dyDescent="0.25">
      <c r="B275" s="118"/>
      <c r="C275" s="385"/>
      <c r="D275" s="27" t="s">
        <v>400</v>
      </c>
      <c r="E275" s="67"/>
      <c r="G275" s="48"/>
      <c r="H275" s="48"/>
      <c r="T275" s="335"/>
      <c r="U275" s="335"/>
      <c r="V275" s="25"/>
      <c r="W275" s="25"/>
      <c r="X275" s="25"/>
      <c r="Y275" s="25"/>
      <c r="Z275" s="33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L275" s="25"/>
      <c r="BM275" s="25"/>
      <c r="BN275" s="25"/>
      <c r="BO275" s="25"/>
      <c r="BP275" s="25"/>
      <c r="BQ275" s="25"/>
      <c r="BR275" s="25"/>
      <c r="BS275" s="25"/>
      <c r="BT275" s="25"/>
      <c r="BU275" s="25"/>
      <c r="BV275" s="25"/>
      <c r="BW275" s="25"/>
      <c r="BY275" s="12"/>
      <c r="CA275" s="12"/>
      <c r="CL275" s="42"/>
      <c r="CT275" s="42"/>
      <c r="CU275" s="67">
        <v>0</v>
      </c>
      <c r="CV275" s="67">
        <v>0</v>
      </c>
      <c r="EX275" s="10" t="str">
        <f t="shared" si="620"/>
        <v/>
      </c>
    </row>
    <row r="276" spans="1:154" x14ac:dyDescent="0.25">
      <c r="B276" s="2"/>
      <c r="C276" s="340" t="str">
        <f>CONCATENATE("II-",'Opening Balances'!$C$45)</f>
        <v>II-B-3j-OB</v>
      </c>
      <c r="D276" s="39" t="s">
        <v>91</v>
      </c>
      <c r="E276" s="39"/>
      <c r="G276" s="46"/>
      <c r="H276" s="47" t="s">
        <v>125</v>
      </c>
      <c r="T276" s="335"/>
      <c r="U276" s="335"/>
      <c r="V276" s="13">
        <f>'Opening Balances'!$V$45</f>
        <v>0</v>
      </c>
      <c r="W276" s="10">
        <f>V281</f>
        <v>0</v>
      </c>
      <c r="X276" s="10">
        <f>W281</f>
        <v>0</v>
      </c>
      <c r="Y276" s="10">
        <f>X281</f>
        <v>0</v>
      </c>
      <c r="Z276" s="335"/>
      <c r="AA276" s="10">
        <f>W276</f>
        <v>0</v>
      </c>
      <c r="AB276" s="10">
        <f t="shared" ref="AB276:BJ276" si="634">AA281</f>
        <v>0</v>
      </c>
      <c r="AC276" s="10">
        <f t="shared" si="634"/>
        <v>0</v>
      </c>
      <c r="AD276" s="10">
        <f t="shared" si="634"/>
        <v>0</v>
      </c>
      <c r="AE276" s="10">
        <f t="shared" si="634"/>
        <v>0</v>
      </c>
      <c r="AF276" s="10">
        <f t="shared" si="634"/>
        <v>0</v>
      </c>
      <c r="AG276" s="10">
        <f t="shared" si="634"/>
        <v>0</v>
      </c>
      <c r="AH276" s="10">
        <f t="shared" si="634"/>
        <v>0</v>
      </c>
      <c r="AI276" s="10">
        <f t="shared" si="634"/>
        <v>0</v>
      </c>
      <c r="AJ276" s="10">
        <f t="shared" si="634"/>
        <v>0</v>
      </c>
      <c r="AK276" s="10">
        <f t="shared" si="634"/>
        <v>0</v>
      </c>
      <c r="AL276" s="10">
        <f t="shared" si="634"/>
        <v>0</v>
      </c>
      <c r="AM276" s="10">
        <f t="shared" si="634"/>
        <v>0</v>
      </c>
      <c r="AN276" s="10">
        <f t="shared" si="634"/>
        <v>0</v>
      </c>
      <c r="AO276" s="10">
        <f t="shared" si="634"/>
        <v>0</v>
      </c>
      <c r="AP276" s="10">
        <f t="shared" si="634"/>
        <v>0</v>
      </c>
      <c r="AQ276" s="10">
        <f t="shared" si="634"/>
        <v>0</v>
      </c>
      <c r="AR276" s="10">
        <f t="shared" si="634"/>
        <v>0</v>
      </c>
      <c r="AS276" s="10">
        <f t="shared" si="634"/>
        <v>0</v>
      </c>
      <c r="AT276" s="10">
        <f t="shared" si="634"/>
        <v>0</v>
      </c>
      <c r="AU276" s="10">
        <f t="shared" si="634"/>
        <v>0</v>
      </c>
      <c r="AV276" s="10">
        <f t="shared" si="634"/>
        <v>0</v>
      </c>
      <c r="AW276" s="10">
        <f t="shared" si="634"/>
        <v>0</v>
      </c>
      <c r="AX276" s="10">
        <f t="shared" si="634"/>
        <v>0</v>
      </c>
      <c r="AY276" s="10">
        <f t="shared" si="634"/>
        <v>0</v>
      </c>
      <c r="AZ276" s="10">
        <f t="shared" si="634"/>
        <v>0</v>
      </c>
      <c r="BA276" s="10">
        <f t="shared" si="634"/>
        <v>0</v>
      </c>
      <c r="BB276" s="10">
        <f t="shared" si="634"/>
        <v>0</v>
      </c>
      <c r="BC276" s="10">
        <f t="shared" si="634"/>
        <v>0</v>
      </c>
      <c r="BD276" s="10">
        <f t="shared" si="634"/>
        <v>0</v>
      </c>
      <c r="BE276" s="10">
        <f t="shared" si="634"/>
        <v>0</v>
      </c>
      <c r="BF276" s="10">
        <f t="shared" si="634"/>
        <v>0</v>
      </c>
      <c r="BG276" s="10">
        <f t="shared" si="634"/>
        <v>0</v>
      </c>
      <c r="BH276" s="10">
        <f t="shared" si="634"/>
        <v>0</v>
      </c>
      <c r="BI276" s="10">
        <f t="shared" si="634"/>
        <v>0</v>
      </c>
      <c r="BJ276" s="10">
        <f t="shared" si="634"/>
        <v>0</v>
      </c>
      <c r="BL276" s="13">
        <f t="shared" ref="BL276:BO281" si="635">V276</f>
        <v>0</v>
      </c>
      <c r="BM276" s="13">
        <f t="shared" si="635"/>
        <v>0</v>
      </c>
      <c r="BN276" s="13">
        <f t="shared" si="635"/>
        <v>0</v>
      </c>
      <c r="BO276" s="13">
        <f t="shared" si="635"/>
        <v>0</v>
      </c>
      <c r="BP276" s="10">
        <f t="shared" ref="BP276:BW276" si="636">BO281</f>
        <v>0</v>
      </c>
      <c r="BQ276" s="10">
        <f t="shared" si="636"/>
        <v>0</v>
      </c>
      <c r="BR276" s="10">
        <f t="shared" si="636"/>
        <v>0</v>
      </c>
      <c r="BS276" s="10">
        <f t="shared" si="636"/>
        <v>0</v>
      </c>
      <c r="BT276" s="10">
        <f t="shared" si="636"/>
        <v>0</v>
      </c>
      <c r="BU276" s="10">
        <f t="shared" si="636"/>
        <v>0</v>
      </c>
      <c r="BV276" s="10">
        <f t="shared" si="636"/>
        <v>0</v>
      </c>
      <c r="BW276" s="10">
        <f t="shared" si="636"/>
        <v>0</v>
      </c>
      <c r="BY276" s="12"/>
      <c r="CA276" s="12"/>
      <c r="CL276" s="42"/>
      <c r="CT276" s="42"/>
      <c r="CU276" s="67">
        <v>0</v>
      </c>
      <c r="CV276" s="67">
        <v>0</v>
      </c>
      <c r="EX276" s="13" t="str">
        <f t="shared" ref="EX276:EX281" si="637">IF($C276="","",CONCATENATE(D$275, " ",$D276))</f>
        <v>Fixed Asset Retentions Opening Balance</v>
      </c>
    </row>
    <row r="277" spans="1:154" x14ac:dyDescent="0.25">
      <c r="A277" s="362" cm="1">
        <f t="array" aca="1" ref="A277" ca="1">HYPERLINK(CONCATENATE("#",CELL("address",IF(SUM($CA277:$CL277)=0,A277,INDEX($CA277:$CL277,MATCH(1,$CA277:$CL277,0))))),SUM($CA277:$CL277))</f>
        <v>0</v>
      </c>
      <c r="B277" s="4"/>
      <c r="C277" s="340" t="s">
        <v>1173</v>
      </c>
      <c r="D277" s="117" t="str">
        <f>Parameters!$D$45</f>
        <v>Land &amp; Buildings</v>
      </c>
      <c r="E277" s="39"/>
      <c r="G277" s="46"/>
      <c r="H277" s="47" t="s">
        <v>8</v>
      </c>
      <c r="S277" s="335"/>
      <c r="T277" s="335"/>
      <c r="U277" s="335"/>
      <c r="V277" s="141"/>
      <c r="W277" s="215">
        <f t="shared" ref="W277:Y280" si="638" xml:space="preserve"> SUMIFS($AA277:$BJ277, $AA$3:$BJ$3, W$3)</f>
        <v>0</v>
      </c>
      <c r="X277" s="215">
        <f t="shared" si="638"/>
        <v>0</v>
      </c>
      <c r="Y277" s="215">
        <f t="shared" si="638"/>
        <v>0</v>
      </c>
      <c r="Z277" s="335"/>
      <c r="AA277" s="147"/>
      <c r="AB277" s="147"/>
      <c r="AC277" s="147"/>
      <c r="AD277" s="147"/>
      <c r="AE277" s="147"/>
      <c r="AF277" s="147"/>
      <c r="AG277" s="147"/>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c r="BI277" s="147"/>
      <c r="BJ277" s="147"/>
      <c r="BL277" s="13">
        <f t="shared" si="635"/>
        <v>0</v>
      </c>
      <c r="BM277" s="13">
        <f t="shared" si="635"/>
        <v>0</v>
      </c>
      <c r="BN277" s="13">
        <f t="shared" si="635"/>
        <v>0</v>
      </c>
      <c r="BO277" s="13">
        <f t="shared" si="635"/>
        <v>0</v>
      </c>
      <c r="BP277" s="141"/>
      <c r="BQ277" s="141"/>
      <c r="BR277" s="141"/>
      <c r="BS277" s="141"/>
      <c r="BT277" s="141"/>
      <c r="BU277" s="141"/>
      <c r="BV277" s="141"/>
      <c r="BW277" s="141"/>
      <c r="BY277" s="12"/>
      <c r="CA277" s="12"/>
      <c r="CI277" s="7">
        <f t="shared" ref="CI277:CI281" si="639">IF(SUM($CM277:$CO277)=0, 0, 1)</f>
        <v>0</v>
      </c>
      <c r="CJ277" s="7">
        <f t="shared" ref="CJ277:CJ281" si="640">IF(SUM($CP277:$CR277)=0, 0, 1)</f>
        <v>0</v>
      </c>
      <c r="CK277" s="7">
        <f t="shared" ref="CK277:CK281" si="641">IF($CS277=0, 0, 1)</f>
        <v>0</v>
      </c>
      <c r="CL277" s="42"/>
      <c r="CM277" s="352">
        <f t="shared" ref="CM277:CO280" si="642">ROUND(W277-SUMIFS($AA277:$BJ277, $AA$3:$BJ$3, W$3), rounding)</f>
        <v>0</v>
      </c>
      <c r="CN277" s="352">
        <f t="shared" si="642"/>
        <v>0</v>
      </c>
      <c r="CO277" s="352">
        <f t="shared" si="642"/>
        <v>0</v>
      </c>
      <c r="CP277" s="352">
        <f>ROUND($BM277-SUMIFS($AA277:$BJ277, $AA$3:$BJ$3, $BM$3), rounding)</f>
        <v>0</v>
      </c>
      <c r="CQ277" s="352">
        <f>ROUND($BN277-SUMIFS($AA277:$BJ277, $AA$3:$BJ$3, $BN$3), rounding)</f>
        <v>0</v>
      </c>
      <c r="CR277" s="352">
        <f>ROUND($BO277-SUMIFS($AA277:$BJ277, $AA$3:$BJ$3, $BO$3), rounding)</f>
        <v>0</v>
      </c>
      <c r="CS277" s="352">
        <f>ROUND($V277-$BL277, rounding)</f>
        <v>0</v>
      </c>
      <c r="CT277" s="42"/>
      <c r="CU277" s="67">
        <v>1</v>
      </c>
      <c r="CV277" s="67">
        <v>1</v>
      </c>
      <c r="EX277" s="13" t="str">
        <f t="shared" si="637"/>
        <v>Fixed Asset Retentions Land &amp; Buildings</v>
      </c>
    </row>
    <row r="278" spans="1:154" x14ac:dyDescent="0.25">
      <c r="A278" s="362" cm="1">
        <f t="array" aca="1" ref="A278" ca="1">HYPERLINK(CONCATENATE("#",CELL("address",IF(SUM($CA278:$CL278)=0,A278,INDEX($CA278:$CL278,MATCH(1,$CA278:$CL278,0))))),SUM($CA278:$CL278))</f>
        <v>0</v>
      </c>
      <c r="B278" s="4"/>
      <c r="C278" s="340" t="s">
        <v>1174</v>
      </c>
      <c r="D278" s="117" t="str">
        <f>Parameters!$D$46</f>
        <v>Equipment</v>
      </c>
      <c r="E278" s="39"/>
      <c r="G278" s="46"/>
      <c r="H278" s="47" t="s">
        <v>8</v>
      </c>
      <c r="S278" s="335"/>
      <c r="T278" s="335"/>
      <c r="U278" s="335"/>
      <c r="V278" s="141"/>
      <c r="W278" s="215">
        <f t="shared" si="638"/>
        <v>0</v>
      </c>
      <c r="X278" s="215">
        <f t="shared" si="638"/>
        <v>0</v>
      </c>
      <c r="Y278" s="215">
        <f t="shared" si="638"/>
        <v>0</v>
      </c>
      <c r="Z278" s="335"/>
      <c r="AA278" s="147"/>
      <c r="AB278" s="147"/>
      <c r="AC278" s="147"/>
      <c r="AD278" s="147"/>
      <c r="AE278" s="147"/>
      <c r="AF278" s="147"/>
      <c r="AG278" s="147"/>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c r="BI278" s="147"/>
      <c r="BJ278" s="147"/>
      <c r="BL278" s="13">
        <f t="shared" si="635"/>
        <v>0</v>
      </c>
      <c r="BM278" s="13">
        <f t="shared" si="635"/>
        <v>0</v>
      </c>
      <c r="BN278" s="13">
        <f t="shared" si="635"/>
        <v>0</v>
      </c>
      <c r="BO278" s="13">
        <f t="shared" si="635"/>
        <v>0</v>
      </c>
      <c r="BP278" s="141"/>
      <c r="BQ278" s="141"/>
      <c r="BR278" s="141"/>
      <c r="BS278" s="141"/>
      <c r="BT278" s="141"/>
      <c r="BU278" s="141"/>
      <c r="BV278" s="141"/>
      <c r="BW278" s="141"/>
      <c r="BY278" s="12"/>
      <c r="CA278" s="12"/>
      <c r="CI278" s="7">
        <f t="shared" si="639"/>
        <v>0</v>
      </c>
      <c r="CJ278" s="7">
        <f t="shared" si="640"/>
        <v>0</v>
      </c>
      <c r="CK278" s="7">
        <f t="shared" si="641"/>
        <v>0</v>
      </c>
      <c r="CL278" s="42"/>
      <c r="CM278" s="352">
        <f t="shared" si="642"/>
        <v>0</v>
      </c>
      <c r="CN278" s="352">
        <f t="shared" si="642"/>
        <v>0</v>
      </c>
      <c r="CO278" s="352">
        <f t="shared" si="642"/>
        <v>0</v>
      </c>
      <c r="CP278" s="352">
        <f>ROUND($BM278-SUMIFS($AA278:$BJ278, $AA$3:$BJ$3, $BM$3), rounding)</f>
        <v>0</v>
      </c>
      <c r="CQ278" s="352">
        <f>ROUND($BN278-SUMIFS($AA278:$BJ278, $AA$3:$BJ$3, $BN$3), rounding)</f>
        <v>0</v>
      </c>
      <c r="CR278" s="352">
        <f>ROUND($BO278-SUMIFS($AA278:$BJ278, $AA$3:$BJ$3, $BO$3), rounding)</f>
        <v>0</v>
      </c>
      <c r="CS278" s="352">
        <f>ROUND($V278-$BL278, rounding)</f>
        <v>0</v>
      </c>
      <c r="CT278" s="42"/>
      <c r="CU278" s="67">
        <v>1</v>
      </c>
      <c r="CV278" s="67">
        <v>1</v>
      </c>
      <c r="EX278" s="13" t="str">
        <f t="shared" si="637"/>
        <v>Fixed Asset Retentions Equipment</v>
      </c>
    </row>
    <row r="279" spans="1:154" ht="15.75" x14ac:dyDescent="0.3">
      <c r="A279" s="362" cm="1">
        <f t="array" aca="1" ref="A279" ca="1">HYPERLINK(CONCATENATE("#",CELL("address",IF(SUM($CA279:$CL279)=0,A279,INDEX($CA279:$CL279,MATCH(1,$CA279:$CL279,0))))),SUM($CA279:$CL279))</f>
        <v>0</v>
      </c>
      <c r="B279" s="4"/>
      <c r="C279" s="340" t="s">
        <v>1175</v>
      </c>
      <c r="D279" s="117" t="str">
        <f>Parameters!$D$47</f>
        <v>Investments</v>
      </c>
      <c r="E279" s="479" t="s">
        <v>335</v>
      </c>
      <c r="G279" s="46"/>
      <c r="H279" s="47" t="s">
        <v>8</v>
      </c>
      <c r="S279" s="335"/>
      <c r="T279" s="335"/>
      <c r="U279" s="335"/>
      <c r="V279" s="156"/>
      <c r="W279" s="215">
        <f t="shared" si="638"/>
        <v>0</v>
      </c>
      <c r="X279" s="215">
        <f t="shared" si="638"/>
        <v>0</v>
      </c>
      <c r="Y279" s="215">
        <f t="shared" si="638"/>
        <v>0</v>
      </c>
      <c r="Z279" s="335"/>
      <c r="AA279" s="147"/>
      <c r="AB279" s="147"/>
      <c r="AC279" s="147"/>
      <c r="AD279" s="147"/>
      <c r="AE279" s="147"/>
      <c r="AF279" s="147"/>
      <c r="AG279" s="147"/>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c r="BI279" s="147"/>
      <c r="BJ279" s="147"/>
      <c r="BL279" s="152">
        <f t="shared" si="635"/>
        <v>0</v>
      </c>
      <c r="BM279" s="152">
        <f t="shared" si="635"/>
        <v>0</v>
      </c>
      <c r="BN279" s="152">
        <f t="shared" si="635"/>
        <v>0</v>
      </c>
      <c r="BO279" s="152">
        <f t="shared" si="635"/>
        <v>0</v>
      </c>
      <c r="BP279" s="141"/>
      <c r="BQ279" s="141"/>
      <c r="BR279" s="141"/>
      <c r="BS279" s="141"/>
      <c r="BT279" s="141"/>
      <c r="BU279" s="141"/>
      <c r="BV279" s="141"/>
      <c r="BW279" s="141"/>
      <c r="BY279" s="12"/>
      <c r="CA279" s="12"/>
      <c r="CI279" s="7">
        <f t="shared" si="639"/>
        <v>0</v>
      </c>
      <c r="CJ279" s="7">
        <f t="shared" si="640"/>
        <v>0</v>
      </c>
      <c r="CK279" s="7">
        <f t="shared" si="641"/>
        <v>0</v>
      </c>
      <c r="CL279" s="42"/>
      <c r="CM279" s="352">
        <f t="shared" si="642"/>
        <v>0</v>
      </c>
      <c r="CN279" s="352">
        <f t="shared" si="642"/>
        <v>0</v>
      </c>
      <c r="CO279" s="352">
        <f t="shared" si="642"/>
        <v>0</v>
      </c>
      <c r="CP279" s="352">
        <f>ROUND($BM279-SUMIFS($AA279:$BJ279, $AA$3:$BJ$3, $BM$3), rounding)</f>
        <v>0</v>
      </c>
      <c r="CQ279" s="352">
        <f>ROUND($BN279-SUMIFS($AA279:$BJ279, $AA$3:$BJ$3, $BN$3), rounding)</f>
        <v>0</v>
      </c>
      <c r="CR279" s="352">
        <f>ROUND($BO279-SUMIFS($AA279:$BJ279, $AA$3:$BJ$3, $BO$3), rounding)</f>
        <v>0</v>
      </c>
      <c r="CS279" s="352">
        <f>ROUND($V279-$BL279, rounding)</f>
        <v>0</v>
      </c>
      <c r="CT279" s="42"/>
      <c r="CU279" s="67">
        <v>1</v>
      </c>
      <c r="CV279" s="67">
        <v>1</v>
      </c>
      <c r="EX279" s="13" t="str">
        <f t="shared" si="637"/>
        <v>Fixed Asset Retentions Investments</v>
      </c>
    </row>
    <row r="280" spans="1:154" x14ac:dyDescent="0.25">
      <c r="A280" s="362" cm="1">
        <f t="array" aca="1" ref="A280" ca="1">HYPERLINK(CONCATENATE("#",CELL("address",IF(SUM($CA280:$CL280)=0,A280,INDEX($CA280:$CL280,MATCH(1,$CA280:$CL280,0))))),SUM($CA280:$CL280))</f>
        <v>0</v>
      </c>
      <c r="B280" s="4"/>
      <c r="C280" s="340" t="s">
        <v>1176</v>
      </c>
      <c r="D280" s="117" t="str">
        <f>Parameters!$D$48</f>
        <v>Other NCA</v>
      </c>
      <c r="E280" s="39" t="s">
        <v>2356</v>
      </c>
      <c r="G280" s="46"/>
      <c r="H280" s="47" t="s">
        <v>8</v>
      </c>
      <c r="S280" s="335"/>
      <c r="T280" s="335"/>
      <c r="U280" s="335"/>
      <c r="V280" s="156"/>
      <c r="W280" s="215">
        <f t="shared" si="638"/>
        <v>0</v>
      </c>
      <c r="X280" s="215">
        <f t="shared" si="638"/>
        <v>0</v>
      </c>
      <c r="Y280" s="215">
        <f t="shared" si="638"/>
        <v>0</v>
      </c>
      <c r="Z280" s="335"/>
      <c r="AA280" s="147"/>
      <c r="AB280" s="147"/>
      <c r="AC280" s="147"/>
      <c r="AD280" s="147"/>
      <c r="AE280" s="147"/>
      <c r="AF280" s="147"/>
      <c r="AG280" s="147"/>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c r="BI280" s="147"/>
      <c r="BJ280" s="147"/>
      <c r="BL280" s="152">
        <f t="shared" si="635"/>
        <v>0</v>
      </c>
      <c r="BM280" s="152">
        <f t="shared" si="635"/>
        <v>0</v>
      </c>
      <c r="BN280" s="152">
        <f t="shared" si="635"/>
        <v>0</v>
      </c>
      <c r="BO280" s="152">
        <f t="shared" si="635"/>
        <v>0</v>
      </c>
      <c r="BP280" s="141"/>
      <c r="BQ280" s="141"/>
      <c r="BR280" s="141"/>
      <c r="BS280" s="141"/>
      <c r="BT280" s="141"/>
      <c r="BU280" s="141"/>
      <c r="BV280" s="141"/>
      <c r="BW280" s="141"/>
      <c r="BY280" s="12"/>
      <c r="CA280" s="12"/>
      <c r="CI280" s="7">
        <f t="shared" si="639"/>
        <v>0</v>
      </c>
      <c r="CJ280" s="7">
        <f t="shared" si="640"/>
        <v>0</v>
      </c>
      <c r="CK280" s="7">
        <f t="shared" si="641"/>
        <v>0</v>
      </c>
      <c r="CL280" s="42"/>
      <c r="CM280" s="352">
        <f t="shared" si="642"/>
        <v>0</v>
      </c>
      <c r="CN280" s="352">
        <f t="shared" si="642"/>
        <v>0</v>
      </c>
      <c r="CO280" s="352">
        <f t="shared" si="642"/>
        <v>0</v>
      </c>
      <c r="CP280" s="352">
        <f>ROUND($BM280-SUMIFS($AA280:$BJ280, $AA$3:$BJ$3, $BM$3), rounding)</f>
        <v>0</v>
      </c>
      <c r="CQ280" s="352">
        <f>ROUND($BN280-SUMIFS($AA280:$BJ280, $AA$3:$BJ$3, $BN$3), rounding)</f>
        <v>0</v>
      </c>
      <c r="CR280" s="352">
        <f>ROUND($BO280-SUMIFS($AA280:$BJ280, $AA$3:$BJ$3, $BO$3), rounding)</f>
        <v>0</v>
      </c>
      <c r="CS280" s="352">
        <f>ROUND($V280-$BL280, rounding)</f>
        <v>0</v>
      </c>
      <c r="CT280" s="42"/>
      <c r="CU280" s="67">
        <v>1</v>
      </c>
      <c r="CV280" s="67">
        <v>1</v>
      </c>
      <c r="EX280" s="13" t="str">
        <f t="shared" si="637"/>
        <v>Fixed Asset Retentions Other NCA</v>
      </c>
    </row>
    <row r="281" spans="1:154" x14ac:dyDescent="0.25">
      <c r="A281" s="362" cm="1">
        <f t="array" aca="1" ref="A281" ca="1">HYPERLINK(CONCATENATE("#",CELL("address",IF(SUM($CA281:$CL281)=0,A281,INDEX($CA281:$CL281,MATCH(1,$CA281:$CL281,0))))),SUM($CA281:$CL281))</f>
        <v>0</v>
      </c>
      <c r="B281" s="4"/>
      <c r="C281" s="340" t="s">
        <v>1172</v>
      </c>
      <c r="D281" s="119" t="s">
        <v>97</v>
      </c>
      <c r="E281" s="352">
        <f>ROUND(V281-SUM(V276:V280), rounding)*$V$329</f>
        <v>0</v>
      </c>
      <c r="G281" s="46"/>
      <c r="H281" s="47" t="s">
        <v>125</v>
      </c>
      <c r="T281" s="335"/>
      <c r="U281" s="335"/>
      <c r="V281" s="13">
        <f>'Opening Balances'!W45</f>
        <v>0</v>
      </c>
      <c r="W281" s="10">
        <f>SUM(W276:W280)</f>
        <v>0</v>
      </c>
      <c r="X281" s="10">
        <f>SUM(X276:X280)</f>
        <v>0</v>
      </c>
      <c r="Y281" s="10">
        <f>SUM(Y276:Y280)</f>
        <v>0</v>
      </c>
      <c r="Z281" s="335"/>
      <c r="AA281" s="10">
        <f>SUM(AA276:AA280)</f>
        <v>0</v>
      </c>
      <c r="AB281" s="10">
        <f>SUM(AB276:AB280)</f>
        <v>0</v>
      </c>
      <c r="AC281" s="10">
        <f t="shared" ref="AC281:BJ281" si="643">SUM(AC276:AC280)</f>
        <v>0</v>
      </c>
      <c r="AD281" s="10">
        <f t="shared" si="643"/>
        <v>0</v>
      </c>
      <c r="AE281" s="10">
        <f t="shared" si="643"/>
        <v>0</v>
      </c>
      <c r="AF281" s="10">
        <f t="shared" si="643"/>
        <v>0</v>
      </c>
      <c r="AG281" s="10">
        <f t="shared" si="643"/>
        <v>0</v>
      </c>
      <c r="AH281" s="10">
        <f t="shared" si="643"/>
        <v>0</v>
      </c>
      <c r="AI281" s="10">
        <f t="shared" si="643"/>
        <v>0</v>
      </c>
      <c r="AJ281" s="10">
        <f t="shared" si="643"/>
        <v>0</v>
      </c>
      <c r="AK281" s="10">
        <f t="shared" si="643"/>
        <v>0</v>
      </c>
      <c r="AL281" s="10">
        <f t="shared" si="643"/>
        <v>0</v>
      </c>
      <c r="AM281" s="10">
        <f t="shared" si="643"/>
        <v>0</v>
      </c>
      <c r="AN281" s="10">
        <f t="shared" si="643"/>
        <v>0</v>
      </c>
      <c r="AO281" s="10">
        <f t="shared" si="643"/>
        <v>0</v>
      </c>
      <c r="AP281" s="10">
        <f t="shared" si="643"/>
        <v>0</v>
      </c>
      <c r="AQ281" s="10">
        <f t="shared" si="643"/>
        <v>0</v>
      </c>
      <c r="AR281" s="10">
        <f t="shared" si="643"/>
        <v>0</v>
      </c>
      <c r="AS281" s="10">
        <f t="shared" si="643"/>
        <v>0</v>
      </c>
      <c r="AT281" s="10">
        <f t="shared" si="643"/>
        <v>0</v>
      </c>
      <c r="AU281" s="10">
        <f t="shared" si="643"/>
        <v>0</v>
      </c>
      <c r="AV281" s="10">
        <f t="shared" si="643"/>
        <v>0</v>
      </c>
      <c r="AW281" s="10">
        <f t="shared" si="643"/>
        <v>0</v>
      </c>
      <c r="AX281" s="10">
        <f t="shared" si="643"/>
        <v>0</v>
      </c>
      <c r="AY281" s="10">
        <f t="shared" si="643"/>
        <v>0</v>
      </c>
      <c r="AZ281" s="10">
        <f t="shared" si="643"/>
        <v>0</v>
      </c>
      <c r="BA281" s="10">
        <f t="shared" si="643"/>
        <v>0</v>
      </c>
      <c r="BB281" s="10">
        <f t="shared" si="643"/>
        <v>0</v>
      </c>
      <c r="BC281" s="10">
        <f t="shared" si="643"/>
        <v>0</v>
      </c>
      <c r="BD281" s="10">
        <f t="shared" si="643"/>
        <v>0</v>
      </c>
      <c r="BE281" s="10">
        <f t="shared" si="643"/>
        <v>0</v>
      </c>
      <c r="BF281" s="10">
        <f t="shared" si="643"/>
        <v>0</v>
      </c>
      <c r="BG281" s="10">
        <f t="shared" si="643"/>
        <v>0</v>
      </c>
      <c r="BH281" s="10">
        <f t="shared" si="643"/>
        <v>0</v>
      </c>
      <c r="BI281" s="10">
        <f t="shared" si="643"/>
        <v>0</v>
      </c>
      <c r="BJ281" s="10">
        <f t="shared" si="643"/>
        <v>0</v>
      </c>
      <c r="BL281" s="152">
        <f t="shared" si="635"/>
        <v>0</v>
      </c>
      <c r="BM281" s="152">
        <f t="shared" si="635"/>
        <v>0</v>
      </c>
      <c r="BN281" s="152">
        <f t="shared" si="635"/>
        <v>0</v>
      </c>
      <c r="BO281" s="152">
        <f t="shared" si="635"/>
        <v>0</v>
      </c>
      <c r="BP281" s="10">
        <f t="shared" ref="BP281:BW281" si="644">SUM(BP276:BP280)</f>
        <v>0</v>
      </c>
      <c r="BQ281" s="10">
        <f t="shared" si="644"/>
        <v>0</v>
      </c>
      <c r="BR281" s="10">
        <f t="shared" si="644"/>
        <v>0</v>
      </c>
      <c r="BS281" s="10">
        <f t="shared" si="644"/>
        <v>0</v>
      </c>
      <c r="BT281" s="10">
        <f t="shared" si="644"/>
        <v>0</v>
      </c>
      <c r="BU281" s="10">
        <f t="shared" si="644"/>
        <v>0</v>
      </c>
      <c r="BV281" s="10">
        <f t="shared" si="644"/>
        <v>0</v>
      </c>
      <c r="BW281" s="10">
        <f t="shared" si="644"/>
        <v>0</v>
      </c>
      <c r="BY281" s="12"/>
      <c r="CA281" s="12"/>
      <c r="CI281" s="7">
        <f t="shared" si="639"/>
        <v>0</v>
      </c>
      <c r="CJ281" s="7">
        <f t="shared" si="640"/>
        <v>0</v>
      </c>
      <c r="CK281" s="7">
        <f t="shared" si="641"/>
        <v>0</v>
      </c>
      <c r="CL281" s="42"/>
      <c r="CM281" s="352">
        <f>ROUND(W281-INDEX($AA281:$BJ281, MATCH(W$5,$AA$5:$BJ$5,0)), rounding)</f>
        <v>0</v>
      </c>
      <c r="CN281" s="352">
        <f>ROUND(X281-INDEX($AA281:$BJ281, MATCH(X$5,$AA$5:$BJ$5,0)), rounding)</f>
        <v>0</v>
      </c>
      <c r="CO281" s="352">
        <f>ROUND(Y281-INDEX($AA281:$BJ281, MATCH(Y$5,$AA$5:$BJ$5,0)), rounding)</f>
        <v>0</v>
      </c>
      <c r="CP281" s="352">
        <f>ROUND(BM281-INDEX($AA281:$BJ281, MATCH(BM$5,$AA$5:$BJ$5,0)), rounding)</f>
        <v>0</v>
      </c>
      <c r="CQ281" s="352">
        <f>ROUND(BN281-INDEX($AA281:$BJ281, MATCH(BN$5,$AA$5:$BJ$5,0)), rounding)</f>
        <v>0</v>
      </c>
      <c r="CR281" s="352">
        <f>ROUND(BO281-INDEX($AA281:$BJ281, MATCH(BO$5,$AA$5:$BJ$5,0)), rounding)</f>
        <v>0</v>
      </c>
      <c r="CS281" s="352">
        <f>ROUND($V281-$BL281, rounding)</f>
        <v>0</v>
      </c>
      <c r="CT281" s="42"/>
      <c r="CU281" s="67">
        <v>0</v>
      </c>
      <c r="CV281" s="67">
        <v>0</v>
      </c>
      <c r="EX281" s="13" t="str">
        <f t="shared" si="637"/>
        <v>Fixed Asset Retentions Closing Balance</v>
      </c>
    </row>
    <row r="282" spans="1:154" ht="6.6" customHeight="1" x14ac:dyDescent="0.25">
      <c r="B282" s="2"/>
      <c r="C282" s="385"/>
      <c r="D282" s="1"/>
      <c r="E282" s="67"/>
      <c r="T282" s="335"/>
      <c r="U282" s="335"/>
      <c r="Z282" s="335"/>
      <c r="BY282" s="42"/>
      <c r="CA282" s="42"/>
      <c r="CL282" s="42"/>
      <c r="CT282" s="42"/>
      <c r="CU282" s="67">
        <v>0</v>
      </c>
      <c r="CV282" s="67">
        <v>0</v>
      </c>
      <c r="EX282" s="10" t="str">
        <f t="shared" si="620"/>
        <v/>
      </c>
    </row>
    <row r="283" spans="1:154" x14ac:dyDescent="0.25">
      <c r="B283" s="118"/>
      <c r="C283" s="385"/>
      <c r="D283" s="27" t="s">
        <v>394</v>
      </c>
      <c r="E283" s="67"/>
      <c r="G283" s="48"/>
      <c r="H283" s="48"/>
      <c r="T283" s="335"/>
      <c r="U283" s="335"/>
      <c r="Z283" s="335"/>
      <c r="BY283" s="12"/>
      <c r="CA283" s="12"/>
      <c r="CL283" s="42"/>
      <c r="CT283" s="42"/>
      <c r="CU283" s="67">
        <v>0</v>
      </c>
      <c r="CV283" s="67">
        <v>0</v>
      </c>
      <c r="EX283" s="10" t="str">
        <f t="shared" si="620"/>
        <v/>
      </c>
    </row>
    <row r="284" spans="1:154" x14ac:dyDescent="0.25">
      <c r="A284" s="362" cm="1">
        <f t="array" aca="1" ref="A284" ca="1">HYPERLINK(CONCATENATE("#",CELL("address",IF(SUM($CA284:$CL284)=0,A284,INDEX($CA284:$CL284,MATCH(1,$CA284:$CL284,0))))),SUM($CA284:$CL284))</f>
        <v>0</v>
      </c>
      <c r="B284" s="4"/>
      <c r="C284" s="340" t="s">
        <v>1220</v>
      </c>
      <c r="D284" s="117" t="str">
        <f>Parameters!$D$39</f>
        <v>Land &amp; Buildings</v>
      </c>
      <c r="E284" s="39"/>
      <c r="G284" s="46"/>
      <c r="H284" s="47" t="s">
        <v>86</v>
      </c>
      <c r="S284" s="326"/>
      <c r="T284" s="335"/>
      <c r="U284" s="335"/>
      <c r="V284" s="10">
        <f t="shared" ref="V284:Y287" si="645">V42</f>
        <v>0</v>
      </c>
      <c r="W284" s="10">
        <f t="shared" si="645"/>
        <v>0</v>
      </c>
      <c r="X284" s="10">
        <f t="shared" si="645"/>
        <v>0</v>
      </c>
      <c r="Y284" s="10">
        <f t="shared" si="645"/>
        <v>0</v>
      </c>
      <c r="Z284" s="335"/>
      <c r="AA284" s="10">
        <f t="shared" ref="AA284:BJ284" si="646">AA42</f>
        <v>0</v>
      </c>
      <c r="AB284" s="10">
        <f t="shared" si="646"/>
        <v>0</v>
      </c>
      <c r="AC284" s="10">
        <f t="shared" si="646"/>
        <v>0</v>
      </c>
      <c r="AD284" s="10">
        <f t="shared" si="646"/>
        <v>0</v>
      </c>
      <c r="AE284" s="10">
        <f t="shared" si="646"/>
        <v>0</v>
      </c>
      <c r="AF284" s="10">
        <f t="shared" si="646"/>
        <v>0</v>
      </c>
      <c r="AG284" s="10">
        <f t="shared" si="646"/>
        <v>0</v>
      </c>
      <c r="AH284" s="10">
        <f t="shared" si="646"/>
        <v>0</v>
      </c>
      <c r="AI284" s="10">
        <f t="shared" si="646"/>
        <v>0</v>
      </c>
      <c r="AJ284" s="10">
        <f t="shared" si="646"/>
        <v>0</v>
      </c>
      <c r="AK284" s="10">
        <f t="shared" si="646"/>
        <v>0</v>
      </c>
      <c r="AL284" s="10">
        <f t="shared" si="646"/>
        <v>0</v>
      </c>
      <c r="AM284" s="10">
        <f t="shared" si="646"/>
        <v>0</v>
      </c>
      <c r="AN284" s="10">
        <f t="shared" si="646"/>
        <v>0</v>
      </c>
      <c r="AO284" s="10">
        <f t="shared" si="646"/>
        <v>0</v>
      </c>
      <c r="AP284" s="10">
        <f t="shared" si="646"/>
        <v>0</v>
      </c>
      <c r="AQ284" s="10">
        <f t="shared" si="646"/>
        <v>0</v>
      </c>
      <c r="AR284" s="10">
        <f t="shared" si="646"/>
        <v>0</v>
      </c>
      <c r="AS284" s="10">
        <f t="shared" si="646"/>
        <v>0</v>
      </c>
      <c r="AT284" s="10">
        <f t="shared" si="646"/>
        <v>0</v>
      </c>
      <c r="AU284" s="10">
        <f t="shared" si="646"/>
        <v>0</v>
      </c>
      <c r="AV284" s="10">
        <f t="shared" si="646"/>
        <v>0</v>
      </c>
      <c r="AW284" s="10">
        <f t="shared" si="646"/>
        <v>0</v>
      </c>
      <c r="AX284" s="10">
        <f t="shared" si="646"/>
        <v>0</v>
      </c>
      <c r="AY284" s="10">
        <f t="shared" si="646"/>
        <v>0</v>
      </c>
      <c r="AZ284" s="10">
        <f t="shared" si="646"/>
        <v>0</v>
      </c>
      <c r="BA284" s="10">
        <f t="shared" si="646"/>
        <v>0</v>
      </c>
      <c r="BB284" s="10">
        <f t="shared" si="646"/>
        <v>0</v>
      </c>
      <c r="BC284" s="10">
        <f t="shared" si="646"/>
        <v>0</v>
      </c>
      <c r="BD284" s="10">
        <f t="shared" si="646"/>
        <v>0</v>
      </c>
      <c r="BE284" s="10">
        <f t="shared" si="646"/>
        <v>0</v>
      </c>
      <c r="BF284" s="10">
        <f t="shared" si="646"/>
        <v>0</v>
      </c>
      <c r="BG284" s="10">
        <f t="shared" si="646"/>
        <v>0</v>
      </c>
      <c r="BH284" s="10">
        <f t="shared" si="646"/>
        <v>0</v>
      </c>
      <c r="BI284" s="10">
        <f t="shared" si="646"/>
        <v>0</v>
      </c>
      <c r="BJ284" s="10">
        <f t="shared" si="646"/>
        <v>0</v>
      </c>
      <c r="BK284" s="326"/>
      <c r="BL284" s="10">
        <f t="shared" ref="BL284:BW284" si="647">BL42</f>
        <v>0</v>
      </c>
      <c r="BM284" s="10">
        <f t="shared" si="647"/>
        <v>0</v>
      </c>
      <c r="BN284" s="10">
        <f t="shared" si="647"/>
        <v>0</v>
      </c>
      <c r="BO284" s="10">
        <f t="shared" si="647"/>
        <v>0</v>
      </c>
      <c r="BP284" s="10">
        <f t="shared" si="647"/>
        <v>0</v>
      </c>
      <c r="BQ284" s="10">
        <f t="shared" si="647"/>
        <v>0</v>
      </c>
      <c r="BR284" s="10">
        <f t="shared" si="647"/>
        <v>0</v>
      </c>
      <c r="BS284" s="10">
        <f t="shared" si="647"/>
        <v>0</v>
      </c>
      <c r="BT284" s="10">
        <f t="shared" si="647"/>
        <v>0</v>
      </c>
      <c r="BU284" s="10">
        <f t="shared" si="647"/>
        <v>0</v>
      </c>
      <c r="BV284" s="10">
        <f t="shared" si="647"/>
        <v>0</v>
      </c>
      <c r="BW284" s="10">
        <f t="shared" si="647"/>
        <v>0</v>
      </c>
      <c r="BY284" s="12"/>
      <c r="CA284" s="12"/>
      <c r="CI284" s="7">
        <f t="shared" ref="CI284:CI289" si="648">IF(SUM($CM284:$CO284)=0, 0, 1)</f>
        <v>0</v>
      </c>
      <c r="CJ284" s="7">
        <f t="shared" ref="CJ284:CJ289" si="649">IF(SUM($CP284:$CR284)=0, 0, 1)</f>
        <v>0</v>
      </c>
      <c r="CK284" s="7">
        <f t="shared" ref="CK284:CK289" si="650">IF($CS284=0, 0, 1)</f>
        <v>0</v>
      </c>
      <c r="CL284" s="42"/>
      <c r="CM284" s="352">
        <f t="shared" ref="CM284:CO289" si="651">ROUND(W284-SUMIFS($AA284:$BJ284, $AA$3:$BJ$3, W$3), rounding)</f>
        <v>0</v>
      </c>
      <c r="CN284" s="352">
        <f t="shared" si="651"/>
        <v>0</v>
      </c>
      <c r="CO284" s="352">
        <f t="shared" si="651"/>
        <v>0</v>
      </c>
      <c r="CP284" s="352">
        <f t="shared" ref="CP284:CP289" si="652">ROUND($BM284-SUMIFS($AA284:$BJ284, $AA$3:$BJ$3, $BM$3), rounding)</f>
        <v>0</v>
      </c>
      <c r="CQ284" s="352">
        <f t="shared" ref="CQ284:CQ289" si="653">ROUND($BN284-SUMIFS($AA284:$BJ284, $AA$3:$BJ$3, $BN$3), rounding)</f>
        <v>0</v>
      </c>
      <c r="CR284" s="352">
        <f t="shared" ref="CR284:CR289" si="654">ROUND($BO284-SUMIFS($AA284:$BJ284, $AA$3:$BJ$3, $BO$3), rounding)</f>
        <v>0</v>
      </c>
      <c r="CS284" s="352">
        <f t="shared" ref="CS284:CS289" si="655">ROUND($V284-$BL284, rounding)</f>
        <v>0</v>
      </c>
      <c r="CT284" s="42"/>
      <c r="CU284" s="67">
        <v>0</v>
      </c>
      <c r="CV284" s="67">
        <v>0</v>
      </c>
      <c r="EX284" s="13" t="str">
        <f t="shared" ref="EX284:EX289" si="656">IF($C284="","",CONCATENATE(D$283, " ",$D284))</f>
        <v>Finance Lease Additions Land &amp; Buildings</v>
      </c>
    </row>
    <row r="285" spans="1:154" x14ac:dyDescent="0.25">
      <c r="A285" s="362" cm="1">
        <f t="array" aca="1" ref="A285" ca="1">HYPERLINK(CONCATENATE("#",CELL("address",IF(SUM($CA285:$CL285)=0,A285,INDEX($CA285:$CL285,MATCH(1,$CA285:$CL285,0))))),SUM($CA285:$CL285))</f>
        <v>0</v>
      </c>
      <c r="B285" s="4"/>
      <c r="C285" s="340" t="s">
        <v>1221</v>
      </c>
      <c r="D285" s="117" t="str">
        <f>Parameters!$D$40</f>
        <v>Equipment</v>
      </c>
      <c r="E285" s="39"/>
      <c r="G285" s="46"/>
      <c r="H285" s="47" t="s">
        <v>86</v>
      </c>
      <c r="S285" s="326"/>
      <c r="T285" s="335"/>
      <c r="U285" s="335"/>
      <c r="V285" s="121">
        <f t="shared" si="645"/>
        <v>0</v>
      </c>
      <c r="W285" s="10">
        <f t="shared" si="645"/>
        <v>0</v>
      </c>
      <c r="X285" s="10">
        <f t="shared" si="645"/>
        <v>0</v>
      </c>
      <c r="Y285" s="10">
        <f t="shared" si="645"/>
        <v>0</v>
      </c>
      <c r="Z285" s="335"/>
      <c r="AA285" s="10">
        <f t="shared" ref="AA285:BJ285" si="657">AA43</f>
        <v>0</v>
      </c>
      <c r="AB285" s="10">
        <f t="shared" si="657"/>
        <v>0</v>
      </c>
      <c r="AC285" s="10">
        <f t="shared" si="657"/>
        <v>0</v>
      </c>
      <c r="AD285" s="10">
        <f t="shared" si="657"/>
        <v>0</v>
      </c>
      <c r="AE285" s="10">
        <f t="shared" si="657"/>
        <v>0</v>
      </c>
      <c r="AF285" s="10">
        <f t="shared" si="657"/>
        <v>0</v>
      </c>
      <c r="AG285" s="10">
        <f t="shared" si="657"/>
        <v>0</v>
      </c>
      <c r="AH285" s="10">
        <f t="shared" si="657"/>
        <v>0</v>
      </c>
      <c r="AI285" s="10">
        <f t="shared" si="657"/>
        <v>0</v>
      </c>
      <c r="AJ285" s="10">
        <f t="shared" si="657"/>
        <v>0</v>
      </c>
      <c r="AK285" s="10">
        <f t="shared" si="657"/>
        <v>0</v>
      </c>
      <c r="AL285" s="10">
        <f t="shared" si="657"/>
        <v>0</v>
      </c>
      <c r="AM285" s="10">
        <f t="shared" si="657"/>
        <v>0</v>
      </c>
      <c r="AN285" s="10">
        <f t="shared" si="657"/>
        <v>0</v>
      </c>
      <c r="AO285" s="10">
        <f t="shared" si="657"/>
        <v>0</v>
      </c>
      <c r="AP285" s="10">
        <f t="shared" si="657"/>
        <v>0</v>
      </c>
      <c r="AQ285" s="10">
        <f t="shared" si="657"/>
        <v>0</v>
      </c>
      <c r="AR285" s="10">
        <f t="shared" si="657"/>
        <v>0</v>
      </c>
      <c r="AS285" s="10">
        <f t="shared" si="657"/>
        <v>0</v>
      </c>
      <c r="AT285" s="10">
        <f t="shared" si="657"/>
        <v>0</v>
      </c>
      <c r="AU285" s="10">
        <f t="shared" si="657"/>
        <v>0</v>
      </c>
      <c r="AV285" s="10">
        <f t="shared" si="657"/>
        <v>0</v>
      </c>
      <c r="AW285" s="10">
        <f t="shared" si="657"/>
        <v>0</v>
      </c>
      <c r="AX285" s="10">
        <f t="shared" si="657"/>
        <v>0</v>
      </c>
      <c r="AY285" s="10">
        <f t="shared" si="657"/>
        <v>0</v>
      </c>
      <c r="AZ285" s="10">
        <f t="shared" si="657"/>
        <v>0</v>
      </c>
      <c r="BA285" s="10">
        <f t="shared" si="657"/>
        <v>0</v>
      </c>
      <c r="BB285" s="10">
        <f t="shared" si="657"/>
        <v>0</v>
      </c>
      <c r="BC285" s="10">
        <f t="shared" si="657"/>
        <v>0</v>
      </c>
      <c r="BD285" s="10">
        <f t="shared" si="657"/>
        <v>0</v>
      </c>
      <c r="BE285" s="10">
        <f t="shared" si="657"/>
        <v>0</v>
      </c>
      <c r="BF285" s="10">
        <f t="shared" si="657"/>
        <v>0</v>
      </c>
      <c r="BG285" s="10">
        <f t="shared" si="657"/>
        <v>0</v>
      </c>
      <c r="BH285" s="10">
        <f t="shared" si="657"/>
        <v>0</v>
      </c>
      <c r="BI285" s="10">
        <f t="shared" si="657"/>
        <v>0</v>
      </c>
      <c r="BJ285" s="10">
        <f t="shared" si="657"/>
        <v>0</v>
      </c>
      <c r="BK285" s="326"/>
      <c r="BL285" s="10">
        <f t="shared" ref="BL285:BW285" si="658">BL43</f>
        <v>0</v>
      </c>
      <c r="BM285" s="10">
        <f t="shared" si="658"/>
        <v>0</v>
      </c>
      <c r="BN285" s="10">
        <f t="shared" si="658"/>
        <v>0</v>
      </c>
      <c r="BO285" s="10">
        <f t="shared" si="658"/>
        <v>0</v>
      </c>
      <c r="BP285" s="10">
        <f t="shared" si="658"/>
        <v>0</v>
      </c>
      <c r="BQ285" s="10">
        <f t="shared" si="658"/>
        <v>0</v>
      </c>
      <c r="BR285" s="10">
        <f t="shared" si="658"/>
        <v>0</v>
      </c>
      <c r="BS285" s="10">
        <f t="shared" si="658"/>
        <v>0</v>
      </c>
      <c r="BT285" s="10">
        <f t="shared" si="658"/>
        <v>0</v>
      </c>
      <c r="BU285" s="10">
        <f t="shared" si="658"/>
        <v>0</v>
      </c>
      <c r="BV285" s="10">
        <f t="shared" si="658"/>
        <v>0</v>
      </c>
      <c r="BW285" s="10">
        <f t="shared" si="658"/>
        <v>0</v>
      </c>
      <c r="BY285" s="12"/>
      <c r="CA285" s="12"/>
      <c r="CI285" s="7">
        <f t="shared" si="648"/>
        <v>0</v>
      </c>
      <c r="CJ285" s="7">
        <f t="shared" si="649"/>
        <v>0</v>
      </c>
      <c r="CK285" s="7">
        <f t="shared" si="650"/>
        <v>0</v>
      </c>
      <c r="CL285" s="42"/>
      <c r="CM285" s="352">
        <f t="shared" si="651"/>
        <v>0</v>
      </c>
      <c r="CN285" s="352">
        <f t="shared" si="651"/>
        <v>0</v>
      </c>
      <c r="CO285" s="352">
        <f t="shared" si="651"/>
        <v>0</v>
      </c>
      <c r="CP285" s="352">
        <f t="shared" si="652"/>
        <v>0</v>
      </c>
      <c r="CQ285" s="352">
        <f t="shared" si="653"/>
        <v>0</v>
      </c>
      <c r="CR285" s="352">
        <f t="shared" si="654"/>
        <v>0</v>
      </c>
      <c r="CS285" s="352">
        <f t="shared" si="655"/>
        <v>0</v>
      </c>
      <c r="CT285" s="42"/>
      <c r="CU285" s="67">
        <v>0</v>
      </c>
      <c r="CV285" s="67">
        <v>0</v>
      </c>
      <c r="EX285" s="13" t="str">
        <f t="shared" si="656"/>
        <v>Finance Lease Additions Equipment</v>
      </c>
    </row>
    <row r="286" spans="1:154" s="335" customFormat="1" x14ac:dyDescent="0.25">
      <c r="A286" s="362" cm="1">
        <f t="array" aca="1" ref="A286" ca="1">HYPERLINK(CONCATENATE("#",CELL("address",IF(SUM($CA286:$CL286)=0,A286,INDEX($CA286:$CL286,MATCH(1,$CA286:$CL286,0))))),SUM($CA286:$CL286))</f>
        <v>0</v>
      </c>
      <c r="B286" s="4"/>
      <c r="C286" s="340" t="s">
        <v>1222</v>
      </c>
      <c r="D286" s="117" t="str">
        <f>Parameters!$D$41</f>
        <v>Other NCA</v>
      </c>
      <c r="E286" s="39"/>
      <c r="G286" s="46"/>
      <c r="H286" s="47"/>
      <c r="V286" s="121">
        <f t="shared" si="645"/>
        <v>0</v>
      </c>
      <c r="W286" s="10">
        <f t="shared" si="645"/>
        <v>0</v>
      </c>
      <c r="X286" s="10">
        <f t="shared" si="645"/>
        <v>0</v>
      </c>
      <c r="Y286" s="10">
        <f t="shared" si="645"/>
        <v>0</v>
      </c>
      <c r="AA286" s="10">
        <f t="shared" ref="AA286:BJ286" si="659">AA44</f>
        <v>0</v>
      </c>
      <c r="AB286" s="10">
        <f t="shared" si="659"/>
        <v>0</v>
      </c>
      <c r="AC286" s="10">
        <f t="shared" si="659"/>
        <v>0</v>
      </c>
      <c r="AD286" s="10">
        <f t="shared" si="659"/>
        <v>0</v>
      </c>
      <c r="AE286" s="10">
        <f t="shared" si="659"/>
        <v>0</v>
      </c>
      <c r="AF286" s="10">
        <f t="shared" si="659"/>
        <v>0</v>
      </c>
      <c r="AG286" s="10">
        <f t="shared" si="659"/>
        <v>0</v>
      </c>
      <c r="AH286" s="10">
        <f t="shared" si="659"/>
        <v>0</v>
      </c>
      <c r="AI286" s="10">
        <f t="shared" si="659"/>
        <v>0</v>
      </c>
      <c r="AJ286" s="10">
        <f t="shared" si="659"/>
        <v>0</v>
      </c>
      <c r="AK286" s="10">
        <f t="shared" si="659"/>
        <v>0</v>
      </c>
      <c r="AL286" s="10">
        <f t="shared" si="659"/>
        <v>0</v>
      </c>
      <c r="AM286" s="10">
        <f t="shared" si="659"/>
        <v>0</v>
      </c>
      <c r="AN286" s="10">
        <f t="shared" si="659"/>
        <v>0</v>
      </c>
      <c r="AO286" s="10">
        <f t="shared" si="659"/>
        <v>0</v>
      </c>
      <c r="AP286" s="10">
        <f t="shared" si="659"/>
        <v>0</v>
      </c>
      <c r="AQ286" s="10">
        <f t="shared" si="659"/>
        <v>0</v>
      </c>
      <c r="AR286" s="10">
        <f t="shared" si="659"/>
        <v>0</v>
      </c>
      <c r="AS286" s="10">
        <f t="shared" si="659"/>
        <v>0</v>
      </c>
      <c r="AT286" s="10">
        <f t="shared" si="659"/>
        <v>0</v>
      </c>
      <c r="AU286" s="10">
        <f t="shared" si="659"/>
        <v>0</v>
      </c>
      <c r="AV286" s="10">
        <f t="shared" si="659"/>
        <v>0</v>
      </c>
      <c r="AW286" s="10">
        <f t="shared" si="659"/>
        <v>0</v>
      </c>
      <c r="AX286" s="10">
        <f t="shared" si="659"/>
        <v>0</v>
      </c>
      <c r="AY286" s="10">
        <f t="shared" si="659"/>
        <v>0</v>
      </c>
      <c r="AZ286" s="10">
        <f t="shared" si="659"/>
        <v>0</v>
      </c>
      <c r="BA286" s="10">
        <f t="shared" si="659"/>
        <v>0</v>
      </c>
      <c r="BB286" s="10">
        <f t="shared" si="659"/>
        <v>0</v>
      </c>
      <c r="BC286" s="10">
        <f t="shared" si="659"/>
        <v>0</v>
      </c>
      <c r="BD286" s="10">
        <f t="shared" si="659"/>
        <v>0</v>
      </c>
      <c r="BE286" s="10">
        <f t="shared" si="659"/>
        <v>0</v>
      </c>
      <c r="BF286" s="10">
        <f t="shared" si="659"/>
        <v>0</v>
      </c>
      <c r="BG286" s="10">
        <f t="shared" si="659"/>
        <v>0</v>
      </c>
      <c r="BH286" s="10">
        <f t="shared" si="659"/>
        <v>0</v>
      </c>
      <c r="BI286" s="10">
        <f t="shared" si="659"/>
        <v>0</v>
      </c>
      <c r="BJ286" s="10">
        <f t="shared" si="659"/>
        <v>0</v>
      </c>
      <c r="BL286" s="10">
        <f t="shared" ref="BL286:BW286" si="660">BL44</f>
        <v>0</v>
      </c>
      <c r="BM286" s="10">
        <f t="shared" si="660"/>
        <v>0</v>
      </c>
      <c r="BN286" s="10">
        <f t="shared" si="660"/>
        <v>0</v>
      </c>
      <c r="BO286" s="10">
        <f t="shared" si="660"/>
        <v>0</v>
      </c>
      <c r="BP286" s="10">
        <f t="shared" si="660"/>
        <v>0</v>
      </c>
      <c r="BQ286" s="10">
        <f t="shared" si="660"/>
        <v>0</v>
      </c>
      <c r="BR286" s="10">
        <f t="shared" si="660"/>
        <v>0</v>
      </c>
      <c r="BS286" s="10">
        <f t="shared" si="660"/>
        <v>0</v>
      </c>
      <c r="BT286" s="10">
        <f t="shared" si="660"/>
        <v>0</v>
      </c>
      <c r="BU286" s="10">
        <f t="shared" si="660"/>
        <v>0</v>
      </c>
      <c r="BV286" s="10">
        <f t="shared" si="660"/>
        <v>0</v>
      </c>
      <c r="BW286" s="10">
        <f t="shared" si="660"/>
        <v>0</v>
      </c>
      <c r="BY286" s="12"/>
      <c r="CA286" s="12"/>
      <c r="CI286" s="7">
        <f t="shared" si="648"/>
        <v>0</v>
      </c>
      <c r="CJ286" s="7">
        <f t="shared" si="649"/>
        <v>0</v>
      </c>
      <c r="CK286" s="7">
        <f t="shared" si="650"/>
        <v>0</v>
      </c>
      <c r="CL286" s="42"/>
      <c r="CM286" s="352">
        <f t="shared" si="651"/>
        <v>0</v>
      </c>
      <c r="CN286" s="352">
        <f t="shared" si="651"/>
        <v>0</v>
      </c>
      <c r="CO286" s="352">
        <f t="shared" si="651"/>
        <v>0</v>
      </c>
      <c r="CP286" s="352">
        <f t="shared" si="652"/>
        <v>0</v>
      </c>
      <c r="CQ286" s="352">
        <f t="shared" si="653"/>
        <v>0</v>
      </c>
      <c r="CR286" s="352">
        <f t="shared" si="654"/>
        <v>0</v>
      </c>
      <c r="CS286" s="352">
        <f t="shared" si="655"/>
        <v>0</v>
      </c>
      <c r="CT286" s="42"/>
      <c r="CU286" s="335">
        <v>0</v>
      </c>
      <c r="CV286" s="335">
        <v>0</v>
      </c>
      <c r="EX286" s="13" t="str">
        <f t="shared" si="656"/>
        <v>Finance Lease Additions Other NCA</v>
      </c>
    </row>
    <row r="287" spans="1:154" s="325" customFormat="1" x14ac:dyDescent="0.25">
      <c r="A287" s="362" cm="1">
        <f t="array" aca="1" ref="A287" ca="1">HYPERLINK(CONCATENATE("#",CELL("address",IF(SUM($CA287:$CL287)=0,A287,INDEX($CA287:$CL287,MATCH(1,$CA287:$CL287,0))))),SUM($CA287:$CL287))</f>
        <v>0</v>
      </c>
      <c r="B287" s="4"/>
      <c r="C287" s="340" t="s">
        <v>1223</v>
      </c>
      <c r="D287" s="117" t="str">
        <f>Parameters!$D$42</f>
        <v>Assets under Construction</v>
      </c>
      <c r="E287" s="39"/>
      <c r="G287" s="46"/>
      <c r="H287" s="47"/>
      <c r="S287" s="326"/>
      <c r="T287" s="335"/>
      <c r="U287" s="335"/>
      <c r="V287" s="121">
        <f t="shared" si="645"/>
        <v>0</v>
      </c>
      <c r="W287" s="10">
        <f t="shared" si="645"/>
        <v>0</v>
      </c>
      <c r="X287" s="10">
        <f t="shared" si="645"/>
        <v>0</v>
      </c>
      <c r="Y287" s="10">
        <f t="shared" si="645"/>
        <v>0</v>
      </c>
      <c r="Z287" s="335"/>
      <c r="AA287" s="10">
        <f t="shared" ref="AA287:BJ287" si="661">AA45</f>
        <v>0</v>
      </c>
      <c r="AB287" s="10">
        <f t="shared" si="661"/>
        <v>0</v>
      </c>
      <c r="AC287" s="10">
        <f t="shared" si="661"/>
        <v>0</v>
      </c>
      <c r="AD287" s="10">
        <f t="shared" si="661"/>
        <v>0</v>
      </c>
      <c r="AE287" s="10">
        <f t="shared" si="661"/>
        <v>0</v>
      </c>
      <c r="AF287" s="10">
        <f t="shared" si="661"/>
        <v>0</v>
      </c>
      <c r="AG287" s="10">
        <f t="shared" si="661"/>
        <v>0</v>
      </c>
      <c r="AH287" s="10">
        <f t="shared" si="661"/>
        <v>0</v>
      </c>
      <c r="AI287" s="10">
        <f t="shared" si="661"/>
        <v>0</v>
      </c>
      <c r="AJ287" s="10">
        <f t="shared" si="661"/>
        <v>0</v>
      </c>
      <c r="AK287" s="10">
        <f t="shared" si="661"/>
        <v>0</v>
      </c>
      <c r="AL287" s="10">
        <f t="shared" si="661"/>
        <v>0</v>
      </c>
      <c r="AM287" s="10">
        <f t="shared" si="661"/>
        <v>0</v>
      </c>
      <c r="AN287" s="10">
        <f t="shared" si="661"/>
        <v>0</v>
      </c>
      <c r="AO287" s="10">
        <f t="shared" si="661"/>
        <v>0</v>
      </c>
      <c r="AP287" s="10">
        <f t="shared" si="661"/>
        <v>0</v>
      </c>
      <c r="AQ287" s="10">
        <f t="shared" si="661"/>
        <v>0</v>
      </c>
      <c r="AR287" s="10">
        <f t="shared" si="661"/>
        <v>0</v>
      </c>
      <c r="AS287" s="10">
        <f t="shared" si="661"/>
        <v>0</v>
      </c>
      <c r="AT287" s="10">
        <f t="shared" si="661"/>
        <v>0</v>
      </c>
      <c r="AU287" s="10">
        <f t="shared" si="661"/>
        <v>0</v>
      </c>
      <c r="AV287" s="10">
        <f t="shared" si="661"/>
        <v>0</v>
      </c>
      <c r="AW287" s="10">
        <f t="shared" si="661"/>
        <v>0</v>
      </c>
      <c r="AX287" s="10">
        <f t="shared" si="661"/>
        <v>0</v>
      </c>
      <c r="AY287" s="10">
        <f t="shared" si="661"/>
        <v>0</v>
      </c>
      <c r="AZ287" s="10">
        <f t="shared" si="661"/>
        <v>0</v>
      </c>
      <c r="BA287" s="10">
        <f t="shared" si="661"/>
        <v>0</v>
      </c>
      <c r="BB287" s="10">
        <f t="shared" si="661"/>
        <v>0</v>
      </c>
      <c r="BC287" s="10">
        <f t="shared" si="661"/>
        <v>0</v>
      </c>
      <c r="BD287" s="10">
        <f t="shared" si="661"/>
        <v>0</v>
      </c>
      <c r="BE287" s="10">
        <f t="shared" si="661"/>
        <v>0</v>
      </c>
      <c r="BF287" s="10">
        <f t="shared" si="661"/>
        <v>0</v>
      </c>
      <c r="BG287" s="10">
        <f t="shared" si="661"/>
        <v>0</v>
      </c>
      <c r="BH287" s="10">
        <f t="shared" si="661"/>
        <v>0</v>
      </c>
      <c r="BI287" s="10">
        <f t="shared" si="661"/>
        <v>0</v>
      </c>
      <c r="BJ287" s="10">
        <f t="shared" si="661"/>
        <v>0</v>
      </c>
      <c r="BK287" s="326"/>
      <c r="BL287" s="10">
        <f t="shared" ref="BL287:BW287" si="662">BL45</f>
        <v>0</v>
      </c>
      <c r="BM287" s="10">
        <f t="shared" si="662"/>
        <v>0</v>
      </c>
      <c r="BN287" s="10">
        <f t="shared" si="662"/>
        <v>0</v>
      </c>
      <c r="BO287" s="10">
        <f t="shared" si="662"/>
        <v>0</v>
      </c>
      <c r="BP287" s="10">
        <f t="shared" si="662"/>
        <v>0</v>
      </c>
      <c r="BQ287" s="10">
        <f t="shared" si="662"/>
        <v>0</v>
      </c>
      <c r="BR287" s="10">
        <f t="shared" si="662"/>
        <v>0</v>
      </c>
      <c r="BS287" s="10">
        <f t="shared" si="662"/>
        <v>0</v>
      </c>
      <c r="BT287" s="10">
        <f t="shared" si="662"/>
        <v>0</v>
      </c>
      <c r="BU287" s="10">
        <f t="shared" si="662"/>
        <v>0</v>
      </c>
      <c r="BV287" s="10">
        <f t="shared" si="662"/>
        <v>0</v>
      </c>
      <c r="BW287" s="10">
        <f t="shared" si="662"/>
        <v>0</v>
      </c>
      <c r="BY287" s="12"/>
      <c r="BZ287" s="335"/>
      <c r="CA287" s="12"/>
      <c r="CE287" s="335"/>
      <c r="CG287" s="335"/>
      <c r="CI287" s="7">
        <f t="shared" si="648"/>
        <v>0</v>
      </c>
      <c r="CJ287" s="7">
        <f t="shared" si="649"/>
        <v>0</v>
      </c>
      <c r="CK287" s="7">
        <f t="shared" si="650"/>
        <v>0</v>
      </c>
      <c r="CL287" s="42"/>
      <c r="CM287" s="352">
        <f t="shared" si="651"/>
        <v>0</v>
      </c>
      <c r="CN287" s="352">
        <f t="shared" si="651"/>
        <v>0</v>
      </c>
      <c r="CO287" s="352">
        <f t="shared" si="651"/>
        <v>0</v>
      </c>
      <c r="CP287" s="352">
        <f t="shared" si="652"/>
        <v>0</v>
      </c>
      <c r="CQ287" s="352">
        <f t="shared" si="653"/>
        <v>0</v>
      </c>
      <c r="CR287" s="352">
        <f t="shared" si="654"/>
        <v>0</v>
      </c>
      <c r="CS287" s="352">
        <f t="shared" si="655"/>
        <v>0</v>
      </c>
      <c r="CT287" s="42"/>
      <c r="CU287" s="325">
        <v>0</v>
      </c>
      <c r="CV287" s="325">
        <v>0</v>
      </c>
      <c r="EX287" s="13" t="str">
        <f t="shared" si="656"/>
        <v>Finance Lease Additions Assets under Construction</v>
      </c>
    </row>
    <row r="288" spans="1:154" s="335" customFormat="1" x14ac:dyDescent="0.25">
      <c r="A288" s="362" cm="1">
        <f t="array" aca="1" ref="A288" ca="1">HYPERLINK(CONCATENATE("#",CELL("address",IF(SUM($CA288:$CL288)=0,A288,INDEX($CA288:$CL288,MATCH(1,$CA288:$CL288,0))))),SUM($CA288:$CL288))</f>
        <v>0</v>
      </c>
      <c r="C288" s="340" t="s">
        <v>1224</v>
      </c>
      <c r="D288" s="177" t="s">
        <v>149</v>
      </c>
      <c r="E288" s="39"/>
      <c r="G288" s="46"/>
      <c r="H288" s="47" t="s">
        <v>86</v>
      </c>
      <c r="V288" s="141"/>
      <c r="W288" s="215">
        <f xml:space="preserve"> SUMIFS($AA288:$BJ288, $AA$3:$BJ$3, W$3)</f>
        <v>0</v>
      </c>
      <c r="X288" s="215">
        <f xml:space="preserve"> SUMIFS($AA288:$BJ288, $AA$3:$BJ$3, X$3)</f>
        <v>0</v>
      </c>
      <c r="Y288" s="215">
        <f xml:space="preserve"> SUMIFS($AA288:$BJ288, $AA$3:$BJ$3, Y$3)</f>
        <v>0</v>
      </c>
      <c r="AA288" s="147"/>
      <c r="AB288" s="147"/>
      <c r="AC288" s="147"/>
      <c r="AD288" s="147"/>
      <c r="AE288" s="147"/>
      <c r="AF288" s="147"/>
      <c r="AG288" s="147"/>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c r="BI288" s="147"/>
      <c r="BJ288" s="147"/>
      <c r="BL288" s="13">
        <f>V288</f>
        <v>0</v>
      </c>
      <c r="BM288" s="13">
        <f>W288</f>
        <v>0</v>
      </c>
      <c r="BN288" s="13">
        <f>X288</f>
        <v>0</v>
      </c>
      <c r="BO288" s="13">
        <f>Y288</f>
        <v>0</v>
      </c>
      <c r="BP288" s="141"/>
      <c r="BQ288" s="141"/>
      <c r="BR288" s="141"/>
      <c r="BS288" s="141"/>
      <c r="BT288" s="141"/>
      <c r="BU288" s="141"/>
      <c r="BV288" s="141"/>
      <c r="BW288" s="141"/>
      <c r="BY288" s="12"/>
      <c r="CA288" s="12"/>
      <c r="CI288" s="7">
        <f t="shared" si="648"/>
        <v>0</v>
      </c>
      <c r="CJ288" s="7">
        <f t="shared" si="649"/>
        <v>0</v>
      </c>
      <c r="CK288" s="7">
        <f t="shared" si="650"/>
        <v>0</v>
      </c>
      <c r="CL288" s="42"/>
      <c r="CM288" s="352">
        <f t="shared" si="651"/>
        <v>0</v>
      </c>
      <c r="CN288" s="352">
        <f t="shared" si="651"/>
        <v>0</v>
      </c>
      <c r="CO288" s="352">
        <f t="shared" si="651"/>
        <v>0</v>
      </c>
      <c r="CP288" s="352">
        <f t="shared" si="652"/>
        <v>0</v>
      </c>
      <c r="CQ288" s="352">
        <f t="shared" si="653"/>
        <v>0</v>
      </c>
      <c r="CR288" s="352">
        <f t="shared" si="654"/>
        <v>0</v>
      </c>
      <c r="CS288" s="352">
        <f t="shared" si="655"/>
        <v>0</v>
      </c>
      <c r="CT288" s="42"/>
      <c r="CU288" s="335">
        <v>1</v>
      </c>
      <c r="CV288" s="335">
        <v>1</v>
      </c>
      <c r="EX288" s="13" t="str">
        <f t="shared" si="656"/>
        <v>Finance Lease Additions Movement due to mergers</v>
      </c>
    </row>
    <row r="289" spans="1:154" x14ac:dyDescent="0.25">
      <c r="A289" s="362" cm="1">
        <f t="array" aca="1" ref="A289" ca="1">HYPERLINK(CONCATENATE("#",CELL("address",IF(SUM($CA289:$CL289)=0,A289,INDEX($CA289:$CL289,MATCH(1,$CA289:$CL289,0))))),SUM($CA289:$CL289))</f>
        <v>0</v>
      </c>
      <c r="B289" s="4"/>
      <c r="C289" s="340" t="s">
        <v>1225</v>
      </c>
      <c r="D289" s="27" t="s">
        <v>395</v>
      </c>
      <c r="E289" s="39"/>
      <c r="G289" s="46"/>
      <c r="H289" s="47" t="s">
        <v>86</v>
      </c>
      <c r="S289" s="335"/>
      <c r="T289" s="335"/>
      <c r="U289" s="335"/>
      <c r="V289" s="13">
        <f>SUM(V284:V288)</f>
        <v>0</v>
      </c>
      <c r="W289" s="13">
        <f t="shared" ref="W289:Y289" si="663">SUM(W284:W288)</f>
        <v>0</v>
      </c>
      <c r="X289" s="13">
        <f t="shared" si="663"/>
        <v>0</v>
      </c>
      <c r="Y289" s="13">
        <f t="shared" si="663"/>
        <v>0</v>
      </c>
      <c r="Z289" s="335"/>
      <c r="AA289" s="13">
        <f t="shared" ref="AA289" si="664">SUM(AA284:AA288)</f>
        <v>0</v>
      </c>
      <c r="AB289" s="13">
        <f t="shared" ref="AB289" si="665">SUM(AB284:AB288)</f>
        <v>0</v>
      </c>
      <c r="AC289" s="13">
        <f t="shared" ref="AC289" si="666">SUM(AC284:AC288)</f>
        <v>0</v>
      </c>
      <c r="AD289" s="13">
        <f>SUM(AD284:AD288)</f>
        <v>0</v>
      </c>
      <c r="AE289" s="13">
        <f t="shared" ref="AE289" si="667">SUM(AE284:AE288)</f>
        <v>0</v>
      </c>
      <c r="AF289" s="13">
        <f t="shared" ref="AF289" si="668">SUM(AF284:AF288)</f>
        <v>0</v>
      </c>
      <c r="AG289" s="13">
        <f t="shared" ref="AG289" si="669">SUM(AG284:AG288)</f>
        <v>0</v>
      </c>
      <c r="AH289" s="13">
        <f t="shared" ref="AH289:AI289" si="670">SUM(AH284:AH288)</f>
        <v>0</v>
      </c>
      <c r="AI289" s="13">
        <f t="shared" si="670"/>
        <v>0</v>
      </c>
      <c r="AJ289" s="13">
        <f t="shared" ref="AJ289" si="671">SUM(AJ284:AJ288)</f>
        <v>0</v>
      </c>
      <c r="AK289" s="13">
        <f t="shared" ref="AK289" si="672">SUM(AK284:AK288)</f>
        <v>0</v>
      </c>
      <c r="AL289" s="13">
        <f t="shared" ref="AL289:AM289" si="673">SUM(AL284:AL288)</f>
        <v>0</v>
      </c>
      <c r="AM289" s="13">
        <f t="shared" si="673"/>
        <v>0</v>
      </c>
      <c r="AN289" s="13">
        <f t="shared" ref="AN289" si="674">SUM(AN284:AN288)</f>
        <v>0</v>
      </c>
      <c r="AO289" s="13">
        <f t="shared" ref="AO289" si="675">SUM(AO284:AO288)</f>
        <v>0</v>
      </c>
      <c r="AP289" s="13">
        <f t="shared" ref="AP289:AQ289" si="676">SUM(AP284:AP288)</f>
        <v>0</v>
      </c>
      <c r="AQ289" s="13">
        <f t="shared" si="676"/>
        <v>0</v>
      </c>
      <c r="AR289" s="13">
        <f t="shared" ref="AR289" si="677">SUM(AR284:AR288)</f>
        <v>0</v>
      </c>
      <c r="AS289" s="13">
        <f t="shared" ref="AS289" si="678">SUM(AS284:AS288)</f>
        <v>0</v>
      </c>
      <c r="AT289" s="13">
        <f t="shared" ref="AT289:AU289" si="679">SUM(AT284:AT288)</f>
        <v>0</v>
      </c>
      <c r="AU289" s="13">
        <f t="shared" si="679"/>
        <v>0</v>
      </c>
      <c r="AV289" s="13">
        <f t="shared" ref="AV289" si="680">SUM(AV284:AV288)</f>
        <v>0</v>
      </c>
      <c r="AW289" s="13">
        <f t="shared" ref="AW289" si="681">SUM(AW284:AW288)</f>
        <v>0</v>
      </c>
      <c r="AX289" s="13">
        <f t="shared" ref="AX289:AY289" si="682">SUM(AX284:AX288)</f>
        <v>0</v>
      </c>
      <c r="AY289" s="13">
        <f t="shared" si="682"/>
        <v>0</v>
      </c>
      <c r="AZ289" s="13">
        <f t="shared" ref="AZ289" si="683">SUM(AZ284:AZ288)</f>
        <v>0</v>
      </c>
      <c r="BA289" s="13">
        <f t="shared" ref="BA289" si="684">SUM(BA284:BA288)</f>
        <v>0</v>
      </c>
      <c r="BB289" s="13">
        <f t="shared" ref="BB289:BC289" si="685">SUM(BB284:BB288)</f>
        <v>0</v>
      </c>
      <c r="BC289" s="13">
        <f t="shared" si="685"/>
        <v>0</v>
      </c>
      <c r="BD289" s="13">
        <f t="shared" ref="BD289" si="686">SUM(BD284:BD288)</f>
        <v>0</v>
      </c>
      <c r="BE289" s="13">
        <f t="shared" ref="BE289" si="687">SUM(BE284:BE288)</f>
        <v>0</v>
      </c>
      <c r="BF289" s="13">
        <f t="shared" ref="BF289:BG289" si="688">SUM(BF284:BF288)</f>
        <v>0</v>
      </c>
      <c r="BG289" s="13">
        <f t="shared" si="688"/>
        <v>0</v>
      </c>
      <c r="BH289" s="13">
        <f t="shared" ref="BH289" si="689">SUM(BH284:BH288)</f>
        <v>0</v>
      </c>
      <c r="BI289" s="13">
        <f t="shared" ref="BI289" si="690">SUM(BI284:BI288)</f>
        <v>0</v>
      </c>
      <c r="BJ289" s="13">
        <f t="shared" ref="BJ289" si="691">SUM(BJ284:BJ288)</f>
        <v>0</v>
      </c>
      <c r="BK289" s="335"/>
      <c r="BL289" s="13">
        <f t="shared" ref="BL289" si="692">SUM(BL284:BL288)</f>
        <v>0</v>
      </c>
      <c r="BM289" s="13">
        <f t="shared" ref="BM289" si="693">SUM(BM284:BM288)</f>
        <v>0</v>
      </c>
      <c r="BN289" s="13">
        <f t="shared" ref="BN289" si="694">SUM(BN284:BN288)</f>
        <v>0</v>
      </c>
      <c r="BO289" s="13">
        <f>SUM(BO284:BO288)</f>
        <v>0</v>
      </c>
      <c r="BP289" s="13">
        <f t="shared" ref="BP289" si="695">SUM(BP284:BP288)</f>
        <v>0</v>
      </c>
      <c r="BQ289" s="13">
        <f t="shared" ref="BQ289" si="696">SUM(BQ284:BQ288)</f>
        <v>0</v>
      </c>
      <c r="BR289" s="13">
        <f t="shared" ref="BR289:BS289" si="697">SUM(BR284:BR288)</f>
        <v>0</v>
      </c>
      <c r="BS289" s="13">
        <f t="shared" si="697"/>
        <v>0</v>
      </c>
      <c r="BT289" s="13">
        <f t="shared" ref="BT289" si="698">SUM(BT284:BT288)</f>
        <v>0</v>
      </c>
      <c r="BU289" s="13">
        <f t="shared" ref="BU289" si="699">SUM(BU284:BU288)</f>
        <v>0</v>
      </c>
      <c r="BV289" s="13">
        <f t="shared" ref="BV289:BW289" si="700">SUM(BV284:BV288)</f>
        <v>0</v>
      </c>
      <c r="BW289" s="13">
        <f t="shared" si="700"/>
        <v>0</v>
      </c>
      <c r="BY289" s="12"/>
      <c r="CA289" s="12"/>
      <c r="CI289" s="7">
        <f t="shared" si="648"/>
        <v>0</v>
      </c>
      <c r="CJ289" s="7">
        <f t="shared" si="649"/>
        <v>0</v>
      </c>
      <c r="CK289" s="7">
        <f t="shared" si="650"/>
        <v>0</v>
      </c>
      <c r="CL289" s="42"/>
      <c r="CM289" s="352">
        <f t="shared" si="651"/>
        <v>0</v>
      </c>
      <c r="CN289" s="352">
        <f t="shared" si="651"/>
        <v>0</v>
      </c>
      <c r="CO289" s="352">
        <f t="shared" si="651"/>
        <v>0</v>
      </c>
      <c r="CP289" s="352">
        <f t="shared" si="652"/>
        <v>0</v>
      </c>
      <c r="CQ289" s="352">
        <f t="shared" si="653"/>
        <v>0</v>
      </c>
      <c r="CR289" s="352">
        <f t="shared" si="654"/>
        <v>0</v>
      </c>
      <c r="CS289" s="352">
        <f t="shared" si="655"/>
        <v>0</v>
      </c>
      <c r="CT289" s="42"/>
      <c r="CU289" s="67">
        <v>0</v>
      </c>
      <c r="CV289" s="67">
        <v>0</v>
      </c>
      <c r="EX289" s="13" t="str">
        <f t="shared" si="656"/>
        <v>Finance Lease Additions Total Finance Lease Additions</v>
      </c>
    </row>
    <row r="290" spans="1:154" x14ac:dyDescent="0.25">
      <c r="C290" s="385"/>
      <c r="D290" s="1"/>
      <c r="E290" s="67"/>
      <c r="G290" s="48"/>
      <c r="H290" s="48"/>
      <c r="S290" s="335"/>
      <c r="T290" s="335"/>
      <c r="U290" s="335"/>
      <c r="Z290" s="335"/>
      <c r="BK290" s="335"/>
      <c r="BM290" s="6"/>
      <c r="BY290" s="42"/>
      <c r="CA290" s="42"/>
      <c r="CL290" s="42"/>
      <c r="CT290" s="42"/>
      <c r="CU290" s="67">
        <v>0</v>
      </c>
      <c r="CV290" s="67">
        <v>0</v>
      </c>
      <c r="EX290" s="10" t="str">
        <f t="shared" si="620"/>
        <v/>
      </c>
    </row>
    <row r="291" spans="1:154" x14ac:dyDescent="0.25">
      <c r="A291" s="362" cm="1">
        <f t="array" aca="1" ref="A291" ca="1">HYPERLINK(CONCATENATE("#",CELL("address",IF(SUM($CA291:$CL291)=0,A291,INDEX($CA291:$CL291,MATCH(1,$CA291:$CL291,0))))),SUM($CA291:$CL291))</f>
        <v>0</v>
      </c>
      <c r="C291" s="385"/>
      <c r="D291" s="93" t="str">
        <f>Parameters!$D$56</f>
        <v>Finance Lease</v>
      </c>
      <c r="S291" s="335"/>
      <c r="T291" s="335"/>
      <c r="U291" s="335"/>
      <c r="V291" s="10">
        <f>(SUMIFS(V13:V27,$F13:$F27,$D291)-V289)*'BS Forecasts'!V$10</f>
        <v>0</v>
      </c>
      <c r="W291" s="10">
        <f>(SUMIFS(W13:W27,$F13:$F27,$D291)-W289)*'BS Forecasts'!W$10</f>
        <v>0</v>
      </c>
      <c r="X291" s="10">
        <f>(SUMIFS(X13:X27,$F13:$F27,$D291)-X289)*'BS Forecasts'!X$10</f>
        <v>0</v>
      </c>
      <c r="Y291" s="10">
        <f>(SUMIFS(Y13:Y27,$F13:$F27,$D291)-Y289)*'BS Forecasts'!Y$10</f>
        <v>0</v>
      </c>
      <c r="Z291" s="335"/>
      <c r="AA291" s="10">
        <f>(SUMIFS(AA13:AA27,$F13:$F27,$D291)-AA289)*'BS Forecasts'!AA$10</f>
        <v>0</v>
      </c>
      <c r="AB291" s="10">
        <f>(SUMIFS(AB13:AB27,$F13:$F27,$D291)-AB289)*'BS Forecasts'!AB$10</f>
        <v>0</v>
      </c>
      <c r="AC291" s="10">
        <f>(SUMIFS(AC13:AC27,$F13:$F27,$D291)-AC289)*'BS Forecasts'!AC$10</f>
        <v>0</v>
      </c>
      <c r="AD291" s="10">
        <f>(SUMIFS(AD13:AD27,$F13:$F27,$D291)-AD289)*'BS Forecasts'!AD$10</f>
        <v>0</v>
      </c>
      <c r="AE291" s="10">
        <f>(SUMIFS(AE13:AE27,$F13:$F27,$D291)-AE289)*'BS Forecasts'!AE$10</f>
        <v>0</v>
      </c>
      <c r="AF291" s="10">
        <f>(SUMIFS(AF13:AF27,$F13:$F27,$D291)-AF289)*'BS Forecasts'!AF$10</f>
        <v>0</v>
      </c>
      <c r="AG291" s="10">
        <f>(SUMIFS(AG13:AG27,$F13:$F27,$D291)-AG289)*'BS Forecasts'!AG$10</f>
        <v>0</v>
      </c>
      <c r="AH291" s="10">
        <f>(SUMIFS(AH13:AH27,$F13:$F27,$D291)-AH289)*'BS Forecasts'!AH$10</f>
        <v>0</v>
      </c>
      <c r="AI291" s="10">
        <f>(SUMIFS(AI13:AI27,$F13:$F27,$D291)-AI289)*'BS Forecasts'!AI$10</f>
        <v>0</v>
      </c>
      <c r="AJ291" s="10">
        <f>(SUMIFS(AJ13:AJ27,$F13:$F27,$D291)-AJ289)*'BS Forecasts'!AJ$10</f>
        <v>0</v>
      </c>
      <c r="AK291" s="10">
        <f>(SUMIFS(AK13:AK27,$F13:$F27,$D291)-AK289)*'BS Forecasts'!AK$10</f>
        <v>0</v>
      </c>
      <c r="AL291" s="10">
        <f>(SUMIFS(AL13:AL27,$F13:$F27,$D291)-AL289)*'BS Forecasts'!AL$10</f>
        <v>0</v>
      </c>
      <c r="AM291" s="10">
        <f>(SUMIFS(AM13:AM27,$F13:$F27,$D291)-AM289)*'BS Forecasts'!AM$10</f>
        <v>0</v>
      </c>
      <c r="AN291" s="10">
        <f>(SUMIFS(AN13:AN27,$F13:$F27,$D291)-AN289)*'BS Forecasts'!AN$10</f>
        <v>0</v>
      </c>
      <c r="AO291" s="10">
        <f>(SUMIFS(AO13:AO27,$F13:$F27,$D291)-AO289)*'BS Forecasts'!AO$10</f>
        <v>0</v>
      </c>
      <c r="AP291" s="10">
        <f>(SUMIFS(AP13:AP27,$F13:$F27,$D291)-AP289)*'BS Forecasts'!AP$10</f>
        <v>0</v>
      </c>
      <c r="AQ291" s="10">
        <f>(SUMIFS(AQ13:AQ27,$F13:$F27,$D291)-AQ289)*'BS Forecasts'!AQ$10</f>
        <v>0</v>
      </c>
      <c r="AR291" s="10">
        <f>(SUMIFS(AR13:AR27,$F13:$F27,$D291)-AR289)*'BS Forecasts'!AR$10</f>
        <v>0</v>
      </c>
      <c r="AS291" s="10">
        <f>(SUMIFS(AS13:AS27,$F13:$F27,$D291)-AS289)*'BS Forecasts'!AS$10</f>
        <v>0</v>
      </c>
      <c r="AT291" s="10">
        <f>(SUMIFS(AT13:AT27,$F13:$F27,$D291)-AT289)*'BS Forecasts'!AT$10</f>
        <v>0</v>
      </c>
      <c r="AU291" s="10">
        <f>(SUMIFS(AU13:AU27,$F13:$F27,$D291)-AU289)*'BS Forecasts'!AU$10</f>
        <v>0</v>
      </c>
      <c r="AV291" s="10">
        <f>(SUMIFS(AV13:AV27,$F13:$F27,$D291)-AV289)*'BS Forecasts'!AV$10</f>
        <v>0</v>
      </c>
      <c r="AW291" s="10">
        <f>(SUMIFS(AW13:AW27,$F13:$F27,$D291)-AW289)*'BS Forecasts'!AW$10</f>
        <v>0</v>
      </c>
      <c r="AX291" s="10">
        <f>(SUMIFS(AX13:AX27,$F13:$F27,$D291)-AX289)*'BS Forecasts'!AX$10</f>
        <v>0</v>
      </c>
      <c r="AY291" s="10">
        <f>(SUMIFS(AY13:AY27,$F13:$F27,$D291)-AY289)*'BS Forecasts'!AY$10</f>
        <v>0</v>
      </c>
      <c r="AZ291" s="10">
        <f>(SUMIFS(AZ13:AZ27,$F13:$F27,$D291)-AZ289)*'BS Forecasts'!AZ$10</f>
        <v>0</v>
      </c>
      <c r="BA291" s="10">
        <f>(SUMIFS(BA13:BA27,$F13:$F27,$D291)-BA289)*'BS Forecasts'!BA$10</f>
        <v>0</v>
      </c>
      <c r="BB291" s="10">
        <f>(SUMIFS(BB13:BB27,$F13:$F27,$D291)-BB289)*'BS Forecasts'!BB$10</f>
        <v>0</v>
      </c>
      <c r="BC291" s="10">
        <f>(SUMIFS(BC13:BC27,$F13:$F27,$D291)-BC289)*'BS Forecasts'!BC$10</f>
        <v>0</v>
      </c>
      <c r="BD291" s="10">
        <f>(SUMIFS(BD13:BD27,$F13:$F27,$D291)-BD289)*'BS Forecasts'!BD$10</f>
        <v>0</v>
      </c>
      <c r="BE291" s="10">
        <f>(SUMIFS(BE13:BE27,$F13:$F27,$D291)-BE289)*'BS Forecasts'!BE$10</f>
        <v>0</v>
      </c>
      <c r="BF291" s="10">
        <f>(SUMIFS(BF13:BF27,$F13:$F27,$D291)-BF289)*'BS Forecasts'!BF$10</f>
        <v>0</v>
      </c>
      <c r="BG291" s="10">
        <f>(SUMIFS(BG13:BG27,$F13:$F27,$D291)-BG289)*'BS Forecasts'!BG$10</f>
        <v>0</v>
      </c>
      <c r="BH291" s="10">
        <f>(SUMIFS(BH13:BH27,$F13:$F27,$D291)-BH289)*'BS Forecasts'!BH$10</f>
        <v>0</v>
      </c>
      <c r="BI291" s="10">
        <f>(SUMIFS(BI13:BI27,$F13:$F27,$D291)-BI289)*'BS Forecasts'!BI$10</f>
        <v>0</v>
      </c>
      <c r="BJ291" s="10">
        <f>(SUMIFS(BJ13:BJ27,$F13:$F27,$D291)-BJ289)*'BS Forecasts'!BJ$10</f>
        <v>0</v>
      </c>
      <c r="BK291" s="335"/>
      <c r="BL291" s="10">
        <f>(SUMIFS(BL13:BL27,$F13:$F27,$D291)-BL289)*'BS Forecasts'!BL$10</f>
        <v>0</v>
      </c>
      <c r="BM291" s="10">
        <f>(SUMIFS(BM13:BM27,$F13:$F27,$D291)-BM289)*'BS Forecasts'!BM$10</f>
        <v>0</v>
      </c>
      <c r="BN291" s="10">
        <f>(SUMIFS(BN13:BN27,$F13:$F27,$D291)-BN289)*'BS Forecasts'!BN$10</f>
        <v>0</v>
      </c>
      <c r="BO291" s="10">
        <f>(SUMIFS(BO13:BO27,$F13:$F27,$D291)-BO289)*'BS Forecasts'!BO$10</f>
        <v>0</v>
      </c>
      <c r="BP291" s="10">
        <f>(SUMIFS(BP13:BP27,$F13:$F27,$D291)-BP289)*'BS Forecasts'!BP$10</f>
        <v>0</v>
      </c>
      <c r="BQ291" s="10">
        <f>(SUMIFS(BQ13:BQ27,$F13:$F27,$D291)-BQ289)*'BS Forecasts'!BQ$10</f>
        <v>0</v>
      </c>
      <c r="BR291" s="10">
        <f>(SUMIFS(BR13:BR27,$F13:$F27,$D291)-BR289)*'BS Forecasts'!BR$10</f>
        <v>0</v>
      </c>
      <c r="BS291" s="10">
        <f>(SUMIFS(BS13:BS27,$F13:$F27,$D291)-BS289)*'BS Forecasts'!BS$10</f>
        <v>0</v>
      </c>
      <c r="BT291" s="10">
        <f>(SUMIFS(BT13:BT27,$F13:$F27,$D291)-BT289)*'BS Forecasts'!BT$10</f>
        <v>0</v>
      </c>
      <c r="BU291" s="10">
        <f>(SUMIFS(BU13:BU27,$F13:$F27,$D291)-BU289)*'BS Forecasts'!BU$10</f>
        <v>0</v>
      </c>
      <c r="BV291" s="10">
        <f>(SUMIFS(BV13:BV27,$F13:$F27,$D291)-BV289)*'BS Forecasts'!BV$10</f>
        <v>0</v>
      </c>
      <c r="BW291" s="10">
        <f>(SUMIFS(BW13:BW27,$F13:$F27,$D291)-BW289)*'BS Forecasts'!BW$10</f>
        <v>0</v>
      </c>
      <c r="BY291" s="12"/>
      <c r="CA291" s="12"/>
      <c r="CL291" s="42"/>
      <c r="CT291" s="42"/>
      <c r="CU291" s="67">
        <v>0</v>
      </c>
      <c r="CV291" s="67">
        <v>0</v>
      </c>
      <c r="EX291" s="10" t="str">
        <f t="shared" si="620"/>
        <v/>
      </c>
    </row>
    <row r="292" spans="1:154" ht="6.6" customHeight="1" x14ac:dyDescent="0.25">
      <c r="B292" s="2"/>
      <c r="C292" s="385"/>
      <c r="D292" s="1"/>
      <c r="E292" s="67"/>
      <c r="T292" s="335"/>
      <c r="U292" s="335"/>
      <c r="Z292" s="335"/>
      <c r="BY292" s="42"/>
      <c r="CA292" s="42"/>
      <c r="CL292" s="42"/>
      <c r="CT292" s="42"/>
      <c r="CU292" s="67">
        <v>0</v>
      </c>
      <c r="CV292" s="67">
        <v>0</v>
      </c>
      <c r="EX292" s="10" t="str">
        <f t="shared" si="620"/>
        <v/>
      </c>
    </row>
    <row r="293" spans="1:154" x14ac:dyDescent="0.25">
      <c r="B293" s="118"/>
      <c r="C293" s="385"/>
      <c r="D293" s="27" t="s">
        <v>2382</v>
      </c>
      <c r="E293" s="67"/>
      <c r="G293" s="48"/>
      <c r="H293" s="48"/>
      <c r="T293" s="335"/>
      <c r="U293" s="335"/>
      <c r="Z293" s="335"/>
      <c r="BY293" s="12"/>
      <c r="CA293" s="12"/>
      <c r="CL293" s="42"/>
      <c r="CT293" s="42"/>
      <c r="CU293" s="67">
        <v>0</v>
      </c>
      <c r="CV293" s="67">
        <v>0</v>
      </c>
      <c r="EX293" s="10" t="str">
        <f t="shared" si="620"/>
        <v/>
      </c>
    </row>
    <row r="294" spans="1:154" x14ac:dyDescent="0.25">
      <c r="A294" s="362" cm="1">
        <f t="array" aca="1" ref="A294" ca="1">HYPERLINK(CONCATENATE("#",CELL("address",IF(SUM($CA294:$CL294)=0,A294,INDEX($CA294:$CL294,MATCH(1,$CA294:$CL294,0))))),SUM($CA294:$CL294))</f>
        <v>0</v>
      </c>
      <c r="B294" s="4"/>
      <c r="C294" s="340" t="s">
        <v>1177</v>
      </c>
      <c r="D294" s="117" t="str">
        <f>Parameters!$D$45</f>
        <v>Land &amp; Buildings</v>
      </c>
      <c r="E294" s="39"/>
      <c r="G294" s="46"/>
      <c r="H294" s="47" t="s">
        <v>86</v>
      </c>
      <c r="T294" s="335"/>
      <c r="U294" s="335"/>
      <c r="V294" s="10">
        <f t="shared" ref="V294:Y298" si="701">V193</f>
        <v>0</v>
      </c>
      <c r="W294" s="10">
        <f t="shared" si="701"/>
        <v>0</v>
      </c>
      <c r="X294" s="10">
        <f t="shared" si="701"/>
        <v>0</v>
      </c>
      <c r="Y294" s="10">
        <f t="shared" si="701"/>
        <v>0</v>
      </c>
      <c r="Z294" s="335"/>
      <c r="AA294" s="10">
        <f t="shared" ref="AA294:BJ294" si="702">AA193</f>
        <v>0</v>
      </c>
      <c r="AB294" s="10">
        <f t="shared" si="702"/>
        <v>0</v>
      </c>
      <c r="AC294" s="10">
        <f t="shared" si="702"/>
        <v>0</v>
      </c>
      <c r="AD294" s="10">
        <f t="shared" si="702"/>
        <v>0</v>
      </c>
      <c r="AE294" s="10">
        <f t="shared" si="702"/>
        <v>0</v>
      </c>
      <c r="AF294" s="10">
        <f t="shared" si="702"/>
        <v>0</v>
      </c>
      <c r="AG294" s="10">
        <f t="shared" si="702"/>
        <v>0</v>
      </c>
      <c r="AH294" s="10">
        <f t="shared" si="702"/>
        <v>0</v>
      </c>
      <c r="AI294" s="10">
        <f t="shared" si="702"/>
        <v>0</v>
      </c>
      <c r="AJ294" s="10">
        <f t="shared" si="702"/>
        <v>0</v>
      </c>
      <c r="AK294" s="10">
        <f t="shared" si="702"/>
        <v>0</v>
      </c>
      <c r="AL294" s="10">
        <f t="shared" si="702"/>
        <v>0</v>
      </c>
      <c r="AM294" s="10">
        <f t="shared" si="702"/>
        <v>0</v>
      </c>
      <c r="AN294" s="10">
        <f t="shared" si="702"/>
        <v>0</v>
      </c>
      <c r="AO294" s="10">
        <f t="shared" si="702"/>
        <v>0</v>
      </c>
      <c r="AP294" s="10">
        <f t="shared" si="702"/>
        <v>0</v>
      </c>
      <c r="AQ294" s="10">
        <f t="shared" si="702"/>
        <v>0</v>
      </c>
      <c r="AR294" s="10">
        <f t="shared" si="702"/>
        <v>0</v>
      </c>
      <c r="AS294" s="10">
        <f t="shared" si="702"/>
        <v>0</v>
      </c>
      <c r="AT294" s="10">
        <f t="shared" si="702"/>
        <v>0</v>
      </c>
      <c r="AU294" s="10">
        <f t="shared" si="702"/>
        <v>0</v>
      </c>
      <c r="AV294" s="10">
        <f t="shared" si="702"/>
        <v>0</v>
      </c>
      <c r="AW294" s="10">
        <f t="shared" si="702"/>
        <v>0</v>
      </c>
      <c r="AX294" s="10">
        <f t="shared" si="702"/>
        <v>0</v>
      </c>
      <c r="AY294" s="10">
        <f t="shared" si="702"/>
        <v>0</v>
      </c>
      <c r="AZ294" s="10">
        <f t="shared" si="702"/>
        <v>0</v>
      </c>
      <c r="BA294" s="10">
        <f t="shared" si="702"/>
        <v>0</v>
      </c>
      <c r="BB294" s="10">
        <f t="shared" si="702"/>
        <v>0</v>
      </c>
      <c r="BC294" s="10">
        <f t="shared" si="702"/>
        <v>0</v>
      </c>
      <c r="BD294" s="10">
        <f t="shared" si="702"/>
        <v>0</v>
      </c>
      <c r="BE294" s="10">
        <f t="shared" si="702"/>
        <v>0</v>
      </c>
      <c r="BF294" s="10">
        <f t="shared" si="702"/>
        <v>0</v>
      </c>
      <c r="BG294" s="10">
        <f t="shared" si="702"/>
        <v>0</v>
      </c>
      <c r="BH294" s="10">
        <f t="shared" si="702"/>
        <v>0</v>
      </c>
      <c r="BI294" s="10">
        <f t="shared" si="702"/>
        <v>0</v>
      </c>
      <c r="BJ294" s="10">
        <f t="shared" si="702"/>
        <v>0</v>
      </c>
      <c r="BL294" s="10">
        <f t="shared" ref="BL294:BW294" si="703">BL193</f>
        <v>0</v>
      </c>
      <c r="BM294" s="10">
        <f t="shared" si="703"/>
        <v>0</v>
      </c>
      <c r="BN294" s="10">
        <f t="shared" si="703"/>
        <v>0</v>
      </c>
      <c r="BO294" s="10">
        <f t="shared" si="703"/>
        <v>0</v>
      </c>
      <c r="BP294" s="10">
        <f t="shared" si="703"/>
        <v>0</v>
      </c>
      <c r="BQ294" s="10">
        <f t="shared" si="703"/>
        <v>0</v>
      </c>
      <c r="BR294" s="10">
        <f t="shared" si="703"/>
        <v>0</v>
      </c>
      <c r="BS294" s="10">
        <f t="shared" si="703"/>
        <v>0</v>
      </c>
      <c r="BT294" s="10">
        <f t="shared" si="703"/>
        <v>0</v>
      </c>
      <c r="BU294" s="10">
        <f t="shared" si="703"/>
        <v>0</v>
      </c>
      <c r="BV294" s="10">
        <f t="shared" si="703"/>
        <v>0</v>
      </c>
      <c r="BW294" s="10">
        <f t="shared" si="703"/>
        <v>0</v>
      </c>
      <c r="BY294" s="12"/>
      <c r="CA294" s="12"/>
      <c r="CB294" s="335"/>
      <c r="CC294" s="335"/>
      <c r="CD294" s="335"/>
      <c r="CF294" s="335"/>
      <c r="CH294" s="335"/>
      <c r="CI294" s="7">
        <f t="shared" ref="CI294:CI299" si="704">IF(SUM($CM294:$CO294)=0, 0, 1)</f>
        <v>0</v>
      </c>
      <c r="CJ294" s="7">
        <f t="shared" ref="CJ294:CJ299" si="705">IF(SUM($CP294:$CR294)=0, 0, 1)</f>
        <v>0</v>
      </c>
      <c r="CK294" s="7">
        <f t="shared" ref="CK294:CK299" si="706">IF($CS294=0, 0, 1)</f>
        <v>0</v>
      </c>
      <c r="CL294" s="42"/>
      <c r="CM294" s="352">
        <f t="shared" ref="CM294:CO299" si="707">ROUND(W294-SUMIFS($AA294:$BJ294, $AA$3:$BJ$3, W$3), rounding)</f>
        <v>0</v>
      </c>
      <c r="CN294" s="352">
        <f t="shared" si="707"/>
        <v>0</v>
      </c>
      <c r="CO294" s="352">
        <f t="shared" si="707"/>
        <v>0</v>
      </c>
      <c r="CP294" s="352">
        <f t="shared" ref="CP294:CP299" si="708">ROUND($BM294-SUMIFS($AA294:$BJ294, $AA$3:$BJ$3, $BM$3), rounding)</f>
        <v>0</v>
      </c>
      <c r="CQ294" s="352">
        <f t="shared" ref="CQ294:CQ299" si="709">ROUND($BN294-SUMIFS($AA294:$BJ294, $AA$3:$BJ$3, $BN$3), rounding)</f>
        <v>0</v>
      </c>
      <c r="CR294" s="352">
        <f t="shared" ref="CR294:CR299" si="710">ROUND($BO294-SUMIFS($AA294:$BJ294, $AA$3:$BJ$3, $BO$3), rounding)</f>
        <v>0</v>
      </c>
      <c r="CS294" s="352">
        <f t="shared" ref="CS294:CS299" si="711">ROUND($V294-$BL294, rounding)</f>
        <v>0</v>
      </c>
      <c r="CT294" s="42"/>
      <c r="CU294" s="67">
        <v>0</v>
      </c>
      <c r="CV294" s="67">
        <v>0</v>
      </c>
      <c r="EX294" s="13" t="str">
        <f>IF($C294="","",CONCATENATE(D$293, " of  ",$D294))</f>
        <v>Gain/Loss on Disposal  of  Land &amp; Buildings</v>
      </c>
    </row>
    <row r="295" spans="1:154" x14ac:dyDescent="0.25">
      <c r="A295" s="362" cm="1">
        <f t="array" aca="1" ref="A295" ca="1">HYPERLINK(CONCATENATE("#",CELL("address",IF(SUM($CA295:$CL295)=0,A295,INDEX($CA295:$CL295,MATCH(1,$CA295:$CL295,0))))),SUM($CA295:$CL295))</f>
        <v>0</v>
      </c>
      <c r="B295" s="4"/>
      <c r="C295" s="340" t="s">
        <v>1178</v>
      </c>
      <c r="D295" s="117" t="str">
        <f>Parameters!$D$46</f>
        <v>Equipment</v>
      </c>
      <c r="E295" s="39"/>
      <c r="G295" s="46"/>
      <c r="H295" s="47" t="s">
        <v>86</v>
      </c>
      <c r="T295" s="335"/>
      <c r="U295" s="335"/>
      <c r="V295" s="10">
        <f t="shared" si="701"/>
        <v>0</v>
      </c>
      <c r="W295" s="10">
        <f t="shared" si="701"/>
        <v>0</v>
      </c>
      <c r="X295" s="10">
        <f t="shared" si="701"/>
        <v>0</v>
      </c>
      <c r="Y295" s="10">
        <f t="shared" si="701"/>
        <v>0</v>
      </c>
      <c r="Z295" s="335"/>
      <c r="AA295" s="10">
        <f t="shared" ref="AA295:BJ295" si="712">AA194</f>
        <v>0</v>
      </c>
      <c r="AB295" s="10">
        <f t="shared" si="712"/>
        <v>0</v>
      </c>
      <c r="AC295" s="10">
        <f t="shared" si="712"/>
        <v>0</v>
      </c>
      <c r="AD295" s="10">
        <f t="shared" si="712"/>
        <v>0</v>
      </c>
      <c r="AE295" s="10">
        <f t="shared" si="712"/>
        <v>0</v>
      </c>
      <c r="AF295" s="10">
        <f t="shared" si="712"/>
        <v>0</v>
      </c>
      <c r="AG295" s="10">
        <f t="shared" si="712"/>
        <v>0</v>
      </c>
      <c r="AH295" s="10">
        <f t="shared" si="712"/>
        <v>0</v>
      </c>
      <c r="AI295" s="10">
        <f t="shared" si="712"/>
        <v>0</v>
      </c>
      <c r="AJ295" s="10">
        <f t="shared" si="712"/>
        <v>0</v>
      </c>
      <c r="AK295" s="10">
        <f t="shared" si="712"/>
        <v>0</v>
      </c>
      <c r="AL295" s="10">
        <f t="shared" si="712"/>
        <v>0</v>
      </c>
      <c r="AM295" s="10">
        <f t="shared" si="712"/>
        <v>0</v>
      </c>
      <c r="AN295" s="10">
        <f t="shared" si="712"/>
        <v>0</v>
      </c>
      <c r="AO295" s="10">
        <f t="shared" si="712"/>
        <v>0</v>
      </c>
      <c r="AP295" s="10">
        <f t="shared" si="712"/>
        <v>0</v>
      </c>
      <c r="AQ295" s="10">
        <f t="shared" si="712"/>
        <v>0</v>
      </c>
      <c r="AR295" s="10">
        <f t="shared" si="712"/>
        <v>0</v>
      </c>
      <c r="AS295" s="10">
        <f t="shared" si="712"/>
        <v>0</v>
      </c>
      <c r="AT295" s="10">
        <f t="shared" si="712"/>
        <v>0</v>
      </c>
      <c r="AU295" s="10">
        <f t="shared" si="712"/>
        <v>0</v>
      </c>
      <c r="AV295" s="10">
        <f t="shared" si="712"/>
        <v>0</v>
      </c>
      <c r="AW295" s="10">
        <f t="shared" si="712"/>
        <v>0</v>
      </c>
      <c r="AX295" s="10">
        <f t="shared" si="712"/>
        <v>0</v>
      </c>
      <c r="AY295" s="10">
        <f t="shared" si="712"/>
        <v>0</v>
      </c>
      <c r="AZ295" s="10">
        <f t="shared" si="712"/>
        <v>0</v>
      </c>
      <c r="BA295" s="10">
        <f t="shared" si="712"/>
        <v>0</v>
      </c>
      <c r="BB295" s="10">
        <f t="shared" si="712"/>
        <v>0</v>
      </c>
      <c r="BC295" s="10">
        <f t="shared" si="712"/>
        <v>0</v>
      </c>
      <c r="BD295" s="10">
        <f t="shared" si="712"/>
        <v>0</v>
      </c>
      <c r="BE295" s="10">
        <f t="shared" si="712"/>
        <v>0</v>
      </c>
      <c r="BF295" s="10">
        <f t="shared" si="712"/>
        <v>0</v>
      </c>
      <c r="BG295" s="10">
        <f t="shared" si="712"/>
        <v>0</v>
      </c>
      <c r="BH295" s="10">
        <f t="shared" si="712"/>
        <v>0</v>
      </c>
      <c r="BI295" s="10">
        <f t="shared" si="712"/>
        <v>0</v>
      </c>
      <c r="BJ295" s="10">
        <f t="shared" si="712"/>
        <v>0</v>
      </c>
      <c r="BL295" s="10">
        <f t="shared" ref="BL295:BW295" si="713">BL194</f>
        <v>0</v>
      </c>
      <c r="BM295" s="10">
        <f t="shared" si="713"/>
        <v>0</v>
      </c>
      <c r="BN295" s="10">
        <f t="shared" si="713"/>
        <v>0</v>
      </c>
      <c r="BO295" s="10">
        <f t="shared" si="713"/>
        <v>0</v>
      </c>
      <c r="BP295" s="10">
        <f t="shared" si="713"/>
        <v>0</v>
      </c>
      <c r="BQ295" s="10">
        <f t="shared" si="713"/>
        <v>0</v>
      </c>
      <c r="BR295" s="10">
        <f t="shared" si="713"/>
        <v>0</v>
      </c>
      <c r="BS295" s="10">
        <f t="shared" si="713"/>
        <v>0</v>
      </c>
      <c r="BT295" s="10">
        <f t="shared" si="713"/>
        <v>0</v>
      </c>
      <c r="BU295" s="10">
        <f t="shared" si="713"/>
        <v>0</v>
      </c>
      <c r="BV295" s="10">
        <f t="shared" si="713"/>
        <v>0</v>
      </c>
      <c r="BW295" s="10">
        <f t="shared" si="713"/>
        <v>0</v>
      </c>
      <c r="BY295" s="12"/>
      <c r="CA295" s="12"/>
      <c r="CB295" s="335"/>
      <c r="CC295" s="335"/>
      <c r="CD295" s="335"/>
      <c r="CF295" s="335"/>
      <c r="CH295" s="335"/>
      <c r="CI295" s="7">
        <f t="shared" si="704"/>
        <v>0</v>
      </c>
      <c r="CJ295" s="7">
        <f t="shared" si="705"/>
        <v>0</v>
      </c>
      <c r="CK295" s="7">
        <f t="shared" si="706"/>
        <v>0</v>
      </c>
      <c r="CL295" s="42"/>
      <c r="CM295" s="352">
        <f t="shared" si="707"/>
        <v>0</v>
      </c>
      <c r="CN295" s="352">
        <f t="shared" si="707"/>
        <v>0</v>
      </c>
      <c r="CO295" s="352">
        <f t="shared" si="707"/>
        <v>0</v>
      </c>
      <c r="CP295" s="352">
        <f t="shared" si="708"/>
        <v>0</v>
      </c>
      <c r="CQ295" s="352">
        <f t="shared" si="709"/>
        <v>0</v>
      </c>
      <c r="CR295" s="352">
        <f t="shared" si="710"/>
        <v>0</v>
      </c>
      <c r="CS295" s="352">
        <f t="shared" si="711"/>
        <v>0</v>
      </c>
      <c r="CT295" s="42"/>
      <c r="CU295" s="67">
        <v>0</v>
      </c>
      <c r="CV295" s="67">
        <v>0</v>
      </c>
      <c r="EX295" s="13" t="str">
        <f t="shared" ref="EX295:EX298" si="714">IF($C295="","",CONCATENATE(D$293, " of  ",$D295))</f>
        <v>Gain/Loss on Disposal  of  Equipment</v>
      </c>
    </row>
    <row r="296" spans="1:154" x14ac:dyDescent="0.25">
      <c r="A296" s="362" cm="1">
        <f t="array" aca="1" ref="A296" ca="1">HYPERLINK(CONCATENATE("#",CELL("address",IF(SUM($CA296:$CL296)=0,A296,INDEX($CA296:$CL296,MATCH(1,$CA296:$CL296,0))))),SUM($CA296:$CL296))</f>
        <v>0</v>
      </c>
      <c r="B296" s="4"/>
      <c r="C296" s="340" t="s">
        <v>1012</v>
      </c>
      <c r="D296" s="117" t="str">
        <f>Parameters!$D$47</f>
        <v>Investments</v>
      </c>
      <c r="E296" s="39"/>
      <c r="G296" s="46"/>
      <c r="H296" s="47" t="s">
        <v>86</v>
      </c>
      <c r="T296" s="335"/>
      <c r="U296" s="335"/>
      <c r="V296" s="10">
        <f t="shared" si="701"/>
        <v>0</v>
      </c>
      <c r="W296" s="10">
        <f t="shared" si="701"/>
        <v>0</v>
      </c>
      <c r="X296" s="10">
        <f t="shared" si="701"/>
        <v>0</v>
      </c>
      <c r="Y296" s="10">
        <f t="shared" si="701"/>
        <v>0</v>
      </c>
      <c r="Z296" s="335"/>
      <c r="AA296" s="10">
        <f t="shared" ref="AA296:BJ296" si="715">AA195</f>
        <v>0</v>
      </c>
      <c r="AB296" s="10">
        <f t="shared" si="715"/>
        <v>0</v>
      </c>
      <c r="AC296" s="10">
        <f t="shared" si="715"/>
        <v>0</v>
      </c>
      <c r="AD296" s="10">
        <f t="shared" si="715"/>
        <v>0</v>
      </c>
      <c r="AE296" s="10">
        <f t="shared" si="715"/>
        <v>0</v>
      </c>
      <c r="AF296" s="10">
        <f t="shared" si="715"/>
        <v>0</v>
      </c>
      <c r="AG296" s="10">
        <f t="shared" si="715"/>
        <v>0</v>
      </c>
      <c r="AH296" s="10">
        <f t="shared" si="715"/>
        <v>0</v>
      </c>
      <c r="AI296" s="10">
        <f t="shared" si="715"/>
        <v>0</v>
      </c>
      <c r="AJ296" s="10">
        <f t="shared" si="715"/>
        <v>0</v>
      </c>
      <c r="AK296" s="10">
        <f t="shared" si="715"/>
        <v>0</v>
      </c>
      <c r="AL296" s="10">
        <f t="shared" si="715"/>
        <v>0</v>
      </c>
      <c r="AM296" s="10">
        <f t="shared" si="715"/>
        <v>0</v>
      </c>
      <c r="AN296" s="10">
        <f t="shared" si="715"/>
        <v>0</v>
      </c>
      <c r="AO296" s="10">
        <f t="shared" si="715"/>
        <v>0</v>
      </c>
      <c r="AP296" s="10">
        <f t="shared" si="715"/>
        <v>0</v>
      </c>
      <c r="AQ296" s="10">
        <f t="shared" si="715"/>
        <v>0</v>
      </c>
      <c r="AR296" s="10">
        <f t="shared" si="715"/>
        <v>0</v>
      </c>
      <c r="AS296" s="10">
        <f t="shared" si="715"/>
        <v>0</v>
      </c>
      <c r="AT296" s="10">
        <f t="shared" si="715"/>
        <v>0</v>
      </c>
      <c r="AU296" s="10">
        <f t="shared" si="715"/>
        <v>0</v>
      </c>
      <c r="AV296" s="10">
        <f t="shared" si="715"/>
        <v>0</v>
      </c>
      <c r="AW296" s="10">
        <f t="shared" si="715"/>
        <v>0</v>
      </c>
      <c r="AX296" s="10">
        <f t="shared" si="715"/>
        <v>0</v>
      </c>
      <c r="AY296" s="10">
        <f t="shared" si="715"/>
        <v>0</v>
      </c>
      <c r="AZ296" s="10">
        <f t="shared" si="715"/>
        <v>0</v>
      </c>
      <c r="BA296" s="10">
        <f t="shared" si="715"/>
        <v>0</v>
      </c>
      <c r="BB296" s="10">
        <f t="shared" si="715"/>
        <v>0</v>
      </c>
      <c r="BC296" s="10">
        <f t="shared" si="715"/>
        <v>0</v>
      </c>
      <c r="BD296" s="10">
        <f t="shared" si="715"/>
        <v>0</v>
      </c>
      <c r="BE296" s="10">
        <f t="shared" si="715"/>
        <v>0</v>
      </c>
      <c r="BF296" s="10">
        <f t="shared" si="715"/>
        <v>0</v>
      </c>
      <c r="BG296" s="10">
        <f t="shared" si="715"/>
        <v>0</v>
      </c>
      <c r="BH296" s="10">
        <f t="shared" si="715"/>
        <v>0</v>
      </c>
      <c r="BI296" s="10">
        <f t="shared" si="715"/>
        <v>0</v>
      </c>
      <c r="BJ296" s="10">
        <f t="shared" si="715"/>
        <v>0</v>
      </c>
      <c r="BL296" s="10">
        <f t="shared" ref="BL296:BW296" si="716">BL195</f>
        <v>0</v>
      </c>
      <c r="BM296" s="10">
        <f t="shared" si="716"/>
        <v>0</v>
      </c>
      <c r="BN296" s="10">
        <f t="shared" si="716"/>
        <v>0</v>
      </c>
      <c r="BO296" s="10">
        <f t="shared" si="716"/>
        <v>0</v>
      </c>
      <c r="BP296" s="10">
        <f t="shared" si="716"/>
        <v>0</v>
      </c>
      <c r="BQ296" s="10">
        <f t="shared" si="716"/>
        <v>0</v>
      </c>
      <c r="BR296" s="10">
        <f t="shared" si="716"/>
        <v>0</v>
      </c>
      <c r="BS296" s="10">
        <f t="shared" si="716"/>
        <v>0</v>
      </c>
      <c r="BT296" s="10">
        <f t="shared" si="716"/>
        <v>0</v>
      </c>
      <c r="BU296" s="10">
        <f t="shared" si="716"/>
        <v>0</v>
      </c>
      <c r="BV296" s="10">
        <f t="shared" si="716"/>
        <v>0</v>
      </c>
      <c r="BW296" s="10">
        <f t="shared" si="716"/>
        <v>0</v>
      </c>
      <c r="BY296" s="12"/>
      <c r="CA296" s="12"/>
      <c r="CB296" s="335"/>
      <c r="CC296" s="335"/>
      <c r="CD296" s="335"/>
      <c r="CF296" s="335"/>
      <c r="CH296" s="335"/>
      <c r="CI296" s="7">
        <f t="shared" si="704"/>
        <v>0</v>
      </c>
      <c r="CJ296" s="7">
        <f t="shared" si="705"/>
        <v>0</v>
      </c>
      <c r="CK296" s="7">
        <f t="shared" si="706"/>
        <v>0</v>
      </c>
      <c r="CL296" s="42"/>
      <c r="CM296" s="352">
        <f t="shared" si="707"/>
        <v>0</v>
      </c>
      <c r="CN296" s="352">
        <f t="shared" si="707"/>
        <v>0</v>
      </c>
      <c r="CO296" s="352">
        <f t="shared" si="707"/>
        <v>0</v>
      </c>
      <c r="CP296" s="352">
        <f t="shared" si="708"/>
        <v>0</v>
      </c>
      <c r="CQ296" s="352">
        <f t="shared" si="709"/>
        <v>0</v>
      </c>
      <c r="CR296" s="352">
        <f t="shared" si="710"/>
        <v>0</v>
      </c>
      <c r="CS296" s="352">
        <f t="shared" si="711"/>
        <v>0</v>
      </c>
      <c r="CT296" s="42"/>
      <c r="CU296" s="67">
        <v>0</v>
      </c>
      <c r="CV296" s="67">
        <v>0</v>
      </c>
      <c r="EX296" s="13" t="str">
        <f t="shared" si="714"/>
        <v>Gain/Loss on Disposal  of  Investments</v>
      </c>
    </row>
    <row r="297" spans="1:154" x14ac:dyDescent="0.25">
      <c r="A297" s="362" cm="1">
        <f t="array" aca="1" ref="A297" ca="1">HYPERLINK(CONCATENATE("#",CELL("address",IF(SUM($CA297:$CL297)=0,A297,INDEX($CA297:$CL297,MATCH(1,$CA297:$CL297,0))))),SUM($CA297:$CL297))</f>
        <v>0</v>
      </c>
      <c r="B297" s="4"/>
      <c r="C297" s="340" t="s">
        <v>1179</v>
      </c>
      <c r="D297" s="117" t="str">
        <f>Parameters!$D$48</f>
        <v>Other NCA</v>
      </c>
      <c r="E297" s="39"/>
      <c r="G297" s="46"/>
      <c r="H297" s="47" t="s">
        <v>86</v>
      </c>
      <c r="T297" s="335"/>
      <c r="U297" s="335"/>
      <c r="V297" s="10">
        <f t="shared" si="701"/>
        <v>0</v>
      </c>
      <c r="W297" s="10">
        <f t="shared" si="701"/>
        <v>0</v>
      </c>
      <c r="X297" s="10">
        <f t="shared" si="701"/>
        <v>0</v>
      </c>
      <c r="Y297" s="10">
        <f t="shared" si="701"/>
        <v>0</v>
      </c>
      <c r="Z297" s="335"/>
      <c r="AA297" s="10">
        <f t="shared" ref="AA297:BJ297" si="717">AA196</f>
        <v>0</v>
      </c>
      <c r="AB297" s="10">
        <f t="shared" si="717"/>
        <v>0</v>
      </c>
      <c r="AC297" s="10">
        <f t="shared" si="717"/>
        <v>0</v>
      </c>
      <c r="AD297" s="10">
        <f t="shared" si="717"/>
        <v>0</v>
      </c>
      <c r="AE297" s="10">
        <f t="shared" si="717"/>
        <v>0</v>
      </c>
      <c r="AF297" s="10">
        <f t="shared" si="717"/>
        <v>0</v>
      </c>
      <c r="AG297" s="10">
        <f t="shared" si="717"/>
        <v>0</v>
      </c>
      <c r="AH297" s="10">
        <f t="shared" si="717"/>
        <v>0</v>
      </c>
      <c r="AI297" s="10">
        <f t="shared" si="717"/>
        <v>0</v>
      </c>
      <c r="AJ297" s="10">
        <f t="shared" si="717"/>
        <v>0</v>
      </c>
      <c r="AK297" s="10">
        <f t="shared" si="717"/>
        <v>0</v>
      </c>
      <c r="AL297" s="10">
        <f t="shared" si="717"/>
        <v>0</v>
      </c>
      <c r="AM297" s="10">
        <f t="shared" si="717"/>
        <v>0</v>
      </c>
      <c r="AN297" s="10">
        <f t="shared" si="717"/>
        <v>0</v>
      </c>
      <c r="AO297" s="10">
        <f t="shared" si="717"/>
        <v>0</v>
      </c>
      <c r="AP297" s="10">
        <f t="shared" si="717"/>
        <v>0</v>
      </c>
      <c r="AQ297" s="10">
        <f t="shared" si="717"/>
        <v>0</v>
      </c>
      <c r="AR297" s="10">
        <f t="shared" si="717"/>
        <v>0</v>
      </c>
      <c r="AS297" s="10">
        <f t="shared" si="717"/>
        <v>0</v>
      </c>
      <c r="AT297" s="10">
        <f t="shared" si="717"/>
        <v>0</v>
      </c>
      <c r="AU297" s="10">
        <f t="shared" si="717"/>
        <v>0</v>
      </c>
      <c r="AV297" s="10">
        <f t="shared" si="717"/>
        <v>0</v>
      </c>
      <c r="AW297" s="10">
        <f t="shared" si="717"/>
        <v>0</v>
      </c>
      <c r="AX297" s="10">
        <f t="shared" si="717"/>
        <v>0</v>
      </c>
      <c r="AY297" s="10">
        <f t="shared" si="717"/>
        <v>0</v>
      </c>
      <c r="AZ297" s="10">
        <f t="shared" si="717"/>
        <v>0</v>
      </c>
      <c r="BA297" s="10">
        <f t="shared" si="717"/>
        <v>0</v>
      </c>
      <c r="BB297" s="10">
        <f t="shared" si="717"/>
        <v>0</v>
      </c>
      <c r="BC297" s="10">
        <f t="shared" si="717"/>
        <v>0</v>
      </c>
      <c r="BD297" s="10">
        <f t="shared" si="717"/>
        <v>0</v>
      </c>
      <c r="BE297" s="10">
        <f t="shared" si="717"/>
        <v>0</v>
      </c>
      <c r="BF297" s="10">
        <f t="shared" si="717"/>
        <v>0</v>
      </c>
      <c r="BG297" s="10">
        <f t="shared" si="717"/>
        <v>0</v>
      </c>
      <c r="BH297" s="10">
        <f t="shared" si="717"/>
        <v>0</v>
      </c>
      <c r="BI297" s="10">
        <f t="shared" si="717"/>
        <v>0</v>
      </c>
      <c r="BJ297" s="10">
        <f t="shared" si="717"/>
        <v>0</v>
      </c>
      <c r="BL297" s="10">
        <f t="shared" ref="BL297:BW297" si="718">BL196</f>
        <v>0</v>
      </c>
      <c r="BM297" s="10">
        <f t="shared" si="718"/>
        <v>0</v>
      </c>
      <c r="BN297" s="10">
        <f t="shared" si="718"/>
        <v>0</v>
      </c>
      <c r="BO297" s="10">
        <f t="shared" si="718"/>
        <v>0</v>
      </c>
      <c r="BP297" s="10">
        <f t="shared" si="718"/>
        <v>0</v>
      </c>
      <c r="BQ297" s="10">
        <f t="shared" si="718"/>
        <v>0</v>
      </c>
      <c r="BR297" s="10">
        <f t="shared" si="718"/>
        <v>0</v>
      </c>
      <c r="BS297" s="10">
        <f t="shared" si="718"/>
        <v>0</v>
      </c>
      <c r="BT297" s="10">
        <f t="shared" si="718"/>
        <v>0</v>
      </c>
      <c r="BU297" s="10">
        <f t="shared" si="718"/>
        <v>0</v>
      </c>
      <c r="BV297" s="10">
        <f t="shared" si="718"/>
        <v>0</v>
      </c>
      <c r="BW297" s="10">
        <f t="shared" si="718"/>
        <v>0</v>
      </c>
      <c r="BY297" s="12"/>
      <c r="CA297" s="12"/>
      <c r="CB297" s="335"/>
      <c r="CC297" s="335"/>
      <c r="CD297" s="335"/>
      <c r="CF297" s="335"/>
      <c r="CH297" s="335"/>
      <c r="CI297" s="7">
        <f t="shared" si="704"/>
        <v>0</v>
      </c>
      <c r="CJ297" s="7">
        <f t="shared" si="705"/>
        <v>0</v>
      </c>
      <c r="CK297" s="7">
        <f t="shared" si="706"/>
        <v>0</v>
      </c>
      <c r="CL297" s="42"/>
      <c r="CM297" s="352">
        <f t="shared" si="707"/>
        <v>0</v>
      </c>
      <c r="CN297" s="352">
        <f t="shared" si="707"/>
        <v>0</v>
      </c>
      <c r="CO297" s="352">
        <f t="shared" si="707"/>
        <v>0</v>
      </c>
      <c r="CP297" s="352">
        <f t="shared" si="708"/>
        <v>0</v>
      </c>
      <c r="CQ297" s="352">
        <f t="shared" si="709"/>
        <v>0</v>
      </c>
      <c r="CR297" s="352">
        <f t="shared" si="710"/>
        <v>0</v>
      </c>
      <c r="CS297" s="352">
        <f t="shared" si="711"/>
        <v>0</v>
      </c>
      <c r="CT297" s="42"/>
      <c r="CU297" s="67">
        <v>0</v>
      </c>
      <c r="CV297" s="67">
        <v>0</v>
      </c>
      <c r="EX297" s="13" t="str">
        <f t="shared" si="714"/>
        <v>Gain/Loss on Disposal  of  Other NCA</v>
      </c>
    </row>
    <row r="298" spans="1:154" s="319" customFormat="1" x14ac:dyDescent="0.25">
      <c r="A298" s="362" cm="1">
        <f t="array" aca="1" ref="A298" ca="1">HYPERLINK(CONCATENATE("#",CELL("address",IF(SUM($CA298:$CL298)=0,A298,INDEX($CA298:$CL298,MATCH(1,$CA298:$CL298,0))))),SUM($CA298:$CL298))</f>
        <v>0</v>
      </c>
      <c r="B298" s="4"/>
      <c r="C298" s="340" t="s">
        <v>1180</v>
      </c>
      <c r="D298" s="117" t="str">
        <f>Parameters!$D$49</f>
        <v xml:space="preserve">Assets Held for Sale </v>
      </c>
      <c r="E298" s="39"/>
      <c r="G298" s="46"/>
      <c r="H298" s="47" t="s">
        <v>86</v>
      </c>
      <c r="T298" s="335"/>
      <c r="U298" s="335"/>
      <c r="V298" s="10">
        <f t="shared" si="701"/>
        <v>0</v>
      </c>
      <c r="W298" s="10">
        <f t="shared" si="701"/>
        <v>0</v>
      </c>
      <c r="X298" s="10">
        <f t="shared" si="701"/>
        <v>0</v>
      </c>
      <c r="Y298" s="10">
        <f t="shared" si="701"/>
        <v>0</v>
      </c>
      <c r="Z298" s="335"/>
      <c r="AA298" s="10">
        <f t="shared" ref="AA298:BJ298" si="719">AA197</f>
        <v>0</v>
      </c>
      <c r="AB298" s="10">
        <f t="shared" si="719"/>
        <v>0</v>
      </c>
      <c r="AC298" s="10">
        <f t="shared" si="719"/>
        <v>0</v>
      </c>
      <c r="AD298" s="10">
        <f t="shared" si="719"/>
        <v>0</v>
      </c>
      <c r="AE298" s="10">
        <f t="shared" si="719"/>
        <v>0</v>
      </c>
      <c r="AF298" s="10">
        <f t="shared" si="719"/>
        <v>0</v>
      </c>
      <c r="AG298" s="10">
        <f t="shared" si="719"/>
        <v>0</v>
      </c>
      <c r="AH298" s="10">
        <f t="shared" si="719"/>
        <v>0</v>
      </c>
      <c r="AI298" s="10">
        <f t="shared" si="719"/>
        <v>0</v>
      </c>
      <c r="AJ298" s="10">
        <f t="shared" si="719"/>
        <v>0</v>
      </c>
      <c r="AK298" s="10">
        <f t="shared" si="719"/>
        <v>0</v>
      </c>
      <c r="AL298" s="10">
        <f t="shared" si="719"/>
        <v>0</v>
      </c>
      <c r="AM298" s="10">
        <f t="shared" si="719"/>
        <v>0</v>
      </c>
      <c r="AN298" s="10">
        <f t="shared" si="719"/>
        <v>0</v>
      </c>
      <c r="AO298" s="10">
        <f t="shared" si="719"/>
        <v>0</v>
      </c>
      <c r="AP298" s="10">
        <f t="shared" si="719"/>
        <v>0</v>
      </c>
      <c r="AQ298" s="10">
        <f t="shared" si="719"/>
        <v>0</v>
      </c>
      <c r="AR298" s="10">
        <f t="shared" si="719"/>
        <v>0</v>
      </c>
      <c r="AS298" s="10">
        <f t="shared" si="719"/>
        <v>0</v>
      </c>
      <c r="AT298" s="10">
        <f t="shared" si="719"/>
        <v>0</v>
      </c>
      <c r="AU298" s="10">
        <f t="shared" si="719"/>
        <v>0</v>
      </c>
      <c r="AV298" s="10">
        <f t="shared" si="719"/>
        <v>0</v>
      </c>
      <c r="AW298" s="10">
        <f t="shared" si="719"/>
        <v>0</v>
      </c>
      <c r="AX298" s="10">
        <f t="shared" si="719"/>
        <v>0</v>
      </c>
      <c r="AY298" s="10">
        <f t="shared" si="719"/>
        <v>0</v>
      </c>
      <c r="AZ298" s="10">
        <f t="shared" si="719"/>
        <v>0</v>
      </c>
      <c r="BA298" s="10">
        <f t="shared" si="719"/>
        <v>0</v>
      </c>
      <c r="BB298" s="10">
        <f t="shared" si="719"/>
        <v>0</v>
      </c>
      <c r="BC298" s="10">
        <f t="shared" si="719"/>
        <v>0</v>
      </c>
      <c r="BD298" s="10">
        <f t="shared" si="719"/>
        <v>0</v>
      </c>
      <c r="BE298" s="10">
        <f t="shared" si="719"/>
        <v>0</v>
      </c>
      <c r="BF298" s="10">
        <f t="shared" si="719"/>
        <v>0</v>
      </c>
      <c r="BG298" s="10">
        <f t="shared" si="719"/>
        <v>0</v>
      </c>
      <c r="BH298" s="10">
        <f t="shared" si="719"/>
        <v>0</v>
      </c>
      <c r="BI298" s="10">
        <f t="shared" si="719"/>
        <v>0</v>
      </c>
      <c r="BJ298" s="10">
        <f t="shared" si="719"/>
        <v>0</v>
      </c>
      <c r="BL298" s="10">
        <f t="shared" ref="BL298:BW298" si="720">BL197</f>
        <v>0</v>
      </c>
      <c r="BM298" s="10">
        <f t="shared" si="720"/>
        <v>0</v>
      </c>
      <c r="BN298" s="10">
        <f t="shared" si="720"/>
        <v>0</v>
      </c>
      <c r="BO298" s="10">
        <f t="shared" si="720"/>
        <v>0</v>
      </c>
      <c r="BP298" s="10">
        <f t="shared" si="720"/>
        <v>0</v>
      </c>
      <c r="BQ298" s="10">
        <f t="shared" si="720"/>
        <v>0</v>
      </c>
      <c r="BR298" s="10">
        <f t="shared" si="720"/>
        <v>0</v>
      </c>
      <c r="BS298" s="10">
        <f t="shared" si="720"/>
        <v>0</v>
      </c>
      <c r="BT298" s="10">
        <f t="shared" si="720"/>
        <v>0</v>
      </c>
      <c r="BU298" s="10">
        <f t="shared" si="720"/>
        <v>0</v>
      </c>
      <c r="BV298" s="10">
        <f t="shared" si="720"/>
        <v>0</v>
      </c>
      <c r="BW298" s="10">
        <f t="shared" si="720"/>
        <v>0</v>
      </c>
      <c r="BY298" s="12"/>
      <c r="BZ298" s="335"/>
      <c r="CA298" s="12"/>
      <c r="CB298" s="335"/>
      <c r="CC298" s="335"/>
      <c r="CD298" s="335"/>
      <c r="CE298" s="335"/>
      <c r="CF298" s="335"/>
      <c r="CG298" s="335"/>
      <c r="CH298" s="335"/>
      <c r="CI298" s="7">
        <f t="shared" si="704"/>
        <v>0</v>
      </c>
      <c r="CJ298" s="7">
        <f t="shared" si="705"/>
        <v>0</v>
      </c>
      <c r="CK298" s="7">
        <f t="shared" si="706"/>
        <v>0</v>
      </c>
      <c r="CL298" s="42"/>
      <c r="CM298" s="352">
        <f t="shared" si="707"/>
        <v>0</v>
      </c>
      <c r="CN298" s="352">
        <f t="shared" si="707"/>
        <v>0</v>
      </c>
      <c r="CO298" s="352">
        <f t="shared" si="707"/>
        <v>0</v>
      </c>
      <c r="CP298" s="352">
        <f t="shared" si="708"/>
        <v>0</v>
      </c>
      <c r="CQ298" s="352">
        <f t="shared" si="709"/>
        <v>0</v>
      </c>
      <c r="CR298" s="352">
        <f t="shared" si="710"/>
        <v>0</v>
      </c>
      <c r="CS298" s="352">
        <f t="shared" si="711"/>
        <v>0</v>
      </c>
      <c r="CT298" s="42"/>
      <c r="CU298" s="319">
        <v>0</v>
      </c>
      <c r="CV298" s="319">
        <v>0</v>
      </c>
      <c r="EX298" s="13" t="str">
        <f t="shared" si="714"/>
        <v xml:space="preserve">Gain/Loss on Disposal  of  Assets Held for Sale </v>
      </c>
    </row>
    <row r="299" spans="1:154" x14ac:dyDescent="0.25">
      <c r="A299" s="362" cm="1">
        <f t="array" aca="1" ref="A299" ca="1">HYPERLINK(CONCATENATE("#",CELL("address",IF(SUM($CA299:$CL299)=0,A299,INDEX($CA299:$CL299,MATCH(1,$CA299:$CL299,0))))),SUM($CA299:$CL299))</f>
        <v>0</v>
      </c>
      <c r="B299" s="4"/>
      <c r="C299" s="340" t="s">
        <v>514</v>
      </c>
      <c r="D299" s="27" t="s">
        <v>393</v>
      </c>
      <c r="E299" s="39"/>
      <c r="G299" s="46"/>
      <c r="H299" s="47" t="s">
        <v>86</v>
      </c>
      <c r="S299" s="319"/>
      <c r="T299" s="335"/>
      <c r="U299" s="335"/>
      <c r="V299" s="13">
        <f>SUM(V294:V298)</f>
        <v>0</v>
      </c>
      <c r="W299" s="13">
        <f>SUM(W294:W298)</f>
        <v>0</v>
      </c>
      <c r="X299" s="13">
        <f t="shared" ref="X299:Y299" si="721">SUM(X294:X298)</f>
        <v>0</v>
      </c>
      <c r="Y299" s="13">
        <f t="shared" si="721"/>
        <v>0</v>
      </c>
      <c r="Z299" s="335"/>
      <c r="AA299" s="13">
        <f t="shared" ref="AA299" si="722">SUM(AA294:AA298)</f>
        <v>0</v>
      </c>
      <c r="AB299" s="13">
        <f t="shared" ref="AB299" si="723">SUM(AB294:AB298)</f>
        <v>0</v>
      </c>
      <c r="AC299" s="13">
        <f t="shared" ref="AC299" si="724">SUM(AC294:AC298)</f>
        <v>0</v>
      </c>
      <c r="AD299" s="13">
        <f t="shared" ref="AD299:AE299" si="725">SUM(AD294:AD298)</f>
        <v>0</v>
      </c>
      <c r="AE299" s="13">
        <f t="shared" si="725"/>
        <v>0</v>
      </c>
      <c r="AF299" s="13">
        <f t="shared" ref="AF299" si="726">SUM(AF294:AF298)</f>
        <v>0</v>
      </c>
      <c r="AG299" s="13">
        <f t="shared" ref="AG299" si="727">SUM(AG294:AG298)</f>
        <v>0</v>
      </c>
      <c r="AH299" s="13">
        <f t="shared" ref="AH299:AI299" si="728">SUM(AH294:AH298)</f>
        <v>0</v>
      </c>
      <c r="AI299" s="13">
        <f t="shared" si="728"/>
        <v>0</v>
      </c>
      <c r="AJ299" s="13">
        <f t="shared" ref="AJ299" si="729">SUM(AJ294:AJ298)</f>
        <v>0</v>
      </c>
      <c r="AK299" s="13">
        <f t="shared" ref="AK299" si="730">SUM(AK294:AK298)</f>
        <v>0</v>
      </c>
      <c r="AL299" s="13">
        <f t="shared" ref="AL299:AM299" si="731">SUM(AL294:AL298)</f>
        <v>0</v>
      </c>
      <c r="AM299" s="13">
        <f t="shared" si="731"/>
        <v>0</v>
      </c>
      <c r="AN299" s="13">
        <f t="shared" ref="AN299" si="732">SUM(AN294:AN298)</f>
        <v>0</v>
      </c>
      <c r="AO299" s="13">
        <f t="shared" ref="AO299" si="733">SUM(AO294:AO298)</f>
        <v>0</v>
      </c>
      <c r="AP299" s="13">
        <f t="shared" ref="AP299:AQ299" si="734">SUM(AP294:AP298)</f>
        <v>0</v>
      </c>
      <c r="AQ299" s="13">
        <f t="shared" si="734"/>
        <v>0</v>
      </c>
      <c r="AR299" s="13">
        <f t="shared" ref="AR299" si="735">SUM(AR294:AR298)</f>
        <v>0</v>
      </c>
      <c r="AS299" s="13">
        <f t="shared" ref="AS299" si="736">SUM(AS294:AS298)</f>
        <v>0</v>
      </c>
      <c r="AT299" s="13">
        <f t="shared" ref="AT299:AU299" si="737">SUM(AT294:AT298)</f>
        <v>0</v>
      </c>
      <c r="AU299" s="13">
        <f t="shared" si="737"/>
        <v>0</v>
      </c>
      <c r="AV299" s="13">
        <f t="shared" ref="AV299" si="738">SUM(AV294:AV298)</f>
        <v>0</v>
      </c>
      <c r="AW299" s="13">
        <f t="shared" ref="AW299" si="739">SUM(AW294:AW298)</f>
        <v>0</v>
      </c>
      <c r="AX299" s="13">
        <f t="shared" ref="AX299:AY299" si="740">SUM(AX294:AX298)</f>
        <v>0</v>
      </c>
      <c r="AY299" s="13">
        <f t="shared" si="740"/>
        <v>0</v>
      </c>
      <c r="AZ299" s="13">
        <f t="shared" ref="AZ299" si="741">SUM(AZ294:AZ298)</f>
        <v>0</v>
      </c>
      <c r="BA299" s="13">
        <f t="shared" ref="BA299" si="742">SUM(BA294:BA298)</f>
        <v>0</v>
      </c>
      <c r="BB299" s="13">
        <f t="shared" ref="BB299:BC299" si="743">SUM(BB294:BB298)</f>
        <v>0</v>
      </c>
      <c r="BC299" s="13">
        <f t="shared" si="743"/>
        <v>0</v>
      </c>
      <c r="BD299" s="13">
        <f t="shared" ref="BD299" si="744">SUM(BD294:BD298)</f>
        <v>0</v>
      </c>
      <c r="BE299" s="13">
        <f t="shared" ref="BE299" si="745">SUM(BE294:BE298)</f>
        <v>0</v>
      </c>
      <c r="BF299" s="13">
        <f t="shared" ref="BF299:BG299" si="746">SUM(BF294:BF298)</f>
        <v>0</v>
      </c>
      <c r="BG299" s="13">
        <f t="shared" si="746"/>
        <v>0</v>
      </c>
      <c r="BH299" s="13">
        <f t="shared" ref="BH299" si="747">SUM(BH294:BH298)</f>
        <v>0</v>
      </c>
      <c r="BI299" s="13">
        <f t="shared" ref="BI299" si="748">SUM(BI294:BI298)</f>
        <v>0</v>
      </c>
      <c r="BJ299" s="13">
        <f t="shared" ref="BJ299" si="749">SUM(BJ294:BJ298)</f>
        <v>0</v>
      </c>
      <c r="BK299" s="319"/>
      <c r="BL299" s="13">
        <f t="shared" ref="BL299" si="750">SUM(BL294:BL298)</f>
        <v>0</v>
      </c>
      <c r="BM299" s="13">
        <f t="shared" ref="BM299" si="751">SUM(BM294:BM298)</f>
        <v>0</v>
      </c>
      <c r="BN299" s="13">
        <f t="shared" ref="BN299:BO299" si="752">SUM(BN294:BN298)</f>
        <v>0</v>
      </c>
      <c r="BO299" s="13">
        <f t="shared" si="752"/>
        <v>0</v>
      </c>
      <c r="BP299" s="13">
        <f t="shared" ref="BP299" si="753">SUM(BP294:BP298)</f>
        <v>0</v>
      </c>
      <c r="BQ299" s="13">
        <f t="shared" ref="BQ299" si="754">SUM(BQ294:BQ298)</f>
        <v>0</v>
      </c>
      <c r="BR299" s="13">
        <f t="shared" ref="BR299:BS299" si="755">SUM(BR294:BR298)</f>
        <v>0</v>
      </c>
      <c r="BS299" s="13">
        <f t="shared" si="755"/>
        <v>0</v>
      </c>
      <c r="BT299" s="13">
        <f t="shared" ref="BT299" si="756">SUM(BT294:BT298)</f>
        <v>0</v>
      </c>
      <c r="BU299" s="13">
        <f t="shared" ref="BU299" si="757">SUM(BU294:BU298)</f>
        <v>0</v>
      </c>
      <c r="BV299" s="13">
        <f t="shared" ref="BV299:BW299" si="758">SUM(BV294:BV298)</f>
        <v>0</v>
      </c>
      <c r="BW299" s="13">
        <f t="shared" si="758"/>
        <v>0</v>
      </c>
      <c r="BY299" s="12"/>
      <c r="CA299" s="12"/>
      <c r="CB299" s="335"/>
      <c r="CC299" s="335"/>
      <c r="CD299" s="335"/>
      <c r="CF299" s="335"/>
      <c r="CH299" s="335"/>
      <c r="CI299" s="7">
        <f t="shared" si="704"/>
        <v>0</v>
      </c>
      <c r="CJ299" s="7">
        <f t="shared" si="705"/>
        <v>0</v>
      </c>
      <c r="CK299" s="7">
        <f t="shared" si="706"/>
        <v>0</v>
      </c>
      <c r="CL299" s="42"/>
      <c r="CM299" s="352">
        <f t="shared" si="707"/>
        <v>0</v>
      </c>
      <c r="CN299" s="352">
        <f t="shared" si="707"/>
        <v>0</v>
      </c>
      <c r="CO299" s="352">
        <f t="shared" si="707"/>
        <v>0</v>
      </c>
      <c r="CP299" s="352">
        <f t="shared" si="708"/>
        <v>0</v>
      </c>
      <c r="CQ299" s="352">
        <f t="shared" si="709"/>
        <v>0</v>
      </c>
      <c r="CR299" s="352">
        <f t="shared" si="710"/>
        <v>0</v>
      </c>
      <c r="CS299" s="352">
        <f t="shared" si="711"/>
        <v>0</v>
      </c>
      <c r="CT299" s="42"/>
      <c r="CU299" s="67">
        <v>0</v>
      </c>
      <c r="CV299" s="67">
        <v>0</v>
      </c>
      <c r="EX299" s="13" t="str">
        <f t="shared" ref="EX299" si="759">IF($C299="","",CONCATENATE(D$293, " ",$D299))</f>
        <v>Gain/Loss on Disposal  Total Gain/Loss on Disposal</v>
      </c>
    </row>
    <row r="300" spans="1:154" s="335" customFormat="1" ht="8.1" customHeight="1" x14ac:dyDescent="0.25">
      <c r="C300" s="385"/>
      <c r="D300" s="1"/>
      <c r="BY300" s="12"/>
      <c r="CA300" s="12"/>
      <c r="CL300" s="42"/>
      <c r="CT300" s="42"/>
      <c r="CU300" s="335">
        <v>0</v>
      </c>
      <c r="CV300" s="335">
        <v>0</v>
      </c>
      <c r="EX300" s="10" t="str">
        <f t="shared" si="620"/>
        <v/>
      </c>
    </row>
    <row r="301" spans="1:154" s="335" customFormat="1" x14ac:dyDescent="0.25">
      <c r="A301" s="40"/>
      <c r="B301" s="40"/>
      <c r="C301" s="379"/>
      <c r="D301" s="148" t="s">
        <v>987</v>
      </c>
      <c r="E301" s="148"/>
      <c r="F301" s="40"/>
      <c r="G301" s="40"/>
      <c r="H301" s="40"/>
      <c r="I301" s="40"/>
      <c r="J301" s="40"/>
      <c r="K301" s="40"/>
      <c r="L301" s="40"/>
      <c r="M301" s="40"/>
      <c r="N301" s="40"/>
      <c r="O301" s="40"/>
      <c r="P301" s="40"/>
      <c r="Q301" s="40"/>
      <c r="R301" s="40"/>
      <c r="S301" s="40"/>
      <c r="T301" s="148"/>
      <c r="U301" s="148"/>
      <c r="V301" s="148"/>
      <c r="W301" s="148"/>
      <c r="X301" s="148"/>
      <c r="Y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40"/>
      <c r="BL301" s="148"/>
      <c r="BM301" s="148"/>
      <c r="BN301" s="148"/>
      <c r="BO301" s="148"/>
      <c r="BP301" s="148"/>
      <c r="BQ301" s="148"/>
      <c r="BR301" s="148"/>
      <c r="BS301" s="148"/>
      <c r="BT301" s="148"/>
      <c r="BU301" s="148"/>
      <c r="BV301" s="148"/>
      <c r="BW301" s="148"/>
      <c r="BX301" s="40"/>
      <c r="BY301" s="42"/>
      <c r="CA301" s="42"/>
      <c r="CL301" s="42"/>
      <c r="CT301" s="42"/>
      <c r="CU301" s="335">
        <v>0</v>
      </c>
      <c r="CV301" s="335">
        <v>0</v>
      </c>
      <c r="EX301" s="10" t="str">
        <f t="shared" si="620"/>
        <v/>
      </c>
    </row>
    <row r="302" spans="1:154" s="335" customFormat="1" ht="6.6" customHeight="1" x14ac:dyDescent="0.25">
      <c r="C302" s="413"/>
      <c r="D302" s="1"/>
      <c r="T302" s="25"/>
      <c r="U302" s="25"/>
      <c r="V302" s="25"/>
      <c r="W302" s="25"/>
      <c r="X302" s="25"/>
      <c r="Y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L302" s="25"/>
      <c r="BM302" s="155"/>
      <c r="BN302" s="25"/>
      <c r="BO302" s="25"/>
      <c r="BP302" s="25"/>
      <c r="BQ302" s="25"/>
      <c r="BR302" s="25"/>
      <c r="BS302" s="25"/>
      <c r="BT302" s="25"/>
      <c r="BU302" s="25"/>
      <c r="BV302" s="25"/>
      <c r="BW302" s="25"/>
      <c r="BY302" s="42"/>
      <c r="CA302" s="42"/>
      <c r="CL302" s="42"/>
      <c r="CT302" s="42"/>
      <c r="CU302" s="335">
        <v>0</v>
      </c>
      <c r="CV302" s="335">
        <v>0</v>
      </c>
      <c r="EX302" s="10" t="str">
        <f t="shared" si="620"/>
        <v/>
      </c>
    </row>
    <row r="303" spans="1:154" s="335" customFormat="1" ht="30" x14ac:dyDescent="0.25">
      <c r="C303" s="340" t="s">
        <v>1226</v>
      </c>
      <c r="D303" s="27" t="s">
        <v>982</v>
      </c>
      <c r="BY303" s="12"/>
      <c r="CA303" s="12"/>
      <c r="CL303" s="42"/>
      <c r="CT303" s="42"/>
      <c r="CU303" s="335">
        <v>0</v>
      </c>
      <c r="CV303" s="335">
        <v>0</v>
      </c>
      <c r="EX303" s="10" t="str">
        <f t="shared" si="620"/>
        <v>NCA Reclassification 1 - Movements between NCA Accounts</v>
      </c>
    </row>
    <row r="304" spans="1:154" s="335" customFormat="1" x14ac:dyDescent="0.25">
      <c r="C304" s="385"/>
      <c r="D304" s="1" t="s">
        <v>984</v>
      </c>
      <c r="BY304" s="12"/>
      <c r="CA304" s="12"/>
      <c r="CL304" s="42"/>
      <c r="CT304" s="42"/>
      <c r="CU304" s="335">
        <v>0</v>
      </c>
      <c r="CV304" s="335">
        <v>0</v>
      </c>
      <c r="EX304" s="10" t="str">
        <f t="shared" si="620"/>
        <v/>
      </c>
    </row>
    <row r="305" spans="1:154" s="335" customFormat="1" x14ac:dyDescent="0.25">
      <c r="A305" s="362" cm="1">
        <f t="array" aca="1" ref="A305" ca="1">HYPERLINK(CONCATENATE("#",CELL("address",IF(SUM($CA305:$CL305)=0,A305,INDEX($CA305:$CL305,MATCH(1,$CA305:$CL305,0))))),SUM($CA305:$CL305))</f>
        <v>0</v>
      </c>
      <c r="C305" s="340" t="s">
        <v>1227</v>
      </c>
      <c r="D305" s="146"/>
      <c r="H305" s="9" t="s">
        <v>86</v>
      </c>
      <c r="V305" s="156"/>
      <c r="W305" s="215">
        <f xml:space="preserve"> SUMIFS($AA305:$BJ305, $AA$3:$BJ$3, W$3)</f>
        <v>0</v>
      </c>
      <c r="X305" s="215">
        <f xml:space="preserve"> SUMIFS($AA305:$BJ305, $AA$3:$BJ$3, X$3)</f>
        <v>0</v>
      </c>
      <c r="Y305" s="215">
        <f xml:space="preserve"> SUMIFS($AA305:$BJ305, $AA$3:$BJ$3, Y$3)</f>
        <v>0</v>
      </c>
      <c r="AA305" s="147"/>
      <c r="AB305" s="147"/>
      <c r="AC305" s="147"/>
      <c r="AD305" s="147"/>
      <c r="AE305" s="147"/>
      <c r="AF305" s="147"/>
      <c r="AG305" s="147"/>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c r="BI305" s="147"/>
      <c r="BJ305" s="147"/>
      <c r="BL305" s="10">
        <f>V305</f>
        <v>0</v>
      </c>
      <c r="BM305" s="10">
        <f>W305</f>
        <v>0</v>
      </c>
      <c r="BN305" s="10">
        <f>X305</f>
        <v>0</v>
      </c>
      <c r="BO305" s="10">
        <f>Y305</f>
        <v>0</v>
      </c>
      <c r="BP305" s="141"/>
      <c r="BQ305" s="141"/>
      <c r="BR305" s="141"/>
      <c r="BS305" s="141"/>
      <c r="BT305" s="141"/>
      <c r="BU305" s="141"/>
      <c r="BV305" s="141"/>
      <c r="BW305" s="141"/>
      <c r="BY305" s="12"/>
      <c r="BZ305" s="363">
        <f>IF(MAX($V305:$BW305)&lt;0, 1, 0)</f>
        <v>0</v>
      </c>
      <c r="CA305" s="12"/>
      <c r="CI305" s="7">
        <f t="shared" ref="CI305:CI307" si="760">IF(SUM($CM305:$CO305)=0, 0, 1)</f>
        <v>0</v>
      </c>
      <c r="CJ305" s="7">
        <f t="shared" ref="CJ305:CJ307" si="761">IF(SUM($CP305:$CR305)=0, 0, 1)</f>
        <v>0</v>
      </c>
      <c r="CK305" s="7">
        <f t="shared" ref="CK305:CK307" si="762">IF($CS305=0, 0, 1)</f>
        <v>0</v>
      </c>
      <c r="CL305" s="42"/>
      <c r="CM305" s="352">
        <f>ROUND(W305-SUMIFS($AA305:$BJ305, $AA$3:$BJ$3, W$3), rounding)</f>
        <v>0</v>
      </c>
      <c r="CN305" s="352">
        <f>ROUND(X305-SUMIFS($AA305:$BJ305, $AA$3:$BJ$3, X$3), rounding)</f>
        <v>0</v>
      </c>
      <c r="CO305" s="352">
        <f>ROUND(Y305-SUMIFS($AA305:$BJ305, $AA$3:$BJ$3, Y$3), rounding)</f>
        <v>0</v>
      </c>
      <c r="CP305" s="352">
        <f>ROUND($BM305-SUMIFS($AA305:$BJ305, $AA$3:$BJ$3, $BM$3), rounding)</f>
        <v>0</v>
      </c>
      <c r="CQ305" s="352">
        <f>ROUND($BN305-SUMIFS($AA305:$BJ305, $AA$3:$BJ$3, $BN$3), rounding)</f>
        <v>0</v>
      </c>
      <c r="CR305" s="352">
        <f>ROUND($BO305-SUMIFS($AA305:$BJ305, $AA$3:$BJ$3, $BO$3), rounding)</f>
        <v>0</v>
      </c>
      <c r="CS305" s="352">
        <f>ROUND($V305-$BL305, rounding)</f>
        <v>0</v>
      </c>
      <c r="CT305" s="42"/>
      <c r="CU305" s="335">
        <v>1</v>
      </c>
      <c r="CV305" s="335">
        <v>1</v>
      </c>
      <c r="EX305" s="13" t="str">
        <f>IF($C305="","",CONCATENATE(D$303, " ",$D305))</f>
        <v xml:space="preserve">NCA Reclassification 1 - Movements between NCA Accounts </v>
      </c>
    </row>
    <row r="306" spans="1:154" s="335" customFormat="1" x14ac:dyDescent="0.25">
      <c r="C306" s="385"/>
      <c r="D306" s="1" t="s">
        <v>985</v>
      </c>
      <c r="H306" s="9"/>
      <c r="BY306" s="12"/>
      <c r="CA306" s="12"/>
      <c r="CL306" s="42"/>
      <c r="CT306" s="42"/>
      <c r="CU306" s="335">
        <v>0</v>
      </c>
      <c r="CV306" s="335">
        <v>0</v>
      </c>
      <c r="EX306" s="10" t="str">
        <f t="shared" si="620"/>
        <v/>
      </c>
    </row>
    <row r="307" spans="1:154" s="335" customFormat="1" x14ac:dyDescent="0.25">
      <c r="A307" s="362" cm="1">
        <f t="array" aca="1" ref="A307" ca="1">HYPERLINK(CONCATENATE("#",CELL("address",IF(SUM($CA307:$CL307)=0,A307,INDEX($CA307:$CL307,MATCH(1,$CA307:$CL307,0))))),SUM($CA307:$CL307))</f>
        <v>0</v>
      </c>
      <c r="C307" s="340" t="s">
        <v>1228</v>
      </c>
      <c r="D307" s="146"/>
      <c r="H307" s="9"/>
      <c r="V307" s="10">
        <f>0-V305</f>
        <v>0</v>
      </c>
      <c r="W307" s="10">
        <f>0-W305</f>
        <v>0</v>
      </c>
      <c r="X307" s="10">
        <f>0-X305</f>
        <v>0</v>
      </c>
      <c r="Y307" s="10">
        <f>0-Y305</f>
        <v>0</v>
      </c>
      <c r="AA307" s="10">
        <f t="shared" ref="AA307:BJ307" si="763">0-AA305</f>
        <v>0</v>
      </c>
      <c r="AB307" s="10">
        <f t="shared" si="763"/>
        <v>0</v>
      </c>
      <c r="AC307" s="10">
        <f t="shared" si="763"/>
        <v>0</v>
      </c>
      <c r="AD307" s="10">
        <f t="shared" si="763"/>
        <v>0</v>
      </c>
      <c r="AE307" s="10">
        <f t="shared" si="763"/>
        <v>0</v>
      </c>
      <c r="AF307" s="10">
        <f t="shared" si="763"/>
        <v>0</v>
      </c>
      <c r="AG307" s="10">
        <f t="shared" si="763"/>
        <v>0</v>
      </c>
      <c r="AH307" s="10">
        <f t="shared" si="763"/>
        <v>0</v>
      </c>
      <c r="AI307" s="10">
        <f t="shared" si="763"/>
        <v>0</v>
      </c>
      <c r="AJ307" s="10">
        <f t="shared" si="763"/>
        <v>0</v>
      </c>
      <c r="AK307" s="10">
        <f t="shared" si="763"/>
        <v>0</v>
      </c>
      <c r="AL307" s="10">
        <f t="shared" si="763"/>
        <v>0</v>
      </c>
      <c r="AM307" s="10">
        <f t="shared" si="763"/>
        <v>0</v>
      </c>
      <c r="AN307" s="10">
        <f t="shared" si="763"/>
        <v>0</v>
      </c>
      <c r="AO307" s="10">
        <f t="shared" si="763"/>
        <v>0</v>
      </c>
      <c r="AP307" s="10">
        <f t="shared" si="763"/>
        <v>0</v>
      </c>
      <c r="AQ307" s="10">
        <f t="shared" si="763"/>
        <v>0</v>
      </c>
      <c r="AR307" s="10">
        <f t="shared" si="763"/>
        <v>0</v>
      </c>
      <c r="AS307" s="10">
        <f t="shared" si="763"/>
        <v>0</v>
      </c>
      <c r="AT307" s="10">
        <f t="shared" si="763"/>
        <v>0</v>
      </c>
      <c r="AU307" s="10">
        <f t="shared" si="763"/>
        <v>0</v>
      </c>
      <c r="AV307" s="10">
        <f t="shared" si="763"/>
        <v>0</v>
      </c>
      <c r="AW307" s="10">
        <f t="shared" si="763"/>
        <v>0</v>
      </c>
      <c r="AX307" s="10">
        <f t="shared" si="763"/>
        <v>0</v>
      </c>
      <c r="AY307" s="10">
        <f t="shared" si="763"/>
        <v>0</v>
      </c>
      <c r="AZ307" s="10">
        <f t="shared" si="763"/>
        <v>0</v>
      </c>
      <c r="BA307" s="10">
        <f t="shared" si="763"/>
        <v>0</v>
      </c>
      <c r="BB307" s="10">
        <f t="shared" si="763"/>
        <v>0</v>
      </c>
      <c r="BC307" s="10">
        <f t="shared" si="763"/>
        <v>0</v>
      </c>
      <c r="BD307" s="10">
        <f t="shared" si="763"/>
        <v>0</v>
      </c>
      <c r="BE307" s="10">
        <f t="shared" si="763"/>
        <v>0</v>
      </c>
      <c r="BF307" s="10">
        <f t="shared" si="763"/>
        <v>0</v>
      </c>
      <c r="BG307" s="10">
        <f t="shared" si="763"/>
        <v>0</v>
      </c>
      <c r="BH307" s="10">
        <f t="shared" si="763"/>
        <v>0</v>
      </c>
      <c r="BI307" s="10">
        <f t="shared" si="763"/>
        <v>0</v>
      </c>
      <c r="BJ307" s="10">
        <f t="shared" si="763"/>
        <v>0</v>
      </c>
      <c r="BL307" s="10">
        <f t="shared" ref="BL307:BW307" si="764">0-BL305</f>
        <v>0</v>
      </c>
      <c r="BM307" s="10">
        <f t="shared" si="764"/>
        <v>0</v>
      </c>
      <c r="BN307" s="10">
        <f t="shared" si="764"/>
        <v>0</v>
      </c>
      <c r="BO307" s="10">
        <f t="shared" si="764"/>
        <v>0</v>
      </c>
      <c r="BP307" s="10">
        <f t="shared" si="764"/>
        <v>0</v>
      </c>
      <c r="BQ307" s="10">
        <f t="shared" si="764"/>
        <v>0</v>
      </c>
      <c r="BR307" s="10">
        <f t="shared" si="764"/>
        <v>0</v>
      </c>
      <c r="BS307" s="10">
        <f t="shared" si="764"/>
        <v>0</v>
      </c>
      <c r="BT307" s="10">
        <f t="shared" si="764"/>
        <v>0</v>
      </c>
      <c r="BU307" s="10">
        <f t="shared" si="764"/>
        <v>0</v>
      </c>
      <c r="BV307" s="10">
        <f t="shared" si="764"/>
        <v>0</v>
      </c>
      <c r="BW307" s="10">
        <f t="shared" si="764"/>
        <v>0</v>
      </c>
      <c r="BY307" s="12"/>
      <c r="CA307" s="12"/>
      <c r="CI307" s="7">
        <f t="shared" si="760"/>
        <v>0</v>
      </c>
      <c r="CJ307" s="7">
        <f t="shared" si="761"/>
        <v>0</v>
      </c>
      <c r="CK307" s="7">
        <f t="shared" si="762"/>
        <v>0</v>
      </c>
      <c r="CL307" s="42"/>
      <c r="CM307" s="352">
        <f>ROUND(W307-SUMIFS($AA307:$BJ307, $AA$3:$BJ$3, W$3), rounding)</f>
        <v>0</v>
      </c>
      <c r="CN307" s="352">
        <f>ROUND(X307-SUMIFS($AA307:$BJ307, $AA$3:$BJ$3, X$3), rounding)</f>
        <v>0</v>
      </c>
      <c r="CO307" s="352">
        <f>ROUND(Y307-SUMIFS($AA307:$BJ307, $AA$3:$BJ$3, Y$3), rounding)</f>
        <v>0</v>
      </c>
      <c r="CP307" s="352">
        <f>ROUND($BM307-SUMIFS($AA307:$BJ307, $AA$3:$BJ$3, $BM$3), rounding)</f>
        <v>0</v>
      </c>
      <c r="CQ307" s="352">
        <f>ROUND($BN307-SUMIFS($AA307:$BJ307, $AA$3:$BJ$3, $BN$3), rounding)</f>
        <v>0</v>
      </c>
      <c r="CR307" s="352">
        <f>ROUND($BO307-SUMIFS($AA307:$BJ307, $AA$3:$BJ$3, $BO$3), rounding)</f>
        <v>0</v>
      </c>
      <c r="CS307" s="352">
        <f>ROUND($V307-$BL307, rounding)</f>
        <v>0</v>
      </c>
      <c r="CT307" s="42"/>
      <c r="CU307" s="335">
        <v>0</v>
      </c>
      <c r="CV307" s="335">
        <v>0</v>
      </c>
      <c r="EX307" s="13" t="str">
        <f>IF($C307="","",CONCATENATE(D$303, " ",$D307))</f>
        <v xml:space="preserve">NCA Reclassification 1 - Movements between NCA Accounts </v>
      </c>
    </row>
    <row r="308" spans="1:154" s="335" customFormat="1" ht="8.1" customHeight="1" x14ac:dyDescent="0.25">
      <c r="C308" s="385"/>
      <c r="D308" s="1"/>
      <c r="BY308" s="12"/>
      <c r="CA308" s="12"/>
      <c r="CL308" s="42"/>
      <c r="CT308" s="42"/>
      <c r="CU308" s="335">
        <v>0</v>
      </c>
      <c r="CV308" s="335">
        <v>0</v>
      </c>
      <c r="EX308" s="10" t="str">
        <f t="shared" si="620"/>
        <v/>
      </c>
    </row>
    <row r="309" spans="1:154" s="335" customFormat="1" ht="30" x14ac:dyDescent="0.25">
      <c r="C309" s="340" t="s">
        <v>1229</v>
      </c>
      <c r="D309" s="27" t="s">
        <v>983</v>
      </c>
      <c r="BY309" s="12"/>
      <c r="CA309" s="12"/>
      <c r="CL309" s="42"/>
      <c r="CT309" s="42"/>
      <c r="CU309" s="335">
        <v>0</v>
      </c>
      <c r="CV309" s="335">
        <v>0</v>
      </c>
      <c r="EX309" s="10" t="str">
        <f t="shared" si="620"/>
        <v>NCA Reclassification 2 - Movements between NCA Accounts</v>
      </c>
    </row>
    <row r="310" spans="1:154" s="335" customFormat="1" x14ac:dyDescent="0.25">
      <c r="C310" s="385"/>
      <c r="D310" s="1" t="s">
        <v>984</v>
      </c>
      <c r="BY310" s="12"/>
      <c r="CA310" s="12"/>
      <c r="CL310" s="42"/>
      <c r="CT310" s="42"/>
      <c r="CU310" s="335">
        <v>0</v>
      </c>
      <c r="CV310" s="335">
        <v>0</v>
      </c>
      <c r="EX310" s="10" t="str">
        <f t="shared" si="620"/>
        <v/>
      </c>
    </row>
    <row r="311" spans="1:154" s="335" customFormat="1" x14ac:dyDescent="0.25">
      <c r="A311" s="362" cm="1">
        <f t="array" aca="1" ref="A311" ca="1">HYPERLINK(CONCATENATE("#",CELL("address",IF(SUM($CA311:$CL311)=0,A311,INDEX($CA311:$CL311,MATCH(1,$CA311:$CL311,0))))),SUM($CA311:$CL311))</f>
        <v>0</v>
      </c>
      <c r="C311" s="340" t="s">
        <v>1230</v>
      </c>
      <c r="D311" s="146"/>
      <c r="H311" s="9" t="s">
        <v>86</v>
      </c>
      <c r="V311" s="156"/>
      <c r="W311" s="215">
        <f xml:space="preserve"> SUMIFS($AA311:$BJ311, $AA$3:$BJ$3, W$3)</f>
        <v>0</v>
      </c>
      <c r="X311" s="215">
        <f xml:space="preserve"> SUMIFS($AA311:$BJ311, $AA$3:$BJ$3, X$3)</f>
        <v>0</v>
      </c>
      <c r="Y311" s="215">
        <f xml:space="preserve"> SUMIFS($AA311:$BJ311, $AA$3:$BJ$3, Y$3)</f>
        <v>0</v>
      </c>
      <c r="AA311" s="147"/>
      <c r="AB311" s="147"/>
      <c r="AC311" s="147"/>
      <c r="AD311" s="147"/>
      <c r="AE311" s="147"/>
      <c r="AF311" s="147"/>
      <c r="AG311" s="147"/>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c r="BI311" s="147"/>
      <c r="BJ311" s="147"/>
      <c r="BL311" s="10">
        <f>V311</f>
        <v>0</v>
      </c>
      <c r="BM311" s="10">
        <f>W311</f>
        <v>0</v>
      </c>
      <c r="BN311" s="10">
        <f>X311</f>
        <v>0</v>
      </c>
      <c r="BO311" s="10">
        <f>Y311</f>
        <v>0</v>
      </c>
      <c r="BP311" s="141"/>
      <c r="BQ311" s="141"/>
      <c r="BR311" s="141"/>
      <c r="BS311" s="141"/>
      <c r="BT311" s="141"/>
      <c r="BU311" s="141"/>
      <c r="BV311" s="141"/>
      <c r="BW311" s="141"/>
      <c r="BY311" s="12"/>
      <c r="BZ311" s="363">
        <f>IF(MAX($V311:$BW311)&lt;0, 1, 0)</f>
        <v>0</v>
      </c>
      <c r="CA311" s="12"/>
      <c r="CI311" s="7">
        <f t="shared" ref="CI311" si="765">IF(SUM($CM311:$CO311)=0, 0, 1)</f>
        <v>0</v>
      </c>
      <c r="CJ311" s="7">
        <f t="shared" ref="CJ311" si="766">IF(SUM($CP311:$CR311)=0, 0, 1)</f>
        <v>0</v>
      </c>
      <c r="CK311" s="7">
        <f t="shared" ref="CK311" si="767">IF($CS311=0, 0, 1)</f>
        <v>0</v>
      </c>
      <c r="CL311" s="42"/>
      <c r="CM311" s="352">
        <f>ROUND(W311-SUMIFS($AA311:$BJ311, $AA$3:$BJ$3, W$3), rounding)</f>
        <v>0</v>
      </c>
      <c r="CN311" s="352">
        <f>ROUND(X311-SUMIFS($AA311:$BJ311, $AA$3:$BJ$3, X$3), rounding)</f>
        <v>0</v>
      </c>
      <c r="CO311" s="352">
        <f>ROUND(Y311-SUMIFS($AA311:$BJ311, $AA$3:$BJ$3, Y$3), rounding)</f>
        <v>0</v>
      </c>
      <c r="CP311" s="352">
        <f>ROUND($BM311-SUMIFS($AA311:$BJ311, $AA$3:$BJ$3, $BM$3), rounding)</f>
        <v>0</v>
      </c>
      <c r="CQ311" s="352">
        <f>ROUND($BN311-SUMIFS($AA311:$BJ311, $AA$3:$BJ$3, $BN$3), rounding)</f>
        <v>0</v>
      </c>
      <c r="CR311" s="352">
        <f>ROUND($BO311-SUMIFS($AA311:$BJ311, $AA$3:$BJ$3, $BO$3), rounding)</f>
        <v>0</v>
      </c>
      <c r="CS311" s="352">
        <f>ROUND($V311-$BL311, rounding)</f>
        <v>0</v>
      </c>
      <c r="CT311" s="42"/>
      <c r="CU311" s="335">
        <v>1</v>
      </c>
      <c r="CV311" s="335">
        <v>1</v>
      </c>
      <c r="EX311" s="13" t="str">
        <f>IF($C311="","",CONCATENATE(D$309, " ",$D311))</f>
        <v xml:space="preserve">NCA Reclassification 2 - Movements between NCA Accounts </v>
      </c>
    </row>
    <row r="312" spans="1:154" s="335" customFormat="1" x14ac:dyDescent="0.25">
      <c r="C312" s="385"/>
      <c r="D312" s="1" t="s">
        <v>985</v>
      </c>
      <c r="H312" s="9"/>
      <c r="BY312" s="12"/>
      <c r="CA312" s="12"/>
      <c r="CL312" s="42"/>
      <c r="CT312" s="42"/>
      <c r="CU312" s="335">
        <v>0</v>
      </c>
      <c r="CV312" s="335">
        <v>0</v>
      </c>
      <c r="EX312" s="10" t="str">
        <f t="shared" si="620"/>
        <v/>
      </c>
    </row>
    <row r="313" spans="1:154" s="335" customFormat="1" x14ac:dyDescent="0.25">
      <c r="A313" s="362" cm="1">
        <f t="array" aca="1" ref="A313" ca="1">HYPERLINK(CONCATENATE("#",CELL("address",IF(SUM($CA313:$CL313)=0,A313,INDEX($CA313:$CL313,MATCH(1,$CA313:$CL313,0))))),SUM($CA313:$CL313))</f>
        <v>0</v>
      </c>
      <c r="C313" s="340" t="s">
        <v>1231</v>
      </c>
      <c r="D313" s="146"/>
      <c r="H313" s="9"/>
      <c r="V313" s="10">
        <f>0-V311</f>
        <v>0</v>
      </c>
      <c r="W313" s="10">
        <f>0-W311</f>
        <v>0</v>
      </c>
      <c r="X313" s="10">
        <f>0-X311</f>
        <v>0</v>
      </c>
      <c r="Y313" s="10">
        <f>0-Y311</f>
        <v>0</v>
      </c>
      <c r="AA313" s="10">
        <f t="shared" ref="AA313:BJ313" si="768">0-AA311</f>
        <v>0</v>
      </c>
      <c r="AB313" s="10">
        <f t="shared" si="768"/>
        <v>0</v>
      </c>
      <c r="AC313" s="10">
        <f t="shared" si="768"/>
        <v>0</v>
      </c>
      <c r="AD313" s="10">
        <f t="shared" si="768"/>
        <v>0</v>
      </c>
      <c r="AE313" s="10">
        <f t="shared" si="768"/>
        <v>0</v>
      </c>
      <c r="AF313" s="10">
        <f t="shared" si="768"/>
        <v>0</v>
      </c>
      <c r="AG313" s="10">
        <f t="shared" si="768"/>
        <v>0</v>
      </c>
      <c r="AH313" s="10">
        <f t="shared" si="768"/>
        <v>0</v>
      </c>
      <c r="AI313" s="10">
        <f t="shared" si="768"/>
        <v>0</v>
      </c>
      <c r="AJ313" s="10">
        <f t="shared" si="768"/>
        <v>0</v>
      </c>
      <c r="AK313" s="10">
        <f t="shared" si="768"/>
        <v>0</v>
      </c>
      <c r="AL313" s="10">
        <f t="shared" si="768"/>
        <v>0</v>
      </c>
      <c r="AM313" s="10">
        <f t="shared" si="768"/>
        <v>0</v>
      </c>
      <c r="AN313" s="10">
        <f t="shared" si="768"/>
        <v>0</v>
      </c>
      <c r="AO313" s="10">
        <f t="shared" si="768"/>
        <v>0</v>
      </c>
      <c r="AP313" s="10">
        <f t="shared" si="768"/>
        <v>0</v>
      </c>
      <c r="AQ313" s="10">
        <f t="shared" si="768"/>
        <v>0</v>
      </c>
      <c r="AR313" s="10">
        <f t="shared" si="768"/>
        <v>0</v>
      </c>
      <c r="AS313" s="10">
        <f t="shared" si="768"/>
        <v>0</v>
      </c>
      <c r="AT313" s="10">
        <f t="shared" si="768"/>
        <v>0</v>
      </c>
      <c r="AU313" s="10">
        <f t="shared" si="768"/>
        <v>0</v>
      </c>
      <c r="AV313" s="10">
        <f t="shared" si="768"/>
        <v>0</v>
      </c>
      <c r="AW313" s="10">
        <f t="shared" si="768"/>
        <v>0</v>
      </c>
      <c r="AX313" s="10">
        <f t="shared" si="768"/>
        <v>0</v>
      </c>
      <c r="AY313" s="10">
        <f t="shared" si="768"/>
        <v>0</v>
      </c>
      <c r="AZ313" s="10">
        <f t="shared" si="768"/>
        <v>0</v>
      </c>
      <c r="BA313" s="10">
        <f t="shared" si="768"/>
        <v>0</v>
      </c>
      <c r="BB313" s="10">
        <f t="shared" si="768"/>
        <v>0</v>
      </c>
      <c r="BC313" s="10">
        <f t="shared" si="768"/>
        <v>0</v>
      </c>
      <c r="BD313" s="10">
        <f t="shared" si="768"/>
        <v>0</v>
      </c>
      <c r="BE313" s="10">
        <f t="shared" si="768"/>
        <v>0</v>
      </c>
      <c r="BF313" s="10">
        <f t="shared" si="768"/>
        <v>0</v>
      </c>
      <c r="BG313" s="10">
        <f t="shared" si="768"/>
        <v>0</v>
      </c>
      <c r="BH313" s="10">
        <f t="shared" si="768"/>
        <v>0</v>
      </c>
      <c r="BI313" s="10">
        <f t="shared" si="768"/>
        <v>0</v>
      </c>
      <c r="BJ313" s="10">
        <f t="shared" si="768"/>
        <v>0</v>
      </c>
      <c r="BL313" s="10">
        <f t="shared" ref="BL313:BW313" si="769">0-BL311</f>
        <v>0</v>
      </c>
      <c r="BM313" s="10">
        <f t="shared" si="769"/>
        <v>0</v>
      </c>
      <c r="BN313" s="10">
        <f t="shared" si="769"/>
        <v>0</v>
      </c>
      <c r="BO313" s="10">
        <f t="shared" si="769"/>
        <v>0</v>
      </c>
      <c r="BP313" s="10">
        <f t="shared" si="769"/>
        <v>0</v>
      </c>
      <c r="BQ313" s="10">
        <f t="shared" si="769"/>
        <v>0</v>
      </c>
      <c r="BR313" s="10">
        <f t="shared" si="769"/>
        <v>0</v>
      </c>
      <c r="BS313" s="10">
        <f t="shared" si="769"/>
        <v>0</v>
      </c>
      <c r="BT313" s="10">
        <f t="shared" si="769"/>
        <v>0</v>
      </c>
      <c r="BU313" s="10">
        <f t="shared" si="769"/>
        <v>0</v>
      </c>
      <c r="BV313" s="10">
        <f t="shared" si="769"/>
        <v>0</v>
      </c>
      <c r="BW313" s="10">
        <f t="shared" si="769"/>
        <v>0</v>
      </c>
      <c r="BY313" s="12"/>
      <c r="CA313" s="12"/>
      <c r="CI313" s="7">
        <f t="shared" ref="CI313" si="770">IF(SUM($CM313:$CO313)=0, 0, 1)</f>
        <v>0</v>
      </c>
      <c r="CJ313" s="7">
        <f t="shared" ref="CJ313" si="771">IF(SUM($CP313:$CR313)=0, 0, 1)</f>
        <v>0</v>
      </c>
      <c r="CK313" s="7">
        <f t="shared" ref="CK313" si="772">IF($CS313=0, 0, 1)</f>
        <v>0</v>
      </c>
      <c r="CL313" s="42"/>
      <c r="CM313" s="352">
        <f>ROUND(W313-SUMIFS($AA313:$BJ313, $AA$3:$BJ$3, W$3), rounding)</f>
        <v>0</v>
      </c>
      <c r="CN313" s="352">
        <f>ROUND(X313-SUMIFS($AA313:$BJ313, $AA$3:$BJ$3, X$3), rounding)</f>
        <v>0</v>
      </c>
      <c r="CO313" s="352">
        <f>ROUND(Y313-SUMIFS($AA313:$BJ313, $AA$3:$BJ$3, Y$3), rounding)</f>
        <v>0</v>
      </c>
      <c r="CP313" s="352">
        <f>ROUND($BM313-SUMIFS($AA313:$BJ313, $AA$3:$BJ$3, $BM$3), rounding)</f>
        <v>0</v>
      </c>
      <c r="CQ313" s="352">
        <f>ROUND($BN313-SUMIFS($AA313:$BJ313, $AA$3:$BJ$3, $BN$3), rounding)</f>
        <v>0</v>
      </c>
      <c r="CR313" s="352">
        <f>ROUND($BO313-SUMIFS($AA313:$BJ313, $AA$3:$BJ$3, $BO$3), rounding)</f>
        <v>0</v>
      </c>
      <c r="CS313" s="352">
        <f>ROUND($V313-$BL313, rounding)</f>
        <v>0</v>
      </c>
      <c r="CT313" s="42"/>
      <c r="CU313" s="335">
        <v>0</v>
      </c>
      <c r="CV313" s="335">
        <v>0</v>
      </c>
      <c r="EX313" s="13" t="str">
        <f>IF($C313="","",CONCATENATE(D$309, " ",$D313))</f>
        <v xml:space="preserve">NCA Reclassification 2 - Movements between NCA Accounts </v>
      </c>
    </row>
    <row r="314" spans="1:154" s="335" customFormat="1" ht="8.1" customHeight="1" x14ac:dyDescent="0.25">
      <c r="C314" s="385"/>
      <c r="D314" s="1"/>
      <c r="BY314" s="12"/>
      <c r="CA314" s="12"/>
      <c r="CL314" s="42"/>
      <c r="CT314" s="42"/>
      <c r="CU314" s="335">
        <v>0</v>
      </c>
      <c r="CV314" s="335">
        <v>0</v>
      </c>
      <c r="EX314" s="10" t="str">
        <f t="shared" si="620"/>
        <v/>
      </c>
    </row>
    <row r="315" spans="1:154" s="335" customFormat="1" ht="30" x14ac:dyDescent="0.25">
      <c r="C315" s="340" t="s">
        <v>1232</v>
      </c>
      <c r="D315" s="27" t="s">
        <v>986</v>
      </c>
      <c r="BY315" s="12"/>
      <c r="CA315" s="12"/>
      <c r="CL315" s="42"/>
      <c r="CT315" s="42"/>
      <c r="CU315" s="335">
        <v>0</v>
      </c>
      <c r="CV315" s="335">
        <v>0</v>
      </c>
      <c r="EX315" s="10" t="str">
        <f t="shared" si="620"/>
        <v>NCA Reclassification 3 - Movements between NCA Accounts</v>
      </c>
    </row>
    <row r="316" spans="1:154" s="335" customFormat="1" x14ac:dyDescent="0.25">
      <c r="C316" s="385"/>
      <c r="D316" s="1" t="s">
        <v>984</v>
      </c>
      <c r="BY316" s="12"/>
      <c r="CA316" s="12"/>
      <c r="CL316" s="42"/>
      <c r="CT316" s="42"/>
      <c r="CU316" s="335">
        <v>0</v>
      </c>
      <c r="CV316" s="335">
        <v>0</v>
      </c>
      <c r="EX316" s="10" t="str">
        <f t="shared" si="620"/>
        <v/>
      </c>
    </row>
    <row r="317" spans="1:154" s="335" customFormat="1" x14ac:dyDescent="0.25">
      <c r="A317" s="362" cm="1">
        <f t="array" aca="1" ref="A317" ca="1">HYPERLINK(CONCATENATE("#",CELL("address",IF(SUM($CA317:$CL317)=0,A317,INDEX($CA317:$CL317,MATCH(1,$CA317:$CL317,0))))),SUM($CA317:$CL317))</f>
        <v>0</v>
      </c>
      <c r="C317" s="340" t="s">
        <v>1233</v>
      </c>
      <c r="D317" s="146"/>
      <c r="H317" s="9" t="s">
        <v>86</v>
      </c>
      <c r="V317" s="156"/>
      <c r="W317" s="215">
        <f xml:space="preserve"> SUMIFS($AA317:$BJ317, $AA$3:$BJ$3, W$3)</f>
        <v>0</v>
      </c>
      <c r="X317" s="215">
        <f xml:space="preserve"> SUMIFS($AA317:$BJ317, $AA$3:$BJ$3, X$3)</f>
        <v>0</v>
      </c>
      <c r="Y317" s="215">
        <f xml:space="preserve"> SUMIFS($AA317:$BJ317, $AA$3:$BJ$3, Y$3)</f>
        <v>0</v>
      </c>
      <c r="AA317" s="147"/>
      <c r="AB317" s="147"/>
      <c r="AC317" s="147"/>
      <c r="AD317" s="147"/>
      <c r="AE317" s="147"/>
      <c r="AF317" s="147"/>
      <c r="AG317" s="147"/>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c r="BI317" s="147"/>
      <c r="BJ317" s="147"/>
      <c r="BL317" s="10">
        <f>V317</f>
        <v>0</v>
      </c>
      <c r="BM317" s="10">
        <f>W317</f>
        <v>0</v>
      </c>
      <c r="BN317" s="10">
        <f>X317</f>
        <v>0</v>
      </c>
      <c r="BO317" s="10">
        <f>Y317</f>
        <v>0</v>
      </c>
      <c r="BP317" s="141"/>
      <c r="BQ317" s="141"/>
      <c r="BR317" s="141"/>
      <c r="BS317" s="141"/>
      <c r="BT317" s="141"/>
      <c r="BU317" s="141"/>
      <c r="BV317" s="141"/>
      <c r="BW317" s="141"/>
      <c r="BY317" s="12"/>
      <c r="BZ317" s="363">
        <f>IF(MAX($V317:$BW317)&lt;0, 1, 0)</f>
        <v>0</v>
      </c>
      <c r="CA317" s="12"/>
      <c r="CI317" s="7">
        <f t="shared" ref="CI317" si="773">IF(SUM($CM317:$CO317)=0, 0, 1)</f>
        <v>0</v>
      </c>
      <c r="CJ317" s="7">
        <f t="shared" ref="CJ317" si="774">IF(SUM($CP317:$CR317)=0, 0, 1)</f>
        <v>0</v>
      </c>
      <c r="CK317" s="7">
        <f t="shared" ref="CK317" si="775">IF($CS317=0, 0, 1)</f>
        <v>0</v>
      </c>
      <c r="CL317" s="42"/>
      <c r="CM317" s="352">
        <v>0</v>
      </c>
      <c r="CN317" s="352">
        <v>0</v>
      </c>
      <c r="CO317" s="352">
        <v>0</v>
      </c>
      <c r="CP317" s="352">
        <v>0</v>
      </c>
      <c r="CQ317" s="352">
        <v>0</v>
      </c>
      <c r="CR317" s="352">
        <v>0</v>
      </c>
      <c r="CS317" s="352">
        <v>0</v>
      </c>
      <c r="CT317" s="42"/>
      <c r="CU317" s="335">
        <v>1</v>
      </c>
      <c r="CV317" s="335">
        <v>1</v>
      </c>
      <c r="EX317" s="13" t="str">
        <f>IF($C317="","",CONCATENATE(D$315, " ",$D317))</f>
        <v xml:space="preserve">NCA Reclassification 3 - Movements between NCA Accounts </v>
      </c>
    </row>
    <row r="318" spans="1:154" s="335" customFormat="1" x14ac:dyDescent="0.25">
      <c r="C318" s="385"/>
      <c r="D318" s="1" t="s">
        <v>985</v>
      </c>
      <c r="H318" s="9"/>
      <c r="BY318" s="12"/>
      <c r="CA318" s="12"/>
      <c r="CL318" s="42"/>
      <c r="CT318" s="42"/>
      <c r="CU318" s="335">
        <v>0</v>
      </c>
      <c r="CV318" s="335">
        <v>0</v>
      </c>
      <c r="EX318" s="10" t="str">
        <f t="shared" si="620"/>
        <v/>
      </c>
    </row>
    <row r="319" spans="1:154" s="335" customFormat="1" x14ac:dyDescent="0.25">
      <c r="A319" s="362" cm="1">
        <f t="array" aca="1" ref="A319" ca="1">HYPERLINK(CONCATENATE("#",CELL("address",IF(SUM($CA319:$CL319)=0,A319,INDEX($CA319:$CL319,MATCH(1,$CA319:$CL319,0))))),SUM($CA319:$CL319))</f>
        <v>0</v>
      </c>
      <c r="C319" s="340" t="s">
        <v>1234</v>
      </c>
      <c r="D319" s="146"/>
      <c r="H319" s="9"/>
      <c r="V319" s="10">
        <f>0-V317</f>
        <v>0</v>
      </c>
      <c r="W319" s="10">
        <f>0-W317</f>
        <v>0</v>
      </c>
      <c r="X319" s="10">
        <f>0-X317</f>
        <v>0</v>
      </c>
      <c r="Y319" s="10">
        <f>0-Y317</f>
        <v>0</v>
      </c>
      <c r="AA319" s="10">
        <f t="shared" ref="AA319:BJ319" si="776">0-AA317</f>
        <v>0</v>
      </c>
      <c r="AB319" s="10">
        <f t="shared" si="776"/>
        <v>0</v>
      </c>
      <c r="AC319" s="10">
        <f t="shared" si="776"/>
        <v>0</v>
      </c>
      <c r="AD319" s="10">
        <f t="shared" si="776"/>
        <v>0</v>
      </c>
      <c r="AE319" s="10">
        <f t="shared" si="776"/>
        <v>0</v>
      </c>
      <c r="AF319" s="10">
        <f t="shared" si="776"/>
        <v>0</v>
      </c>
      <c r="AG319" s="10">
        <f t="shared" si="776"/>
        <v>0</v>
      </c>
      <c r="AH319" s="10">
        <f t="shared" si="776"/>
        <v>0</v>
      </c>
      <c r="AI319" s="10">
        <f t="shared" si="776"/>
        <v>0</v>
      </c>
      <c r="AJ319" s="10">
        <f t="shared" si="776"/>
        <v>0</v>
      </c>
      <c r="AK319" s="10">
        <f t="shared" si="776"/>
        <v>0</v>
      </c>
      <c r="AL319" s="10">
        <f t="shared" si="776"/>
        <v>0</v>
      </c>
      <c r="AM319" s="10">
        <f t="shared" si="776"/>
        <v>0</v>
      </c>
      <c r="AN319" s="10">
        <f t="shared" si="776"/>
        <v>0</v>
      </c>
      <c r="AO319" s="10">
        <f t="shared" si="776"/>
        <v>0</v>
      </c>
      <c r="AP319" s="10">
        <f t="shared" si="776"/>
        <v>0</v>
      </c>
      <c r="AQ319" s="10">
        <f t="shared" si="776"/>
        <v>0</v>
      </c>
      <c r="AR319" s="10">
        <f t="shared" si="776"/>
        <v>0</v>
      </c>
      <c r="AS319" s="10">
        <f t="shared" si="776"/>
        <v>0</v>
      </c>
      <c r="AT319" s="10">
        <f t="shared" si="776"/>
        <v>0</v>
      </c>
      <c r="AU319" s="10">
        <f t="shared" si="776"/>
        <v>0</v>
      </c>
      <c r="AV319" s="10">
        <f t="shared" si="776"/>
        <v>0</v>
      </c>
      <c r="AW319" s="10">
        <f t="shared" si="776"/>
        <v>0</v>
      </c>
      <c r="AX319" s="10">
        <f t="shared" si="776"/>
        <v>0</v>
      </c>
      <c r="AY319" s="10">
        <f t="shared" si="776"/>
        <v>0</v>
      </c>
      <c r="AZ319" s="10">
        <f t="shared" si="776"/>
        <v>0</v>
      </c>
      <c r="BA319" s="10">
        <f t="shared" si="776"/>
        <v>0</v>
      </c>
      <c r="BB319" s="10">
        <f t="shared" si="776"/>
        <v>0</v>
      </c>
      <c r="BC319" s="10">
        <f t="shared" si="776"/>
        <v>0</v>
      </c>
      <c r="BD319" s="10">
        <f t="shared" si="776"/>
        <v>0</v>
      </c>
      <c r="BE319" s="10">
        <f t="shared" si="776"/>
        <v>0</v>
      </c>
      <c r="BF319" s="10">
        <f t="shared" si="776"/>
        <v>0</v>
      </c>
      <c r="BG319" s="10">
        <f t="shared" si="776"/>
        <v>0</v>
      </c>
      <c r="BH319" s="10">
        <f t="shared" si="776"/>
        <v>0</v>
      </c>
      <c r="BI319" s="10">
        <f t="shared" si="776"/>
        <v>0</v>
      </c>
      <c r="BJ319" s="10">
        <f t="shared" si="776"/>
        <v>0</v>
      </c>
      <c r="BL319" s="10">
        <f t="shared" ref="BL319:BW319" si="777">0-BL317</f>
        <v>0</v>
      </c>
      <c r="BM319" s="10">
        <f t="shared" si="777"/>
        <v>0</v>
      </c>
      <c r="BN319" s="10">
        <f t="shared" si="777"/>
        <v>0</v>
      </c>
      <c r="BO319" s="10">
        <f t="shared" si="777"/>
        <v>0</v>
      </c>
      <c r="BP319" s="10">
        <f t="shared" si="777"/>
        <v>0</v>
      </c>
      <c r="BQ319" s="10">
        <f t="shared" si="777"/>
        <v>0</v>
      </c>
      <c r="BR319" s="10">
        <f t="shared" si="777"/>
        <v>0</v>
      </c>
      <c r="BS319" s="10">
        <f t="shared" si="777"/>
        <v>0</v>
      </c>
      <c r="BT319" s="10">
        <f t="shared" si="777"/>
        <v>0</v>
      </c>
      <c r="BU319" s="10">
        <f t="shared" si="777"/>
        <v>0</v>
      </c>
      <c r="BV319" s="10">
        <f t="shared" si="777"/>
        <v>0</v>
      </c>
      <c r="BW319" s="10">
        <f t="shared" si="777"/>
        <v>0</v>
      </c>
      <c r="BY319" s="12"/>
      <c r="CA319" s="12"/>
      <c r="CI319" s="7">
        <f>IF(SUM($CM319:$CO319)=0, 0, 1)</f>
        <v>0</v>
      </c>
      <c r="CJ319" s="7">
        <f t="shared" ref="CJ319" si="778">IF(SUM($CP319:$CR319)=0, 0, 1)</f>
        <v>0</v>
      </c>
      <c r="CK319" s="7">
        <f t="shared" ref="CK319" si="779">IF($CS319=0, 0, 1)</f>
        <v>0</v>
      </c>
      <c r="CL319" s="42"/>
      <c r="CM319" s="352">
        <v>0</v>
      </c>
      <c r="CN319" s="352">
        <v>0</v>
      </c>
      <c r="CO319" s="352">
        <v>0</v>
      </c>
      <c r="CP319" s="352">
        <v>0</v>
      </c>
      <c r="CQ319" s="352">
        <v>0</v>
      </c>
      <c r="CR319" s="352">
        <v>0</v>
      </c>
      <c r="CS319" s="352">
        <v>0</v>
      </c>
      <c r="CT319" s="42"/>
      <c r="CU319" s="335">
        <v>0</v>
      </c>
      <c r="CV319" s="335">
        <v>0</v>
      </c>
      <c r="EX319" s="13" t="str">
        <f>IF($C319="","",CONCATENATE(D$315, " ",$D319))</f>
        <v xml:space="preserve">NCA Reclassification 3 - Movements between NCA Accounts </v>
      </c>
    </row>
    <row r="320" spans="1:154" s="327" customFormat="1" ht="8.1" customHeight="1" x14ac:dyDescent="0.25">
      <c r="C320" s="385"/>
      <c r="D320" s="1"/>
      <c r="T320" s="335"/>
      <c r="U320" s="335"/>
      <c r="Z320" s="335"/>
      <c r="BY320" s="12"/>
      <c r="BZ320" s="335"/>
      <c r="CA320" s="12"/>
      <c r="CB320" s="335"/>
      <c r="CC320" s="335"/>
      <c r="CD320" s="335"/>
      <c r="CE320" s="335"/>
      <c r="CF320" s="335"/>
      <c r="CG320" s="335"/>
      <c r="CH320" s="335"/>
      <c r="CI320" s="335"/>
      <c r="CJ320" s="335"/>
      <c r="CK320" s="335"/>
      <c r="CL320" s="42"/>
      <c r="CM320" s="335"/>
      <c r="CN320" s="335"/>
      <c r="CO320" s="335"/>
      <c r="CP320" s="335"/>
      <c r="CQ320" s="335"/>
      <c r="CR320" s="335"/>
      <c r="CS320" s="335"/>
      <c r="CT320" s="42"/>
      <c r="CU320" s="327">
        <v>0</v>
      </c>
      <c r="CV320" s="335">
        <v>0</v>
      </c>
      <c r="EX320" s="10" t="str">
        <f t="shared" si="620"/>
        <v/>
      </c>
    </row>
    <row r="321" spans="1:154" s="335" customFormat="1" x14ac:dyDescent="0.25">
      <c r="C321" s="385"/>
      <c r="D321" s="27" t="s">
        <v>404</v>
      </c>
      <c r="BY321" s="12"/>
      <c r="CA321" s="12"/>
      <c r="CL321" s="42"/>
      <c r="CT321" s="42"/>
      <c r="CU321" s="335">
        <v>0</v>
      </c>
      <c r="CV321" s="335">
        <v>0</v>
      </c>
      <c r="EX321" s="10" t="str">
        <f t="shared" si="620"/>
        <v/>
      </c>
    </row>
    <row r="322" spans="1:154" s="335" customFormat="1" x14ac:dyDescent="0.25">
      <c r="A322" s="362" cm="1">
        <f t="array" aca="1" ref="A322" ca="1">HYPERLINK(CONCATENATE("#",CELL("address",IF(SUM($CA322:$CL322)=0,A322,INDEX($CA322:$CL322,MATCH(1,$CA322:$CL322,0))))),SUM($CA322:$CL322))</f>
        <v>0</v>
      </c>
      <c r="C322" s="385"/>
      <c r="D322" s="335" t="str">
        <f>Parameters!D$45</f>
        <v>Land &amp; Buildings</v>
      </c>
      <c r="H322" s="9" t="s">
        <v>86</v>
      </c>
      <c r="V322" s="10">
        <f t="shared" ref="V322:Y326" si="780">SUMIFS(V$305:V$319, $D$305:$D$319, $D322)</f>
        <v>0</v>
      </c>
      <c r="W322" s="10">
        <f t="shared" si="780"/>
        <v>0</v>
      </c>
      <c r="X322" s="10">
        <f t="shared" si="780"/>
        <v>0</v>
      </c>
      <c r="Y322" s="10">
        <f t="shared" si="780"/>
        <v>0</v>
      </c>
      <c r="AA322" s="10">
        <f t="shared" ref="AA322:AJ326" si="781">SUMIFS(AA$305:AA$319, $D$305:$D$319, $D322)</f>
        <v>0</v>
      </c>
      <c r="AB322" s="10">
        <f t="shared" si="781"/>
        <v>0</v>
      </c>
      <c r="AC322" s="10">
        <f t="shared" si="781"/>
        <v>0</v>
      </c>
      <c r="AD322" s="10">
        <f t="shared" si="781"/>
        <v>0</v>
      </c>
      <c r="AE322" s="10">
        <f t="shared" si="781"/>
        <v>0</v>
      </c>
      <c r="AF322" s="10">
        <f t="shared" si="781"/>
        <v>0</v>
      </c>
      <c r="AG322" s="10">
        <f t="shared" si="781"/>
        <v>0</v>
      </c>
      <c r="AH322" s="10">
        <f t="shared" si="781"/>
        <v>0</v>
      </c>
      <c r="AI322" s="10">
        <f t="shared" si="781"/>
        <v>0</v>
      </c>
      <c r="AJ322" s="10">
        <f t="shared" si="781"/>
        <v>0</v>
      </c>
      <c r="AK322" s="10">
        <f t="shared" ref="AK322:AT326" si="782">SUMIFS(AK$305:AK$319, $D$305:$D$319, $D322)</f>
        <v>0</v>
      </c>
      <c r="AL322" s="10">
        <f t="shared" si="782"/>
        <v>0</v>
      </c>
      <c r="AM322" s="10">
        <f t="shared" si="782"/>
        <v>0</v>
      </c>
      <c r="AN322" s="10">
        <f t="shared" si="782"/>
        <v>0</v>
      </c>
      <c r="AO322" s="10">
        <f t="shared" si="782"/>
        <v>0</v>
      </c>
      <c r="AP322" s="10">
        <f t="shared" si="782"/>
        <v>0</v>
      </c>
      <c r="AQ322" s="10">
        <f t="shared" si="782"/>
        <v>0</v>
      </c>
      <c r="AR322" s="10">
        <f t="shared" si="782"/>
        <v>0</v>
      </c>
      <c r="AS322" s="10">
        <f t="shared" si="782"/>
        <v>0</v>
      </c>
      <c r="AT322" s="10">
        <f t="shared" si="782"/>
        <v>0</v>
      </c>
      <c r="AU322" s="10">
        <f t="shared" ref="AU322:BD326" si="783">SUMIFS(AU$305:AU$319, $D$305:$D$319, $D322)</f>
        <v>0</v>
      </c>
      <c r="AV322" s="10">
        <f t="shared" si="783"/>
        <v>0</v>
      </c>
      <c r="AW322" s="10">
        <f t="shared" si="783"/>
        <v>0</v>
      </c>
      <c r="AX322" s="10">
        <f t="shared" si="783"/>
        <v>0</v>
      </c>
      <c r="AY322" s="10">
        <f t="shared" si="783"/>
        <v>0</v>
      </c>
      <c r="AZ322" s="10">
        <f t="shared" si="783"/>
        <v>0</v>
      </c>
      <c r="BA322" s="10">
        <f t="shared" si="783"/>
        <v>0</v>
      </c>
      <c r="BB322" s="10">
        <f t="shared" si="783"/>
        <v>0</v>
      </c>
      <c r="BC322" s="10">
        <f t="shared" si="783"/>
        <v>0</v>
      </c>
      <c r="BD322" s="10">
        <f t="shared" si="783"/>
        <v>0</v>
      </c>
      <c r="BE322" s="10">
        <f t="shared" ref="BE322:BJ326" si="784">SUMIFS(BE$305:BE$319, $D$305:$D$319, $D322)</f>
        <v>0</v>
      </c>
      <c r="BF322" s="10">
        <f t="shared" si="784"/>
        <v>0</v>
      </c>
      <c r="BG322" s="10">
        <f t="shared" si="784"/>
        <v>0</v>
      </c>
      <c r="BH322" s="10">
        <f t="shared" si="784"/>
        <v>0</v>
      </c>
      <c r="BI322" s="10">
        <f t="shared" si="784"/>
        <v>0</v>
      </c>
      <c r="BJ322" s="10">
        <f t="shared" si="784"/>
        <v>0</v>
      </c>
      <c r="BL322" s="10">
        <f t="shared" ref="BL322:BW325" si="785">SUMIFS(BL$305:BL$319, $D$305:$D$319, $D322)</f>
        <v>0</v>
      </c>
      <c r="BM322" s="10">
        <f t="shared" si="785"/>
        <v>0</v>
      </c>
      <c r="BN322" s="10">
        <f t="shared" si="785"/>
        <v>0</v>
      </c>
      <c r="BO322" s="10">
        <f t="shared" si="785"/>
        <v>0</v>
      </c>
      <c r="BP322" s="10">
        <f t="shared" si="785"/>
        <v>0</v>
      </c>
      <c r="BQ322" s="10">
        <f t="shared" si="785"/>
        <v>0</v>
      </c>
      <c r="BR322" s="10">
        <f t="shared" si="785"/>
        <v>0</v>
      </c>
      <c r="BS322" s="10">
        <f t="shared" si="785"/>
        <v>0</v>
      </c>
      <c r="BT322" s="10">
        <f t="shared" si="785"/>
        <v>0</v>
      </c>
      <c r="BU322" s="10">
        <f t="shared" si="785"/>
        <v>0</v>
      </c>
      <c r="BV322" s="10">
        <f t="shared" si="785"/>
        <v>0</v>
      </c>
      <c r="BW322" s="10">
        <f t="shared" si="785"/>
        <v>0</v>
      </c>
      <c r="BY322" s="12"/>
      <c r="CA322" s="12"/>
      <c r="CI322" s="7">
        <f t="shared" ref="CI322:CI326" si="786">IF(SUM($CM322:$CO322)=0, 0, 1)</f>
        <v>0</v>
      </c>
      <c r="CJ322" s="7">
        <f t="shared" ref="CJ322:CJ326" si="787">IF(SUM($CP322:$CR322)=0, 0, 1)</f>
        <v>0</v>
      </c>
      <c r="CK322" s="7">
        <f t="shared" ref="CK322:CK326" si="788">IF($CS322=0, 0, 1)</f>
        <v>0</v>
      </c>
      <c r="CL322" s="42"/>
      <c r="CM322" s="352">
        <v>0</v>
      </c>
      <c r="CN322" s="352">
        <v>0</v>
      </c>
      <c r="CO322" s="352">
        <v>0</v>
      </c>
      <c r="CP322" s="352">
        <v>0</v>
      </c>
      <c r="CQ322" s="352">
        <v>0</v>
      </c>
      <c r="CR322" s="352">
        <v>0</v>
      </c>
      <c r="CS322" s="352">
        <v>0</v>
      </c>
      <c r="CT322" s="42"/>
      <c r="CU322" s="335">
        <v>0</v>
      </c>
      <c r="CV322" s="335">
        <v>0</v>
      </c>
      <c r="EX322" s="10" t="str">
        <f t="shared" si="620"/>
        <v/>
      </c>
    </row>
    <row r="323" spans="1:154" s="335" customFormat="1" x14ac:dyDescent="0.25">
      <c r="A323" s="362" cm="1">
        <f t="array" aca="1" ref="A323" ca="1">HYPERLINK(CONCATENATE("#",CELL("address",IF(SUM($CA323:$CL323)=0,A323,INDEX($CA323:$CL323,MATCH(1,$CA323:$CL323,0))))),SUM($CA323:$CL323))</f>
        <v>0</v>
      </c>
      <c r="C323" s="385"/>
      <c r="D323" s="335" t="str">
        <f>Parameters!D$46</f>
        <v>Equipment</v>
      </c>
      <c r="H323" s="9" t="s">
        <v>86</v>
      </c>
      <c r="V323" s="10">
        <f t="shared" si="780"/>
        <v>0</v>
      </c>
      <c r="W323" s="10">
        <f t="shared" si="780"/>
        <v>0</v>
      </c>
      <c r="X323" s="10">
        <f t="shared" si="780"/>
        <v>0</v>
      </c>
      <c r="Y323" s="10">
        <f t="shared" si="780"/>
        <v>0</v>
      </c>
      <c r="AA323" s="10">
        <f t="shared" si="781"/>
        <v>0</v>
      </c>
      <c r="AB323" s="10">
        <f t="shared" si="781"/>
        <v>0</v>
      </c>
      <c r="AC323" s="10">
        <f t="shared" si="781"/>
        <v>0</v>
      </c>
      <c r="AD323" s="10">
        <f t="shared" si="781"/>
        <v>0</v>
      </c>
      <c r="AE323" s="10">
        <f t="shared" si="781"/>
        <v>0</v>
      </c>
      <c r="AF323" s="10">
        <f t="shared" si="781"/>
        <v>0</v>
      </c>
      <c r="AG323" s="10">
        <f t="shared" si="781"/>
        <v>0</v>
      </c>
      <c r="AH323" s="10">
        <f t="shared" si="781"/>
        <v>0</v>
      </c>
      <c r="AI323" s="10">
        <f t="shared" si="781"/>
        <v>0</v>
      </c>
      <c r="AJ323" s="10">
        <f t="shared" si="781"/>
        <v>0</v>
      </c>
      <c r="AK323" s="10">
        <f t="shared" si="782"/>
        <v>0</v>
      </c>
      <c r="AL323" s="10">
        <f t="shared" si="782"/>
        <v>0</v>
      </c>
      <c r="AM323" s="10">
        <f t="shared" si="782"/>
        <v>0</v>
      </c>
      <c r="AN323" s="10">
        <f t="shared" si="782"/>
        <v>0</v>
      </c>
      <c r="AO323" s="10">
        <f t="shared" si="782"/>
        <v>0</v>
      </c>
      <c r="AP323" s="10">
        <f t="shared" si="782"/>
        <v>0</v>
      </c>
      <c r="AQ323" s="10">
        <f t="shared" si="782"/>
        <v>0</v>
      </c>
      <c r="AR323" s="10">
        <f t="shared" si="782"/>
        <v>0</v>
      </c>
      <c r="AS323" s="10">
        <f t="shared" si="782"/>
        <v>0</v>
      </c>
      <c r="AT323" s="10">
        <f t="shared" si="782"/>
        <v>0</v>
      </c>
      <c r="AU323" s="10">
        <f t="shared" si="783"/>
        <v>0</v>
      </c>
      <c r="AV323" s="10">
        <f t="shared" si="783"/>
        <v>0</v>
      </c>
      <c r="AW323" s="10">
        <f t="shared" si="783"/>
        <v>0</v>
      </c>
      <c r="AX323" s="10">
        <f t="shared" si="783"/>
        <v>0</v>
      </c>
      <c r="AY323" s="10">
        <f t="shared" si="783"/>
        <v>0</v>
      </c>
      <c r="AZ323" s="10">
        <f t="shared" si="783"/>
        <v>0</v>
      </c>
      <c r="BA323" s="10">
        <f t="shared" si="783"/>
        <v>0</v>
      </c>
      <c r="BB323" s="10">
        <f t="shared" si="783"/>
        <v>0</v>
      </c>
      <c r="BC323" s="10">
        <f t="shared" si="783"/>
        <v>0</v>
      </c>
      <c r="BD323" s="10">
        <f t="shared" si="783"/>
        <v>0</v>
      </c>
      <c r="BE323" s="10">
        <f t="shared" si="784"/>
        <v>0</v>
      </c>
      <c r="BF323" s="10">
        <f t="shared" si="784"/>
        <v>0</v>
      </c>
      <c r="BG323" s="10">
        <f t="shared" si="784"/>
        <v>0</v>
      </c>
      <c r="BH323" s="10">
        <f t="shared" si="784"/>
        <v>0</v>
      </c>
      <c r="BI323" s="10">
        <f t="shared" si="784"/>
        <v>0</v>
      </c>
      <c r="BJ323" s="10">
        <f t="shared" si="784"/>
        <v>0</v>
      </c>
      <c r="BL323" s="10">
        <f t="shared" si="785"/>
        <v>0</v>
      </c>
      <c r="BM323" s="10">
        <f t="shared" si="785"/>
        <v>0</v>
      </c>
      <c r="BN323" s="10">
        <f t="shared" si="785"/>
        <v>0</v>
      </c>
      <c r="BO323" s="10">
        <f t="shared" si="785"/>
        <v>0</v>
      </c>
      <c r="BP323" s="10">
        <f t="shared" si="785"/>
        <v>0</v>
      </c>
      <c r="BQ323" s="10">
        <f t="shared" si="785"/>
        <v>0</v>
      </c>
      <c r="BR323" s="10">
        <f t="shared" si="785"/>
        <v>0</v>
      </c>
      <c r="BS323" s="10">
        <f t="shared" si="785"/>
        <v>0</v>
      </c>
      <c r="BT323" s="10">
        <f t="shared" si="785"/>
        <v>0</v>
      </c>
      <c r="BU323" s="10">
        <f t="shared" si="785"/>
        <v>0</v>
      </c>
      <c r="BV323" s="10">
        <f t="shared" si="785"/>
        <v>0</v>
      </c>
      <c r="BW323" s="10">
        <f t="shared" si="785"/>
        <v>0</v>
      </c>
      <c r="BY323" s="12"/>
      <c r="CA323" s="12"/>
      <c r="CI323" s="7">
        <f t="shared" si="786"/>
        <v>0</v>
      </c>
      <c r="CJ323" s="7">
        <f t="shared" si="787"/>
        <v>0</v>
      </c>
      <c r="CK323" s="7">
        <f>IF($CS323=0, 0, 1)</f>
        <v>0</v>
      </c>
      <c r="CL323" s="42"/>
      <c r="CM323" s="352">
        <v>0</v>
      </c>
      <c r="CN323" s="352">
        <v>0</v>
      </c>
      <c r="CO323" s="352">
        <v>0</v>
      </c>
      <c r="CP323" s="352">
        <v>0</v>
      </c>
      <c r="CQ323" s="352">
        <v>0</v>
      </c>
      <c r="CR323" s="352">
        <v>0</v>
      </c>
      <c r="CS323" s="352">
        <v>0</v>
      </c>
      <c r="CT323" s="42"/>
      <c r="CU323" s="335">
        <v>0</v>
      </c>
      <c r="CV323" s="335">
        <v>0</v>
      </c>
      <c r="EX323" s="10" t="str">
        <f t="shared" si="620"/>
        <v/>
      </c>
    </row>
    <row r="324" spans="1:154" s="335" customFormat="1" x14ac:dyDescent="0.25">
      <c r="A324" s="362" cm="1">
        <f t="array" aca="1" ref="A324" ca="1">HYPERLINK(CONCATENATE("#",CELL("address",IF(SUM($CA324:$CL324)=0,A324,INDEX($CA324:$CL324,MATCH(1,$CA324:$CL324,0))))),SUM($CA324:$CL324))</f>
        <v>0</v>
      </c>
      <c r="C324" s="385"/>
      <c r="D324" s="335" t="str">
        <f>Parameters!D$47</f>
        <v>Investments</v>
      </c>
      <c r="H324" s="9" t="s">
        <v>86</v>
      </c>
      <c r="V324" s="10">
        <f t="shared" si="780"/>
        <v>0</v>
      </c>
      <c r="W324" s="10">
        <f t="shared" si="780"/>
        <v>0</v>
      </c>
      <c r="X324" s="10">
        <f t="shared" si="780"/>
        <v>0</v>
      </c>
      <c r="Y324" s="10">
        <f t="shared" si="780"/>
        <v>0</v>
      </c>
      <c r="AA324" s="10">
        <f t="shared" si="781"/>
        <v>0</v>
      </c>
      <c r="AB324" s="10">
        <f t="shared" si="781"/>
        <v>0</v>
      </c>
      <c r="AC324" s="10">
        <f t="shared" si="781"/>
        <v>0</v>
      </c>
      <c r="AD324" s="10">
        <f t="shared" si="781"/>
        <v>0</v>
      </c>
      <c r="AE324" s="10">
        <f t="shared" si="781"/>
        <v>0</v>
      </c>
      <c r="AF324" s="10">
        <f t="shared" si="781"/>
        <v>0</v>
      </c>
      <c r="AG324" s="10">
        <f t="shared" si="781"/>
        <v>0</v>
      </c>
      <c r="AH324" s="10">
        <f t="shared" si="781"/>
        <v>0</v>
      </c>
      <c r="AI324" s="10">
        <f t="shared" si="781"/>
        <v>0</v>
      </c>
      <c r="AJ324" s="10">
        <f t="shared" si="781"/>
        <v>0</v>
      </c>
      <c r="AK324" s="10">
        <f t="shared" si="782"/>
        <v>0</v>
      </c>
      <c r="AL324" s="10">
        <f t="shared" si="782"/>
        <v>0</v>
      </c>
      <c r="AM324" s="10">
        <f t="shared" si="782"/>
        <v>0</v>
      </c>
      <c r="AN324" s="10">
        <f t="shared" si="782"/>
        <v>0</v>
      </c>
      <c r="AO324" s="10">
        <f t="shared" si="782"/>
        <v>0</v>
      </c>
      <c r="AP324" s="10">
        <f t="shared" si="782"/>
        <v>0</v>
      </c>
      <c r="AQ324" s="10">
        <f t="shared" si="782"/>
        <v>0</v>
      </c>
      <c r="AR324" s="10">
        <f t="shared" si="782"/>
        <v>0</v>
      </c>
      <c r="AS324" s="10">
        <f t="shared" si="782"/>
        <v>0</v>
      </c>
      <c r="AT324" s="10">
        <f t="shared" si="782"/>
        <v>0</v>
      </c>
      <c r="AU324" s="10">
        <f t="shared" si="783"/>
        <v>0</v>
      </c>
      <c r="AV324" s="10">
        <f t="shared" si="783"/>
        <v>0</v>
      </c>
      <c r="AW324" s="10">
        <f t="shared" si="783"/>
        <v>0</v>
      </c>
      <c r="AX324" s="10">
        <f t="shared" si="783"/>
        <v>0</v>
      </c>
      <c r="AY324" s="10">
        <f t="shared" si="783"/>
        <v>0</v>
      </c>
      <c r="AZ324" s="10">
        <f t="shared" si="783"/>
        <v>0</v>
      </c>
      <c r="BA324" s="10">
        <f t="shared" si="783"/>
        <v>0</v>
      </c>
      <c r="BB324" s="10">
        <f t="shared" si="783"/>
        <v>0</v>
      </c>
      <c r="BC324" s="10">
        <f t="shared" si="783"/>
        <v>0</v>
      </c>
      <c r="BD324" s="10">
        <f t="shared" si="783"/>
        <v>0</v>
      </c>
      <c r="BE324" s="10">
        <f t="shared" si="784"/>
        <v>0</v>
      </c>
      <c r="BF324" s="10">
        <f t="shared" si="784"/>
        <v>0</v>
      </c>
      <c r="BG324" s="10">
        <f t="shared" si="784"/>
        <v>0</v>
      </c>
      <c r="BH324" s="10">
        <f t="shared" si="784"/>
        <v>0</v>
      </c>
      <c r="BI324" s="10">
        <f t="shared" si="784"/>
        <v>0</v>
      </c>
      <c r="BJ324" s="10">
        <f t="shared" si="784"/>
        <v>0</v>
      </c>
      <c r="BL324" s="10">
        <f t="shared" si="785"/>
        <v>0</v>
      </c>
      <c r="BM324" s="10">
        <f t="shared" si="785"/>
        <v>0</v>
      </c>
      <c r="BN324" s="10">
        <f t="shared" si="785"/>
        <v>0</v>
      </c>
      <c r="BO324" s="10">
        <f t="shared" si="785"/>
        <v>0</v>
      </c>
      <c r="BP324" s="10">
        <f t="shared" si="785"/>
        <v>0</v>
      </c>
      <c r="BQ324" s="10">
        <f t="shared" si="785"/>
        <v>0</v>
      </c>
      <c r="BR324" s="10">
        <f t="shared" si="785"/>
        <v>0</v>
      </c>
      <c r="BS324" s="10">
        <f t="shared" si="785"/>
        <v>0</v>
      </c>
      <c r="BT324" s="10">
        <f t="shared" si="785"/>
        <v>0</v>
      </c>
      <c r="BU324" s="10">
        <f t="shared" si="785"/>
        <v>0</v>
      </c>
      <c r="BV324" s="10">
        <f t="shared" si="785"/>
        <v>0</v>
      </c>
      <c r="BW324" s="10">
        <f t="shared" si="785"/>
        <v>0</v>
      </c>
      <c r="BY324" s="12"/>
      <c r="CA324" s="12"/>
      <c r="CI324" s="7">
        <f t="shared" si="786"/>
        <v>0</v>
      </c>
      <c r="CJ324" s="7">
        <f t="shared" si="787"/>
        <v>0</v>
      </c>
      <c r="CK324" s="7">
        <f t="shared" si="788"/>
        <v>0</v>
      </c>
      <c r="CL324" s="42"/>
      <c r="CM324" s="352">
        <v>0</v>
      </c>
      <c r="CN324" s="352">
        <v>0</v>
      </c>
      <c r="CO324" s="352">
        <v>0</v>
      </c>
      <c r="CP324" s="352">
        <v>0</v>
      </c>
      <c r="CQ324" s="352">
        <v>0</v>
      </c>
      <c r="CR324" s="352">
        <v>0</v>
      </c>
      <c r="CS324" s="352">
        <v>0</v>
      </c>
      <c r="CT324" s="42"/>
      <c r="CU324" s="335">
        <v>0</v>
      </c>
      <c r="CV324" s="335">
        <v>0</v>
      </c>
      <c r="EX324" s="10" t="str">
        <f t="shared" si="620"/>
        <v/>
      </c>
    </row>
    <row r="325" spans="1:154" s="335" customFormat="1" x14ac:dyDescent="0.25">
      <c r="A325" s="362" cm="1">
        <f t="array" aca="1" ref="A325" ca="1">HYPERLINK(CONCATENATE("#",CELL("address",IF(SUM($CA325:$CL325)=0,A325,INDEX($CA325:$CL325,MATCH(1,$CA325:$CL325,0))))),SUM($CA325:$CL325))</f>
        <v>0</v>
      </c>
      <c r="C325" s="385"/>
      <c r="D325" s="335" t="str">
        <f>Parameters!D$48</f>
        <v>Other NCA</v>
      </c>
      <c r="H325" s="9" t="s">
        <v>86</v>
      </c>
      <c r="V325" s="10">
        <f t="shared" si="780"/>
        <v>0</v>
      </c>
      <c r="W325" s="10">
        <f t="shared" si="780"/>
        <v>0</v>
      </c>
      <c r="X325" s="10">
        <f t="shared" si="780"/>
        <v>0</v>
      </c>
      <c r="Y325" s="10">
        <f t="shared" si="780"/>
        <v>0</v>
      </c>
      <c r="AA325" s="10">
        <f t="shared" si="781"/>
        <v>0</v>
      </c>
      <c r="AB325" s="10">
        <f t="shared" si="781"/>
        <v>0</v>
      </c>
      <c r="AC325" s="10">
        <f t="shared" si="781"/>
        <v>0</v>
      </c>
      <c r="AD325" s="10">
        <f t="shared" si="781"/>
        <v>0</v>
      </c>
      <c r="AE325" s="10">
        <f t="shared" si="781"/>
        <v>0</v>
      </c>
      <c r="AF325" s="10">
        <f t="shared" si="781"/>
        <v>0</v>
      </c>
      <c r="AG325" s="10">
        <f t="shared" si="781"/>
        <v>0</v>
      </c>
      <c r="AH325" s="10">
        <f t="shared" si="781"/>
        <v>0</v>
      </c>
      <c r="AI325" s="10">
        <f t="shared" si="781"/>
        <v>0</v>
      </c>
      <c r="AJ325" s="10">
        <f t="shared" si="781"/>
        <v>0</v>
      </c>
      <c r="AK325" s="10">
        <f t="shared" si="782"/>
        <v>0</v>
      </c>
      <c r="AL325" s="10">
        <f t="shared" si="782"/>
        <v>0</v>
      </c>
      <c r="AM325" s="10">
        <f t="shared" si="782"/>
        <v>0</v>
      </c>
      <c r="AN325" s="10">
        <f t="shared" si="782"/>
        <v>0</v>
      </c>
      <c r="AO325" s="10">
        <f t="shared" si="782"/>
        <v>0</v>
      </c>
      <c r="AP325" s="10">
        <f t="shared" si="782"/>
        <v>0</v>
      </c>
      <c r="AQ325" s="10">
        <f t="shared" si="782"/>
        <v>0</v>
      </c>
      <c r="AR325" s="10">
        <f t="shared" si="782"/>
        <v>0</v>
      </c>
      <c r="AS325" s="10">
        <f t="shared" si="782"/>
        <v>0</v>
      </c>
      <c r="AT325" s="10">
        <f t="shared" si="782"/>
        <v>0</v>
      </c>
      <c r="AU325" s="10">
        <f t="shared" si="783"/>
        <v>0</v>
      </c>
      <c r="AV325" s="10">
        <f t="shared" si="783"/>
        <v>0</v>
      </c>
      <c r="AW325" s="10">
        <f t="shared" si="783"/>
        <v>0</v>
      </c>
      <c r="AX325" s="10">
        <f t="shared" si="783"/>
        <v>0</v>
      </c>
      <c r="AY325" s="10">
        <f t="shared" si="783"/>
        <v>0</v>
      </c>
      <c r="AZ325" s="10">
        <f t="shared" si="783"/>
        <v>0</v>
      </c>
      <c r="BA325" s="10">
        <f t="shared" si="783"/>
        <v>0</v>
      </c>
      <c r="BB325" s="10">
        <f t="shared" si="783"/>
        <v>0</v>
      </c>
      <c r="BC325" s="10">
        <f t="shared" si="783"/>
        <v>0</v>
      </c>
      <c r="BD325" s="10">
        <f t="shared" si="783"/>
        <v>0</v>
      </c>
      <c r="BE325" s="10">
        <f t="shared" si="784"/>
        <v>0</v>
      </c>
      <c r="BF325" s="10">
        <f t="shared" si="784"/>
        <v>0</v>
      </c>
      <c r="BG325" s="10">
        <f t="shared" si="784"/>
        <v>0</v>
      </c>
      <c r="BH325" s="10">
        <f t="shared" si="784"/>
        <v>0</v>
      </c>
      <c r="BI325" s="10">
        <f t="shared" si="784"/>
        <v>0</v>
      </c>
      <c r="BJ325" s="10">
        <f t="shared" si="784"/>
        <v>0</v>
      </c>
      <c r="BL325" s="10">
        <f t="shared" si="785"/>
        <v>0</v>
      </c>
      <c r="BM325" s="10">
        <f t="shared" si="785"/>
        <v>0</v>
      </c>
      <c r="BN325" s="10">
        <f t="shared" si="785"/>
        <v>0</v>
      </c>
      <c r="BO325" s="10">
        <f t="shared" si="785"/>
        <v>0</v>
      </c>
      <c r="BP325" s="10">
        <f t="shared" si="785"/>
        <v>0</v>
      </c>
      <c r="BQ325" s="10">
        <f t="shared" si="785"/>
        <v>0</v>
      </c>
      <c r="BR325" s="10">
        <f t="shared" si="785"/>
        <v>0</v>
      </c>
      <c r="BS325" s="10">
        <f t="shared" si="785"/>
        <v>0</v>
      </c>
      <c r="BT325" s="10">
        <f t="shared" si="785"/>
        <v>0</v>
      </c>
      <c r="BU325" s="10">
        <f t="shared" si="785"/>
        <v>0</v>
      </c>
      <c r="BV325" s="10">
        <f t="shared" si="785"/>
        <v>0</v>
      </c>
      <c r="BW325" s="10">
        <f t="shared" si="785"/>
        <v>0</v>
      </c>
      <c r="BY325" s="12"/>
      <c r="CA325" s="12"/>
      <c r="CI325" s="7">
        <f t="shared" si="786"/>
        <v>0</v>
      </c>
      <c r="CJ325" s="7">
        <f t="shared" si="787"/>
        <v>0</v>
      </c>
      <c r="CK325" s="7">
        <f t="shared" si="788"/>
        <v>0</v>
      </c>
      <c r="CL325" s="42"/>
      <c r="CM325" s="352">
        <v>0</v>
      </c>
      <c r="CN325" s="352">
        <v>0</v>
      </c>
      <c r="CO325" s="352">
        <v>0</v>
      </c>
      <c r="CP325" s="352">
        <v>0</v>
      </c>
      <c r="CQ325" s="352">
        <v>0</v>
      </c>
      <c r="CR325" s="352">
        <v>0</v>
      </c>
      <c r="CS325" s="352">
        <v>0</v>
      </c>
      <c r="CT325" s="42"/>
      <c r="CU325" s="335">
        <v>0</v>
      </c>
      <c r="CV325" s="335">
        <v>0</v>
      </c>
      <c r="EX325" s="10" t="str">
        <f t="shared" si="620"/>
        <v/>
      </c>
    </row>
    <row r="326" spans="1:154" s="335" customFormat="1" x14ac:dyDescent="0.25">
      <c r="A326" s="362" cm="1">
        <f t="array" aca="1" ref="A326" ca="1">HYPERLINK(CONCATENATE("#",CELL("address",IF(SUM($CA326:$CL326)=0,A326,INDEX($CA326:$CL326,MATCH(1,$CA326:$CL326,0))))),SUM($CA326:$CL326))</f>
        <v>0</v>
      </c>
      <c r="C326" s="385"/>
      <c r="D326" s="335" t="str">
        <f>Parameters!D$49</f>
        <v xml:space="preserve">Assets Held for Sale </v>
      </c>
      <c r="H326" s="9" t="s">
        <v>86</v>
      </c>
      <c r="V326" s="10">
        <f t="shared" si="780"/>
        <v>0</v>
      </c>
      <c r="W326" s="10">
        <f t="shared" si="780"/>
        <v>0</v>
      </c>
      <c r="X326" s="10">
        <f t="shared" si="780"/>
        <v>0</v>
      </c>
      <c r="Y326" s="10">
        <f t="shared" si="780"/>
        <v>0</v>
      </c>
      <c r="AA326" s="10">
        <f t="shared" si="781"/>
        <v>0</v>
      </c>
      <c r="AB326" s="10">
        <f t="shared" si="781"/>
        <v>0</v>
      </c>
      <c r="AC326" s="10">
        <f t="shared" si="781"/>
        <v>0</v>
      </c>
      <c r="AD326" s="10">
        <f t="shared" si="781"/>
        <v>0</v>
      </c>
      <c r="AE326" s="10">
        <f t="shared" si="781"/>
        <v>0</v>
      </c>
      <c r="AF326" s="10">
        <f t="shared" si="781"/>
        <v>0</v>
      </c>
      <c r="AG326" s="10">
        <f t="shared" si="781"/>
        <v>0</v>
      </c>
      <c r="AH326" s="10">
        <f t="shared" si="781"/>
        <v>0</v>
      </c>
      <c r="AI326" s="10">
        <f t="shared" si="781"/>
        <v>0</v>
      </c>
      <c r="AJ326" s="10">
        <f t="shared" si="781"/>
        <v>0</v>
      </c>
      <c r="AK326" s="10">
        <f t="shared" si="782"/>
        <v>0</v>
      </c>
      <c r="AL326" s="10">
        <f t="shared" si="782"/>
        <v>0</v>
      </c>
      <c r="AM326" s="10">
        <f t="shared" si="782"/>
        <v>0</v>
      </c>
      <c r="AN326" s="10">
        <f t="shared" si="782"/>
        <v>0</v>
      </c>
      <c r="AO326" s="10">
        <f t="shared" si="782"/>
        <v>0</v>
      </c>
      <c r="AP326" s="10">
        <f t="shared" si="782"/>
        <v>0</v>
      </c>
      <c r="AQ326" s="10">
        <f t="shared" si="782"/>
        <v>0</v>
      </c>
      <c r="AR326" s="10">
        <f t="shared" si="782"/>
        <v>0</v>
      </c>
      <c r="AS326" s="10">
        <f t="shared" si="782"/>
        <v>0</v>
      </c>
      <c r="AT326" s="10">
        <f t="shared" si="782"/>
        <v>0</v>
      </c>
      <c r="AU326" s="10">
        <f t="shared" si="783"/>
        <v>0</v>
      </c>
      <c r="AV326" s="10">
        <f t="shared" si="783"/>
        <v>0</v>
      </c>
      <c r="AW326" s="10">
        <f t="shared" si="783"/>
        <v>0</v>
      </c>
      <c r="AX326" s="10">
        <f t="shared" si="783"/>
        <v>0</v>
      </c>
      <c r="AY326" s="10">
        <f t="shared" si="783"/>
        <v>0</v>
      </c>
      <c r="AZ326" s="10">
        <f t="shared" si="783"/>
        <v>0</v>
      </c>
      <c r="BA326" s="10">
        <f t="shared" si="783"/>
        <v>0</v>
      </c>
      <c r="BB326" s="10">
        <f t="shared" si="783"/>
        <v>0</v>
      </c>
      <c r="BC326" s="10">
        <f t="shared" si="783"/>
        <v>0</v>
      </c>
      <c r="BD326" s="10">
        <f t="shared" si="783"/>
        <v>0</v>
      </c>
      <c r="BE326" s="10">
        <f t="shared" si="784"/>
        <v>0</v>
      </c>
      <c r="BF326" s="10">
        <f t="shared" si="784"/>
        <v>0</v>
      </c>
      <c r="BG326" s="10">
        <f t="shared" si="784"/>
        <v>0</v>
      </c>
      <c r="BH326" s="10">
        <f t="shared" si="784"/>
        <v>0</v>
      </c>
      <c r="BI326" s="10">
        <f t="shared" si="784"/>
        <v>0</v>
      </c>
      <c r="BJ326" s="10">
        <f t="shared" si="784"/>
        <v>0</v>
      </c>
      <c r="BL326" s="10">
        <f t="shared" ref="BL326:BR326" si="789">SUMIFS(BL$305:BL$319, $D$305:$D$319, $D326)</f>
        <v>0</v>
      </c>
      <c r="BM326" s="10">
        <f t="shared" si="789"/>
        <v>0</v>
      </c>
      <c r="BN326" s="10">
        <f t="shared" si="789"/>
        <v>0</v>
      </c>
      <c r="BO326" s="10">
        <f t="shared" si="789"/>
        <v>0</v>
      </c>
      <c r="BP326" s="10">
        <f t="shared" si="789"/>
        <v>0</v>
      </c>
      <c r="BQ326" s="10">
        <f t="shared" si="789"/>
        <v>0</v>
      </c>
      <c r="BR326" s="10">
        <f t="shared" si="789"/>
        <v>0</v>
      </c>
      <c r="BS326" s="10">
        <f t="shared" ref="BS326:BW326" si="790">SUMIFS(BS$305:BS$319, $D$305:$D$319, $D326)</f>
        <v>0</v>
      </c>
      <c r="BT326" s="10">
        <f t="shared" si="790"/>
        <v>0</v>
      </c>
      <c r="BU326" s="10">
        <f t="shared" si="790"/>
        <v>0</v>
      </c>
      <c r="BV326" s="10">
        <f t="shared" si="790"/>
        <v>0</v>
      </c>
      <c r="BW326" s="10">
        <f t="shared" si="790"/>
        <v>0</v>
      </c>
      <c r="BY326" s="12"/>
      <c r="CA326" s="12"/>
      <c r="CI326" s="7">
        <f t="shared" si="786"/>
        <v>0</v>
      </c>
      <c r="CJ326" s="7">
        <f t="shared" si="787"/>
        <v>0</v>
      </c>
      <c r="CK326" s="7">
        <f t="shared" si="788"/>
        <v>0</v>
      </c>
      <c r="CL326" s="42"/>
      <c r="CM326" s="352">
        <v>0</v>
      </c>
      <c r="CN326" s="352">
        <v>0</v>
      </c>
      <c r="CO326" s="352">
        <v>0</v>
      </c>
      <c r="CP326" s="352">
        <v>0</v>
      </c>
      <c r="CQ326" s="352">
        <v>0</v>
      </c>
      <c r="CR326" s="352">
        <v>0</v>
      </c>
      <c r="CS326" s="352">
        <v>0</v>
      </c>
      <c r="CT326" s="42"/>
      <c r="CU326" s="335">
        <v>0</v>
      </c>
      <c r="CV326" s="335">
        <v>0</v>
      </c>
      <c r="EX326" s="10" t="str">
        <f t="shared" si="620"/>
        <v/>
      </c>
    </row>
    <row r="327" spans="1:154" s="335" customFormat="1" ht="8.1" customHeight="1" x14ac:dyDescent="0.25">
      <c r="C327" s="385"/>
      <c r="D327" s="1"/>
      <c r="BY327" s="12"/>
      <c r="CA327" s="12"/>
      <c r="CL327" s="42"/>
      <c r="CT327" s="42"/>
      <c r="EX327" s="10" t="str">
        <f t="shared" si="620"/>
        <v/>
      </c>
    </row>
    <row r="328" spans="1:154" s="5" customFormat="1" x14ac:dyDescent="0.25">
      <c r="A328" s="328"/>
      <c r="C328" s="406"/>
      <c r="D328" s="74" t="s">
        <v>2323</v>
      </c>
      <c r="E328" s="435" t="s">
        <v>1745</v>
      </c>
      <c r="R328" s="328"/>
      <c r="S328" s="335"/>
      <c r="T328" s="335"/>
      <c r="U328" s="335"/>
      <c r="V328" s="13">
        <f>1*(SUMIFS(V13:V326, $CU$13:$CU$326, 1)&lt;&gt;0)</f>
        <v>0</v>
      </c>
      <c r="W328" s="136"/>
      <c r="X328" s="136"/>
      <c r="Y328" s="136"/>
      <c r="Z328" s="335"/>
      <c r="AA328" s="136"/>
      <c r="AB328" s="136"/>
      <c r="AC328" s="136"/>
      <c r="AD328" s="136"/>
      <c r="AE328" s="136"/>
      <c r="AF328" s="136"/>
      <c r="AG328" s="136"/>
      <c r="AH328" s="136"/>
      <c r="AI328" s="136"/>
      <c r="AJ328" s="136"/>
      <c r="AK328" s="136"/>
      <c r="AL328" s="136"/>
      <c r="AM328" s="136"/>
      <c r="AN328" s="136"/>
      <c r="AO328" s="136"/>
      <c r="AP328" s="136"/>
      <c r="AQ328" s="136"/>
      <c r="AR328" s="136"/>
      <c r="AS328" s="136"/>
      <c r="AT328" s="136"/>
      <c r="AU328" s="136"/>
      <c r="AV328" s="136"/>
      <c r="AW328" s="136"/>
      <c r="AX328" s="136"/>
      <c r="AY328" s="136"/>
      <c r="AZ328" s="136"/>
      <c r="BA328" s="136"/>
      <c r="BB328" s="136"/>
      <c r="BC328" s="136"/>
      <c r="BD328" s="136"/>
      <c r="BE328" s="136"/>
      <c r="BF328" s="136"/>
      <c r="BG328" s="136"/>
      <c r="BH328" s="136"/>
      <c r="BI328" s="136"/>
      <c r="BJ328" s="136"/>
      <c r="BK328" s="335"/>
      <c r="BL328" s="136"/>
      <c r="BM328" s="136"/>
      <c r="BN328" s="136"/>
      <c r="BO328" s="136"/>
      <c r="BP328" s="13">
        <f t="shared" ref="BP328:BW328" si="791">1*(SUMIFS(BP13:BP326, $CV$13:$CV$326, 1)&lt;&gt;0)</f>
        <v>0</v>
      </c>
      <c r="BQ328" s="13">
        <f t="shared" si="791"/>
        <v>0</v>
      </c>
      <c r="BR328" s="13">
        <f t="shared" si="791"/>
        <v>0</v>
      </c>
      <c r="BS328" s="13">
        <f t="shared" si="791"/>
        <v>0</v>
      </c>
      <c r="BT328" s="13">
        <f t="shared" si="791"/>
        <v>0</v>
      </c>
      <c r="BU328" s="13">
        <f t="shared" si="791"/>
        <v>0</v>
      </c>
      <c r="BV328" s="13">
        <f t="shared" si="791"/>
        <v>0</v>
      </c>
      <c r="BW328" s="13">
        <f t="shared" si="791"/>
        <v>0</v>
      </c>
      <c r="BY328" s="12"/>
      <c r="BZ328" s="335"/>
      <c r="CA328" s="12"/>
      <c r="CB328" s="335"/>
      <c r="CC328" s="335"/>
      <c r="CD328" s="335"/>
      <c r="CE328" s="335"/>
      <c r="CF328" s="335"/>
      <c r="CG328" s="335"/>
      <c r="CH328" s="335"/>
      <c r="CI328" s="335"/>
      <c r="CJ328" s="335"/>
      <c r="CK328" s="335"/>
      <c r="CL328" s="42"/>
      <c r="CM328" s="335"/>
      <c r="CN328" s="335"/>
      <c r="CO328" s="335"/>
      <c r="CP328" s="335"/>
      <c r="CQ328" s="335"/>
      <c r="CR328" s="335"/>
      <c r="CS328" s="335"/>
      <c r="CT328" s="42"/>
      <c r="EX328" s="10" t="str">
        <f t="shared" ref="EX328:EX331" si="792">IF($C328="","",$D328)</f>
        <v/>
      </c>
    </row>
    <row r="329" spans="1:154" s="328" customFormat="1" ht="15.75" x14ac:dyDescent="0.3">
      <c r="B329" s="479" t="s">
        <v>335</v>
      </c>
      <c r="C329" s="385"/>
      <c r="D329" s="74" t="s">
        <v>936</v>
      </c>
      <c r="E329" s="45">
        <v>1</v>
      </c>
      <c r="F329" s="45">
        <f>IF(COUNTA(AA13:BJ27,G53:G67,G78:G92,G104:G118,G130:H144)=0, 1,0)</f>
        <v>0</v>
      </c>
      <c r="G329" s="5"/>
      <c r="H329" s="5"/>
      <c r="I329" s="5"/>
      <c r="J329" s="5"/>
      <c r="K329" s="5"/>
      <c r="L329" s="5"/>
      <c r="M329" s="5"/>
      <c r="N329" s="5"/>
      <c r="O329" s="5"/>
      <c r="P329" s="5"/>
      <c r="Q329" s="5"/>
      <c r="R329" s="5"/>
      <c r="T329" s="335"/>
      <c r="U329" s="335"/>
      <c r="V329" s="13">
        <f>IF($F329=1, 1, IF(V328=0, 0, 1))</f>
        <v>0</v>
      </c>
      <c r="W329" s="45">
        <f>$E329</f>
        <v>1</v>
      </c>
      <c r="X329" s="45">
        <f t="shared" ref="X329:BJ329" si="793">$E329</f>
        <v>1</v>
      </c>
      <c r="Y329" s="45">
        <f t="shared" si="793"/>
        <v>1</v>
      </c>
      <c r="Z329" s="335"/>
      <c r="AA329" s="45">
        <f t="shared" si="793"/>
        <v>1</v>
      </c>
      <c r="AB329" s="45">
        <f t="shared" si="793"/>
        <v>1</v>
      </c>
      <c r="AC329" s="45">
        <f t="shared" si="793"/>
        <v>1</v>
      </c>
      <c r="AD329" s="45">
        <f t="shared" si="793"/>
        <v>1</v>
      </c>
      <c r="AE329" s="45">
        <f t="shared" si="793"/>
        <v>1</v>
      </c>
      <c r="AF329" s="45">
        <f t="shared" si="793"/>
        <v>1</v>
      </c>
      <c r="AG329" s="45">
        <f t="shared" si="793"/>
        <v>1</v>
      </c>
      <c r="AH329" s="45">
        <f t="shared" si="793"/>
        <v>1</v>
      </c>
      <c r="AI329" s="45">
        <f t="shared" si="793"/>
        <v>1</v>
      </c>
      <c r="AJ329" s="45">
        <f t="shared" si="793"/>
        <v>1</v>
      </c>
      <c r="AK329" s="45">
        <f t="shared" si="793"/>
        <v>1</v>
      </c>
      <c r="AL329" s="45">
        <f t="shared" si="793"/>
        <v>1</v>
      </c>
      <c r="AM329" s="45">
        <f t="shared" si="793"/>
        <v>1</v>
      </c>
      <c r="AN329" s="45">
        <f t="shared" si="793"/>
        <v>1</v>
      </c>
      <c r="AO329" s="45">
        <f t="shared" si="793"/>
        <v>1</v>
      </c>
      <c r="AP329" s="45">
        <f t="shared" si="793"/>
        <v>1</v>
      </c>
      <c r="AQ329" s="45">
        <f t="shared" si="793"/>
        <v>1</v>
      </c>
      <c r="AR329" s="45">
        <f t="shared" si="793"/>
        <v>1</v>
      </c>
      <c r="AS329" s="45">
        <f t="shared" si="793"/>
        <v>1</v>
      </c>
      <c r="AT329" s="45">
        <f t="shared" si="793"/>
        <v>1</v>
      </c>
      <c r="AU329" s="45">
        <f t="shared" si="793"/>
        <v>1</v>
      </c>
      <c r="AV329" s="45">
        <f t="shared" si="793"/>
        <v>1</v>
      </c>
      <c r="AW329" s="45">
        <f t="shared" si="793"/>
        <v>1</v>
      </c>
      <c r="AX329" s="45">
        <f t="shared" si="793"/>
        <v>1</v>
      </c>
      <c r="AY329" s="45">
        <f t="shared" si="793"/>
        <v>1</v>
      </c>
      <c r="AZ329" s="45">
        <f t="shared" si="793"/>
        <v>1</v>
      </c>
      <c r="BA329" s="45">
        <f t="shared" si="793"/>
        <v>1</v>
      </c>
      <c r="BB329" s="45">
        <f t="shared" si="793"/>
        <v>1</v>
      </c>
      <c r="BC329" s="45">
        <f t="shared" si="793"/>
        <v>1</v>
      </c>
      <c r="BD329" s="45">
        <f t="shared" si="793"/>
        <v>1</v>
      </c>
      <c r="BE329" s="45">
        <f t="shared" si="793"/>
        <v>1</v>
      </c>
      <c r="BF329" s="45">
        <f t="shared" si="793"/>
        <v>1</v>
      </c>
      <c r="BG329" s="45">
        <f t="shared" si="793"/>
        <v>1</v>
      </c>
      <c r="BH329" s="45">
        <f t="shared" si="793"/>
        <v>1</v>
      </c>
      <c r="BI329" s="45">
        <f t="shared" si="793"/>
        <v>1</v>
      </c>
      <c r="BJ329" s="45">
        <f t="shared" si="793"/>
        <v>1</v>
      </c>
      <c r="BL329" s="416">
        <f>V329</f>
        <v>0</v>
      </c>
      <c r="BM329" s="416">
        <f>W329</f>
        <v>1</v>
      </c>
      <c r="BN329" s="416">
        <f>X329</f>
        <v>1</v>
      </c>
      <c r="BO329" s="416">
        <f>Y329</f>
        <v>1</v>
      </c>
      <c r="BP329" s="13">
        <f t="shared" ref="BP329:BW329" si="794">IF($F329=1, 1, IF(SUM($BP328:$BW328)=0, 0, 1))</f>
        <v>0</v>
      </c>
      <c r="BQ329" s="13">
        <f t="shared" si="794"/>
        <v>0</v>
      </c>
      <c r="BR329" s="13">
        <f t="shared" si="794"/>
        <v>0</v>
      </c>
      <c r="BS329" s="13">
        <f t="shared" si="794"/>
        <v>0</v>
      </c>
      <c r="BT329" s="13">
        <f t="shared" si="794"/>
        <v>0</v>
      </c>
      <c r="BU329" s="13">
        <f t="shared" si="794"/>
        <v>0</v>
      </c>
      <c r="BV329" s="13">
        <f t="shared" si="794"/>
        <v>0</v>
      </c>
      <c r="BW329" s="13">
        <f t="shared" si="794"/>
        <v>0</v>
      </c>
      <c r="BY329" s="12"/>
      <c r="BZ329" s="335"/>
      <c r="CA329" s="12"/>
      <c r="CB329" s="335"/>
      <c r="CC329" s="335"/>
      <c r="CD329" s="335"/>
      <c r="CE329" s="335"/>
      <c r="CF329" s="335"/>
      <c r="CG329" s="335"/>
      <c r="CH329" s="335"/>
      <c r="CI329" s="335"/>
      <c r="CJ329" s="335"/>
      <c r="CK329" s="335"/>
      <c r="CL329" s="42"/>
      <c r="CM329" s="335"/>
      <c r="CN329" s="335"/>
      <c r="CO329" s="335"/>
      <c r="CP329" s="335"/>
      <c r="CQ329" s="335"/>
      <c r="CR329" s="335"/>
      <c r="CS329" s="335"/>
      <c r="CT329" s="42"/>
      <c r="EX329" s="10" t="str">
        <f t="shared" si="792"/>
        <v/>
      </c>
    </row>
    <row r="330" spans="1:154" s="328" customFormat="1" ht="8.1" customHeight="1" x14ac:dyDescent="0.25">
      <c r="C330" s="385"/>
      <c r="D330" s="1"/>
      <c r="Z330" s="335"/>
      <c r="BY330" s="12"/>
      <c r="BZ330" s="335"/>
      <c r="CA330" s="12"/>
      <c r="CB330" s="335"/>
      <c r="CC330" s="335"/>
      <c r="CD330" s="335"/>
      <c r="CE330" s="335"/>
      <c r="CF330" s="335"/>
      <c r="CG330" s="335"/>
      <c r="CH330" s="335"/>
      <c r="CI330" s="335"/>
      <c r="CJ330" s="335"/>
      <c r="CK330" s="335"/>
      <c r="CL330" s="42"/>
      <c r="CM330" s="335"/>
      <c r="CN330" s="335"/>
      <c r="CO330" s="335"/>
      <c r="CP330" s="335"/>
      <c r="CQ330" s="335"/>
      <c r="CR330" s="335"/>
      <c r="CS330" s="335"/>
      <c r="CT330" s="42"/>
      <c r="EX330" s="10" t="str">
        <f t="shared" si="792"/>
        <v/>
      </c>
    </row>
    <row r="331" spans="1:154" x14ac:dyDescent="0.25">
      <c r="A331" s="12" t="s">
        <v>88</v>
      </c>
      <c r="B331" s="12" t="s">
        <v>88</v>
      </c>
      <c r="C331" s="42" t="s">
        <v>88</v>
      </c>
      <c r="D331" s="12" t="s">
        <v>88</v>
      </c>
      <c r="E331" s="28" t="s">
        <v>88</v>
      </c>
      <c r="F331" s="12" t="s">
        <v>88</v>
      </c>
      <c r="G331" s="12" t="s">
        <v>88</v>
      </c>
      <c r="H331" s="12" t="s">
        <v>88</v>
      </c>
      <c r="I331" s="12" t="s">
        <v>88</v>
      </c>
      <c r="J331" s="12" t="s">
        <v>88</v>
      </c>
      <c r="K331" s="12" t="s">
        <v>88</v>
      </c>
      <c r="L331" s="12" t="s">
        <v>88</v>
      </c>
      <c r="M331" s="12" t="s">
        <v>88</v>
      </c>
      <c r="N331" s="12" t="s">
        <v>88</v>
      </c>
      <c r="O331" s="12" t="s">
        <v>88</v>
      </c>
      <c r="P331" s="12" t="s">
        <v>88</v>
      </c>
      <c r="Q331" s="12" t="s">
        <v>88</v>
      </c>
      <c r="R331" s="12" t="s">
        <v>88</v>
      </c>
      <c r="S331" s="12"/>
      <c r="T331" s="12" t="s">
        <v>88</v>
      </c>
      <c r="U331" s="12" t="s">
        <v>88</v>
      </c>
      <c r="V331" s="12" t="s">
        <v>88</v>
      </c>
      <c r="W331" s="12" t="s">
        <v>88</v>
      </c>
      <c r="X331" s="12"/>
      <c r="Y331" s="12"/>
      <c r="Z331" s="12" t="s">
        <v>88</v>
      </c>
      <c r="AA331" s="12" t="s">
        <v>88</v>
      </c>
      <c r="AB331" s="12" t="s">
        <v>88</v>
      </c>
      <c r="AC331" s="12" t="s">
        <v>88</v>
      </c>
      <c r="AD331" s="12" t="s">
        <v>88</v>
      </c>
      <c r="AE331" s="12" t="s">
        <v>88</v>
      </c>
      <c r="AF331" s="12" t="s">
        <v>88</v>
      </c>
      <c r="AG331" s="12" t="s">
        <v>88</v>
      </c>
      <c r="AH331" s="12" t="s">
        <v>88</v>
      </c>
      <c r="AI331" s="12" t="s">
        <v>88</v>
      </c>
      <c r="AJ331" s="12" t="s">
        <v>88</v>
      </c>
      <c r="AK331" s="12" t="s">
        <v>88</v>
      </c>
      <c r="AL331" s="12" t="s">
        <v>88</v>
      </c>
      <c r="AM331" s="12" t="s">
        <v>88</v>
      </c>
      <c r="AN331" s="12" t="s">
        <v>88</v>
      </c>
      <c r="AO331" s="12" t="s">
        <v>88</v>
      </c>
      <c r="AP331" s="12" t="s">
        <v>88</v>
      </c>
      <c r="AQ331" s="12" t="s">
        <v>88</v>
      </c>
      <c r="AR331" s="12" t="s">
        <v>88</v>
      </c>
      <c r="AS331" s="12" t="s">
        <v>88</v>
      </c>
      <c r="AT331" s="12" t="s">
        <v>88</v>
      </c>
      <c r="AU331" s="12" t="s">
        <v>88</v>
      </c>
      <c r="AV331" s="12" t="s">
        <v>88</v>
      </c>
      <c r="AW331" s="12" t="s">
        <v>88</v>
      </c>
      <c r="AX331" s="12" t="s">
        <v>88</v>
      </c>
      <c r="AY331" s="12" t="s">
        <v>88</v>
      </c>
      <c r="AZ331" s="12" t="s">
        <v>88</v>
      </c>
      <c r="BA331" s="12" t="s">
        <v>88</v>
      </c>
      <c r="BB331" s="12" t="s">
        <v>88</v>
      </c>
      <c r="BC331" s="12" t="s">
        <v>88</v>
      </c>
      <c r="BD331" s="12" t="s">
        <v>88</v>
      </c>
      <c r="BE331" s="12" t="s">
        <v>88</v>
      </c>
      <c r="BF331" s="12" t="s">
        <v>88</v>
      </c>
      <c r="BG331" s="12" t="s">
        <v>88</v>
      </c>
      <c r="BH331" s="12" t="s">
        <v>88</v>
      </c>
      <c r="BI331" s="12" t="s">
        <v>88</v>
      </c>
      <c r="BJ331" s="12" t="s">
        <v>88</v>
      </c>
      <c r="BK331" s="12" t="s">
        <v>88</v>
      </c>
      <c r="BL331" s="12" t="s">
        <v>88</v>
      </c>
      <c r="BM331" s="12" t="s">
        <v>88</v>
      </c>
      <c r="BN331" s="12" t="s">
        <v>88</v>
      </c>
      <c r="BO331" s="12" t="s">
        <v>88</v>
      </c>
      <c r="BP331" s="12" t="s">
        <v>88</v>
      </c>
      <c r="BQ331" s="12" t="s">
        <v>88</v>
      </c>
      <c r="BR331" s="12" t="s">
        <v>88</v>
      </c>
      <c r="BS331" s="12" t="s">
        <v>88</v>
      </c>
      <c r="BT331" s="12" t="s">
        <v>88</v>
      </c>
      <c r="BU331" s="12" t="s">
        <v>88</v>
      </c>
      <c r="BV331" s="12" t="s">
        <v>88</v>
      </c>
      <c r="BW331" s="12" t="s">
        <v>88</v>
      </c>
      <c r="BX331" s="12" t="s">
        <v>88</v>
      </c>
      <c r="BY331" s="12" t="s">
        <v>88</v>
      </c>
      <c r="BZ331" s="12" t="s">
        <v>88</v>
      </c>
      <c r="CA331" s="12" t="s">
        <v>88</v>
      </c>
      <c r="CB331" s="12" t="s">
        <v>88</v>
      </c>
      <c r="CC331" s="12" t="s">
        <v>88</v>
      </c>
      <c r="CD331" s="12" t="s">
        <v>88</v>
      </c>
      <c r="CE331" s="12" t="s">
        <v>88</v>
      </c>
      <c r="CF331" s="12" t="s">
        <v>88</v>
      </c>
      <c r="CG331" s="12"/>
      <c r="CH331" s="12" t="s">
        <v>88</v>
      </c>
      <c r="CI331" s="12"/>
      <c r="CJ331" s="12"/>
      <c r="CK331" s="12"/>
      <c r="CL331" s="12" t="s">
        <v>88</v>
      </c>
      <c r="CT331" s="12" t="s">
        <v>88</v>
      </c>
      <c r="EX331" s="10" t="str">
        <f t="shared" si="792"/>
        <v>*</v>
      </c>
    </row>
    <row r="332" spans="1:154" x14ac:dyDescent="0.25">
      <c r="EX332" s="335"/>
    </row>
    <row r="333" spans="1:154" x14ac:dyDescent="0.25">
      <c r="EX333" s="335"/>
    </row>
    <row r="334" spans="1:154" x14ac:dyDescent="0.25">
      <c r="EX334" s="335"/>
    </row>
    <row r="335" spans="1:154" x14ac:dyDescent="0.25">
      <c r="EX335" s="335"/>
    </row>
    <row r="337" spans="27:27" x14ac:dyDescent="0.25">
      <c r="AA337" s="335"/>
    </row>
  </sheetData>
  <sheetProtection algorithmName="SHA-512" hashValue="RrwcOfmn6Jf0dJoNcaHDY0G//fjfEC7/3wOpacTw0KqkYt3lT2VDNg2jWe4xwI2wgn+hsSe/Enj528AQGQYjUQ==" saltValue="I+iZTkiMwTfZ4MUzJT/H2A==" spinCount="100000" sheet="1" objects="1" scenarios="1"/>
  <mergeCells count="24">
    <mergeCell ref="CG3:CG6"/>
    <mergeCell ref="CU2:CU6"/>
    <mergeCell ref="CV2:CV6"/>
    <mergeCell ref="CT1:CT6"/>
    <mergeCell ref="BY1:BY6"/>
    <mergeCell ref="BZ3:BZ6"/>
    <mergeCell ref="CE3:CE6"/>
    <mergeCell ref="CH3:CH6"/>
    <mergeCell ref="CD3:CD6"/>
    <mergeCell ref="CA1:CA6"/>
    <mergeCell ref="CL1:CL6"/>
    <mergeCell ref="CC3:CC6"/>
    <mergeCell ref="CB3:CB6"/>
    <mergeCell ref="CF3:CF6"/>
    <mergeCell ref="CM2:CM6"/>
    <mergeCell ref="CS2:CS6"/>
    <mergeCell ref="CP2:CP6"/>
    <mergeCell ref="CQ2:CQ6"/>
    <mergeCell ref="CR2:CR6"/>
    <mergeCell ref="CI2:CI6"/>
    <mergeCell ref="CJ2:CJ6"/>
    <mergeCell ref="CK2:CK6"/>
    <mergeCell ref="CN2:CN6"/>
    <mergeCell ref="CO2:CO6"/>
  </mergeCells>
  <phoneticPr fontId="9" type="noConversion"/>
  <conditionalFormatting sqref="CB104:CB118">
    <cfRule type="cellIs" dxfId="1311" priority="1137" operator="equal">
      <formula>0</formula>
    </cfRule>
    <cfRule type="cellIs" dxfId="1310" priority="1138" operator="equal">
      <formula>1</formula>
    </cfRule>
  </conditionalFormatting>
  <conditionalFormatting sqref="CB13:CB27">
    <cfRule type="cellIs" dxfId="1309" priority="1155" operator="equal">
      <formula>0</formula>
    </cfRule>
    <cfRule type="cellIs" dxfId="1308" priority="1156" operator="equal">
      <formula>1</formula>
    </cfRule>
  </conditionalFormatting>
  <conditionalFormatting sqref="CB78:CB92">
    <cfRule type="cellIs" dxfId="1307" priority="1151" operator="equal">
      <formula>0</formula>
    </cfRule>
    <cfRule type="cellIs" dxfId="1306" priority="1152" operator="equal">
      <formula>1</formula>
    </cfRule>
  </conditionalFormatting>
  <conditionalFormatting sqref="CC13:CC27">
    <cfRule type="cellIs" dxfId="1305" priority="1143" operator="equal">
      <formula>0</formula>
    </cfRule>
    <cfRule type="cellIs" dxfId="1304" priority="1144" operator="equal">
      <formula>1</formula>
    </cfRule>
  </conditionalFormatting>
  <conditionalFormatting sqref="CC78:CC92">
    <cfRule type="cellIs" dxfId="1303" priority="1141" operator="equal">
      <formula>0</formula>
    </cfRule>
    <cfRule type="cellIs" dxfId="1302" priority="1142" operator="equal">
      <formula>1</formula>
    </cfRule>
  </conditionalFormatting>
  <conditionalFormatting sqref="CC104:CC118">
    <cfRule type="cellIs" dxfId="1301" priority="1135" operator="equal">
      <formula>0</formula>
    </cfRule>
    <cfRule type="cellIs" dxfId="1300" priority="1136" operator="equal">
      <formula>1</formula>
    </cfRule>
  </conditionalFormatting>
  <conditionalFormatting sqref="CB130:CB144">
    <cfRule type="cellIs" dxfId="1299" priority="1129" operator="equal">
      <formula>0</formula>
    </cfRule>
    <cfRule type="cellIs" dxfId="1298" priority="1130" operator="equal">
      <formula>1</formula>
    </cfRule>
  </conditionalFormatting>
  <conditionalFormatting sqref="CC130:CC144">
    <cfRule type="cellIs" dxfId="1297" priority="1127" operator="equal">
      <formula>0</formula>
    </cfRule>
    <cfRule type="cellIs" dxfId="1296" priority="1128" operator="equal">
      <formula>1</formula>
    </cfRule>
  </conditionalFormatting>
  <conditionalFormatting sqref="CF214">
    <cfRule type="cellIs" dxfId="1295" priority="1081" operator="equal">
      <formula>0</formula>
    </cfRule>
    <cfRule type="cellIs" dxfId="1294" priority="1082" operator="equal">
      <formula>1</formula>
    </cfRule>
  </conditionalFormatting>
  <conditionalFormatting sqref="CF228">
    <cfRule type="cellIs" dxfId="1293" priority="1059" operator="equal">
      <formula>0</formula>
    </cfRule>
    <cfRule type="cellIs" dxfId="1292" priority="1060" operator="equal">
      <formula>1</formula>
    </cfRule>
  </conditionalFormatting>
  <conditionalFormatting sqref="V214:Y214 AA214:BJ214 BL214:BW214">
    <cfRule type="cellIs" dxfId="1291" priority="1073" operator="equal">
      <formula>0</formula>
    </cfRule>
    <cfRule type="cellIs" dxfId="1290" priority="1074" operator="equal">
      <formula>1</formula>
    </cfRule>
  </conditionalFormatting>
  <conditionalFormatting sqref="CF254">
    <cfRule type="cellIs" dxfId="1289" priority="1033" operator="equal">
      <formula>0</formula>
    </cfRule>
    <cfRule type="cellIs" dxfId="1288" priority="1034" operator="equal">
      <formula>1</formula>
    </cfRule>
  </conditionalFormatting>
  <conditionalFormatting sqref="V228:Y228 V254:Y254 AA228:BJ228 AA254:BJ254 BL228:BW228 BL254:BW254">
    <cfRule type="cellIs" dxfId="1287" priority="967" operator="equal">
      <formula>0</formula>
    </cfRule>
    <cfRule type="cellIs" dxfId="1286" priority="968" operator="equal">
      <formula>1</formula>
    </cfRule>
  </conditionalFormatting>
  <conditionalFormatting sqref="CF242:CF243 CF254">
    <cfRule type="cellIs" dxfId="1285" priority="945" operator="equal">
      <formula>0</formula>
    </cfRule>
    <cfRule type="cellIs" dxfId="1284" priority="946" operator="equal">
      <formula>1</formula>
    </cfRule>
  </conditionalFormatting>
  <conditionalFormatting sqref="BL242:BW242 AA242:BJ242 V242:Y242 V254:Y254 AA254:BJ254 BL254:BW254">
    <cfRule type="cellIs" dxfId="1283" priority="930" operator="equal">
      <formula>0</formula>
    </cfRule>
    <cfRule type="cellIs" dxfId="1282" priority="931" operator="equal">
      <formula>1</formula>
    </cfRule>
  </conditionalFormatting>
  <conditionalFormatting sqref="CF263">
    <cfRule type="cellIs" dxfId="1281" priority="912" operator="equal">
      <formula>0</formula>
    </cfRule>
    <cfRule type="cellIs" dxfId="1280" priority="913" operator="equal">
      <formula>1</formula>
    </cfRule>
  </conditionalFormatting>
  <conditionalFormatting sqref="V263:Y263 AA263:BJ263 BL263:BW263">
    <cfRule type="cellIs" dxfId="1279" priority="897" operator="equal">
      <formula>0</formula>
    </cfRule>
    <cfRule type="cellIs" dxfId="1278" priority="898" operator="equal">
      <formula>1</formula>
    </cfRule>
  </conditionalFormatting>
  <conditionalFormatting sqref="CB53:CB67">
    <cfRule type="cellIs" dxfId="1277" priority="883" operator="equal">
      <formula>0</formula>
    </cfRule>
    <cfRule type="cellIs" dxfId="1276" priority="884" operator="equal">
      <formula>1</formula>
    </cfRule>
  </conditionalFormatting>
  <conditionalFormatting sqref="CC53:CC67">
    <cfRule type="cellIs" dxfId="1275" priority="881" operator="equal">
      <formula>0</formula>
    </cfRule>
    <cfRule type="cellIs" dxfId="1274" priority="882" operator="equal">
      <formula>1</formula>
    </cfRule>
  </conditionalFormatting>
  <conditionalFormatting sqref="CF273">
    <cfRule type="cellIs" dxfId="1273" priority="871" operator="equal">
      <formula>0</formula>
    </cfRule>
    <cfRule type="cellIs" dxfId="1272" priority="872" operator="equal">
      <formula>1</formula>
    </cfRule>
  </conditionalFormatting>
  <conditionalFormatting sqref="V273:Y273 AA273:BJ273 BL273:BW273">
    <cfRule type="cellIs" dxfId="1271" priority="856" operator="equal">
      <formula>0</formula>
    </cfRule>
    <cfRule type="cellIs" dxfId="1270" priority="857" operator="equal">
      <formula>1</formula>
    </cfRule>
  </conditionalFormatting>
  <conditionalFormatting sqref="CD13:CD27">
    <cfRule type="cellIs" dxfId="1269" priority="736" operator="equal">
      <formula>0</formula>
    </cfRule>
    <cfRule type="cellIs" dxfId="1268" priority="737" operator="equal">
      <formula>1</formula>
    </cfRule>
  </conditionalFormatting>
  <conditionalFormatting sqref="V291:Y291 AA291:BJ291 BL291:BW291">
    <cfRule type="cellIs" dxfId="1267" priority="758" operator="lessThan">
      <formula>0</formula>
    </cfRule>
    <cfRule type="cellIs" dxfId="1266" priority="759" operator="greaterThan">
      <formula>0</formula>
    </cfRule>
    <cfRule type="cellIs" dxfId="1265" priority="760" operator="equal">
      <formula>0</formula>
    </cfRule>
  </conditionalFormatting>
  <conditionalFormatting sqref="CH32">
    <cfRule type="cellIs" dxfId="1264" priority="710" operator="equal">
      <formula>0</formula>
    </cfRule>
    <cfRule type="cellIs" dxfId="1263" priority="711" operator="equal">
      <formula>1</formula>
    </cfRule>
  </conditionalFormatting>
  <conditionalFormatting sqref="A1">
    <cfRule type="cellIs" dxfId="1262" priority="684" operator="equal">
      <formula>0</formula>
    </cfRule>
    <cfRule type="cellIs" dxfId="1261" priority="685" operator="greaterThan">
      <formula>0</formula>
    </cfRule>
  </conditionalFormatting>
  <conditionalFormatting sqref="CE78:CE92">
    <cfRule type="cellIs" dxfId="1260" priority="575" operator="equal">
      <formula>0</formula>
    </cfRule>
    <cfRule type="cellIs" dxfId="1259" priority="576" operator="equal">
      <formula>1</formula>
    </cfRule>
  </conditionalFormatting>
  <conditionalFormatting sqref="CE130:CE144">
    <cfRule type="cellIs" dxfId="1258" priority="571" operator="equal">
      <formula>0</formula>
    </cfRule>
    <cfRule type="cellIs" dxfId="1257" priority="572" operator="equal">
      <formula>1</formula>
    </cfRule>
  </conditionalFormatting>
  <conditionalFormatting sqref="CE104:CE118">
    <cfRule type="cellIs" dxfId="1256" priority="573" operator="equal">
      <formula>0</formula>
    </cfRule>
    <cfRule type="cellIs" dxfId="1255" priority="574" operator="equal">
      <formula>1</formula>
    </cfRule>
  </conditionalFormatting>
  <conditionalFormatting sqref="CE53:CE67">
    <cfRule type="cellIs" dxfId="1254" priority="577" operator="equal">
      <formula>0</formula>
    </cfRule>
    <cfRule type="cellIs" dxfId="1253" priority="578" operator="equal">
      <formula>1</formula>
    </cfRule>
  </conditionalFormatting>
  <conditionalFormatting sqref="BZ2">
    <cfRule type="cellIs" dxfId="1252" priority="629" operator="greaterThan">
      <formula>0</formula>
    </cfRule>
    <cfRule type="cellIs" dxfId="1251" priority="630" operator="equal">
      <formula>0</formula>
    </cfRule>
  </conditionalFormatting>
  <conditionalFormatting sqref="BZ13:BZ32">
    <cfRule type="cellIs" dxfId="1250" priority="627" operator="greaterThan">
      <formula>0</formula>
    </cfRule>
    <cfRule type="cellIs" dxfId="1249" priority="628" operator="equal">
      <formula>0</formula>
    </cfRule>
  </conditionalFormatting>
  <conditionalFormatting sqref="BZ53:BZ71">
    <cfRule type="cellIs" dxfId="1248" priority="625" operator="greaterThan">
      <formula>0</formula>
    </cfRule>
    <cfRule type="cellIs" dxfId="1247" priority="626" operator="equal">
      <formula>0</formula>
    </cfRule>
  </conditionalFormatting>
  <conditionalFormatting sqref="BZ104:BZ123">
    <cfRule type="cellIs" dxfId="1246" priority="623" operator="greaterThan">
      <formula>0</formula>
    </cfRule>
    <cfRule type="cellIs" dxfId="1245" priority="624" operator="equal">
      <formula>0</formula>
    </cfRule>
  </conditionalFormatting>
  <conditionalFormatting sqref="BZ130:BZ150">
    <cfRule type="cellIs" dxfId="1244" priority="621" operator="greaterThan">
      <formula>0</formula>
    </cfRule>
    <cfRule type="cellIs" dxfId="1243" priority="622" operator="equal">
      <formula>0</formula>
    </cfRule>
  </conditionalFormatting>
  <conditionalFormatting sqref="BZ154:BZ174">
    <cfRule type="cellIs" dxfId="1242" priority="619" operator="greaterThan">
      <formula>0</formula>
    </cfRule>
    <cfRule type="cellIs" dxfId="1241" priority="620" operator="equal">
      <formula>0</formula>
    </cfRule>
  </conditionalFormatting>
  <conditionalFormatting sqref="BZ204:BZ205">
    <cfRule type="cellIs" dxfId="1240" priority="617" operator="greaterThan">
      <formula>0</formula>
    </cfRule>
    <cfRule type="cellIs" dxfId="1239" priority="618" operator="equal">
      <formula>0</formula>
    </cfRule>
  </conditionalFormatting>
  <conditionalFormatting sqref="BZ207:BZ209">
    <cfRule type="cellIs" dxfId="1238" priority="615" operator="greaterThan">
      <formula>0</formula>
    </cfRule>
    <cfRule type="cellIs" dxfId="1237" priority="616" operator="equal">
      <formula>0</formula>
    </cfRule>
  </conditionalFormatting>
  <conditionalFormatting sqref="BZ218:BZ219">
    <cfRule type="cellIs" dxfId="1236" priority="613" operator="greaterThan">
      <formula>0</formula>
    </cfRule>
    <cfRule type="cellIs" dxfId="1235" priority="614" operator="equal">
      <formula>0</formula>
    </cfRule>
  </conditionalFormatting>
  <conditionalFormatting sqref="BZ221:BZ222">
    <cfRule type="cellIs" dxfId="1234" priority="611" operator="greaterThan">
      <formula>0</formula>
    </cfRule>
    <cfRule type="cellIs" dxfId="1233" priority="612" operator="equal">
      <formula>0</formula>
    </cfRule>
  </conditionalFormatting>
  <conditionalFormatting sqref="BZ223">
    <cfRule type="cellIs" dxfId="1232" priority="609" operator="greaterThan">
      <formula>0</formula>
    </cfRule>
    <cfRule type="cellIs" dxfId="1231" priority="610" operator="equal">
      <formula>0</formula>
    </cfRule>
  </conditionalFormatting>
  <conditionalFormatting sqref="BZ232:BZ233">
    <cfRule type="cellIs" dxfId="1230" priority="603" operator="greaterThan">
      <formula>0</formula>
    </cfRule>
    <cfRule type="cellIs" dxfId="1229" priority="604" operator="equal">
      <formula>0</formula>
    </cfRule>
  </conditionalFormatting>
  <conditionalFormatting sqref="BZ235:BZ236">
    <cfRule type="cellIs" dxfId="1228" priority="601" operator="greaterThan">
      <formula>0</formula>
    </cfRule>
    <cfRule type="cellIs" dxfId="1227" priority="602" operator="equal">
      <formula>0</formula>
    </cfRule>
  </conditionalFormatting>
  <conditionalFormatting sqref="BZ237">
    <cfRule type="cellIs" dxfId="1226" priority="599" operator="greaterThan">
      <formula>0</formula>
    </cfRule>
    <cfRule type="cellIs" dxfId="1225" priority="600" operator="equal">
      <formula>0</formula>
    </cfRule>
  </conditionalFormatting>
  <conditionalFormatting sqref="BZ258:BZ259">
    <cfRule type="cellIs" dxfId="1224" priority="597" operator="greaterThan">
      <formula>0</formula>
    </cfRule>
    <cfRule type="cellIs" dxfId="1223" priority="598" operator="equal">
      <formula>0</formula>
    </cfRule>
  </conditionalFormatting>
  <conditionalFormatting sqref="BZ267">
    <cfRule type="cellIs" dxfId="1222" priority="595" operator="greaterThan">
      <formula>0</formula>
    </cfRule>
    <cfRule type="cellIs" dxfId="1221" priority="596" operator="equal">
      <formula>0</formula>
    </cfRule>
  </conditionalFormatting>
  <conditionalFormatting sqref="BZ268">
    <cfRule type="cellIs" dxfId="1220" priority="593" operator="greaterThan">
      <formula>0</formula>
    </cfRule>
    <cfRule type="cellIs" dxfId="1219" priority="594" operator="equal">
      <formula>0</formula>
    </cfRule>
  </conditionalFormatting>
  <conditionalFormatting sqref="BZ305">
    <cfRule type="cellIs" dxfId="1218" priority="555" operator="greaterThan">
      <formula>0</formula>
    </cfRule>
    <cfRule type="cellIs" dxfId="1217" priority="556" operator="equal">
      <formula>0</formula>
    </cfRule>
  </conditionalFormatting>
  <conditionalFormatting sqref="BZ311">
    <cfRule type="cellIs" dxfId="1216" priority="553" operator="greaterThan">
      <formula>0</formula>
    </cfRule>
    <cfRule type="cellIs" dxfId="1215" priority="554" operator="equal">
      <formula>0</formula>
    </cfRule>
  </conditionalFormatting>
  <conditionalFormatting sqref="BZ317">
    <cfRule type="cellIs" dxfId="1214" priority="543" operator="greaterThan">
      <formula>0</formula>
    </cfRule>
    <cfRule type="cellIs" dxfId="1213" priority="544" operator="equal">
      <formula>0</formula>
    </cfRule>
  </conditionalFormatting>
  <conditionalFormatting sqref="E212">
    <cfRule type="cellIs" dxfId="1212" priority="502" operator="lessThan">
      <formula>0</formula>
    </cfRule>
    <cfRule type="cellIs" dxfId="1211" priority="503" operator="greaterThan">
      <formula>0</formula>
    </cfRule>
    <cfRule type="cellIs" dxfId="1210" priority="504" operator="equal">
      <formula>0</formula>
    </cfRule>
  </conditionalFormatting>
  <conditionalFormatting sqref="A291 A273 A263 A254 A242 A228 A214 A204:A205 A78:A97 A53:A71 A14:A32 A104:A123 A154:A174 A130:A150 A258:A261 A267:A271 A305 A307 A311 A313 A317 A319">
    <cfRule type="cellIs" dxfId="1209" priority="456" operator="equal">
      <formula>0</formula>
    </cfRule>
    <cfRule type="cellIs" dxfId="1208" priority="457" operator="greaterThan">
      <formula>0</formula>
    </cfRule>
  </conditionalFormatting>
  <conditionalFormatting sqref="CG212">
    <cfRule type="cellIs" dxfId="1207" priority="498" operator="equal">
      <formula>0</formula>
    </cfRule>
    <cfRule type="cellIs" dxfId="1206" priority="499" operator="equal">
      <formula>1</formula>
    </cfRule>
  </conditionalFormatting>
  <conditionalFormatting sqref="E226">
    <cfRule type="cellIs" dxfId="1205" priority="495" operator="lessThan">
      <formula>0</formula>
    </cfRule>
    <cfRule type="cellIs" dxfId="1204" priority="496" operator="greaterThan">
      <formula>0</formula>
    </cfRule>
    <cfRule type="cellIs" dxfId="1203" priority="497" operator="equal">
      <formula>0</formula>
    </cfRule>
  </conditionalFormatting>
  <conditionalFormatting sqref="E240">
    <cfRule type="cellIs" dxfId="1202" priority="492" operator="lessThan">
      <formula>0</formula>
    </cfRule>
    <cfRule type="cellIs" dxfId="1201" priority="493" operator="greaterThan">
      <formula>0</formula>
    </cfRule>
    <cfRule type="cellIs" dxfId="1200" priority="494" operator="equal">
      <formula>0</formula>
    </cfRule>
  </conditionalFormatting>
  <conditionalFormatting sqref="E252">
    <cfRule type="cellIs" dxfId="1199" priority="489" operator="lessThan">
      <formula>0</formula>
    </cfRule>
    <cfRule type="cellIs" dxfId="1198" priority="490" operator="greaterThan">
      <formula>0</formula>
    </cfRule>
    <cfRule type="cellIs" dxfId="1197" priority="491" operator="equal">
      <formula>0</formula>
    </cfRule>
  </conditionalFormatting>
  <conditionalFormatting sqref="E261">
    <cfRule type="cellIs" dxfId="1196" priority="486" operator="lessThan">
      <formula>0</formula>
    </cfRule>
    <cfRule type="cellIs" dxfId="1195" priority="487" operator="greaterThan">
      <formula>0</formula>
    </cfRule>
    <cfRule type="cellIs" dxfId="1194" priority="488" operator="equal">
      <formula>0</formula>
    </cfRule>
  </conditionalFormatting>
  <conditionalFormatting sqref="E271">
    <cfRule type="cellIs" dxfId="1193" priority="483" operator="lessThan">
      <formula>0</formula>
    </cfRule>
    <cfRule type="cellIs" dxfId="1192" priority="484" operator="greaterThan">
      <formula>0</formula>
    </cfRule>
    <cfRule type="cellIs" dxfId="1191" priority="485" operator="equal">
      <formula>0</formula>
    </cfRule>
  </conditionalFormatting>
  <conditionalFormatting sqref="E281">
    <cfRule type="cellIs" dxfId="1190" priority="480" operator="lessThan">
      <formula>0</formula>
    </cfRule>
    <cfRule type="cellIs" dxfId="1189" priority="481" operator="greaterThan">
      <formula>0</formula>
    </cfRule>
    <cfRule type="cellIs" dxfId="1188" priority="482" operator="equal">
      <formula>0</formula>
    </cfRule>
  </conditionalFormatting>
  <conditionalFormatting sqref="CG226">
    <cfRule type="cellIs" dxfId="1187" priority="478" operator="equal">
      <formula>0</formula>
    </cfRule>
    <cfRule type="cellIs" dxfId="1186" priority="479" operator="equal">
      <formula>1</formula>
    </cfRule>
  </conditionalFormatting>
  <conditionalFormatting sqref="CG271 CG261 CG252 CG240">
    <cfRule type="cellIs" dxfId="1185" priority="476" operator="equal">
      <formula>0</formula>
    </cfRule>
    <cfRule type="cellIs" dxfId="1184" priority="477" operator="equal">
      <formula>1</formula>
    </cfRule>
  </conditionalFormatting>
  <conditionalFormatting sqref="CH71">
    <cfRule type="cellIs" dxfId="1183" priority="472" operator="equal">
      <formula>0</formula>
    </cfRule>
    <cfRule type="cellIs" dxfId="1182" priority="473" operator="equal">
      <formula>1</formula>
    </cfRule>
  </conditionalFormatting>
  <conditionalFormatting sqref="CH97">
    <cfRule type="cellIs" dxfId="1181" priority="470" operator="equal">
      <formula>0</formula>
    </cfRule>
    <cfRule type="cellIs" dxfId="1180" priority="471" operator="equal">
      <formula>1</formula>
    </cfRule>
  </conditionalFormatting>
  <conditionalFormatting sqref="CH123">
    <cfRule type="cellIs" dxfId="1179" priority="468" operator="equal">
      <formula>0</formula>
    </cfRule>
    <cfRule type="cellIs" dxfId="1178" priority="469" operator="equal">
      <formula>1</formula>
    </cfRule>
  </conditionalFormatting>
  <conditionalFormatting sqref="CH150">
    <cfRule type="cellIs" dxfId="1177" priority="466" operator="equal">
      <formula>0</formula>
    </cfRule>
    <cfRule type="cellIs" dxfId="1176" priority="467" operator="equal">
      <formula>1</formula>
    </cfRule>
  </conditionalFormatting>
  <conditionalFormatting sqref="CH174">
    <cfRule type="cellIs" dxfId="1175" priority="464" operator="equal">
      <formula>0</formula>
    </cfRule>
    <cfRule type="cellIs" dxfId="1174" priority="465" operator="equal">
      <formula>1</formula>
    </cfRule>
  </conditionalFormatting>
  <conditionalFormatting sqref="CH198">
    <cfRule type="cellIs" dxfId="1173" priority="462" operator="equal">
      <formula>0</formula>
    </cfRule>
    <cfRule type="cellIs" dxfId="1172" priority="463" operator="equal">
      <formula>1</formula>
    </cfRule>
  </conditionalFormatting>
  <conditionalFormatting sqref="A2">
    <cfRule type="cellIs" dxfId="1171" priority="460" operator="equal">
      <formula>0</formula>
    </cfRule>
    <cfRule type="cellIs" dxfId="1170" priority="461" operator="greaterThan">
      <formula>0</formula>
    </cfRule>
  </conditionalFormatting>
  <conditionalFormatting sqref="A13">
    <cfRule type="cellIs" dxfId="1169" priority="458" operator="equal">
      <formula>0</formula>
    </cfRule>
    <cfRule type="cellIs" dxfId="1168" priority="459" operator="greaterThan">
      <formula>0</formula>
    </cfRule>
  </conditionalFormatting>
  <conditionalFormatting sqref="CM13:CP32">
    <cfRule type="cellIs" dxfId="1167" priority="453" operator="lessThan">
      <formula>0</formula>
    </cfRule>
    <cfRule type="cellIs" dxfId="1166" priority="454" operator="greaterThan">
      <formula>0</formula>
    </cfRule>
    <cfRule type="cellIs" dxfId="1165" priority="455" operator="equal">
      <formula>0</formula>
    </cfRule>
  </conditionalFormatting>
  <conditionalFormatting sqref="CR13:CR32">
    <cfRule type="cellIs" dxfId="1164" priority="447" operator="lessThan">
      <formula>0</formula>
    </cfRule>
    <cfRule type="cellIs" dxfId="1163" priority="448" operator="greaterThan">
      <formula>0</formula>
    </cfRule>
    <cfRule type="cellIs" dxfId="1162" priority="449" operator="equal">
      <formula>0</formula>
    </cfRule>
  </conditionalFormatting>
  <conditionalFormatting sqref="CQ13:CQ32">
    <cfRule type="cellIs" dxfId="1161" priority="450" operator="lessThan">
      <formula>0</formula>
    </cfRule>
    <cfRule type="cellIs" dxfId="1160" priority="451" operator="greaterThan">
      <formula>0</formula>
    </cfRule>
    <cfRule type="cellIs" dxfId="1159" priority="452" operator="equal">
      <formula>0</formula>
    </cfRule>
  </conditionalFormatting>
  <conditionalFormatting sqref="CS13:CS32">
    <cfRule type="cellIs" dxfId="1158" priority="444" operator="lessThan">
      <formula>0</formula>
    </cfRule>
    <cfRule type="cellIs" dxfId="1157" priority="445" operator="greaterThan">
      <formula>0</formula>
    </cfRule>
    <cfRule type="cellIs" dxfId="1156" priority="446" operator="equal">
      <formula>0</formula>
    </cfRule>
  </conditionalFormatting>
  <conditionalFormatting sqref="CM322:CP326">
    <cfRule type="cellIs" dxfId="1155" priority="31" operator="lessThan">
      <formula>0</formula>
    </cfRule>
    <cfRule type="cellIs" dxfId="1154" priority="32" operator="greaterThan">
      <formula>0</formula>
    </cfRule>
    <cfRule type="cellIs" dxfId="1153" priority="33" operator="equal">
      <formula>0</formula>
    </cfRule>
  </conditionalFormatting>
  <conditionalFormatting sqref="CQ322:CQ326">
    <cfRule type="cellIs" dxfId="1152" priority="28" operator="lessThan">
      <formula>0</formula>
    </cfRule>
    <cfRule type="cellIs" dxfId="1151" priority="29" operator="greaterThan">
      <formula>0</formula>
    </cfRule>
    <cfRule type="cellIs" dxfId="1150" priority="30" operator="equal">
      <formula>0</formula>
    </cfRule>
  </conditionalFormatting>
  <conditionalFormatting sqref="CR322:CR326">
    <cfRule type="cellIs" dxfId="1149" priority="25" operator="lessThan">
      <formula>0</formula>
    </cfRule>
    <cfRule type="cellIs" dxfId="1148" priority="26" operator="greaterThan">
      <formula>0</formula>
    </cfRule>
    <cfRule type="cellIs" dxfId="1147" priority="27" operator="equal">
      <formula>0</formula>
    </cfRule>
  </conditionalFormatting>
  <conditionalFormatting sqref="CS322:CS326">
    <cfRule type="cellIs" dxfId="1146" priority="22" operator="lessThan">
      <formula>0</formula>
    </cfRule>
    <cfRule type="cellIs" dxfId="1145" priority="23" operator="greaterThan">
      <formula>0</formula>
    </cfRule>
    <cfRule type="cellIs" dxfId="1144" priority="24" operator="equal">
      <formula>0</formula>
    </cfRule>
  </conditionalFormatting>
  <conditionalFormatting sqref="CI13:CK32">
    <cfRule type="cellIs" dxfId="1143" priority="418" operator="equal">
      <formula>0</formula>
    </cfRule>
    <cfRule type="cellIs" dxfId="1142" priority="419" operator="greaterThan">
      <formula>0</formula>
    </cfRule>
  </conditionalFormatting>
  <conditionalFormatting sqref="A322:A326 A294:A299 A284:A289 A277:A281 A246:A252 A232:A240 A218:A226 A206:A212">
    <cfRule type="cellIs" dxfId="1141" priority="16" operator="equal">
      <formula>0</formula>
    </cfRule>
    <cfRule type="cellIs" dxfId="1140" priority="17" operator="greaterThan">
      <formula>0</formula>
    </cfRule>
  </conditionalFormatting>
  <conditionalFormatting sqref="CM35:CP39">
    <cfRule type="cellIs" dxfId="1139" priority="415" operator="lessThan">
      <formula>0</formula>
    </cfRule>
    <cfRule type="cellIs" dxfId="1138" priority="416" operator="greaterThan">
      <formula>0</formula>
    </cfRule>
    <cfRule type="cellIs" dxfId="1137" priority="417" operator="equal">
      <formula>0</formula>
    </cfRule>
  </conditionalFormatting>
  <conditionalFormatting sqref="CR35:CR39">
    <cfRule type="cellIs" dxfId="1136" priority="409" operator="lessThan">
      <formula>0</formula>
    </cfRule>
    <cfRule type="cellIs" dxfId="1135" priority="410" operator="greaterThan">
      <formula>0</formula>
    </cfRule>
    <cfRule type="cellIs" dxfId="1134" priority="411" operator="equal">
      <formula>0</formula>
    </cfRule>
  </conditionalFormatting>
  <conditionalFormatting sqref="CQ35:CQ39">
    <cfRule type="cellIs" dxfId="1133" priority="412" operator="lessThan">
      <formula>0</formula>
    </cfRule>
    <cfRule type="cellIs" dxfId="1132" priority="413" operator="greaterThan">
      <formula>0</formula>
    </cfRule>
    <cfRule type="cellIs" dxfId="1131" priority="414" operator="equal">
      <formula>0</formula>
    </cfRule>
  </conditionalFormatting>
  <conditionalFormatting sqref="CS35:CS39">
    <cfRule type="cellIs" dxfId="1130" priority="406" operator="lessThan">
      <formula>0</formula>
    </cfRule>
    <cfRule type="cellIs" dxfId="1129" priority="407" operator="greaterThan">
      <formula>0</formula>
    </cfRule>
    <cfRule type="cellIs" dxfId="1128" priority="408" operator="equal">
      <formula>0</formula>
    </cfRule>
  </conditionalFormatting>
  <conditionalFormatting sqref="CI35:CK39">
    <cfRule type="cellIs" dxfId="1127" priority="404" operator="equal">
      <formula>0</formula>
    </cfRule>
    <cfRule type="cellIs" dxfId="1126" priority="405" operator="greaterThan">
      <formula>0</formula>
    </cfRule>
  </conditionalFormatting>
  <conditionalFormatting sqref="CM42:CP46">
    <cfRule type="cellIs" dxfId="1125" priority="401" operator="lessThan">
      <formula>0</formula>
    </cfRule>
    <cfRule type="cellIs" dxfId="1124" priority="402" operator="greaterThan">
      <formula>0</formula>
    </cfRule>
    <cfRule type="cellIs" dxfId="1123" priority="403" operator="equal">
      <formula>0</formula>
    </cfRule>
  </conditionalFormatting>
  <conditionalFormatting sqref="CR42:CR46">
    <cfRule type="cellIs" dxfId="1122" priority="395" operator="lessThan">
      <formula>0</formula>
    </cfRule>
    <cfRule type="cellIs" dxfId="1121" priority="396" operator="greaterThan">
      <formula>0</formula>
    </cfRule>
    <cfRule type="cellIs" dxfId="1120" priority="397" operator="equal">
      <formula>0</formula>
    </cfRule>
  </conditionalFormatting>
  <conditionalFormatting sqref="CQ42:CQ46">
    <cfRule type="cellIs" dxfId="1119" priority="398" operator="lessThan">
      <formula>0</formula>
    </cfRule>
    <cfRule type="cellIs" dxfId="1118" priority="399" operator="greaterThan">
      <formula>0</formula>
    </cfRule>
    <cfRule type="cellIs" dxfId="1117" priority="400" operator="equal">
      <formula>0</formula>
    </cfRule>
  </conditionalFormatting>
  <conditionalFormatting sqref="CS42:CS46">
    <cfRule type="cellIs" dxfId="1116" priority="392" operator="lessThan">
      <formula>0</formula>
    </cfRule>
    <cfRule type="cellIs" dxfId="1115" priority="393" operator="greaterThan">
      <formula>0</formula>
    </cfRule>
    <cfRule type="cellIs" dxfId="1114" priority="394" operator="equal">
      <formula>0</formula>
    </cfRule>
  </conditionalFormatting>
  <conditionalFormatting sqref="CI42:CK46">
    <cfRule type="cellIs" dxfId="1113" priority="390" operator="equal">
      <formula>0</formula>
    </cfRule>
    <cfRule type="cellIs" dxfId="1112" priority="391" operator="greaterThan">
      <formula>0</formula>
    </cfRule>
  </conditionalFormatting>
  <conditionalFormatting sqref="CM53:CP71">
    <cfRule type="cellIs" dxfId="1111" priority="387" operator="lessThan">
      <formula>0</formula>
    </cfRule>
    <cfRule type="cellIs" dxfId="1110" priority="388" operator="greaterThan">
      <formula>0</formula>
    </cfRule>
    <cfRule type="cellIs" dxfId="1109" priority="389" operator="equal">
      <formula>0</formula>
    </cfRule>
  </conditionalFormatting>
  <conditionalFormatting sqref="CR53:CR71">
    <cfRule type="cellIs" dxfId="1108" priority="381" operator="lessThan">
      <formula>0</formula>
    </cfRule>
    <cfRule type="cellIs" dxfId="1107" priority="382" operator="greaterThan">
      <formula>0</formula>
    </cfRule>
    <cfRule type="cellIs" dxfId="1106" priority="383" operator="equal">
      <formula>0</formula>
    </cfRule>
  </conditionalFormatting>
  <conditionalFormatting sqref="CQ53:CQ71">
    <cfRule type="cellIs" dxfId="1105" priority="384" operator="lessThan">
      <formula>0</formula>
    </cfRule>
    <cfRule type="cellIs" dxfId="1104" priority="385" operator="greaterThan">
      <formula>0</formula>
    </cfRule>
    <cfRule type="cellIs" dxfId="1103" priority="386" operator="equal">
      <formula>0</formula>
    </cfRule>
  </conditionalFormatting>
  <conditionalFormatting sqref="CS53:CS71">
    <cfRule type="cellIs" dxfId="1102" priority="378" operator="lessThan">
      <formula>0</formula>
    </cfRule>
    <cfRule type="cellIs" dxfId="1101" priority="379" operator="greaterThan">
      <formula>0</formula>
    </cfRule>
    <cfRule type="cellIs" dxfId="1100" priority="380" operator="equal">
      <formula>0</formula>
    </cfRule>
  </conditionalFormatting>
  <conditionalFormatting sqref="CI53:CK71">
    <cfRule type="cellIs" dxfId="1099" priority="376" operator="equal">
      <formula>0</formula>
    </cfRule>
    <cfRule type="cellIs" dxfId="1098" priority="377" operator="greaterThan">
      <formula>0</formula>
    </cfRule>
  </conditionalFormatting>
  <conditionalFormatting sqref="CM78:CP97">
    <cfRule type="cellIs" dxfId="1097" priority="373" operator="lessThan">
      <formula>0</formula>
    </cfRule>
    <cfRule type="cellIs" dxfId="1096" priority="374" operator="greaterThan">
      <formula>0</formula>
    </cfRule>
    <cfRule type="cellIs" dxfId="1095" priority="375" operator="equal">
      <formula>0</formula>
    </cfRule>
  </conditionalFormatting>
  <conditionalFormatting sqref="CR78:CR97">
    <cfRule type="cellIs" dxfId="1094" priority="367" operator="lessThan">
      <formula>0</formula>
    </cfRule>
    <cfRule type="cellIs" dxfId="1093" priority="368" operator="greaterThan">
      <formula>0</formula>
    </cfRule>
    <cfRule type="cellIs" dxfId="1092" priority="369" operator="equal">
      <formula>0</formula>
    </cfRule>
  </conditionalFormatting>
  <conditionalFormatting sqref="CQ78:CQ97">
    <cfRule type="cellIs" dxfId="1091" priority="370" operator="lessThan">
      <formula>0</formula>
    </cfRule>
    <cfRule type="cellIs" dxfId="1090" priority="371" operator="greaterThan">
      <formula>0</formula>
    </cfRule>
    <cfRule type="cellIs" dxfId="1089" priority="372" operator="equal">
      <formula>0</formula>
    </cfRule>
  </conditionalFormatting>
  <conditionalFormatting sqref="CS78:CS97">
    <cfRule type="cellIs" dxfId="1088" priority="364" operator="lessThan">
      <formula>0</formula>
    </cfRule>
    <cfRule type="cellIs" dxfId="1087" priority="365" operator="greaterThan">
      <formula>0</formula>
    </cfRule>
    <cfRule type="cellIs" dxfId="1086" priority="366" operator="equal">
      <formula>0</formula>
    </cfRule>
  </conditionalFormatting>
  <conditionalFormatting sqref="CI78:CK97">
    <cfRule type="cellIs" dxfId="1085" priority="362" operator="equal">
      <formula>0</formula>
    </cfRule>
    <cfRule type="cellIs" dxfId="1084" priority="363" operator="greaterThan">
      <formula>0</formula>
    </cfRule>
  </conditionalFormatting>
  <conditionalFormatting sqref="A35:A39">
    <cfRule type="cellIs" dxfId="1083" priority="360" operator="equal">
      <formula>0</formula>
    </cfRule>
    <cfRule type="cellIs" dxfId="1082" priority="361" operator="greaterThan">
      <formula>0</formula>
    </cfRule>
  </conditionalFormatting>
  <conditionalFormatting sqref="A42:A46">
    <cfRule type="cellIs" dxfId="1081" priority="358" operator="equal">
      <formula>0</formula>
    </cfRule>
    <cfRule type="cellIs" dxfId="1080" priority="359" operator="greaterThan">
      <formula>0</formula>
    </cfRule>
  </conditionalFormatting>
  <conditionalFormatting sqref="CM104:CP123">
    <cfRule type="cellIs" dxfId="1079" priority="355" operator="lessThan">
      <formula>0</formula>
    </cfRule>
    <cfRule type="cellIs" dxfId="1078" priority="356" operator="greaterThan">
      <formula>0</formula>
    </cfRule>
    <cfRule type="cellIs" dxfId="1077" priority="357" operator="equal">
      <formula>0</formula>
    </cfRule>
  </conditionalFormatting>
  <conditionalFormatting sqref="CR104:CR123">
    <cfRule type="cellIs" dxfId="1076" priority="349" operator="lessThan">
      <formula>0</formula>
    </cfRule>
    <cfRule type="cellIs" dxfId="1075" priority="350" operator="greaterThan">
      <formula>0</formula>
    </cfRule>
    <cfRule type="cellIs" dxfId="1074" priority="351" operator="equal">
      <formula>0</formula>
    </cfRule>
  </conditionalFormatting>
  <conditionalFormatting sqref="CQ104:CQ123">
    <cfRule type="cellIs" dxfId="1073" priority="352" operator="lessThan">
      <formula>0</formula>
    </cfRule>
    <cfRule type="cellIs" dxfId="1072" priority="353" operator="greaterThan">
      <formula>0</formula>
    </cfRule>
    <cfRule type="cellIs" dxfId="1071" priority="354" operator="equal">
      <formula>0</formula>
    </cfRule>
  </conditionalFormatting>
  <conditionalFormatting sqref="CS104:CS123">
    <cfRule type="cellIs" dxfId="1070" priority="346" operator="lessThan">
      <formula>0</formula>
    </cfRule>
    <cfRule type="cellIs" dxfId="1069" priority="347" operator="greaterThan">
      <formula>0</formula>
    </cfRule>
    <cfRule type="cellIs" dxfId="1068" priority="348" operator="equal">
      <formula>0</formula>
    </cfRule>
  </conditionalFormatting>
  <conditionalFormatting sqref="CI104:CK123">
    <cfRule type="cellIs" dxfId="1067" priority="344" operator="equal">
      <formula>0</formula>
    </cfRule>
    <cfRule type="cellIs" dxfId="1066" priority="345" operator="greaterThan">
      <formula>0</formula>
    </cfRule>
  </conditionalFormatting>
  <conditionalFormatting sqref="CM130:CP150">
    <cfRule type="cellIs" dxfId="1065" priority="341" operator="lessThan">
      <formula>0</formula>
    </cfRule>
    <cfRule type="cellIs" dxfId="1064" priority="342" operator="greaterThan">
      <formula>0</formula>
    </cfRule>
    <cfRule type="cellIs" dxfId="1063" priority="343" operator="equal">
      <formula>0</formula>
    </cfRule>
  </conditionalFormatting>
  <conditionalFormatting sqref="CR130:CR150">
    <cfRule type="cellIs" dxfId="1062" priority="335" operator="lessThan">
      <formula>0</formula>
    </cfRule>
    <cfRule type="cellIs" dxfId="1061" priority="336" operator="greaterThan">
      <formula>0</formula>
    </cfRule>
    <cfRule type="cellIs" dxfId="1060" priority="337" operator="equal">
      <formula>0</formula>
    </cfRule>
  </conditionalFormatting>
  <conditionalFormatting sqref="CQ130:CQ150">
    <cfRule type="cellIs" dxfId="1059" priority="338" operator="lessThan">
      <formula>0</formula>
    </cfRule>
    <cfRule type="cellIs" dxfId="1058" priority="339" operator="greaterThan">
      <formula>0</formula>
    </cfRule>
    <cfRule type="cellIs" dxfId="1057" priority="340" operator="equal">
      <formula>0</formula>
    </cfRule>
  </conditionalFormatting>
  <conditionalFormatting sqref="CS130:CS150">
    <cfRule type="cellIs" dxfId="1056" priority="332" operator="lessThan">
      <formula>0</formula>
    </cfRule>
    <cfRule type="cellIs" dxfId="1055" priority="333" operator="greaterThan">
      <formula>0</formula>
    </cfRule>
    <cfRule type="cellIs" dxfId="1054" priority="334" operator="equal">
      <formula>0</formula>
    </cfRule>
  </conditionalFormatting>
  <conditionalFormatting sqref="CI130:CK150">
    <cfRule type="cellIs" dxfId="1053" priority="330" operator="equal">
      <formula>0</formula>
    </cfRule>
    <cfRule type="cellIs" dxfId="1052" priority="331" operator="greaterThan">
      <formula>0</formula>
    </cfRule>
  </conditionalFormatting>
  <conditionalFormatting sqref="CM154:CP174">
    <cfRule type="cellIs" dxfId="1051" priority="327" operator="lessThan">
      <formula>0</formula>
    </cfRule>
    <cfRule type="cellIs" dxfId="1050" priority="328" operator="greaterThan">
      <formula>0</formula>
    </cfRule>
    <cfRule type="cellIs" dxfId="1049" priority="329" operator="equal">
      <formula>0</formula>
    </cfRule>
  </conditionalFormatting>
  <conditionalFormatting sqref="CR154:CR174">
    <cfRule type="cellIs" dxfId="1048" priority="321" operator="lessThan">
      <formula>0</formula>
    </cfRule>
    <cfRule type="cellIs" dxfId="1047" priority="322" operator="greaterThan">
      <formula>0</formula>
    </cfRule>
    <cfRule type="cellIs" dxfId="1046" priority="323" operator="equal">
      <formula>0</formula>
    </cfRule>
  </conditionalFormatting>
  <conditionalFormatting sqref="CQ154:CQ174">
    <cfRule type="cellIs" dxfId="1045" priority="324" operator="lessThan">
      <formula>0</formula>
    </cfRule>
    <cfRule type="cellIs" dxfId="1044" priority="325" operator="greaterThan">
      <formula>0</formula>
    </cfRule>
    <cfRule type="cellIs" dxfId="1043" priority="326" operator="equal">
      <formula>0</formula>
    </cfRule>
  </conditionalFormatting>
  <conditionalFormatting sqref="CS154:CS174">
    <cfRule type="cellIs" dxfId="1042" priority="318" operator="lessThan">
      <formula>0</formula>
    </cfRule>
    <cfRule type="cellIs" dxfId="1041" priority="319" operator="greaterThan">
      <formula>0</formula>
    </cfRule>
    <cfRule type="cellIs" dxfId="1040" priority="320" operator="equal">
      <formula>0</formula>
    </cfRule>
  </conditionalFormatting>
  <conditionalFormatting sqref="CI154:CK174">
    <cfRule type="cellIs" dxfId="1039" priority="316" operator="equal">
      <formula>0</formula>
    </cfRule>
    <cfRule type="cellIs" dxfId="1038" priority="317" operator="greaterThan">
      <formula>0</formula>
    </cfRule>
  </conditionalFormatting>
  <conditionalFormatting sqref="CM178:CP198">
    <cfRule type="cellIs" dxfId="1037" priority="313" operator="lessThan">
      <formula>0</formula>
    </cfRule>
    <cfRule type="cellIs" dxfId="1036" priority="314" operator="greaterThan">
      <formula>0</formula>
    </cfRule>
    <cfRule type="cellIs" dxfId="1035" priority="315" operator="equal">
      <formula>0</formula>
    </cfRule>
  </conditionalFormatting>
  <conditionalFormatting sqref="CR178:CR198">
    <cfRule type="cellIs" dxfId="1034" priority="307" operator="lessThan">
      <formula>0</formula>
    </cfRule>
    <cfRule type="cellIs" dxfId="1033" priority="308" operator="greaterThan">
      <formula>0</formula>
    </cfRule>
    <cfRule type="cellIs" dxfId="1032" priority="309" operator="equal">
      <formula>0</formula>
    </cfRule>
  </conditionalFormatting>
  <conditionalFormatting sqref="CQ178:CQ198">
    <cfRule type="cellIs" dxfId="1031" priority="310" operator="lessThan">
      <formula>0</formula>
    </cfRule>
    <cfRule type="cellIs" dxfId="1030" priority="311" operator="greaterThan">
      <formula>0</formula>
    </cfRule>
    <cfRule type="cellIs" dxfId="1029" priority="312" operator="equal">
      <formula>0</formula>
    </cfRule>
  </conditionalFormatting>
  <conditionalFormatting sqref="CS178:CS198">
    <cfRule type="cellIs" dxfId="1028" priority="304" operator="lessThan">
      <formula>0</formula>
    </cfRule>
    <cfRule type="cellIs" dxfId="1027" priority="305" operator="greaterThan">
      <formula>0</formula>
    </cfRule>
    <cfRule type="cellIs" dxfId="1026" priority="306" operator="equal">
      <formula>0</formula>
    </cfRule>
  </conditionalFormatting>
  <conditionalFormatting sqref="CI178:CK198">
    <cfRule type="cellIs" dxfId="1025" priority="302" operator="equal">
      <formula>0</formula>
    </cfRule>
    <cfRule type="cellIs" dxfId="1024" priority="303" operator="greaterThan">
      <formula>0</formula>
    </cfRule>
  </conditionalFormatting>
  <conditionalFormatting sqref="A178:A198">
    <cfRule type="cellIs" dxfId="1023" priority="300" operator="equal">
      <formula>0</formula>
    </cfRule>
    <cfRule type="cellIs" dxfId="1022" priority="301" operator="greaterThan">
      <formula>0</formula>
    </cfRule>
  </conditionalFormatting>
  <conditionalFormatting sqref="CM204:CP212 CQ212:CR212">
    <cfRule type="cellIs" dxfId="1021" priority="297" operator="lessThan">
      <formula>0</formula>
    </cfRule>
    <cfRule type="cellIs" dxfId="1020" priority="298" operator="greaterThan">
      <formula>0</formula>
    </cfRule>
    <cfRule type="cellIs" dxfId="1019" priority="299" operator="equal">
      <formula>0</formula>
    </cfRule>
  </conditionalFormatting>
  <conditionalFormatting sqref="CR204:CR211">
    <cfRule type="cellIs" dxfId="1018" priority="291" operator="lessThan">
      <formula>0</formula>
    </cfRule>
    <cfRule type="cellIs" dxfId="1017" priority="292" operator="greaterThan">
      <formula>0</formula>
    </cfRule>
    <cfRule type="cellIs" dxfId="1016" priority="293" operator="equal">
      <formula>0</formula>
    </cfRule>
  </conditionalFormatting>
  <conditionalFormatting sqref="CQ204:CQ211">
    <cfRule type="cellIs" dxfId="1015" priority="294" operator="lessThan">
      <formula>0</formula>
    </cfRule>
    <cfRule type="cellIs" dxfId="1014" priority="295" operator="greaterThan">
      <formula>0</formula>
    </cfRule>
    <cfRule type="cellIs" dxfId="1013" priority="296" operator="equal">
      <formula>0</formula>
    </cfRule>
  </conditionalFormatting>
  <conditionalFormatting sqref="CS204:CS212">
    <cfRule type="cellIs" dxfId="1012" priority="288" operator="lessThan">
      <formula>0</formula>
    </cfRule>
    <cfRule type="cellIs" dxfId="1011" priority="289" operator="greaterThan">
      <formula>0</formula>
    </cfRule>
    <cfRule type="cellIs" dxfId="1010" priority="290" operator="equal">
      <formula>0</formula>
    </cfRule>
  </conditionalFormatting>
  <conditionalFormatting sqref="CI204:CK212">
    <cfRule type="cellIs" dxfId="1009" priority="286" operator="equal">
      <formula>0</formula>
    </cfRule>
    <cfRule type="cellIs" dxfId="1008" priority="287" operator="greaterThan">
      <formula>0</formula>
    </cfRule>
  </conditionalFormatting>
  <conditionalFormatting sqref="CM218:CP226 CQ226:CR226">
    <cfRule type="cellIs" dxfId="1007" priority="283" operator="lessThan">
      <formula>0</formula>
    </cfRule>
    <cfRule type="cellIs" dxfId="1006" priority="284" operator="greaterThan">
      <formula>0</formula>
    </cfRule>
    <cfRule type="cellIs" dxfId="1005" priority="285" operator="equal">
      <formula>0</formula>
    </cfRule>
  </conditionalFormatting>
  <conditionalFormatting sqref="CR218:CR225">
    <cfRule type="cellIs" dxfId="1004" priority="277" operator="lessThan">
      <formula>0</formula>
    </cfRule>
    <cfRule type="cellIs" dxfId="1003" priority="278" operator="greaterThan">
      <formula>0</formula>
    </cfRule>
    <cfRule type="cellIs" dxfId="1002" priority="279" operator="equal">
      <formula>0</formula>
    </cfRule>
  </conditionalFormatting>
  <conditionalFormatting sqref="CQ218:CQ225">
    <cfRule type="cellIs" dxfId="1001" priority="280" operator="lessThan">
      <formula>0</formula>
    </cfRule>
    <cfRule type="cellIs" dxfId="1000" priority="281" operator="greaterThan">
      <formula>0</formula>
    </cfRule>
    <cfRule type="cellIs" dxfId="999" priority="282" operator="equal">
      <formula>0</formula>
    </cfRule>
  </conditionalFormatting>
  <conditionalFormatting sqref="CS218:CS226">
    <cfRule type="cellIs" dxfId="998" priority="274" operator="lessThan">
      <formula>0</formula>
    </cfRule>
    <cfRule type="cellIs" dxfId="997" priority="275" operator="greaterThan">
      <formula>0</formula>
    </cfRule>
    <cfRule type="cellIs" dxfId="996" priority="276" operator="equal">
      <formula>0</formula>
    </cfRule>
  </conditionalFormatting>
  <conditionalFormatting sqref="CI218:CK226">
    <cfRule type="cellIs" dxfId="995" priority="272" operator="equal">
      <formula>0</formula>
    </cfRule>
    <cfRule type="cellIs" dxfId="994" priority="273" operator="greaterThan">
      <formula>0</formula>
    </cfRule>
  </conditionalFormatting>
  <conditionalFormatting sqref="CM232:CP240 CQ240:CR240">
    <cfRule type="cellIs" dxfId="993" priority="269" operator="lessThan">
      <formula>0</formula>
    </cfRule>
    <cfRule type="cellIs" dxfId="992" priority="270" operator="greaterThan">
      <formula>0</formula>
    </cfRule>
    <cfRule type="cellIs" dxfId="991" priority="271" operator="equal">
      <formula>0</formula>
    </cfRule>
  </conditionalFormatting>
  <conditionalFormatting sqref="CR232:CR239">
    <cfRule type="cellIs" dxfId="990" priority="263" operator="lessThan">
      <formula>0</formula>
    </cfRule>
    <cfRule type="cellIs" dxfId="989" priority="264" operator="greaterThan">
      <formula>0</formula>
    </cfRule>
    <cfRule type="cellIs" dxfId="988" priority="265" operator="equal">
      <formula>0</formula>
    </cfRule>
  </conditionalFormatting>
  <conditionalFormatting sqref="CQ232:CQ239">
    <cfRule type="cellIs" dxfId="987" priority="266" operator="lessThan">
      <formula>0</formula>
    </cfRule>
    <cfRule type="cellIs" dxfId="986" priority="267" operator="greaterThan">
      <formula>0</formula>
    </cfRule>
    <cfRule type="cellIs" dxfId="985" priority="268" operator="equal">
      <formula>0</formula>
    </cfRule>
  </conditionalFormatting>
  <conditionalFormatting sqref="CS232:CS240">
    <cfRule type="cellIs" dxfId="984" priority="260" operator="lessThan">
      <formula>0</formula>
    </cfRule>
    <cfRule type="cellIs" dxfId="983" priority="261" operator="greaterThan">
      <formula>0</formula>
    </cfRule>
    <cfRule type="cellIs" dxfId="982" priority="262" operator="equal">
      <formula>0</formula>
    </cfRule>
  </conditionalFormatting>
  <conditionalFormatting sqref="CI232:CK240">
    <cfRule type="cellIs" dxfId="981" priority="258" operator="equal">
      <formula>0</formula>
    </cfRule>
    <cfRule type="cellIs" dxfId="980" priority="259" operator="greaterThan">
      <formula>0</formula>
    </cfRule>
  </conditionalFormatting>
  <conditionalFormatting sqref="CM246:CP251">
    <cfRule type="cellIs" dxfId="979" priority="255" operator="lessThan">
      <formula>0</formula>
    </cfRule>
    <cfRule type="cellIs" dxfId="978" priority="256" operator="greaterThan">
      <formula>0</formula>
    </cfRule>
    <cfRule type="cellIs" dxfId="977" priority="257" operator="equal">
      <formula>0</formula>
    </cfRule>
  </conditionalFormatting>
  <conditionalFormatting sqref="CR246:CR251">
    <cfRule type="cellIs" dxfId="976" priority="249" operator="lessThan">
      <formula>0</formula>
    </cfRule>
    <cfRule type="cellIs" dxfId="975" priority="250" operator="greaterThan">
      <formula>0</formula>
    </cfRule>
    <cfRule type="cellIs" dxfId="974" priority="251" operator="equal">
      <formula>0</formula>
    </cfRule>
  </conditionalFormatting>
  <conditionalFormatting sqref="CQ246:CQ251">
    <cfRule type="cellIs" dxfId="973" priority="252" operator="lessThan">
      <formula>0</formula>
    </cfRule>
    <cfRule type="cellIs" dxfId="972" priority="253" operator="greaterThan">
      <formula>0</formula>
    </cfRule>
    <cfRule type="cellIs" dxfId="971" priority="254" operator="equal">
      <formula>0</formula>
    </cfRule>
  </conditionalFormatting>
  <conditionalFormatting sqref="CS246:CS251">
    <cfRule type="cellIs" dxfId="970" priority="246" operator="lessThan">
      <formula>0</formula>
    </cfRule>
    <cfRule type="cellIs" dxfId="969" priority="247" operator="greaterThan">
      <formula>0</formula>
    </cfRule>
    <cfRule type="cellIs" dxfId="968" priority="248" operator="equal">
      <formula>0</formula>
    </cfRule>
  </conditionalFormatting>
  <conditionalFormatting sqref="CI246:CK251">
    <cfRule type="cellIs" dxfId="967" priority="244" operator="equal">
      <formula>0</formula>
    </cfRule>
    <cfRule type="cellIs" dxfId="966" priority="245" operator="greaterThan">
      <formula>0</formula>
    </cfRule>
  </conditionalFormatting>
  <conditionalFormatting sqref="CM252:CR252">
    <cfRule type="cellIs" dxfId="965" priority="241" operator="lessThan">
      <formula>0</formula>
    </cfRule>
    <cfRule type="cellIs" dxfId="964" priority="242" operator="greaterThan">
      <formula>0</formula>
    </cfRule>
    <cfRule type="cellIs" dxfId="963" priority="243" operator="equal">
      <formula>0</formula>
    </cfRule>
  </conditionalFormatting>
  <conditionalFormatting sqref="CS252">
    <cfRule type="cellIs" dxfId="962" priority="238" operator="lessThan">
      <formula>0</formula>
    </cfRule>
    <cfRule type="cellIs" dxfId="961" priority="239" operator="greaterThan">
      <formula>0</formula>
    </cfRule>
    <cfRule type="cellIs" dxfId="960" priority="240" operator="equal">
      <formula>0</formula>
    </cfRule>
  </conditionalFormatting>
  <conditionalFormatting sqref="CI252:CK252">
    <cfRule type="cellIs" dxfId="959" priority="236" operator="equal">
      <formula>0</formula>
    </cfRule>
    <cfRule type="cellIs" dxfId="958" priority="237" operator="greaterThan">
      <formula>0</formula>
    </cfRule>
  </conditionalFormatting>
  <conditionalFormatting sqref="CM258:CP260">
    <cfRule type="cellIs" dxfId="957" priority="233" operator="lessThan">
      <formula>0</formula>
    </cfRule>
    <cfRule type="cellIs" dxfId="956" priority="234" operator="greaterThan">
      <formula>0</formula>
    </cfRule>
    <cfRule type="cellIs" dxfId="955" priority="235" operator="equal">
      <formula>0</formula>
    </cfRule>
  </conditionalFormatting>
  <conditionalFormatting sqref="CR258:CR260">
    <cfRule type="cellIs" dxfId="954" priority="227" operator="lessThan">
      <formula>0</formula>
    </cfRule>
    <cfRule type="cellIs" dxfId="953" priority="228" operator="greaterThan">
      <formula>0</formula>
    </cfRule>
    <cfRule type="cellIs" dxfId="952" priority="229" operator="equal">
      <formula>0</formula>
    </cfRule>
  </conditionalFormatting>
  <conditionalFormatting sqref="CQ258:CQ260">
    <cfRule type="cellIs" dxfId="951" priority="230" operator="lessThan">
      <formula>0</formula>
    </cfRule>
    <cfRule type="cellIs" dxfId="950" priority="231" operator="greaterThan">
      <formula>0</formula>
    </cfRule>
    <cfRule type="cellIs" dxfId="949" priority="232" operator="equal">
      <formula>0</formula>
    </cfRule>
  </conditionalFormatting>
  <conditionalFormatting sqref="CS258:CS260">
    <cfRule type="cellIs" dxfId="948" priority="224" operator="lessThan">
      <formula>0</formula>
    </cfRule>
    <cfRule type="cellIs" dxfId="947" priority="225" operator="greaterThan">
      <formula>0</formula>
    </cfRule>
    <cfRule type="cellIs" dxfId="946" priority="226" operator="equal">
      <formula>0</formula>
    </cfRule>
  </conditionalFormatting>
  <conditionalFormatting sqref="CI258:CK260">
    <cfRule type="cellIs" dxfId="945" priority="222" operator="equal">
      <formula>0</formula>
    </cfRule>
    <cfRule type="cellIs" dxfId="944" priority="223" operator="greaterThan">
      <formula>0</formula>
    </cfRule>
  </conditionalFormatting>
  <conditionalFormatting sqref="CM261:CR261">
    <cfRule type="cellIs" dxfId="943" priority="211" operator="lessThan">
      <formula>0</formula>
    </cfRule>
    <cfRule type="cellIs" dxfId="942" priority="212" operator="greaterThan">
      <formula>0</formula>
    </cfRule>
    <cfRule type="cellIs" dxfId="941" priority="213" operator="equal">
      <formula>0</formula>
    </cfRule>
  </conditionalFormatting>
  <conditionalFormatting sqref="CS261">
    <cfRule type="cellIs" dxfId="940" priority="208" operator="lessThan">
      <formula>0</formula>
    </cfRule>
    <cfRule type="cellIs" dxfId="939" priority="209" operator="greaterThan">
      <formula>0</formula>
    </cfRule>
    <cfRule type="cellIs" dxfId="938" priority="210" operator="equal">
      <formula>0</formula>
    </cfRule>
  </conditionalFormatting>
  <conditionalFormatting sqref="CI261:CK261">
    <cfRule type="cellIs" dxfId="937" priority="206" operator="equal">
      <formula>0</formula>
    </cfRule>
    <cfRule type="cellIs" dxfId="936" priority="207" operator="greaterThan">
      <formula>0</formula>
    </cfRule>
  </conditionalFormatting>
  <conditionalFormatting sqref="CM267:CP270">
    <cfRule type="cellIs" dxfId="935" priority="181" operator="lessThan">
      <formula>0</formula>
    </cfRule>
    <cfRule type="cellIs" dxfId="934" priority="182" operator="greaterThan">
      <formula>0</formula>
    </cfRule>
    <cfRule type="cellIs" dxfId="933" priority="183" operator="equal">
      <formula>0</formula>
    </cfRule>
  </conditionalFormatting>
  <conditionalFormatting sqref="CR267:CR270">
    <cfRule type="cellIs" dxfId="932" priority="175" operator="lessThan">
      <formula>0</formula>
    </cfRule>
    <cfRule type="cellIs" dxfId="931" priority="176" operator="greaterThan">
      <formula>0</formula>
    </cfRule>
    <cfRule type="cellIs" dxfId="930" priority="177" operator="equal">
      <formula>0</formula>
    </cfRule>
  </conditionalFormatting>
  <conditionalFormatting sqref="CQ267:CQ270">
    <cfRule type="cellIs" dxfId="929" priority="178" operator="lessThan">
      <formula>0</formula>
    </cfRule>
    <cfRule type="cellIs" dxfId="928" priority="179" operator="greaterThan">
      <formula>0</formula>
    </cfRule>
    <cfRule type="cellIs" dxfId="927" priority="180" operator="equal">
      <formula>0</formula>
    </cfRule>
  </conditionalFormatting>
  <conditionalFormatting sqref="CS267:CS270">
    <cfRule type="cellIs" dxfId="926" priority="172" operator="lessThan">
      <formula>0</formula>
    </cfRule>
    <cfRule type="cellIs" dxfId="925" priority="173" operator="greaterThan">
      <formula>0</formula>
    </cfRule>
    <cfRule type="cellIs" dxfId="924" priority="174" operator="equal">
      <formula>0</formula>
    </cfRule>
  </conditionalFormatting>
  <conditionalFormatting sqref="CI267:CK270">
    <cfRule type="cellIs" dxfId="923" priority="170" operator="equal">
      <formula>0</formula>
    </cfRule>
    <cfRule type="cellIs" dxfId="922" priority="171" operator="greaterThan">
      <formula>0</formula>
    </cfRule>
  </conditionalFormatting>
  <conditionalFormatting sqref="CM271:CR271">
    <cfRule type="cellIs" dxfId="921" priority="159" operator="lessThan">
      <formula>0</formula>
    </cfRule>
    <cfRule type="cellIs" dxfId="920" priority="160" operator="greaterThan">
      <formula>0</formula>
    </cfRule>
    <cfRule type="cellIs" dxfId="919" priority="161" operator="equal">
      <formula>0</formula>
    </cfRule>
  </conditionalFormatting>
  <conditionalFormatting sqref="CS271">
    <cfRule type="cellIs" dxfId="918" priority="156" operator="lessThan">
      <formula>0</formula>
    </cfRule>
    <cfRule type="cellIs" dxfId="917" priority="157" operator="greaterThan">
      <formula>0</formula>
    </cfRule>
    <cfRule type="cellIs" dxfId="916" priority="158" operator="equal">
      <formula>0</formula>
    </cfRule>
  </conditionalFormatting>
  <conditionalFormatting sqref="CI271:CK271">
    <cfRule type="cellIs" dxfId="915" priority="154" operator="equal">
      <formula>0</formula>
    </cfRule>
    <cfRule type="cellIs" dxfId="914" priority="155" operator="greaterThan">
      <formula>0</formula>
    </cfRule>
  </conditionalFormatting>
  <conditionalFormatting sqref="CM277:CP280">
    <cfRule type="cellIs" dxfId="913" priority="151" operator="lessThan">
      <formula>0</formula>
    </cfRule>
    <cfRule type="cellIs" dxfId="912" priority="152" operator="greaterThan">
      <formula>0</formula>
    </cfRule>
    <cfRule type="cellIs" dxfId="911" priority="153" operator="equal">
      <formula>0</formula>
    </cfRule>
  </conditionalFormatting>
  <conditionalFormatting sqref="CR277:CR280">
    <cfRule type="cellIs" dxfId="910" priority="145" operator="lessThan">
      <formula>0</formula>
    </cfRule>
    <cfRule type="cellIs" dxfId="909" priority="146" operator="greaterThan">
      <formula>0</formula>
    </cfRule>
    <cfRule type="cellIs" dxfId="908" priority="147" operator="equal">
      <formula>0</formula>
    </cfRule>
  </conditionalFormatting>
  <conditionalFormatting sqref="CQ277:CQ280">
    <cfRule type="cellIs" dxfId="907" priority="148" operator="lessThan">
      <formula>0</formula>
    </cfRule>
    <cfRule type="cellIs" dxfId="906" priority="149" operator="greaterThan">
      <formula>0</formula>
    </cfRule>
    <cfRule type="cellIs" dxfId="905" priority="150" operator="equal">
      <formula>0</formula>
    </cfRule>
  </conditionalFormatting>
  <conditionalFormatting sqref="CS277:CS280">
    <cfRule type="cellIs" dxfId="904" priority="142" operator="lessThan">
      <formula>0</formula>
    </cfRule>
    <cfRule type="cellIs" dxfId="903" priority="143" operator="greaterThan">
      <formula>0</formula>
    </cfRule>
    <cfRule type="cellIs" dxfId="902" priority="144" operator="equal">
      <formula>0</formula>
    </cfRule>
  </conditionalFormatting>
  <conditionalFormatting sqref="CI277:CK280">
    <cfRule type="cellIs" dxfId="901" priority="140" operator="equal">
      <formula>0</formula>
    </cfRule>
    <cfRule type="cellIs" dxfId="900" priority="141" operator="greaterThan">
      <formula>0</formula>
    </cfRule>
  </conditionalFormatting>
  <conditionalFormatting sqref="CM281:CR281">
    <cfRule type="cellIs" dxfId="899" priority="137" operator="lessThan">
      <formula>0</formula>
    </cfRule>
    <cfRule type="cellIs" dxfId="898" priority="138" operator="greaterThan">
      <formula>0</formula>
    </cfRule>
    <cfRule type="cellIs" dxfId="897" priority="139" operator="equal">
      <formula>0</formula>
    </cfRule>
  </conditionalFormatting>
  <conditionalFormatting sqref="CS281">
    <cfRule type="cellIs" dxfId="896" priority="134" operator="lessThan">
      <formula>0</formula>
    </cfRule>
    <cfRule type="cellIs" dxfId="895" priority="135" operator="greaterThan">
      <formula>0</formula>
    </cfRule>
    <cfRule type="cellIs" dxfId="894" priority="136" operator="equal">
      <formula>0</formula>
    </cfRule>
  </conditionalFormatting>
  <conditionalFormatting sqref="CI281:CK281">
    <cfRule type="cellIs" dxfId="893" priority="132" operator="equal">
      <formula>0</formula>
    </cfRule>
    <cfRule type="cellIs" dxfId="892" priority="133" operator="greaterThan">
      <formula>0</formula>
    </cfRule>
  </conditionalFormatting>
  <conditionalFormatting sqref="CM284:CP289">
    <cfRule type="cellIs" dxfId="891" priority="129" operator="lessThan">
      <formula>0</formula>
    </cfRule>
    <cfRule type="cellIs" dxfId="890" priority="130" operator="greaterThan">
      <formula>0</formula>
    </cfRule>
    <cfRule type="cellIs" dxfId="889" priority="131" operator="equal">
      <formula>0</formula>
    </cfRule>
  </conditionalFormatting>
  <conditionalFormatting sqref="CR284:CR289">
    <cfRule type="cellIs" dxfId="888" priority="123" operator="lessThan">
      <formula>0</formula>
    </cfRule>
    <cfRule type="cellIs" dxfId="887" priority="124" operator="greaterThan">
      <formula>0</formula>
    </cfRule>
    <cfRule type="cellIs" dxfId="886" priority="125" operator="equal">
      <formula>0</formula>
    </cfRule>
  </conditionalFormatting>
  <conditionalFormatting sqref="CQ284:CQ289">
    <cfRule type="cellIs" dxfId="885" priority="126" operator="lessThan">
      <formula>0</formula>
    </cfRule>
    <cfRule type="cellIs" dxfId="884" priority="127" operator="greaterThan">
      <formula>0</formula>
    </cfRule>
    <cfRule type="cellIs" dxfId="883" priority="128" operator="equal">
      <formula>0</formula>
    </cfRule>
  </conditionalFormatting>
  <conditionalFormatting sqref="CS284:CS289">
    <cfRule type="cellIs" dxfId="882" priority="120" operator="lessThan">
      <formula>0</formula>
    </cfRule>
    <cfRule type="cellIs" dxfId="881" priority="121" operator="greaterThan">
      <formula>0</formula>
    </cfRule>
    <cfRule type="cellIs" dxfId="880" priority="122" operator="equal">
      <formula>0</formula>
    </cfRule>
  </conditionalFormatting>
  <conditionalFormatting sqref="CI284:CK289">
    <cfRule type="cellIs" dxfId="879" priority="118" operator="equal">
      <formula>0</formula>
    </cfRule>
    <cfRule type="cellIs" dxfId="878" priority="119" operator="greaterThan">
      <formula>0</formula>
    </cfRule>
  </conditionalFormatting>
  <conditionalFormatting sqref="CM294:CP299">
    <cfRule type="cellIs" dxfId="877" priority="115" operator="lessThan">
      <formula>0</formula>
    </cfRule>
    <cfRule type="cellIs" dxfId="876" priority="116" operator="greaterThan">
      <formula>0</formula>
    </cfRule>
    <cfRule type="cellIs" dxfId="875" priority="117" operator="equal">
      <formula>0</formula>
    </cfRule>
  </conditionalFormatting>
  <conditionalFormatting sqref="CR294:CR299">
    <cfRule type="cellIs" dxfId="874" priority="109" operator="lessThan">
      <formula>0</formula>
    </cfRule>
    <cfRule type="cellIs" dxfId="873" priority="110" operator="greaterThan">
      <formula>0</formula>
    </cfRule>
    <cfRule type="cellIs" dxfId="872" priority="111" operator="equal">
      <formula>0</formula>
    </cfRule>
  </conditionalFormatting>
  <conditionalFormatting sqref="CQ294:CQ299">
    <cfRule type="cellIs" dxfId="871" priority="112" operator="lessThan">
      <formula>0</formula>
    </cfRule>
    <cfRule type="cellIs" dxfId="870" priority="113" operator="greaterThan">
      <formula>0</formula>
    </cfRule>
    <cfRule type="cellIs" dxfId="869" priority="114" operator="equal">
      <formula>0</formula>
    </cfRule>
  </conditionalFormatting>
  <conditionalFormatting sqref="CS294:CS299">
    <cfRule type="cellIs" dxfId="868" priority="106" operator="lessThan">
      <formula>0</formula>
    </cfRule>
    <cfRule type="cellIs" dxfId="867" priority="107" operator="greaterThan">
      <formula>0</formula>
    </cfRule>
    <cfRule type="cellIs" dxfId="866" priority="108" operator="equal">
      <formula>0</formula>
    </cfRule>
  </conditionalFormatting>
  <conditionalFormatting sqref="CI294:CK299">
    <cfRule type="cellIs" dxfId="865" priority="104" operator="equal">
      <formula>0</formula>
    </cfRule>
    <cfRule type="cellIs" dxfId="864" priority="105" operator="greaterThan">
      <formula>0</formula>
    </cfRule>
  </conditionalFormatting>
  <conditionalFormatting sqref="CM305:CP305">
    <cfRule type="cellIs" dxfId="863" priority="101" operator="lessThan">
      <formula>0</formula>
    </cfRule>
    <cfRule type="cellIs" dxfId="862" priority="102" operator="greaterThan">
      <formula>0</formula>
    </cfRule>
    <cfRule type="cellIs" dxfId="861" priority="103" operator="equal">
      <formula>0</formula>
    </cfRule>
  </conditionalFormatting>
  <conditionalFormatting sqref="CR305">
    <cfRule type="cellIs" dxfId="860" priority="95" operator="lessThan">
      <formula>0</formula>
    </cfRule>
    <cfRule type="cellIs" dxfId="859" priority="96" operator="greaterThan">
      <formula>0</formula>
    </cfRule>
    <cfRule type="cellIs" dxfId="858" priority="97" operator="equal">
      <formula>0</formula>
    </cfRule>
  </conditionalFormatting>
  <conditionalFormatting sqref="CQ305">
    <cfRule type="cellIs" dxfId="857" priority="98" operator="lessThan">
      <formula>0</formula>
    </cfRule>
    <cfRule type="cellIs" dxfId="856" priority="99" operator="greaterThan">
      <formula>0</formula>
    </cfRule>
    <cfRule type="cellIs" dxfId="855" priority="100" operator="equal">
      <formula>0</formula>
    </cfRule>
  </conditionalFormatting>
  <conditionalFormatting sqref="CS305">
    <cfRule type="cellIs" dxfId="854" priority="92" operator="lessThan">
      <formula>0</formula>
    </cfRule>
    <cfRule type="cellIs" dxfId="853" priority="93" operator="greaterThan">
      <formula>0</formula>
    </cfRule>
    <cfRule type="cellIs" dxfId="852" priority="94" operator="equal">
      <formula>0</formula>
    </cfRule>
  </conditionalFormatting>
  <conditionalFormatting sqref="CI305:CK305">
    <cfRule type="cellIs" dxfId="851" priority="90" operator="equal">
      <formula>0</formula>
    </cfRule>
    <cfRule type="cellIs" dxfId="850" priority="91" operator="greaterThan">
      <formula>0</formula>
    </cfRule>
  </conditionalFormatting>
  <conditionalFormatting sqref="CM307:CP307">
    <cfRule type="cellIs" dxfId="849" priority="87" operator="lessThan">
      <formula>0</formula>
    </cfRule>
    <cfRule type="cellIs" dxfId="848" priority="88" operator="greaterThan">
      <formula>0</formula>
    </cfRule>
    <cfRule type="cellIs" dxfId="847" priority="89" operator="equal">
      <formula>0</formula>
    </cfRule>
  </conditionalFormatting>
  <conditionalFormatting sqref="CR307">
    <cfRule type="cellIs" dxfId="846" priority="81" operator="lessThan">
      <formula>0</formula>
    </cfRule>
    <cfRule type="cellIs" dxfId="845" priority="82" operator="greaterThan">
      <formula>0</formula>
    </cfRule>
    <cfRule type="cellIs" dxfId="844" priority="83" operator="equal">
      <formula>0</formula>
    </cfRule>
  </conditionalFormatting>
  <conditionalFormatting sqref="CQ307">
    <cfRule type="cellIs" dxfId="843" priority="84" operator="lessThan">
      <formula>0</formula>
    </cfRule>
    <cfRule type="cellIs" dxfId="842" priority="85" operator="greaterThan">
      <formula>0</formula>
    </cfRule>
    <cfRule type="cellIs" dxfId="841" priority="86" operator="equal">
      <formula>0</formula>
    </cfRule>
  </conditionalFormatting>
  <conditionalFormatting sqref="CS307">
    <cfRule type="cellIs" dxfId="840" priority="78" operator="lessThan">
      <formula>0</formula>
    </cfRule>
    <cfRule type="cellIs" dxfId="839" priority="79" operator="greaterThan">
      <formula>0</formula>
    </cfRule>
    <cfRule type="cellIs" dxfId="838" priority="80" operator="equal">
      <formula>0</formula>
    </cfRule>
  </conditionalFormatting>
  <conditionalFormatting sqref="CI307:CK307">
    <cfRule type="cellIs" dxfId="837" priority="76" operator="equal">
      <formula>0</formula>
    </cfRule>
    <cfRule type="cellIs" dxfId="836" priority="77" operator="greaterThan">
      <formula>0</formula>
    </cfRule>
  </conditionalFormatting>
  <conditionalFormatting sqref="CM313:CP313 CM311:CP311">
    <cfRule type="cellIs" dxfId="835" priority="73" operator="lessThan">
      <formula>0</formula>
    </cfRule>
    <cfRule type="cellIs" dxfId="834" priority="74" operator="greaterThan">
      <formula>0</formula>
    </cfRule>
    <cfRule type="cellIs" dxfId="833" priority="75" operator="equal">
      <formula>0</formula>
    </cfRule>
  </conditionalFormatting>
  <conditionalFormatting sqref="CR313 CR311">
    <cfRule type="cellIs" dxfId="832" priority="67" operator="lessThan">
      <formula>0</formula>
    </cfRule>
    <cfRule type="cellIs" dxfId="831" priority="68" operator="greaterThan">
      <formula>0</formula>
    </cfRule>
    <cfRule type="cellIs" dxfId="830" priority="69" operator="equal">
      <formula>0</formula>
    </cfRule>
  </conditionalFormatting>
  <conditionalFormatting sqref="CQ313 CQ311">
    <cfRule type="cellIs" dxfId="829" priority="70" operator="lessThan">
      <formula>0</formula>
    </cfRule>
    <cfRule type="cellIs" dxfId="828" priority="71" operator="greaterThan">
      <formula>0</formula>
    </cfRule>
    <cfRule type="cellIs" dxfId="827" priority="72" operator="equal">
      <formula>0</formula>
    </cfRule>
  </conditionalFormatting>
  <conditionalFormatting sqref="CS313 CS311">
    <cfRule type="cellIs" dxfId="826" priority="64" operator="lessThan">
      <formula>0</formula>
    </cfRule>
    <cfRule type="cellIs" dxfId="825" priority="65" operator="greaterThan">
      <formula>0</formula>
    </cfRule>
    <cfRule type="cellIs" dxfId="824" priority="66" operator="equal">
      <formula>0</formula>
    </cfRule>
  </conditionalFormatting>
  <conditionalFormatting sqref="CI313:CK313 CI311:CK311">
    <cfRule type="cellIs" dxfId="823" priority="62" operator="equal">
      <formula>0</formula>
    </cfRule>
    <cfRule type="cellIs" dxfId="822" priority="63" operator="greaterThan">
      <formula>0</formula>
    </cfRule>
  </conditionalFormatting>
  <conditionalFormatting sqref="CM317:CP317">
    <cfRule type="cellIs" dxfId="821" priority="59" operator="lessThan">
      <formula>0</formula>
    </cfRule>
    <cfRule type="cellIs" dxfId="820" priority="60" operator="greaterThan">
      <formula>0</formula>
    </cfRule>
    <cfRule type="cellIs" dxfId="819" priority="61" operator="equal">
      <formula>0</formula>
    </cfRule>
  </conditionalFormatting>
  <conditionalFormatting sqref="CR317">
    <cfRule type="cellIs" dxfId="818" priority="53" operator="lessThan">
      <formula>0</formula>
    </cfRule>
    <cfRule type="cellIs" dxfId="817" priority="54" operator="greaterThan">
      <formula>0</formula>
    </cfRule>
    <cfRule type="cellIs" dxfId="816" priority="55" operator="equal">
      <formula>0</formula>
    </cfRule>
  </conditionalFormatting>
  <conditionalFormatting sqref="CQ317">
    <cfRule type="cellIs" dxfId="815" priority="56" operator="lessThan">
      <formula>0</formula>
    </cfRule>
    <cfRule type="cellIs" dxfId="814" priority="57" operator="greaterThan">
      <formula>0</formula>
    </cfRule>
    <cfRule type="cellIs" dxfId="813" priority="58" operator="equal">
      <formula>0</formula>
    </cfRule>
  </conditionalFormatting>
  <conditionalFormatting sqref="CS317">
    <cfRule type="cellIs" dxfId="812" priority="50" operator="lessThan">
      <formula>0</formula>
    </cfRule>
    <cfRule type="cellIs" dxfId="811" priority="51" operator="greaterThan">
      <formula>0</formula>
    </cfRule>
    <cfRule type="cellIs" dxfId="810" priority="52" operator="equal">
      <formula>0</formula>
    </cfRule>
  </conditionalFormatting>
  <conditionalFormatting sqref="CM319:CP319">
    <cfRule type="cellIs" dxfId="809" priority="45" operator="lessThan">
      <formula>0</formula>
    </cfRule>
    <cfRule type="cellIs" dxfId="808" priority="46" operator="greaterThan">
      <formula>0</formula>
    </cfRule>
    <cfRule type="cellIs" dxfId="807" priority="47" operator="equal">
      <formula>0</formula>
    </cfRule>
  </conditionalFormatting>
  <conditionalFormatting sqref="CR319">
    <cfRule type="cellIs" dxfId="806" priority="39" operator="lessThan">
      <formula>0</formula>
    </cfRule>
    <cfRule type="cellIs" dxfId="805" priority="40" operator="greaterThan">
      <formula>0</formula>
    </cfRule>
    <cfRule type="cellIs" dxfId="804" priority="41" operator="equal">
      <formula>0</formula>
    </cfRule>
  </conditionalFormatting>
  <conditionalFormatting sqref="CQ319">
    <cfRule type="cellIs" dxfId="803" priority="42" operator="lessThan">
      <formula>0</formula>
    </cfRule>
    <cfRule type="cellIs" dxfId="802" priority="43" operator="greaterThan">
      <formula>0</formula>
    </cfRule>
    <cfRule type="cellIs" dxfId="801" priority="44" operator="equal">
      <formula>0</formula>
    </cfRule>
  </conditionalFormatting>
  <conditionalFormatting sqref="CS319">
    <cfRule type="cellIs" dxfId="800" priority="36" operator="lessThan">
      <formula>0</formula>
    </cfRule>
    <cfRule type="cellIs" dxfId="799" priority="37" operator="greaterThan">
      <formula>0</formula>
    </cfRule>
    <cfRule type="cellIs" dxfId="798" priority="38" operator="equal">
      <formula>0</formula>
    </cfRule>
  </conditionalFormatting>
  <conditionalFormatting sqref="CI322:CK326 CI319:CK319 CI317:CK317">
    <cfRule type="cellIs" dxfId="797" priority="18" operator="equal">
      <formula>0</formula>
    </cfRule>
    <cfRule type="cellIs" dxfId="796" priority="19" operator="greaterThan">
      <formula>0</formula>
    </cfRule>
  </conditionalFormatting>
  <conditionalFormatting sqref="AA317:BJ317 AA311:BJ311 AA305:BJ305 AA288:BJ288 AA277:BJ280 AA269:BJ269 AA260:BJ260 AA250:BJ250 AA246:BJ246 AA13:BJ27 AA209:BJ210 AA223:BJ224 AA237:BJ238">
    <cfRule type="expression" dxfId="795" priority="13">
      <formula>AND(AA$4=0,AB$4=1)</formula>
    </cfRule>
  </conditionalFormatting>
  <conditionalFormatting sqref="BZ35:BZ39">
    <cfRule type="cellIs" dxfId="794" priority="10" operator="greaterThan">
      <formula>0</formula>
    </cfRule>
    <cfRule type="cellIs" dxfId="793" priority="11" operator="equal">
      <formula>0</formula>
    </cfRule>
  </conditionalFormatting>
  <conditionalFormatting sqref="BZ42:BZ46">
    <cfRule type="cellIs" dxfId="792" priority="8" operator="greaterThan">
      <formula>0</formula>
    </cfRule>
    <cfRule type="cellIs" dxfId="791" priority="9" operator="equal">
      <formula>0</formula>
    </cfRule>
  </conditionalFormatting>
  <conditionalFormatting sqref="BZ246">
    <cfRule type="cellIs" dxfId="790" priority="6" operator="greaterThan">
      <formula>0</formula>
    </cfRule>
    <cfRule type="cellIs" dxfId="789" priority="7" operator="equal">
      <formula>0</formula>
    </cfRule>
  </conditionalFormatting>
  <conditionalFormatting sqref="BZ248:BZ249">
    <cfRule type="cellIs" dxfId="788" priority="4" operator="greaterThan">
      <formula>0</formula>
    </cfRule>
    <cfRule type="cellIs" dxfId="787" priority="5" operator="equal">
      <formula>0</formula>
    </cfRule>
  </conditionalFormatting>
  <dataValidations count="23">
    <dataValidation allowBlank="1" showInputMessage="1" promptTitle="Select Fin Source" prompt="Use the dropdown menu to select funding source. If not selected or the entry is not matching the Funding Source parameters, it will be marked as an error._x000a__x000a_It may also not feed in the I&amp;E (donations) or Cash Flow (donations &amp; finance leases) correctly." sqref="F10" xr:uid="{77607C9E-F25A-46B2-B8C8-8F1016F0DC94}"/>
    <dataValidation allowBlank="1" showInputMessage="1" promptTitle="Select Asset Type" prompt="Use the dropdown menu to select asset type._x000a__x000a_If not selected or not matching with the available asset types, it will be marked as an error. It will also not feed into the Balance Sheet." sqref="E10" xr:uid="{9927A5E4-6583-447E-B765-E46FE2FEB137}"/>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BZ7" xr:uid="{E8E40B27-2A67-43EB-B896-AA6F4D6303F0}"/>
    <dataValidation allowBlank="1" showInputMessage="1" promptTitle="Transaction date" prompt="Checks if the inputted transaction date is within the model timeline. _x000a__x000a_The earliest possible date is the START date of the optional previous year period (column S)._x000a__x000a_The last possible date is the END date of the optional 8 year forecast (column BW)._x000a_" sqref="CE7" xr:uid="{2A59862E-F023-4B11-9014-2F33DB2E273B}"/>
    <dataValidation allowBlank="1" showInputMessage="1" promptTitle="Select Asset Type" prompt="Use the dropdown menu to select asset type._x000a__x000a_If for any used row, asset type is not selected or not matching with the available asset types, this will be marked as an error._x000a__x000a_It will also not feed into the BS." sqref="E50 E75 E101 E127" xr:uid="{27C6CA44-67BF-4621-99A0-B0FD027EA371}"/>
    <dataValidation allowBlank="1" showInputMessage="1" promptTitle="Transaction date" prompt="Provide the transaction date. It must be within the model timeline including optional periods if used._x000a__x000a_&gt;The earliest possible date is the START date of the optional prior year._x000a_&gt;The last possible date is the END date of the optional 8 year forecast._x000a_" sqref="F127 F50 F75 F101" xr:uid="{F2FF239E-C492-4AB5-BF3C-8EE3A043EF3D}"/>
    <dataValidation allowBlank="1" showInputMessage="1" promptTitle="Transaction value" prompt="Provide the value of the transaction as a positiove amount. It will be:_x000a__x000a_&gt; deducted from Assets under Construction balance_x000a_&gt; added to the respective NCA balance that it is classified as (in column E)._x000a_" sqref="G50" xr:uid="{9FE441EC-2477-4786-80C0-FC3F8012D3AE}"/>
    <dataValidation allowBlank="1" showInputMessage="1" promptTitle="Transaction value" prompt="Enter revaluation surpluses as positive amounts and revaluation losses as negative amounts._x000a_" sqref="G75" xr:uid="{F783314A-5DCB-4D2C-A5A1-C7B0E4FB275D}"/>
    <dataValidation allowBlank="1" showInputMessage="1" promptTitle="Transaction value" prompt="Provide the value of the transaction as a positiove amount. It will be:_x000a__x000a_&gt; added to the Assets Held for Sale balance_x000a_&gt; deducted from the respective NCA balance that it is classified as (in column E)._x000a_" sqref="G101" xr:uid="{7561FCAD-A5D1-451F-950A-AFF7E31BF162}"/>
    <dataValidation allowBlank="1" showInputMessage="1" promptTitle="Transaction value" prompt="Provide the value of the disposal as a positive amount. _x000a__x000a_&gt;the sale amount will be recorded as a cash inflow on the Cash flow statement_x000a_&gt; the net gain/(loss) will be recorded as a gain/(loss) on disposal of NCA on the I&amp;E._x000a_" sqref="G127" xr:uid="{32ECFBBA-E6A6-48AF-B086-605549D147D4}"/>
    <dataValidation allowBlank="1" showInputMessage="1" promptTitle="Transaction value" prompt="Provide the Net Book Value of the asset as a positive amount. It will be:_x000a__x000a_&gt; deducted from the respective NCA balance that it is classified as (in column E)._x000a__x000a_&gt; the net gain/loss will be recorded as a gain/(loss) on disposal of NCA in the I&amp;E._x000a_" sqref="H127" xr:uid="{E743C932-9DE1-417D-89DB-11E2DA1F87C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329" xr:uid="{78795018-D932-4359-BA1D-1532F3DC731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G7" xr:uid="{488A38A2-39BB-417C-9B65-E495D31FFF16}"/>
    <dataValidation allowBlank="1" showInputMessage="1" promptTitle="Negative NCA Balance check" prompt="Checks for negative NCA balances. Flags up in case of a negative NCA balance." sqref="CF7" xr:uid="{95F1947E-0EE9-414E-83C0-9B8D672C4F59}"/>
    <dataValidation allowBlank="1" showInputMessage="1" promptTitle="Select Asset Type" prompt="Checks if the selected asset type matches the available asset types._x000a__x000a_If the asset type value is not valid (not matching with the available asset types), it will be marked as an error." sqref="CC7" xr:uid="{A236B2CA-2628-42BB-86F8-DFC9C9D2C127}"/>
    <dataValidation allowBlank="1" showInputMessage="1" promptTitle="Select Asset Type" prompt="Checks if asset type is selected for lines in use._x000a__x000a_If a line item is used but no asset type is selected, the error flag will be triggerred." sqref="CB7" xr:uid="{EE5862CE-14D1-495C-887A-059BA46C8CFF}"/>
    <dataValidation allowBlank="1" showInputMessage="1" promptTitle="Select Asset Type" prompt="Checks if the selected Fin Source matches the available Fin source options._x000a__x000a_If the Fin Source value is not valid (not matching with the available Fin Source parameters), it will be marked as an error." sqref="CD7" xr:uid="{37236428-DDA9-4240-AA7D-85EE76641B5C}"/>
    <dataValidation allowBlank="1" showInputMessage="1" promptTitle="Prior Year Balance check" prompt="Checks that the Total sum for each of the NCA tables reconciles against the input amounts." sqref="CH7" xr:uid="{9255A167-BED4-424A-8E22-2073AAC350E2}"/>
    <dataValidation allowBlank="1" showInputMessage="1" promptTitle="Previous Year Reconciliation" prompt="Checks if the previous year amount on the 4 Year timeline (column V) = Previous year amount on the 12 Year timeline (column BL)._x000a__x000a_Refer to Differences section (column CS) in case of flags." sqref="CK7" xr:uid="{0FA6B147-6421-482D-8337-F57B5CA04628}"/>
    <dataValidation allowBlank="1" showInputMessage="1" promptTitle="Reconciliation to 12 year values" prompt="Checks if the monthly amounts = annual amounts on the 12 Year timeline for all 3 years._x000a__x000a_Refer to Differences section (columns CP - CR) in case of flags." sqref="CJ7" xr:uid="{BF3E6C2D-51CE-44FB-AE36-C79308889A16}"/>
    <dataValidation allowBlank="1" showInputMessage="1" promptTitle="Reconciliation to 4 year values" prompt="Checks if the monthly amounts = annual amounts on the 4 Year timeline._x000a__x000a_Refer to Differences section (columns CM - CO) in case of flags." sqref="CI7" xr:uid="{0F03B1E3-087F-47BA-AE13-DA2EDC5CD8E3}"/>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nces inputs are aligned with movements in Prior Year." sqref="E210 E224 E238 E250 E259 E269 E279" xr:uid="{BCAF5A34-9CA9-4F0E-A0DD-80C5B631D30C}"/>
    <dataValidation type="date" operator="greaterThan" allowBlank="1" showInputMessage="1" showErrorMessage="1" error="Please enter your date in dd/mm/yyyy or dd-mon-yy format" sqref="F53:F67 F78:F92 F104:F118 F130:F144" xr:uid="{349929DA-3292-40BE-91F6-FA3F905D05AE}">
      <formula1>18264</formula1>
    </dataValidation>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2" id="{311792DA-A275-457B-B176-7EFBD6903D6B}">
            <xm:f>AND('Cover Sheet'!$E$29=0, AA$4=0, AB$4=0)</xm:f>
            <x14:dxf>
              <fill>
                <patternFill>
                  <bgColor theme="0"/>
                </patternFill>
              </fill>
            </x14:dxf>
          </x14:cfRule>
          <xm:sqref>AA317:BJ317 AA311:BJ311 AA305:BJ305 AA288:BJ288 AA277:BJ280 AA269:BJ269 AA260:BJ260 AA250:BJ250 AA246:BJ246 AA13:BJ27 AA209:BJ210 AA223:BJ224 AA237:BJ238</xm:sqref>
        </x14:conditionalFormatting>
        <x14:conditionalFormatting xmlns:xm="http://schemas.microsoft.com/office/excel/2006/main">
          <x14:cfRule type="expression" priority="1" id="{A7C3FFD9-A2BD-4DC4-9407-8C2D926CA511}">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B5E7AD1-60AB-41F5-9142-A5A26DE5469C}">
          <x14:formula1>
            <xm:f>Parameters!$D$52:$D$58</xm:f>
          </x14:formula1>
          <xm:sqref>F13:F27</xm:sqref>
        </x14:dataValidation>
        <x14:dataValidation type="list" allowBlank="1" showInputMessage="1" showErrorMessage="1" xr:uid="{18404E34-EF7D-407B-9382-78467E940670}">
          <x14:formula1>
            <xm:f>Parameters!$D$39:$D$42</xm:f>
          </x14:formula1>
          <xm:sqref>E13:E27</xm:sqref>
        </x14:dataValidation>
        <x14:dataValidation type="list" allowBlank="1" showInputMessage="1" showErrorMessage="1" xr:uid="{F84C6217-F6C7-4946-8C87-08265279A191}">
          <x14:formula1>
            <xm:f>Parameters!$D$45:$D$48</xm:f>
          </x14:formula1>
          <xm:sqref>E104:E118 E78:E92</xm:sqref>
        </x14:dataValidation>
        <x14:dataValidation type="list" allowBlank="1" showInputMessage="1" showErrorMessage="1" xr:uid="{D2920FC0-EACE-4C9E-8B98-C834019BF4C5}">
          <x14:formula1>
            <xm:f>Parameters!$D$45:$D$49</xm:f>
          </x14:formula1>
          <xm:sqref>E130:E144 D305 D307 D311 D313 D317 D319</xm:sqref>
        </x14:dataValidation>
        <x14:dataValidation type="list" allowBlank="1" showInputMessage="1" showErrorMessage="1" xr:uid="{5912255A-0DF5-45F8-8E07-4427EC67BA7D}">
          <x14:formula1>
            <xm:f>Parameters!$D$39:$D$41</xm:f>
          </x14:formula1>
          <xm:sqref>E53:E67</xm:sqref>
        </x14:dataValidation>
        <x14:dataValidation type="list" allowBlank="1" showInputMessage="1" showErrorMessage="1" xr:uid="{10D547B6-DC30-4F24-8117-D8C55FADE346}">
          <x14:formula1>
            <xm:f>'Dash Data'!$D$93:$D$100</xm:f>
          </x14:formula1>
          <xm:sqref>D2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2C62A6455DC004DAAB3689FD98014BF" ma:contentTypeVersion="12" ma:contentTypeDescription="Create a new document." ma:contentTypeScope="" ma:versionID="d78473e17e2ef9c653dc33119e091882">
  <xsd:schema xmlns:xsd="http://www.w3.org/2001/XMLSchema" xmlns:xs="http://www.w3.org/2001/XMLSchema" xmlns:p="http://schemas.microsoft.com/office/2006/metadata/properties" xmlns:ns2="39aa2e1e-647c-4922-a4b9-27717d0d3397" xmlns:ns3="aae6a5a8-da70-4cee-b283-f9ffc573b243" targetNamespace="http://schemas.microsoft.com/office/2006/metadata/properties" ma:root="true" ma:fieldsID="98cd03688ad143e5d3d4f25f245437d4" ns2:_="" ns3:_="">
    <xsd:import namespace="39aa2e1e-647c-4922-a4b9-27717d0d3397"/>
    <xsd:import namespace="aae6a5a8-da70-4cee-b283-f9ffc573b24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aa2e1e-647c-4922-a4b9-27717d0d33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e6a5a8-da70-4cee-b283-f9ffc573b24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6C0693-A58B-4EF0-A761-6CF79F56F943}">
  <ds:schemaRefs>
    <ds:schemaRef ds:uri="http://schemas.microsoft.com/sharepoint/v3/contenttype/forms"/>
  </ds:schemaRefs>
</ds:datastoreItem>
</file>

<file path=customXml/itemProps2.xml><?xml version="1.0" encoding="utf-8"?>
<ds:datastoreItem xmlns:ds="http://schemas.openxmlformats.org/officeDocument/2006/customXml" ds:itemID="{F69A8EE6-8BDE-47F4-9344-EE071CA694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aa2e1e-647c-4922-a4b9-27717d0d3397"/>
    <ds:schemaRef ds:uri="aae6a5a8-da70-4cee-b283-f9ffc573b2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CEE4A6C-C597-40DD-969C-D2D489EB4F35}">
  <ds:schemaRefs>
    <ds:schemaRef ds:uri="http://schemas.microsoft.com/office/2006/metadata/properties"/>
    <ds:schemaRef ds:uri="http://purl.org/dc/dcmitype/"/>
    <ds:schemaRef ds:uri="http://purl.org/dc/elements/1.1/"/>
    <ds:schemaRef ds:uri="http://schemas.microsoft.com/office/2006/documentManagement/types"/>
    <ds:schemaRef ds:uri="aae6a5a8-da70-4cee-b283-f9ffc573b243"/>
    <ds:schemaRef ds:uri="http://www.w3.org/XML/1998/namespace"/>
    <ds:schemaRef ds:uri="http://purl.org/dc/terms/"/>
    <ds:schemaRef ds:uri="http://schemas.microsoft.com/office/infopath/2007/PartnerControls"/>
    <ds:schemaRef ds:uri="http://schemas.openxmlformats.org/package/2006/metadata/core-properties"/>
    <ds:schemaRef ds:uri="39aa2e1e-647c-4922-a4b9-27717d0d339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89</vt:i4>
      </vt:variant>
    </vt:vector>
  </HeadingPairs>
  <TitlesOfParts>
    <vt:vector size="114" baseType="lpstr">
      <vt:lpstr>ToC</vt:lpstr>
      <vt:lpstr>Guide</vt:lpstr>
      <vt:lpstr>Cover Sheet</vt:lpstr>
      <vt:lpstr>Learners and Staff</vt:lpstr>
      <vt:lpstr>I&amp;E Monthly</vt:lpstr>
      <vt:lpstr>I&amp;E Annual</vt:lpstr>
      <vt:lpstr>I&amp;E Profiles</vt:lpstr>
      <vt:lpstr>Opening Balances</vt:lpstr>
      <vt:lpstr>Investing Inputs</vt:lpstr>
      <vt:lpstr>Loans</vt:lpstr>
      <vt:lpstr>BS Forecasts</vt:lpstr>
      <vt:lpstr>User Template</vt:lpstr>
      <vt:lpstr>Fin Stat</vt:lpstr>
      <vt:lpstr>Ratios</vt:lpstr>
      <vt:lpstr>Financial Health</vt:lpstr>
      <vt:lpstr>Cash Flow Summary</vt:lpstr>
      <vt:lpstr>WC Dashboard</vt:lpstr>
      <vt:lpstr>Dashboard</vt:lpstr>
      <vt:lpstr>Dash Data</vt:lpstr>
      <vt:lpstr>Timeline</vt:lpstr>
      <vt:lpstr>Parameters</vt:lpstr>
      <vt:lpstr>List of Colleges</vt:lpstr>
      <vt:lpstr>Template</vt:lpstr>
      <vt:lpstr>MetaData (hidden)</vt:lpstr>
      <vt:lpstr>MetaDataRef (hidden)</vt:lpstr>
      <vt:lpstr>al</vt:lpstr>
      <vt:lpstr>Annual</vt:lpstr>
      <vt:lpstr>Annual_IE</vt:lpstr>
      <vt:lpstr>CollegeNameInput</vt:lpstr>
      <vt:lpstr>'Cover Sheet'!creditor_signage</vt:lpstr>
      <vt:lpstr>Dashboard!creditor_signage</vt:lpstr>
      <vt:lpstr>'Fin Stat'!creditor_signage</vt:lpstr>
      <vt:lpstr>'Financial Health'!creditor_signage</vt:lpstr>
      <vt:lpstr>'I&amp;E Profiles'!creditor_signage</vt:lpstr>
      <vt:lpstr>Ratios!creditor_signage</vt:lpstr>
      <vt:lpstr>'User Template'!creditor_signage</vt:lpstr>
      <vt:lpstr>'WC Dashboard'!creditor_signage</vt:lpstr>
      <vt:lpstr>creditor_signage</vt:lpstr>
      <vt:lpstr>'Cover Sheet'!debtor_signage</vt:lpstr>
      <vt:lpstr>Dashboard!debtor_signage</vt:lpstr>
      <vt:lpstr>'Financial Health'!debtor_signage</vt:lpstr>
      <vt:lpstr>'I&amp;E Profiles'!debtor_signage</vt:lpstr>
      <vt:lpstr>Loans!debtor_signage</vt:lpstr>
      <vt:lpstr>Ratios!debtor_signage</vt:lpstr>
      <vt:lpstr>'User Template'!debtor_signage</vt:lpstr>
      <vt:lpstr>'WC Dashboard'!debtor_signage</vt:lpstr>
      <vt:lpstr>debtor_signage</vt:lpstr>
      <vt:lpstr>first_FY_month</vt:lpstr>
      <vt:lpstr>last_FY_month</vt:lpstr>
      <vt:lpstr>list_Capex</vt:lpstr>
      <vt:lpstr>List_YesNo</vt:lpstr>
      <vt:lpstr>MetaDataRef</vt:lpstr>
      <vt:lpstr>MetaDataRefSheetList</vt:lpstr>
      <vt:lpstr>MetaDataTable</vt:lpstr>
      <vt:lpstr>'Cash Flow Summary'!monetary_units</vt:lpstr>
      <vt:lpstr>'Cover Sheet'!monetary_units</vt:lpstr>
      <vt:lpstr>'Fin Stat'!monetary_units</vt:lpstr>
      <vt:lpstr>'I&amp;E Profiles'!monetary_units</vt:lpstr>
      <vt:lpstr>'Investing Inputs'!monetary_units</vt:lpstr>
      <vt:lpstr>'Learners and Staff'!monetary_units</vt:lpstr>
      <vt:lpstr>Loans!monetary_units</vt:lpstr>
      <vt:lpstr>Ratios!monetary_units</vt:lpstr>
      <vt:lpstr>'User Template'!monetary_units</vt:lpstr>
      <vt:lpstr>'WC Dashboard'!monetary_units</vt:lpstr>
      <vt:lpstr>monetary_units</vt:lpstr>
      <vt:lpstr>Monthly</vt:lpstr>
      <vt:lpstr>Monthly_IE</vt:lpstr>
      <vt:lpstr>'BS Forecasts'!Print_Area</vt:lpstr>
      <vt:lpstr>'Cash Flow Summary'!Print_Area</vt:lpstr>
      <vt:lpstr>'Cover Sheet'!Print_Area</vt:lpstr>
      <vt:lpstr>'Dash Data'!Print_Area</vt:lpstr>
      <vt:lpstr>Dashboard!Print_Area</vt:lpstr>
      <vt:lpstr>'Fin Stat'!Print_Area</vt:lpstr>
      <vt:lpstr>'Financial Health'!Print_Area</vt:lpstr>
      <vt:lpstr>Guide!Print_Area</vt:lpstr>
      <vt:lpstr>'I&amp;E Annual'!Print_Area</vt:lpstr>
      <vt:lpstr>'I&amp;E Monthly'!Print_Area</vt:lpstr>
      <vt:lpstr>'I&amp;E Profiles'!Print_Area</vt:lpstr>
      <vt:lpstr>'Investing Inputs'!Print_Area</vt:lpstr>
      <vt:lpstr>'Learners and Staff'!Print_Area</vt:lpstr>
      <vt:lpstr>Loans!Print_Area</vt:lpstr>
      <vt:lpstr>'Opening Balances'!Print_Area</vt:lpstr>
      <vt:lpstr>Parameters!Print_Area</vt:lpstr>
      <vt:lpstr>Ratios!Print_Area</vt:lpstr>
      <vt:lpstr>Template!Print_Area</vt:lpstr>
      <vt:lpstr>Timeline!Print_Area</vt:lpstr>
      <vt:lpstr>ToC!Print_Area</vt:lpstr>
      <vt:lpstr>'User Template'!Print_Area</vt:lpstr>
      <vt:lpstr>'WC Dashboard'!Print_Area</vt:lpstr>
      <vt:lpstr>'BS Forecasts'!Print_Titles</vt:lpstr>
      <vt:lpstr>'Cash Flow Summary'!Print_Titles</vt:lpstr>
      <vt:lpstr>'Cover Sheet'!Print_Titles</vt:lpstr>
      <vt:lpstr>'Dash Data'!Print_Titles</vt:lpstr>
      <vt:lpstr>Dashboard!Print_Titles</vt:lpstr>
      <vt:lpstr>'Fin Stat'!Print_Titles</vt:lpstr>
      <vt:lpstr>'Financial Health'!Print_Titles</vt:lpstr>
      <vt:lpstr>'I&amp;E Annual'!Print_Titles</vt:lpstr>
      <vt:lpstr>'I&amp;E Monthly'!Print_Titles</vt:lpstr>
      <vt:lpstr>'I&amp;E Profiles'!Print_Titles</vt:lpstr>
      <vt:lpstr>'Investing Inputs'!Print_Titles</vt:lpstr>
      <vt:lpstr>'Learners and Staff'!Print_Titles</vt:lpstr>
      <vt:lpstr>Loans!Print_Titles</vt:lpstr>
      <vt:lpstr>'Opening Balances'!Print_Titles</vt:lpstr>
      <vt:lpstr>Parameters!Print_Titles</vt:lpstr>
      <vt:lpstr>Ratios!Print_Titles</vt:lpstr>
      <vt:lpstr>Template!Print_Titles</vt:lpstr>
      <vt:lpstr>Timeline!Print_Titles</vt:lpstr>
      <vt:lpstr>'User Template'!Print_Titles</vt:lpstr>
      <vt:lpstr>'WC Dashboard'!Print_Titles</vt:lpstr>
      <vt:lpstr>rounding</vt:lpstr>
      <vt:lpstr>tbl_Loans</vt:lpstr>
      <vt:lpstr>TimeStamp</vt:lpstr>
      <vt:lpstr>zColLetter</vt:lpstr>
      <vt:lpstr>zYearLabel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ESFA</dc:creator>
  <cp:lastModifiedBy>Elaine Moore</cp:lastModifiedBy>
  <cp:lastPrinted>2021-08-11T15:11:04Z</cp:lastPrinted>
  <dcterms:created xsi:type="dcterms:W3CDTF">2021-02-12T09:59:56Z</dcterms:created>
  <dcterms:modified xsi:type="dcterms:W3CDTF">2022-04-06T13:59:19Z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0x01010032C62A6455DC004DAAB3689FD98014BF</vt:lpwstr>
  </property>
</Properties>
</file>